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4-Energy Efficiency\BEM\_Business Lighting\_2024 Business Lighting Application\"/>
    </mc:Choice>
  </mc:AlternateContent>
  <workbookProtection workbookAlgorithmName="SHA-512" workbookHashValue="IJdG4ktMWPoJV2QJ3zfKuxc5JUbWKUBXr6cfmhMW0Ko3iTBGhboCC51nyvlcZs6tLPtfPmH2JbvpAsOHiYqmWQ==" workbookSaltValue="N31XkCSGKvUe9MCGQm6Miw==" workbookSpinCount="100000" lockStructure="1"/>
  <bookViews>
    <workbookView xWindow="0" yWindow="0" windowWidth="25200" windowHeight="10882" firstSheet="1" activeTab="1"/>
  </bookViews>
  <sheets>
    <sheet name="Terms" sheetId="12" r:id="rId1"/>
    <sheet name="Project" sheetId="11" r:id="rId2"/>
    <sheet name="Fixtures" sheetId="8" r:id="rId3"/>
    <sheet name="Installations" sheetId="5" r:id="rId4"/>
    <sheet name="Customer Authorization" sheetId="14" r:id="rId5"/>
    <sheet name="Building Area Installations" sheetId="33" r:id="rId6"/>
    <sheet name="Customer Use" sheetId="27" r:id="rId7"/>
    <sheet name="Instructions" sheetId="18" state="hidden" r:id="rId8"/>
    <sheet name="Ready" sheetId="22" r:id="rId9"/>
    <sheet name="LLLC &amp; AELC" sheetId="15" r:id="rId10"/>
    <sheet name="Control Savings" sheetId="9" r:id="rId11"/>
    <sheet name="Grant QC Review" sheetId="20" r:id="rId12"/>
    <sheet name="LLLC Grant QC Review" sheetId="21" state="hidden" r:id="rId13"/>
    <sheet name="DATA" sheetId="19" r:id="rId14"/>
    <sheet name="Autofund" sheetId="10" state="hidden" r:id="rId15"/>
    <sheet name="Existing" sheetId="3" state="hidden" r:id="rId16"/>
    <sheet name="Lookup" sheetId="4" state="hidden" r:id="rId17"/>
    <sheet name="WSEC" sheetId="24" state="hidden" r:id="rId18"/>
    <sheet name="WSEC B_A_M" sheetId="30" state="hidden" r:id="rId19"/>
    <sheet name="Space Table" sheetId="25" state="hidden" r:id="rId20"/>
    <sheet name="CNC DSMc SOW" sheetId="28" state="hidden" r:id="rId21"/>
    <sheet name="Changes" sheetId="29" state="hidden" r:id="rId22"/>
  </sheets>
  <externalReferences>
    <externalReference r:id="rId23"/>
  </externalReferences>
  <definedNames>
    <definedName name="__BLi?">Lookup!$E$2</definedName>
    <definedName name="__Company_Name_List">Project!$BH$81:$BL$95</definedName>
    <definedName name="__CPI_List">Project!$BF$81:$BK$95</definedName>
    <definedName name="__NC_Incentive">'Building Area Installations'!$U$24</definedName>
    <definedName name="__Retrofit_TI_NC" localSheetId="20">[1]Installations!$C$36</definedName>
    <definedName name="__Retrofit_TI_NC">Installations!$C$43</definedName>
    <definedName name="__TI_NC" localSheetId="5">'Building Area Installations'!$C$34</definedName>
    <definedName name="_BAM">'WSEC B_A_M'!$B$5:$D$41</definedName>
    <definedName name="_BAM_Top" localSheetId="5">'Building Area Installations'!$B$19</definedName>
    <definedName name="_C406_3" localSheetId="20">[1]Project!$N$38</definedName>
    <definedName name="_C406_3">Project!$O$38</definedName>
    <definedName name="_C406_reduction" localSheetId="5">'Building Area Installations'!$E$30</definedName>
    <definedName name="_C406_reduction" localSheetId="20">[1]Installations!$B$33</definedName>
    <definedName name="_C406_reduction">Installations!$B$34</definedName>
    <definedName name="_Control_Bonus">Installations!BN$46:BN$94</definedName>
    <definedName name="_Control_Table">Table7[]</definedName>
    <definedName name="_Control_Type_Table">Lookup!$BB$5</definedName>
    <definedName name="_Controls_2023">Lookup!$AY$56:$AZ$103</definedName>
    <definedName name="_Daylight_Table_Codes" localSheetId="20">[1]!_Daylight_Table[#Data]</definedName>
    <definedName name="_Daylight_Table_Codes">_Daylight_Table[]</definedName>
    <definedName name="_Daylighted?">_Daylight_Table[Daylighted]</definedName>
    <definedName name="_EME">OFFSET(Lookup!$BX$3,0,0,Lookup!$BY$2,1)</definedName>
    <definedName name="_Error_Table" localSheetId="20">[1]Lookup!$AY$27:$BB$51</definedName>
    <definedName name="_Error_Table">Lookup!$BF$27:$BI$52</definedName>
    <definedName name="_Exist_Fixture_Table" localSheetId="20">[1]Fixtures!$BM$89:$BU$138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Lookup!$W$3:$W$17</definedName>
    <definedName name="_Fixture_Measure_Life">Lookup!$W$3:$X$25</definedName>
    <definedName name="_Heat_Type" localSheetId="20">[1]Lookup!$T$3:$T$9</definedName>
    <definedName name="_Heat_Type">Lookup!$AA$3:$AA$8</definedName>
    <definedName name="_Install_01">Installations!$G$47</definedName>
    <definedName name="_Install_10">Installations!$G$95</definedName>
    <definedName name="_Install_100">Installations!$G$563</definedName>
    <definedName name="_Install_115">Installations!$G$641</definedName>
    <definedName name="_Install_130">Installations!$G$719</definedName>
    <definedName name="_Install_2_Supplemental_Info">Installations!$BH$1</definedName>
    <definedName name="_Install_25">Installations!$G$173</definedName>
    <definedName name="_Install_40">Installations!$G$251</definedName>
    <definedName name="_Install_55">Installations!$G$329</definedName>
    <definedName name="_Install_70">Installations!$G$407</definedName>
    <definedName name="_Install_85">Installations!$G$485</definedName>
    <definedName name="_Install_Top">Installations!$A$19</definedName>
    <definedName name="_kWh_Grant">Autofund!$J$3</definedName>
    <definedName name="_LLLC_Bouns">'LLLC &amp; AELC'!$B$26</definedName>
    <definedName name="_LLLC_Data_Monitoring">'LLLC &amp; AELC'!$B$139</definedName>
    <definedName name="_LLLC_Daylight_Sensor">'LLLC &amp; AELC'!$B$95</definedName>
    <definedName name="_LLLC_Occupancy_Sensor">'LLLC &amp; AELC'!$B$74</definedName>
    <definedName name="_LLLC_Process">'LLLC &amp; AELC'!$B$61</definedName>
    <definedName name="_LLLC_Task_Tuning">'LLLC &amp; AELC'!$B$109</definedName>
    <definedName name="_LLLC_Top" localSheetId="9">'LLLC &amp; AELC'!$A$19</definedName>
    <definedName name="_Lookup_Fixture_Type">Lookup!$AT$3:$AW$16</definedName>
    <definedName name="_Lookup_Heat_Type_New" localSheetId="20">[1]!Table4[Lookup_Heat_Type]</definedName>
    <definedName name="_Lookup_Heat_Type_New">Table4[Lookup_Heat_Type]</definedName>
    <definedName name="_Lookup_Heat_Type_Table_New" localSheetId="20">[1]!Table4[[Lookup_Heat_Type]:[Short]]</definedName>
    <definedName name="_Lookup_Heat_Type_Table_New">Table4[[Lookup_Heat_Type]:[Short]]</definedName>
    <definedName name="_Lookup_Type_New" localSheetId="20">[1]!Table4[Lookup_Type_New]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Lookup!$BB$67:$BE$84</definedName>
    <definedName name="_New_Daylight_Table_Codes">Lookup!$BB$60:$BC$65</definedName>
    <definedName name="_New_Daylighted">Lookup!$BB$60:$BB$64</definedName>
    <definedName name="_New_Daylighted_Table">Lookup!$BB$60:$BC$64</definedName>
    <definedName name="_New_Fixture_Table">Fixtures!$BM$143:$BU$192</definedName>
    <definedName name="_New_Install_Top">'Building Area Installations'!$A$19</definedName>
    <definedName name="_New_Interior_Controls">'Control Savings'!$AG$6:$AG$12</definedName>
    <definedName name="_Program_BLi">Lookup!$W$29:$W$31</definedName>
    <definedName name="_Program_MF">Lookup!$W$35</definedName>
    <definedName name="_Project_1_Top">Project!$A$18:$AQ$18</definedName>
    <definedName name="_Project_2_Type" localSheetId="20">[1]Project!$G$24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Review'!$B$281</definedName>
    <definedName name="_QC_Form3">'Grant QC Review'!$B$121</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Top">'Grant QC Review'!$A$18</definedName>
    <definedName name="_Qty_Fixtures">Installations!BK$46:BK$94</definedName>
    <definedName name="_Ready_Top" localSheetId="8">Ready!$A$19:$AM$19</definedName>
    <definedName name="_Suplemental">Installations!$BD$878</definedName>
    <definedName name="_Terms_1_Top">Terms!$A$18</definedName>
    <definedName name="_Terms_2_Approval">Terms!$A$28</definedName>
    <definedName name="_Terms_3_Submittals">Terms!$A$52</definedName>
    <definedName name="_Terms_4_Customers">Terms!$A$58</definedName>
    <definedName name="_Terms_5_Incentives">Terms!$A$65</definedName>
    <definedName name="_Terms_6_Specifications">Terms!$A$160</definedName>
    <definedName name="_Terms_7_Inspections">Terms!$A$194</definedName>
    <definedName name="_Terms_8_Invoice">Terms!$A$198</definedName>
    <definedName name="_TLED_to_TLED">Installations!$GG$46:$GG$94</definedName>
    <definedName name="Control_Savings_Exterior" localSheetId="20">'[1]Control Savings'!$F$37:$L$49</definedName>
    <definedName name="Control_Savings_Exterior">'Control Savings'!$F$37:$N$49</definedName>
    <definedName name="Control_Savings_Interior" localSheetId="20">'[1]Control Savings'!$F$5:$M$33</definedName>
    <definedName name="Control_Savings_Interior">'Control Savings'!$F$5:$M$33</definedName>
    <definedName name="Controls_Exterior_Basic">Lookup!$AY$34:$AY$40</definedName>
    <definedName name="Controls_Interior_Basic">Lookup!$AY$11:$AY$15</definedName>
    <definedName name="Controls_Interior_LLLC">Lookup!$AY$21:$AY$29</definedName>
    <definedName name="Controls_Interior_No_Daylight">Lookup!$AY$48:$AY$52</definedName>
    <definedName name="Controls_Removed">Lookup!$AY$44</definedName>
    <definedName name="ControlTime" localSheetId="20">'[1]Control Savings'!$F$74:$F$97</definedName>
    <definedName name="ControlTime">'Control Savings'!$F$74:$F$97</definedName>
    <definedName name="EMEs" localSheetId="20">[1]Lookup!$BP$3:$BP$34</definedName>
    <definedName name="EMEs">Lookup!$BX$3:$BX$34</definedName>
    <definedName name="Exist_CFL">Existing!$E$309:$E$330</definedName>
    <definedName name="Exist_Exit">Existing!$E$7:$E$8</definedName>
    <definedName name="Exist_HalogenA">Existing!$E$16:$E$21</definedName>
    <definedName name="Exist_HalogenMR">Existing!$E$38:$E$45</definedName>
    <definedName name="Exist_HalogenPAR">Existing!$E$24:$E$35</definedName>
    <definedName name="Exist_HPS">Existing!$E$262:$E$271</definedName>
    <definedName name="Exist_Incan">Existing!$E$48:$E$60</definedName>
    <definedName name="Exist_Induction">Existing!$E$250:$E$259</definedName>
    <definedName name="Exist_Mercury_Vapor">Existing!$E$302:$E$306</definedName>
    <definedName name="Exist_MH">Existing!$E$274:$E$299</definedName>
    <definedName name="Exist_Removed">Existing!$E$4</definedName>
    <definedName name="Exist_T12">Existing!$E$63:$E$75</definedName>
    <definedName name="Exist_T12_HO">Existing!$E$88:$E$95</definedName>
    <definedName name="Exist_T12_Slimline">Existing!$E$78:$E$85</definedName>
    <definedName name="Exist_T5">Existing!$E$219:$E$229</definedName>
    <definedName name="Exist_T5_HO">Existing!$E$232:$E$247</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20">OFFSET([1]Fixtures!$BX$89:$BY$138,0,1,[1]Fixtures!$BX$88,1)</definedName>
    <definedName name="Fixtures_Existing_Final_List">OFFSET(Fixtures!$CM$93:$CN$142,0,1,Fixtures!$CM$92,1)</definedName>
    <definedName name="Fixtures_Existing_List" localSheetId="20">[1]Fixtures!$BM$89:$BN$188</definedName>
    <definedName name="Fixtures_Existing_List">Fixtures!$BM$93:$BN$192</definedName>
    <definedName name="Fixtures_Proposed">Fixtures!$DL$19</definedName>
    <definedName name="Fixtures_Proposed_Final_List" localSheetId="20">OFFSET([1]Fixtures!$DX$93:$DY$142,0,1,[1]Fixtures!$DX$92,1)</definedName>
    <definedName name="Fixtures_Proposed_Final_List">OFFSET(Fixtures!$EP$93:$EQ$142,0,1,Fixtures!$EP$92,1)</definedName>
    <definedName name="Fixtures_Proposed_List" localSheetId="20">[1]Fixtures!$DM$93:$DN$142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20">[1]Lookup!$AR$3:$AS$7</definedName>
    <definedName name="Lookup_Control_Type_Table">Lookup!$AY$3:$AZ$7</definedName>
    <definedName name="Lookup_Control_Type_Table2" localSheetId="20">[1]Lookup!$AU$3:$AX$15</definedName>
    <definedName name="Lookup_Control_Type_Table2">Lookup!$BB$3:$BE$20</definedName>
    <definedName name="Lookup_CPI">Lookup!$BQ$27:$BQ$30</definedName>
    <definedName name="Lookup_Devined_Name_No_Existing">Lookup!$U$59</definedName>
    <definedName name="Lookup_Existing_TLED">Lookup!$T$100:$T$102</definedName>
    <definedName name="Lookup_Exterior_Areas" localSheetId="20">[1]Lookup!$Z$33:$Z$42</definedName>
    <definedName name="Lookup_Exterior_Areas">Lookup!$AG$33:$AG$42</definedName>
    <definedName name="Lookup_Exterior_New" localSheetId="20">'[1]Space Table'!$B$137:$B$149</definedName>
    <definedName name="Lookup_Exterior_New">'Space Table'!$B$140:$B$153</definedName>
    <definedName name="Lookup_Fixture_Defined_Name_Existing" localSheetId="20">[1]Lookup!$N$3:$N$36</definedName>
    <definedName name="Lookup_Fixture_Defined_Name_Existing">Lookup!$U$3:$U$36</definedName>
    <definedName name="Lookup_Fixture_Existing" localSheetId="20">[1]Lookup!$M$3:$M$36</definedName>
    <definedName name="Lookup_Fixture_Existing">Lookup!$T$3:$T$36</definedName>
    <definedName name="Lookup_Fixture_Exit">Lookup!$T$62</definedName>
    <definedName name="Lookup_Fixture_Fluorescent">Lookup!$T$65:$T$80</definedName>
    <definedName name="Lookup_Fixture_Fluorescent_Defined_Name_Existing">Lookup!$U$65:$U$80</definedName>
    <definedName name="Lookup_Fixture_HID">Lookup!$T$83:$T$85</definedName>
    <definedName name="Lookup_Fixture_Incandescent">Lookup!$T$88:$T$91</definedName>
    <definedName name="Lookup_Fixture_Induction">Lookup!$T$94</definedName>
    <definedName name="Lookup_Fixture_Lamp_List" localSheetId="20">[1]Lookup!$P$3:$P$23</definedName>
    <definedName name="Lookup_Fixture_Lamp_List">Lookup!$W$3:$W$24</definedName>
    <definedName name="Lookup_Fixture_Type_Defined_Name_Exist" localSheetId="20">[1]Lookup!$N$40:$N$46</definedName>
    <definedName name="Lookup_Fixture_Type_Defined_Name_Exist">Lookup!$U$40:$U$46</definedName>
    <definedName name="Lookup_Fixture_Type_Exist" localSheetId="20">[1]Lookup!$M$40:$M$46</definedName>
    <definedName name="Lookup_Fixture_Type_Exist">Lookup!$T$40:$T$46</definedName>
    <definedName name="Lookup_Heat_Type_Table">Lookup!$AA$3:$AE$9</definedName>
    <definedName name="Lookup_Installer" localSheetId="20">[1]Lookup!$BJ$3:$BJ$5</definedName>
    <definedName name="Lookup_Installer">Lookup!$BQ$3:$BQ$6</definedName>
    <definedName name="Lookup_Installer_Number">Lookup!$BQ$3:$BR$6</definedName>
    <definedName name="Lookup_Interior" localSheetId="20">[1]Lookup!$Z$3:$Z$30</definedName>
    <definedName name="Lookup_Interior">Lookup!$AG$3:$AG$30</definedName>
    <definedName name="Lookup_Interior_New" localSheetId="20">'[1]Space Table'!$B$3:$B$107</definedName>
    <definedName name="Lookup_Interior_New">'Space Table'!$B$3:$B$109</definedName>
    <definedName name="Lookup_no_Existing">Lookup!$T$59</definedName>
    <definedName name="Lookup_Payee1">Lookup!$BQ$20:$BQ$24</definedName>
    <definedName name="Lookup_Rate_Schedule">Lookup!$BJ$3:$BL$22</definedName>
    <definedName name="Lookup_Schedule" localSheetId="20">[1]Lookup!$BC$3:$BC$22</definedName>
    <definedName name="Lookup_Schedule">Lookup!$BJ$3:$BJ$22</definedName>
    <definedName name="Lookup_Street">Lookup!$AG$42</definedName>
    <definedName name="Lookup_Submitter">Lookup!$BQ$10:$BQ$14</definedName>
    <definedName name="Lookup_Submitter_Number">Lookup!$BQ$10:$BR$14</definedName>
    <definedName name="Lookup_Type">Lookup!$AD$3:$AD$9</definedName>
    <definedName name="MF__Named">Installations!$B$14</definedName>
    <definedName name="NewFixtures">Fixtures!$DM$93:$DN$102</definedName>
    <definedName name="OnIntensity" localSheetId="20">'[1]Control Savings'!$G$74:$G$94</definedName>
    <definedName name="OnIntensity">'Control Savings'!$G$74:$G$94</definedName>
    <definedName name="_xlnm.Print_Area" localSheetId="5">'Building Area Installations'!$C$1:$AJ$113</definedName>
    <definedName name="_xlnm.Print_Area" localSheetId="20">[0]!Print_Installations_Page</definedName>
    <definedName name="_xlnm.Print_Area" localSheetId="4">PRINT_CUSTOMER_AUTHORIZATION</definedName>
    <definedName name="_xlnm.Print_Area" localSheetId="2">PrintFixtures</definedName>
    <definedName name="_xlnm.Print_Area" localSheetId="11">'Grant QC Review'!$C$1:$X$276</definedName>
    <definedName name="_xlnm.Print_Area" localSheetId="3">PrintInstallations</definedName>
    <definedName name="_xlnm.Print_Area" localSheetId="9">'LLLC &amp; AELC'!$A$1:$AJ$167</definedName>
    <definedName name="_xlnm.Print_Area" localSheetId="12">'LLLC Grant QC Review'!$A$121:$X$250</definedName>
    <definedName name="_xlnm.Print_Area" localSheetId="1">Project!$C$1:$AP$77</definedName>
    <definedName name="_xlnm.Print_Area" localSheetId="8">Ready!$C$1:$AM$19</definedName>
    <definedName name="_xlnm.Print_Area">[0]!Print_Installations_Page</definedName>
    <definedName name="PRINT_CUSTOMER_AUTHORIZATION">'Customer Authorization'!$A$1:$AM$129</definedName>
    <definedName name="PrintFixtures">OFFSET(Fixtures!$C$25,0,0,Fixtures!$AK$83,32)</definedName>
    <definedName name="PrintInstallations">OFFSET(Installations!$C$1,0,0,Installations!$EJ$2,Installations!$EJ$4)</definedName>
    <definedName name="Signature_Top">'Customer Authorization'!$A$19</definedName>
    <definedName name="Space_Control_Table">Lookup!$AG$3:$AM$42</definedName>
    <definedName name="Space_Table">Lookup!$AG$3:$AG$41</definedName>
    <definedName name="Z_14E4B213_4E3E_4DA3_B507_48FDF095D37D_.wvu.PrintArea" localSheetId="11" hidden="1">'Grant QC Review'!$AA$19:$AA$66</definedName>
    <definedName name="Z_14E4B213_4E3E_4DA3_B507_48FDF095D37D_.wvu.PrintArea" localSheetId="12" hidden="1">'LLLC Grant QC Review'!#REF!</definedName>
    <definedName name="Z_2EA17A6E_3C9D_49BE_AB11_A86D886C9C75_.wvu.PrintArea" localSheetId="11" hidden="1">'Grant QC Review'!$C$19:$X$117</definedName>
    <definedName name="Z_2EA17A6E_3C9D_49BE_AB11_A86D886C9C75_.wvu.PrintArea" localSheetId="12" hidden="1">'LLLC Grant QC Review'!$B$18:$X$117</definedName>
    <definedName name="Z_6659FC5E_EBCC_43AD_A6D6_4A3723F270E9_.wvu.PrintArea" localSheetId="11" hidden="1">'Grant QC Review'!$C$19:$X$120</definedName>
    <definedName name="Z_6659FC5E_EBCC_43AD_A6D6_4A3723F270E9_.wvu.PrintArea" localSheetId="12" hidden="1">'LLLC Grant QC Review'!$B$18:$X$120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9" i="11" l="1"/>
  <c r="AV83" i="33" l="1"/>
  <c r="AW83" i="33"/>
  <c r="AV84" i="33"/>
  <c r="AW84" i="33"/>
  <c r="AV85" i="33"/>
  <c r="AW85" i="33"/>
  <c r="AV86" i="33"/>
  <c r="AW86" i="33"/>
  <c r="AV87" i="33"/>
  <c r="AW87" i="33"/>
  <c r="AV88" i="33"/>
  <c r="AW88" i="33"/>
  <c r="AV89" i="33"/>
  <c r="AW89" i="33"/>
  <c r="AV90" i="33"/>
  <c r="AW90" i="33"/>
  <c r="AV91" i="33"/>
  <c r="AW91" i="33"/>
  <c r="AV92" i="33"/>
  <c r="AW92" i="33"/>
  <c r="AV93" i="33"/>
  <c r="AW93" i="33"/>
  <c r="AV94" i="33"/>
  <c r="AW94" i="33"/>
  <c r="AV95" i="33"/>
  <c r="AW95" i="33"/>
  <c r="AV96" i="33"/>
  <c r="AW96" i="33"/>
  <c r="AV97" i="33"/>
  <c r="AW97" i="33"/>
  <c r="AV98" i="33"/>
  <c r="AW98" i="33"/>
  <c r="AV99" i="33"/>
  <c r="AW99" i="33"/>
  <c r="AV100" i="33"/>
  <c r="AW100" i="33"/>
  <c r="AV101" i="33"/>
  <c r="AW101" i="33"/>
  <c r="AV102" i="33"/>
  <c r="AW102" i="33"/>
  <c r="AV103" i="33"/>
  <c r="AW103" i="33"/>
  <c r="AV104" i="33"/>
  <c r="AW104" i="33"/>
  <c r="AV105" i="33"/>
  <c r="AW105" i="33"/>
  <c r="AV106" i="33"/>
  <c r="AW106" i="33"/>
  <c r="AV107" i="33"/>
  <c r="AW107" i="33"/>
  <c r="AV108" i="33"/>
  <c r="AW108" i="33"/>
  <c r="AV109" i="33"/>
  <c r="AW109" i="33"/>
  <c r="AV110" i="33"/>
  <c r="AW110" i="33"/>
  <c r="AV111" i="33"/>
  <c r="AW111" i="33"/>
  <c r="U689" i="20"/>
  <c r="G226" i="3"/>
  <c r="B226" i="3"/>
  <c r="A226" i="3"/>
  <c r="G225" i="3"/>
  <c r="B225" i="3"/>
  <c r="A225" i="3"/>
  <c r="G224" i="3"/>
  <c r="B224" i="3"/>
  <c r="A224" i="3"/>
  <c r="HS790" i="5"/>
  <c r="HS785" i="5"/>
  <c r="HS780" i="5"/>
  <c r="HS775" i="5"/>
  <c r="HS770" i="5"/>
  <c r="HS765" i="5"/>
  <c r="HS760" i="5"/>
  <c r="HS755" i="5"/>
  <c r="HS750" i="5"/>
  <c r="HS745" i="5"/>
  <c r="HS740" i="5"/>
  <c r="HS735" i="5"/>
  <c r="HS730" i="5"/>
  <c r="HS725" i="5"/>
  <c r="HS720" i="5"/>
  <c r="HS712" i="5"/>
  <c r="HS707" i="5"/>
  <c r="HS702" i="5"/>
  <c r="HS697" i="5"/>
  <c r="HS692" i="5"/>
  <c r="HS687" i="5"/>
  <c r="HS682" i="5"/>
  <c r="HS677" i="5"/>
  <c r="HS672" i="5"/>
  <c r="HS667" i="5"/>
  <c r="HS662" i="5"/>
  <c r="HS657" i="5"/>
  <c r="HS652" i="5"/>
  <c r="HS647" i="5"/>
  <c r="HS642" i="5"/>
  <c r="HS634" i="5"/>
  <c r="HS629" i="5"/>
  <c r="HS624" i="5"/>
  <c r="HS619" i="5"/>
  <c r="HS614" i="5"/>
  <c r="HS609" i="5"/>
  <c r="HS604" i="5"/>
  <c r="HS599" i="5"/>
  <c r="HS594" i="5"/>
  <c r="HS589" i="5"/>
  <c r="HS584" i="5"/>
  <c r="HS579" i="5"/>
  <c r="HS574" i="5"/>
  <c r="HS569" i="5"/>
  <c r="HS564" i="5"/>
  <c r="HS556" i="5"/>
  <c r="HS551" i="5"/>
  <c r="HS546" i="5"/>
  <c r="HS541" i="5"/>
  <c r="HS536" i="5"/>
  <c r="HS531" i="5"/>
  <c r="HS526" i="5"/>
  <c r="HS521" i="5"/>
  <c r="HS516" i="5"/>
  <c r="HS511" i="5"/>
  <c r="HS506" i="5"/>
  <c r="HS501" i="5"/>
  <c r="HS496" i="5"/>
  <c r="HS491" i="5"/>
  <c r="HS486" i="5"/>
  <c r="HS478" i="5"/>
  <c r="HS473" i="5"/>
  <c r="HS468" i="5"/>
  <c r="HS463" i="5"/>
  <c r="HS458" i="5"/>
  <c r="HS453" i="5"/>
  <c r="HS448" i="5"/>
  <c r="HS443" i="5"/>
  <c r="HS438" i="5"/>
  <c r="HS433" i="5"/>
  <c r="HS428" i="5"/>
  <c r="HS423" i="5"/>
  <c r="HS418" i="5"/>
  <c r="HS413" i="5"/>
  <c r="HS408" i="5"/>
  <c r="HS400" i="5"/>
  <c r="HS395" i="5"/>
  <c r="HS390" i="5"/>
  <c r="HS385" i="5"/>
  <c r="HS380" i="5"/>
  <c r="HS375" i="5"/>
  <c r="HS370" i="5"/>
  <c r="HS365" i="5"/>
  <c r="HS360" i="5"/>
  <c r="HS355" i="5"/>
  <c r="HS350" i="5"/>
  <c r="HS345" i="5"/>
  <c r="HS340" i="5"/>
  <c r="HS335" i="5"/>
  <c r="HS330" i="5"/>
  <c r="HS322" i="5"/>
  <c r="HS317" i="5"/>
  <c r="HS312" i="5"/>
  <c r="HS307" i="5"/>
  <c r="HS302" i="5"/>
  <c r="HS297" i="5"/>
  <c r="HS292" i="5"/>
  <c r="HS287" i="5"/>
  <c r="HS282" i="5"/>
  <c r="HS277" i="5"/>
  <c r="HS272" i="5"/>
  <c r="HS267" i="5"/>
  <c r="HS262" i="5"/>
  <c r="HS257" i="5"/>
  <c r="HS252" i="5"/>
  <c r="HS244" i="5"/>
  <c r="HS239" i="5"/>
  <c r="HS234" i="5"/>
  <c r="HS229" i="5"/>
  <c r="HS224" i="5"/>
  <c r="HS219" i="5"/>
  <c r="HS214" i="5"/>
  <c r="HS209" i="5"/>
  <c r="HS204" i="5"/>
  <c r="HS199" i="5"/>
  <c r="HS194" i="5"/>
  <c r="HS189" i="5"/>
  <c r="HS184" i="5"/>
  <c r="HS179" i="5"/>
  <c r="HS174" i="5"/>
  <c r="HS166" i="5"/>
  <c r="HS161" i="5"/>
  <c r="HS156" i="5"/>
  <c r="HS151" i="5"/>
  <c r="HS146" i="5"/>
  <c r="HS141" i="5"/>
  <c r="HS136" i="5"/>
  <c r="HS131" i="5"/>
  <c r="HS126" i="5"/>
  <c r="HS121" i="5"/>
  <c r="HS116" i="5"/>
  <c r="HS111" i="5"/>
  <c r="HS106" i="5"/>
  <c r="HS101" i="5"/>
  <c r="HS96" i="5"/>
  <c r="HS88" i="5"/>
  <c r="HS83" i="5"/>
  <c r="HS78" i="5"/>
  <c r="HS73" i="5"/>
  <c r="HS68" i="5"/>
  <c r="HS63" i="5"/>
  <c r="HS58" i="5"/>
  <c r="HS48" i="5"/>
  <c r="HS53" i="5"/>
  <c r="KB4" i="5"/>
  <c r="AY94" i="4"/>
  <c r="AY85" i="4"/>
  <c r="AY78" i="4"/>
  <c r="AY68" i="4"/>
  <c r="BX1" i="4" a="1"/>
  <c r="BX1" i="4"/>
  <c r="U386" i="20"/>
  <c r="U384" i="20"/>
  <c r="J265" i="20" s="1"/>
  <c r="J687" i="20"/>
  <c r="J376" i="20" s="1"/>
  <c r="J257" i="20" s="1"/>
  <c r="J679" i="20"/>
  <c r="J366" i="20" s="1"/>
  <c r="J249" i="20" s="1"/>
  <c r="J382" i="20"/>
  <c r="U683" i="20"/>
  <c r="U372" i="20" s="1"/>
  <c r="J253" i="20" s="1"/>
  <c r="J317" i="20"/>
  <c r="AD48" i="22"/>
  <c r="AD45" i="22"/>
  <c r="AD41" i="22"/>
  <c r="AD40" i="22"/>
  <c r="P55" i="22"/>
  <c r="P54" i="22"/>
  <c r="P53" i="22"/>
  <c r="P52" i="22"/>
  <c r="P51" i="22"/>
  <c r="P50" i="22"/>
  <c r="P49" i="22"/>
  <c r="P48" i="22"/>
  <c r="BK23" i="22"/>
  <c r="AV24" i="22"/>
  <c r="AV25" i="22" s="1"/>
  <c r="AV26" i="22" s="1"/>
  <c r="AV27" i="22" s="1"/>
  <c r="AV28" i="22" s="1"/>
  <c r="AV29" i="22" s="1"/>
  <c r="AV30" i="22" s="1"/>
  <c r="AV31" i="22" s="1"/>
  <c r="AV32" i="22" s="1"/>
  <c r="AV33" i="22" s="1"/>
  <c r="AV34" i="22" s="1"/>
  <c r="AV35" i="22" s="1"/>
  <c r="AV36" i="22" s="1"/>
  <c r="AV37" i="22" s="1"/>
  <c r="AV38" i="22" s="1"/>
  <c r="AX24" i="22" s="1"/>
  <c r="AX25" i="22" s="1"/>
  <c r="AX26" i="22" s="1"/>
  <c r="AX27" i="22" s="1"/>
  <c r="AX28" i="22" s="1"/>
  <c r="AX29" i="22" s="1"/>
  <c r="AX30" i="22" s="1"/>
  <c r="AX31" i="22" s="1"/>
  <c r="AX32" i="22" s="1"/>
  <c r="AX33" i="22" s="1"/>
  <c r="AX34" i="22" s="1"/>
  <c r="AX35" i="22" s="1"/>
  <c r="AX36" i="22" s="1"/>
  <c r="AX37" i="22" s="1"/>
  <c r="AX38" i="22" s="1"/>
  <c r="AZ24" i="22" s="1"/>
  <c r="AZ25" i="22" s="1"/>
  <c r="AZ26" i="22" s="1"/>
  <c r="AZ27" i="22" s="1"/>
  <c r="AZ28" i="22" s="1"/>
  <c r="AZ29" i="22" s="1"/>
  <c r="AZ30" i="22" s="1"/>
  <c r="AZ31" i="22" s="1"/>
  <c r="AZ32" i="22" s="1"/>
  <c r="AZ33" i="22" s="1"/>
  <c r="AZ34" i="22" s="1"/>
  <c r="AZ35" i="22" s="1"/>
  <c r="AZ36" i="22" s="1"/>
  <c r="AZ37" i="22" s="1"/>
  <c r="AZ38" i="22" s="1"/>
  <c r="BB24" i="22" s="1"/>
  <c r="BB25" i="22" s="1"/>
  <c r="BB26" i="22" s="1"/>
  <c r="BB27" i="22" s="1"/>
  <c r="BB28" i="22" s="1"/>
  <c r="BB29" i="22" s="1"/>
  <c r="BB30" i="22" s="1"/>
  <c r="BB31" i="22" s="1"/>
  <c r="BB32" i="22" s="1"/>
  <c r="BB33" i="22" s="1"/>
  <c r="BB34" i="22" s="1"/>
  <c r="BB35" i="22" s="1"/>
  <c r="BB36" i="22" s="1"/>
  <c r="BB37" i="22" s="1"/>
  <c r="BB38" i="22" s="1"/>
  <c r="BD24" i="22" s="1"/>
  <c r="BD25" i="22" s="1"/>
  <c r="BD26" i="22" s="1"/>
  <c r="BD27" i="22" s="1"/>
  <c r="BD28" i="22" s="1"/>
  <c r="BD29" i="22" s="1"/>
  <c r="BD30" i="22" s="1"/>
  <c r="BD31" i="22" s="1"/>
  <c r="BD32" i="22" s="1"/>
  <c r="BD33" i="22" s="1"/>
  <c r="BD34" i="22" s="1"/>
  <c r="BD35" i="22" s="1"/>
  <c r="BD36" i="22" s="1"/>
  <c r="BD37" i="22" s="1"/>
  <c r="BD38" i="22" s="1"/>
  <c r="BF24" i="22" s="1"/>
  <c r="BF25" i="22" s="1"/>
  <c r="BF26" i="22" s="1"/>
  <c r="BF27" i="22" s="1"/>
  <c r="BF28" i="22" s="1"/>
  <c r="BF29" i="22" s="1"/>
  <c r="BF30" i="22" s="1"/>
  <c r="BF31" i="22" s="1"/>
  <c r="BF32" i="22" s="1"/>
  <c r="BF33" i="22" s="1"/>
  <c r="BF34" i="22" s="1"/>
  <c r="BF35" i="22" s="1"/>
  <c r="BF36" i="22" s="1"/>
  <c r="BF37" i="22" s="1"/>
  <c r="BF38" i="22" s="1"/>
  <c r="BJ25" i="22"/>
  <c r="BJ26" i="22" s="1"/>
  <c r="BJ27" i="22" s="1"/>
  <c r="BJ28" i="22" s="1"/>
  <c r="BJ29" i="22" s="1"/>
  <c r="BJ30" i="22" s="1"/>
  <c r="BJ31" i="22" s="1"/>
  <c r="BJ32" i="22" s="1"/>
  <c r="BL24" i="22" s="1"/>
  <c r="AF24" i="22"/>
  <c r="R35" i="22"/>
  <c r="BK359" i="19"/>
  <c r="BL359" i="19"/>
  <c r="BM359" i="19"/>
  <c r="BH358" i="19"/>
  <c r="BI358" i="19"/>
  <c r="BH359" i="19"/>
  <c r="BI359" i="19"/>
  <c r="BG359" i="19"/>
  <c r="Y14" i="19" a="1"/>
  <c r="AN10" i="19"/>
  <c r="AX10" i="19"/>
  <c r="AV10" i="19"/>
  <c r="AN12" i="19"/>
  <c r="AX13" i="19"/>
  <c r="BL4" i="19"/>
  <c r="A12" i="19" a="1"/>
  <c r="AV12" i="19"/>
  <c r="AK12" i="19" a="1"/>
  <c r="A12" i="19" l="1"/>
  <c r="AK12" i="19"/>
  <c r="AN13" i="19"/>
  <c r="AV13" i="19"/>
  <c r="BL5" i="19"/>
  <c r="J638" i="20"/>
  <c r="KB14" i="5"/>
  <c r="KB10" i="5"/>
  <c r="Y14" i="19"/>
  <c r="Y357" i="19" s="1"/>
  <c r="AD97" i="14"/>
  <c r="AD99" i="14"/>
  <c r="AE54" i="14"/>
  <c r="AW10" i="19"/>
  <c r="AD47" i="22" l="1"/>
  <c r="U451" i="20"/>
  <c r="J214" i="20"/>
  <c r="AD46" i="22"/>
  <c r="E6" i="19"/>
  <c r="E349" i="19" s="1"/>
  <c r="D6" i="19"/>
  <c r="D349" i="19" s="1"/>
  <c r="BL95" i="11"/>
  <c r="BL93" i="11"/>
  <c r="BL91" i="11"/>
  <c r="BL89" i="11"/>
  <c r="BL87" i="11"/>
  <c r="BL85" i="11"/>
  <c r="BL83" i="11"/>
  <c r="BL81" i="11"/>
  <c r="DL344" i="19" l="1"/>
  <c r="V345" i="19"/>
  <c r="AD345" i="19"/>
  <c r="AP345" i="19"/>
  <c r="BN345" i="19"/>
  <c r="BW345" i="19"/>
  <c r="BX345" i="19"/>
  <c r="CM345" i="19"/>
  <c r="CN345" i="19"/>
  <c r="CQ345" i="19"/>
  <c r="CS345" i="19"/>
  <c r="CT345" i="19"/>
  <c r="CU345" i="19"/>
  <c r="CZ345" i="19"/>
  <c r="DL345" i="19"/>
  <c r="DM345" i="19"/>
  <c r="FL345" i="19"/>
  <c r="FM345" i="19"/>
  <c r="FS345" i="19"/>
  <c r="FW345" i="19"/>
  <c r="HM345" i="19"/>
  <c r="IE345" i="19"/>
  <c r="IM345" i="19"/>
  <c r="IY345" i="19"/>
  <c r="JH345" i="19"/>
  <c r="JL345" i="19"/>
  <c r="JM345" i="19"/>
  <c r="JO345" i="19"/>
  <c r="JS345" i="19"/>
  <c r="JT345" i="19"/>
  <c r="JU345" i="19"/>
  <c r="JY345" i="19"/>
  <c r="KQ345" i="19"/>
  <c r="KY345" i="19"/>
  <c r="LK345" i="19"/>
  <c r="MU345" i="19"/>
  <c r="MV345" i="19"/>
  <c r="OJ345" i="19"/>
  <c r="OK345" i="19"/>
  <c r="OO345" i="19"/>
  <c r="OY345" i="19"/>
  <c r="PE345" i="19"/>
  <c r="PF345" i="19"/>
  <c r="PG345" i="19"/>
  <c r="PH345" i="19"/>
  <c r="PR345" i="19"/>
  <c r="PX345" i="19"/>
  <c r="QI345" i="19"/>
  <c r="QV345" i="19"/>
  <c r="RJ345" i="19"/>
  <c r="RK345" i="19"/>
  <c r="TN345" i="19"/>
  <c r="TO345" i="19"/>
  <c r="UD345" i="19"/>
  <c r="UI345" i="19"/>
  <c r="UM345" i="19"/>
  <c r="VG345" i="19"/>
  <c r="VN345" i="19"/>
  <c r="VS345" i="19"/>
  <c r="VX345" i="19"/>
  <c r="VY345" i="19"/>
  <c r="VZ345" i="19"/>
  <c r="WG345" i="19"/>
  <c r="XC345" i="19"/>
  <c r="XF345" i="19"/>
  <c r="XH345" i="19"/>
  <c r="YU345" i="19"/>
  <c r="YV345" i="19"/>
  <c r="AAJ345" i="19"/>
  <c r="AAK345" i="19"/>
  <c r="AAO345" i="19"/>
  <c r="AAW345" i="19"/>
  <c r="ABG345" i="19"/>
  <c r="ABT345" i="19"/>
  <c r="ABY345" i="19"/>
  <c r="P346" i="19"/>
  <c r="Q346" i="19"/>
  <c r="R346" i="19"/>
  <c r="S346" i="19"/>
  <c r="T346" i="19"/>
  <c r="U346" i="19"/>
  <c r="V346" i="19"/>
  <c r="W346" i="19"/>
  <c r="X346" i="19"/>
  <c r="Y346" i="19"/>
  <c r="Z346" i="19"/>
  <c r="AA346" i="19"/>
  <c r="AB346" i="19"/>
  <c r="AC346" i="19"/>
  <c r="AD346" i="19"/>
  <c r="AE346" i="19"/>
  <c r="AF346" i="19"/>
  <c r="AG346" i="19"/>
  <c r="AH346" i="19"/>
  <c r="AI346" i="19"/>
  <c r="AJ346" i="19"/>
  <c r="AK346" i="19"/>
  <c r="AL346" i="19"/>
  <c r="AM346" i="19"/>
  <c r="AN346" i="19"/>
  <c r="AO346" i="19"/>
  <c r="AP346" i="19"/>
  <c r="AQ346" i="19"/>
  <c r="AR346" i="19"/>
  <c r="AS346" i="19"/>
  <c r="AT346" i="19"/>
  <c r="AU346" i="19"/>
  <c r="AV346" i="19"/>
  <c r="AW346" i="19"/>
  <c r="AX346" i="19"/>
  <c r="AY346" i="19"/>
  <c r="AZ346" i="19"/>
  <c r="BA346" i="19"/>
  <c r="BB346" i="19"/>
  <c r="BC346" i="19"/>
  <c r="BD346" i="19"/>
  <c r="BE346" i="19"/>
  <c r="BF346" i="19"/>
  <c r="BG346" i="19"/>
  <c r="BH346" i="19"/>
  <c r="BI346" i="19"/>
  <c r="BJ346" i="19"/>
  <c r="BK346" i="19"/>
  <c r="BL346" i="19"/>
  <c r="BM346" i="19"/>
  <c r="BN346" i="19"/>
  <c r="BO346" i="19"/>
  <c r="BP346" i="19"/>
  <c r="BQ346" i="19"/>
  <c r="BR346" i="19"/>
  <c r="BS346" i="19"/>
  <c r="BT346" i="19"/>
  <c r="BU346" i="19"/>
  <c r="BV346" i="19"/>
  <c r="BW346" i="19"/>
  <c r="BX346" i="19"/>
  <c r="BY346" i="19"/>
  <c r="BZ346" i="19"/>
  <c r="CA346" i="19"/>
  <c r="CB346" i="19"/>
  <c r="CC346" i="19"/>
  <c r="CD346" i="19"/>
  <c r="CE346" i="19"/>
  <c r="CF346" i="19"/>
  <c r="CG346" i="19"/>
  <c r="CH346" i="19"/>
  <c r="CI346" i="19"/>
  <c r="CJ346" i="19"/>
  <c r="CK346" i="19"/>
  <c r="CL346" i="19"/>
  <c r="CM346" i="19"/>
  <c r="CN346" i="19"/>
  <c r="CO346" i="19"/>
  <c r="CP346" i="19"/>
  <c r="CQ346" i="19"/>
  <c r="CR346" i="19"/>
  <c r="CS346" i="19"/>
  <c r="CT346" i="19"/>
  <c r="CU346" i="19"/>
  <c r="CV346" i="19"/>
  <c r="CW346" i="19"/>
  <c r="CX346" i="19"/>
  <c r="CY346" i="19"/>
  <c r="CZ346" i="19"/>
  <c r="DA346" i="19"/>
  <c r="DB346" i="19"/>
  <c r="DC346" i="19"/>
  <c r="DD346" i="19"/>
  <c r="DE346" i="19"/>
  <c r="DF346" i="19"/>
  <c r="DG346" i="19"/>
  <c r="DH346" i="19"/>
  <c r="DI346" i="19"/>
  <c r="DJ346" i="19"/>
  <c r="DK346" i="19"/>
  <c r="DL346" i="19"/>
  <c r="DM346" i="19"/>
  <c r="DN346" i="19"/>
  <c r="DO346" i="19"/>
  <c r="DP346" i="19"/>
  <c r="DQ346" i="19"/>
  <c r="DR346" i="19"/>
  <c r="DS346" i="19"/>
  <c r="DT346" i="19"/>
  <c r="DU346" i="19"/>
  <c r="DV346" i="19"/>
  <c r="DW346" i="19"/>
  <c r="DX346" i="19"/>
  <c r="DY346" i="19"/>
  <c r="DZ346" i="19"/>
  <c r="EA346" i="19"/>
  <c r="EB346" i="19"/>
  <c r="EC346" i="19"/>
  <c r="ED346" i="19"/>
  <c r="EE346" i="19"/>
  <c r="EF346" i="19"/>
  <c r="EG346" i="19"/>
  <c r="EH346" i="19"/>
  <c r="EI346" i="19"/>
  <c r="EJ346" i="19"/>
  <c r="EK346" i="19"/>
  <c r="EL346" i="19"/>
  <c r="EM346" i="19"/>
  <c r="EN346" i="19"/>
  <c r="EO346" i="19"/>
  <c r="EP346" i="19"/>
  <c r="EQ346" i="19"/>
  <c r="ER346" i="19"/>
  <c r="ES346" i="19"/>
  <c r="ET346" i="19"/>
  <c r="EU346" i="19"/>
  <c r="EV346" i="19"/>
  <c r="EW346" i="19"/>
  <c r="EX346" i="19"/>
  <c r="EY346" i="19"/>
  <c r="EZ346" i="19"/>
  <c r="FA346" i="19"/>
  <c r="FB346" i="19"/>
  <c r="FC346" i="19"/>
  <c r="FD346" i="19"/>
  <c r="FE346" i="19"/>
  <c r="FF346" i="19"/>
  <c r="FG346" i="19"/>
  <c r="FH346" i="19"/>
  <c r="FI346" i="19"/>
  <c r="FJ346" i="19"/>
  <c r="FK346" i="19"/>
  <c r="FL346" i="19"/>
  <c r="FM346" i="19"/>
  <c r="FN346" i="19"/>
  <c r="FO346" i="19"/>
  <c r="FP346" i="19"/>
  <c r="FQ346" i="19"/>
  <c r="FR346" i="19"/>
  <c r="FS346" i="19"/>
  <c r="FT346" i="19"/>
  <c r="FU346" i="19"/>
  <c r="FV346" i="19"/>
  <c r="FW346" i="19"/>
  <c r="FX346" i="19"/>
  <c r="FY346" i="19"/>
  <c r="FZ346" i="19"/>
  <c r="GA346" i="19"/>
  <c r="GB346" i="19"/>
  <c r="GC346" i="19"/>
  <c r="GD346" i="19"/>
  <c r="GE346" i="19"/>
  <c r="GF346" i="19"/>
  <c r="GG346" i="19"/>
  <c r="GH346" i="19"/>
  <c r="GI346" i="19"/>
  <c r="GJ346" i="19"/>
  <c r="GK346" i="19"/>
  <c r="GL346" i="19"/>
  <c r="GM346" i="19"/>
  <c r="GN346" i="19"/>
  <c r="GO346" i="19"/>
  <c r="GP346" i="19"/>
  <c r="GQ346" i="19"/>
  <c r="GR346" i="19"/>
  <c r="GS346" i="19"/>
  <c r="GT346" i="19"/>
  <c r="GU346" i="19"/>
  <c r="GV346" i="19"/>
  <c r="GW346" i="19"/>
  <c r="GX346" i="19"/>
  <c r="GY346" i="19"/>
  <c r="GZ346" i="19"/>
  <c r="HA346" i="19"/>
  <c r="HB346" i="19"/>
  <c r="HC346" i="19"/>
  <c r="HD346" i="19"/>
  <c r="HE346" i="19"/>
  <c r="HF346" i="19"/>
  <c r="HG346" i="19"/>
  <c r="HH346" i="19"/>
  <c r="HI346" i="19"/>
  <c r="HJ346" i="19"/>
  <c r="HK346" i="19"/>
  <c r="HL346" i="19"/>
  <c r="HM346" i="19"/>
  <c r="HN346" i="19"/>
  <c r="HO346" i="19"/>
  <c r="HP346" i="19"/>
  <c r="HQ346" i="19"/>
  <c r="HR346" i="19"/>
  <c r="HS346" i="19"/>
  <c r="HT346" i="19"/>
  <c r="HU346" i="19"/>
  <c r="HV346" i="19"/>
  <c r="HW346" i="19"/>
  <c r="HX346" i="19"/>
  <c r="HY346" i="19"/>
  <c r="HZ346" i="19"/>
  <c r="IA346" i="19"/>
  <c r="IB346" i="19"/>
  <c r="IC346" i="19"/>
  <c r="ID346" i="19"/>
  <c r="IE346" i="19"/>
  <c r="IF346" i="19"/>
  <c r="IG346" i="19"/>
  <c r="IH346" i="19"/>
  <c r="II346" i="19"/>
  <c r="IJ346" i="19"/>
  <c r="IK346" i="19"/>
  <c r="IL346" i="19"/>
  <c r="IM346" i="19"/>
  <c r="IN346" i="19"/>
  <c r="IO346" i="19"/>
  <c r="IP346" i="19"/>
  <c r="IQ346" i="19"/>
  <c r="IR346" i="19"/>
  <c r="IS346" i="19"/>
  <c r="IT346" i="19"/>
  <c r="IU346" i="19"/>
  <c r="IV346" i="19"/>
  <c r="IW346" i="19"/>
  <c r="IX346" i="19"/>
  <c r="IY346" i="19"/>
  <c r="IZ346" i="19"/>
  <c r="JA346" i="19"/>
  <c r="JB346" i="19"/>
  <c r="JC346" i="19"/>
  <c r="JD346" i="19"/>
  <c r="JE346" i="19"/>
  <c r="JF346" i="19"/>
  <c r="JG346" i="19"/>
  <c r="JH346" i="19"/>
  <c r="JI346" i="19"/>
  <c r="JJ346" i="19"/>
  <c r="JK346" i="19"/>
  <c r="JL346" i="19"/>
  <c r="JM346" i="19"/>
  <c r="JN346" i="19"/>
  <c r="JO346" i="19"/>
  <c r="JP346" i="19"/>
  <c r="JQ346" i="19"/>
  <c r="JR346" i="19"/>
  <c r="JS346" i="19"/>
  <c r="JT346" i="19"/>
  <c r="JU346" i="19"/>
  <c r="JV346" i="19"/>
  <c r="JW346" i="19"/>
  <c r="JX346" i="19"/>
  <c r="JY346" i="19"/>
  <c r="JZ346" i="19"/>
  <c r="KA346" i="19"/>
  <c r="KB346" i="19"/>
  <c r="KC346" i="19"/>
  <c r="KD346" i="19"/>
  <c r="KE346" i="19"/>
  <c r="KF346" i="19"/>
  <c r="KG346" i="19"/>
  <c r="KH346" i="19"/>
  <c r="KI346" i="19"/>
  <c r="KJ346" i="19"/>
  <c r="KK346" i="19"/>
  <c r="KL346" i="19"/>
  <c r="KM346" i="19"/>
  <c r="KN346" i="19"/>
  <c r="KO346" i="19"/>
  <c r="KP346" i="19"/>
  <c r="KQ346" i="19"/>
  <c r="KR346" i="19"/>
  <c r="KS346" i="19"/>
  <c r="KT346" i="19"/>
  <c r="KU346" i="19"/>
  <c r="KV346" i="19"/>
  <c r="KW346" i="19"/>
  <c r="KX346" i="19"/>
  <c r="KY346" i="19"/>
  <c r="KZ346" i="19"/>
  <c r="LA346" i="19"/>
  <c r="LB346" i="19"/>
  <c r="LC346" i="19"/>
  <c r="LD346" i="19"/>
  <c r="LE346" i="19"/>
  <c r="LF346" i="19"/>
  <c r="LG346" i="19"/>
  <c r="LH346" i="19"/>
  <c r="LI346" i="19"/>
  <c r="LJ346" i="19"/>
  <c r="LK346" i="19"/>
  <c r="LL346" i="19"/>
  <c r="LM346" i="19"/>
  <c r="LN346" i="19"/>
  <c r="LO346" i="19"/>
  <c r="LP346" i="19"/>
  <c r="LQ346" i="19"/>
  <c r="LR346" i="19"/>
  <c r="LS346" i="19"/>
  <c r="LT346" i="19"/>
  <c r="LU346" i="19"/>
  <c r="LV346" i="19"/>
  <c r="LW346" i="19"/>
  <c r="LX346" i="19"/>
  <c r="LY346" i="19"/>
  <c r="LZ346" i="19"/>
  <c r="MA346" i="19"/>
  <c r="MB346" i="19"/>
  <c r="MC346" i="19"/>
  <c r="MD346" i="19"/>
  <c r="ME346" i="19"/>
  <c r="MF346" i="19"/>
  <c r="MG346" i="19"/>
  <c r="MH346" i="19"/>
  <c r="MI346" i="19"/>
  <c r="MJ346" i="19"/>
  <c r="MK346" i="19"/>
  <c r="ML346" i="19"/>
  <c r="MM346" i="19"/>
  <c r="MN346" i="19"/>
  <c r="MO346" i="19"/>
  <c r="MP346" i="19"/>
  <c r="MQ346" i="19"/>
  <c r="MR346" i="19"/>
  <c r="MS346" i="19"/>
  <c r="MT346" i="19"/>
  <c r="MU346" i="19"/>
  <c r="MV346" i="19"/>
  <c r="MW346" i="19"/>
  <c r="MX346" i="19"/>
  <c r="MY346" i="19"/>
  <c r="MZ346" i="19"/>
  <c r="NA346" i="19"/>
  <c r="NB346" i="19"/>
  <c r="NC346" i="19"/>
  <c r="ND346" i="19"/>
  <c r="NE346" i="19"/>
  <c r="NF346" i="19"/>
  <c r="NG346" i="19"/>
  <c r="NH346" i="19"/>
  <c r="NI346" i="19"/>
  <c r="NJ346" i="19"/>
  <c r="NK346" i="19"/>
  <c r="NL346" i="19"/>
  <c r="NM346" i="19"/>
  <c r="NN346" i="19"/>
  <c r="NO346" i="19"/>
  <c r="NP346" i="19"/>
  <c r="NQ346" i="19"/>
  <c r="NR346" i="19"/>
  <c r="NS346" i="19"/>
  <c r="NT346" i="19"/>
  <c r="NU346" i="19"/>
  <c r="NV346" i="19"/>
  <c r="NW346" i="19"/>
  <c r="NX346" i="19"/>
  <c r="NY346" i="19"/>
  <c r="NZ346" i="19"/>
  <c r="OA346" i="19"/>
  <c r="OB346" i="19"/>
  <c r="OC346" i="19"/>
  <c r="OD346" i="19"/>
  <c r="OE346" i="19"/>
  <c r="OF346" i="19"/>
  <c r="OG346" i="19"/>
  <c r="OH346" i="19"/>
  <c r="OI346" i="19"/>
  <c r="OJ346" i="19"/>
  <c r="OK346" i="19"/>
  <c r="OL346" i="19"/>
  <c r="OM346" i="19"/>
  <c r="ON346" i="19"/>
  <c r="OO346" i="19"/>
  <c r="OP346" i="19"/>
  <c r="OQ346" i="19"/>
  <c r="OR346" i="19"/>
  <c r="OS346" i="19"/>
  <c r="OT346" i="19"/>
  <c r="OU346" i="19"/>
  <c r="OV346" i="19"/>
  <c r="OW346" i="19"/>
  <c r="OX346" i="19"/>
  <c r="OY346" i="19"/>
  <c r="OZ346" i="19"/>
  <c r="PA346" i="19"/>
  <c r="PB346" i="19"/>
  <c r="PC346" i="19"/>
  <c r="PD346" i="19"/>
  <c r="PE346" i="19"/>
  <c r="PF346" i="19"/>
  <c r="PG346" i="19"/>
  <c r="PH346" i="19"/>
  <c r="PI346" i="19"/>
  <c r="PJ346" i="19"/>
  <c r="PK346" i="19"/>
  <c r="PL346" i="19"/>
  <c r="PM346" i="19"/>
  <c r="PN346" i="19"/>
  <c r="PO346" i="19"/>
  <c r="PP346" i="19"/>
  <c r="PQ346" i="19"/>
  <c r="PR346" i="19"/>
  <c r="PS346" i="19"/>
  <c r="PT346" i="19"/>
  <c r="PU346" i="19"/>
  <c r="PV346" i="19"/>
  <c r="PW346" i="19"/>
  <c r="PX346" i="19"/>
  <c r="PY346" i="19"/>
  <c r="PZ346" i="19"/>
  <c r="QA346" i="19"/>
  <c r="QB346" i="19"/>
  <c r="QC346" i="19"/>
  <c r="QD346" i="19"/>
  <c r="QE346" i="19"/>
  <c r="QF346" i="19"/>
  <c r="QG346" i="19"/>
  <c r="QH346" i="19"/>
  <c r="QI346" i="19"/>
  <c r="QJ346" i="19"/>
  <c r="QK346" i="19"/>
  <c r="QL346" i="19"/>
  <c r="QM346" i="19"/>
  <c r="QN346" i="19"/>
  <c r="QO346" i="19"/>
  <c r="QP346" i="19"/>
  <c r="QQ346" i="19"/>
  <c r="QR346" i="19"/>
  <c r="QS346" i="19"/>
  <c r="QT346" i="19"/>
  <c r="QU346" i="19"/>
  <c r="QV346" i="19"/>
  <c r="QW346" i="19"/>
  <c r="QX346" i="19"/>
  <c r="QY346" i="19"/>
  <c r="QZ346" i="19"/>
  <c r="RA346" i="19"/>
  <c r="RB346" i="19"/>
  <c r="RC346" i="19"/>
  <c r="RD346" i="19"/>
  <c r="RE346" i="19"/>
  <c r="RF346" i="19"/>
  <c r="RG346" i="19"/>
  <c r="RH346" i="19"/>
  <c r="RI346" i="19"/>
  <c r="RJ346" i="19"/>
  <c r="RK346" i="19"/>
  <c r="RL346" i="19"/>
  <c r="RM346" i="19"/>
  <c r="RN346" i="19"/>
  <c r="RO346" i="19"/>
  <c r="RP346" i="19"/>
  <c r="RQ346" i="19"/>
  <c r="RR346" i="19"/>
  <c r="RS346" i="19"/>
  <c r="RT346" i="19"/>
  <c r="RU346" i="19"/>
  <c r="RV346" i="19"/>
  <c r="RW346" i="19"/>
  <c r="RX346" i="19"/>
  <c r="RY346" i="19"/>
  <c r="RZ346" i="19"/>
  <c r="SA346" i="19"/>
  <c r="SB346" i="19"/>
  <c r="SC346" i="19"/>
  <c r="SD346" i="19"/>
  <c r="SE346" i="19"/>
  <c r="SF346" i="19"/>
  <c r="SG346" i="19"/>
  <c r="SH346" i="19"/>
  <c r="SI346" i="19"/>
  <c r="SJ346" i="19"/>
  <c r="SK346" i="19"/>
  <c r="SL346" i="19"/>
  <c r="SM346" i="19"/>
  <c r="SN346" i="19"/>
  <c r="SO346" i="19"/>
  <c r="SP346" i="19"/>
  <c r="SQ346" i="19"/>
  <c r="SR346" i="19"/>
  <c r="SS346" i="19"/>
  <c r="ST346" i="19"/>
  <c r="SU346" i="19"/>
  <c r="SV346" i="19"/>
  <c r="SW346" i="19"/>
  <c r="SX346" i="19"/>
  <c r="SY346" i="19"/>
  <c r="SZ346" i="19"/>
  <c r="TA346" i="19"/>
  <c r="TB346" i="19"/>
  <c r="TC346" i="19"/>
  <c r="TD346" i="19"/>
  <c r="TE346" i="19"/>
  <c r="TF346" i="19"/>
  <c r="TG346" i="19"/>
  <c r="TH346" i="19"/>
  <c r="TI346" i="19"/>
  <c r="TJ346" i="19"/>
  <c r="TK346" i="19"/>
  <c r="TL346" i="19"/>
  <c r="TM346" i="19"/>
  <c r="TN346" i="19"/>
  <c r="TO346" i="19"/>
  <c r="TP346" i="19"/>
  <c r="TQ346" i="19"/>
  <c r="TR346" i="19"/>
  <c r="TS346" i="19"/>
  <c r="TT346" i="19"/>
  <c r="TU346" i="19"/>
  <c r="TV346" i="19"/>
  <c r="TW346" i="19"/>
  <c r="TX346" i="19"/>
  <c r="TY346" i="19"/>
  <c r="TZ346" i="19"/>
  <c r="UA346" i="19"/>
  <c r="UB346" i="19"/>
  <c r="UC346" i="19"/>
  <c r="UD346" i="19"/>
  <c r="UE346" i="19"/>
  <c r="UF346" i="19"/>
  <c r="UG346" i="19"/>
  <c r="UH346" i="19"/>
  <c r="UI346" i="19"/>
  <c r="UJ346" i="19"/>
  <c r="UK346" i="19"/>
  <c r="UL346" i="19"/>
  <c r="UM346" i="19"/>
  <c r="UN346" i="19"/>
  <c r="UO346" i="19"/>
  <c r="UP346" i="19"/>
  <c r="UQ346" i="19"/>
  <c r="UR346" i="19"/>
  <c r="US346" i="19"/>
  <c r="UT346" i="19"/>
  <c r="UU346" i="19"/>
  <c r="UV346" i="19"/>
  <c r="UW346" i="19"/>
  <c r="UX346" i="19"/>
  <c r="UY346" i="19"/>
  <c r="UZ346" i="19"/>
  <c r="VA346" i="19"/>
  <c r="VB346" i="19"/>
  <c r="VC346" i="19"/>
  <c r="VD346" i="19"/>
  <c r="VE346" i="19"/>
  <c r="VF346" i="19"/>
  <c r="VG346" i="19"/>
  <c r="VH346" i="19"/>
  <c r="VI346" i="19"/>
  <c r="VJ346" i="19"/>
  <c r="VK346" i="19"/>
  <c r="VL346" i="19"/>
  <c r="VM346" i="19"/>
  <c r="VN346" i="19"/>
  <c r="VO346" i="19"/>
  <c r="VP346" i="19"/>
  <c r="VQ346" i="19"/>
  <c r="VR346" i="19"/>
  <c r="VS346" i="19"/>
  <c r="VT346" i="19"/>
  <c r="VU346" i="19"/>
  <c r="VV346" i="19"/>
  <c r="VW346" i="19"/>
  <c r="VX346" i="19"/>
  <c r="VY346" i="19"/>
  <c r="VZ346" i="19"/>
  <c r="WA346" i="19"/>
  <c r="WB346" i="19"/>
  <c r="WC346" i="19"/>
  <c r="WD346" i="19"/>
  <c r="WE346" i="19"/>
  <c r="WF346" i="19"/>
  <c r="WG346" i="19"/>
  <c r="WH346" i="19"/>
  <c r="WI346" i="19"/>
  <c r="WJ346" i="19"/>
  <c r="WK346" i="19"/>
  <c r="WL346" i="19"/>
  <c r="WM346" i="19"/>
  <c r="WN346" i="19"/>
  <c r="WO346" i="19"/>
  <c r="WP346" i="19"/>
  <c r="WQ346" i="19"/>
  <c r="WR346" i="19"/>
  <c r="WS346" i="19"/>
  <c r="WT346" i="19"/>
  <c r="WU346" i="19"/>
  <c r="WV346" i="19"/>
  <c r="WW346" i="19"/>
  <c r="WX346" i="19"/>
  <c r="WY346" i="19"/>
  <c r="WZ346" i="19"/>
  <c r="XA346" i="19"/>
  <c r="XB346" i="19"/>
  <c r="XC346" i="19"/>
  <c r="XD346" i="19"/>
  <c r="XE346" i="19"/>
  <c r="XF346" i="19"/>
  <c r="XG346" i="19"/>
  <c r="XH346" i="19"/>
  <c r="XI346" i="19"/>
  <c r="XJ346" i="19"/>
  <c r="XK346" i="19"/>
  <c r="XL346" i="19"/>
  <c r="XM346" i="19"/>
  <c r="XN346" i="19"/>
  <c r="XO346" i="19"/>
  <c r="XP346" i="19"/>
  <c r="XQ346" i="19"/>
  <c r="XR346" i="19"/>
  <c r="XS346" i="19"/>
  <c r="XT346" i="19"/>
  <c r="XU346" i="19"/>
  <c r="XV346" i="19"/>
  <c r="XW346" i="19"/>
  <c r="XX346" i="19"/>
  <c r="XY346" i="19"/>
  <c r="XZ346" i="19"/>
  <c r="YA346" i="19"/>
  <c r="YB346" i="19"/>
  <c r="YC346" i="19"/>
  <c r="YD346" i="19"/>
  <c r="YE346" i="19"/>
  <c r="YF346" i="19"/>
  <c r="YG346" i="19"/>
  <c r="YH346" i="19"/>
  <c r="YI346" i="19"/>
  <c r="YJ346" i="19"/>
  <c r="YK346" i="19"/>
  <c r="YL346" i="19"/>
  <c r="YM346" i="19"/>
  <c r="YN346" i="19"/>
  <c r="YO346" i="19"/>
  <c r="YP346" i="19"/>
  <c r="YQ346" i="19"/>
  <c r="YR346" i="19"/>
  <c r="YS346" i="19"/>
  <c r="YT346" i="19"/>
  <c r="YU346" i="19"/>
  <c r="YV346" i="19"/>
  <c r="YW346" i="19"/>
  <c r="YX346" i="19"/>
  <c r="YY346" i="19"/>
  <c r="YZ346" i="19"/>
  <c r="ZA346" i="19"/>
  <c r="ZB346" i="19"/>
  <c r="ZC346" i="19"/>
  <c r="ZD346" i="19"/>
  <c r="ZE346" i="19"/>
  <c r="ZF346" i="19"/>
  <c r="ZG346" i="19"/>
  <c r="ZH346" i="19"/>
  <c r="ZI346" i="19"/>
  <c r="ZJ346" i="19"/>
  <c r="ZK346" i="19"/>
  <c r="ZL346" i="19"/>
  <c r="ZM346" i="19"/>
  <c r="ZN346" i="19"/>
  <c r="ZO346" i="19"/>
  <c r="ZP346" i="19"/>
  <c r="ZQ346" i="19"/>
  <c r="ZR346" i="19"/>
  <c r="ZS346" i="19"/>
  <c r="ZT346" i="19"/>
  <c r="ZU346" i="19"/>
  <c r="ZV346" i="19"/>
  <c r="ZW346" i="19"/>
  <c r="ZX346" i="19"/>
  <c r="ZY346" i="19"/>
  <c r="ZZ346" i="19"/>
  <c r="AAA346" i="19"/>
  <c r="AAB346" i="19"/>
  <c r="AAC346" i="19"/>
  <c r="AAD346" i="19"/>
  <c r="AAE346" i="19"/>
  <c r="AAF346" i="19"/>
  <c r="AAG346" i="19"/>
  <c r="AAH346" i="19"/>
  <c r="AAI346" i="19"/>
  <c r="AAJ346" i="19"/>
  <c r="AAK346" i="19"/>
  <c r="AAL346" i="19"/>
  <c r="AAM346" i="19"/>
  <c r="AAN346" i="19"/>
  <c r="AAO346" i="19"/>
  <c r="AAP346" i="19"/>
  <c r="AAQ346" i="19"/>
  <c r="AAR346" i="19"/>
  <c r="AAS346" i="19"/>
  <c r="AAT346" i="19"/>
  <c r="AAU346" i="19"/>
  <c r="AAV346" i="19"/>
  <c r="AAW346" i="19"/>
  <c r="AAX346" i="19"/>
  <c r="AAY346" i="19"/>
  <c r="AAZ346" i="19"/>
  <c r="ABA346" i="19"/>
  <c r="ABB346" i="19"/>
  <c r="ABC346" i="19"/>
  <c r="ABD346" i="19"/>
  <c r="ABE346" i="19"/>
  <c r="ABF346" i="19"/>
  <c r="ABG346" i="19"/>
  <c r="ABH346" i="19"/>
  <c r="ABI346" i="19"/>
  <c r="ABJ346" i="19"/>
  <c r="ABK346" i="19"/>
  <c r="ABL346" i="19"/>
  <c r="ABM346" i="19"/>
  <c r="ABN346" i="19"/>
  <c r="ABO346" i="19"/>
  <c r="ABP346" i="19"/>
  <c r="ABQ346" i="19"/>
  <c r="ABR346" i="19"/>
  <c r="ABS346" i="19"/>
  <c r="ABT346" i="19"/>
  <c r="ABU346" i="19"/>
  <c r="ABV346" i="19"/>
  <c r="ABW346" i="19"/>
  <c r="ABX346" i="19"/>
  <c r="ABY346" i="19"/>
  <c r="AC347" i="19"/>
  <c r="AC365" i="19" s="1"/>
  <c r="BP347" i="19"/>
  <c r="BQ365" i="19" s="1"/>
  <c r="BR347" i="19"/>
  <c r="BS365" i="19" s="1"/>
  <c r="BW347" i="19"/>
  <c r="CC347" i="19"/>
  <c r="CC365" i="19" s="1"/>
  <c r="CE347" i="19"/>
  <c r="CE365" i="19" s="1"/>
  <c r="CM347" i="19"/>
  <c r="CN347" i="19"/>
  <c r="CO347" i="19"/>
  <c r="CP347" i="19"/>
  <c r="CQ347" i="19"/>
  <c r="CR347" i="19"/>
  <c r="CS347" i="19"/>
  <c r="CT347" i="19"/>
  <c r="CU347" i="19"/>
  <c r="CV347" i="19"/>
  <c r="CW347" i="19"/>
  <c r="CX347" i="19"/>
  <c r="CY347" i="19"/>
  <c r="CZ347" i="19"/>
  <c r="DA347" i="19"/>
  <c r="DB347" i="19"/>
  <c r="DC347" i="19"/>
  <c r="DD347" i="19"/>
  <c r="DE347" i="19"/>
  <c r="DF347" i="19"/>
  <c r="DG347" i="19"/>
  <c r="DH347" i="19"/>
  <c r="DI347" i="19"/>
  <c r="DJ347" i="19"/>
  <c r="DK347" i="19"/>
  <c r="DL347" i="19"/>
  <c r="DM347" i="19"/>
  <c r="DN347" i="19"/>
  <c r="DO347" i="19"/>
  <c r="DP347" i="19"/>
  <c r="DQ347" i="19"/>
  <c r="DR347" i="19"/>
  <c r="DS347" i="19"/>
  <c r="DT347" i="19"/>
  <c r="DU347" i="19"/>
  <c r="DV347" i="19"/>
  <c r="DW347" i="19"/>
  <c r="DX347" i="19"/>
  <c r="DY347" i="19"/>
  <c r="DZ347" i="19"/>
  <c r="EA347" i="19"/>
  <c r="EB347" i="19"/>
  <c r="EC347" i="19"/>
  <c r="ED347" i="19"/>
  <c r="EE347" i="19"/>
  <c r="EF347" i="19"/>
  <c r="EG347" i="19"/>
  <c r="EH347" i="19"/>
  <c r="EI347" i="19"/>
  <c r="EJ347" i="19"/>
  <c r="EK347" i="19"/>
  <c r="EL347" i="19"/>
  <c r="EM347" i="19"/>
  <c r="EN347" i="19"/>
  <c r="EO347" i="19"/>
  <c r="EP347" i="19"/>
  <c r="EQ347" i="19"/>
  <c r="ER347" i="19"/>
  <c r="ES347" i="19"/>
  <c r="ET347" i="19"/>
  <c r="EU347" i="19"/>
  <c r="EV347" i="19"/>
  <c r="EW347" i="19"/>
  <c r="EX347" i="19"/>
  <c r="EY347" i="19"/>
  <c r="EZ347" i="19"/>
  <c r="FA347" i="19"/>
  <c r="FB347" i="19"/>
  <c r="FC347" i="19"/>
  <c r="FD347" i="19"/>
  <c r="FE347" i="19"/>
  <c r="FF347" i="19"/>
  <c r="FG347" i="19"/>
  <c r="FH347" i="19"/>
  <c r="FI347" i="19"/>
  <c r="FJ347" i="19"/>
  <c r="FK347" i="19"/>
  <c r="FL347" i="19"/>
  <c r="FM347" i="19"/>
  <c r="FN347" i="19"/>
  <c r="FO347" i="19"/>
  <c r="FP347" i="19"/>
  <c r="FQ347" i="19"/>
  <c r="FR347" i="19"/>
  <c r="FS347" i="19"/>
  <c r="FT347" i="19"/>
  <c r="FU347" i="19"/>
  <c r="FV347" i="19"/>
  <c r="FW347" i="19"/>
  <c r="FX347" i="19"/>
  <c r="FY347" i="19"/>
  <c r="FZ347" i="19"/>
  <c r="GA347" i="19"/>
  <c r="GB347" i="19"/>
  <c r="GC347" i="19"/>
  <c r="GD347" i="19"/>
  <c r="GE347" i="19"/>
  <c r="GF347" i="19"/>
  <c r="GG347" i="19"/>
  <c r="GH347" i="19"/>
  <c r="GI347" i="19"/>
  <c r="GJ347" i="19"/>
  <c r="GK347" i="19"/>
  <c r="GL347" i="19"/>
  <c r="GM347" i="19"/>
  <c r="GN347" i="19"/>
  <c r="GS347" i="19"/>
  <c r="GT347" i="19"/>
  <c r="GU347" i="19"/>
  <c r="GV347" i="19"/>
  <c r="GW347" i="19"/>
  <c r="GX347" i="19"/>
  <c r="GY347" i="19"/>
  <c r="GZ347" i="19"/>
  <c r="HA347" i="19"/>
  <c r="HB347" i="19"/>
  <c r="HC347" i="19"/>
  <c r="HD347" i="19"/>
  <c r="HE347" i="19"/>
  <c r="HF347" i="19"/>
  <c r="HG347" i="19"/>
  <c r="HH347" i="19"/>
  <c r="HI347" i="19"/>
  <c r="HJ347" i="19"/>
  <c r="HK347" i="19"/>
  <c r="HL347" i="19"/>
  <c r="HM347" i="19"/>
  <c r="HN347" i="19"/>
  <c r="HO347" i="19"/>
  <c r="HP347" i="19"/>
  <c r="HQ347" i="19"/>
  <c r="HR347" i="19"/>
  <c r="HS347" i="19"/>
  <c r="HT347" i="19"/>
  <c r="HU347" i="19"/>
  <c r="HV347" i="19"/>
  <c r="HW347" i="19"/>
  <c r="HX347" i="19"/>
  <c r="HY347" i="19"/>
  <c r="HZ347" i="19"/>
  <c r="IA347" i="19"/>
  <c r="IB347" i="19"/>
  <c r="IC347" i="19"/>
  <c r="ID347" i="19"/>
  <c r="IE347" i="19"/>
  <c r="IF347" i="19"/>
  <c r="IG347" i="19"/>
  <c r="IH347" i="19"/>
  <c r="II347" i="19"/>
  <c r="IJ347" i="19"/>
  <c r="IK347" i="19"/>
  <c r="IL347" i="19"/>
  <c r="IM347" i="19"/>
  <c r="IN347" i="19"/>
  <c r="IO347" i="19"/>
  <c r="IP347" i="19"/>
  <c r="IQ347" i="19"/>
  <c r="IR347" i="19"/>
  <c r="IS347" i="19"/>
  <c r="IT347" i="19"/>
  <c r="IU347" i="19"/>
  <c r="IV347" i="19"/>
  <c r="IW347" i="19"/>
  <c r="IX347" i="19"/>
  <c r="IY347" i="19"/>
  <c r="IZ347" i="19"/>
  <c r="JA347" i="19"/>
  <c r="JB347" i="19"/>
  <c r="JC347" i="19"/>
  <c r="JD347" i="19"/>
  <c r="JE347" i="19"/>
  <c r="JF347" i="19"/>
  <c r="JG347" i="19"/>
  <c r="JH347" i="19"/>
  <c r="JI347" i="19"/>
  <c r="JJ347" i="19"/>
  <c r="JK347" i="19"/>
  <c r="JL347" i="19"/>
  <c r="JM347" i="19"/>
  <c r="JN347" i="19"/>
  <c r="JO347" i="19"/>
  <c r="JP347" i="19"/>
  <c r="JQ347" i="19"/>
  <c r="JR347" i="19"/>
  <c r="JS347" i="19"/>
  <c r="JT347" i="19"/>
  <c r="JU347" i="19"/>
  <c r="JV347" i="19"/>
  <c r="JW347" i="19"/>
  <c r="JX347" i="19"/>
  <c r="JY347" i="19"/>
  <c r="JZ347" i="19"/>
  <c r="KA347" i="19"/>
  <c r="KB347" i="19"/>
  <c r="KC347" i="19"/>
  <c r="KD347" i="19"/>
  <c r="KE347" i="19"/>
  <c r="KF347" i="19"/>
  <c r="KG347" i="19"/>
  <c r="KH347" i="19"/>
  <c r="KI347" i="19"/>
  <c r="KJ347" i="19"/>
  <c r="KK347" i="19"/>
  <c r="KL347" i="19"/>
  <c r="KM347" i="19"/>
  <c r="KN347" i="19"/>
  <c r="KO347" i="19"/>
  <c r="KP347" i="19"/>
  <c r="KQ347" i="19"/>
  <c r="KR347" i="19"/>
  <c r="KS347" i="19"/>
  <c r="KT347" i="19"/>
  <c r="KU347" i="19"/>
  <c r="KV347" i="19"/>
  <c r="KW347" i="19"/>
  <c r="KX347" i="19"/>
  <c r="KY347" i="19"/>
  <c r="KZ347" i="19"/>
  <c r="LA347" i="19"/>
  <c r="LB347" i="19"/>
  <c r="LC347" i="19"/>
  <c r="LD347" i="19"/>
  <c r="LE347" i="19"/>
  <c r="LF347" i="19"/>
  <c r="LG347" i="19"/>
  <c r="LH347" i="19"/>
  <c r="LI347" i="19"/>
  <c r="LJ347" i="19"/>
  <c r="LK347" i="19"/>
  <c r="LL347" i="19"/>
  <c r="LM347" i="19"/>
  <c r="LN347" i="19"/>
  <c r="LO347" i="19"/>
  <c r="LP347" i="19"/>
  <c r="LQ347" i="19"/>
  <c r="LR347" i="19"/>
  <c r="LS347" i="19"/>
  <c r="LT347" i="19"/>
  <c r="LU347" i="19"/>
  <c r="LV347" i="19"/>
  <c r="LW347" i="19"/>
  <c r="LX347" i="19"/>
  <c r="LY347" i="19"/>
  <c r="LZ347" i="19"/>
  <c r="MA347" i="19"/>
  <c r="MB347" i="19"/>
  <c r="MC347" i="19"/>
  <c r="MD347" i="19"/>
  <c r="ME347" i="19"/>
  <c r="MF347" i="19"/>
  <c r="MG347" i="19"/>
  <c r="MH347" i="19"/>
  <c r="MI347" i="19"/>
  <c r="MJ347" i="19"/>
  <c r="MK347" i="19"/>
  <c r="ML347" i="19"/>
  <c r="MM347" i="19"/>
  <c r="MN347" i="19"/>
  <c r="MO347" i="19"/>
  <c r="MP347" i="19"/>
  <c r="MQ347" i="19"/>
  <c r="MR347" i="19"/>
  <c r="MS347" i="19"/>
  <c r="MT347" i="19"/>
  <c r="MU347" i="19"/>
  <c r="MV347" i="19"/>
  <c r="MW347" i="19"/>
  <c r="MX347" i="19"/>
  <c r="MY347" i="19"/>
  <c r="MZ347" i="19"/>
  <c r="NA347" i="19"/>
  <c r="NB347" i="19"/>
  <c r="NC347" i="19"/>
  <c r="ND347" i="19"/>
  <c r="NE347" i="19"/>
  <c r="NF347" i="19"/>
  <c r="NG347" i="19"/>
  <c r="NH347" i="19"/>
  <c r="NI347" i="19"/>
  <c r="NJ347" i="19"/>
  <c r="NK347" i="19"/>
  <c r="NL347" i="19"/>
  <c r="NM347" i="19"/>
  <c r="NN347" i="19"/>
  <c r="NO347" i="19"/>
  <c r="NP347" i="19"/>
  <c r="NQ347" i="19"/>
  <c r="NR347" i="19"/>
  <c r="NS347" i="19"/>
  <c r="NT347" i="19"/>
  <c r="NU347" i="19"/>
  <c r="NV347" i="19"/>
  <c r="NW347" i="19"/>
  <c r="NX347" i="19"/>
  <c r="NY347" i="19"/>
  <c r="NZ347" i="19"/>
  <c r="OA347" i="19"/>
  <c r="OB347" i="19"/>
  <c r="OC347" i="19"/>
  <c r="OD347" i="19"/>
  <c r="OE347" i="19"/>
  <c r="OF347" i="19"/>
  <c r="OG347" i="19"/>
  <c r="OH347" i="19"/>
  <c r="OI347" i="19"/>
  <c r="OJ347" i="19"/>
  <c r="OK347" i="19"/>
  <c r="OL347" i="19"/>
  <c r="OM347" i="19"/>
  <c r="ON347" i="19"/>
  <c r="OO347" i="19"/>
  <c r="OP347" i="19"/>
  <c r="OQ347" i="19"/>
  <c r="OR347" i="19"/>
  <c r="OS347" i="19"/>
  <c r="OT347" i="19"/>
  <c r="OU347" i="19"/>
  <c r="OV347" i="19"/>
  <c r="OW347" i="19"/>
  <c r="OX347" i="19"/>
  <c r="OY347" i="19"/>
  <c r="OZ347" i="19"/>
  <c r="PA347" i="19"/>
  <c r="PB347" i="19"/>
  <c r="PC347" i="19"/>
  <c r="PD347" i="19"/>
  <c r="PE347" i="19"/>
  <c r="PF347" i="19"/>
  <c r="PG347" i="19"/>
  <c r="PH347" i="19"/>
  <c r="PI347" i="19"/>
  <c r="PJ347" i="19"/>
  <c r="PK347" i="19"/>
  <c r="PL347" i="19"/>
  <c r="PM347" i="19"/>
  <c r="PN347" i="19"/>
  <c r="PO347" i="19"/>
  <c r="PP347" i="19"/>
  <c r="PQ347" i="19"/>
  <c r="PR347" i="19"/>
  <c r="PS347" i="19"/>
  <c r="PT347" i="19"/>
  <c r="PU347" i="19"/>
  <c r="PV347" i="19"/>
  <c r="PW347" i="19"/>
  <c r="PX347" i="19"/>
  <c r="PY347" i="19"/>
  <c r="PZ347" i="19"/>
  <c r="QA347" i="19"/>
  <c r="QB347" i="19"/>
  <c r="QC347" i="19"/>
  <c r="QD347" i="19"/>
  <c r="QE347" i="19"/>
  <c r="QF347" i="19"/>
  <c r="QG347" i="19"/>
  <c r="QH347" i="19"/>
  <c r="QI347" i="19"/>
  <c r="QJ347" i="19"/>
  <c r="QK347" i="19"/>
  <c r="QL347" i="19"/>
  <c r="QM347" i="19"/>
  <c r="QN347" i="19"/>
  <c r="QO347" i="19"/>
  <c r="QP347" i="19"/>
  <c r="QQ347" i="19"/>
  <c r="QR347" i="19"/>
  <c r="QS347" i="19"/>
  <c r="QT347" i="19"/>
  <c r="QU347" i="19"/>
  <c r="QV347" i="19"/>
  <c r="QW347" i="19"/>
  <c r="QX347" i="19"/>
  <c r="QY347" i="19"/>
  <c r="QZ347" i="19"/>
  <c r="RA347" i="19"/>
  <c r="RB347" i="19"/>
  <c r="RC347" i="19"/>
  <c r="RD347" i="19"/>
  <c r="RE347" i="19"/>
  <c r="RF347" i="19"/>
  <c r="RG347" i="19"/>
  <c r="RH347" i="19"/>
  <c r="RI347" i="19"/>
  <c r="RJ347" i="19"/>
  <c r="RK347" i="19"/>
  <c r="RL347" i="19"/>
  <c r="RM347" i="19"/>
  <c r="RN347" i="19"/>
  <c r="RO347" i="19"/>
  <c r="RP347" i="19"/>
  <c r="RQ347" i="19"/>
  <c r="RR347" i="19"/>
  <c r="RS347" i="19"/>
  <c r="RT347" i="19"/>
  <c r="RU347" i="19"/>
  <c r="RV347" i="19"/>
  <c r="RW347" i="19"/>
  <c r="RX347" i="19"/>
  <c r="RY347" i="19"/>
  <c r="RZ347" i="19"/>
  <c r="SA347" i="19"/>
  <c r="SB347" i="19"/>
  <c r="SC347" i="19"/>
  <c r="SD347" i="19"/>
  <c r="SE347" i="19"/>
  <c r="SF347" i="19"/>
  <c r="SG347" i="19"/>
  <c r="SH347" i="19"/>
  <c r="SI347" i="19"/>
  <c r="SJ347" i="19"/>
  <c r="SK347" i="19"/>
  <c r="SL347" i="19"/>
  <c r="SM347" i="19"/>
  <c r="SN347" i="19"/>
  <c r="SO347" i="19"/>
  <c r="SP347" i="19"/>
  <c r="SQ347" i="19"/>
  <c r="SR347" i="19"/>
  <c r="SS347" i="19"/>
  <c r="ST347" i="19"/>
  <c r="SU347" i="19"/>
  <c r="SV347" i="19"/>
  <c r="SW347" i="19"/>
  <c r="SX347" i="19"/>
  <c r="SY347" i="19"/>
  <c r="SZ347" i="19"/>
  <c r="TA347" i="19"/>
  <c r="TB347" i="19"/>
  <c r="TC347" i="19"/>
  <c r="TD347" i="19"/>
  <c r="TE347" i="19"/>
  <c r="TF347" i="19"/>
  <c r="TG347" i="19"/>
  <c r="TH347" i="19"/>
  <c r="TI347" i="19"/>
  <c r="TJ347" i="19"/>
  <c r="TK347" i="19"/>
  <c r="TL347" i="19"/>
  <c r="TM347" i="19"/>
  <c r="TN347" i="19"/>
  <c r="TO347" i="19"/>
  <c r="TP347" i="19"/>
  <c r="TQ347" i="19"/>
  <c r="TR347" i="19"/>
  <c r="TS347" i="19"/>
  <c r="TT347" i="19"/>
  <c r="TU347" i="19"/>
  <c r="TV347" i="19"/>
  <c r="TW347" i="19"/>
  <c r="TX347" i="19"/>
  <c r="TY347" i="19"/>
  <c r="TZ347" i="19"/>
  <c r="UA347" i="19"/>
  <c r="UB347" i="19"/>
  <c r="UC347" i="19"/>
  <c r="UD347" i="19"/>
  <c r="UE347" i="19"/>
  <c r="UF347" i="19"/>
  <c r="UG347" i="19"/>
  <c r="UH347" i="19"/>
  <c r="UI347" i="19"/>
  <c r="UJ347" i="19"/>
  <c r="UK347" i="19"/>
  <c r="UL347" i="19"/>
  <c r="UM347" i="19"/>
  <c r="UN347" i="19"/>
  <c r="UO347" i="19"/>
  <c r="UP347" i="19"/>
  <c r="UQ347" i="19"/>
  <c r="UR347" i="19"/>
  <c r="US347" i="19"/>
  <c r="UT347" i="19"/>
  <c r="UU347" i="19"/>
  <c r="UV347" i="19"/>
  <c r="UW347" i="19"/>
  <c r="UX347" i="19"/>
  <c r="UY347" i="19"/>
  <c r="UZ347" i="19"/>
  <c r="VA347" i="19"/>
  <c r="VB347" i="19"/>
  <c r="VC347" i="19"/>
  <c r="VD347" i="19"/>
  <c r="VE347" i="19"/>
  <c r="VF347" i="19"/>
  <c r="VG347" i="19"/>
  <c r="VH347" i="19"/>
  <c r="VI347" i="19"/>
  <c r="VJ347" i="19"/>
  <c r="VK347" i="19"/>
  <c r="VL347" i="19"/>
  <c r="VM347" i="19"/>
  <c r="VN347" i="19"/>
  <c r="VO347" i="19"/>
  <c r="VP347" i="19"/>
  <c r="VQ347" i="19"/>
  <c r="VR347" i="19"/>
  <c r="VS347" i="19"/>
  <c r="VT347" i="19"/>
  <c r="VU347" i="19"/>
  <c r="VV347" i="19"/>
  <c r="VW347" i="19"/>
  <c r="VX347" i="19"/>
  <c r="VY347" i="19"/>
  <c r="VZ347" i="19"/>
  <c r="WA347" i="19"/>
  <c r="WB347" i="19"/>
  <c r="WC347" i="19"/>
  <c r="WD347" i="19"/>
  <c r="WE347" i="19"/>
  <c r="WF347" i="19"/>
  <c r="WG347" i="19"/>
  <c r="WH347" i="19"/>
  <c r="WI347" i="19"/>
  <c r="WJ347" i="19"/>
  <c r="WK347" i="19"/>
  <c r="WL347" i="19"/>
  <c r="WM347" i="19"/>
  <c r="WN347" i="19"/>
  <c r="WO347" i="19"/>
  <c r="WP347" i="19"/>
  <c r="WQ347" i="19"/>
  <c r="WR347" i="19"/>
  <c r="WS347" i="19"/>
  <c r="WT347" i="19"/>
  <c r="WU347" i="19"/>
  <c r="WV347" i="19"/>
  <c r="WW347" i="19"/>
  <c r="WX347" i="19"/>
  <c r="WY347" i="19"/>
  <c r="WZ347" i="19"/>
  <c r="XA347" i="19"/>
  <c r="XB347" i="19"/>
  <c r="XC347" i="19"/>
  <c r="XD347" i="19"/>
  <c r="XE347" i="19"/>
  <c r="XF347" i="19"/>
  <c r="XG347" i="19"/>
  <c r="XH347" i="19"/>
  <c r="XI347" i="19"/>
  <c r="XJ347" i="19"/>
  <c r="XK347" i="19"/>
  <c r="XL347" i="19"/>
  <c r="XM347" i="19"/>
  <c r="XN347" i="19"/>
  <c r="XO347" i="19"/>
  <c r="XP347" i="19"/>
  <c r="XQ347" i="19"/>
  <c r="XR347" i="19"/>
  <c r="XS347" i="19"/>
  <c r="XT347" i="19"/>
  <c r="XU347" i="19"/>
  <c r="XV347" i="19"/>
  <c r="XW347" i="19"/>
  <c r="XX347" i="19"/>
  <c r="XY347" i="19"/>
  <c r="XZ347" i="19"/>
  <c r="YA347" i="19"/>
  <c r="YB347" i="19"/>
  <c r="YC347" i="19"/>
  <c r="YD347" i="19"/>
  <c r="YE347" i="19"/>
  <c r="YF347" i="19"/>
  <c r="YG347" i="19"/>
  <c r="YH347" i="19"/>
  <c r="YI347" i="19"/>
  <c r="YJ347" i="19"/>
  <c r="YK347" i="19"/>
  <c r="YL347" i="19"/>
  <c r="YM347" i="19"/>
  <c r="YN347" i="19"/>
  <c r="YO347" i="19"/>
  <c r="YP347" i="19"/>
  <c r="YQ347" i="19"/>
  <c r="YR347" i="19"/>
  <c r="YS347" i="19"/>
  <c r="YT347" i="19"/>
  <c r="YU347" i="19"/>
  <c r="YV347" i="19"/>
  <c r="YW347" i="19"/>
  <c r="YX347" i="19"/>
  <c r="YY347" i="19"/>
  <c r="YZ347" i="19"/>
  <c r="ZA347" i="19"/>
  <c r="ZB347" i="19"/>
  <c r="ZC347" i="19"/>
  <c r="ZD347" i="19"/>
  <c r="ZE347" i="19"/>
  <c r="ZF347" i="19"/>
  <c r="ZG347" i="19"/>
  <c r="ZH347" i="19"/>
  <c r="ZI347" i="19"/>
  <c r="ZJ347" i="19"/>
  <c r="ZK347" i="19"/>
  <c r="ZL347" i="19"/>
  <c r="ZM347" i="19"/>
  <c r="ZN347" i="19"/>
  <c r="ZO347" i="19"/>
  <c r="ZP347" i="19"/>
  <c r="ZQ347" i="19"/>
  <c r="ZR347" i="19"/>
  <c r="ZS347" i="19"/>
  <c r="ZT347" i="19"/>
  <c r="ZU347" i="19"/>
  <c r="ZV347" i="19"/>
  <c r="ZW347" i="19"/>
  <c r="ZX347" i="19"/>
  <c r="ZY347" i="19"/>
  <c r="ZZ347" i="19"/>
  <c r="AAA347" i="19"/>
  <c r="AAB347" i="19"/>
  <c r="AAC347" i="19"/>
  <c r="AAD347" i="19"/>
  <c r="AAE347" i="19"/>
  <c r="AAF347" i="19"/>
  <c r="AAG347" i="19"/>
  <c r="AAH347" i="19"/>
  <c r="AAI347" i="19"/>
  <c r="AAJ347" i="19"/>
  <c r="AAK347" i="19"/>
  <c r="AAL347" i="19"/>
  <c r="AAM347" i="19"/>
  <c r="AAN347" i="19"/>
  <c r="AAO347" i="19"/>
  <c r="AAP347" i="19"/>
  <c r="AAQ347" i="19"/>
  <c r="AAR347" i="19"/>
  <c r="AAS347" i="19"/>
  <c r="AAT347" i="19"/>
  <c r="AAU347" i="19"/>
  <c r="AAV347" i="19"/>
  <c r="AAW347" i="19"/>
  <c r="AAX347" i="19"/>
  <c r="AAY347" i="19"/>
  <c r="AAZ347" i="19"/>
  <c r="ABA347" i="19"/>
  <c r="ABB347" i="19"/>
  <c r="ABC347" i="19"/>
  <c r="ABD347" i="19"/>
  <c r="ABE347" i="19"/>
  <c r="ABF347" i="19"/>
  <c r="ABG347" i="19"/>
  <c r="ABH347" i="19"/>
  <c r="ABI347" i="19"/>
  <c r="ABJ347" i="19"/>
  <c r="ABK347" i="19"/>
  <c r="ABL347" i="19"/>
  <c r="ABM347" i="19"/>
  <c r="ABN347" i="19"/>
  <c r="ABO347" i="19"/>
  <c r="ABP347" i="19"/>
  <c r="ABQ347" i="19"/>
  <c r="ABR347" i="19"/>
  <c r="ABS347" i="19"/>
  <c r="ABT347" i="19"/>
  <c r="ABU347" i="19"/>
  <c r="ABV347" i="19"/>
  <c r="ABW347" i="19"/>
  <c r="ABX347" i="19"/>
  <c r="ABY347" i="19"/>
  <c r="BP348" i="19"/>
  <c r="BQ366" i="19" s="1"/>
  <c r="BR348" i="19"/>
  <c r="BS366" i="19" s="1"/>
  <c r="BW348" i="19"/>
  <c r="BX348" i="19"/>
  <c r="BX366" i="19" s="1"/>
  <c r="CC348" i="19"/>
  <c r="CC366" i="19" s="1"/>
  <c r="CE348" i="19"/>
  <c r="CE366" i="19" s="1"/>
  <c r="CF348" i="19"/>
  <c r="CF366" i="19" s="1"/>
  <c r="CI348" i="19"/>
  <c r="CI366" i="19" s="1"/>
  <c r="CM348" i="19"/>
  <c r="CN348" i="19"/>
  <c r="CO348" i="19"/>
  <c r="CP348" i="19"/>
  <c r="CQ348" i="19"/>
  <c r="CR348" i="19"/>
  <c r="CS348" i="19"/>
  <c r="CT348" i="19"/>
  <c r="CU348" i="19"/>
  <c r="CV348" i="19"/>
  <c r="CW348" i="19"/>
  <c r="CX348" i="19"/>
  <c r="CY348" i="19"/>
  <c r="CZ348" i="19"/>
  <c r="DA348" i="19"/>
  <c r="DB348" i="19"/>
  <c r="DC348" i="19"/>
  <c r="DD348" i="19"/>
  <c r="DE348" i="19"/>
  <c r="DF348" i="19"/>
  <c r="DG348" i="19"/>
  <c r="DH348" i="19"/>
  <c r="DI348" i="19"/>
  <c r="DJ348" i="19"/>
  <c r="DK348" i="19"/>
  <c r="DL348" i="19"/>
  <c r="DM348" i="19"/>
  <c r="DN348" i="19"/>
  <c r="DO348" i="19"/>
  <c r="DP348" i="19"/>
  <c r="DQ348" i="19"/>
  <c r="DR348" i="19"/>
  <c r="DS348" i="19"/>
  <c r="DT348" i="19"/>
  <c r="DU348" i="19"/>
  <c r="DV348" i="19"/>
  <c r="DW348" i="19"/>
  <c r="DX348" i="19"/>
  <c r="DY348" i="19"/>
  <c r="DZ348" i="19"/>
  <c r="EA348" i="19"/>
  <c r="EB348" i="19"/>
  <c r="EC348" i="19"/>
  <c r="ED348" i="19"/>
  <c r="EE348" i="19"/>
  <c r="EF348" i="19"/>
  <c r="EG348" i="19"/>
  <c r="EH348" i="19"/>
  <c r="EI348" i="19"/>
  <c r="EJ348" i="19"/>
  <c r="EK348" i="19"/>
  <c r="EL348" i="19"/>
  <c r="EM348" i="19"/>
  <c r="EN348" i="19"/>
  <c r="EO348" i="19"/>
  <c r="EP348" i="19"/>
  <c r="EQ348" i="19"/>
  <c r="ER348" i="19"/>
  <c r="ES348" i="19"/>
  <c r="ET348" i="19"/>
  <c r="EU348" i="19"/>
  <c r="EV348" i="19"/>
  <c r="EW348" i="19"/>
  <c r="EX348" i="19"/>
  <c r="EY348" i="19"/>
  <c r="EZ348" i="19"/>
  <c r="FA348" i="19"/>
  <c r="FB348" i="19"/>
  <c r="FC348" i="19"/>
  <c r="FD348" i="19"/>
  <c r="FE348" i="19"/>
  <c r="FF348" i="19"/>
  <c r="FG348" i="19"/>
  <c r="FH348" i="19"/>
  <c r="FI348" i="19"/>
  <c r="FJ348" i="19"/>
  <c r="FK348" i="19"/>
  <c r="FL348" i="19"/>
  <c r="FM348" i="19"/>
  <c r="FN348" i="19"/>
  <c r="FO348" i="19"/>
  <c r="FP348" i="19"/>
  <c r="FQ348" i="19"/>
  <c r="FR348" i="19"/>
  <c r="FS348" i="19"/>
  <c r="FT348" i="19"/>
  <c r="FU348" i="19"/>
  <c r="FV348" i="19"/>
  <c r="FW348" i="19"/>
  <c r="FX348" i="19"/>
  <c r="FY348" i="19"/>
  <c r="FZ348" i="19"/>
  <c r="GA348" i="19"/>
  <c r="GB348" i="19"/>
  <c r="GC348" i="19"/>
  <c r="GD348" i="19"/>
  <c r="GE348" i="19"/>
  <c r="GF348" i="19"/>
  <c r="GG348" i="19"/>
  <c r="GH348" i="19"/>
  <c r="GI348" i="19"/>
  <c r="GJ348" i="19"/>
  <c r="GK348" i="19"/>
  <c r="GL348" i="19"/>
  <c r="GM348" i="19"/>
  <c r="GN348" i="19"/>
  <c r="GS348" i="19"/>
  <c r="GT348" i="19"/>
  <c r="GU348" i="19"/>
  <c r="GV348" i="19"/>
  <c r="GW348" i="19"/>
  <c r="GX348" i="19"/>
  <c r="GY348" i="19"/>
  <c r="GZ348" i="19"/>
  <c r="HA348" i="19"/>
  <c r="HB348" i="19"/>
  <c r="HC348" i="19"/>
  <c r="HD348" i="19"/>
  <c r="HE348" i="19"/>
  <c r="HF348" i="19"/>
  <c r="HG348" i="19"/>
  <c r="HH348" i="19"/>
  <c r="HI348" i="19"/>
  <c r="HJ348" i="19"/>
  <c r="HK348" i="19"/>
  <c r="HL348" i="19"/>
  <c r="HM348" i="19"/>
  <c r="HN348" i="19"/>
  <c r="HO348" i="19"/>
  <c r="HP348" i="19"/>
  <c r="HQ348" i="19"/>
  <c r="HR348" i="19"/>
  <c r="HS348" i="19"/>
  <c r="HT348" i="19"/>
  <c r="HU348" i="19"/>
  <c r="HV348" i="19"/>
  <c r="HW348" i="19"/>
  <c r="HX348" i="19"/>
  <c r="HY348" i="19"/>
  <c r="HZ348" i="19"/>
  <c r="IA348" i="19"/>
  <c r="IB348" i="19"/>
  <c r="IC348" i="19"/>
  <c r="ID348" i="19"/>
  <c r="IE348" i="19"/>
  <c r="IF348" i="19"/>
  <c r="IG348" i="19"/>
  <c r="IH348" i="19"/>
  <c r="II348" i="19"/>
  <c r="IJ348" i="19"/>
  <c r="IK348" i="19"/>
  <c r="IL348" i="19"/>
  <c r="IM348" i="19"/>
  <c r="IN348" i="19"/>
  <c r="IO348" i="19"/>
  <c r="IP348" i="19"/>
  <c r="IQ348" i="19"/>
  <c r="IR348" i="19"/>
  <c r="IS348" i="19"/>
  <c r="IT348" i="19"/>
  <c r="IU348" i="19"/>
  <c r="IV348" i="19"/>
  <c r="IW348" i="19"/>
  <c r="IX348" i="19"/>
  <c r="IY348" i="19"/>
  <c r="IZ348" i="19"/>
  <c r="JA348" i="19"/>
  <c r="JB348" i="19"/>
  <c r="JC348" i="19"/>
  <c r="JD348" i="19"/>
  <c r="JE348" i="19"/>
  <c r="JF348" i="19"/>
  <c r="JG348" i="19"/>
  <c r="JH348" i="19"/>
  <c r="JI348" i="19"/>
  <c r="JJ348" i="19"/>
  <c r="JK348" i="19"/>
  <c r="JL348" i="19"/>
  <c r="JM348" i="19"/>
  <c r="JN348" i="19"/>
  <c r="JO348" i="19"/>
  <c r="JP348" i="19"/>
  <c r="JQ348" i="19"/>
  <c r="JR348" i="19"/>
  <c r="JS348" i="19"/>
  <c r="JT348" i="19"/>
  <c r="JU348" i="19"/>
  <c r="JV348" i="19"/>
  <c r="JW348" i="19"/>
  <c r="JX348" i="19"/>
  <c r="JY348" i="19"/>
  <c r="JZ348" i="19"/>
  <c r="KA348" i="19"/>
  <c r="KB348" i="19"/>
  <c r="KC348" i="19"/>
  <c r="KD348" i="19"/>
  <c r="KE348" i="19"/>
  <c r="KF348" i="19"/>
  <c r="KG348" i="19"/>
  <c r="KH348" i="19"/>
  <c r="KI348" i="19"/>
  <c r="KJ348" i="19"/>
  <c r="KK348" i="19"/>
  <c r="KL348" i="19"/>
  <c r="KM348" i="19"/>
  <c r="KN348" i="19"/>
  <c r="KO348" i="19"/>
  <c r="KP348" i="19"/>
  <c r="KQ348" i="19"/>
  <c r="KR348" i="19"/>
  <c r="KS348" i="19"/>
  <c r="KT348" i="19"/>
  <c r="KU348" i="19"/>
  <c r="KV348" i="19"/>
  <c r="KW348" i="19"/>
  <c r="KX348" i="19"/>
  <c r="KY348" i="19"/>
  <c r="KZ348" i="19"/>
  <c r="LA348" i="19"/>
  <c r="LB348" i="19"/>
  <c r="LC348" i="19"/>
  <c r="LD348" i="19"/>
  <c r="LE348" i="19"/>
  <c r="LF348" i="19"/>
  <c r="LG348" i="19"/>
  <c r="LH348" i="19"/>
  <c r="LI348" i="19"/>
  <c r="LJ348" i="19"/>
  <c r="LK348" i="19"/>
  <c r="LL348" i="19"/>
  <c r="LM348" i="19"/>
  <c r="LN348" i="19"/>
  <c r="LO348" i="19"/>
  <c r="LP348" i="19"/>
  <c r="LQ348" i="19"/>
  <c r="LR348" i="19"/>
  <c r="LS348" i="19"/>
  <c r="LT348" i="19"/>
  <c r="LU348" i="19"/>
  <c r="LV348" i="19"/>
  <c r="LW348" i="19"/>
  <c r="LX348" i="19"/>
  <c r="LY348" i="19"/>
  <c r="LZ348" i="19"/>
  <c r="MA348" i="19"/>
  <c r="MB348" i="19"/>
  <c r="MC348" i="19"/>
  <c r="MD348" i="19"/>
  <c r="ME348" i="19"/>
  <c r="MF348" i="19"/>
  <c r="MG348" i="19"/>
  <c r="MH348" i="19"/>
  <c r="MI348" i="19"/>
  <c r="MJ348" i="19"/>
  <c r="MK348" i="19"/>
  <c r="ML348" i="19"/>
  <c r="MM348" i="19"/>
  <c r="MN348" i="19"/>
  <c r="MO348" i="19"/>
  <c r="MP348" i="19"/>
  <c r="MQ348" i="19"/>
  <c r="MR348" i="19"/>
  <c r="MS348" i="19"/>
  <c r="MT348" i="19"/>
  <c r="MU348" i="19"/>
  <c r="MV348" i="19"/>
  <c r="MW348" i="19"/>
  <c r="MX348" i="19"/>
  <c r="MY348" i="19"/>
  <c r="MZ348" i="19"/>
  <c r="NA348" i="19"/>
  <c r="NB348" i="19"/>
  <c r="NC348" i="19"/>
  <c r="ND348" i="19"/>
  <c r="NE348" i="19"/>
  <c r="NF348" i="19"/>
  <c r="NG348" i="19"/>
  <c r="NH348" i="19"/>
  <c r="NI348" i="19"/>
  <c r="NJ348" i="19"/>
  <c r="NK348" i="19"/>
  <c r="NL348" i="19"/>
  <c r="NM348" i="19"/>
  <c r="NN348" i="19"/>
  <c r="NO348" i="19"/>
  <c r="NP348" i="19"/>
  <c r="NQ348" i="19"/>
  <c r="NR348" i="19"/>
  <c r="NS348" i="19"/>
  <c r="NT348" i="19"/>
  <c r="NU348" i="19"/>
  <c r="NV348" i="19"/>
  <c r="NW348" i="19"/>
  <c r="NX348" i="19"/>
  <c r="NY348" i="19"/>
  <c r="NZ348" i="19"/>
  <c r="OA348" i="19"/>
  <c r="OB348" i="19"/>
  <c r="OC348" i="19"/>
  <c r="OD348" i="19"/>
  <c r="OE348" i="19"/>
  <c r="OF348" i="19"/>
  <c r="OG348" i="19"/>
  <c r="OH348" i="19"/>
  <c r="OI348" i="19"/>
  <c r="OJ348" i="19"/>
  <c r="OK348" i="19"/>
  <c r="OL348" i="19"/>
  <c r="OM348" i="19"/>
  <c r="ON348" i="19"/>
  <c r="OO348" i="19"/>
  <c r="OP348" i="19"/>
  <c r="OQ348" i="19"/>
  <c r="OR348" i="19"/>
  <c r="OS348" i="19"/>
  <c r="OT348" i="19"/>
  <c r="OU348" i="19"/>
  <c r="OV348" i="19"/>
  <c r="OW348" i="19"/>
  <c r="OX348" i="19"/>
  <c r="OY348" i="19"/>
  <c r="OZ348" i="19"/>
  <c r="PA348" i="19"/>
  <c r="PB348" i="19"/>
  <c r="PC348" i="19"/>
  <c r="PD348" i="19"/>
  <c r="PE348" i="19"/>
  <c r="PF348" i="19"/>
  <c r="PG348" i="19"/>
  <c r="PH348" i="19"/>
  <c r="PI348" i="19"/>
  <c r="PJ348" i="19"/>
  <c r="PK348" i="19"/>
  <c r="PL348" i="19"/>
  <c r="PM348" i="19"/>
  <c r="PN348" i="19"/>
  <c r="PO348" i="19"/>
  <c r="PP348" i="19"/>
  <c r="PQ348" i="19"/>
  <c r="PR348" i="19"/>
  <c r="PS348" i="19"/>
  <c r="PT348" i="19"/>
  <c r="PU348" i="19"/>
  <c r="PV348" i="19"/>
  <c r="PW348" i="19"/>
  <c r="PX348" i="19"/>
  <c r="PY348" i="19"/>
  <c r="PZ348" i="19"/>
  <c r="QA348" i="19"/>
  <c r="QB348" i="19"/>
  <c r="QC348" i="19"/>
  <c r="QD348" i="19"/>
  <c r="QE348" i="19"/>
  <c r="QF348" i="19"/>
  <c r="QG348" i="19"/>
  <c r="QH348" i="19"/>
  <c r="QI348" i="19"/>
  <c r="QJ348" i="19"/>
  <c r="QK348" i="19"/>
  <c r="QL348" i="19"/>
  <c r="QM348" i="19"/>
  <c r="QN348" i="19"/>
  <c r="QO348" i="19"/>
  <c r="QP348" i="19"/>
  <c r="QQ348" i="19"/>
  <c r="QR348" i="19"/>
  <c r="QS348" i="19"/>
  <c r="QT348" i="19"/>
  <c r="QU348" i="19"/>
  <c r="QV348" i="19"/>
  <c r="QW348" i="19"/>
  <c r="QX348" i="19"/>
  <c r="QY348" i="19"/>
  <c r="QZ348" i="19"/>
  <c r="RA348" i="19"/>
  <c r="RB348" i="19"/>
  <c r="RC348" i="19"/>
  <c r="RD348" i="19"/>
  <c r="RE348" i="19"/>
  <c r="RF348" i="19"/>
  <c r="RG348" i="19"/>
  <c r="RH348" i="19"/>
  <c r="RI348" i="19"/>
  <c r="RJ348" i="19"/>
  <c r="RK348" i="19"/>
  <c r="RL348" i="19"/>
  <c r="RM348" i="19"/>
  <c r="RN348" i="19"/>
  <c r="RO348" i="19"/>
  <c r="RP348" i="19"/>
  <c r="RQ348" i="19"/>
  <c r="RR348" i="19"/>
  <c r="RS348" i="19"/>
  <c r="RT348" i="19"/>
  <c r="RU348" i="19"/>
  <c r="RV348" i="19"/>
  <c r="RW348" i="19"/>
  <c r="RX348" i="19"/>
  <c r="RY348" i="19"/>
  <c r="RZ348" i="19"/>
  <c r="SA348" i="19"/>
  <c r="SB348" i="19"/>
  <c r="SC348" i="19"/>
  <c r="SD348" i="19"/>
  <c r="SE348" i="19"/>
  <c r="SF348" i="19"/>
  <c r="SG348" i="19"/>
  <c r="SH348" i="19"/>
  <c r="SI348" i="19"/>
  <c r="SJ348" i="19"/>
  <c r="SK348" i="19"/>
  <c r="SL348" i="19"/>
  <c r="SM348" i="19"/>
  <c r="SN348" i="19"/>
  <c r="SO348" i="19"/>
  <c r="SP348" i="19"/>
  <c r="SQ348" i="19"/>
  <c r="SR348" i="19"/>
  <c r="SS348" i="19"/>
  <c r="ST348" i="19"/>
  <c r="SU348" i="19"/>
  <c r="SV348" i="19"/>
  <c r="SW348" i="19"/>
  <c r="SX348" i="19"/>
  <c r="SY348" i="19"/>
  <c r="SZ348" i="19"/>
  <c r="TA348" i="19"/>
  <c r="TB348" i="19"/>
  <c r="TC348" i="19"/>
  <c r="TD348" i="19"/>
  <c r="TE348" i="19"/>
  <c r="TF348" i="19"/>
  <c r="TG348" i="19"/>
  <c r="TH348" i="19"/>
  <c r="TI348" i="19"/>
  <c r="TJ348" i="19"/>
  <c r="TK348" i="19"/>
  <c r="TL348" i="19"/>
  <c r="TM348" i="19"/>
  <c r="TN348" i="19"/>
  <c r="TO348" i="19"/>
  <c r="TP348" i="19"/>
  <c r="TQ348" i="19"/>
  <c r="TR348" i="19"/>
  <c r="TS348" i="19"/>
  <c r="TT348" i="19"/>
  <c r="TU348" i="19"/>
  <c r="TV348" i="19"/>
  <c r="TW348" i="19"/>
  <c r="TX348" i="19"/>
  <c r="TY348" i="19"/>
  <c r="TZ348" i="19"/>
  <c r="UA348" i="19"/>
  <c r="UB348" i="19"/>
  <c r="UC348" i="19"/>
  <c r="UD348" i="19"/>
  <c r="UE348" i="19"/>
  <c r="UF348" i="19"/>
  <c r="UG348" i="19"/>
  <c r="UH348" i="19"/>
  <c r="UI348" i="19"/>
  <c r="UJ348" i="19"/>
  <c r="UK348" i="19"/>
  <c r="UL348" i="19"/>
  <c r="UM348" i="19"/>
  <c r="UN348" i="19"/>
  <c r="UO348" i="19"/>
  <c r="UP348" i="19"/>
  <c r="UQ348" i="19"/>
  <c r="UR348" i="19"/>
  <c r="US348" i="19"/>
  <c r="UT348" i="19"/>
  <c r="UU348" i="19"/>
  <c r="UV348" i="19"/>
  <c r="UW348" i="19"/>
  <c r="UX348" i="19"/>
  <c r="UY348" i="19"/>
  <c r="UZ348" i="19"/>
  <c r="VA348" i="19"/>
  <c r="VB348" i="19"/>
  <c r="VC348" i="19"/>
  <c r="VD348" i="19"/>
  <c r="VE348" i="19"/>
  <c r="VF348" i="19"/>
  <c r="VG348" i="19"/>
  <c r="VH348" i="19"/>
  <c r="VI348" i="19"/>
  <c r="VJ348" i="19"/>
  <c r="VK348" i="19"/>
  <c r="VL348" i="19"/>
  <c r="VM348" i="19"/>
  <c r="VN348" i="19"/>
  <c r="VO348" i="19"/>
  <c r="VP348" i="19"/>
  <c r="VQ348" i="19"/>
  <c r="VR348" i="19"/>
  <c r="VS348" i="19"/>
  <c r="VT348" i="19"/>
  <c r="VU348" i="19"/>
  <c r="VV348" i="19"/>
  <c r="VW348" i="19"/>
  <c r="VX348" i="19"/>
  <c r="VY348" i="19"/>
  <c r="VZ348" i="19"/>
  <c r="WA348" i="19"/>
  <c r="WB348" i="19"/>
  <c r="WC348" i="19"/>
  <c r="WD348" i="19"/>
  <c r="WE348" i="19"/>
  <c r="WF348" i="19"/>
  <c r="WG348" i="19"/>
  <c r="WH348" i="19"/>
  <c r="WI348" i="19"/>
  <c r="WJ348" i="19"/>
  <c r="WK348" i="19"/>
  <c r="WL348" i="19"/>
  <c r="WM348" i="19"/>
  <c r="WN348" i="19"/>
  <c r="WO348" i="19"/>
  <c r="WP348" i="19"/>
  <c r="WQ348" i="19"/>
  <c r="WR348" i="19"/>
  <c r="WS348" i="19"/>
  <c r="WT348" i="19"/>
  <c r="WU348" i="19"/>
  <c r="WV348" i="19"/>
  <c r="WW348" i="19"/>
  <c r="WX348" i="19"/>
  <c r="WY348" i="19"/>
  <c r="WZ348" i="19"/>
  <c r="XA348" i="19"/>
  <c r="XB348" i="19"/>
  <c r="XC348" i="19"/>
  <c r="XD348" i="19"/>
  <c r="XE348" i="19"/>
  <c r="XF348" i="19"/>
  <c r="XG348" i="19"/>
  <c r="XH348" i="19"/>
  <c r="XI348" i="19"/>
  <c r="XJ348" i="19"/>
  <c r="XK348" i="19"/>
  <c r="XL348" i="19"/>
  <c r="XM348" i="19"/>
  <c r="XN348" i="19"/>
  <c r="XO348" i="19"/>
  <c r="XP348" i="19"/>
  <c r="XQ348" i="19"/>
  <c r="XR348" i="19"/>
  <c r="XS348" i="19"/>
  <c r="XT348" i="19"/>
  <c r="XU348" i="19"/>
  <c r="XV348" i="19"/>
  <c r="XW348" i="19"/>
  <c r="XX348" i="19"/>
  <c r="XY348" i="19"/>
  <c r="XZ348" i="19"/>
  <c r="YA348" i="19"/>
  <c r="YB348" i="19"/>
  <c r="YC348" i="19"/>
  <c r="YD348" i="19"/>
  <c r="YE348" i="19"/>
  <c r="YF348" i="19"/>
  <c r="YG348" i="19"/>
  <c r="YH348" i="19"/>
  <c r="YI348" i="19"/>
  <c r="YJ348" i="19"/>
  <c r="YK348" i="19"/>
  <c r="YL348" i="19"/>
  <c r="YM348" i="19"/>
  <c r="YN348" i="19"/>
  <c r="YO348" i="19"/>
  <c r="YP348" i="19"/>
  <c r="YQ348" i="19"/>
  <c r="YR348" i="19"/>
  <c r="YS348" i="19"/>
  <c r="YT348" i="19"/>
  <c r="YU348" i="19"/>
  <c r="YV348" i="19"/>
  <c r="YW348" i="19"/>
  <c r="YX348" i="19"/>
  <c r="YY348" i="19"/>
  <c r="YZ348" i="19"/>
  <c r="ZA348" i="19"/>
  <c r="ZB348" i="19"/>
  <c r="ZC348" i="19"/>
  <c r="ZD348" i="19"/>
  <c r="ZE348" i="19"/>
  <c r="ZF348" i="19"/>
  <c r="ZG348" i="19"/>
  <c r="ZH348" i="19"/>
  <c r="ZI348" i="19"/>
  <c r="ZJ348" i="19"/>
  <c r="ZK348" i="19"/>
  <c r="ZL348" i="19"/>
  <c r="ZM348" i="19"/>
  <c r="ZN348" i="19"/>
  <c r="ZO348" i="19"/>
  <c r="ZP348" i="19"/>
  <c r="ZQ348" i="19"/>
  <c r="ZR348" i="19"/>
  <c r="ZS348" i="19"/>
  <c r="ZT348" i="19"/>
  <c r="ZU348" i="19"/>
  <c r="ZV348" i="19"/>
  <c r="ZW348" i="19"/>
  <c r="ZX348" i="19"/>
  <c r="ZY348" i="19"/>
  <c r="ZZ348" i="19"/>
  <c r="AAA348" i="19"/>
  <c r="AAB348" i="19"/>
  <c r="AAC348" i="19"/>
  <c r="AAD348" i="19"/>
  <c r="AAE348" i="19"/>
  <c r="AAF348" i="19"/>
  <c r="AAG348" i="19"/>
  <c r="AAH348" i="19"/>
  <c r="AAI348" i="19"/>
  <c r="AAJ348" i="19"/>
  <c r="AAK348" i="19"/>
  <c r="AAL348" i="19"/>
  <c r="AAM348" i="19"/>
  <c r="AAN348" i="19"/>
  <c r="AAO348" i="19"/>
  <c r="AAP348" i="19"/>
  <c r="AAQ348" i="19"/>
  <c r="AAR348" i="19"/>
  <c r="AAS348" i="19"/>
  <c r="AAT348" i="19"/>
  <c r="AAU348" i="19"/>
  <c r="AAV348" i="19"/>
  <c r="AAW348" i="19"/>
  <c r="AAX348" i="19"/>
  <c r="AAY348" i="19"/>
  <c r="AAZ348" i="19"/>
  <c r="ABA348" i="19"/>
  <c r="ABB348" i="19"/>
  <c r="ABC348" i="19"/>
  <c r="ABD348" i="19"/>
  <c r="ABE348" i="19"/>
  <c r="ABF348" i="19"/>
  <c r="ABG348" i="19"/>
  <c r="ABH348" i="19"/>
  <c r="ABI348" i="19"/>
  <c r="ABJ348" i="19"/>
  <c r="ABK348" i="19"/>
  <c r="ABL348" i="19"/>
  <c r="ABM348" i="19"/>
  <c r="ABN348" i="19"/>
  <c r="ABO348" i="19"/>
  <c r="ABP348" i="19"/>
  <c r="ABQ348" i="19"/>
  <c r="ABR348" i="19"/>
  <c r="ABS348" i="19"/>
  <c r="ABT348" i="19"/>
  <c r="ABU348" i="19"/>
  <c r="ABV348" i="19"/>
  <c r="ABW348" i="19"/>
  <c r="ABX348" i="19"/>
  <c r="ABY348" i="19"/>
  <c r="AE349" i="19"/>
  <c r="U351" i="19"/>
  <c r="AE351" i="19"/>
  <c r="AM351" i="19"/>
  <c r="AY351" i="19"/>
  <c r="BC351" i="19"/>
  <c r="P352" i="19"/>
  <c r="Q352" i="19"/>
  <c r="R352" i="19"/>
  <c r="S352" i="19"/>
  <c r="T352" i="19"/>
  <c r="U352" i="19"/>
  <c r="V352" i="19"/>
  <c r="W352" i="19"/>
  <c r="X352" i="19"/>
  <c r="Y352" i="19"/>
  <c r="Z352" i="19"/>
  <c r="AA352" i="19"/>
  <c r="AB352" i="19"/>
  <c r="AC352" i="19"/>
  <c r="AD352" i="19"/>
  <c r="AE352" i="19"/>
  <c r="AF352" i="19"/>
  <c r="AG352" i="19"/>
  <c r="AH352" i="19"/>
  <c r="AI352" i="19"/>
  <c r="AJ352" i="19"/>
  <c r="AK352" i="19"/>
  <c r="AL352" i="19"/>
  <c r="AM352" i="19"/>
  <c r="AN352" i="19"/>
  <c r="AO352" i="19"/>
  <c r="AP352" i="19"/>
  <c r="AQ352" i="19"/>
  <c r="AR352" i="19"/>
  <c r="AS352" i="19"/>
  <c r="AT352" i="19"/>
  <c r="AU352" i="19"/>
  <c r="AV352" i="19"/>
  <c r="AW352" i="19"/>
  <c r="AX352" i="19"/>
  <c r="AY352" i="19"/>
  <c r="AZ352" i="19"/>
  <c r="BA352" i="19"/>
  <c r="BB352" i="19"/>
  <c r="BC352" i="19"/>
  <c r="BD352" i="19"/>
  <c r="BE352" i="19"/>
  <c r="BF352" i="19"/>
  <c r="BG352" i="19"/>
  <c r="BH352" i="19"/>
  <c r="BI352" i="19"/>
  <c r="BJ352" i="19"/>
  <c r="BK352" i="19"/>
  <c r="BX354" i="19"/>
  <c r="BY354" i="19"/>
  <c r="AL355" i="19"/>
  <c r="AX355" i="19"/>
  <c r="BX355" i="19"/>
  <c r="BY355" i="19"/>
  <c r="AL356" i="19"/>
  <c r="BX356" i="19"/>
  <c r="BY356" i="19"/>
  <c r="P357" i="19"/>
  <c r="Q357" i="19"/>
  <c r="R357" i="19"/>
  <c r="S357" i="19"/>
  <c r="T357" i="19"/>
  <c r="U357" i="19"/>
  <c r="V357" i="19"/>
  <c r="X357" i="19"/>
  <c r="BG357" i="19"/>
  <c r="BH357" i="19"/>
  <c r="BK357" i="19"/>
  <c r="BL357" i="19"/>
  <c r="BM357" i="19"/>
  <c r="BX357" i="19"/>
  <c r="BY357" i="19"/>
  <c r="X358" i="19"/>
  <c r="AL358" i="19"/>
  <c r="BG358" i="19"/>
  <c r="BX358" i="19"/>
  <c r="BY358" i="19"/>
  <c r="B345" i="19"/>
  <c r="C345" i="19"/>
  <c r="D345" i="19"/>
  <c r="B346" i="19"/>
  <c r="C346" i="19"/>
  <c r="D346" i="19"/>
  <c r="E346" i="19"/>
  <c r="F346" i="19"/>
  <c r="G346" i="19"/>
  <c r="H346" i="19"/>
  <c r="I346" i="19"/>
  <c r="J346" i="19"/>
  <c r="K346" i="19"/>
  <c r="L346" i="19"/>
  <c r="M346" i="19"/>
  <c r="N346" i="19"/>
  <c r="O346" i="19"/>
  <c r="C347" i="19"/>
  <c r="C365" i="19" s="1"/>
  <c r="B349" i="19"/>
  <c r="C349" i="19"/>
  <c r="E351" i="19"/>
  <c r="M351" i="19"/>
  <c r="B352" i="19"/>
  <c r="C352" i="19"/>
  <c r="D352" i="19"/>
  <c r="E352" i="19"/>
  <c r="F352" i="19"/>
  <c r="G352" i="19"/>
  <c r="H352" i="19"/>
  <c r="I352" i="19"/>
  <c r="J352" i="19"/>
  <c r="K352" i="19"/>
  <c r="L352" i="19"/>
  <c r="M352" i="19"/>
  <c r="N352" i="19"/>
  <c r="O352" i="19"/>
  <c r="B355" i="19"/>
  <c r="O356" i="19"/>
  <c r="B357" i="19"/>
  <c r="C357" i="19"/>
  <c r="D357" i="19"/>
  <c r="E357" i="19"/>
  <c r="F357" i="19"/>
  <c r="G357" i="19"/>
  <c r="H357" i="19"/>
  <c r="I357" i="19"/>
  <c r="J357" i="19"/>
  <c r="K357" i="19"/>
  <c r="L357" i="19"/>
  <c r="M357" i="19"/>
  <c r="N357" i="19"/>
  <c r="O357" i="19"/>
  <c r="A349" i="19"/>
  <c r="A351" i="19"/>
  <c r="A352" i="19"/>
  <c r="A357" i="19"/>
  <c r="A345" i="19"/>
  <c r="A346" i="19"/>
  <c r="A344" i="19"/>
  <c r="CA5" i="4"/>
  <c r="CA6" i="4"/>
  <c r="CA7" i="4"/>
  <c r="CA8" i="4"/>
  <c r="CA9" i="4"/>
  <c r="CA10" i="4"/>
  <c r="CA11" i="4"/>
  <c r="CA12" i="4"/>
  <c r="CA13" i="4"/>
  <c r="CA14" i="4"/>
  <c r="CA15" i="4"/>
  <c r="CA16" i="4"/>
  <c r="CA17" i="4"/>
  <c r="CA18" i="4"/>
  <c r="CA19" i="4"/>
  <c r="CA20" i="4"/>
  <c r="CA21" i="4"/>
  <c r="CA22" i="4"/>
  <c r="CA23" i="4"/>
  <c r="CA24" i="4"/>
  <c r="CA25" i="4"/>
  <c r="CA26" i="4"/>
  <c r="CA27" i="4"/>
  <c r="CA28" i="4"/>
  <c r="CA29" i="4"/>
  <c r="CA30" i="4"/>
  <c r="CA31" i="4"/>
  <c r="CA32" i="4"/>
  <c r="CA33" i="4"/>
  <c r="CA4" i="4"/>
  <c r="CC4" i="4"/>
  <c r="CH5" i="4"/>
  <c r="BO5" i="4" s="1"/>
  <c r="CH6" i="4"/>
  <c r="BO6" i="4" s="1"/>
  <c r="CH7" i="4"/>
  <c r="BO7" i="4" s="1"/>
  <c r="CH8" i="4"/>
  <c r="BO8" i="4" s="1"/>
  <c r="CH9" i="4"/>
  <c r="BO9" i="4" s="1"/>
  <c r="CH10" i="4"/>
  <c r="BO10" i="4" s="1"/>
  <c r="CH11" i="4"/>
  <c r="BO11" i="4" s="1"/>
  <c r="CH12" i="4"/>
  <c r="BO12" i="4" s="1"/>
  <c r="CH13" i="4"/>
  <c r="BO13" i="4" s="1"/>
  <c r="CH14" i="4"/>
  <c r="BO14" i="4" s="1"/>
  <c r="CH15" i="4"/>
  <c r="BO15" i="4" s="1"/>
  <c r="CH16" i="4"/>
  <c r="BO16" i="4" s="1"/>
  <c r="CH17" i="4"/>
  <c r="BO17" i="4" s="1"/>
  <c r="CH18" i="4"/>
  <c r="BO18" i="4" s="1"/>
  <c r="CH19" i="4"/>
  <c r="BO19" i="4" s="1"/>
  <c r="CH20" i="4"/>
  <c r="BO20" i="4" s="1"/>
  <c r="CH21" i="4"/>
  <c r="BO21" i="4" s="1"/>
  <c r="CH22" i="4"/>
  <c r="BO22" i="4" s="1"/>
  <c r="CH23" i="4"/>
  <c r="BO23" i="4" s="1"/>
  <c r="CH24" i="4"/>
  <c r="BO24" i="4" s="1"/>
  <c r="CH25" i="4"/>
  <c r="BO25" i="4" s="1"/>
  <c r="CH26" i="4"/>
  <c r="BO26" i="4" s="1"/>
  <c r="CH27" i="4"/>
  <c r="BO27" i="4" s="1"/>
  <c r="CH28" i="4"/>
  <c r="BO28" i="4" s="1"/>
  <c r="CH29" i="4"/>
  <c r="BO29" i="4" s="1"/>
  <c r="CH30" i="4"/>
  <c r="BO30" i="4" s="1"/>
  <c r="CH31" i="4"/>
  <c r="BO31" i="4" s="1"/>
  <c r="CH32" i="4"/>
  <c r="BO32" i="4" s="1"/>
  <c r="CH33" i="4"/>
  <c r="BO33" i="4" s="1"/>
  <c r="CH4" i="4"/>
  <c r="BO4" i="4" s="1"/>
  <c r="BW84" i="33"/>
  <c r="B84" i="33" s="1"/>
  <c r="BO84" i="33"/>
  <c r="BN84" i="33"/>
  <c r="BL84" i="33"/>
  <c r="AN84" i="33"/>
  <c r="BW83" i="33"/>
  <c r="B83" i="33" s="1"/>
  <c r="BO83" i="33"/>
  <c r="BN83" i="33"/>
  <c r="BL83" i="33"/>
  <c r="AN83" i="33"/>
  <c r="BW93" i="33"/>
  <c r="B93" i="33" s="1"/>
  <c r="BO93" i="33"/>
  <c r="BN93" i="33"/>
  <c r="BL93" i="33"/>
  <c r="AN93" i="33"/>
  <c r="BW92" i="33"/>
  <c r="B92" i="33" s="1"/>
  <c r="BO92" i="33"/>
  <c r="BN92" i="33"/>
  <c r="BL92" i="33"/>
  <c r="AN92" i="33"/>
  <c r="BW91" i="33"/>
  <c r="B91" i="33" s="1"/>
  <c r="BO91" i="33"/>
  <c r="BN91" i="33"/>
  <c r="BL91" i="33"/>
  <c r="AN91" i="33"/>
  <c r="BW90" i="33"/>
  <c r="B90" i="33" s="1"/>
  <c r="BO90" i="33"/>
  <c r="BN90" i="33"/>
  <c r="BL90" i="33"/>
  <c r="AN90" i="33"/>
  <c r="BW89" i="33"/>
  <c r="B89" i="33" s="1"/>
  <c r="BO89" i="33"/>
  <c r="BN89" i="33"/>
  <c r="BL89" i="33"/>
  <c r="AN89" i="33"/>
  <c r="BW88" i="33"/>
  <c r="B88" i="33" s="1"/>
  <c r="BO88" i="33"/>
  <c r="BN88" i="33"/>
  <c r="BL88" i="33"/>
  <c r="AN88" i="33"/>
  <c r="BW87" i="33"/>
  <c r="B87" i="33" s="1"/>
  <c r="BO87" i="33"/>
  <c r="BN87" i="33"/>
  <c r="BL87" i="33"/>
  <c r="AN87" i="33"/>
  <c r="V87" i="33"/>
  <c r="BW86" i="33"/>
  <c r="B86" i="33" s="1"/>
  <c r="BO86" i="33"/>
  <c r="BN86" i="33"/>
  <c r="BL86" i="33"/>
  <c r="AN86" i="33"/>
  <c r="BW85" i="33"/>
  <c r="B85" i="33" s="1"/>
  <c r="BO85" i="33"/>
  <c r="BN85" i="33"/>
  <c r="BL85" i="33"/>
  <c r="AN85" i="33"/>
  <c r="BW102" i="33"/>
  <c r="B102" i="33" s="1"/>
  <c r="BO102" i="33"/>
  <c r="BN102" i="33"/>
  <c r="BL102" i="33"/>
  <c r="AN102" i="33"/>
  <c r="V102" i="33"/>
  <c r="BJ102" i="33" s="1"/>
  <c r="BW101" i="33"/>
  <c r="B101" i="33" s="1"/>
  <c r="BO101" i="33"/>
  <c r="BN101" i="33"/>
  <c r="BL101" i="33"/>
  <c r="AN101" i="33"/>
  <c r="V101" i="33"/>
  <c r="BJ101" i="33" s="1"/>
  <c r="BW100" i="33"/>
  <c r="B100" i="33" s="1"/>
  <c r="BO100" i="33"/>
  <c r="BN100" i="33"/>
  <c r="BL100" i="33"/>
  <c r="AN100" i="33"/>
  <c r="V100" i="33"/>
  <c r="BW99" i="33"/>
  <c r="B99" i="33" s="1"/>
  <c r="BO99" i="33"/>
  <c r="BN99" i="33"/>
  <c r="BL99" i="33"/>
  <c r="AN99" i="33"/>
  <c r="BW98" i="33"/>
  <c r="B98" i="33" s="1"/>
  <c r="BO98" i="33"/>
  <c r="BN98" i="33"/>
  <c r="BL98" i="33"/>
  <c r="AN98" i="33"/>
  <c r="V98" i="33"/>
  <c r="BJ98" i="33" s="1"/>
  <c r="BW97" i="33"/>
  <c r="B97" i="33" s="1"/>
  <c r="BO97" i="33"/>
  <c r="BN97" i="33"/>
  <c r="BL97" i="33"/>
  <c r="AN97" i="33"/>
  <c r="V97" i="33"/>
  <c r="BJ97" i="33" s="1"/>
  <c r="BW96" i="33"/>
  <c r="B96" i="33" s="1"/>
  <c r="BO96" i="33"/>
  <c r="BN96" i="33"/>
  <c r="BL96" i="33"/>
  <c r="AN96" i="33"/>
  <c r="V96" i="33"/>
  <c r="BW95" i="33"/>
  <c r="B95" i="33" s="1"/>
  <c r="BO95" i="33"/>
  <c r="BN95" i="33"/>
  <c r="BL95" i="33"/>
  <c r="AN95" i="33"/>
  <c r="BW94" i="33"/>
  <c r="B94" i="33" s="1"/>
  <c r="BO94" i="33"/>
  <c r="BN94" i="33"/>
  <c r="BL94" i="33"/>
  <c r="AN94" i="33"/>
  <c r="V94" i="33"/>
  <c r="BJ94" i="33" s="1"/>
  <c r="BW66" i="33"/>
  <c r="B66" i="33" s="1"/>
  <c r="BO66" i="33"/>
  <c r="BN66" i="33"/>
  <c r="BL66" i="33"/>
  <c r="AW66" i="33"/>
  <c r="AV66" i="33"/>
  <c r="AN66" i="33"/>
  <c r="BW65" i="33"/>
  <c r="B65" i="33" s="1"/>
  <c r="BO65" i="33"/>
  <c r="BN65" i="33"/>
  <c r="BL65" i="33"/>
  <c r="AW65" i="33"/>
  <c r="AV65" i="33"/>
  <c r="AN65" i="33"/>
  <c r="BW64" i="33"/>
  <c r="B64" i="33" s="1"/>
  <c r="BO64" i="33"/>
  <c r="BN64" i="33"/>
  <c r="BL64" i="33"/>
  <c r="AW64" i="33"/>
  <c r="AV64" i="33"/>
  <c r="AN64" i="33"/>
  <c r="BW63" i="33"/>
  <c r="B63" i="33" s="1"/>
  <c r="BO63" i="33"/>
  <c r="BN63" i="33"/>
  <c r="BL63" i="33"/>
  <c r="AW63" i="33"/>
  <c r="AV63" i="33"/>
  <c r="AN63" i="33"/>
  <c r="BW62" i="33"/>
  <c r="B62" i="33" s="1"/>
  <c r="BO62" i="33"/>
  <c r="BN62" i="33"/>
  <c r="BL62" i="33"/>
  <c r="AW62" i="33"/>
  <c r="AV62" i="33"/>
  <c r="AN62" i="33"/>
  <c r="BW68" i="33"/>
  <c r="B68" i="33" s="1"/>
  <c r="BO68" i="33"/>
  <c r="BN68" i="33"/>
  <c r="BL68" i="33"/>
  <c r="AW68" i="33"/>
  <c r="AV68" i="33"/>
  <c r="AN68" i="33"/>
  <c r="BW67" i="33"/>
  <c r="B67" i="33" s="1"/>
  <c r="BO67" i="33"/>
  <c r="BN67" i="33"/>
  <c r="BL67" i="33"/>
  <c r="AW67" i="33"/>
  <c r="AV67" i="33"/>
  <c r="AN67" i="33"/>
  <c r="BW61" i="33"/>
  <c r="B61" i="33" s="1"/>
  <c r="BO61" i="33"/>
  <c r="BN61" i="33"/>
  <c r="BL61" i="33"/>
  <c r="AW61" i="33"/>
  <c r="AV61" i="33"/>
  <c r="AN61" i="33"/>
  <c r="BW60" i="33"/>
  <c r="B60" i="33" s="1"/>
  <c r="BO60" i="33"/>
  <c r="BN60" i="33"/>
  <c r="BL60" i="33"/>
  <c r="AW60" i="33"/>
  <c r="AV60" i="33"/>
  <c r="AN60" i="33"/>
  <c r="BW59" i="33"/>
  <c r="B59" i="33" s="1"/>
  <c r="BO59" i="33"/>
  <c r="BN59" i="33"/>
  <c r="BL59" i="33"/>
  <c r="AW59" i="33"/>
  <c r="AV59" i="33"/>
  <c r="AN59" i="33"/>
  <c r="BW52" i="33"/>
  <c r="B52" i="33" s="1"/>
  <c r="BO52" i="33"/>
  <c r="BN52" i="33"/>
  <c r="BL52" i="33"/>
  <c r="AW52" i="33"/>
  <c r="AV52" i="33"/>
  <c r="AN52" i="33"/>
  <c r="BW53" i="33"/>
  <c r="B53" i="33" s="1"/>
  <c r="BO53" i="33"/>
  <c r="BN53" i="33"/>
  <c r="BL53" i="33"/>
  <c r="AW53" i="33"/>
  <c r="AV53" i="33"/>
  <c r="AN53" i="33"/>
  <c r="BW51" i="33"/>
  <c r="B51" i="33" s="1"/>
  <c r="BO51" i="33"/>
  <c r="BN51" i="33"/>
  <c r="BL51" i="33"/>
  <c r="AW51" i="33"/>
  <c r="AV51" i="33"/>
  <c r="AN51" i="33"/>
  <c r="BW50" i="33"/>
  <c r="B50" i="33" s="1"/>
  <c r="BO50" i="33"/>
  <c r="BN50" i="33"/>
  <c r="BL50" i="33"/>
  <c r="AW50" i="33"/>
  <c r="AV50" i="33"/>
  <c r="AN50" i="33"/>
  <c r="BW49" i="33"/>
  <c r="B49" i="33" s="1"/>
  <c r="BO49" i="33"/>
  <c r="BN49" i="33"/>
  <c r="BL49" i="33"/>
  <c r="AW49" i="33"/>
  <c r="AV49" i="33"/>
  <c r="AN49" i="33"/>
  <c r="BW48" i="33"/>
  <c r="B48" i="33" s="1"/>
  <c r="BO48" i="33"/>
  <c r="BN48" i="33"/>
  <c r="BL48" i="33"/>
  <c r="AW48" i="33"/>
  <c r="AV48" i="33"/>
  <c r="AN48" i="33"/>
  <c r="BW47" i="33"/>
  <c r="B47" i="33" s="1"/>
  <c r="BO47" i="33"/>
  <c r="BN47" i="33"/>
  <c r="BL47" i="33"/>
  <c r="AW47" i="33"/>
  <c r="AV47" i="33"/>
  <c r="AN47" i="33"/>
  <c r="BW46" i="33"/>
  <c r="B46" i="33" s="1"/>
  <c r="BO46" i="33"/>
  <c r="BN46" i="33"/>
  <c r="BL46" i="33"/>
  <c r="AW46" i="33"/>
  <c r="AV46" i="33"/>
  <c r="AN46" i="33"/>
  <c r="BW45" i="33"/>
  <c r="B45" i="33" s="1"/>
  <c r="BO45" i="33"/>
  <c r="BN45" i="33"/>
  <c r="BL45" i="33"/>
  <c r="AW45" i="33"/>
  <c r="AV45" i="33"/>
  <c r="AN45" i="33"/>
  <c r="BO44" i="33"/>
  <c r="BN44" i="33"/>
  <c r="BL44" i="33"/>
  <c r="AW44" i="33"/>
  <c r="AV44" i="33"/>
  <c r="AN44" i="33"/>
  <c r="AW47" i="4" a="1"/>
  <c r="BS45" i="33" l="1"/>
  <c r="V48" i="33"/>
  <c r="BR49" i="33"/>
  <c r="BR50" i="33"/>
  <c r="BM52" i="33"/>
  <c r="BR59" i="33"/>
  <c r="BR62" i="33"/>
  <c r="BR63" i="33"/>
  <c r="BS65" i="33"/>
  <c r="BR66" i="33"/>
  <c r="BK95" i="33"/>
  <c r="BK99" i="33"/>
  <c r="BR85" i="33"/>
  <c r="BR91" i="33"/>
  <c r="BM84" i="33"/>
  <c r="AW47" i="4"/>
  <c r="BR94" i="33"/>
  <c r="BS94" i="33"/>
  <c r="BK94" i="33"/>
  <c r="BS96" i="33"/>
  <c r="BR96" i="33"/>
  <c r="BM96" i="33"/>
  <c r="BK96" i="33"/>
  <c r="AO96" i="33"/>
  <c r="BQ96" i="33"/>
  <c r="BS97" i="33"/>
  <c r="BR97" i="33"/>
  <c r="BQ97" i="33"/>
  <c r="BM97" i="33"/>
  <c r="BK97" i="33"/>
  <c r="AO97" i="33"/>
  <c r="BR98" i="33"/>
  <c r="BS98" i="33"/>
  <c r="BK98" i="33"/>
  <c r="BS100" i="33"/>
  <c r="BR100" i="33"/>
  <c r="BM100" i="33"/>
  <c r="BK100" i="33"/>
  <c r="AO100" i="33"/>
  <c r="BQ100" i="33"/>
  <c r="BM101" i="33"/>
  <c r="BS101" i="33"/>
  <c r="BR101" i="33"/>
  <c r="BQ101" i="33"/>
  <c r="BK101" i="33"/>
  <c r="BR102" i="33"/>
  <c r="BS102" i="33"/>
  <c r="BK102" i="33"/>
  <c r="BS86" i="33"/>
  <c r="BR86" i="33"/>
  <c r="BR87" i="33"/>
  <c r="BK87" i="33"/>
  <c r="V88" i="33"/>
  <c r="BR88" i="33"/>
  <c r="AO88" i="33"/>
  <c r="BR89" i="33"/>
  <c r="BK89" i="33"/>
  <c r="AO89" i="33"/>
  <c r="BQ89" i="33"/>
  <c r="BM90" i="33"/>
  <c r="BR90" i="33"/>
  <c r="BK92" i="33"/>
  <c r="BM92" i="33"/>
  <c r="BT92" i="33" s="1"/>
  <c r="BK93" i="33"/>
  <c r="AO93" i="33"/>
  <c r="BQ93" i="33"/>
  <c r="BK83" i="33"/>
  <c r="BM83" i="33"/>
  <c r="BT83" i="33" s="1"/>
  <c r="AO83" i="33"/>
  <c r="BU84" i="33"/>
  <c r="BT84" i="33"/>
  <c r="V91" i="33"/>
  <c r="BU83" i="33"/>
  <c r="BK85" i="33"/>
  <c r="BM86" i="33"/>
  <c r="BS88" i="33"/>
  <c r="BS89" i="33"/>
  <c r="V92" i="33"/>
  <c r="AJ92" i="33" s="1"/>
  <c r="BQ92" i="33"/>
  <c r="BS93" i="33"/>
  <c r="BQ84" i="33"/>
  <c r="BR84" i="33"/>
  <c r="V85" i="33"/>
  <c r="BM85" i="33"/>
  <c r="BU85" i="33" s="1"/>
  <c r="BK88" i="33"/>
  <c r="BS90" i="33"/>
  <c r="BK91" i="33"/>
  <c r="AO92" i="33"/>
  <c r="BR92" i="33"/>
  <c r="BQ83" i="33"/>
  <c r="BS84" i="33"/>
  <c r="BS92" i="33"/>
  <c r="BR83" i="33"/>
  <c r="V84" i="33"/>
  <c r="BK84" i="33"/>
  <c r="BM64" i="33"/>
  <c r="BT64" i="33" s="1"/>
  <c r="AO85" i="33"/>
  <c r="BQ85" i="33"/>
  <c r="BM88" i="33"/>
  <c r="BS83" i="33"/>
  <c r="BS85" i="33"/>
  <c r="BQ88" i="33"/>
  <c r="V89" i="33"/>
  <c r="BM89" i="33"/>
  <c r="BU89" i="33" s="1"/>
  <c r="BM93" i="33"/>
  <c r="BU93" i="33" s="1"/>
  <c r="V83" i="33"/>
  <c r="AO84" i="33"/>
  <c r="BU90" i="33"/>
  <c r="BT90" i="33"/>
  <c r="BU86" i="33"/>
  <c r="BT86" i="33"/>
  <c r="AO62" i="33"/>
  <c r="BS62" i="33"/>
  <c r="BQ64" i="33"/>
  <c r="BM65" i="33"/>
  <c r="BT65" i="33" s="1"/>
  <c r="BM66" i="33"/>
  <c r="BU66" i="33" s="1"/>
  <c r="BQ86" i="33"/>
  <c r="BJ87" i="33"/>
  <c r="BS87" i="33"/>
  <c r="BU88" i="33"/>
  <c r="BQ90" i="33"/>
  <c r="BJ91" i="33"/>
  <c r="BS91" i="33"/>
  <c r="BU92" i="33"/>
  <c r="BK62" i="33"/>
  <c r="V86" i="33"/>
  <c r="BK86" i="33"/>
  <c r="AO87" i="33"/>
  <c r="BM87" i="33"/>
  <c r="AJ87" i="33" s="1"/>
  <c r="V90" i="33"/>
  <c r="BK90" i="33"/>
  <c r="AO91" i="33"/>
  <c r="BM91" i="33"/>
  <c r="BR93" i="33"/>
  <c r="AJ91" i="33"/>
  <c r="BT85" i="33"/>
  <c r="AO86" i="33"/>
  <c r="BT89" i="33"/>
  <c r="AO90" i="33"/>
  <c r="V93" i="33"/>
  <c r="BT93" i="33"/>
  <c r="V62" i="33"/>
  <c r="BJ62" i="33" s="1"/>
  <c r="BQ87" i="33"/>
  <c r="BJ88" i="33"/>
  <c r="BQ91" i="33"/>
  <c r="BJ92" i="33"/>
  <c r="BU64" i="33"/>
  <c r="BU101" i="33"/>
  <c r="BT101" i="33"/>
  <c r="AO65" i="33"/>
  <c r="BM94" i="33"/>
  <c r="AJ97" i="33"/>
  <c r="AO98" i="33"/>
  <c r="BM98" i="33"/>
  <c r="AJ98" i="33" s="1"/>
  <c r="AO102" i="33"/>
  <c r="BM102" i="33"/>
  <c r="BQ62" i="33"/>
  <c r="BM62" i="33"/>
  <c r="BU62" i="33" s="1"/>
  <c r="BS66" i="33"/>
  <c r="BQ95" i="33"/>
  <c r="BJ96" i="33"/>
  <c r="BQ99" i="33"/>
  <c r="BJ100" i="33"/>
  <c r="BR64" i="33"/>
  <c r="BQ65" i="33"/>
  <c r="AJ101" i="33"/>
  <c r="BM63" i="33"/>
  <c r="BU63" i="33" s="1"/>
  <c r="BK64" i="33"/>
  <c r="BR95" i="33"/>
  <c r="BT96" i="33"/>
  <c r="BR99" i="33"/>
  <c r="BT100" i="33"/>
  <c r="AO101" i="33"/>
  <c r="AJ94" i="33"/>
  <c r="AO64" i="33"/>
  <c r="AO94" i="33"/>
  <c r="V64" i="33"/>
  <c r="AJ64" i="33" s="1"/>
  <c r="BK65" i="33"/>
  <c r="BQ94" i="33"/>
  <c r="BS95" i="33"/>
  <c r="BQ98" i="33"/>
  <c r="BS99" i="33"/>
  <c r="BQ102" i="33"/>
  <c r="AJ62" i="33"/>
  <c r="AO95" i="33"/>
  <c r="BM95" i="33"/>
  <c r="AO99" i="33"/>
  <c r="BM99" i="33"/>
  <c r="BS64" i="33"/>
  <c r="AO66" i="33"/>
  <c r="BK67" i="33"/>
  <c r="V65" i="33"/>
  <c r="V66" i="33"/>
  <c r="BK66" i="33"/>
  <c r="V95" i="33"/>
  <c r="V99" i="33"/>
  <c r="BQ63" i="33"/>
  <c r="BS63" i="33"/>
  <c r="BQ66" i="33"/>
  <c r="V63" i="33"/>
  <c r="BK63" i="33"/>
  <c r="BR65" i="33"/>
  <c r="AO63" i="33"/>
  <c r="BM68" i="33"/>
  <c r="BU68" i="33" s="1"/>
  <c r="AO49" i="33"/>
  <c r="BM61" i="33"/>
  <c r="BU61" i="33" s="1"/>
  <c r="BS67" i="33"/>
  <c r="BT68" i="33"/>
  <c r="BS59" i="33"/>
  <c r="AO67" i="33"/>
  <c r="BM67" i="33"/>
  <c r="BR61" i="33"/>
  <c r="BQ68" i="33"/>
  <c r="BK59" i="33"/>
  <c r="BK60" i="33"/>
  <c r="BR68" i="33"/>
  <c r="BQ67" i="33"/>
  <c r="BS68" i="33"/>
  <c r="V59" i="33"/>
  <c r="BJ59" i="33" s="1"/>
  <c r="BM59" i="33"/>
  <c r="BU59" i="33" s="1"/>
  <c r="BR67" i="33"/>
  <c r="V68" i="33"/>
  <c r="BK68" i="33"/>
  <c r="BQ49" i="33"/>
  <c r="AO59" i="33"/>
  <c r="V67" i="33"/>
  <c r="AO68" i="33"/>
  <c r="BT61" i="33"/>
  <c r="AO60" i="33"/>
  <c r="BM60" i="33"/>
  <c r="V44" i="33"/>
  <c r="BJ44" i="33" s="1"/>
  <c r="BM48" i="33"/>
  <c r="BU48" i="33" s="1"/>
  <c r="BS49" i="33"/>
  <c r="BQ61" i="33"/>
  <c r="BQ60" i="33"/>
  <c r="BS61" i="33"/>
  <c r="BQ46" i="33"/>
  <c r="BR48" i="33"/>
  <c r="BR60" i="33"/>
  <c r="V61" i="33"/>
  <c r="BK61" i="33"/>
  <c r="AO48" i="33"/>
  <c r="BS48" i="33"/>
  <c r="AO50" i="33"/>
  <c r="BK51" i="33"/>
  <c r="BM53" i="33"/>
  <c r="BU53" i="33" s="1"/>
  <c r="BQ59" i="33"/>
  <c r="BS60" i="33"/>
  <c r="V60" i="33"/>
  <c r="AO61" i="33"/>
  <c r="BU52" i="33"/>
  <c r="BT52" i="33"/>
  <c r="BM44" i="33"/>
  <c r="V45" i="33"/>
  <c r="BJ45" i="33" s="1"/>
  <c r="V46" i="33"/>
  <c r="BJ46" i="33" s="1"/>
  <c r="BM46" i="33"/>
  <c r="BU46" i="33" s="1"/>
  <c r="AO45" i="33"/>
  <c r="BQ45" i="33"/>
  <c r="AO46" i="33"/>
  <c r="BQ52" i="33"/>
  <c r="BR46" i="33"/>
  <c r="BT48" i="33"/>
  <c r="BR52" i="33"/>
  <c r="AO44" i="33"/>
  <c r="BR45" i="33"/>
  <c r="BS46" i="33"/>
  <c r="BK48" i="33"/>
  <c r="BK49" i="33"/>
  <c r="BM50" i="33"/>
  <c r="BU50" i="33" s="1"/>
  <c r="BS52" i="33"/>
  <c r="BK45" i="33"/>
  <c r="V52" i="33"/>
  <c r="BK52" i="33"/>
  <c r="BM49" i="33"/>
  <c r="BK46" i="33"/>
  <c r="BM45" i="33"/>
  <c r="BK47" i="33"/>
  <c r="BQ48" i="33"/>
  <c r="V49" i="33"/>
  <c r="BJ49" i="33" s="1"/>
  <c r="BS50" i="33"/>
  <c r="AO52" i="33"/>
  <c r="AO47" i="33"/>
  <c r="BM47" i="33"/>
  <c r="V50" i="33"/>
  <c r="BK50" i="33"/>
  <c r="AO51" i="33"/>
  <c r="BM51" i="33"/>
  <c r="BQ44" i="33"/>
  <c r="BQ53" i="33"/>
  <c r="BR53" i="33"/>
  <c r="BQ47" i="33"/>
  <c r="BJ48" i="33"/>
  <c r="BQ51" i="33"/>
  <c r="BS53" i="33"/>
  <c r="BR47" i="33"/>
  <c r="BR51" i="33"/>
  <c r="V53" i="33"/>
  <c r="BK53" i="33"/>
  <c r="BS47" i="33"/>
  <c r="BQ50" i="33"/>
  <c r="BS51" i="33"/>
  <c r="V47" i="33"/>
  <c r="V51" i="33"/>
  <c r="AO53" i="33"/>
  <c r="F1" i="4"/>
  <c r="L26" i="4"/>
  <c r="K26" i="4" s="1"/>
  <c r="M26" i="4" s="1"/>
  <c r="L27" i="4"/>
  <c r="K27" i="4" s="1"/>
  <c r="AA38" i="5" l="1"/>
  <c r="C86" i="14"/>
  <c r="BT88" i="33"/>
  <c r="AJ88" i="33"/>
  <c r="BU100" i="33"/>
  <c r="AJ100" i="33"/>
  <c r="BU97" i="33"/>
  <c r="BT97" i="33"/>
  <c r="BU96" i="33"/>
  <c r="AJ96" i="33"/>
  <c r="AJ89" i="33"/>
  <c r="BJ89" i="33"/>
  <c r="BU65" i="33"/>
  <c r="AJ65" i="33"/>
  <c r="BJ64" i="33"/>
  <c r="AJ85" i="33"/>
  <c r="BJ85" i="33"/>
  <c r="AJ84" i="33"/>
  <c r="BJ84" i="33"/>
  <c r="AJ83" i="33"/>
  <c r="BJ83" i="33"/>
  <c r="BT62" i="33"/>
  <c r="BT53" i="33"/>
  <c r="BT66" i="33"/>
  <c r="AJ66" i="33"/>
  <c r="BU87" i="33"/>
  <c r="BT87" i="33"/>
  <c r="BU91" i="33"/>
  <c r="BT91" i="33"/>
  <c r="BJ65" i="33"/>
  <c r="BT63" i="33"/>
  <c r="AJ93" i="33"/>
  <c r="BJ93" i="33"/>
  <c r="AJ86" i="33"/>
  <c r="BJ86" i="33"/>
  <c r="BJ90" i="33"/>
  <c r="AJ90" i="33"/>
  <c r="BU102" i="33"/>
  <c r="BT102" i="33"/>
  <c r="BJ66" i="33"/>
  <c r="BT95" i="33"/>
  <c r="BU95" i="33"/>
  <c r="AJ95" i="33"/>
  <c r="BJ95" i="33"/>
  <c r="BT98" i="33"/>
  <c r="BU98" i="33"/>
  <c r="AJ99" i="33"/>
  <c r="BJ99" i="33"/>
  <c r="BT99" i="33"/>
  <c r="BU99" i="33"/>
  <c r="BT94" i="33"/>
  <c r="BU94" i="33"/>
  <c r="AJ102" i="33"/>
  <c r="AJ63" i="33"/>
  <c r="BJ63" i="33"/>
  <c r="AJ67" i="33"/>
  <c r="BJ67" i="33"/>
  <c r="BT59" i="33"/>
  <c r="AJ59" i="33"/>
  <c r="AJ68" i="33"/>
  <c r="BJ68" i="33"/>
  <c r="AJ44" i="33"/>
  <c r="BT50" i="33"/>
  <c r="AJ49" i="33"/>
  <c r="AJ48" i="33"/>
  <c r="BT67" i="33"/>
  <c r="BU67" i="33"/>
  <c r="AJ60" i="33"/>
  <c r="BJ60" i="33"/>
  <c r="AJ61" i="33"/>
  <c r="BJ61" i="33"/>
  <c r="BT60" i="33"/>
  <c r="BU60" i="33"/>
  <c r="AJ52" i="33"/>
  <c r="BJ52" i="33"/>
  <c r="BT46" i="33"/>
  <c r="AJ46" i="33"/>
  <c r="BU49" i="33"/>
  <c r="BT49" i="33"/>
  <c r="BU45" i="33"/>
  <c r="BT45" i="33"/>
  <c r="AJ45" i="33"/>
  <c r="AJ53" i="33"/>
  <c r="BJ53" i="33"/>
  <c r="BT51" i="33"/>
  <c r="BU51" i="33"/>
  <c r="BT47" i="33"/>
  <c r="BU47" i="33"/>
  <c r="AJ51" i="33"/>
  <c r="BJ51" i="33"/>
  <c r="AJ47" i="33"/>
  <c r="BJ47" i="33"/>
  <c r="BJ50" i="33"/>
  <c r="AJ50" i="33"/>
  <c r="AR32" i="5"/>
  <c r="AR30" i="5"/>
  <c r="AR28" i="5"/>
  <c r="AR26" i="5"/>
  <c r="AG21" i="19"/>
  <c r="AH21" i="19"/>
  <c r="I101" i="24" l="1"/>
  <c r="F101" i="24"/>
  <c r="I80" i="24"/>
  <c r="F80" i="24"/>
  <c r="M30" i="20" l="1"/>
  <c r="U681" i="20" s="1"/>
  <c r="W39" i="33"/>
  <c r="U661" i="20" l="1"/>
  <c r="J341" i="20" s="1"/>
  <c r="J241" i="20" s="1"/>
  <c r="AG16" i="24"/>
  <c r="AF16" i="24"/>
  <c r="BO72" i="33"/>
  <c r="BN72" i="33"/>
  <c r="BL72" i="33"/>
  <c r="AW72" i="33"/>
  <c r="AV72" i="33"/>
  <c r="AN72" i="33"/>
  <c r="Y15" i="19" a="1"/>
  <c r="Y15" i="19" l="1"/>
  <c r="Y358" i="19" s="1"/>
  <c r="AX356" i="19"/>
  <c r="BK72" i="33"/>
  <c r="AO72" i="33"/>
  <c r="BM72" i="33"/>
  <c r="BQ72" i="33"/>
  <c r="BR72" i="33"/>
  <c r="BS72" i="33"/>
  <c r="V72" i="33"/>
  <c r="AJ72" i="33" l="1"/>
  <c r="BJ72" i="33"/>
  <c r="BU72" i="33"/>
  <c r="BT72" i="33"/>
  <c r="BX9" i="19"/>
  <c r="BX352" i="19" l="1"/>
  <c r="R93" i="10"/>
  <c r="S93" i="10"/>
  <c r="S89" i="10"/>
  <c r="AV54" i="33"/>
  <c r="AV55" i="33"/>
  <c r="AV56" i="33"/>
  <c r="AV57" i="33"/>
  <c r="AV58" i="33"/>
  <c r="AV69" i="33"/>
  <c r="AV70" i="33"/>
  <c r="AV71" i="33"/>
  <c r="AP76" i="33"/>
  <c r="AT77" i="33" s="1"/>
  <c r="EK2" i="5" l="1"/>
  <c r="AD92" i="14" l="1"/>
  <c r="BY36" i="4" l="1"/>
  <c r="BY37" i="4"/>
  <c r="BY38" i="4"/>
  <c r="BY39" i="4"/>
  <c r="BY40" i="4"/>
  <c r="BY41" i="4"/>
  <c r="BY42" i="4"/>
  <c r="BY43" i="4"/>
  <c r="BY44" i="4"/>
  <c r="BY45" i="4"/>
  <c r="BY46" i="4"/>
  <c r="BY47" i="4"/>
  <c r="BY48" i="4"/>
  <c r="AK52" i="24" l="1"/>
  <c r="AK49" i="24"/>
  <c r="AK50" i="24" s="1"/>
  <c r="AF53" i="24"/>
  <c r="AG53" i="24"/>
  <c r="AF20" i="24"/>
  <c r="AF21" i="24"/>
  <c r="AG20" i="24"/>
  <c r="AG21" i="24"/>
  <c r="AF39" i="24"/>
  <c r="AF40" i="24"/>
  <c r="AG39" i="24"/>
  <c r="AG40" i="24"/>
  <c r="AK53" i="24" l="1"/>
  <c r="AC54" i="24" s="1"/>
  <c r="AH53" i="24" s="1"/>
  <c r="AJ53" i="24" s="1"/>
  <c r="AE54" i="24" s="1"/>
  <c r="AG54" i="24" s="1"/>
  <c r="AK51" i="24"/>
  <c r="AC52" i="24" s="1"/>
  <c r="AH51" i="24" s="1"/>
  <c r="AJ51" i="24" s="1"/>
  <c r="AE52" i="24" s="1"/>
  <c r="AC51" i="24"/>
  <c r="AH50" i="24" s="1"/>
  <c r="AJ50" i="24" s="1"/>
  <c r="AE51" i="24" s="1"/>
  <c r="AG50" i="24"/>
  <c r="AF50" i="24"/>
  <c r="AK54" i="24" l="1"/>
  <c r="AC55" i="24"/>
  <c r="AH54" i="24" s="1"/>
  <c r="AJ54" i="24" s="1"/>
  <c r="AE55" i="24" s="1"/>
  <c r="AF54" i="24"/>
  <c r="AF52" i="24"/>
  <c r="AG52" i="24"/>
  <c r="E2" i="4"/>
  <c r="G2" i="4" l="1"/>
  <c r="K43" i="10" s="1"/>
  <c r="F2" i="4"/>
  <c r="AG55" i="24"/>
  <c r="AF55" i="24"/>
  <c r="C34" i="33"/>
  <c r="H2" i="4" l="1"/>
  <c r="K1" i="4" s="1"/>
  <c r="K9" i="4" s="1"/>
  <c r="E20" i="33"/>
  <c r="U112" i="33"/>
  <c r="T112" i="33"/>
  <c r="BL111" i="33"/>
  <c r="BO111" i="33"/>
  <c r="BN111" i="33"/>
  <c r="AN111" i="33"/>
  <c r="BL110" i="33"/>
  <c r="BO110" i="33"/>
  <c r="BN110" i="33"/>
  <c r="AN110" i="33"/>
  <c r="BL109" i="33"/>
  <c r="BO109" i="33"/>
  <c r="BN109" i="33"/>
  <c r="AN109" i="33"/>
  <c r="BL108" i="33"/>
  <c r="BO108" i="33"/>
  <c r="BN108" i="33"/>
  <c r="AN108" i="33"/>
  <c r="BL107" i="33"/>
  <c r="BO107" i="33"/>
  <c r="BN107" i="33"/>
  <c r="AN107" i="33"/>
  <c r="BL106" i="33"/>
  <c r="BO106" i="33"/>
  <c r="BN106" i="33"/>
  <c r="AN106" i="33"/>
  <c r="BL105" i="33"/>
  <c r="BO105" i="33"/>
  <c r="BN105" i="33"/>
  <c r="AN105" i="33"/>
  <c r="BL104" i="33"/>
  <c r="BO104" i="33"/>
  <c r="BN104" i="33"/>
  <c r="AN104" i="33"/>
  <c r="BL103" i="33"/>
  <c r="BO103" i="33"/>
  <c r="BN103" i="33"/>
  <c r="AN103" i="33"/>
  <c r="BL82" i="33"/>
  <c r="BO82" i="33"/>
  <c r="BN82" i="33"/>
  <c r="AW82" i="33"/>
  <c r="AN82" i="33"/>
  <c r="AW43" i="33"/>
  <c r="AW55" i="33"/>
  <c r="AW56" i="33"/>
  <c r="AW57" i="33"/>
  <c r="AW58" i="33"/>
  <c r="AW69" i="33"/>
  <c r="AW70" i="33"/>
  <c r="AW71" i="33"/>
  <c r="AW54" i="33"/>
  <c r="V103" i="33" l="1"/>
  <c r="V104" i="33"/>
  <c r="BS105" i="33"/>
  <c r="AO106" i="33"/>
  <c r="AO107" i="33"/>
  <c r="AO109" i="33"/>
  <c r="BR110" i="33"/>
  <c r="BS111" i="33"/>
  <c r="K2" i="4"/>
  <c r="K10" i="4"/>
  <c r="K4" i="4"/>
  <c r="C107" i="12" s="1"/>
  <c r="K8" i="4"/>
  <c r="C93" i="12" s="1"/>
  <c r="K3" i="4"/>
  <c r="C103" i="12" s="1"/>
  <c r="K7" i="4"/>
  <c r="C98" i="12" s="1"/>
  <c r="K6" i="4"/>
  <c r="AX41" i="33" s="1"/>
  <c r="K5" i="4"/>
  <c r="C111" i="12" s="1"/>
  <c r="BS110" i="33"/>
  <c r="BQ105" i="33"/>
  <c r="BK103" i="33"/>
  <c r="AN112" i="33"/>
  <c r="E112" i="33" s="1"/>
  <c r="AO103" i="33"/>
  <c r="BQ109" i="33"/>
  <c r="BQ107" i="33"/>
  <c r="BM108" i="33"/>
  <c r="BU108" i="33" s="1"/>
  <c r="BR109" i="33"/>
  <c r="BM107" i="33"/>
  <c r="BU107" i="33" s="1"/>
  <c r="BS109" i="33"/>
  <c r="BM110" i="33"/>
  <c r="BU110" i="33" s="1"/>
  <c r="BK108" i="33"/>
  <c r="BK107" i="33"/>
  <c r="BM82" i="33"/>
  <c r="BU82" i="33" s="1"/>
  <c r="BK106" i="33"/>
  <c r="AO104" i="33"/>
  <c r="V105" i="33"/>
  <c r="BJ105" i="33" s="1"/>
  <c r="BR108" i="33"/>
  <c r="BS108" i="33"/>
  <c r="BM106" i="33"/>
  <c r="BR107" i="33"/>
  <c r="BS107" i="33"/>
  <c r="BK104" i="33"/>
  <c r="BM105" i="33"/>
  <c r="V111" i="33"/>
  <c r="BJ111" i="33" s="1"/>
  <c r="BR106" i="33"/>
  <c r="BS106" i="33"/>
  <c r="BK111" i="33"/>
  <c r="BM104" i="33"/>
  <c r="AJ104" i="33" s="1"/>
  <c r="AO105" i="33"/>
  <c r="BR105" i="33"/>
  <c r="BK110" i="33"/>
  <c r="BM111" i="33"/>
  <c r="BQ106" i="33"/>
  <c r="BQ104" i="33"/>
  <c r="BR104" i="33"/>
  <c r="BS104" i="33"/>
  <c r="BK109" i="33"/>
  <c r="BR111" i="33"/>
  <c r="BM109" i="33"/>
  <c r="BK82" i="33"/>
  <c r="BR82" i="33"/>
  <c r="BS82" i="33"/>
  <c r="BQ103" i="33"/>
  <c r="BM103" i="33"/>
  <c r="AO82" i="33"/>
  <c r="BJ103" i="33"/>
  <c r="V108" i="33"/>
  <c r="AO110" i="33"/>
  <c r="BQ82" i="33"/>
  <c r="V106" i="33"/>
  <c r="AO108" i="33"/>
  <c r="BQ110" i="33"/>
  <c r="BJ104" i="33"/>
  <c r="V109" i="33"/>
  <c r="AO111" i="33"/>
  <c r="BQ108" i="33"/>
  <c r="V107" i="33"/>
  <c r="BQ111" i="33"/>
  <c r="V82" i="33"/>
  <c r="V110" i="33"/>
  <c r="W78" i="33"/>
  <c r="AB78" i="33"/>
  <c r="AB79" i="33" s="1"/>
  <c r="AR76" i="33" s="1"/>
  <c r="AT76" i="33" s="1"/>
  <c r="AX40" i="33" l="1"/>
  <c r="AX79" i="33"/>
  <c r="C122" i="12"/>
  <c r="AX80" i="33"/>
  <c r="AR75" i="33"/>
  <c r="AA78" i="33" s="1"/>
  <c r="AR77" i="33"/>
  <c r="AJ111" i="33"/>
  <c r="AJ108" i="33"/>
  <c r="AO112" i="33"/>
  <c r="BT107" i="33"/>
  <c r="AJ110" i="33"/>
  <c r="AJ107" i="33"/>
  <c r="BT110" i="33"/>
  <c r="BT108" i="33"/>
  <c r="BT82" i="33"/>
  <c r="AJ82" i="33"/>
  <c r="BU109" i="33"/>
  <c r="BT109" i="33"/>
  <c r="AJ109" i="33"/>
  <c r="AJ105" i="33"/>
  <c r="BU106" i="33"/>
  <c r="BT106" i="33"/>
  <c r="AJ106" i="33"/>
  <c r="BU104" i="33"/>
  <c r="BT104" i="33"/>
  <c r="BU111" i="33"/>
  <c r="BT111" i="33"/>
  <c r="AJ103" i="33"/>
  <c r="BU103" i="33"/>
  <c r="BT103" i="33"/>
  <c r="BJ106" i="33"/>
  <c r="AG79" i="33"/>
  <c r="V112" i="33"/>
  <c r="S112" i="33" s="1"/>
  <c r="BJ82" i="33"/>
  <c r="BQ112" i="33"/>
  <c r="S78" i="33" s="1"/>
  <c r="BJ107" i="33"/>
  <c r="BJ110" i="33"/>
  <c r="BJ109" i="33"/>
  <c r="BJ108" i="33"/>
  <c r="BO54" i="33"/>
  <c r="BL54" i="33"/>
  <c r="BO55" i="33"/>
  <c r="BL55" i="33"/>
  <c r="BO56" i="33"/>
  <c r="BL56" i="33"/>
  <c r="BO57" i="33"/>
  <c r="BL57" i="33"/>
  <c r="BO58" i="33"/>
  <c r="BL58" i="33"/>
  <c r="BO69" i="33"/>
  <c r="BL69" i="33"/>
  <c r="BO70" i="33"/>
  <c r="BL70" i="33"/>
  <c r="BO71" i="33"/>
  <c r="BL71" i="33"/>
  <c r="BO43" i="33"/>
  <c r="BN54" i="33"/>
  <c r="BN55" i="33"/>
  <c r="BN56" i="33"/>
  <c r="BN57" i="33"/>
  <c r="BN58" i="33"/>
  <c r="BN69" i="33"/>
  <c r="BN70" i="33"/>
  <c r="BN71" i="33"/>
  <c r="BN43" i="33"/>
  <c r="AP83" i="33" l="1"/>
  <c r="AP84" i="33"/>
  <c r="Y84" i="33"/>
  <c r="Y83" i="33"/>
  <c r="AP92" i="33"/>
  <c r="AP89" i="33"/>
  <c r="AP88" i="33"/>
  <c r="AP93" i="33"/>
  <c r="AP85" i="33"/>
  <c r="AP86" i="33"/>
  <c r="AP87" i="33"/>
  <c r="AP91" i="33"/>
  <c r="AP90" i="33"/>
  <c r="Y93" i="33"/>
  <c r="Y89" i="33"/>
  <c r="Y85" i="33"/>
  <c r="Y88" i="33"/>
  <c r="Y90" i="33"/>
  <c r="Y86" i="33"/>
  <c r="Y91" i="33"/>
  <c r="Y87" i="33"/>
  <c r="Y92" i="33"/>
  <c r="AP104" i="33"/>
  <c r="AP100" i="33"/>
  <c r="AP96" i="33"/>
  <c r="AP97" i="33"/>
  <c r="AP98" i="33"/>
  <c r="AP102" i="33"/>
  <c r="AP94" i="33"/>
  <c r="AP95" i="33"/>
  <c r="AP101" i="33"/>
  <c r="AP99" i="33"/>
  <c r="Y100" i="33"/>
  <c r="Y96" i="33"/>
  <c r="Y98" i="33"/>
  <c r="Y94" i="33"/>
  <c r="Y95" i="33"/>
  <c r="Y101" i="33"/>
  <c r="Y97" i="33"/>
  <c r="Y99" i="33"/>
  <c r="Y102" i="33"/>
  <c r="AP82" i="33"/>
  <c r="AP110" i="33"/>
  <c r="AP108" i="33"/>
  <c r="AP107" i="33"/>
  <c r="AP106" i="33"/>
  <c r="AP109" i="33"/>
  <c r="AP111" i="33"/>
  <c r="AP105" i="33"/>
  <c r="AP103" i="33"/>
  <c r="BJ112" i="33"/>
  <c r="AN55" i="33" l="1"/>
  <c r="AN56" i="33"/>
  <c r="AN57" i="33"/>
  <c r="AN58" i="33"/>
  <c r="AN69" i="33"/>
  <c r="AN70" i="33"/>
  <c r="AN71" i="33"/>
  <c r="AN54" i="33"/>
  <c r="AN43" i="33"/>
  <c r="AO54" i="33" l="1"/>
  <c r="BS54" i="33"/>
  <c r="BR54" i="33"/>
  <c r="BM54" i="33"/>
  <c r="AO71" i="33"/>
  <c r="BM71" i="33"/>
  <c r="BR71" i="33"/>
  <c r="BK71" i="33"/>
  <c r="BS71" i="33"/>
  <c r="AO70" i="33"/>
  <c r="BM70" i="33"/>
  <c r="BK70" i="33"/>
  <c r="BS70" i="33"/>
  <c r="BR70" i="33"/>
  <c r="AO56" i="33"/>
  <c r="BM56" i="33"/>
  <c r="BS56" i="33"/>
  <c r="BR56" i="33"/>
  <c r="AO69" i="33"/>
  <c r="BK69" i="33"/>
  <c r="BS69" i="33"/>
  <c r="BR69" i="33"/>
  <c r="BM69" i="33"/>
  <c r="AO43" i="33"/>
  <c r="BR43" i="33"/>
  <c r="BS43" i="33"/>
  <c r="AO58" i="33"/>
  <c r="BR58" i="33"/>
  <c r="BS58" i="33"/>
  <c r="BK58" i="33"/>
  <c r="BM58" i="33"/>
  <c r="AO55" i="33"/>
  <c r="BR55" i="33"/>
  <c r="BM55" i="33"/>
  <c r="BS55" i="33"/>
  <c r="BK55" i="33"/>
  <c r="AO57" i="33"/>
  <c r="BS57" i="33"/>
  <c r="BK57" i="33"/>
  <c r="BR57" i="33"/>
  <c r="BM57" i="33"/>
  <c r="V69" i="33"/>
  <c r="BQ69" i="33"/>
  <c r="BQ71" i="33"/>
  <c r="V58" i="33"/>
  <c r="BQ58" i="33"/>
  <c r="BQ70" i="33"/>
  <c r="V57" i="33"/>
  <c r="BQ57" i="33"/>
  <c r="V56" i="33"/>
  <c r="BQ56" i="33"/>
  <c r="BQ54" i="33"/>
  <c r="BQ55" i="33"/>
  <c r="BQ43" i="33"/>
  <c r="V54" i="33"/>
  <c r="V55" i="33"/>
  <c r="V43" i="33"/>
  <c r="V71" i="33"/>
  <c r="V70" i="33"/>
  <c r="AN73" i="33"/>
  <c r="AJ70" i="33" l="1"/>
  <c r="AJ57" i="33"/>
  <c r="AJ55" i="33"/>
  <c r="AJ54" i="33"/>
  <c r="AJ56" i="33"/>
  <c r="AJ71" i="33"/>
  <c r="AJ69" i="33"/>
  <c r="AO73" i="33"/>
  <c r="BT58" i="33"/>
  <c r="BU58" i="33"/>
  <c r="BU70" i="33"/>
  <c r="BT70" i="33"/>
  <c r="BU71" i="33"/>
  <c r="BT71" i="33"/>
  <c r="BT55" i="33"/>
  <c r="BU55" i="33"/>
  <c r="AJ58" i="33"/>
  <c r="BU57" i="33"/>
  <c r="BT57" i="33"/>
  <c r="BU69" i="33"/>
  <c r="BT69" i="33"/>
  <c r="BJ57" i="33"/>
  <c r="BJ58" i="33"/>
  <c r="BJ69" i="33"/>
  <c r="BJ70" i="33"/>
  <c r="BJ71" i="33"/>
  <c r="BQ73" i="33"/>
  <c r="S39" i="33" s="1"/>
  <c r="BJ55" i="33"/>
  <c r="BJ56" i="33"/>
  <c r="BJ43" i="33"/>
  <c r="BJ54" i="33"/>
  <c r="V73" i="33"/>
  <c r="S73" i="33" s="1"/>
  <c r="Y48" i="21"/>
  <c r="H114" i="21"/>
  <c r="F114" i="21"/>
  <c r="AP64" i="33" l="1"/>
  <c r="AP65" i="33"/>
  <c r="AP66" i="33"/>
  <c r="AP62" i="33"/>
  <c r="AP63" i="33"/>
  <c r="AP68" i="33"/>
  <c r="AP67" i="33"/>
  <c r="AP52" i="33"/>
  <c r="AP59" i="33"/>
  <c r="AP60" i="33"/>
  <c r="AP61" i="33"/>
  <c r="AP44" i="33"/>
  <c r="AP48" i="33"/>
  <c r="AP46" i="33"/>
  <c r="AP49" i="33"/>
  <c r="AP45" i="33"/>
  <c r="AP50" i="33"/>
  <c r="AP51" i="33"/>
  <c r="AP53" i="33"/>
  <c r="AP47" i="33"/>
  <c r="AP56" i="33"/>
  <c r="AP72" i="33"/>
  <c r="AP57" i="33"/>
  <c r="AP70" i="33"/>
  <c r="AP43" i="33"/>
  <c r="AP69" i="33"/>
  <c r="AP71" i="33"/>
  <c r="AP54" i="33"/>
  <c r="AP55" i="33"/>
  <c r="AP58" i="33"/>
  <c r="BJ73" i="33"/>
  <c r="I119"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V355" i="19" l="1"/>
  <c r="AV356" i="19"/>
  <c r="O792" i="5"/>
  <c r="M792" i="5"/>
  <c r="GI791" i="5"/>
  <c r="FN791" i="5"/>
  <c r="EZ791" i="5"/>
  <c r="DH791" i="5"/>
  <c r="O791" i="5"/>
  <c r="HY790" i="5"/>
  <c r="HY792" i="5" s="1"/>
  <c r="HT790" i="5"/>
  <c r="HT792" i="5" s="1"/>
  <c r="HS792" i="5"/>
  <c r="N790" i="5"/>
  <c r="GR789" i="5"/>
  <c r="GP789" i="5"/>
  <c r="GP790" i="5" s="1"/>
  <c r="GI789" i="5"/>
  <c r="FC789" i="5"/>
  <c r="EV789" i="5"/>
  <c r="CS789" i="5"/>
  <c r="CS791" i="5" s="1"/>
  <c r="CQ789" i="5"/>
  <c r="AV789" i="5"/>
  <c r="O787" i="5"/>
  <c r="M787" i="5"/>
  <c r="GI786" i="5"/>
  <c r="FN786" i="5"/>
  <c r="FO786" i="5" s="1"/>
  <c r="JH786" i="5" s="1"/>
  <c r="EZ786" i="5"/>
  <c r="DH786" i="5"/>
  <c r="O786" i="5"/>
  <c r="HY785" i="5"/>
  <c r="HY787" i="5" s="1"/>
  <c r="HT785" i="5"/>
  <c r="HT787" i="5" s="1"/>
  <c r="HS787" i="5"/>
  <c r="N785" i="5"/>
  <c r="GR784" i="5"/>
  <c r="GP784" i="5"/>
  <c r="GP785" i="5" s="1"/>
  <c r="GI784" i="5"/>
  <c r="FC784" i="5"/>
  <c r="EV784" i="5"/>
  <c r="CS784" i="5"/>
  <c r="CS786" i="5" s="1"/>
  <c r="FB786" i="5" s="1"/>
  <c r="EY786" i="5" s="1"/>
  <c r="CQ784" i="5"/>
  <c r="CR784" i="5" s="1"/>
  <c r="AV784" i="5"/>
  <c r="O782" i="5"/>
  <c r="M782" i="5"/>
  <c r="GI781" i="5"/>
  <c r="FN781" i="5"/>
  <c r="EZ781" i="5"/>
  <c r="DH781" i="5"/>
  <c r="O781" i="5"/>
  <c r="HY780" i="5"/>
  <c r="HY782" i="5" s="1"/>
  <c r="HT780" i="5"/>
  <c r="HT782" i="5" s="1"/>
  <c r="HS782" i="5"/>
  <c r="N780" i="5"/>
  <c r="CP779" i="5" s="1"/>
  <c r="GR779" i="5"/>
  <c r="GP779" i="5"/>
  <c r="GP780" i="5" s="1"/>
  <c r="GI779" i="5"/>
  <c r="GK779" i="5" s="1"/>
  <c r="HM780" i="5" s="1"/>
  <c r="HM782" i="5" s="1"/>
  <c r="FC779" i="5"/>
  <c r="EV779" i="5"/>
  <c r="CS779" i="5"/>
  <c r="CS781" i="5" s="1"/>
  <c r="CQ779" i="5"/>
  <c r="AV779" i="5"/>
  <c r="O777" i="5"/>
  <c r="M777" i="5"/>
  <c r="GI776" i="5"/>
  <c r="FN776" i="5"/>
  <c r="FO776" i="5" s="1"/>
  <c r="EZ776" i="5"/>
  <c r="DH776" i="5"/>
  <c r="O776" i="5"/>
  <c r="HY775" i="5"/>
  <c r="HY777" i="5" s="1"/>
  <c r="HT775" i="5"/>
  <c r="HT777" i="5" s="1"/>
  <c r="HS777" i="5"/>
  <c r="N775" i="5"/>
  <c r="GR774" i="5"/>
  <c r="GP774" i="5"/>
  <c r="GP775" i="5" s="1"/>
  <c r="GP777" i="5" s="1"/>
  <c r="GO774" i="5"/>
  <c r="GI774" i="5"/>
  <c r="FC774" i="5"/>
  <c r="EV774" i="5"/>
  <c r="CS774" i="5"/>
  <c r="CS776" i="5" s="1"/>
  <c r="CQ774" i="5"/>
  <c r="FL776" i="5" s="1"/>
  <c r="AV774" i="5"/>
  <c r="O772" i="5"/>
  <c r="M772" i="5"/>
  <c r="GI771" i="5"/>
  <c r="FN771" i="5"/>
  <c r="FO771" i="5" s="1"/>
  <c r="EZ771" i="5"/>
  <c r="DH771" i="5"/>
  <c r="O771" i="5"/>
  <c r="HY770" i="5"/>
  <c r="HY772" i="5" s="1"/>
  <c r="HT770" i="5"/>
  <c r="HT772" i="5" s="1"/>
  <c r="HS772" i="5"/>
  <c r="N770" i="5"/>
  <c r="CP769" i="5" s="1"/>
  <c r="GR769" i="5"/>
  <c r="GP769" i="5"/>
  <c r="GO769" i="5" s="1"/>
  <c r="GI769" i="5"/>
  <c r="FC769" i="5"/>
  <c r="EV769" i="5"/>
  <c r="CS769" i="5"/>
  <c r="CS771" i="5" s="1"/>
  <c r="CQ769" i="5"/>
  <c r="FE771" i="5" s="1"/>
  <c r="JG771" i="5" s="1"/>
  <c r="AV769" i="5"/>
  <c r="O767" i="5"/>
  <c r="M767" i="5"/>
  <c r="GI766" i="5"/>
  <c r="FN766" i="5"/>
  <c r="FO766" i="5" s="1"/>
  <c r="JH766" i="5" s="1"/>
  <c r="EZ766" i="5"/>
  <c r="DH766" i="5"/>
  <c r="O766" i="5"/>
  <c r="HY765" i="5"/>
  <c r="HY767" i="5" s="1"/>
  <c r="HT765" i="5"/>
  <c r="HT767" i="5" s="1"/>
  <c r="HS767" i="5"/>
  <c r="N765" i="5"/>
  <c r="GR764" i="5"/>
  <c r="GP764" i="5"/>
  <c r="GP765" i="5" s="1"/>
  <c r="GI764" i="5"/>
  <c r="FC764" i="5"/>
  <c r="EV764" i="5"/>
  <c r="CS764" i="5"/>
  <c r="CS766" i="5" s="1"/>
  <c r="FB764" i="5" s="1"/>
  <c r="EY764" i="5" s="1"/>
  <c r="CQ764" i="5"/>
  <c r="FS766" i="5" s="1"/>
  <c r="AV764" i="5"/>
  <c r="O762" i="5"/>
  <c r="M762" i="5"/>
  <c r="GI761" i="5"/>
  <c r="FN761" i="5"/>
  <c r="FO761" i="5" s="1"/>
  <c r="JH761" i="5" s="1"/>
  <c r="EZ761" i="5"/>
  <c r="DH761" i="5"/>
  <c r="O761" i="5"/>
  <c r="HY760" i="5"/>
  <c r="HY762" i="5" s="1"/>
  <c r="HT760" i="5"/>
  <c r="HT762" i="5" s="1"/>
  <c r="HS762" i="5"/>
  <c r="N760" i="5"/>
  <c r="CP759" i="5" s="1"/>
  <c r="GR759" i="5"/>
  <c r="GP759" i="5"/>
  <c r="GO759" i="5" s="1"/>
  <c r="GI759" i="5"/>
  <c r="FC759" i="5"/>
  <c r="EV759" i="5"/>
  <c r="CS759" i="5"/>
  <c r="CS761" i="5" s="1"/>
  <c r="FB761" i="5" s="1"/>
  <c r="EY761" i="5" s="1"/>
  <c r="CQ759" i="5"/>
  <c r="HV760" i="5" s="1"/>
  <c r="HV762" i="5" s="1"/>
  <c r="AV759" i="5"/>
  <c r="O757" i="5"/>
  <c r="M757" i="5"/>
  <c r="GI756" i="5"/>
  <c r="FN756" i="5"/>
  <c r="FO756" i="5" s="1"/>
  <c r="JH756" i="5" s="1"/>
  <c r="EZ756" i="5"/>
  <c r="DH756" i="5"/>
  <c r="O756" i="5"/>
  <c r="HY755" i="5"/>
  <c r="HY757" i="5" s="1"/>
  <c r="HT755" i="5"/>
  <c r="HT757" i="5" s="1"/>
  <c r="HS757" i="5"/>
  <c r="N755" i="5"/>
  <c r="CP754" i="5" s="1"/>
  <c r="GR754" i="5"/>
  <c r="GP754" i="5"/>
  <c r="GI754" i="5"/>
  <c r="GK754" i="5" s="1"/>
  <c r="HM755" i="5" s="1"/>
  <c r="HM757" i="5" s="1"/>
  <c r="FC754" i="5"/>
  <c r="EV754" i="5"/>
  <c r="CS754" i="5"/>
  <c r="CS756" i="5" s="1"/>
  <c r="CQ754" i="5"/>
  <c r="AV754" i="5"/>
  <c r="O752" i="5"/>
  <c r="M752" i="5"/>
  <c r="GI751" i="5"/>
  <c r="FN751" i="5"/>
  <c r="FO751" i="5" s="1"/>
  <c r="EZ751" i="5"/>
  <c r="DH751" i="5"/>
  <c r="O751" i="5"/>
  <c r="HY750" i="5"/>
  <c r="HY752" i="5" s="1"/>
  <c r="HT750" i="5"/>
  <c r="HT752" i="5" s="1"/>
  <c r="HS752" i="5"/>
  <c r="N750" i="5"/>
  <c r="GR749" i="5"/>
  <c r="GP749" i="5"/>
  <c r="GP750" i="5" s="1"/>
  <c r="GP752" i="5" s="1"/>
  <c r="GI749" i="5"/>
  <c r="FC749" i="5"/>
  <c r="EV749" i="5"/>
  <c r="CS749" i="5"/>
  <c r="CS751" i="5" s="1"/>
  <c r="CQ749" i="5"/>
  <c r="CP749" i="5"/>
  <c r="AV749" i="5"/>
  <c r="O747" i="5"/>
  <c r="M747" i="5"/>
  <c r="GI746" i="5"/>
  <c r="FN746" i="5"/>
  <c r="FO746" i="5" s="1"/>
  <c r="EZ746" i="5"/>
  <c r="DH746" i="5"/>
  <c r="O746" i="5"/>
  <c r="HY745" i="5"/>
  <c r="HY747" i="5" s="1"/>
  <c r="HT745" i="5"/>
  <c r="HT747" i="5" s="1"/>
  <c r="HS747" i="5"/>
  <c r="N745" i="5"/>
  <c r="GR744" i="5"/>
  <c r="GP744" i="5"/>
  <c r="GP745" i="5" s="1"/>
  <c r="GP747" i="5" s="1"/>
  <c r="GI744" i="5"/>
  <c r="FC744" i="5"/>
  <c r="EV744" i="5"/>
  <c r="CS744" i="5"/>
  <c r="CS746" i="5" s="1"/>
  <c r="EX744" i="5" s="1"/>
  <c r="CQ744" i="5"/>
  <c r="AV744" i="5"/>
  <c r="O742" i="5"/>
  <c r="M742" i="5"/>
  <c r="GI741" i="5"/>
  <c r="FN741" i="5"/>
  <c r="FO741" i="5" s="1"/>
  <c r="JH741" i="5" s="1"/>
  <c r="EZ741" i="5"/>
  <c r="DH741" i="5"/>
  <c r="O741" i="5"/>
  <c r="HY740" i="5"/>
  <c r="HY742" i="5" s="1"/>
  <c r="HT740" i="5"/>
  <c r="HT742" i="5" s="1"/>
  <c r="HS742" i="5"/>
  <c r="N740" i="5"/>
  <c r="CP739" i="5" s="1"/>
  <c r="GR739" i="5"/>
  <c r="GP739" i="5"/>
  <c r="GO739" i="5" s="1"/>
  <c r="GI739" i="5"/>
  <c r="FC739" i="5"/>
  <c r="EV739" i="5"/>
  <c r="CS739" i="5"/>
  <c r="CS741" i="5" s="1"/>
  <c r="CQ739" i="5"/>
  <c r="FL739" i="5" s="1"/>
  <c r="AV739" i="5"/>
  <c r="O737" i="5"/>
  <c r="M737" i="5"/>
  <c r="GI736" i="5"/>
  <c r="FN736" i="5"/>
  <c r="FO736" i="5" s="1"/>
  <c r="JH736" i="5" s="1"/>
  <c r="EZ736" i="5"/>
  <c r="DH736" i="5"/>
  <c r="O736" i="5"/>
  <c r="HY735" i="5"/>
  <c r="HY737" i="5" s="1"/>
  <c r="HT735" i="5"/>
  <c r="HT737" i="5" s="1"/>
  <c r="HS737" i="5"/>
  <c r="N735" i="5"/>
  <c r="GR734" i="5"/>
  <c r="GP734" i="5"/>
  <c r="GO734" i="5" s="1"/>
  <c r="GI734" i="5"/>
  <c r="FC734" i="5"/>
  <c r="EV734" i="5"/>
  <c r="CS734" i="5"/>
  <c r="CS736" i="5" s="1"/>
  <c r="CQ734" i="5"/>
  <c r="CR736" i="5" s="1"/>
  <c r="AV734" i="5"/>
  <c r="O732" i="5"/>
  <c r="M732" i="5"/>
  <c r="GI731" i="5"/>
  <c r="FN731" i="5"/>
  <c r="FO731" i="5" s="1"/>
  <c r="JH731" i="5" s="1"/>
  <c r="EZ731" i="5"/>
  <c r="DH731" i="5"/>
  <c r="O731" i="5"/>
  <c r="HY730" i="5"/>
  <c r="HY732" i="5" s="1"/>
  <c r="HT730" i="5"/>
  <c r="HT732" i="5" s="1"/>
  <c r="HS732" i="5"/>
  <c r="N730" i="5"/>
  <c r="CP729" i="5" s="1"/>
  <c r="GR729" i="5"/>
  <c r="GP729" i="5"/>
  <c r="GP730" i="5" s="1"/>
  <c r="GI729" i="5"/>
  <c r="FC729" i="5"/>
  <c r="EV729" i="5"/>
  <c r="CS729" i="5"/>
  <c r="CS731" i="5" s="1"/>
  <c r="EX729" i="5" s="1"/>
  <c r="CQ729" i="5"/>
  <c r="FS731" i="5" s="1"/>
  <c r="AV729" i="5"/>
  <c r="O727" i="5"/>
  <c r="M727" i="5"/>
  <c r="GI726" i="5"/>
  <c r="FN726" i="5"/>
  <c r="FO726" i="5" s="1"/>
  <c r="EZ726" i="5"/>
  <c r="DH726" i="5"/>
  <c r="O726" i="5"/>
  <c r="HY725" i="5"/>
  <c r="HY727" i="5" s="1"/>
  <c r="HT725" i="5"/>
  <c r="HT727" i="5" s="1"/>
  <c r="HS727" i="5"/>
  <c r="N725" i="5"/>
  <c r="CP724" i="5" s="1"/>
  <c r="GR724" i="5"/>
  <c r="GP724" i="5"/>
  <c r="GP725" i="5" s="1"/>
  <c r="GI724" i="5"/>
  <c r="FC724" i="5"/>
  <c r="EV724" i="5"/>
  <c r="CS724" i="5"/>
  <c r="CS726" i="5" s="1"/>
  <c r="CQ724" i="5"/>
  <c r="AV724" i="5"/>
  <c r="O722" i="5"/>
  <c r="M722" i="5"/>
  <c r="GI721" i="5"/>
  <c r="FN721" i="5"/>
  <c r="EZ721" i="5"/>
  <c r="DH721" i="5"/>
  <c r="O721" i="5"/>
  <c r="HY720" i="5"/>
  <c r="HY722" i="5" s="1"/>
  <c r="HT720" i="5"/>
  <c r="HT722" i="5" s="1"/>
  <c r="HS722" i="5"/>
  <c r="N720" i="5"/>
  <c r="CP719" i="5" s="1"/>
  <c r="GR719" i="5"/>
  <c r="GP719" i="5"/>
  <c r="GP720" i="5" s="1"/>
  <c r="GI719" i="5"/>
  <c r="FC719" i="5"/>
  <c r="EV719" i="5"/>
  <c r="CS719" i="5"/>
  <c r="CS721" i="5" s="1"/>
  <c r="CQ719" i="5"/>
  <c r="FE721" i="5" s="1"/>
  <c r="JG721" i="5" s="1"/>
  <c r="AV719" i="5"/>
  <c r="O714" i="5"/>
  <c r="M714" i="5"/>
  <c r="GI713" i="5"/>
  <c r="FN713" i="5"/>
  <c r="FO713" i="5" s="1"/>
  <c r="EZ713" i="5"/>
  <c r="DH713" i="5"/>
  <c r="O713" i="5"/>
  <c r="HY712" i="5"/>
  <c r="HY714" i="5" s="1"/>
  <c r="HT712" i="5"/>
  <c r="HT714" i="5" s="1"/>
  <c r="HS714" i="5"/>
  <c r="N712" i="5"/>
  <c r="CP711" i="5" s="1"/>
  <c r="GR711" i="5"/>
  <c r="GP711" i="5"/>
  <c r="GP712" i="5" s="1"/>
  <c r="GP714" i="5" s="1"/>
  <c r="GI711" i="5"/>
  <c r="FC711" i="5"/>
  <c r="EV711" i="5"/>
  <c r="CS711" i="5"/>
  <c r="CS713" i="5" s="1"/>
  <c r="CQ711" i="5"/>
  <c r="CR713" i="5" s="1"/>
  <c r="AV711" i="5"/>
  <c r="O709" i="5"/>
  <c r="M709" i="5"/>
  <c r="GI708" i="5"/>
  <c r="FN708" i="5"/>
  <c r="FO708" i="5" s="1"/>
  <c r="JH708" i="5" s="1"/>
  <c r="EZ708" i="5"/>
  <c r="DH708" i="5"/>
  <c r="O708" i="5"/>
  <c r="HY707" i="5"/>
  <c r="HY709" i="5" s="1"/>
  <c r="HT707" i="5"/>
  <c r="HT709" i="5" s="1"/>
  <c r="HS709" i="5"/>
  <c r="N707" i="5"/>
  <c r="CP706" i="5" s="1"/>
  <c r="GR706" i="5"/>
  <c r="GP706" i="5"/>
  <c r="GP707" i="5" s="1"/>
  <c r="GI706" i="5"/>
  <c r="GK706" i="5" s="1"/>
  <c r="HM707" i="5" s="1"/>
  <c r="HM709" i="5" s="1"/>
  <c r="FC706" i="5"/>
  <c r="EV706" i="5"/>
  <c r="CS706" i="5"/>
  <c r="CS708" i="5" s="1"/>
  <c r="CQ706" i="5"/>
  <c r="AV706" i="5"/>
  <c r="O704" i="5"/>
  <c r="M704" i="5"/>
  <c r="GI703" i="5"/>
  <c r="FN703" i="5"/>
  <c r="EZ703" i="5"/>
  <c r="DH703" i="5"/>
  <c r="O703" i="5"/>
  <c r="HY702" i="5"/>
  <c r="HY704" i="5" s="1"/>
  <c r="HT702" i="5"/>
  <c r="HT704" i="5" s="1"/>
  <c r="HS704" i="5"/>
  <c r="N702" i="5"/>
  <c r="GR701" i="5"/>
  <c r="GP701" i="5"/>
  <c r="GP702" i="5" s="1"/>
  <c r="GI701" i="5"/>
  <c r="FC701" i="5"/>
  <c r="EV701" i="5"/>
  <c r="CS701" i="5"/>
  <c r="CS703" i="5" s="1"/>
  <c r="EX701" i="5" s="1"/>
  <c r="CQ701" i="5"/>
  <c r="HV702" i="5" s="1"/>
  <c r="HV704" i="5" s="1"/>
  <c r="AV701" i="5"/>
  <c r="O699" i="5"/>
  <c r="M699" i="5"/>
  <c r="GI698" i="5"/>
  <c r="FN698" i="5"/>
  <c r="FO698" i="5" s="1"/>
  <c r="JH698" i="5" s="1"/>
  <c r="EZ698" i="5"/>
  <c r="DH698" i="5"/>
  <c r="O698" i="5"/>
  <c r="HY697" i="5"/>
  <c r="HY699" i="5" s="1"/>
  <c r="HT697" i="5"/>
  <c r="HT699" i="5" s="1"/>
  <c r="HS699" i="5"/>
  <c r="N697" i="5"/>
  <c r="GR696" i="5"/>
  <c r="GP696" i="5"/>
  <c r="GO696" i="5" s="1"/>
  <c r="GI696" i="5"/>
  <c r="FC696" i="5"/>
  <c r="EV696" i="5"/>
  <c r="CS696" i="5"/>
  <c r="CS698" i="5" s="1"/>
  <c r="FB696" i="5" s="1"/>
  <c r="EY696" i="5" s="1"/>
  <c r="CQ696" i="5"/>
  <c r="FE698" i="5" s="1"/>
  <c r="JG698" i="5" s="1"/>
  <c r="AV696" i="5"/>
  <c r="O694" i="5"/>
  <c r="M694" i="5"/>
  <c r="GI693" i="5"/>
  <c r="FN693" i="5"/>
  <c r="FO693" i="5" s="1"/>
  <c r="EZ693" i="5"/>
  <c r="DH693" i="5"/>
  <c r="O693" i="5"/>
  <c r="HY692" i="5"/>
  <c r="HY694" i="5" s="1"/>
  <c r="HT692" i="5"/>
  <c r="HT694" i="5" s="1"/>
  <c r="HS694" i="5"/>
  <c r="N692" i="5"/>
  <c r="CP691" i="5" s="1"/>
  <c r="GR691" i="5"/>
  <c r="GP691" i="5"/>
  <c r="GP692" i="5" s="1"/>
  <c r="GP694" i="5" s="1"/>
  <c r="GI691" i="5"/>
  <c r="GK691" i="5" s="1"/>
  <c r="HM692" i="5" s="1"/>
  <c r="HM694" i="5" s="1"/>
  <c r="FC691" i="5"/>
  <c r="EV691" i="5"/>
  <c r="CS691" i="5"/>
  <c r="CS693" i="5" s="1"/>
  <c r="EX691" i="5" s="1"/>
  <c r="CQ691" i="5"/>
  <c r="FS693" i="5" s="1"/>
  <c r="AV691" i="5"/>
  <c r="O689" i="5"/>
  <c r="M689" i="5"/>
  <c r="GI688" i="5"/>
  <c r="FN688" i="5"/>
  <c r="FO688" i="5" s="1"/>
  <c r="JH688" i="5" s="1"/>
  <c r="EZ688" i="5"/>
  <c r="DH688" i="5"/>
  <c r="O688" i="5"/>
  <c r="HY687" i="5"/>
  <c r="HY689" i="5" s="1"/>
  <c r="HT687" i="5"/>
  <c r="HT689" i="5" s="1"/>
  <c r="HS689" i="5"/>
  <c r="N687" i="5"/>
  <c r="GR686" i="5"/>
  <c r="GP686" i="5"/>
  <c r="GP687" i="5" s="1"/>
  <c r="GI686" i="5"/>
  <c r="FC686" i="5"/>
  <c r="EV686" i="5"/>
  <c r="CS686" i="5"/>
  <c r="CS688" i="5" s="1"/>
  <c r="EX686" i="5" s="1"/>
  <c r="CQ686" i="5"/>
  <c r="HW687" i="5" s="1"/>
  <c r="HW689" i="5" s="1"/>
  <c r="AV686" i="5"/>
  <c r="O684" i="5"/>
  <c r="M684" i="5"/>
  <c r="GI683" i="5"/>
  <c r="FN683" i="5"/>
  <c r="FO683" i="5" s="1"/>
  <c r="JH683" i="5" s="1"/>
  <c r="EZ683" i="5"/>
  <c r="DH683" i="5"/>
  <c r="O683" i="5"/>
  <c r="HY682" i="5"/>
  <c r="HY684" i="5" s="1"/>
  <c r="HT682" i="5"/>
  <c r="HT684" i="5" s="1"/>
  <c r="HS684" i="5"/>
  <c r="N682" i="5"/>
  <c r="GR681" i="5"/>
  <c r="GP681" i="5"/>
  <c r="GP682" i="5" s="1"/>
  <c r="GI681" i="5"/>
  <c r="GK681" i="5" s="1"/>
  <c r="HM682" i="5" s="1"/>
  <c r="HM684" i="5" s="1"/>
  <c r="FC681" i="5"/>
  <c r="EV681" i="5"/>
  <c r="CS681" i="5"/>
  <c r="CS683" i="5" s="1"/>
  <c r="CQ681" i="5"/>
  <c r="HW682" i="5" s="1"/>
  <c r="HW684" i="5" s="1"/>
  <c r="CP681" i="5"/>
  <c r="AV681" i="5"/>
  <c r="O679" i="5"/>
  <c r="M679" i="5"/>
  <c r="GI678" i="5"/>
  <c r="FN678" i="5"/>
  <c r="EZ678" i="5"/>
  <c r="DH678" i="5"/>
  <c r="O678" i="5"/>
  <c r="HY677" i="5"/>
  <c r="HY679" i="5" s="1"/>
  <c r="HT677" i="5"/>
  <c r="HT679" i="5" s="1"/>
  <c r="HS679" i="5"/>
  <c r="N677" i="5"/>
  <c r="GR676" i="5"/>
  <c r="GP676" i="5"/>
  <c r="GP677" i="5" s="1"/>
  <c r="GI676" i="5"/>
  <c r="GK676" i="5" s="1"/>
  <c r="HM677" i="5" s="1"/>
  <c r="HM679" i="5" s="1"/>
  <c r="FC676" i="5"/>
  <c r="EV676" i="5"/>
  <c r="CS676" i="5"/>
  <c r="CS678" i="5" s="1"/>
  <c r="CQ676" i="5"/>
  <c r="AV676" i="5"/>
  <c r="O674" i="5"/>
  <c r="M674" i="5"/>
  <c r="GI673" i="5"/>
  <c r="FN673" i="5"/>
  <c r="FO673" i="5" s="1"/>
  <c r="EZ673" i="5"/>
  <c r="DH673" i="5"/>
  <c r="O673" i="5"/>
  <c r="HY672" i="5"/>
  <c r="HY674" i="5" s="1"/>
  <c r="HT672" i="5"/>
  <c r="HT674" i="5" s="1"/>
  <c r="HS674" i="5"/>
  <c r="N672" i="5"/>
  <c r="GR671" i="5"/>
  <c r="GP671" i="5"/>
  <c r="GP672" i="5" s="1"/>
  <c r="GP674" i="5" s="1"/>
  <c r="GI671" i="5"/>
  <c r="FC671" i="5"/>
  <c r="EV671" i="5"/>
  <c r="CS671" i="5"/>
  <c r="CQ671" i="5"/>
  <c r="FL673" i="5" s="1"/>
  <c r="AV671" i="5"/>
  <c r="O669" i="5"/>
  <c r="M669" i="5"/>
  <c r="GI668" i="5"/>
  <c r="FN668" i="5"/>
  <c r="FO668" i="5" s="1"/>
  <c r="EZ668" i="5"/>
  <c r="DH668" i="5"/>
  <c r="O668" i="5"/>
  <c r="HY667" i="5"/>
  <c r="HY669" i="5" s="1"/>
  <c r="HT667" i="5"/>
  <c r="HT669" i="5" s="1"/>
  <c r="HS669" i="5"/>
  <c r="N667" i="5"/>
  <c r="CP666" i="5" s="1"/>
  <c r="GR666" i="5"/>
  <c r="GP666" i="5"/>
  <c r="GI666" i="5"/>
  <c r="GK666" i="5" s="1"/>
  <c r="HM667" i="5" s="1"/>
  <c r="HM669" i="5" s="1"/>
  <c r="FC666" i="5"/>
  <c r="EV666" i="5"/>
  <c r="CS666" i="5"/>
  <c r="CS668" i="5" s="1"/>
  <c r="EX666" i="5" s="1"/>
  <c r="CQ666" i="5"/>
  <c r="HV667" i="5" s="1"/>
  <c r="HV669" i="5" s="1"/>
  <c r="AV666" i="5"/>
  <c r="O664" i="5"/>
  <c r="M664" i="5"/>
  <c r="GI663" i="5"/>
  <c r="FN663" i="5"/>
  <c r="FO663" i="5" s="1"/>
  <c r="JH663" i="5" s="1"/>
  <c r="EZ663" i="5"/>
  <c r="DH663" i="5"/>
  <c r="O663" i="5"/>
  <c r="HY662" i="5"/>
  <c r="HY664" i="5" s="1"/>
  <c r="HT662" i="5"/>
  <c r="HT664" i="5" s="1"/>
  <c r="HS664" i="5"/>
  <c r="N662" i="5"/>
  <c r="CP661" i="5" s="1"/>
  <c r="GR661" i="5"/>
  <c r="GP661" i="5"/>
  <c r="GI661" i="5"/>
  <c r="GK661" i="5" s="1"/>
  <c r="HM662" i="5" s="1"/>
  <c r="HM664" i="5" s="1"/>
  <c r="FC661" i="5"/>
  <c r="EV661" i="5"/>
  <c r="CS661" i="5"/>
  <c r="CS663" i="5" s="1"/>
  <c r="FB661" i="5" s="1"/>
  <c r="EY661" i="5" s="1"/>
  <c r="CQ661" i="5"/>
  <c r="FS663" i="5" s="1"/>
  <c r="AV661" i="5"/>
  <c r="O659" i="5"/>
  <c r="M659" i="5"/>
  <c r="GI658" i="5"/>
  <c r="FN658" i="5"/>
  <c r="FO658" i="5" s="1"/>
  <c r="EZ658" i="5"/>
  <c r="DH658" i="5"/>
  <c r="O658" i="5"/>
  <c r="HY657" i="5"/>
  <c r="HY659" i="5" s="1"/>
  <c r="HT657" i="5"/>
  <c r="HT659" i="5" s="1"/>
  <c r="HS659" i="5"/>
  <c r="N657" i="5"/>
  <c r="CP656" i="5" s="1"/>
  <c r="GR656" i="5"/>
  <c r="GP656" i="5"/>
  <c r="GO656" i="5" s="1"/>
  <c r="GI656" i="5"/>
  <c r="FC656" i="5"/>
  <c r="EV656" i="5"/>
  <c r="CS656" i="5"/>
  <c r="CS658" i="5" s="1"/>
  <c r="EX658" i="5" s="1"/>
  <c r="CQ656" i="5"/>
  <c r="FS658" i="5" s="1"/>
  <c r="AV656" i="5"/>
  <c r="O654" i="5"/>
  <c r="M654" i="5"/>
  <c r="GI653" i="5"/>
  <c r="FN653" i="5"/>
  <c r="FO653" i="5" s="1"/>
  <c r="EZ653" i="5"/>
  <c r="DH653" i="5"/>
  <c r="O653" i="5"/>
  <c r="HY652" i="5"/>
  <c r="HY654" i="5" s="1"/>
  <c r="HT652" i="5"/>
  <c r="HT654" i="5" s="1"/>
  <c r="HS654" i="5"/>
  <c r="N652" i="5"/>
  <c r="CP651" i="5" s="1"/>
  <c r="GR651" i="5"/>
  <c r="GP651" i="5"/>
  <c r="GP652" i="5" s="1"/>
  <c r="GI651" i="5"/>
  <c r="FC651" i="5"/>
  <c r="EV651" i="5"/>
  <c r="CS651" i="5"/>
  <c r="CS653" i="5" s="1"/>
  <c r="CQ651" i="5"/>
  <c r="CR653" i="5" s="1"/>
  <c r="AV651" i="5"/>
  <c r="O649" i="5"/>
  <c r="M649" i="5"/>
  <c r="GI648" i="5"/>
  <c r="FN648" i="5"/>
  <c r="FO648" i="5" s="1"/>
  <c r="JH648" i="5" s="1"/>
  <c r="EZ648" i="5"/>
  <c r="DH648" i="5"/>
  <c r="O648" i="5"/>
  <c r="HY647" i="5"/>
  <c r="HY649" i="5" s="1"/>
  <c r="HT647" i="5"/>
  <c r="HT649" i="5" s="1"/>
  <c r="HS649" i="5"/>
  <c r="N647" i="5"/>
  <c r="CP646" i="5" s="1"/>
  <c r="GR646" i="5"/>
  <c r="GP646" i="5"/>
  <c r="GO646" i="5" s="1"/>
  <c r="GI646" i="5"/>
  <c r="FC646" i="5"/>
  <c r="EV646" i="5"/>
  <c r="CS646" i="5"/>
  <c r="CS648" i="5" s="1"/>
  <c r="CQ646" i="5"/>
  <c r="FS648" i="5" s="1"/>
  <c r="AV646" i="5"/>
  <c r="O644" i="5"/>
  <c r="M644" i="5"/>
  <c r="GI643" i="5"/>
  <c r="FN643" i="5"/>
  <c r="FO643" i="5" s="1"/>
  <c r="EZ643" i="5"/>
  <c r="DH643" i="5"/>
  <c r="O643" i="5"/>
  <c r="HY642" i="5"/>
  <c r="HY644" i="5" s="1"/>
  <c r="HT642" i="5"/>
  <c r="HT644" i="5" s="1"/>
  <c r="HS644" i="5"/>
  <c r="N642" i="5"/>
  <c r="CP641" i="5" s="1"/>
  <c r="GR641" i="5"/>
  <c r="GP641" i="5"/>
  <c r="GO641" i="5" s="1"/>
  <c r="GI641" i="5"/>
  <c r="FC641" i="5"/>
  <c r="EV641" i="5"/>
  <c r="CS641" i="5"/>
  <c r="CS643" i="5" s="1"/>
  <c r="CQ641" i="5"/>
  <c r="FL641" i="5" s="1"/>
  <c r="AV641" i="5"/>
  <c r="C304" i="19"/>
  <c r="G299" i="19"/>
  <c r="F277" i="19"/>
  <c r="C281" i="19"/>
  <c r="F294" i="19"/>
  <c r="H285" i="19"/>
  <c r="F298" i="19"/>
  <c r="C286" i="19"/>
  <c r="F302" i="19"/>
  <c r="G297" i="19"/>
  <c r="F279" i="19"/>
  <c r="F301" i="19"/>
  <c r="H299" i="19"/>
  <c r="H296" i="19"/>
  <c r="G285" i="19"/>
  <c r="B278" i="19"/>
  <c r="G302" i="19"/>
  <c r="B283" i="19"/>
  <c r="B299" i="19"/>
  <c r="F280" i="19"/>
  <c r="F283" i="19"/>
  <c r="C298" i="19"/>
  <c r="C295" i="19"/>
  <c r="B279" i="19"/>
  <c r="H282" i="19"/>
  <c r="B300" i="19"/>
  <c r="C290" i="19"/>
  <c r="C297" i="19"/>
  <c r="B277" i="19"/>
  <c r="B302" i="19"/>
  <c r="B276" i="19"/>
  <c r="F282" i="19"/>
  <c r="B282" i="19"/>
  <c r="H281" i="19"/>
  <c r="H283" i="19"/>
  <c r="G301" i="19"/>
  <c r="C283" i="19"/>
  <c r="B303" i="19"/>
  <c r="B304" i="19"/>
  <c r="B284" i="19"/>
  <c r="G277" i="19"/>
  <c r="C282" i="19"/>
  <c r="C277" i="19"/>
  <c r="H284" i="19"/>
  <c r="B285" i="19"/>
  <c r="H280" i="19"/>
  <c r="B296" i="19"/>
  <c r="G280" i="19"/>
  <c r="B297" i="19"/>
  <c r="B295" i="19"/>
  <c r="C285" i="19"/>
  <c r="H303" i="19"/>
  <c r="D290" i="19"/>
  <c r="G284" i="19"/>
  <c r="G281" i="19"/>
  <c r="C302" i="19"/>
  <c r="B290" i="19"/>
  <c r="G276" i="19"/>
  <c r="H301" i="19"/>
  <c r="C296" i="19"/>
  <c r="G279" i="19"/>
  <c r="C294" i="19"/>
  <c r="C300" i="19"/>
  <c r="H276" i="19"/>
  <c r="C278" i="19"/>
  <c r="G278" i="19"/>
  <c r="F295" i="19"/>
  <c r="C284" i="19"/>
  <c r="G303" i="19"/>
  <c r="F276" i="19"/>
  <c r="B298" i="19"/>
  <c r="C301" i="19"/>
  <c r="D272" i="19"/>
  <c r="B301" i="19"/>
  <c r="F285" i="19"/>
  <c r="C280" i="19"/>
  <c r="H278" i="19"/>
  <c r="B286" i="19"/>
  <c r="F281" i="19"/>
  <c r="C299" i="19"/>
  <c r="F303" i="19"/>
  <c r="G283" i="19"/>
  <c r="H297" i="19"/>
  <c r="F299" i="19"/>
  <c r="C272" i="19"/>
  <c r="C279" i="19"/>
  <c r="F296" i="19"/>
  <c r="F300" i="19"/>
  <c r="H277" i="19"/>
  <c r="G296" i="19"/>
  <c r="AM15" i="19"/>
  <c r="G282" i="19"/>
  <c r="B294" i="19"/>
  <c r="B281" i="19"/>
  <c r="F297" i="19"/>
  <c r="F278" i="19"/>
  <c r="B280" i="19"/>
  <c r="C276" i="19"/>
  <c r="H279" i="19"/>
  <c r="F284" i="19"/>
  <c r="C303" i="19"/>
  <c r="H302" i="19"/>
  <c r="AN356" i="19" l="1"/>
  <c r="AM358" i="19"/>
  <c r="FE746" i="5"/>
  <c r="JG746" i="5" s="1"/>
  <c r="CR744" i="5"/>
  <c r="FS744" i="5" s="1"/>
  <c r="GK784" i="5"/>
  <c r="HM785" i="5" s="1"/>
  <c r="HM787" i="5" s="1"/>
  <c r="GK774" i="5"/>
  <c r="HM775" i="5" s="1"/>
  <c r="HM777" i="5" s="1"/>
  <c r="GK764" i="5"/>
  <c r="HM765" i="5" s="1"/>
  <c r="HM767" i="5" s="1"/>
  <c r="GK759" i="5"/>
  <c r="HM760" i="5" s="1"/>
  <c r="HM762" i="5" s="1"/>
  <c r="GP760" i="5"/>
  <c r="GP762" i="5" s="1"/>
  <c r="GK749" i="5"/>
  <c r="HM750" i="5" s="1"/>
  <c r="HM752" i="5" s="1"/>
  <c r="GK744" i="5"/>
  <c r="HM745" i="5" s="1"/>
  <c r="HM747" i="5" s="1"/>
  <c r="HR740" i="5"/>
  <c r="HR742" i="5" s="1"/>
  <c r="GK739" i="5"/>
  <c r="HM740" i="5" s="1"/>
  <c r="HM742" i="5" s="1"/>
  <c r="CR739" i="5"/>
  <c r="FS739" i="5" s="1"/>
  <c r="GK734" i="5"/>
  <c r="HM735" i="5" s="1"/>
  <c r="HM737" i="5" s="1"/>
  <c r="HR730" i="5"/>
  <c r="HR732" i="5" s="1"/>
  <c r="GK729" i="5"/>
  <c r="HM730" i="5" s="1"/>
  <c r="HM732" i="5" s="1"/>
  <c r="FL729" i="5"/>
  <c r="FM729" i="5" s="1"/>
  <c r="FT729" i="5" s="1"/>
  <c r="HV730" i="5"/>
  <c r="HV732" i="5" s="1"/>
  <c r="GK724" i="5"/>
  <c r="HM725" i="5" s="1"/>
  <c r="HM727" i="5" s="1"/>
  <c r="GK719" i="5"/>
  <c r="HM720" i="5" s="1"/>
  <c r="HM722" i="5" s="1"/>
  <c r="GK711" i="5"/>
  <c r="HM712" i="5" s="1"/>
  <c r="HM714" i="5" s="1"/>
  <c r="EX708" i="5"/>
  <c r="EX706" i="5"/>
  <c r="FA706" i="5" s="1"/>
  <c r="FB708" i="5"/>
  <c r="EY708" i="5" s="1"/>
  <c r="GK701" i="5"/>
  <c r="HM702" i="5" s="1"/>
  <c r="HM704" i="5" s="1"/>
  <c r="FB703" i="5"/>
  <c r="EY703" i="5" s="1"/>
  <c r="EX698" i="5"/>
  <c r="GK686" i="5"/>
  <c r="HM687" i="5" s="1"/>
  <c r="HM689" i="5" s="1"/>
  <c r="FB686" i="5"/>
  <c r="EY686" i="5" s="1"/>
  <c r="HO687" i="5" s="1"/>
  <c r="HO689" i="5" s="1"/>
  <c r="GK671" i="5"/>
  <c r="HM672" i="5" s="1"/>
  <c r="HM674" i="5" s="1"/>
  <c r="GK656" i="5"/>
  <c r="HM657" i="5" s="1"/>
  <c r="HM659" i="5" s="1"/>
  <c r="GK651" i="5"/>
  <c r="HM652" i="5" s="1"/>
  <c r="HM654" i="5" s="1"/>
  <c r="GK646" i="5"/>
  <c r="HM647" i="5" s="1"/>
  <c r="HM649" i="5" s="1"/>
  <c r="FB648" i="5"/>
  <c r="EY648" i="5" s="1"/>
  <c r="FB646" i="5"/>
  <c r="EY646" i="5" s="1"/>
  <c r="GK641" i="5"/>
  <c r="HM642" i="5" s="1"/>
  <c r="HM644" i="5" s="1"/>
  <c r="GK789" i="5"/>
  <c r="HM790" i="5" s="1"/>
  <c r="HM792" i="5" s="1"/>
  <c r="GO701" i="5"/>
  <c r="GO691" i="5"/>
  <c r="GO686" i="5"/>
  <c r="GO671" i="5"/>
  <c r="FE653" i="5"/>
  <c r="JG653" i="5" s="1"/>
  <c r="GO651" i="5"/>
  <c r="HR662" i="5"/>
  <c r="HR664" i="5" s="1"/>
  <c r="HW785" i="5"/>
  <c r="HW787" i="5" s="1"/>
  <c r="CR666" i="5"/>
  <c r="IZ666" i="5" s="1"/>
  <c r="FL691" i="5"/>
  <c r="FM691" i="5" s="1"/>
  <c r="FT691" i="5" s="1"/>
  <c r="FL698" i="5"/>
  <c r="FM698" i="5" s="1"/>
  <c r="FL766" i="5"/>
  <c r="FL688" i="5"/>
  <c r="FM688" i="5" s="1"/>
  <c r="FT688" i="5" s="1"/>
  <c r="CR701" i="5"/>
  <c r="IZ701" i="5" s="1"/>
  <c r="HR647" i="5"/>
  <c r="HR649" i="5" s="1"/>
  <c r="FL731" i="5"/>
  <c r="FM731" i="5" s="1"/>
  <c r="FT731" i="5" s="1"/>
  <c r="FU731" i="5" s="1"/>
  <c r="HR760" i="5"/>
  <c r="HR762" i="5" s="1"/>
  <c r="FE786" i="5"/>
  <c r="JG786" i="5" s="1"/>
  <c r="JX784" i="5" s="1"/>
  <c r="FL651" i="5"/>
  <c r="FM651" i="5" s="1"/>
  <c r="FT651" i="5" s="1"/>
  <c r="HW652" i="5"/>
  <c r="HW654" i="5" s="1"/>
  <c r="FL759" i="5"/>
  <c r="FM759" i="5" s="1"/>
  <c r="FT759" i="5" s="1"/>
  <c r="CR648" i="5"/>
  <c r="FL656" i="5"/>
  <c r="FM656" i="5" s="1"/>
  <c r="FT656" i="5" s="1"/>
  <c r="FM673" i="5"/>
  <c r="FT673" i="5" s="1"/>
  <c r="HV692" i="5"/>
  <c r="HV694" i="5" s="1"/>
  <c r="FL696" i="5"/>
  <c r="FM696" i="5" s="1"/>
  <c r="FT696" i="5" s="1"/>
  <c r="FL719" i="5"/>
  <c r="FM719" i="5" s="1"/>
  <c r="FT719" i="5" s="1"/>
  <c r="FL734" i="5"/>
  <c r="FM734" i="5" s="1"/>
  <c r="FT734" i="5" s="1"/>
  <c r="IY666" i="5"/>
  <c r="IU713" i="5"/>
  <c r="JA713" i="5"/>
  <c r="IS713" i="5"/>
  <c r="IZ713" i="5"/>
  <c r="IR713" i="5"/>
  <c r="IX713" i="5"/>
  <c r="IV713" i="5"/>
  <c r="IW713" i="5"/>
  <c r="IT713" i="5"/>
  <c r="IQ713" i="5"/>
  <c r="IY713" i="5"/>
  <c r="FL661" i="5"/>
  <c r="FM661" i="5" s="1"/>
  <c r="FT661" i="5" s="1"/>
  <c r="CR698" i="5"/>
  <c r="FY698" i="5" s="1"/>
  <c r="CR721" i="5"/>
  <c r="FY721" i="5" s="1"/>
  <c r="FL646" i="5"/>
  <c r="FM646" i="5" s="1"/>
  <c r="FT646" i="5" s="1"/>
  <c r="IU653" i="5"/>
  <c r="JA653" i="5"/>
  <c r="IS653" i="5"/>
  <c r="IZ653" i="5"/>
  <c r="IR653" i="5"/>
  <c r="IX653" i="5"/>
  <c r="IV653" i="5"/>
  <c r="IQ653" i="5"/>
  <c r="IT653" i="5"/>
  <c r="IY653" i="5"/>
  <c r="IW653" i="5"/>
  <c r="FE663" i="5"/>
  <c r="JG663" i="5" s="1"/>
  <c r="CR731" i="5"/>
  <c r="HW745" i="5"/>
  <c r="HW747" i="5" s="1"/>
  <c r="CR671" i="5"/>
  <c r="CR651" i="5"/>
  <c r="FS651" i="5" s="1"/>
  <c r="HW662" i="5"/>
  <c r="HW664" i="5" s="1"/>
  <c r="FL663" i="5"/>
  <c r="FM663" i="5" s="1"/>
  <c r="FT663" i="5" s="1"/>
  <c r="FU663" i="5" s="1"/>
  <c r="CR696" i="5"/>
  <c r="FS696" i="5" s="1"/>
  <c r="FL736" i="5"/>
  <c r="FL769" i="5"/>
  <c r="FM769" i="5" s="1"/>
  <c r="FT769" i="5" s="1"/>
  <c r="FE648" i="5"/>
  <c r="JG648" i="5" s="1"/>
  <c r="JX646" i="5" s="1"/>
  <c r="IU736" i="5"/>
  <c r="IT736" i="5"/>
  <c r="JA736" i="5"/>
  <c r="IS736" i="5"/>
  <c r="IZ736" i="5"/>
  <c r="IR736" i="5"/>
  <c r="IX736" i="5"/>
  <c r="IV736" i="5"/>
  <c r="IY736" i="5"/>
  <c r="IW736" i="5"/>
  <c r="IQ736" i="5"/>
  <c r="IW739" i="5"/>
  <c r="IT784" i="5"/>
  <c r="JA784" i="5"/>
  <c r="IS784" i="5"/>
  <c r="IZ784" i="5"/>
  <c r="IR784" i="5"/>
  <c r="IY784" i="5"/>
  <c r="IQ784" i="5"/>
  <c r="IX784" i="5"/>
  <c r="IW784" i="5"/>
  <c r="IU784" i="5"/>
  <c r="IV784" i="5"/>
  <c r="FL721" i="5"/>
  <c r="CR646" i="5"/>
  <c r="FS646" i="5" s="1"/>
  <c r="HW647" i="5"/>
  <c r="HW649" i="5" s="1"/>
  <c r="FL648" i="5"/>
  <c r="CR661" i="5"/>
  <c r="CR673" i="5"/>
  <c r="JC673" i="5" s="1"/>
  <c r="CR663" i="5"/>
  <c r="FY663" i="5" s="1"/>
  <c r="GO719" i="5"/>
  <c r="GP647" i="5"/>
  <c r="GP649" i="5" s="1"/>
  <c r="GO681" i="5"/>
  <c r="GO706" i="5"/>
  <c r="GO711" i="5"/>
  <c r="GO729" i="5"/>
  <c r="GO744" i="5"/>
  <c r="GO749" i="5"/>
  <c r="GO764" i="5"/>
  <c r="GO779" i="5"/>
  <c r="GO789" i="5"/>
  <c r="CP789" i="5"/>
  <c r="FO791" i="5"/>
  <c r="JH791" i="5" s="1"/>
  <c r="EX789" i="5"/>
  <c r="FA789" i="5" s="1"/>
  <c r="GP722" i="5"/>
  <c r="JX719" i="5"/>
  <c r="FB721" i="5"/>
  <c r="EY721" i="5" s="1"/>
  <c r="FB719" i="5"/>
  <c r="EY719" i="5" s="1"/>
  <c r="EX719" i="5"/>
  <c r="EX721" i="5"/>
  <c r="EX726" i="5"/>
  <c r="FB726" i="5"/>
  <c r="EY726" i="5" s="1"/>
  <c r="FB724" i="5"/>
  <c r="EY724" i="5" s="1"/>
  <c r="EX724" i="5"/>
  <c r="GP727" i="5"/>
  <c r="CR726" i="5"/>
  <c r="FS726" i="5"/>
  <c r="HV725" i="5"/>
  <c r="HV727" i="5" s="1"/>
  <c r="FY736" i="5"/>
  <c r="CP774" i="5"/>
  <c r="CR724" i="5"/>
  <c r="FL724" i="5"/>
  <c r="FA729" i="5"/>
  <c r="FA731" i="5"/>
  <c r="EX734" i="5"/>
  <c r="EX736" i="5"/>
  <c r="FB736" i="5"/>
  <c r="EY736" i="5" s="1"/>
  <c r="FB734" i="5"/>
  <c r="EY734" i="5" s="1"/>
  <c r="FO721" i="5"/>
  <c r="FE726" i="5"/>
  <c r="JG726" i="5" s="1"/>
  <c r="FL726" i="5"/>
  <c r="FB729" i="5"/>
  <c r="EY729" i="5" s="1"/>
  <c r="HO730" i="5" s="1"/>
  <c r="HO732" i="5" s="1"/>
  <c r="HW725" i="5"/>
  <c r="HW727" i="5" s="1"/>
  <c r="EX731" i="5"/>
  <c r="HV720" i="5"/>
  <c r="HV722" i="5" s="1"/>
  <c r="FS721" i="5"/>
  <c r="GO724" i="5"/>
  <c r="CR719" i="5"/>
  <c r="HW720" i="5"/>
  <c r="HW722" i="5" s="1"/>
  <c r="JH726" i="5"/>
  <c r="HR725" i="5"/>
  <c r="HR727" i="5" s="1"/>
  <c r="GP732" i="5"/>
  <c r="FB731" i="5"/>
  <c r="EY731" i="5" s="1"/>
  <c r="GP735" i="5"/>
  <c r="JC736" i="5"/>
  <c r="CP734" i="5"/>
  <c r="HV735" i="5"/>
  <c r="HV737" i="5" s="1"/>
  <c r="FE736" i="5"/>
  <c r="JG736" i="5" s="1"/>
  <c r="HW735" i="5"/>
  <c r="HW737" i="5" s="1"/>
  <c r="CR734" i="5"/>
  <c r="JX744" i="5"/>
  <c r="FE731" i="5"/>
  <c r="JG731" i="5" s="1"/>
  <c r="HW730" i="5"/>
  <c r="HW732" i="5" s="1"/>
  <c r="FS736" i="5"/>
  <c r="CR729" i="5"/>
  <c r="HR735" i="5"/>
  <c r="HR737" i="5" s="1"/>
  <c r="EX741" i="5"/>
  <c r="FB739" i="5"/>
  <c r="EY739" i="5" s="1"/>
  <c r="FB741" i="5"/>
  <c r="EY741" i="5" s="1"/>
  <c r="EX739" i="5"/>
  <c r="GP740" i="5"/>
  <c r="CP744" i="5"/>
  <c r="FS741" i="5"/>
  <c r="FE751" i="5"/>
  <c r="JG751" i="5" s="1"/>
  <c r="HW750" i="5"/>
  <c r="HW752" i="5" s="1"/>
  <c r="FS751" i="5"/>
  <c r="HV750" i="5"/>
  <c r="HV752" i="5" s="1"/>
  <c r="FL749" i="5"/>
  <c r="CR751" i="5"/>
  <c r="FL751" i="5"/>
  <c r="CR749" i="5"/>
  <c r="FS756" i="5"/>
  <c r="CR756" i="5"/>
  <c r="FE756" i="5"/>
  <c r="JG756" i="5" s="1"/>
  <c r="HW755" i="5"/>
  <c r="HW757" i="5" s="1"/>
  <c r="CR754" i="5"/>
  <c r="FL756" i="5"/>
  <c r="FL754" i="5"/>
  <c r="FL741" i="5"/>
  <c r="FM739" i="5"/>
  <c r="FT739" i="5" s="1"/>
  <c r="FB751" i="5"/>
  <c r="EY751" i="5" s="1"/>
  <c r="EX751" i="5"/>
  <c r="FB749" i="5"/>
  <c r="EY749" i="5" s="1"/>
  <c r="EX749" i="5"/>
  <c r="HV740" i="5"/>
  <c r="HV742" i="5" s="1"/>
  <c r="FA744" i="5"/>
  <c r="FA746" i="5"/>
  <c r="HW740" i="5"/>
  <c r="HW742" i="5" s="1"/>
  <c r="FE741" i="5"/>
  <c r="JG741" i="5" s="1"/>
  <c r="FB746" i="5"/>
  <c r="EY746" i="5" s="1"/>
  <c r="EX746" i="5"/>
  <c r="FB744" i="5"/>
  <c r="EY744" i="5" s="1"/>
  <c r="HO745" i="5" s="1"/>
  <c r="HO747" i="5" s="1"/>
  <c r="JH746" i="5"/>
  <c r="HR745" i="5"/>
  <c r="HR747" i="5" s="1"/>
  <c r="HV755" i="5"/>
  <c r="HV757" i="5" s="1"/>
  <c r="CR741" i="5"/>
  <c r="FL746" i="5"/>
  <c r="JH751" i="5"/>
  <c r="HR750" i="5"/>
  <c r="HR752" i="5" s="1"/>
  <c r="GP770" i="5"/>
  <c r="CR746" i="5"/>
  <c r="FB756" i="5"/>
  <c r="EY756" i="5" s="1"/>
  <c r="EX754" i="5"/>
  <c r="EX756" i="5"/>
  <c r="FL761" i="5"/>
  <c r="FE761" i="5"/>
  <c r="JG761" i="5" s="1"/>
  <c r="CR761" i="5"/>
  <c r="FS761" i="5"/>
  <c r="HW760" i="5"/>
  <c r="HW762" i="5" s="1"/>
  <c r="CR759" i="5"/>
  <c r="GP767" i="5"/>
  <c r="FB754" i="5"/>
  <c r="EY754" i="5" s="1"/>
  <c r="FL744" i="5"/>
  <c r="GP755" i="5"/>
  <c r="GO754" i="5"/>
  <c r="HV745" i="5"/>
  <c r="HV747" i="5" s="1"/>
  <c r="FS746" i="5"/>
  <c r="EX759" i="5"/>
  <c r="FB766" i="5"/>
  <c r="EY766" i="5" s="1"/>
  <c r="EX764" i="5"/>
  <c r="EX766" i="5"/>
  <c r="GK769" i="5"/>
  <c r="HM770" i="5" s="1"/>
  <c r="HM772" i="5" s="1"/>
  <c r="HR755" i="5"/>
  <c r="HR757" i="5" s="1"/>
  <c r="FL781" i="5"/>
  <c r="FL779" i="5"/>
  <c r="CR781" i="5"/>
  <c r="HW780" i="5"/>
  <c r="HW782" i="5" s="1"/>
  <c r="FE781" i="5"/>
  <c r="JG781" i="5" s="1"/>
  <c r="HV780" i="5"/>
  <c r="HV782" i="5" s="1"/>
  <c r="CR779" i="5"/>
  <c r="FS781" i="5"/>
  <c r="FB759" i="5"/>
  <c r="EY759" i="5" s="1"/>
  <c r="CP764" i="5"/>
  <c r="EX771" i="5"/>
  <c r="FB771" i="5"/>
  <c r="EY771" i="5" s="1"/>
  <c r="FB769" i="5"/>
  <c r="EY769" i="5" s="1"/>
  <c r="EX769" i="5"/>
  <c r="GP792" i="5"/>
  <c r="JX769" i="5"/>
  <c r="EX761" i="5"/>
  <c r="HP760" i="5" s="1"/>
  <c r="HP762" i="5" s="1"/>
  <c r="CR764" i="5"/>
  <c r="HW765" i="5"/>
  <c r="HW767" i="5" s="1"/>
  <c r="FE766" i="5"/>
  <c r="JG766" i="5" s="1"/>
  <c r="HW770" i="5"/>
  <c r="HW772" i="5" s="1"/>
  <c r="FM776" i="5"/>
  <c r="CR771" i="5"/>
  <c r="FL771" i="5"/>
  <c r="JH771" i="5"/>
  <c r="HR770" i="5"/>
  <c r="HR772" i="5" s="1"/>
  <c r="FB774" i="5"/>
  <c r="EY774" i="5" s="1"/>
  <c r="FB776" i="5"/>
  <c r="EY776" i="5" s="1"/>
  <c r="EX774" i="5"/>
  <c r="EX776" i="5"/>
  <c r="JH776" i="5"/>
  <c r="HR775" i="5"/>
  <c r="HR777" i="5" s="1"/>
  <c r="FB779" i="5"/>
  <c r="EY779" i="5" s="1"/>
  <c r="FB781" i="5"/>
  <c r="EY781" i="5" s="1"/>
  <c r="EX781" i="5"/>
  <c r="EX779" i="5"/>
  <c r="GP787" i="5"/>
  <c r="HR765" i="5"/>
  <c r="HR767" i="5" s="1"/>
  <c r="CR766" i="5"/>
  <c r="CR769" i="5"/>
  <c r="FS784" i="5"/>
  <c r="FS771" i="5"/>
  <c r="FL764" i="5"/>
  <c r="HV765" i="5"/>
  <c r="HV767" i="5" s="1"/>
  <c r="HV770" i="5"/>
  <c r="HV772" i="5" s="1"/>
  <c r="GP782" i="5"/>
  <c r="CR776" i="5"/>
  <c r="FL784" i="5"/>
  <c r="CR786" i="5"/>
  <c r="FL786" i="5"/>
  <c r="HV785" i="5"/>
  <c r="HV787" i="5" s="1"/>
  <c r="EX791" i="5"/>
  <c r="FB789" i="5"/>
  <c r="FB791" i="5"/>
  <c r="EY791" i="5" s="1"/>
  <c r="EX784" i="5"/>
  <c r="EX786" i="5"/>
  <c r="HP785" i="5" s="1"/>
  <c r="HP787" i="5" s="1"/>
  <c r="FB784" i="5"/>
  <c r="EY784" i="5" s="1"/>
  <c r="CP784" i="5"/>
  <c r="FL774" i="5"/>
  <c r="CR791" i="5"/>
  <c r="FL791" i="5"/>
  <c r="FE791" i="5"/>
  <c r="JG791" i="5" s="1"/>
  <c r="CR789" i="5"/>
  <c r="FS791" i="5"/>
  <c r="FL789" i="5"/>
  <c r="HV775" i="5"/>
  <c r="HV777" i="5" s="1"/>
  <c r="FS776" i="5"/>
  <c r="CR774" i="5"/>
  <c r="HW775" i="5"/>
  <c r="HW777" i="5" s="1"/>
  <c r="FE776" i="5"/>
  <c r="JG776" i="5" s="1"/>
  <c r="FO781" i="5"/>
  <c r="FS786" i="5"/>
  <c r="FA791" i="5"/>
  <c r="HR785" i="5"/>
  <c r="HR787" i="5" s="1"/>
  <c r="GO784" i="5"/>
  <c r="EX641" i="5"/>
  <c r="EX643" i="5"/>
  <c r="FB643" i="5"/>
  <c r="EY643" i="5" s="1"/>
  <c r="FB641" i="5"/>
  <c r="EY641" i="5" s="1"/>
  <c r="HR642" i="5"/>
  <c r="HR644" i="5" s="1"/>
  <c r="JH643" i="5"/>
  <c r="FS643" i="5"/>
  <c r="CR641" i="5"/>
  <c r="FY653" i="5"/>
  <c r="FL643" i="5"/>
  <c r="EX653" i="5"/>
  <c r="FB651" i="5"/>
  <c r="EY651" i="5" s="1"/>
  <c r="FB653" i="5"/>
  <c r="EY653" i="5" s="1"/>
  <c r="FM641" i="5"/>
  <c r="FT641" i="5" s="1"/>
  <c r="HV642" i="5"/>
  <c r="HV644" i="5" s="1"/>
  <c r="EX651" i="5"/>
  <c r="GP667" i="5"/>
  <c r="GO666" i="5"/>
  <c r="CR643" i="5"/>
  <c r="EX646" i="5"/>
  <c r="FB663" i="5"/>
  <c r="EY663" i="5" s="1"/>
  <c r="EX661" i="5"/>
  <c r="EX663" i="5"/>
  <c r="GP642" i="5"/>
  <c r="FL678" i="5"/>
  <c r="FE678" i="5"/>
  <c r="JG678" i="5" s="1"/>
  <c r="HW677" i="5"/>
  <c r="HW679" i="5" s="1"/>
  <c r="CR676" i="5"/>
  <c r="FL676" i="5"/>
  <c r="HV677" i="5"/>
  <c r="HV679" i="5" s="1"/>
  <c r="CR678" i="5"/>
  <c r="FS678" i="5"/>
  <c r="EX648" i="5"/>
  <c r="HW642" i="5"/>
  <c r="HW644" i="5" s="1"/>
  <c r="FE643" i="5"/>
  <c r="JG643" i="5" s="1"/>
  <c r="JX651" i="5"/>
  <c r="GP654" i="5"/>
  <c r="JC653" i="5"/>
  <c r="JH658" i="5"/>
  <c r="HR657" i="5"/>
  <c r="HR659" i="5" s="1"/>
  <c r="JC648" i="5"/>
  <c r="JH653" i="5"/>
  <c r="HR652" i="5"/>
  <c r="HR654" i="5" s="1"/>
  <c r="EX656" i="5"/>
  <c r="FB658" i="5"/>
  <c r="EY658" i="5" s="1"/>
  <c r="HP657" i="5" s="1"/>
  <c r="HP659" i="5" s="1"/>
  <c r="FB656" i="5"/>
  <c r="EY656" i="5" s="1"/>
  <c r="HV652" i="5"/>
  <c r="HV654" i="5" s="1"/>
  <c r="FS653" i="5"/>
  <c r="GP657" i="5"/>
  <c r="FL653" i="5"/>
  <c r="FE658" i="5"/>
  <c r="JG658" i="5" s="1"/>
  <c r="HW657" i="5"/>
  <c r="HW659" i="5" s="1"/>
  <c r="CR656" i="5"/>
  <c r="FL658" i="5"/>
  <c r="GP662" i="5"/>
  <c r="GO661" i="5"/>
  <c r="HV657" i="5"/>
  <c r="HV659" i="5" s="1"/>
  <c r="CR658" i="5"/>
  <c r="HV647" i="5"/>
  <c r="HV649" i="5" s="1"/>
  <c r="JH673" i="5"/>
  <c r="HR672" i="5"/>
  <c r="HR674" i="5" s="1"/>
  <c r="CR668" i="5"/>
  <c r="FL668" i="5"/>
  <c r="FE668" i="5"/>
  <c r="JG668" i="5" s="1"/>
  <c r="HW667" i="5"/>
  <c r="HW669" i="5" s="1"/>
  <c r="FS668" i="5"/>
  <c r="FL666" i="5"/>
  <c r="JH668" i="5"/>
  <c r="HR667" i="5"/>
  <c r="HR669" i="5" s="1"/>
  <c r="FA666" i="5"/>
  <c r="CS673" i="5"/>
  <c r="CP676" i="5"/>
  <c r="FA691" i="5"/>
  <c r="FA693" i="5"/>
  <c r="CP686" i="5"/>
  <c r="FS666" i="5"/>
  <c r="EX681" i="5"/>
  <c r="EX683" i="5"/>
  <c r="FB681" i="5"/>
  <c r="EY681" i="5" s="1"/>
  <c r="FB683" i="5"/>
  <c r="EY683" i="5" s="1"/>
  <c r="HV662" i="5"/>
  <c r="HV664" i="5" s="1"/>
  <c r="EX668" i="5"/>
  <c r="FB666" i="5"/>
  <c r="EY666" i="5" s="1"/>
  <c r="HO667" i="5" s="1"/>
  <c r="HO669" i="5" s="1"/>
  <c r="FB668" i="5"/>
  <c r="EY668" i="5" s="1"/>
  <c r="CP671" i="5"/>
  <c r="FA668" i="5"/>
  <c r="GP679" i="5"/>
  <c r="FB676" i="5"/>
  <c r="EY676" i="5" s="1"/>
  <c r="EX676" i="5"/>
  <c r="GP684" i="5"/>
  <c r="FE683" i="5"/>
  <c r="JG683" i="5" s="1"/>
  <c r="GP689" i="5"/>
  <c r="EX678" i="5"/>
  <c r="FA688" i="5"/>
  <c r="FA686" i="5"/>
  <c r="FL671" i="5"/>
  <c r="FS673" i="5"/>
  <c r="HV682" i="5"/>
  <c r="HV684" i="5" s="1"/>
  <c r="HV672" i="5"/>
  <c r="HV674" i="5" s="1"/>
  <c r="FB678" i="5"/>
  <c r="EY678" i="5" s="1"/>
  <c r="JH693" i="5"/>
  <c r="HR692" i="5"/>
  <c r="HR694" i="5" s="1"/>
  <c r="HW672" i="5"/>
  <c r="HW674" i="5" s="1"/>
  <c r="FE673" i="5"/>
  <c r="JG673" i="5" s="1"/>
  <c r="FL681" i="5"/>
  <c r="CR683" i="5"/>
  <c r="FL683" i="5"/>
  <c r="FS683" i="5"/>
  <c r="FO678" i="5"/>
  <c r="CR681" i="5"/>
  <c r="GO676" i="5"/>
  <c r="FS688" i="5"/>
  <c r="HV687" i="5"/>
  <c r="HV689" i="5" s="1"/>
  <c r="CR688" i="5"/>
  <c r="CR693" i="5"/>
  <c r="FL693" i="5"/>
  <c r="FE693" i="5"/>
  <c r="JG693" i="5" s="1"/>
  <c r="HW692" i="5"/>
  <c r="HW694" i="5" s="1"/>
  <c r="CR691" i="5"/>
  <c r="HR682" i="5"/>
  <c r="HR684" i="5" s="1"/>
  <c r="CR686" i="5"/>
  <c r="FL686" i="5"/>
  <c r="FE688" i="5"/>
  <c r="JG688" i="5" s="1"/>
  <c r="EX693" i="5"/>
  <c r="FB691" i="5"/>
  <c r="EY691" i="5" s="1"/>
  <c r="HO692" i="5" s="1"/>
  <c r="HO694" i="5" s="1"/>
  <c r="CP696" i="5"/>
  <c r="FB688" i="5"/>
  <c r="EY688" i="5" s="1"/>
  <c r="EX688" i="5"/>
  <c r="JX696" i="5"/>
  <c r="FB693" i="5"/>
  <c r="EY693" i="5" s="1"/>
  <c r="FL706" i="5"/>
  <c r="CR708" i="5"/>
  <c r="FL708" i="5"/>
  <c r="FE708" i="5"/>
  <c r="JG708" i="5" s="1"/>
  <c r="HW707" i="5"/>
  <c r="HW709" i="5" s="1"/>
  <c r="HV707" i="5"/>
  <c r="HV709" i="5" s="1"/>
  <c r="FS708" i="5"/>
  <c r="JH713" i="5"/>
  <c r="HR712" i="5"/>
  <c r="HR714" i="5" s="1"/>
  <c r="HR687" i="5"/>
  <c r="HR689" i="5" s="1"/>
  <c r="GK696" i="5"/>
  <c r="HM697" i="5" s="1"/>
  <c r="HM699" i="5" s="1"/>
  <c r="CP701" i="5"/>
  <c r="CR706" i="5"/>
  <c r="FB698" i="5"/>
  <c r="EY698" i="5" s="1"/>
  <c r="HP697" i="5" s="1"/>
  <c r="HP699" i="5" s="1"/>
  <c r="EX696" i="5"/>
  <c r="GP697" i="5"/>
  <c r="HR697" i="5"/>
  <c r="HR699" i="5" s="1"/>
  <c r="FL703" i="5"/>
  <c r="FL701" i="5"/>
  <c r="FS703" i="5"/>
  <c r="CR703" i="5"/>
  <c r="HW702" i="5"/>
  <c r="HW704" i="5" s="1"/>
  <c r="JC713" i="5"/>
  <c r="FY713" i="5"/>
  <c r="FS701" i="5"/>
  <c r="FA703" i="5"/>
  <c r="FA701" i="5"/>
  <c r="FE703" i="5"/>
  <c r="JG703" i="5" s="1"/>
  <c r="EX713" i="5"/>
  <c r="FB711" i="5"/>
  <c r="EY711" i="5" s="1"/>
  <c r="FB713" i="5"/>
  <c r="EY713" i="5" s="1"/>
  <c r="EX711" i="5"/>
  <c r="FB701" i="5"/>
  <c r="EY701" i="5" s="1"/>
  <c r="HO702" i="5" s="1"/>
  <c r="HO704" i="5" s="1"/>
  <c r="FO703" i="5"/>
  <c r="GP709" i="5"/>
  <c r="HV697" i="5"/>
  <c r="HV699" i="5" s="1"/>
  <c r="FS698" i="5"/>
  <c r="HW697" i="5"/>
  <c r="HW699" i="5" s="1"/>
  <c r="GP704" i="5"/>
  <c r="EX703" i="5"/>
  <c r="FB706" i="5"/>
  <c r="EY706" i="5" s="1"/>
  <c r="FL711" i="5"/>
  <c r="HV712" i="5"/>
  <c r="HV714" i="5" s="1"/>
  <c r="FS713" i="5"/>
  <c r="HR707" i="5"/>
  <c r="HR709" i="5" s="1"/>
  <c r="CR711" i="5"/>
  <c r="HW712" i="5"/>
  <c r="HW714" i="5" s="1"/>
  <c r="FE713" i="5"/>
  <c r="JG713" i="5" s="1"/>
  <c r="FL713" i="5"/>
  <c r="O636" i="5"/>
  <c r="M636" i="5"/>
  <c r="GI635" i="5"/>
  <c r="FN635" i="5"/>
  <c r="FO635" i="5" s="1"/>
  <c r="EZ635" i="5"/>
  <c r="DH635" i="5"/>
  <c r="O635" i="5"/>
  <c r="HY634" i="5"/>
  <c r="HY636" i="5" s="1"/>
  <c r="HT634" i="5"/>
  <c r="HT636" i="5" s="1"/>
  <c r="HS636" i="5"/>
  <c r="N634" i="5"/>
  <c r="CP633" i="5" s="1"/>
  <c r="GR633" i="5"/>
  <c r="GP633" i="5"/>
  <c r="GP634" i="5" s="1"/>
  <c r="GP636" i="5" s="1"/>
  <c r="GI633" i="5"/>
  <c r="FC633" i="5"/>
  <c r="EV633" i="5"/>
  <c r="CS633" i="5"/>
  <c r="CS635" i="5" s="1"/>
  <c r="CQ633" i="5"/>
  <c r="CR635" i="5" s="1"/>
  <c r="FY635" i="5" s="1"/>
  <c r="AV633" i="5"/>
  <c r="O631" i="5"/>
  <c r="M631" i="5"/>
  <c r="GI630" i="5"/>
  <c r="FN630" i="5"/>
  <c r="FO630" i="5" s="1"/>
  <c r="JH630" i="5" s="1"/>
  <c r="EZ630" i="5"/>
  <c r="DH630" i="5"/>
  <c r="O630" i="5"/>
  <c r="HY629" i="5"/>
  <c r="HY631" i="5" s="1"/>
  <c r="HT629" i="5"/>
  <c r="HT631" i="5" s="1"/>
  <c r="HS631" i="5"/>
  <c r="N629" i="5"/>
  <c r="CP628" i="5" s="1"/>
  <c r="GR628" i="5"/>
  <c r="GP628" i="5"/>
  <c r="GP629" i="5" s="1"/>
  <c r="GI628" i="5"/>
  <c r="FC628" i="5"/>
  <c r="EV628" i="5"/>
  <c r="CS628" i="5"/>
  <c r="CS630" i="5" s="1"/>
  <c r="CQ628" i="5"/>
  <c r="HW629" i="5" s="1"/>
  <c r="HW631" i="5" s="1"/>
  <c r="AV628" i="5"/>
  <c r="O626" i="5"/>
  <c r="M626" i="5"/>
  <c r="GI625" i="5"/>
  <c r="FN625" i="5"/>
  <c r="EZ625" i="5"/>
  <c r="DH625" i="5"/>
  <c r="O625" i="5"/>
  <c r="HY624" i="5"/>
  <c r="HY626" i="5" s="1"/>
  <c r="HT624" i="5"/>
  <c r="HT626" i="5" s="1"/>
  <c r="HS626" i="5"/>
  <c r="N624" i="5"/>
  <c r="CP623" i="5" s="1"/>
  <c r="GR623" i="5"/>
  <c r="GP623" i="5"/>
  <c r="GP624" i="5" s="1"/>
  <c r="GP626" i="5" s="1"/>
  <c r="GI623" i="5"/>
  <c r="FC623" i="5"/>
  <c r="EV623" i="5"/>
  <c r="CS623" i="5"/>
  <c r="CS625" i="5" s="1"/>
  <c r="CQ623" i="5"/>
  <c r="CR625" i="5" s="1"/>
  <c r="AV623" i="5"/>
  <c r="O621" i="5"/>
  <c r="M621" i="5"/>
  <c r="GI620" i="5"/>
  <c r="FN620" i="5"/>
  <c r="EZ620" i="5"/>
  <c r="DH620" i="5"/>
  <c r="O620" i="5"/>
  <c r="HY619" i="5"/>
  <c r="HY621" i="5" s="1"/>
  <c r="HT619" i="5"/>
  <c r="HT621" i="5" s="1"/>
  <c r="HS621" i="5"/>
  <c r="N619" i="5"/>
  <c r="GR618" i="5"/>
  <c r="GP618" i="5"/>
  <c r="GP619" i="5" s="1"/>
  <c r="GI618" i="5"/>
  <c r="FC618" i="5"/>
  <c r="EV618" i="5"/>
  <c r="CS618" i="5"/>
  <c r="CS620" i="5" s="1"/>
  <c r="CQ618" i="5"/>
  <c r="FS620" i="5" s="1"/>
  <c r="AV618" i="5"/>
  <c r="O616" i="5"/>
  <c r="M616" i="5"/>
  <c r="GI615" i="5"/>
  <c r="FN615" i="5"/>
  <c r="FO615" i="5" s="1"/>
  <c r="EZ615" i="5"/>
  <c r="DH615" i="5"/>
  <c r="O615" i="5"/>
  <c r="HY614" i="5"/>
  <c r="HY616" i="5" s="1"/>
  <c r="HT614" i="5"/>
  <c r="HT616" i="5" s="1"/>
  <c r="HS616" i="5"/>
  <c r="N614" i="5"/>
  <c r="CP613" i="5" s="1"/>
  <c r="GR613" i="5"/>
  <c r="GP613" i="5"/>
  <c r="GP614" i="5" s="1"/>
  <c r="GI613" i="5"/>
  <c r="FC613" i="5"/>
  <c r="EV613" i="5"/>
  <c r="CS613" i="5"/>
  <c r="CS615" i="5" s="1"/>
  <c r="CQ613" i="5"/>
  <c r="AV613" i="5"/>
  <c r="O611" i="5"/>
  <c r="M611" i="5"/>
  <c r="GI610" i="5"/>
  <c r="FN610" i="5"/>
  <c r="FO610" i="5" s="1"/>
  <c r="EZ610" i="5"/>
  <c r="DH610" i="5"/>
  <c r="O610" i="5"/>
  <c r="HY609" i="5"/>
  <c r="HY611" i="5" s="1"/>
  <c r="HT609" i="5"/>
  <c r="HT611" i="5" s="1"/>
  <c r="HS611" i="5"/>
  <c r="N609" i="5"/>
  <c r="CP608" i="5" s="1"/>
  <c r="GR608" i="5"/>
  <c r="GP608" i="5"/>
  <c r="GP609" i="5" s="1"/>
  <c r="GP611" i="5" s="1"/>
  <c r="GI608" i="5"/>
  <c r="FC608" i="5"/>
  <c r="EV608" i="5"/>
  <c r="CS608" i="5"/>
  <c r="CS610" i="5" s="1"/>
  <c r="CQ608" i="5"/>
  <c r="FS610" i="5" s="1"/>
  <c r="AV608" i="5"/>
  <c r="O606" i="5"/>
  <c r="M606" i="5"/>
  <c r="GI605" i="5"/>
  <c r="FN605" i="5"/>
  <c r="FO605" i="5" s="1"/>
  <c r="EZ605" i="5"/>
  <c r="DH605" i="5"/>
  <c r="O605" i="5"/>
  <c r="HY604" i="5"/>
  <c r="HY606" i="5" s="1"/>
  <c r="HT604" i="5"/>
  <c r="HT606" i="5" s="1"/>
  <c r="HS606" i="5"/>
  <c r="N604" i="5"/>
  <c r="GR603" i="5"/>
  <c r="GP603" i="5"/>
  <c r="GP604" i="5" s="1"/>
  <c r="GO603" i="5"/>
  <c r="GI603" i="5"/>
  <c r="FC603" i="5"/>
  <c r="EV603" i="5"/>
  <c r="CS603" i="5"/>
  <c r="CS605" i="5" s="1"/>
  <c r="CQ603" i="5"/>
  <c r="HV604" i="5" s="1"/>
  <c r="HV606" i="5" s="1"/>
  <c r="AV603" i="5"/>
  <c r="O601" i="5"/>
  <c r="M601" i="5"/>
  <c r="GI600" i="5"/>
  <c r="FN600" i="5"/>
  <c r="FO600" i="5" s="1"/>
  <c r="JH600" i="5" s="1"/>
  <c r="EZ600" i="5"/>
  <c r="DH600" i="5"/>
  <c r="O600" i="5"/>
  <c r="HY599" i="5"/>
  <c r="HY601" i="5" s="1"/>
  <c r="HT599" i="5"/>
  <c r="HT601" i="5" s="1"/>
  <c r="HS601" i="5"/>
  <c r="N599" i="5"/>
  <c r="GR598" i="5"/>
  <c r="GP598" i="5"/>
  <c r="GP599" i="5" s="1"/>
  <c r="GO598" i="5"/>
  <c r="GI598" i="5"/>
  <c r="FC598" i="5"/>
  <c r="EV598" i="5"/>
  <c r="CS598" i="5"/>
  <c r="CS600" i="5" s="1"/>
  <c r="EX598" i="5" s="1"/>
  <c r="CQ598" i="5"/>
  <c r="FE600" i="5" s="1"/>
  <c r="JG600" i="5" s="1"/>
  <c r="AV598" i="5"/>
  <c r="O596" i="5"/>
  <c r="M596" i="5"/>
  <c r="GI595" i="5"/>
  <c r="FN595" i="5"/>
  <c r="FO595" i="5" s="1"/>
  <c r="JH595" i="5" s="1"/>
  <c r="EZ595" i="5"/>
  <c r="DH595" i="5"/>
  <c r="O595" i="5"/>
  <c r="HY594" i="5"/>
  <c r="HY596" i="5" s="1"/>
  <c r="HT594" i="5"/>
  <c r="HT596" i="5" s="1"/>
  <c r="HS596" i="5"/>
  <c r="N594" i="5"/>
  <c r="GR593" i="5"/>
  <c r="GP593" i="5"/>
  <c r="GP594" i="5" s="1"/>
  <c r="GI593" i="5"/>
  <c r="FC593" i="5"/>
  <c r="EV593" i="5"/>
  <c r="CS593" i="5"/>
  <c r="CS595" i="5" s="1"/>
  <c r="EX593" i="5" s="1"/>
  <c r="CQ593" i="5"/>
  <c r="CR595" i="5" s="1"/>
  <c r="FY595" i="5" s="1"/>
  <c r="AV593" i="5"/>
  <c r="O591" i="5"/>
  <c r="M591" i="5"/>
  <c r="GI590" i="5"/>
  <c r="FN590" i="5"/>
  <c r="FO590" i="5" s="1"/>
  <c r="JH590" i="5" s="1"/>
  <c r="EZ590" i="5"/>
  <c r="DH590" i="5"/>
  <c r="O590" i="5"/>
  <c r="HY589" i="5"/>
  <c r="HY591" i="5" s="1"/>
  <c r="HT589" i="5"/>
  <c r="HT591" i="5" s="1"/>
  <c r="HS591" i="5"/>
  <c r="N589" i="5"/>
  <c r="CP588" i="5" s="1"/>
  <c r="GR588" i="5"/>
  <c r="GP588" i="5"/>
  <c r="GP589" i="5" s="1"/>
  <c r="GI588" i="5"/>
  <c r="FC588" i="5"/>
  <c r="EV588" i="5"/>
  <c r="CS588" i="5"/>
  <c r="CS590" i="5" s="1"/>
  <c r="EX590" i="5" s="1"/>
  <c r="CQ588" i="5"/>
  <c r="CR590" i="5" s="1"/>
  <c r="AV588" i="5"/>
  <c r="O586" i="5"/>
  <c r="M586" i="5"/>
  <c r="GI585" i="5"/>
  <c r="FN585" i="5"/>
  <c r="FO585" i="5" s="1"/>
  <c r="EZ585" i="5"/>
  <c r="DH585" i="5"/>
  <c r="O585" i="5"/>
  <c r="HY584" i="5"/>
  <c r="HY586" i="5" s="1"/>
  <c r="HT584" i="5"/>
  <c r="HT586" i="5" s="1"/>
  <c r="HS586" i="5"/>
  <c r="N584" i="5"/>
  <c r="GR583" i="5"/>
  <c r="GP583" i="5"/>
  <c r="GO583" i="5" s="1"/>
  <c r="GI583" i="5"/>
  <c r="GK583" i="5" s="1"/>
  <c r="HM584" i="5" s="1"/>
  <c r="HM586" i="5" s="1"/>
  <c r="FC583" i="5"/>
  <c r="EV583" i="5"/>
  <c r="CS583" i="5"/>
  <c r="CS585" i="5" s="1"/>
  <c r="CQ583" i="5"/>
  <c r="CR585" i="5" s="1"/>
  <c r="FY585" i="5" s="1"/>
  <c r="AV583" i="5"/>
  <c r="O581" i="5"/>
  <c r="M581" i="5"/>
  <c r="GI580" i="5"/>
  <c r="FN580" i="5"/>
  <c r="EZ580" i="5"/>
  <c r="DH580" i="5"/>
  <c r="O580" i="5"/>
  <c r="HY579" i="5"/>
  <c r="HY581" i="5" s="1"/>
  <c r="HT579" i="5"/>
  <c r="HT581" i="5" s="1"/>
  <c r="HS581" i="5"/>
  <c r="N579" i="5"/>
  <c r="CP578" i="5" s="1"/>
  <c r="GR578" i="5"/>
  <c r="GP578" i="5"/>
  <c r="GP579" i="5" s="1"/>
  <c r="GP581" i="5" s="1"/>
  <c r="GI578" i="5"/>
  <c r="FC578" i="5"/>
  <c r="EV578" i="5"/>
  <c r="CS578" i="5"/>
  <c r="CQ578" i="5"/>
  <c r="FS580" i="5" s="1"/>
  <c r="AV578" i="5"/>
  <c r="O576" i="5"/>
  <c r="M576" i="5"/>
  <c r="GI575" i="5"/>
  <c r="FN575" i="5"/>
  <c r="EZ575" i="5"/>
  <c r="DH575" i="5"/>
  <c r="O575" i="5"/>
  <c r="HY574" i="5"/>
  <c r="HY576" i="5" s="1"/>
  <c r="HT574" i="5"/>
  <c r="HT576" i="5" s="1"/>
  <c r="HS576" i="5"/>
  <c r="N574" i="5"/>
  <c r="CP573" i="5" s="1"/>
  <c r="GR573" i="5"/>
  <c r="GP573" i="5"/>
  <c r="GP574" i="5" s="1"/>
  <c r="GI573" i="5"/>
  <c r="FC573" i="5"/>
  <c r="EV573" i="5"/>
  <c r="CS573" i="5"/>
  <c r="CS575" i="5" s="1"/>
  <c r="CQ573" i="5"/>
  <c r="FE575" i="5" s="1"/>
  <c r="JG575" i="5" s="1"/>
  <c r="AV573" i="5"/>
  <c r="O571" i="5"/>
  <c r="M571" i="5"/>
  <c r="GI570" i="5"/>
  <c r="FN570" i="5"/>
  <c r="FO570" i="5" s="1"/>
  <c r="JH570" i="5" s="1"/>
  <c r="EZ570" i="5"/>
  <c r="DH570" i="5"/>
  <c r="O570" i="5"/>
  <c r="HY569" i="5"/>
  <c r="HY571" i="5" s="1"/>
  <c r="HT569" i="5"/>
  <c r="HT571" i="5" s="1"/>
  <c r="HS571" i="5"/>
  <c r="N569" i="5"/>
  <c r="CP568" i="5" s="1"/>
  <c r="GR568" i="5"/>
  <c r="GP568" i="5"/>
  <c r="GP569" i="5" s="1"/>
  <c r="GI568" i="5"/>
  <c r="FC568" i="5"/>
  <c r="EV568" i="5"/>
  <c r="CS568" i="5"/>
  <c r="CS570" i="5" s="1"/>
  <c r="CQ568" i="5"/>
  <c r="AV568" i="5"/>
  <c r="O566" i="5"/>
  <c r="M566" i="5"/>
  <c r="GI565" i="5"/>
  <c r="FN565" i="5"/>
  <c r="EZ565" i="5"/>
  <c r="DH565" i="5"/>
  <c r="O565" i="5"/>
  <c r="HY564" i="5"/>
  <c r="HY566" i="5" s="1"/>
  <c r="HT564" i="5"/>
  <c r="HT566" i="5" s="1"/>
  <c r="HS566" i="5"/>
  <c r="N564" i="5"/>
  <c r="GR563" i="5"/>
  <c r="GP563" i="5"/>
  <c r="GP564" i="5" s="1"/>
  <c r="GI563" i="5"/>
  <c r="FC563" i="5"/>
  <c r="EV563" i="5"/>
  <c r="CS563" i="5"/>
  <c r="CS565" i="5" s="1"/>
  <c r="CQ563" i="5"/>
  <c r="FL565" i="5" s="1"/>
  <c r="AV563" i="5"/>
  <c r="O558" i="5"/>
  <c r="M558" i="5"/>
  <c r="GI557" i="5"/>
  <c r="FN557" i="5"/>
  <c r="EZ557" i="5"/>
  <c r="DH557" i="5"/>
  <c r="O557" i="5"/>
  <c r="HY556" i="5"/>
  <c r="HY558" i="5" s="1"/>
  <c r="HT556" i="5"/>
  <c r="HT558" i="5" s="1"/>
  <c r="HS558" i="5"/>
  <c r="N556" i="5"/>
  <c r="CP555" i="5" s="1"/>
  <c r="GR555" i="5"/>
  <c r="GP555" i="5"/>
  <c r="GP556" i="5" s="1"/>
  <c r="GI555" i="5"/>
  <c r="FC555" i="5"/>
  <c r="EV555" i="5"/>
  <c r="CS555" i="5"/>
  <c r="CS557" i="5" s="1"/>
  <c r="CQ555" i="5"/>
  <c r="CR557" i="5" s="1"/>
  <c r="FY557" i="5" s="1"/>
  <c r="AV555" i="5"/>
  <c r="O553" i="5"/>
  <c r="M553" i="5"/>
  <c r="GI552" i="5"/>
  <c r="FN552" i="5"/>
  <c r="FO552" i="5" s="1"/>
  <c r="EZ552" i="5"/>
  <c r="DH552" i="5"/>
  <c r="O552" i="5"/>
  <c r="HY551" i="5"/>
  <c r="HY553" i="5" s="1"/>
  <c r="HT551" i="5"/>
  <c r="HT553" i="5" s="1"/>
  <c r="HS553" i="5"/>
  <c r="N551" i="5"/>
  <c r="GR550" i="5"/>
  <c r="GP550" i="5"/>
  <c r="GP551" i="5" s="1"/>
  <c r="GI550" i="5"/>
  <c r="FC550" i="5"/>
  <c r="EV550" i="5"/>
  <c r="CS550" i="5"/>
  <c r="CS552" i="5" s="1"/>
  <c r="CQ550" i="5"/>
  <c r="FL552" i="5" s="1"/>
  <c r="AV550" i="5"/>
  <c r="O548" i="5"/>
  <c r="M548" i="5"/>
  <c r="GI547" i="5"/>
  <c r="FN547" i="5"/>
  <c r="EZ547" i="5"/>
  <c r="DH547" i="5"/>
  <c r="O547" i="5"/>
  <c r="HY546" i="5"/>
  <c r="HY548" i="5" s="1"/>
  <c r="HT546" i="5"/>
  <c r="HT548" i="5" s="1"/>
  <c r="HS548" i="5"/>
  <c r="N546" i="5"/>
  <c r="CP545" i="5" s="1"/>
  <c r="GR545" i="5"/>
  <c r="GP545" i="5"/>
  <c r="GP546" i="5" s="1"/>
  <c r="GI545" i="5"/>
  <c r="FC545" i="5"/>
  <c r="EV545" i="5"/>
  <c r="CS545" i="5"/>
  <c r="CS547" i="5" s="1"/>
  <c r="FB545" i="5" s="1"/>
  <c r="EY545" i="5" s="1"/>
  <c r="CQ545" i="5"/>
  <c r="HV546" i="5" s="1"/>
  <c r="HV548" i="5" s="1"/>
  <c r="AV545" i="5"/>
  <c r="O543" i="5"/>
  <c r="M543" i="5"/>
  <c r="GI542" i="5"/>
  <c r="FN542" i="5"/>
  <c r="EZ542" i="5"/>
  <c r="DH542" i="5"/>
  <c r="O542" i="5"/>
  <c r="HY541" i="5"/>
  <c r="HY543" i="5" s="1"/>
  <c r="HT541" i="5"/>
  <c r="HT543" i="5" s="1"/>
  <c r="HS543" i="5"/>
  <c r="N541" i="5"/>
  <c r="GR540" i="5"/>
  <c r="GP540" i="5"/>
  <c r="GP541" i="5" s="1"/>
  <c r="GP543" i="5" s="1"/>
  <c r="GI540" i="5"/>
  <c r="FC540" i="5"/>
  <c r="EV540" i="5"/>
  <c r="CS540" i="5"/>
  <c r="CS542" i="5" s="1"/>
  <c r="CQ540" i="5"/>
  <c r="CR542" i="5" s="1"/>
  <c r="AV540" i="5"/>
  <c r="O538" i="5"/>
  <c r="M538" i="5"/>
  <c r="GI537" i="5"/>
  <c r="FN537" i="5"/>
  <c r="FO537" i="5" s="1"/>
  <c r="JH537" i="5" s="1"/>
  <c r="EZ537" i="5"/>
  <c r="DH537" i="5"/>
  <c r="O537" i="5"/>
  <c r="HY536" i="5"/>
  <c r="HY538" i="5" s="1"/>
  <c r="HT536" i="5"/>
  <c r="HT538" i="5" s="1"/>
  <c r="HS538" i="5"/>
  <c r="N536" i="5"/>
  <c r="CP535" i="5" s="1"/>
  <c r="GR535" i="5"/>
  <c r="GP535" i="5"/>
  <c r="GI535" i="5"/>
  <c r="FC535" i="5"/>
  <c r="EV535" i="5"/>
  <c r="CS535" i="5"/>
  <c r="CS537" i="5" s="1"/>
  <c r="EX537" i="5" s="1"/>
  <c r="CQ535" i="5"/>
  <c r="AV535" i="5"/>
  <c r="O533" i="5"/>
  <c r="M533" i="5"/>
  <c r="GI532" i="5"/>
  <c r="FN532" i="5"/>
  <c r="FO532" i="5" s="1"/>
  <c r="JH532" i="5" s="1"/>
  <c r="EZ532" i="5"/>
  <c r="DH532" i="5"/>
  <c r="O532" i="5"/>
  <c r="HY531" i="5"/>
  <c r="HY533" i="5" s="1"/>
  <c r="HT531" i="5"/>
  <c r="HT533" i="5" s="1"/>
  <c r="HS533" i="5"/>
  <c r="N531" i="5"/>
  <c r="GR530" i="5"/>
  <c r="GP530" i="5"/>
  <c r="GO530" i="5" s="1"/>
  <c r="GI530" i="5"/>
  <c r="FC530" i="5"/>
  <c r="EV530" i="5"/>
  <c r="CS530" i="5"/>
  <c r="CS532" i="5" s="1"/>
  <c r="CQ530" i="5"/>
  <c r="FS532" i="5" s="1"/>
  <c r="AV530" i="5"/>
  <c r="O528" i="5"/>
  <c r="M528" i="5"/>
  <c r="GI527" i="5"/>
  <c r="FN527" i="5"/>
  <c r="FO527" i="5" s="1"/>
  <c r="JH527" i="5" s="1"/>
  <c r="EZ527" i="5"/>
  <c r="DH527" i="5"/>
  <c r="O527" i="5"/>
  <c r="HY526" i="5"/>
  <c r="HY528" i="5" s="1"/>
  <c r="HT526" i="5"/>
  <c r="HT528" i="5" s="1"/>
  <c r="HS528" i="5"/>
  <c r="N526" i="5"/>
  <c r="CP525" i="5" s="1"/>
  <c r="GR525" i="5"/>
  <c r="GP525" i="5"/>
  <c r="GP526" i="5" s="1"/>
  <c r="GP528" i="5" s="1"/>
  <c r="GI525" i="5"/>
  <c r="FC525" i="5"/>
  <c r="EV525" i="5"/>
  <c r="CS525" i="5"/>
  <c r="CS527" i="5" s="1"/>
  <c r="CQ525" i="5"/>
  <c r="AV525" i="5"/>
  <c r="O523" i="5"/>
  <c r="M523" i="5"/>
  <c r="GI522" i="5"/>
  <c r="FN522" i="5"/>
  <c r="FO522" i="5" s="1"/>
  <c r="JH522" i="5" s="1"/>
  <c r="EZ522" i="5"/>
  <c r="DH522" i="5"/>
  <c r="O522" i="5"/>
  <c r="HY521" i="5"/>
  <c r="HY523" i="5" s="1"/>
  <c r="HT521" i="5"/>
  <c r="HT523" i="5" s="1"/>
  <c r="HS523" i="5"/>
  <c r="N521" i="5"/>
  <c r="CP520" i="5" s="1"/>
  <c r="GR520" i="5"/>
  <c r="GP520" i="5"/>
  <c r="GO520" i="5" s="1"/>
  <c r="GI520" i="5"/>
  <c r="FC520" i="5"/>
  <c r="EV520" i="5"/>
  <c r="CS520" i="5"/>
  <c r="CS522" i="5" s="1"/>
  <c r="CQ520" i="5"/>
  <c r="HV521" i="5" s="1"/>
  <c r="HV523" i="5" s="1"/>
  <c r="AV520" i="5"/>
  <c r="O518" i="5"/>
  <c r="M518" i="5"/>
  <c r="GI517" i="5"/>
  <c r="FN517" i="5"/>
  <c r="FO517" i="5" s="1"/>
  <c r="JH517" i="5" s="1"/>
  <c r="EZ517" i="5"/>
  <c r="DH517" i="5"/>
  <c r="O517" i="5"/>
  <c r="HY516" i="5"/>
  <c r="HY518" i="5" s="1"/>
  <c r="HT516" i="5"/>
  <c r="HT518" i="5" s="1"/>
  <c r="HS518" i="5"/>
  <c r="N516" i="5"/>
  <c r="GR515" i="5"/>
  <c r="GP515" i="5"/>
  <c r="GP516" i="5" s="1"/>
  <c r="GI515" i="5"/>
  <c r="FC515" i="5"/>
  <c r="EV515" i="5"/>
  <c r="CS515" i="5"/>
  <c r="CS517" i="5" s="1"/>
  <c r="FB517" i="5" s="1"/>
  <c r="EY517" i="5" s="1"/>
  <c r="CQ515" i="5"/>
  <c r="AV515" i="5"/>
  <c r="O513" i="5"/>
  <c r="M513" i="5"/>
  <c r="GI512" i="5"/>
  <c r="FN512" i="5"/>
  <c r="FO512" i="5" s="1"/>
  <c r="EZ512" i="5"/>
  <c r="DH512" i="5"/>
  <c r="O512" i="5"/>
  <c r="HY511" i="5"/>
  <c r="HY513" i="5" s="1"/>
  <c r="HT511" i="5"/>
  <c r="HT513" i="5" s="1"/>
  <c r="HS513" i="5"/>
  <c r="N511" i="5"/>
  <c r="GR510" i="5"/>
  <c r="GP510" i="5"/>
  <c r="GP511" i="5" s="1"/>
  <c r="GI510" i="5"/>
  <c r="FC510" i="5"/>
  <c r="EV510" i="5"/>
  <c r="CS510" i="5"/>
  <c r="CS512" i="5" s="1"/>
  <c r="CQ510" i="5"/>
  <c r="CR510" i="5" s="1"/>
  <c r="AV510" i="5"/>
  <c r="O508" i="5"/>
  <c r="M508" i="5"/>
  <c r="GI507" i="5"/>
  <c r="FN507" i="5"/>
  <c r="EZ507" i="5"/>
  <c r="DH507" i="5"/>
  <c r="O507" i="5"/>
  <c r="HY506" i="5"/>
  <c r="HY508" i="5" s="1"/>
  <c r="HT506" i="5"/>
  <c r="HT508" i="5" s="1"/>
  <c r="HS508" i="5"/>
  <c r="N506" i="5"/>
  <c r="CP505" i="5" s="1"/>
  <c r="GR505" i="5"/>
  <c r="GP505" i="5"/>
  <c r="GI505" i="5"/>
  <c r="FC505" i="5"/>
  <c r="EV505" i="5"/>
  <c r="CS505" i="5"/>
  <c r="CS507" i="5" s="1"/>
  <c r="CQ505" i="5"/>
  <c r="FS507" i="5" s="1"/>
  <c r="AV505" i="5"/>
  <c r="O503" i="5"/>
  <c r="M503" i="5"/>
  <c r="GI502" i="5"/>
  <c r="FN502" i="5"/>
  <c r="FO502" i="5" s="1"/>
  <c r="JH502" i="5" s="1"/>
  <c r="EZ502" i="5"/>
  <c r="DH502" i="5"/>
  <c r="O502" i="5"/>
  <c r="HY501" i="5"/>
  <c r="HY503" i="5" s="1"/>
  <c r="HT501" i="5"/>
  <c r="HT503" i="5" s="1"/>
  <c r="HS503" i="5"/>
  <c r="N501" i="5"/>
  <c r="GR500" i="5"/>
  <c r="GP500" i="5"/>
  <c r="GI500" i="5"/>
  <c r="FC500" i="5"/>
  <c r="EV500" i="5"/>
  <c r="CS500" i="5"/>
  <c r="CS502" i="5" s="1"/>
  <c r="FB502" i="5" s="1"/>
  <c r="EY502" i="5" s="1"/>
  <c r="CQ500" i="5"/>
  <c r="HV501" i="5" s="1"/>
  <c r="HV503" i="5" s="1"/>
  <c r="AV500" i="5"/>
  <c r="O498" i="5"/>
  <c r="M498" i="5"/>
  <c r="GI497" i="5"/>
  <c r="FN497" i="5"/>
  <c r="FO497" i="5" s="1"/>
  <c r="EZ497" i="5"/>
  <c r="DH497" i="5"/>
  <c r="O497" i="5"/>
  <c r="HY496" i="5"/>
  <c r="HY498" i="5" s="1"/>
  <c r="HT496" i="5"/>
  <c r="HT498" i="5" s="1"/>
  <c r="HS498" i="5"/>
  <c r="N496" i="5"/>
  <c r="CP495" i="5" s="1"/>
  <c r="GR495" i="5"/>
  <c r="GP495" i="5"/>
  <c r="GP496" i="5" s="1"/>
  <c r="GP498" i="5" s="1"/>
  <c r="GI495" i="5"/>
  <c r="FC495" i="5"/>
  <c r="EV495" i="5"/>
  <c r="CS495" i="5"/>
  <c r="CS497" i="5" s="1"/>
  <c r="EX495" i="5" s="1"/>
  <c r="FA497" i="5" s="1"/>
  <c r="CQ495" i="5"/>
  <c r="FL497" i="5" s="1"/>
  <c r="AV495" i="5"/>
  <c r="O493" i="5"/>
  <c r="M493" i="5"/>
  <c r="GI492" i="5"/>
  <c r="FN492" i="5"/>
  <c r="EZ492" i="5"/>
  <c r="DH492" i="5"/>
  <c r="O492" i="5"/>
  <c r="HY491" i="5"/>
  <c r="HY493" i="5" s="1"/>
  <c r="HT491" i="5"/>
  <c r="HT493" i="5" s="1"/>
  <c r="HS493" i="5"/>
  <c r="N491" i="5"/>
  <c r="CP490" i="5" s="1"/>
  <c r="GR490" i="5"/>
  <c r="GP490" i="5"/>
  <c r="GI490" i="5"/>
  <c r="FC490" i="5"/>
  <c r="EV490" i="5"/>
  <c r="CS490" i="5"/>
  <c r="CS492" i="5" s="1"/>
  <c r="FB490" i="5" s="1"/>
  <c r="EY490" i="5" s="1"/>
  <c r="CQ490" i="5"/>
  <c r="CR490" i="5" s="1"/>
  <c r="AV490" i="5"/>
  <c r="O488" i="5"/>
  <c r="M488" i="5"/>
  <c r="GI487" i="5"/>
  <c r="FN487" i="5"/>
  <c r="FO487" i="5" s="1"/>
  <c r="JH487" i="5" s="1"/>
  <c r="EZ487" i="5"/>
  <c r="DH487" i="5"/>
  <c r="O487" i="5"/>
  <c r="HY486" i="5"/>
  <c r="HY488" i="5" s="1"/>
  <c r="HT486" i="5"/>
  <c r="HT488" i="5" s="1"/>
  <c r="HS488" i="5"/>
  <c r="N486" i="5"/>
  <c r="CP485" i="5" s="1"/>
  <c r="GR485" i="5"/>
  <c r="GP485" i="5"/>
  <c r="GO485" i="5" s="1"/>
  <c r="GI485" i="5"/>
  <c r="FC485" i="5"/>
  <c r="EV485" i="5"/>
  <c r="CS485" i="5"/>
  <c r="CS487" i="5" s="1"/>
  <c r="CQ485" i="5"/>
  <c r="AV485" i="5"/>
  <c r="O480" i="5"/>
  <c r="M480" i="5"/>
  <c r="GI479" i="5"/>
  <c r="FN479" i="5"/>
  <c r="FO479" i="5" s="1"/>
  <c r="EZ479" i="5"/>
  <c r="DH479" i="5"/>
  <c r="O479" i="5"/>
  <c r="HY478" i="5"/>
  <c r="HY480" i="5" s="1"/>
  <c r="HT478" i="5"/>
  <c r="HT480" i="5" s="1"/>
  <c r="HS480" i="5"/>
  <c r="N478" i="5"/>
  <c r="CP477" i="5" s="1"/>
  <c r="GR477" i="5"/>
  <c r="GP477" i="5"/>
  <c r="GP478" i="5" s="1"/>
  <c r="GI477" i="5"/>
  <c r="FC477" i="5"/>
  <c r="EV477" i="5"/>
  <c r="CS477" i="5"/>
  <c r="CS479" i="5" s="1"/>
  <c r="CQ477" i="5"/>
  <c r="CR479" i="5" s="1"/>
  <c r="AV477" i="5"/>
  <c r="O475" i="5"/>
  <c r="M475" i="5"/>
  <c r="GI474" i="5"/>
  <c r="FN474" i="5"/>
  <c r="FO474" i="5" s="1"/>
  <c r="EZ474" i="5"/>
  <c r="DH474" i="5"/>
  <c r="O474" i="5"/>
  <c r="HY473" i="5"/>
  <c r="HY475" i="5" s="1"/>
  <c r="HT473" i="5"/>
  <c r="HT475" i="5" s="1"/>
  <c r="HS475" i="5"/>
  <c r="N473" i="5"/>
  <c r="CP472" i="5" s="1"/>
  <c r="GR472" i="5"/>
  <c r="GP472" i="5"/>
  <c r="GP473" i="5" s="1"/>
  <c r="GI472" i="5"/>
  <c r="FC472" i="5"/>
  <c r="EV472" i="5"/>
  <c r="CS472" i="5"/>
  <c r="CS474" i="5" s="1"/>
  <c r="EX472" i="5" s="1"/>
  <c r="FA474" i="5" s="1"/>
  <c r="CQ472" i="5"/>
  <c r="CR474" i="5" s="1"/>
  <c r="AV472" i="5"/>
  <c r="O470" i="5"/>
  <c r="M470" i="5"/>
  <c r="GI469" i="5"/>
  <c r="FN469" i="5"/>
  <c r="FO469" i="5" s="1"/>
  <c r="JH469" i="5" s="1"/>
  <c r="EZ469" i="5"/>
  <c r="DH469" i="5"/>
  <c r="O469" i="5"/>
  <c r="HY468" i="5"/>
  <c r="HY470" i="5" s="1"/>
  <c r="HT468" i="5"/>
  <c r="HT470" i="5" s="1"/>
  <c r="HS470" i="5"/>
  <c r="N468" i="5"/>
  <c r="CP467" i="5" s="1"/>
  <c r="GR467" i="5"/>
  <c r="GP467" i="5"/>
  <c r="GI467" i="5"/>
  <c r="FC467" i="5"/>
  <c r="EV467" i="5"/>
  <c r="CS467" i="5"/>
  <c r="CS469" i="5" s="1"/>
  <c r="CQ467" i="5"/>
  <c r="FL469" i="5" s="1"/>
  <c r="AV467" i="5"/>
  <c r="O465" i="5"/>
  <c r="M465" i="5"/>
  <c r="GI464" i="5"/>
  <c r="FN464" i="5"/>
  <c r="FO464" i="5" s="1"/>
  <c r="JH464" i="5" s="1"/>
  <c r="EZ464" i="5"/>
  <c r="DH464" i="5"/>
  <c r="O464" i="5"/>
  <c r="HY463" i="5"/>
  <c r="HY465" i="5" s="1"/>
  <c r="HT463" i="5"/>
  <c r="HT465" i="5" s="1"/>
  <c r="HS465" i="5"/>
  <c r="N463" i="5"/>
  <c r="CP462" i="5" s="1"/>
  <c r="GR462" i="5"/>
  <c r="GP462" i="5"/>
  <c r="GP463" i="5" s="1"/>
  <c r="GI462" i="5"/>
  <c r="FC462" i="5"/>
  <c r="EV462" i="5"/>
  <c r="CS462" i="5"/>
  <c r="CS464" i="5" s="1"/>
  <c r="EX462" i="5" s="1"/>
  <c r="CQ462" i="5"/>
  <c r="AV462" i="5"/>
  <c r="O460" i="5"/>
  <c r="M460" i="5"/>
  <c r="GI459" i="5"/>
  <c r="FN459" i="5"/>
  <c r="FO459" i="5" s="1"/>
  <c r="EZ459" i="5"/>
  <c r="DH459" i="5"/>
  <c r="O459" i="5"/>
  <c r="HY458" i="5"/>
  <c r="HY460" i="5" s="1"/>
  <c r="HT458" i="5"/>
  <c r="HT460" i="5" s="1"/>
  <c r="HS460" i="5"/>
  <c r="N458" i="5"/>
  <c r="CP457" i="5" s="1"/>
  <c r="GR457" i="5"/>
  <c r="GP457" i="5"/>
  <c r="GP458" i="5" s="1"/>
  <c r="GI457" i="5"/>
  <c r="FC457" i="5"/>
  <c r="EV457" i="5"/>
  <c r="CS457" i="5"/>
  <c r="CS459" i="5" s="1"/>
  <c r="EX457" i="5" s="1"/>
  <c r="CQ457" i="5"/>
  <c r="FL457" i="5" s="1"/>
  <c r="AV457" i="5"/>
  <c r="O455" i="5"/>
  <c r="M455" i="5"/>
  <c r="GI454" i="5"/>
  <c r="FN454" i="5"/>
  <c r="FO454" i="5" s="1"/>
  <c r="JH454" i="5" s="1"/>
  <c r="EZ454" i="5"/>
  <c r="DH454" i="5"/>
  <c r="O454" i="5"/>
  <c r="HY453" i="5"/>
  <c r="HY455" i="5" s="1"/>
  <c r="HT453" i="5"/>
  <c r="HT455" i="5" s="1"/>
  <c r="HS455" i="5"/>
  <c r="N453" i="5"/>
  <c r="CP452" i="5" s="1"/>
  <c r="GR452" i="5"/>
  <c r="GP452" i="5"/>
  <c r="GI452" i="5"/>
  <c r="FC452" i="5"/>
  <c r="EV452" i="5"/>
  <c r="CS452" i="5"/>
  <c r="CS454" i="5" s="1"/>
  <c r="FB452" i="5" s="1"/>
  <c r="EY452" i="5" s="1"/>
  <c r="CQ452" i="5"/>
  <c r="FL454" i="5" s="1"/>
  <c r="AV452" i="5"/>
  <c r="O450" i="5"/>
  <c r="M450" i="5"/>
  <c r="GI449" i="5"/>
  <c r="FN449" i="5"/>
  <c r="FO449" i="5" s="1"/>
  <c r="JH449" i="5" s="1"/>
  <c r="EZ449" i="5"/>
  <c r="DH449" i="5"/>
  <c r="O449" i="5"/>
  <c r="HY448" i="5"/>
  <c r="HY450" i="5" s="1"/>
  <c r="HT448" i="5"/>
  <c r="HT450" i="5" s="1"/>
  <c r="HS450" i="5"/>
  <c r="N448" i="5"/>
  <c r="GR447" i="5"/>
  <c r="GP447" i="5"/>
  <c r="GP448" i="5" s="1"/>
  <c r="GI447" i="5"/>
  <c r="FC447" i="5"/>
  <c r="EV447" i="5"/>
  <c r="CS447" i="5"/>
  <c r="CS449" i="5" s="1"/>
  <c r="EX447" i="5" s="1"/>
  <c r="CQ447" i="5"/>
  <c r="AV447" i="5"/>
  <c r="O445" i="5"/>
  <c r="M445" i="5"/>
  <c r="GI444" i="5"/>
  <c r="FN444" i="5"/>
  <c r="EZ444" i="5"/>
  <c r="DH444" i="5"/>
  <c r="O444" i="5"/>
  <c r="HY443" i="5"/>
  <c r="HY445" i="5" s="1"/>
  <c r="HT443" i="5"/>
  <c r="HT445" i="5" s="1"/>
  <c r="HS445" i="5"/>
  <c r="N443" i="5"/>
  <c r="GR442" i="5"/>
  <c r="GP442" i="5"/>
  <c r="GP443" i="5" s="1"/>
  <c r="GI442" i="5"/>
  <c r="FC442" i="5"/>
  <c r="EV442" i="5"/>
  <c r="CS442" i="5"/>
  <c r="CS444" i="5" s="1"/>
  <c r="FB442" i="5" s="1"/>
  <c r="EY442" i="5" s="1"/>
  <c r="CQ442" i="5"/>
  <c r="AV442" i="5"/>
  <c r="O440" i="5"/>
  <c r="M440" i="5"/>
  <c r="GI439" i="5"/>
  <c r="FN439" i="5"/>
  <c r="FO439" i="5" s="1"/>
  <c r="EZ439" i="5"/>
  <c r="DH439" i="5"/>
  <c r="O439" i="5"/>
  <c r="HY438" i="5"/>
  <c r="HY440" i="5" s="1"/>
  <c r="HT438" i="5"/>
  <c r="HT440" i="5" s="1"/>
  <c r="HS440" i="5"/>
  <c r="N438" i="5"/>
  <c r="CP437" i="5" s="1"/>
  <c r="GR437" i="5"/>
  <c r="GP437" i="5"/>
  <c r="GP438" i="5" s="1"/>
  <c r="GI437" i="5"/>
  <c r="FC437" i="5"/>
  <c r="EV437" i="5"/>
  <c r="CS437" i="5"/>
  <c r="CS439" i="5" s="1"/>
  <c r="CQ437" i="5"/>
  <c r="FS439" i="5" s="1"/>
  <c r="AV437" i="5"/>
  <c r="O435" i="5"/>
  <c r="M435" i="5"/>
  <c r="GI434" i="5"/>
  <c r="FN434" i="5"/>
  <c r="EZ434" i="5"/>
  <c r="DH434" i="5"/>
  <c r="O434" i="5"/>
  <c r="HY433" i="5"/>
  <c r="HY435" i="5" s="1"/>
  <c r="HT433" i="5"/>
  <c r="HT435" i="5" s="1"/>
  <c r="HS435" i="5"/>
  <c r="N433" i="5"/>
  <c r="CP432" i="5" s="1"/>
  <c r="GR432" i="5"/>
  <c r="GP432" i="5"/>
  <c r="GP433" i="5" s="1"/>
  <c r="GI432" i="5"/>
  <c r="FC432" i="5"/>
  <c r="EV432" i="5"/>
  <c r="CS432" i="5"/>
  <c r="CS434" i="5" s="1"/>
  <c r="EX432" i="5" s="1"/>
  <c r="CQ432" i="5"/>
  <c r="CR434" i="5" s="1"/>
  <c r="AV432" i="5"/>
  <c r="O430" i="5"/>
  <c r="M430" i="5"/>
  <c r="GI429" i="5"/>
  <c r="FN429" i="5"/>
  <c r="EZ429" i="5"/>
  <c r="DH429" i="5"/>
  <c r="O429" i="5"/>
  <c r="HY428" i="5"/>
  <c r="HY430" i="5" s="1"/>
  <c r="HT428" i="5"/>
  <c r="HT430" i="5" s="1"/>
  <c r="HS430" i="5"/>
  <c r="N428" i="5"/>
  <c r="CP427" i="5" s="1"/>
  <c r="GR427" i="5"/>
  <c r="GP427" i="5"/>
  <c r="GP428" i="5" s="1"/>
  <c r="GI427" i="5"/>
  <c r="FC427" i="5"/>
  <c r="EV427" i="5"/>
  <c r="CS427" i="5"/>
  <c r="CS429" i="5" s="1"/>
  <c r="FB429" i="5" s="1"/>
  <c r="EY429" i="5" s="1"/>
  <c r="CQ427" i="5"/>
  <c r="HV428" i="5" s="1"/>
  <c r="HV430" i="5" s="1"/>
  <c r="AV427" i="5"/>
  <c r="O425" i="5"/>
  <c r="M425" i="5"/>
  <c r="GI424" i="5"/>
  <c r="FN424" i="5"/>
  <c r="FO424" i="5" s="1"/>
  <c r="JH424" i="5" s="1"/>
  <c r="EZ424" i="5"/>
  <c r="DH424" i="5"/>
  <c r="O424" i="5"/>
  <c r="HY423" i="5"/>
  <c r="HY425" i="5" s="1"/>
  <c r="HT423" i="5"/>
  <c r="HT425" i="5" s="1"/>
  <c r="HS425" i="5"/>
  <c r="N423" i="5"/>
  <c r="CP422" i="5" s="1"/>
  <c r="GR422" i="5"/>
  <c r="GP422" i="5"/>
  <c r="GO422" i="5" s="1"/>
  <c r="GI422" i="5"/>
  <c r="FC422" i="5"/>
  <c r="EV422" i="5"/>
  <c r="CS422" i="5"/>
  <c r="CS424" i="5" s="1"/>
  <c r="CQ422" i="5"/>
  <c r="FL422" i="5" s="1"/>
  <c r="FM422" i="5" s="1"/>
  <c r="AV422" i="5"/>
  <c r="O420" i="5"/>
  <c r="M420" i="5"/>
  <c r="GI419" i="5"/>
  <c r="FN419" i="5"/>
  <c r="EZ419" i="5"/>
  <c r="DH419" i="5"/>
  <c r="O419" i="5"/>
  <c r="HY418" i="5"/>
  <c r="HY420" i="5" s="1"/>
  <c r="HT418" i="5"/>
  <c r="HT420" i="5" s="1"/>
  <c r="HS420" i="5"/>
  <c r="N418" i="5"/>
  <c r="CP417" i="5" s="1"/>
  <c r="GR417" i="5"/>
  <c r="GP417" i="5"/>
  <c r="GP418" i="5" s="1"/>
  <c r="GP420" i="5" s="1"/>
  <c r="GI417" i="5"/>
  <c r="FC417" i="5"/>
  <c r="EV417" i="5"/>
  <c r="CS417" i="5"/>
  <c r="CS419" i="5" s="1"/>
  <c r="FB417" i="5" s="1"/>
  <c r="EY417" i="5" s="1"/>
  <c r="CQ417" i="5"/>
  <c r="HV418" i="5" s="1"/>
  <c r="HV420" i="5" s="1"/>
  <c r="AV417" i="5"/>
  <c r="O415" i="5"/>
  <c r="M415" i="5"/>
  <c r="GI414" i="5"/>
  <c r="FN414" i="5"/>
  <c r="FO414" i="5" s="1"/>
  <c r="EZ414" i="5"/>
  <c r="DH414" i="5"/>
  <c r="O414" i="5"/>
  <c r="HY413" i="5"/>
  <c r="HY415" i="5" s="1"/>
  <c r="HT413" i="5"/>
  <c r="HT415" i="5" s="1"/>
  <c r="HS415" i="5"/>
  <c r="N413" i="5"/>
  <c r="CP412" i="5" s="1"/>
  <c r="GR412" i="5"/>
  <c r="GP412" i="5"/>
  <c r="GP413" i="5" s="1"/>
  <c r="GI412" i="5"/>
  <c r="FC412" i="5"/>
  <c r="EV412" i="5"/>
  <c r="CS412" i="5"/>
  <c r="CS414" i="5" s="1"/>
  <c r="CQ412" i="5"/>
  <c r="FS414" i="5" s="1"/>
  <c r="AV412" i="5"/>
  <c r="O410" i="5"/>
  <c r="M410" i="5"/>
  <c r="GI409" i="5"/>
  <c r="FN409" i="5"/>
  <c r="FO409" i="5" s="1"/>
  <c r="EZ409" i="5"/>
  <c r="DH409" i="5"/>
  <c r="O409" i="5"/>
  <c r="HY408" i="5"/>
  <c r="HY410" i="5" s="1"/>
  <c r="HT408" i="5"/>
  <c r="HT410" i="5" s="1"/>
  <c r="HS410" i="5"/>
  <c r="N408" i="5"/>
  <c r="CP407" i="5" s="1"/>
  <c r="GR407" i="5"/>
  <c r="GP407" i="5"/>
  <c r="GP408" i="5" s="1"/>
  <c r="GP410" i="5" s="1"/>
  <c r="GI407" i="5"/>
  <c r="FC407" i="5"/>
  <c r="EV407" i="5"/>
  <c r="CS407" i="5"/>
  <c r="CS409" i="5" s="1"/>
  <c r="FB409" i="5" s="1"/>
  <c r="EY409" i="5" s="1"/>
  <c r="CQ407" i="5"/>
  <c r="HV408" i="5" s="1"/>
  <c r="HV410" i="5" s="1"/>
  <c r="AV407" i="5"/>
  <c r="IX744" i="5" l="1"/>
  <c r="IY744" i="5"/>
  <c r="JA744" i="5"/>
  <c r="IT739" i="5"/>
  <c r="JA739" i="5"/>
  <c r="IX739" i="5"/>
  <c r="IY739" i="5"/>
  <c r="JC698" i="5"/>
  <c r="JV696" i="5" s="1"/>
  <c r="IU739" i="5"/>
  <c r="IQ739" i="5"/>
  <c r="IV739" i="5"/>
  <c r="IR739" i="5"/>
  <c r="IS739" i="5"/>
  <c r="IZ739" i="5"/>
  <c r="IW744" i="5"/>
  <c r="IS701" i="5"/>
  <c r="JC663" i="5"/>
  <c r="JV661" i="5" s="1"/>
  <c r="IQ744" i="5"/>
  <c r="IY701" i="5"/>
  <c r="IR744" i="5"/>
  <c r="IZ744" i="5"/>
  <c r="IV744" i="5"/>
  <c r="IS744" i="5"/>
  <c r="IU744" i="5"/>
  <c r="IT744" i="5"/>
  <c r="FA708" i="5"/>
  <c r="HO707" i="5"/>
  <c r="HO709" i="5" s="1"/>
  <c r="HP702" i="5"/>
  <c r="HP704" i="5" s="1"/>
  <c r="FU739" i="5"/>
  <c r="HP712" i="5"/>
  <c r="HP714" i="5" s="1"/>
  <c r="HP750" i="5"/>
  <c r="HP752" i="5" s="1"/>
  <c r="HP740" i="5"/>
  <c r="HP742" i="5" s="1"/>
  <c r="FM736" i="5"/>
  <c r="FT736" i="5" s="1"/>
  <c r="HP730" i="5"/>
  <c r="HP732" i="5" s="1"/>
  <c r="JC721" i="5"/>
  <c r="JV719" i="5" s="1"/>
  <c r="FM721" i="5"/>
  <c r="HP707" i="5"/>
  <c r="HP709" i="5" s="1"/>
  <c r="FU673" i="5"/>
  <c r="HP667" i="5"/>
  <c r="HP669" i="5" s="1"/>
  <c r="HP652" i="5"/>
  <c r="HP654" i="5" s="1"/>
  <c r="HP647" i="5"/>
  <c r="HP649" i="5" s="1"/>
  <c r="FU646" i="5"/>
  <c r="GK633" i="5"/>
  <c r="HM634" i="5" s="1"/>
  <c r="HM636" i="5" s="1"/>
  <c r="GK628" i="5"/>
  <c r="HM629" i="5" s="1"/>
  <c r="HM631" i="5" s="1"/>
  <c r="GK623" i="5"/>
  <c r="HM624" i="5" s="1"/>
  <c r="HM626" i="5" s="1"/>
  <c r="GK618" i="5"/>
  <c r="HM619" i="5" s="1"/>
  <c r="HM621" i="5" s="1"/>
  <c r="GK613" i="5"/>
  <c r="HM614" i="5" s="1"/>
  <c r="HM616" i="5" s="1"/>
  <c r="FB615" i="5"/>
  <c r="EY615" i="5" s="1"/>
  <c r="EX613" i="5"/>
  <c r="FA615" i="5" s="1"/>
  <c r="GK608" i="5"/>
  <c r="HM609" i="5" s="1"/>
  <c r="HM611" i="5" s="1"/>
  <c r="GK603" i="5"/>
  <c r="HM604" i="5" s="1"/>
  <c r="HM606" i="5" s="1"/>
  <c r="HR589" i="5"/>
  <c r="HR591" i="5" s="1"/>
  <c r="GK588" i="5"/>
  <c r="HM589" i="5" s="1"/>
  <c r="HM591" i="5" s="1"/>
  <c r="GK578" i="5"/>
  <c r="HM579" i="5" s="1"/>
  <c r="HM581" i="5" s="1"/>
  <c r="GK573" i="5"/>
  <c r="HM574" i="5" s="1"/>
  <c r="HM576" i="5" s="1"/>
  <c r="GK568" i="5"/>
  <c r="HM569" i="5" s="1"/>
  <c r="HM571" i="5" s="1"/>
  <c r="GK563" i="5"/>
  <c r="HM564" i="5" s="1"/>
  <c r="HM566" i="5" s="1"/>
  <c r="GK555" i="5"/>
  <c r="HM556" i="5" s="1"/>
  <c r="HM558" i="5" s="1"/>
  <c r="GK550" i="5"/>
  <c r="HM551" i="5" s="1"/>
  <c r="HM553" i="5" s="1"/>
  <c r="EX552" i="5"/>
  <c r="EX550" i="5"/>
  <c r="CR550" i="5"/>
  <c r="IZ550" i="5" s="1"/>
  <c r="EX545" i="5"/>
  <c r="HO546" i="5" s="1"/>
  <c r="HO548" i="5" s="1"/>
  <c r="GK540" i="5"/>
  <c r="HM541" i="5" s="1"/>
  <c r="HM543" i="5" s="1"/>
  <c r="EX542" i="5"/>
  <c r="EX540" i="5"/>
  <c r="FA542" i="5" s="1"/>
  <c r="FB542" i="5"/>
  <c r="EY542" i="5" s="1"/>
  <c r="FS542" i="5"/>
  <c r="GK535" i="5"/>
  <c r="HM536" i="5" s="1"/>
  <c r="HM538" i="5" s="1"/>
  <c r="EX535" i="5"/>
  <c r="FA535" i="5" s="1"/>
  <c r="GK530" i="5"/>
  <c r="HM531" i="5" s="1"/>
  <c r="HM533" i="5" s="1"/>
  <c r="GP531" i="5"/>
  <c r="GK525" i="5"/>
  <c r="HM526" i="5" s="1"/>
  <c r="HM528" i="5" s="1"/>
  <c r="FB527" i="5"/>
  <c r="EY527" i="5" s="1"/>
  <c r="EX527" i="5"/>
  <c r="GK520" i="5"/>
  <c r="HM521" i="5" s="1"/>
  <c r="HM523" i="5" s="1"/>
  <c r="HR516" i="5"/>
  <c r="HR518" i="5" s="1"/>
  <c r="GK515" i="5"/>
  <c r="HM516" i="5" s="1"/>
  <c r="HM518" i="5" s="1"/>
  <c r="EX517" i="5"/>
  <c r="HP516" i="5" s="1"/>
  <c r="HP518" i="5" s="1"/>
  <c r="GK510" i="5"/>
  <c r="HM511" i="5" s="1"/>
  <c r="HM513" i="5" s="1"/>
  <c r="GK505" i="5"/>
  <c r="HM506" i="5" s="1"/>
  <c r="HM508" i="5" s="1"/>
  <c r="FB507" i="5"/>
  <c r="EY507" i="5" s="1"/>
  <c r="EX507" i="5"/>
  <c r="HR501" i="5"/>
  <c r="HR503" i="5" s="1"/>
  <c r="GK500" i="5"/>
  <c r="HM501" i="5" s="1"/>
  <c r="HM503" i="5" s="1"/>
  <c r="EX500" i="5"/>
  <c r="FA500" i="5" s="1"/>
  <c r="EX502" i="5"/>
  <c r="HP501" i="5" s="1"/>
  <c r="HP503" i="5" s="1"/>
  <c r="GK495" i="5"/>
  <c r="HM496" i="5" s="1"/>
  <c r="HM498" i="5" s="1"/>
  <c r="GK490" i="5"/>
  <c r="HM491" i="5" s="1"/>
  <c r="HM493" i="5" s="1"/>
  <c r="GK485" i="5"/>
  <c r="HM486" i="5" s="1"/>
  <c r="HM488" i="5" s="1"/>
  <c r="FB492" i="5"/>
  <c r="EY492" i="5" s="1"/>
  <c r="GK477" i="5"/>
  <c r="HM478" i="5" s="1"/>
  <c r="HM480" i="5" s="1"/>
  <c r="HR468" i="5"/>
  <c r="HR470" i="5" s="1"/>
  <c r="GK467" i="5"/>
  <c r="HM468" i="5" s="1"/>
  <c r="HM470" i="5" s="1"/>
  <c r="GK462" i="5"/>
  <c r="HM463" i="5" s="1"/>
  <c r="HM465" i="5" s="1"/>
  <c r="GO462" i="5"/>
  <c r="GK457" i="5"/>
  <c r="HM458" i="5" s="1"/>
  <c r="HM460" i="5" s="1"/>
  <c r="GK452" i="5"/>
  <c r="HM453" i="5" s="1"/>
  <c r="HM455" i="5" s="1"/>
  <c r="GK447" i="5"/>
  <c r="HM448" i="5" s="1"/>
  <c r="HM450" i="5" s="1"/>
  <c r="GK442" i="5"/>
  <c r="HM443" i="5" s="1"/>
  <c r="HM445" i="5" s="1"/>
  <c r="EX442" i="5"/>
  <c r="FA444" i="5" s="1"/>
  <c r="GK437" i="5"/>
  <c r="HM438" i="5" s="1"/>
  <c r="HM440" i="5" s="1"/>
  <c r="GK432" i="5"/>
  <c r="HM433" i="5" s="1"/>
  <c r="HM435" i="5" s="1"/>
  <c r="FB432" i="5"/>
  <c r="EY432" i="5" s="1"/>
  <c r="HO433" i="5" s="1"/>
  <c r="HO435" i="5" s="1"/>
  <c r="EX434" i="5"/>
  <c r="GK427" i="5"/>
  <c r="HM428" i="5" s="1"/>
  <c r="HM430" i="5" s="1"/>
  <c r="EX427" i="5"/>
  <c r="FA427" i="5" s="1"/>
  <c r="GK417" i="5"/>
  <c r="HM418" i="5" s="1"/>
  <c r="HM420" i="5" s="1"/>
  <c r="EX419" i="5"/>
  <c r="GK412" i="5"/>
  <c r="HM413" i="5" s="1"/>
  <c r="HM415" i="5" s="1"/>
  <c r="GK407" i="5"/>
  <c r="HM408" i="5" s="1"/>
  <c r="HM410" i="5" s="1"/>
  <c r="FM766" i="5"/>
  <c r="FT766" i="5" s="1"/>
  <c r="FU766" i="5" s="1"/>
  <c r="IQ701" i="5"/>
  <c r="IR701" i="5"/>
  <c r="IT701" i="5"/>
  <c r="JA701" i="5"/>
  <c r="IV701" i="5"/>
  <c r="IU701" i="5"/>
  <c r="IW666" i="5"/>
  <c r="IQ666" i="5"/>
  <c r="IS666" i="5"/>
  <c r="IU666" i="5"/>
  <c r="JA666" i="5"/>
  <c r="IR666" i="5"/>
  <c r="IT666" i="5"/>
  <c r="IX666" i="5"/>
  <c r="IV666" i="5"/>
  <c r="FL633" i="5"/>
  <c r="FM633" i="5" s="1"/>
  <c r="FT633" i="5" s="1"/>
  <c r="GO613" i="5"/>
  <c r="FS605" i="5"/>
  <c r="GO593" i="5"/>
  <c r="FL550" i="5"/>
  <c r="FM550" i="5" s="1"/>
  <c r="FE552" i="5"/>
  <c r="JG552" i="5" s="1"/>
  <c r="JX550" i="5" s="1"/>
  <c r="GK545" i="5"/>
  <c r="HM546" i="5" s="1"/>
  <c r="HM548" i="5" s="1"/>
  <c r="GO545" i="5"/>
  <c r="GO540" i="5"/>
  <c r="GO510" i="5"/>
  <c r="CR495" i="5"/>
  <c r="IS495" i="5" s="1"/>
  <c r="GO495" i="5"/>
  <c r="FE492" i="5"/>
  <c r="JG492" i="5" s="1"/>
  <c r="GK472" i="5"/>
  <c r="HM473" i="5" s="1"/>
  <c r="HM475" i="5" s="1"/>
  <c r="GO472" i="5"/>
  <c r="GO427" i="5"/>
  <c r="FE424" i="5"/>
  <c r="JG424" i="5" s="1"/>
  <c r="JX422" i="5" s="1"/>
  <c r="GO412" i="5"/>
  <c r="CR407" i="5"/>
  <c r="IV407" i="5" s="1"/>
  <c r="GO407" i="5"/>
  <c r="CR452" i="5"/>
  <c r="IR452" i="5" s="1"/>
  <c r="FS459" i="5"/>
  <c r="CR530" i="5"/>
  <c r="IV530" i="5" s="1"/>
  <c r="FE532" i="5"/>
  <c r="JG532" i="5" s="1"/>
  <c r="JX530" i="5" s="1"/>
  <c r="HP662" i="5"/>
  <c r="HP664" i="5" s="1"/>
  <c r="HP720" i="5"/>
  <c r="HP722" i="5" s="1"/>
  <c r="IW701" i="5"/>
  <c r="CR422" i="5"/>
  <c r="IU422" i="5" s="1"/>
  <c r="HW438" i="5"/>
  <c r="HW440" i="5" s="1"/>
  <c r="FS502" i="5"/>
  <c r="HP692" i="5"/>
  <c r="HP694" i="5" s="1"/>
  <c r="HW491" i="5"/>
  <c r="HW493" i="5" s="1"/>
  <c r="FL492" i="5"/>
  <c r="FM492" i="5" s="1"/>
  <c r="FT492" i="5" s="1"/>
  <c r="HW531" i="5"/>
  <c r="HW533" i="5" s="1"/>
  <c r="CR578" i="5"/>
  <c r="IX578" i="5" s="1"/>
  <c r="FL593" i="5"/>
  <c r="HW594" i="5"/>
  <c r="HW596" i="5" s="1"/>
  <c r="HR599" i="5"/>
  <c r="HR601" i="5" s="1"/>
  <c r="CR608" i="5"/>
  <c r="IW608" i="5" s="1"/>
  <c r="FL610" i="5"/>
  <c r="FM610" i="5" s="1"/>
  <c r="CR623" i="5"/>
  <c r="IX623" i="5" s="1"/>
  <c r="HP687" i="5"/>
  <c r="HP689" i="5" s="1"/>
  <c r="IX701" i="5"/>
  <c r="FL432" i="5"/>
  <c r="FM432" i="5" s="1"/>
  <c r="FS492" i="5"/>
  <c r="HR536" i="5"/>
  <c r="HR538" i="5" s="1"/>
  <c r="FL502" i="5"/>
  <c r="HW579" i="5"/>
  <c r="HW581" i="5" s="1"/>
  <c r="HV599" i="5"/>
  <c r="HV601" i="5" s="1"/>
  <c r="HW609" i="5"/>
  <c r="HW611" i="5" s="1"/>
  <c r="HP642" i="5"/>
  <c r="HP644" i="5" s="1"/>
  <c r="HR526" i="5"/>
  <c r="HR528" i="5" s="1"/>
  <c r="FL608" i="5"/>
  <c r="FM608" i="5" s="1"/>
  <c r="HP725" i="5"/>
  <c r="HP727" i="5" s="1"/>
  <c r="JC542" i="5"/>
  <c r="JV540" i="5" s="1"/>
  <c r="IX542" i="5"/>
  <c r="IW542" i="5"/>
  <c r="IU542" i="5"/>
  <c r="IT542" i="5"/>
  <c r="IY542" i="5"/>
  <c r="IQ542" i="5"/>
  <c r="IS542" i="5"/>
  <c r="IR542" i="5"/>
  <c r="JA542" i="5"/>
  <c r="IV542" i="5"/>
  <c r="IZ542" i="5"/>
  <c r="IZ510" i="5"/>
  <c r="IR510" i="5"/>
  <c r="IY510" i="5"/>
  <c r="IQ510" i="5"/>
  <c r="IX510" i="5"/>
  <c r="IW510" i="5"/>
  <c r="IU510" i="5"/>
  <c r="JA510" i="5"/>
  <c r="IS510" i="5"/>
  <c r="IT510" i="5"/>
  <c r="IV510" i="5"/>
  <c r="JX598" i="5"/>
  <c r="JX490" i="5"/>
  <c r="IX625" i="5"/>
  <c r="IW625" i="5"/>
  <c r="IU625" i="5"/>
  <c r="IT625" i="5"/>
  <c r="IY625" i="5"/>
  <c r="IQ625" i="5"/>
  <c r="JA625" i="5"/>
  <c r="IZ625" i="5"/>
  <c r="IV625" i="5"/>
  <c r="IS625" i="5"/>
  <c r="IR625" i="5"/>
  <c r="IY474" i="5"/>
  <c r="IQ474" i="5"/>
  <c r="IX474" i="5"/>
  <c r="IW474" i="5"/>
  <c r="IV474" i="5"/>
  <c r="IZ474" i="5"/>
  <c r="IR474" i="5"/>
  <c r="IU474" i="5"/>
  <c r="IT474" i="5"/>
  <c r="IS474" i="5"/>
  <c r="JA474" i="5"/>
  <c r="FY474" i="5"/>
  <c r="IX434" i="5"/>
  <c r="IW434" i="5"/>
  <c r="IV434" i="5"/>
  <c r="IT434" i="5"/>
  <c r="IS434" i="5"/>
  <c r="IR434" i="5"/>
  <c r="IQ434" i="5"/>
  <c r="JA434" i="5"/>
  <c r="IZ434" i="5"/>
  <c r="IU434" i="5"/>
  <c r="IY434" i="5"/>
  <c r="IZ590" i="5"/>
  <c r="IR590" i="5"/>
  <c r="IY590" i="5"/>
  <c r="IQ590" i="5"/>
  <c r="IW590" i="5"/>
  <c r="IV590" i="5"/>
  <c r="JA590" i="5"/>
  <c r="IS590" i="5"/>
  <c r="IX590" i="5"/>
  <c r="IU590" i="5"/>
  <c r="IT590" i="5"/>
  <c r="FY590" i="5"/>
  <c r="IY422" i="5"/>
  <c r="IT422" i="5"/>
  <c r="IZ490" i="5"/>
  <c r="IR490" i="5"/>
  <c r="IY490" i="5"/>
  <c r="IQ490" i="5"/>
  <c r="IX490" i="5"/>
  <c r="IW490" i="5"/>
  <c r="IU490" i="5"/>
  <c r="JA490" i="5"/>
  <c r="IS490" i="5"/>
  <c r="IV490" i="5"/>
  <c r="IT490" i="5"/>
  <c r="FL575" i="5"/>
  <c r="FM575" i="5" s="1"/>
  <c r="FT575" i="5" s="1"/>
  <c r="FL580" i="5"/>
  <c r="FM580" i="5" s="1"/>
  <c r="FT580" i="5" s="1"/>
  <c r="FU580" i="5" s="1"/>
  <c r="HW584" i="5"/>
  <c r="HW586" i="5" s="1"/>
  <c r="FS585" i="5"/>
  <c r="IX711" i="5"/>
  <c r="IV711" i="5"/>
  <c r="IU711" i="5"/>
  <c r="JA711" i="5"/>
  <c r="IS711" i="5"/>
  <c r="IY711" i="5"/>
  <c r="IQ711" i="5"/>
  <c r="IT711" i="5"/>
  <c r="IR711" i="5"/>
  <c r="IW711" i="5"/>
  <c r="IZ711" i="5"/>
  <c r="IV706" i="5"/>
  <c r="IT706" i="5"/>
  <c r="JA706" i="5"/>
  <c r="IS706" i="5"/>
  <c r="IY706" i="5"/>
  <c r="IQ706" i="5"/>
  <c r="IW706" i="5"/>
  <c r="IU706" i="5"/>
  <c r="IR706" i="5"/>
  <c r="IX706" i="5"/>
  <c r="IZ706" i="5"/>
  <c r="IT681" i="5"/>
  <c r="IZ681" i="5"/>
  <c r="IR681" i="5"/>
  <c r="IY681" i="5"/>
  <c r="IQ681" i="5"/>
  <c r="IW681" i="5"/>
  <c r="IU681" i="5"/>
  <c r="IX681" i="5"/>
  <c r="IV681" i="5"/>
  <c r="JA681" i="5"/>
  <c r="IS681" i="5"/>
  <c r="IZ676" i="5"/>
  <c r="IR676" i="5"/>
  <c r="IX676" i="5"/>
  <c r="IW676" i="5"/>
  <c r="IU676" i="5"/>
  <c r="JA676" i="5"/>
  <c r="IS676" i="5"/>
  <c r="IY676" i="5"/>
  <c r="IV676" i="5"/>
  <c r="IQ676" i="5"/>
  <c r="IT676" i="5"/>
  <c r="IY726" i="5"/>
  <c r="IQ726" i="5"/>
  <c r="IW726" i="5"/>
  <c r="IV726" i="5"/>
  <c r="IT726" i="5"/>
  <c r="IZ726" i="5"/>
  <c r="IR726" i="5"/>
  <c r="JA726" i="5"/>
  <c r="IU726" i="5"/>
  <c r="IS726" i="5"/>
  <c r="IX726" i="5"/>
  <c r="IU673" i="5"/>
  <c r="JA673" i="5"/>
  <c r="IS673" i="5"/>
  <c r="IZ673" i="5"/>
  <c r="IR673" i="5"/>
  <c r="IX673" i="5"/>
  <c r="IV673" i="5"/>
  <c r="IY673" i="5"/>
  <c r="IQ673" i="5"/>
  <c r="IW673" i="5"/>
  <c r="IT673" i="5"/>
  <c r="JA731" i="5"/>
  <c r="IS731" i="5"/>
  <c r="IY731" i="5"/>
  <c r="IQ731" i="5"/>
  <c r="IX731" i="5"/>
  <c r="IV731" i="5"/>
  <c r="IT731" i="5"/>
  <c r="IZ731" i="5"/>
  <c r="IU731" i="5"/>
  <c r="IR731" i="5"/>
  <c r="IW731" i="5"/>
  <c r="IT641" i="5"/>
  <c r="IZ641" i="5"/>
  <c r="IR641" i="5"/>
  <c r="IY641" i="5"/>
  <c r="IQ641" i="5"/>
  <c r="IW641" i="5"/>
  <c r="IU641" i="5"/>
  <c r="JA641" i="5"/>
  <c r="IV641" i="5"/>
  <c r="IS641" i="5"/>
  <c r="IX641" i="5"/>
  <c r="IX774" i="5"/>
  <c r="IW774" i="5"/>
  <c r="IV774" i="5"/>
  <c r="IU774" i="5"/>
  <c r="IT774" i="5"/>
  <c r="JA774" i="5"/>
  <c r="IS774" i="5"/>
  <c r="IY774" i="5"/>
  <c r="IQ774" i="5"/>
  <c r="IZ774" i="5"/>
  <c r="IR774" i="5"/>
  <c r="CR467" i="5"/>
  <c r="CR469" i="5"/>
  <c r="FY469" i="5" s="1"/>
  <c r="FE474" i="5"/>
  <c r="JG474" i="5" s="1"/>
  <c r="JX472" i="5" s="1"/>
  <c r="JA479" i="5"/>
  <c r="IS479" i="5"/>
  <c r="IZ479" i="5"/>
  <c r="IR479" i="5"/>
  <c r="IY479" i="5"/>
  <c r="IQ479" i="5"/>
  <c r="IX479" i="5"/>
  <c r="IT479" i="5"/>
  <c r="IV479" i="5"/>
  <c r="IU479" i="5"/>
  <c r="IW479" i="5"/>
  <c r="FY479" i="5"/>
  <c r="CR552" i="5"/>
  <c r="JC552" i="5" s="1"/>
  <c r="CR583" i="5"/>
  <c r="IT595" i="5"/>
  <c r="JA595" i="5"/>
  <c r="IS595" i="5"/>
  <c r="IY595" i="5"/>
  <c r="IQ595" i="5"/>
  <c r="IX595" i="5"/>
  <c r="IU595" i="5"/>
  <c r="IZ595" i="5"/>
  <c r="IW595" i="5"/>
  <c r="IV595" i="5"/>
  <c r="IR595" i="5"/>
  <c r="IU693" i="5"/>
  <c r="JA693" i="5"/>
  <c r="IS693" i="5"/>
  <c r="IZ693" i="5"/>
  <c r="IR693" i="5"/>
  <c r="IX693" i="5"/>
  <c r="IV693" i="5"/>
  <c r="IY693" i="5"/>
  <c r="IW693" i="5"/>
  <c r="IT693" i="5"/>
  <c r="IQ693" i="5"/>
  <c r="IY643" i="5"/>
  <c r="IQ643" i="5"/>
  <c r="IW643" i="5"/>
  <c r="IV643" i="5"/>
  <c r="IT643" i="5"/>
  <c r="IZ643" i="5"/>
  <c r="IR643" i="5"/>
  <c r="IS643" i="5"/>
  <c r="IU643" i="5"/>
  <c r="JA643" i="5"/>
  <c r="IX643" i="5"/>
  <c r="IY766" i="5"/>
  <c r="IQ766" i="5"/>
  <c r="IX766" i="5"/>
  <c r="IW766" i="5"/>
  <c r="IV766" i="5"/>
  <c r="IU766" i="5"/>
  <c r="IT766" i="5"/>
  <c r="IZ766" i="5"/>
  <c r="IR766" i="5"/>
  <c r="JA766" i="5"/>
  <c r="IS766" i="5"/>
  <c r="JA771" i="5"/>
  <c r="IS771" i="5"/>
  <c r="IZ771" i="5"/>
  <c r="IR771" i="5"/>
  <c r="IY771" i="5"/>
  <c r="IQ771" i="5"/>
  <c r="IX771" i="5"/>
  <c r="IW771" i="5"/>
  <c r="IV771" i="5"/>
  <c r="IT771" i="5"/>
  <c r="IU771" i="5"/>
  <c r="IW781" i="5"/>
  <c r="IV781" i="5"/>
  <c r="IU781" i="5"/>
  <c r="IT781" i="5"/>
  <c r="JA781" i="5"/>
  <c r="IS781" i="5"/>
  <c r="IZ781" i="5"/>
  <c r="IR781" i="5"/>
  <c r="IX781" i="5"/>
  <c r="IY781" i="5"/>
  <c r="IQ781" i="5"/>
  <c r="IW741" i="5"/>
  <c r="IV741" i="5"/>
  <c r="IU741" i="5"/>
  <c r="IT741" i="5"/>
  <c r="IZ741" i="5"/>
  <c r="IR741" i="5"/>
  <c r="IX741" i="5"/>
  <c r="IQ741" i="5"/>
  <c r="IS741" i="5"/>
  <c r="JA741" i="5"/>
  <c r="IY741" i="5"/>
  <c r="FY731" i="5"/>
  <c r="FM648" i="5"/>
  <c r="FT648" i="5" s="1"/>
  <c r="FU648" i="5" s="1"/>
  <c r="IZ696" i="5"/>
  <c r="IR696" i="5"/>
  <c r="IX696" i="5"/>
  <c r="IW696" i="5"/>
  <c r="IU696" i="5"/>
  <c r="JA696" i="5"/>
  <c r="IS696" i="5"/>
  <c r="IV696" i="5"/>
  <c r="IT696" i="5"/>
  <c r="IY696" i="5"/>
  <c r="IQ696" i="5"/>
  <c r="JA452" i="5"/>
  <c r="IY452" i="5"/>
  <c r="IX452" i="5"/>
  <c r="IT578" i="5"/>
  <c r="IZ623" i="5"/>
  <c r="HW423" i="5"/>
  <c r="HW425" i="5" s="1"/>
  <c r="CR432" i="5"/>
  <c r="FS432" i="5" s="1"/>
  <c r="FL472" i="5"/>
  <c r="CR477" i="5"/>
  <c r="FS477" i="5" s="1"/>
  <c r="HV506" i="5"/>
  <c r="HV508" i="5" s="1"/>
  <c r="CR593" i="5"/>
  <c r="CR610" i="5"/>
  <c r="JC610" i="5" s="1"/>
  <c r="HW624" i="5"/>
  <c r="HW626" i="5" s="1"/>
  <c r="JA688" i="5"/>
  <c r="IS688" i="5"/>
  <c r="IY688" i="5"/>
  <c r="IQ688" i="5"/>
  <c r="IX688" i="5"/>
  <c r="IV688" i="5"/>
  <c r="IT688" i="5"/>
  <c r="IZ688" i="5"/>
  <c r="IW688" i="5"/>
  <c r="IR688" i="5"/>
  <c r="IU688" i="5"/>
  <c r="FY673" i="5"/>
  <c r="IV749" i="5"/>
  <c r="IU749" i="5"/>
  <c r="IT749" i="5"/>
  <c r="JA749" i="5"/>
  <c r="IS749" i="5"/>
  <c r="IY749" i="5"/>
  <c r="IQ749" i="5"/>
  <c r="IW749" i="5"/>
  <c r="IR749" i="5"/>
  <c r="IX749" i="5"/>
  <c r="IZ749" i="5"/>
  <c r="IV729" i="5"/>
  <c r="IT729" i="5"/>
  <c r="JA729" i="5"/>
  <c r="IS729" i="5"/>
  <c r="IY729" i="5"/>
  <c r="IQ729" i="5"/>
  <c r="IW729" i="5"/>
  <c r="IR729" i="5"/>
  <c r="IU729" i="5"/>
  <c r="IX729" i="5"/>
  <c r="IZ729" i="5"/>
  <c r="JC731" i="5"/>
  <c r="JV729" i="5" s="1"/>
  <c r="IT724" i="5"/>
  <c r="IZ724" i="5"/>
  <c r="IR724" i="5"/>
  <c r="IY724" i="5"/>
  <c r="IQ724" i="5"/>
  <c r="IW724" i="5"/>
  <c r="IU724" i="5"/>
  <c r="IS724" i="5"/>
  <c r="IV724" i="5"/>
  <c r="JA724" i="5"/>
  <c r="IX724" i="5"/>
  <c r="JA791" i="5"/>
  <c r="IS791" i="5"/>
  <c r="IZ791" i="5"/>
  <c r="IR791" i="5"/>
  <c r="IY791" i="5"/>
  <c r="IQ791" i="5"/>
  <c r="IX791" i="5"/>
  <c r="IW791" i="5"/>
  <c r="IV791" i="5"/>
  <c r="IT791" i="5"/>
  <c r="IU791" i="5"/>
  <c r="HW408" i="5"/>
  <c r="HW410" i="5" s="1"/>
  <c r="FS409" i="5"/>
  <c r="FS429" i="5"/>
  <c r="FE454" i="5"/>
  <c r="JG454" i="5" s="1"/>
  <c r="JX452" i="5" s="1"/>
  <c r="HW473" i="5"/>
  <c r="HW475" i="5" s="1"/>
  <c r="HV541" i="5"/>
  <c r="HV543" i="5" s="1"/>
  <c r="CR580" i="5"/>
  <c r="JC580" i="5" s="1"/>
  <c r="FL588" i="5"/>
  <c r="FM588" i="5" s="1"/>
  <c r="FT588" i="5" s="1"/>
  <c r="IQ608" i="5"/>
  <c r="FE630" i="5"/>
  <c r="JG630" i="5" s="1"/>
  <c r="JA708" i="5"/>
  <c r="IS708" i="5"/>
  <c r="IY708" i="5"/>
  <c r="IQ708" i="5"/>
  <c r="IX708" i="5"/>
  <c r="IV708" i="5"/>
  <c r="IT708" i="5"/>
  <c r="IW708" i="5"/>
  <c r="IU708" i="5"/>
  <c r="IZ708" i="5"/>
  <c r="IR708" i="5"/>
  <c r="IV686" i="5"/>
  <c r="IT686" i="5"/>
  <c r="JA686" i="5"/>
  <c r="IS686" i="5"/>
  <c r="IY686" i="5"/>
  <c r="IQ686" i="5"/>
  <c r="IW686" i="5"/>
  <c r="IX686" i="5"/>
  <c r="IU686" i="5"/>
  <c r="IZ686" i="5"/>
  <c r="IR686" i="5"/>
  <c r="IY683" i="5"/>
  <c r="IQ683" i="5"/>
  <c r="IW683" i="5"/>
  <c r="IV683" i="5"/>
  <c r="IT683" i="5"/>
  <c r="IZ683" i="5"/>
  <c r="IR683" i="5"/>
  <c r="JA683" i="5"/>
  <c r="IX683" i="5"/>
  <c r="IU683" i="5"/>
  <c r="IS683" i="5"/>
  <c r="IY786" i="5"/>
  <c r="IQ786" i="5"/>
  <c r="IX786" i="5"/>
  <c r="IW786" i="5"/>
  <c r="IV786" i="5"/>
  <c r="IU786" i="5"/>
  <c r="IT786" i="5"/>
  <c r="IZ786" i="5"/>
  <c r="IR786" i="5"/>
  <c r="JA786" i="5"/>
  <c r="IS786" i="5"/>
  <c r="IZ759" i="5"/>
  <c r="IR759" i="5"/>
  <c r="IY759" i="5"/>
  <c r="IQ759" i="5"/>
  <c r="IX759" i="5"/>
  <c r="IW759" i="5"/>
  <c r="IU759" i="5"/>
  <c r="JA759" i="5"/>
  <c r="IS759" i="5"/>
  <c r="IV759" i="5"/>
  <c r="IT759" i="5"/>
  <c r="IX734" i="5"/>
  <c r="IW734" i="5"/>
  <c r="IV734" i="5"/>
  <c r="IU734" i="5"/>
  <c r="JA734" i="5"/>
  <c r="IS734" i="5"/>
  <c r="IY734" i="5"/>
  <c r="IQ734" i="5"/>
  <c r="IR734" i="5"/>
  <c r="IT734" i="5"/>
  <c r="IZ734" i="5"/>
  <c r="IV646" i="5"/>
  <c r="IT646" i="5"/>
  <c r="JA646" i="5"/>
  <c r="IS646" i="5"/>
  <c r="IY646" i="5"/>
  <c r="IQ646" i="5"/>
  <c r="IW646" i="5"/>
  <c r="IZ646" i="5"/>
  <c r="IU646" i="5"/>
  <c r="IR646" i="5"/>
  <c r="IX646" i="5"/>
  <c r="IV769" i="5"/>
  <c r="IU769" i="5"/>
  <c r="IT769" i="5"/>
  <c r="JA769" i="5"/>
  <c r="IS769" i="5"/>
  <c r="IZ769" i="5"/>
  <c r="IR769" i="5"/>
  <c r="IY769" i="5"/>
  <c r="IQ769" i="5"/>
  <c r="IW769" i="5"/>
  <c r="IX769" i="5"/>
  <c r="CR419" i="5"/>
  <c r="JC419" i="5" s="1"/>
  <c r="FE439" i="5"/>
  <c r="JG439" i="5" s="1"/>
  <c r="JX437" i="5" s="1"/>
  <c r="FL578" i="5"/>
  <c r="FM578" i="5" s="1"/>
  <c r="FT578" i="5" s="1"/>
  <c r="FE585" i="5"/>
  <c r="JG585" i="5" s="1"/>
  <c r="FE595" i="5"/>
  <c r="JG595" i="5" s="1"/>
  <c r="JX593" i="5" s="1"/>
  <c r="IW635" i="5"/>
  <c r="IU635" i="5"/>
  <c r="IT635" i="5"/>
  <c r="IZ635" i="5"/>
  <c r="IR635" i="5"/>
  <c r="IX635" i="5"/>
  <c r="IS635" i="5"/>
  <c r="IQ635" i="5"/>
  <c r="IV635" i="5"/>
  <c r="JA635" i="5"/>
  <c r="IY635" i="5"/>
  <c r="JA668" i="5"/>
  <c r="IS668" i="5"/>
  <c r="IY668" i="5"/>
  <c r="IQ668" i="5"/>
  <c r="IX668" i="5"/>
  <c r="IV668" i="5"/>
  <c r="IT668" i="5"/>
  <c r="IZ668" i="5"/>
  <c r="IR668" i="5"/>
  <c r="IW668" i="5"/>
  <c r="IU668" i="5"/>
  <c r="IW678" i="5"/>
  <c r="IU678" i="5"/>
  <c r="IT678" i="5"/>
  <c r="IZ678" i="5"/>
  <c r="IR678" i="5"/>
  <c r="IX678" i="5"/>
  <c r="JA678" i="5"/>
  <c r="IY678" i="5"/>
  <c r="IQ678" i="5"/>
  <c r="IV678" i="5"/>
  <c r="IS678" i="5"/>
  <c r="JX661" i="5"/>
  <c r="IY746" i="5"/>
  <c r="IQ746" i="5"/>
  <c r="IX746" i="5"/>
  <c r="IW746" i="5"/>
  <c r="IV746" i="5"/>
  <c r="IT746" i="5"/>
  <c r="IZ746" i="5"/>
  <c r="IR746" i="5"/>
  <c r="JA746" i="5"/>
  <c r="IU746" i="5"/>
  <c r="IS746" i="5"/>
  <c r="JA751" i="5"/>
  <c r="IS751" i="5"/>
  <c r="IZ751" i="5"/>
  <c r="IR751" i="5"/>
  <c r="IY751" i="5"/>
  <c r="IQ751" i="5"/>
  <c r="IX751" i="5"/>
  <c r="IV751" i="5"/>
  <c r="IT751" i="5"/>
  <c r="IW751" i="5"/>
  <c r="IU751" i="5"/>
  <c r="IX651" i="5"/>
  <c r="IV651" i="5"/>
  <c r="IU651" i="5"/>
  <c r="JA651" i="5"/>
  <c r="IS651" i="5"/>
  <c r="IY651" i="5"/>
  <c r="IQ651" i="5"/>
  <c r="IZ651" i="5"/>
  <c r="IT651" i="5"/>
  <c r="IR651" i="5"/>
  <c r="IW651" i="5"/>
  <c r="IX585" i="5"/>
  <c r="IW585" i="5"/>
  <c r="IU585" i="5"/>
  <c r="IT585" i="5"/>
  <c r="IY585" i="5"/>
  <c r="IQ585" i="5"/>
  <c r="JA585" i="5"/>
  <c r="IZ585" i="5"/>
  <c r="IV585" i="5"/>
  <c r="IR585" i="5"/>
  <c r="IS585" i="5"/>
  <c r="CR437" i="5"/>
  <c r="FS437" i="5" s="1"/>
  <c r="FL452" i="5"/>
  <c r="FM452" i="5" s="1"/>
  <c r="FT452" i="5" s="1"/>
  <c r="FL467" i="5"/>
  <c r="FM467" i="5" s="1"/>
  <c r="FT467" i="5" s="1"/>
  <c r="FS469" i="5"/>
  <c r="IV557" i="5"/>
  <c r="IU557" i="5"/>
  <c r="JA557" i="5"/>
  <c r="IS557" i="5"/>
  <c r="IZ557" i="5"/>
  <c r="IR557" i="5"/>
  <c r="IW557" i="5"/>
  <c r="IQ557" i="5"/>
  <c r="IY557" i="5"/>
  <c r="IT557" i="5"/>
  <c r="IX557" i="5"/>
  <c r="FL583" i="5"/>
  <c r="FM583" i="5" s="1"/>
  <c r="FT583" i="5" s="1"/>
  <c r="HV629" i="5"/>
  <c r="HV631" i="5" s="1"/>
  <c r="IX691" i="5"/>
  <c r="IV691" i="5"/>
  <c r="IU691" i="5"/>
  <c r="JA691" i="5"/>
  <c r="IS691" i="5"/>
  <c r="IY691" i="5"/>
  <c r="IQ691" i="5"/>
  <c r="IW691" i="5"/>
  <c r="IT691" i="5"/>
  <c r="IZ691" i="5"/>
  <c r="IR691" i="5"/>
  <c r="IV789" i="5"/>
  <c r="IU789" i="5"/>
  <c r="IT789" i="5"/>
  <c r="JA789" i="5"/>
  <c r="IS789" i="5"/>
  <c r="IZ789" i="5"/>
  <c r="IR789" i="5"/>
  <c r="IY789" i="5"/>
  <c r="IQ789" i="5"/>
  <c r="IW789" i="5"/>
  <c r="IX789" i="5"/>
  <c r="IU776" i="5"/>
  <c r="IT776" i="5"/>
  <c r="JA776" i="5"/>
  <c r="IS776" i="5"/>
  <c r="IZ776" i="5"/>
  <c r="IR776" i="5"/>
  <c r="IY776" i="5"/>
  <c r="IQ776" i="5"/>
  <c r="IX776" i="5"/>
  <c r="IV776" i="5"/>
  <c r="IW776" i="5"/>
  <c r="IZ779" i="5"/>
  <c r="IR779" i="5"/>
  <c r="IY779" i="5"/>
  <c r="IQ779" i="5"/>
  <c r="IX779" i="5"/>
  <c r="IW779" i="5"/>
  <c r="IV779" i="5"/>
  <c r="IU779" i="5"/>
  <c r="JA779" i="5"/>
  <c r="IS779" i="5"/>
  <c r="IT779" i="5"/>
  <c r="IX754" i="5"/>
  <c r="IW754" i="5"/>
  <c r="IV754" i="5"/>
  <c r="IU754" i="5"/>
  <c r="JA754" i="5"/>
  <c r="IS754" i="5"/>
  <c r="IY754" i="5"/>
  <c r="IQ754" i="5"/>
  <c r="IZ754" i="5"/>
  <c r="IT754" i="5"/>
  <c r="IR754" i="5"/>
  <c r="IY663" i="5"/>
  <c r="IQ663" i="5"/>
  <c r="IW663" i="5"/>
  <c r="IV663" i="5"/>
  <c r="IT663" i="5"/>
  <c r="IZ663" i="5"/>
  <c r="IR663" i="5"/>
  <c r="JA663" i="5"/>
  <c r="IS663" i="5"/>
  <c r="IU663" i="5"/>
  <c r="IX663" i="5"/>
  <c r="IX671" i="5"/>
  <c r="IV671" i="5"/>
  <c r="IU671" i="5"/>
  <c r="JA671" i="5"/>
  <c r="IS671" i="5"/>
  <c r="IY671" i="5"/>
  <c r="IQ671" i="5"/>
  <c r="IZ671" i="5"/>
  <c r="IW671" i="5"/>
  <c r="IR671" i="5"/>
  <c r="IT671" i="5"/>
  <c r="FS671" i="5"/>
  <c r="IW721" i="5"/>
  <c r="IU721" i="5"/>
  <c r="IT721" i="5"/>
  <c r="IZ721" i="5"/>
  <c r="IR721" i="5"/>
  <c r="IX721" i="5"/>
  <c r="JA721" i="5"/>
  <c r="IV721" i="5"/>
  <c r="IS721" i="5"/>
  <c r="IY721" i="5"/>
  <c r="IQ721" i="5"/>
  <c r="IW658" i="5"/>
  <c r="IU658" i="5"/>
  <c r="IT658" i="5"/>
  <c r="IZ658" i="5"/>
  <c r="IR658" i="5"/>
  <c r="IX658" i="5"/>
  <c r="IQ658" i="5"/>
  <c r="JA658" i="5"/>
  <c r="IS658" i="5"/>
  <c r="IY658" i="5"/>
  <c r="IV658" i="5"/>
  <c r="IU756" i="5"/>
  <c r="IT756" i="5"/>
  <c r="JA756" i="5"/>
  <c r="IS756" i="5"/>
  <c r="IZ756" i="5"/>
  <c r="IR756" i="5"/>
  <c r="IX756" i="5"/>
  <c r="IV756" i="5"/>
  <c r="IQ756" i="5"/>
  <c r="IY756" i="5"/>
  <c r="IW756" i="5"/>
  <c r="IZ719" i="5"/>
  <c r="IR719" i="5"/>
  <c r="IX719" i="5"/>
  <c r="IW719" i="5"/>
  <c r="IU719" i="5"/>
  <c r="JA719" i="5"/>
  <c r="IS719" i="5"/>
  <c r="IT719" i="5"/>
  <c r="IQ719" i="5"/>
  <c r="IV719" i="5"/>
  <c r="IY719" i="5"/>
  <c r="IT661" i="5"/>
  <c r="IZ661" i="5"/>
  <c r="IR661" i="5"/>
  <c r="IY661" i="5"/>
  <c r="IQ661" i="5"/>
  <c r="IW661" i="5"/>
  <c r="IU661" i="5"/>
  <c r="JA661" i="5"/>
  <c r="IX661" i="5"/>
  <c r="IS661" i="5"/>
  <c r="IV661" i="5"/>
  <c r="FS661" i="5"/>
  <c r="FU661" i="5" s="1"/>
  <c r="HW453" i="5"/>
  <c r="HW455" i="5" s="1"/>
  <c r="HV468" i="5"/>
  <c r="HV470" i="5" s="1"/>
  <c r="CR472" i="5"/>
  <c r="FS472" i="5" s="1"/>
  <c r="FL500" i="5"/>
  <c r="FM500" i="5" s="1"/>
  <c r="FT500" i="5" s="1"/>
  <c r="FT550" i="5"/>
  <c r="HW551" i="5"/>
  <c r="HW553" i="5" s="1"/>
  <c r="CR565" i="5"/>
  <c r="FY565" i="5" s="1"/>
  <c r="FE580" i="5"/>
  <c r="JG580" i="5" s="1"/>
  <c r="HV584" i="5"/>
  <c r="HV586" i="5" s="1"/>
  <c r="FE610" i="5"/>
  <c r="JG610" i="5" s="1"/>
  <c r="JX608" i="5" s="1"/>
  <c r="IY703" i="5"/>
  <c r="IQ703" i="5"/>
  <c r="IW703" i="5"/>
  <c r="IV703" i="5"/>
  <c r="IT703" i="5"/>
  <c r="IZ703" i="5"/>
  <c r="IR703" i="5"/>
  <c r="IX703" i="5"/>
  <c r="IU703" i="5"/>
  <c r="JA703" i="5"/>
  <c r="IS703" i="5"/>
  <c r="IZ656" i="5"/>
  <c r="IR656" i="5"/>
  <c r="IX656" i="5"/>
  <c r="IW656" i="5"/>
  <c r="IU656" i="5"/>
  <c r="JA656" i="5"/>
  <c r="IS656" i="5"/>
  <c r="IY656" i="5"/>
  <c r="IT656" i="5"/>
  <c r="IQ656" i="5"/>
  <c r="IV656" i="5"/>
  <c r="IT764" i="5"/>
  <c r="JA764" i="5"/>
  <c r="IS764" i="5"/>
  <c r="IZ764" i="5"/>
  <c r="IR764" i="5"/>
  <c r="IY764" i="5"/>
  <c r="IQ764" i="5"/>
  <c r="IX764" i="5"/>
  <c r="IW764" i="5"/>
  <c r="IU764" i="5"/>
  <c r="IV764" i="5"/>
  <c r="IW761" i="5"/>
  <c r="IV761" i="5"/>
  <c r="IU761" i="5"/>
  <c r="IT761" i="5"/>
  <c r="JA761" i="5"/>
  <c r="IZ761" i="5"/>
  <c r="IR761" i="5"/>
  <c r="IX761" i="5"/>
  <c r="IY761" i="5"/>
  <c r="IS761" i="5"/>
  <c r="IQ761" i="5"/>
  <c r="IW698" i="5"/>
  <c r="IU698" i="5"/>
  <c r="IT698" i="5"/>
  <c r="IZ698" i="5"/>
  <c r="IR698" i="5"/>
  <c r="IX698" i="5"/>
  <c r="IY698" i="5"/>
  <c r="IV698" i="5"/>
  <c r="JA698" i="5"/>
  <c r="IS698" i="5"/>
  <c r="IQ698" i="5"/>
  <c r="JA648" i="5"/>
  <c r="IS648" i="5"/>
  <c r="IY648" i="5"/>
  <c r="IQ648" i="5"/>
  <c r="IX648" i="5"/>
  <c r="IV648" i="5"/>
  <c r="IT648" i="5"/>
  <c r="IR648" i="5"/>
  <c r="IU648" i="5"/>
  <c r="IW648" i="5"/>
  <c r="IZ648" i="5"/>
  <c r="FY648" i="5"/>
  <c r="FU696" i="5"/>
  <c r="GO633" i="5"/>
  <c r="GP486" i="5"/>
  <c r="GO417" i="5"/>
  <c r="GO442" i="5"/>
  <c r="GO447" i="5"/>
  <c r="GO477" i="5"/>
  <c r="GO515" i="5"/>
  <c r="GO525" i="5"/>
  <c r="GO550" i="5"/>
  <c r="GO555" i="5"/>
  <c r="GO563" i="5"/>
  <c r="GO573" i="5"/>
  <c r="GO578" i="5"/>
  <c r="GP584" i="5"/>
  <c r="GP586" i="5" s="1"/>
  <c r="GO588" i="5"/>
  <c r="GO628" i="5"/>
  <c r="HR790" i="5"/>
  <c r="HR792" i="5" s="1"/>
  <c r="HP790" i="5"/>
  <c r="HP792" i="5" s="1"/>
  <c r="JC756" i="5"/>
  <c r="FY756" i="5"/>
  <c r="FS774" i="5"/>
  <c r="FA786" i="5"/>
  <c r="FA784" i="5"/>
  <c r="HO785" i="5"/>
  <c r="HO787" i="5" s="1"/>
  <c r="FM784" i="5"/>
  <c r="FT784" i="5" s="1"/>
  <c r="FU784" i="5" s="1"/>
  <c r="FA761" i="5"/>
  <c r="HO760" i="5"/>
  <c r="HO762" i="5" s="1"/>
  <c r="FA759" i="5"/>
  <c r="FS759" i="5"/>
  <c r="FU759" i="5" s="1"/>
  <c r="JX724" i="5"/>
  <c r="FM774" i="5"/>
  <c r="FT774" i="5" s="1"/>
  <c r="FM761" i="5"/>
  <c r="FM791" i="5"/>
  <c r="JC766" i="5"/>
  <c r="FY766" i="5"/>
  <c r="FS779" i="5"/>
  <c r="FM744" i="5"/>
  <c r="FT744" i="5" s="1"/>
  <c r="FU744" i="5" s="1"/>
  <c r="HP755" i="5"/>
  <c r="HP757" i="5" s="1"/>
  <c r="FM754" i="5"/>
  <c r="FT754" i="5" s="1"/>
  <c r="FA739" i="5"/>
  <c r="FA741" i="5"/>
  <c r="HO740" i="5"/>
  <c r="HO742" i="5" s="1"/>
  <c r="FS734" i="5"/>
  <c r="HP735" i="5"/>
  <c r="HP737" i="5" s="1"/>
  <c r="FM724" i="5"/>
  <c r="FT724" i="5" s="1"/>
  <c r="FA781" i="5"/>
  <c r="HO780" i="5"/>
  <c r="HO782" i="5" s="1"/>
  <c r="FA779" i="5"/>
  <c r="GP742" i="5"/>
  <c r="HR780" i="5"/>
  <c r="HR782" i="5" s="1"/>
  <c r="JH781" i="5"/>
  <c r="FM786" i="5"/>
  <c r="JC776" i="5"/>
  <c r="FY776" i="5"/>
  <c r="HP780" i="5"/>
  <c r="HP782" i="5" s="1"/>
  <c r="HP775" i="5"/>
  <c r="HP777" i="5" s="1"/>
  <c r="FM771" i="5"/>
  <c r="JX764" i="5"/>
  <c r="HP770" i="5"/>
  <c r="HP772" i="5" s="1"/>
  <c r="FM779" i="5"/>
  <c r="FT779" i="5" s="1"/>
  <c r="HP765" i="5"/>
  <c r="HP767" i="5" s="1"/>
  <c r="FA756" i="5"/>
  <c r="HO755" i="5"/>
  <c r="HO757" i="5" s="1"/>
  <c r="FA754" i="5"/>
  <c r="FY741" i="5"/>
  <c r="JC741" i="5"/>
  <c r="JX739" i="5"/>
  <c r="FM756" i="5"/>
  <c r="JH721" i="5"/>
  <c r="HR720" i="5"/>
  <c r="HR722" i="5" s="1"/>
  <c r="FS724" i="5"/>
  <c r="JC726" i="5"/>
  <c r="FY726" i="5"/>
  <c r="FS769" i="5"/>
  <c r="FU769" i="5" s="1"/>
  <c r="FM764" i="5"/>
  <c r="FT764" i="5" s="1"/>
  <c r="HO775" i="5"/>
  <c r="HO777" i="5" s="1"/>
  <c r="FA774" i="5"/>
  <c r="FA776" i="5"/>
  <c r="JC771" i="5"/>
  <c r="FY771" i="5"/>
  <c r="FA766" i="5"/>
  <c r="HO765" i="5"/>
  <c r="HO767" i="5" s="1"/>
  <c r="FA764" i="5"/>
  <c r="FS754" i="5"/>
  <c r="JC751" i="5"/>
  <c r="FY751" i="5"/>
  <c r="JX749" i="5"/>
  <c r="JV734" i="5"/>
  <c r="FS719" i="5"/>
  <c r="FU719" i="5" s="1"/>
  <c r="HO735" i="5"/>
  <c r="HO737" i="5" s="1"/>
  <c r="FA734" i="5"/>
  <c r="FA736" i="5"/>
  <c r="JX789" i="5"/>
  <c r="GP772" i="5"/>
  <c r="JX774" i="5"/>
  <c r="FY791" i="5"/>
  <c r="FY786" i="5"/>
  <c r="JC786" i="5"/>
  <c r="JX779" i="5"/>
  <c r="GP757" i="5"/>
  <c r="FM749" i="5"/>
  <c r="FT749" i="5" s="1"/>
  <c r="JX734" i="5"/>
  <c r="GP737" i="5"/>
  <c r="FU736" i="5"/>
  <c r="FT721" i="5"/>
  <c r="FU721" i="5" s="1"/>
  <c r="HO725" i="5"/>
  <c r="HO727" i="5" s="1"/>
  <c r="FA724" i="5"/>
  <c r="FA726" i="5"/>
  <c r="HO720" i="5"/>
  <c r="HO722" i="5" s="1"/>
  <c r="FA719" i="5"/>
  <c r="FA721" i="5"/>
  <c r="FM789" i="5"/>
  <c r="FT789" i="5" s="1"/>
  <c r="FS789" i="5"/>
  <c r="FT776" i="5"/>
  <c r="FU776" i="5" s="1"/>
  <c r="FS764" i="5"/>
  <c r="FA771" i="5"/>
  <c r="FA769" i="5"/>
  <c r="HO770" i="5"/>
  <c r="HO772" i="5" s="1"/>
  <c r="FM781" i="5"/>
  <c r="FY761" i="5"/>
  <c r="JC761" i="5"/>
  <c r="JC746" i="5"/>
  <c r="FY746" i="5"/>
  <c r="FM746" i="5"/>
  <c r="HP745" i="5"/>
  <c r="HP747" i="5" s="1"/>
  <c r="HO750" i="5"/>
  <c r="HO752" i="5" s="1"/>
  <c r="FA749" i="5"/>
  <c r="FA751" i="5"/>
  <c r="FM741" i="5"/>
  <c r="FS749" i="5"/>
  <c r="FU734" i="5"/>
  <c r="FM726" i="5"/>
  <c r="JC781" i="5"/>
  <c r="FY781" i="5"/>
  <c r="FS729" i="5"/>
  <c r="FU729" i="5" s="1"/>
  <c r="JX759" i="5"/>
  <c r="JX754" i="5"/>
  <c r="FM751" i="5"/>
  <c r="JX729" i="5"/>
  <c r="FY693" i="5"/>
  <c r="JC693" i="5"/>
  <c r="JH678" i="5"/>
  <c r="HR677" i="5"/>
  <c r="HR679" i="5" s="1"/>
  <c r="JC668" i="5"/>
  <c r="FY668" i="5"/>
  <c r="JX656" i="5"/>
  <c r="GP659" i="5"/>
  <c r="JV651" i="5"/>
  <c r="JX676" i="5"/>
  <c r="FM643" i="5"/>
  <c r="FY683" i="5"/>
  <c r="JC683" i="5"/>
  <c r="GP664" i="5"/>
  <c r="HR702" i="5"/>
  <c r="HR704" i="5" s="1"/>
  <c r="JH703" i="5"/>
  <c r="HO712" i="5"/>
  <c r="HO714" i="5" s="1"/>
  <c r="FA711" i="5"/>
  <c r="FA713" i="5"/>
  <c r="FM701" i="5"/>
  <c r="FT701" i="5" s="1"/>
  <c r="FU701" i="5" s="1"/>
  <c r="JC708" i="5"/>
  <c r="FY708" i="5"/>
  <c r="JX686" i="5"/>
  <c r="HP682" i="5"/>
  <c r="HP684" i="5" s="1"/>
  <c r="FM658" i="5"/>
  <c r="FM676" i="5"/>
  <c r="FT676" i="5" s="1"/>
  <c r="GP644" i="5"/>
  <c r="FS691" i="5"/>
  <c r="FU691" i="5" s="1"/>
  <c r="FM713" i="5"/>
  <c r="HO697" i="5"/>
  <c r="HO699" i="5" s="1"/>
  <c r="FA696" i="5"/>
  <c r="FA698" i="5"/>
  <c r="FM706" i="5"/>
  <c r="FT706" i="5" s="1"/>
  <c r="FM671" i="5"/>
  <c r="FT671" i="5" s="1"/>
  <c r="FA683" i="5"/>
  <c r="FA681" i="5"/>
  <c r="HO682" i="5"/>
  <c r="HO684" i="5" s="1"/>
  <c r="FY643" i="5"/>
  <c r="JC643" i="5"/>
  <c r="JX701" i="5"/>
  <c r="JV711" i="5"/>
  <c r="JC703" i="5"/>
  <c r="FY703" i="5"/>
  <c r="JX691" i="5"/>
  <c r="FM681" i="5"/>
  <c r="FT681" i="5" s="1"/>
  <c r="HO677" i="5"/>
  <c r="HO679" i="5" s="1"/>
  <c r="FA676" i="5"/>
  <c r="FA678" i="5"/>
  <c r="HO662" i="5"/>
  <c r="HO664" i="5" s="1"/>
  <c r="FA663" i="5"/>
  <c r="FA661" i="5"/>
  <c r="JX711" i="5"/>
  <c r="FM703" i="5"/>
  <c r="FM686" i="5"/>
  <c r="FT686" i="5" s="1"/>
  <c r="FM693" i="5"/>
  <c r="JC688" i="5"/>
  <c r="FY688" i="5"/>
  <c r="FU688" i="5"/>
  <c r="FB671" i="5"/>
  <c r="EY671" i="5" s="1"/>
  <c r="FB673" i="5"/>
  <c r="EY673" i="5" s="1"/>
  <c r="EX671" i="5"/>
  <c r="EX673" i="5"/>
  <c r="JX666" i="5"/>
  <c r="FS656" i="5"/>
  <c r="FU656" i="5" s="1"/>
  <c r="FM653" i="5"/>
  <c r="FS676" i="5"/>
  <c r="FA648" i="5"/>
  <c r="HO647" i="5"/>
  <c r="HO649" i="5" s="1"/>
  <c r="FA646" i="5"/>
  <c r="FS641" i="5"/>
  <c r="FU641" i="5" s="1"/>
  <c r="FA643" i="5"/>
  <c r="FA641" i="5"/>
  <c r="HO642" i="5"/>
  <c r="HO644" i="5" s="1"/>
  <c r="FS711" i="5"/>
  <c r="GP699" i="5"/>
  <c r="FM666" i="5"/>
  <c r="FT666" i="5" s="1"/>
  <c r="FU666" i="5" s="1"/>
  <c r="FM678" i="5"/>
  <c r="FM711" i="5"/>
  <c r="FT711" i="5" s="1"/>
  <c r="JX706" i="5"/>
  <c r="FS686" i="5"/>
  <c r="FM683" i="5"/>
  <c r="FM668" i="5"/>
  <c r="FY658" i="5"/>
  <c r="JC658" i="5"/>
  <c r="FY678" i="5"/>
  <c r="JC678" i="5"/>
  <c r="HO652" i="5"/>
  <c r="HO654" i="5" s="1"/>
  <c r="FA651" i="5"/>
  <c r="FA653" i="5"/>
  <c r="FU651" i="5"/>
  <c r="FT698" i="5"/>
  <c r="FU698" i="5" s="1"/>
  <c r="FS706" i="5"/>
  <c r="FM708" i="5"/>
  <c r="FS681" i="5"/>
  <c r="JX671" i="5"/>
  <c r="HP677" i="5"/>
  <c r="HP679" i="5" s="1"/>
  <c r="JX681" i="5"/>
  <c r="JV671" i="5"/>
  <c r="HO657" i="5"/>
  <c r="HO659" i="5" s="1"/>
  <c r="FA656" i="5"/>
  <c r="FA658" i="5"/>
  <c r="JV646" i="5"/>
  <c r="JX641" i="5"/>
  <c r="GP669" i="5"/>
  <c r="GP566" i="5"/>
  <c r="FM565" i="5"/>
  <c r="FL568" i="5"/>
  <c r="FE570" i="5"/>
  <c r="JG570" i="5" s="1"/>
  <c r="FS570" i="5"/>
  <c r="CR570" i="5"/>
  <c r="CR568" i="5"/>
  <c r="HW569" i="5"/>
  <c r="HW571" i="5" s="1"/>
  <c r="FL570" i="5"/>
  <c r="GP576" i="5"/>
  <c r="EX568" i="5"/>
  <c r="EX570" i="5"/>
  <c r="FB570" i="5"/>
  <c r="EY570" i="5" s="1"/>
  <c r="FB568" i="5"/>
  <c r="EY568" i="5" s="1"/>
  <c r="GP571" i="5"/>
  <c r="HV569" i="5"/>
  <c r="HV571" i="5" s="1"/>
  <c r="CP563" i="5"/>
  <c r="GP591" i="5"/>
  <c r="EX585" i="5"/>
  <c r="FB585" i="5"/>
  <c r="EY585" i="5" s="1"/>
  <c r="FB583" i="5"/>
  <c r="EY583" i="5" s="1"/>
  <c r="EX583" i="5"/>
  <c r="JX573" i="5"/>
  <c r="FB563" i="5"/>
  <c r="EY563" i="5" s="1"/>
  <c r="FB565" i="5"/>
  <c r="EY565" i="5" s="1"/>
  <c r="EX565" i="5"/>
  <c r="EX563" i="5"/>
  <c r="FB575" i="5"/>
  <c r="EY575" i="5" s="1"/>
  <c r="FB573" i="5"/>
  <c r="EY573" i="5" s="1"/>
  <c r="EX573" i="5"/>
  <c r="EX575" i="5"/>
  <c r="FS583" i="5"/>
  <c r="FS593" i="5"/>
  <c r="FO565" i="5"/>
  <c r="FL573" i="5"/>
  <c r="FO575" i="5"/>
  <c r="FO580" i="5"/>
  <c r="FA593" i="5"/>
  <c r="FA595" i="5"/>
  <c r="JH585" i="5"/>
  <c r="HR584" i="5"/>
  <c r="HR586" i="5" s="1"/>
  <c r="HV574" i="5"/>
  <c r="HV576" i="5" s="1"/>
  <c r="CS580" i="5"/>
  <c r="CP593" i="5"/>
  <c r="FL563" i="5"/>
  <c r="HR569" i="5"/>
  <c r="HR571" i="5" s="1"/>
  <c r="CR573" i="5"/>
  <c r="HW574" i="5"/>
  <c r="HW576" i="5" s="1"/>
  <c r="FS575" i="5"/>
  <c r="HV564" i="5"/>
  <c r="HV566" i="5" s="1"/>
  <c r="FS565" i="5"/>
  <c r="EX605" i="5"/>
  <c r="FB603" i="5"/>
  <c r="EY603" i="5" s="1"/>
  <c r="EX603" i="5"/>
  <c r="FB605" i="5"/>
  <c r="EY605" i="5" s="1"/>
  <c r="CR563" i="5"/>
  <c r="HW564" i="5"/>
  <c r="HW566" i="5" s="1"/>
  <c r="FE565" i="5"/>
  <c r="JG565" i="5" s="1"/>
  <c r="GO568" i="5"/>
  <c r="CR575" i="5"/>
  <c r="JX578" i="5"/>
  <c r="CP583" i="5"/>
  <c r="JC585" i="5"/>
  <c r="JC590" i="5"/>
  <c r="FM593" i="5"/>
  <c r="FT593" i="5" s="1"/>
  <c r="EX595" i="5"/>
  <c r="FB593" i="5"/>
  <c r="EY593" i="5" s="1"/>
  <c r="HO594" i="5" s="1"/>
  <c r="HO596" i="5" s="1"/>
  <c r="FB595" i="5"/>
  <c r="EY595" i="5" s="1"/>
  <c r="FA600" i="5"/>
  <c r="FA598" i="5"/>
  <c r="FL585" i="5"/>
  <c r="FB588" i="5"/>
  <c r="EY588" i="5" s="1"/>
  <c r="FB590" i="5"/>
  <c r="EY590" i="5" s="1"/>
  <c r="HP589" i="5" s="1"/>
  <c r="HP591" i="5" s="1"/>
  <c r="EX588" i="5"/>
  <c r="GP606" i="5"/>
  <c r="FB610" i="5"/>
  <c r="EY610" i="5" s="1"/>
  <c r="EX608" i="5"/>
  <c r="FB608" i="5"/>
  <c r="EY608" i="5" s="1"/>
  <c r="EX610" i="5"/>
  <c r="HV579" i="5"/>
  <c r="HV581" i="5" s="1"/>
  <c r="GK593" i="5"/>
  <c r="HM594" i="5" s="1"/>
  <c r="HM596" i="5" s="1"/>
  <c r="GP601" i="5"/>
  <c r="GP596" i="5"/>
  <c r="EX600" i="5"/>
  <c r="FB600" i="5"/>
  <c r="EY600" i="5" s="1"/>
  <c r="FB598" i="5"/>
  <c r="EY598" i="5" s="1"/>
  <c r="HO599" i="5" s="1"/>
  <c r="HO601" i="5" s="1"/>
  <c r="HV589" i="5"/>
  <c r="HV591" i="5" s="1"/>
  <c r="FS590" i="5"/>
  <c r="CP603" i="5"/>
  <c r="CR588" i="5"/>
  <c r="HW589" i="5"/>
  <c r="HW591" i="5" s="1"/>
  <c r="FE590" i="5"/>
  <c r="JG590" i="5" s="1"/>
  <c r="FL590" i="5"/>
  <c r="JC595" i="5"/>
  <c r="CR600" i="5"/>
  <c r="FL600" i="5"/>
  <c r="FS600" i="5"/>
  <c r="HW599" i="5"/>
  <c r="HW601" i="5" s="1"/>
  <c r="CR598" i="5"/>
  <c r="FL598" i="5"/>
  <c r="GK598" i="5"/>
  <c r="HM599" i="5" s="1"/>
  <c r="HM601" i="5" s="1"/>
  <c r="CP598" i="5"/>
  <c r="FE605" i="5"/>
  <c r="JG605" i="5" s="1"/>
  <c r="HW604" i="5"/>
  <c r="HW606" i="5" s="1"/>
  <c r="CR603" i="5"/>
  <c r="FL603" i="5"/>
  <c r="CR605" i="5"/>
  <c r="JH605" i="5"/>
  <c r="HR604" i="5"/>
  <c r="HR606" i="5" s="1"/>
  <c r="FY625" i="5"/>
  <c r="JC625" i="5"/>
  <c r="HV594" i="5"/>
  <c r="HV596" i="5" s="1"/>
  <c r="FS595" i="5"/>
  <c r="GP616" i="5"/>
  <c r="JH610" i="5"/>
  <c r="HR609" i="5"/>
  <c r="HR611" i="5" s="1"/>
  <c r="FL595" i="5"/>
  <c r="FL605" i="5"/>
  <c r="HR594" i="5"/>
  <c r="HR596" i="5" s="1"/>
  <c r="GP621" i="5"/>
  <c r="FO620" i="5"/>
  <c r="FL613" i="5"/>
  <c r="CR615" i="5"/>
  <c r="FL615" i="5"/>
  <c r="FS615" i="5"/>
  <c r="HV614" i="5"/>
  <c r="HV616" i="5" s="1"/>
  <c r="FB618" i="5"/>
  <c r="EY618" i="5" s="1"/>
  <c r="EX618" i="5"/>
  <c r="FB620" i="5"/>
  <c r="EY620" i="5" s="1"/>
  <c r="EX620" i="5"/>
  <c r="EX628" i="5"/>
  <c r="EX630" i="5"/>
  <c r="FB628" i="5"/>
  <c r="EY628" i="5" s="1"/>
  <c r="FB630" i="5"/>
  <c r="EY630" i="5" s="1"/>
  <c r="JH635" i="5"/>
  <c r="HR634" i="5"/>
  <c r="HR636" i="5" s="1"/>
  <c r="CR613" i="5"/>
  <c r="EX615" i="5"/>
  <c r="FB613" i="5"/>
  <c r="EY613" i="5" s="1"/>
  <c r="FO625" i="5"/>
  <c r="HW614" i="5"/>
  <c r="HW616" i="5" s="1"/>
  <c r="FE615" i="5"/>
  <c r="JG615" i="5" s="1"/>
  <c r="FL625" i="5"/>
  <c r="FS625" i="5"/>
  <c r="FE625" i="5"/>
  <c r="JG625" i="5" s="1"/>
  <c r="HV624" i="5"/>
  <c r="HV626" i="5" s="1"/>
  <c r="FL623" i="5"/>
  <c r="JH615" i="5"/>
  <c r="HR614" i="5"/>
  <c r="HR616" i="5" s="1"/>
  <c r="FL620" i="5"/>
  <c r="FE620" i="5"/>
  <c r="JG620" i="5" s="1"/>
  <c r="HW619" i="5"/>
  <c r="HW621" i="5" s="1"/>
  <c r="CR618" i="5"/>
  <c r="FL618" i="5"/>
  <c r="HV619" i="5"/>
  <c r="HV621" i="5" s="1"/>
  <c r="CR620" i="5"/>
  <c r="EX623" i="5"/>
  <c r="FB625" i="5"/>
  <c r="EY625" i="5" s="1"/>
  <c r="EX625" i="5"/>
  <c r="FB623" i="5"/>
  <c r="EY623" i="5" s="1"/>
  <c r="EX635" i="5"/>
  <c r="FB633" i="5"/>
  <c r="EY633" i="5" s="1"/>
  <c r="FB635" i="5"/>
  <c r="EY635" i="5" s="1"/>
  <c r="EX633" i="5"/>
  <c r="FT608" i="5"/>
  <c r="GO608" i="5"/>
  <c r="CP618" i="5"/>
  <c r="JC635" i="5"/>
  <c r="HV609" i="5"/>
  <c r="HV611" i="5" s="1"/>
  <c r="GO618" i="5"/>
  <c r="FL628" i="5"/>
  <c r="CR630" i="5"/>
  <c r="FL630" i="5"/>
  <c r="FS630" i="5"/>
  <c r="CR628" i="5"/>
  <c r="GP631" i="5"/>
  <c r="GO623" i="5"/>
  <c r="HV634" i="5"/>
  <c r="HV636" i="5" s="1"/>
  <c r="FS635" i="5"/>
  <c r="HR629" i="5"/>
  <c r="HR631" i="5" s="1"/>
  <c r="CR633" i="5"/>
  <c r="HW634" i="5"/>
  <c r="HW636" i="5" s="1"/>
  <c r="FE635" i="5"/>
  <c r="JG635" i="5" s="1"/>
  <c r="FL635" i="5"/>
  <c r="FB485" i="5"/>
  <c r="EY485" i="5" s="1"/>
  <c r="EX487" i="5"/>
  <c r="EX485" i="5"/>
  <c r="FB487" i="5"/>
  <c r="EY487" i="5" s="1"/>
  <c r="FS487" i="5"/>
  <c r="FM497" i="5"/>
  <c r="FT497" i="5" s="1"/>
  <c r="FO507" i="5"/>
  <c r="FS510" i="5"/>
  <c r="CP510" i="5"/>
  <c r="FL487" i="5"/>
  <c r="EX497" i="5"/>
  <c r="FB497" i="5"/>
  <c r="EY497" i="5" s="1"/>
  <c r="FB495" i="5"/>
  <c r="EY495" i="5" s="1"/>
  <c r="HO496" i="5" s="1"/>
  <c r="HO498" i="5" s="1"/>
  <c r="FA495" i="5"/>
  <c r="CR487" i="5"/>
  <c r="HR486" i="5"/>
  <c r="HR488" i="5" s="1"/>
  <c r="FS490" i="5"/>
  <c r="FL485" i="5"/>
  <c r="GP488" i="5"/>
  <c r="EX490" i="5"/>
  <c r="FO492" i="5"/>
  <c r="CR485" i="5"/>
  <c r="EX492" i="5"/>
  <c r="FE487" i="5"/>
  <c r="JG487" i="5" s="1"/>
  <c r="HW486" i="5"/>
  <c r="HW488" i="5" s="1"/>
  <c r="HV486" i="5"/>
  <c r="HV488" i="5" s="1"/>
  <c r="GO490" i="5"/>
  <c r="GP491" i="5"/>
  <c r="FB500" i="5"/>
  <c r="EY500" i="5" s="1"/>
  <c r="CP500" i="5"/>
  <c r="CR512" i="5"/>
  <c r="HW511" i="5"/>
  <c r="HW513" i="5" s="1"/>
  <c r="FE512" i="5"/>
  <c r="JG512" i="5" s="1"/>
  <c r="FL510" i="5"/>
  <c r="HV511" i="5"/>
  <c r="HV513" i="5" s="1"/>
  <c r="FS512" i="5"/>
  <c r="FL490" i="5"/>
  <c r="HV491" i="5"/>
  <c r="HV493" i="5" s="1"/>
  <c r="GP501" i="5"/>
  <c r="GO500" i="5"/>
  <c r="EX512" i="5"/>
  <c r="FB510" i="5"/>
  <c r="EY510" i="5" s="1"/>
  <c r="FB512" i="5"/>
  <c r="EY512" i="5" s="1"/>
  <c r="EX510" i="5"/>
  <c r="FL507" i="5"/>
  <c r="FE507" i="5"/>
  <c r="JG507" i="5" s="1"/>
  <c r="FL505" i="5"/>
  <c r="CR507" i="5"/>
  <c r="CR505" i="5"/>
  <c r="HW506" i="5"/>
  <c r="HW508" i="5" s="1"/>
  <c r="GP513" i="5"/>
  <c r="GP518" i="5"/>
  <c r="CR492" i="5"/>
  <c r="GO505" i="5"/>
  <c r="GP506" i="5"/>
  <c r="FL512" i="5"/>
  <c r="FE522" i="5"/>
  <c r="JG522" i="5" s="1"/>
  <c r="HW521" i="5"/>
  <c r="HW523" i="5" s="1"/>
  <c r="FL522" i="5"/>
  <c r="FS522" i="5"/>
  <c r="CR520" i="5"/>
  <c r="FL520" i="5"/>
  <c r="CR522" i="5"/>
  <c r="CR497" i="5"/>
  <c r="FS497" i="5"/>
  <c r="HV496" i="5"/>
  <c r="HV498" i="5" s="1"/>
  <c r="FE497" i="5"/>
  <c r="JG497" i="5" s="1"/>
  <c r="HW496" i="5"/>
  <c r="HW498" i="5" s="1"/>
  <c r="FL495" i="5"/>
  <c r="FE517" i="5"/>
  <c r="JG517" i="5" s="1"/>
  <c r="HW516" i="5"/>
  <c r="HW518" i="5" s="1"/>
  <c r="CR515" i="5"/>
  <c r="HV516" i="5"/>
  <c r="HV518" i="5" s="1"/>
  <c r="FL515" i="5"/>
  <c r="CR517" i="5"/>
  <c r="FL517" i="5"/>
  <c r="FS517" i="5"/>
  <c r="JH497" i="5"/>
  <c r="HR496" i="5"/>
  <c r="HR498" i="5" s="1"/>
  <c r="CP515" i="5"/>
  <c r="HR521" i="5"/>
  <c r="HR523" i="5" s="1"/>
  <c r="FB515" i="5"/>
  <c r="EY515" i="5" s="1"/>
  <c r="GP521" i="5"/>
  <c r="FE502" i="5"/>
  <c r="JG502" i="5" s="1"/>
  <c r="HW501" i="5"/>
  <c r="HW503" i="5" s="1"/>
  <c r="CR500" i="5"/>
  <c r="CR502" i="5"/>
  <c r="EX505" i="5"/>
  <c r="FB505" i="5"/>
  <c r="EY505" i="5" s="1"/>
  <c r="EX520" i="5"/>
  <c r="FB520" i="5"/>
  <c r="EY520" i="5" s="1"/>
  <c r="EX522" i="5"/>
  <c r="FB522" i="5"/>
  <c r="EY522" i="5" s="1"/>
  <c r="EX515" i="5"/>
  <c r="EX525" i="5"/>
  <c r="FB525" i="5"/>
  <c r="EY525" i="5" s="1"/>
  <c r="FL537" i="5"/>
  <c r="CR535" i="5"/>
  <c r="CR537" i="5"/>
  <c r="HW536" i="5"/>
  <c r="HW538" i="5" s="1"/>
  <c r="FS537" i="5"/>
  <c r="HV536" i="5"/>
  <c r="HV538" i="5" s="1"/>
  <c r="FL535" i="5"/>
  <c r="FE537" i="5"/>
  <c r="JG537" i="5" s="1"/>
  <c r="EX532" i="5"/>
  <c r="EX530" i="5"/>
  <c r="FB532" i="5"/>
  <c r="EY532" i="5" s="1"/>
  <c r="FB530" i="5"/>
  <c r="EY530" i="5" s="1"/>
  <c r="FL527" i="5"/>
  <c r="FL525" i="5"/>
  <c r="FE527" i="5"/>
  <c r="JG527" i="5" s="1"/>
  <c r="JH512" i="5"/>
  <c r="HR511" i="5"/>
  <c r="HR513" i="5" s="1"/>
  <c r="CR525" i="5"/>
  <c r="CP530" i="5"/>
  <c r="HV526" i="5"/>
  <c r="HV528" i="5" s="1"/>
  <c r="FS527" i="5"/>
  <c r="HW526" i="5"/>
  <c r="HW528" i="5" s="1"/>
  <c r="CR527" i="5"/>
  <c r="GP533" i="5"/>
  <c r="GP553" i="5"/>
  <c r="CP540" i="5"/>
  <c r="CR532" i="5"/>
  <c r="FL530" i="5"/>
  <c r="HV531" i="5"/>
  <c r="HV533" i="5" s="1"/>
  <c r="FL532" i="5"/>
  <c r="EX557" i="5"/>
  <c r="FB555" i="5"/>
  <c r="EY555" i="5" s="1"/>
  <c r="FB557" i="5"/>
  <c r="EY557" i="5" s="1"/>
  <c r="EX555" i="5"/>
  <c r="GP536" i="5"/>
  <c r="GO535" i="5"/>
  <c r="FL542" i="5"/>
  <c r="FE542" i="5"/>
  <c r="JG542" i="5" s="1"/>
  <c r="HW541" i="5"/>
  <c r="HW543" i="5" s="1"/>
  <c r="CR540" i="5"/>
  <c r="FL540" i="5"/>
  <c r="FB537" i="5"/>
  <c r="EY537" i="5" s="1"/>
  <c r="HP536" i="5" s="1"/>
  <c r="HP538" i="5" s="1"/>
  <c r="FY542" i="5"/>
  <c r="HR531" i="5"/>
  <c r="HR533" i="5" s="1"/>
  <c r="FL547" i="5"/>
  <c r="FE547" i="5"/>
  <c r="JG547" i="5" s="1"/>
  <c r="CR547" i="5"/>
  <c r="HW546" i="5"/>
  <c r="HW548" i="5" s="1"/>
  <c r="FL545" i="5"/>
  <c r="FO547" i="5"/>
  <c r="GP558" i="5"/>
  <c r="FB535" i="5"/>
  <c r="EY535" i="5" s="1"/>
  <c r="FO542" i="5"/>
  <c r="CR545" i="5"/>
  <c r="FS547" i="5"/>
  <c r="CP550" i="5"/>
  <c r="FA540" i="5"/>
  <c r="FM552" i="5"/>
  <c r="EX547" i="5"/>
  <c r="GP548" i="5"/>
  <c r="FB547" i="5"/>
  <c r="EY547" i="5" s="1"/>
  <c r="FB540" i="5"/>
  <c r="EY540" i="5" s="1"/>
  <c r="JC557" i="5"/>
  <c r="JH552" i="5"/>
  <c r="HR551" i="5"/>
  <c r="HR553" i="5" s="1"/>
  <c r="HV551" i="5"/>
  <c r="HV553" i="5" s="1"/>
  <c r="FB552" i="5"/>
  <c r="EY552" i="5" s="1"/>
  <c r="FS552" i="5"/>
  <c r="FO557" i="5"/>
  <c r="FB550" i="5"/>
  <c r="EY550" i="5" s="1"/>
  <c r="FL555" i="5"/>
  <c r="HV556" i="5"/>
  <c r="HV558" i="5" s="1"/>
  <c r="FS557" i="5"/>
  <c r="CR555" i="5"/>
  <c r="HW556" i="5"/>
  <c r="HW558" i="5" s="1"/>
  <c r="FE557" i="5"/>
  <c r="JG557" i="5" s="1"/>
  <c r="FL557" i="5"/>
  <c r="EX407" i="5"/>
  <c r="JH409" i="5"/>
  <c r="HR408" i="5"/>
  <c r="HR410" i="5" s="1"/>
  <c r="EX414" i="5"/>
  <c r="FB412" i="5"/>
  <c r="EY412" i="5" s="1"/>
  <c r="EX412" i="5"/>
  <c r="FB414" i="5"/>
  <c r="EY414" i="5" s="1"/>
  <c r="GP415" i="5"/>
  <c r="FB419" i="5"/>
  <c r="EY419" i="5" s="1"/>
  <c r="EX417" i="5"/>
  <c r="EX409" i="5"/>
  <c r="HP408" i="5" s="1"/>
  <c r="HP410" i="5" s="1"/>
  <c r="FB407" i="5"/>
  <c r="EY407" i="5" s="1"/>
  <c r="CR409" i="5"/>
  <c r="FL409" i="5"/>
  <c r="FL407" i="5"/>
  <c r="FE409" i="5"/>
  <c r="JG409" i="5" s="1"/>
  <c r="JH414" i="5"/>
  <c r="HR413" i="5"/>
  <c r="HR415" i="5" s="1"/>
  <c r="GK422" i="5"/>
  <c r="HM423" i="5" s="1"/>
  <c r="HM425" i="5" s="1"/>
  <c r="FE419" i="5"/>
  <c r="JG419" i="5" s="1"/>
  <c r="HW418" i="5"/>
  <c r="HW420" i="5" s="1"/>
  <c r="CR417" i="5"/>
  <c r="FS419" i="5"/>
  <c r="FL417" i="5"/>
  <c r="FL419" i="5"/>
  <c r="GP430" i="5"/>
  <c r="FA432" i="5"/>
  <c r="FA434" i="5"/>
  <c r="HV413" i="5"/>
  <c r="HV415" i="5" s="1"/>
  <c r="EX422" i="5"/>
  <c r="EX424" i="5"/>
  <c r="FB422" i="5"/>
  <c r="EY422" i="5" s="1"/>
  <c r="FB424" i="5"/>
  <c r="EY424" i="5" s="1"/>
  <c r="FB439" i="5"/>
  <c r="EY439" i="5" s="1"/>
  <c r="EX437" i="5"/>
  <c r="EX439" i="5"/>
  <c r="FB437" i="5"/>
  <c r="EY437" i="5" s="1"/>
  <c r="CR414" i="5"/>
  <c r="FL414" i="5"/>
  <c r="HW413" i="5"/>
  <c r="HW415" i="5" s="1"/>
  <c r="FO419" i="5"/>
  <c r="GP423" i="5"/>
  <c r="CR429" i="5"/>
  <c r="FL429" i="5"/>
  <c r="FE429" i="5"/>
  <c r="JG429" i="5" s="1"/>
  <c r="HW428" i="5"/>
  <c r="HW430" i="5" s="1"/>
  <c r="CR427" i="5"/>
  <c r="FL427" i="5"/>
  <c r="FO434" i="5"/>
  <c r="GP450" i="5"/>
  <c r="CR412" i="5"/>
  <c r="FL412" i="5"/>
  <c r="FE414" i="5"/>
  <c r="JG414" i="5" s="1"/>
  <c r="EX429" i="5"/>
  <c r="HP428" i="5" s="1"/>
  <c r="HP430" i="5" s="1"/>
  <c r="FB427" i="5"/>
  <c r="EY427" i="5" s="1"/>
  <c r="HV423" i="5"/>
  <c r="HV425" i="5" s="1"/>
  <c r="FS424" i="5"/>
  <c r="FO429" i="5"/>
  <c r="FB434" i="5"/>
  <c r="EY434" i="5" s="1"/>
  <c r="GP440" i="5"/>
  <c r="FL424" i="5"/>
  <c r="GO432" i="5"/>
  <c r="JC434" i="5"/>
  <c r="FY434" i="5"/>
  <c r="JH439" i="5"/>
  <c r="HR438" i="5"/>
  <c r="HR440" i="5" s="1"/>
  <c r="GP435" i="5"/>
  <c r="HR423" i="5"/>
  <c r="HR425" i="5" s="1"/>
  <c r="CR424" i="5"/>
  <c r="FA457" i="5"/>
  <c r="FA459" i="5"/>
  <c r="FT422" i="5"/>
  <c r="FL434" i="5"/>
  <c r="FE434" i="5"/>
  <c r="JG434" i="5" s="1"/>
  <c r="HW433" i="5"/>
  <c r="HW435" i="5" s="1"/>
  <c r="FS434" i="5"/>
  <c r="HV433" i="5"/>
  <c r="HV435" i="5" s="1"/>
  <c r="FT432" i="5"/>
  <c r="FL439" i="5"/>
  <c r="FA449" i="5"/>
  <c r="FA447" i="5"/>
  <c r="FB449" i="5"/>
  <c r="EY449" i="5" s="1"/>
  <c r="FB447" i="5"/>
  <c r="EY447" i="5" s="1"/>
  <c r="HO448" i="5" s="1"/>
  <c r="HO450" i="5" s="1"/>
  <c r="EX449" i="5"/>
  <c r="GP460" i="5"/>
  <c r="CR439" i="5"/>
  <c r="CP447" i="5"/>
  <c r="FM454" i="5"/>
  <c r="FT454" i="5" s="1"/>
  <c r="GO437" i="5"/>
  <c r="FS444" i="5"/>
  <c r="HV443" i="5"/>
  <c r="HV445" i="5" s="1"/>
  <c r="FL442" i="5"/>
  <c r="CR444" i="5"/>
  <c r="FL444" i="5"/>
  <c r="GP445" i="5"/>
  <c r="GO452" i="5"/>
  <c r="GP453" i="5"/>
  <c r="FL437" i="5"/>
  <c r="CR442" i="5"/>
  <c r="HW443" i="5"/>
  <c r="HW445" i="5" s="1"/>
  <c r="FE444" i="5"/>
  <c r="JG444" i="5" s="1"/>
  <c r="FE449" i="5"/>
  <c r="JG449" i="5" s="1"/>
  <c r="HW448" i="5"/>
  <c r="HW450" i="5" s="1"/>
  <c r="FL449" i="5"/>
  <c r="CR449" i="5"/>
  <c r="HV448" i="5"/>
  <c r="HV450" i="5" s="1"/>
  <c r="FS449" i="5"/>
  <c r="CR447" i="5"/>
  <c r="FL447" i="5"/>
  <c r="HV438" i="5"/>
  <c r="HV440" i="5" s="1"/>
  <c r="FB444" i="5"/>
  <c r="EY444" i="5" s="1"/>
  <c r="EX444" i="5"/>
  <c r="CP442" i="5"/>
  <c r="HR448" i="5"/>
  <c r="HR450" i="5" s="1"/>
  <c r="FS452" i="5"/>
  <c r="GO457" i="5"/>
  <c r="JH459" i="5"/>
  <c r="HR458" i="5"/>
  <c r="HR460" i="5" s="1"/>
  <c r="FL464" i="5"/>
  <c r="FE464" i="5"/>
  <c r="JG464" i="5" s="1"/>
  <c r="HW463" i="5"/>
  <c r="HW465" i="5" s="1"/>
  <c r="CR462" i="5"/>
  <c r="FL462" i="5"/>
  <c r="CR464" i="5"/>
  <c r="HV463" i="5"/>
  <c r="HV465" i="5" s="1"/>
  <c r="FO444" i="5"/>
  <c r="CR454" i="5"/>
  <c r="FS454" i="5"/>
  <c r="HV453" i="5"/>
  <c r="HV455" i="5" s="1"/>
  <c r="FB469" i="5"/>
  <c r="EY469" i="5" s="1"/>
  <c r="FB467" i="5"/>
  <c r="EY467" i="5" s="1"/>
  <c r="EX469" i="5"/>
  <c r="EX467" i="5"/>
  <c r="FM457" i="5"/>
  <c r="FT457" i="5" s="1"/>
  <c r="EX452" i="5"/>
  <c r="EX454" i="5"/>
  <c r="FB454" i="5"/>
  <c r="EY454" i="5" s="1"/>
  <c r="EX459" i="5"/>
  <c r="FB457" i="5"/>
  <c r="EY457" i="5" s="1"/>
  <c r="HO458" i="5" s="1"/>
  <c r="HO460" i="5" s="1"/>
  <c r="FB459" i="5"/>
  <c r="EY459" i="5" s="1"/>
  <c r="FA462" i="5"/>
  <c r="FA464" i="5"/>
  <c r="FB462" i="5"/>
  <c r="EY462" i="5" s="1"/>
  <c r="HO463" i="5" s="1"/>
  <c r="HO465" i="5" s="1"/>
  <c r="FB464" i="5"/>
  <c r="EY464" i="5" s="1"/>
  <c r="EX464" i="5"/>
  <c r="FS464" i="5"/>
  <c r="GP475" i="5"/>
  <c r="CR459" i="5"/>
  <c r="FL459" i="5"/>
  <c r="GO467" i="5"/>
  <c r="GP468" i="5"/>
  <c r="JH474" i="5"/>
  <c r="HR473" i="5"/>
  <c r="HR475" i="5" s="1"/>
  <c r="GP480" i="5"/>
  <c r="HR453" i="5"/>
  <c r="HR455" i="5" s="1"/>
  <c r="CR457" i="5"/>
  <c r="FE459" i="5"/>
  <c r="JG459" i="5" s="1"/>
  <c r="HR463" i="5"/>
  <c r="HR465" i="5" s="1"/>
  <c r="HV458" i="5"/>
  <c r="HV460" i="5" s="1"/>
  <c r="FM469" i="5"/>
  <c r="FT469" i="5" s="1"/>
  <c r="HW458" i="5"/>
  <c r="HW460" i="5" s="1"/>
  <c r="GP465" i="5"/>
  <c r="FS467" i="5"/>
  <c r="FA472" i="5"/>
  <c r="HW468" i="5"/>
  <c r="HW470" i="5" s="1"/>
  <c r="JC479" i="5"/>
  <c r="FM472" i="5"/>
  <c r="FT472" i="5" s="1"/>
  <c r="FE469" i="5"/>
  <c r="JG469" i="5" s="1"/>
  <c r="EX479" i="5"/>
  <c r="FB477" i="5"/>
  <c r="EY477" i="5" s="1"/>
  <c r="FB479" i="5"/>
  <c r="EY479" i="5" s="1"/>
  <c r="EX477" i="5"/>
  <c r="EX474" i="5"/>
  <c r="FB472" i="5"/>
  <c r="EY472" i="5" s="1"/>
  <c r="HO473" i="5" s="1"/>
  <c r="HO475" i="5" s="1"/>
  <c r="FB474" i="5"/>
  <c r="EY474" i="5" s="1"/>
  <c r="JH479" i="5"/>
  <c r="HR478" i="5"/>
  <c r="HR480" i="5" s="1"/>
  <c r="HV473" i="5"/>
  <c r="HV475" i="5" s="1"/>
  <c r="FS474" i="5"/>
  <c r="JC474" i="5"/>
  <c r="FL474" i="5"/>
  <c r="FL477" i="5"/>
  <c r="HV478" i="5"/>
  <c r="HV480" i="5" s="1"/>
  <c r="FS479" i="5"/>
  <c r="HW478" i="5"/>
  <c r="HW480" i="5" s="1"/>
  <c r="FE479" i="5"/>
  <c r="JG479" i="5" s="1"/>
  <c r="FL479" i="5"/>
  <c r="O402" i="5"/>
  <c r="M402" i="5"/>
  <c r="GI401" i="5"/>
  <c r="FN401" i="5"/>
  <c r="FO401" i="5" s="1"/>
  <c r="EZ401" i="5"/>
  <c r="DH401" i="5"/>
  <c r="O401" i="5"/>
  <c r="HY400" i="5"/>
  <c r="HY402" i="5" s="1"/>
  <c r="HT400" i="5"/>
  <c r="HT402" i="5" s="1"/>
  <c r="HS402" i="5"/>
  <c r="N400" i="5"/>
  <c r="CP399" i="5" s="1"/>
  <c r="GR399" i="5"/>
  <c r="GP399" i="5"/>
  <c r="GP400" i="5" s="1"/>
  <c r="GI399" i="5"/>
  <c r="FC399" i="5"/>
  <c r="EV399" i="5"/>
  <c r="CS399" i="5"/>
  <c r="CS401" i="5" s="1"/>
  <c r="CQ399" i="5"/>
  <c r="CR401" i="5" s="1"/>
  <c r="AV399" i="5"/>
  <c r="O397" i="5"/>
  <c r="M397" i="5"/>
  <c r="GI396" i="5"/>
  <c r="FN396" i="5"/>
  <c r="FO396" i="5" s="1"/>
  <c r="JH396" i="5" s="1"/>
  <c r="EZ396" i="5"/>
  <c r="DH396" i="5"/>
  <c r="O396" i="5"/>
  <c r="HY395" i="5"/>
  <c r="HY397" i="5" s="1"/>
  <c r="HT395" i="5"/>
  <c r="HT397" i="5" s="1"/>
  <c r="HS397" i="5"/>
  <c r="N395" i="5"/>
  <c r="CP394" i="5" s="1"/>
  <c r="GR394" i="5"/>
  <c r="GP394" i="5"/>
  <c r="GP395" i="5" s="1"/>
  <c r="GI394" i="5"/>
  <c r="FC394" i="5"/>
  <c r="EV394" i="5"/>
  <c r="CS394" i="5"/>
  <c r="CQ394" i="5"/>
  <c r="FL396" i="5" s="1"/>
  <c r="AV394" i="5"/>
  <c r="O392" i="5"/>
  <c r="M392" i="5"/>
  <c r="GI391" i="5"/>
  <c r="FN391" i="5"/>
  <c r="FO391" i="5" s="1"/>
  <c r="JH391" i="5" s="1"/>
  <c r="EZ391" i="5"/>
  <c r="DH391" i="5"/>
  <c r="O391" i="5"/>
  <c r="HY390" i="5"/>
  <c r="HY392" i="5" s="1"/>
  <c r="HT390" i="5"/>
  <c r="HT392" i="5" s="1"/>
  <c r="HS392" i="5"/>
  <c r="N390" i="5"/>
  <c r="CP389" i="5" s="1"/>
  <c r="GR389" i="5"/>
  <c r="GP389" i="5"/>
  <c r="GP390" i="5" s="1"/>
  <c r="GI389" i="5"/>
  <c r="FC389" i="5"/>
  <c r="EV389" i="5"/>
  <c r="CS389" i="5"/>
  <c r="CS391" i="5" s="1"/>
  <c r="CQ389" i="5"/>
  <c r="AV389" i="5"/>
  <c r="O387" i="5"/>
  <c r="M387" i="5"/>
  <c r="GI386" i="5"/>
  <c r="FN386" i="5"/>
  <c r="FO386" i="5" s="1"/>
  <c r="EZ386" i="5"/>
  <c r="DH386" i="5"/>
  <c r="O386" i="5"/>
  <c r="HY385" i="5"/>
  <c r="HY387" i="5" s="1"/>
  <c r="HT385" i="5"/>
  <c r="HT387" i="5" s="1"/>
  <c r="HS387" i="5"/>
  <c r="N385" i="5"/>
  <c r="GR384" i="5"/>
  <c r="GP384" i="5"/>
  <c r="GO384" i="5" s="1"/>
  <c r="GI384" i="5"/>
  <c r="FC384" i="5"/>
  <c r="EV384" i="5"/>
  <c r="CS384" i="5"/>
  <c r="CS386" i="5" s="1"/>
  <c r="CQ384" i="5"/>
  <c r="AV384" i="5"/>
  <c r="O382" i="5"/>
  <c r="M382" i="5"/>
  <c r="GI381" i="5"/>
  <c r="FN381" i="5"/>
  <c r="EZ381" i="5"/>
  <c r="DH381" i="5"/>
  <c r="O381" i="5"/>
  <c r="HY380" i="5"/>
  <c r="HY382" i="5" s="1"/>
  <c r="HT380" i="5"/>
  <c r="HT382" i="5" s="1"/>
  <c r="HS382" i="5"/>
  <c r="N380" i="5"/>
  <c r="CP379" i="5" s="1"/>
  <c r="GR379" i="5"/>
  <c r="GP379" i="5"/>
  <c r="GP380" i="5" s="1"/>
  <c r="GP382" i="5" s="1"/>
  <c r="GI379" i="5"/>
  <c r="FC379" i="5"/>
  <c r="EV379" i="5"/>
  <c r="CS379" i="5"/>
  <c r="CS381" i="5" s="1"/>
  <c r="CQ379" i="5"/>
  <c r="FS381" i="5" s="1"/>
  <c r="AV379" i="5"/>
  <c r="O377" i="5"/>
  <c r="M377" i="5"/>
  <c r="GI376" i="5"/>
  <c r="FN376" i="5"/>
  <c r="FO376" i="5" s="1"/>
  <c r="JH376" i="5" s="1"/>
  <c r="EZ376" i="5"/>
  <c r="DH376" i="5"/>
  <c r="O376" i="5"/>
  <c r="HY375" i="5"/>
  <c r="HY377" i="5" s="1"/>
  <c r="HT375" i="5"/>
  <c r="HT377" i="5" s="1"/>
  <c r="HS377" i="5"/>
  <c r="N375" i="5"/>
  <c r="GR374" i="5"/>
  <c r="GP374" i="5"/>
  <c r="GO374" i="5" s="1"/>
  <c r="GI374" i="5"/>
  <c r="FC374" i="5"/>
  <c r="EV374" i="5"/>
  <c r="CS374" i="5"/>
  <c r="CS376" i="5" s="1"/>
  <c r="EX376" i="5" s="1"/>
  <c r="CQ374" i="5"/>
  <c r="FL376" i="5" s="1"/>
  <c r="AV374" i="5"/>
  <c r="O372" i="5"/>
  <c r="M372" i="5"/>
  <c r="GI371" i="5"/>
  <c r="FN371" i="5"/>
  <c r="EZ371" i="5"/>
  <c r="DH371" i="5"/>
  <c r="O371" i="5"/>
  <c r="HY370" i="5"/>
  <c r="HY372" i="5" s="1"/>
  <c r="HT370" i="5"/>
  <c r="HT372" i="5" s="1"/>
  <c r="HS372" i="5"/>
  <c r="N370" i="5"/>
  <c r="CP369" i="5" s="1"/>
  <c r="GR369" i="5"/>
  <c r="GP369" i="5"/>
  <c r="GI369" i="5"/>
  <c r="FC369" i="5"/>
  <c r="EV369" i="5"/>
  <c r="CS369" i="5"/>
  <c r="CS371" i="5" s="1"/>
  <c r="CQ369" i="5"/>
  <c r="FE371" i="5" s="1"/>
  <c r="JG371" i="5" s="1"/>
  <c r="AV369" i="5"/>
  <c r="O367" i="5"/>
  <c r="M367" i="5"/>
  <c r="GI366" i="5"/>
  <c r="FN366" i="5"/>
  <c r="FO366" i="5" s="1"/>
  <c r="EZ366" i="5"/>
  <c r="DH366" i="5"/>
  <c r="O366" i="5"/>
  <c r="HY365" i="5"/>
  <c r="HY367" i="5" s="1"/>
  <c r="HT365" i="5"/>
  <c r="HT367" i="5" s="1"/>
  <c r="HS367" i="5"/>
  <c r="N365" i="5"/>
  <c r="CP364" i="5" s="1"/>
  <c r="GR364" i="5"/>
  <c r="GP364" i="5"/>
  <c r="GP365" i="5" s="1"/>
  <c r="GI364" i="5"/>
  <c r="FC364" i="5"/>
  <c r="EV364" i="5"/>
  <c r="CS364" i="5"/>
  <c r="CS366" i="5" s="1"/>
  <c r="CQ364" i="5"/>
  <c r="FE366" i="5" s="1"/>
  <c r="JG366" i="5" s="1"/>
  <c r="AV364" i="5"/>
  <c r="O362" i="5"/>
  <c r="M362" i="5"/>
  <c r="GI361" i="5"/>
  <c r="FN361" i="5"/>
  <c r="FO361" i="5" s="1"/>
  <c r="EZ361" i="5"/>
  <c r="DH361" i="5"/>
  <c r="O361" i="5"/>
  <c r="HY360" i="5"/>
  <c r="HY362" i="5" s="1"/>
  <c r="HT360" i="5"/>
  <c r="HT362" i="5" s="1"/>
  <c r="HS362" i="5"/>
  <c r="N360" i="5"/>
  <c r="CP359" i="5" s="1"/>
  <c r="GR359" i="5"/>
  <c r="GP359" i="5"/>
  <c r="GP360" i="5" s="1"/>
  <c r="GI359" i="5"/>
  <c r="FC359" i="5"/>
  <c r="EV359" i="5"/>
  <c r="CS359" i="5"/>
  <c r="CS361" i="5" s="1"/>
  <c r="CQ359" i="5"/>
  <c r="FS361" i="5" s="1"/>
  <c r="AV359" i="5"/>
  <c r="O357" i="5"/>
  <c r="M357" i="5"/>
  <c r="GI356" i="5"/>
  <c r="FN356" i="5"/>
  <c r="EZ356" i="5"/>
  <c r="DH356" i="5"/>
  <c r="O356" i="5"/>
  <c r="HY355" i="5"/>
  <c r="HY357" i="5" s="1"/>
  <c r="HT355" i="5"/>
  <c r="HT357" i="5" s="1"/>
  <c r="HS357" i="5"/>
  <c r="N355" i="5"/>
  <c r="GR354" i="5"/>
  <c r="GP354" i="5"/>
  <c r="GP355" i="5" s="1"/>
  <c r="GI354" i="5"/>
  <c r="FC354" i="5"/>
  <c r="EV354" i="5"/>
  <c r="CS354" i="5"/>
  <c r="CS356" i="5" s="1"/>
  <c r="FB356" i="5" s="1"/>
  <c r="EY356" i="5" s="1"/>
  <c r="CQ354" i="5"/>
  <c r="FS356" i="5" s="1"/>
  <c r="AV354" i="5"/>
  <c r="O352" i="5"/>
  <c r="M352" i="5"/>
  <c r="GI351" i="5"/>
  <c r="FN351" i="5"/>
  <c r="EZ351" i="5"/>
  <c r="DH351" i="5"/>
  <c r="O351" i="5"/>
  <c r="HY350" i="5"/>
  <c r="HY352" i="5" s="1"/>
  <c r="HT350" i="5"/>
  <c r="HT352" i="5" s="1"/>
  <c r="HS352" i="5"/>
  <c r="N350" i="5"/>
  <c r="GR349" i="5"/>
  <c r="GP349" i="5"/>
  <c r="GO349" i="5" s="1"/>
  <c r="GI349" i="5"/>
  <c r="FC349" i="5"/>
  <c r="EV349" i="5"/>
  <c r="CS349" i="5"/>
  <c r="CS351" i="5" s="1"/>
  <c r="FB349" i="5" s="1"/>
  <c r="EY349" i="5" s="1"/>
  <c r="CQ349" i="5"/>
  <c r="HW350" i="5" s="1"/>
  <c r="HW352" i="5" s="1"/>
  <c r="AV349" i="5"/>
  <c r="O347" i="5"/>
  <c r="M347" i="5"/>
  <c r="GI346" i="5"/>
  <c r="FN346" i="5"/>
  <c r="FO346" i="5" s="1"/>
  <c r="EZ346" i="5"/>
  <c r="DH346" i="5"/>
  <c r="O346" i="5"/>
  <c r="HY345" i="5"/>
  <c r="HY347" i="5" s="1"/>
  <c r="HT345" i="5"/>
  <c r="HT347" i="5" s="1"/>
  <c r="HS347" i="5"/>
  <c r="N345" i="5"/>
  <c r="GR344" i="5"/>
  <c r="GP344" i="5"/>
  <c r="GP345" i="5" s="1"/>
  <c r="GP347" i="5" s="1"/>
  <c r="GI344" i="5"/>
  <c r="FC344" i="5"/>
  <c r="EV344" i="5"/>
  <c r="CS344" i="5"/>
  <c r="CS346" i="5" s="1"/>
  <c r="CQ344" i="5"/>
  <c r="AV344" i="5"/>
  <c r="O342" i="5"/>
  <c r="M342" i="5"/>
  <c r="GI341" i="5"/>
  <c r="FN341" i="5"/>
  <c r="FO341" i="5" s="1"/>
  <c r="EZ341" i="5"/>
  <c r="DH341" i="5"/>
  <c r="O341" i="5"/>
  <c r="HY340" i="5"/>
  <c r="HY342" i="5" s="1"/>
  <c r="HT340" i="5"/>
  <c r="HT342" i="5" s="1"/>
  <c r="HS342" i="5"/>
  <c r="N340" i="5"/>
  <c r="CP339" i="5" s="1"/>
  <c r="GR339" i="5"/>
  <c r="GP339" i="5"/>
  <c r="GP340" i="5" s="1"/>
  <c r="GP342" i="5" s="1"/>
  <c r="GI339" i="5"/>
  <c r="FC339" i="5"/>
  <c r="EV339" i="5"/>
  <c r="CS339" i="5"/>
  <c r="CS341" i="5" s="1"/>
  <c r="CQ339" i="5"/>
  <c r="FE341" i="5" s="1"/>
  <c r="JG341" i="5" s="1"/>
  <c r="AV339" i="5"/>
  <c r="O337" i="5"/>
  <c r="M337" i="5"/>
  <c r="GI336" i="5"/>
  <c r="FN336" i="5"/>
  <c r="EZ336" i="5"/>
  <c r="DH336" i="5"/>
  <c r="O336" i="5"/>
  <c r="HY335" i="5"/>
  <c r="HY337" i="5" s="1"/>
  <c r="HT335" i="5"/>
  <c r="HT337" i="5" s="1"/>
  <c r="HS337" i="5"/>
  <c r="N335" i="5"/>
  <c r="CP334" i="5" s="1"/>
  <c r="GR334" i="5"/>
  <c r="GP334" i="5"/>
  <c r="GP335" i="5" s="1"/>
  <c r="GI334" i="5"/>
  <c r="FC334" i="5"/>
  <c r="EV334" i="5"/>
  <c r="CS334" i="5"/>
  <c r="CS336" i="5" s="1"/>
  <c r="FB336" i="5" s="1"/>
  <c r="EY336" i="5" s="1"/>
  <c r="CQ334" i="5"/>
  <c r="FS336" i="5" s="1"/>
  <c r="AV334" i="5"/>
  <c r="O332" i="5"/>
  <c r="M332" i="5"/>
  <c r="GI331" i="5"/>
  <c r="FN331" i="5"/>
  <c r="FO331" i="5" s="1"/>
  <c r="EZ331" i="5"/>
  <c r="DH331" i="5"/>
  <c r="O331" i="5"/>
  <c r="HY330" i="5"/>
  <c r="HY332" i="5" s="1"/>
  <c r="HT330" i="5"/>
  <c r="HT332" i="5" s="1"/>
  <c r="HS332" i="5"/>
  <c r="N330" i="5"/>
  <c r="GR329" i="5"/>
  <c r="GP329" i="5"/>
  <c r="GO329" i="5" s="1"/>
  <c r="GI329" i="5"/>
  <c r="FC329" i="5"/>
  <c r="EV329" i="5"/>
  <c r="CS329" i="5"/>
  <c r="CS331" i="5" s="1"/>
  <c r="FB329" i="5" s="1"/>
  <c r="EY329" i="5" s="1"/>
  <c r="CQ329" i="5"/>
  <c r="FL331" i="5" s="1"/>
  <c r="AV329" i="5"/>
  <c r="O324" i="5"/>
  <c r="M324" i="5"/>
  <c r="GI323" i="5"/>
  <c r="FN323" i="5"/>
  <c r="FO323" i="5" s="1"/>
  <c r="EZ323" i="5"/>
  <c r="DH323" i="5"/>
  <c r="O323" i="5"/>
  <c r="HY322" i="5"/>
  <c r="HY324" i="5" s="1"/>
  <c r="HT322" i="5"/>
  <c r="HT324" i="5" s="1"/>
  <c r="HS324" i="5"/>
  <c r="N322" i="5"/>
  <c r="CP321" i="5" s="1"/>
  <c r="GR321" i="5"/>
  <c r="GP321" i="5"/>
  <c r="GP322" i="5" s="1"/>
  <c r="GP324" i="5" s="1"/>
  <c r="GI321" i="5"/>
  <c r="FC321" i="5"/>
  <c r="EV321" i="5"/>
  <c r="CS321" i="5"/>
  <c r="CS323" i="5" s="1"/>
  <c r="CQ321" i="5"/>
  <c r="CR323" i="5" s="1"/>
  <c r="AV321" i="5"/>
  <c r="O319" i="5"/>
  <c r="M319" i="5"/>
  <c r="GI318" i="5"/>
  <c r="FN318" i="5"/>
  <c r="FO318" i="5" s="1"/>
  <c r="JH318" i="5" s="1"/>
  <c r="EZ318" i="5"/>
  <c r="DH318" i="5"/>
  <c r="O318" i="5"/>
  <c r="HY317" i="5"/>
  <c r="HY319" i="5" s="1"/>
  <c r="HT317" i="5"/>
  <c r="HT319" i="5" s="1"/>
  <c r="HS319" i="5"/>
  <c r="N317" i="5"/>
  <c r="CP316" i="5" s="1"/>
  <c r="GR316" i="5"/>
  <c r="GP316" i="5"/>
  <c r="GP317" i="5" s="1"/>
  <c r="GI316" i="5"/>
  <c r="FC316" i="5"/>
  <c r="EV316" i="5"/>
  <c r="CS316" i="5"/>
  <c r="CS318" i="5" s="1"/>
  <c r="CQ316" i="5"/>
  <c r="FS318" i="5" s="1"/>
  <c r="AV316" i="5"/>
  <c r="O314" i="5"/>
  <c r="M314" i="5"/>
  <c r="GI313" i="5"/>
  <c r="FN313" i="5"/>
  <c r="EZ313" i="5"/>
  <c r="DH313" i="5"/>
  <c r="O313" i="5"/>
  <c r="HY312" i="5"/>
  <c r="HY314" i="5" s="1"/>
  <c r="HT312" i="5"/>
  <c r="HT314" i="5" s="1"/>
  <c r="HS314" i="5"/>
  <c r="N312" i="5"/>
  <c r="GR311" i="5"/>
  <c r="GP311" i="5"/>
  <c r="GI311" i="5"/>
  <c r="FC311" i="5"/>
  <c r="EV311" i="5"/>
  <c r="CS311" i="5"/>
  <c r="CS313" i="5" s="1"/>
  <c r="EX313" i="5" s="1"/>
  <c r="CQ311" i="5"/>
  <c r="FL311" i="5" s="1"/>
  <c r="FM311" i="5" s="1"/>
  <c r="AV311" i="5"/>
  <c r="O309" i="5"/>
  <c r="M309" i="5"/>
  <c r="GI308" i="5"/>
  <c r="FN308" i="5"/>
  <c r="FO308" i="5" s="1"/>
  <c r="EZ308" i="5"/>
  <c r="DH308" i="5"/>
  <c r="O308" i="5"/>
  <c r="HY307" i="5"/>
  <c r="HY309" i="5" s="1"/>
  <c r="HT307" i="5"/>
  <c r="HT309" i="5" s="1"/>
  <c r="HS309" i="5"/>
  <c r="N307" i="5"/>
  <c r="GR306" i="5"/>
  <c r="GP306" i="5"/>
  <c r="GO306" i="5" s="1"/>
  <c r="GI306" i="5"/>
  <c r="FC306" i="5"/>
  <c r="EV306" i="5"/>
  <c r="CS306" i="5"/>
  <c r="CS308" i="5" s="1"/>
  <c r="CQ306" i="5"/>
  <c r="CR308" i="5" s="1"/>
  <c r="AV306" i="5"/>
  <c r="O304" i="5"/>
  <c r="M304" i="5"/>
  <c r="GI303" i="5"/>
  <c r="FN303" i="5"/>
  <c r="EZ303" i="5"/>
  <c r="DH303" i="5"/>
  <c r="O303" i="5"/>
  <c r="HY302" i="5"/>
  <c r="HY304" i="5" s="1"/>
  <c r="HT302" i="5"/>
  <c r="HT304" i="5" s="1"/>
  <c r="HS304" i="5"/>
  <c r="N302" i="5"/>
  <c r="CP301" i="5" s="1"/>
  <c r="GR301" i="5"/>
  <c r="GP301" i="5"/>
  <c r="GI301" i="5"/>
  <c r="FC301" i="5"/>
  <c r="EV301" i="5"/>
  <c r="CS301" i="5"/>
  <c r="CS303" i="5" s="1"/>
  <c r="FB303" i="5" s="1"/>
  <c r="EY303" i="5" s="1"/>
  <c r="CQ301" i="5"/>
  <c r="HV302" i="5" s="1"/>
  <c r="HV304" i="5" s="1"/>
  <c r="AV301" i="5"/>
  <c r="O299" i="5"/>
  <c r="M299" i="5"/>
  <c r="GI298" i="5"/>
  <c r="FN298" i="5"/>
  <c r="FO298" i="5" s="1"/>
  <c r="JH298" i="5" s="1"/>
  <c r="EZ298" i="5"/>
  <c r="DH298" i="5"/>
  <c r="O298" i="5"/>
  <c r="HY297" i="5"/>
  <c r="HY299" i="5" s="1"/>
  <c r="HT297" i="5"/>
  <c r="HT299" i="5" s="1"/>
  <c r="HS299" i="5"/>
  <c r="N297" i="5"/>
  <c r="CP296" i="5" s="1"/>
  <c r="GR296" i="5"/>
  <c r="GP296" i="5"/>
  <c r="GI296" i="5"/>
  <c r="FC296" i="5"/>
  <c r="EV296" i="5"/>
  <c r="CS296" i="5"/>
  <c r="CS298" i="5" s="1"/>
  <c r="FB296" i="5" s="1"/>
  <c r="EY296" i="5" s="1"/>
  <c r="CQ296" i="5"/>
  <c r="HV297" i="5" s="1"/>
  <c r="HV299" i="5" s="1"/>
  <c r="AV296" i="5"/>
  <c r="O294" i="5"/>
  <c r="M294" i="5"/>
  <c r="GI293" i="5"/>
  <c r="FN293" i="5"/>
  <c r="FO293" i="5" s="1"/>
  <c r="EZ293" i="5"/>
  <c r="DH293" i="5"/>
  <c r="O293" i="5"/>
  <c r="HY292" i="5"/>
  <c r="HY294" i="5" s="1"/>
  <c r="HT292" i="5"/>
  <c r="HT294" i="5" s="1"/>
  <c r="HS294" i="5"/>
  <c r="N292" i="5"/>
  <c r="GR291" i="5"/>
  <c r="GP291" i="5"/>
  <c r="GI291" i="5"/>
  <c r="FC291" i="5"/>
  <c r="EV291" i="5"/>
  <c r="CS291" i="5"/>
  <c r="CS293" i="5" s="1"/>
  <c r="FB293" i="5" s="1"/>
  <c r="EY293" i="5" s="1"/>
  <c r="CQ291" i="5"/>
  <c r="CR293" i="5" s="1"/>
  <c r="AV291" i="5"/>
  <c r="O289" i="5"/>
  <c r="M289" i="5"/>
  <c r="GI288" i="5"/>
  <c r="FN288" i="5"/>
  <c r="FO288" i="5" s="1"/>
  <c r="JH288" i="5" s="1"/>
  <c r="EZ288" i="5"/>
  <c r="DH288" i="5"/>
  <c r="O288" i="5"/>
  <c r="HY287" i="5"/>
  <c r="HY289" i="5" s="1"/>
  <c r="HT287" i="5"/>
  <c r="HT289" i="5" s="1"/>
  <c r="HS289" i="5"/>
  <c r="N287" i="5"/>
  <c r="CP286" i="5" s="1"/>
  <c r="GR286" i="5"/>
  <c r="GP286" i="5"/>
  <c r="GO286" i="5" s="1"/>
  <c r="GI286" i="5"/>
  <c r="FC286" i="5"/>
  <c r="EV286" i="5"/>
  <c r="CS286" i="5"/>
  <c r="CS288" i="5" s="1"/>
  <c r="EX286" i="5" s="1"/>
  <c r="CQ286" i="5"/>
  <c r="CR288" i="5" s="1"/>
  <c r="AV286" i="5"/>
  <c r="O284" i="5"/>
  <c r="M284" i="5"/>
  <c r="GI283" i="5"/>
  <c r="FN283" i="5"/>
  <c r="FO283" i="5" s="1"/>
  <c r="EZ283" i="5"/>
  <c r="DH283" i="5"/>
  <c r="O283" i="5"/>
  <c r="HY282" i="5"/>
  <c r="HY284" i="5" s="1"/>
  <c r="HT282" i="5"/>
  <c r="HT284" i="5" s="1"/>
  <c r="HS284" i="5"/>
  <c r="N282" i="5"/>
  <c r="CP281" i="5" s="1"/>
  <c r="GR281" i="5"/>
  <c r="GP281" i="5"/>
  <c r="GO281" i="5" s="1"/>
  <c r="GI281" i="5"/>
  <c r="FC281" i="5"/>
  <c r="EV281" i="5"/>
  <c r="CS281" i="5"/>
  <c r="CS283" i="5" s="1"/>
  <c r="CQ281" i="5"/>
  <c r="CR283" i="5" s="1"/>
  <c r="AV281" i="5"/>
  <c r="O279" i="5"/>
  <c r="M279" i="5"/>
  <c r="GI278" i="5"/>
  <c r="FN278" i="5"/>
  <c r="EZ278" i="5"/>
  <c r="DH278" i="5"/>
  <c r="O278" i="5"/>
  <c r="HY277" i="5"/>
  <c r="HY279" i="5" s="1"/>
  <c r="HT277" i="5"/>
  <c r="HT279" i="5" s="1"/>
  <c r="HS279" i="5"/>
  <c r="N277" i="5"/>
  <c r="CP276" i="5" s="1"/>
  <c r="GR276" i="5"/>
  <c r="GP276" i="5"/>
  <c r="GP277" i="5" s="1"/>
  <c r="GI276" i="5"/>
  <c r="FC276" i="5"/>
  <c r="EV276" i="5"/>
  <c r="CS276" i="5"/>
  <c r="CS278" i="5" s="1"/>
  <c r="FB278" i="5" s="1"/>
  <c r="EY278" i="5" s="1"/>
  <c r="CQ276" i="5"/>
  <c r="FL278" i="5" s="1"/>
  <c r="FM278" i="5" s="1"/>
  <c r="FT278" i="5" s="1"/>
  <c r="AV276" i="5"/>
  <c r="O274" i="5"/>
  <c r="M274" i="5"/>
  <c r="GI273" i="5"/>
  <c r="FN273" i="5"/>
  <c r="FO273" i="5" s="1"/>
  <c r="JH273" i="5" s="1"/>
  <c r="EZ273" i="5"/>
  <c r="DH273" i="5"/>
  <c r="O273" i="5"/>
  <c r="HY272" i="5"/>
  <c r="HY274" i="5" s="1"/>
  <c r="HT272" i="5"/>
  <c r="HT274" i="5" s="1"/>
  <c r="HS274" i="5"/>
  <c r="N272" i="5"/>
  <c r="CP271" i="5" s="1"/>
  <c r="GR271" i="5"/>
  <c r="GP271" i="5"/>
  <c r="GO271" i="5" s="1"/>
  <c r="GI271" i="5"/>
  <c r="FC271" i="5"/>
  <c r="EV271" i="5"/>
  <c r="CS271" i="5"/>
  <c r="CS273" i="5" s="1"/>
  <c r="EX273" i="5" s="1"/>
  <c r="CQ271" i="5"/>
  <c r="HV272" i="5" s="1"/>
  <c r="HV274" i="5" s="1"/>
  <c r="AV271" i="5"/>
  <c r="O269" i="5"/>
  <c r="M269" i="5"/>
  <c r="GI268" i="5"/>
  <c r="FN268" i="5"/>
  <c r="EZ268" i="5"/>
  <c r="DH268" i="5"/>
  <c r="O268" i="5"/>
  <c r="HY267" i="5"/>
  <c r="HY269" i="5" s="1"/>
  <c r="HT267" i="5"/>
  <c r="HT269" i="5" s="1"/>
  <c r="HS269" i="5"/>
  <c r="N267" i="5"/>
  <c r="CP266" i="5" s="1"/>
  <c r="GR266" i="5"/>
  <c r="GP266" i="5"/>
  <c r="GP267" i="5" s="1"/>
  <c r="GI266" i="5"/>
  <c r="FC266" i="5"/>
  <c r="EV266" i="5"/>
  <c r="CS266" i="5"/>
  <c r="CS268" i="5" s="1"/>
  <c r="FB268" i="5" s="1"/>
  <c r="EY268" i="5" s="1"/>
  <c r="CQ266" i="5"/>
  <c r="FL268" i="5" s="1"/>
  <c r="AV266" i="5"/>
  <c r="O264" i="5"/>
  <c r="M264" i="5"/>
  <c r="GI263" i="5"/>
  <c r="FN263" i="5"/>
  <c r="FO263" i="5" s="1"/>
  <c r="EZ263" i="5"/>
  <c r="DH263" i="5"/>
  <c r="O263" i="5"/>
  <c r="HY262" i="5"/>
  <c r="HY264" i="5" s="1"/>
  <c r="HT262" i="5"/>
  <c r="HT264" i="5" s="1"/>
  <c r="HS264" i="5"/>
  <c r="N262" i="5"/>
  <c r="CP261" i="5" s="1"/>
  <c r="GR261" i="5"/>
  <c r="GP261" i="5"/>
  <c r="GO261" i="5" s="1"/>
  <c r="GI261" i="5"/>
  <c r="FC261" i="5"/>
  <c r="EV261" i="5"/>
  <c r="CS261" i="5"/>
  <c r="CS263" i="5" s="1"/>
  <c r="CQ261" i="5"/>
  <c r="CR263" i="5" s="1"/>
  <c r="AV261" i="5"/>
  <c r="O259" i="5"/>
  <c r="M259" i="5"/>
  <c r="GI258" i="5"/>
  <c r="FN258" i="5"/>
  <c r="EZ258" i="5"/>
  <c r="DH258" i="5"/>
  <c r="O258" i="5"/>
  <c r="HY257" i="5"/>
  <c r="HY259" i="5" s="1"/>
  <c r="HT257" i="5"/>
  <c r="HT259" i="5" s="1"/>
  <c r="HS259" i="5"/>
  <c r="N257" i="5"/>
  <c r="GR256" i="5"/>
  <c r="GP256" i="5"/>
  <c r="GP257" i="5" s="1"/>
  <c r="GI256" i="5"/>
  <c r="FC256" i="5"/>
  <c r="EV256" i="5"/>
  <c r="CS256" i="5"/>
  <c r="CS258" i="5" s="1"/>
  <c r="CQ256" i="5"/>
  <c r="HV257" i="5" s="1"/>
  <c r="HV259" i="5" s="1"/>
  <c r="AV256" i="5"/>
  <c r="O254" i="5"/>
  <c r="M254" i="5"/>
  <c r="GI253" i="5"/>
  <c r="FN253" i="5"/>
  <c r="FO253" i="5" s="1"/>
  <c r="EZ253" i="5"/>
  <c r="DH253" i="5"/>
  <c r="O253" i="5"/>
  <c r="HY252" i="5"/>
  <c r="HY254" i="5" s="1"/>
  <c r="HT252" i="5"/>
  <c r="HT254" i="5" s="1"/>
  <c r="HS254" i="5"/>
  <c r="N252" i="5"/>
  <c r="CP251" i="5" s="1"/>
  <c r="GR251" i="5"/>
  <c r="GP251" i="5"/>
  <c r="GP252" i="5" s="1"/>
  <c r="GI251" i="5"/>
  <c r="FC251" i="5"/>
  <c r="EV251" i="5"/>
  <c r="CS251" i="5"/>
  <c r="CS253" i="5" s="1"/>
  <c r="EX251" i="5" s="1"/>
  <c r="CQ251" i="5"/>
  <c r="CR251" i="5" s="1"/>
  <c r="AV251" i="5"/>
  <c r="O246" i="5"/>
  <c r="M246" i="5"/>
  <c r="GI245" i="5"/>
  <c r="FN245" i="5"/>
  <c r="FO245" i="5" s="1"/>
  <c r="EZ245" i="5"/>
  <c r="DH245" i="5"/>
  <c r="O245" i="5"/>
  <c r="HY244" i="5"/>
  <c r="HY246" i="5" s="1"/>
  <c r="HT244" i="5"/>
  <c r="HT246" i="5" s="1"/>
  <c r="HS246" i="5"/>
  <c r="N244" i="5"/>
  <c r="GR243" i="5"/>
  <c r="GP243" i="5"/>
  <c r="GP244" i="5" s="1"/>
  <c r="GP246" i="5" s="1"/>
  <c r="GI243" i="5"/>
  <c r="FC243" i="5"/>
  <c r="EV243" i="5"/>
  <c r="CS243" i="5"/>
  <c r="CS245" i="5" s="1"/>
  <c r="FB245" i="5" s="1"/>
  <c r="EY245" i="5" s="1"/>
  <c r="CQ243" i="5"/>
  <c r="HV244" i="5" s="1"/>
  <c r="HV246" i="5" s="1"/>
  <c r="AV243" i="5"/>
  <c r="O241" i="5"/>
  <c r="M241" i="5"/>
  <c r="GI240" i="5"/>
  <c r="FN240" i="5"/>
  <c r="FO240" i="5" s="1"/>
  <c r="EZ240" i="5"/>
  <c r="DH240" i="5"/>
  <c r="O240" i="5"/>
  <c r="HY239" i="5"/>
  <c r="HY241" i="5" s="1"/>
  <c r="HT239" i="5"/>
  <c r="HT241" i="5" s="1"/>
  <c r="HS241" i="5"/>
  <c r="N239" i="5"/>
  <c r="CP238" i="5" s="1"/>
  <c r="GR238" i="5"/>
  <c r="GP238" i="5"/>
  <c r="GP239" i="5" s="1"/>
  <c r="GI238" i="5"/>
  <c r="FC238" i="5"/>
  <c r="EV238" i="5"/>
  <c r="CS238" i="5"/>
  <c r="CS240" i="5" s="1"/>
  <c r="CQ238" i="5"/>
  <c r="FS240" i="5" s="1"/>
  <c r="AV238" i="5"/>
  <c r="O236" i="5"/>
  <c r="M236" i="5"/>
  <c r="GI235" i="5"/>
  <c r="FN235" i="5"/>
  <c r="FO235" i="5" s="1"/>
  <c r="JH235" i="5" s="1"/>
  <c r="EZ235" i="5"/>
  <c r="DH235" i="5"/>
  <c r="O235" i="5"/>
  <c r="HY234" i="5"/>
  <c r="HY236" i="5" s="1"/>
  <c r="HT234" i="5"/>
  <c r="HT236" i="5" s="1"/>
  <c r="HS236" i="5"/>
  <c r="N234" i="5"/>
  <c r="CP233" i="5" s="1"/>
  <c r="GR233" i="5"/>
  <c r="GP233" i="5"/>
  <c r="GP234" i="5" s="1"/>
  <c r="GP236" i="5" s="1"/>
  <c r="GI233" i="5"/>
  <c r="FC233" i="5"/>
  <c r="EV233" i="5"/>
  <c r="CS233" i="5"/>
  <c r="CS235" i="5" s="1"/>
  <c r="FB235" i="5" s="1"/>
  <c r="EY235" i="5" s="1"/>
  <c r="CQ233" i="5"/>
  <c r="HV234" i="5" s="1"/>
  <c r="HV236" i="5" s="1"/>
  <c r="AV233" i="5"/>
  <c r="O231" i="5"/>
  <c r="M231" i="5"/>
  <c r="GI230" i="5"/>
  <c r="FN230" i="5"/>
  <c r="FO230" i="5" s="1"/>
  <c r="EZ230" i="5"/>
  <c r="DH230" i="5"/>
  <c r="O230" i="5"/>
  <c r="HY229" i="5"/>
  <c r="HY231" i="5" s="1"/>
  <c r="HT229" i="5"/>
  <c r="HT231" i="5" s="1"/>
  <c r="HS231" i="5"/>
  <c r="N229" i="5"/>
  <c r="CP228" i="5" s="1"/>
  <c r="GR228" i="5"/>
  <c r="GP228" i="5"/>
  <c r="GP229" i="5" s="1"/>
  <c r="GP231" i="5" s="1"/>
  <c r="GI228" i="5"/>
  <c r="FC228" i="5"/>
  <c r="EV228" i="5"/>
  <c r="CS228" i="5"/>
  <c r="CS230" i="5" s="1"/>
  <c r="CQ228" i="5"/>
  <c r="FL228" i="5" s="1"/>
  <c r="FM228" i="5" s="1"/>
  <c r="AV228" i="5"/>
  <c r="O226" i="5"/>
  <c r="M226" i="5"/>
  <c r="GI225" i="5"/>
  <c r="FN225" i="5"/>
  <c r="FO225" i="5" s="1"/>
  <c r="EZ225" i="5"/>
  <c r="DH225" i="5"/>
  <c r="O225" i="5"/>
  <c r="HY224" i="5"/>
  <c r="HY226" i="5" s="1"/>
  <c r="HT224" i="5"/>
  <c r="HT226" i="5" s="1"/>
  <c r="HS226" i="5"/>
  <c r="N224" i="5"/>
  <c r="GR223" i="5"/>
  <c r="GP223" i="5"/>
  <c r="GP224" i="5" s="1"/>
  <c r="GI223" i="5"/>
  <c r="GK223" i="5" s="1"/>
  <c r="HM224" i="5" s="1"/>
  <c r="HM226" i="5" s="1"/>
  <c r="FC223" i="5"/>
  <c r="EV223" i="5"/>
  <c r="CS223" i="5"/>
  <c r="CS225" i="5" s="1"/>
  <c r="CQ223" i="5"/>
  <c r="FL223" i="5" s="1"/>
  <c r="AV223" i="5"/>
  <c r="O221" i="5"/>
  <c r="M221" i="5"/>
  <c r="GI220" i="5"/>
  <c r="FN220" i="5"/>
  <c r="EZ220" i="5"/>
  <c r="DH220" i="5"/>
  <c r="O220" i="5"/>
  <c r="HY219" i="5"/>
  <c r="HY221" i="5" s="1"/>
  <c r="HT219" i="5"/>
  <c r="HT221" i="5" s="1"/>
  <c r="HS221" i="5"/>
  <c r="N219" i="5"/>
  <c r="GR218" i="5"/>
  <c r="GP218" i="5"/>
  <c r="GI218" i="5"/>
  <c r="FC218" i="5"/>
  <c r="EV218" i="5"/>
  <c r="CS218" i="5"/>
  <c r="CS220" i="5" s="1"/>
  <c r="CQ218" i="5"/>
  <c r="HW219" i="5" s="1"/>
  <c r="HW221" i="5" s="1"/>
  <c r="AV218" i="5"/>
  <c r="O216" i="5"/>
  <c r="M216" i="5"/>
  <c r="GI215" i="5"/>
  <c r="FN215" i="5"/>
  <c r="FO215" i="5" s="1"/>
  <c r="JH215" i="5" s="1"/>
  <c r="EZ215" i="5"/>
  <c r="DH215" i="5"/>
  <c r="O215" i="5"/>
  <c r="HY214" i="5"/>
  <c r="HY216" i="5" s="1"/>
  <c r="HT214" i="5"/>
  <c r="HT216" i="5" s="1"/>
  <c r="HS216" i="5"/>
  <c r="N214" i="5"/>
  <c r="GR213" i="5"/>
  <c r="GP213" i="5"/>
  <c r="GP214" i="5" s="1"/>
  <c r="GI213" i="5"/>
  <c r="FC213" i="5"/>
  <c r="EV213" i="5"/>
  <c r="CS213" i="5"/>
  <c r="CQ213" i="5"/>
  <c r="FE215" i="5" s="1"/>
  <c r="JG215" i="5" s="1"/>
  <c r="AV213" i="5"/>
  <c r="O211" i="5"/>
  <c r="M211" i="5"/>
  <c r="GI210" i="5"/>
  <c r="FN210" i="5"/>
  <c r="FO210" i="5" s="1"/>
  <c r="EZ210" i="5"/>
  <c r="DH210" i="5"/>
  <c r="O210" i="5"/>
  <c r="HY209" i="5"/>
  <c r="HY211" i="5" s="1"/>
  <c r="HT209" i="5"/>
  <c r="HT211" i="5" s="1"/>
  <c r="HS211" i="5"/>
  <c r="N209" i="5"/>
  <c r="CP208" i="5" s="1"/>
  <c r="GR208" i="5"/>
  <c r="GP208" i="5"/>
  <c r="GO208" i="5" s="1"/>
  <c r="GI208" i="5"/>
  <c r="FC208" i="5"/>
  <c r="EV208" i="5"/>
  <c r="CS208" i="5"/>
  <c r="CS210" i="5" s="1"/>
  <c r="EX210" i="5" s="1"/>
  <c r="CQ208" i="5"/>
  <c r="CR210" i="5" s="1"/>
  <c r="AV208" i="5"/>
  <c r="O206" i="5"/>
  <c r="M206" i="5"/>
  <c r="GI205" i="5"/>
  <c r="FN205" i="5"/>
  <c r="FO205" i="5" s="1"/>
  <c r="JH205" i="5" s="1"/>
  <c r="EZ205" i="5"/>
  <c r="DH205" i="5"/>
  <c r="O205" i="5"/>
  <c r="HY204" i="5"/>
  <c r="HY206" i="5" s="1"/>
  <c r="HT204" i="5"/>
  <c r="HT206" i="5" s="1"/>
  <c r="HS206" i="5"/>
  <c r="N204" i="5"/>
  <c r="CP203" i="5" s="1"/>
  <c r="GR203" i="5"/>
  <c r="GP203" i="5"/>
  <c r="GI203" i="5"/>
  <c r="FC203" i="5"/>
  <c r="EV203" i="5"/>
  <c r="CS203" i="5"/>
  <c r="CS205" i="5" s="1"/>
  <c r="EX205" i="5" s="1"/>
  <c r="CQ203" i="5"/>
  <c r="AV203" i="5"/>
  <c r="O201" i="5"/>
  <c r="M201" i="5"/>
  <c r="GI200" i="5"/>
  <c r="FN200" i="5"/>
  <c r="FO200" i="5" s="1"/>
  <c r="JH200" i="5" s="1"/>
  <c r="EZ200" i="5"/>
  <c r="DH200" i="5"/>
  <c r="O200" i="5"/>
  <c r="HY199" i="5"/>
  <c r="HY201" i="5" s="1"/>
  <c r="HT199" i="5"/>
  <c r="HT201" i="5" s="1"/>
  <c r="HS201" i="5"/>
  <c r="N199" i="5"/>
  <c r="GR198" i="5"/>
  <c r="GP198" i="5"/>
  <c r="GP199" i="5" s="1"/>
  <c r="GI198" i="5"/>
  <c r="FC198" i="5"/>
  <c r="EV198" i="5"/>
  <c r="CS198" i="5"/>
  <c r="CS200" i="5" s="1"/>
  <c r="CQ198" i="5"/>
  <c r="FE200" i="5" s="1"/>
  <c r="JG200" i="5" s="1"/>
  <c r="AV198" i="5"/>
  <c r="O196" i="5"/>
  <c r="M196" i="5"/>
  <c r="GI195" i="5"/>
  <c r="FN195" i="5"/>
  <c r="FO195" i="5" s="1"/>
  <c r="EZ195" i="5"/>
  <c r="DH195" i="5"/>
  <c r="O195" i="5"/>
  <c r="HY194" i="5"/>
  <c r="HY196" i="5" s="1"/>
  <c r="HT194" i="5"/>
  <c r="HT196" i="5" s="1"/>
  <c r="HS196" i="5"/>
  <c r="N194" i="5"/>
  <c r="GR193" i="5"/>
  <c r="GP193" i="5"/>
  <c r="GP194" i="5" s="1"/>
  <c r="GP196" i="5" s="1"/>
  <c r="GI193" i="5"/>
  <c r="FC193" i="5"/>
  <c r="EV193" i="5"/>
  <c r="CS193" i="5"/>
  <c r="CS195" i="5" s="1"/>
  <c r="CQ193" i="5"/>
  <c r="AV193" i="5"/>
  <c r="O191" i="5"/>
  <c r="M191" i="5"/>
  <c r="GI190" i="5"/>
  <c r="FN190" i="5"/>
  <c r="FO190" i="5" s="1"/>
  <c r="JH190" i="5" s="1"/>
  <c r="EZ190" i="5"/>
  <c r="DH190" i="5"/>
  <c r="O190" i="5"/>
  <c r="HY189" i="5"/>
  <c r="HY191" i="5" s="1"/>
  <c r="HT189" i="5"/>
  <c r="HT191" i="5" s="1"/>
  <c r="HS191" i="5"/>
  <c r="N189" i="5"/>
  <c r="GR188" i="5"/>
  <c r="GP188" i="5"/>
  <c r="GP189" i="5" s="1"/>
  <c r="GI188" i="5"/>
  <c r="FC188" i="5"/>
  <c r="EV188" i="5"/>
  <c r="CS188" i="5"/>
  <c r="CS190" i="5" s="1"/>
  <c r="FB190" i="5" s="1"/>
  <c r="EY190" i="5" s="1"/>
  <c r="CQ188" i="5"/>
  <c r="FS190" i="5" s="1"/>
  <c r="AV188" i="5"/>
  <c r="O186" i="5"/>
  <c r="M186" i="5"/>
  <c r="GI185" i="5"/>
  <c r="FN185" i="5"/>
  <c r="EZ185" i="5"/>
  <c r="DH185" i="5"/>
  <c r="O185" i="5"/>
  <c r="HY184" i="5"/>
  <c r="HY186" i="5" s="1"/>
  <c r="HT184" i="5"/>
  <c r="HT186" i="5" s="1"/>
  <c r="HS186" i="5"/>
  <c r="N184" i="5"/>
  <c r="CP183" i="5" s="1"/>
  <c r="GR183" i="5"/>
  <c r="GP183" i="5"/>
  <c r="GP184" i="5" s="1"/>
  <c r="GP186" i="5" s="1"/>
  <c r="GI183" i="5"/>
  <c r="FC183" i="5"/>
  <c r="EV183" i="5"/>
  <c r="CS183" i="5"/>
  <c r="CS185" i="5" s="1"/>
  <c r="EX185" i="5" s="1"/>
  <c r="CQ183" i="5"/>
  <c r="CR183" i="5" s="1"/>
  <c r="AV183" i="5"/>
  <c r="O181" i="5"/>
  <c r="M181" i="5"/>
  <c r="GI180" i="5"/>
  <c r="FN180" i="5"/>
  <c r="EZ180" i="5"/>
  <c r="DH180" i="5"/>
  <c r="O180" i="5"/>
  <c r="HY179" i="5"/>
  <c r="HY181" i="5" s="1"/>
  <c r="HT179" i="5"/>
  <c r="HT181" i="5" s="1"/>
  <c r="HS181" i="5"/>
  <c r="N179" i="5"/>
  <c r="GR178" i="5"/>
  <c r="GP178" i="5"/>
  <c r="GP179" i="5" s="1"/>
  <c r="GP181" i="5" s="1"/>
  <c r="GI178" i="5"/>
  <c r="FC178" i="5"/>
  <c r="EV178" i="5"/>
  <c r="CS178" i="5"/>
  <c r="CS180" i="5" s="1"/>
  <c r="CQ178" i="5"/>
  <c r="FS180" i="5" s="1"/>
  <c r="AV178" i="5"/>
  <c r="O176" i="5"/>
  <c r="M176" i="5"/>
  <c r="GI175" i="5"/>
  <c r="FN175" i="5"/>
  <c r="FO175" i="5" s="1"/>
  <c r="JH175" i="5" s="1"/>
  <c r="EZ175" i="5"/>
  <c r="DH175" i="5"/>
  <c r="O175" i="5"/>
  <c r="HY174" i="5"/>
  <c r="HY176" i="5" s="1"/>
  <c r="HT174" i="5"/>
  <c r="HT176" i="5" s="1"/>
  <c r="HS176" i="5"/>
  <c r="N174" i="5"/>
  <c r="CP173" i="5" s="1"/>
  <c r="GR173" i="5"/>
  <c r="GP173" i="5"/>
  <c r="GP174" i="5" s="1"/>
  <c r="GI173" i="5"/>
  <c r="FC173" i="5"/>
  <c r="EV173" i="5"/>
  <c r="CS173" i="5"/>
  <c r="CS175" i="5" s="1"/>
  <c r="CQ173" i="5"/>
  <c r="CR175" i="5" s="1"/>
  <c r="AV173" i="5"/>
  <c r="JC565" i="5" l="1"/>
  <c r="IT495" i="5"/>
  <c r="FY419" i="5"/>
  <c r="IR407" i="5"/>
  <c r="IU495" i="5"/>
  <c r="IV495" i="5"/>
  <c r="JA495" i="5"/>
  <c r="IX407" i="5"/>
  <c r="IW407" i="5"/>
  <c r="FS407" i="5"/>
  <c r="FS495" i="5"/>
  <c r="FS578" i="5"/>
  <c r="FU578" i="5" s="1"/>
  <c r="IW578" i="5"/>
  <c r="IW495" i="5"/>
  <c r="IZ407" i="5"/>
  <c r="IR578" i="5"/>
  <c r="IQ495" i="5"/>
  <c r="IS407" i="5"/>
  <c r="IZ578" i="5"/>
  <c r="IY495" i="5"/>
  <c r="JA407" i="5"/>
  <c r="IQ578" i="5"/>
  <c r="IR495" i="5"/>
  <c r="IT407" i="5"/>
  <c r="IY578" i="5"/>
  <c r="IZ495" i="5"/>
  <c r="IQ407" i="5"/>
  <c r="IU407" i="5"/>
  <c r="IX495" i="5"/>
  <c r="IY407" i="5"/>
  <c r="IY530" i="5"/>
  <c r="IS550" i="5"/>
  <c r="FS608" i="5"/>
  <c r="IU530" i="5"/>
  <c r="IW530" i="5"/>
  <c r="IV608" i="5"/>
  <c r="IY623" i="5"/>
  <c r="IX550" i="5"/>
  <c r="FY610" i="5"/>
  <c r="IZ530" i="5"/>
  <c r="IY608" i="5"/>
  <c r="JA550" i="5"/>
  <c r="IX530" i="5"/>
  <c r="IR608" i="5"/>
  <c r="IQ550" i="5"/>
  <c r="IT550" i="5"/>
  <c r="FU469" i="5"/>
  <c r="IS530" i="5"/>
  <c r="JA608" i="5"/>
  <c r="IZ608" i="5"/>
  <c r="IR550" i="5"/>
  <c r="IV550" i="5"/>
  <c r="FS550" i="5"/>
  <c r="JA530" i="5"/>
  <c r="IX608" i="5"/>
  <c r="IT608" i="5"/>
  <c r="IU550" i="5"/>
  <c r="IW550" i="5"/>
  <c r="FS530" i="5"/>
  <c r="IQ530" i="5"/>
  <c r="IT530" i="5"/>
  <c r="IS608" i="5"/>
  <c r="IU608" i="5"/>
  <c r="IY550" i="5"/>
  <c r="IR530" i="5"/>
  <c r="IR623" i="5"/>
  <c r="IV623" i="5"/>
  <c r="IS623" i="5"/>
  <c r="FU550" i="5"/>
  <c r="IQ623" i="5"/>
  <c r="JA623" i="5"/>
  <c r="FS623" i="5"/>
  <c r="IU623" i="5"/>
  <c r="IT623" i="5"/>
  <c r="IW623" i="5"/>
  <c r="HO501" i="5"/>
  <c r="HO503" i="5" s="1"/>
  <c r="HO536" i="5"/>
  <c r="HO538" i="5" s="1"/>
  <c r="FA537" i="5"/>
  <c r="FA502" i="5"/>
  <c r="FA545" i="5"/>
  <c r="FA547" i="5"/>
  <c r="HP614" i="5"/>
  <c r="HP616" i="5" s="1"/>
  <c r="FA613" i="5"/>
  <c r="HP433" i="5"/>
  <c r="HP435" i="5" s="1"/>
  <c r="HO541" i="5"/>
  <c r="HO543" i="5" s="1"/>
  <c r="HO614" i="5"/>
  <c r="HO616" i="5" s="1"/>
  <c r="FA429" i="5"/>
  <c r="HP506" i="5"/>
  <c r="HP508" i="5" s="1"/>
  <c r="HO428" i="5"/>
  <c r="HO430" i="5" s="1"/>
  <c r="HP491" i="5"/>
  <c r="HP493" i="5" s="1"/>
  <c r="FU671" i="5"/>
  <c r="HP551" i="5"/>
  <c r="HP553" i="5" s="1"/>
  <c r="FU774" i="5"/>
  <c r="HP418" i="5"/>
  <c r="HP420" i="5" s="1"/>
  <c r="HO551" i="5"/>
  <c r="HO553" i="5" s="1"/>
  <c r="HP541" i="5"/>
  <c r="HP543" i="5" s="1"/>
  <c r="FA442" i="5"/>
  <c r="HO443" i="5"/>
  <c r="HO445" i="5" s="1"/>
  <c r="HP624" i="5"/>
  <c r="HP626" i="5" s="1"/>
  <c r="HP619" i="5"/>
  <c r="HP621" i="5" s="1"/>
  <c r="HP609" i="5"/>
  <c r="HP611" i="5" s="1"/>
  <c r="HP599" i="5"/>
  <c r="HP601" i="5" s="1"/>
  <c r="HP594" i="5"/>
  <c r="HP596" i="5" s="1"/>
  <c r="HP556" i="5"/>
  <c r="HP558" i="5" s="1"/>
  <c r="FA552" i="5"/>
  <c r="FA550" i="5"/>
  <c r="HP526" i="5"/>
  <c r="HP528" i="5" s="1"/>
  <c r="HP521" i="5"/>
  <c r="HP523" i="5" s="1"/>
  <c r="HP511" i="5"/>
  <c r="HP513" i="5" s="1"/>
  <c r="HP486" i="5"/>
  <c r="HP488" i="5" s="1"/>
  <c r="GK394" i="5"/>
  <c r="HM395" i="5" s="1"/>
  <c r="HM397" i="5" s="1"/>
  <c r="GK389" i="5"/>
  <c r="HM390" i="5" s="1"/>
  <c r="HM392" i="5" s="1"/>
  <c r="FB391" i="5"/>
  <c r="EY391" i="5" s="1"/>
  <c r="FB389" i="5"/>
  <c r="EY389" i="5" s="1"/>
  <c r="GK384" i="5"/>
  <c r="HM385" i="5" s="1"/>
  <c r="HM387" i="5" s="1"/>
  <c r="GK379" i="5"/>
  <c r="HM380" i="5" s="1"/>
  <c r="HM382" i="5" s="1"/>
  <c r="EX381" i="5"/>
  <c r="FB381" i="5"/>
  <c r="EY381" i="5" s="1"/>
  <c r="EX379" i="5"/>
  <c r="HV380" i="5"/>
  <c r="HV382" i="5" s="1"/>
  <c r="CR379" i="5"/>
  <c r="HR375" i="5"/>
  <c r="HR377" i="5" s="1"/>
  <c r="GK374" i="5"/>
  <c r="HM375" i="5" s="1"/>
  <c r="HM377" i="5" s="1"/>
  <c r="CR374" i="5"/>
  <c r="JA374" i="5" s="1"/>
  <c r="GK364" i="5"/>
  <c r="HM365" i="5" s="1"/>
  <c r="HM367" i="5" s="1"/>
  <c r="GK359" i="5"/>
  <c r="HM360" i="5" s="1"/>
  <c r="HM362" i="5" s="1"/>
  <c r="GK354" i="5"/>
  <c r="HM355" i="5" s="1"/>
  <c r="HM357" i="5" s="1"/>
  <c r="FB351" i="5"/>
  <c r="EY351" i="5" s="1"/>
  <c r="GK344" i="5"/>
  <c r="HM345" i="5" s="1"/>
  <c r="HM347" i="5" s="1"/>
  <c r="GK339" i="5"/>
  <c r="HM340" i="5" s="1"/>
  <c r="HM342" i="5" s="1"/>
  <c r="GK334" i="5"/>
  <c r="HM335" i="5" s="1"/>
  <c r="HM337" i="5" s="1"/>
  <c r="EX336" i="5"/>
  <c r="HP335" i="5" s="1"/>
  <c r="HP337" i="5" s="1"/>
  <c r="GK329" i="5"/>
  <c r="HM330" i="5" s="1"/>
  <c r="HM332" i="5" s="1"/>
  <c r="FB331" i="5"/>
  <c r="EY331" i="5" s="1"/>
  <c r="GK321" i="5"/>
  <c r="HM322" i="5" s="1"/>
  <c r="HM324" i="5" s="1"/>
  <c r="GK316" i="5"/>
  <c r="HM317" i="5" s="1"/>
  <c r="HM319" i="5" s="1"/>
  <c r="GK311" i="5"/>
  <c r="HM312" i="5" s="1"/>
  <c r="HM314" i="5" s="1"/>
  <c r="FB311" i="5"/>
  <c r="EY311" i="5" s="1"/>
  <c r="GK306" i="5"/>
  <c r="HM307" i="5" s="1"/>
  <c r="HM309" i="5" s="1"/>
  <c r="FB308" i="5"/>
  <c r="EY308" i="5" s="1"/>
  <c r="EX308" i="5"/>
  <c r="GK301" i="5"/>
  <c r="HM302" i="5" s="1"/>
  <c r="HM304" i="5" s="1"/>
  <c r="EX301" i="5"/>
  <c r="FA303" i="5" s="1"/>
  <c r="GK296" i="5"/>
  <c r="HM297" i="5" s="1"/>
  <c r="HM299" i="5" s="1"/>
  <c r="GK291" i="5"/>
  <c r="HM292" i="5" s="1"/>
  <c r="HM294" i="5" s="1"/>
  <c r="EX293" i="5"/>
  <c r="HP292" i="5" s="1"/>
  <c r="HP294" i="5" s="1"/>
  <c r="GK281" i="5"/>
  <c r="HM282" i="5" s="1"/>
  <c r="HM284" i="5" s="1"/>
  <c r="GK276" i="5"/>
  <c r="HM277" i="5" s="1"/>
  <c r="HM279" i="5" s="1"/>
  <c r="EX278" i="5"/>
  <c r="HP277" i="5" s="1"/>
  <c r="HP279" i="5" s="1"/>
  <c r="EX276" i="5"/>
  <c r="FA276" i="5" s="1"/>
  <c r="GK271" i="5"/>
  <c r="HM272" i="5" s="1"/>
  <c r="HM274" i="5" s="1"/>
  <c r="GK266" i="5"/>
  <c r="HM267" i="5" s="1"/>
  <c r="HM269" i="5" s="1"/>
  <c r="EX266" i="5"/>
  <c r="FA268" i="5" s="1"/>
  <c r="FB266" i="5"/>
  <c r="EY266" i="5" s="1"/>
  <c r="EX268" i="5"/>
  <c r="HP267" i="5" s="1"/>
  <c r="HP269" i="5" s="1"/>
  <c r="GK261" i="5"/>
  <c r="HM262" i="5" s="1"/>
  <c r="HM264" i="5" s="1"/>
  <c r="GK256" i="5"/>
  <c r="HM257" i="5" s="1"/>
  <c r="HM259" i="5" s="1"/>
  <c r="GK251" i="5"/>
  <c r="HM252" i="5" s="1"/>
  <c r="HM254" i="5" s="1"/>
  <c r="GK243" i="5"/>
  <c r="HM244" i="5" s="1"/>
  <c r="HM246" i="5" s="1"/>
  <c r="GK238" i="5"/>
  <c r="HM239" i="5" s="1"/>
  <c r="HM241" i="5" s="1"/>
  <c r="EX238" i="5"/>
  <c r="FA240" i="5" s="1"/>
  <c r="FB240" i="5"/>
  <c r="EY240" i="5" s="1"/>
  <c r="GK233" i="5"/>
  <c r="HM234" i="5" s="1"/>
  <c r="HM236" i="5" s="1"/>
  <c r="EX233" i="5"/>
  <c r="FA235" i="5" s="1"/>
  <c r="FB230" i="5"/>
  <c r="EY230" i="5" s="1"/>
  <c r="EX228" i="5"/>
  <c r="FA228" i="5" s="1"/>
  <c r="EX225" i="5"/>
  <c r="FB225" i="5"/>
  <c r="EY225" i="5" s="1"/>
  <c r="EX223" i="5"/>
  <c r="FA225" i="5" s="1"/>
  <c r="GK218" i="5"/>
  <c r="HM219" i="5" s="1"/>
  <c r="HM221" i="5" s="1"/>
  <c r="GK213" i="5"/>
  <c r="HM214" i="5" s="1"/>
  <c r="HM216" i="5" s="1"/>
  <c r="GK208" i="5"/>
  <c r="HM209" i="5" s="1"/>
  <c r="HM211" i="5" s="1"/>
  <c r="GK203" i="5"/>
  <c r="HM204" i="5" s="1"/>
  <c r="HM206" i="5" s="1"/>
  <c r="FB205" i="5"/>
  <c r="EY205" i="5" s="1"/>
  <c r="HP204" i="5" s="1"/>
  <c r="HP206" i="5" s="1"/>
  <c r="GK198" i="5"/>
  <c r="HM199" i="5" s="1"/>
  <c r="HM201" i="5" s="1"/>
  <c r="GK193" i="5"/>
  <c r="HM194" i="5" s="1"/>
  <c r="HM196" i="5" s="1"/>
  <c r="GK188" i="5"/>
  <c r="HM189" i="5" s="1"/>
  <c r="HM191" i="5" s="1"/>
  <c r="GK183" i="5"/>
  <c r="HM184" i="5" s="1"/>
  <c r="HM186" i="5" s="1"/>
  <c r="EX183" i="5"/>
  <c r="FA185" i="5" s="1"/>
  <c r="GK178" i="5"/>
  <c r="HM179" i="5" s="1"/>
  <c r="HM181" i="5" s="1"/>
  <c r="GK173" i="5"/>
  <c r="HM174" i="5" s="1"/>
  <c r="HM176" i="5" s="1"/>
  <c r="JA578" i="5"/>
  <c r="IU578" i="5"/>
  <c r="IV578" i="5"/>
  <c r="IS578" i="5"/>
  <c r="FU492" i="5"/>
  <c r="IW452" i="5"/>
  <c r="IZ452" i="5"/>
  <c r="IV452" i="5"/>
  <c r="IS452" i="5"/>
  <c r="IT452" i="5"/>
  <c r="IU452" i="5"/>
  <c r="IQ452" i="5"/>
  <c r="IZ422" i="5"/>
  <c r="IV422" i="5"/>
  <c r="IQ422" i="5"/>
  <c r="IW422" i="5"/>
  <c r="IR422" i="5"/>
  <c r="FS422" i="5"/>
  <c r="FU422" i="5" s="1"/>
  <c r="IS422" i="5"/>
  <c r="IX422" i="5"/>
  <c r="JA422" i="5"/>
  <c r="GK399" i="5"/>
  <c r="HM400" i="5" s="1"/>
  <c r="HM402" i="5" s="1"/>
  <c r="CR381" i="5"/>
  <c r="IX381" i="5" s="1"/>
  <c r="GO379" i="5"/>
  <c r="FL374" i="5"/>
  <c r="FM374" i="5" s="1"/>
  <c r="FT374" i="5" s="1"/>
  <c r="CR376" i="5"/>
  <c r="JC376" i="5" s="1"/>
  <c r="JV374" i="5" s="1"/>
  <c r="GK369" i="5"/>
  <c r="HM370" i="5" s="1"/>
  <c r="HM372" i="5" s="1"/>
  <c r="GO364" i="5"/>
  <c r="GO359" i="5"/>
  <c r="GO354" i="5"/>
  <c r="FL351" i="5"/>
  <c r="FM351" i="5" s="1"/>
  <c r="FT351" i="5" s="1"/>
  <c r="GO344" i="5"/>
  <c r="GO339" i="5"/>
  <c r="GO334" i="5"/>
  <c r="FE298" i="5"/>
  <c r="JG298" i="5" s="1"/>
  <c r="JX296" i="5" s="1"/>
  <c r="FL261" i="5"/>
  <c r="FM261" i="5" s="1"/>
  <c r="HW262" i="5"/>
  <c r="HW264" i="5" s="1"/>
  <c r="GK228" i="5"/>
  <c r="HM229" i="5" s="1"/>
  <c r="HM231" i="5" s="1"/>
  <c r="GO228" i="5"/>
  <c r="GO193" i="5"/>
  <c r="GO183" i="5"/>
  <c r="FL180" i="5"/>
  <c r="FM180" i="5" s="1"/>
  <c r="FT180" i="5" s="1"/>
  <c r="FU180" i="5" s="1"/>
  <c r="FL369" i="5"/>
  <c r="FM369" i="5" s="1"/>
  <c r="FT369" i="5" s="1"/>
  <c r="HR390" i="5"/>
  <c r="HR392" i="5" s="1"/>
  <c r="CR213" i="5"/>
  <c r="IS213" i="5" s="1"/>
  <c r="FS376" i="5"/>
  <c r="FE381" i="5"/>
  <c r="JG381" i="5" s="1"/>
  <c r="JX379" i="5" s="1"/>
  <c r="HP463" i="5"/>
  <c r="HP465" i="5" s="1"/>
  <c r="HP438" i="5"/>
  <c r="HP440" i="5" s="1"/>
  <c r="HR214" i="5"/>
  <c r="HR216" i="5" s="1"/>
  <c r="FE263" i="5"/>
  <c r="JG263" i="5" s="1"/>
  <c r="JX261" i="5" s="1"/>
  <c r="CR316" i="5"/>
  <c r="IR316" i="5" s="1"/>
  <c r="HW340" i="5"/>
  <c r="HW342" i="5" s="1"/>
  <c r="CR364" i="5"/>
  <c r="FS364" i="5" s="1"/>
  <c r="CR394" i="5"/>
  <c r="IZ394" i="5" s="1"/>
  <c r="HP453" i="5"/>
  <c r="HP455" i="5" s="1"/>
  <c r="HP448" i="5"/>
  <c r="HP450" i="5" s="1"/>
  <c r="FM502" i="5"/>
  <c r="FT502" i="5" s="1"/>
  <c r="FU502" i="5" s="1"/>
  <c r="FL366" i="5"/>
  <c r="FM366" i="5" s="1"/>
  <c r="FT366" i="5" s="1"/>
  <c r="FL371" i="5"/>
  <c r="FE396" i="5"/>
  <c r="JG396" i="5" s="1"/>
  <c r="JX394" i="5" s="1"/>
  <c r="HR174" i="5"/>
  <c r="HR176" i="5" s="1"/>
  <c r="CR276" i="5"/>
  <c r="IY276" i="5" s="1"/>
  <c r="CR291" i="5"/>
  <c r="IR291" i="5" s="1"/>
  <c r="FM376" i="5"/>
  <c r="FT376" i="5" s="1"/>
  <c r="HP478" i="5"/>
  <c r="HP480" i="5" s="1"/>
  <c r="FU452" i="5"/>
  <c r="HP443" i="5"/>
  <c r="HP445" i="5" s="1"/>
  <c r="HP496" i="5"/>
  <c r="HP498" i="5" s="1"/>
  <c r="HP634" i="5"/>
  <c r="HP636" i="5" s="1"/>
  <c r="HP604" i="5"/>
  <c r="HP606" i="5" s="1"/>
  <c r="HP672" i="5"/>
  <c r="HP674" i="5" s="1"/>
  <c r="CR215" i="5"/>
  <c r="FY215" i="5" s="1"/>
  <c r="FE278" i="5"/>
  <c r="JG278" i="5" s="1"/>
  <c r="JX276" i="5" s="1"/>
  <c r="HV292" i="5"/>
  <c r="HV294" i="5" s="1"/>
  <c r="FL364" i="5"/>
  <c r="FM364" i="5" s="1"/>
  <c r="FT364" i="5" s="1"/>
  <c r="HV370" i="5"/>
  <c r="HV372" i="5" s="1"/>
  <c r="FL394" i="5"/>
  <c r="FM394" i="5" s="1"/>
  <c r="FT394" i="5" s="1"/>
  <c r="HW395" i="5"/>
  <c r="HW397" i="5" s="1"/>
  <c r="IZ251" i="5"/>
  <c r="IR251" i="5"/>
  <c r="IY251" i="5"/>
  <c r="IQ251" i="5"/>
  <c r="IX251" i="5"/>
  <c r="IW251" i="5"/>
  <c r="IV251" i="5"/>
  <c r="IU251" i="5"/>
  <c r="JA251" i="5"/>
  <c r="IS251" i="5"/>
  <c r="IT251" i="5"/>
  <c r="IZ401" i="5"/>
  <c r="IR401" i="5"/>
  <c r="IY401" i="5"/>
  <c r="IQ401" i="5"/>
  <c r="IX401" i="5"/>
  <c r="IW401" i="5"/>
  <c r="IV401" i="5"/>
  <c r="IU401" i="5"/>
  <c r="JA401" i="5"/>
  <c r="IS401" i="5"/>
  <c r="IT401" i="5"/>
  <c r="FY401" i="5"/>
  <c r="IV308" i="5"/>
  <c r="IU308" i="5"/>
  <c r="IT308" i="5"/>
  <c r="JA308" i="5"/>
  <c r="IS308" i="5"/>
  <c r="IZ308" i="5"/>
  <c r="IW308" i="5"/>
  <c r="IY308" i="5"/>
  <c r="IX308" i="5"/>
  <c r="IR308" i="5"/>
  <c r="IQ308" i="5"/>
  <c r="IX183" i="5"/>
  <c r="IW183" i="5"/>
  <c r="IV183" i="5"/>
  <c r="IU183" i="5"/>
  <c r="IT183" i="5"/>
  <c r="JA183" i="5"/>
  <c r="IS183" i="5"/>
  <c r="IY183" i="5"/>
  <c r="IQ183" i="5"/>
  <c r="IZ183" i="5"/>
  <c r="IR183" i="5"/>
  <c r="IW210" i="5"/>
  <c r="IV210" i="5"/>
  <c r="IU210" i="5"/>
  <c r="IT210" i="5"/>
  <c r="JA210" i="5"/>
  <c r="IS210" i="5"/>
  <c r="IZ210" i="5"/>
  <c r="IR210" i="5"/>
  <c r="IX210" i="5"/>
  <c r="IY210" i="5"/>
  <c r="IQ210" i="5"/>
  <c r="JC210" i="5"/>
  <c r="JV208" i="5" s="1"/>
  <c r="IZ570" i="5"/>
  <c r="IR570" i="5"/>
  <c r="IY570" i="5"/>
  <c r="IQ570" i="5"/>
  <c r="IW570" i="5"/>
  <c r="IV570" i="5"/>
  <c r="JA570" i="5"/>
  <c r="IS570" i="5"/>
  <c r="IX570" i="5"/>
  <c r="IT570" i="5"/>
  <c r="IU570" i="5"/>
  <c r="FL173" i="5"/>
  <c r="FM173" i="5" s="1"/>
  <c r="FL178" i="5"/>
  <c r="FM178" i="5" s="1"/>
  <c r="FT178" i="5" s="1"/>
  <c r="HW179" i="5"/>
  <c r="HW181" i="5" s="1"/>
  <c r="FS235" i="5"/>
  <c r="FS273" i="5"/>
  <c r="FE283" i="5"/>
  <c r="JG283" i="5" s="1"/>
  <c r="JX281" i="5" s="1"/>
  <c r="CR311" i="5"/>
  <c r="FE361" i="5"/>
  <c r="JG361" i="5" s="1"/>
  <c r="IY381" i="5"/>
  <c r="IQ381" i="5"/>
  <c r="JA417" i="5"/>
  <c r="IS417" i="5"/>
  <c r="IZ417" i="5"/>
  <c r="IR417" i="5"/>
  <c r="IY417" i="5"/>
  <c r="IQ417" i="5"/>
  <c r="IX417" i="5"/>
  <c r="IW417" i="5"/>
  <c r="IV417" i="5"/>
  <c r="IT417" i="5"/>
  <c r="IU417" i="5"/>
  <c r="IZ547" i="5"/>
  <c r="IR547" i="5"/>
  <c r="IY547" i="5"/>
  <c r="IQ547" i="5"/>
  <c r="IW547" i="5"/>
  <c r="IV547" i="5"/>
  <c r="JA547" i="5"/>
  <c r="IS547" i="5"/>
  <c r="IT547" i="5"/>
  <c r="IU547" i="5"/>
  <c r="IX547" i="5"/>
  <c r="JA540" i="5"/>
  <c r="IS540" i="5"/>
  <c r="IZ540" i="5"/>
  <c r="IR540" i="5"/>
  <c r="IX540" i="5"/>
  <c r="IW540" i="5"/>
  <c r="IT540" i="5"/>
  <c r="IY540" i="5"/>
  <c r="IV540" i="5"/>
  <c r="IU540" i="5"/>
  <c r="IQ540" i="5"/>
  <c r="IY517" i="5"/>
  <c r="IQ517" i="5"/>
  <c r="IX517" i="5"/>
  <c r="IW517" i="5"/>
  <c r="IV517" i="5"/>
  <c r="IU517" i="5"/>
  <c r="IT517" i="5"/>
  <c r="IZ517" i="5"/>
  <c r="IR517" i="5"/>
  <c r="JA517" i="5"/>
  <c r="IS517" i="5"/>
  <c r="IY618" i="5"/>
  <c r="IQ618" i="5"/>
  <c r="IX618" i="5"/>
  <c r="IV618" i="5"/>
  <c r="IU618" i="5"/>
  <c r="IZ618" i="5"/>
  <c r="IR618" i="5"/>
  <c r="IT618" i="5"/>
  <c r="IS618" i="5"/>
  <c r="IW618" i="5"/>
  <c r="JA618" i="5"/>
  <c r="IV600" i="5"/>
  <c r="IU600" i="5"/>
  <c r="JA600" i="5"/>
  <c r="IS600" i="5"/>
  <c r="IZ600" i="5"/>
  <c r="IR600" i="5"/>
  <c r="IW600" i="5"/>
  <c r="IY600" i="5"/>
  <c r="IX600" i="5"/>
  <c r="IT600" i="5"/>
  <c r="IQ600" i="5"/>
  <c r="IT575" i="5"/>
  <c r="JA575" i="5"/>
  <c r="IS575" i="5"/>
  <c r="IY575" i="5"/>
  <c r="IQ575" i="5"/>
  <c r="IX575" i="5"/>
  <c r="IU575" i="5"/>
  <c r="IZ575" i="5"/>
  <c r="IW575" i="5"/>
  <c r="IR575" i="5"/>
  <c r="IV575" i="5"/>
  <c r="IT472" i="5"/>
  <c r="JA472" i="5"/>
  <c r="IS472" i="5"/>
  <c r="IZ472" i="5"/>
  <c r="IR472" i="5"/>
  <c r="IY472" i="5"/>
  <c r="IQ472" i="5"/>
  <c r="IU472" i="5"/>
  <c r="IX472" i="5"/>
  <c r="IW472" i="5"/>
  <c r="IV472" i="5"/>
  <c r="IV580" i="5"/>
  <c r="IU580" i="5"/>
  <c r="JA580" i="5"/>
  <c r="IS580" i="5"/>
  <c r="IZ580" i="5"/>
  <c r="IR580" i="5"/>
  <c r="IW580" i="5"/>
  <c r="IY580" i="5"/>
  <c r="IX580" i="5"/>
  <c r="IQ580" i="5"/>
  <c r="IT580" i="5"/>
  <c r="FY580" i="5"/>
  <c r="JA432" i="5"/>
  <c r="IS432" i="5"/>
  <c r="IZ432" i="5"/>
  <c r="IR432" i="5"/>
  <c r="IY432" i="5"/>
  <c r="IQ432" i="5"/>
  <c r="IT432" i="5"/>
  <c r="IX432" i="5"/>
  <c r="IW432" i="5"/>
  <c r="IU432" i="5"/>
  <c r="IV432" i="5"/>
  <c r="IW469" i="5"/>
  <c r="IV469" i="5"/>
  <c r="IU469" i="5"/>
  <c r="IT469" i="5"/>
  <c r="IX469" i="5"/>
  <c r="IY469" i="5"/>
  <c r="IS469" i="5"/>
  <c r="IR469" i="5"/>
  <c r="IQ469" i="5"/>
  <c r="IZ469" i="5"/>
  <c r="JA469" i="5"/>
  <c r="JC469" i="5"/>
  <c r="IT464" i="5"/>
  <c r="JA464" i="5"/>
  <c r="IS464" i="5"/>
  <c r="IZ464" i="5"/>
  <c r="IR464" i="5"/>
  <c r="IV464" i="5"/>
  <c r="IY464" i="5"/>
  <c r="IX464" i="5"/>
  <c r="IW464" i="5"/>
  <c r="IU464" i="5"/>
  <c r="IQ464" i="5"/>
  <c r="IV414" i="5"/>
  <c r="IU414" i="5"/>
  <c r="IT414" i="5"/>
  <c r="JA414" i="5"/>
  <c r="IS414" i="5"/>
  <c r="IZ414" i="5"/>
  <c r="IR414" i="5"/>
  <c r="IY414" i="5"/>
  <c r="IQ414" i="5"/>
  <c r="IW414" i="5"/>
  <c r="IX414" i="5"/>
  <c r="FL208" i="5"/>
  <c r="FM208" i="5" s="1"/>
  <c r="FT208" i="5" s="1"/>
  <c r="FE253" i="5"/>
  <c r="JG253" i="5" s="1"/>
  <c r="CR273" i="5"/>
  <c r="FY273" i="5" s="1"/>
  <c r="CR278" i="5"/>
  <c r="JA283" i="5"/>
  <c r="IS283" i="5"/>
  <c r="IZ283" i="5"/>
  <c r="IR283" i="5"/>
  <c r="IY283" i="5"/>
  <c r="IQ283" i="5"/>
  <c r="IX283" i="5"/>
  <c r="IW283" i="5"/>
  <c r="IV283" i="5"/>
  <c r="IT283" i="5"/>
  <c r="IU283" i="5"/>
  <c r="FL283" i="5"/>
  <c r="FM283" i="5" s="1"/>
  <c r="FT283" i="5" s="1"/>
  <c r="IU316" i="5"/>
  <c r="JA316" i="5"/>
  <c r="IS316" i="5"/>
  <c r="IY316" i="5"/>
  <c r="IQ316" i="5"/>
  <c r="IV316" i="5"/>
  <c r="IW316" i="5"/>
  <c r="FE318" i="5"/>
  <c r="JG318" i="5" s="1"/>
  <c r="FL354" i="5"/>
  <c r="FM354" i="5" s="1"/>
  <c r="FT354" i="5" s="1"/>
  <c r="FE356" i="5"/>
  <c r="JG356" i="5" s="1"/>
  <c r="JX354" i="5" s="1"/>
  <c r="HW375" i="5"/>
  <c r="HW377" i="5" s="1"/>
  <c r="IW462" i="5"/>
  <c r="IV462" i="5"/>
  <c r="IU462" i="5"/>
  <c r="IY462" i="5"/>
  <c r="IQ462" i="5"/>
  <c r="IX462" i="5"/>
  <c r="IT462" i="5"/>
  <c r="IS462" i="5"/>
  <c r="IR462" i="5"/>
  <c r="IZ462" i="5"/>
  <c r="JA462" i="5"/>
  <c r="IT444" i="5"/>
  <c r="JA444" i="5"/>
  <c r="IS444" i="5"/>
  <c r="IZ444" i="5"/>
  <c r="IR444" i="5"/>
  <c r="IY444" i="5"/>
  <c r="IX444" i="5"/>
  <c r="IW444" i="5"/>
  <c r="IV444" i="5"/>
  <c r="IU444" i="5"/>
  <c r="IQ444" i="5"/>
  <c r="IZ439" i="5"/>
  <c r="IR439" i="5"/>
  <c r="IY439" i="5"/>
  <c r="IQ439" i="5"/>
  <c r="IX439" i="5"/>
  <c r="IW439" i="5"/>
  <c r="IV439" i="5"/>
  <c r="IU439" i="5"/>
  <c r="IT439" i="5"/>
  <c r="IS439" i="5"/>
  <c r="JA439" i="5"/>
  <c r="IZ527" i="5"/>
  <c r="IR527" i="5"/>
  <c r="IY527" i="5"/>
  <c r="IQ527" i="5"/>
  <c r="IW527" i="5"/>
  <c r="IV527" i="5"/>
  <c r="JA527" i="5"/>
  <c r="IS527" i="5"/>
  <c r="IU527" i="5"/>
  <c r="IT527" i="5"/>
  <c r="IX527" i="5"/>
  <c r="IZ633" i="5"/>
  <c r="IX633" i="5"/>
  <c r="IW633" i="5"/>
  <c r="IU633" i="5"/>
  <c r="JA633" i="5"/>
  <c r="IS633" i="5"/>
  <c r="IV633" i="5"/>
  <c r="IT633" i="5"/>
  <c r="IR633" i="5"/>
  <c r="IQ633" i="5"/>
  <c r="IY633" i="5"/>
  <c r="IT615" i="5"/>
  <c r="JA615" i="5"/>
  <c r="IS615" i="5"/>
  <c r="IY615" i="5"/>
  <c r="IQ615" i="5"/>
  <c r="IX615" i="5"/>
  <c r="IU615" i="5"/>
  <c r="IZ615" i="5"/>
  <c r="IW615" i="5"/>
  <c r="IV615" i="5"/>
  <c r="IR615" i="5"/>
  <c r="IW573" i="5"/>
  <c r="IV573" i="5"/>
  <c r="IT573" i="5"/>
  <c r="JA573" i="5"/>
  <c r="IS573" i="5"/>
  <c r="IX573" i="5"/>
  <c r="IZ573" i="5"/>
  <c r="IY573" i="5"/>
  <c r="IU573" i="5"/>
  <c r="IR573" i="5"/>
  <c r="IQ573" i="5"/>
  <c r="IZ419" i="5"/>
  <c r="IX419" i="5"/>
  <c r="IW419" i="5"/>
  <c r="IV419" i="5"/>
  <c r="IU419" i="5"/>
  <c r="IT419" i="5"/>
  <c r="IS419" i="5"/>
  <c r="IY419" i="5"/>
  <c r="IQ419" i="5"/>
  <c r="JA419" i="5"/>
  <c r="IR419" i="5"/>
  <c r="JA583" i="5"/>
  <c r="IS583" i="5"/>
  <c r="IZ583" i="5"/>
  <c r="IR583" i="5"/>
  <c r="IX583" i="5"/>
  <c r="IW583" i="5"/>
  <c r="IT583" i="5"/>
  <c r="IY583" i="5"/>
  <c r="IV583" i="5"/>
  <c r="IU583" i="5"/>
  <c r="IQ583" i="5"/>
  <c r="IY467" i="5"/>
  <c r="IQ467" i="5"/>
  <c r="IX467" i="5"/>
  <c r="IW467" i="5"/>
  <c r="JA467" i="5"/>
  <c r="IS467" i="5"/>
  <c r="IR467" i="5"/>
  <c r="IZ467" i="5"/>
  <c r="IV467" i="5"/>
  <c r="IT467" i="5"/>
  <c r="IU467" i="5"/>
  <c r="FL215" i="5"/>
  <c r="FL251" i="5"/>
  <c r="FM251" i="5" s="1"/>
  <c r="FT251" i="5" s="1"/>
  <c r="JA263" i="5"/>
  <c r="IS263" i="5"/>
  <c r="IZ263" i="5"/>
  <c r="IR263" i="5"/>
  <c r="IY263" i="5"/>
  <c r="IQ263" i="5"/>
  <c r="IX263" i="5"/>
  <c r="IW263" i="5"/>
  <c r="IV263" i="5"/>
  <c r="IT263" i="5"/>
  <c r="IU263" i="5"/>
  <c r="FS268" i="5"/>
  <c r="CR271" i="5"/>
  <c r="FS271" i="5" s="1"/>
  <c r="CR281" i="5"/>
  <c r="HW282" i="5"/>
  <c r="HW284" i="5" s="1"/>
  <c r="CR339" i="5"/>
  <c r="HV355" i="5"/>
  <c r="HV357" i="5" s="1"/>
  <c r="HW360" i="5"/>
  <c r="HW362" i="5" s="1"/>
  <c r="IY447" i="5"/>
  <c r="IQ447" i="5"/>
  <c r="IX447" i="5"/>
  <c r="IW447" i="5"/>
  <c r="IR447" i="5"/>
  <c r="JA447" i="5"/>
  <c r="IZ447" i="5"/>
  <c r="IV447" i="5"/>
  <c r="IU447" i="5"/>
  <c r="IS447" i="5"/>
  <c r="IT447" i="5"/>
  <c r="IY412" i="5"/>
  <c r="IQ412" i="5"/>
  <c r="IX412" i="5"/>
  <c r="IW412" i="5"/>
  <c r="IV412" i="5"/>
  <c r="IU412" i="5"/>
  <c r="IT412" i="5"/>
  <c r="IZ412" i="5"/>
  <c r="IR412" i="5"/>
  <c r="IS412" i="5"/>
  <c r="JA412" i="5"/>
  <c r="IV429" i="5"/>
  <c r="IU429" i="5"/>
  <c r="IT429" i="5"/>
  <c r="IQ429" i="5"/>
  <c r="JA429" i="5"/>
  <c r="IZ429" i="5"/>
  <c r="IY429" i="5"/>
  <c r="IX429" i="5"/>
  <c r="IW429" i="5"/>
  <c r="IR429" i="5"/>
  <c r="IS429" i="5"/>
  <c r="IY555" i="5"/>
  <c r="IQ555" i="5"/>
  <c r="IX555" i="5"/>
  <c r="IV555" i="5"/>
  <c r="IU555" i="5"/>
  <c r="IZ555" i="5"/>
  <c r="IR555" i="5"/>
  <c r="JA555" i="5"/>
  <c r="IW555" i="5"/>
  <c r="IT555" i="5"/>
  <c r="IS555" i="5"/>
  <c r="IX505" i="5"/>
  <c r="IW505" i="5"/>
  <c r="IV505" i="5"/>
  <c r="IU505" i="5"/>
  <c r="JA505" i="5"/>
  <c r="IS505" i="5"/>
  <c r="IY505" i="5"/>
  <c r="IQ505" i="5"/>
  <c r="IZ505" i="5"/>
  <c r="IT505" i="5"/>
  <c r="IR505" i="5"/>
  <c r="IU628" i="5"/>
  <c r="IT628" i="5"/>
  <c r="IZ628" i="5"/>
  <c r="IR628" i="5"/>
  <c r="IY628" i="5"/>
  <c r="IQ628" i="5"/>
  <c r="IV628" i="5"/>
  <c r="IS628" i="5"/>
  <c r="JA628" i="5"/>
  <c r="IW628" i="5"/>
  <c r="IX628" i="5"/>
  <c r="IX605" i="5"/>
  <c r="IW605" i="5"/>
  <c r="IU605" i="5"/>
  <c r="IT605" i="5"/>
  <c r="IY605" i="5"/>
  <c r="IQ605" i="5"/>
  <c r="JA605" i="5"/>
  <c r="IZ605" i="5"/>
  <c r="IV605" i="5"/>
  <c r="IS605" i="5"/>
  <c r="IR605" i="5"/>
  <c r="IT552" i="5"/>
  <c r="JA552" i="5"/>
  <c r="IS552" i="5"/>
  <c r="IY552" i="5"/>
  <c r="IQ552" i="5"/>
  <c r="IX552" i="5"/>
  <c r="IU552" i="5"/>
  <c r="IR552" i="5"/>
  <c r="IZ552" i="5"/>
  <c r="IV552" i="5"/>
  <c r="IW552" i="5"/>
  <c r="FY552" i="5"/>
  <c r="JA213" i="5"/>
  <c r="IU213" i="5"/>
  <c r="FS245" i="5"/>
  <c r="IX485" i="5"/>
  <c r="IW485" i="5"/>
  <c r="IV485" i="5"/>
  <c r="IU485" i="5"/>
  <c r="IY485" i="5"/>
  <c r="IQ485" i="5"/>
  <c r="JA485" i="5"/>
  <c r="IZ485" i="5"/>
  <c r="IT485" i="5"/>
  <c r="IS485" i="5"/>
  <c r="IR485" i="5"/>
  <c r="CR180" i="5"/>
  <c r="FY180" i="5" s="1"/>
  <c r="FL200" i="5"/>
  <c r="FS213" i="5"/>
  <c r="HV252" i="5"/>
  <c r="HV254" i="5" s="1"/>
  <c r="CR261" i="5"/>
  <c r="FS261" i="5" s="1"/>
  <c r="IT323" i="5"/>
  <c r="JA323" i="5"/>
  <c r="IS323" i="5"/>
  <c r="IZ323" i="5"/>
  <c r="IR323" i="5"/>
  <c r="IY323" i="5"/>
  <c r="IQ323" i="5"/>
  <c r="IX323" i="5"/>
  <c r="IU323" i="5"/>
  <c r="IW323" i="5"/>
  <c r="IV323" i="5"/>
  <c r="CR359" i="5"/>
  <c r="FS359" i="5" s="1"/>
  <c r="CR366" i="5"/>
  <c r="CR369" i="5"/>
  <c r="FL399" i="5"/>
  <c r="IX454" i="5"/>
  <c r="IW454" i="5"/>
  <c r="IV454" i="5"/>
  <c r="IZ454" i="5"/>
  <c r="IR454" i="5"/>
  <c r="IY454" i="5"/>
  <c r="IU454" i="5"/>
  <c r="IT454" i="5"/>
  <c r="IS454" i="5"/>
  <c r="IQ454" i="5"/>
  <c r="JA454" i="5"/>
  <c r="IW442" i="5"/>
  <c r="IV442" i="5"/>
  <c r="IU442" i="5"/>
  <c r="IZ442" i="5"/>
  <c r="IY442" i="5"/>
  <c r="IX442" i="5"/>
  <c r="IT442" i="5"/>
  <c r="IS442" i="5"/>
  <c r="IR442" i="5"/>
  <c r="JA442" i="5"/>
  <c r="IQ442" i="5"/>
  <c r="IT409" i="5"/>
  <c r="JA409" i="5"/>
  <c r="IS409" i="5"/>
  <c r="IZ409" i="5"/>
  <c r="IR409" i="5"/>
  <c r="IY409" i="5"/>
  <c r="IQ409" i="5"/>
  <c r="IX409" i="5"/>
  <c r="IW409" i="5"/>
  <c r="IU409" i="5"/>
  <c r="IV409" i="5"/>
  <c r="JA502" i="5"/>
  <c r="IS502" i="5"/>
  <c r="IZ502" i="5"/>
  <c r="IR502" i="5"/>
  <c r="IY502" i="5"/>
  <c r="IQ502" i="5"/>
  <c r="IX502" i="5"/>
  <c r="IV502" i="5"/>
  <c r="IT502" i="5"/>
  <c r="IU502" i="5"/>
  <c r="IW502" i="5"/>
  <c r="IT515" i="5"/>
  <c r="JA515" i="5"/>
  <c r="IS515" i="5"/>
  <c r="IZ515" i="5"/>
  <c r="IR515" i="5"/>
  <c r="IY515" i="5"/>
  <c r="IQ515" i="5"/>
  <c r="IX515" i="5"/>
  <c r="IW515" i="5"/>
  <c r="IU515" i="5"/>
  <c r="IV515" i="5"/>
  <c r="IY497" i="5"/>
  <c r="IQ497" i="5"/>
  <c r="IX497" i="5"/>
  <c r="IW497" i="5"/>
  <c r="IV497" i="5"/>
  <c r="IT497" i="5"/>
  <c r="IZ497" i="5"/>
  <c r="IR497" i="5"/>
  <c r="JA497" i="5"/>
  <c r="IU497" i="5"/>
  <c r="IS497" i="5"/>
  <c r="IU507" i="5"/>
  <c r="IT507" i="5"/>
  <c r="JA507" i="5"/>
  <c r="IS507" i="5"/>
  <c r="IZ507" i="5"/>
  <c r="IR507" i="5"/>
  <c r="IX507" i="5"/>
  <c r="IV507" i="5"/>
  <c r="IY507" i="5"/>
  <c r="IW507" i="5"/>
  <c r="IQ507" i="5"/>
  <c r="IW613" i="5"/>
  <c r="IV613" i="5"/>
  <c r="IT613" i="5"/>
  <c r="JA613" i="5"/>
  <c r="IS613" i="5"/>
  <c r="IX613" i="5"/>
  <c r="IU613" i="5"/>
  <c r="IR613" i="5"/>
  <c r="IQ613" i="5"/>
  <c r="IY613" i="5"/>
  <c r="IZ613" i="5"/>
  <c r="IU437" i="5"/>
  <c r="IT437" i="5"/>
  <c r="JA437" i="5"/>
  <c r="IS437" i="5"/>
  <c r="IW437" i="5"/>
  <c r="IV437" i="5"/>
  <c r="IR437" i="5"/>
  <c r="IQ437" i="5"/>
  <c r="IZ437" i="5"/>
  <c r="IX437" i="5"/>
  <c r="IY437" i="5"/>
  <c r="JX583" i="5"/>
  <c r="JX628" i="5"/>
  <c r="IZ610" i="5"/>
  <c r="IR610" i="5"/>
  <c r="IY610" i="5"/>
  <c r="IQ610" i="5"/>
  <c r="IW610" i="5"/>
  <c r="IV610" i="5"/>
  <c r="JA610" i="5"/>
  <c r="IS610" i="5"/>
  <c r="IX610" i="5"/>
  <c r="IU610" i="5"/>
  <c r="IT610" i="5"/>
  <c r="IU379" i="5"/>
  <c r="IT379" i="5"/>
  <c r="JA379" i="5"/>
  <c r="IS379" i="5"/>
  <c r="IZ379" i="5"/>
  <c r="IR379" i="5"/>
  <c r="IY379" i="5"/>
  <c r="IQ379" i="5"/>
  <c r="IX379" i="5"/>
  <c r="IV379" i="5"/>
  <c r="IW379" i="5"/>
  <c r="IY175" i="5"/>
  <c r="IX175" i="5"/>
  <c r="IW175" i="5"/>
  <c r="IV175" i="5"/>
  <c r="IZ175" i="5"/>
  <c r="IR175" i="5"/>
  <c r="IQ175" i="5"/>
  <c r="JA175" i="5"/>
  <c r="IU175" i="5"/>
  <c r="IT175" i="5"/>
  <c r="IS175" i="5"/>
  <c r="CR178" i="5"/>
  <c r="CR188" i="5"/>
  <c r="FS253" i="5"/>
  <c r="FY283" i="5"/>
  <c r="JC293" i="5"/>
  <c r="JV291" i="5" s="1"/>
  <c r="IW293" i="5"/>
  <c r="IV293" i="5"/>
  <c r="IU293" i="5"/>
  <c r="IT293" i="5"/>
  <c r="JA293" i="5"/>
  <c r="IS293" i="5"/>
  <c r="IZ293" i="5"/>
  <c r="IR293" i="5"/>
  <c r="IX293" i="5"/>
  <c r="IY293" i="5"/>
  <c r="IQ293" i="5"/>
  <c r="HW317" i="5"/>
  <c r="HW319" i="5" s="1"/>
  <c r="IX374" i="5"/>
  <c r="IW374" i="5"/>
  <c r="IX376" i="5"/>
  <c r="IW376" i="5"/>
  <c r="IV376" i="5"/>
  <c r="IU376" i="5"/>
  <c r="IT376" i="5"/>
  <c r="JA376" i="5"/>
  <c r="IS376" i="5"/>
  <c r="IY376" i="5"/>
  <c r="IQ376" i="5"/>
  <c r="IZ376" i="5"/>
  <c r="IR376" i="5"/>
  <c r="JA394" i="5"/>
  <c r="IS394" i="5"/>
  <c r="IV394" i="5"/>
  <c r="IT394" i="5"/>
  <c r="IU457" i="5"/>
  <c r="IT457" i="5"/>
  <c r="JA457" i="5"/>
  <c r="IS457" i="5"/>
  <c r="IW457" i="5"/>
  <c r="IZ457" i="5"/>
  <c r="IY457" i="5"/>
  <c r="IX457" i="5"/>
  <c r="IV457" i="5"/>
  <c r="IR457" i="5"/>
  <c r="IQ457" i="5"/>
  <c r="IZ459" i="5"/>
  <c r="IR459" i="5"/>
  <c r="IY459" i="5"/>
  <c r="IQ459" i="5"/>
  <c r="IX459" i="5"/>
  <c r="IT459" i="5"/>
  <c r="IS459" i="5"/>
  <c r="JA459" i="5"/>
  <c r="IW459" i="5"/>
  <c r="IU459" i="5"/>
  <c r="IV459" i="5"/>
  <c r="IT424" i="5"/>
  <c r="JA424" i="5"/>
  <c r="IS424" i="5"/>
  <c r="IZ424" i="5"/>
  <c r="IR424" i="5"/>
  <c r="IY424" i="5"/>
  <c r="IX424" i="5"/>
  <c r="IW424" i="5"/>
  <c r="IV424" i="5"/>
  <c r="IU424" i="5"/>
  <c r="IQ424" i="5"/>
  <c r="IX522" i="5"/>
  <c r="IW522" i="5"/>
  <c r="IU522" i="5"/>
  <c r="IT522" i="5"/>
  <c r="IY522" i="5"/>
  <c r="IQ522" i="5"/>
  <c r="IV522" i="5"/>
  <c r="IS522" i="5"/>
  <c r="IR522" i="5"/>
  <c r="IZ522" i="5"/>
  <c r="JA522" i="5"/>
  <c r="IW512" i="5"/>
  <c r="IV512" i="5"/>
  <c r="IU512" i="5"/>
  <c r="IT512" i="5"/>
  <c r="JA512" i="5"/>
  <c r="IZ512" i="5"/>
  <c r="IR512" i="5"/>
  <c r="IX512" i="5"/>
  <c r="IY512" i="5"/>
  <c r="IS512" i="5"/>
  <c r="IQ512" i="5"/>
  <c r="IU487" i="5"/>
  <c r="IT487" i="5"/>
  <c r="JA487" i="5"/>
  <c r="IS487" i="5"/>
  <c r="IZ487" i="5"/>
  <c r="IR487" i="5"/>
  <c r="IV487" i="5"/>
  <c r="IW487" i="5"/>
  <c r="IQ487" i="5"/>
  <c r="IX487" i="5"/>
  <c r="IY487" i="5"/>
  <c r="FU608" i="5"/>
  <c r="JA603" i="5"/>
  <c r="IS603" i="5"/>
  <c r="IZ603" i="5"/>
  <c r="IR603" i="5"/>
  <c r="IX603" i="5"/>
  <c r="IW603" i="5"/>
  <c r="IT603" i="5"/>
  <c r="IV603" i="5"/>
  <c r="IU603" i="5"/>
  <c r="IQ603" i="5"/>
  <c r="IY603" i="5"/>
  <c r="IY598" i="5"/>
  <c r="IQ598" i="5"/>
  <c r="IX598" i="5"/>
  <c r="IV598" i="5"/>
  <c r="IU598" i="5"/>
  <c r="IZ598" i="5"/>
  <c r="IR598" i="5"/>
  <c r="IW598" i="5"/>
  <c r="IT598" i="5"/>
  <c r="IS598" i="5"/>
  <c r="JA598" i="5"/>
  <c r="JA563" i="5"/>
  <c r="IS563" i="5"/>
  <c r="IZ563" i="5"/>
  <c r="IR563" i="5"/>
  <c r="IX563" i="5"/>
  <c r="IW563" i="5"/>
  <c r="IT563" i="5"/>
  <c r="IY563" i="5"/>
  <c r="IV563" i="5"/>
  <c r="IU563" i="5"/>
  <c r="IQ563" i="5"/>
  <c r="FU724" i="5"/>
  <c r="IX565" i="5"/>
  <c r="IW565" i="5"/>
  <c r="IU565" i="5"/>
  <c r="IT565" i="5"/>
  <c r="IY565" i="5"/>
  <c r="IQ565" i="5"/>
  <c r="IR565" i="5"/>
  <c r="JA565" i="5"/>
  <c r="IZ565" i="5"/>
  <c r="IS565" i="5"/>
  <c r="IV565" i="5"/>
  <c r="IW593" i="5"/>
  <c r="IV593" i="5"/>
  <c r="IT593" i="5"/>
  <c r="JA593" i="5"/>
  <c r="IS593" i="5"/>
  <c r="IX593" i="5"/>
  <c r="IY593" i="5"/>
  <c r="IU593" i="5"/>
  <c r="IR593" i="5"/>
  <c r="IQ593" i="5"/>
  <c r="IZ593" i="5"/>
  <c r="IU288" i="5"/>
  <c r="IT288" i="5"/>
  <c r="JA288" i="5"/>
  <c r="IS288" i="5"/>
  <c r="IZ288" i="5"/>
  <c r="IR288" i="5"/>
  <c r="IY288" i="5"/>
  <c r="IQ288" i="5"/>
  <c r="IX288" i="5"/>
  <c r="IV288" i="5"/>
  <c r="IW288" i="5"/>
  <c r="FS288" i="5"/>
  <c r="CR356" i="5"/>
  <c r="FS379" i="5"/>
  <c r="IV449" i="5"/>
  <c r="IU449" i="5"/>
  <c r="IT449" i="5"/>
  <c r="IR449" i="5"/>
  <c r="IQ449" i="5"/>
  <c r="JA449" i="5"/>
  <c r="IZ449" i="5"/>
  <c r="IY449" i="5"/>
  <c r="IX449" i="5"/>
  <c r="IS449" i="5"/>
  <c r="IW449" i="5"/>
  <c r="IU545" i="5"/>
  <c r="IT545" i="5"/>
  <c r="IZ545" i="5"/>
  <c r="IR545" i="5"/>
  <c r="IY545" i="5"/>
  <c r="IQ545" i="5"/>
  <c r="IV545" i="5"/>
  <c r="JA545" i="5"/>
  <c r="IX545" i="5"/>
  <c r="IW545" i="5"/>
  <c r="IS545" i="5"/>
  <c r="IV537" i="5"/>
  <c r="IU537" i="5"/>
  <c r="JA537" i="5"/>
  <c r="IS537" i="5"/>
  <c r="IZ537" i="5"/>
  <c r="IR537" i="5"/>
  <c r="IW537" i="5"/>
  <c r="IT537" i="5"/>
  <c r="IQ537" i="5"/>
  <c r="IX537" i="5"/>
  <c r="IY537" i="5"/>
  <c r="IV500" i="5"/>
  <c r="IU500" i="5"/>
  <c r="IT500" i="5"/>
  <c r="JA500" i="5"/>
  <c r="IS500" i="5"/>
  <c r="IY500" i="5"/>
  <c r="IQ500" i="5"/>
  <c r="IW500" i="5"/>
  <c r="IZ500" i="5"/>
  <c r="IX500" i="5"/>
  <c r="IR500" i="5"/>
  <c r="IZ630" i="5"/>
  <c r="IR630" i="5"/>
  <c r="IY630" i="5"/>
  <c r="IQ630" i="5"/>
  <c r="IW630" i="5"/>
  <c r="IV630" i="5"/>
  <c r="JA630" i="5"/>
  <c r="IS630" i="5"/>
  <c r="IX630" i="5"/>
  <c r="IU630" i="5"/>
  <c r="IT630" i="5"/>
  <c r="IV620" i="5"/>
  <c r="IU620" i="5"/>
  <c r="JA620" i="5"/>
  <c r="IS620" i="5"/>
  <c r="IZ620" i="5"/>
  <c r="IR620" i="5"/>
  <c r="IW620" i="5"/>
  <c r="IY620" i="5"/>
  <c r="IX620" i="5"/>
  <c r="IT620" i="5"/>
  <c r="IQ620" i="5"/>
  <c r="IU588" i="5"/>
  <c r="IT588" i="5"/>
  <c r="IZ588" i="5"/>
  <c r="IR588" i="5"/>
  <c r="IY588" i="5"/>
  <c r="IQ588" i="5"/>
  <c r="IV588" i="5"/>
  <c r="IX588" i="5"/>
  <c r="IW588" i="5"/>
  <c r="IS588" i="5"/>
  <c r="JA588" i="5"/>
  <c r="FE180" i="5"/>
  <c r="JG180" i="5" s="1"/>
  <c r="HV189" i="5"/>
  <c r="HV191" i="5" s="1"/>
  <c r="FL271" i="5"/>
  <c r="FM271" i="5" s="1"/>
  <c r="FT271" i="5" s="1"/>
  <c r="HW277" i="5"/>
  <c r="HW279" i="5" s="1"/>
  <c r="FL281" i="5"/>
  <c r="FM281" i="5" s="1"/>
  <c r="FT281" i="5" s="1"/>
  <c r="FY376" i="5"/>
  <c r="IY427" i="5"/>
  <c r="IQ427" i="5"/>
  <c r="IX427" i="5"/>
  <c r="IW427" i="5"/>
  <c r="JA427" i="5"/>
  <c r="IZ427" i="5"/>
  <c r="IV427" i="5"/>
  <c r="IU427" i="5"/>
  <c r="IT427" i="5"/>
  <c r="IR427" i="5"/>
  <c r="IS427" i="5"/>
  <c r="IT532" i="5"/>
  <c r="JA532" i="5"/>
  <c r="IS532" i="5"/>
  <c r="IY532" i="5"/>
  <c r="IQ532" i="5"/>
  <c r="IX532" i="5"/>
  <c r="IU532" i="5"/>
  <c r="IV532" i="5"/>
  <c r="IR532" i="5"/>
  <c r="IW532" i="5"/>
  <c r="IZ532" i="5"/>
  <c r="IU525" i="5"/>
  <c r="IT525" i="5"/>
  <c r="IZ525" i="5"/>
  <c r="IR525" i="5"/>
  <c r="IY525" i="5"/>
  <c r="IQ525" i="5"/>
  <c r="IV525" i="5"/>
  <c r="JA525" i="5"/>
  <c r="IX525" i="5"/>
  <c r="IW525" i="5"/>
  <c r="IS525" i="5"/>
  <c r="IY535" i="5"/>
  <c r="IQ535" i="5"/>
  <c r="IX535" i="5"/>
  <c r="IV535" i="5"/>
  <c r="IU535" i="5"/>
  <c r="IZ535" i="5"/>
  <c r="IR535" i="5"/>
  <c r="JA535" i="5"/>
  <c r="IW535" i="5"/>
  <c r="IT535" i="5"/>
  <c r="IS535" i="5"/>
  <c r="IV520" i="5"/>
  <c r="IU520" i="5"/>
  <c r="IT520" i="5"/>
  <c r="JA520" i="5"/>
  <c r="IS520" i="5"/>
  <c r="IZ520" i="5"/>
  <c r="IR520" i="5"/>
  <c r="IY520" i="5"/>
  <c r="IQ520" i="5"/>
  <c r="IW520" i="5"/>
  <c r="IX520" i="5"/>
  <c r="IW492" i="5"/>
  <c r="IV492" i="5"/>
  <c r="IU492" i="5"/>
  <c r="IT492" i="5"/>
  <c r="IZ492" i="5"/>
  <c r="IR492" i="5"/>
  <c r="IX492" i="5"/>
  <c r="JA492" i="5"/>
  <c r="IY492" i="5"/>
  <c r="IS492" i="5"/>
  <c r="IQ492" i="5"/>
  <c r="FU575" i="5"/>
  <c r="IU568" i="5"/>
  <c r="IT568" i="5"/>
  <c r="IZ568" i="5"/>
  <c r="IR568" i="5"/>
  <c r="IY568" i="5"/>
  <c r="IQ568" i="5"/>
  <c r="IV568" i="5"/>
  <c r="JA568" i="5"/>
  <c r="IX568" i="5"/>
  <c r="IW568" i="5"/>
  <c r="IS568" i="5"/>
  <c r="IV477" i="5"/>
  <c r="IU477" i="5"/>
  <c r="IT477" i="5"/>
  <c r="JA477" i="5"/>
  <c r="IS477" i="5"/>
  <c r="IW477" i="5"/>
  <c r="IZ477" i="5"/>
  <c r="IY477" i="5"/>
  <c r="IX477" i="5"/>
  <c r="IR477" i="5"/>
  <c r="IQ477" i="5"/>
  <c r="FU686" i="5"/>
  <c r="FU472" i="5"/>
  <c r="FU593" i="5"/>
  <c r="FU467" i="5"/>
  <c r="FU583" i="5"/>
  <c r="FU779" i="5"/>
  <c r="GO178" i="5"/>
  <c r="GO188" i="5"/>
  <c r="GO213" i="5"/>
  <c r="GO223" i="5"/>
  <c r="GO233" i="5"/>
  <c r="GO238" i="5"/>
  <c r="GO243" i="5"/>
  <c r="GO251" i="5"/>
  <c r="GO256" i="5"/>
  <c r="GP262" i="5"/>
  <c r="GP264" i="5" s="1"/>
  <c r="GO266" i="5"/>
  <c r="GP272" i="5"/>
  <c r="GO276" i="5"/>
  <c r="GP282" i="5"/>
  <c r="GP287" i="5"/>
  <c r="GP307" i="5"/>
  <c r="GO321" i="5"/>
  <c r="GP330" i="5"/>
  <c r="GP375" i="5"/>
  <c r="GP385" i="5"/>
  <c r="GP387" i="5" s="1"/>
  <c r="GO399" i="5"/>
  <c r="FT751" i="5"/>
  <c r="FU751" i="5" s="1"/>
  <c r="JV784" i="5"/>
  <c r="JV744" i="5"/>
  <c r="FU764" i="5"/>
  <c r="FT756" i="5"/>
  <c r="FU756" i="5" s="1"/>
  <c r="FT771" i="5"/>
  <c r="FU771" i="5" s="1"/>
  <c r="FT786" i="5"/>
  <c r="FU786" i="5" s="1"/>
  <c r="FT791" i="5"/>
  <c r="FU791" i="5" s="1"/>
  <c r="FT726" i="5"/>
  <c r="FU726" i="5" s="1"/>
  <c r="JV764" i="5"/>
  <c r="FT781" i="5"/>
  <c r="FU781" i="5" s="1"/>
  <c r="JV749" i="5"/>
  <c r="JV769" i="5"/>
  <c r="FT761" i="5"/>
  <c r="FU761" i="5" s="1"/>
  <c r="JV754" i="5"/>
  <c r="FT746" i="5"/>
  <c r="FU746" i="5" s="1"/>
  <c r="JV759" i="5"/>
  <c r="FU789" i="5"/>
  <c r="FU749" i="5"/>
  <c r="JV724" i="5"/>
  <c r="FU754" i="5"/>
  <c r="JV779" i="5"/>
  <c r="FT741" i="5"/>
  <c r="FU741" i="5" s="1"/>
  <c r="JV739" i="5"/>
  <c r="JV774" i="5"/>
  <c r="FT668" i="5"/>
  <c r="FU668" i="5" s="1"/>
  <c r="HO672" i="5"/>
  <c r="HO674" i="5" s="1"/>
  <c r="FA671" i="5"/>
  <c r="FA673" i="5"/>
  <c r="FT643" i="5"/>
  <c r="FU643" i="5" s="1"/>
  <c r="JV691" i="5"/>
  <c r="FU681" i="5"/>
  <c r="JV656" i="5"/>
  <c r="FT678" i="5"/>
  <c r="FU678" i="5" s="1"/>
  <c r="FT653" i="5"/>
  <c r="FU653" i="5" s="1"/>
  <c r="JV641" i="5"/>
  <c r="FU676" i="5"/>
  <c r="FT708" i="5"/>
  <c r="FU708" i="5" s="1"/>
  <c r="FT683" i="5"/>
  <c r="FU683" i="5" s="1"/>
  <c r="JV701" i="5"/>
  <c r="JV676" i="5"/>
  <c r="FT703" i="5"/>
  <c r="FU703" i="5" s="1"/>
  <c r="FT713" i="5"/>
  <c r="FU713" i="5" s="1"/>
  <c r="JV686" i="5"/>
  <c r="FT658" i="5"/>
  <c r="FU658" i="5" s="1"/>
  <c r="FU711" i="5"/>
  <c r="JV681" i="5"/>
  <c r="FT693" i="5"/>
  <c r="FU693" i="5" s="1"/>
  <c r="FU706" i="5"/>
  <c r="JV706" i="5"/>
  <c r="JV666" i="5"/>
  <c r="FM623" i="5"/>
  <c r="FT623" i="5" s="1"/>
  <c r="FM600" i="5"/>
  <c r="FM573" i="5"/>
  <c r="FT573" i="5" s="1"/>
  <c r="FY620" i="5"/>
  <c r="JC620" i="5"/>
  <c r="FS613" i="5"/>
  <c r="FM613" i="5"/>
  <c r="FT613" i="5" s="1"/>
  <c r="JV623" i="5"/>
  <c r="FY600" i="5"/>
  <c r="JC600" i="5"/>
  <c r="JV593" i="5"/>
  <c r="JX588" i="5"/>
  <c r="JX563" i="5"/>
  <c r="JV578" i="5"/>
  <c r="FY570" i="5"/>
  <c r="JC570" i="5"/>
  <c r="JV563" i="5"/>
  <c r="FS633" i="5"/>
  <c r="FU633" i="5" s="1"/>
  <c r="JH625" i="5"/>
  <c r="HR624" i="5"/>
  <c r="HR626" i="5" s="1"/>
  <c r="FM603" i="5"/>
  <c r="FT603" i="5" s="1"/>
  <c r="FM598" i="5"/>
  <c r="FT598" i="5" s="1"/>
  <c r="JV588" i="5"/>
  <c r="HO604" i="5"/>
  <c r="HO606" i="5" s="1"/>
  <c r="FA603" i="5"/>
  <c r="FA605" i="5"/>
  <c r="HO564" i="5"/>
  <c r="HO566" i="5" s="1"/>
  <c r="FA563" i="5"/>
  <c r="FA565" i="5"/>
  <c r="HO584" i="5"/>
  <c r="HO586" i="5" s="1"/>
  <c r="FA585" i="5"/>
  <c r="FA583" i="5"/>
  <c r="HP584" i="5"/>
  <c r="HP586" i="5" s="1"/>
  <c r="FT565" i="5"/>
  <c r="FU565" i="5" s="1"/>
  <c r="JX633" i="5"/>
  <c r="FS628" i="5"/>
  <c r="FS573" i="5"/>
  <c r="FS568" i="5"/>
  <c r="JX603" i="5"/>
  <c r="JX618" i="5"/>
  <c r="FM625" i="5"/>
  <c r="HP629" i="5"/>
  <c r="HP631" i="5" s="1"/>
  <c r="FA610" i="5"/>
  <c r="HO609" i="5"/>
  <c r="HO611" i="5" s="1"/>
  <c r="FA608" i="5"/>
  <c r="JV583" i="5"/>
  <c r="HP574" i="5"/>
  <c r="HP576" i="5" s="1"/>
  <c r="FM563" i="5"/>
  <c r="FT563" i="5" s="1"/>
  <c r="FM630" i="5"/>
  <c r="HO634" i="5"/>
  <c r="HO636" i="5" s="1"/>
  <c r="FA633" i="5"/>
  <c r="FA635" i="5"/>
  <c r="FM620" i="5"/>
  <c r="JX613" i="5"/>
  <c r="FA630" i="5"/>
  <c r="FA628" i="5"/>
  <c r="HO629" i="5"/>
  <c r="HO631" i="5" s="1"/>
  <c r="FM615" i="5"/>
  <c r="JH620" i="5"/>
  <c r="HR619" i="5"/>
  <c r="HR621" i="5" s="1"/>
  <c r="FM605" i="5"/>
  <c r="JV608" i="5"/>
  <c r="FS598" i="5"/>
  <c r="FM590" i="5"/>
  <c r="FS588" i="5"/>
  <c r="FU588" i="5" s="1"/>
  <c r="FY575" i="5"/>
  <c r="JC575" i="5"/>
  <c r="FS563" i="5"/>
  <c r="JH580" i="5"/>
  <c r="HR579" i="5"/>
  <c r="HR581" i="5" s="1"/>
  <c r="FA575" i="5"/>
  <c r="HO574" i="5"/>
  <c r="HO576" i="5" s="1"/>
  <c r="FA573" i="5"/>
  <c r="HP564" i="5"/>
  <c r="HP566" i="5" s="1"/>
  <c r="HP569" i="5"/>
  <c r="HP571" i="5" s="1"/>
  <c r="FM570" i="5"/>
  <c r="JX568" i="5"/>
  <c r="FY630" i="5"/>
  <c r="JC630" i="5"/>
  <c r="FA625" i="5"/>
  <c r="FA623" i="5"/>
  <c r="HO624" i="5"/>
  <c r="HO626" i="5" s="1"/>
  <c r="FM618" i="5"/>
  <c r="FT618" i="5" s="1"/>
  <c r="HO619" i="5"/>
  <c r="HO621" i="5" s="1"/>
  <c r="FA618" i="5"/>
  <c r="FA620" i="5"/>
  <c r="JC615" i="5"/>
  <c r="FY615" i="5"/>
  <c r="FS603" i="5"/>
  <c r="JH565" i="5"/>
  <c r="HR564" i="5"/>
  <c r="HR566" i="5" s="1"/>
  <c r="FA570" i="5"/>
  <c r="HO569" i="5"/>
  <c r="HO571" i="5" s="1"/>
  <c r="FA568" i="5"/>
  <c r="FT610" i="5"/>
  <c r="FU610" i="5" s="1"/>
  <c r="FM568" i="5"/>
  <c r="FT568" i="5" s="1"/>
  <c r="FM628" i="5"/>
  <c r="FT628" i="5" s="1"/>
  <c r="FS618" i="5"/>
  <c r="FY605" i="5"/>
  <c r="JC605" i="5"/>
  <c r="JX623" i="5"/>
  <c r="FM635" i="5"/>
  <c r="JV633" i="5"/>
  <c r="FM595" i="5"/>
  <c r="HO589" i="5"/>
  <c r="HO591" i="5" s="1"/>
  <c r="FA588" i="5"/>
  <c r="FA590" i="5"/>
  <c r="FM585" i="5"/>
  <c r="FB580" i="5"/>
  <c r="EY580" i="5" s="1"/>
  <c r="EX580" i="5"/>
  <c r="FB578" i="5"/>
  <c r="EY578" i="5" s="1"/>
  <c r="EX578" i="5"/>
  <c r="HR574" i="5"/>
  <c r="HR576" i="5" s="1"/>
  <c r="JH575" i="5"/>
  <c r="FS555" i="5"/>
  <c r="FM540" i="5"/>
  <c r="FT540" i="5" s="1"/>
  <c r="FM527" i="5"/>
  <c r="FA530" i="5"/>
  <c r="FA532" i="5"/>
  <c r="HO531" i="5"/>
  <c r="HO533" i="5" s="1"/>
  <c r="HO521" i="5"/>
  <c r="HO523" i="5" s="1"/>
  <c r="FA520" i="5"/>
  <c r="FA522" i="5"/>
  <c r="HO506" i="5"/>
  <c r="HO508" i="5" s="1"/>
  <c r="FA505" i="5"/>
  <c r="FA507" i="5"/>
  <c r="FM512" i="5"/>
  <c r="JX505" i="5"/>
  <c r="FA512" i="5"/>
  <c r="FA510" i="5"/>
  <c r="HO511" i="5"/>
  <c r="HO513" i="5" s="1"/>
  <c r="JC512" i="5"/>
  <c r="FY512" i="5"/>
  <c r="JH492" i="5"/>
  <c r="HR491" i="5"/>
  <c r="HR493" i="5" s="1"/>
  <c r="HR506" i="5"/>
  <c r="HR508" i="5" s="1"/>
  <c r="JH507" i="5"/>
  <c r="FS545" i="5"/>
  <c r="FM547" i="5"/>
  <c r="HP531" i="5"/>
  <c r="HP533" i="5" s="1"/>
  <c r="JX500" i="5"/>
  <c r="JC497" i="5"/>
  <c r="FY497" i="5"/>
  <c r="HR546" i="5"/>
  <c r="HR548" i="5" s="1"/>
  <c r="JH547" i="5"/>
  <c r="FM532" i="5"/>
  <c r="JC502" i="5"/>
  <c r="FY502" i="5"/>
  <c r="FS515" i="5"/>
  <c r="FY522" i="5"/>
  <c r="JC522" i="5"/>
  <c r="FM522" i="5"/>
  <c r="FY492" i="5"/>
  <c r="JC492" i="5"/>
  <c r="FM507" i="5"/>
  <c r="FM485" i="5"/>
  <c r="FT485" i="5" s="1"/>
  <c r="FY487" i="5"/>
  <c r="JC487" i="5"/>
  <c r="FM557" i="5"/>
  <c r="JH557" i="5"/>
  <c r="HR556" i="5"/>
  <c r="HR558" i="5" s="1"/>
  <c r="JV555" i="5"/>
  <c r="JH542" i="5"/>
  <c r="HR541" i="5"/>
  <c r="HR543" i="5" s="1"/>
  <c r="FM545" i="5"/>
  <c r="FT545" i="5" s="1"/>
  <c r="FS540" i="5"/>
  <c r="GP538" i="5"/>
  <c r="JX535" i="5"/>
  <c r="FY537" i="5"/>
  <c r="JC537" i="5"/>
  <c r="HO516" i="5"/>
  <c r="HO518" i="5" s="1"/>
  <c r="FA515" i="5"/>
  <c r="FA517" i="5"/>
  <c r="FM495" i="5"/>
  <c r="FT495" i="5" s="1"/>
  <c r="FU495" i="5" s="1"/>
  <c r="GP503" i="5"/>
  <c r="GP493" i="5"/>
  <c r="FA490" i="5"/>
  <c r="HO491" i="5"/>
  <c r="HO493" i="5" s="1"/>
  <c r="FA492" i="5"/>
  <c r="FU497" i="5"/>
  <c r="HO486" i="5"/>
  <c r="HO488" i="5" s="1"/>
  <c r="FA485" i="5"/>
  <c r="FA487" i="5"/>
  <c r="HP546" i="5"/>
  <c r="HP548" i="5" s="1"/>
  <c r="FS535" i="5"/>
  <c r="FA527" i="5"/>
  <c r="HO526" i="5"/>
  <c r="HO528" i="5" s="1"/>
  <c r="FA525" i="5"/>
  <c r="FM517" i="5"/>
  <c r="GP508" i="5"/>
  <c r="FS505" i="5"/>
  <c r="FM510" i="5"/>
  <c r="FT510" i="5" s="1"/>
  <c r="FU510" i="5" s="1"/>
  <c r="JX555" i="5"/>
  <c r="JV550" i="5"/>
  <c r="HO556" i="5"/>
  <c r="HO558" i="5" s="1"/>
  <c r="FA555" i="5"/>
  <c r="FA557" i="5"/>
  <c r="FM530" i="5"/>
  <c r="FT530" i="5" s="1"/>
  <c r="FU530" i="5" s="1"/>
  <c r="JX525" i="5"/>
  <c r="FM535" i="5"/>
  <c r="FT535" i="5" s="1"/>
  <c r="JC517" i="5"/>
  <c r="FY517" i="5"/>
  <c r="JX515" i="5"/>
  <c r="FY507" i="5"/>
  <c r="JC507" i="5"/>
  <c r="FM490" i="5"/>
  <c r="FT490" i="5" s="1"/>
  <c r="FU490" i="5" s="1"/>
  <c r="FS485" i="5"/>
  <c r="JX540" i="5"/>
  <c r="FY527" i="5"/>
  <c r="JC527" i="5"/>
  <c r="FS525" i="5"/>
  <c r="FM525" i="5"/>
  <c r="FT525" i="5" s="1"/>
  <c r="FS500" i="5"/>
  <c r="FU500" i="5" s="1"/>
  <c r="GP523" i="5"/>
  <c r="FM515" i="5"/>
  <c r="FT515" i="5" s="1"/>
  <c r="JX495" i="5"/>
  <c r="FM520" i="5"/>
  <c r="FT520" i="5" s="1"/>
  <c r="FM505" i="5"/>
  <c r="FT505" i="5" s="1"/>
  <c r="JX510" i="5"/>
  <c r="FM487" i="5"/>
  <c r="FY547" i="5"/>
  <c r="JC547" i="5"/>
  <c r="FM555" i="5"/>
  <c r="FT555" i="5" s="1"/>
  <c r="FT552" i="5"/>
  <c r="FU552" i="5" s="1"/>
  <c r="JX545" i="5"/>
  <c r="FM542" i="5"/>
  <c r="FY532" i="5"/>
  <c r="JC532" i="5"/>
  <c r="FM537" i="5"/>
  <c r="FS520" i="5"/>
  <c r="JX520" i="5"/>
  <c r="JX485" i="5"/>
  <c r="FM427" i="5"/>
  <c r="FT427" i="5" s="1"/>
  <c r="JC414" i="5"/>
  <c r="FY414" i="5"/>
  <c r="JX477" i="5"/>
  <c r="HP473" i="5"/>
  <c r="HP475" i="5" s="1"/>
  <c r="GP470" i="5"/>
  <c r="JC464" i="5"/>
  <c r="FY464" i="5"/>
  <c r="JX462" i="5"/>
  <c r="JC449" i="5"/>
  <c r="FY449" i="5"/>
  <c r="FM439" i="5"/>
  <c r="JX412" i="5"/>
  <c r="FM429" i="5"/>
  <c r="FM414" i="5"/>
  <c r="FM417" i="5"/>
  <c r="FT417" i="5" s="1"/>
  <c r="FM407" i="5"/>
  <c r="FT407" i="5" s="1"/>
  <c r="FU407" i="5" s="1"/>
  <c r="FM412" i="5"/>
  <c r="FT412" i="5" s="1"/>
  <c r="JX467" i="5"/>
  <c r="FM459" i="5"/>
  <c r="FY454" i="5"/>
  <c r="JC454" i="5"/>
  <c r="FM462" i="5"/>
  <c r="FT462" i="5" s="1"/>
  <c r="FS442" i="5"/>
  <c r="JV432" i="5"/>
  <c r="FS412" i="5"/>
  <c r="FY429" i="5"/>
  <c r="JC429" i="5"/>
  <c r="GP425" i="5"/>
  <c r="JV477" i="5"/>
  <c r="FM447" i="5"/>
  <c r="FT447" i="5" s="1"/>
  <c r="FY459" i="5"/>
  <c r="JC459" i="5"/>
  <c r="HO468" i="5"/>
  <c r="HO470" i="5" s="1"/>
  <c r="FA469" i="5"/>
  <c r="FA467" i="5"/>
  <c r="FY424" i="5"/>
  <c r="JC424" i="5"/>
  <c r="FM409" i="5"/>
  <c r="FA414" i="5"/>
  <c r="FA412" i="5"/>
  <c r="HO413" i="5"/>
  <c r="HO415" i="5" s="1"/>
  <c r="FA409" i="5"/>
  <c r="HO408" i="5"/>
  <c r="HO410" i="5" s="1"/>
  <c r="FA407" i="5"/>
  <c r="FM449" i="5"/>
  <c r="HO453" i="5"/>
  <c r="HO455" i="5" s="1"/>
  <c r="FA454" i="5"/>
  <c r="FA452" i="5"/>
  <c r="HP468" i="5"/>
  <c r="HP470" i="5" s="1"/>
  <c r="FS447" i="5"/>
  <c r="JH429" i="5"/>
  <c r="HR428" i="5"/>
  <c r="HR430" i="5" s="1"/>
  <c r="FS427" i="5"/>
  <c r="HR418" i="5"/>
  <c r="HR420" i="5" s="1"/>
  <c r="JH419" i="5"/>
  <c r="JV417" i="5"/>
  <c r="FS417" i="5"/>
  <c r="FM479" i="5"/>
  <c r="JX457" i="5"/>
  <c r="FS462" i="5"/>
  <c r="JX447" i="5"/>
  <c r="FM437" i="5"/>
  <c r="FT437" i="5" s="1"/>
  <c r="FU437" i="5" s="1"/>
  <c r="FM444" i="5"/>
  <c r="JX432" i="5"/>
  <c r="FM419" i="5"/>
  <c r="JX407" i="5"/>
  <c r="HO478" i="5"/>
  <c r="HO480" i="5" s="1"/>
  <c r="FA477" i="5"/>
  <c r="FA479" i="5"/>
  <c r="FM424" i="5"/>
  <c r="FS457" i="5"/>
  <c r="FU457" i="5" s="1"/>
  <c r="JH444" i="5"/>
  <c r="HR443" i="5"/>
  <c r="HR445" i="5" s="1"/>
  <c r="GP455" i="5"/>
  <c r="JC444" i="5"/>
  <c r="FY444" i="5"/>
  <c r="FU454" i="5"/>
  <c r="JC439" i="5"/>
  <c r="FY439" i="5"/>
  <c r="FU432" i="5"/>
  <c r="FM434" i="5"/>
  <c r="FA439" i="5"/>
  <c r="HO438" i="5"/>
  <c r="HO440" i="5" s="1"/>
  <c r="FA437" i="5"/>
  <c r="HP423" i="5"/>
  <c r="HP425" i="5" s="1"/>
  <c r="JC409" i="5"/>
  <c r="FY409" i="5"/>
  <c r="HP413" i="5"/>
  <c r="HP415" i="5" s="1"/>
  <c r="FM474" i="5"/>
  <c r="FM464" i="5"/>
  <c r="FM477" i="5"/>
  <c r="FT477" i="5" s="1"/>
  <c r="FU477" i="5" s="1"/>
  <c r="JV472" i="5"/>
  <c r="HP458" i="5"/>
  <c r="HP460" i="5" s="1"/>
  <c r="JX442" i="5"/>
  <c r="FM442" i="5"/>
  <c r="FT442" i="5" s="1"/>
  <c r="JH434" i="5"/>
  <c r="HR433" i="5"/>
  <c r="HR435" i="5" s="1"/>
  <c r="JX427" i="5"/>
  <c r="HO423" i="5"/>
  <c r="HO425" i="5" s="1"/>
  <c r="FA424" i="5"/>
  <c r="FA422" i="5"/>
  <c r="JX417" i="5"/>
  <c r="HO418" i="5"/>
  <c r="HO420" i="5" s="1"/>
  <c r="FA417" i="5"/>
  <c r="FA419" i="5"/>
  <c r="EX346" i="5"/>
  <c r="FB344" i="5"/>
  <c r="EY344" i="5" s="1"/>
  <c r="FB346" i="5"/>
  <c r="EY346" i="5" s="1"/>
  <c r="EX344" i="5"/>
  <c r="FM331" i="5"/>
  <c r="FT331" i="5" s="1"/>
  <c r="JH346" i="5"/>
  <c r="HR345" i="5"/>
  <c r="HR347" i="5" s="1"/>
  <c r="CR346" i="5"/>
  <c r="FE346" i="5"/>
  <c r="JG346" i="5" s="1"/>
  <c r="HW345" i="5"/>
  <c r="HW347" i="5" s="1"/>
  <c r="CR344" i="5"/>
  <c r="FL344" i="5"/>
  <c r="FL346" i="5"/>
  <c r="FS346" i="5"/>
  <c r="FE331" i="5"/>
  <c r="JG331" i="5" s="1"/>
  <c r="JX339" i="5"/>
  <c r="JH341" i="5"/>
  <c r="HR340" i="5"/>
  <c r="HR342" i="5" s="1"/>
  <c r="CP329" i="5"/>
  <c r="HV330" i="5"/>
  <c r="HV332" i="5" s="1"/>
  <c r="FS339" i="5"/>
  <c r="CP344" i="5"/>
  <c r="EX341" i="5"/>
  <c r="FB339" i="5"/>
  <c r="EY339" i="5" s="1"/>
  <c r="FB341" i="5"/>
  <c r="EY341" i="5" s="1"/>
  <c r="EX339" i="5"/>
  <c r="HV345" i="5"/>
  <c r="HV347" i="5" s="1"/>
  <c r="CR331" i="5"/>
  <c r="GP332" i="5"/>
  <c r="HW330" i="5"/>
  <c r="HW332" i="5" s="1"/>
  <c r="CR329" i="5"/>
  <c r="JH331" i="5"/>
  <c r="HR330" i="5"/>
  <c r="HR332" i="5" s="1"/>
  <c r="GK349" i="5"/>
  <c r="HM350" i="5" s="1"/>
  <c r="HM352" i="5" s="1"/>
  <c r="EX329" i="5"/>
  <c r="EX331" i="5"/>
  <c r="FL329" i="5"/>
  <c r="FS331" i="5"/>
  <c r="GP337" i="5"/>
  <c r="CP349" i="5"/>
  <c r="FO351" i="5"/>
  <c r="GP357" i="5"/>
  <c r="CP354" i="5"/>
  <c r="FO356" i="5"/>
  <c r="JH366" i="5"/>
  <c r="HR365" i="5"/>
  <c r="HR367" i="5" s="1"/>
  <c r="FL336" i="5"/>
  <c r="FL334" i="5"/>
  <c r="FS341" i="5"/>
  <c r="CR351" i="5"/>
  <c r="CR349" i="5"/>
  <c r="HV350" i="5"/>
  <c r="HV352" i="5" s="1"/>
  <c r="FE351" i="5"/>
  <c r="JG351" i="5" s="1"/>
  <c r="CR334" i="5"/>
  <c r="EX349" i="5"/>
  <c r="FS351" i="5"/>
  <c r="FL356" i="5"/>
  <c r="CR354" i="5"/>
  <c r="HW355" i="5"/>
  <c r="HW357" i="5" s="1"/>
  <c r="JX364" i="5"/>
  <c r="FB334" i="5"/>
  <c r="EY334" i="5" s="1"/>
  <c r="EX334" i="5"/>
  <c r="HV335" i="5"/>
  <c r="HV337" i="5" s="1"/>
  <c r="FE336" i="5"/>
  <c r="JG336" i="5" s="1"/>
  <c r="EX351" i="5"/>
  <c r="FB354" i="5"/>
  <c r="EY354" i="5" s="1"/>
  <c r="EX354" i="5"/>
  <c r="HW335" i="5"/>
  <c r="HW337" i="5" s="1"/>
  <c r="FL349" i="5"/>
  <c r="GP350" i="5"/>
  <c r="EX356" i="5"/>
  <c r="HP355" i="5" s="1"/>
  <c r="HP357" i="5" s="1"/>
  <c r="FY356" i="5"/>
  <c r="CR336" i="5"/>
  <c r="FO336" i="5"/>
  <c r="FL339" i="5"/>
  <c r="CR341" i="5"/>
  <c r="FL341" i="5"/>
  <c r="HV340" i="5"/>
  <c r="HV342" i="5" s="1"/>
  <c r="EX361" i="5"/>
  <c r="FB359" i="5"/>
  <c r="EY359" i="5" s="1"/>
  <c r="FB361" i="5"/>
  <c r="EY361" i="5" s="1"/>
  <c r="EX359" i="5"/>
  <c r="FB371" i="5"/>
  <c r="EY371" i="5" s="1"/>
  <c r="EX369" i="5"/>
  <c r="EX371" i="5"/>
  <c r="FB369" i="5"/>
  <c r="EY369" i="5" s="1"/>
  <c r="FL359" i="5"/>
  <c r="CR361" i="5"/>
  <c r="FL361" i="5"/>
  <c r="HV360" i="5"/>
  <c r="HV362" i="5" s="1"/>
  <c r="FM371" i="5"/>
  <c r="FT371" i="5" s="1"/>
  <c r="JH361" i="5"/>
  <c r="HR360" i="5"/>
  <c r="HR362" i="5" s="1"/>
  <c r="GO369" i="5"/>
  <c r="GP370" i="5"/>
  <c r="GP367" i="5"/>
  <c r="JC366" i="5"/>
  <c r="FY366" i="5"/>
  <c r="GP362" i="5"/>
  <c r="FB366" i="5"/>
  <c r="EY366" i="5" s="1"/>
  <c r="EX366" i="5"/>
  <c r="FB364" i="5"/>
  <c r="EY364" i="5" s="1"/>
  <c r="EX364" i="5"/>
  <c r="JX369" i="5"/>
  <c r="FB374" i="5"/>
  <c r="EY374" i="5" s="1"/>
  <c r="EX374" i="5"/>
  <c r="FB376" i="5"/>
  <c r="EY376" i="5" s="1"/>
  <c r="HP375" i="5" s="1"/>
  <c r="HP377" i="5" s="1"/>
  <c r="FO371" i="5"/>
  <c r="GP377" i="5"/>
  <c r="EX386" i="5"/>
  <c r="EX384" i="5"/>
  <c r="FB386" i="5"/>
  <c r="EY386" i="5" s="1"/>
  <c r="FB384" i="5"/>
  <c r="EY384" i="5" s="1"/>
  <c r="FS371" i="5"/>
  <c r="CR371" i="5"/>
  <c r="HW370" i="5"/>
  <c r="HW372" i="5" s="1"/>
  <c r="CP384" i="5"/>
  <c r="HV365" i="5"/>
  <c r="HV367" i="5" s="1"/>
  <c r="FS366" i="5"/>
  <c r="HW365" i="5"/>
  <c r="HW367" i="5" s="1"/>
  <c r="CP374" i="5"/>
  <c r="JH386" i="5"/>
  <c r="HR385" i="5"/>
  <c r="HR387" i="5" s="1"/>
  <c r="CS396" i="5"/>
  <c r="FL381" i="5"/>
  <c r="FL379" i="5"/>
  <c r="HW380" i="5"/>
  <c r="HW382" i="5" s="1"/>
  <c r="FL386" i="5"/>
  <c r="FE386" i="5"/>
  <c r="JG386" i="5" s="1"/>
  <c r="HW385" i="5"/>
  <c r="HW387" i="5" s="1"/>
  <c r="CR384" i="5"/>
  <c r="HV385" i="5"/>
  <c r="HV387" i="5" s="1"/>
  <c r="CR386" i="5"/>
  <c r="FS386" i="5"/>
  <c r="EX389" i="5"/>
  <c r="JH401" i="5"/>
  <c r="HR400" i="5"/>
  <c r="HR402" i="5" s="1"/>
  <c r="HW390" i="5"/>
  <c r="HW392" i="5" s="1"/>
  <c r="CR391" i="5"/>
  <c r="HV390" i="5"/>
  <c r="HV392" i="5" s="1"/>
  <c r="FE391" i="5"/>
  <c r="JG391" i="5" s="1"/>
  <c r="FL389" i="5"/>
  <c r="FS391" i="5"/>
  <c r="HV375" i="5"/>
  <c r="HV377" i="5" s="1"/>
  <c r="FE376" i="5"/>
  <c r="JG376" i="5" s="1"/>
  <c r="FB379" i="5"/>
  <c r="EY379" i="5" s="1"/>
  <c r="CR389" i="5"/>
  <c r="GP397" i="5"/>
  <c r="EX391" i="5"/>
  <c r="EX401" i="5"/>
  <c r="FB399" i="5"/>
  <c r="EY399" i="5" s="1"/>
  <c r="FB401" i="5"/>
  <c r="EY401" i="5" s="1"/>
  <c r="EX399" i="5"/>
  <c r="FO381" i="5"/>
  <c r="FL384" i="5"/>
  <c r="FL391" i="5"/>
  <c r="GP392" i="5"/>
  <c r="FM399" i="5"/>
  <c r="FT399" i="5" s="1"/>
  <c r="GP402" i="5"/>
  <c r="FM396" i="5"/>
  <c r="FT396" i="5" s="1"/>
  <c r="HV395" i="5"/>
  <c r="HV397" i="5" s="1"/>
  <c r="FS396" i="5"/>
  <c r="GO389" i="5"/>
  <c r="HV400" i="5"/>
  <c r="HV402" i="5" s="1"/>
  <c r="FS401" i="5"/>
  <c r="JC401" i="5"/>
  <c r="HR395" i="5"/>
  <c r="HR397" i="5" s="1"/>
  <c r="CR396" i="5"/>
  <c r="CR399" i="5"/>
  <c r="HW400" i="5"/>
  <c r="HW402" i="5" s="1"/>
  <c r="FE401" i="5"/>
  <c r="JG401" i="5" s="1"/>
  <c r="FL401" i="5"/>
  <c r="GO394" i="5"/>
  <c r="GP254" i="5"/>
  <c r="FA253" i="5"/>
  <c r="FA251" i="5"/>
  <c r="EX258" i="5"/>
  <c r="GP279" i="5"/>
  <c r="GO291" i="5"/>
  <c r="GP292" i="5"/>
  <c r="EX253" i="5"/>
  <c r="FB253" i="5"/>
  <c r="EY253" i="5" s="1"/>
  <c r="CP256" i="5"/>
  <c r="FB258" i="5"/>
  <c r="EY258" i="5" s="1"/>
  <c r="FB251" i="5"/>
  <c r="EY251" i="5" s="1"/>
  <c r="HO252" i="5" s="1"/>
  <c r="HO254" i="5" s="1"/>
  <c r="FS251" i="5"/>
  <c r="EX256" i="5"/>
  <c r="FB256" i="5"/>
  <c r="EY256" i="5" s="1"/>
  <c r="FM268" i="5"/>
  <c r="FT268" i="5" s="1"/>
  <c r="FL256" i="5"/>
  <c r="FE258" i="5"/>
  <c r="JG258" i="5" s="1"/>
  <c r="HW257" i="5"/>
  <c r="HW259" i="5" s="1"/>
  <c r="CR256" i="5"/>
  <c r="CR258" i="5"/>
  <c r="FO258" i="5"/>
  <c r="HV267" i="5"/>
  <c r="HV269" i="5" s="1"/>
  <c r="CR268" i="5"/>
  <c r="HR272" i="5"/>
  <c r="HR274" i="5" s="1"/>
  <c r="JH253" i="5"/>
  <c r="HR252" i="5"/>
  <c r="HR254" i="5" s="1"/>
  <c r="FS258" i="5"/>
  <c r="JH263" i="5"/>
  <c r="HR262" i="5"/>
  <c r="HR264" i="5" s="1"/>
  <c r="GP269" i="5"/>
  <c r="GP274" i="5"/>
  <c r="GP259" i="5"/>
  <c r="EX263" i="5"/>
  <c r="FB261" i="5"/>
  <c r="EY261" i="5" s="1"/>
  <c r="FB263" i="5"/>
  <c r="EY263" i="5" s="1"/>
  <c r="EX261" i="5"/>
  <c r="GP284" i="5"/>
  <c r="FE268" i="5"/>
  <c r="JG268" i="5" s="1"/>
  <c r="HW267" i="5"/>
  <c r="HW269" i="5" s="1"/>
  <c r="CR266" i="5"/>
  <c r="FL266" i="5"/>
  <c r="FO268" i="5"/>
  <c r="EX271" i="5"/>
  <c r="FB271" i="5"/>
  <c r="EY271" i="5" s="1"/>
  <c r="FO278" i="5"/>
  <c r="FL253" i="5"/>
  <c r="CR253" i="5"/>
  <c r="HW252" i="5"/>
  <c r="HW254" i="5" s="1"/>
  <c r="FL258" i="5"/>
  <c r="JC263" i="5"/>
  <c r="FY263" i="5"/>
  <c r="FB273" i="5"/>
  <c r="EY273" i="5" s="1"/>
  <c r="HP272" i="5" s="1"/>
  <c r="HP274" i="5" s="1"/>
  <c r="FT261" i="5"/>
  <c r="FL273" i="5"/>
  <c r="HW272" i="5"/>
  <c r="HW274" i="5" s="1"/>
  <c r="FB286" i="5"/>
  <c r="EY286" i="5" s="1"/>
  <c r="HO287" i="5" s="1"/>
  <c r="HO289" i="5" s="1"/>
  <c r="FB288" i="5"/>
  <c r="EY288" i="5" s="1"/>
  <c r="EX288" i="5"/>
  <c r="GO296" i="5"/>
  <c r="GP297" i="5"/>
  <c r="HV262" i="5"/>
  <c r="HV264" i="5" s="1"/>
  <c r="FS263" i="5"/>
  <c r="EX281" i="5"/>
  <c r="FA286" i="5"/>
  <c r="FA288" i="5"/>
  <c r="GP289" i="5"/>
  <c r="FL263" i="5"/>
  <c r="FE273" i="5"/>
  <c r="JG273" i="5" s="1"/>
  <c r="FB276" i="5"/>
  <c r="EY276" i="5" s="1"/>
  <c r="JH293" i="5"/>
  <c r="HR292" i="5"/>
  <c r="HR294" i="5" s="1"/>
  <c r="FY293" i="5"/>
  <c r="EX283" i="5"/>
  <c r="FB283" i="5"/>
  <c r="EY283" i="5" s="1"/>
  <c r="FB281" i="5"/>
  <c r="EY281" i="5" s="1"/>
  <c r="JC288" i="5"/>
  <c r="FY288" i="5"/>
  <c r="FL286" i="5"/>
  <c r="GK286" i="5"/>
  <c r="HM287" i="5" s="1"/>
  <c r="HM289" i="5" s="1"/>
  <c r="JH283" i="5"/>
  <c r="HR282" i="5"/>
  <c r="HR284" i="5" s="1"/>
  <c r="HV287" i="5"/>
  <c r="HV289" i="5" s="1"/>
  <c r="FL276" i="5"/>
  <c r="FL293" i="5"/>
  <c r="FE293" i="5"/>
  <c r="JG293" i="5" s="1"/>
  <c r="FL291" i="5"/>
  <c r="HW292" i="5"/>
  <c r="HW294" i="5" s="1"/>
  <c r="FS293" i="5"/>
  <c r="CP291" i="5"/>
  <c r="HV277" i="5"/>
  <c r="HV279" i="5" s="1"/>
  <c r="FS278" i="5"/>
  <c r="FU278" i="5" s="1"/>
  <c r="JC283" i="5"/>
  <c r="FL288" i="5"/>
  <c r="FE288" i="5"/>
  <c r="JG288" i="5" s="1"/>
  <c r="HW287" i="5"/>
  <c r="HW289" i="5" s="1"/>
  <c r="CR286" i="5"/>
  <c r="HR287" i="5"/>
  <c r="HR289" i="5" s="1"/>
  <c r="EX291" i="5"/>
  <c r="FB291" i="5"/>
  <c r="EY291" i="5" s="1"/>
  <c r="EX298" i="5"/>
  <c r="EX296" i="5"/>
  <c r="FB298" i="5"/>
  <c r="EY298" i="5" s="1"/>
  <c r="HV282" i="5"/>
  <c r="HV284" i="5" s="1"/>
  <c r="FS283" i="5"/>
  <c r="FU283" i="5" s="1"/>
  <c r="CR298" i="5"/>
  <c r="FL296" i="5"/>
  <c r="FS298" i="5"/>
  <c r="FL308" i="5"/>
  <c r="FE308" i="5"/>
  <c r="JG308" i="5" s="1"/>
  <c r="FL306" i="5"/>
  <c r="FS308" i="5"/>
  <c r="HV307" i="5"/>
  <c r="HV309" i="5" s="1"/>
  <c r="CP306" i="5"/>
  <c r="JX316" i="5"/>
  <c r="EX323" i="5"/>
  <c r="FB321" i="5"/>
  <c r="EY321" i="5" s="1"/>
  <c r="FB323" i="5"/>
  <c r="EY323" i="5" s="1"/>
  <c r="EX321" i="5"/>
  <c r="CR296" i="5"/>
  <c r="FO303" i="5"/>
  <c r="CR306" i="5"/>
  <c r="FB313" i="5"/>
  <c r="EY313" i="5" s="1"/>
  <c r="HP312" i="5" s="1"/>
  <c r="HP314" i="5" s="1"/>
  <c r="EX311" i="5"/>
  <c r="FY308" i="5"/>
  <c r="EX316" i="5"/>
  <c r="EX318" i="5"/>
  <c r="FB316" i="5"/>
  <c r="EY316" i="5" s="1"/>
  <c r="FB318" i="5"/>
  <c r="EY318" i="5" s="1"/>
  <c r="HW297" i="5"/>
  <c r="HW299" i="5" s="1"/>
  <c r="FL298" i="5"/>
  <c r="GP302" i="5"/>
  <c r="GO301" i="5"/>
  <c r="GP309" i="5"/>
  <c r="FE303" i="5"/>
  <c r="JG303" i="5" s="1"/>
  <c r="HW302" i="5"/>
  <c r="HW304" i="5" s="1"/>
  <c r="CR303" i="5"/>
  <c r="CR301" i="5"/>
  <c r="FL303" i="5"/>
  <c r="FS303" i="5"/>
  <c r="FL301" i="5"/>
  <c r="HW307" i="5"/>
  <c r="HW309" i="5" s="1"/>
  <c r="HR307" i="5"/>
  <c r="HR309" i="5" s="1"/>
  <c r="JH308" i="5"/>
  <c r="JC308" i="5"/>
  <c r="FS311" i="5"/>
  <c r="GP312" i="5"/>
  <c r="GO311" i="5"/>
  <c r="CP311" i="5"/>
  <c r="FB301" i="5"/>
  <c r="EY301" i="5" s="1"/>
  <c r="HV312" i="5"/>
  <c r="HV314" i="5" s="1"/>
  <c r="FO313" i="5"/>
  <c r="FS316" i="5"/>
  <c r="EX303" i="5"/>
  <c r="HP302" i="5" s="1"/>
  <c r="HP304" i="5" s="1"/>
  <c r="FE313" i="5"/>
  <c r="JG313" i="5" s="1"/>
  <c r="HW312" i="5"/>
  <c r="HW314" i="5" s="1"/>
  <c r="FS313" i="5"/>
  <c r="FT311" i="5"/>
  <c r="FL313" i="5"/>
  <c r="GP319" i="5"/>
  <c r="HR297" i="5"/>
  <c r="HR299" i="5" s="1"/>
  <c r="FB306" i="5"/>
  <c r="EY306" i="5" s="1"/>
  <c r="EX306" i="5"/>
  <c r="CR313" i="5"/>
  <c r="JH323" i="5"/>
  <c r="HR322" i="5"/>
  <c r="HR324" i="5" s="1"/>
  <c r="JC323" i="5"/>
  <c r="FY323" i="5"/>
  <c r="FL316" i="5"/>
  <c r="CR318" i="5"/>
  <c r="FL318" i="5"/>
  <c r="HV317" i="5"/>
  <c r="HV319" i="5" s="1"/>
  <c r="FL321" i="5"/>
  <c r="HV322" i="5"/>
  <c r="HV324" i="5" s="1"/>
  <c r="FS323" i="5"/>
  <c r="HR317" i="5"/>
  <c r="HR319" i="5" s="1"/>
  <c r="CR321" i="5"/>
  <c r="HW322" i="5"/>
  <c r="HW324" i="5" s="1"/>
  <c r="FE323" i="5"/>
  <c r="JG323" i="5" s="1"/>
  <c r="FL323" i="5"/>
  <c r="GO316" i="5"/>
  <c r="EX175" i="5"/>
  <c r="EX173" i="5"/>
  <c r="FB173" i="5"/>
  <c r="EY173" i="5" s="1"/>
  <c r="FB175" i="5"/>
  <c r="EY175" i="5" s="1"/>
  <c r="FY175" i="5"/>
  <c r="JC175" i="5"/>
  <c r="GP176" i="5"/>
  <c r="CR173" i="5"/>
  <c r="FS175" i="5"/>
  <c r="FB180" i="5"/>
  <c r="EY180" i="5" s="1"/>
  <c r="FB178" i="5"/>
  <c r="EY178" i="5" s="1"/>
  <c r="EX178" i="5"/>
  <c r="CP178" i="5"/>
  <c r="FL185" i="5"/>
  <c r="FS185" i="5"/>
  <c r="HV184" i="5"/>
  <c r="HV186" i="5" s="1"/>
  <c r="CR185" i="5"/>
  <c r="HW184" i="5"/>
  <c r="HW186" i="5" s="1"/>
  <c r="FL183" i="5"/>
  <c r="EX180" i="5"/>
  <c r="FS183" i="5"/>
  <c r="FE175" i="5"/>
  <c r="JG175" i="5" s="1"/>
  <c r="FS178" i="5"/>
  <c r="JH210" i="5"/>
  <c r="HR209" i="5"/>
  <c r="HR211" i="5" s="1"/>
  <c r="FL175" i="5"/>
  <c r="FE185" i="5"/>
  <c r="JG185" i="5" s="1"/>
  <c r="GP201" i="5"/>
  <c r="JX198" i="5"/>
  <c r="FO180" i="5"/>
  <c r="HV174" i="5"/>
  <c r="HV176" i="5" s="1"/>
  <c r="FT173" i="5"/>
  <c r="GO173" i="5"/>
  <c r="HW174" i="5"/>
  <c r="HW176" i="5" s="1"/>
  <c r="CR195" i="5"/>
  <c r="FL195" i="5"/>
  <c r="FE195" i="5"/>
  <c r="JG195" i="5" s="1"/>
  <c r="HW194" i="5"/>
  <c r="HW196" i="5" s="1"/>
  <c r="CR193" i="5"/>
  <c r="FS195" i="5"/>
  <c r="HV194" i="5"/>
  <c r="HV196" i="5" s="1"/>
  <c r="FL193" i="5"/>
  <c r="EX195" i="5"/>
  <c r="FB193" i="5"/>
  <c r="EY193" i="5" s="1"/>
  <c r="FB195" i="5"/>
  <c r="EY195" i="5" s="1"/>
  <c r="CR205" i="5"/>
  <c r="FE205" i="5"/>
  <c r="JG205" i="5" s="1"/>
  <c r="HW204" i="5"/>
  <c r="HW206" i="5" s="1"/>
  <c r="FS205" i="5"/>
  <c r="HV204" i="5"/>
  <c r="HV206" i="5" s="1"/>
  <c r="FL205" i="5"/>
  <c r="FL203" i="5"/>
  <c r="CR203" i="5"/>
  <c r="FM215" i="5"/>
  <c r="FB185" i="5"/>
  <c r="EY185" i="5" s="1"/>
  <c r="HP184" i="5" s="1"/>
  <c r="HP186" i="5" s="1"/>
  <c r="FB183" i="5"/>
  <c r="EY183" i="5" s="1"/>
  <c r="FO185" i="5"/>
  <c r="FL188" i="5"/>
  <c r="CR190" i="5"/>
  <c r="FL190" i="5"/>
  <c r="EX193" i="5"/>
  <c r="GO203" i="5"/>
  <c r="GP204" i="5"/>
  <c r="CP213" i="5"/>
  <c r="CP198" i="5"/>
  <c r="FO220" i="5"/>
  <c r="EX188" i="5"/>
  <c r="EX190" i="5"/>
  <c r="HP189" i="5" s="1"/>
  <c r="HP191" i="5" s="1"/>
  <c r="FB188" i="5"/>
  <c r="EY188" i="5" s="1"/>
  <c r="GP191" i="5"/>
  <c r="HW189" i="5"/>
  <c r="HW191" i="5" s="1"/>
  <c r="FE190" i="5"/>
  <c r="JG190" i="5" s="1"/>
  <c r="FM200" i="5"/>
  <c r="CS215" i="5"/>
  <c r="HV179" i="5"/>
  <c r="HV181" i="5" s="1"/>
  <c r="CP188" i="5"/>
  <c r="JH195" i="5"/>
  <c r="HR194" i="5"/>
  <c r="HR196" i="5" s="1"/>
  <c r="FB200" i="5"/>
  <c r="EY200" i="5" s="1"/>
  <c r="EX198" i="5"/>
  <c r="EX200" i="5"/>
  <c r="FB198" i="5"/>
  <c r="EY198" i="5" s="1"/>
  <c r="CP193" i="5"/>
  <c r="HR199" i="5"/>
  <c r="HR201" i="5" s="1"/>
  <c r="CR200" i="5"/>
  <c r="EX203" i="5"/>
  <c r="JX213" i="5"/>
  <c r="GP219" i="5"/>
  <c r="GO218" i="5"/>
  <c r="HR189" i="5"/>
  <c r="HR191" i="5" s="1"/>
  <c r="GO198" i="5"/>
  <c r="FL198" i="5"/>
  <c r="FB203" i="5"/>
  <c r="EY203" i="5" s="1"/>
  <c r="FY210" i="5"/>
  <c r="HV199" i="5"/>
  <c r="HV201" i="5" s="1"/>
  <c r="FS200" i="5"/>
  <c r="FB208" i="5"/>
  <c r="EY208" i="5" s="1"/>
  <c r="FB210" i="5"/>
  <c r="EY210" i="5" s="1"/>
  <c r="HP209" i="5" s="1"/>
  <c r="HP211" i="5" s="1"/>
  <c r="EX208" i="5"/>
  <c r="CP218" i="5"/>
  <c r="CR198" i="5"/>
  <c r="HW199" i="5"/>
  <c r="HW201" i="5" s="1"/>
  <c r="GP209" i="5"/>
  <c r="GP241" i="5"/>
  <c r="HV209" i="5"/>
  <c r="HV211" i="5" s="1"/>
  <c r="FS210" i="5"/>
  <c r="HR204" i="5"/>
  <c r="HR206" i="5" s="1"/>
  <c r="CR208" i="5"/>
  <c r="HW209" i="5"/>
  <c r="HW211" i="5" s="1"/>
  <c r="FE210" i="5"/>
  <c r="JG210" i="5" s="1"/>
  <c r="GP216" i="5"/>
  <c r="CP223" i="5"/>
  <c r="FL210" i="5"/>
  <c r="FL220" i="5"/>
  <c r="FL218" i="5"/>
  <c r="FE220" i="5"/>
  <c r="JG220" i="5" s="1"/>
  <c r="CR220" i="5"/>
  <c r="FS220" i="5"/>
  <c r="HV219" i="5"/>
  <c r="HV221" i="5" s="1"/>
  <c r="CR218" i="5"/>
  <c r="EX218" i="5"/>
  <c r="FB220" i="5"/>
  <c r="EY220" i="5" s="1"/>
  <c r="EX220" i="5"/>
  <c r="FB218" i="5"/>
  <c r="EY218" i="5" s="1"/>
  <c r="GP226" i="5"/>
  <c r="FL213" i="5"/>
  <c r="FM223" i="5"/>
  <c r="FT223" i="5" s="1"/>
  <c r="JH225" i="5"/>
  <c r="HR224" i="5"/>
  <c r="HR226" i="5" s="1"/>
  <c r="CR230" i="5"/>
  <c r="FL230" i="5"/>
  <c r="FE230" i="5"/>
  <c r="JG230" i="5" s="1"/>
  <c r="HW229" i="5"/>
  <c r="HW231" i="5" s="1"/>
  <c r="CR228" i="5"/>
  <c r="HV229" i="5"/>
  <c r="HV231" i="5" s="1"/>
  <c r="FT228" i="5"/>
  <c r="FS230" i="5"/>
  <c r="HV214" i="5"/>
  <c r="HV216" i="5" s="1"/>
  <c r="FS215" i="5"/>
  <c r="JH230" i="5"/>
  <c r="HR229" i="5"/>
  <c r="HR231" i="5" s="1"/>
  <c r="EX245" i="5"/>
  <c r="HP244" i="5" s="1"/>
  <c r="HP246" i="5" s="1"/>
  <c r="EX243" i="5"/>
  <c r="FB243" i="5"/>
  <c r="EY243" i="5" s="1"/>
  <c r="HW214" i="5"/>
  <c r="HW216" i="5" s="1"/>
  <c r="CR225" i="5"/>
  <c r="FL225" i="5"/>
  <c r="FE225" i="5"/>
  <c r="JG225" i="5" s="1"/>
  <c r="FS225" i="5"/>
  <c r="HW224" i="5"/>
  <c r="HW226" i="5" s="1"/>
  <c r="CR223" i="5"/>
  <c r="HV224" i="5"/>
  <c r="HV226" i="5" s="1"/>
  <c r="JH240" i="5"/>
  <c r="HR239" i="5"/>
  <c r="HR241" i="5" s="1"/>
  <c r="JH245" i="5"/>
  <c r="HR244" i="5"/>
  <c r="HR246" i="5" s="1"/>
  <c r="FB223" i="5"/>
  <c r="EY223" i="5" s="1"/>
  <c r="EX230" i="5"/>
  <c r="FB228" i="5"/>
  <c r="EY228" i="5" s="1"/>
  <c r="EX235" i="5"/>
  <c r="HP234" i="5" s="1"/>
  <c r="HP236" i="5" s="1"/>
  <c r="FB233" i="5"/>
  <c r="EY233" i="5" s="1"/>
  <c r="FE235" i="5"/>
  <c r="JG235" i="5" s="1"/>
  <c r="HV239" i="5"/>
  <c r="HV241" i="5" s="1"/>
  <c r="EX240" i="5"/>
  <c r="FB238" i="5"/>
  <c r="EY238" i="5" s="1"/>
  <c r="FL238" i="5"/>
  <c r="CR240" i="5"/>
  <c r="FL240" i="5"/>
  <c r="FE240" i="5"/>
  <c r="JG240" i="5" s="1"/>
  <c r="HW239" i="5"/>
  <c r="HW241" i="5" s="1"/>
  <c r="CR238" i="5"/>
  <c r="FL235" i="5"/>
  <c r="FL233" i="5"/>
  <c r="CR235" i="5"/>
  <c r="HW234" i="5"/>
  <c r="HW236" i="5" s="1"/>
  <c r="CR233" i="5"/>
  <c r="CR245" i="5"/>
  <c r="FL245" i="5"/>
  <c r="FE245" i="5"/>
  <c r="JG245" i="5" s="1"/>
  <c r="HW244" i="5"/>
  <c r="HW246" i="5" s="1"/>
  <c r="CR243" i="5"/>
  <c r="FL243" i="5"/>
  <c r="HR234" i="5"/>
  <c r="HR236" i="5" s="1"/>
  <c r="CP243" i="5"/>
  <c r="O168" i="5"/>
  <c r="M168" i="5"/>
  <c r="GI167" i="5"/>
  <c r="FN167" i="5"/>
  <c r="FO167" i="5" s="1"/>
  <c r="JH167" i="5" s="1"/>
  <c r="EZ167" i="5"/>
  <c r="DH167" i="5"/>
  <c r="O167" i="5"/>
  <c r="HY166" i="5"/>
  <c r="HY168" i="5" s="1"/>
  <c r="HT166" i="5"/>
  <c r="HT168" i="5" s="1"/>
  <c r="HS168" i="5"/>
  <c r="N166" i="5"/>
  <c r="CP165" i="5" s="1"/>
  <c r="GR165" i="5"/>
  <c r="GP165" i="5"/>
  <c r="GP166" i="5" s="1"/>
  <c r="GI165" i="5"/>
  <c r="FC165" i="5"/>
  <c r="EV165" i="5"/>
  <c r="CS165" i="5"/>
  <c r="CS167" i="5" s="1"/>
  <c r="EX167" i="5" s="1"/>
  <c r="CQ165" i="5"/>
  <c r="CR167" i="5" s="1"/>
  <c r="AV165" i="5"/>
  <c r="O163" i="5"/>
  <c r="M163" i="5"/>
  <c r="GI162" i="5"/>
  <c r="FN162" i="5"/>
  <c r="FO162" i="5" s="1"/>
  <c r="EZ162" i="5"/>
  <c r="DH162" i="5"/>
  <c r="O162" i="5"/>
  <c r="HY161" i="5"/>
  <c r="HY163" i="5" s="1"/>
  <c r="HT161" i="5"/>
  <c r="HT163" i="5" s="1"/>
  <c r="HS163" i="5"/>
  <c r="N161" i="5"/>
  <c r="CP160" i="5" s="1"/>
  <c r="GR160" i="5"/>
  <c r="GP160" i="5"/>
  <c r="GP161" i="5" s="1"/>
  <c r="GI160" i="5"/>
  <c r="FC160" i="5"/>
  <c r="EV160" i="5"/>
  <c r="CS160" i="5"/>
  <c r="CS162" i="5" s="1"/>
  <c r="CQ160" i="5"/>
  <c r="CR162" i="5" s="1"/>
  <c r="AV160" i="5"/>
  <c r="O158" i="5"/>
  <c r="M158" i="5"/>
  <c r="GI157" i="5"/>
  <c r="FN157" i="5"/>
  <c r="FO157" i="5" s="1"/>
  <c r="JH157" i="5" s="1"/>
  <c r="EZ157" i="5"/>
  <c r="DH157" i="5"/>
  <c r="O157" i="5"/>
  <c r="HY156" i="5"/>
  <c r="HY158" i="5" s="1"/>
  <c r="HT156" i="5"/>
  <c r="HT158" i="5" s="1"/>
  <c r="HS158" i="5"/>
  <c r="N156" i="5"/>
  <c r="CP155" i="5" s="1"/>
  <c r="GR155" i="5"/>
  <c r="GP155" i="5"/>
  <c r="GP156" i="5" s="1"/>
  <c r="GI155" i="5"/>
  <c r="FC155" i="5"/>
  <c r="EV155" i="5"/>
  <c r="CS155" i="5"/>
  <c r="CS157" i="5" s="1"/>
  <c r="CQ155" i="5"/>
  <c r="CR157" i="5" s="1"/>
  <c r="AV155" i="5"/>
  <c r="O153" i="5"/>
  <c r="M153" i="5"/>
  <c r="GI152" i="5"/>
  <c r="FN152" i="5"/>
  <c r="FO152" i="5" s="1"/>
  <c r="JH152" i="5" s="1"/>
  <c r="EZ152" i="5"/>
  <c r="DH152" i="5"/>
  <c r="O152" i="5"/>
  <c r="HY151" i="5"/>
  <c r="HY153" i="5" s="1"/>
  <c r="HT151" i="5"/>
  <c r="HT153" i="5" s="1"/>
  <c r="HS153" i="5"/>
  <c r="N151" i="5"/>
  <c r="CP150" i="5" s="1"/>
  <c r="GR150" i="5"/>
  <c r="GP150" i="5"/>
  <c r="GP151" i="5" s="1"/>
  <c r="GI150" i="5"/>
  <c r="FC150" i="5"/>
  <c r="EV150" i="5"/>
  <c r="CS150" i="5"/>
  <c r="CS152" i="5" s="1"/>
  <c r="CQ150" i="5"/>
  <c r="CR152" i="5" s="1"/>
  <c r="AV150" i="5"/>
  <c r="O148" i="5"/>
  <c r="M148" i="5"/>
  <c r="GI147" i="5"/>
  <c r="FN147" i="5"/>
  <c r="FO147" i="5" s="1"/>
  <c r="JH147" i="5" s="1"/>
  <c r="EZ147" i="5"/>
  <c r="DH147" i="5"/>
  <c r="O147" i="5"/>
  <c r="HY146" i="5"/>
  <c r="HY148" i="5" s="1"/>
  <c r="HT146" i="5"/>
  <c r="HT148" i="5" s="1"/>
  <c r="HS148" i="5"/>
  <c r="N146" i="5"/>
  <c r="CP145" i="5" s="1"/>
  <c r="GR145" i="5"/>
  <c r="GP145" i="5"/>
  <c r="GP146" i="5" s="1"/>
  <c r="GI145" i="5"/>
  <c r="FC145" i="5"/>
  <c r="EV145" i="5"/>
  <c r="CS145" i="5"/>
  <c r="CS147" i="5" s="1"/>
  <c r="CQ145" i="5"/>
  <c r="CR147" i="5" s="1"/>
  <c r="AV145" i="5"/>
  <c r="O143" i="5"/>
  <c r="M143" i="5"/>
  <c r="GI142" i="5"/>
  <c r="FN142" i="5"/>
  <c r="FO142" i="5" s="1"/>
  <c r="JH142" i="5" s="1"/>
  <c r="EZ142" i="5"/>
  <c r="DH142" i="5"/>
  <c r="O142" i="5"/>
  <c r="HY141" i="5"/>
  <c r="HY143" i="5" s="1"/>
  <c r="HT141" i="5"/>
  <c r="HT143" i="5" s="1"/>
  <c r="HS143" i="5"/>
  <c r="N141" i="5"/>
  <c r="CP140" i="5" s="1"/>
  <c r="GR140" i="5"/>
  <c r="GP140" i="5"/>
  <c r="GP141" i="5" s="1"/>
  <c r="GI140" i="5"/>
  <c r="FC140" i="5"/>
  <c r="EV140" i="5"/>
  <c r="CS140" i="5"/>
  <c r="CS142" i="5" s="1"/>
  <c r="EX142" i="5" s="1"/>
  <c r="CQ140" i="5"/>
  <c r="CR142" i="5" s="1"/>
  <c r="AV140" i="5"/>
  <c r="O138" i="5"/>
  <c r="M138" i="5"/>
  <c r="GI137" i="5"/>
  <c r="FN137" i="5"/>
  <c r="FO137" i="5" s="1"/>
  <c r="JH137" i="5" s="1"/>
  <c r="EZ137" i="5"/>
  <c r="DH137" i="5"/>
  <c r="O137" i="5"/>
  <c r="HY136" i="5"/>
  <c r="HY138" i="5" s="1"/>
  <c r="HT136" i="5"/>
  <c r="HT138" i="5" s="1"/>
  <c r="HS138" i="5"/>
  <c r="N136" i="5"/>
  <c r="CP135" i="5" s="1"/>
  <c r="GR135" i="5"/>
  <c r="GP135" i="5"/>
  <c r="GP136" i="5" s="1"/>
  <c r="GI135" i="5"/>
  <c r="FC135" i="5"/>
  <c r="EV135" i="5"/>
  <c r="CS135" i="5"/>
  <c r="CS137" i="5" s="1"/>
  <c r="EX137" i="5" s="1"/>
  <c r="CQ135" i="5"/>
  <c r="CR137" i="5" s="1"/>
  <c r="AV135" i="5"/>
  <c r="O133" i="5"/>
  <c r="M133" i="5"/>
  <c r="GI132" i="5"/>
  <c r="FN132" i="5"/>
  <c r="FO132" i="5" s="1"/>
  <c r="JH132" i="5" s="1"/>
  <c r="EZ132" i="5"/>
  <c r="DH132" i="5"/>
  <c r="O132" i="5"/>
  <c r="HY131" i="5"/>
  <c r="HY133" i="5" s="1"/>
  <c r="HT131" i="5"/>
  <c r="HT133" i="5" s="1"/>
  <c r="HS133" i="5"/>
  <c r="N131" i="5"/>
  <c r="CP130" i="5" s="1"/>
  <c r="GR130" i="5"/>
  <c r="GP130" i="5"/>
  <c r="GP131" i="5" s="1"/>
  <c r="GI130" i="5"/>
  <c r="FC130" i="5"/>
  <c r="EV130" i="5"/>
  <c r="CS130" i="5"/>
  <c r="CS132" i="5" s="1"/>
  <c r="EX132" i="5" s="1"/>
  <c r="CQ130" i="5"/>
  <c r="CR132" i="5" s="1"/>
  <c r="AV130" i="5"/>
  <c r="O128" i="5"/>
  <c r="M128" i="5"/>
  <c r="GI127" i="5"/>
  <c r="FN127" i="5"/>
  <c r="FO127" i="5" s="1"/>
  <c r="JH127" i="5" s="1"/>
  <c r="EZ127" i="5"/>
  <c r="DH127" i="5"/>
  <c r="O127" i="5"/>
  <c r="HY126" i="5"/>
  <c r="HY128" i="5" s="1"/>
  <c r="HT126" i="5"/>
  <c r="HT128" i="5" s="1"/>
  <c r="HS128" i="5"/>
  <c r="N126" i="5"/>
  <c r="CP125" i="5" s="1"/>
  <c r="GR125" i="5"/>
  <c r="GP125" i="5"/>
  <c r="GP126" i="5" s="1"/>
  <c r="GI125" i="5"/>
  <c r="FC125" i="5"/>
  <c r="EV125" i="5"/>
  <c r="CS125" i="5"/>
  <c r="CS127" i="5" s="1"/>
  <c r="EX127" i="5" s="1"/>
  <c r="CQ125" i="5"/>
  <c r="CR127" i="5" s="1"/>
  <c r="AV125" i="5"/>
  <c r="O123" i="5"/>
  <c r="M123" i="5"/>
  <c r="GI122" i="5"/>
  <c r="FN122" i="5"/>
  <c r="FO122" i="5" s="1"/>
  <c r="JH122" i="5" s="1"/>
  <c r="EZ122" i="5"/>
  <c r="DH122" i="5"/>
  <c r="O122" i="5"/>
  <c r="HY121" i="5"/>
  <c r="HY123" i="5" s="1"/>
  <c r="HT121" i="5"/>
  <c r="HT123" i="5" s="1"/>
  <c r="HS123" i="5"/>
  <c r="N121" i="5"/>
  <c r="CP120" i="5" s="1"/>
  <c r="GR120" i="5"/>
  <c r="GP120" i="5"/>
  <c r="GP121" i="5" s="1"/>
  <c r="GI120" i="5"/>
  <c r="FC120" i="5"/>
  <c r="EV120" i="5"/>
  <c r="CS120" i="5"/>
  <c r="CS122" i="5" s="1"/>
  <c r="EX122" i="5" s="1"/>
  <c r="CQ120" i="5"/>
  <c r="CR122" i="5" s="1"/>
  <c r="AV120" i="5"/>
  <c r="O118" i="5"/>
  <c r="M118" i="5"/>
  <c r="GI117" i="5"/>
  <c r="FN117" i="5"/>
  <c r="FO117" i="5" s="1"/>
  <c r="JH117" i="5" s="1"/>
  <c r="EZ117" i="5"/>
  <c r="DH117" i="5"/>
  <c r="O117" i="5"/>
  <c r="HY116" i="5"/>
  <c r="HY118" i="5" s="1"/>
  <c r="HT116" i="5"/>
  <c r="HT118" i="5" s="1"/>
  <c r="HS118" i="5"/>
  <c r="N116" i="5"/>
  <c r="CP115" i="5" s="1"/>
  <c r="GR115" i="5"/>
  <c r="GP115" i="5"/>
  <c r="GP116" i="5" s="1"/>
  <c r="GP118" i="5" s="1"/>
  <c r="GI115" i="5"/>
  <c r="FC115" i="5"/>
  <c r="EV115" i="5"/>
  <c r="CS115" i="5"/>
  <c r="CS117" i="5" s="1"/>
  <c r="CQ115" i="5"/>
  <c r="FL117" i="5" s="1"/>
  <c r="AV115" i="5"/>
  <c r="O113" i="5"/>
  <c r="M113" i="5"/>
  <c r="GI112" i="5"/>
  <c r="FN112" i="5"/>
  <c r="FO112" i="5" s="1"/>
  <c r="JH112" i="5" s="1"/>
  <c r="EZ112" i="5"/>
  <c r="DH112" i="5"/>
  <c r="O112" i="5"/>
  <c r="HY111" i="5"/>
  <c r="HY113" i="5" s="1"/>
  <c r="HT111" i="5"/>
  <c r="HT113" i="5" s="1"/>
  <c r="HS113" i="5"/>
  <c r="N111" i="5"/>
  <c r="CP110" i="5" s="1"/>
  <c r="GR110" i="5"/>
  <c r="GP110" i="5"/>
  <c r="GP111" i="5" s="1"/>
  <c r="GI110" i="5"/>
  <c r="FC110" i="5"/>
  <c r="EV110" i="5"/>
  <c r="CS110" i="5"/>
  <c r="CS112" i="5" s="1"/>
  <c r="EX112" i="5" s="1"/>
  <c r="CQ110" i="5"/>
  <c r="CR112" i="5" s="1"/>
  <c r="AV110" i="5"/>
  <c r="O108" i="5"/>
  <c r="M108" i="5"/>
  <c r="GI107" i="5"/>
  <c r="FN107" i="5"/>
  <c r="FO107" i="5" s="1"/>
  <c r="JH107" i="5" s="1"/>
  <c r="EZ107" i="5"/>
  <c r="DH107" i="5"/>
  <c r="O107" i="5"/>
  <c r="HY106" i="5"/>
  <c r="HY108" i="5" s="1"/>
  <c r="HT106" i="5"/>
  <c r="HT108" i="5" s="1"/>
  <c r="HS108" i="5"/>
  <c r="N106" i="5"/>
  <c r="CP105" i="5" s="1"/>
  <c r="GR105" i="5"/>
  <c r="GP105" i="5"/>
  <c r="GP106" i="5" s="1"/>
  <c r="GI105" i="5"/>
  <c r="FC105" i="5"/>
  <c r="EV105" i="5"/>
  <c r="CS105" i="5"/>
  <c r="CS107" i="5" s="1"/>
  <c r="EX107" i="5" s="1"/>
  <c r="CQ105" i="5"/>
  <c r="CR107" i="5" s="1"/>
  <c r="AV105" i="5"/>
  <c r="O103" i="5"/>
  <c r="M103" i="5"/>
  <c r="GI102" i="5"/>
  <c r="FN102" i="5"/>
  <c r="FO102" i="5" s="1"/>
  <c r="EZ102" i="5"/>
  <c r="DH102" i="5"/>
  <c r="O102" i="5"/>
  <c r="HY101" i="5"/>
  <c r="HY103" i="5" s="1"/>
  <c r="HT101" i="5"/>
  <c r="HT103" i="5" s="1"/>
  <c r="HS103" i="5"/>
  <c r="N101" i="5"/>
  <c r="CP100" i="5" s="1"/>
  <c r="GR100" i="5"/>
  <c r="GP100" i="5"/>
  <c r="GP101" i="5" s="1"/>
  <c r="GI100" i="5"/>
  <c r="FC100" i="5"/>
  <c r="EV100" i="5"/>
  <c r="CS100" i="5"/>
  <c r="CS102" i="5" s="1"/>
  <c r="CQ100" i="5"/>
  <c r="HW101" i="5" s="1"/>
  <c r="HW103" i="5" s="1"/>
  <c r="AV100" i="5"/>
  <c r="O98" i="5"/>
  <c r="M98" i="5"/>
  <c r="GI97" i="5"/>
  <c r="FN97" i="5"/>
  <c r="FO97" i="5" s="1"/>
  <c r="JH97" i="5" s="1"/>
  <c r="EZ97" i="5"/>
  <c r="DH97" i="5"/>
  <c r="O97" i="5"/>
  <c r="HY96" i="5"/>
  <c r="HY98" i="5" s="1"/>
  <c r="HT96" i="5"/>
  <c r="HT98" i="5" s="1"/>
  <c r="HS98" i="5"/>
  <c r="N96" i="5"/>
  <c r="CP95" i="5" s="1"/>
  <c r="GR95" i="5"/>
  <c r="GP95" i="5"/>
  <c r="GP96" i="5" s="1"/>
  <c r="GI95" i="5"/>
  <c r="FC95" i="5"/>
  <c r="EV95" i="5"/>
  <c r="CS95" i="5"/>
  <c r="CS97" i="5" s="1"/>
  <c r="EX97" i="5" s="1"/>
  <c r="CQ95" i="5"/>
  <c r="CR97" i="5" s="1"/>
  <c r="AV95" i="5"/>
  <c r="O90" i="5"/>
  <c r="M90" i="5"/>
  <c r="GI89" i="5"/>
  <c r="FN89" i="5"/>
  <c r="FO89" i="5" s="1"/>
  <c r="JH89" i="5" s="1"/>
  <c r="EZ89" i="5"/>
  <c r="DH89" i="5"/>
  <c r="O89" i="5"/>
  <c r="HY88" i="5"/>
  <c r="HY90" i="5" s="1"/>
  <c r="HT88" i="5"/>
  <c r="HT90" i="5" s="1"/>
  <c r="HS90" i="5"/>
  <c r="N88" i="5"/>
  <c r="CP87" i="5" s="1"/>
  <c r="GR87" i="5"/>
  <c r="GP87" i="5"/>
  <c r="GP88" i="5" s="1"/>
  <c r="GI87" i="5"/>
  <c r="FC87" i="5"/>
  <c r="EV87" i="5"/>
  <c r="CS87" i="5"/>
  <c r="CS89" i="5" s="1"/>
  <c r="EX89" i="5" s="1"/>
  <c r="CQ87" i="5"/>
  <c r="CR89" i="5" s="1"/>
  <c r="AV87" i="5"/>
  <c r="O85" i="5"/>
  <c r="M85" i="5"/>
  <c r="GI84" i="5"/>
  <c r="FN84" i="5"/>
  <c r="FO84" i="5" s="1"/>
  <c r="EZ84" i="5"/>
  <c r="DH84" i="5"/>
  <c r="O84" i="5"/>
  <c r="HY83" i="5"/>
  <c r="HY85" i="5" s="1"/>
  <c r="HT83" i="5"/>
  <c r="HT85" i="5" s="1"/>
  <c r="HS85" i="5"/>
  <c r="N83" i="5"/>
  <c r="CP82" i="5" s="1"/>
  <c r="GR82" i="5"/>
  <c r="GP82" i="5"/>
  <c r="GP83" i="5" s="1"/>
  <c r="GI82" i="5"/>
  <c r="FC82" i="5"/>
  <c r="EV82" i="5"/>
  <c r="CS82" i="5"/>
  <c r="CS84" i="5" s="1"/>
  <c r="CQ82" i="5"/>
  <c r="CR84" i="5" s="1"/>
  <c r="AV82" i="5"/>
  <c r="O80" i="5"/>
  <c r="M80" i="5"/>
  <c r="GI79" i="5"/>
  <c r="FN79" i="5"/>
  <c r="FO79" i="5" s="1"/>
  <c r="JH79" i="5" s="1"/>
  <c r="EZ79" i="5"/>
  <c r="DH79" i="5"/>
  <c r="O79" i="5"/>
  <c r="HY78" i="5"/>
  <c r="HY80" i="5" s="1"/>
  <c r="HT78" i="5"/>
  <c r="HT80" i="5" s="1"/>
  <c r="HS80" i="5"/>
  <c r="N78" i="5"/>
  <c r="GR77" i="5"/>
  <c r="GP77" i="5"/>
  <c r="GP78" i="5" s="1"/>
  <c r="GI77" i="5"/>
  <c r="FC77" i="5"/>
  <c r="EV77" i="5"/>
  <c r="CS77" i="5"/>
  <c r="CS79" i="5" s="1"/>
  <c r="EX79" i="5" s="1"/>
  <c r="CQ77" i="5"/>
  <c r="CR79" i="5" s="1"/>
  <c r="AV77" i="5"/>
  <c r="O75" i="5"/>
  <c r="M75" i="5"/>
  <c r="GI74" i="5"/>
  <c r="FN74" i="5"/>
  <c r="FO74" i="5" s="1"/>
  <c r="JH74" i="5" s="1"/>
  <c r="EZ74" i="5"/>
  <c r="DH74" i="5"/>
  <c r="O74" i="5"/>
  <c r="HY73" i="5"/>
  <c r="HY75" i="5" s="1"/>
  <c r="HT73" i="5"/>
  <c r="HT75" i="5" s="1"/>
  <c r="HS75" i="5"/>
  <c r="N73" i="5"/>
  <c r="CP72" i="5" s="1"/>
  <c r="GR72" i="5"/>
  <c r="GP72" i="5"/>
  <c r="GP73" i="5" s="1"/>
  <c r="GI72" i="5"/>
  <c r="FC72" i="5"/>
  <c r="EV72" i="5"/>
  <c r="CS72" i="5"/>
  <c r="CS74" i="5" s="1"/>
  <c r="CQ72" i="5"/>
  <c r="CR74" i="5" s="1"/>
  <c r="AV72" i="5"/>
  <c r="O70" i="5"/>
  <c r="M70" i="5"/>
  <c r="GI69" i="5"/>
  <c r="FN69" i="5"/>
  <c r="FO69" i="5" s="1"/>
  <c r="JH69" i="5" s="1"/>
  <c r="EZ69" i="5"/>
  <c r="DH69" i="5"/>
  <c r="O69" i="5"/>
  <c r="HY68" i="5"/>
  <c r="HY70" i="5" s="1"/>
  <c r="HT68" i="5"/>
  <c r="HT70" i="5" s="1"/>
  <c r="HS70" i="5"/>
  <c r="N68" i="5"/>
  <c r="CP67" i="5" s="1"/>
  <c r="GR67" i="5"/>
  <c r="GP67" i="5"/>
  <c r="GP68" i="5" s="1"/>
  <c r="GI67" i="5"/>
  <c r="FC67" i="5"/>
  <c r="EV67" i="5"/>
  <c r="CS67" i="5"/>
  <c r="CS69" i="5" s="1"/>
  <c r="EX69" i="5" s="1"/>
  <c r="CQ67" i="5"/>
  <c r="CR69" i="5" s="1"/>
  <c r="AV67" i="5"/>
  <c r="O65" i="5"/>
  <c r="M65" i="5"/>
  <c r="GI64" i="5"/>
  <c r="FN64" i="5"/>
  <c r="FO64" i="5" s="1"/>
  <c r="JH64" i="5" s="1"/>
  <c r="EZ64" i="5"/>
  <c r="DH64" i="5"/>
  <c r="O64" i="5"/>
  <c r="HY63" i="5"/>
  <c r="HY65" i="5" s="1"/>
  <c r="HT63" i="5"/>
  <c r="HT65" i="5" s="1"/>
  <c r="HS65" i="5"/>
  <c r="N63" i="5"/>
  <c r="CP62" i="5" s="1"/>
  <c r="GR62" i="5"/>
  <c r="GP62" i="5"/>
  <c r="GP63" i="5" s="1"/>
  <c r="GI62" i="5"/>
  <c r="FC62" i="5"/>
  <c r="EV62" i="5"/>
  <c r="CS62" i="5"/>
  <c r="CS64" i="5" s="1"/>
  <c r="EX64" i="5" s="1"/>
  <c r="CQ62" i="5"/>
  <c r="CR64" i="5" s="1"/>
  <c r="AV62" i="5"/>
  <c r="O60" i="5"/>
  <c r="M60" i="5"/>
  <c r="GI59" i="5"/>
  <c r="FN59" i="5"/>
  <c r="FO59" i="5" s="1"/>
  <c r="JH59" i="5" s="1"/>
  <c r="EZ59" i="5"/>
  <c r="DH59" i="5"/>
  <c r="O59" i="5"/>
  <c r="HY58" i="5"/>
  <c r="HY60" i="5" s="1"/>
  <c r="HT58" i="5"/>
  <c r="HT60" i="5" s="1"/>
  <c r="HS60" i="5"/>
  <c r="N58" i="5"/>
  <c r="CP57" i="5" s="1"/>
  <c r="GR57" i="5"/>
  <c r="GP57" i="5"/>
  <c r="GP58" i="5" s="1"/>
  <c r="GI57" i="5"/>
  <c r="FC57" i="5"/>
  <c r="EV57" i="5"/>
  <c r="CS57" i="5"/>
  <c r="CS59" i="5" s="1"/>
  <c r="EX59" i="5" s="1"/>
  <c r="CQ57" i="5"/>
  <c r="CR59" i="5" s="1"/>
  <c r="AV57" i="5"/>
  <c r="O55" i="5"/>
  <c r="M55" i="5"/>
  <c r="GI54" i="5"/>
  <c r="FN54" i="5"/>
  <c r="FO54" i="5" s="1"/>
  <c r="EZ54" i="5"/>
  <c r="DH54" i="5"/>
  <c r="O54" i="5"/>
  <c r="HY53" i="5"/>
  <c r="HY55" i="5" s="1"/>
  <c r="HT53" i="5"/>
  <c r="HT55" i="5" s="1"/>
  <c r="HS55" i="5"/>
  <c r="N53" i="5"/>
  <c r="CP52" i="5" s="1"/>
  <c r="GR52" i="5"/>
  <c r="GP52" i="5"/>
  <c r="GP53" i="5" s="1"/>
  <c r="GI52" i="5"/>
  <c r="FC52" i="5"/>
  <c r="EV52" i="5"/>
  <c r="CS52" i="5"/>
  <c r="CQ52" i="5"/>
  <c r="CR54" i="5" s="1"/>
  <c r="AV52" i="5"/>
  <c r="O50" i="5"/>
  <c r="M50" i="5"/>
  <c r="GI49" i="5"/>
  <c r="FN49" i="5"/>
  <c r="FO49" i="5" s="1"/>
  <c r="JH49" i="5" s="1"/>
  <c r="EZ49" i="5"/>
  <c r="DH49" i="5"/>
  <c r="O49" i="5"/>
  <c r="HY48" i="5"/>
  <c r="HY50" i="5" s="1"/>
  <c r="HT48" i="5"/>
  <c r="HT50" i="5" s="1"/>
  <c r="HS50" i="5"/>
  <c r="N48" i="5"/>
  <c r="GR47" i="5"/>
  <c r="GP47" i="5"/>
  <c r="GP48" i="5" s="1"/>
  <c r="GI47" i="5"/>
  <c r="FC47" i="5"/>
  <c r="EV47" i="5"/>
  <c r="CS47" i="5"/>
  <c r="CS49" i="5" s="1"/>
  <c r="EX49" i="5" s="1"/>
  <c r="CQ47" i="5"/>
  <c r="CR49" i="5" s="1"/>
  <c r="AV47" i="5"/>
  <c r="FU623" i="5" l="1"/>
  <c r="IW364" i="5"/>
  <c r="IQ364" i="5"/>
  <c r="IR364" i="5"/>
  <c r="IS364" i="5"/>
  <c r="JA364" i="5"/>
  <c r="IV364" i="5"/>
  <c r="JA291" i="5"/>
  <c r="IZ291" i="5"/>
  <c r="IV291" i="5"/>
  <c r="IW394" i="5"/>
  <c r="IQ374" i="5"/>
  <c r="IV276" i="5"/>
  <c r="IR381" i="5"/>
  <c r="FS394" i="5"/>
  <c r="FU394" i="5" s="1"/>
  <c r="IW291" i="5"/>
  <c r="IX394" i="5"/>
  <c r="IY374" i="5"/>
  <c r="IW276" i="5"/>
  <c r="IT381" i="5"/>
  <c r="IZ381" i="5"/>
  <c r="FS276" i="5"/>
  <c r="JC381" i="5"/>
  <c r="JV379" i="5" s="1"/>
  <c r="IX291" i="5"/>
  <c r="IQ394" i="5"/>
  <c r="IR374" i="5"/>
  <c r="IX276" i="5"/>
  <c r="IS381" i="5"/>
  <c r="FS291" i="5"/>
  <c r="FY381" i="5"/>
  <c r="IQ291" i="5"/>
  <c r="IY394" i="5"/>
  <c r="IU374" i="5"/>
  <c r="IZ374" i="5"/>
  <c r="IZ276" i="5"/>
  <c r="JA381" i="5"/>
  <c r="IU291" i="5"/>
  <c r="FS374" i="5"/>
  <c r="IT291" i="5"/>
  <c r="IY291" i="5"/>
  <c r="IR394" i="5"/>
  <c r="IT374" i="5"/>
  <c r="IS374" i="5"/>
  <c r="IT276" i="5"/>
  <c r="IU381" i="5"/>
  <c r="IS291" i="5"/>
  <c r="IU394" i="5"/>
  <c r="IV374" i="5"/>
  <c r="IV381" i="5"/>
  <c r="JC215" i="5"/>
  <c r="JV213" i="5" s="1"/>
  <c r="JC180" i="5"/>
  <c r="IZ316" i="5"/>
  <c r="IZ215" i="5"/>
  <c r="IW213" i="5"/>
  <c r="IT213" i="5"/>
  <c r="IX213" i="5"/>
  <c r="IQ213" i="5"/>
  <c r="IY213" i="5"/>
  <c r="IR213" i="5"/>
  <c r="IZ213" i="5"/>
  <c r="IV213" i="5"/>
  <c r="FU376" i="5"/>
  <c r="FA183" i="5"/>
  <c r="HO184" i="5"/>
  <c r="HO186" i="5" s="1"/>
  <c r="HP307" i="5"/>
  <c r="HP309" i="5" s="1"/>
  <c r="HP350" i="5"/>
  <c r="HP352" i="5" s="1"/>
  <c r="HO234" i="5"/>
  <c r="HO236" i="5" s="1"/>
  <c r="FA233" i="5"/>
  <c r="HO277" i="5"/>
  <c r="HO279" i="5" s="1"/>
  <c r="HP330" i="5"/>
  <c r="HP332" i="5" s="1"/>
  <c r="FA301" i="5"/>
  <c r="HO380" i="5"/>
  <c r="HO382" i="5" s="1"/>
  <c r="FA230" i="5"/>
  <c r="HO229" i="5"/>
  <c r="HO231" i="5" s="1"/>
  <c r="HO302" i="5"/>
  <c r="HO304" i="5" s="1"/>
  <c r="HP229" i="5"/>
  <c r="HP231" i="5" s="1"/>
  <c r="FA278" i="5"/>
  <c r="FA223" i="5"/>
  <c r="FU364" i="5"/>
  <c r="HO267" i="5"/>
  <c r="HO269" i="5" s="1"/>
  <c r="HP239" i="5"/>
  <c r="HP241" i="5" s="1"/>
  <c r="FU268" i="5"/>
  <c r="FA266" i="5"/>
  <c r="FA238" i="5"/>
  <c r="HO239" i="5"/>
  <c r="HO241" i="5" s="1"/>
  <c r="HP390" i="5"/>
  <c r="HP392" i="5" s="1"/>
  <c r="HO224" i="5"/>
  <c r="HO226" i="5" s="1"/>
  <c r="HP224" i="5"/>
  <c r="HP226" i="5" s="1"/>
  <c r="HP579" i="5"/>
  <c r="HP581" i="5" s="1"/>
  <c r="FU505" i="5"/>
  <c r="HP385" i="5"/>
  <c r="HP387" i="5" s="1"/>
  <c r="FA381" i="5"/>
  <c r="FA379" i="5"/>
  <c r="HP380" i="5"/>
  <c r="HP382" i="5" s="1"/>
  <c r="IW381" i="5"/>
  <c r="IX364" i="5"/>
  <c r="IT364" i="5"/>
  <c r="IZ364" i="5"/>
  <c r="IU364" i="5"/>
  <c r="IY364" i="5"/>
  <c r="FU271" i="5"/>
  <c r="HP257" i="5"/>
  <c r="HP259" i="5" s="1"/>
  <c r="IY215" i="5"/>
  <c r="IS215" i="5"/>
  <c r="JA215" i="5"/>
  <c r="IQ215" i="5"/>
  <c r="HP179" i="5"/>
  <c r="HP181" i="5" s="1"/>
  <c r="GK165" i="5"/>
  <c r="HM166" i="5" s="1"/>
  <c r="HM168" i="5" s="1"/>
  <c r="GK160" i="5"/>
  <c r="HM161" i="5" s="1"/>
  <c r="HM163" i="5" s="1"/>
  <c r="CR150" i="5"/>
  <c r="FS150" i="5" s="1"/>
  <c r="HR146" i="5"/>
  <c r="HR148" i="5" s="1"/>
  <c r="GK145" i="5"/>
  <c r="HM146" i="5" s="1"/>
  <c r="HM148" i="5" s="1"/>
  <c r="EX147" i="5"/>
  <c r="FB145" i="5"/>
  <c r="EY145" i="5" s="1"/>
  <c r="FB147" i="5"/>
  <c r="EY147" i="5" s="1"/>
  <c r="EX145" i="5"/>
  <c r="FA147" i="5" s="1"/>
  <c r="GK140" i="5"/>
  <c r="HM141" i="5" s="1"/>
  <c r="HM143" i="5" s="1"/>
  <c r="GK135" i="5"/>
  <c r="HM136" i="5" s="1"/>
  <c r="HM138" i="5" s="1"/>
  <c r="GK130" i="5"/>
  <c r="HM131" i="5" s="1"/>
  <c r="HM133" i="5" s="1"/>
  <c r="GK125" i="5"/>
  <c r="HM126" i="5" s="1"/>
  <c r="HM128" i="5" s="1"/>
  <c r="GK120" i="5"/>
  <c r="HM121" i="5" s="1"/>
  <c r="HM123" i="5" s="1"/>
  <c r="GK115" i="5"/>
  <c r="HM116" i="5" s="1"/>
  <c r="HM118" i="5" s="1"/>
  <c r="HR116" i="5"/>
  <c r="HR118" i="5" s="1"/>
  <c r="EX117" i="5"/>
  <c r="FB115" i="5"/>
  <c r="EY115" i="5" s="1"/>
  <c r="FB117" i="5"/>
  <c r="EY117" i="5" s="1"/>
  <c r="EX115" i="5"/>
  <c r="FA117" i="5" s="1"/>
  <c r="GK110" i="5"/>
  <c r="HM111" i="5" s="1"/>
  <c r="HM113" i="5" s="1"/>
  <c r="GK105" i="5"/>
  <c r="HM106" i="5" s="1"/>
  <c r="HM108" i="5" s="1"/>
  <c r="GK100" i="5"/>
  <c r="HM101" i="5" s="1"/>
  <c r="HM103" i="5" s="1"/>
  <c r="GK95" i="5"/>
  <c r="HM96" i="5" s="1"/>
  <c r="HM98" i="5" s="1"/>
  <c r="GK87" i="5"/>
  <c r="HM88" i="5" s="1"/>
  <c r="HM90" i="5" s="1"/>
  <c r="GK82" i="5"/>
  <c r="HM83" i="5" s="1"/>
  <c r="HM85" i="5" s="1"/>
  <c r="GK77" i="5"/>
  <c r="HM78" i="5" s="1"/>
  <c r="HM80" i="5" s="1"/>
  <c r="GK72" i="5"/>
  <c r="HM73" i="5" s="1"/>
  <c r="HM75" i="5" s="1"/>
  <c r="EX74" i="5"/>
  <c r="FB74" i="5"/>
  <c r="EY74" i="5" s="1"/>
  <c r="GK67" i="5"/>
  <c r="HM68" i="5" s="1"/>
  <c r="HM70" i="5" s="1"/>
  <c r="GK62" i="5"/>
  <c r="HM63" i="5" s="1"/>
  <c r="HM65" i="5" s="1"/>
  <c r="GK57" i="5"/>
  <c r="HM58" i="5" s="1"/>
  <c r="HM60" i="5" s="1"/>
  <c r="IQ276" i="5"/>
  <c r="IR276" i="5"/>
  <c r="IS276" i="5"/>
  <c r="FU251" i="5"/>
  <c r="IT215" i="5"/>
  <c r="IU215" i="5"/>
  <c r="IW215" i="5"/>
  <c r="IX215" i="5"/>
  <c r="FU178" i="5"/>
  <c r="GK155" i="5"/>
  <c r="HM156" i="5" s="1"/>
  <c r="HM158" i="5" s="1"/>
  <c r="FL155" i="5"/>
  <c r="FM155" i="5" s="1"/>
  <c r="FT155" i="5" s="1"/>
  <c r="GK150" i="5"/>
  <c r="HM151" i="5" s="1"/>
  <c r="HM153" i="5" s="1"/>
  <c r="FL152" i="5"/>
  <c r="FM152" i="5" s="1"/>
  <c r="FT152" i="5" s="1"/>
  <c r="FL150" i="5"/>
  <c r="GO140" i="5"/>
  <c r="FS117" i="5"/>
  <c r="FL115" i="5"/>
  <c r="FM115" i="5" s="1"/>
  <c r="HV116" i="5"/>
  <c r="HV118" i="5" s="1"/>
  <c r="HW116" i="5"/>
  <c r="HW118" i="5" s="1"/>
  <c r="CR115" i="5"/>
  <c r="IZ115" i="5" s="1"/>
  <c r="FE117" i="5"/>
  <c r="JG117" i="5" s="1"/>
  <c r="JX115" i="5" s="1"/>
  <c r="GO115" i="5"/>
  <c r="GO105" i="5"/>
  <c r="FL100" i="5"/>
  <c r="FM100" i="5" s="1"/>
  <c r="FT100" i="5" s="1"/>
  <c r="GO82" i="5"/>
  <c r="CR87" i="5"/>
  <c r="FS87" i="5" s="1"/>
  <c r="FU311" i="5"/>
  <c r="IX316" i="5"/>
  <c r="IT316" i="5"/>
  <c r="IU276" i="5"/>
  <c r="JA276" i="5"/>
  <c r="IV215" i="5"/>
  <c r="HP317" i="5"/>
  <c r="HP319" i="5" s="1"/>
  <c r="CR67" i="5"/>
  <c r="FS67" i="5" s="1"/>
  <c r="HV146" i="5"/>
  <c r="HV148" i="5" s="1"/>
  <c r="FL130" i="5"/>
  <c r="FM130" i="5" s="1"/>
  <c r="FT130" i="5" s="1"/>
  <c r="HW151" i="5"/>
  <c r="HW153" i="5" s="1"/>
  <c r="HP194" i="5"/>
  <c r="HP196" i="5" s="1"/>
  <c r="HP365" i="5"/>
  <c r="HP367" i="5" s="1"/>
  <c r="IR215" i="5"/>
  <c r="FL120" i="5"/>
  <c r="FM120" i="5" s="1"/>
  <c r="FT120" i="5" s="1"/>
  <c r="FS147" i="5"/>
  <c r="IX147" i="5"/>
  <c r="IW147" i="5"/>
  <c r="IV147" i="5"/>
  <c r="IT147" i="5"/>
  <c r="JA147" i="5"/>
  <c r="IS147" i="5"/>
  <c r="IY147" i="5"/>
  <c r="IQ147" i="5"/>
  <c r="IU147" i="5"/>
  <c r="IZ147" i="5"/>
  <c r="IR147" i="5"/>
  <c r="FY147" i="5"/>
  <c r="FM117" i="5"/>
  <c r="FT117" i="5" s="1"/>
  <c r="IV162" i="5"/>
  <c r="IU162" i="5"/>
  <c r="IT162" i="5"/>
  <c r="IS162" i="5"/>
  <c r="IZ162" i="5"/>
  <c r="IR162" i="5"/>
  <c r="IX162" i="5"/>
  <c r="IY162" i="5"/>
  <c r="IQ162" i="5"/>
  <c r="IW162" i="5"/>
  <c r="JA162" i="5"/>
  <c r="IT296" i="5"/>
  <c r="JA296" i="5"/>
  <c r="IS296" i="5"/>
  <c r="IZ296" i="5"/>
  <c r="IR296" i="5"/>
  <c r="IY296" i="5"/>
  <c r="IQ296" i="5"/>
  <c r="IX296" i="5"/>
  <c r="IW296" i="5"/>
  <c r="IU296" i="5"/>
  <c r="IV296" i="5"/>
  <c r="IV281" i="5"/>
  <c r="IU281" i="5"/>
  <c r="IT281" i="5"/>
  <c r="JA281" i="5"/>
  <c r="IS281" i="5"/>
  <c r="IZ281" i="5"/>
  <c r="IR281" i="5"/>
  <c r="IY281" i="5"/>
  <c r="IQ281" i="5"/>
  <c r="IW281" i="5"/>
  <c r="IX281" i="5"/>
  <c r="IV122" i="5"/>
  <c r="IU122" i="5"/>
  <c r="IS122" i="5"/>
  <c r="IT122" i="5"/>
  <c r="JA122" i="5"/>
  <c r="IZ122" i="5"/>
  <c r="IR122" i="5"/>
  <c r="IY122" i="5"/>
  <c r="IQ122" i="5"/>
  <c r="IW122" i="5"/>
  <c r="IX122" i="5"/>
  <c r="HW146" i="5"/>
  <c r="HW148" i="5" s="1"/>
  <c r="IU245" i="5"/>
  <c r="IT245" i="5"/>
  <c r="JA245" i="5"/>
  <c r="IS245" i="5"/>
  <c r="IZ245" i="5"/>
  <c r="IR245" i="5"/>
  <c r="IY245" i="5"/>
  <c r="IQ245" i="5"/>
  <c r="IX245" i="5"/>
  <c r="IV245" i="5"/>
  <c r="IW245" i="5"/>
  <c r="IV238" i="5"/>
  <c r="IU238" i="5"/>
  <c r="IT238" i="5"/>
  <c r="JA238" i="5"/>
  <c r="IS238" i="5"/>
  <c r="IZ238" i="5"/>
  <c r="IR238" i="5"/>
  <c r="IY238" i="5"/>
  <c r="IQ238" i="5"/>
  <c r="IW238" i="5"/>
  <c r="IX238" i="5"/>
  <c r="IX223" i="5"/>
  <c r="IW223" i="5"/>
  <c r="IV223" i="5"/>
  <c r="IU223" i="5"/>
  <c r="IT223" i="5"/>
  <c r="JA223" i="5"/>
  <c r="IS223" i="5"/>
  <c r="IY223" i="5"/>
  <c r="IQ223" i="5"/>
  <c r="IR223" i="5"/>
  <c r="IZ223" i="5"/>
  <c r="IW230" i="5"/>
  <c r="IV230" i="5"/>
  <c r="IU230" i="5"/>
  <c r="IT230" i="5"/>
  <c r="JA230" i="5"/>
  <c r="IS230" i="5"/>
  <c r="IZ230" i="5"/>
  <c r="IR230" i="5"/>
  <c r="IX230" i="5"/>
  <c r="IY230" i="5"/>
  <c r="IQ230" i="5"/>
  <c r="IV198" i="5"/>
  <c r="IU198" i="5"/>
  <c r="IT198" i="5"/>
  <c r="JA198" i="5"/>
  <c r="IS198" i="5"/>
  <c r="IZ198" i="5"/>
  <c r="IR198" i="5"/>
  <c r="IY198" i="5"/>
  <c r="IQ198" i="5"/>
  <c r="IW198" i="5"/>
  <c r="IX198" i="5"/>
  <c r="IX313" i="5"/>
  <c r="IW313" i="5"/>
  <c r="IV313" i="5"/>
  <c r="IU313" i="5"/>
  <c r="IT313" i="5"/>
  <c r="IY313" i="5"/>
  <c r="IQ313" i="5"/>
  <c r="JA313" i="5"/>
  <c r="IZ313" i="5"/>
  <c r="IS313" i="5"/>
  <c r="IR313" i="5"/>
  <c r="IY298" i="5"/>
  <c r="IQ298" i="5"/>
  <c r="IX298" i="5"/>
  <c r="IW298" i="5"/>
  <c r="IV298" i="5"/>
  <c r="IU298" i="5"/>
  <c r="IT298" i="5"/>
  <c r="IZ298" i="5"/>
  <c r="IR298" i="5"/>
  <c r="JA298" i="5"/>
  <c r="IS298" i="5"/>
  <c r="IX336" i="5"/>
  <c r="IW336" i="5"/>
  <c r="IV336" i="5"/>
  <c r="IU336" i="5"/>
  <c r="IT336" i="5"/>
  <c r="IY336" i="5"/>
  <c r="IQ336" i="5"/>
  <c r="IR336" i="5"/>
  <c r="JA336" i="5"/>
  <c r="IS336" i="5"/>
  <c r="IZ336" i="5"/>
  <c r="IV178" i="5"/>
  <c r="IU178" i="5"/>
  <c r="IT178" i="5"/>
  <c r="JA178" i="5"/>
  <c r="IS178" i="5"/>
  <c r="IZ178" i="5"/>
  <c r="IR178" i="5"/>
  <c r="IY178" i="5"/>
  <c r="IQ178" i="5"/>
  <c r="IW178" i="5"/>
  <c r="IX178" i="5"/>
  <c r="IT366" i="5"/>
  <c r="JA366" i="5"/>
  <c r="IS366" i="5"/>
  <c r="IZ366" i="5"/>
  <c r="IR366" i="5"/>
  <c r="IY366" i="5"/>
  <c r="IQ366" i="5"/>
  <c r="IX366" i="5"/>
  <c r="IW366" i="5"/>
  <c r="IU366" i="5"/>
  <c r="IV366" i="5"/>
  <c r="IZ271" i="5"/>
  <c r="IR271" i="5"/>
  <c r="IY271" i="5"/>
  <c r="IQ271" i="5"/>
  <c r="IX271" i="5"/>
  <c r="IW271" i="5"/>
  <c r="IV271" i="5"/>
  <c r="IU271" i="5"/>
  <c r="JA271" i="5"/>
  <c r="IS271" i="5"/>
  <c r="IT271" i="5"/>
  <c r="IX266" i="5"/>
  <c r="IW266" i="5"/>
  <c r="IV266" i="5"/>
  <c r="IU266" i="5"/>
  <c r="IT266" i="5"/>
  <c r="JA266" i="5"/>
  <c r="IS266" i="5"/>
  <c r="IY266" i="5"/>
  <c r="IQ266" i="5"/>
  <c r="IZ266" i="5"/>
  <c r="IR266" i="5"/>
  <c r="IV371" i="5"/>
  <c r="IU371" i="5"/>
  <c r="IT371" i="5"/>
  <c r="JA371" i="5"/>
  <c r="IS371" i="5"/>
  <c r="IZ371" i="5"/>
  <c r="IR371" i="5"/>
  <c r="IY371" i="5"/>
  <c r="IQ371" i="5"/>
  <c r="IW371" i="5"/>
  <c r="IX371" i="5"/>
  <c r="IV331" i="5"/>
  <c r="IU331" i="5"/>
  <c r="IT331" i="5"/>
  <c r="JA331" i="5"/>
  <c r="IS331" i="5"/>
  <c r="IZ331" i="5"/>
  <c r="IR331" i="5"/>
  <c r="IW331" i="5"/>
  <c r="IY331" i="5"/>
  <c r="IX331" i="5"/>
  <c r="IQ331" i="5"/>
  <c r="IY369" i="5"/>
  <c r="IQ369" i="5"/>
  <c r="IX369" i="5"/>
  <c r="IW369" i="5"/>
  <c r="IV369" i="5"/>
  <c r="IU369" i="5"/>
  <c r="IT369" i="5"/>
  <c r="IZ369" i="5"/>
  <c r="IR369" i="5"/>
  <c r="JA369" i="5"/>
  <c r="IS369" i="5"/>
  <c r="IZ69" i="5"/>
  <c r="IR69" i="5"/>
  <c r="IY69" i="5"/>
  <c r="IQ69" i="5"/>
  <c r="IX69" i="5"/>
  <c r="IV69" i="5"/>
  <c r="IU69" i="5"/>
  <c r="JA69" i="5"/>
  <c r="IS69" i="5"/>
  <c r="IW69" i="5"/>
  <c r="IT69" i="5"/>
  <c r="IZ89" i="5"/>
  <c r="IR89" i="5"/>
  <c r="IY89" i="5"/>
  <c r="IQ89" i="5"/>
  <c r="IX89" i="5"/>
  <c r="IV89" i="5"/>
  <c r="IU89" i="5"/>
  <c r="JA89" i="5"/>
  <c r="IS89" i="5"/>
  <c r="IT89" i="5"/>
  <c r="IW89" i="5"/>
  <c r="CR102" i="5"/>
  <c r="CR120" i="5"/>
  <c r="FL145" i="5"/>
  <c r="FM145" i="5" s="1"/>
  <c r="FT145" i="5" s="1"/>
  <c r="FE147" i="5"/>
  <c r="JG147" i="5" s="1"/>
  <c r="IT157" i="5"/>
  <c r="IY157" i="5"/>
  <c r="JA157" i="5"/>
  <c r="IS157" i="5"/>
  <c r="IZ157" i="5"/>
  <c r="IR157" i="5"/>
  <c r="IX157" i="5"/>
  <c r="IW157" i="5"/>
  <c r="IU157" i="5"/>
  <c r="IQ157" i="5"/>
  <c r="IV157" i="5"/>
  <c r="IT233" i="5"/>
  <c r="JA233" i="5"/>
  <c r="IS233" i="5"/>
  <c r="IZ233" i="5"/>
  <c r="IR233" i="5"/>
  <c r="IY233" i="5"/>
  <c r="IQ233" i="5"/>
  <c r="IX233" i="5"/>
  <c r="IW233" i="5"/>
  <c r="IU233" i="5"/>
  <c r="IV233" i="5"/>
  <c r="JX178" i="5"/>
  <c r="IX286" i="5"/>
  <c r="IW286" i="5"/>
  <c r="IV286" i="5"/>
  <c r="IU286" i="5"/>
  <c r="IT286" i="5"/>
  <c r="JA286" i="5"/>
  <c r="IS286" i="5"/>
  <c r="IY286" i="5"/>
  <c r="IQ286" i="5"/>
  <c r="IZ286" i="5"/>
  <c r="IR286" i="5"/>
  <c r="IW253" i="5"/>
  <c r="IV253" i="5"/>
  <c r="IU253" i="5"/>
  <c r="IT253" i="5"/>
  <c r="JA253" i="5"/>
  <c r="IS253" i="5"/>
  <c r="IZ253" i="5"/>
  <c r="IR253" i="5"/>
  <c r="IX253" i="5"/>
  <c r="IQ253" i="5"/>
  <c r="IY253" i="5"/>
  <c r="IY258" i="5"/>
  <c r="IQ258" i="5"/>
  <c r="IX258" i="5"/>
  <c r="IW258" i="5"/>
  <c r="IV258" i="5"/>
  <c r="IU258" i="5"/>
  <c r="IT258" i="5"/>
  <c r="IZ258" i="5"/>
  <c r="IR258" i="5"/>
  <c r="JA258" i="5"/>
  <c r="IS258" i="5"/>
  <c r="FU374" i="5"/>
  <c r="IZ361" i="5"/>
  <c r="IR361" i="5"/>
  <c r="IY361" i="5"/>
  <c r="IQ361" i="5"/>
  <c r="IX361" i="5"/>
  <c r="IW361" i="5"/>
  <c r="IV361" i="5"/>
  <c r="JA361" i="5"/>
  <c r="IS361" i="5"/>
  <c r="IU361" i="5"/>
  <c r="IT361" i="5"/>
  <c r="JA334" i="5"/>
  <c r="IS334" i="5"/>
  <c r="IZ334" i="5"/>
  <c r="IR334" i="5"/>
  <c r="IY334" i="5"/>
  <c r="IQ334" i="5"/>
  <c r="IX334" i="5"/>
  <c r="IW334" i="5"/>
  <c r="IT334" i="5"/>
  <c r="IV334" i="5"/>
  <c r="IU334" i="5"/>
  <c r="IT346" i="5"/>
  <c r="JA346" i="5"/>
  <c r="IS346" i="5"/>
  <c r="IZ346" i="5"/>
  <c r="IR346" i="5"/>
  <c r="IY346" i="5"/>
  <c r="IQ346" i="5"/>
  <c r="IX346" i="5"/>
  <c r="IU346" i="5"/>
  <c r="IW346" i="5"/>
  <c r="IV346" i="5"/>
  <c r="JC356" i="5"/>
  <c r="IX356" i="5"/>
  <c r="IW356" i="5"/>
  <c r="IV356" i="5"/>
  <c r="IU356" i="5"/>
  <c r="IT356" i="5"/>
  <c r="IY356" i="5"/>
  <c r="IQ356" i="5"/>
  <c r="IZ356" i="5"/>
  <c r="IS356" i="5"/>
  <c r="IR356" i="5"/>
  <c r="JA356" i="5"/>
  <c r="IU359" i="5"/>
  <c r="IT359" i="5"/>
  <c r="JA359" i="5"/>
  <c r="IS359" i="5"/>
  <c r="IZ359" i="5"/>
  <c r="IR359" i="5"/>
  <c r="IY359" i="5"/>
  <c r="IQ359" i="5"/>
  <c r="IV359" i="5"/>
  <c r="IX359" i="5"/>
  <c r="IW359" i="5"/>
  <c r="IY195" i="5"/>
  <c r="IQ195" i="5"/>
  <c r="IX195" i="5"/>
  <c r="IW195" i="5"/>
  <c r="IV195" i="5"/>
  <c r="IU195" i="5"/>
  <c r="IT195" i="5"/>
  <c r="IZ195" i="5"/>
  <c r="IR195" i="5"/>
  <c r="JA195" i="5"/>
  <c r="IS195" i="5"/>
  <c r="IU173" i="5"/>
  <c r="IT173" i="5"/>
  <c r="JA173" i="5"/>
  <c r="IS173" i="5"/>
  <c r="IY173" i="5"/>
  <c r="IQ173" i="5"/>
  <c r="IX173" i="5"/>
  <c r="IW173" i="5"/>
  <c r="IV173" i="5"/>
  <c r="IZ173" i="5"/>
  <c r="IR173" i="5"/>
  <c r="FL147" i="5"/>
  <c r="IZ318" i="5"/>
  <c r="IR318" i="5"/>
  <c r="IY318" i="5"/>
  <c r="IQ318" i="5"/>
  <c r="IX318" i="5"/>
  <c r="IW318" i="5"/>
  <c r="IV318" i="5"/>
  <c r="JA318" i="5"/>
  <c r="IS318" i="5"/>
  <c r="IT318" i="5"/>
  <c r="IU318" i="5"/>
  <c r="IT256" i="5"/>
  <c r="JA256" i="5"/>
  <c r="IS256" i="5"/>
  <c r="IZ256" i="5"/>
  <c r="IR256" i="5"/>
  <c r="IY256" i="5"/>
  <c r="IQ256" i="5"/>
  <c r="IX256" i="5"/>
  <c r="IW256" i="5"/>
  <c r="IU256" i="5"/>
  <c r="IV256" i="5"/>
  <c r="JX251" i="5"/>
  <c r="FU555" i="5"/>
  <c r="JA180" i="5"/>
  <c r="IS180" i="5"/>
  <c r="IZ180" i="5"/>
  <c r="IR180" i="5"/>
  <c r="IY180" i="5"/>
  <c r="IQ180" i="5"/>
  <c r="IX180" i="5"/>
  <c r="IW180" i="5"/>
  <c r="IV180" i="5"/>
  <c r="IT180" i="5"/>
  <c r="IU180" i="5"/>
  <c r="IY278" i="5"/>
  <c r="IQ278" i="5"/>
  <c r="IX278" i="5"/>
  <c r="IW278" i="5"/>
  <c r="IV278" i="5"/>
  <c r="IU278" i="5"/>
  <c r="IT278" i="5"/>
  <c r="IZ278" i="5"/>
  <c r="IR278" i="5"/>
  <c r="JA278" i="5"/>
  <c r="IS278" i="5"/>
  <c r="JC278" i="5"/>
  <c r="FY278" i="5"/>
  <c r="IZ208" i="5"/>
  <c r="IR208" i="5"/>
  <c r="IY208" i="5"/>
  <c r="IQ208" i="5"/>
  <c r="IX208" i="5"/>
  <c r="IW208" i="5"/>
  <c r="IV208" i="5"/>
  <c r="IU208" i="5"/>
  <c r="JA208" i="5"/>
  <c r="IS208" i="5"/>
  <c r="IT208" i="5"/>
  <c r="IZ188" i="5"/>
  <c r="IR188" i="5"/>
  <c r="IY188" i="5"/>
  <c r="IQ188" i="5"/>
  <c r="IX188" i="5"/>
  <c r="IW188" i="5"/>
  <c r="IV188" i="5"/>
  <c r="IU188" i="5"/>
  <c r="JA188" i="5"/>
  <c r="IS188" i="5"/>
  <c r="IT188" i="5"/>
  <c r="IX64" i="5"/>
  <c r="IW64" i="5"/>
  <c r="IV64" i="5"/>
  <c r="IT64" i="5"/>
  <c r="JA64" i="5"/>
  <c r="IS64" i="5"/>
  <c r="IY64" i="5"/>
  <c r="IQ64" i="5"/>
  <c r="IU64" i="5"/>
  <c r="IR64" i="5"/>
  <c r="IZ64" i="5"/>
  <c r="IX84" i="5"/>
  <c r="IW84" i="5"/>
  <c r="IV84" i="5"/>
  <c r="IT84" i="5"/>
  <c r="JA84" i="5"/>
  <c r="IS84" i="5"/>
  <c r="IY84" i="5"/>
  <c r="IQ84" i="5"/>
  <c r="IU84" i="5"/>
  <c r="IZ84" i="5"/>
  <c r="IR84" i="5"/>
  <c r="IV87" i="5"/>
  <c r="IV142" i="5"/>
  <c r="IS142" i="5"/>
  <c r="IU142" i="5"/>
  <c r="JA142" i="5"/>
  <c r="IT142" i="5"/>
  <c r="IZ142" i="5"/>
  <c r="IR142" i="5"/>
  <c r="IY142" i="5"/>
  <c r="IQ142" i="5"/>
  <c r="IW142" i="5"/>
  <c r="IX142" i="5"/>
  <c r="CR100" i="5"/>
  <c r="FS100" i="5" s="1"/>
  <c r="IZ132" i="5"/>
  <c r="IR132" i="5"/>
  <c r="IY132" i="5"/>
  <c r="IQ132" i="5"/>
  <c r="IX132" i="5"/>
  <c r="IW132" i="5"/>
  <c r="IV132" i="5"/>
  <c r="IU132" i="5"/>
  <c r="JA132" i="5"/>
  <c r="IS132" i="5"/>
  <c r="IT132" i="5"/>
  <c r="IT137" i="5"/>
  <c r="IY137" i="5"/>
  <c r="JA137" i="5"/>
  <c r="IS137" i="5"/>
  <c r="IQ137" i="5"/>
  <c r="IZ137" i="5"/>
  <c r="IR137" i="5"/>
  <c r="IX137" i="5"/>
  <c r="IW137" i="5"/>
  <c r="IU137" i="5"/>
  <c r="IV137" i="5"/>
  <c r="CR145" i="5"/>
  <c r="FL160" i="5"/>
  <c r="FM160" i="5" s="1"/>
  <c r="FT160" i="5" s="1"/>
  <c r="IY235" i="5"/>
  <c r="IQ235" i="5"/>
  <c r="IX235" i="5"/>
  <c r="IW235" i="5"/>
  <c r="IV235" i="5"/>
  <c r="IU235" i="5"/>
  <c r="IT235" i="5"/>
  <c r="IZ235" i="5"/>
  <c r="IR235" i="5"/>
  <c r="JA235" i="5"/>
  <c r="IS235" i="5"/>
  <c r="IV218" i="5"/>
  <c r="IU218" i="5"/>
  <c r="IT218" i="5"/>
  <c r="JA218" i="5"/>
  <c r="IS218" i="5"/>
  <c r="IZ218" i="5"/>
  <c r="IR218" i="5"/>
  <c r="IY218" i="5"/>
  <c r="IQ218" i="5"/>
  <c r="IW218" i="5"/>
  <c r="IX218" i="5"/>
  <c r="IT193" i="5"/>
  <c r="JA193" i="5"/>
  <c r="IS193" i="5"/>
  <c r="IZ193" i="5"/>
  <c r="IR193" i="5"/>
  <c r="IY193" i="5"/>
  <c r="IQ193" i="5"/>
  <c r="IX193" i="5"/>
  <c r="IW193" i="5"/>
  <c r="IU193" i="5"/>
  <c r="IV193" i="5"/>
  <c r="FS188" i="5"/>
  <c r="IW321" i="5"/>
  <c r="IV321" i="5"/>
  <c r="IU321" i="5"/>
  <c r="IT321" i="5"/>
  <c r="JA321" i="5"/>
  <c r="IS321" i="5"/>
  <c r="IX321" i="5"/>
  <c r="IZ321" i="5"/>
  <c r="IY321" i="5"/>
  <c r="IR321" i="5"/>
  <c r="IQ321" i="5"/>
  <c r="FS281" i="5"/>
  <c r="FU281" i="5" s="1"/>
  <c r="FU515" i="5"/>
  <c r="IV59" i="5"/>
  <c r="IY59" i="5"/>
  <c r="IV67" i="5"/>
  <c r="IT97" i="5"/>
  <c r="JA97" i="5"/>
  <c r="IS97" i="5"/>
  <c r="IZ97" i="5"/>
  <c r="IR97" i="5"/>
  <c r="IX97" i="5"/>
  <c r="IW97" i="5"/>
  <c r="IU97" i="5"/>
  <c r="IQ97" i="5"/>
  <c r="IY97" i="5"/>
  <c r="IV97" i="5"/>
  <c r="IT74" i="5"/>
  <c r="JA74" i="5"/>
  <c r="IS74" i="5"/>
  <c r="IZ74" i="5"/>
  <c r="IR74" i="5"/>
  <c r="IX74" i="5"/>
  <c r="IW74" i="5"/>
  <c r="IU74" i="5"/>
  <c r="IQ74" i="5"/>
  <c r="IY74" i="5"/>
  <c r="IV74" i="5"/>
  <c r="IV79" i="5"/>
  <c r="IU79" i="5"/>
  <c r="IT79" i="5"/>
  <c r="IZ79" i="5"/>
  <c r="IR79" i="5"/>
  <c r="IY79" i="5"/>
  <c r="IQ79" i="5"/>
  <c r="IW79" i="5"/>
  <c r="IS79" i="5"/>
  <c r="JA79" i="5"/>
  <c r="IX79" i="5"/>
  <c r="FE102" i="5"/>
  <c r="JG102" i="5" s="1"/>
  <c r="JX100" i="5" s="1"/>
  <c r="FE122" i="5"/>
  <c r="JG122" i="5" s="1"/>
  <c r="IX127" i="5"/>
  <c r="IW127" i="5"/>
  <c r="IV127" i="5"/>
  <c r="IT127" i="5"/>
  <c r="JA127" i="5"/>
  <c r="IS127" i="5"/>
  <c r="IY127" i="5"/>
  <c r="IQ127" i="5"/>
  <c r="IU127" i="5"/>
  <c r="IZ127" i="5"/>
  <c r="IR127" i="5"/>
  <c r="IZ152" i="5"/>
  <c r="IR152" i="5"/>
  <c r="IY152" i="5"/>
  <c r="IQ152" i="5"/>
  <c r="IX152" i="5"/>
  <c r="IV152" i="5"/>
  <c r="IU152" i="5"/>
  <c r="JA152" i="5"/>
  <c r="IS152" i="5"/>
  <c r="IW152" i="5"/>
  <c r="IT152" i="5"/>
  <c r="IX167" i="5"/>
  <c r="IW167" i="5"/>
  <c r="IU167" i="5"/>
  <c r="IV167" i="5"/>
  <c r="IT167" i="5"/>
  <c r="IZ167" i="5"/>
  <c r="JA167" i="5"/>
  <c r="IS167" i="5"/>
  <c r="IR167" i="5"/>
  <c r="IY167" i="5"/>
  <c r="IQ167" i="5"/>
  <c r="IX243" i="5"/>
  <c r="IW243" i="5"/>
  <c r="IV243" i="5"/>
  <c r="IU243" i="5"/>
  <c r="IT243" i="5"/>
  <c r="JA243" i="5"/>
  <c r="IS243" i="5"/>
  <c r="IY243" i="5"/>
  <c r="IQ243" i="5"/>
  <c r="IR243" i="5"/>
  <c r="IZ243" i="5"/>
  <c r="JA240" i="5"/>
  <c r="IS240" i="5"/>
  <c r="IZ240" i="5"/>
  <c r="IR240" i="5"/>
  <c r="IY240" i="5"/>
  <c r="IQ240" i="5"/>
  <c r="IX240" i="5"/>
  <c r="IW240" i="5"/>
  <c r="IV240" i="5"/>
  <c r="IT240" i="5"/>
  <c r="IU240" i="5"/>
  <c r="IZ228" i="5"/>
  <c r="IR228" i="5"/>
  <c r="IY228" i="5"/>
  <c r="IQ228" i="5"/>
  <c r="IX228" i="5"/>
  <c r="IW228" i="5"/>
  <c r="IV228" i="5"/>
  <c r="IU228" i="5"/>
  <c r="JA228" i="5"/>
  <c r="IS228" i="5"/>
  <c r="IT228" i="5"/>
  <c r="JA200" i="5"/>
  <c r="IS200" i="5"/>
  <c r="IZ200" i="5"/>
  <c r="IR200" i="5"/>
  <c r="IY200" i="5"/>
  <c r="IQ200" i="5"/>
  <c r="IX200" i="5"/>
  <c r="IW200" i="5"/>
  <c r="IV200" i="5"/>
  <c r="IT200" i="5"/>
  <c r="IU200" i="5"/>
  <c r="IU205" i="5"/>
  <c r="IT205" i="5"/>
  <c r="JA205" i="5"/>
  <c r="IS205" i="5"/>
  <c r="IZ205" i="5"/>
  <c r="IR205" i="5"/>
  <c r="IY205" i="5"/>
  <c r="IQ205" i="5"/>
  <c r="IX205" i="5"/>
  <c r="IV205" i="5"/>
  <c r="IW205" i="5"/>
  <c r="IU185" i="5"/>
  <c r="IT185" i="5"/>
  <c r="JA185" i="5"/>
  <c r="IS185" i="5"/>
  <c r="IZ185" i="5"/>
  <c r="IR185" i="5"/>
  <c r="IY185" i="5"/>
  <c r="IQ185" i="5"/>
  <c r="IX185" i="5"/>
  <c r="IV185" i="5"/>
  <c r="IW185" i="5"/>
  <c r="IT386" i="5"/>
  <c r="JA386" i="5"/>
  <c r="IS386" i="5"/>
  <c r="IZ386" i="5"/>
  <c r="IR386" i="5"/>
  <c r="IY386" i="5"/>
  <c r="IQ386" i="5"/>
  <c r="IX386" i="5"/>
  <c r="IW386" i="5"/>
  <c r="IU386" i="5"/>
  <c r="IV386" i="5"/>
  <c r="FS369" i="5"/>
  <c r="FU369" i="5" s="1"/>
  <c r="IY349" i="5"/>
  <c r="IQ349" i="5"/>
  <c r="IX349" i="5"/>
  <c r="IW349" i="5"/>
  <c r="IV349" i="5"/>
  <c r="IU349" i="5"/>
  <c r="IZ349" i="5"/>
  <c r="IR349" i="5"/>
  <c r="JA349" i="5"/>
  <c r="IT349" i="5"/>
  <c r="IS349" i="5"/>
  <c r="IY329" i="5"/>
  <c r="IQ329" i="5"/>
  <c r="IX329" i="5"/>
  <c r="IW329" i="5"/>
  <c r="IV329" i="5"/>
  <c r="IU329" i="5"/>
  <c r="IZ329" i="5"/>
  <c r="IR329" i="5"/>
  <c r="IS329" i="5"/>
  <c r="IT329" i="5"/>
  <c r="JA329" i="5"/>
  <c r="FU613" i="5"/>
  <c r="IU339" i="5"/>
  <c r="IT339" i="5"/>
  <c r="JA339" i="5"/>
  <c r="IS339" i="5"/>
  <c r="IZ339" i="5"/>
  <c r="IR339" i="5"/>
  <c r="IY339" i="5"/>
  <c r="IQ339" i="5"/>
  <c r="IV339" i="5"/>
  <c r="IX339" i="5"/>
  <c r="IW339" i="5"/>
  <c r="IX107" i="5"/>
  <c r="IW107" i="5"/>
  <c r="IV107" i="5"/>
  <c r="IT107" i="5"/>
  <c r="JA107" i="5"/>
  <c r="IS107" i="5"/>
  <c r="IY107" i="5"/>
  <c r="IQ107" i="5"/>
  <c r="IU107" i="5"/>
  <c r="IZ107" i="5"/>
  <c r="IR107" i="5"/>
  <c r="IZ112" i="5"/>
  <c r="IR112" i="5"/>
  <c r="IY112" i="5"/>
  <c r="IQ112" i="5"/>
  <c r="IX112" i="5"/>
  <c r="IV112" i="5"/>
  <c r="IU112" i="5"/>
  <c r="JA112" i="5"/>
  <c r="IS112" i="5"/>
  <c r="IT112" i="5"/>
  <c r="IW112" i="5"/>
  <c r="IT150" i="5"/>
  <c r="IQ150" i="5"/>
  <c r="IW150" i="5"/>
  <c r="IU225" i="5"/>
  <c r="IT225" i="5"/>
  <c r="JA225" i="5"/>
  <c r="IS225" i="5"/>
  <c r="IZ225" i="5"/>
  <c r="IR225" i="5"/>
  <c r="IY225" i="5"/>
  <c r="IQ225" i="5"/>
  <c r="IX225" i="5"/>
  <c r="IV225" i="5"/>
  <c r="IW225" i="5"/>
  <c r="IX203" i="5"/>
  <c r="IW203" i="5"/>
  <c r="IV203" i="5"/>
  <c r="IU203" i="5"/>
  <c r="IT203" i="5"/>
  <c r="JA203" i="5"/>
  <c r="IS203" i="5"/>
  <c r="IY203" i="5"/>
  <c r="IQ203" i="5"/>
  <c r="IR203" i="5"/>
  <c r="IZ203" i="5"/>
  <c r="IV301" i="5"/>
  <c r="IU301" i="5"/>
  <c r="IT301" i="5"/>
  <c r="JA301" i="5"/>
  <c r="IS301" i="5"/>
  <c r="IZ301" i="5"/>
  <c r="IR301" i="5"/>
  <c r="IY301" i="5"/>
  <c r="IQ301" i="5"/>
  <c r="IW301" i="5"/>
  <c r="IX301" i="5"/>
  <c r="IX306" i="5"/>
  <c r="IW306" i="5"/>
  <c r="IV306" i="5"/>
  <c r="IU306" i="5"/>
  <c r="IT306" i="5"/>
  <c r="JA306" i="5"/>
  <c r="IS306" i="5"/>
  <c r="IY306" i="5"/>
  <c r="IQ306" i="5"/>
  <c r="IZ306" i="5"/>
  <c r="IR306" i="5"/>
  <c r="IU399" i="5"/>
  <c r="IT399" i="5"/>
  <c r="JA399" i="5"/>
  <c r="IS399" i="5"/>
  <c r="IZ399" i="5"/>
  <c r="IR399" i="5"/>
  <c r="IY399" i="5"/>
  <c r="IQ399" i="5"/>
  <c r="IX399" i="5"/>
  <c r="IV399" i="5"/>
  <c r="IW399" i="5"/>
  <c r="IZ341" i="5"/>
  <c r="IR341" i="5"/>
  <c r="IY341" i="5"/>
  <c r="IQ341" i="5"/>
  <c r="IX341" i="5"/>
  <c r="IW341" i="5"/>
  <c r="IV341" i="5"/>
  <c r="JA341" i="5"/>
  <c r="IS341" i="5"/>
  <c r="IU341" i="5"/>
  <c r="IT341" i="5"/>
  <c r="JA354" i="5"/>
  <c r="IS354" i="5"/>
  <c r="IZ354" i="5"/>
  <c r="IR354" i="5"/>
  <c r="IY354" i="5"/>
  <c r="IQ354" i="5"/>
  <c r="IX354" i="5"/>
  <c r="IW354" i="5"/>
  <c r="IT354" i="5"/>
  <c r="IV354" i="5"/>
  <c r="IU354" i="5"/>
  <c r="IV351" i="5"/>
  <c r="IU351" i="5"/>
  <c r="IT351" i="5"/>
  <c r="JA351" i="5"/>
  <c r="IS351" i="5"/>
  <c r="IZ351" i="5"/>
  <c r="IR351" i="5"/>
  <c r="IW351" i="5"/>
  <c r="IY351" i="5"/>
  <c r="IQ351" i="5"/>
  <c r="IX351" i="5"/>
  <c r="FL57" i="5"/>
  <c r="FM57" i="5" s="1"/>
  <c r="FT57" i="5" s="1"/>
  <c r="FL67" i="5"/>
  <c r="FM67" i="5" s="1"/>
  <c r="FT67" i="5" s="1"/>
  <c r="FL82" i="5"/>
  <c r="FM82" i="5" s="1"/>
  <c r="FT82" i="5" s="1"/>
  <c r="FL87" i="5"/>
  <c r="FT115" i="5"/>
  <c r="CR117" i="5"/>
  <c r="HW121" i="5"/>
  <c r="HW123" i="5" s="1"/>
  <c r="FE152" i="5"/>
  <c r="JG152" i="5" s="1"/>
  <c r="JX150" i="5" s="1"/>
  <c r="JA220" i="5"/>
  <c r="IS220" i="5"/>
  <c r="IZ220" i="5"/>
  <c r="IR220" i="5"/>
  <c r="IY220" i="5"/>
  <c r="IQ220" i="5"/>
  <c r="IX220" i="5"/>
  <c r="IW220" i="5"/>
  <c r="IV220" i="5"/>
  <c r="IT220" i="5"/>
  <c r="IU220" i="5"/>
  <c r="IW190" i="5"/>
  <c r="IV190" i="5"/>
  <c r="IU190" i="5"/>
  <c r="IT190" i="5"/>
  <c r="JA190" i="5"/>
  <c r="IS190" i="5"/>
  <c r="IZ190" i="5"/>
  <c r="IR190" i="5"/>
  <c r="IX190" i="5"/>
  <c r="IY190" i="5"/>
  <c r="IQ190" i="5"/>
  <c r="JA303" i="5"/>
  <c r="IS303" i="5"/>
  <c r="IZ303" i="5"/>
  <c r="IR303" i="5"/>
  <c r="IY303" i="5"/>
  <c r="IQ303" i="5"/>
  <c r="IX303" i="5"/>
  <c r="IW303" i="5"/>
  <c r="IV303" i="5"/>
  <c r="IT303" i="5"/>
  <c r="IU303" i="5"/>
  <c r="IU268" i="5"/>
  <c r="IT268" i="5"/>
  <c r="JA268" i="5"/>
  <c r="IS268" i="5"/>
  <c r="IZ268" i="5"/>
  <c r="IR268" i="5"/>
  <c r="IY268" i="5"/>
  <c r="IQ268" i="5"/>
  <c r="IX268" i="5"/>
  <c r="IV268" i="5"/>
  <c r="IW268" i="5"/>
  <c r="IX396" i="5"/>
  <c r="IW396" i="5"/>
  <c r="IV396" i="5"/>
  <c r="IU396" i="5"/>
  <c r="IT396" i="5"/>
  <c r="JA396" i="5"/>
  <c r="IS396" i="5"/>
  <c r="IY396" i="5"/>
  <c r="IQ396" i="5"/>
  <c r="IZ396" i="5"/>
  <c r="IR396" i="5"/>
  <c r="IY389" i="5"/>
  <c r="IQ389" i="5"/>
  <c r="IX389" i="5"/>
  <c r="IW389" i="5"/>
  <c r="IV389" i="5"/>
  <c r="IU389" i="5"/>
  <c r="IT389" i="5"/>
  <c r="IZ389" i="5"/>
  <c r="IR389" i="5"/>
  <c r="JA389" i="5"/>
  <c r="IS389" i="5"/>
  <c r="IV391" i="5"/>
  <c r="IU391" i="5"/>
  <c r="IT391" i="5"/>
  <c r="JA391" i="5"/>
  <c r="IS391" i="5"/>
  <c r="IZ391" i="5"/>
  <c r="IR391" i="5"/>
  <c r="IY391" i="5"/>
  <c r="IQ391" i="5"/>
  <c r="IW391" i="5"/>
  <c r="IX391" i="5"/>
  <c r="IW384" i="5"/>
  <c r="IV384" i="5"/>
  <c r="IU384" i="5"/>
  <c r="IT384" i="5"/>
  <c r="JA384" i="5"/>
  <c r="IS384" i="5"/>
  <c r="IZ384" i="5"/>
  <c r="IR384" i="5"/>
  <c r="IX384" i="5"/>
  <c r="IY384" i="5"/>
  <c r="IQ384" i="5"/>
  <c r="IW344" i="5"/>
  <c r="IV344" i="5"/>
  <c r="IU344" i="5"/>
  <c r="IT344" i="5"/>
  <c r="JA344" i="5"/>
  <c r="IS344" i="5"/>
  <c r="IX344" i="5"/>
  <c r="IQ344" i="5"/>
  <c r="IZ344" i="5"/>
  <c r="IR344" i="5"/>
  <c r="IY344" i="5"/>
  <c r="FU442" i="5"/>
  <c r="IV261" i="5"/>
  <c r="IU261" i="5"/>
  <c r="IT261" i="5"/>
  <c r="JA261" i="5"/>
  <c r="IS261" i="5"/>
  <c r="IZ261" i="5"/>
  <c r="IR261" i="5"/>
  <c r="IY261" i="5"/>
  <c r="IQ261" i="5"/>
  <c r="IW261" i="5"/>
  <c r="IX261" i="5"/>
  <c r="IW273" i="5"/>
  <c r="IV273" i="5"/>
  <c r="IU273" i="5"/>
  <c r="IT273" i="5"/>
  <c r="JA273" i="5"/>
  <c r="IS273" i="5"/>
  <c r="IZ273" i="5"/>
  <c r="IR273" i="5"/>
  <c r="IX273" i="5"/>
  <c r="IY273" i="5"/>
  <c r="IQ273" i="5"/>
  <c r="JC273" i="5"/>
  <c r="JX359" i="5"/>
  <c r="JV467" i="5"/>
  <c r="JA311" i="5"/>
  <c r="IS311" i="5"/>
  <c r="IZ311" i="5"/>
  <c r="IR311" i="5"/>
  <c r="IY311" i="5"/>
  <c r="IQ311" i="5"/>
  <c r="IX311" i="5"/>
  <c r="IW311" i="5"/>
  <c r="IT311" i="5"/>
  <c r="IU311" i="5"/>
  <c r="IV311" i="5"/>
  <c r="GO67" i="5"/>
  <c r="GK52" i="5"/>
  <c r="HM53" i="5" s="1"/>
  <c r="HM55" i="5" s="1"/>
  <c r="CR52" i="5"/>
  <c r="FL54" i="5"/>
  <c r="FL52" i="5"/>
  <c r="FM52" i="5" s="1"/>
  <c r="FT52" i="5" s="1"/>
  <c r="FE54" i="5"/>
  <c r="JG54" i="5" s="1"/>
  <c r="GO52" i="5"/>
  <c r="FU351" i="5"/>
  <c r="FU545" i="5"/>
  <c r="FU417" i="5"/>
  <c r="FU520" i="5"/>
  <c r="FU447" i="5"/>
  <c r="FU563" i="5"/>
  <c r="FU261" i="5"/>
  <c r="FU598" i="5"/>
  <c r="IV49" i="5"/>
  <c r="IY49" i="5"/>
  <c r="GO57" i="5"/>
  <c r="GO62" i="5"/>
  <c r="GO77" i="5"/>
  <c r="GO87" i="5"/>
  <c r="GO95" i="5"/>
  <c r="GO100" i="5"/>
  <c r="GO110" i="5"/>
  <c r="GO120" i="5"/>
  <c r="GO125" i="5"/>
  <c r="GO130" i="5"/>
  <c r="GO135" i="5"/>
  <c r="GO145" i="5"/>
  <c r="GO150" i="5"/>
  <c r="GO155" i="5"/>
  <c r="GO160" i="5"/>
  <c r="GO165" i="5"/>
  <c r="FT620" i="5"/>
  <c r="FU620" i="5" s="1"/>
  <c r="FT605" i="5"/>
  <c r="FU605" i="5" s="1"/>
  <c r="JV618" i="5"/>
  <c r="FT590" i="5"/>
  <c r="FU590" i="5" s="1"/>
  <c r="JV603" i="5"/>
  <c r="FT615" i="5"/>
  <c r="FU615" i="5" s="1"/>
  <c r="FT625" i="5"/>
  <c r="FU625" i="5" s="1"/>
  <c r="JV573" i="5"/>
  <c r="FT585" i="5"/>
  <c r="FU585" i="5" s="1"/>
  <c r="FT635" i="5"/>
  <c r="FU635" i="5" s="1"/>
  <c r="FU568" i="5"/>
  <c r="FU603" i="5"/>
  <c r="FU573" i="5"/>
  <c r="FU618" i="5"/>
  <c r="FT595" i="5"/>
  <c r="FU595" i="5" s="1"/>
  <c r="JV613" i="5"/>
  <c r="FT570" i="5"/>
  <c r="FU570" i="5" s="1"/>
  <c r="JV568" i="5"/>
  <c r="JV598" i="5"/>
  <c r="FU628" i="5"/>
  <c r="JV628" i="5"/>
  <c r="FA580" i="5"/>
  <c r="HO579" i="5"/>
  <c r="HO581" i="5" s="1"/>
  <c r="FA578" i="5"/>
  <c r="FT630" i="5"/>
  <c r="FU630" i="5" s="1"/>
  <c r="FT600" i="5"/>
  <c r="FU600" i="5" s="1"/>
  <c r="FT537" i="5"/>
  <c r="FU537" i="5" s="1"/>
  <c r="FU535" i="5"/>
  <c r="JV485" i="5"/>
  <c r="FT522" i="5"/>
  <c r="FU522" i="5" s="1"/>
  <c r="JV515" i="5"/>
  <c r="FT507" i="5"/>
  <c r="FU507" i="5" s="1"/>
  <c r="FT542" i="5"/>
  <c r="FU542" i="5" s="1"/>
  <c r="JV505" i="5"/>
  <c r="JV500" i="5"/>
  <c r="FT532" i="5"/>
  <c r="FU532" i="5" s="1"/>
  <c r="FT487" i="5"/>
  <c r="FU487" i="5" s="1"/>
  <c r="FU485" i="5"/>
  <c r="FT547" i="5"/>
  <c r="FU547" i="5" s="1"/>
  <c r="FU525" i="5"/>
  <c r="FT557" i="5"/>
  <c r="FU557" i="5" s="1"/>
  <c r="JV495" i="5"/>
  <c r="FT527" i="5"/>
  <c r="FU527" i="5" s="1"/>
  <c r="JV530" i="5"/>
  <c r="JV545" i="5"/>
  <c r="JV535" i="5"/>
  <c r="JV520" i="5"/>
  <c r="JV510" i="5"/>
  <c r="FT512" i="5"/>
  <c r="FU512" i="5" s="1"/>
  <c r="FU540" i="5"/>
  <c r="JV525" i="5"/>
  <c r="FT517" i="5"/>
  <c r="FU517" i="5" s="1"/>
  <c r="JV490" i="5"/>
  <c r="JV427" i="5"/>
  <c r="FU412" i="5"/>
  <c r="JV412" i="5"/>
  <c r="FT464" i="5"/>
  <c r="FU464" i="5" s="1"/>
  <c r="FT409" i="5"/>
  <c r="FU409" i="5" s="1"/>
  <c r="FT414" i="5"/>
  <c r="FU414" i="5" s="1"/>
  <c r="FT434" i="5"/>
  <c r="FU434" i="5" s="1"/>
  <c r="JV437" i="5"/>
  <c r="FT444" i="5"/>
  <c r="FU444" i="5" s="1"/>
  <c r="FT479" i="5"/>
  <c r="FU479" i="5" s="1"/>
  <c r="JV457" i="5"/>
  <c r="JV447" i="5"/>
  <c r="FU427" i="5"/>
  <c r="JV407" i="5"/>
  <c r="JV442" i="5"/>
  <c r="FT419" i="5"/>
  <c r="FU419" i="5" s="1"/>
  <c r="FT474" i="5"/>
  <c r="FU474" i="5" s="1"/>
  <c r="FT424" i="5"/>
  <c r="FU424" i="5" s="1"/>
  <c r="FT449" i="5"/>
  <c r="FU449" i="5" s="1"/>
  <c r="JV422" i="5"/>
  <c r="JV452" i="5"/>
  <c r="FT429" i="5"/>
  <c r="FU429" i="5" s="1"/>
  <c r="FT439" i="5"/>
  <c r="FU439" i="5" s="1"/>
  <c r="JV462" i="5"/>
  <c r="FU462" i="5"/>
  <c r="FT459" i="5"/>
  <c r="FU459" i="5" s="1"/>
  <c r="JX399" i="5"/>
  <c r="FU396" i="5"/>
  <c r="FS389" i="5"/>
  <c r="JX374" i="5"/>
  <c r="FS384" i="5"/>
  <c r="FM379" i="5"/>
  <c r="FT379" i="5" s="1"/>
  <c r="FU379" i="5" s="1"/>
  <c r="HO385" i="5"/>
  <c r="HO387" i="5" s="1"/>
  <c r="FA384" i="5"/>
  <c r="FA386" i="5"/>
  <c r="HO375" i="5"/>
  <c r="HO377" i="5" s="1"/>
  <c r="FA376" i="5"/>
  <c r="FA374" i="5"/>
  <c r="HO365" i="5"/>
  <c r="HO367" i="5" s="1"/>
  <c r="FA364" i="5"/>
  <c r="FA366" i="5"/>
  <c r="GP372" i="5"/>
  <c r="FA361" i="5"/>
  <c r="HO360" i="5"/>
  <c r="HO362" i="5" s="1"/>
  <c r="FA359" i="5"/>
  <c r="JH336" i="5"/>
  <c r="HR335" i="5"/>
  <c r="HR337" i="5" s="1"/>
  <c r="FM344" i="5"/>
  <c r="FT344" i="5" s="1"/>
  <c r="JC346" i="5"/>
  <c r="FY346" i="5"/>
  <c r="HO345" i="5"/>
  <c r="HO347" i="5" s="1"/>
  <c r="FA344" i="5"/>
  <c r="FA346" i="5"/>
  <c r="JV399" i="5"/>
  <c r="HP400" i="5"/>
  <c r="HP402" i="5" s="1"/>
  <c r="FM389" i="5"/>
  <c r="FT389" i="5" s="1"/>
  <c r="GP352" i="5"/>
  <c r="FY331" i="5"/>
  <c r="JC331" i="5"/>
  <c r="JX329" i="5"/>
  <c r="HO400" i="5"/>
  <c r="HO402" i="5" s="1"/>
  <c r="FA399" i="5"/>
  <c r="FA401" i="5"/>
  <c r="FM381" i="5"/>
  <c r="HR370" i="5"/>
  <c r="HR372" i="5" s="1"/>
  <c r="JH371" i="5"/>
  <c r="FM341" i="5"/>
  <c r="FY336" i="5"/>
  <c r="JC336" i="5"/>
  <c r="FM349" i="5"/>
  <c r="FT349" i="5" s="1"/>
  <c r="FS349" i="5"/>
  <c r="HR355" i="5"/>
  <c r="HR357" i="5" s="1"/>
  <c r="JH356" i="5"/>
  <c r="FM329" i="5"/>
  <c r="FT329" i="5" s="1"/>
  <c r="FA341" i="5"/>
  <c r="FA339" i="5"/>
  <c r="HO340" i="5"/>
  <c r="HO342" i="5" s="1"/>
  <c r="FS399" i="5"/>
  <c r="FU399" i="5" s="1"/>
  <c r="JX389" i="5"/>
  <c r="JX384" i="5"/>
  <c r="JV364" i="5"/>
  <c r="FM361" i="5"/>
  <c r="FM356" i="5"/>
  <c r="FM334" i="5"/>
  <c r="FT334" i="5" s="1"/>
  <c r="FS344" i="5"/>
  <c r="FU331" i="5"/>
  <c r="FY396" i="5"/>
  <c r="JC396" i="5"/>
  <c r="FY386" i="5"/>
  <c r="JC386" i="5"/>
  <c r="FM386" i="5"/>
  <c r="JC371" i="5"/>
  <c r="FY371" i="5"/>
  <c r="HP370" i="5"/>
  <c r="HP372" i="5" s="1"/>
  <c r="HP360" i="5"/>
  <c r="HP362" i="5" s="1"/>
  <c r="FY341" i="5"/>
  <c r="JC341" i="5"/>
  <c r="JC351" i="5"/>
  <c r="FY351" i="5"/>
  <c r="JH351" i="5"/>
  <c r="HR350" i="5"/>
  <c r="HR352" i="5" s="1"/>
  <c r="HP345" i="5"/>
  <c r="HP347" i="5" s="1"/>
  <c r="FM384" i="5"/>
  <c r="FT384" i="5" s="1"/>
  <c r="FY391" i="5"/>
  <c r="JC391" i="5"/>
  <c r="EX396" i="5"/>
  <c r="FB396" i="5"/>
  <c r="EY396" i="5" s="1"/>
  <c r="EX394" i="5"/>
  <c r="FB394" i="5"/>
  <c r="EY394" i="5" s="1"/>
  <c r="FU366" i="5"/>
  <c r="FU371" i="5"/>
  <c r="JC361" i="5"/>
  <c r="FY361" i="5"/>
  <c r="FA371" i="5"/>
  <c r="HO370" i="5"/>
  <c r="HO372" i="5" s="1"/>
  <c r="FA369" i="5"/>
  <c r="FM339" i="5"/>
  <c r="FT339" i="5" s="1"/>
  <c r="FU339" i="5" s="1"/>
  <c r="JX334" i="5"/>
  <c r="HO330" i="5"/>
  <c r="HO332" i="5" s="1"/>
  <c r="FA329" i="5"/>
  <c r="FA331" i="5"/>
  <c r="FS329" i="5"/>
  <c r="FM401" i="5"/>
  <c r="FA391" i="5"/>
  <c r="HO390" i="5"/>
  <c r="HO392" i="5" s="1"/>
  <c r="FA389" i="5"/>
  <c r="FM359" i="5"/>
  <c r="FT359" i="5" s="1"/>
  <c r="FU359" i="5" s="1"/>
  <c r="FS354" i="5"/>
  <c r="FU354" i="5" s="1"/>
  <c r="FS334" i="5"/>
  <c r="FM336" i="5"/>
  <c r="JX344" i="5"/>
  <c r="FM391" i="5"/>
  <c r="JH381" i="5"/>
  <c r="HR380" i="5"/>
  <c r="HR382" i="5" s="1"/>
  <c r="FA356" i="5"/>
  <c r="FA354" i="5"/>
  <c r="HO355" i="5"/>
  <c r="HO357" i="5" s="1"/>
  <c r="FA336" i="5"/>
  <c r="HO335" i="5"/>
  <c r="HO337" i="5" s="1"/>
  <c r="FA334" i="5"/>
  <c r="FA349" i="5"/>
  <c r="FA351" i="5"/>
  <c r="HO350" i="5"/>
  <c r="HO352" i="5" s="1"/>
  <c r="JX349" i="5"/>
  <c r="HP340" i="5"/>
  <c r="HP342" i="5" s="1"/>
  <c r="FM346" i="5"/>
  <c r="JH303" i="5"/>
  <c r="HR302" i="5"/>
  <c r="HR304" i="5" s="1"/>
  <c r="FM306" i="5"/>
  <c r="FT306" i="5" s="1"/>
  <c r="FM293" i="5"/>
  <c r="JX271" i="5"/>
  <c r="JV261" i="5"/>
  <c r="FM256" i="5"/>
  <c r="FT256" i="5" s="1"/>
  <c r="FY318" i="5"/>
  <c r="JC318" i="5"/>
  <c r="JV321" i="5"/>
  <c r="FM301" i="5"/>
  <c r="FT301" i="5" s="1"/>
  <c r="FS301" i="5"/>
  <c r="FM296" i="5"/>
  <c r="FT296" i="5" s="1"/>
  <c r="JX286" i="5"/>
  <c r="FM263" i="5"/>
  <c r="FM266" i="5"/>
  <c r="FT266" i="5" s="1"/>
  <c r="JH258" i="5"/>
  <c r="HR257" i="5"/>
  <c r="HR259" i="5" s="1"/>
  <c r="FA258" i="5"/>
  <c r="HO257" i="5"/>
  <c r="HO259" i="5" s="1"/>
  <c r="FA256" i="5"/>
  <c r="JC313" i="5"/>
  <c r="FY313" i="5"/>
  <c r="FM313" i="5"/>
  <c r="JV306" i="5"/>
  <c r="JC303" i="5"/>
  <c r="FY303" i="5"/>
  <c r="HO322" i="5"/>
  <c r="HO324" i="5" s="1"/>
  <c r="FA321" i="5"/>
  <c r="FA323" i="5"/>
  <c r="JX306" i="5"/>
  <c r="FA298" i="5"/>
  <c r="HO297" i="5"/>
  <c r="HO299" i="5" s="1"/>
  <c r="FA296" i="5"/>
  <c r="FM288" i="5"/>
  <c r="FM286" i="5"/>
  <c r="FT286" i="5" s="1"/>
  <c r="JH278" i="5"/>
  <c r="HR277" i="5"/>
  <c r="HR279" i="5" s="1"/>
  <c r="FM323" i="5"/>
  <c r="FA306" i="5"/>
  <c r="FA308" i="5"/>
  <c r="HO307" i="5"/>
  <c r="HO309" i="5" s="1"/>
  <c r="JX311" i="5"/>
  <c r="GP314" i="5"/>
  <c r="FY298" i="5"/>
  <c r="JC298" i="5"/>
  <c r="HP297" i="5"/>
  <c r="HP299" i="5" s="1"/>
  <c r="FM258" i="5"/>
  <c r="JH268" i="5"/>
  <c r="HR267" i="5"/>
  <c r="HR269" i="5" s="1"/>
  <c r="FY258" i="5"/>
  <c r="JC258" i="5"/>
  <c r="JX321" i="5"/>
  <c r="FM316" i="5"/>
  <c r="FT316" i="5" s="1"/>
  <c r="FU316" i="5" s="1"/>
  <c r="HO312" i="5"/>
  <c r="HO314" i="5" s="1"/>
  <c r="FA311" i="5"/>
  <c r="FA313" i="5"/>
  <c r="FM291" i="5"/>
  <c r="FT291" i="5" s="1"/>
  <c r="FU291" i="5" s="1"/>
  <c r="FM276" i="5"/>
  <c r="FT276" i="5" s="1"/>
  <c r="FS266" i="5"/>
  <c r="HP262" i="5"/>
  <c r="HP264" i="5" s="1"/>
  <c r="FS256" i="5"/>
  <c r="JX301" i="5"/>
  <c r="FS296" i="5"/>
  <c r="FM308" i="5"/>
  <c r="FA293" i="5"/>
  <c r="FA291" i="5"/>
  <c r="HO292" i="5"/>
  <c r="HO294" i="5" s="1"/>
  <c r="JV286" i="5"/>
  <c r="GP299" i="5"/>
  <c r="JC253" i="5"/>
  <c r="FY253" i="5"/>
  <c r="JC268" i="5"/>
  <c r="FY268" i="5"/>
  <c r="FM321" i="5"/>
  <c r="FT321" i="5" s="1"/>
  <c r="FM318" i="5"/>
  <c r="JH313" i="5"/>
  <c r="HR312" i="5"/>
  <c r="HR314" i="5" s="1"/>
  <c r="FM303" i="5"/>
  <c r="GP304" i="5"/>
  <c r="FA318" i="5"/>
  <c r="HO317" i="5"/>
  <c r="HO319" i="5" s="1"/>
  <c r="FA316" i="5"/>
  <c r="FS306" i="5"/>
  <c r="HP322" i="5"/>
  <c r="HP324" i="5" s="1"/>
  <c r="FS286" i="5"/>
  <c r="JV281" i="5"/>
  <c r="JX291" i="5"/>
  <c r="HP282" i="5"/>
  <c r="HP284" i="5" s="1"/>
  <c r="HP287" i="5"/>
  <c r="HP289" i="5" s="1"/>
  <c r="FM273" i="5"/>
  <c r="FM253" i="5"/>
  <c r="FA273" i="5"/>
  <c r="FA271" i="5"/>
  <c r="HO272" i="5"/>
  <c r="HO274" i="5" s="1"/>
  <c r="HP252" i="5"/>
  <c r="HP254" i="5" s="1"/>
  <c r="FS321" i="5"/>
  <c r="FM298" i="5"/>
  <c r="FA283" i="5"/>
  <c r="HO282" i="5"/>
  <c r="HO284" i="5" s="1"/>
  <c r="FA281" i="5"/>
  <c r="JX266" i="5"/>
  <c r="FA263" i="5"/>
  <c r="FA261" i="5"/>
  <c r="HO262" i="5"/>
  <c r="HO264" i="5" s="1"/>
  <c r="JX256" i="5"/>
  <c r="GP294" i="5"/>
  <c r="HO244" i="5"/>
  <c r="HO246" i="5" s="1"/>
  <c r="FA243" i="5"/>
  <c r="FA245" i="5"/>
  <c r="FY220" i="5"/>
  <c r="JC220" i="5"/>
  <c r="FS203" i="5"/>
  <c r="FM190" i="5"/>
  <c r="FM235" i="5"/>
  <c r="FS238" i="5"/>
  <c r="FM225" i="5"/>
  <c r="FM213" i="5"/>
  <c r="FT213" i="5" s="1"/>
  <c r="FU213" i="5" s="1"/>
  <c r="HP219" i="5"/>
  <c r="HP221" i="5" s="1"/>
  <c r="HO204" i="5"/>
  <c r="HO206" i="5" s="1"/>
  <c r="FA203" i="5"/>
  <c r="FA205" i="5"/>
  <c r="HP199" i="5"/>
  <c r="HP201" i="5" s="1"/>
  <c r="JC195" i="5"/>
  <c r="FY195" i="5"/>
  <c r="FM175" i="5"/>
  <c r="FM185" i="5"/>
  <c r="FA180" i="5"/>
  <c r="HO179" i="5"/>
  <c r="HO181" i="5" s="1"/>
  <c r="FA178" i="5"/>
  <c r="FS173" i="5"/>
  <c r="FU173" i="5" s="1"/>
  <c r="FY245" i="5"/>
  <c r="JC245" i="5"/>
  <c r="JX208" i="5"/>
  <c r="FS193" i="5"/>
  <c r="JX238" i="5"/>
  <c r="FS223" i="5"/>
  <c r="FU223" i="5" s="1"/>
  <c r="JC225" i="5"/>
  <c r="FY225" i="5"/>
  <c r="FA220" i="5"/>
  <c r="HO219" i="5"/>
  <c r="HO221" i="5" s="1"/>
  <c r="FA218" i="5"/>
  <c r="FM218" i="5"/>
  <c r="FT218" i="5" s="1"/>
  <c r="FS198" i="5"/>
  <c r="JX203" i="5"/>
  <c r="JC185" i="5"/>
  <c r="FY185" i="5"/>
  <c r="JX183" i="5"/>
  <c r="JC235" i="5"/>
  <c r="FY235" i="5"/>
  <c r="FM240" i="5"/>
  <c r="FM220" i="5"/>
  <c r="FS208" i="5"/>
  <c r="FU208" i="5" s="1"/>
  <c r="HO209" i="5"/>
  <c r="HO211" i="5" s="1"/>
  <c r="FA208" i="5"/>
  <c r="FA210" i="5"/>
  <c r="HR219" i="5"/>
  <c r="HR221" i="5" s="1"/>
  <c r="JH220" i="5"/>
  <c r="FY190" i="5"/>
  <c r="JC190" i="5"/>
  <c r="FM205" i="5"/>
  <c r="FM193" i="5"/>
  <c r="FT193" i="5" s="1"/>
  <c r="JX193" i="5"/>
  <c r="HR179" i="5"/>
  <c r="HR181" i="5" s="1"/>
  <c r="JH180" i="5"/>
  <c r="JX173" i="5"/>
  <c r="HO174" i="5"/>
  <c r="HO176" i="5" s="1"/>
  <c r="FA173" i="5"/>
  <c r="FA175" i="5"/>
  <c r="JC200" i="5"/>
  <c r="FY200" i="5"/>
  <c r="JX218" i="5"/>
  <c r="JX243" i="5"/>
  <c r="FM233" i="5"/>
  <c r="FT233" i="5" s="1"/>
  <c r="JC230" i="5"/>
  <c r="FY230" i="5"/>
  <c r="GP211" i="5"/>
  <c r="JC205" i="5"/>
  <c r="FY205" i="5"/>
  <c r="FM195" i="5"/>
  <c r="JX228" i="5"/>
  <c r="FA190" i="5"/>
  <c r="FA188" i="5"/>
  <c r="HO189" i="5"/>
  <c r="HO191" i="5" s="1"/>
  <c r="JV173" i="5"/>
  <c r="FS243" i="5"/>
  <c r="JX188" i="5"/>
  <c r="GP206" i="5"/>
  <c r="FM203" i="5"/>
  <c r="FT203" i="5" s="1"/>
  <c r="FM245" i="5"/>
  <c r="FS233" i="5"/>
  <c r="FY240" i="5"/>
  <c r="JC240" i="5"/>
  <c r="JX223" i="5"/>
  <c r="FS228" i="5"/>
  <c r="FU228" i="5" s="1"/>
  <c r="GP221" i="5"/>
  <c r="FT200" i="5"/>
  <c r="FU200" i="5" s="1"/>
  <c r="HO194" i="5"/>
  <c r="HO196" i="5" s="1"/>
  <c r="FA193" i="5"/>
  <c r="FA195" i="5"/>
  <c r="HP174" i="5"/>
  <c r="HP176" i="5" s="1"/>
  <c r="JX233" i="5"/>
  <c r="FM210" i="5"/>
  <c r="HO199" i="5"/>
  <c r="HO201" i="5" s="1"/>
  <c r="FA198" i="5"/>
  <c r="FA200" i="5"/>
  <c r="FM230" i="5"/>
  <c r="FS218" i="5"/>
  <c r="FM198" i="5"/>
  <c r="FT198" i="5" s="1"/>
  <c r="JH185" i="5"/>
  <c r="HR184" i="5"/>
  <c r="HR186" i="5" s="1"/>
  <c r="JV178" i="5"/>
  <c r="FM243" i="5"/>
  <c r="FT243" i="5" s="1"/>
  <c r="FM238" i="5"/>
  <c r="FT238" i="5" s="1"/>
  <c r="FB215" i="5"/>
  <c r="EY215" i="5" s="1"/>
  <c r="EX215" i="5"/>
  <c r="FB213" i="5"/>
  <c r="EY213" i="5" s="1"/>
  <c r="EX213" i="5"/>
  <c r="FM188" i="5"/>
  <c r="FT188" i="5" s="1"/>
  <c r="FT215" i="5"/>
  <c r="FU215" i="5" s="1"/>
  <c r="FM183" i="5"/>
  <c r="FT183" i="5" s="1"/>
  <c r="FU183" i="5" s="1"/>
  <c r="JC167" i="5"/>
  <c r="FY167" i="5"/>
  <c r="GP168" i="5"/>
  <c r="EX165" i="5"/>
  <c r="FL165" i="5"/>
  <c r="HV166" i="5"/>
  <c r="HV168" i="5" s="1"/>
  <c r="FB167" i="5"/>
  <c r="EY167" i="5" s="1"/>
  <c r="HP166" i="5" s="1"/>
  <c r="HP168" i="5" s="1"/>
  <c r="FS167" i="5"/>
  <c r="CR165" i="5"/>
  <c r="HW166" i="5"/>
  <c r="HW168" i="5" s="1"/>
  <c r="FE167" i="5"/>
  <c r="JG167" i="5" s="1"/>
  <c r="FB165" i="5"/>
  <c r="EY165" i="5" s="1"/>
  <c r="FL167" i="5"/>
  <c r="HR166" i="5"/>
  <c r="HR168" i="5" s="1"/>
  <c r="GP163" i="5"/>
  <c r="JH162" i="5"/>
  <c r="HR161" i="5"/>
  <c r="HR163" i="5" s="1"/>
  <c r="JC162" i="5"/>
  <c r="FY162" i="5"/>
  <c r="EX162" i="5"/>
  <c r="EX160" i="5"/>
  <c r="FB160" i="5"/>
  <c r="EY160" i="5" s="1"/>
  <c r="FB162" i="5"/>
  <c r="EY162" i="5" s="1"/>
  <c r="HV161" i="5"/>
  <c r="HV163" i="5" s="1"/>
  <c r="FS162" i="5"/>
  <c r="CR160" i="5"/>
  <c r="HW161" i="5"/>
  <c r="HW163" i="5" s="1"/>
  <c r="FE162" i="5"/>
  <c r="JG162" i="5" s="1"/>
  <c r="FL162" i="5"/>
  <c r="EX157" i="5"/>
  <c r="FB155" i="5"/>
  <c r="EY155" i="5" s="1"/>
  <c r="FB157" i="5"/>
  <c r="EY157" i="5" s="1"/>
  <c r="EX155" i="5"/>
  <c r="GP158" i="5"/>
  <c r="JC157" i="5"/>
  <c r="FY157" i="5"/>
  <c r="HV156" i="5"/>
  <c r="HV158" i="5" s="1"/>
  <c r="FS157" i="5"/>
  <c r="CR155" i="5"/>
  <c r="HW156" i="5"/>
  <c r="HW158" i="5" s="1"/>
  <c r="FE157" i="5"/>
  <c r="JG157" i="5" s="1"/>
  <c r="FL157" i="5"/>
  <c r="HR156" i="5"/>
  <c r="HR158" i="5" s="1"/>
  <c r="FY152" i="5"/>
  <c r="JC152" i="5"/>
  <c r="GP153" i="5"/>
  <c r="EX152" i="5"/>
  <c r="FB150" i="5"/>
  <c r="EY150" i="5" s="1"/>
  <c r="EX150" i="5"/>
  <c r="FB152" i="5"/>
  <c r="EY152" i="5" s="1"/>
  <c r="FM150" i="5"/>
  <c r="FT150" i="5" s="1"/>
  <c r="HV151" i="5"/>
  <c r="HV153" i="5" s="1"/>
  <c r="FS152" i="5"/>
  <c r="HR151" i="5"/>
  <c r="HR153" i="5" s="1"/>
  <c r="FS145" i="5"/>
  <c r="GP148" i="5"/>
  <c r="JC147" i="5"/>
  <c r="FY142" i="5"/>
  <c r="JC142" i="5"/>
  <c r="GP143" i="5"/>
  <c r="FL140" i="5"/>
  <c r="HV141" i="5"/>
  <c r="HV143" i="5" s="1"/>
  <c r="FB142" i="5"/>
  <c r="EY142" i="5" s="1"/>
  <c r="HP141" i="5" s="1"/>
  <c r="HP143" i="5" s="1"/>
  <c r="FS142" i="5"/>
  <c r="EX140" i="5"/>
  <c r="CR140" i="5"/>
  <c r="HW141" i="5"/>
  <c r="HW143" i="5" s="1"/>
  <c r="FE142" i="5"/>
  <c r="JG142" i="5" s="1"/>
  <c r="FB140" i="5"/>
  <c r="EY140" i="5" s="1"/>
  <c r="FL142" i="5"/>
  <c r="HR141" i="5"/>
  <c r="HR143" i="5" s="1"/>
  <c r="GP138" i="5"/>
  <c r="FY137" i="5"/>
  <c r="JC137" i="5"/>
  <c r="EX135" i="5"/>
  <c r="FL135" i="5"/>
  <c r="HV136" i="5"/>
  <c r="HV138" i="5" s="1"/>
  <c r="FB137" i="5"/>
  <c r="EY137" i="5" s="1"/>
  <c r="HP136" i="5" s="1"/>
  <c r="HP138" i="5" s="1"/>
  <c r="FS137" i="5"/>
  <c r="CR135" i="5"/>
  <c r="HW136" i="5"/>
  <c r="HW138" i="5" s="1"/>
  <c r="FE137" i="5"/>
  <c r="JG137" i="5" s="1"/>
  <c r="FB135" i="5"/>
  <c r="EY135" i="5" s="1"/>
  <c r="FL137" i="5"/>
  <c r="HR136" i="5"/>
  <c r="HR138" i="5" s="1"/>
  <c r="GP133" i="5"/>
  <c r="FY132" i="5"/>
  <c r="JC132" i="5"/>
  <c r="HV131" i="5"/>
  <c r="HV133" i="5" s="1"/>
  <c r="FB132" i="5"/>
  <c r="EY132" i="5" s="1"/>
  <c r="HP131" i="5" s="1"/>
  <c r="HP133" i="5" s="1"/>
  <c r="FS132" i="5"/>
  <c r="EX130" i="5"/>
  <c r="CR130" i="5"/>
  <c r="HW131" i="5"/>
  <c r="HW133" i="5" s="1"/>
  <c r="FE132" i="5"/>
  <c r="JG132" i="5" s="1"/>
  <c r="FB130" i="5"/>
  <c r="EY130" i="5" s="1"/>
  <c r="FL132" i="5"/>
  <c r="HR131" i="5"/>
  <c r="HR133" i="5" s="1"/>
  <c r="FY127" i="5"/>
  <c r="JC127" i="5"/>
  <c r="GP128" i="5"/>
  <c r="FL125" i="5"/>
  <c r="EX125" i="5"/>
  <c r="HV126" i="5"/>
  <c r="HV128" i="5" s="1"/>
  <c r="FB127" i="5"/>
  <c r="EY127" i="5" s="1"/>
  <c r="HP126" i="5" s="1"/>
  <c r="HP128" i="5" s="1"/>
  <c r="FS127" i="5"/>
  <c r="CR125" i="5"/>
  <c r="HW126" i="5"/>
  <c r="HW128" i="5" s="1"/>
  <c r="FE127" i="5"/>
  <c r="JG127" i="5" s="1"/>
  <c r="FB125" i="5"/>
  <c r="EY125" i="5" s="1"/>
  <c r="FL127" i="5"/>
  <c r="HR126" i="5"/>
  <c r="HR128" i="5" s="1"/>
  <c r="GP123" i="5"/>
  <c r="JC122" i="5"/>
  <c r="FY122" i="5"/>
  <c r="JX120" i="5"/>
  <c r="HV121" i="5"/>
  <c r="HV123" i="5" s="1"/>
  <c r="FB122" i="5"/>
  <c r="EY122" i="5" s="1"/>
  <c r="HP121" i="5" s="1"/>
  <c r="HP123" i="5" s="1"/>
  <c r="FS122" i="5"/>
  <c r="FB120" i="5"/>
  <c r="EY120" i="5" s="1"/>
  <c r="FL122" i="5"/>
  <c r="EX120" i="5"/>
  <c r="HR121" i="5"/>
  <c r="HR123" i="5" s="1"/>
  <c r="JC112" i="5"/>
  <c r="FY112" i="5"/>
  <c r="GP113" i="5"/>
  <c r="EX110" i="5"/>
  <c r="FL110" i="5"/>
  <c r="HV111" i="5"/>
  <c r="HV113" i="5" s="1"/>
  <c r="FB112" i="5"/>
  <c r="EY112" i="5" s="1"/>
  <c r="HP111" i="5" s="1"/>
  <c r="HP113" i="5" s="1"/>
  <c r="FS112" i="5"/>
  <c r="CR110" i="5"/>
  <c r="HW111" i="5"/>
  <c r="HW113" i="5" s="1"/>
  <c r="FE112" i="5"/>
  <c r="JG112" i="5" s="1"/>
  <c r="FB110" i="5"/>
  <c r="EY110" i="5" s="1"/>
  <c r="FL112" i="5"/>
  <c r="HR111" i="5"/>
  <c r="HR113" i="5" s="1"/>
  <c r="JC107" i="5"/>
  <c r="FY107" i="5"/>
  <c r="GP108" i="5"/>
  <c r="FL105" i="5"/>
  <c r="EX105" i="5"/>
  <c r="HV106" i="5"/>
  <c r="HV108" i="5" s="1"/>
  <c r="FB107" i="5"/>
  <c r="EY107" i="5" s="1"/>
  <c r="HP106" i="5" s="1"/>
  <c r="HP108" i="5" s="1"/>
  <c r="FS107" i="5"/>
  <c r="CR105" i="5"/>
  <c r="HW106" i="5"/>
  <c r="HW108" i="5" s="1"/>
  <c r="FE107" i="5"/>
  <c r="JG107" i="5" s="1"/>
  <c r="FB105" i="5"/>
  <c r="EY105" i="5" s="1"/>
  <c r="FL107" i="5"/>
  <c r="HR106" i="5"/>
  <c r="HR108" i="5" s="1"/>
  <c r="EX102" i="5"/>
  <c r="FB100" i="5"/>
  <c r="EY100" i="5" s="1"/>
  <c r="EX100" i="5"/>
  <c r="FB102" i="5"/>
  <c r="EY102" i="5" s="1"/>
  <c r="JH102" i="5"/>
  <c r="HR101" i="5"/>
  <c r="HR103" i="5" s="1"/>
  <c r="GP103" i="5"/>
  <c r="HV101" i="5"/>
  <c r="HV103" i="5" s="1"/>
  <c r="FS102" i="5"/>
  <c r="JC102" i="5"/>
  <c r="FL102" i="5"/>
  <c r="JC97" i="5"/>
  <c r="FY97" i="5"/>
  <c r="GP98" i="5"/>
  <c r="FL95" i="5"/>
  <c r="CR95" i="5"/>
  <c r="HW96" i="5"/>
  <c r="HW98" i="5" s="1"/>
  <c r="FE97" i="5"/>
  <c r="JG97" i="5" s="1"/>
  <c r="FS97" i="5"/>
  <c r="FB95" i="5"/>
  <c r="EY95" i="5" s="1"/>
  <c r="FL97" i="5"/>
  <c r="EX95" i="5"/>
  <c r="HV96" i="5"/>
  <c r="HV98" i="5" s="1"/>
  <c r="FB97" i="5"/>
  <c r="EY97" i="5" s="1"/>
  <c r="HP96" i="5" s="1"/>
  <c r="HP98" i="5" s="1"/>
  <c r="HR96" i="5"/>
  <c r="HR98" i="5" s="1"/>
  <c r="GP90" i="5"/>
  <c r="FY89" i="5"/>
  <c r="JC89" i="5"/>
  <c r="FM87" i="5"/>
  <c r="FT87" i="5" s="1"/>
  <c r="HV88" i="5"/>
  <c r="HV90" i="5" s="1"/>
  <c r="FB89" i="5"/>
  <c r="EY89" i="5" s="1"/>
  <c r="HP88" i="5" s="1"/>
  <c r="HP90" i="5" s="1"/>
  <c r="FS89" i="5"/>
  <c r="HW88" i="5"/>
  <c r="HW90" i="5" s="1"/>
  <c r="FE89" i="5"/>
  <c r="JG89" i="5" s="1"/>
  <c r="FB87" i="5"/>
  <c r="EY87" i="5" s="1"/>
  <c r="FL89" i="5"/>
  <c r="EX87" i="5"/>
  <c r="HR88" i="5"/>
  <c r="HR90" i="5" s="1"/>
  <c r="GP85" i="5"/>
  <c r="JH84" i="5"/>
  <c r="HR83" i="5"/>
  <c r="HR85" i="5" s="1"/>
  <c r="FY84" i="5"/>
  <c r="JC84" i="5"/>
  <c r="EX84" i="5"/>
  <c r="FB82" i="5"/>
  <c r="EY82" i="5" s="1"/>
  <c r="EX82" i="5"/>
  <c r="FB84" i="5"/>
  <c r="EY84" i="5" s="1"/>
  <c r="HV83" i="5"/>
  <c r="HV85" i="5" s="1"/>
  <c r="FS84" i="5"/>
  <c r="CR82" i="5"/>
  <c r="HW83" i="5"/>
  <c r="HW85" i="5" s="1"/>
  <c r="FE84" i="5"/>
  <c r="JG84" i="5" s="1"/>
  <c r="FL84" i="5"/>
  <c r="GP80" i="5"/>
  <c r="JC79" i="5"/>
  <c r="FY79" i="5"/>
  <c r="EX77" i="5"/>
  <c r="CP77" i="5"/>
  <c r="FL77" i="5"/>
  <c r="HV78" i="5"/>
  <c r="HV80" i="5" s="1"/>
  <c r="FB79" i="5"/>
  <c r="EY79" i="5" s="1"/>
  <c r="HP78" i="5" s="1"/>
  <c r="HP80" i="5" s="1"/>
  <c r="FS79" i="5"/>
  <c r="CR77" i="5"/>
  <c r="HW78" i="5"/>
  <c r="HW80" i="5" s="1"/>
  <c r="FE79" i="5"/>
  <c r="JG79" i="5" s="1"/>
  <c r="FB77" i="5"/>
  <c r="EY77" i="5" s="1"/>
  <c r="FL79" i="5"/>
  <c r="HR78" i="5"/>
  <c r="HR80" i="5" s="1"/>
  <c r="JC74" i="5"/>
  <c r="FY74" i="5"/>
  <c r="GP75" i="5"/>
  <c r="EX72" i="5"/>
  <c r="GO72" i="5"/>
  <c r="FL72" i="5"/>
  <c r="FB72" i="5"/>
  <c r="EY72" i="5" s="1"/>
  <c r="FL74" i="5"/>
  <c r="CR72" i="5"/>
  <c r="HW73" i="5"/>
  <c r="HW75" i="5" s="1"/>
  <c r="FE74" i="5"/>
  <c r="JG74" i="5" s="1"/>
  <c r="HV73" i="5"/>
  <c r="HV75" i="5" s="1"/>
  <c r="FS74" i="5"/>
  <c r="HR73" i="5"/>
  <c r="HR75" i="5" s="1"/>
  <c r="FY69" i="5"/>
  <c r="JC69" i="5"/>
  <c r="GP70" i="5"/>
  <c r="HV68" i="5"/>
  <c r="HV70" i="5" s="1"/>
  <c r="FB69" i="5"/>
  <c r="EY69" i="5" s="1"/>
  <c r="HP68" i="5" s="1"/>
  <c r="HP70" i="5" s="1"/>
  <c r="FS69" i="5"/>
  <c r="FE69" i="5"/>
  <c r="JG69" i="5" s="1"/>
  <c r="FB67" i="5"/>
  <c r="FL69" i="5"/>
  <c r="EX67" i="5"/>
  <c r="HR68" i="5"/>
  <c r="HR70" i="5" s="1"/>
  <c r="JC64" i="5"/>
  <c r="FY64" i="5"/>
  <c r="GP65" i="5"/>
  <c r="EX62" i="5"/>
  <c r="FL62" i="5"/>
  <c r="HV63" i="5"/>
  <c r="HV65" i="5" s="1"/>
  <c r="FB64" i="5"/>
  <c r="EY64" i="5" s="1"/>
  <c r="HP63" i="5" s="1"/>
  <c r="HP65" i="5" s="1"/>
  <c r="FS64" i="5"/>
  <c r="CR62" i="5"/>
  <c r="FE64" i="5"/>
  <c r="JG64" i="5" s="1"/>
  <c r="FB62" i="5"/>
  <c r="FL64" i="5"/>
  <c r="HR63" i="5"/>
  <c r="HR65" i="5" s="1"/>
  <c r="GP60" i="5"/>
  <c r="EX57" i="5"/>
  <c r="FB59" i="5"/>
  <c r="EY59" i="5" s="1"/>
  <c r="HP58" i="5" s="1"/>
  <c r="HP60" i="5" s="1"/>
  <c r="CR57" i="5"/>
  <c r="FE59" i="5"/>
  <c r="JG59" i="5" s="1"/>
  <c r="FB57" i="5"/>
  <c r="FL59" i="5"/>
  <c r="HR58" i="5"/>
  <c r="HR60" i="5" s="1"/>
  <c r="GP55" i="5"/>
  <c r="JH54" i="5"/>
  <c r="HR53" i="5"/>
  <c r="HR55" i="5" s="1"/>
  <c r="CS54" i="5"/>
  <c r="GK47" i="5"/>
  <c r="HM48" i="5" s="1"/>
  <c r="HM50" i="5" s="1"/>
  <c r="GO47" i="5"/>
  <c r="IU49" i="5"/>
  <c r="IT49" i="5"/>
  <c r="JA49" i="5" s="1"/>
  <c r="IS49" i="5"/>
  <c r="IW49" i="5" s="1"/>
  <c r="IR49" i="5"/>
  <c r="FY49" i="5"/>
  <c r="GP50" i="5"/>
  <c r="EX47" i="5"/>
  <c r="CP47" i="5"/>
  <c r="FL47" i="5"/>
  <c r="CR47" i="5"/>
  <c r="FE49" i="5"/>
  <c r="JG49" i="5" s="1"/>
  <c r="FB49" i="5"/>
  <c r="EY49" i="5" s="1"/>
  <c r="HP48" i="5" s="1"/>
  <c r="HP50" i="5" s="1"/>
  <c r="FS49" i="5"/>
  <c r="FB47" i="5"/>
  <c r="FL49" i="5"/>
  <c r="HR48" i="5"/>
  <c r="HR50" i="5" s="1"/>
  <c r="FS115" i="5" l="1"/>
  <c r="FU115" i="5" s="1"/>
  <c r="JA115" i="5"/>
  <c r="IY67" i="5"/>
  <c r="IS67" i="5"/>
  <c r="IU67" i="5"/>
  <c r="IZ67" i="5"/>
  <c r="IV150" i="5"/>
  <c r="IR150" i="5"/>
  <c r="FU152" i="5"/>
  <c r="IX150" i="5"/>
  <c r="IU150" i="5"/>
  <c r="IZ87" i="5"/>
  <c r="FU276" i="5"/>
  <c r="IY150" i="5"/>
  <c r="JA87" i="5"/>
  <c r="IS150" i="5"/>
  <c r="JA150" i="5"/>
  <c r="IZ150" i="5"/>
  <c r="IS115" i="5"/>
  <c r="IQ115" i="5"/>
  <c r="IU115" i="5"/>
  <c r="IY115" i="5"/>
  <c r="IV115" i="5"/>
  <c r="IT115" i="5"/>
  <c r="IW115" i="5"/>
  <c r="IX115" i="5"/>
  <c r="IR115" i="5"/>
  <c r="FU117" i="5"/>
  <c r="FA145" i="5"/>
  <c r="FU150" i="5"/>
  <c r="HP146" i="5"/>
  <c r="HP148" i="5" s="1"/>
  <c r="FA115" i="5"/>
  <c r="FU203" i="5"/>
  <c r="HO116" i="5"/>
  <c r="HO118" i="5" s="1"/>
  <c r="HO146" i="5"/>
  <c r="HO148" i="5" s="1"/>
  <c r="FU188" i="5"/>
  <c r="HP161" i="5"/>
  <c r="HP163" i="5" s="1"/>
  <c r="HP116" i="5"/>
  <c r="HP118" i="5" s="1"/>
  <c r="IY87" i="5"/>
  <c r="FU87" i="5"/>
  <c r="IS87" i="5"/>
  <c r="IW87" i="5"/>
  <c r="IT87" i="5"/>
  <c r="IR87" i="5"/>
  <c r="IU87" i="5"/>
  <c r="IX87" i="5"/>
  <c r="IQ87" i="5"/>
  <c r="HP73" i="5"/>
  <c r="HP75" i="5" s="1"/>
  <c r="FU67" i="5"/>
  <c r="IW67" i="5"/>
  <c r="IT67" i="5"/>
  <c r="IX67" i="5"/>
  <c r="IQ67" i="5"/>
  <c r="IR67" i="5"/>
  <c r="JA67" i="5"/>
  <c r="FU145" i="5"/>
  <c r="FU243" i="5"/>
  <c r="HP151" i="5"/>
  <c r="HP153" i="5" s="1"/>
  <c r="HP214" i="5"/>
  <c r="HP216" i="5" s="1"/>
  <c r="FU198" i="5"/>
  <c r="FU384" i="5"/>
  <c r="JV276" i="5"/>
  <c r="IU130" i="5"/>
  <c r="IZ130" i="5"/>
  <c r="IT130" i="5"/>
  <c r="IR130" i="5"/>
  <c r="JA130" i="5"/>
  <c r="IS130" i="5"/>
  <c r="IY130" i="5"/>
  <c r="IQ130" i="5"/>
  <c r="IX130" i="5"/>
  <c r="IV130" i="5"/>
  <c r="IW130" i="5"/>
  <c r="IW155" i="5"/>
  <c r="IT155" i="5"/>
  <c r="IV155" i="5"/>
  <c r="IU155" i="5"/>
  <c r="JA155" i="5"/>
  <c r="IS155" i="5"/>
  <c r="IZ155" i="5"/>
  <c r="IR155" i="5"/>
  <c r="IX155" i="5"/>
  <c r="IY155" i="5"/>
  <c r="IQ155" i="5"/>
  <c r="JA165" i="5"/>
  <c r="IS165" i="5"/>
  <c r="IX165" i="5"/>
  <c r="IZ165" i="5"/>
  <c r="IR165" i="5"/>
  <c r="IY165" i="5"/>
  <c r="IQ165" i="5"/>
  <c r="IW165" i="5"/>
  <c r="IV165" i="5"/>
  <c r="IU165" i="5"/>
  <c r="IT165" i="5"/>
  <c r="FM147" i="5"/>
  <c r="FT147" i="5" s="1"/>
  <c r="FU147" i="5" s="1"/>
  <c r="JX145" i="5"/>
  <c r="JA105" i="5"/>
  <c r="IS105" i="5"/>
  <c r="IZ105" i="5"/>
  <c r="IR105" i="5"/>
  <c r="IY105" i="5"/>
  <c r="IQ105" i="5"/>
  <c r="IW105" i="5"/>
  <c r="IV105" i="5"/>
  <c r="IT105" i="5"/>
  <c r="IU105" i="5"/>
  <c r="IX105" i="5"/>
  <c r="JA82" i="5"/>
  <c r="IS82" i="5"/>
  <c r="IZ82" i="5"/>
  <c r="IR82" i="5"/>
  <c r="IY82" i="5"/>
  <c r="IQ82" i="5"/>
  <c r="IW82" i="5"/>
  <c r="IV82" i="5"/>
  <c r="IT82" i="5"/>
  <c r="IX82" i="5"/>
  <c r="IU82" i="5"/>
  <c r="JA125" i="5"/>
  <c r="IS125" i="5"/>
  <c r="IX125" i="5"/>
  <c r="IZ125" i="5"/>
  <c r="IR125" i="5"/>
  <c r="IY125" i="5"/>
  <c r="IQ125" i="5"/>
  <c r="IW125" i="5"/>
  <c r="IV125" i="5"/>
  <c r="IT125" i="5"/>
  <c r="IU125" i="5"/>
  <c r="IY120" i="5"/>
  <c r="IQ120" i="5"/>
  <c r="IX120" i="5"/>
  <c r="IW120" i="5"/>
  <c r="IU120" i="5"/>
  <c r="IT120" i="5"/>
  <c r="IZ120" i="5"/>
  <c r="IR120" i="5"/>
  <c r="IV120" i="5"/>
  <c r="IS120" i="5"/>
  <c r="JA120" i="5"/>
  <c r="FS120" i="5"/>
  <c r="FU120" i="5" s="1"/>
  <c r="IW72" i="5"/>
  <c r="IV72" i="5"/>
  <c r="IU72" i="5"/>
  <c r="JA72" i="5"/>
  <c r="IS72" i="5"/>
  <c r="IZ72" i="5"/>
  <c r="IR72" i="5"/>
  <c r="IX72" i="5"/>
  <c r="IT72" i="5"/>
  <c r="IY72" i="5"/>
  <c r="IQ72" i="5"/>
  <c r="IW95" i="5"/>
  <c r="IV95" i="5"/>
  <c r="IU95" i="5"/>
  <c r="JA95" i="5"/>
  <c r="IS95" i="5"/>
  <c r="IZ95" i="5"/>
  <c r="IR95" i="5"/>
  <c r="IX95" i="5"/>
  <c r="IT95" i="5"/>
  <c r="IY95" i="5"/>
  <c r="IQ95" i="5"/>
  <c r="IY140" i="5"/>
  <c r="IQ140" i="5"/>
  <c r="IX140" i="5"/>
  <c r="IW140" i="5"/>
  <c r="IU140" i="5"/>
  <c r="IT140" i="5"/>
  <c r="IZ140" i="5"/>
  <c r="IR140" i="5"/>
  <c r="IV140" i="5"/>
  <c r="JA140" i="5"/>
  <c r="IS140" i="5"/>
  <c r="IT117" i="5"/>
  <c r="JA117" i="5"/>
  <c r="IS117" i="5"/>
  <c r="IZ117" i="5"/>
  <c r="IR117" i="5"/>
  <c r="IX117" i="5"/>
  <c r="IW117" i="5"/>
  <c r="IU117" i="5"/>
  <c r="IY117" i="5"/>
  <c r="IV117" i="5"/>
  <c r="IQ117" i="5"/>
  <c r="JC117" i="5"/>
  <c r="FY117" i="5"/>
  <c r="IY100" i="5"/>
  <c r="IQ100" i="5"/>
  <c r="IX100" i="5"/>
  <c r="IW100" i="5"/>
  <c r="IU100" i="5"/>
  <c r="IT100" i="5"/>
  <c r="IZ100" i="5"/>
  <c r="IR100" i="5"/>
  <c r="IV100" i="5"/>
  <c r="JA100" i="5"/>
  <c r="IS100" i="5"/>
  <c r="IV102" i="5"/>
  <c r="IU102" i="5"/>
  <c r="IT102" i="5"/>
  <c r="IZ102" i="5"/>
  <c r="IR102" i="5"/>
  <c r="IY102" i="5"/>
  <c r="IQ102" i="5"/>
  <c r="IW102" i="5"/>
  <c r="JA102" i="5"/>
  <c r="IX102" i="5"/>
  <c r="IS102" i="5"/>
  <c r="FY102" i="5"/>
  <c r="JV271" i="5"/>
  <c r="JA62" i="5"/>
  <c r="IS62" i="5"/>
  <c r="IZ62" i="5"/>
  <c r="IR62" i="5"/>
  <c r="IY62" i="5"/>
  <c r="IQ62" i="5"/>
  <c r="IW62" i="5"/>
  <c r="IV62" i="5"/>
  <c r="IT62" i="5"/>
  <c r="IU62" i="5"/>
  <c r="IX62" i="5"/>
  <c r="IY77" i="5"/>
  <c r="IQ77" i="5"/>
  <c r="IX77" i="5"/>
  <c r="IW77" i="5"/>
  <c r="IU77" i="5"/>
  <c r="IT77" i="5"/>
  <c r="IZ77" i="5"/>
  <c r="IR77" i="5"/>
  <c r="JA77" i="5"/>
  <c r="IV77" i="5"/>
  <c r="IS77" i="5"/>
  <c r="JA145" i="5"/>
  <c r="IS145" i="5"/>
  <c r="IZ145" i="5"/>
  <c r="IR145" i="5"/>
  <c r="IY145" i="5"/>
  <c r="IQ145" i="5"/>
  <c r="IX145" i="5"/>
  <c r="IW145" i="5"/>
  <c r="IV145" i="5"/>
  <c r="IT145" i="5"/>
  <c r="IU145" i="5"/>
  <c r="IY57" i="5"/>
  <c r="IV57" i="5"/>
  <c r="IU110" i="5"/>
  <c r="IT110" i="5"/>
  <c r="JA110" i="5"/>
  <c r="IS110" i="5"/>
  <c r="IY110" i="5"/>
  <c r="IQ110" i="5"/>
  <c r="IX110" i="5"/>
  <c r="IV110" i="5"/>
  <c r="IZ110" i="5"/>
  <c r="IW110" i="5"/>
  <c r="IR110" i="5"/>
  <c r="IW135" i="5"/>
  <c r="IV135" i="5"/>
  <c r="IU135" i="5"/>
  <c r="JA135" i="5"/>
  <c r="IS135" i="5"/>
  <c r="IZ135" i="5"/>
  <c r="IR135" i="5"/>
  <c r="IX135" i="5"/>
  <c r="IT135" i="5"/>
  <c r="IQ135" i="5"/>
  <c r="IY135" i="5"/>
  <c r="IY160" i="5"/>
  <c r="IQ160" i="5"/>
  <c r="IX160" i="5"/>
  <c r="IV160" i="5"/>
  <c r="IW160" i="5"/>
  <c r="IU160" i="5"/>
  <c r="IT160" i="5"/>
  <c r="JA160" i="5"/>
  <c r="IZ160" i="5"/>
  <c r="IR160" i="5"/>
  <c r="IS160" i="5"/>
  <c r="JV354" i="5"/>
  <c r="IY54" i="5"/>
  <c r="IV54" i="5"/>
  <c r="JX52" i="5"/>
  <c r="IY52" i="5"/>
  <c r="IV52" i="5"/>
  <c r="FM54" i="5"/>
  <c r="FT54" i="5" s="1"/>
  <c r="FU301" i="5"/>
  <c r="FU329" i="5"/>
  <c r="FU286" i="5"/>
  <c r="FU321" i="5"/>
  <c r="FU266" i="5"/>
  <c r="IX49" i="5"/>
  <c r="IZ49" i="5"/>
  <c r="IV47" i="5"/>
  <c r="IY47" i="5"/>
  <c r="FA396" i="5"/>
  <c r="HO395" i="5"/>
  <c r="HO397" i="5" s="1"/>
  <c r="FA394" i="5"/>
  <c r="JV369" i="5"/>
  <c r="FU389" i="5"/>
  <c r="JV344" i="5"/>
  <c r="FU344" i="5"/>
  <c r="FT391" i="5"/>
  <c r="FU391" i="5" s="1"/>
  <c r="FT336" i="5"/>
  <c r="FU336" i="5" s="1"/>
  <c r="JV389" i="5"/>
  <c r="JV394" i="5"/>
  <c r="JV349" i="5"/>
  <c r="JV384" i="5"/>
  <c r="FU334" i="5"/>
  <c r="FT341" i="5"/>
  <c r="FU341" i="5" s="1"/>
  <c r="FT381" i="5"/>
  <c r="FU381" i="5" s="1"/>
  <c r="FT401" i="5"/>
  <c r="FU401" i="5" s="1"/>
  <c r="HP395" i="5"/>
  <c r="HP397" i="5" s="1"/>
  <c r="JV339" i="5"/>
  <c r="FU349" i="5"/>
  <c r="FT386" i="5"/>
  <c r="FU386" i="5" s="1"/>
  <c r="FT356" i="5"/>
  <c r="FU356" i="5" s="1"/>
  <c r="FT361" i="5"/>
  <c r="FU361" i="5" s="1"/>
  <c r="FT346" i="5"/>
  <c r="FU346" i="5" s="1"/>
  <c r="JV359" i="5"/>
  <c r="JV334" i="5"/>
  <c r="JV329" i="5"/>
  <c r="FT323" i="5"/>
  <c r="FU323" i="5" s="1"/>
  <c r="FT253" i="5"/>
  <c r="FU253" i="5" s="1"/>
  <c r="JV266" i="5"/>
  <c r="FT308" i="5"/>
  <c r="FU308" i="5" s="1"/>
  <c r="JV301" i="5"/>
  <c r="FT273" i="5"/>
  <c r="FU273" i="5" s="1"/>
  <c r="FT258" i="5"/>
  <c r="FU258" i="5" s="1"/>
  <c r="FT263" i="5"/>
  <c r="FU263" i="5" s="1"/>
  <c r="FT303" i="5"/>
  <c r="FU303" i="5" s="1"/>
  <c r="JV256" i="5"/>
  <c r="JV316" i="5"/>
  <c r="FU256" i="5"/>
  <c r="FT293" i="5"/>
  <c r="FU293" i="5" s="1"/>
  <c r="FU306" i="5"/>
  <c r="JV296" i="5"/>
  <c r="FT298" i="5"/>
  <c r="FU298" i="5" s="1"/>
  <c r="FT288" i="5"/>
  <c r="FU288" i="5" s="1"/>
  <c r="FT318" i="5"/>
  <c r="FU318" i="5" s="1"/>
  <c r="JV251" i="5"/>
  <c r="FT313" i="5"/>
  <c r="FU313" i="5" s="1"/>
  <c r="JV311" i="5"/>
  <c r="FU296" i="5"/>
  <c r="JV193" i="5"/>
  <c r="JV203" i="5"/>
  <c r="FT175" i="5"/>
  <c r="FU175" i="5" s="1"/>
  <c r="JV188" i="5"/>
  <c r="FU238" i="5"/>
  <c r="FT195" i="5"/>
  <c r="FU195" i="5" s="1"/>
  <c r="JV233" i="5"/>
  <c r="JV183" i="5"/>
  <c r="JV223" i="5"/>
  <c r="JV218" i="5"/>
  <c r="FT210" i="5"/>
  <c r="FU210" i="5" s="1"/>
  <c r="FT245" i="5"/>
  <c r="FU245" i="5" s="1"/>
  <c r="FU193" i="5"/>
  <c r="FT240" i="5"/>
  <c r="FU240" i="5" s="1"/>
  <c r="JV243" i="5"/>
  <c r="FT190" i="5"/>
  <c r="FU190" i="5" s="1"/>
  <c r="JV238" i="5"/>
  <c r="JV228" i="5"/>
  <c r="JV198" i="5"/>
  <c r="FT235" i="5"/>
  <c r="FU235" i="5" s="1"/>
  <c r="FT185" i="5"/>
  <c r="FU185" i="5" s="1"/>
  <c r="FT230" i="5"/>
  <c r="FU230" i="5" s="1"/>
  <c r="FT225" i="5"/>
  <c r="FU225" i="5" s="1"/>
  <c r="HO214" i="5"/>
  <c r="HO216" i="5" s="1"/>
  <c r="FA213" i="5"/>
  <c r="FA215" i="5"/>
  <c r="FU233" i="5"/>
  <c r="FT205" i="5"/>
  <c r="FU205" i="5" s="1"/>
  <c r="FT220" i="5"/>
  <c r="FU220" i="5" s="1"/>
  <c r="FU218" i="5"/>
  <c r="FM167" i="5"/>
  <c r="FS165" i="5"/>
  <c r="JX165" i="5"/>
  <c r="FM165" i="5"/>
  <c r="FT165" i="5" s="1"/>
  <c r="JV165" i="5"/>
  <c r="HO166" i="5"/>
  <c r="HO168" i="5" s="1"/>
  <c r="FA165" i="5"/>
  <c r="FA167" i="5"/>
  <c r="JX160" i="5"/>
  <c r="FS160" i="5"/>
  <c r="FU160" i="5" s="1"/>
  <c r="JV160" i="5"/>
  <c r="FM162" i="5"/>
  <c r="HO161" i="5"/>
  <c r="HO163" i="5" s="1"/>
  <c r="FA160" i="5"/>
  <c r="FA162" i="5"/>
  <c r="JX155" i="5"/>
  <c r="HO156" i="5"/>
  <c r="HO158" i="5" s="1"/>
  <c r="FA155" i="5"/>
  <c r="FA157" i="5"/>
  <c r="JV155" i="5"/>
  <c r="FS155" i="5"/>
  <c r="FU155" i="5" s="1"/>
  <c r="FM157" i="5"/>
  <c r="HP156" i="5"/>
  <c r="HP158" i="5" s="1"/>
  <c r="JV150" i="5"/>
  <c r="HO151" i="5"/>
  <c r="HO153" i="5" s="1"/>
  <c r="FA150" i="5"/>
  <c r="FA152" i="5"/>
  <c r="JV145" i="5"/>
  <c r="FS140" i="5"/>
  <c r="FM140" i="5"/>
  <c r="FT140" i="5" s="1"/>
  <c r="HO141" i="5"/>
  <c r="HO143" i="5" s="1"/>
  <c r="FA140" i="5"/>
  <c r="FA142" i="5"/>
  <c r="FM142" i="5"/>
  <c r="JX140" i="5"/>
  <c r="JV140" i="5"/>
  <c r="FS135" i="5"/>
  <c r="FM137" i="5"/>
  <c r="JX135" i="5"/>
  <c r="JV135" i="5"/>
  <c r="FM135" i="5"/>
  <c r="FT135" i="5" s="1"/>
  <c r="HO136" i="5"/>
  <c r="HO138" i="5" s="1"/>
  <c r="FA135" i="5"/>
  <c r="FA137" i="5"/>
  <c r="FS130" i="5"/>
  <c r="FU130" i="5" s="1"/>
  <c r="FM132" i="5"/>
  <c r="HO131" i="5"/>
  <c r="HO133" i="5" s="1"/>
  <c r="FA130" i="5"/>
  <c r="FA132" i="5"/>
  <c r="JX130" i="5"/>
  <c r="JV130" i="5"/>
  <c r="FS125" i="5"/>
  <c r="FM125" i="5"/>
  <c r="FT125" i="5" s="1"/>
  <c r="JV125" i="5"/>
  <c r="FM127" i="5"/>
  <c r="JX125" i="5"/>
  <c r="HO126" i="5"/>
  <c r="HO128" i="5" s="1"/>
  <c r="FA125" i="5"/>
  <c r="FA127" i="5"/>
  <c r="JV120" i="5"/>
  <c r="FM122" i="5"/>
  <c r="HO121" i="5"/>
  <c r="HO123" i="5" s="1"/>
  <c r="FA120" i="5"/>
  <c r="FA122" i="5"/>
  <c r="FM110" i="5"/>
  <c r="FT110" i="5" s="1"/>
  <c r="HO111" i="5"/>
  <c r="HO113" i="5" s="1"/>
  <c r="FA110" i="5"/>
  <c r="FA112" i="5"/>
  <c r="FS110" i="5"/>
  <c r="JV110" i="5"/>
  <c r="FM112" i="5"/>
  <c r="JX110" i="5"/>
  <c r="JX105" i="5"/>
  <c r="HO106" i="5"/>
  <c r="HO108" i="5" s="1"/>
  <c r="FA105" i="5"/>
  <c r="FA107" i="5"/>
  <c r="FM107" i="5"/>
  <c r="JV105" i="5"/>
  <c r="FS105" i="5"/>
  <c r="FM105" i="5"/>
  <c r="FT105" i="5" s="1"/>
  <c r="FM102" i="5"/>
  <c r="FU100" i="5"/>
  <c r="JV100" i="5"/>
  <c r="HP101" i="5"/>
  <c r="HP103" i="5" s="1"/>
  <c r="HO101" i="5"/>
  <c r="HO103" i="5" s="1"/>
  <c r="FA100" i="5"/>
  <c r="FA102" i="5"/>
  <c r="JX95" i="5"/>
  <c r="HO96" i="5"/>
  <c r="HO98" i="5" s="1"/>
  <c r="FA95" i="5"/>
  <c r="FA97" i="5"/>
  <c r="FS95" i="5"/>
  <c r="FM97" i="5"/>
  <c r="FM95" i="5"/>
  <c r="FT95" i="5" s="1"/>
  <c r="JV95" i="5"/>
  <c r="HO88" i="5"/>
  <c r="HO90" i="5" s="1"/>
  <c r="FA87" i="5"/>
  <c r="FA89" i="5"/>
  <c r="JV87" i="5"/>
  <c r="FM89" i="5"/>
  <c r="JX87" i="5"/>
  <c r="JX82" i="5"/>
  <c r="HP83" i="5"/>
  <c r="HP85" i="5" s="1"/>
  <c r="FS82" i="5"/>
  <c r="FU82" i="5" s="1"/>
  <c r="FM84" i="5"/>
  <c r="JV82" i="5"/>
  <c r="FA84" i="5"/>
  <c r="HO83" i="5"/>
  <c r="HO85" i="5" s="1"/>
  <c r="FA82" i="5"/>
  <c r="FM79" i="5"/>
  <c r="JV77" i="5"/>
  <c r="FM77" i="5"/>
  <c r="FT77" i="5" s="1"/>
  <c r="JX77" i="5"/>
  <c r="FS77" i="5"/>
  <c r="HO78" i="5"/>
  <c r="HO80" i="5" s="1"/>
  <c r="FA77" i="5"/>
  <c r="FA79" i="5"/>
  <c r="JX72" i="5"/>
  <c r="FM72" i="5"/>
  <c r="FT72" i="5" s="1"/>
  <c r="FS72" i="5"/>
  <c r="FM74" i="5"/>
  <c r="JV72" i="5"/>
  <c r="HO73" i="5"/>
  <c r="HO75" i="5" s="1"/>
  <c r="FA72" i="5"/>
  <c r="FA74" i="5"/>
  <c r="FM69" i="5"/>
  <c r="JV67" i="5"/>
  <c r="JX67" i="5"/>
  <c r="FA69" i="5"/>
  <c r="FA67" i="5"/>
  <c r="FS62" i="5"/>
  <c r="FM64" i="5"/>
  <c r="JX62" i="5"/>
  <c r="FM62" i="5"/>
  <c r="FT62" i="5" s="1"/>
  <c r="FA62" i="5"/>
  <c r="FA64" i="5"/>
  <c r="JV62" i="5"/>
  <c r="JX57" i="5"/>
  <c r="FM59" i="5"/>
  <c r="FA57" i="5"/>
  <c r="FA59" i="5"/>
  <c r="EX54" i="5"/>
  <c r="FB52" i="5"/>
  <c r="EX52" i="5"/>
  <c r="FB54" i="5"/>
  <c r="EY54" i="5" s="1"/>
  <c r="FM47" i="5"/>
  <c r="FT47" i="5" s="1"/>
  <c r="JX47" i="5"/>
  <c r="FM49" i="5"/>
  <c r="IT47" i="5"/>
  <c r="IS47" i="5"/>
  <c r="FS47" i="5"/>
  <c r="IR47" i="5"/>
  <c r="IU47" i="5"/>
  <c r="FA47" i="5"/>
  <c r="FA49" i="5"/>
  <c r="G304" i="19"/>
  <c r="F304" i="19"/>
  <c r="H304" i="19"/>
  <c r="FU140" i="5" l="1"/>
  <c r="FU77" i="5"/>
  <c r="IX47" i="5"/>
  <c r="IZ47" i="5"/>
  <c r="FU135" i="5"/>
  <c r="FU105" i="5"/>
  <c r="JV115" i="5"/>
  <c r="HP53" i="5"/>
  <c r="HP55" i="5" s="1"/>
  <c r="FU95" i="5"/>
  <c r="FU110" i="5"/>
  <c r="FU165" i="5"/>
  <c r="IW47" i="5"/>
  <c r="JA47" i="5"/>
  <c r="FT167" i="5"/>
  <c r="FU167" i="5" s="1"/>
  <c r="FT162" i="5"/>
  <c r="FU162" i="5" s="1"/>
  <c r="FT157" i="5"/>
  <c r="FU157" i="5" s="1"/>
  <c r="FT142" i="5"/>
  <c r="FU142" i="5" s="1"/>
  <c r="FT137" i="5"/>
  <c r="FU137" i="5" s="1"/>
  <c r="FT132" i="5"/>
  <c r="FU132" i="5" s="1"/>
  <c r="FU125" i="5"/>
  <c r="FT127" i="5"/>
  <c r="FU127" i="5" s="1"/>
  <c r="FT122" i="5"/>
  <c r="FU122" i="5" s="1"/>
  <c r="FT112" i="5"/>
  <c r="FU112" i="5" s="1"/>
  <c r="FT107" i="5"/>
  <c r="FU107" i="5" s="1"/>
  <c r="FT102" i="5"/>
  <c r="FU102" i="5" s="1"/>
  <c r="FT97" i="5"/>
  <c r="FU97" i="5" s="1"/>
  <c r="FT89" i="5"/>
  <c r="FU89" i="5" s="1"/>
  <c r="FT84" i="5"/>
  <c r="FU84" i="5" s="1"/>
  <c r="FT79" i="5"/>
  <c r="FU79" i="5" s="1"/>
  <c r="FT74" i="5"/>
  <c r="FU74" i="5" s="1"/>
  <c r="FU72" i="5"/>
  <c r="FT69" i="5"/>
  <c r="FU69" i="5" s="1"/>
  <c r="FU62" i="5"/>
  <c r="FT64" i="5"/>
  <c r="FU64" i="5" s="1"/>
  <c r="FT59" i="5"/>
  <c r="FA52" i="5"/>
  <c r="FA54" i="5"/>
  <c r="FT49" i="5"/>
  <c r="FU47" i="5"/>
  <c r="AF4" i="24"/>
  <c r="AF5" i="24"/>
  <c r="AF6" i="24"/>
  <c r="AF7" i="24"/>
  <c r="AF8" i="24"/>
  <c r="AF9" i="24"/>
  <c r="AF10" i="24"/>
  <c r="AF11" i="24"/>
  <c r="AF12" i="24"/>
  <c r="AF13" i="24"/>
  <c r="AF14" i="24"/>
  <c r="AF15" i="24"/>
  <c r="AF17" i="24"/>
  <c r="AF18" i="24"/>
  <c r="AF19" i="24"/>
  <c r="AF22" i="24"/>
  <c r="AF23" i="24"/>
  <c r="AF24" i="24"/>
  <c r="AF25" i="24"/>
  <c r="AF26" i="24"/>
  <c r="AF27" i="24"/>
  <c r="AF28" i="24"/>
  <c r="AF29" i="24"/>
  <c r="AF30" i="24"/>
  <c r="AF31" i="24"/>
  <c r="AF32" i="24"/>
  <c r="AF33" i="24"/>
  <c r="AF34" i="24"/>
  <c r="AF35" i="24"/>
  <c r="AF36" i="24"/>
  <c r="AF37" i="24"/>
  <c r="AF38" i="24"/>
  <c r="AF41" i="24"/>
  <c r="AF42" i="24"/>
  <c r="AF43" i="24"/>
  <c r="AJ4" i="24"/>
  <c r="T73" i="33"/>
  <c r="U73" i="33"/>
  <c r="AG4" i="24"/>
  <c r="AG5" i="24"/>
  <c r="AG6" i="24"/>
  <c r="AG7" i="24"/>
  <c r="AG8" i="24"/>
  <c r="AG9" i="24"/>
  <c r="AG10" i="24"/>
  <c r="AG11" i="24"/>
  <c r="AG12" i="24"/>
  <c r="AG13" i="24"/>
  <c r="AG14" i="24"/>
  <c r="AG15" i="24"/>
  <c r="AG17" i="24"/>
  <c r="AG18" i="24"/>
  <c r="AG19" i="24"/>
  <c r="AG22" i="24"/>
  <c r="AG23" i="24"/>
  <c r="AG24" i="24"/>
  <c r="AG25" i="24"/>
  <c r="AG26" i="24"/>
  <c r="AG27" i="24"/>
  <c r="AG28" i="24"/>
  <c r="AG29" i="24"/>
  <c r="AG30" i="24"/>
  <c r="AG31" i="24"/>
  <c r="AG32" i="24"/>
  <c r="AG33" i="24"/>
  <c r="AG34" i="24"/>
  <c r="AG35" i="24"/>
  <c r="AG36" i="24"/>
  <c r="AG37" i="24"/>
  <c r="AG38" i="24"/>
  <c r="AG41" i="24"/>
  <c r="AG42" i="24"/>
  <c r="AG43" i="24"/>
  <c r="X78" i="33"/>
  <c r="H286" i="19"/>
  <c r="H298" i="19"/>
  <c r="G295" i="19"/>
  <c r="G286" i="19"/>
  <c r="H290" i="19"/>
  <c r="G294" i="19"/>
  <c r="H295" i="19"/>
  <c r="G300" i="19"/>
  <c r="H294" i="19"/>
  <c r="G298" i="19"/>
  <c r="F286" i="19"/>
  <c r="H300" i="19"/>
  <c r="AB81" i="33" l="1"/>
  <c r="BS103" i="33"/>
  <c r="BS112" i="33" s="1"/>
  <c r="F95" i="10" s="1"/>
  <c r="R95" i="10" s="1"/>
  <c r="BR103" i="33"/>
  <c r="BR112" i="33" s="1"/>
  <c r="D95" i="10" s="1"/>
  <c r="M293" i="19"/>
  <c r="FU49" i="5"/>
  <c r="AG40" i="33"/>
  <c r="H39" i="33"/>
  <c r="G272" i="19"/>
  <c r="B272" i="19"/>
  <c r="AB84" i="33" l="1"/>
  <c r="AB83" i="33"/>
  <c r="AB90" i="33"/>
  <c r="AB86" i="33"/>
  <c r="AB89" i="33"/>
  <c r="AB91" i="33"/>
  <c r="AB87" i="33"/>
  <c r="AB93" i="33"/>
  <c r="AB92" i="33"/>
  <c r="AB88" i="33"/>
  <c r="AB85" i="33"/>
  <c r="AB101" i="33"/>
  <c r="AB97" i="33"/>
  <c r="AB100" i="33"/>
  <c r="AB96" i="33"/>
  <c r="AB95" i="33"/>
  <c r="AB102" i="33"/>
  <c r="AB98" i="33"/>
  <c r="AB94" i="33"/>
  <c r="AB99" i="33"/>
  <c r="AB39" i="33"/>
  <c r="AP37" i="33"/>
  <c r="Y105" i="33"/>
  <c r="Y109" i="33"/>
  <c r="Y108" i="33"/>
  <c r="Y106" i="33"/>
  <c r="Y103" i="33"/>
  <c r="Y107" i="33"/>
  <c r="Y82" i="33"/>
  <c r="Y110" i="33"/>
  <c r="Y111" i="33"/>
  <c r="Y104" i="33"/>
  <c r="AB108" i="33"/>
  <c r="AB111" i="33"/>
  <c r="AB105" i="33"/>
  <c r="AB110" i="33"/>
  <c r="AB107" i="33"/>
  <c r="AB82" i="33"/>
  <c r="AB109" i="33"/>
  <c r="AB104" i="33"/>
  <c r="AB106" i="33"/>
  <c r="AB103" i="33"/>
  <c r="K272" i="19"/>
  <c r="J290" i="19"/>
  <c r="AT38" i="33" l="1"/>
  <c r="AB40" i="33"/>
  <c r="AB42" i="33" l="1"/>
  <c r="AR37" i="33"/>
  <c r="AT37" i="33" s="1"/>
  <c r="AB64" i="33" l="1"/>
  <c r="AB62" i="33"/>
  <c r="AB66" i="33"/>
  <c r="AB65" i="33"/>
  <c r="AB63" i="33"/>
  <c r="AB67" i="33"/>
  <c r="AB68" i="33"/>
  <c r="AB52" i="33"/>
  <c r="AB59" i="33"/>
  <c r="AB60" i="33"/>
  <c r="AB61" i="33"/>
  <c r="AB49" i="33"/>
  <c r="AB45" i="33"/>
  <c r="AB50" i="33"/>
  <c r="AB46" i="33"/>
  <c r="AB51" i="33"/>
  <c r="AB47" i="33"/>
  <c r="AB53" i="33"/>
  <c r="AB48" i="33"/>
  <c r="AB44" i="33"/>
  <c r="AB72" i="33"/>
  <c r="AR38" i="33"/>
  <c r="AR36" i="33"/>
  <c r="AB54" i="33"/>
  <c r="AB69" i="33"/>
  <c r="AB57" i="33"/>
  <c r="AB58" i="33"/>
  <c r="AB43" i="33"/>
  <c r="AB71" i="33"/>
  <c r="AB70" i="33"/>
  <c r="AB55" i="33"/>
  <c r="AB56" i="33"/>
  <c r="M281" i="19"/>
  <c r="M283" i="19"/>
  <c r="M282" i="19"/>
  <c r="M285" i="19"/>
  <c r="M278" i="19"/>
  <c r="M299" i="19"/>
  <c r="M280" i="19"/>
  <c r="M296" i="19"/>
  <c r="M284" i="19"/>
  <c r="M304" i="19"/>
  <c r="M277" i="19"/>
  <c r="M300" i="19"/>
  <c r="M301" i="19"/>
  <c r="M303" i="19"/>
  <c r="M297" i="19"/>
  <c r="M298" i="19"/>
  <c r="M294" i="19"/>
  <c r="M295" i="19"/>
  <c r="K290" i="19"/>
  <c r="M286" i="19"/>
  <c r="M302" i="19"/>
  <c r="M276" i="19"/>
  <c r="M279" i="19"/>
  <c r="AA39" i="33" l="1"/>
  <c r="J272" i="19"/>
  <c r="Y64" i="33" l="1"/>
  <c r="Y65" i="33"/>
  <c r="Y66" i="33"/>
  <c r="Y63" i="33"/>
  <c r="Y62" i="33"/>
  <c r="Y68" i="33"/>
  <c r="Y67" i="33"/>
  <c r="Y52" i="33"/>
  <c r="Y61" i="33"/>
  <c r="Y59" i="33"/>
  <c r="Y60" i="33"/>
  <c r="Y53" i="33"/>
  <c r="Y48" i="33"/>
  <c r="Y44" i="33"/>
  <c r="Y49" i="33"/>
  <c r="Y45" i="33"/>
  <c r="Y50" i="33"/>
  <c r="Y46" i="33"/>
  <c r="Y51" i="33"/>
  <c r="Y47" i="33"/>
  <c r="K91" i="10"/>
  <c r="E95" i="10" s="1"/>
  <c r="Y72" i="33"/>
  <c r="Y70" i="33"/>
  <c r="Y43" i="33"/>
  <c r="Y55" i="33"/>
  <c r="Y71" i="33"/>
  <c r="Y57" i="33"/>
  <c r="Y54" i="33"/>
  <c r="Y58" i="33"/>
  <c r="Y56" i="33"/>
  <c r="Y69" i="33"/>
  <c r="I27" i="14"/>
  <c r="C20" i="15"/>
  <c r="AY30" i="4" l="1"/>
  <c r="C52" i="5" l="1"/>
  <c r="C57" i="5" s="1"/>
  <c r="C62" i="5" s="1"/>
  <c r="C67" i="5" s="1"/>
  <c r="C72" i="5" s="1"/>
  <c r="C77" i="5" s="1"/>
  <c r="C82" i="5" s="1"/>
  <c r="C87" i="5" s="1"/>
  <c r="C95" i="5" s="1"/>
  <c r="A97" i="5"/>
  <c r="A89" i="5"/>
  <c r="A84" i="5"/>
  <c r="A79" i="5"/>
  <c r="A74" i="5"/>
  <c r="A69" i="5"/>
  <c r="A64" i="5"/>
  <c r="A59" i="5"/>
  <c r="A54" i="5"/>
  <c r="BG45" i="4" l="1"/>
  <c r="BF45" i="4" s="1"/>
  <c r="BG44" i="4"/>
  <c r="H35" i="33" l="1"/>
  <c r="L35" i="33" s="1"/>
  <c r="AI26" i="33"/>
  <c r="AH26" i="33"/>
  <c r="AF26" i="33"/>
  <c r="AE26" i="33"/>
  <c r="AF24" i="33"/>
  <c r="AE24" i="33"/>
  <c r="AF22" i="33"/>
  <c r="AE22" i="33"/>
  <c r="AF20" i="33"/>
  <c r="AE20" i="33"/>
  <c r="Y78" i="33" l="1"/>
  <c r="Y79" i="33" s="1"/>
  <c r="AC78" i="33"/>
  <c r="D94" i="10" s="1"/>
  <c r="E94" i="10" s="1"/>
  <c r="AE78" i="33"/>
  <c r="I290" i="19"/>
  <c r="AQ83" i="33" l="1"/>
  <c r="AQ84" i="33"/>
  <c r="AQ90" i="33"/>
  <c r="AQ86" i="33"/>
  <c r="AQ93" i="33"/>
  <c r="AQ91" i="33"/>
  <c r="AQ87" i="33"/>
  <c r="AQ85" i="33"/>
  <c r="AQ89" i="33"/>
  <c r="AQ92" i="33"/>
  <c r="AQ88" i="33"/>
  <c r="AQ101" i="33"/>
  <c r="AQ97" i="33"/>
  <c r="AQ99" i="33"/>
  <c r="AQ95" i="33"/>
  <c r="AQ96" i="33"/>
  <c r="AQ102" i="33"/>
  <c r="AQ98" i="33"/>
  <c r="AQ94" i="33"/>
  <c r="AQ100" i="33"/>
  <c r="AQ109" i="33"/>
  <c r="AQ104" i="33"/>
  <c r="AQ110" i="33"/>
  <c r="AQ82" i="33"/>
  <c r="AQ103" i="33"/>
  <c r="AQ105" i="33"/>
  <c r="AQ108" i="33"/>
  <c r="AQ111" i="33"/>
  <c r="AQ107" i="33"/>
  <c r="AQ106" i="33"/>
  <c r="F94" i="10"/>
  <c r="R94" i="10" s="1"/>
  <c r="AY102" i="4"/>
  <c r="AY103" i="4"/>
  <c r="AY101" i="4"/>
  <c r="FP89" i="5" s="1"/>
  <c r="AQ112" i="33" l="1"/>
  <c r="FP673" i="5"/>
  <c r="FP776" i="5"/>
  <c r="FP663" i="5"/>
  <c r="FP698" i="5"/>
  <c r="FP721" i="5"/>
  <c r="FP736" i="5"/>
  <c r="FP766" i="5"/>
  <c r="FP731" i="5"/>
  <c r="FP565" i="5"/>
  <c r="FP688" i="5"/>
  <c r="FP648" i="5"/>
  <c r="FP761" i="5"/>
  <c r="FP791" i="5"/>
  <c r="FP786" i="5"/>
  <c r="FP771" i="5"/>
  <c r="FP756" i="5"/>
  <c r="FP781" i="5"/>
  <c r="FP746" i="5"/>
  <c r="FP741" i="5"/>
  <c r="FP726" i="5"/>
  <c r="FP751" i="5"/>
  <c r="FP643" i="5"/>
  <c r="FP658" i="5"/>
  <c r="FP713" i="5"/>
  <c r="FP703" i="5"/>
  <c r="FP693" i="5"/>
  <c r="FP653" i="5"/>
  <c r="FP678" i="5"/>
  <c r="FP683" i="5"/>
  <c r="FP668" i="5"/>
  <c r="FP708" i="5"/>
  <c r="FP580" i="5"/>
  <c r="FP575" i="5"/>
  <c r="FP497" i="5"/>
  <c r="FP492" i="5"/>
  <c r="FP552" i="5"/>
  <c r="FP454" i="5"/>
  <c r="FP469" i="5"/>
  <c r="FP376" i="5"/>
  <c r="FP610" i="5"/>
  <c r="FP502" i="5"/>
  <c r="FP600" i="5"/>
  <c r="FP625" i="5"/>
  <c r="FP630" i="5"/>
  <c r="FP620" i="5"/>
  <c r="FP615" i="5"/>
  <c r="FP605" i="5"/>
  <c r="FP590" i="5"/>
  <c r="FP570" i="5"/>
  <c r="FP635" i="5"/>
  <c r="FP595" i="5"/>
  <c r="FP585" i="5"/>
  <c r="FP527" i="5"/>
  <c r="FP512" i="5"/>
  <c r="FP547" i="5"/>
  <c r="FP532" i="5"/>
  <c r="FP522" i="5"/>
  <c r="FP507" i="5"/>
  <c r="FP557" i="5"/>
  <c r="FP517" i="5"/>
  <c r="FP487" i="5"/>
  <c r="FP542" i="5"/>
  <c r="FP537" i="5"/>
  <c r="FP439" i="5"/>
  <c r="FP429" i="5"/>
  <c r="FP414" i="5"/>
  <c r="FP459" i="5"/>
  <c r="FP409" i="5"/>
  <c r="FP449" i="5"/>
  <c r="FP479" i="5"/>
  <c r="FP444" i="5"/>
  <c r="FP419" i="5"/>
  <c r="FP424" i="5"/>
  <c r="FP434" i="5"/>
  <c r="FP474" i="5"/>
  <c r="FP464" i="5"/>
  <c r="FP331" i="5"/>
  <c r="FP371" i="5"/>
  <c r="FP396" i="5"/>
  <c r="FP268" i="5"/>
  <c r="FP278" i="5"/>
  <c r="FP283" i="5"/>
  <c r="FP200" i="5"/>
  <c r="FP215" i="5"/>
  <c r="FP366" i="5"/>
  <c r="FP180" i="5"/>
  <c r="FP351" i="5"/>
  <c r="FP117" i="5"/>
  <c r="FP152" i="5"/>
  <c r="FP381" i="5"/>
  <c r="FP341" i="5"/>
  <c r="FP361" i="5"/>
  <c r="FP356" i="5"/>
  <c r="FP386" i="5"/>
  <c r="FP401" i="5"/>
  <c r="FP336" i="5"/>
  <c r="FP391" i="5"/>
  <c r="FP346" i="5"/>
  <c r="FP293" i="5"/>
  <c r="FP263" i="5"/>
  <c r="FP313" i="5"/>
  <c r="FP288" i="5"/>
  <c r="FP323" i="5"/>
  <c r="FP258" i="5"/>
  <c r="FP308" i="5"/>
  <c r="FP318" i="5"/>
  <c r="FP303" i="5"/>
  <c r="FP273" i="5"/>
  <c r="FP253" i="5"/>
  <c r="FP298" i="5"/>
  <c r="FP190" i="5"/>
  <c r="FP235" i="5"/>
  <c r="FP225" i="5"/>
  <c r="FP175" i="5"/>
  <c r="FP185" i="5"/>
  <c r="FP240" i="5"/>
  <c r="FP220" i="5"/>
  <c r="FP205" i="5"/>
  <c r="FP195" i="5"/>
  <c r="FP245" i="5"/>
  <c r="FP210" i="5"/>
  <c r="FP230" i="5"/>
  <c r="FP147" i="5"/>
  <c r="FP167" i="5"/>
  <c r="FP162" i="5"/>
  <c r="FP157" i="5"/>
  <c r="FP142" i="5"/>
  <c r="FP137" i="5"/>
  <c r="FP132" i="5"/>
  <c r="FP127" i="5"/>
  <c r="FP122" i="5"/>
  <c r="FP112" i="5"/>
  <c r="FP107" i="5"/>
  <c r="FP102" i="5"/>
  <c r="FP97" i="5"/>
  <c r="AY39" i="4"/>
  <c r="AY38" i="4"/>
  <c r="AY40" i="4"/>
  <c r="T46" i="9" l="1"/>
  <c r="S45" i="9"/>
  <c r="S44" i="9"/>
  <c r="S43" i="9"/>
  <c r="S42" i="9"/>
  <c r="S41" i="9"/>
  <c r="S40" i="9"/>
  <c r="S39" i="9"/>
  <c r="S38" i="9"/>
  <c r="JZ4" i="5"/>
  <c r="JX4" i="5"/>
  <c r="JX14" i="5" s="1"/>
  <c r="JV4" i="5"/>
  <c r="JV14" i="5" s="1"/>
  <c r="JT4" i="5"/>
  <c r="JR4" i="5"/>
  <c r="JP4" i="5"/>
  <c r="JN4" i="5"/>
  <c r="JL4" i="5"/>
  <c r="JJ4" i="5"/>
  <c r="AY52" i="4"/>
  <c r="AY51" i="4"/>
  <c r="AY50" i="4"/>
  <c r="AY29" i="4"/>
  <c r="AY17" i="4"/>
  <c r="AY16" i="4"/>
  <c r="AY59" i="4" l="1"/>
  <c r="AY69" i="4"/>
  <c r="JN784" i="5"/>
  <c r="JN719" i="5"/>
  <c r="JN744" i="5"/>
  <c r="JN646" i="5"/>
  <c r="JN769" i="5"/>
  <c r="JN651" i="5"/>
  <c r="JN696" i="5"/>
  <c r="JN706" i="5"/>
  <c r="JN641" i="5"/>
  <c r="JN661" i="5"/>
  <c r="JN724" i="5"/>
  <c r="JN739" i="5"/>
  <c r="JN711" i="5"/>
  <c r="JN628" i="5"/>
  <c r="JN550" i="5"/>
  <c r="JN729" i="5"/>
  <c r="JN666" i="5"/>
  <c r="JN472" i="5"/>
  <c r="JN779" i="5"/>
  <c r="JN754" i="5"/>
  <c r="JN656" i="5"/>
  <c r="JN671" i="5"/>
  <c r="JN573" i="5"/>
  <c r="JN530" i="5"/>
  <c r="JN437" i="5"/>
  <c r="JN598" i="5"/>
  <c r="JN789" i="5"/>
  <c r="JN734" i="5"/>
  <c r="JN759" i="5"/>
  <c r="JN593" i="5"/>
  <c r="JN578" i="5"/>
  <c r="JN422" i="5"/>
  <c r="JN691" i="5"/>
  <c r="JN681" i="5"/>
  <c r="JN608" i="5"/>
  <c r="JN452" i="5"/>
  <c r="JN749" i="5"/>
  <c r="JN774" i="5"/>
  <c r="JN676" i="5"/>
  <c r="JN686" i="5"/>
  <c r="JN701" i="5"/>
  <c r="JN583" i="5"/>
  <c r="JN490" i="5"/>
  <c r="JN764" i="5"/>
  <c r="JN198" i="5"/>
  <c r="JN563" i="5"/>
  <c r="JN603" i="5"/>
  <c r="JN613" i="5"/>
  <c r="JN568" i="5"/>
  <c r="JN515" i="5"/>
  <c r="JN412" i="5"/>
  <c r="JN417" i="5"/>
  <c r="JN354" i="5"/>
  <c r="JN296" i="5"/>
  <c r="JN213" i="5"/>
  <c r="JN339" i="5"/>
  <c r="JN485" i="5"/>
  <c r="JN407" i="5"/>
  <c r="JN540" i="5"/>
  <c r="JN510" i="5"/>
  <c r="JN588" i="5"/>
  <c r="JN505" i="5"/>
  <c r="JN555" i="5"/>
  <c r="JN495" i="5"/>
  <c r="JN520" i="5"/>
  <c r="JN467" i="5"/>
  <c r="JN500" i="5"/>
  <c r="JN545" i="5"/>
  <c r="JN447" i="5"/>
  <c r="JN379" i="5"/>
  <c r="JN525" i="5"/>
  <c r="JN477" i="5"/>
  <c r="JN457" i="5"/>
  <c r="JN427" i="5"/>
  <c r="JN394" i="5"/>
  <c r="JN633" i="5"/>
  <c r="JN535" i="5"/>
  <c r="JN462" i="5"/>
  <c r="JN432" i="5"/>
  <c r="JN369" i="5"/>
  <c r="JN276" i="5"/>
  <c r="JN618" i="5"/>
  <c r="JN623" i="5"/>
  <c r="JN442" i="5"/>
  <c r="JN364" i="5"/>
  <c r="JN261" i="5"/>
  <c r="JN316" i="5"/>
  <c r="JN329" i="5"/>
  <c r="JN389" i="5"/>
  <c r="JN321" i="5"/>
  <c r="JN208" i="5"/>
  <c r="JN100" i="5"/>
  <c r="JN115" i="5"/>
  <c r="JN334" i="5"/>
  <c r="JN306" i="5"/>
  <c r="JN301" i="5"/>
  <c r="JN291" i="5"/>
  <c r="JN193" i="5"/>
  <c r="JN251" i="5"/>
  <c r="JN238" i="5"/>
  <c r="JN286" i="5"/>
  <c r="JN203" i="5"/>
  <c r="JN183" i="5"/>
  <c r="JN218" i="5"/>
  <c r="JN281" i="5"/>
  <c r="JN399" i="5"/>
  <c r="JN228" i="5"/>
  <c r="JN178" i="5"/>
  <c r="JN374" i="5"/>
  <c r="JN311" i="5"/>
  <c r="JN266" i="5"/>
  <c r="JN256" i="5"/>
  <c r="JN359" i="5"/>
  <c r="JN271" i="5"/>
  <c r="JN223" i="5"/>
  <c r="JN150" i="5"/>
  <c r="JN384" i="5"/>
  <c r="JN344" i="5"/>
  <c r="JN349" i="5"/>
  <c r="JN243" i="5"/>
  <c r="JN233" i="5"/>
  <c r="JN173" i="5"/>
  <c r="JN188" i="5"/>
  <c r="JN120" i="5"/>
  <c r="JN165" i="5"/>
  <c r="JN135" i="5"/>
  <c r="JN130" i="5"/>
  <c r="JN67" i="5"/>
  <c r="JN72" i="5"/>
  <c r="JN52" i="5"/>
  <c r="JN77" i="5"/>
  <c r="JN145" i="5"/>
  <c r="JN125" i="5"/>
  <c r="JN95" i="5"/>
  <c r="JN82" i="5"/>
  <c r="JN62" i="5"/>
  <c r="JN155" i="5"/>
  <c r="JN47" i="5"/>
  <c r="JN160" i="5"/>
  <c r="JN140" i="5"/>
  <c r="JN105" i="5"/>
  <c r="JN87" i="5"/>
  <c r="JN57" i="5"/>
  <c r="JN110" i="5"/>
  <c r="JJ719" i="5"/>
  <c r="JJ744" i="5"/>
  <c r="JJ784" i="5"/>
  <c r="JJ696" i="5"/>
  <c r="JJ769" i="5"/>
  <c r="JJ651" i="5"/>
  <c r="JJ686" i="5"/>
  <c r="JJ691" i="5"/>
  <c r="JJ729" i="5"/>
  <c r="JJ671" i="5"/>
  <c r="JJ681" i="5"/>
  <c r="JJ641" i="5"/>
  <c r="JJ598" i="5"/>
  <c r="JJ734" i="5"/>
  <c r="JJ754" i="5"/>
  <c r="JJ724" i="5"/>
  <c r="JJ739" i="5"/>
  <c r="JJ749" i="5"/>
  <c r="JJ608" i="5"/>
  <c r="JJ661" i="5"/>
  <c r="JJ774" i="5"/>
  <c r="JJ779" i="5"/>
  <c r="JJ676" i="5"/>
  <c r="JJ711" i="5"/>
  <c r="JJ706" i="5"/>
  <c r="JJ530" i="5"/>
  <c r="JJ656" i="5"/>
  <c r="JJ666" i="5"/>
  <c r="JJ593" i="5"/>
  <c r="JJ422" i="5"/>
  <c r="JJ646" i="5"/>
  <c r="JJ764" i="5"/>
  <c r="JJ573" i="5"/>
  <c r="JJ490" i="5"/>
  <c r="JJ550" i="5"/>
  <c r="JJ437" i="5"/>
  <c r="JJ789" i="5"/>
  <c r="JJ759" i="5"/>
  <c r="JJ701" i="5"/>
  <c r="JJ339" i="5"/>
  <c r="JJ578" i="5"/>
  <c r="JJ540" i="5"/>
  <c r="JJ545" i="5"/>
  <c r="JJ477" i="5"/>
  <c r="JJ427" i="5"/>
  <c r="JJ369" i="5"/>
  <c r="JJ276" i="5"/>
  <c r="JJ628" i="5"/>
  <c r="JJ452" i="5"/>
  <c r="JJ588" i="5"/>
  <c r="JJ633" i="5"/>
  <c r="JJ505" i="5"/>
  <c r="JJ525" i="5"/>
  <c r="JJ520" i="5"/>
  <c r="JJ462" i="5"/>
  <c r="JJ412" i="5"/>
  <c r="JJ442" i="5"/>
  <c r="JJ213" i="5"/>
  <c r="JJ472" i="5"/>
  <c r="JJ316" i="5"/>
  <c r="JJ198" i="5"/>
  <c r="JJ500" i="5"/>
  <c r="JJ447" i="5"/>
  <c r="JJ407" i="5"/>
  <c r="JJ296" i="5"/>
  <c r="JJ613" i="5"/>
  <c r="JJ623" i="5"/>
  <c r="JJ432" i="5"/>
  <c r="JJ364" i="5"/>
  <c r="JJ261" i="5"/>
  <c r="JJ618" i="5"/>
  <c r="JJ495" i="5"/>
  <c r="JJ510" i="5"/>
  <c r="JJ467" i="5"/>
  <c r="JJ379" i="5"/>
  <c r="JJ178" i="5"/>
  <c r="JJ583" i="5"/>
  <c r="JJ563" i="5"/>
  <c r="JJ555" i="5"/>
  <c r="JJ515" i="5"/>
  <c r="JJ485" i="5"/>
  <c r="JJ457" i="5"/>
  <c r="JJ417" i="5"/>
  <c r="JJ603" i="5"/>
  <c r="JJ568" i="5"/>
  <c r="JJ535" i="5"/>
  <c r="JJ354" i="5"/>
  <c r="JJ238" i="5"/>
  <c r="JJ233" i="5"/>
  <c r="JJ251" i="5"/>
  <c r="JJ243" i="5"/>
  <c r="JJ188" i="5"/>
  <c r="JJ150" i="5"/>
  <c r="JJ394" i="5"/>
  <c r="JJ334" i="5"/>
  <c r="JJ286" i="5"/>
  <c r="JJ311" i="5"/>
  <c r="JJ291" i="5"/>
  <c r="JJ173" i="5"/>
  <c r="JJ306" i="5"/>
  <c r="JJ321" i="5"/>
  <c r="JJ208" i="5"/>
  <c r="JJ145" i="5"/>
  <c r="JJ120" i="5"/>
  <c r="JJ266" i="5"/>
  <c r="JJ193" i="5"/>
  <c r="JJ384" i="5"/>
  <c r="JJ256" i="5"/>
  <c r="JJ223" i="5"/>
  <c r="JJ281" i="5"/>
  <c r="JJ344" i="5"/>
  <c r="JJ203" i="5"/>
  <c r="JJ100" i="5"/>
  <c r="JJ374" i="5"/>
  <c r="JJ389" i="5"/>
  <c r="JJ349" i="5"/>
  <c r="JJ183" i="5"/>
  <c r="JJ218" i="5"/>
  <c r="JJ359" i="5"/>
  <c r="JJ399" i="5"/>
  <c r="JJ329" i="5"/>
  <c r="JJ271" i="5"/>
  <c r="JJ301" i="5"/>
  <c r="JJ228" i="5"/>
  <c r="JJ115" i="5"/>
  <c r="JJ95" i="5"/>
  <c r="JJ155" i="5"/>
  <c r="JJ47" i="5"/>
  <c r="JJ140" i="5"/>
  <c r="JJ165" i="5"/>
  <c r="JJ135" i="5"/>
  <c r="JJ130" i="5"/>
  <c r="JJ110" i="5"/>
  <c r="JJ52" i="5"/>
  <c r="JJ67" i="5"/>
  <c r="JJ160" i="5"/>
  <c r="JJ77" i="5"/>
  <c r="JJ87" i="5"/>
  <c r="JJ125" i="5"/>
  <c r="JJ82" i="5"/>
  <c r="JJ72" i="5"/>
  <c r="JJ62" i="5"/>
  <c r="JJ105" i="5"/>
  <c r="JJ57" i="5"/>
  <c r="JZ784" i="5"/>
  <c r="JZ696" i="5"/>
  <c r="JZ769" i="5"/>
  <c r="JZ651" i="5"/>
  <c r="JZ719" i="5"/>
  <c r="JZ744" i="5"/>
  <c r="JZ729" i="5"/>
  <c r="JZ701" i="5"/>
  <c r="JZ671" i="5"/>
  <c r="JZ598" i="5"/>
  <c r="JZ734" i="5"/>
  <c r="JZ754" i="5"/>
  <c r="JZ749" i="5"/>
  <c r="JZ706" i="5"/>
  <c r="JZ530" i="5"/>
  <c r="JZ661" i="5"/>
  <c r="JZ774" i="5"/>
  <c r="JZ676" i="5"/>
  <c r="JZ711" i="5"/>
  <c r="JZ593" i="5"/>
  <c r="JZ724" i="5"/>
  <c r="JZ739" i="5"/>
  <c r="JZ656" i="5"/>
  <c r="JZ666" i="5"/>
  <c r="JZ608" i="5"/>
  <c r="JZ764" i="5"/>
  <c r="JZ779" i="5"/>
  <c r="JZ686" i="5"/>
  <c r="JZ573" i="5"/>
  <c r="JZ550" i="5"/>
  <c r="JZ437" i="5"/>
  <c r="JZ789" i="5"/>
  <c r="JZ759" i="5"/>
  <c r="JZ422" i="5"/>
  <c r="JZ646" i="5"/>
  <c r="JZ691" i="5"/>
  <c r="JZ681" i="5"/>
  <c r="JZ641" i="5"/>
  <c r="JZ583" i="5"/>
  <c r="JZ490" i="5"/>
  <c r="JZ628" i="5"/>
  <c r="JZ452" i="5"/>
  <c r="JZ588" i="5"/>
  <c r="JZ633" i="5"/>
  <c r="JZ525" i="5"/>
  <c r="JZ520" i="5"/>
  <c r="JZ462" i="5"/>
  <c r="JZ457" i="5"/>
  <c r="JZ339" i="5"/>
  <c r="JZ359" i="5"/>
  <c r="JZ394" i="5"/>
  <c r="JZ213" i="5"/>
  <c r="JZ472" i="5"/>
  <c r="JZ535" i="5"/>
  <c r="JZ369" i="5"/>
  <c r="JZ276" i="5"/>
  <c r="JZ198" i="5"/>
  <c r="JZ613" i="5"/>
  <c r="JZ568" i="5"/>
  <c r="JZ500" i="5"/>
  <c r="JZ412" i="5"/>
  <c r="JZ447" i="5"/>
  <c r="JZ379" i="5"/>
  <c r="JZ432" i="5"/>
  <c r="JZ364" i="5"/>
  <c r="JZ618" i="5"/>
  <c r="JZ505" i="5"/>
  <c r="JZ510" i="5"/>
  <c r="JZ563" i="5"/>
  <c r="JZ623" i="5"/>
  <c r="JZ555" i="5"/>
  <c r="JZ515" i="5"/>
  <c r="JZ545" i="5"/>
  <c r="JZ485" i="5"/>
  <c r="JZ407" i="5"/>
  <c r="JZ417" i="5"/>
  <c r="JZ578" i="5"/>
  <c r="JZ603" i="5"/>
  <c r="JZ495" i="5"/>
  <c r="JZ467" i="5"/>
  <c r="JZ442" i="5"/>
  <c r="JZ354" i="5"/>
  <c r="JZ261" i="5"/>
  <c r="JZ316" i="5"/>
  <c r="JZ540" i="5"/>
  <c r="JZ477" i="5"/>
  <c r="JZ427" i="5"/>
  <c r="JZ296" i="5"/>
  <c r="JZ251" i="5"/>
  <c r="JZ243" i="5"/>
  <c r="JZ150" i="5"/>
  <c r="JZ120" i="5"/>
  <c r="JZ349" i="5"/>
  <c r="JZ286" i="5"/>
  <c r="JZ311" i="5"/>
  <c r="JZ233" i="5"/>
  <c r="JZ306" i="5"/>
  <c r="JZ321" i="5"/>
  <c r="JZ208" i="5"/>
  <c r="JZ218" i="5"/>
  <c r="JZ188" i="5"/>
  <c r="JZ223" i="5"/>
  <c r="JZ281" i="5"/>
  <c r="JZ384" i="5"/>
  <c r="JZ334" i="5"/>
  <c r="JZ266" i="5"/>
  <c r="JZ256" i="5"/>
  <c r="JZ193" i="5"/>
  <c r="JZ173" i="5"/>
  <c r="JZ100" i="5"/>
  <c r="JZ344" i="5"/>
  <c r="JZ203" i="5"/>
  <c r="JZ178" i="5"/>
  <c r="JZ329" i="5"/>
  <c r="JZ271" i="5"/>
  <c r="JZ183" i="5"/>
  <c r="JZ399" i="5"/>
  <c r="JZ301" i="5"/>
  <c r="JZ228" i="5"/>
  <c r="JZ374" i="5"/>
  <c r="JZ389" i="5"/>
  <c r="JZ291" i="5"/>
  <c r="JZ238" i="5"/>
  <c r="JZ115" i="5"/>
  <c r="JZ155" i="5"/>
  <c r="JZ47" i="5"/>
  <c r="JZ140" i="5"/>
  <c r="JZ105" i="5"/>
  <c r="JZ87" i="5"/>
  <c r="JZ57" i="5"/>
  <c r="JZ165" i="5"/>
  <c r="JZ52" i="5"/>
  <c r="JZ145" i="5"/>
  <c r="JZ160" i="5"/>
  <c r="JZ110" i="5"/>
  <c r="JZ67" i="5"/>
  <c r="JZ125" i="5"/>
  <c r="JZ82" i="5"/>
  <c r="JZ72" i="5"/>
  <c r="JZ62" i="5"/>
  <c r="JZ130" i="5"/>
  <c r="JZ95" i="5"/>
  <c r="JZ135" i="5"/>
  <c r="JZ77" i="5"/>
  <c r="JL696" i="5"/>
  <c r="JL719" i="5"/>
  <c r="JL744" i="5"/>
  <c r="JL769" i="5"/>
  <c r="JL651" i="5"/>
  <c r="JL784" i="5"/>
  <c r="JL646" i="5"/>
  <c r="JL764" i="5"/>
  <c r="JL706" i="5"/>
  <c r="JL593" i="5"/>
  <c r="JL490" i="5"/>
  <c r="JL724" i="5"/>
  <c r="JL739" i="5"/>
  <c r="JL774" i="5"/>
  <c r="JL779" i="5"/>
  <c r="JL676" i="5"/>
  <c r="JL711" i="5"/>
  <c r="JL641" i="5"/>
  <c r="JL598" i="5"/>
  <c r="JL628" i="5"/>
  <c r="JL422" i="5"/>
  <c r="JL666" i="5"/>
  <c r="JL550" i="5"/>
  <c r="JL472" i="5"/>
  <c r="JL754" i="5"/>
  <c r="JL729" i="5"/>
  <c r="JL701" i="5"/>
  <c r="JL573" i="5"/>
  <c r="JL437" i="5"/>
  <c r="JL661" i="5"/>
  <c r="JL749" i="5"/>
  <c r="JL789" i="5"/>
  <c r="JL734" i="5"/>
  <c r="JL759" i="5"/>
  <c r="JL691" i="5"/>
  <c r="JL681" i="5"/>
  <c r="JL452" i="5"/>
  <c r="JL656" i="5"/>
  <c r="JL686" i="5"/>
  <c r="JL671" i="5"/>
  <c r="JL505" i="5"/>
  <c r="JL442" i="5"/>
  <c r="JL281" i="5"/>
  <c r="JL316" i="5"/>
  <c r="JL613" i="5"/>
  <c r="JL568" i="5"/>
  <c r="JL515" i="5"/>
  <c r="JL417" i="5"/>
  <c r="JL379" i="5"/>
  <c r="JL296" i="5"/>
  <c r="JL603" i="5"/>
  <c r="JL520" i="5"/>
  <c r="JL432" i="5"/>
  <c r="JL407" i="5"/>
  <c r="JL618" i="5"/>
  <c r="JL623" i="5"/>
  <c r="JL510" i="5"/>
  <c r="JL213" i="5"/>
  <c r="JL608" i="5"/>
  <c r="JL198" i="5"/>
  <c r="JL583" i="5"/>
  <c r="JL563" i="5"/>
  <c r="JL555" i="5"/>
  <c r="JL495" i="5"/>
  <c r="JL467" i="5"/>
  <c r="JL457" i="5"/>
  <c r="JL261" i="5"/>
  <c r="JL535" i="5"/>
  <c r="JL354" i="5"/>
  <c r="JL500" i="5"/>
  <c r="JL525" i="5"/>
  <c r="JL540" i="5"/>
  <c r="JL477" i="5"/>
  <c r="JL447" i="5"/>
  <c r="JL427" i="5"/>
  <c r="JL364" i="5"/>
  <c r="JL530" i="5"/>
  <c r="JL578" i="5"/>
  <c r="JL588" i="5"/>
  <c r="JL633" i="5"/>
  <c r="JL545" i="5"/>
  <c r="JL485" i="5"/>
  <c r="JL462" i="5"/>
  <c r="JL412" i="5"/>
  <c r="JL339" i="5"/>
  <c r="JL359" i="5"/>
  <c r="JL369" i="5"/>
  <c r="JL394" i="5"/>
  <c r="JL276" i="5"/>
  <c r="JL115" i="5"/>
  <c r="JL178" i="5"/>
  <c r="JL334" i="5"/>
  <c r="JL344" i="5"/>
  <c r="JL349" i="5"/>
  <c r="JL286" i="5"/>
  <c r="JL329" i="5"/>
  <c r="JL389" i="5"/>
  <c r="JL321" i="5"/>
  <c r="JL208" i="5"/>
  <c r="JL173" i="5"/>
  <c r="JL120" i="5"/>
  <c r="JL301" i="5"/>
  <c r="JL183" i="5"/>
  <c r="JL193" i="5"/>
  <c r="JL374" i="5"/>
  <c r="JL271" i="5"/>
  <c r="JL311" i="5"/>
  <c r="JL243" i="5"/>
  <c r="JL100" i="5"/>
  <c r="JL399" i="5"/>
  <c r="JL218" i="5"/>
  <c r="JL228" i="5"/>
  <c r="JL223" i="5"/>
  <c r="JL251" i="5"/>
  <c r="JL384" i="5"/>
  <c r="JL291" i="5"/>
  <c r="JL266" i="5"/>
  <c r="JL256" i="5"/>
  <c r="JL238" i="5"/>
  <c r="JL188" i="5"/>
  <c r="JL233" i="5"/>
  <c r="JL306" i="5"/>
  <c r="JL203" i="5"/>
  <c r="JL150" i="5"/>
  <c r="JL140" i="5"/>
  <c r="JL105" i="5"/>
  <c r="JL87" i="5"/>
  <c r="JL72" i="5"/>
  <c r="JL57" i="5"/>
  <c r="JL165" i="5"/>
  <c r="JL135" i="5"/>
  <c r="JL130" i="5"/>
  <c r="JL52" i="5"/>
  <c r="JL160" i="5"/>
  <c r="JL110" i="5"/>
  <c r="JL67" i="5"/>
  <c r="JL62" i="5"/>
  <c r="JL77" i="5"/>
  <c r="JL125" i="5"/>
  <c r="JL145" i="5"/>
  <c r="JL95" i="5"/>
  <c r="JL82" i="5"/>
  <c r="JL155" i="5"/>
  <c r="JL47" i="5"/>
  <c r="JP14" i="5"/>
  <c r="JN14" i="5"/>
  <c r="JR10" i="5"/>
  <c r="JT14" i="5"/>
  <c r="JJ10" i="5"/>
  <c r="JZ14" i="5"/>
  <c r="JL14" i="5"/>
  <c r="JT10" i="5"/>
  <c r="JL10" i="5"/>
  <c r="JR14" i="5"/>
  <c r="JJ14" i="5"/>
  <c r="JZ10" i="5"/>
  <c r="JP10" i="5"/>
  <c r="JN10" i="5"/>
  <c r="JV10" i="5"/>
  <c r="JX10" i="5"/>
  <c r="AY95" i="4"/>
  <c r="AY84" i="4"/>
  <c r="AY79" i="4"/>
  <c r="AY49" i="4"/>
  <c r="AY48" i="4"/>
  <c r="AY44" i="4"/>
  <c r="AY37" i="4"/>
  <c r="AY36" i="4"/>
  <c r="AY35" i="4"/>
  <c r="AY34" i="4"/>
  <c r="AY27" i="4"/>
  <c r="AY26" i="4"/>
  <c r="AY23" i="4"/>
  <c r="AY89" i="4" s="1"/>
  <c r="AY24" i="4"/>
  <c r="AY90" i="4" s="1"/>
  <c r="AY25" i="4"/>
  <c r="AY65" i="4" s="1"/>
  <c r="AY22" i="4"/>
  <c r="AY88" i="4" s="1"/>
  <c r="AY21" i="4"/>
  <c r="AY81" i="4" s="1"/>
  <c r="AY15" i="4"/>
  <c r="AY13" i="4"/>
  <c r="AY14" i="4"/>
  <c r="AY12" i="4"/>
  <c r="AY11" i="4"/>
  <c r="AY66" i="4" l="1"/>
  <c r="AY86" i="4"/>
  <c r="AY60" i="4"/>
  <c r="AY67" i="4"/>
  <c r="AY96" i="4"/>
  <c r="FP84" i="5" s="1"/>
  <c r="AY80" i="4"/>
  <c r="AY62" i="4"/>
  <c r="AY82" i="4"/>
  <c r="AY93" i="4"/>
  <c r="AY70" i="4"/>
  <c r="AY75" i="4"/>
  <c r="AY64" i="4"/>
  <c r="AY71" i="4"/>
  <c r="AY74" i="4"/>
  <c r="AY72" i="4"/>
  <c r="AY61" i="4"/>
  <c r="AY87" i="4"/>
  <c r="AY63" i="4"/>
  <c r="AY83" i="4"/>
  <c r="AY73" i="4"/>
  <c r="AY91" i="4"/>
  <c r="AY76" i="4"/>
  <c r="AY92" i="4"/>
  <c r="AY77" i="4"/>
  <c r="AY56"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IS59" i="5" l="1"/>
  <c r="IS57" i="5"/>
  <c r="IS54" i="5"/>
  <c r="IS52" i="5"/>
  <c r="FP64" i="5"/>
  <c r="FP74" i="5"/>
  <c r="FP69" i="5"/>
  <c r="FP59" i="5"/>
  <c r="FP79" i="5"/>
  <c r="FP54" i="5"/>
  <c r="V2" i="9"/>
  <c r="V7" i="9" s="1"/>
  <c r="IW57" i="5" l="1"/>
  <c r="IZ57" i="5"/>
  <c r="IZ59" i="5"/>
  <c r="IW59" i="5"/>
  <c r="W7" i="9"/>
  <c r="IT54" i="5"/>
  <c r="IT52" i="5"/>
  <c r="IW52" i="5"/>
  <c r="IZ52" i="5"/>
  <c r="IZ54" i="5"/>
  <c r="IW54" i="5"/>
  <c r="IT28" i="5"/>
  <c r="AY57" i="4"/>
  <c r="AY58" i="4"/>
  <c r="S7" i="9"/>
  <c r="IQ54" i="5" l="1"/>
  <c r="IQ52" i="5"/>
  <c r="JA52" i="5"/>
  <c r="IX52" i="5"/>
  <c r="JA54" i="5"/>
  <c r="IX54" i="5"/>
  <c r="IU54" i="5"/>
  <c r="IU52" i="5"/>
  <c r="JD361" i="5"/>
  <c r="JD195" i="5"/>
  <c r="JD122" i="5"/>
  <c r="JD479" i="5"/>
  <c r="JD527" i="5"/>
  <c r="JD147" i="5"/>
  <c r="JD595" i="5"/>
  <c r="JD200" i="5"/>
  <c r="JD502" i="5"/>
  <c r="JD731" i="5"/>
  <c r="JD142" i="5"/>
  <c r="JD492" i="5"/>
  <c r="JD542" i="5"/>
  <c r="JD298" i="5"/>
  <c r="JD625" i="5"/>
  <c r="JD615" i="5"/>
  <c r="JD643" i="5"/>
  <c r="JD557" i="5"/>
  <c r="JD127" i="5"/>
  <c r="JD512" i="5"/>
  <c r="JD356" i="5"/>
  <c r="JD693" i="5"/>
  <c r="JD331" i="5"/>
  <c r="JD474" i="5"/>
  <c r="JD469" i="5"/>
  <c r="JD741" i="5"/>
  <c r="JD590" i="5"/>
  <c r="JD240" i="5"/>
  <c r="JD210" i="5"/>
  <c r="JD391" i="5"/>
  <c r="JD781" i="5"/>
  <c r="JD537" i="5"/>
  <c r="JD117" i="5"/>
  <c r="JD449" i="5"/>
  <c r="JD552" i="5"/>
  <c r="JD419" i="5"/>
  <c r="JD152" i="5"/>
  <c r="JD444" i="5"/>
  <c r="JD721" i="5"/>
  <c r="JD386" i="5"/>
  <c r="JD263" i="5"/>
  <c r="JD424" i="5"/>
  <c r="JD381" i="5"/>
  <c r="JD235" i="5"/>
  <c r="JD205" i="5"/>
  <c r="JD648" i="5"/>
  <c r="JD771" i="5"/>
  <c r="JD653" i="5"/>
  <c r="JD175" i="5"/>
  <c r="JD225" i="5"/>
  <c r="JD766" i="5"/>
  <c r="JD258" i="5"/>
  <c r="JD288" i="5"/>
  <c r="JD585" i="5"/>
  <c r="JD132" i="5"/>
  <c r="JD336" i="5"/>
  <c r="JD464" i="5"/>
  <c r="JD371" i="5"/>
  <c r="JD761" i="5"/>
  <c r="JD517" i="5"/>
  <c r="JD220" i="5"/>
  <c r="JD776" i="5"/>
  <c r="JD79" i="5"/>
  <c r="JD376" i="5"/>
  <c r="FP49" i="5"/>
  <c r="JD610" i="5"/>
  <c r="JD414" i="5"/>
  <c r="JD713" i="5"/>
  <c r="JD532" i="5"/>
  <c r="JD273" i="5"/>
  <c r="JD708" i="5"/>
  <c r="JD215" i="5"/>
  <c r="JD278" i="5"/>
  <c r="JD678" i="5"/>
  <c r="JD283" i="5"/>
  <c r="JD303" i="5"/>
  <c r="JD162" i="5"/>
  <c r="JD683" i="5"/>
  <c r="JD487" i="5"/>
  <c r="JD409" i="5"/>
  <c r="JD190" i="5"/>
  <c r="JD673" i="5"/>
  <c r="JD605" i="5"/>
  <c r="JD157" i="5"/>
  <c r="JD429" i="5"/>
  <c r="JD185" i="5"/>
  <c r="JD64" i="5"/>
  <c r="JD658" i="5"/>
  <c r="JD313" i="5"/>
  <c r="JD663" i="5"/>
  <c r="JD454" i="5"/>
  <c r="JD74" i="5"/>
  <c r="JD668" i="5"/>
  <c r="JD497" i="5"/>
  <c r="JD688" i="5"/>
  <c r="JD756" i="5"/>
  <c r="JD84" i="5"/>
  <c r="JD401" i="5"/>
  <c r="JD318" i="5"/>
  <c r="JD253" i="5"/>
  <c r="JD580" i="5"/>
  <c r="JD293" i="5"/>
  <c r="JD167" i="5"/>
  <c r="JD69" i="5"/>
  <c r="JD547" i="5"/>
  <c r="JD112" i="5"/>
  <c r="JD459" i="5"/>
  <c r="JD230" i="5"/>
  <c r="JD751" i="5"/>
  <c r="JD570" i="5"/>
  <c r="JD396" i="5"/>
  <c r="JD786" i="5"/>
  <c r="JD137" i="5"/>
  <c r="JD308" i="5"/>
  <c r="JD565" i="5"/>
  <c r="JD97" i="5"/>
  <c r="JD268" i="5"/>
  <c r="JD323" i="5"/>
  <c r="JD107" i="5"/>
  <c r="JD736" i="5"/>
  <c r="JD507" i="5"/>
  <c r="JD630" i="5"/>
  <c r="JD366" i="5"/>
  <c r="JD522" i="5"/>
  <c r="JD434" i="5"/>
  <c r="JD439" i="5"/>
  <c r="JD635" i="5"/>
  <c r="JD351" i="5"/>
  <c r="JD575" i="5"/>
  <c r="JD245" i="5"/>
  <c r="JD180" i="5"/>
  <c r="JD89" i="5"/>
  <c r="JD703" i="5"/>
  <c r="JD600" i="5"/>
  <c r="JD726" i="5"/>
  <c r="JD746" i="5"/>
  <c r="JD102" i="5"/>
  <c r="JD346" i="5"/>
  <c r="JD620" i="5"/>
  <c r="JD341" i="5"/>
  <c r="JD698" i="5"/>
  <c r="S33" i="9"/>
  <c r="T32" i="9"/>
  <c r="S32" i="9"/>
  <c r="T31" i="9"/>
  <c r="S31" i="9"/>
  <c r="T30" i="9"/>
  <c r="S30" i="9"/>
  <c r="T29" i="9"/>
  <c r="S29" i="9"/>
  <c r="T28" i="9"/>
  <c r="S28" i="9"/>
  <c r="T27" i="9"/>
  <c r="S27" i="9"/>
  <c r="T26" i="9"/>
  <c r="S26" i="9"/>
  <c r="T25" i="9"/>
  <c r="S25" i="9"/>
  <c r="T24" i="9"/>
  <c r="S24" i="9"/>
  <c r="T23" i="9"/>
  <c r="S23" i="9"/>
  <c r="T22" i="9"/>
  <c r="S22" i="9"/>
  <c r="T21" i="9"/>
  <c r="S21" i="9"/>
  <c r="T20" i="9"/>
  <c r="S20" i="9"/>
  <c r="T19" i="9"/>
  <c r="S19" i="9"/>
  <c r="T18" i="9"/>
  <c r="S18" i="9"/>
  <c r="T17" i="9"/>
  <c r="S17" i="9"/>
  <c r="T16" i="9"/>
  <c r="S16" i="9"/>
  <c r="T15" i="9"/>
  <c r="S15" i="9"/>
  <c r="T14" i="9"/>
  <c r="S14" i="9"/>
  <c r="T13" i="9"/>
  <c r="S13" i="9"/>
  <c r="T12" i="9"/>
  <c r="S12" i="9"/>
  <c r="T11" i="9"/>
  <c r="S11" i="9"/>
  <c r="T10" i="9"/>
  <c r="S10" i="9"/>
  <c r="T9" i="9"/>
  <c r="S9" i="9"/>
  <c r="T8" i="9"/>
  <c r="S8" i="9"/>
  <c r="T7" i="9"/>
  <c r="T6" i="9"/>
  <c r="S6" i="9"/>
  <c r="T5" i="9"/>
  <c r="S5" i="9"/>
  <c r="IQ59" i="5" l="1"/>
  <c r="IQ57" i="5"/>
  <c r="IR59" i="5"/>
  <c r="IR57" i="5"/>
  <c r="IR54" i="5"/>
  <c r="IR52" i="5"/>
  <c r="JE698" i="5"/>
  <c r="DI698" i="5" s="1"/>
  <c r="HQ697" i="5"/>
  <c r="HQ699" i="5" s="1"/>
  <c r="HQ340" i="5"/>
  <c r="HQ342" i="5" s="1"/>
  <c r="JE341" i="5"/>
  <c r="DI341" i="5" s="1"/>
  <c r="HQ619" i="5"/>
  <c r="HQ621" i="5" s="1"/>
  <c r="JE620" i="5"/>
  <c r="DI620" i="5" s="1"/>
  <c r="HQ345" i="5"/>
  <c r="HQ347" i="5" s="1"/>
  <c r="JE346" i="5"/>
  <c r="DI346" i="5" s="1"/>
  <c r="JE102" i="5"/>
  <c r="DI102" i="5" s="1"/>
  <c r="HQ101" i="5"/>
  <c r="HQ103" i="5" s="1"/>
  <c r="HQ745" i="5"/>
  <c r="HQ747" i="5" s="1"/>
  <c r="JE746" i="5"/>
  <c r="DI746" i="5" s="1"/>
  <c r="JE726" i="5"/>
  <c r="DI726" i="5" s="1"/>
  <c r="HQ725" i="5"/>
  <c r="HQ727" i="5" s="1"/>
  <c r="HQ599" i="5"/>
  <c r="HQ601" i="5" s="1"/>
  <c r="JE600" i="5"/>
  <c r="DI600" i="5" s="1"/>
  <c r="HQ702" i="5"/>
  <c r="HQ704" i="5" s="1"/>
  <c r="JE703" i="5"/>
  <c r="DI703" i="5" s="1"/>
  <c r="JE89" i="5"/>
  <c r="DI89" i="5" s="1"/>
  <c r="HQ88" i="5"/>
  <c r="HQ90" i="5" s="1"/>
  <c r="JE180" i="5"/>
  <c r="DI180" i="5" s="1"/>
  <c r="HQ179" i="5"/>
  <c r="HQ181" i="5" s="1"/>
  <c r="HQ244" i="5"/>
  <c r="HQ246" i="5" s="1"/>
  <c r="JE245" i="5"/>
  <c r="DI245" i="5" s="1"/>
  <c r="HQ574" i="5"/>
  <c r="HQ576" i="5" s="1"/>
  <c r="JE575" i="5"/>
  <c r="DI575" i="5" s="1"/>
  <c r="JE351" i="5"/>
  <c r="DI351" i="5" s="1"/>
  <c r="HQ350" i="5"/>
  <c r="HQ352" i="5" s="1"/>
  <c r="JE635" i="5"/>
  <c r="DI635" i="5" s="1"/>
  <c r="HQ634" i="5"/>
  <c r="HQ636" i="5" s="1"/>
  <c r="HQ438" i="5"/>
  <c r="HQ440" i="5" s="1"/>
  <c r="JE439" i="5"/>
  <c r="DI439" i="5" s="1"/>
  <c r="JE434" i="5"/>
  <c r="DI434" i="5" s="1"/>
  <c r="HQ433" i="5"/>
  <c r="HQ435" i="5" s="1"/>
  <c r="JE522" i="5"/>
  <c r="DI522" i="5" s="1"/>
  <c r="HQ521" i="5"/>
  <c r="HQ523" i="5" s="1"/>
  <c r="HQ365" i="5"/>
  <c r="HQ367" i="5" s="1"/>
  <c r="JE366" i="5"/>
  <c r="DI366" i="5" s="1"/>
  <c r="JE630" i="5"/>
  <c r="DI630" i="5" s="1"/>
  <c r="HQ629" i="5"/>
  <c r="HQ631" i="5" s="1"/>
  <c r="JE507" i="5"/>
  <c r="DI507" i="5" s="1"/>
  <c r="HQ506" i="5"/>
  <c r="HQ508" i="5" s="1"/>
  <c r="HQ735" i="5"/>
  <c r="HQ737" i="5" s="1"/>
  <c r="JE736" i="5"/>
  <c r="DI736" i="5" s="1"/>
  <c r="JE107" i="5"/>
  <c r="DI107" i="5" s="1"/>
  <c r="HQ106" i="5"/>
  <c r="HQ108" i="5" s="1"/>
  <c r="JE323" i="5"/>
  <c r="DI323" i="5" s="1"/>
  <c r="HQ322" i="5"/>
  <c r="HQ324" i="5" s="1"/>
  <c r="HQ267" i="5"/>
  <c r="HQ269" i="5" s="1"/>
  <c r="JE268" i="5"/>
  <c r="DI268" i="5" s="1"/>
  <c r="JE97" i="5"/>
  <c r="DI97" i="5" s="1"/>
  <c r="HQ96" i="5"/>
  <c r="HQ98" i="5" s="1"/>
  <c r="HQ564" i="5"/>
  <c r="HQ566" i="5" s="1"/>
  <c r="JE565" i="5"/>
  <c r="DI565" i="5" s="1"/>
  <c r="JE308" i="5"/>
  <c r="DI308" i="5" s="1"/>
  <c r="HQ307" i="5"/>
  <c r="HQ309" i="5" s="1"/>
  <c r="JE137" i="5"/>
  <c r="DI137" i="5" s="1"/>
  <c r="HQ136" i="5"/>
  <c r="HQ138" i="5" s="1"/>
  <c r="HQ785" i="5"/>
  <c r="HQ787" i="5" s="1"/>
  <c r="JE786" i="5"/>
  <c r="DI786" i="5" s="1"/>
  <c r="HQ395" i="5"/>
  <c r="HQ397" i="5" s="1"/>
  <c r="JE396" i="5"/>
  <c r="DI396" i="5" s="1"/>
  <c r="HQ569" i="5"/>
  <c r="HQ571" i="5" s="1"/>
  <c r="JE570" i="5"/>
  <c r="DI570" i="5" s="1"/>
  <c r="HQ750" i="5"/>
  <c r="HQ752" i="5" s="1"/>
  <c r="JE751" i="5"/>
  <c r="DI751" i="5" s="1"/>
  <c r="JE230" i="5"/>
  <c r="DI230" i="5" s="1"/>
  <c r="HQ229" i="5"/>
  <c r="HQ231" i="5" s="1"/>
  <c r="HQ458" i="5"/>
  <c r="HQ460" i="5" s="1"/>
  <c r="JE459" i="5"/>
  <c r="DI459" i="5" s="1"/>
  <c r="JE112" i="5"/>
  <c r="DI112" i="5" s="1"/>
  <c r="HQ111" i="5"/>
  <c r="HQ113" i="5" s="1"/>
  <c r="HQ546" i="5"/>
  <c r="HQ548" i="5" s="1"/>
  <c r="JE547" i="5"/>
  <c r="DI547" i="5" s="1"/>
  <c r="JE69" i="5"/>
  <c r="DI69" i="5" s="1"/>
  <c r="HQ68" i="5"/>
  <c r="HQ70" i="5" s="1"/>
  <c r="JE167" i="5"/>
  <c r="DI167" i="5" s="1"/>
  <c r="HQ166" i="5"/>
  <c r="HQ168" i="5" s="1"/>
  <c r="JE293" i="5"/>
  <c r="DI293" i="5" s="1"/>
  <c r="HQ292" i="5"/>
  <c r="HQ294" i="5" s="1"/>
  <c r="HQ579" i="5"/>
  <c r="HQ581" i="5" s="1"/>
  <c r="JE580" i="5"/>
  <c r="DI580" i="5" s="1"/>
  <c r="HQ252" i="5"/>
  <c r="HQ254" i="5" s="1"/>
  <c r="JE253" i="5"/>
  <c r="DI253" i="5" s="1"/>
  <c r="HQ317" i="5"/>
  <c r="HQ319" i="5" s="1"/>
  <c r="JE318" i="5"/>
  <c r="DI318" i="5" s="1"/>
  <c r="JE401" i="5"/>
  <c r="DI401" i="5" s="1"/>
  <c r="HQ400" i="5"/>
  <c r="HQ402" i="5" s="1"/>
  <c r="JE84" i="5"/>
  <c r="DI84" i="5" s="1"/>
  <c r="HQ83" i="5"/>
  <c r="HQ85" i="5" s="1"/>
  <c r="HQ755" i="5"/>
  <c r="HQ757" i="5" s="1"/>
  <c r="JE756" i="5"/>
  <c r="DI756" i="5" s="1"/>
  <c r="HQ687" i="5"/>
  <c r="HQ689" i="5" s="1"/>
  <c r="JE688" i="5"/>
  <c r="DI688" i="5" s="1"/>
  <c r="JE497" i="5"/>
  <c r="DI497" i="5" s="1"/>
  <c r="HQ496" i="5"/>
  <c r="HQ498" i="5" s="1"/>
  <c r="HQ667" i="5"/>
  <c r="HQ669" i="5" s="1"/>
  <c r="JE668" i="5"/>
  <c r="DI668" i="5" s="1"/>
  <c r="JE74" i="5"/>
  <c r="DI74" i="5" s="1"/>
  <c r="HQ73" i="5"/>
  <c r="HQ75" i="5" s="1"/>
  <c r="JE454" i="5"/>
  <c r="DI454" i="5" s="1"/>
  <c r="HQ453" i="5"/>
  <c r="HQ455" i="5" s="1"/>
  <c r="HQ662" i="5"/>
  <c r="HQ664" i="5" s="1"/>
  <c r="JE663" i="5"/>
  <c r="DI663" i="5" s="1"/>
  <c r="HQ312" i="5"/>
  <c r="HQ314" i="5" s="1"/>
  <c r="JE313" i="5"/>
  <c r="DI313" i="5" s="1"/>
  <c r="HQ657" i="5"/>
  <c r="HQ659" i="5" s="1"/>
  <c r="JE658" i="5"/>
  <c r="DI658" i="5" s="1"/>
  <c r="JE64" i="5"/>
  <c r="DI64" i="5" s="1"/>
  <c r="HQ63" i="5"/>
  <c r="HQ65" i="5" s="1"/>
  <c r="HQ184" i="5"/>
  <c r="HQ186" i="5" s="1"/>
  <c r="JE185" i="5"/>
  <c r="DI185" i="5" s="1"/>
  <c r="HQ428" i="5"/>
  <c r="HQ430" i="5" s="1"/>
  <c r="JE429" i="5"/>
  <c r="DI429" i="5" s="1"/>
  <c r="JE157" i="5"/>
  <c r="DI157" i="5" s="1"/>
  <c r="HQ156" i="5"/>
  <c r="HQ158" i="5" s="1"/>
  <c r="JE605" i="5"/>
  <c r="DI605" i="5" s="1"/>
  <c r="HQ604" i="5"/>
  <c r="HQ606" i="5" s="1"/>
  <c r="HQ672" i="5"/>
  <c r="HQ674" i="5" s="1"/>
  <c r="JE673" i="5"/>
  <c r="DI673" i="5" s="1"/>
  <c r="JE190" i="5"/>
  <c r="DI190" i="5" s="1"/>
  <c r="HQ189" i="5"/>
  <c r="HQ191" i="5" s="1"/>
  <c r="HQ408" i="5"/>
  <c r="HQ410" i="5" s="1"/>
  <c r="JE409" i="5"/>
  <c r="DI409" i="5" s="1"/>
  <c r="HQ486" i="5"/>
  <c r="HQ488" i="5" s="1"/>
  <c r="JE487" i="5"/>
  <c r="DI487" i="5" s="1"/>
  <c r="HQ682" i="5"/>
  <c r="HQ684" i="5" s="1"/>
  <c r="JE683" i="5"/>
  <c r="DI683" i="5" s="1"/>
  <c r="JE162" i="5"/>
  <c r="DI162" i="5" s="1"/>
  <c r="HQ161" i="5"/>
  <c r="HQ163" i="5" s="1"/>
  <c r="HQ302" i="5"/>
  <c r="HQ304" i="5" s="1"/>
  <c r="JE303" i="5"/>
  <c r="DI303" i="5" s="1"/>
  <c r="HQ282" i="5"/>
  <c r="HQ284" i="5" s="1"/>
  <c r="JE283" i="5"/>
  <c r="DI283" i="5" s="1"/>
  <c r="HQ677" i="5"/>
  <c r="HQ679" i="5" s="1"/>
  <c r="JE678" i="5"/>
  <c r="DI678" i="5" s="1"/>
  <c r="JE278" i="5"/>
  <c r="DI278" i="5" s="1"/>
  <c r="HQ277" i="5"/>
  <c r="HQ279" i="5" s="1"/>
  <c r="HQ214" i="5"/>
  <c r="HQ216" i="5" s="1"/>
  <c r="JE215" i="5"/>
  <c r="DI215" i="5" s="1"/>
  <c r="HQ707" i="5"/>
  <c r="HQ709" i="5" s="1"/>
  <c r="JE708" i="5"/>
  <c r="DI708" i="5" s="1"/>
  <c r="JE273" i="5"/>
  <c r="DI273" i="5" s="1"/>
  <c r="HQ272" i="5"/>
  <c r="HQ274" i="5" s="1"/>
  <c r="HQ531" i="5"/>
  <c r="HQ533" i="5" s="1"/>
  <c r="JE532" i="5"/>
  <c r="DI532" i="5" s="1"/>
  <c r="JE713" i="5"/>
  <c r="DI713" i="5" s="1"/>
  <c r="HQ712" i="5"/>
  <c r="HQ714" i="5" s="1"/>
  <c r="HQ413" i="5"/>
  <c r="HQ415" i="5" s="1"/>
  <c r="JE414" i="5"/>
  <c r="DI414" i="5" s="1"/>
  <c r="JE610" i="5"/>
  <c r="DI610" i="5" s="1"/>
  <c r="HQ609" i="5"/>
  <c r="HQ611" i="5" s="1"/>
  <c r="HQ375" i="5"/>
  <c r="HQ377" i="5" s="1"/>
  <c r="JE376" i="5"/>
  <c r="DI376" i="5" s="1"/>
  <c r="JE79" i="5"/>
  <c r="DI79" i="5" s="1"/>
  <c r="HQ78" i="5"/>
  <c r="HQ80" i="5" s="1"/>
  <c r="HQ775" i="5"/>
  <c r="HQ777" i="5" s="1"/>
  <c r="JE776" i="5"/>
  <c r="DI776" i="5" s="1"/>
  <c r="HQ219" i="5"/>
  <c r="HQ221" i="5" s="1"/>
  <c r="JE220" i="5"/>
  <c r="DI220" i="5" s="1"/>
  <c r="JE517" i="5"/>
  <c r="DI517" i="5" s="1"/>
  <c r="HQ516" i="5"/>
  <c r="HQ518" i="5" s="1"/>
  <c r="HQ760" i="5"/>
  <c r="HQ762" i="5" s="1"/>
  <c r="JE761" i="5"/>
  <c r="DI761" i="5" s="1"/>
  <c r="HQ370" i="5"/>
  <c r="HQ372" i="5" s="1"/>
  <c r="JE371" i="5"/>
  <c r="DI371" i="5" s="1"/>
  <c r="HQ463" i="5"/>
  <c r="HQ465" i="5" s="1"/>
  <c r="JE464" i="5"/>
  <c r="DI464" i="5" s="1"/>
  <c r="JE336" i="5"/>
  <c r="DI336" i="5" s="1"/>
  <c r="HQ335" i="5"/>
  <c r="HQ337" i="5" s="1"/>
  <c r="JE132" i="5"/>
  <c r="DI132" i="5" s="1"/>
  <c r="HQ131" i="5"/>
  <c r="HQ133" i="5" s="1"/>
  <c r="JE585" i="5"/>
  <c r="DI585" i="5" s="1"/>
  <c r="HQ584" i="5"/>
  <c r="HQ586" i="5" s="1"/>
  <c r="JE288" i="5"/>
  <c r="DI288" i="5" s="1"/>
  <c r="HQ287" i="5"/>
  <c r="HQ289" i="5" s="1"/>
  <c r="HQ257" i="5"/>
  <c r="HQ259" i="5" s="1"/>
  <c r="JE258" i="5"/>
  <c r="DI258" i="5" s="1"/>
  <c r="JE766" i="5"/>
  <c r="DI766" i="5" s="1"/>
  <c r="HQ765" i="5"/>
  <c r="HQ767" i="5" s="1"/>
  <c r="JE225" i="5"/>
  <c r="DI225" i="5" s="1"/>
  <c r="HQ224" i="5"/>
  <c r="HQ226" i="5" s="1"/>
  <c r="JE175" i="5"/>
  <c r="DI175" i="5" s="1"/>
  <c r="HQ174" i="5"/>
  <c r="HQ176" i="5" s="1"/>
  <c r="JE653" i="5"/>
  <c r="DI653" i="5" s="1"/>
  <c r="HQ652" i="5"/>
  <c r="HQ654" i="5" s="1"/>
  <c r="JE771" i="5"/>
  <c r="DI771" i="5" s="1"/>
  <c r="HQ770" i="5"/>
  <c r="HQ772" i="5" s="1"/>
  <c r="HQ647" i="5"/>
  <c r="HQ649" i="5" s="1"/>
  <c r="JE648" i="5"/>
  <c r="DI648" i="5" s="1"/>
  <c r="HQ204" i="5"/>
  <c r="HQ206" i="5" s="1"/>
  <c r="JE205" i="5"/>
  <c r="DI205" i="5" s="1"/>
  <c r="HQ234" i="5"/>
  <c r="HQ236" i="5" s="1"/>
  <c r="JE235" i="5"/>
  <c r="DI235" i="5" s="1"/>
  <c r="JE381" i="5"/>
  <c r="DI381" i="5" s="1"/>
  <c r="HQ380" i="5"/>
  <c r="HQ382" i="5" s="1"/>
  <c r="HQ423" i="5"/>
  <c r="HQ425" i="5" s="1"/>
  <c r="JE424" i="5"/>
  <c r="DI424" i="5" s="1"/>
  <c r="JE263" i="5"/>
  <c r="DI263" i="5" s="1"/>
  <c r="HQ262" i="5"/>
  <c r="HQ264" i="5" s="1"/>
  <c r="HQ385" i="5"/>
  <c r="HQ387" i="5" s="1"/>
  <c r="JE386" i="5"/>
  <c r="DI386" i="5" s="1"/>
  <c r="HQ720" i="5"/>
  <c r="HQ722" i="5" s="1"/>
  <c r="JE721" i="5"/>
  <c r="DI721" i="5" s="1"/>
  <c r="HQ443" i="5"/>
  <c r="HQ445" i="5" s="1"/>
  <c r="JE444" i="5"/>
  <c r="DI444" i="5" s="1"/>
  <c r="HQ151" i="5"/>
  <c r="HQ153" i="5" s="1"/>
  <c r="JE152" i="5"/>
  <c r="DI152" i="5" s="1"/>
  <c r="JE419" i="5"/>
  <c r="DI419" i="5" s="1"/>
  <c r="HQ418" i="5"/>
  <c r="HQ420" i="5" s="1"/>
  <c r="JE552" i="5"/>
  <c r="DI552" i="5" s="1"/>
  <c r="HQ551" i="5"/>
  <c r="HQ553" i="5" s="1"/>
  <c r="HQ448" i="5"/>
  <c r="HQ450" i="5" s="1"/>
  <c r="JE449" i="5"/>
  <c r="DI449" i="5" s="1"/>
  <c r="JE117" i="5"/>
  <c r="DI117" i="5" s="1"/>
  <c r="HQ116" i="5"/>
  <c r="HQ118" i="5" s="1"/>
  <c r="JE537" i="5"/>
  <c r="DI537" i="5" s="1"/>
  <c r="HQ536" i="5"/>
  <c r="HQ538" i="5" s="1"/>
  <c r="HQ780" i="5"/>
  <c r="HQ782" i="5" s="1"/>
  <c r="JE781" i="5"/>
  <c r="DI781" i="5" s="1"/>
  <c r="HQ390" i="5"/>
  <c r="HQ392" i="5" s="1"/>
  <c r="JE391" i="5"/>
  <c r="DI391" i="5" s="1"/>
  <c r="JE210" i="5"/>
  <c r="DI210" i="5" s="1"/>
  <c r="HQ209" i="5"/>
  <c r="HQ211" i="5" s="1"/>
  <c r="HQ239" i="5"/>
  <c r="HQ241" i="5" s="1"/>
  <c r="JE240" i="5"/>
  <c r="DI240" i="5" s="1"/>
  <c r="JE590" i="5"/>
  <c r="DI590" i="5" s="1"/>
  <c r="HQ589" i="5"/>
  <c r="HQ591" i="5" s="1"/>
  <c r="HQ740" i="5"/>
  <c r="HQ742" i="5" s="1"/>
  <c r="JE741" i="5"/>
  <c r="DI741" i="5" s="1"/>
  <c r="HQ468" i="5"/>
  <c r="HQ470" i="5" s="1"/>
  <c r="JE469" i="5"/>
  <c r="DI469" i="5" s="1"/>
  <c r="JE474" i="5"/>
  <c r="DI474" i="5" s="1"/>
  <c r="HQ473" i="5"/>
  <c r="HQ475" i="5" s="1"/>
  <c r="HQ330" i="5"/>
  <c r="HQ332" i="5" s="1"/>
  <c r="JE331" i="5"/>
  <c r="DI331" i="5" s="1"/>
  <c r="JE693" i="5"/>
  <c r="DI693" i="5" s="1"/>
  <c r="HQ692" i="5"/>
  <c r="HQ694" i="5" s="1"/>
  <c r="JE356" i="5"/>
  <c r="DI356" i="5" s="1"/>
  <c r="HQ355" i="5"/>
  <c r="HQ357" i="5" s="1"/>
  <c r="HQ511" i="5"/>
  <c r="HQ513" i="5" s="1"/>
  <c r="JE512" i="5"/>
  <c r="DI512" i="5" s="1"/>
  <c r="JE127" i="5"/>
  <c r="DI127" i="5" s="1"/>
  <c r="HQ126" i="5"/>
  <c r="HQ128" i="5" s="1"/>
  <c r="JE557" i="5"/>
  <c r="DI557" i="5" s="1"/>
  <c r="HQ556" i="5"/>
  <c r="HQ558" i="5" s="1"/>
  <c r="HQ642" i="5"/>
  <c r="HQ644" i="5" s="1"/>
  <c r="JE643" i="5"/>
  <c r="DI643" i="5" s="1"/>
  <c r="HQ614" i="5"/>
  <c r="HQ616" i="5" s="1"/>
  <c r="JE615" i="5"/>
  <c r="DI615" i="5" s="1"/>
  <c r="JE625" i="5"/>
  <c r="DI625" i="5" s="1"/>
  <c r="HQ624" i="5"/>
  <c r="HQ626" i="5" s="1"/>
  <c r="HQ297" i="5"/>
  <c r="HQ299" i="5" s="1"/>
  <c r="JE298" i="5"/>
  <c r="DI298" i="5" s="1"/>
  <c r="JE542" i="5"/>
  <c r="DI542" i="5" s="1"/>
  <c r="HQ541" i="5"/>
  <c r="HQ543" i="5" s="1"/>
  <c r="HQ491" i="5"/>
  <c r="HQ493" i="5" s="1"/>
  <c r="JE492" i="5"/>
  <c r="DI492" i="5" s="1"/>
  <c r="JE142" i="5"/>
  <c r="DI142" i="5" s="1"/>
  <c r="HQ141" i="5"/>
  <c r="HQ143" i="5" s="1"/>
  <c r="HQ730" i="5"/>
  <c r="HQ732" i="5" s="1"/>
  <c r="JE731" i="5"/>
  <c r="DI731" i="5" s="1"/>
  <c r="JE502" i="5"/>
  <c r="DI502" i="5" s="1"/>
  <c r="HQ501" i="5"/>
  <c r="HQ503" i="5" s="1"/>
  <c r="JE200" i="5"/>
  <c r="DI200" i="5" s="1"/>
  <c r="HQ199" i="5"/>
  <c r="HQ201" i="5" s="1"/>
  <c r="JE595" i="5"/>
  <c r="DI595" i="5" s="1"/>
  <c r="HQ594" i="5"/>
  <c r="HQ596" i="5" s="1"/>
  <c r="HQ146" i="5"/>
  <c r="HQ148" i="5" s="1"/>
  <c r="JE147" i="5"/>
  <c r="DI147" i="5" s="1"/>
  <c r="HQ526" i="5"/>
  <c r="HQ528" i="5" s="1"/>
  <c r="JE527" i="5"/>
  <c r="DI527" i="5" s="1"/>
  <c r="JE479" i="5"/>
  <c r="DI479" i="5" s="1"/>
  <c r="HQ478" i="5"/>
  <c r="HQ480" i="5" s="1"/>
  <c r="JE122" i="5"/>
  <c r="DI122" i="5" s="1"/>
  <c r="HQ121" i="5"/>
  <c r="HQ123" i="5" s="1"/>
  <c r="HQ194" i="5"/>
  <c r="HQ196" i="5" s="1"/>
  <c r="JE195" i="5"/>
  <c r="DI195" i="5" s="1"/>
  <c r="JE361" i="5"/>
  <c r="DI361" i="5" s="1"/>
  <c r="HQ360" i="5"/>
  <c r="HQ362" i="5"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V8" i="9"/>
  <c r="W8" i="9" s="1"/>
  <c r="V6" i="9"/>
  <c r="W6" i="9" s="1"/>
  <c r="V5" i="9"/>
  <c r="W5" i="9" s="1"/>
  <c r="X32" i="9"/>
  <c r="Y32" i="9" s="1"/>
  <c r="X31" i="9"/>
  <c r="Y31" i="9" s="1"/>
  <c r="X30" i="9"/>
  <c r="Y30" i="9" s="1"/>
  <c r="X29" i="9"/>
  <c r="AA29" i="9" s="1"/>
  <c r="AB29" i="9" s="1"/>
  <c r="X28" i="9"/>
  <c r="AA28" i="9" s="1"/>
  <c r="AB28" i="9" s="1"/>
  <c r="X27" i="9"/>
  <c r="AT27" i="9" s="1"/>
  <c r="AU27" i="9" s="1"/>
  <c r="X26" i="9"/>
  <c r="AT26" i="9" s="1"/>
  <c r="AU26" i="9" s="1"/>
  <c r="X25" i="9"/>
  <c r="AT25" i="9" s="1"/>
  <c r="AU25" i="9" s="1"/>
  <c r="X24" i="9"/>
  <c r="AA24" i="9" s="1"/>
  <c r="AB24" i="9" s="1"/>
  <c r="X23" i="9"/>
  <c r="Y23" i="9" s="1"/>
  <c r="X22" i="9"/>
  <c r="Y22" i="9" s="1"/>
  <c r="X21" i="9"/>
  <c r="AA21" i="9" s="1"/>
  <c r="AB21" i="9" s="1"/>
  <c r="X20" i="9"/>
  <c r="AT20" i="9" s="1"/>
  <c r="AU20" i="9" s="1"/>
  <c r="X19" i="9"/>
  <c r="AA19" i="9" s="1"/>
  <c r="AB19" i="9" s="1"/>
  <c r="X18" i="9"/>
  <c r="AT18" i="9" s="1"/>
  <c r="AU18" i="9" s="1"/>
  <c r="X17" i="9"/>
  <c r="AT17" i="9" s="1"/>
  <c r="AU17" i="9" s="1"/>
  <c r="X16" i="9"/>
  <c r="AA16" i="9" s="1"/>
  <c r="AB16" i="9" s="1"/>
  <c r="X15" i="9"/>
  <c r="Y15" i="9" s="1"/>
  <c r="X14" i="9"/>
  <c r="Y14" i="9" s="1"/>
  <c r="X13" i="9"/>
  <c r="AA13" i="9" s="1"/>
  <c r="AB13" i="9" s="1"/>
  <c r="X12" i="9"/>
  <c r="AP12" i="9" s="1"/>
  <c r="X11" i="9"/>
  <c r="AT11" i="9" s="1"/>
  <c r="AU11" i="9" s="1"/>
  <c r="X10" i="9"/>
  <c r="AT10" i="9" s="1"/>
  <c r="AU10" i="9" s="1"/>
  <c r="X9" i="9"/>
  <c r="AT9" i="9" s="1"/>
  <c r="AU9" i="9" s="1"/>
  <c r="X8" i="9"/>
  <c r="Y8" i="9" s="1"/>
  <c r="X7" i="9"/>
  <c r="Y7" i="9" s="1"/>
  <c r="X6" i="9"/>
  <c r="Y6" i="9" s="1"/>
  <c r="X5" i="9"/>
  <c r="AA5" i="9" s="1"/>
  <c r="AB5" i="9" s="1"/>
  <c r="I32" i="9"/>
  <c r="I31" i="9"/>
  <c r="I30" i="9"/>
  <c r="I29" i="9"/>
  <c r="I28" i="9"/>
  <c r="I27" i="9"/>
  <c r="I26" i="9"/>
  <c r="I25" i="9"/>
  <c r="I24" i="9"/>
  <c r="I23" i="9"/>
  <c r="I22" i="9"/>
  <c r="I21" i="9"/>
  <c r="I20" i="9"/>
  <c r="I19" i="9"/>
  <c r="I18" i="9"/>
  <c r="I17" i="9"/>
  <c r="I16" i="9"/>
  <c r="I15" i="9"/>
  <c r="I14" i="9"/>
  <c r="I13" i="9"/>
  <c r="I12" i="9"/>
  <c r="I11" i="9"/>
  <c r="I10" i="9"/>
  <c r="I9" i="9"/>
  <c r="FY59" i="5" s="1"/>
  <c r="I8" i="9"/>
  <c r="I7" i="9"/>
  <c r="FY54" i="5" s="1"/>
  <c r="I6" i="9"/>
  <c r="I5" i="9"/>
  <c r="AP31" i="9"/>
  <c r="W9" i="9" l="1"/>
  <c r="IT59" i="5"/>
  <c r="IT57" i="5"/>
  <c r="AM361" i="5"/>
  <c r="FV361" i="5"/>
  <c r="FW361" i="5" s="1"/>
  <c r="AM195" i="5"/>
  <c r="FV195" i="5"/>
  <c r="FW195" i="5" s="1"/>
  <c r="FV122" i="5"/>
  <c r="FW122" i="5" s="1"/>
  <c r="AM122" i="5"/>
  <c r="FV479" i="5"/>
  <c r="FW479" i="5" s="1"/>
  <c r="AM479" i="5"/>
  <c r="FV527" i="5"/>
  <c r="FW527" i="5" s="1"/>
  <c r="AM527" i="5"/>
  <c r="FV147" i="5"/>
  <c r="FW147" i="5" s="1"/>
  <c r="AM147" i="5"/>
  <c r="AM595" i="5"/>
  <c r="FV595" i="5"/>
  <c r="FW595" i="5" s="1"/>
  <c r="AM200" i="5"/>
  <c r="FV200" i="5"/>
  <c r="FW200" i="5" s="1"/>
  <c r="AM502" i="5"/>
  <c r="FV502" i="5"/>
  <c r="FW502" i="5" s="1"/>
  <c r="AM731" i="5"/>
  <c r="FV731" i="5"/>
  <c r="FW731" i="5" s="1"/>
  <c r="FV142" i="5"/>
  <c r="FW142" i="5" s="1"/>
  <c r="AM142" i="5"/>
  <c r="FV492" i="5"/>
  <c r="FW492" i="5" s="1"/>
  <c r="AM492" i="5"/>
  <c r="FV542" i="5"/>
  <c r="FW542" i="5" s="1"/>
  <c r="AM542" i="5"/>
  <c r="FV298" i="5"/>
  <c r="FW298" i="5" s="1"/>
  <c r="AM298" i="5"/>
  <c r="FV625" i="5"/>
  <c r="FW625" i="5" s="1"/>
  <c r="AM625" i="5"/>
  <c r="FV615" i="5"/>
  <c r="FW615" i="5" s="1"/>
  <c r="AM615" i="5"/>
  <c r="FV643" i="5"/>
  <c r="FW643" i="5" s="1"/>
  <c r="AM643" i="5"/>
  <c r="FV557" i="5"/>
  <c r="FW557" i="5" s="1"/>
  <c r="AM557" i="5"/>
  <c r="AM127" i="5"/>
  <c r="FV127" i="5"/>
  <c r="FW127" i="5" s="1"/>
  <c r="AM512" i="5"/>
  <c r="FV512" i="5"/>
  <c r="FW512" i="5" s="1"/>
  <c r="FV356" i="5"/>
  <c r="FW356" i="5" s="1"/>
  <c r="AM356" i="5"/>
  <c r="AM693" i="5"/>
  <c r="FV693" i="5"/>
  <c r="FW693" i="5" s="1"/>
  <c r="FV331" i="5"/>
  <c r="FW331" i="5" s="1"/>
  <c r="AM331" i="5"/>
  <c r="FV474" i="5"/>
  <c r="FW474" i="5" s="1"/>
  <c r="AM474" i="5"/>
  <c r="FV469" i="5"/>
  <c r="FW469" i="5" s="1"/>
  <c r="AM469" i="5"/>
  <c r="FV741" i="5"/>
  <c r="FW741" i="5" s="1"/>
  <c r="AM741" i="5"/>
  <c r="AM590" i="5"/>
  <c r="FV590" i="5"/>
  <c r="FW590" i="5" s="1"/>
  <c r="AM240" i="5"/>
  <c r="FV240" i="5"/>
  <c r="FW240" i="5" s="1"/>
  <c r="AM210" i="5"/>
  <c r="FV210" i="5"/>
  <c r="FW210" i="5" s="1"/>
  <c r="AM391" i="5"/>
  <c r="FV391" i="5"/>
  <c r="FW391" i="5" s="1"/>
  <c r="AM781" i="5"/>
  <c r="FV781" i="5"/>
  <c r="FW781" i="5" s="1"/>
  <c r="FV537" i="5"/>
  <c r="FW537" i="5" s="1"/>
  <c r="AM537" i="5"/>
  <c r="FV117" i="5"/>
  <c r="FW117" i="5" s="1"/>
  <c r="AM117" i="5"/>
  <c r="FV449" i="5"/>
  <c r="FW449" i="5" s="1"/>
  <c r="AM449" i="5"/>
  <c r="FV552" i="5"/>
  <c r="FW552" i="5" s="1"/>
  <c r="AM552" i="5"/>
  <c r="FV419" i="5"/>
  <c r="FW419" i="5" s="1"/>
  <c r="AM419" i="5"/>
  <c r="FV152" i="5"/>
  <c r="FW152" i="5" s="1"/>
  <c r="AM152" i="5"/>
  <c r="AM444" i="5"/>
  <c r="FV444" i="5"/>
  <c r="FW444" i="5" s="1"/>
  <c r="AM721" i="5"/>
  <c r="FV721" i="5"/>
  <c r="FW721" i="5" s="1"/>
  <c r="FV386" i="5"/>
  <c r="FW386" i="5" s="1"/>
  <c r="AM386" i="5"/>
  <c r="FV263" i="5"/>
  <c r="FW263" i="5" s="1"/>
  <c r="AM263" i="5"/>
  <c r="AM424" i="5"/>
  <c r="FV424" i="5"/>
  <c r="FW424" i="5" s="1"/>
  <c r="AM381" i="5"/>
  <c r="FV381" i="5"/>
  <c r="FW381" i="5" s="1"/>
  <c r="FV235" i="5"/>
  <c r="FW235" i="5" s="1"/>
  <c r="AM235" i="5"/>
  <c r="FV205" i="5"/>
  <c r="FW205" i="5" s="1"/>
  <c r="AM205" i="5"/>
  <c r="FV648" i="5"/>
  <c r="FW648" i="5" s="1"/>
  <c r="AM648" i="5"/>
  <c r="FV771" i="5"/>
  <c r="FW771" i="5" s="1"/>
  <c r="AM771" i="5"/>
  <c r="FV653" i="5"/>
  <c r="FW653" i="5" s="1"/>
  <c r="AM653" i="5"/>
  <c r="FV175" i="5"/>
  <c r="FW175" i="5" s="1"/>
  <c r="AM175" i="5"/>
  <c r="FV225" i="5"/>
  <c r="FW225" i="5" s="1"/>
  <c r="AM225" i="5"/>
  <c r="FV766" i="5"/>
  <c r="FW766" i="5" s="1"/>
  <c r="AM766" i="5"/>
  <c r="AM258" i="5"/>
  <c r="FV258" i="5"/>
  <c r="FW258" i="5" s="1"/>
  <c r="AM288" i="5"/>
  <c r="FV288" i="5"/>
  <c r="FW288" i="5" s="1"/>
  <c r="FV585" i="5"/>
  <c r="FW585" i="5" s="1"/>
  <c r="AM585" i="5"/>
  <c r="FV132" i="5"/>
  <c r="FW132" i="5" s="1"/>
  <c r="AM132" i="5"/>
  <c r="AM336" i="5"/>
  <c r="FV336" i="5"/>
  <c r="FW336" i="5" s="1"/>
  <c r="AM464" i="5"/>
  <c r="FV464" i="5"/>
  <c r="FW464" i="5" s="1"/>
  <c r="AM371" i="5"/>
  <c r="FV371" i="5"/>
  <c r="FW371" i="5" s="1"/>
  <c r="FV761" i="5"/>
  <c r="FW761" i="5" s="1"/>
  <c r="AM761" i="5"/>
  <c r="AM517" i="5"/>
  <c r="FV517" i="5"/>
  <c r="FW517" i="5" s="1"/>
  <c r="FV220" i="5"/>
  <c r="FW220" i="5" s="1"/>
  <c r="AM220" i="5"/>
  <c r="AM776" i="5"/>
  <c r="FV776" i="5"/>
  <c r="FW776" i="5" s="1"/>
  <c r="AM79" i="5"/>
  <c r="FV79" i="5"/>
  <c r="FW79" i="5" s="1"/>
  <c r="FV376" i="5"/>
  <c r="FW376" i="5" s="1"/>
  <c r="AM376" i="5"/>
  <c r="FV610" i="5"/>
  <c r="FW610" i="5" s="1"/>
  <c r="AM610" i="5"/>
  <c r="FV414" i="5"/>
  <c r="FW414" i="5" s="1"/>
  <c r="AM414" i="5"/>
  <c r="AM713" i="5"/>
  <c r="FV713" i="5"/>
  <c r="FW713" i="5" s="1"/>
  <c r="FV532" i="5"/>
  <c r="FW532" i="5" s="1"/>
  <c r="AM532" i="5"/>
  <c r="AM273" i="5"/>
  <c r="FV273" i="5"/>
  <c r="FW273" i="5" s="1"/>
  <c r="AM708" i="5"/>
  <c r="FV708" i="5"/>
  <c r="FW708" i="5" s="1"/>
  <c r="FV215" i="5"/>
  <c r="FW215" i="5" s="1"/>
  <c r="AM215" i="5"/>
  <c r="AM278" i="5"/>
  <c r="FV278" i="5"/>
  <c r="FW278" i="5" s="1"/>
  <c r="AM678" i="5"/>
  <c r="FV678" i="5"/>
  <c r="FW678" i="5" s="1"/>
  <c r="FV283" i="5"/>
  <c r="FW283" i="5" s="1"/>
  <c r="AM283" i="5"/>
  <c r="AM303" i="5"/>
  <c r="FV303" i="5"/>
  <c r="FW303" i="5" s="1"/>
  <c r="AM162" i="5"/>
  <c r="FV162" i="5"/>
  <c r="FW162" i="5" s="1"/>
  <c r="FV683" i="5"/>
  <c r="FW683" i="5" s="1"/>
  <c r="AM683" i="5"/>
  <c r="FV487" i="5"/>
  <c r="FW487" i="5" s="1"/>
  <c r="AM487" i="5"/>
  <c r="AM409" i="5"/>
  <c r="FV409" i="5"/>
  <c r="FW409" i="5" s="1"/>
  <c r="AM190" i="5"/>
  <c r="FV190" i="5"/>
  <c r="FW190" i="5" s="1"/>
  <c r="FV673" i="5"/>
  <c r="FW673" i="5" s="1"/>
  <c r="AM673" i="5"/>
  <c r="AM605" i="5"/>
  <c r="FV605" i="5"/>
  <c r="FW605" i="5" s="1"/>
  <c r="AM157" i="5"/>
  <c r="FV157" i="5"/>
  <c r="FW157" i="5" s="1"/>
  <c r="FV429" i="5"/>
  <c r="FW429" i="5" s="1"/>
  <c r="AM429" i="5"/>
  <c r="AM185" i="5"/>
  <c r="FV185" i="5"/>
  <c r="FW185" i="5" s="1"/>
  <c r="AM64" i="5"/>
  <c r="FV64" i="5"/>
  <c r="FW64" i="5" s="1"/>
  <c r="FV658" i="5"/>
  <c r="FW658" i="5" s="1"/>
  <c r="AM658" i="5"/>
  <c r="AM313" i="5"/>
  <c r="FV313" i="5"/>
  <c r="FW313" i="5" s="1"/>
  <c r="AM663" i="5"/>
  <c r="FV663" i="5"/>
  <c r="FW663" i="5" s="1"/>
  <c r="AM454" i="5"/>
  <c r="FV454" i="5"/>
  <c r="FW454" i="5" s="1"/>
  <c r="AM74" i="5"/>
  <c r="FV74" i="5"/>
  <c r="FW74" i="5" s="1"/>
  <c r="FV668" i="5"/>
  <c r="FW668" i="5" s="1"/>
  <c r="AM668" i="5"/>
  <c r="AM497" i="5"/>
  <c r="FV497" i="5"/>
  <c r="FW497" i="5" s="1"/>
  <c r="AM688" i="5"/>
  <c r="FV688" i="5"/>
  <c r="FW688" i="5" s="1"/>
  <c r="FV756" i="5"/>
  <c r="FW756" i="5" s="1"/>
  <c r="AM756" i="5"/>
  <c r="FV84" i="5"/>
  <c r="FW84" i="5" s="1"/>
  <c r="AM84" i="5"/>
  <c r="FV401" i="5"/>
  <c r="FW401" i="5" s="1"/>
  <c r="AM401" i="5"/>
  <c r="AM318" i="5"/>
  <c r="FV318" i="5"/>
  <c r="FW318" i="5" s="1"/>
  <c r="AM253" i="5"/>
  <c r="FV253" i="5"/>
  <c r="FW253" i="5" s="1"/>
  <c r="FV580" i="5"/>
  <c r="FW580" i="5" s="1"/>
  <c r="AM580" i="5"/>
  <c r="FV293" i="5"/>
  <c r="FW293" i="5" s="1"/>
  <c r="AM293" i="5"/>
  <c r="FV167" i="5"/>
  <c r="FW167" i="5" s="1"/>
  <c r="AM167" i="5"/>
  <c r="FV69" i="5"/>
  <c r="FW69" i="5" s="1"/>
  <c r="AM69" i="5"/>
  <c r="FV547" i="5"/>
  <c r="FW547" i="5" s="1"/>
  <c r="AM547" i="5"/>
  <c r="FV112" i="5"/>
  <c r="FW112" i="5" s="1"/>
  <c r="AM112" i="5"/>
  <c r="AM459" i="5"/>
  <c r="FV459" i="5"/>
  <c r="FW459" i="5" s="1"/>
  <c r="FV230" i="5"/>
  <c r="FW230" i="5" s="1"/>
  <c r="AM230" i="5"/>
  <c r="AM751" i="5"/>
  <c r="FV751" i="5"/>
  <c r="FW751" i="5" s="1"/>
  <c r="FV570" i="5"/>
  <c r="FW570" i="5" s="1"/>
  <c r="AM570" i="5"/>
  <c r="FV396" i="5"/>
  <c r="FW396" i="5" s="1"/>
  <c r="AM396" i="5"/>
  <c r="AM786" i="5"/>
  <c r="FV786" i="5"/>
  <c r="FW786" i="5" s="1"/>
  <c r="FV137" i="5"/>
  <c r="FW137" i="5" s="1"/>
  <c r="AM137" i="5"/>
  <c r="AM308" i="5"/>
  <c r="FV308" i="5"/>
  <c r="FW308" i="5" s="1"/>
  <c r="AM565" i="5"/>
  <c r="FV565" i="5"/>
  <c r="FW565" i="5" s="1"/>
  <c r="FV97" i="5"/>
  <c r="FW97" i="5" s="1"/>
  <c r="AM97" i="5"/>
  <c r="AM268" i="5"/>
  <c r="FV268" i="5"/>
  <c r="FW268" i="5" s="1"/>
  <c r="FV323" i="5"/>
  <c r="FW323" i="5" s="1"/>
  <c r="AM323" i="5"/>
  <c r="FV107" i="5"/>
  <c r="FW107" i="5" s="1"/>
  <c r="AM107" i="5"/>
  <c r="AM736" i="5"/>
  <c r="FV736" i="5"/>
  <c r="FW736" i="5" s="1"/>
  <c r="FV507" i="5"/>
  <c r="FW507" i="5" s="1"/>
  <c r="AM507" i="5"/>
  <c r="AM630" i="5"/>
  <c r="FV630" i="5"/>
  <c r="FW630" i="5" s="1"/>
  <c r="AM366" i="5"/>
  <c r="FV366" i="5"/>
  <c r="FW366" i="5" s="1"/>
  <c r="FV522" i="5"/>
  <c r="FW522" i="5" s="1"/>
  <c r="AM522" i="5"/>
  <c r="AM434" i="5"/>
  <c r="FV434" i="5"/>
  <c r="FW434" i="5" s="1"/>
  <c r="FV439" i="5"/>
  <c r="FW439" i="5" s="1"/>
  <c r="AM439" i="5"/>
  <c r="FV635" i="5"/>
  <c r="FW635" i="5" s="1"/>
  <c r="AM635" i="5"/>
  <c r="FV351" i="5"/>
  <c r="FW351" i="5" s="1"/>
  <c r="AM351" i="5"/>
  <c r="FV575" i="5"/>
  <c r="FW575" i="5" s="1"/>
  <c r="AM575" i="5"/>
  <c r="AM245" i="5"/>
  <c r="FV245" i="5"/>
  <c r="FW245" i="5" s="1"/>
  <c r="FV180" i="5"/>
  <c r="FW180" i="5" s="1"/>
  <c r="AM180" i="5"/>
  <c r="FV89" i="5"/>
  <c r="FW89" i="5" s="1"/>
  <c r="AM89" i="5"/>
  <c r="AM703" i="5"/>
  <c r="FV703" i="5"/>
  <c r="FW703" i="5" s="1"/>
  <c r="AM600" i="5"/>
  <c r="FV600" i="5"/>
  <c r="FW600" i="5" s="1"/>
  <c r="FV726" i="5"/>
  <c r="FW726" i="5" s="1"/>
  <c r="AM726" i="5"/>
  <c r="FV746" i="5"/>
  <c r="FW746" i="5" s="1"/>
  <c r="AM746" i="5"/>
  <c r="FV102" i="5"/>
  <c r="FW102" i="5" s="1"/>
  <c r="AM102" i="5"/>
  <c r="AM346" i="5"/>
  <c r="FV346" i="5"/>
  <c r="FW346" i="5" s="1"/>
  <c r="FV620" i="5"/>
  <c r="FW620" i="5" s="1"/>
  <c r="AM620" i="5"/>
  <c r="AM341" i="5"/>
  <c r="FV341" i="5"/>
  <c r="FW341" i="5" s="1"/>
  <c r="FV698" i="5"/>
  <c r="FW698" i="5" s="1"/>
  <c r="AM698" i="5"/>
  <c r="AP28" i="9"/>
  <c r="AR28" i="9" s="1"/>
  <c r="AT31" i="9"/>
  <c r="AU31" i="9" s="1"/>
  <c r="AP20" i="9"/>
  <c r="AR20" i="9" s="1"/>
  <c r="Y11" i="9"/>
  <c r="AT12" i="9"/>
  <c r="AU12" i="9" s="1"/>
  <c r="AA27" i="9"/>
  <c r="AB27" i="9" s="1"/>
  <c r="Y12" i="9"/>
  <c r="AA12" i="9"/>
  <c r="AB12" i="9" s="1"/>
  <c r="AA20" i="9"/>
  <c r="AB20" i="9" s="1"/>
  <c r="AT28" i="9"/>
  <c r="AU28" i="9" s="1"/>
  <c r="Y24" i="9"/>
  <c r="AT19" i="9"/>
  <c r="AU19" i="9" s="1"/>
  <c r="Y5" i="9"/>
  <c r="AT21" i="9"/>
  <c r="AU21" i="9" s="1"/>
  <c r="Z13" i="9"/>
  <c r="Z29" i="9"/>
  <c r="AT5" i="9"/>
  <c r="AU5" i="9" s="1"/>
  <c r="AT22" i="9"/>
  <c r="AU22" i="9" s="1"/>
  <c r="Y17" i="9"/>
  <c r="Y29" i="9"/>
  <c r="AP29" i="9"/>
  <c r="AQ29" i="9" s="1"/>
  <c r="AP6" i="9"/>
  <c r="AQ6" i="9" s="1"/>
  <c r="Z5" i="9"/>
  <c r="Z21" i="9"/>
  <c r="AP13" i="9"/>
  <c r="AQ13" i="9" s="1"/>
  <c r="AT6" i="9"/>
  <c r="AU6" i="9" s="1"/>
  <c r="Y20" i="9"/>
  <c r="AP21" i="9"/>
  <c r="AQ21" i="9" s="1"/>
  <c r="AT29" i="9"/>
  <c r="AU29" i="9" s="1"/>
  <c r="Y25" i="9"/>
  <c r="Z9" i="9"/>
  <c r="Z17" i="9"/>
  <c r="Z25" i="9"/>
  <c r="AP22" i="9"/>
  <c r="AQ22" i="9" s="1"/>
  <c r="AT13" i="9"/>
  <c r="AU13" i="9" s="1"/>
  <c r="AA30" i="9"/>
  <c r="AB30" i="9" s="1"/>
  <c r="Y28" i="9"/>
  <c r="AR12" i="9"/>
  <c r="AC19" i="9"/>
  <c r="AV20" i="9"/>
  <c r="AC16" i="9"/>
  <c r="AC24" i="9"/>
  <c r="AV31" i="9"/>
  <c r="AR31" i="9"/>
  <c r="AC28" i="9"/>
  <c r="AV9" i="9"/>
  <c r="AV17" i="9"/>
  <c r="AV25" i="9"/>
  <c r="AC13" i="9"/>
  <c r="AC21" i="9"/>
  <c r="AC29" i="9"/>
  <c r="AV10" i="9"/>
  <c r="AV18" i="9"/>
  <c r="AV26" i="9"/>
  <c r="AV11" i="9"/>
  <c r="AV27" i="9"/>
  <c r="AC5" i="9"/>
  <c r="AP30" i="9"/>
  <c r="AR30" i="9" s="1"/>
  <c r="AA14" i="9"/>
  <c r="Y13" i="9"/>
  <c r="Y27" i="9"/>
  <c r="Z11" i="9"/>
  <c r="Z19" i="9"/>
  <c r="Z27" i="9"/>
  <c r="AP14" i="9"/>
  <c r="AR14" i="9" s="1"/>
  <c r="AT14" i="9"/>
  <c r="Y16" i="9"/>
  <c r="Z12" i="9"/>
  <c r="Z20" i="9"/>
  <c r="Z28" i="9"/>
  <c r="AA6" i="9"/>
  <c r="AT30" i="9"/>
  <c r="Y19" i="9"/>
  <c r="Z6" i="9"/>
  <c r="Z14" i="9"/>
  <c r="Z22" i="9"/>
  <c r="Z30" i="9"/>
  <c r="AP27" i="9"/>
  <c r="AR27" i="9" s="1"/>
  <c r="AA22" i="9"/>
  <c r="Y9" i="9"/>
  <c r="Y21" i="9"/>
  <c r="Z8" i="9"/>
  <c r="Z16" i="9"/>
  <c r="Z24" i="9"/>
  <c r="Z32" i="9"/>
  <c r="Z7" i="9"/>
  <c r="Z15" i="9"/>
  <c r="Z23" i="9"/>
  <c r="Z31" i="9"/>
  <c r="AP7" i="9"/>
  <c r="AR7" i="9" s="1"/>
  <c r="AQ12" i="9"/>
  <c r="AQ20" i="9"/>
  <c r="AQ28" i="9"/>
  <c r="AP11" i="9"/>
  <c r="AR11" i="9" s="1"/>
  <c r="Y10" i="9"/>
  <c r="Y18" i="9"/>
  <c r="Y26" i="9"/>
  <c r="AP23" i="9"/>
  <c r="AR23" i="9" s="1"/>
  <c r="Z10" i="9"/>
  <c r="Z26" i="9"/>
  <c r="AT7" i="9"/>
  <c r="AU7" i="9" s="1"/>
  <c r="AA11" i="9"/>
  <c r="AB11" i="9" s="1"/>
  <c r="AT15" i="9"/>
  <c r="AU15" i="9" s="1"/>
  <c r="AA23" i="9"/>
  <c r="AB23" i="9" s="1"/>
  <c r="Z18" i="9"/>
  <c r="AA7" i="9"/>
  <c r="AB7" i="9" s="1"/>
  <c r="AQ31" i="9"/>
  <c r="AA15" i="9"/>
  <c r="AB15" i="9" s="1"/>
  <c r="AP15" i="9"/>
  <c r="AR15" i="9" s="1"/>
  <c r="AP19" i="9"/>
  <c r="AR19" i="9" s="1"/>
  <c r="AT23" i="9"/>
  <c r="AU23" i="9" s="1"/>
  <c r="AA31" i="9"/>
  <c r="AB31" i="9" s="1"/>
  <c r="AA32" i="9"/>
  <c r="AB32" i="9" s="1"/>
  <c r="AT8" i="9"/>
  <c r="AU8" i="9" s="1"/>
  <c r="AT16" i="9"/>
  <c r="AU16" i="9" s="1"/>
  <c r="AT24" i="9"/>
  <c r="AU24" i="9" s="1"/>
  <c r="AT32" i="9"/>
  <c r="AU32" i="9" s="1"/>
  <c r="AP8" i="9"/>
  <c r="AR8" i="9" s="1"/>
  <c r="AP16" i="9"/>
  <c r="AR16" i="9" s="1"/>
  <c r="AP24" i="9"/>
  <c r="AR24" i="9" s="1"/>
  <c r="AP32" i="9"/>
  <c r="AR32" i="9" s="1"/>
  <c r="AA9" i="9"/>
  <c r="AA17" i="9"/>
  <c r="AA25" i="9"/>
  <c r="AA8" i="9"/>
  <c r="AB8" i="9" s="1"/>
  <c r="AP9" i="9"/>
  <c r="AR9" i="9" s="1"/>
  <c r="AP17" i="9"/>
  <c r="AR17" i="9" s="1"/>
  <c r="AP25" i="9"/>
  <c r="AR25" i="9" s="1"/>
  <c r="AP10" i="9"/>
  <c r="AR10" i="9" s="1"/>
  <c r="AP18" i="9"/>
  <c r="AR18" i="9" s="1"/>
  <c r="AP26" i="9"/>
  <c r="AR26" i="9" s="1"/>
  <c r="AA10" i="9"/>
  <c r="AB10" i="9" s="1"/>
  <c r="AA18" i="9"/>
  <c r="AB18" i="9" s="1"/>
  <c r="AA26" i="9"/>
  <c r="AB26" i="9" s="1"/>
  <c r="AP5" i="9"/>
  <c r="AR5" i="9" s="1"/>
  <c r="JA57" i="5" l="1"/>
  <c r="IX57" i="5"/>
  <c r="IX59" i="5"/>
  <c r="JA59" i="5"/>
  <c r="IU59" i="5"/>
  <c r="IU57" i="5"/>
  <c r="AC20" i="9"/>
  <c r="AC27" i="9"/>
  <c r="AV12" i="9"/>
  <c r="AC12" i="9"/>
  <c r="AV28" i="9"/>
  <c r="AV19" i="9"/>
  <c r="AV29" i="9"/>
  <c r="AV22" i="9"/>
  <c r="AR22" i="9"/>
  <c r="AV5" i="9"/>
  <c r="AV21" i="9"/>
  <c r="AV13" i="9"/>
  <c r="AV6" i="9"/>
  <c r="AR29" i="9"/>
  <c r="AR6" i="9"/>
  <c r="AC30" i="9"/>
  <c r="AR21" i="9"/>
  <c r="AR13" i="9"/>
  <c r="AV7" i="9"/>
  <c r="AC26" i="9"/>
  <c r="AC18" i="9"/>
  <c r="AC31" i="9"/>
  <c r="AC10" i="9"/>
  <c r="AV32" i="9"/>
  <c r="AV24" i="9"/>
  <c r="AC11" i="9"/>
  <c r="AB9" i="9"/>
  <c r="AC9" i="9"/>
  <c r="AU14" i="9"/>
  <c r="AV14" i="9"/>
  <c r="AC32" i="9"/>
  <c r="AV16" i="9"/>
  <c r="AB22" i="9"/>
  <c r="AC22" i="9"/>
  <c r="AB6" i="9"/>
  <c r="AC6" i="9"/>
  <c r="AV8" i="9"/>
  <c r="AC15" i="9"/>
  <c r="AB14" i="9"/>
  <c r="AC14" i="9"/>
  <c r="AC8" i="9"/>
  <c r="AV23" i="9"/>
  <c r="AC7" i="9"/>
  <c r="AB17" i="9"/>
  <c r="AC17" i="9"/>
  <c r="AU30" i="9"/>
  <c r="AV30" i="9"/>
  <c r="AC23" i="9"/>
  <c r="AB25" i="9"/>
  <c r="AC25" i="9"/>
  <c r="AV15" i="9"/>
  <c r="AQ27" i="9"/>
  <c r="AQ14" i="9"/>
  <c r="AQ30" i="9"/>
  <c r="AQ9" i="9"/>
  <c r="AQ19" i="9"/>
  <c r="AQ15" i="9"/>
  <c r="AQ11" i="9"/>
  <c r="AQ8" i="9"/>
  <c r="AQ26" i="9"/>
  <c r="AQ18" i="9"/>
  <c r="AQ10" i="9"/>
  <c r="AQ32" i="9"/>
  <c r="AQ23" i="9"/>
  <c r="AQ7" i="9"/>
  <c r="AQ25" i="9"/>
  <c r="AQ24" i="9"/>
  <c r="AQ5" i="9"/>
  <c r="AQ17" i="9"/>
  <c r="AQ16" i="9"/>
  <c r="K37" i="10" l="1"/>
  <c r="ET73" i="8" l="1"/>
  <c r="ET74" i="8"/>
  <c r="ET75" i="8"/>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7" i="8"/>
  <c r="LD31" i="8" l="1"/>
  <c r="FB31" i="8" s="1"/>
  <c r="LD32" i="8"/>
  <c r="FB32" i="8" s="1"/>
  <c r="LD33" i="8"/>
  <c r="FB33" i="8" s="1"/>
  <c r="LD34" i="8"/>
  <c r="FB34" i="8" s="1"/>
  <c r="LD35" i="8"/>
  <c r="FB35" i="8" s="1"/>
  <c r="LD36" i="8"/>
  <c r="LD37" i="8"/>
  <c r="FB37" i="8" s="1"/>
  <c r="LD38" i="8"/>
  <c r="FB38" i="8" s="1"/>
  <c r="LD39" i="8"/>
  <c r="FB39" i="8" s="1"/>
  <c r="LD40" i="8"/>
  <c r="FB40" i="8" s="1"/>
  <c r="LD41" i="8"/>
  <c r="FB41" i="8" s="1"/>
  <c r="LD42" i="8"/>
  <c r="FB42" i="8" s="1"/>
  <c r="LD43" i="8"/>
  <c r="FB43" i="8" s="1"/>
  <c r="LD44" i="8"/>
  <c r="FB44" i="8" s="1"/>
  <c r="LD45" i="8"/>
  <c r="FB45" i="8" s="1"/>
  <c r="LD46" i="8"/>
  <c r="FB46" i="8" s="1"/>
  <c r="LD47" i="8"/>
  <c r="FB47" i="8" s="1"/>
  <c r="LD48" i="8"/>
  <c r="FB48" i="8" s="1"/>
  <c r="LD49" i="8"/>
  <c r="FB49" i="8" s="1"/>
  <c r="LD50" i="8"/>
  <c r="FB50" i="8" s="1"/>
  <c r="LD51" i="8"/>
  <c r="FB51" i="8" s="1"/>
  <c r="LD52" i="8"/>
  <c r="FB52" i="8" s="1"/>
  <c r="LD53" i="8"/>
  <c r="FB53" i="8" s="1"/>
  <c r="LD54" i="8"/>
  <c r="FB54" i="8" s="1"/>
  <c r="LD55" i="8"/>
  <c r="FB55" i="8" s="1"/>
  <c r="LD56" i="8"/>
  <c r="FB56" i="8" s="1"/>
  <c r="LD57" i="8"/>
  <c r="FB57" i="8" s="1"/>
  <c r="LD58" i="8"/>
  <c r="FB58" i="8" s="1"/>
  <c r="LD59" i="8"/>
  <c r="FB59" i="8" s="1"/>
  <c r="LD60" i="8"/>
  <c r="FB60" i="8" s="1"/>
  <c r="LD61" i="8"/>
  <c r="FB61" i="8" s="1"/>
  <c r="LD62" i="8"/>
  <c r="FB62" i="8" s="1"/>
  <c r="LD63" i="8"/>
  <c r="FB63" i="8" s="1"/>
  <c r="LD64" i="8"/>
  <c r="FB64" i="8" s="1"/>
  <c r="LD65" i="8"/>
  <c r="FB65" i="8" s="1"/>
  <c r="LD66" i="8"/>
  <c r="FB66" i="8" s="1"/>
  <c r="LD67" i="8"/>
  <c r="FB67" i="8" s="1"/>
  <c r="LD68" i="8"/>
  <c r="FB68" i="8" s="1"/>
  <c r="LD69" i="8"/>
  <c r="FB69" i="8" s="1"/>
  <c r="LD70" i="8"/>
  <c r="FB70" i="8" s="1"/>
  <c r="LD71" i="8"/>
  <c r="FB71" i="8" s="1"/>
  <c r="LD72" i="8"/>
  <c r="FB72" i="8" s="1"/>
  <c r="LD73" i="8"/>
  <c r="FB73" i="8" s="1"/>
  <c r="LD74" i="8"/>
  <c r="FB74" i="8" s="1"/>
  <c r="LD75" i="8"/>
  <c r="FB75" i="8" s="1"/>
  <c r="LD28" i="8"/>
  <c r="LD29" i="8"/>
  <c r="LD30" i="8"/>
  <c r="LD27" i="8"/>
  <c r="FB27" i="8" s="1"/>
  <c r="BD59" i="11" l="1"/>
  <c r="BF93" i="11" l="1"/>
  <c r="BF91" i="11"/>
  <c r="BF89" i="11"/>
  <c r="BF87" i="11"/>
  <c r="BF85" i="11"/>
  <c r="BF83" i="11"/>
  <c r="BF81" i="11"/>
  <c r="AM21" i="19"/>
  <c r="AC22" i="19"/>
  <c r="AF21" i="19"/>
  <c r="AI21" i="19"/>
  <c r="AE21" i="19"/>
  <c r="AK21" i="19"/>
  <c r="AL21" i="19"/>
  <c r="AM26" i="5" l="1"/>
  <c r="BY4" i="4" l="1"/>
  <c r="BY5" i="4"/>
  <c r="BY6" i="4"/>
  <c r="BY7" i="4"/>
  <c r="BY8" i="4"/>
  <c r="BY9" i="4"/>
  <c r="BY10"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 i="4"/>
  <c r="BY2" i="4" s="1"/>
  <c r="BJ53" i="14" l="1"/>
  <c r="BI81" i="11"/>
  <c r="I1" i="10" l="1"/>
  <c r="M104" i="10" l="1"/>
  <c r="BI95" i="11" l="1"/>
  <c r="BI93" i="11"/>
  <c r="BI91" i="11"/>
  <c r="BI89" i="11"/>
  <c r="BI87" i="11"/>
  <c r="BI85" i="11"/>
  <c r="BI83" i="11"/>
  <c r="AM83" i="8" l="1"/>
  <c r="AL83" i="8"/>
  <c r="J152" i="21"/>
  <c r="U310" i="21"/>
  <c r="J435" i="21"/>
  <c r="J172" i="21" s="1"/>
  <c r="J447" i="21"/>
  <c r="J445" i="21"/>
  <c r="J507" i="21"/>
  <c r="J517" i="21"/>
  <c r="J431" i="21" s="1"/>
  <c r="J168" i="21" s="1"/>
  <c r="U581" i="21"/>
  <c r="U308" i="21" s="1"/>
  <c r="J226" i="21" s="1"/>
  <c r="U587" i="21"/>
  <c r="J318" i="21" s="1"/>
  <c r="J577" i="21"/>
  <c r="J302" i="21" s="1"/>
  <c r="J222" i="21" s="1"/>
  <c r="J585" i="21"/>
  <c r="J312" i="21" s="1"/>
  <c r="J230" i="21" s="1"/>
  <c r="O90" i="21"/>
  <c r="I463" i="21" s="1"/>
  <c r="M22" i="21"/>
  <c r="S85" i="21"/>
  <c r="S67" i="21"/>
  <c r="S46" i="21"/>
  <c r="S44" i="21"/>
  <c r="S34" i="21"/>
  <c r="S32" i="21"/>
  <c r="S30" i="21"/>
  <c r="S28" i="21"/>
  <c r="S24" i="21"/>
  <c r="S22" i="21"/>
  <c r="M32" i="21"/>
  <c r="M26" i="21"/>
  <c r="M24" i="21"/>
  <c r="AP5" i="19"/>
  <c r="J48" i="20"/>
  <c r="J48" i="21" s="1"/>
  <c r="J46" i="20"/>
  <c r="J46" i="21" s="1"/>
  <c r="J44" i="20"/>
  <c r="J44" i="21" s="1"/>
  <c r="J42" i="20"/>
  <c r="J42" i="21" s="1"/>
  <c r="J36" i="20"/>
  <c r="J36" i="21" s="1"/>
  <c r="J34" i="20"/>
  <c r="J34" i="21" s="1"/>
  <c r="J30" i="20"/>
  <c r="J30" i="21" s="1"/>
  <c r="J28" i="20"/>
  <c r="J28" i="21" s="1"/>
  <c r="J26" i="20"/>
  <c r="J26" i="21" s="1"/>
  <c r="J22" i="20"/>
  <c r="J22" i="21" s="1"/>
  <c r="J524" i="20"/>
  <c r="J522" i="20"/>
  <c r="J512" i="20"/>
  <c r="J172" i="20"/>
  <c r="AP4" i="19"/>
  <c r="U345" i="20"/>
  <c r="U439" i="20"/>
  <c r="J472" i="20"/>
  <c r="J152" i="20" s="1"/>
  <c r="BW5" i="19"/>
  <c r="BW4" i="19"/>
  <c r="J583" i="20"/>
  <c r="J593" i="20"/>
  <c r="J508" i="20" s="1"/>
  <c r="J168" i="20" s="1"/>
  <c r="J415" i="20"/>
  <c r="J351" i="21" s="1"/>
  <c r="J204" i="21" s="1"/>
  <c r="J529" i="21" l="1"/>
  <c r="J349" i="21" s="1"/>
  <c r="J180" i="21" s="1"/>
  <c r="AP348" i="19"/>
  <c r="AP366" i="19" s="1"/>
  <c r="J528" i="20"/>
  <c r="BV347" i="19"/>
  <c r="J451" i="21"/>
  <c r="BV348" i="19"/>
  <c r="J610" i="20"/>
  <c r="J413" i="20" s="1"/>
  <c r="J180" i="20" s="1"/>
  <c r="AP347" i="19"/>
  <c r="AP365" i="19" s="1"/>
  <c r="J204" i="20"/>
  <c r="U663" i="20"/>
  <c r="U343" i="20" s="1"/>
  <c r="J227" i="20" s="1"/>
  <c r="AB20" i="19"/>
  <c r="AB19" i="19"/>
  <c r="AN103" i="14" l="1"/>
  <c r="I540" i="20"/>
  <c r="BA10" i="19"/>
  <c r="AY10" i="19"/>
  <c r="BC10" i="19"/>
  <c r="U10" i="19"/>
  <c r="BB10" i="19"/>
  <c r="AZ10" i="19"/>
  <c r="AZ353" i="19" l="1"/>
  <c r="BC353" i="19"/>
  <c r="BA353" i="19"/>
  <c r="AY353" i="19"/>
  <c r="BB353" i="19"/>
  <c r="U353" i="19"/>
  <c r="CB4" i="19"/>
  <c r="CA347" i="19" s="1"/>
  <c r="CA365" i="19" s="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V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V484" i="5"/>
  <c r="A479" i="5"/>
  <c r="A474" i="5"/>
  <c r="A469" i="5"/>
  <c r="A464" i="5"/>
  <c r="A459" i="5"/>
  <c r="A454" i="5"/>
  <c r="A449" i="5"/>
  <c r="A444" i="5"/>
  <c r="A439" i="5"/>
  <c r="A434" i="5"/>
  <c r="A429" i="5"/>
  <c r="A424" i="5"/>
  <c r="A419" i="5"/>
  <c r="A414" i="5"/>
  <c r="A409" i="5"/>
  <c r="EV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V326" i="5"/>
  <c r="A331" i="5"/>
  <c r="EV328" i="5"/>
  <c r="A323" i="5"/>
  <c r="A318" i="5"/>
  <c r="A313" i="5"/>
  <c r="A308" i="5"/>
  <c r="A303" i="5"/>
  <c r="A298" i="5"/>
  <c r="A293" i="5"/>
  <c r="A288" i="5"/>
  <c r="A283" i="5"/>
  <c r="A278" i="5"/>
  <c r="A273" i="5"/>
  <c r="A268" i="5"/>
  <c r="A263" i="5"/>
  <c r="A258" i="5"/>
  <c r="A175" i="5"/>
  <c r="EV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V94" i="5"/>
  <c r="U36" i="21"/>
  <c r="E26" i="19"/>
  <c r="E24" i="19"/>
  <c r="E33" i="19"/>
  <c r="E29" i="19"/>
  <c r="E20" i="19"/>
  <c r="G29" i="19"/>
  <c r="G27" i="19"/>
  <c r="H66" i="21"/>
  <c r="E19" i="19"/>
  <c r="G28" i="19"/>
  <c r="E30" i="19"/>
  <c r="E25" i="19"/>
  <c r="E21" i="19"/>
  <c r="E28" i="19"/>
  <c r="E27" i="19"/>
  <c r="D66" i="21"/>
  <c r="EV718" i="5" l="1"/>
  <c r="EV562" i="5"/>
  <c r="EV250" i="5"/>
  <c r="CB5" i="19"/>
  <c r="J370" i="20" s="1"/>
  <c r="J267" i="20" s="1"/>
  <c r="J38" i="20"/>
  <c r="J38" i="21" s="1"/>
  <c r="U579" i="21" l="1"/>
  <c r="J306" i="21" s="1"/>
  <c r="J240" i="21" s="1"/>
  <c r="CA348" i="19"/>
  <c r="CA366" i="19" s="1"/>
  <c r="E23" i="19"/>
  <c r="M30" i="21" l="1"/>
  <c r="BL25" i="22" l="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Z5" i="19"/>
  <c r="U679" i="20" s="1"/>
  <c r="U366" i="20" s="1"/>
  <c r="U247" i="20" s="1"/>
  <c r="K53" i="19"/>
  <c r="I41" i="19"/>
  <c r="K54" i="19"/>
  <c r="F39" i="19"/>
  <c r="G41" i="19"/>
  <c r="E39" i="19"/>
  <c r="K52" i="19"/>
  <c r="H39" i="19"/>
  <c r="H41" i="19"/>
  <c r="I39" i="19"/>
  <c r="E41" i="19"/>
  <c r="G39" i="19"/>
  <c r="F41" i="19"/>
  <c r="C41" i="19"/>
  <c r="C39" i="19"/>
  <c r="D41" i="19"/>
  <c r="O52" i="19"/>
  <c r="A51" i="19"/>
  <c r="O53" i="19"/>
  <c r="O54" i="19"/>
  <c r="C43" i="19"/>
  <c r="D39" i="19"/>
  <c r="U577" i="21" l="1"/>
  <c r="U302" i="21" s="1"/>
  <c r="BY348" i="19"/>
  <c r="BY366" i="19" s="1"/>
  <c r="BP29" i="22"/>
  <c r="E15" i="19"/>
  <c r="C15" i="19"/>
  <c r="D15" i="19"/>
  <c r="C358" i="19" l="1"/>
  <c r="D358" i="19"/>
  <c r="E358" i="19"/>
  <c r="BP30" i="22"/>
  <c r="EV795" i="5"/>
  <c r="ET4" i="5" s="1"/>
  <c r="EV716" i="5"/>
  <c r="ES4" i="5" s="1"/>
  <c r="EV638" i="5"/>
  <c r="ER4" i="5" s="1"/>
  <c r="EV560" i="5"/>
  <c r="EQ4" i="5" s="1"/>
  <c r="EV482" i="5"/>
  <c r="EP4" i="5" s="1"/>
  <c r="EV404" i="5"/>
  <c r="EN4" i="5"/>
  <c r="EV248" i="5"/>
  <c r="EM4" i="5" s="1"/>
  <c r="EV170" i="5"/>
  <c r="EL4" i="5" s="1"/>
  <c r="EV92" i="5"/>
  <c r="EK4" i="5" s="1"/>
  <c r="EO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FS59" i="5" l="1"/>
  <c r="FU59" i="5" s="1"/>
  <c r="FS57" i="5"/>
  <c r="FU57" i="5" s="1"/>
  <c r="FS54" i="5"/>
  <c r="FU54" i="5" s="1"/>
  <c r="FS52" i="5"/>
  <c r="FU52" i="5" s="1"/>
  <c r="BP32" i="22"/>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B10" i="19"/>
  <c r="AK10" i="19"/>
  <c r="AJ10" i="19"/>
  <c r="O10" i="19"/>
  <c r="K10" i="19"/>
  <c r="A11" i="19"/>
  <c r="AH10" i="19"/>
  <c r="V10" i="19"/>
  <c r="P10" i="19"/>
  <c r="C10" i="19"/>
  <c r="E10" i="19"/>
  <c r="AE10" i="19"/>
  <c r="H10" i="19"/>
  <c r="N10" i="19"/>
  <c r="J10" i="19"/>
  <c r="M10" i="19"/>
  <c r="AL10" i="19"/>
  <c r="F10" i="19"/>
  <c r="AG10" i="19"/>
  <c r="G10" i="19"/>
  <c r="AF10" i="19"/>
  <c r="I10" i="19"/>
  <c r="AI10" i="19"/>
  <c r="L10" i="19"/>
  <c r="AN355" i="19" l="1"/>
  <c r="H353" i="19"/>
  <c r="AG353" i="19"/>
  <c r="B353" i="19"/>
  <c r="AH353" i="19"/>
  <c r="P353" i="19"/>
  <c r="AV353" i="19"/>
  <c r="M353" i="19"/>
  <c r="AI353" i="19"/>
  <c r="V353" i="19"/>
  <c r="F353" i="19"/>
  <c r="N353" i="19"/>
  <c r="E353" i="19"/>
  <c r="AL353" i="19"/>
  <c r="G353" i="19"/>
  <c r="I353" i="19"/>
  <c r="C353" i="19"/>
  <c r="A354" i="19"/>
  <c r="L353" i="19"/>
  <c r="AE353" i="19"/>
  <c r="J353" i="19"/>
  <c r="K353" i="19"/>
  <c r="AW353" i="19"/>
  <c r="O353" i="19"/>
  <c r="AK353" i="19"/>
  <c r="AF353" i="19"/>
  <c r="AJ353" i="19"/>
  <c r="J383" i="21"/>
  <c r="J212" i="21" s="1"/>
  <c r="J449" i="20"/>
  <c r="J212" i="20" s="1"/>
  <c r="AR5" i="19"/>
  <c r="AR348" i="19" s="1"/>
  <c r="AR366" i="19" s="1"/>
  <c r="AR4" i="19"/>
  <c r="AR347" i="19" s="1"/>
  <c r="AR365" i="19" s="1"/>
  <c r="BP34" i="22"/>
  <c r="BX8" i="19"/>
  <c r="BX351" i="19" s="1"/>
  <c r="S5" i="19"/>
  <c r="S4" i="19"/>
  <c r="S347" i="19" s="1"/>
  <c r="S365" i="19" s="1"/>
  <c r="R5" i="19"/>
  <c r="R4" i="19"/>
  <c r="R347" i="19" s="1"/>
  <c r="R365" i="19" s="1"/>
  <c r="G5" i="19"/>
  <c r="G4" i="19"/>
  <c r="G347" i="19" s="1"/>
  <c r="G365" i="19" s="1"/>
  <c r="C11" i="19"/>
  <c r="Q10" i="19"/>
  <c r="S10" i="19"/>
  <c r="T10" i="19"/>
  <c r="R10" i="19"/>
  <c r="J419" i="20" l="1"/>
  <c r="R353" i="19"/>
  <c r="S353" i="19"/>
  <c r="Q353" i="19"/>
  <c r="T353" i="19"/>
  <c r="U405" i="21"/>
  <c r="U156" i="21" s="1"/>
  <c r="R348" i="19"/>
  <c r="R366" i="19" s="1"/>
  <c r="J407" i="21"/>
  <c r="J158" i="21" s="1"/>
  <c r="S348" i="19"/>
  <c r="S366" i="19" s="1"/>
  <c r="U393" i="21"/>
  <c r="U144" i="21" s="1"/>
  <c r="G348" i="19"/>
  <c r="G366" i="19" s="1"/>
  <c r="CA4" i="19"/>
  <c r="CA5" i="19"/>
  <c r="J681" i="20" s="1"/>
  <c r="J368" i="20" s="1"/>
  <c r="J531" i="21"/>
  <c r="J359" i="21" s="1"/>
  <c r="U184" i="21" s="1"/>
  <c r="J280" i="21"/>
  <c r="J315" i="20"/>
  <c r="J612" i="20"/>
  <c r="J423" i="20" s="1"/>
  <c r="U184" i="20" s="1"/>
  <c r="J478" i="20"/>
  <c r="J158" i="20" s="1"/>
  <c r="U476" i="20"/>
  <c r="U156" i="20" s="1"/>
  <c r="U464" i="20"/>
  <c r="U144" i="20" s="1"/>
  <c r="BP35" i="22"/>
  <c r="K5" i="19"/>
  <c r="K4" i="19"/>
  <c r="K347" i="19" s="1"/>
  <c r="K365" i="19" s="1"/>
  <c r="L5" i="19"/>
  <c r="L4" i="19"/>
  <c r="L347" i="19" s="1"/>
  <c r="L365" i="19" s="1"/>
  <c r="J5" i="19"/>
  <c r="J4" i="19"/>
  <c r="J347" i="19" s="1"/>
  <c r="J365" i="19" s="1"/>
  <c r="H5" i="19"/>
  <c r="H4" i="19"/>
  <c r="H347" i="19" s="1"/>
  <c r="H365" i="19" s="1"/>
  <c r="EV73" i="8"/>
  <c r="EV74" i="8"/>
  <c r="U267" i="20" l="1"/>
  <c r="J579" i="21"/>
  <c r="J304" i="21" s="1"/>
  <c r="U240" i="21" s="1"/>
  <c r="BZ348" i="19"/>
  <c r="BZ366" i="19" s="1"/>
  <c r="J661" i="20"/>
  <c r="BZ347" i="19"/>
  <c r="BZ365" i="19" s="1"/>
  <c r="U395" i="21"/>
  <c r="U146" i="21" s="1"/>
  <c r="H348" i="19"/>
  <c r="H366" i="19" s="1"/>
  <c r="U397" i="21"/>
  <c r="U148" i="21" s="1"/>
  <c r="J348" i="19"/>
  <c r="J366" i="19" s="1"/>
  <c r="U399" i="21"/>
  <c r="U150" i="21" s="1"/>
  <c r="L348" i="19"/>
  <c r="L366" i="19" s="1"/>
  <c r="J399" i="21"/>
  <c r="J150" i="21" s="1"/>
  <c r="K348" i="19"/>
  <c r="K366" i="19" s="1"/>
  <c r="U470" i="20"/>
  <c r="U150" i="20" s="1"/>
  <c r="J470" i="20"/>
  <c r="J150" i="20" s="1"/>
  <c r="U468" i="20"/>
  <c r="U148" i="20" s="1"/>
  <c r="U466" i="20"/>
  <c r="U146" i="20" s="1"/>
  <c r="BP36" i="22"/>
  <c r="ET2" i="5"/>
  <c r="J339" i="20" l="1"/>
  <c r="U241" i="20" s="1"/>
  <c r="BP37" i="22"/>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S2" i="5" l="1"/>
  <c r="BP38" i="22"/>
  <c r="BR24" i="22" s="1"/>
  <c r="C172" i="5"/>
  <c r="C250" i="5" s="1"/>
  <c r="ER2" i="5" l="1"/>
  <c r="EQ2" i="5"/>
  <c r="C328" i="5"/>
  <c r="C406" i="5" s="1"/>
  <c r="C484" i="5" s="1"/>
  <c r="C562" i="5" s="1"/>
  <c r="C640" i="5" s="1"/>
  <c r="C718" i="5" s="1"/>
  <c r="BR25" i="22"/>
  <c r="EP2" i="5" l="1"/>
  <c r="BR26" i="22"/>
  <c r="Z28" i="10"/>
  <c r="EO2" i="5" l="1"/>
  <c r="BR27" i="22"/>
  <c r="P36" i="22"/>
  <c r="P24" i="22"/>
  <c r="D37" i="22"/>
  <c r="D28" i="22"/>
  <c r="D25" i="22"/>
  <c r="AC20" i="19"/>
  <c r="EN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L2" i="5" l="1"/>
  <c r="EM2" i="5"/>
  <c r="BR29" i="22"/>
  <c r="O59" i="11"/>
  <c r="E61" i="11" s="1"/>
  <c r="AC19" i="19"/>
  <c r="AJ18" i="19" l="1"/>
  <c r="BR30" i="22"/>
  <c r="BG51" i="4"/>
  <c r="BG50" i="4"/>
  <c r="BF50" i="4" s="1"/>
  <c r="BR31" i="22" l="1"/>
  <c r="BG36" i="4"/>
  <c r="AW40" i="5"/>
  <c r="BR32" i="22" l="1"/>
  <c r="C25" i="8"/>
  <c r="BR189" i="8"/>
  <c r="BR190" i="8"/>
  <c r="BR33" i="22" l="1"/>
  <c r="DN140" i="8"/>
  <c r="DR140" i="8"/>
  <c r="DN139" i="8"/>
  <c r="DR139" i="8"/>
  <c r="BR34" i="22" l="1"/>
  <c r="AC59" i="11"/>
  <c r="R61" i="11"/>
  <c r="BR35" i="22" l="1"/>
  <c r="FK20" i="8"/>
  <c r="BR36" i="22" l="1"/>
  <c r="A49" i="5"/>
  <c r="EJ2" i="5" a="1"/>
  <c r="EJ2" i="5" s="1"/>
  <c r="IJ8" i="5" l="1"/>
  <c r="IJ6" i="5"/>
  <c r="BR37" i="22"/>
  <c r="M9" i="9"/>
  <c r="M23" i="9"/>
  <c r="M32" i="9"/>
  <c r="M20" i="9"/>
  <c r="M7" i="9"/>
  <c r="K7" i="9"/>
  <c r="L23" i="9" l="1"/>
  <c r="N23" i="9"/>
  <c r="L20" i="9"/>
  <c r="N20" i="9"/>
  <c r="L32" i="9"/>
  <c r="N32" i="9"/>
  <c r="L9" i="9"/>
  <c r="N9" i="9"/>
  <c r="L7" i="9"/>
  <c r="N7" i="9"/>
  <c r="BR38" i="22"/>
  <c r="BT24" i="22" l="1"/>
  <c r="BG31" i="4"/>
  <c r="BF31" i="4" s="1"/>
  <c r="BG32" i="4"/>
  <c r="BF32" i="4" s="1"/>
  <c r="BG29" i="4"/>
  <c r="BT25" i="22" l="1"/>
  <c r="BG40" i="4"/>
  <c r="BF40" i="4" s="1"/>
  <c r="BT26" i="22" l="1"/>
  <c r="BG34" i="4"/>
  <c r="BF34" i="4" s="1"/>
  <c r="BG33" i="4"/>
  <c r="BT27" i="22" l="1"/>
  <c r="BT28" i="22" l="1"/>
  <c r="BG39" i="4"/>
  <c r="BF39" i="4" s="1"/>
  <c r="BT29" i="22" l="1"/>
  <c r="BT30" i="22" l="1"/>
  <c r="BT31" i="22" l="1"/>
  <c r="BT32" i="22" l="1"/>
  <c r="BG38" i="4"/>
  <c r="O38" i="11"/>
  <c r="E24" i="33" l="1"/>
  <c r="E30" i="33"/>
  <c r="BT33" i="22"/>
  <c r="BF38" i="4"/>
  <c r="BG30" i="4"/>
  <c r="BF30" i="4" s="1"/>
  <c r="BG37" i="4"/>
  <c r="BF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BG28" i="4"/>
  <c r="BF28" i="4" s="1"/>
  <c r="BF36" i="4"/>
  <c r="BT36" i="22" l="1"/>
  <c r="IB4" i="5"/>
  <c r="IB2" i="5" s="1"/>
  <c r="C121" i="19" s="1"/>
  <c r="BT37" i="22" l="1"/>
  <c r="GO44" i="5"/>
  <c r="BT38" i="22" l="1"/>
  <c r="F1" i="10"/>
  <c r="BV24" i="22" l="1"/>
  <c r="Z23" i="10"/>
  <c r="Z18" i="10"/>
  <c r="Z13" i="10"/>
  <c r="E13" i="10"/>
  <c r="E23" i="10" s="1"/>
  <c r="E18" i="10"/>
  <c r="E28" i="10" s="1"/>
  <c r="CL5" i="4"/>
  <c r="CL6" i="4"/>
  <c r="CL7" i="4"/>
  <c r="CL8" i="4"/>
  <c r="CL9" i="4"/>
  <c r="CL10" i="4"/>
  <c r="CL11" i="4"/>
  <c r="CL12" i="4"/>
  <c r="CL13" i="4"/>
  <c r="CL14" i="4"/>
  <c r="CL15" i="4"/>
  <c r="CL16" i="4"/>
  <c r="CL17" i="4"/>
  <c r="CL18" i="4"/>
  <c r="CL19" i="4"/>
  <c r="CL20" i="4"/>
  <c r="CL21" i="4"/>
  <c r="CL22" i="4"/>
  <c r="CL23" i="4"/>
  <c r="CL24" i="4"/>
  <c r="CL25" i="4"/>
  <c r="CL26" i="4"/>
  <c r="CL27" i="4"/>
  <c r="CL28" i="4"/>
  <c r="CL29" i="4"/>
  <c r="CL30" i="4"/>
  <c r="CL31" i="4"/>
  <c r="CL32" i="4"/>
  <c r="CL33" i="4"/>
  <c r="CL4" i="4"/>
  <c r="BV25" i="22" l="1"/>
  <c r="BG43" i="4"/>
  <c r="BF43" i="4" s="1"/>
  <c r="BF44" i="4"/>
  <c r="BF52" i="4"/>
  <c r="BG47" i="4"/>
  <c r="BF47" i="4" s="1"/>
  <c r="GQ14" i="5"/>
  <c r="BG27" i="4"/>
  <c r="BF27" i="4" s="1"/>
  <c r="BF49" i="4"/>
  <c r="BF33" i="4"/>
  <c r="BF51" i="4"/>
  <c r="BG41" i="4"/>
  <c r="BF41" i="4" s="1"/>
  <c r="BG42" i="4"/>
  <c r="BF42" i="4" s="1"/>
  <c r="BG35" i="4"/>
  <c r="BF35" i="4" s="1"/>
  <c r="BG48" i="4"/>
  <c r="BF48" i="4" s="1"/>
  <c r="BF29" i="4"/>
  <c r="BG46" i="4"/>
  <c r="BF46" i="4" s="1"/>
  <c r="BV26" i="22" l="1"/>
  <c r="BV27" i="22" l="1"/>
  <c r="BR16" i="8"/>
  <c r="K13" i="11"/>
  <c r="B16" i="4"/>
  <c r="L11" i="33" l="1"/>
  <c r="J11" i="20"/>
  <c r="J11" i="21"/>
  <c r="L13" i="33"/>
  <c r="J13" i="21"/>
  <c r="J13" i="20"/>
  <c r="J11" i="14"/>
  <c r="BV28" i="22"/>
  <c r="L13" i="5"/>
  <c r="J13" i="14"/>
  <c r="K11" i="11"/>
  <c r="L11" i="5"/>
  <c r="J11" i="12"/>
  <c r="J11" i="8"/>
  <c r="J13" i="12"/>
  <c r="I55" i="11"/>
  <c r="BV29" i="22" l="1"/>
  <c r="J13" i="8"/>
  <c r="BV30" i="22" l="1"/>
  <c r="Y46" i="10"/>
  <c r="Y41" i="10"/>
  <c r="BV31" i="22" l="1"/>
  <c r="I141" i="24"/>
  <c r="I142" i="24"/>
  <c r="I143" i="24"/>
  <c r="I144" i="24"/>
  <c r="I145" i="24"/>
  <c r="I146" i="24"/>
  <c r="I147" i="24"/>
  <c r="I148" i="24"/>
  <c r="I149" i="24"/>
  <c r="I150" i="24"/>
  <c r="I151" i="24"/>
  <c r="I152" i="24"/>
  <c r="I153" i="24"/>
  <c r="I154" i="24"/>
  <c r="F141" i="24"/>
  <c r="F142" i="24"/>
  <c r="F143" i="24"/>
  <c r="F144" i="24"/>
  <c r="F145" i="24"/>
  <c r="F146" i="24"/>
  <c r="F147" i="24"/>
  <c r="F148" i="24"/>
  <c r="F149" i="24"/>
  <c r="F150" i="24"/>
  <c r="F151" i="24"/>
  <c r="F152" i="24"/>
  <c r="F153" i="24"/>
  <c r="F154" i="24"/>
  <c r="BV32" i="22" l="1"/>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BV33" i="22" l="1"/>
  <c r="C43" i="5"/>
  <c r="P781" i="5" l="1"/>
  <c r="P741" i="5"/>
  <c r="P698" i="5"/>
  <c r="P658" i="5"/>
  <c r="P615" i="5"/>
  <c r="P575" i="5"/>
  <c r="P532" i="5"/>
  <c r="P492" i="5"/>
  <c r="P449" i="5"/>
  <c r="P409" i="5"/>
  <c r="P366" i="5"/>
  <c r="P323" i="5"/>
  <c r="P283" i="5"/>
  <c r="P240" i="5"/>
  <c r="P200" i="5"/>
  <c r="P157" i="5"/>
  <c r="P117" i="5"/>
  <c r="P74" i="5"/>
  <c r="P776" i="5"/>
  <c r="P736" i="5"/>
  <c r="P693" i="5"/>
  <c r="P653" i="5"/>
  <c r="P610" i="5"/>
  <c r="P570" i="5"/>
  <c r="P527" i="5"/>
  <c r="P487" i="5"/>
  <c r="P444" i="5"/>
  <c r="P401" i="5"/>
  <c r="P361" i="5"/>
  <c r="P318" i="5"/>
  <c r="P278" i="5"/>
  <c r="P235" i="5"/>
  <c r="P195" i="5"/>
  <c r="P152" i="5"/>
  <c r="P112" i="5"/>
  <c r="P69" i="5"/>
  <c r="P643" i="5"/>
  <c r="P557" i="5"/>
  <c r="P434" i="5"/>
  <c r="P351" i="5"/>
  <c r="P268" i="5"/>
  <c r="P185" i="5"/>
  <c r="P102" i="5"/>
  <c r="P59" i="5"/>
  <c r="P336" i="5"/>
  <c r="P210" i="5"/>
  <c r="P127" i="5"/>
  <c r="P786" i="5"/>
  <c r="P620" i="5"/>
  <c r="P454" i="5"/>
  <c r="P331" i="5"/>
  <c r="P205" i="5"/>
  <c r="P79" i="5"/>
  <c r="P771" i="5"/>
  <c r="P731" i="5"/>
  <c r="P688" i="5"/>
  <c r="P648" i="5"/>
  <c r="P605" i="5"/>
  <c r="P565" i="5"/>
  <c r="P522" i="5"/>
  <c r="P479" i="5"/>
  <c r="P439" i="5"/>
  <c r="P396" i="5"/>
  <c r="P356" i="5"/>
  <c r="P313" i="5"/>
  <c r="P273" i="5"/>
  <c r="P230" i="5"/>
  <c r="P190" i="5"/>
  <c r="P147" i="5"/>
  <c r="P107" i="5"/>
  <c r="P64" i="5"/>
  <c r="P766" i="5"/>
  <c r="P726" i="5"/>
  <c r="P683" i="5"/>
  <c r="P600" i="5"/>
  <c r="P517" i="5"/>
  <c r="P474" i="5"/>
  <c r="P391" i="5"/>
  <c r="P308" i="5"/>
  <c r="P225" i="5"/>
  <c r="P142" i="5"/>
  <c r="P419" i="5"/>
  <c r="P293" i="5"/>
  <c r="P167" i="5"/>
  <c r="P703" i="5"/>
  <c r="P580" i="5"/>
  <c r="P497" i="5"/>
  <c r="P371" i="5"/>
  <c r="P245" i="5"/>
  <c r="P122" i="5"/>
  <c r="P761" i="5"/>
  <c r="P721" i="5"/>
  <c r="P678" i="5"/>
  <c r="P635" i="5"/>
  <c r="P595" i="5"/>
  <c r="P552" i="5"/>
  <c r="P512" i="5"/>
  <c r="P469" i="5"/>
  <c r="P429" i="5"/>
  <c r="P386" i="5"/>
  <c r="P346" i="5"/>
  <c r="P303" i="5"/>
  <c r="P263" i="5"/>
  <c r="P220" i="5"/>
  <c r="P180" i="5"/>
  <c r="P137" i="5"/>
  <c r="P97" i="5"/>
  <c r="P54" i="5"/>
  <c r="P756" i="5"/>
  <c r="P713" i="5"/>
  <c r="P673" i="5"/>
  <c r="P630" i="5"/>
  <c r="P590" i="5"/>
  <c r="P547" i="5"/>
  <c r="P507" i="5"/>
  <c r="P464" i="5"/>
  <c r="P424" i="5"/>
  <c r="P381" i="5"/>
  <c r="P341" i="5"/>
  <c r="P298" i="5"/>
  <c r="P258" i="5"/>
  <c r="P215" i="5"/>
  <c r="P175" i="5"/>
  <c r="P132" i="5"/>
  <c r="P89" i="5"/>
  <c r="P49" i="5"/>
  <c r="P791" i="5"/>
  <c r="P751" i="5"/>
  <c r="P708" i="5"/>
  <c r="P668" i="5"/>
  <c r="P625" i="5"/>
  <c r="P585" i="5"/>
  <c r="P542" i="5"/>
  <c r="P502" i="5"/>
  <c r="P459" i="5"/>
  <c r="P376" i="5"/>
  <c r="P253" i="5"/>
  <c r="P84" i="5"/>
  <c r="P746" i="5"/>
  <c r="P663" i="5"/>
  <c r="P537" i="5"/>
  <c r="P414" i="5"/>
  <c r="P288" i="5"/>
  <c r="P162" i="5"/>
  <c r="KB125" i="5"/>
  <c r="KB130" i="5"/>
  <c r="KB135" i="5"/>
  <c r="KB140" i="5"/>
  <c r="KB145" i="5"/>
  <c r="KB150" i="5"/>
  <c r="KB155" i="5"/>
  <c r="KB160" i="5"/>
  <c r="KB165" i="5"/>
  <c r="KB173" i="5"/>
  <c r="KB178" i="5"/>
  <c r="KB183" i="5"/>
  <c r="KB188" i="5"/>
  <c r="KB193" i="5"/>
  <c r="KB198" i="5"/>
  <c r="KB203" i="5"/>
  <c r="KB208" i="5"/>
  <c r="KB213" i="5"/>
  <c r="KB218" i="5"/>
  <c r="KB223" i="5"/>
  <c r="KB228" i="5"/>
  <c r="KB233" i="5"/>
  <c r="KB238" i="5"/>
  <c r="KB243" i="5"/>
  <c r="KB251" i="5"/>
  <c r="KB256" i="5"/>
  <c r="KB261" i="5"/>
  <c r="KB266" i="5"/>
  <c r="KB271" i="5"/>
  <c r="KB276" i="5"/>
  <c r="KB281" i="5"/>
  <c r="KB286" i="5"/>
  <c r="KB291" i="5"/>
  <c r="KB296" i="5"/>
  <c r="KB301" i="5"/>
  <c r="KB306" i="5"/>
  <c r="KB311" i="5"/>
  <c r="KB316" i="5"/>
  <c r="KB321" i="5"/>
  <c r="KB329" i="5"/>
  <c r="KB334" i="5"/>
  <c r="KB339" i="5"/>
  <c r="KB344" i="5"/>
  <c r="KB349" i="5"/>
  <c r="KB354" i="5"/>
  <c r="KB359" i="5"/>
  <c r="KB364" i="5"/>
  <c r="KB369" i="5"/>
  <c r="KB374" i="5"/>
  <c r="KB379" i="5"/>
  <c r="KB384" i="5"/>
  <c r="KB389" i="5"/>
  <c r="KB394" i="5"/>
  <c r="KB399" i="5"/>
  <c r="KB407" i="5"/>
  <c r="KB412" i="5"/>
  <c r="KB417" i="5"/>
  <c r="KB422" i="5"/>
  <c r="KB427" i="5"/>
  <c r="KB432" i="5"/>
  <c r="KB437" i="5"/>
  <c r="KB442" i="5"/>
  <c r="KB447" i="5"/>
  <c r="KB452" i="5"/>
  <c r="KB457" i="5"/>
  <c r="KB462" i="5"/>
  <c r="KB467" i="5"/>
  <c r="KB472" i="5"/>
  <c r="KB477" i="5"/>
  <c r="KB485" i="5"/>
  <c r="KB490" i="5"/>
  <c r="KB495" i="5"/>
  <c r="KB500" i="5"/>
  <c r="KB505" i="5"/>
  <c r="KB510" i="5"/>
  <c r="KB515" i="5"/>
  <c r="KB520" i="5"/>
  <c r="KB525" i="5"/>
  <c r="KB530" i="5"/>
  <c r="KB535" i="5"/>
  <c r="KB540" i="5"/>
  <c r="KB545" i="5"/>
  <c r="KB550" i="5"/>
  <c r="KB555" i="5"/>
  <c r="KB563" i="5"/>
  <c r="KB568" i="5"/>
  <c r="KB573" i="5"/>
  <c r="KB578" i="5"/>
  <c r="KB583" i="5"/>
  <c r="KB588" i="5"/>
  <c r="KB593" i="5"/>
  <c r="KB598" i="5"/>
  <c r="KB603" i="5"/>
  <c r="KB608" i="5"/>
  <c r="KB613" i="5"/>
  <c r="KB618" i="5"/>
  <c r="KB623" i="5"/>
  <c r="KB628" i="5"/>
  <c r="KB633" i="5"/>
  <c r="KB641" i="5"/>
  <c r="KB646" i="5"/>
  <c r="KB651" i="5"/>
  <c r="KB656" i="5"/>
  <c r="KB661" i="5"/>
  <c r="KB666" i="5"/>
  <c r="KB671" i="5"/>
  <c r="KB676" i="5"/>
  <c r="KB681" i="5"/>
  <c r="KB686" i="5"/>
  <c r="KB691" i="5"/>
  <c r="KB696" i="5"/>
  <c r="KB701" i="5"/>
  <c r="KB706" i="5"/>
  <c r="KB711" i="5"/>
  <c r="KB719" i="5"/>
  <c r="KB724" i="5"/>
  <c r="KB729" i="5"/>
  <c r="KB734" i="5"/>
  <c r="KB739" i="5"/>
  <c r="KB744" i="5"/>
  <c r="KB749" i="5"/>
  <c r="KB754" i="5"/>
  <c r="KB759" i="5"/>
  <c r="KB764" i="5"/>
  <c r="KB769" i="5"/>
  <c r="KB774" i="5"/>
  <c r="KB779" i="5"/>
  <c r="KB784" i="5"/>
  <c r="KB789" i="5"/>
  <c r="KB120" i="5"/>
  <c r="KB115" i="5"/>
  <c r="KB110" i="5"/>
  <c r="KB105" i="5"/>
  <c r="KB100" i="5"/>
  <c r="KB95" i="5"/>
  <c r="KB77" i="5"/>
  <c r="KB82" i="5"/>
  <c r="KB87" i="5"/>
  <c r="KB72" i="5"/>
  <c r="KB67" i="5"/>
  <c r="KB62" i="5"/>
  <c r="KB57" i="5"/>
  <c r="KB47" i="5"/>
  <c r="KB52" i="5"/>
  <c r="K44" i="5"/>
  <c r="T43" i="5"/>
  <c r="E43" i="5"/>
  <c r="K17" i="5"/>
  <c r="K15" i="20"/>
  <c r="I106" i="20"/>
  <c r="J329" i="20"/>
  <c r="FK25" i="8"/>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321" i="20"/>
  <c r="U317" i="20"/>
  <c r="S66" i="20"/>
  <c r="J325" i="20"/>
  <c r="U321" i="20"/>
  <c r="U325" i="20"/>
  <c r="Y46" i="20"/>
  <c r="Y46" i="21" s="1"/>
  <c r="S48" i="20"/>
  <c r="S48" i="21" s="1"/>
  <c r="I58" i="20"/>
  <c r="I58" i="21" s="1"/>
  <c r="I114" i="21"/>
  <c r="I62" i="20"/>
  <c r="I62" i="21" s="1"/>
  <c r="FQ49" i="5"/>
  <c r="JC49" i="5" s="1"/>
  <c r="JD49" i="5" s="1"/>
  <c r="GW789" i="5"/>
  <c r="HC784" i="5"/>
  <c r="M780" i="5"/>
  <c r="HH780" i="5" s="1"/>
  <c r="HH782" i="5" s="1"/>
  <c r="N771" i="5"/>
  <c r="GN770" i="5"/>
  <c r="GN772" i="5" s="1"/>
  <c r="GW769" i="5"/>
  <c r="HB764" i="5"/>
  <c r="GN760" i="5"/>
  <c r="GN762" i="5" s="1"/>
  <c r="HB759" i="5"/>
  <c r="N756" i="5"/>
  <c r="GW754" i="5"/>
  <c r="FN754" i="5"/>
  <c r="FP754" i="5" s="1"/>
  <c r="AG754" i="5"/>
  <c r="HC749" i="5"/>
  <c r="GN745" i="5"/>
  <c r="GN747" i="5" s="1"/>
  <c r="AG744" i="5"/>
  <c r="GW729" i="5"/>
  <c r="HB724" i="5"/>
  <c r="O720" i="5"/>
  <c r="FN719" i="5"/>
  <c r="FP719" i="5" s="1"/>
  <c r="AG711" i="5"/>
  <c r="M707" i="5"/>
  <c r="HH707" i="5" s="1"/>
  <c r="HH709" i="5" s="1"/>
  <c r="M702" i="5"/>
  <c r="HH702" i="5" s="1"/>
  <c r="HH704" i="5" s="1"/>
  <c r="N699" i="5"/>
  <c r="O697" i="5"/>
  <c r="FN696" i="5"/>
  <c r="FP696" i="5" s="1"/>
  <c r="HL692" i="5"/>
  <c r="HL694" i="5" s="1"/>
  <c r="FQ688" i="5"/>
  <c r="N688" i="5"/>
  <c r="HB686" i="5"/>
  <c r="HL682" i="5"/>
  <c r="HL684" i="5" s="1"/>
  <c r="HC681" i="5"/>
  <c r="GX666" i="5"/>
  <c r="N664" i="5"/>
  <c r="GW661" i="5"/>
  <c r="N791" i="5"/>
  <c r="GN790" i="5"/>
  <c r="GN792" i="5" s="1"/>
  <c r="N786" i="5"/>
  <c r="HB784" i="5"/>
  <c r="FN784" i="5"/>
  <c r="FP784" i="5" s="1"/>
  <c r="AG784" i="5"/>
  <c r="M775" i="5"/>
  <c r="HH775" i="5" s="1"/>
  <c r="HH777" i="5" s="1"/>
  <c r="FQ771" i="5"/>
  <c r="O770" i="5"/>
  <c r="FQ766" i="5"/>
  <c r="GX764" i="5"/>
  <c r="O760" i="5"/>
  <c r="GX759" i="5"/>
  <c r="GN755" i="5"/>
  <c r="GN757" i="5" s="1"/>
  <c r="HB749" i="5"/>
  <c r="O745" i="5"/>
  <c r="N741" i="5"/>
  <c r="HL740" i="5"/>
  <c r="HL742" i="5" s="1"/>
  <c r="N737" i="5"/>
  <c r="HC734" i="5"/>
  <c r="M730" i="5"/>
  <c r="HH730" i="5" s="1"/>
  <c r="HH732" i="5" s="1"/>
  <c r="FQ726" i="5"/>
  <c r="HG725" i="5"/>
  <c r="HG727" i="5" s="1"/>
  <c r="GX724" i="5"/>
  <c r="AG719" i="5"/>
  <c r="HL712" i="5"/>
  <c r="HL714" i="5" s="1"/>
  <c r="HC696" i="5"/>
  <c r="N693" i="5"/>
  <c r="HC691" i="5"/>
  <c r="GX686" i="5"/>
  <c r="FN686" i="5"/>
  <c r="FP686" i="5" s="1"/>
  <c r="AG686" i="5"/>
  <c r="HB681" i="5"/>
  <c r="M677" i="5"/>
  <c r="HH677" i="5" s="1"/>
  <c r="HH679" i="5" s="1"/>
  <c r="AG676" i="5"/>
  <c r="M672" i="5"/>
  <c r="HH672" i="5" s="1"/>
  <c r="HH674" i="5" s="1"/>
  <c r="FN671" i="5"/>
  <c r="FP671" i="5" s="1"/>
  <c r="M667" i="5"/>
  <c r="HH667" i="5" s="1"/>
  <c r="HH669" i="5" s="1"/>
  <c r="GW666" i="5"/>
  <c r="HG662" i="5"/>
  <c r="HG664" i="5" s="1"/>
  <c r="O790" i="5"/>
  <c r="FQ786" i="5"/>
  <c r="GN785" i="5"/>
  <c r="GN787" i="5" s="1"/>
  <c r="GX784" i="5"/>
  <c r="HC779" i="5"/>
  <c r="HC774" i="5"/>
  <c r="AG769" i="5"/>
  <c r="N766" i="5"/>
  <c r="GW764" i="5"/>
  <c r="GW759" i="5"/>
  <c r="FQ756" i="5"/>
  <c r="O755" i="5"/>
  <c r="GX749" i="5"/>
  <c r="HC744" i="5"/>
  <c r="HC739" i="5"/>
  <c r="HB734" i="5"/>
  <c r="FQ731" i="5"/>
  <c r="N731" i="5"/>
  <c r="GN725" i="5"/>
  <c r="GN727" i="5" s="1"/>
  <c r="GW724" i="5"/>
  <c r="FN724" i="5"/>
  <c r="M720" i="5"/>
  <c r="HH720" i="5" s="1"/>
  <c r="HH722" i="5" s="1"/>
  <c r="N713" i="5"/>
  <c r="HC711" i="5"/>
  <c r="HC706" i="5"/>
  <c r="HL702" i="5"/>
  <c r="HL704" i="5" s="1"/>
  <c r="HC701" i="5"/>
  <c r="M697" i="5"/>
  <c r="HH697" i="5" s="1"/>
  <c r="HH699" i="5" s="1"/>
  <c r="HB696" i="5"/>
  <c r="AG696" i="5"/>
  <c r="HB691" i="5"/>
  <c r="GW686" i="5"/>
  <c r="N683" i="5"/>
  <c r="GX681" i="5"/>
  <c r="AG671" i="5"/>
  <c r="N668" i="5"/>
  <c r="FN666" i="5"/>
  <c r="FQ666" i="5" s="1"/>
  <c r="JC666" i="5" s="1"/>
  <c r="JD666" i="5" s="1"/>
  <c r="JE666" i="5" s="1"/>
  <c r="DI666" i="5" s="1"/>
  <c r="O785" i="5"/>
  <c r="GW784" i="5"/>
  <c r="HB779" i="5"/>
  <c r="HB774" i="5"/>
  <c r="M770" i="5"/>
  <c r="HH770" i="5" s="1"/>
  <c r="HH772" i="5" s="1"/>
  <c r="GN765" i="5"/>
  <c r="GN767" i="5" s="1"/>
  <c r="FN764" i="5"/>
  <c r="FP764" i="5" s="1"/>
  <c r="M760" i="5"/>
  <c r="HH760" i="5" s="1"/>
  <c r="HH762" i="5" s="1"/>
  <c r="FN759" i="5"/>
  <c r="FP759" i="5" s="1"/>
  <c r="N751" i="5"/>
  <c r="GW749" i="5"/>
  <c r="FN749" i="5"/>
  <c r="M745" i="5"/>
  <c r="HH745" i="5" s="1"/>
  <c r="HH747" i="5" s="1"/>
  <c r="HB744" i="5"/>
  <c r="FQ741" i="5"/>
  <c r="HB739" i="5"/>
  <c r="M731" i="5"/>
  <c r="FN729" i="5"/>
  <c r="FP729" i="5" s="1"/>
  <c r="O725" i="5"/>
  <c r="AG724" i="5"/>
  <c r="HC719" i="5"/>
  <c r="M713" i="5"/>
  <c r="HB711" i="5"/>
  <c r="HB706" i="5"/>
  <c r="HB701" i="5"/>
  <c r="GX691" i="5"/>
  <c r="AG691" i="5"/>
  <c r="GN687" i="5"/>
  <c r="GN689" i="5" s="1"/>
  <c r="GN682" i="5"/>
  <c r="GN684" i="5" s="1"/>
  <c r="GW681" i="5"/>
  <c r="FN681" i="5"/>
  <c r="FP681" i="5" s="1"/>
  <c r="AG681" i="5"/>
  <c r="HC676" i="5"/>
  <c r="FQ668" i="5"/>
  <c r="M668" i="5"/>
  <c r="HL667" i="5"/>
  <c r="HL669" i="5" s="1"/>
  <c r="O662" i="5"/>
  <c r="HC661" i="5"/>
  <c r="FN661" i="5"/>
  <c r="M790" i="5"/>
  <c r="HH790" i="5" s="1"/>
  <c r="HH792" i="5" s="1"/>
  <c r="N781" i="5"/>
  <c r="HG780" i="5"/>
  <c r="HG782" i="5" s="1"/>
  <c r="GX779" i="5"/>
  <c r="GX774" i="5"/>
  <c r="O765" i="5"/>
  <c r="FQ761" i="5"/>
  <c r="N761" i="5"/>
  <c r="M755" i="5"/>
  <c r="HH755" i="5" s="1"/>
  <c r="HH757" i="5" s="1"/>
  <c r="GN750" i="5"/>
  <c r="GN752" i="5" s="1"/>
  <c r="GX744" i="5"/>
  <c r="GN740" i="5"/>
  <c r="GN742" i="5" s="1"/>
  <c r="GX739" i="5"/>
  <c r="N736" i="5"/>
  <c r="GN735" i="5"/>
  <c r="GN737" i="5" s="1"/>
  <c r="GX734" i="5"/>
  <c r="HC729" i="5"/>
  <c r="HB719" i="5"/>
  <c r="GN712" i="5"/>
  <c r="GN714" i="5" s="1"/>
  <c r="GX711" i="5"/>
  <c r="FQ708" i="5"/>
  <c r="N708" i="5"/>
  <c r="GX706" i="5"/>
  <c r="FN706" i="5"/>
  <c r="FP706" i="5" s="1"/>
  <c r="AG706" i="5"/>
  <c r="N703" i="5"/>
  <c r="GX701" i="5"/>
  <c r="FN701" i="5"/>
  <c r="FP701" i="5" s="1"/>
  <c r="GX696" i="5"/>
  <c r="FQ693" i="5"/>
  <c r="GN692" i="5"/>
  <c r="GN694" i="5" s="1"/>
  <c r="GW691" i="5"/>
  <c r="O687" i="5"/>
  <c r="FQ683" i="5"/>
  <c r="O682" i="5"/>
  <c r="HB676" i="5"/>
  <c r="HC671" i="5"/>
  <c r="HC789" i="5"/>
  <c r="M785" i="5"/>
  <c r="HH785" i="5" s="1"/>
  <c r="HH787" i="5" s="1"/>
  <c r="GN780" i="5"/>
  <c r="GN782" i="5" s="1"/>
  <c r="GW779" i="5"/>
  <c r="FN779" i="5"/>
  <c r="FQ779" i="5" s="1"/>
  <c r="JC779" i="5" s="1"/>
  <c r="JD779" i="5" s="1"/>
  <c r="JE779" i="5" s="1"/>
  <c r="DI779" i="5" s="1"/>
  <c r="AG779" i="5"/>
  <c r="GW774" i="5"/>
  <c r="HC769" i="5"/>
  <c r="AG764" i="5"/>
  <c r="AG759" i="5"/>
  <c r="HC754" i="5"/>
  <c r="FQ751" i="5"/>
  <c r="O750" i="5"/>
  <c r="AG749" i="5"/>
  <c r="N746" i="5"/>
  <c r="GW744" i="5"/>
  <c r="O740" i="5"/>
  <c r="GW739" i="5"/>
  <c r="FN739" i="5"/>
  <c r="FQ739" i="5" s="1"/>
  <c r="JC739" i="5" s="1"/>
  <c r="JD739" i="5" s="1"/>
  <c r="JE739" i="5" s="1"/>
  <c r="DI739" i="5" s="1"/>
  <c r="O735" i="5"/>
  <c r="GW734" i="5"/>
  <c r="FN734" i="5"/>
  <c r="FP734" i="5" s="1"/>
  <c r="HB729" i="5"/>
  <c r="HL725" i="5"/>
  <c r="HL727" i="5" s="1"/>
  <c r="M725" i="5"/>
  <c r="HH725" i="5" s="1"/>
  <c r="HH727" i="5" s="1"/>
  <c r="GX719" i="5"/>
  <c r="O712" i="5"/>
  <c r="GW711" i="5"/>
  <c r="M708" i="5"/>
  <c r="GN707" i="5"/>
  <c r="GN709" i="5" s="1"/>
  <c r="GW706" i="5"/>
  <c r="GN702" i="5"/>
  <c r="GN704" i="5" s="1"/>
  <c r="GW701" i="5"/>
  <c r="AG701" i="5"/>
  <c r="GW696" i="5"/>
  <c r="O692" i="5"/>
  <c r="FN691" i="5"/>
  <c r="N678" i="5"/>
  <c r="GX676" i="5"/>
  <c r="HB671" i="5"/>
  <c r="M662" i="5"/>
  <c r="HH662" i="5" s="1"/>
  <c r="HH664" i="5" s="1"/>
  <c r="AG661" i="5"/>
  <c r="FQ658" i="5"/>
  <c r="HB789" i="5"/>
  <c r="AG789" i="5"/>
  <c r="O780" i="5"/>
  <c r="N776" i="5"/>
  <c r="GN775" i="5"/>
  <c r="GN777" i="5" s="1"/>
  <c r="FN774" i="5"/>
  <c r="FP774" i="5" s="1"/>
  <c r="HB769" i="5"/>
  <c r="FN769" i="5"/>
  <c r="M765" i="5"/>
  <c r="HH765" i="5" s="1"/>
  <c r="HH767" i="5" s="1"/>
  <c r="HB754" i="5"/>
  <c r="M746" i="5"/>
  <c r="FN744" i="5"/>
  <c r="FQ744" i="5" s="1"/>
  <c r="JC744" i="5" s="1"/>
  <c r="JD744" i="5" s="1"/>
  <c r="JE744" i="5" s="1"/>
  <c r="DI744" i="5" s="1"/>
  <c r="FQ736" i="5"/>
  <c r="AG734" i="5"/>
  <c r="N732" i="5"/>
  <c r="GN730" i="5"/>
  <c r="GN732" i="5" s="1"/>
  <c r="AG729" i="5"/>
  <c r="N721" i="5"/>
  <c r="GW719" i="5"/>
  <c r="FN711" i="5"/>
  <c r="FP711" i="5" s="1"/>
  <c r="O707" i="5"/>
  <c r="O702" i="5"/>
  <c r="N698" i="5"/>
  <c r="M687" i="5"/>
  <c r="HH687" i="5" s="1"/>
  <c r="HH689" i="5" s="1"/>
  <c r="M682" i="5"/>
  <c r="HH682" i="5" s="1"/>
  <c r="HH684" i="5" s="1"/>
  <c r="GN677" i="5"/>
  <c r="GN679" i="5" s="1"/>
  <c r="GW676" i="5"/>
  <c r="N673" i="5"/>
  <c r="GN672" i="5"/>
  <c r="GN674" i="5" s="1"/>
  <c r="GX671" i="5"/>
  <c r="GN667" i="5"/>
  <c r="GN669" i="5" s="1"/>
  <c r="HC666" i="5"/>
  <c r="N663" i="5"/>
  <c r="M657" i="5"/>
  <c r="HH657" i="5" s="1"/>
  <c r="HH659" i="5" s="1"/>
  <c r="M735" i="5"/>
  <c r="HH735" i="5" s="1"/>
  <c r="HH737" i="5" s="1"/>
  <c r="N669" i="5"/>
  <c r="N658" i="5"/>
  <c r="AG656" i="5"/>
  <c r="HG652" i="5"/>
  <c r="HG654" i="5" s="1"/>
  <c r="JT646" i="5"/>
  <c r="HC646" i="5"/>
  <c r="HB641" i="5"/>
  <c r="FN641" i="5"/>
  <c r="AG641" i="5"/>
  <c r="HC641" i="5"/>
  <c r="M750" i="5"/>
  <c r="HH750" i="5" s="1"/>
  <c r="HH752" i="5" s="1"/>
  <c r="M740" i="5"/>
  <c r="HH740" i="5" s="1"/>
  <c r="HH742" i="5" s="1"/>
  <c r="N726" i="5"/>
  <c r="HC724" i="5"/>
  <c r="O677" i="5"/>
  <c r="FN676" i="5"/>
  <c r="FP676" i="5" s="1"/>
  <c r="O667" i="5"/>
  <c r="HG647" i="5"/>
  <c r="HG649" i="5" s="1"/>
  <c r="HB646" i="5"/>
  <c r="N644" i="5"/>
  <c r="GX641" i="5"/>
  <c r="GX754" i="5"/>
  <c r="HG745" i="5"/>
  <c r="HG747" i="5" s="1"/>
  <c r="GN720" i="5"/>
  <c r="GN722" i="5" s="1"/>
  <c r="HC656" i="5"/>
  <c r="N654" i="5"/>
  <c r="GN652" i="5"/>
  <c r="GN654" i="5" s="1"/>
  <c r="HC651" i="5"/>
  <c r="GX646" i="5"/>
  <c r="N643" i="5"/>
  <c r="GN642" i="5"/>
  <c r="GN644" i="5" s="1"/>
  <c r="GW641" i="5"/>
  <c r="GN662" i="5"/>
  <c r="GN664" i="5" s="1"/>
  <c r="AG774" i="5"/>
  <c r="HC764" i="5"/>
  <c r="AG739" i="5"/>
  <c r="HB656" i="5"/>
  <c r="O652" i="5"/>
  <c r="HB651" i="5"/>
  <c r="GN647" i="5"/>
  <c r="GN649" i="5" s="1"/>
  <c r="GW646" i="5"/>
  <c r="O642" i="5"/>
  <c r="O730" i="5"/>
  <c r="M712" i="5"/>
  <c r="HH712" i="5" s="1"/>
  <c r="HH714" i="5" s="1"/>
  <c r="HC686" i="5"/>
  <c r="O672" i="5"/>
  <c r="GX656" i="5"/>
  <c r="GX651" i="5"/>
  <c r="FN651" i="5"/>
  <c r="FP651" i="5" s="1"/>
  <c r="O647" i="5"/>
  <c r="O657" i="5"/>
  <c r="FN789" i="5"/>
  <c r="FQ789" i="5" s="1"/>
  <c r="JC789" i="5" s="1"/>
  <c r="JD789" i="5" s="1"/>
  <c r="O775" i="5"/>
  <c r="GX769" i="5"/>
  <c r="M721" i="5"/>
  <c r="M692" i="5"/>
  <c r="HH692" i="5" s="1"/>
  <c r="HH694" i="5" s="1"/>
  <c r="HB666" i="5"/>
  <c r="AG666" i="5"/>
  <c r="HB661" i="5"/>
  <c r="GW656" i="5"/>
  <c r="N653" i="5"/>
  <c r="HL652" i="5"/>
  <c r="HL654" i="5" s="1"/>
  <c r="M652" i="5"/>
  <c r="HH652" i="5" s="1"/>
  <c r="HH654" i="5" s="1"/>
  <c r="GW651" i="5"/>
  <c r="AG651" i="5"/>
  <c r="AG646" i="5"/>
  <c r="FQ643" i="5"/>
  <c r="M642" i="5"/>
  <c r="HH642" i="5" s="1"/>
  <c r="HH644" i="5" s="1"/>
  <c r="GX729" i="5"/>
  <c r="GN697" i="5"/>
  <c r="GN699" i="5" s="1"/>
  <c r="GX661" i="5"/>
  <c r="GN657" i="5"/>
  <c r="GN659" i="5" s="1"/>
  <c r="FN656" i="5"/>
  <c r="FP656" i="5" s="1"/>
  <c r="M653" i="5"/>
  <c r="HC759" i="5"/>
  <c r="GX789" i="5"/>
  <c r="N648" i="5"/>
  <c r="M647" i="5"/>
  <c r="HH647" i="5" s="1"/>
  <c r="HH649" i="5" s="1"/>
  <c r="FN646" i="5"/>
  <c r="FP646" i="5" s="1"/>
  <c r="GW671" i="5"/>
  <c r="FQ653" i="5"/>
  <c r="M648" i="5"/>
  <c r="HL735" i="5"/>
  <c r="HL737" i="5" s="1"/>
  <c r="FQ663" i="5"/>
  <c r="HL760" i="5"/>
  <c r="HL762" i="5" s="1"/>
  <c r="HL697" i="5"/>
  <c r="HL699" i="5" s="1"/>
  <c r="FQ746" i="5"/>
  <c r="HG720" i="5"/>
  <c r="HG722" i="5" s="1"/>
  <c r="M736" i="5"/>
  <c r="N752" i="5"/>
  <c r="JP769" i="5"/>
  <c r="M771" i="5"/>
  <c r="N792" i="5"/>
  <c r="HG677" i="5"/>
  <c r="HG679" i="5" s="1"/>
  <c r="HG672" i="5"/>
  <c r="HG674" i="5" s="1"/>
  <c r="N689" i="5"/>
  <c r="HG687" i="5"/>
  <c r="HG689" i="5" s="1"/>
  <c r="N704" i="5"/>
  <c r="HG697" i="5"/>
  <c r="HG699" i="5" s="1"/>
  <c r="HG712" i="5"/>
  <c r="HG714" i="5" s="1"/>
  <c r="AG633" i="5"/>
  <c r="FQ648" i="5"/>
  <c r="FQ791" i="5"/>
  <c r="JC791" i="5" s="1"/>
  <c r="HL720" i="5"/>
  <c r="HL722" i="5" s="1"/>
  <c r="HL770" i="5"/>
  <c r="HL772" i="5" s="1"/>
  <c r="HG730" i="5"/>
  <c r="HG732" i="5" s="1"/>
  <c r="N757" i="5"/>
  <c r="M781" i="5"/>
  <c r="HG775" i="5"/>
  <c r="HG777" i="5" s="1"/>
  <c r="JP646" i="5"/>
  <c r="JR646" i="5"/>
  <c r="HG657" i="5"/>
  <c r="HG659" i="5" s="1"/>
  <c r="M688" i="5"/>
  <c r="N709" i="5"/>
  <c r="HL634" i="5"/>
  <c r="HL636" i="5" s="1"/>
  <c r="O629" i="5"/>
  <c r="HB628" i="5"/>
  <c r="HB618" i="5"/>
  <c r="HC608" i="5"/>
  <c r="N605" i="5"/>
  <c r="GW603" i="5"/>
  <c r="GN599" i="5"/>
  <c r="GN601" i="5" s="1"/>
  <c r="HL642" i="5"/>
  <c r="HL644" i="5" s="1"/>
  <c r="N742" i="5"/>
  <c r="HL785" i="5"/>
  <c r="HL787" i="5" s="1"/>
  <c r="HL775" i="5"/>
  <c r="HL777" i="5" s="1"/>
  <c r="JT744" i="5"/>
  <c r="HG740" i="5"/>
  <c r="HG742" i="5" s="1"/>
  <c r="M756" i="5"/>
  <c r="N782" i="5"/>
  <c r="HG765" i="5"/>
  <c r="HG767" i="5" s="1"/>
  <c r="N767" i="5"/>
  <c r="M791" i="5"/>
  <c r="N679" i="5"/>
  <c r="HG692" i="5"/>
  <c r="HG694" i="5" s="1"/>
  <c r="M698" i="5"/>
  <c r="N635" i="5"/>
  <c r="HC633" i="5"/>
  <c r="GX628" i="5"/>
  <c r="M624" i="5"/>
  <c r="HH624" i="5" s="1"/>
  <c r="HH626" i="5" s="1"/>
  <c r="GX618" i="5"/>
  <c r="HC613" i="5"/>
  <c r="HG609" i="5"/>
  <c r="HG611" i="5" s="1"/>
  <c r="HB608" i="5"/>
  <c r="GN604" i="5"/>
  <c r="GN606" i="5" s="1"/>
  <c r="FN603" i="5"/>
  <c r="FP603" i="5" s="1"/>
  <c r="O599" i="5"/>
  <c r="HC598" i="5"/>
  <c r="N596" i="5"/>
  <c r="HC593" i="5"/>
  <c r="FQ673" i="5"/>
  <c r="HL780" i="5"/>
  <c r="HL782" i="5" s="1"/>
  <c r="HL750" i="5"/>
  <c r="HL752" i="5" s="1"/>
  <c r="HL755" i="5"/>
  <c r="HL757" i="5" s="1"/>
  <c r="HL790" i="5"/>
  <c r="HL792" i="5" s="1"/>
  <c r="JP744" i="5"/>
  <c r="JT784" i="5"/>
  <c r="N787" i="5"/>
  <c r="M776" i="5"/>
  <c r="JR651" i="5"/>
  <c r="M658" i="5"/>
  <c r="N649" i="5"/>
  <c r="M663" i="5"/>
  <c r="M673" i="5"/>
  <c r="N684" i="5"/>
  <c r="JT696" i="5"/>
  <c r="HG707" i="5"/>
  <c r="HG709" i="5" s="1"/>
  <c r="M703" i="5"/>
  <c r="FQ703" i="5"/>
  <c r="N714" i="5"/>
  <c r="FQ635" i="5"/>
  <c r="M635" i="5"/>
  <c r="HB633" i="5"/>
  <c r="M629" i="5"/>
  <c r="HH629" i="5" s="1"/>
  <c r="HH631" i="5" s="1"/>
  <c r="GW628" i="5"/>
  <c r="FN628" i="5"/>
  <c r="FP628" i="5" s="1"/>
  <c r="AG628" i="5"/>
  <c r="N620" i="5"/>
  <c r="GN619" i="5"/>
  <c r="GN621" i="5" s="1"/>
  <c r="GW618" i="5"/>
  <c r="FN618" i="5"/>
  <c r="FP618" i="5" s="1"/>
  <c r="HB613" i="5"/>
  <c r="GN609" i="5"/>
  <c r="GN611" i="5" s="1"/>
  <c r="GX608" i="5"/>
  <c r="FN608" i="5"/>
  <c r="O604" i="5"/>
  <c r="HB598" i="5"/>
  <c r="HG594" i="5"/>
  <c r="HG596" i="5" s="1"/>
  <c r="HB593" i="5"/>
  <c r="FN588" i="5"/>
  <c r="FP588" i="5" s="1"/>
  <c r="M584" i="5"/>
  <c r="HH584" i="5" s="1"/>
  <c r="HH586" i="5" s="1"/>
  <c r="HL662" i="5"/>
  <c r="HL664" i="5" s="1"/>
  <c r="FQ776" i="5"/>
  <c r="HG735" i="5"/>
  <c r="HG737" i="5" s="1"/>
  <c r="HG760" i="5"/>
  <c r="HG762" i="5" s="1"/>
  <c r="HG770" i="5"/>
  <c r="HG772" i="5" s="1"/>
  <c r="M766" i="5"/>
  <c r="JR784" i="5"/>
  <c r="FQ781" i="5"/>
  <c r="JR661" i="5"/>
  <c r="HG642" i="5"/>
  <c r="HG644" i="5" s="1"/>
  <c r="JP651" i="5"/>
  <c r="N674" i="5"/>
  <c r="N694" i="5"/>
  <c r="M693" i="5"/>
  <c r="JR696" i="5"/>
  <c r="GN634" i="5"/>
  <c r="GN636" i="5" s="1"/>
  <c r="GX633" i="5"/>
  <c r="N630" i="5"/>
  <c r="HL629" i="5"/>
  <c r="HL631" i="5" s="1"/>
  <c r="HC623" i="5"/>
  <c r="O619" i="5"/>
  <c r="AG618" i="5"/>
  <c r="GX613" i="5"/>
  <c r="FN613" i="5"/>
  <c r="FP613" i="5" s="1"/>
  <c r="O609" i="5"/>
  <c r="GW608" i="5"/>
  <c r="AG603" i="5"/>
  <c r="M599" i="5"/>
  <c r="HH599" i="5" s="1"/>
  <c r="HH601" i="5" s="1"/>
  <c r="GX598" i="5"/>
  <c r="GX593" i="5"/>
  <c r="FN593" i="5"/>
  <c r="FP593" i="5" s="1"/>
  <c r="N590" i="5"/>
  <c r="N585" i="5"/>
  <c r="GW583" i="5"/>
  <c r="FN583" i="5"/>
  <c r="FP583" i="5" s="1"/>
  <c r="GN579" i="5"/>
  <c r="GN581" i="5" s="1"/>
  <c r="FN578" i="5"/>
  <c r="FQ578" i="5" s="1"/>
  <c r="JC578" i="5" s="1"/>
  <c r="JD578" i="5" s="1"/>
  <c r="JE578" i="5" s="1"/>
  <c r="DI578" i="5" s="1"/>
  <c r="M643" i="5"/>
  <c r="JT651" i="5"/>
  <c r="HL707" i="5"/>
  <c r="HL709" i="5" s="1"/>
  <c r="HL765" i="5"/>
  <c r="HL767" i="5" s="1"/>
  <c r="JP661" i="5"/>
  <c r="JT719" i="5"/>
  <c r="N727" i="5"/>
  <c r="HG750" i="5"/>
  <c r="HG752" i="5" s="1"/>
  <c r="M751" i="5"/>
  <c r="N772" i="5"/>
  <c r="JP784" i="5"/>
  <c r="HG790" i="5"/>
  <c r="HG792" i="5" s="1"/>
  <c r="HL647" i="5"/>
  <c r="HL649" i="5" s="1"/>
  <c r="M678" i="5"/>
  <c r="JP696" i="5"/>
  <c r="HG702" i="5"/>
  <c r="HG704" i="5" s="1"/>
  <c r="O634" i="5"/>
  <c r="GW633" i="5"/>
  <c r="FQ630" i="5"/>
  <c r="HB623" i="5"/>
  <c r="FQ615" i="5"/>
  <c r="N615" i="5"/>
  <c r="GN614" i="5"/>
  <c r="GN616" i="5" s="1"/>
  <c r="GW613" i="5"/>
  <c r="M604" i="5"/>
  <c r="HH604" i="5" s="1"/>
  <c r="HH606" i="5" s="1"/>
  <c r="GW598" i="5"/>
  <c r="FN598" i="5"/>
  <c r="GN594" i="5"/>
  <c r="GN596" i="5" s="1"/>
  <c r="GW593" i="5"/>
  <c r="AG593" i="5"/>
  <c r="FQ590" i="5"/>
  <c r="M590" i="5"/>
  <c r="HC588" i="5"/>
  <c r="FQ585" i="5"/>
  <c r="M585" i="5"/>
  <c r="HL745" i="5"/>
  <c r="HL747" i="5" s="1"/>
  <c r="FQ713" i="5"/>
  <c r="HL672" i="5"/>
  <c r="HL674" i="5" s="1"/>
  <c r="HL677" i="5"/>
  <c r="HL679" i="5" s="1"/>
  <c r="JR719" i="5"/>
  <c r="M726" i="5"/>
  <c r="JR744" i="5"/>
  <c r="N762" i="5"/>
  <c r="M761" i="5"/>
  <c r="JT769" i="5"/>
  <c r="M786" i="5"/>
  <c r="HG785" i="5"/>
  <c r="HG787" i="5" s="1"/>
  <c r="N659" i="5"/>
  <c r="HG682" i="5"/>
  <c r="HG684" i="5" s="1"/>
  <c r="M683" i="5"/>
  <c r="FQ678" i="5"/>
  <c r="FQ698" i="5"/>
  <c r="FN633" i="5"/>
  <c r="N625" i="5"/>
  <c r="GX623" i="5"/>
  <c r="FN623" i="5"/>
  <c r="FP623" i="5" s="1"/>
  <c r="M619" i="5"/>
  <c r="HH619" i="5" s="1"/>
  <c r="HH621" i="5" s="1"/>
  <c r="O614" i="5"/>
  <c r="AG613" i="5"/>
  <c r="M609" i="5"/>
  <c r="HH609" i="5" s="1"/>
  <c r="HH611" i="5" s="1"/>
  <c r="HC603" i="5"/>
  <c r="JT598" i="5"/>
  <c r="O594" i="5"/>
  <c r="GN589" i="5"/>
  <c r="GN591" i="5" s="1"/>
  <c r="HB588" i="5"/>
  <c r="AG588" i="5"/>
  <c r="AG578" i="5"/>
  <c r="JT661" i="5"/>
  <c r="HG629" i="5"/>
  <c r="HG631" i="5" s="1"/>
  <c r="N610" i="5"/>
  <c r="AG608" i="5"/>
  <c r="N580" i="5"/>
  <c r="HL579" i="5"/>
  <c r="HL581" i="5" s="1"/>
  <c r="JP578" i="5"/>
  <c r="GX578" i="5"/>
  <c r="GN574" i="5"/>
  <c r="GN576" i="5" s="1"/>
  <c r="GW573" i="5"/>
  <c r="M569" i="5"/>
  <c r="HH569" i="5" s="1"/>
  <c r="HH571" i="5" s="1"/>
  <c r="M557" i="5"/>
  <c r="GW555" i="5"/>
  <c r="FN555" i="5"/>
  <c r="FQ555" i="5" s="1"/>
  <c r="JC555" i="5" s="1"/>
  <c r="JD555" i="5" s="1"/>
  <c r="JE555" i="5" s="1"/>
  <c r="DI555" i="5" s="1"/>
  <c r="AG555" i="5"/>
  <c r="N553" i="5"/>
  <c r="GN551" i="5"/>
  <c r="GN553" i="5" s="1"/>
  <c r="GW550" i="5"/>
  <c r="AG550" i="5"/>
  <c r="FN545" i="5"/>
  <c r="FP545" i="5" s="1"/>
  <c r="FN540" i="5"/>
  <c r="FQ540" i="5" s="1"/>
  <c r="JC540" i="5" s="1"/>
  <c r="JD540" i="5" s="1"/>
  <c r="JE540" i="5" s="1"/>
  <c r="DI540" i="5" s="1"/>
  <c r="GW535" i="5"/>
  <c r="O531" i="5"/>
  <c r="O526" i="5"/>
  <c r="AG525" i="5"/>
  <c r="M521" i="5"/>
  <c r="HH521" i="5" s="1"/>
  <c r="HH523" i="5" s="1"/>
  <c r="M516" i="5"/>
  <c r="HH516" i="5" s="1"/>
  <c r="HH518" i="5" s="1"/>
  <c r="N512" i="5"/>
  <c r="HC510" i="5"/>
  <c r="N507" i="5"/>
  <c r="HB505" i="5"/>
  <c r="AG505" i="5"/>
  <c r="M502" i="5"/>
  <c r="GN496" i="5"/>
  <c r="GN498" i="5" s="1"/>
  <c r="GX495" i="5"/>
  <c r="HB485" i="5"/>
  <c r="O478" i="5"/>
  <c r="GW477" i="5"/>
  <c r="FN477" i="5"/>
  <c r="FQ477" i="5" s="1"/>
  <c r="JC477" i="5" s="1"/>
  <c r="JD477" i="5" s="1"/>
  <c r="JE477" i="5" s="1"/>
  <c r="DI477" i="5" s="1"/>
  <c r="FQ474" i="5"/>
  <c r="M474" i="5"/>
  <c r="M473" i="5"/>
  <c r="HH473" i="5" s="1"/>
  <c r="HH475" i="5" s="1"/>
  <c r="FQ469" i="5"/>
  <c r="GN629" i="5"/>
  <c r="GN631" i="5" s="1"/>
  <c r="HL594" i="5"/>
  <c r="HL596" i="5" s="1"/>
  <c r="M589" i="5"/>
  <c r="HH589" i="5" s="1"/>
  <c r="HH591" i="5" s="1"/>
  <c r="M580" i="5"/>
  <c r="GW578" i="5"/>
  <c r="O574" i="5"/>
  <c r="FN573" i="5"/>
  <c r="FQ573" i="5" s="1"/>
  <c r="JC573" i="5" s="1"/>
  <c r="JD573" i="5" s="1"/>
  <c r="JE573" i="5" s="1"/>
  <c r="DI573" i="5" s="1"/>
  <c r="HC568" i="5"/>
  <c r="AG568" i="5"/>
  <c r="M564" i="5"/>
  <c r="HH564" i="5" s="1"/>
  <c r="HH566" i="5" s="1"/>
  <c r="GN556" i="5"/>
  <c r="GN558" i="5" s="1"/>
  <c r="O551" i="5"/>
  <c r="N547" i="5"/>
  <c r="M546" i="5"/>
  <c r="HH546" i="5" s="1"/>
  <c r="HH548" i="5" s="1"/>
  <c r="M541" i="5"/>
  <c r="HH541" i="5" s="1"/>
  <c r="HH543" i="5" s="1"/>
  <c r="M536" i="5"/>
  <c r="HH536" i="5" s="1"/>
  <c r="HH538" i="5" s="1"/>
  <c r="GX530" i="5"/>
  <c r="N517" i="5"/>
  <c r="HL516" i="5"/>
  <c r="HL518" i="5" s="1"/>
  <c r="HC515" i="5"/>
  <c r="HB510" i="5"/>
  <c r="HG506" i="5"/>
  <c r="HG508" i="5" s="1"/>
  <c r="GX505" i="5"/>
  <c r="FN505" i="5"/>
  <c r="FP505" i="5" s="1"/>
  <c r="HL501" i="5"/>
  <c r="HL503" i="5" s="1"/>
  <c r="M501" i="5"/>
  <c r="HH501" i="5" s="1"/>
  <c r="HH503" i="5" s="1"/>
  <c r="GX500" i="5"/>
  <c r="O496" i="5"/>
  <c r="GW495" i="5"/>
  <c r="N487" i="5"/>
  <c r="GX485" i="5"/>
  <c r="N475" i="5"/>
  <c r="HL473" i="5"/>
  <c r="HL475" i="5" s="1"/>
  <c r="JP472" i="5"/>
  <c r="N470" i="5"/>
  <c r="HC618" i="5"/>
  <c r="M614" i="5"/>
  <c r="HH614" i="5" s="1"/>
  <c r="HH616" i="5" s="1"/>
  <c r="HC583" i="5"/>
  <c r="AG573" i="5"/>
  <c r="HB568" i="5"/>
  <c r="FN568" i="5"/>
  <c r="HC563" i="5"/>
  <c r="O556" i="5"/>
  <c r="FN550" i="5"/>
  <c r="M547" i="5"/>
  <c r="HL546" i="5"/>
  <c r="HL548" i="5" s="1"/>
  <c r="AG545" i="5"/>
  <c r="N542" i="5"/>
  <c r="AG540" i="5"/>
  <c r="FN535" i="5"/>
  <c r="FP535" i="5" s="1"/>
  <c r="M531" i="5"/>
  <c r="HH531" i="5" s="1"/>
  <c r="HH533" i="5" s="1"/>
  <c r="GW530" i="5"/>
  <c r="FX527" i="5"/>
  <c r="M526" i="5"/>
  <c r="HH526" i="5" s="1"/>
  <c r="HH528" i="5" s="1"/>
  <c r="HC520" i="5"/>
  <c r="HB515" i="5"/>
  <c r="FQ512" i="5"/>
  <c r="GX510" i="5"/>
  <c r="AG510" i="5"/>
  <c r="GN506" i="5"/>
  <c r="GN508" i="5" s="1"/>
  <c r="GW505" i="5"/>
  <c r="N503" i="5"/>
  <c r="GW500" i="5"/>
  <c r="HL496" i="5"/>
  <c r="HL498" i="5" s="1"/>
  <c r="FN495" i="5"/>
  <c r="FP495" i="5" s="1"/>
  <c r="HC490" i="5"/>
  <c r="GN486" i="5"/>
  <c r="GN488" i="5" s="1"/>
  <c r="GW485" i="5"/>
  <c r="M478" i="5"/>
  <c r="HH478" i="5" s="1"/>
  <c r="HH480" i="5" s="1"/>
  <c r="AG477" i="5"/>
  <c r="AG472" i="5"/>
  <c r="HL657" i="5"/>
  <c r="HL659" i="5" s="1"/>
  <c r="HG755" i="5"/>
  <c r="HG757" i="5" s="1"/>
  <c r="JR769" i="5"/>
  <c r="N777" i="5"/>
  <c r="GN624" i="5"/>
  <c r="GN626" i="5" s="1"/>
  <c r="FQ600" i="5"/>
  <c r="N600" i="5"/>
  <c r="N595" i="5"/>
  <c r="HB583" i="5"/>
  <c r="HG579" i="5"/>
  <c r="HG581" i="5" s="1"/>
  <c r="M574" i="5"/>
  <c r="HH574" i="5" s="1"/>
  <c r="HH576" i="5" s="1"/>
  <c r="GX568" i="5"/>
  <c r="HB563" i="5"/>
  <c r="FQ552" i="5"/>
  <c r="N552" i="5"/>
  <c r="HL551" i="5"/>
  <c r="HL553" i="5" s="1"/>
  <c r="M551" i="5"/>
  <c r="HH551" i="5" s="1"/>
  <c r="HH553" i="5" s="1"/>
  <c r="M542" i="5"/>
  <c r="HL541" i="5"/>
  <c r="HL543" i="5" s="1"/>
  <c r="HL536" i="5"/>
  <c r="HL538" i="5" s="1"/>
  <c r="FN530" i="5"/>
  <c r="FP530" i="5" s="1"/>
  <c r="AG530" i="5"/>
  <c r="HB520" i="5"/>
  <c r="AG520" i="5"/>
  <c r="FQ517" i="5"/>
  <c r="GX515" i="5"/>
  <c r="GN511" i="5"/>
  <c r="GN513" i="5" s="1"/>
  <c r="GW510" i="5"/>
  <c r="FN510" i="5"/>
  <c r="FP510" i="5" s="1"/>
  <c r="O506" i="5"/>
  <c r="M496" i="5"/>
  <c r="HH496" i="5" s="1"/>
  <c r="HH498" i="5" s="1"/>
  <c r="N492" i="5"/>
  <c r="HB490" i="5"/>
  <c r="FQ487" i="5"/>
  <c r="O486" i="5"/>
  <c r="FN485" i="5"/>
  <c r="FP485" i="5" s="1"/>
  <c r="HL478" i="5"/>
  <c r="HL480" i="5" s="1"/>
  <c r="HL730" i="5"/>
  <c r="HL732" i="5" s="1"/>
  <c r="HG667" i="5"/>
  <c r="HG669" i="5" s="1"/>
  <c r="O624" i="5"/>
  <c r="AG623" i="5"/>
  <c r="HB603" i="5"/>
  <c r="FQ595" i="5"/>
  <c r="M595" i="5"/>
  <c r="GX588" i="5"/>
  <c r="GN584" i="5"/>
  <c r="GN586" i="5" s="1"/>
  <c r="O579" i="5"/>
  <c r="GW568" i="5"/>
  <c r="GX563" i="5"/>
  <c r="M556" i="5"/>
  <c r="HH556" i="5" s="1"/>
  <c r="HH558" i="5" s="1"/>
  <c r="M552" i="5"/>
  <c r="HC550" i="5"/>
  <c r="HC545" i="5"/>
  <c r="HC540" i="5"/>
  <c r="N532" i="5"/>
  <c r="N527" i="5"/>
  <c r="HL526" i="5"/>
  <c r="HL528" i="5" s="1"/>
  <c r="HC525" i="5"/>
  <c r="N522" i="5"/>
  <c r="GX520" i="5"/>
  <c r="FN520" i="5"/>
  <c r="FQ520" i="5" s="1"/>
  <c r="JC520" i="5" s="1"/>
  <c r="JD520" i="5" s="1"/>
  <c r="JE520" i="5" s="1"/>
  <c r="DI520" i="5" s="1"/>
  <c r="GW515" i="5"/>
  <c r="O511" i="5"/>
  <c r="FN500" i="5"/>
  <c r="FP500" i="5" s="1"/>
  <c r="N497" i="5"/>
  <c r="AG495" i="5"/>
  <c r="GN491" i="5"/>
  <c r="GN493" i="5" s="1"/>
  <c r="GX490" i="5"/>
  <c r="AG490" i="5"/>
  <c r="AG485" i="5"/>
  <c r="N479" i="5"/>
  <c r="HG473" i="5"/>
  <c r="HG475" i="5" s="1"/>
  <c r="HB472" i="5"/>
  <c r="HL687" i="5"/>
  <c r="HL689" i="5" s="1"/>
  <c r="M741" i="5"/>
  <c r="M634" i="5"/>
  <c r="HH634" i="5" s="1"/>
  <c r="HH636" i="5" s="1"/>
  <c r="GX603" i="5"/>
  <c r="JP598" i="5"/>
  <c r="AG598" i="5"/>
  <c r="M594" i="5"/>
  <c r="HH594" i="5" s="1"/>
  <c r="HH596" i="5" s="1"/>
  <c r="GW588" i="5"/>
  <c r="O584" i="5"/>
  <c r="HL574" i="5"/>
  <c r="HL576" i="5" s="1"/>
  <c r="HC573" i="5"/>
  <c r="N570" i="5"/>
  <c r="GN569" i="5"/>
  <c r="GN571" i="5" s="1"/>
  <c r="N565" i="5"/>
  <c r="GW563" i="5"/>
  <c r="HC555" i="5"/>
  <c r="HB550" i="5"/>
  <c r="HB545" i="5"/>
  <c r="HB540" i="5"/>
  <c r="N537" i="5"/>
  <c r="HC535" i="5"/>
  <c r="FQ532" i="5"/>
  <c r="HG531" i="5"/>
  <c r="HG533" i="5" s="1"/>
  <c r="HB525" i="5"/>
  <c r="GN521" i="5"/>
  <c r="GN523" i="5" s="1"/>
  <c r="GW520" i="5"/>
  <c r="GN516" i="5"/>
  <c r="GN518" i="5" s="1"/>
  <c r="FN515" i="5"/>
  <c r="FP515" i="5" s="1"/>
  <c r="M506" i="5"/>
  <c r="HH506" i="5" s="1"/>
  <c r="HH508" i="5" s="1"/>
  <c r="HC500" i="5"/>
  <c r="FQ497" i="5"/>
  <c r="O491" i="5"/>
  <c r="GW490" i="5"/>
  <c r="M486" i="5"/>
  <c r="HH486" i="5" s="1"/>
  <c r="HH488" i="5" s="1"/>
  <c r="M479" i="5"/>
  <c r="HC477" i="5"/>
  <c r="GN473" i="5"/>
  <c r="GN475" i="5" s="1"/>
  <c r="FQ721" i="5"/>
  <c r="GX583" i="5"/>
  <c r="AG583" i="5"/>
  <c r="M579" i="5"/>
  <c r="HH579" i="5" s="1"/>
  <c r="HH581" i="5" s="1"/>
  <c r="HC578" i="5"/>
  <c r="N575" i="5"/>
  <c r="HB573" i="5"/>
  <c r="O569" i="5"/>
  <c r="GN564" i="5"/>
  <c r="GN566" i="5" s="1"/>
  <c r="FN563" i="5"/>
  <c r="FP563" i="5" s="1"/>
  <c r="AG563" i="5"/>
  <c r="HL556" i="5"/>
  <c r="HL558" i="5" s="1"/>
  <c r="HB555" i="5"/>
  <c r="HG551" i="5"/>
  <c r="HG553" i="5" s="1"/>
  <c r="GN546" i="5"/>
  <c r="GN548" i="5" s="1"/>
  <c r="GX545" i="5"/>
  <c r="GN541" i="5"/>
  <c r="GN543" i="5" s="1"/>
  <c r="GX540" i="5"/>
  <c r="GN536" i="5"/>
  <c r="GN538" i="5" s="1"/>
  <c r="HB535" i="5"/>
  <c r="AG535" i="5"/>
  <c r="HC530" i="5"/>
  <c r="GX525" i="5"/>
  <c r="O521" i="5"/>
  <c r="O516" i="5"/>
  <c r="AG515" i="5"/>
  <c r="HL511" i="5"/>
  <c r="HL513" i="5" s="1"/>
  <c r="M511" i="5"/>
  <c r="HH511" i="5" s="1"/>
  <c r="HH513" i="5" s="1"/>
  <c r="GN501" i="5"/>
  <c r="GN503" i="5" s="1"/>
  <c r="HB500" i="5"/>
  <c r="AG500" i="5"/>
  <c r="HG496" i="5"/>
  <c r="HG498" i="5" s="1"/>
  <c r="HC495" i="5"/>
  <c r="FN490" i="5"/>
  <c r="FP490" i="5" s="1"/>
  <c r="HG478" i="5"/>
  <c r="HG480" i="5" s="1"/>
  <c r="HB477" i="5"/>
  <c r="O473" i="5"/>
  <c r="N474" i="5"/>
  <c r="M468" i="5"/>
  <c r="HH468" i="5" s="1"/>
  <c r="HH470" i="5" s="1"/>
  <c r="M408" i="5"/>
  <c r="HH408" i="5" s="1"/>
  <c r="HH410" i="5" s="1"/>
  <c r="GX407" i="5"/>
  <c r="JP719" i="5"/>
  <c r="GW540" i="5"/>
  <c r="FQ537" i="5"/>
  <c r="GN531" i="5"/>
  <c r="GN533" i="5" s="1"/>
  <c r="GN526" i="5"/>
  <c r="GN528" i="5" s="1"/>
  <c r="GW472" i="5"/>
  <c r="N469" i="5"/>
  <c r="GX467" i="5"/>
  <c r="N464" i="5"/>
  <c r="HC462" i="5"/>
  <c r="HG458" i="5"/>
  <c r="HG460" i="5" s="1"/>
  <c r="HC457" i="5"/>
  <c r="JR452" i="5"/>
  <c r="AG452" i="5"/>
  <c r="GN448" i="5"/>
  <c r="GN450" i="5" s="1"/>
  <c r="M443" i="5"/>
  <c r="HH443" i="5" s="1"/>
  <c r="HH445" i="5" s="1"/>
  <c r="GW432" i="5"/>
  <c r="AG432" i="5"/>
  <c r="N429" i="5"/>
  <c r="N419" i="5"/>
  <c r="GN418" i="5"/>
  <c r="GN420" i="5" s="1"/>
  <c r="GX417" i="5"/>
  <c r="M413" i="5"/>
  <c r="HH413" i="5" s="1"/>
  <c r="HH415" i="5" s="1"/>
  <c r="N409" i="5"/>
  <c r="HL408" i="5"/>
  <c r="HL410" i="5" s="1"/>
  <c r="HB412" i="5"/>
  <c r="N557" i="5"/>
  <c r="GX477" i="5"/>
  <c r="HL468" i="5"/>
  <c r="HL470" i="5" s="1"/>
  <c r="GW467" i="5"/>
  <c r="HB462" i="5"/>
  <c r="AG462" i="5"/>
  <c r="FQ459" i="5"/>
  <c r="GN458" i="5"/>
  <c r="GN460" i="5" s="1"/>
  <c r="HB457" i="5"/>
  <c r="N454" i="5"/>
  <c r="O448" i="5"/>
  <c r="HC442" i="5"/>
  <c r="M438" i="5"/>
  <c r="HH438" i="5" s="1"/>
  <c r="HH440" i="5" s="1"/>
  <c r="M433" i="5"/>
  <c r="HH433" i="5" s="1"/>
  <c r="HH435" i="5" s="1"/>
  <c r="M429" i="5"/>
  <c r="HL428" i="5"/>
  <c r="HL430" i="5" s="1"/>
  <c r="N424" i="5"/>
  <c r="O418" i="5"/>
  <c r="GW417" i="5"/>
  <c r="FQ409" i="5"/>
  <c r="M409" i="5"/>
  <c r="HC407" i="5"/>
  <c r="HB422" i="5"/>
  <c r="N414" i="5"/>
  <c r="O546" i="5"/>
  <c r="O501" i="5"/>
  <c r="GN463" i="5"/>
  <c r="GN465" i="5" s="1"/>
  <c r="GX462" i="5"/>
  <c r="O458" i="5"/>
  <c r="GX457" i="5"/>
  <c r="FQ454" i="5"/>
  <c r="HG453" i="5"/>
  <c r="HG455" i="5" s="1"/>
  <c r="HB442" i="5"/>
  <c r="FN432" i="5"/>
  <c r="FP432" i="5" s="1"/>
  <c r="HC427" i="5"/>
  <c r="FQ424" i="5"/>
  <c r="HC422" i="5"/>
  <c r="FN417" i="5"/>
  <c r="FP417" i="5" s="1"/>
  <c r="AG417" i="5"/>
  <c r="HC412" i="5"/>
  <c r="HB407" i="5"/>
  <c r="N586" i="5"/>
  <c r="HB578" i="5"/>
  <c r="O536" i="5"/>
  <c r="FN525" i="5"/>
  <c r="FP525" i="5" s="1"/>
  <c r="FQ502" i="5"/>
  <c r="HB495" i="5"/>
  <c r="FQ479" i="5"/>
  <c r="HC467" i="5"/>
  <c r="FN467" i="5"/>
  <c r="FP467" i="5" s="1"/>
  <c r="O463" i="5"/>
  <c r="GW462" i="5"/>
  <c r="GW457" i="5"/>
  <c r="M448" i="5"/>
  <c r="HH448" i="5" s="1"/>
  <c r="HH450" i="5" s="1"/>
  <c r="GX442" i="5"/>
  <c r="HC437" i="5"/>
  <c r="HL433" i="5"/>
  <c r="HL435" i="5" s="1"/>
  <c r="HB427" i="5"/>
  <c r="HG423" i="5"/>
  <c r="HG425" i="5" s="1"/>
  <c r="HC628" i="5"/>
  <c r="GW525" i="5"/>
  <c r="N502" i="5"/>
  <c r="GN453" i="5"/>
  <c r="GN455" i="5" s="1"/>
  <c r="N747" i="5"/>
  <c r="FQ570" i="5"/>
  <c r="HB530" i="5"/>
  <c r="HC505" i="5"/>
  <c r="GN468" i="5"/>
  <c r="GN470" i="5" s="1"/>
  <c r="HB467" i="5"/>
  <c r="N460" i="5"/>
  <c r="M458" i="5"/>
  <c r="HH458" i="5" s="1"/>
  <c r="HH460" i="5" s="1"/>
  <c r="O453" i="5"/>
  <c r="HC452" i="5"/>
  <c r="HC447" i="5"/>
  <c r="GW442" i="5"/>
  <c r="FN442" i="5"/>
  <c r="N439" i="5"/>
  <c r="HB437" i="5"/>
  <c r="FN437" i="5"/>
  <c r="FP437" i="5" s="1"/>
  <c r="N434" i="5"/>
  <c r="GN428" i="5"/>
  <c r="GN430" i="5" s="1"/>
  <c r="GX427" i="5"/>
  <c r="AG427" i="5"/>
  <c r="GN423" i="5"/>
  <c r="GN425" i="5" s="1"/>
  <c r="M414" i="5"/>
  <c r="HG413" i="5"/>
  <c r="HG415" i="5" s="1"/>
  <c r="GX412" i="5"/>
  <c r="GN408" i="5"/>
  <c r="GN410" i="5" s="1"/>
  <c r="GW407" i="5"/>
  <c r="FN407" i="5"/>
  <c r="FP407" i="5" s="1"/>
  <c r="AG457" i="5"/>
  <c r="GW447" i="5"/>
  <c r="O438" i="5"/>
  <c r="FN427" i="5"/>
  <c r="FP427" i="5" s="1"/>
  <c r="M423" i="5"/>
  <c r="HH423" i="5" s="1"/>
  <c r="HH425" i="5" s="1"/>
  <c r="AG422" i="5"/>
  <c r="HB417" i="5"/>
  <c r="M418" i="5"/>
  <c r="HH418" i="5" s="1"/>
  <c r="HH420" i="5" s="1"/>
  <c r="HG408" i="5"/>
  <c r="HG410" i="5" s="1"/>
  <c r="N722" i="5"/>
  <c r="GX550" i="5"/>
  <c r="GW545" i="5"/>
  <c r="O541" i="5"/>
  <c r="M491" i="5"/>
  <c r="HH491" i="5" s="1"/>
  <c r="HH493" i="5" s="1"/>
  <c r="HC485" i="5"/>
  <c r="GN478" i="5"/>
  <c r="GN480" i="5" s="1"/>
  <c r="O468" i="5"/>
  <c r="AG467" i="5"/>
  <c r="M463" i="5"/>
  <c r="HH463" i="5" s="1"/>
  <c r="HH465" i="5" s="1"/>
  <c r="FN462" i="5"/>
  <c r="FP462" i="5" s="1"/>
  <c r="HL458" i="5"/>
  <c r="HL460" i="5" s="1"/>
  <c r="FN457" i="5"/>
  <c r="FP457" i="5" s="1"/>
  <c r="HB452" i="5"/>
  <c r="HB447" i="5"/>
  <c r="N444" i="5"/>
  <c r="GN443" i="5"/>
  <c r="GN445" i="5" s="1"/>
  <c r="AG442" i="5"/>
  <c r="HG438" i="5"/>
  <c r="HG440" i="5" s="1"/>
  <c r="GX437" i="5"/>
  <c r="AG437" i="5"/>
  <c r="M434" i="5"/>
  <c r="HC432" i="5"/>
  <c r="O428" i="5"/>
  <c r="GW427" i="5"/>
  <c r="O423" i="5"/>
  <c r="GX422" i="5"/>
  <c r="FQ414" i="5"/>
  <c r="GN413" i="5"/>
  <c r="GN415" i="5" s="1"/>
  <c r="GW412" i="5"/>
  <c r="FN412" i="5"/>
  <c r="FP412" i="5" s="1"/>
  <c r="O408" i="5"/>
  <c r="AG407" i="5"/>
  <c r="N459" i="5"/>
  <c r="O433" i="5"/>
  <c r="O589" i="5"/>
  <c r="N533" i="5"/>
  <c r="HC472" i="5"/>
  <c r="M453" i="5"/>
  <c r="HH453" i="5" s="1"/>
  <c r="HH455" i="5" s="1"/>
  <c r="GX452" i="5"/>
  <c r="FN452" i="5"/>
  <c r="FP452" i="5" s="1"/>
  <c r="N449" i="5"/>
  <c r="GX447" i="5"/>
  <c r="FN447" i="5"/>
  <c r="AG447" i="5"/>
  <c r="O443" i="5"/>
  <c r="FQ439" i="5"/>
  <c r="GN438" i="5"/>
  <c r="GN440" i="5" s="1"/>
  <c r="GW437" i="5"/>
  <c r="GN433" i="5"/>
  <c r="GN435" i="5" s="1"/>
  <c r="HB432" i="5"/>
  <c r="N425" i="5"/>
  <c r="GW422" i="5"/>
  <c r="FN422" i="5"/>
  <c r="FP422" i="5" s="1"/>
  <c r="HC417" i="5"/>
  <c r="O413" i="5"/>
  <c r="AG412" i="5"/>
  <c r="GW623" i="5"/>
  <c r="M575" i="5"/>
  <c r="GX573" i="5"/>
  <c r="O564" i="5"/>
  <c r="GX555" i="5"/>
  <c r="GX535" i="5"/>
  <c r="GX472" i="5"/>
  <c r="FN472" i="5"/>
  <c r="FQ472" i="5" s="1"/>
  <c r="JC472" i="5" s="1"/>
  <c r="JD472" i="5" s="1"/>
  <c r="JE472" i="5" s="1"/>
  <c r="DI472" i="5" s="1"/>
  <c r="HL463" i="5"/>
  <c r="HL465" i="5" s="1"/>
  <c r="GW452" i="5"/>
  <c r="GX432" i="5"/>
  <c r="M428" i="5"/>
  <c r="HH428" i="5" s="1"/>
  <c r="HH430" i="5" s="1"/>
  <c r="HL448" i="5"/>
  <c r="HL450" i="5" s="1"/>
  <c r="N591" i="5"/>
  <c r="HL506" i="5"/>
  <c r="HL508" i="5" s="1"/>
  <c r="HL491" i="5"/>
  <c r="HL493" i="5" s="1"/>
  <c r="JT764" i="5"/>
  <c r="FQ565" i="5"/>
  <c r="HL418" i="5"/>
  <c r="HL420" i="5" s="1"/>
  <c r="HL423" i="5"/>
  <c r="HL425" i="5" s="1"/>
  <c r="HL624" i="5"/>
  <c r="HL626" i="5" s="1"/>
  <c r="FX537" i="5"/>
  <c r="HL604" i="5"/>
  <c r="HL606" i="5" s="1"/>
  <c r="JP724" i="5"/>
  <c r="JR764" i="5"/>
  <c r="JT779" i="5"/>
  <c r="JT734" i="5"/>
  <c r="HL564" i="5"/>
  <c r="HL566" i="5" s="1"/>
  <c r="FQ464" i="5"/>
  <c r="HL453" i="5"/>
  <c r="HL455" i="5" s="1"/>
  <c r="HL486" i="5"/>
  <c r="HL488" i="5" s="1"/>
  <c r="JP764" i="5"/>
  <c r="JR779" i="5"/>
  <c r="JR754" i="5"/>
  <c r="JT729" i="5"/>
  <c r="JR656" i="5"/>
  <c r="JT691" i="5"/>
  <c r="JR711" i="5"/>
  <c r="JR666" i="5"/>
  <c r="JR573" i="5"/>
  <c r="JT583" i="5"/>
  <c r="HL438" i="5"/>
  <c r="HL440" i="5" s="1"/>
  <c r="FQ419" i="5"/>
  <c r="HL599" i="5"/>
  <c r="HL601" i="5" s="1"/>
  <c r="FQ527" i="5"/>
  <c r="N488" i="5"/>
  <c r="N601" i="5"/>
  <c r="JT724" i="5"/>
  <c r="JP779" i="5"/>
  <c r="JP754" i="5"/>
  <c r="JR729" i="5"/>
  <c r="JR701" i="5"/>
  <c r="JT711" i="5"/>
  <c r="JP666" i="5"/>
  <c r="JT681" i="5"/>
  <c r="M570" i="5"/>
  <c r="JP573" i="5"/>
  <c r="JR583" i="5"/>
  <c r="HL443" i="5"/>
  <c r="HL445" i="5" s="1"/>
  <c r="HL531" i="5"/>
  <c r="HL533" i="5" s="1"/>
  <c r="N498" i="5"/>
  <c r="FQ610" i="5"/>
  <c r="JR724" i="5"/>
  <c r="JP749" i="5"/>
  <c r="HL413" i="5"/>
  <c r="HL415" i="5" s="1"/>
  <c r="FQ557" i="5"/>
  <c r="FQ575" i="5"/>
  <c r="HL614" i="5"/>
  <c r="HL616" i="5" s="1"/>
  <c r="FX766" i="5"/>
  <c r="FX731" i="5"/>
  <c r="JT739" i="5"/>
  <c r="JT749" i="5"/>
  <c r="JR789" i="5"/>
  <c r="M424" i="5"/>
  <c r="FQ444" i="5"/>
  <c r="HL521" i="5"/>
  <c r="HL523" i="5" s="1"/>
  <c r="HL569" i="5"/>
  <c r="HL571" i="5" s="1"/>
  <c r="FQ580" i="5"/>
  <c r="HL584" i="5"/>
  <c r="HL586" i="5" s="1"/>
  <c r="HL619" i="5"/>
  <c r="HL621" i="5" s="1"/>
  <c r="JR739" i="5"/>
  <c r="JR749" i="5"/>
  <c r="JT789" i="5"/>
  <c r="JT774" i="5"/>
  <c r="JR676" i="5"/>
  <c r="JP701" i="5"/>
  <c r="JT706" i="5"/>
  <c r="JT671" i="5"/>
  <c r="JT641" i="5"/>
  <c r="FX658" i="5"/>
  <c r="N576" i="5"/>
  <c r="N581" i="5"/>
  <c r="JR608" i="5"/>
  <c r="HG599" i="5"/>
  <c r="HG601" i="5" s="1"/>
  <c r="N606" i="5"/>
  <c r="FQ429" i="5"/>
  <c r="FQ449" i="5"/>
  <c r="JT578" i="5"/>
  <c r="HL609" i="5"/>
  <c r="HL611" i="5" s="1"/>
  <c r="FQ605" i="5"/>
  <c r="JP739" i="5"/>
  <c r="JP789" i="5"/>
  <c r="JP774" i="5"/>
  <c r="JR734" i="5"/>
  <c r="JR759" i="5"/>
  <c r="JP729" i="5"/>
  <c r="JT686" i="5"/>
  <c r="JR671" i="5"/>
  <c r="JP641" i="5"/>
  <c r="M565" i="5"/>
  <c r="JR593" i="5"/>
  <c r="JP706" i="5"/>
  <c r="JR774" i="5"/>
  <c r="JT656" i="5"/>
  <c r="JR686" i="5"/>
  <c r="JP711" i="5"/>
  <c r="N566" i="5"/>
  <c r="JP583" i="5"/>
  <c r="HG584" i="5"/>
  <c r="HG586" i="5" s="1"/>
  <c r="JP759" i="5"/>
  <c r="JP686" i="5"/>
  <c r="JP671" i="5"/>
  <c r="JR641" i="5"/>
  <c r="JT593" i="5"/>
  <c r="M615" i="5"/>
  <c r="JT754" i="5"/>
  <c r="JR691" i="5"/>
  <c r="HG569" i="5"/>
  <c r="HG571" i="5" s="1"/>
  <c r="JR578" i="5"/>
  <c r="M600" i="5"/>
  <c r="FQ625" i="5"/>
  <c r="N621" i="5"/>
  <c r="HG634" i="5"/>
  <c r="HG636" i="5" s="1"/>
  <c r="N513" i="5"/>
  <c r="M522" i="5"/>
  <c r="M517" i="5"/>
  <c r="JR530" i="5"/>
  <c r="JR550" i="5"/>
  <c r="N548" i="5"/>
  <c r="N420" i="5"/>
  <c r="M419" i="5"/>
  <c r="N435" i="5"/>
  <c r="HG443" i="5"/>
  <c r="HG445" i="5" s="1"/>
  <c r="M464" i="5"/>
  <c r="JP656" i="5"/>
  <c r="JP691" i="5"/>
  <c r="JP608" i="5"/>
  <c r="N626" i="5"/>
  <c r="JP734" i="5"/>
  <c r="JT676" i="5"/>
  <c r="JT701" i="5"/>
  <c r="JT666" i="5"/>
  <c r="JR681" i="5"/>
  <c r="JT573" i="5"/>
  <c r="HG574" i="5"/>
  <c r="HG576" i="5" s="1"/>
  <c r="JP681" i="5"/>
  <c r="HL589" i="5"/>
  <c r="HL591" i="5" s="1"/>
  <c r="JP593" i="5"/>
  <c r="JR598" i="5"/>
  <c r="FQ620" i="5"/>
  <c r="N616" i="5"/>
  <c r="JT759" i="5"/>
  <c r="JP676" i="5"/>
  <c r="JR706" i="5"/>
  <c r="N571" i="5"/>
  <c r="HG564" i="5"/>
  <c r="HG566" i="5" s="1"/>
  <c r="M610" i="5"/>
  <c r="JP628" i="5"/>
  <c r="JP490" i="5"/>
  <c r="M512" i="5"/>
  <c r="N508" i="5"/>
  <c r="JP422" i="5"/>
  <c r="JP437" i="5"/>
  <c r="HG428" i="5"/>
  <c r="HG430" i="5" s="1"/>
  <c r="M444" i="5"/>
  <c r="HG448" i="5"/>
  <c r="HG450" i="5" s="1"/>
  <c r="M459" i="5"/>
  <c r="HG468" i="5"/>
  <c r="HG470" i="5" s="1"/>
  <c r="HG619" i="5"/>
  <c r="HG621" i="5" s="1"/>
  <c r="M630" i="5"/>
  <c r="JR628" i="5"/>
  <c r="M497" i="5"/>
  <c r="HG511" i="5"/>
  <c r="HG513" i="5" s="1"/>
  <c r="HG541" i="5"/>
  <c r="HG543" i="5" s="1"/>
  <c r="JT550" i="5"/>
  <c r="FX547" i="5"/>
  <c r="M507" i="5"/>
  <c r="N518" i="5"/>
  <c r="JP530" i="5"/>
  <c r="HG604" i="5"/>
  <c r="HG606" i="5" s="1"/>
  <c r="M492" i="5"/>
  <c r="M537" i="5"/>
  <c r="N528" i="5"/>
  <c r="M532" i="5"/>
  <c r="N543" i="5"/>
  <c r="HG556" i="5"/>
  <c r="HG558" i="5" s="1"/>
  <c r="HG418" i="5"/>
  <c r="HG420" i="5" s="1"/>
  <c r="FQ434" i="5"/>
  <c r="N450" i="5"/>
  <c r="HG463" i="5"/>
  <c r="HG465" i="5" s="1"/>
  <c r="M454" i="5"/>
  <c r="N455" i="5"/>
  <c r="JT472" i="5"/>
  <c r="M400" i="5"/>
  <c r="HH400" i="5" s="1"/>
  <c r="HH402" i="5" s="1"/>
  <c r="AG399" i="5"/>
  <c r="HL395" i="5"/>
  <c r="HL397" i="5" s="1"/>
  <c r="M395" i="5"/>
  <c r="HH395" i="5" s="1"/>
  <c r="HH397" i="5" s="1"/>
  <c r="O385" i="5"/>
  <c r="GX384" i="5"/>
  <c r="HC369" i="5"/>
  <c r="M361" i="5"/>
  <c r="HB354" i="5"/>
  <c r="O350" i="5"/>
  <c r="GW349" i="5"/>
  <c r="M345" i="5"/>
  <c r="HH345" i="5" s="1"/>
  <c r="HH347" i="5" s="1"/>
  <c r="HC339" i="5"/>
  <c r="N336" i="5"/>
  <c r="HB334" i="5"/>
  <c r="GW329" i="5"/>
  <c r="FN329" i="5"/>
  <c r="FP329" i="5" s="1"/>
  <c r="AG329" i="5"/>
  <c r="FQ507" i="5"/>
  <c r="HG521" i="5"/>
  <c r="HG523" i="5" s="1"/>
  <c r="HG501" i="5"/>
  <c r="HG503" i="5" s="1"/>
  <c r="JP550" i="5"/>
  <c r="FQ542" i="5"/>
  <c r="N558" i="5"/>
  <c r="JR422" i="5"/>
  <c r="HG589" i="5"/>
  <c r="HG591" i="5" s="1"/>
  <c r="M605" i="5"/>
  <c r="HG614" i="5"/>
  <c r="HG616" i="5" s="1"/>
  <c r="M625" i="5"/>
  <c r="FQ492" i="5"/>
  <c r="HG526" i="5"/>
  <c r="HG528" i="5" s="1"/>
  <c r="JT608" i="5"/>
  <c r="N611" i="5"/>
  <c r="N631" i="5"/>
  <c r="M487" i="5"/>
  <c r="HG546" i="5"/>
  <c r="HG548" i="5" s="1"/>
  <c r="JT437" i="5"/>
  <c r="FQ401" i="5"/>
  <c r="GX399" i="5"/>
  <c r="HG395" i="5"/>
  <c r="HG397" i="5" s="1"/>
  <c r="GX394" i="5"/>
  <c r="GN390" i="5"/>
  <c r="GN392" i="5" s="1"/>
  <c r="GW389" i="5"/>
  <c r="FN384" i="5"/>
  <c r="FP384" i="5" s="1"/>
  <c r="M380" i="5"/>
  <c r="HH380" i="5" s="1"/>
  <c r="HH382" i="5" s="1"/>
  <c r="HC379" i="5"/>
  <c r="N376" i="5"/>
  <c r="O375" i="5"/>
  <c r="GW374" i="5"/>
  <c r="M370" i="5"/>
  <c r="HH370" i="5" s="1"/>
  <c r="HH372" i="5" s="1"/>
  <c r="N366" i="5"/>
  <c r="GW364" i="5"/>
  <c r="HB359" i="5"/>
  <c r="M355" i="5"/>
  <c r="HH355" i="5" s="1"/>
  <c r="HH357" i="5" s="1"/>
  <c r="GX344" i="5"/>
  <c r="AG344" i="5"/>
  <c r="M340" i="5"/>
  <c r="HH340" i="5" s="1"/>
  <c r="HH342" i="5" s="1"/>
  <c r="M330" i="5"/>
  <c r="HH330" i="5" s="1"/>
  <c r="HH332" i="5" s="1"/>
  <c r="M620" i="5"/>
  <c r="N636" i="5"/>
  <c r="HG486" i="5"/>
  <c r="HG488" i="5" s="1"/>
  <c r="HG491" i="5"/>
  <c r="HG493" i="5" s="1"/>
  <c r="JT422" i="5"/>
  <c r="JR437" i="5"/>
  <c r="HC399" i="5"/>
  <c r="HC384" i="5"/>
  <c r="GN380" i="5"/>
  <c r="GN382" i="5" s="1"/>
  <c r="AG379" i="5"/>
  <c r="HG375" i="5"/>
  <c r="HG377" i="5" s="1"/>
  <c r="HB374" i="5"/>
  <c r="N372" i="5"/>
  <c r="FN364" i="5"/>
  <c r="FP364" i="5" s="1"/>
  <c r="O360" i="5"/>
  <c r="HC359" i="5"/>
  <c r="M356" i="5"/>
  <c r="HL355" i="5"/>
  <c r="HL357" i="5" s="1"/>
  <c r="GX354" i="5"/>
  <c r="FN354" i="5"/>
  <c r="FP354" i="5" s="1"/>
  <c r="AG354" i="5"/>
  <c r="O335" i="5"/>
  <c r="GX329" i="5"/>
  <c r="GN322" i="5"/>
  <c r="GN324" i="5" s="1"/>
  <c r="GW321" i="5"/>
  <c r="O317" i="5"/>
  <c r="HC311" i="5"/>
  <c r="HB306" i="5"/>
  <c r="FN306" i="5"/>
  <c r="FP306" i="5" s="1"/>
  <c r="M302" i="5"/>
  <c r="HH302" i="5" s="1"/>
  <c r="HH304" i="5" s="1"/>
  <c r="FQ298" i="5"/>
  <c r="HC296" i="5"/>
  <c r="GX291" i="5"/>
  <c r="HG516" i="5"/>
  <c r="HG518" i="5" s="1"/>
  <c r="HG433" i="5"/>
  <c r="HG435" i="5" s="1"/>
  <c r="HB399" i="5"/>
  <c r="M390" i="5"/>
  <c r="HH390" i="5" s="1"/>
  <c r="HH392" i="5" s="1"/>
  <c r="N387" i="5"/>
  <c r="HB384" i="5"/>
  <c r="O380" i="5"/>
  <c r="GX374" i="5"/>
  <c r="FN374" i="5"/>
  <c r="FQ374" i="5" s="1"/>
  <c r="JC374" i="5" s="1"/>
  <c r="JD374" i="5" s="1"/>
  <c r="JE374" i="5" s="1"/>
  <c r="DI374" i="5" s="1"/>
  <c r="HB369" i="5"/>
  <c r="FN369" i="5"/>
  <c r="FP369" i="5" s="1"/>
  <c r="GX359" i="5"/>
  <c r="AG359" i="5"/>
  <c r="GW354" i="5"/>
  <c r="HC349" i="5"/>
  <c r="FQ346" i="5"/>
  <c r="HC344" i="5"/>
  <c r="N331" i="5"/>
  <c r="O322" i="5"/>
  <c r="FN321" i="5"/>
  <c r="N313" i="5"/>
  <c r="HB311" i="5"/>
  <c r="GX306" i="5"/>
  <c r="HB296" i="5"/>
  <c r="N293" i="5"/>
  <c r="GW291" i="5"/>
  <c r="AG286" i="5"/>
  <c r="FN281" i="5"/>
  <c r="FP281" i="5" s="1"/>
  <c r="HG277" i="5"/>
  <c r="HG279" i="5" s="1"/>
  <c r="JR490" i="5"/>
  <c r="N523" i="5"/>
  <c r="M439" i="5"/>
  <c r="JP452" i="5"/>
  <c r="N480" i="5"/>
  <c r="M401" i="5"/>
  <c r="HB394" i="5"/>
  <c r="FN394" i="5"/>
  <c r="FP394" i="5" s="1"/>
  <c r="HC389" i="5"/>
  <c r="GW384" i="5"/>
  <c r="JT379" i="5"/>
  <c r="GX379" i="5"/>
  <c r="GN370" i="5"/>
  <c r="GN372" i="5" s="1"/>
  <c r="GW369" i="5"/>
  <c r="AG369" i="5"/>
  <c r="M366" i="5"/>
  <c r="O365" i="5"/>
  <c r="AG364" i="5"/>
  <c r="O355" i="5"/>
  <c r="GX349" i="5"/>
  <c r="GW344" i="5"/>
  <c r="N341" i="5"/>
  <c r="GX339" i="5"/>
  <c r="FQ331" i="5"/>
  <c r="GN330" i="5"/>
  <c r="GN332" i="5" s="1"/>
  <c r="M322" i="5"/>
  <c r="HH322" i="5" s="1"/>
  <c r="HH324" i="5" s="1"/>
  <c r="GN312" i="5"/>
  <c r="GN314" i="5" s="1"/>
  <c r="GW311" i="5"/>
  <c r="GN307" i="5"/>
  <c r="GN309" i="5" s="1"/>
  <c r="N303" i="5"/>
  <c r="HC301" i="5"/>
  <c r="O297" i="5"/>
  <c r="GW296" i="5"/>
  <c r="FN296" i="5"/>
  <c r="FP296" i="5" s="1"/>
  <c r="O292" i="5"/>
  <c r="FQ283" i="5"/>
  <c r="O282" i="5"/>
  <c r="O277" i="5"/>
  <c r="HB276" i="5"/>
  <c r="FQ273" i="5"/>
  <c r="GW271" i="5"/>
  <c r="M267" i="5"/>
  <c r="HH267" i="5" s="1"/>
  <c r="HH269" i="5" s="1"/>
  <c r="FN266" i="5"/>
  <c r="FP266" i="5" s="1"/>
  <c r="O262" i="5"/>
  <c r="GW261" i="5"/>
  <c r="O257" i="5"/>
  <c r="FN256" i="5"/>
  <c r="FP256" i="5" s="1"/>
  <c r="FQ253" i="5"/>
  <c r="N253" i="5"/>
  <c r="FN251" i="5"/>
  <c r="M244" i="5"/>
  <c r="HH244" i="5" s="1"/>
  <c r="HH246" i="5" s="1"/>
  <c r="O239" i="5"/>
  <c r="GW238" i="5"/>
  <c r="FN238" i="5"/>
  <c r="AG238" i="5"/>
  <c r="M234" i="5"/>
  <c r="HH234" i="5" s="1"/>
  <c r="HH236" i="5" s="1"/>
  <c r="HL229" i="5"/>
  <c r="HL231" i="5" s="1"/>
  <c r="FQ225" i="5"/>
  <c r="HB223" i="5"/>
  <c r="N430" i="5"/>
  <c r="FX454" i="5"/>
  <c r="JR472" i="5"/>
  <c r="GN400" i="5"/>
  <c r="GN402" i="5" s="1"/>
  <c r="FQ396" i="5"/>
  <c r="N396" i="5"/>
  <c r="GW394" i="5"/>
  <c r="HB389" i="5"/>
  <c r="N386" i="5"/>
  <c r="GN385" i="5"/>
  <c r="GN387" i="5" s="1"/>
  <c r="AG384" i="5"/>
  <c r="GW379" i="5"/>
  <c r="FQ376" i="5"/>
  <c r="M375" i="5"/>
  <c r="HH375" i="5" s="1"/>
  <c r="HH377" i="5" s="1"/>
  <c r="O370" i="5"/>
  <c r="N351" i="5"/>
  <c r="GN350" i="5"/>
  <c r="GN352" i="5" s="1"/>
  <c r="GN340" i="5"/>
  <c r="GN342" i="5" s="1"/>
  <c r="GW339" i="5"/>
  <c r="FN339" i="5"/>
  <c r="FP339" i="5" s="1"/>
  <c r="AG339" i="5"/>
  <c r="HC334" i="5"/>
  <c r="O330" i="5"/>
  <c r="N318" i="5"/>
  <c r="HC316" i="5"/>
  <c r="O312" i="5"/>
  <c r="FN311" i="5"/>
  <c r="FP311" i="5" s="1"/>
  <c r="O307" i="5"/>
  <c r="HB301" i="5"/>
  <c r="N299" i="5"/>
  <c r="AG296" i="5"/>
  <c r="HC286" i="5"/>
  <c r="HG624" i="5"/>
  <c r="HG626" i="5" s="1"/>
  <c r="JT628" i="5"/>
  <c r="FQ522" i="5"/>
  <c r="M527" i="5"/>
  <c r="N415" i="5"/>
  <c r="M449" i="5"/>
  <c r="N465" i="5"/>
  <c r="M469" i="5"/>
  <c r="O400" i="5"/>
  <c r="AG394" i="5"/>
  <c r="N391" i="5"/>
  <c r="GX389" i="5"/>
  <c r="FN389" i="5"/>
  <c r="FP389" i="5" s="1"/>
  <c r="FQ386" i="5"/>
  <c r="FN379" i="5"/>
  <c r="FQ379" i="5" s="1"/>
  <c r="JC379" i="5" s="1"/>
  <c r="JD379" i="5" s="1"/>
  <c r="JE379" i="5" s="1"/>
  <c r="DI379" i="5" s="1"/>
  <c r="M365" i="5"/>
  <c r="HH365" i="5" s="1"/>
  <c r="HH367" i="5" s="1"/>
  <c r="HC364" i="5"/>
  <c r="GN345" i="5"/>
  <c r="GN347" i="5" s="1"/>
  <c r="O340" i="5"/>
  <c r="GX334" i="5"/>
  <c r="HL322" i="5"/>
  <c r="HL324" i="5" s="1"/>
  <c r="HC321" i="5"/>
  <c r="FQ318" i="5"/>
  <c r="HB316" i="5"/>
  <c r="GN302" i="5"/>
  <c r="GN304" i="5" s="1"/>
  <c r="GX301" i="5"/>
  <c r="M297" i="5"/>
  <c r="HH297" i="5" s="1"/>
  <c r="HH299" i="5" s="1"/>
  <c r="N294" i="5"/>
  <c r="M292" i="5"/>
  <c r="HH292" i="5" s="1"/>
  <c r="HH294" i="5" s="1"/>
  <c r="N288" i="5"/>
  <c r="HB286" i="5"/>
  <c r="M283" i="5"/>
  <c r="M282" i="5"/>
  <c r="HH282" i="5" s="1"/>
  <c r="HH284" i="5" s="1"/>
  <c r="HB281" i="5"/>
  <c r="N278" i="5"/>
  <c r="HL277" i="5"/>
  <c r="HL279" i="5" s="1"/>
  <c r="M277" i="5"/>
  <c r="HH277" i="5" s="1"/>
  <c r="HH279" i="5" s="1"/>
  <c r="HG536" i="5"/>
  <c r="HG538" i="5" s="1"/>
  <c r="JT530" i="5"/>
  <c r="N445" i="5"/>
  <c r="N402" i="5"/>
  <c r="GN395" i="5"/>
  <c r="GN397" i="5" s="1"/>
  <c r="M385" i="5"/>
  <c r="HH385" i="5" s="1"/>
  <c r="HH387" i="5" s="1"/>
  <c r="N381" i="5"/>
  <c r="HL380" i="5"/>
  <c r="HL382" i="5" s="1"/>
  <c r="M376" i="5"/>
  <c r="JP369" i="5"/>
  <c r="HB364" i="5"/>
  <c r="HG360" i="5"/>
  <c r="HG362" i="5" s="1"/>
  <c r="M350" i="5"/>
  <c r="HH350" i="5" s="1"/>
  <c r="HH352" i="5" s="1"/>
  <c r="AG349" i="5"/>
  <c r="O345" i="5"/>
  <c r="HG335" i="5"/>
  <c r="HG337" i="5" s="1"/>
  <c r="GW334" i="5"/>
  <c r="FN334" i="5"/>
  <c r="FQ334" i="5" s="1"/>
  <c r="JC334" i="5" s="1"/>
  <c r="JD334" i="5" s="1"/>
  <c r="JE334" i="5" s="1"/>
  <c r="DI334" i="5" s="1"/>
  <c r="AG334" i="5"/>
  <c r="HC329" i="5"/>
  <c r="N323" i="5"/>
  <c r="HB321" i="5"/>
  <c r="HG317" i="5"/>
  <c r="HG319" i="5" s="1"/>
  <c r="GX316" i="5"/>
  <c r="FN316" i="5"/>
  <c r="FP316" i="5" s="1"/>
  <c r="AG316" i="5"/>
  <c r="M312" i="5"/>
  <c r="HH312" i="5" s="1"/>
  <c r="HH314" i="5" s="1"/>
  <c r="M307" i="5"/>
  <c r="HH307" i="5" s="1"/>
  <c r="HH309" i="5" s="1"/>
  <c r="AG306" i="5"/>
  <c r="O302" i="5"/>
  <c r="GW301" i="5"/>
  <c r="HL297" i="5"/>
  <c r="HL299" i="5" s="1"/>
  <c r="HC291" i="5"/>
  <c r="N538" i="5"/>
  <c r="FQ547" i="5"/>
  <c r="O395" i="5"/>
  <c r="O390" i="5"/>
  <c r="AG389" i="5"/>
  <c r="HC374" i="5"/>
  <c r="GX364" i="5"/>
  <c r="N361" i="5"/>
  <c r="GN360" i="5"/>
  <c r="GN362" i="5" s="1"/>
  <c r="N356" i="5"/>
  <c r="HC354" i="5"/>
  <c r="N346" i="5"/>
  <c r="GN335" i="5"/>
  <c r="GN337" i="5" s="1"/>
  <c r="HB329" i="5"/>
  <c r="M323" i="5"/>
  <c r="GX321" i="5"/>
  <c r="GN317" i="5"/>
  <c r="GN319" i="5" s="1"/>
  <c r="GW316" i="5"/>
  <c r="HL312" i="5"/>
  <c r="HL314" i="5" s="1"/>
  <c r="HC306" i="5"/>
  <c r="FN301" i="5"/>
  <c r="FP301" i="5" s="1"/>
  <c r="N298" i="5"/>
  <c r="HB291" i="5"/>
  <c r="FN291" i="5"/>
  <c r="FP291" i="5" s="1"/>
  <c r="GN287" i="5"/>
  <c r="GN289" i="5" s="1"/>
  <c r="GW286" i="5"/>
  <c r="FN286" i="5"/>
  <c r="FP286" i="5" s="1"/>
  <c r="JT281" i="5"/>
  <c r="GX281" i="5"/>
  <c r="FN276" i="5"/>
  <c r="FP276" i="5" s="1"/>
  <c r="HG272" i="5"/>
  <c r="HG274" i="5" s="1"/>
  <c r="N268" i="5"/>
  <c r="HB266" i="5"/>
  <c r="FQ263" i="5"/>
  <c r="N263" i="5"/>
  <c r="M258" i="5"/>
  <c r="HC256" i="5"/>
  <c r="HB251" i="5"/>
  <c r="GX243" i="5"/>
  <c r="M235" i="5"/>
  <c r="HG234" i="5"/>
  <c r="HG236" i="5" s="1"/>
  <c r="GX233" i="5"/>
  <c r="FN233" i="5"/>
  <c r="O229" i="5"/>
  <c r="GX228" i="5"/>
  <c r="JT490" i="5"/>
  <c r="N440" i="5"/>
  <c r="M335" i="5"/>
  <c r="HH335" i="5" s="1"/>
  <c r="HH337" i="5" s="1"/>
  <c r="N284" i="5"/>
  <c r="N273" i="5"/>
  <c r="GN267" i="5"/>
  <c r="GN269" i="5" s="1"/>
  <c r="HG262" i="5"/>
  <c r="HG264" i="5" s="1"/>
  <c r="GX261" i="5"/>
  <c r="FN261" i="5"/>
  <c r="FP261" i="5" s="1"/>
  <c r="N258" i="5"/>
  <c r="GW256" i="5"/>
  <c r="AG256" i="5"/>
  <c r="M252" i="5"/>
  <c r="HH252" i="5" s="1"/>
  <c r="HH254" i="5" s="1"/>
  <c r="GX251" i="5"/>
  <c r="M224" i="5"/>
  <c r="HH224" i="5" s="1"/>
  <c r="HH226" i="5" s="1"/>
  <c r="HC198" i="5"/>
  <c r="GX178" i="5"/>
  <c r="N175" i="5"/>
  <c r="HB173" i="5"/>
  <c r="FN173" i="5"/>
  <c r="GW306" i="5"/>
  <c r="GX286" i="5"/>
  <c r="GN282" i="5"/>
  <c r="GN284" i="5" s="1"/>
  <c r="GW281" i="5"/>
  <c r="AG281" i="5"/>
  <c r="HC276" i="5"/>
  <c r="AG276" i="5"/>
  <c r="M273" i="5"/>
  <c r="O267" i="5"/>
  <c r="AG261" i="5"/>
  <c r="GW251" i="5"/>
  <c r="AG251" i="5"/>
  <c r="GN244" i="5"/>
  <c r="GN246" i="5" s="1"/>
  <c r="FN243" i="5"/>
  <c r="FP243" i="5" s="1"/>
  <c r="M239" i="5"/>
  <c r="HH239" i="5" s="1"/>
  <c r="HH241" i="5" s="1"/>
  <c r="M219" i="5"/>
  <c r="HH219" i="5" s="1"/>
  <c r="HH221" i="5" s="1"/>
  <c r="HB213" i="5"/>
  <c r="AG208" i="5"/>
  <c r="GX203" i="5"/>
  <c r="N200" i="5"/>
  <c r="HB198" i="5"/>
  <c r="N195" i="5"/>
  <c r="HB193" i="5"/>
  <c r="HC188" i="5"/>
  <c r="GN179" i="5"/>
  <c r="GN181" i="5" s="1"/>
  <c r="GW178" i="5"/>
  <c r="AG178" i="5"/>
  <c r="GN174" i="5"/>
  <c r="GN176" i="5" s="1"/>
  <c r="GX173" i="5"/>
  <c r="AG173" i="5"/>
  <c r="GN257" i="5"/>
  <c r="GN259" i="5" s="1"/>
  <c r="O244" i="5"/>
  <c r="AG243" i="5"/>
  <c r="HC233" i="5"/>
  <c r="AG233" i="5"/>
  <c r="HC228" i="5"/>
  <c r="HL224" i="5"/>
  <c r="HL226" i="5" s="1"/>
  <c r="HC223" i="5"/>
  <c r="HC218" i="5"/>
  <c r="N206" i="5"/>
  <c r="M204" i="5"/>
  <c r="HH204" i="5" s="1"/>
  <c r="HH206" i="5" s="1"/>
  <c r="GX198" i="5"/>
  <c r="N410" i="5"/>
  <c r="JT452" i="5"/>
  <c r="HL400" i="5"/>
  <c r="HL402" i="5" s="1"/>
  <c r="HC394" i="5"/>
  <c r="N371" i="5"/>
  <c r="FN349" i="5"/>
  <c r="HB339" i="5"/>
  <c r="N308" i="5"/>
  <c r="GN297" i="5"/>
  <c r="GN299" i="5" s="1"/>
  <c r="GX276" i="5"/>
  <c r="GN262" i="5"/>
  <c r="GN264" i="5" s="1"/>
  <c r="AG218" i="5"/>
  <c r="GN214" i="5"/>
  <c r="GN216" i="5" s="1"/>
  <c r="GX213" i="5"/>
  <c r="GW203" i="5"/>
  <c r="GN199" i="5"/>
  <c r="GN201" i="5" s="1"/>
  <c r="FQ195" i="5"/>
  <c r="GN194" i="5"/>
  <c r="GN196" i="5" s="1"/>
  <c r="GX193" i="5"/>
  <c r="HB379" i="5"/>
  <c r="GN365" i="5"/>
  <c r="GN367" i="5" s="1"/>
  <c r="FN344" i="5"/>
  <c r="GN277" i="5"/>
  <c r="GN279" i="5" s="1"/>
  <c r="GW276" i="5"/>
  <c r="HC271" i="5"/>
  <c r="AG266" i="5"/>
  <c r="N245" i="5"/>
  <c r="HB233" i="5"/>
  <c r="HB228" i="5"/>
  <c r="AG228" i="5"/>
  <c r="GX223" i="5"/>
  <c r="HB218" i="5"/>
  <c r="FN218" i="5"/>
  <c r="FP218" i="5" s="1"/>
  <c r="O214" i="5"/>
  <c r="GW213" i="5"/>
  <c r="FN203" i="5"/>
  <c r="FP203" i="5" s="1"/>
  <c r="AG203" i="5"/>
  <c r="O199" i="5"/>
  <c r="GW198" i="5"/>
  <c r="FN198" i="5"/>
  <c r="FP198" i="5" s="1"/>
  <c r="O194" i="5"/>
  <c r="GW193" i="5"/>
  <c r="FQ190" i="5"/>
  <c r="HG189" i="5"/>
  <c r="HG191" i="5" s="1"/>
  <c r="GX188" i="5"/>
  <c r="FN188" i="5"/>
  <c r="FP188" i="5" s="1"/>
  <c r="AG188" i="5"/>
  <c r="HC183" i="5"/>
  <c r="GN272" i="5"/>
  <c r="GN274" i="5" s="1"/>
  <c r="HG252" i="5"/>
  <c r="HG254" i="5" s="1"/>
  <c r="HC238" i="5"/>
  <c r="GW233" i="5"/>
  <c r="FQ230" i="5"/>
  <c r="N230" i="5"/>
  <c r="GW228" i="5"/>
  <c r="FN228" i="5"/>
  <c r="FP228" i="5" s="1"/>
  <c r="FN223" i="5"/>
  <c r="GX218" i="5"/>
  <c r="N210" i="5"/>
  <c r="HC208" i="5"/>
  <c r="GN189" i="5"/>
  <c r="GN191" i="5" s="1"/>
  <c r="HG184" i="5"/>
  <c r="HG186" i="5" s="1"/>
  <c r="HB188" i="5"/>
  <c r="FQ175" i="5"/>
  <c r="GN375" i="5"/>
  <c r="GN377" i="5" s="1"/>
  <c r="GX369" i="5"/>
  <c r="GN355" i="5"/>
  <c r="GN357" i="5" s="1"/>
  <c r="HB349" i="5"/>
  <c r="HB344" i="5"/>
  <c r="HL340" i="5"/>
  <c r="HL342" i="5" s="1"/>
  <c r="M317" i="5"/>
  <c r="HH317" i="5" s="1"/>
  <c r="HH319" i="5" s="1"/>
  <c r="AG291" i="5"/>
  <c r="HL282" i="5"/>
  <c r="HL284" i="5" s="1"/>
  <c r="HB271" i="5"/>
  <c r="FN271" i="5"/>
  <c r="FP271" i="5" s="1"/>
  <c r="N264" i="5"/>
  <c r="M262" i="5"/>
  <c r="HH262" i="5" s="1"/>
  <c r="HH264" i="5" s="1"/>
  <c r="M257" i="5"/>
  <c r="HH257" i="5" s="1"/>
  <c r="HH259" i="5" s="1"/>
  <c r="GN229" i="5"/>
  <c r="GN231" i="5" s="1"/>
  <c r="GW223" i="5"/>
  <c r="FQ210" i="5"/>
  <c r="HL204" i="5"/>
  <c r="HL206" i="5" s="1"/>
  <c r="GW188" i="5"/>
  <c r="N185" i="5"/>
  <c r="HB183" i="5"/>
  <c r="M179" i="5"/>
  <c r="HH179" i="5" s="1"/>
  <c r="HH181" i="5" s="1"/>
  <c r="M174" i="5"/>
  <c r="HH174" i="5" s="1"/>
  <c r="HH176" i="5" s="1"/>
  <c r="N190" i="5"/>
  <c r="O179" i="5"/>
  <c r="O174" i="5"/>
  <c r="N401" i="5"/>
  <c r="FN399" i="5"/>
  <c r="FP399" i="5" s="1"/>
  <c r="AG374" i="5"/>
  <c r="GW359" i="5"/>
  <c r="FN359" i="5"/>
  <c r="FP359" i="5" s="1"/>
  <c r="GX296" i="5"/>
  <c r="O287" i="5"/>
  <c r="JP276" i="5"/>
  <c r="O272" i="5"/>
  <c r="GX271" i="5"/>
  <c r="HC266" i="5"/>
  <c r="GN252" i="5"/>
  <c r="GN254" i="5" s="1"/>
  <c r="HC243" i="5"/>
  <c r="HB238" i="5"/>
  <c r="M230" i="5"/>
  <c r="N225" i="5"/>
  <c r="GN224" i="5"/>
  <c r="GN226" i="5" s="1"/>
  <c r="AG223" i="5"/>
  <c r="N220" i="5"/>
  <c r="GW218" i="5"/>
  <c r="N215" i="5"/>
  <c r="M214" i="5"/>
  <c r="HH214" i="5" s="1"/>
  <c r="HH216" i="5" s="1"/>
  <c r="GN209" i="5"/>
  <c r="GN211" i="5" s="1"/>
  <c r="HB208" i="5"/>
  <c r="N205" i="5"/>
  <c r="M199" i="5"/>
  <c r="HH199" i="5" s="1"/>
  <c r="HH201" i="5" s="1"/>
  <c r="M194" i="5"/>
  <c r="HH194" i="5" s="1"/>
  <c r="HH196" i="5" s="1"/>
  <c r="FN193" i="5"/>
  <c r="FP193" i="5" s="1"/>
  <c r="O189" i="5"/>
  <c r="GN184" i="5"/>
  <c r="GN186" i="5" s="1"/>
  <c r="GX183" i="5"/>
  <c r="FN183" i="5"/>
  <c r="FP183" i="5" s="1"/>
  <c r="HL257" i="5"/>
  <c r="HL259" i="5" s="1"/>
  <c r="GX238" i="5"/>
  <c r="GN234" i="5"/>
  <c r="GN236" i="5" s="1"/>
  <c r="O224" i="5"/>
  <c r="GN219" i="5"/>
  <c r="GN221" i="5" s="1"/>
  <c r="HL214" i="5"/>
  <c r="HL216" i="5" s="1"/>
  <c r="GW183" i="5"/>
  <c r="N180" i="5"/>
  <c r="GW173" i="5"/>
  <c r="N493" i="5"/>
  <c r="GW399" i="5"/>
  <c r="AG271" i="5"/>
  <c r="HL267" i="5"/>
  <c r="HL269" i="5" s="1"/>
  <c r="GX266" i="5"/>
  <c r="HC261" i="5"/>
  <c r="HB256" i="5"/>
  <c r="O252" i="5"/>
  <c r="HC251" i="5"/>
  <c r="HB243" i="5"/>
  <c r="FQ240" i="5"/>
  <c r="N240" i="5"/>
  <c r="N235" i="5"/>
  <c r="M229" i="5"/>
  <c r="HH229" i="5" s="1"/>
  <c r="HH231" i="5" s="1"/>
  <c r="M215" i="5"/>
  <c r="FN213" i="5"/>
  <c r="FP213" i="5" s="1"/>
  <c r="O209" i="5"/>
  <c r="GX208" i="5"/>
  <c r="FQ205" i="5"/>
  <c r="HC203" i="5"/>
  <c r="AG198" i="5"/>
  <c r="AG193" i="5"/>
  <c r="O184" i="5"/>
  <c r="HC178" i="5"/>
  <c r="M360" i="5"/>
  <c r="HH360" i="5" s="1"/>
  <c r="HH362" i="5" s="1"/>
  <c r="AG321" i="5"/>
  <c r="GX311" i="5"/>
  <c r="AG311" i="5"/>
  <c r="AG301" i="5"/>
  <c r="GN292" i="5"/>
  <c r="GN294" i="5" s="1"/>
  <c r="M287" i="5"/>
  <c r="HH287" i="5" s="1"/>
  <c r="HH289" i="5" s="1"/>
  <c r="N283" i="5"/>
  <c r="HG282" i="5"/>
  <c r="HG284" i="5" s="1"/>
  <c r="HC281" i="5"/>
  <c r="M272" i="5"/>
  <c r="HH272" i="5" s="1"/>
  <c r="HH274" i="5" s="1"/>
  <c r="GW266" i="5"/>
  <c r="HB261" i="5"/>
  <c r="GX256" i="5"/>
  <c r="GW243" i="5"/>
  <c r="M240" i="5"/>
  <c r="GN239" i="5"/>
  <c r="GN241" i="5" s="1"/>
  <c r="O234" i="5"/>
  <c r="O219" i="5"/>
  <c r="GW208" i="5"/>
  <c r="GN204" i="5"/>
  <c r="GN206" i="5" s="1"/>
  <c r="HB203" i="5"/>
  <c r="HL194" i="5"/>
  <c r="HL196" i="5" s="1"/>
  <c r="M189" i="5"/>
  <c r="HH189" i="5" s="1"/>
  <c r="HH191" i="5" s="1"/>
  <c r="AG183" i="5"/>
  <c r="M180" i="5"/>
  <c r="HB178" i="5"/>
  <c r="HC173" i="5"/>
  <c r="HC213" i="5"/>
  <c r="AG213" i="5"/>
  <c r="M209" i="5"/>
  <c r="HH209" i="5" s="1"/>
  <c r="HH211" i="5" s="1"/>
  <c r="FN208" i="5"/>
  <c r="FP208" i="5" s="1"/>
  <c r="O204" i="5"/>
  <c r="HC193" i="5"/>
  <c r="M184" i="5"/>
  <c r="HH184" i="5" s="1"/>
  <c r="HH186" i="5" s="1"/>
  <c r="HG179" i="5"/>
  <c r="HG181" i="5" s="1"/>
  <c r="FN178" i="5"/>
  <c r="FQ366" i="5"/>
  <c r="HL219" i="5"/>
  <c r="HL221" i="5" s="1"/>
  <c r="FQ308" i="5"/>
  <c r="M313" i="5"/>
  <c r="FQ293" i="5"/>
  <c r="M298" i="5"/>
  <c r="HL370" i="5"/>
  <c r="HL372" i="5" s="1"/>
  <c r="FX756" i="5"/>
  <c r="FX781" i="5"/>
  <c r="FX736" i="5"/>
  <c r="FX693" i="5"/>
  <c r="JR588" i="5"/>
  <c r="JR633" i="5"/>
  <c r="JT603" i="5"/>
  <c r="JT515" i="5"/>
  <c r="HL184" i="5"/>
  <c r="HL186" i="5" s="1"/>
  <c r="M336" i="5"/>
  <c r="HL179" i="5"/>
  <c r="HL181" i="5" s="1"/>
  <c r="HL317" i="5"/>
  <c r="HL319" i="5" s="1"/>
  <c r="HL307" i="5"/>
  <c r="HL309" i="5" s="1"/>
  <c r="FQ381" i="5"/>
  <c r="FX721" i="5"/>
  <c r="FX683" i="5"/>
  <c r="FX678" i="5"/>
  <c r="JT588" i="5"/>
  <c r="JT633" i="5"/>
  <c r="JT613" i="5"/>
  <c r="JP505" i="5"/>
  <c r="JT525" i="5"/>
  <c r="JP540" i="5"/>
  <c r="JR510" i="5"/>
  <c r="JR520" i="5"/>
  <c r="JR485" i="5"/>
  <c r="JT477" i="5"/>
  <c r="JT462" i="5"/>
  <c r="HL239" i="5"/>
  <c r="HL241" i="5" s="1"/>
  <c r="HL189" i="5"/>
  <c r="HL191" i="5" s="1"/>
  <c r="HL209" i="5"/>
  <c r="HL211" i="5" s="1"/>
  <c r="HL335" i="5"/>
  <c r="HL337" i="5" s="1"/>
  <c r="HL345" i="5"/>
  <c r="HL347" i="5" s="1"/>
  <c r="FQ323" i="5"/>
  <c r="HL350" i="5"/>
  <c r="HL352" i="5" s="1"/>
  <c r="FX746" i="5"/>
  <c r="N254" i="5"/>
  <c r="FQ200" i="5"/>
  <c r="HL252" i="5"/>
  <c r="HL254" i="5" s="1"/>
  <c r="FQ391" i="5"/>
  <c r="HL360" i="5"/>
  <c r="HL362" i="5" s="1"/>
  <c r="FQ361" i="5"/>
  <c r="HL365" i="5"/>
  <c r="HL367" i="5" s="1"/>
  <c r="FX741" i="5"/>
  <c r="FX726" i="5"/>
  <c r="FX653" i="5"/>
  <c r="JP588" i="5"/>
  <c r="JT563" i="5"/>
  <c r="JR613" i="5"/>
  <c r="JR568" i="5"/>
  <c r="JP623" i="5"/>
  <c r="JR500" i="5"/>
  <c r="JT535" i="5"/>
  <c r="JR515" i="5"/>
  <c r="JR462" i="5"/>
  <c r="JP407" i="5"/>
  <c r="JP417" i="5"/>
  <c r="HG345" i="5"/>
  <c r="HG347" i="5" s="1"/>
  <c r="JR354" i="5"/>
  <c r="M341" i="5"/>
  <c r="JR364" i="5"/>
  <c r="HG355" i="5"/>
  <c r="HG357" i="5" s="1"/>
  <c r="N362" i="5"/>
  <c r="JT369" i="5"/>
  <c r="N367" i="5"/>
  <c r="HG365" i="5"/>
  <c r="HG367" i="5" s="1"/>
  <c r="N382" i="5"/>
  <c r="HG380" i="5"/>
  <c r="HG382" i="5" s="1"/>
  <c r="JT261" i="5"/>
  <c r="HG267" i="5"/>
  <c r="HG269" i="5" s="1"/>
  <c r="FQ268" i="5"/>
  <c r="HL272" i="5"/>
  <c r="HL274" i="5" s="1"/>
  <c r="HL234" i="5"/>
  <c r="HL236" i="5" s="1"/>
  <c r="FQ341" i="5"/>
  <c r="N397" i="5"/>
  <c r="FX708" i="5"/>
  <c r="JR563" i="5"/>
  <c r="JR603" i="5"/>
  <c r="JP613" i="5"/>
  <c r="JP568" i="5"/>
  <c r="JR623" i="5"/>
  <c r="JP500" i="5"/>
  <c r="FQ215" i="5"/>
  <c r="FQ235" i="5"/>
  <c r="HL244" i="5"/>
  <c r="HL246" i="5" s="1"/>
  <c r="HL375" i="5"/>
  <c r="HL377" i="5" s="1"/>
  <c r="HL292" i="5"/>
  <c r="HL294" i="5" s="1"/>
  <c r="FX771" i="5"/>
  <c r="FX751" i="5"/>
  <c r="FX786" i="5"/>
  <c r="FX703" i="5"/>
  <c r="FX688" i="5"/>
  <c r="FX713" i="5"/>
  <c r="FX668" i="5"/>
  <c r="JR618" i="5"/>
  <c r="JT623" i="5"/>
  <c r="JT555" i="5"/>
  <c r="JR525" i="5"/>
  <c r="FX497" i="5"/>
  <c r="JP485" i="5"/>
  <c r="JP412" i="5"/>
  <c r="HL174" i="5"/>
  <c r="HL176" i="5" s="1"/>
  <c r="HL385" i="5"/>
  <c r="HL387" i="5" s="1"/>
  <c r="FQ245" i="5"/>
  <c r="HL302" i="5"/>
  <c r="HL304" i="5" s="1"/>
  <c r="FX698" i="5"/>
  <c r="FX648" i="5"/>
  <c r="FX643" i="5"/>
  <c r="JP618" i="5"/>
  <c r="JT500" i="5"/>
  <c r="JP555" i="5"/>
  <c r="JP515" i="5"/>
  <c r="JT540" i="5"/>
  <c r="HL199" i="5"/>
  <c r="HL201" i="5" s="1"/>
  <c r="HL262" i="5"/>
  <c r="HL264" i="5" s="1"/>
  <c r="HL287" i="5"/>
  <c r="HL289" i="5" s="1"/>
  <c r="HL390" i="5"/>
  <c r="HL392" i="5" s="1"/>
  <c r="HG390" i="5"/>
  <c r="HG392" i="5" s="1"/>
  <c r="HL330" i="5"/>
  <c r="HL332" i="5" s="1"/>
  <c r="FX761" i="5"/>
  <c r="FX776" i="5"/>
  <c r="FX663" i="5"/>
  <c r="JP563" i="5"/>
  <c r="JP603" i="5"/>
  <c r="JR505" i="5"/>
  <c r="JP535" i="5"/>
  <c r="JP525" i="5"/>
  <c r="JR540" i="5"/>
  <c r="JT495" i="5"/>
  <c r="JT467" i="5"/>
  <c r="JR432" i="5"/>
  <c r="JT427" i="5"/>
  <c r="JT354" i="5"/>
  <c r="JT359" i="5"/>
  <c r="M351" i="5"/>
  <c r="N342" i="5"/>
  <c r="HG350" i="5"/>
  <c r="HG352" i="5" s="1"/>
  <c r="HG370" i="5"/>
  <c r="HG372" i="5" s="1"/>
  <c r="JR545" i="5"/>
  <c r="JP447" i="5"/>
  <c r="JP427" i="5"/>
  <c r="FQ356" i="5"/>
  <c r="M396" i="5"/>
  <c r="JT251" i="5"/>
  <c r="JR276" i="5"/>
  <c r="FQ303" i="5"/>
  <c r="M175" i="5"/>
  <c r="FQ220" i="5"/>
  <c r="HG209" i="5"/>
  <c r="HG211" i="5" s="1"/>
  <c r="N231" i="5"/>
  <c r="HG224" i="5"/>
  <c r="HG226" i="5" s="1"/>
  <c r="FQ167" i="5"/>
  <c r="M167" i="5"/>
  <c r="GX165" i="5"/>
  <c r="N163" i="5"/>
  <c r="HL161" i="5"/>
  <c r="HL163" i="5" s="1"/>
  <c r="FQ157" i="5"/>
  <c r="GN156" i="5"/>
  <c r="GN158" i="5" s="1"/>
  <c r="HB155" i="5"/>
  <c r="N152" i="5"/>
  <c r="HL151" i="5"/>
  <c r="HL153" i="5" s="1"/>
  <c r="GX150" i="5"/>
  <c r="JT145" i="5"/>
  <c r="GN141" i="5"/>
  <c r="GN143" i="5" s="1"/>
  <c r="GW140" i="5"/>
  <c r="FN135" i="5"/>
  <c r="FP135" i="5" s="1"/>
  <c r="JT568" i="5"/>
  <c r="JT485" i="5"/>
  <c r="JP477" i="5"/>
  <c r="JT417" i="5"/>
  <c r="JP339" i="5"/>
  <c r="HG330" i="5"/>
  <c r="HG332" i="5" s="1"/>
  <c r="FQ336" i="5"/>
  <c r="JP379" i="5"/>
  <c r="HG400" i="5"/>
  <c r="HG402" i="5" s="1"/>
  <c r="JP261" i="5"/>
  <c r="M268" i="5"/>
  <c r="FQ278" i="5"/>
  <c r="M293" i="5"/>
  <c r="HG287" i="5"/>
  <c r="HG289" i="5" s="1"/>
  <c r="HG302" i="5"/>
  <c r="HG304" i="5" s="1"/>
  <c r="M303" i="5"/>
  <c r="N324" i="5"/>
  <c r="M190" i="5"/>
  <c r="M200" i="5"/>
  <c r="M245" i="5"/>
  <c r="GN166" i="5"/>
  <c r="GN168" i="5" s="1"/>
  <c r="GW165" i="5"/>
  <c r="FN165" i="5"/>
  <c r="N162" i="5"/>
  <c r="O156" i="5"/>
  <c r="GX155" i="5"/>
  <c r="M152" i="5"/>
  <c r="GW150" i="5"/>
  <c r="FN150" i="5"/>
  <c r="N147" i="5"/>
  <c r="HG146" i="5"/>
  <c r="HG148" i="5" s="1"/>
  <c r="JP145" i="5"/>
  <c r="O141" i="5"/>
  <c r="FN140" i="5"/>
  <c r="M136" i="5"/>
  <c r="HH136" i="5" s="1"/>
  <c r="HH138" i="5" s="1"/>
  <c r="HL131" i="5"/>
  <c r="HL133" i="5" s="1"/>
  <c r="AG125" i="5"/>
  <c r="FN120" i="5"/>
  <c r="HG116" i="5"/>
  <c r="HG118" i="5" s="1"/>
  <c r="JR115" i="5"/>
  <c r="HL111" i="5"/>
  <c r="HL113" i="5" s="1"/>
  <c r="HC110" i="5"/>
  <c r="O106" i="5"/>
  <c r="FN105" i="5"/>
  <c r="N103" i="5"/>
  <c r="GN101" i="5"/>
  <c r="GN103" i="5" s="1"/>
  <c r="HC100" i="5"/>
  <c r="FQ97" i="5"/>
  <c r="GN96" i="5"/>
  <c r="GN98" i="5" s="1"/>
  <c r="GW95" i="5"/>
  <c r="GW87" i="5"/>
  <c r="FQ84" i="5"/>
  <c r="O83" i="5"/>
  <c r="GW82" i="5"/>
  <c r="O78" i="5"/>
  <c r="HC72" i="5"/>
  <c r="AG67" i="5"/>
  <c r="HL63" i="5"/>
  <c r="HL65" i="5" s="1"/>
  <c r="HC62" i="5"/>
  <c r="JR535" i="5"/>
  <c r="JP495" i="5"/>
  <c r="JT510" i="5"/>
  <c r="JR417" i="5"/>
  <c r="N347" i="5"/>
  <c r="M331" i="5"/>
  <c r="N332" i="5"/>
  <c r="FQ351" i="5"/>
  <c r="JR379" i="5"/>
  <c r="N377" i="5"/>
  <c r="N259" i="5"/>
  <c r="FQ258" i="5"/>
  <c r="JP281" i="5"/>
  <c r="HG297" i="5"/>
  <c r="HG299" i="5" s="1"/>
  <c r="JT316" i="5"/>
  <c r="N186" i="5"/>
  <c r="N196" i="5"/>
  <c r="N181" i="5"/>
  <c r="HG219" i="5"/>
  <c r="HG221" i="5" s="1"/>
  <c r="N216" i="5"/>
  <c r="HG214" i="5"/>
  <c r="HG216" i="5" s="1"/>
  <c r="N236" i="5"/>
  <c r="O166" i="5"/>
  <c r="AG165" i="5"/>
  <c r="M162" i="5"/>
  <c r="HC160" i="5"/>
  <c r="GW155" i="5"/>
  <c r="FN155" i="5"/>
  <c r="FQ155" i="5" s="1"/>
  <c r="JC155" i="5" s="1"/>
  <c r="JD155" i="5" s="1"/>
  <c r="JE155" i="5" s="1"/>
  <c r="DI155" i="5" s="1"/>
  <c r="FQ147" i="5"/>
  <c r="M147" i="5"/>
  <c r="GX145" i="5"/>
  <c r="AG135" i="5"/>
  <c r="N132" i="5"/>
  <c r="FN130" i="5"/>
  <c r="M126" i="5"/>
  <c r="HH126" i="5" s="1"/>
  <c r="HH128" i="5" s="1"/>
  <c r="M121" i="5"/>
  <c r="HH121" i="5" s="1"/>
  <c r="HH123" i="5" s="1"/>
  <c r="JP115" i="5"/>
  <c r="N112" i="5"/>
  <c r="HB110" i="5"/>
  <c r="AG105" i="5"/>
  <c r="O101" i="5"/>
  <c r="HB100" i="5"/>
  <c r="O96" i="5"/>
  <c r="FN95" i="5"/>
  <c r="FQ95" i="5" s="1"/>
  <c r="JC95" i="5" s="1"/>
  <c r="JD95" i="5" s="1"/>
  <c r="JE95" i="5" s="1"/>
  <c r="DI95" i="5" s="1"/>
  <c r="HL88" i="5"/>
  <c r="HL90" i="5" s="1"/>
  <c r="FN87" i="5"/>
  <c r="HB72" i="5"/>
  <c r="N70" i="5"/>
  <c r="M68" i="5"/>
  <c r="HH68" i="5" s="1"/>
  <c r="HH70" i="5" s="1"/>
  <c r="HC67" i="5"/>
  <c r="JP520" i="5"/>
  <c r="JR467" i="5"/>
  <c r="JP457" i="5"/>
  <c r="JT432" i="5"/>
  <c r="JR407" i="5"/>
  <c r="N352" i="5"/>
  <c r="JR394" i="5"/>
  <c r="HG385" i="5"/>
  <c r="HG387" i="5" s="1"/>
  <c r="JR251" i="5"/>
  <c r="JT276" i="5"/>
  <c r="JP296" i="5"/>
  <c r="HG292" i="5"/>
  <c r="HG294" i="5" s="1"/>
  <c r="N289" i="5"/>
  <c r="JR316" i="5"/>
  <c r="N319" i="5"/>
  <c r="JP178" i="5"/>
  <c r="N176" i="5"/>
  <c r="M195" i="5"/>
  <c r="N211" i="5"/>
  <c r="HG239" i="5"/>
  <c r="HG241" i="5" s="1"/>
  <c r="GN161" i="5"/>
  <c r="GN163" i="5" s="1"/>
  <c r="HB160" i="5"/>
  <c r="M156" i="5"/>
  <c r="HH156" i="5" s="1"/>
  <c r="HH158" i="5" s="1"/>
  <c r="N153" i="5"/>
  <c r="HG151" i="5"/>
  <c r="HG153" i="5" s="1"/>
  <c r="AG150" i="5"/>
  <c r="GN146" i="5"/>
  <c r="GN148" i="5" s="1"/>
  <c r="GW145" i="5"/>
  <c r="FN145" i="5"/>
  <c r="FP145" i="5" s="1"/>
  <c r="M141" i="5"/>
  <c r="HH141" i="5" s="1"/>
  <c r="HH143" i="5" s="1"/>
  <c r="AG140" i="5"/>
  <c r="HL136" i="5"/>
  <c r="HL138" i="5" s="1"/>
  <c r="HC135" i="5"/>
  <c r="FQ132" i="5"/>
  <c r="M132" i="5"/>
  <c r="FQ122" i="5"/>
  <c r="N122" i="5"/>
  <c r="HL121" i="5"/>
  <c r="HL123" i="5" s="1"/>
  <c r="HC120" i="5"/>
  <c r="AG120" i="5"/>
  <c r="GN116" i="5"/>
  <c r="GN118" i="5" s="1"/>
  <c r="M112" i="5"/>
  <c r="GX110" i="5"/>
  <c r="M106" i="5"/>
  <c r="HH106" i="5" s="1"/>
  <c r="HH108" i="5" s="1"/>
  <c r="GX100" i="5"/>
  <c r="FN100" i="5"/>
  <c r="FX542" i="5"/>
  <c r="JR495" i="5"/>
  <c r="JT545" i="5"/>
  <c r="JP467" i="5"/>
  <c r="JP432" i="5"/>
  <c r="JT407" i="5"/>
  <c r="JR442" i="5"/>
  <c r="M253" i="5"/>
  <c r="N269" i="5"/>
  <c r="M263" i="5"/>
  <c r="M278" i="5"/>
  <c r="JR281" i="5"/>
  <c r="JP316" i="5"/>
  <c r="JT198" i="5"/>
  <c r="JR178" i="5"/>
  <c r="M205" i="5"/>
  <c r="FQ185" i="5"/>
  <c r="N221" i="5"/>
  <c r="HG229" i="5"/>
  <c r="HG231" i="5" s="1"/>
  <c r="N226" i="5"/>
  <c r="N241" i="5"/>
  <c r="HG244" i="5"/>
  <c r="HG246" i="5" s="1"/>
  <c r="M166" i="5"/>
  <c r="HH166" i="5" s="1"/>
  <c r="HH168" i="5" s="1"/>
  <c r="FQ162" i="5"/>
  <c r="O161" i="5"/>
  <c r="GX160" i="5"/>
  <c r="N158" i="5"/>
  <c r="AG155" i="5"/>
  <c r="GN151" i="5"/>
  <c r="GN153" i="5" s="1"/>
  <c r="N148" i="5"/>
  <c r="HL146" i="5"/>
  <c r="HL148" i="5" s="1"/>
  <c r="O146" i="5"/>
  <c r="N137" i="5"/>
  <c r="HB135" i="5"/>
  <c r="GN131" i="5"/>
  <c r="GN133" i="5" s="1"/>
  <c r="AG130" i="5"/>
  <c r="HL126" i="5"/>
  <c r="HL128" i="5" s="1"/>
  <c r="HC125" i="5"/>
  <c r="M122" i="5"/>
  <c r="HB120" i="5"/>
  <c r="HL116" i="5"/>
  <c r="HL118" i="5" s="1"/>
  <c r="O116" i="5"/>
  <c r="GX115" i="5"/>
  <c r="GN111" i="5"/>
  <c r="GN113" i="5" s="1"/>
  <c r="GW110" i="5"/>
  <c r="M101" i="5"/>
  <c r="HH101" i="5" s="1"/>
  <c r="HH103" i="5" s="1"/>
  <c r="GW100" i="5"/>
  <c r="M96" i="5"/>
  <c r="HH96" i="5" s="1"/>
  <c r="HH98" i="5" s="1"/>
  <c r="AG95" i="5"/>
  <c r="FQ89" i="5"/>
  <c r="M89" i="5"/>
  <c r="JP633" i="5"/>
  <c r="JT618" i="5"/>
  <c r="JP510" i="5"/>
  <c r="JP462" i="5"/>
  <c r="JT412" i="5"/>
  <c r="JT457" i="5"/>
  <c r="JT339" i="5"/>
  <c r="N357" i="5"/>
  <c r="JP359" i="5"/>
  <c r="JR369" i="5"/>
  <c r="FQ371" i="5"/>
  <c r="JT394" i="5"/>
  <c r="M386" i="5"/>
  <c r="N392" i="5"/>
  <c r="M381" i="5"/>
  <c r="JR261" i="5"/>
  <c r="JR296" i="5"/>
  <c r="HG307" i="5"/>
  <c r="HG309" i="5" s="1"/>
  <c r="N309" i="5"/>
  <c r="FQ313" i="5"/>
  <c r="JR198" i="5"/>
  <c r="JT213" i="5"/>
  <c r="M220" i="5"/>
  <c r="GW160" i="5"/>
  <c r="FN160" i="5"/>
  <c r="FQ160" i="5" s="1"/>
  <c r="JC160" i="5" s="1"/>
  <c r="JD160" i="5" s="1"/>
  <c r="JE160" i="5" s="1"/>
  <c r="DI160" i="5" s="1"/>
  <c r="HL156" i="5"/>
  <c r="HL158" i="5" s="1"/>
  <c r="O151" i="5"/>
  <c r="HC145" i="5"/>
  <c r="AG145" i="5"/>
  <c r="HL141" i="5"/>
  <c r="HL143" i="5" s="1"/>
  <c r="HC140" i="5"/>
  <c r="FQ137" i="5"/>
  <c r="M137" i="5"/>
  <c r="GX135" i="5"/>
  <c r="O131" i="5"/>
  <c r="HC130" i="5"/>
  <c r="N127" i="5"/>
  <c r="HB125" i="5"/>
  <c r="GW115" i="5"/>
  <c r="O111" i="5"/>
  <c r="HL106" i="5"/>
  <c r="HL108" i="5" s="1"/>
  <c r="HC105" i="5"/>
  <c r="N102" i="5"/>
  <c r="HL101" i="5"/>
  <c r="HL103" i="5" s="1"/>
  <c r="GN88" i="5"/>
  <c r="GN90" i="5" s="1"/>
  <c r="AG87" i="5"/>
  <c r="N85" i="5"/>
  <c r="HL83" i="5"/>
  <c r="HL85" i="5" s="1"/>
  <c r="AG82" i="5"/>
  <c r="HC77" i="5"/>
  <c r="O73" i="5"/>
  <c r="N69" i="5"/>
  <c r="GW67" i="5"/>
  <c r="JT505" i="5"/>
  <c r="JP545" i="5"/>
  <c r="JR412" i="5"/>
  <c r="JR457" i="5"/>
  <c r="JT447" i="5"/>
  <c r="JT442" i="5"/>
  <c r="JR427" i="5"/>
  <c r="JR339" i="5"/>
  <c r="N337" i="5"/>
  <c r="JT364" i="5"/>
  <c r="JP394" i="5"/>
  <c r="JT296" i="5"/>
  <c r="HG312" i="5"/>
  <c r="HG314" i="5" s="1"/>
  <c r="M318" i="5"/>
  <c r="JP198" i="5"/>
  <c r="JT178" i="5"/>
  <c r="HG194" i="5"/>
  <c r="HG196" i="5" s="1"/>
  <c r="HG204" i="5"/>
  <c r="HG206" i="5" s="1"/>
  <c r="N191" i="5"/>
  <c r="JR213" i="5"/>
  <c r="N201" i="5"/>
  <c r="HG199" i="5"/>
  <c r="HG201" i="5" s="1"/>
  <c r="M225" i="5"/>
  <c r="N246" i="5"/>
  <c r="HL166" i="5"/>
  <c r="HL168" i="5" s="1"/>
  <c r="HC165" i="5"/>
  <c r="M161" i="5"/>
  <c r="HH161" i="5" s="1"/>
  <c r="HH163" i="5" s="1"/>
  <c r="N157" i="5"/>
  <c r="HC150" i="5"/>
  <c r="M146" i="5"/>
  <c r="HH146" i="5" s="1"/>
  <c r="HH148" i="5" s="1"/>
  <c r="HB145" i="5"/>
  <c r="N142" i="5"/>
  <c r="HB140" i="5"/>
  <c r="GN136" i="5"/>
  <c r="GN138" i="5" s="1"/>
  <c r="GW135" i="5"/>
  <c r="HB130" i="5"/>
  <c r="FQ127" i="5"/>
  <c r="M127" i="5"/>
  <c r="GX125" i="5"/>
  <c r="HG121" i="5"/>
  <c r="HG123" i="5" s="1"/>
  <c r="GX120" i="5"/>
  <c r="N118" i="5"/>
  <c r="M116" i="5"/>
  <c r="HH116" i="5" s="1"/>
  <c r="HH118" i="5" s="1"/>
  <c r="FN115" i="5"/>
  <c r="FP115" i="5" s="1"/>
  <c r="FN110" i="5"/>
  <c r="FP110" i="5" s="1"/>
  <c r="N107" i="5"/>
  <c r="HB105" i="5"/>
  <c r="FQ102" i="5"/>
  <c r="M102" i="5"/>
  <c r="AG100" i="5"/>
  <c r="HL96" i="5"/>
  <c r="HL98" i="5" s="1"/>
  <c r="HC95" i="5"/>
  <c r="O88" i="5"/>
  <c r="HC87" i="5"/>
  <c r="JR555" i="5"/>
  <c r="JT520" i="5"/>
  <c r="JR477" i="5"/>
  <c r="JR447" i="5"/>
  <c r="JP442" i="5"/>
  <c r="M346" i="5"/>
  <c r="JP354" i="5"/>
  <c r="HG340" i="5"/>
  <c r="HG342" i="5" s="1"/>
  <c r="JP364" i="5"/>
  <c r="JR359" i="5"/>
  <c r="M371" i="5"/>
  <c r="M391" i="5"/>
  <c r="JP251" i="5"/>
  <c r="HG257" i="5"/>
  <c r="HG259" i="5" s="1"/>
  <c r="N274" i="5"/>
  <c r="N279" i="5"/>
  <c r="FQ288" i="5"/>
  <c r="M288" i="5"/>
  <c r="M308" i="5"/>
  <c r="N304" i="5"/>
  <c r="N314" i="5"/>
  <c r="HG322" i="5"/>
  <c r="HG324" i="5" s="1"/>
  <c r="M185" i="5"/>
  <c r="FQ180" i="5"/>
  <c r="HG174" i="5"/>
  <c r="HG176" i="5" s="1"/>
  <c r="JP213" i="5"/>
  <c r="M210" i="5"/>
  <c r="N167" i="5"/>
  <c r="HB165" i="5"/>
  <c r="AG160" i="5"/>
  <c r="M157" i="5"/>
  <c r="HC155" i="5"/>
  <c r="FQ152" i="5"/>
  <c r="M151" i="5"/>
  <c r="HH151" i="5" s="1"/>
  <c r="HH153" i="5" s="1"/>
  <c r="HB150" i="5"/>
  <c r="M142" i="5"/>
  <c r="GX140" i="5"/>
  <c r="O136" i="5"/>
  <c r="N133" i="5"/>
  <c r="M131" i="5"/>
  <c r="HH131" i="5" s="1"/>
  <c r="HH133" i="5" s="1"/>
  <c r="GX130" i="5"/>
  <c r="GN126" i="5"/>
  <c r="GN128" i="5" s="1"/>
  <c r="GW125" i="5"/>
  <c r="N123" i="5"/>
  <c r="GN121" i="5"/>
  <c r="GN123" i="5" s="1"/>
  <c r="GW120" i="5"/>
  <c r="FQ117" i="5"/>
  <c r="N117" i="5"/>
  <c r="HC115" i="5"/>
  <c r="M111" i="5"/>
  <c r="HH111" i="5" s="1"/>
  <c r="HH113" i="5" s="1"/>
  <c r="M107" i="5"/>
  <c r="GX105" i="5"/>
  <c r="HB95" i="5"/>
  <c r="HB87" i="5"/>
  <c r="M84" i="5"/>
  <c r="HB82" i="5"/>
  <c r="N79" i="5"/>
  <c r="GX77" i="5"/>
  <c r="M73" i="5"/>
  <c r="HH73" i="5" s="1"/>
  <c r="HH75" i="5" s="1"/>
  <c r="GN68" i="5"/>
  <c r="GN70" i="5" s="1"/>
  <c r="FN67" i="5"/>
  <c r="M63" i="5"/>
  <c r="HH63" i="5" s="1"/>
  <c r="HH65" i="5" s="1"/>
  <c r="AG62" i="5"/>
  <c r="N60" i="5"/>
  <c r="GW57" i="5"/>
  <c r="GN53" i="5"/>
  <c r="GN55" i="5" s="1"/>
  <c r="GW130" i="5"/>
  <c r="O126" i="5"/>
  <c r="HB115" i="5"/>
  <c r="N89" i="5"/>
  <c r="M83" i="5"/>
  <c r="HH83" i="5" s="1"/>
  <c r="HH85" i="5" s="1"/>
  <c r="GN78" i="5"/>
  <c r="GN80" i="5" s="1"/>
  <c r="GW72" i="5"/>
  <c r="AG110" i="5"/>
  <c r="GN106" i="5"/>
  <c r="GN108" i="5" s="1"/>
  <c r="N84" i="5"/>
  <c r="M58" i="5"/>
  <c r="HH58" i="5" s="1"/>
  <c r="HH60" i="5" s="1"/>
  <c r="N55" i="5"/>
  <c r="FN125" i="5"/>
  <c r="JT115" i="5"/>
  <c r="HC82" i="5"/>
  <c r="FN82" i="5"/>
  <c r="FQ82" i="5" s="1"/>
  <c r="JC82" i="5" s="1"/>
  <c r="JD82" i="5" s="1"/>
  <c r="JE82" i="5" s="1"/>
  <c r="DI82" i="5" s="1"/>
  <c r="M79" i="5"/>
  <c r="M78" i="5"/>
  <c r="HH78" i="5" s="1"/>
  <c r="HH80" i="5" s="1"/>
  <c r="HL68" i="5"/>
  <c r="HL70" i="5" s="1"/>
  <c r="HB62" i="5"/>
  <c r="FN57" i="5"/>
  <c r="O53" i="5"/>
  <c r="HB52" i="5"/>
  <c r="GX82" i="5"/>
  <c r="FQ79" i="5"/>
  <c r="GX62" i="5"/>
  <c r="O121" i="5"/>
  <c r="GX87" i="5"/>
  <c r="GW105" i="5"/>
  <c r="HB77" i="5"/>
  <c r="FN77" i="5"/>
  <c r="FQ77" i="5" s="1"/>
  <c r="JC77" i="5" s="1"/>
  <c r="JD77" i="5" s="1"/>
  <c r="JE77" i="5" s="1"/>
  <c r="DI77" i="5" s="1"/>
  <c r="AG77" i="5"/>
  <c r="GN73" i="5"/>
  <c r="GN75" i="5" s="1"/>
  <c r="HB67" i="5"/>
  <c r="GW62" i="5"/>
  <c r="M53" i="5"/>
  <c r="HH53" i="5" s="1"/>
  <c r="HH55" i="5" s="1"/>
  <c r="HC52" i="5"/>
  <c r="M117" i="5"/>
  <c r="GW77" i="5"/>
  <c r="FQ74" i="5"/>
  <c r="N74" i="5"/>
  <c r="M69" i="5"/>
  <c r="O68" i="5"/>
  <c r="GX67" i="5"/>
  <c r="N64" i="5"/>
  <c r="FN62" i="5"/>
  <c r="N59" i="5"/>
  <c r="HC57" i="5"/>
  <c r="FQ54" i="5"/>
  <c r="JC54" i="5" s="1"/>
  <c r="N54" i="5"/>
  <c r="HL53" i="5"/>
  <c r="HL55" i="5" s="1"/>
  <c r="GX52" i="5"/>
  <c r="N97" i="5"/>
  <c r="M88" i="5"/>
  <c r="HH88" i="5" s="1"/>
  <c r="HH90" i="5" s="1"/>
  <c r="GN83" i="5"/>
  <c r="GN85" i="5" s="1"/>
  <c r="AG72" i="5"/>
  <c r="FQ69" i="5"/>
  <c r="M64" i="5"/>
  <c r="GN63" i="5"/>
  <c r="GN65" i="5" s="1"/>
  <c r="FQ59" i="5"/>
  <c r="JC59" i="5" s="1"/>
  <c r="M59" i="5"/>
  <c r="GN58" i="5"/>
  <c r="GN60" i="5" s="1"/>
  <c r="HB57" i="5"/>
  <c r="M54" i="5"/>
  <c r="GW52" i="5"/>
  <c r="AG115" i="5"/>
  <c r="HG101" i="5"/>
  <c r="HG103" i="5" s="1"/>
  <c r="GX95" i="5"/>
  <c r="GX72" i="5"/>
  <c r="FN72" i="5"/>
  <c r="O63" i="5"/>
  <c r="O58" i="5"/>
  <c r="GX57" i="5"/>
  <c r="FN52" i="5"/>
  <c r="HG53" i="5"/>
  <c r="HG55" i="5" s="1"/>
  <c r="FX610" i="5"/>
  <c r="FX590" i="5"/>
  <c r="FX630" i="5"/>
  <c r="FX502" i="5"/>
  <c r="FX414" i="5"/>
  <c r="JT329" i="5"/>
  <c r="JP389" i="5"/>
  <c r="JP334" i="5"/>
  <c r="JP271" i="5"/>
  <c r="JR306" i="5"/>
  <c r="JP311" i="5"/>
  <c r="JT291" i="5"/>
  <c r="HL58" i="5"/>
  <c r="HL60" i="5" s="1"/>
  <c r="FX615" i="5"/>
  <c r="FX434" i="5"/>
  <c r="JR329" i="5"/>
  <c r="JR349" i="5"/>
  <c r="JR286" i="5"/>
  <c r="JR301" i="5"/>
  <c r="JT266" i="5"/>
  <c r="JR208" i="5"/>
  <c r="JP238" i="5"/>
  <c r="JR183" i="5"/>
  <c r="JR193" i="5"/>
  <c r="JR173" i="5"/>
  <c r="JR188" i="5"/>
  <c r="JP233" i="5"/>
  <c r="HL78" i="5"/>
  <c r="HL80" i="5" s="1"/>
  <c r="FX585" i="5"/>
  <c r="FX635" i="5"/>
  <c r="FX532" i="5"/>
  <c r="FX444" i="5"/>
  <c r="FX449" i="5"/>
  <c r="FX464" i="5"/>
  <c r="FX439" i="5"/>
  <c r="JR374" i="5"/>
  <c r="JP384" i="5"/>
  <c r="JR334" i="5"/>
  <c r="JT344" i="5"/>
  <c r="JT286" i="5"/>
  <c r="FQ107" i="5"/>
  <c r="FX620" i="5"/>
  <c r="FX605" i="5"/>
  <c r="FX625" i="5"/>
  <c r="FX595" i="5"/>
  <c r="FX469" i="5"/>
  <c r="JR344" i="5"/>
  <c r="JP349" i="5"/>
  <c r="JT306" i="5"/>
  <c r="JT311" i="5"/>
  <c r="JR321" i="5"/>
  <c r="FX268" i="5"/>
  <c r="JP301" i="5"/>
  <c r="JT203" i="5"/>
  <c r="JT218" i="5"/>
  <c r="FX200" i="5"/>
  <c r="FQ142" i="5"/>
  <c r="FX600" i="5"/>
  <c r="FX507" i="5"/>
  <c r="FX522" i="5"/>
  <c r="FX557" i="5"/>
  <c r="FX424" i="5"/>
  <c r="FX409" i="5"/>
  <c r="JP329" i="5"/>
  <c r="JR389" i="5"/>
  <c r="JT384" i="5"/>
  <c r="JT349" i="5"/>
  <c r="JR271" i="5"/>
  <c r="JP321" i="5"/>
  <c r="JR291" i="5"/>
  <c r="JR266" i="5"/>
  <c r="FX575" i="5"/>
  <c r="FX552" i="5"/>
  <c r="FX517" i="5"/>
  <c r="FX479" i="5"/>
  <c r="FX419" i="5"/>
  <c r="JR399" i="5"/>
  <c r="JP286" i="5"/>
  <c r="JP306" i="5"/>
  <c r="JT301" i="5"/>
  <c r="JT183" i="5"/>
  <c r="JP218" i="5"/>
  <c r="JT223" i="5"/>
  <c r="JT233" i="5"/>
  <c r="FQ64" i="5"/>
  <c r="FQ112" i="5"/>
  <c r="FX565" i="5"/>
  <c r="FX492" i="5"/>
  <c r="FX512" i="5"/>
  <c r="FX459" i="5"/>
  <c r="JT399" i="5"/>
  <c r="JT374" i="5"/>
  <c r="JT389" i="5"/>
  <c r="JR384" i="5"/>
  <c r="FX351" i="5"/>
  <c r="JP344" i="5"/>
  <c r="HL73" i="5"/>
  <c r="HL75" i="5" s="1"/>
  <c r="FX673" i="5"/>
  <c r="FX570" i="5"/>
  <c r="FX487" i="5"/>
  <c r="FX474" i="5"/>
  <c r="FX429" i="5"/>
  <c r="JP399" i="5"/>
  <c r="JP374" i="5"/>
  <c r="JT334" i="5"/>
  <c r="JT271" i="5"/>
  <c r="JR311" i="5"/>
  <c r="JP291" i="5"/>
  <c r="JR256" i="5"/>
  <c r="JT208" i="5"/>
  <c r="JR238" i="5"/>
  <c r="JT173" i="5"/>
  <c r="JR228" i="5"/>
  <c r="JT321" i="5"/>
  <c r="JR233" i="5"/>
  <c r="HG156" i="5"/>
  <c r="HG158" i="5" s="1"/>
  <c r="JP120" i="5"/>
  <c r="N98" i="5"/>
  <c r="JR52" i="5"/>
  <c r="FX117" i="5"/>
  <c r="HG63" i="5"/>
  <c r="HG65" i="5" s="1"/>
  <c r="JT256" i="5"/>
  <c r="JT243" i="5"/>
  <c r="JP228" i="5"/>
  <c r="JT150" i="5"/>
  <c r="N80" i="5"/>
  <c r="JP208" i="5"/>
  <c r="FX225" i="5"/>
  <c r="N168" i="5"/>
  <c r="HG136" i="5"/>
  <c r="HG138" i="5" s="1"/>
  <c r="HG131" i="5"/>
  <c r="HG133" i="5" s="1"/>
  <c r="N113" i="5"/>
  <c r="JT100" i="5"/>
  <c r="HG96" i="5"/>
  <c r="HG98" i="5" s="1"/>
  <c r="JR203" i="5"/>
  <c r="JP183" i="5"/>
  <c r="JR243" i="5"/>
  <c r="JT120" i="5"/>
  <c r="JR100" i="5"/>
  <c r="JR150" i="5"/>
  <c r="HG68" i="5"/>
  <c r="HG70" i="5" s="1"/>
  <c r="M74" i="5"/>
  <c r="JT193" i="5"/>
  <c r="JP223" i="5"/>
  <c r="FX147" i="5"/>
  <c r="N128" i="5"/>
  <c r="HG126" i="5"/>
  <c r="HG128" i="5" s="1"/>
  <c r="JP100" i="5"/>
  <c r="HG83" i="5"/>
  <c r="HG85" i="5" s="1"/>
  <c r="HG73" i="5"/>
  <c r="HG75" i="5" s="1"/>
  <c r="N65" i="5"/>
  <c r="M97" i="5"/>
  <c r="HG88" i="5"/>
  <c r="HG90" i="5" s="1"/>
  <c r="N75" i="5"/>
  <c r="JT52" i="5"/>
  <c r="JP256" i="5"/>
  <c r="JP173" i="5"/>
  <c r="JP243" i="5"/>
  <c r="JT188" i="5"/>
  <c r="HG141" i="5"/>
  <c r="HG143" i="5" s="1"/>
  <c r="N138" i="5"/>
  <c r="HG106" i="5"/>
  <c r="HG108" i="5" s="1"/>
  <c r="N90" i="5"/>
  <c r="JT238" i="5"/>
  <c r="JP203" i="5"/>
  <c r="JP193" i="5"/>
  <c r="JR218" i="5"/>
  <c r="JP188" i="5"/>
  <c r="HG161" i="5"/>
  <c r="HG163" i="5" s="1"/>
  <c r="JP150" i="5"/>
  <c r="N143" i="5"/>
  <c r="N108" i="5"/>
  <c r="JP266" i="5"/>
  <c r="JT228" i="5"/>
  <c r="JR223" i="5"/>
  <c r="HG166" i="5"/>
  <c r="HG168" i="5" s="1"/>
  <c r="JR145" i="5"/>
  <c r="JR120" i="5"/>
  <c r="HG111" i="5"/>
  <c r="HG113" i="5" s="1"/>
  <c r="HG78" i="5"/>
  <c r="HG80" i="5" s="1"/>
  <c r="HG58" i="5"/>
  <c r="HG60" i="5" s="1"/>
  <c r="JP52" i="5"/>
  <c r="FX258" i="5"/>
  <c r="FX361" i="5"/>
  <c r="FX401" i="5"/>
  <c r="FX298" i="5"/>
  <c r="FX273" i="5"/>
  <c r="FX240" i="5"/>
  <c r="FX180" i="5"/>
  <c r="JT165" i="5"/>
  <c r="JT155" i="5"/>
  <c r="JT95" i="5"/>
  <c r="FX386" i="5"/>
  <c r="FX366" i="5"/>
  <c r="FX381" i="5"/>
  <c r="FX283" i="5"/>
  <c r="FX313" i="5"/>
  <c r="FX235" i="5"/>
  <c r="FX175" i="5"/>
  <c r="FX185" i="5"/>
  <c r="JR160" i="5"/>
  <c r="JP135" i="5"/>
  <c r="JT130" i="5"/>
  <c r="JR110" i="5"/>
  <c r="JT105" i="5"/>
  <c r="JR77" i="5"/>
  <c r="JT62" i="5"/>
  <c r="JR140" i="5"/>
  <c r="JT110" i="5"/>
  <c r="FX278" i="5"/>
  <c r="JP165" i="5"/>
  <c r="JP160" i="5"/>
  <c r="JR135" i="5"/>
  <c r="JP130" i="5"/>
  <c r="JP110" i="5"/>
  <c r="JP87" i="5"/>
  <c r="JP77" i="5"/>
  <c r="JR62" i="5"/>
  <c r="JR125" i="5"/>
  <c r="FX580" i="5"/>
  <c r="FX356" i="5"/>
  <c r="FX331" i="5"/>
  <c r="FX346" i="5"/>
  <c r="FX263" i="5"/>
  <c r="FX205" i="5"/>
  <c r="FX195" i="5"/>
  <c r="FX210" i="5"/>
  <c r="JT160" i="5"/>
  <c r="FX341" i="5"/>
  <c r="FX391" i="5"/>
  <c r="FX323" i="5"/>
  <c r="FX190" i="5"/>
  <c r="JR165" i="5"/>
  <c r="JP140" i="5"/>
  <c r="JT125" i="5"/>
  <c r="JP95" i="5"/>
  <c r="JR72" i="5"/>
  <c r="FX336" i="5"/>
  <c r="FX293" i="5"/>
  <c r="FX308" i="5"/>
  <c r="FX318" i="5"/>
  <c r="FX253" i="5"/>
  <c r="FX303" i="5"/>
  <c r="FX230" i="5"/>
  <c r="FX376" i="5"/>
  <c r="FX371" i="5"/>
  <c r="FX288" i="5"/>
  <c r="FX220" i="5"/>
  <c r="FX245" i="5"/>
  <c r="JP155" i="5"/>
  <c r="JR105" i="5"/>
  <c r="JP82" i="5"/>
  <c r="JP72" i="5"/>
  <c r="JP62" i="5"/>
  <c r="JT72" i="5"/>
  <c r="JP57" i="5"/>
  <c r="JR57" i="5"/>
  <c r="JR130" i="5"/>
  <c r="JP125" i="5"/>
  <c r="JP105" i="5"/>
  <c r="JT82" i="5"/>
  <c r="JT67" i="5"/>
  <c r="JR155" i="5"/>
  <c r="JT140" i="5"/>
  <c r="JR82" i="5"/>
  <c r="JR67" i="5"/>
  <c r="JT135" i="5"/>
  <c r="JT87" i="5"/>
  <c r="JR95" i="5"/>
  <c r="JT77" i="5"/>
  <c r="JR87" i="5"/>
  <c r="JT57" i="5"/>
  <c r="JP67" i="5"/>
  <c r="FX122" i="5"/>
  <c r="FX102" i="5"/>
  <c r="FX396" i="5"/>
  <c r="FX89" i="5"/>
  <c r="FX152" i="5"/>
  <c r="FX97" i="5"/>
  <c r="FX64" i="5"/>
  <c r="FX74" i="5"/>
  <c r="FX132" i="5"/>
  <c r="FX127" i="5"/>
  <c r="FX107" i="5"/>
  <c r="FX157" i="5"/>
  <c r="FX215" i="5"/>
  <c r="FX167" i="5"/>
  <c r="FX84" i="5"/>
  <c r="FX142" i="5"/>
  <c r="FX112" i="5"/>
  <c r="FX162" i="5"/>
  <c r="FX137" i="5"/>
  <c r="FX79" i="5"/>
  <c r="FX69" i="5"/>
  <c r="GN48" i="5"/>
  <c r="GN50" i="5" s="1"/>
  <c r="HB47" i="5"/>
  <c r="FN47" i="5"/>
  <c r="HC47" i="5"/>
  <c r="N49" i="5"/>
  <c r="O48" i="5"/>
  <c r="GX47" i="5"/>
  <c r="GW47" i="5"/>
  <c r="M48" i="5"/>
  <c r="HH48" i="5" s="1"/>
  <c r="HH50" i="5" s="1"/>
  <c r="JP47" i="5"/>
  <c r="JT47" i="5"/>
  <c r="JR47" i="5"/>
  <c r="HL48" i="5"/>
  <c r="HL50" i="5" s="1"/>
  <c r="N50" i="5"/>
  <c r="HG48" i="5"/>
  <c r="HG50" i="5" s="1"/>
  <c r="M49" i="5"/>
  <c r="J24" i="20"/>
  <c r="J24" i="21" s="1"/>
  <c r="JG4" i="5"/>
  <c r="B20" i="5"/>
  <c r="BV34" i="22"/>
  <c r="AA24" i="5"/>
  <c r="T33" i="14"/>
  <c r="B34" i="5"/>
  <c r="B24" i="5"/>
  <c r="O24" i="11"/>
  <c r="H36" i="11" s="1"/>
  <c r="X39" i="33" s="1"/>
  <c r="A1" i="10"/>
  <c r="BS44" i="33" l="1"/>
  <c r="BR44" i="33"/>
  <c r="JV57" i="5"/>
  <c r="JD59" i="5"/>
  <c r="R44" i="5"/>
  <c r="FQ261" i="5"/>
  <c r="JC261" i="5" s="1"/>
  <c r="JD261" i="5" s="1"/>
  <c r="JE261" i="5" s="1"/>
  <c r="DI261" i="5" s="1"/>
  <c r="AM261" i="5" s="1"/>
  <c r="FQ412" i="5"/>
  <c r="JC412" i="5" s="1"/>
  <c r="JD412" i="5" s="1"/>
  <c r="JE412" i="5" s="1"/>
  <c r="DI412" i="5" s="1"/>
  <c r="FV412" i="5" s="1"/>
  <c r="FW412" i="5" s="1"/>
  <c r="FX412" i="5" s="1"/>
  <c r="HI292" i="5"/>
  <c r="HI294" i="5" s="1"/>
  <c r="HI619" i="5"/>
  <c r="HI621" i="5" s="1"/>
  <c r="AE39" i="33"/>
  <c r="AC39" i="33"/>
  <c r="FQ256" i="5"/>
  <c r="JC256" i="5" s="1"/>
  <c r="JD256" i="5" s="1"/>
  <c r="JE256" i="5" s="1"/>
  <c r="DI256" i="5" s="1"/>
  <c r="AM256" i="5" s="1"/>
  <c r="FQ183" i="5"/>
  <c r="JC183" i="5" s="1"/>
  <c r="JD183" i="5" s="1"/>
  <c r="JE183" i="5" s="1"/>
  <c r="DI183" i="5" s="1"/>
  <c r="AM183" i="5" s="1"/>
  <c r="FQ628" i="5"/>
  <c r="JC628" i="5" s="1"/>
  <c r="JD628" i="5" s="1"/>
  <c r="JE628" i="5" s="1"/>
  <c r="DI628" i="5" s="1"/>
  <c r="FV628" i="5" s="1"/>
  <c r="FW628" i="5" s="1"/>
  <c r="FX628" i="5" s="1"/>
  <c r="FQ701" i="5"/>
  <c r="JC701" i="5" s="1"/>
  <c r="JD701" i="5" s="1"/>
  <c r="JE701" i="5" s="1"/>
  <c r="DI701" i="5" s="1"/>
  <c r="FV701" i="5" s="1"/>
  <c r="FW701" i="5" s="1"/>
  <c r="FX701" i="5" s="1"/>
  <c r="FQ316" i="5"/>
  <c r="DG316" i="5" s="1"/>
  <c r="FQ291" i="5"/>
  <c r="JC291" i="5" s="1"/>
  <c r="JD291" i="5" s="1"/>
  <c r="JE291" i="5" s="1"/>
  <c r="DI291" i="5" s="1"/>
  <c r="FV291" i="5" s="1"/>
  <c r="FW291" i="5" s="1"/>
  <c r="FX291" i="5" s="1"/>
  <c r="HI594" i="5"/>
  <c r="HI596" i="5" s="1"/>
  <c r="HI682" i="5"/>
  <c r="HI684" i="5" s="1"/>
  <c r="FQ719" i="5"/>
  <c r="JC719" i="5" s="1"/>
  <c r="JD719" i="5" s="1"/>
  <c r="JE719" i="5" s="1"/>
  <c r="DI719" i="5" s="1"/>
  <c r="AM719" i="5" s="1"/>
  <c r="FQ754" i="5"/>
  <c r="DG754" i="5" s="1"/>
  <c r="EZ754" i="5" s="1"/>
  <c r="HI385" i="5"/>
  <c r="HI387" i="5" s="1"/>
  <c r="JV47" i="5"/>
  <c r="FQ218" i="5"/>
  <c r="JC218" i="5" s="1"/>
  <c r="JD218" i="5" s="1"/>
  <c r="JE218" i="5" s="1"/>
  <c r="DI218" i="5" s="1"/>
  <c r="AM218" i="5" s="1"/>
  <c r="HI116" i="5"/>
  <c r="HI118" i="5" s="1"/>
  <c r="HI750" i="5"/>
  <c r="HI752" i="5" s="1"/>
  <c r="FQ525" i="5"/>
  <c r="JC525" i="5" s="1"/>
  <c r="JD525" i="5" s="1"/>
  <c r="JE525" i="5" s="1"/>
  <c r="DI525" i="5" s="1"/>
  <c r="AM525" i="5" s="1"/>
  <c r="HI551" i="5"/>
  <c r="HI553" i="5" s="1"/>
  <c r="FQ394" i="5"/>
  <c r="JC394" i="5" s="1"/>
  <c r="JD394" i="5" s="1"/>
  <c r="JE394" i="5" s="1"/>
  <c r="DI394" i="5" s="1"/>
  <c r="FV394" i="5" s="1"/>
  <c r="FW394" i="5" s="1"/>
  <c r="FX394" i="5" s="1"/>
  <c r="FQ369" i="5"/>
  <c r="JC369" i="5" s="1"/>
  <c r="JD369" i="5" s="1"/>
  <c r="JE369" i="5" s="1"/>
  <c r="DI369" i="5" s="1"/>
  <c r="AM369" i="5" s="1"/>
  <c r="FQ329" i="5"/>
  <c r="JC329" i="5" s="1"/>
  <c r="JD329" i="5" s="1"/>
  <c r="JE329" i="5" s="1"/>
  <c r="DI329" i="5" s="1"/>
  <c r="AM329" i="5" s="1"/>
  <c r="HI531" i="5"/>
  <c r="HI533" i="5" s="1"/>
  <c r="FQ706" i="5"/>
  <c r="JC706" i="5" s="1"/>
  <c r="JD706" i="5" s="1"/>
  <c r="JE706" i="5" s="1"/>
  <c r="DI706" i="5" s="1"/>
  <c r="FV706" i="5" s="1"/>
  <c r="FW706" i="5" s="1"/>
  <c r="FX706" i="5" s="1"/>
  <c r="JD54" i="5"/>
  <c r="JV52" i="5"/>
  <c r="HI662" i="5"/>
  <c r="HI664" i="5" s="1"/>
  <c r="FQ686" i="5"/>
  <c r="JC686" i="5" s="1"/>
  <c r="JD686" i="5" s="1"/>
  <c r="JE686" i="5" s="1"/>
  <c r="DI686" i="5" s="1"/>
  <c r="FV686" i="5" s="1"/>
  <c r="FW686" i="5" s="1"/>
  <c r="FX686" i="5" s="1"/>
  <c r="FQ696" i="5"/>
  <c r="JC696" i="5" s="1"/>
  <c r="JD696" i="5" s="1"/>
  <c r="JE696" i="5" s="1"/>
  <c r="DI696" i="5" s="1"/>
  <c r="AM696" i="5" s="1"/>
  <c r="FQ603" i="5"/>
  <c r="JC603" i="5" s="1"/>
  <c r="JD603" i="5" s="1"/>
  <c r="JE603" i="5" s="1"/>
  <c r="DI603" i="5" s="1"/>
  <c r="FV603" i="5" s="1"/>
  <c r="FW603" i="5" s="1"/>
  <c r="FX603" i="5" s="1"/>
  <c r="FQ583" i="5"/>
  <c r="JC583" i="5" s="1"/>
  <c r="JD583" i="5" s="1"/>
  <c r="JE583" i="5" s="1"/>
  <c r="DI583" i="5" s="1"/>
  <c r="AM583" i="5" s="1"/>
  <c r="HI642" i="5"/>
  <c r="HI644" i="5" s="1"/>
  <c r="HI677" i="5"/>
  <c r="HI679" i="5" s="1"/>
  <c r="HI697" i="5"/>
  <c r="HI699" i="5" s="1"/>
  <c r="FQ545" i="5"/>
  <c r="DG545" i="5" s="1"/>
  <c r="FQ495" i="5"/>
  <c r="JC495" i="5" s="1"/>
  <c r="JD495" i="5" s="1"/>
  <c r="JE495" i="5" s="1"/>
  <c r="DI495" i="5" s="1"/>
  <c r="FV495" i="5" s="1"/>
  <c r="FW495" i="5" s="1"/>
  <c r="FX495" i="5" s="1"/>
  <c r="FQ784" i="5"/>
  <c r="JC784" i="5" s="1"/>
  <c r="JD784" i="5" s="1"/>
  <c r="JE784" i="5" s="1"/>
  <c r="DI784" i="5" s="1"/>
  <c r="AM784" i="5" s="1"/>
  <c r="HI370" i="5"/>
  <c r="HI372" i="5" s="1"/>
  <c r="HI262" i="5"/>
  <c r="HI264" i="5" s="1"/>
  <c r="HI297" i="5"/>
  <c r="HI299" i="5" s="1"/>
  <c r="HI468" i="5"/>
  <c r="HI470" i="5" s="1"/>
  <c r="HI496" i="5"/>
  <c r="HI498" i="5" s="1"/>
  <c r="FQ588" i="5"/>
  <c r="JC588" i="5" s="1"/>
  <c r="JD588" i="5" s="1"/>
  <c r="JE588" i="5" s="1"/>
  <c r="DI588" i="5" s="1"/>
  <c r="FV588" i="5" s="1"/>
  <c r="FW588" i="5" s="1"/>
  <c r="FX588" i="5" s="1"/>
  <c r="HI785" i="5"/>
  <c r="HI787" i="5" s="1"/>
  <c r="FQ135" i="5"/>
  <c r="JC135" i="5" s="1"/>
  <c r="JD135" i="5" s="1"/>
  <c r="JE135" i="5" s="1"/>
  <c r="DI135" i="5" s="1"/>
  <c r="FV135" i="5" s="1"/>
  <c r="FW135" i="5" s="1"/>
  <c r="FX135" i="5" s="1"/>
  <c r="FQ354" i="5"/>
  <c r="JC354" i="5" s="1"/>
  <c r="JD354" i="5" s="1"/>
  <c r="JE354" i="5" s="1"/>
  <c r="DI354" i="5" s="1"/>
  <c r="FV354" i="5" s="1"/>
  <c r="FW354" i="5" s="1"/>
  <c r="FX354" i="5" s="1"/>
  <c r="HI448" i="5"/>
  <c r="HI450" i="5" s="1"/>
  <c r="FQ510" i="5"/>
  <c r="JC510" i="5" s="1"/>
  <c r="JD510" i="5" s="1"/>
  <c r="JE510" i="5" s="1"/>
  <c r="DI510" i="5" s="1"/>
  <c r="FV510" i="5" s="1"/>
  <c r="FW510" i="5" s="1"/>
  <c r="FX510" i="5" s="1"/>
  <c r="FQ530" i="5"/>
  <c r="JC530" i="5" s="1"/>
  <c r="JD530" i="5" s="1"/>
  <c r="JE530" i="5" s="1"/>
  <c r="DI530" i="5" s="1"/>
  <c r="FV530" i="5" s="1"/>
  <c r="FW530" i="5" s="1"/>
  <c r="FX530" i="5" s="1"/>
  <c r="HI380" i="5"/>
  <c r="HI382" i="5" s="1"/>
  <c r="FQ271" i="5"/>
  <c r="JC271" i="5" s="1"/>
  <c r="JD271" i="5" s="1"/>
  <c r="JE271" i="5" s="1"/>
  <c r="DI271" i="5" s="1"/>
  <c r="AM271" i="5" s="1"/>
  <c r="HI740" i="5"/>
  <c r="HI742" i="5" s="1"/>
  <c r="FQ671" i="5"/>
  <c r="JC671" i="5" s="1"/>
  <c r="JD671" i="5" s="1"/>
  <c r="JE671" i="5" s="1"/>
  <c r="DI671" i="5" s="1"/>
  <c r="FV671" i="5" s="1"/>
  <c r="FW671" i="5" s="1"/>
  <c r="FX671" i="5" s="1"/>
  <c r="DG666" i="5"/>
  <c r="EZ666" i="5" s="1"/>
  <c r="FO578" i="5"/>
  <c r="JH578" i="5" s="1"/>
  <c r="FQ384" i="5"/>
  <c r="JC384" i="5" s="1"/>
  <c r="JD384" i="5" s="1"/>
  <c r="JE384" i="5" s="1"/>
  <c r="DI384" i="5" s="1"/>
  <c r="FV384" i="5" s="1"/>
  <c r="FW384" i="5" s="1"/>
  <c r="FX384" i="5" s="1"/>
  <c r="HI790" i="5"/>
  <c r="HI792" i="5" s="1"/>
  <c r="DG379" i="5"/>
  <c r="EZ379" i="5" s="1"/>
  <c r="FQ437" i="5"/>
  <c r="JC437" i="5" s="1"/>
  <c r="JD437" i="5" s="1"/>
  <c r="JE437" i="5" s="1"/>
  <c r="DI437" i="5" s="1"/>
  <c r="FV437" i="5" s="1"/>
  <c r="FW437" i="5" s="1"/>
  <c r="FX437" i="5" s="1"/>
  <c r="FQ178" i="5"/>
  <c r="JC178" i="5" s="1"/>
  <c r="JD178" i="5" s="1"/>
  <c r="JE178" i="5" s="1"/>
  <c r="DI178" i="5" s="1"/>
  <c r="FV178" i="5" s="1"/>
  <c r="FW178" i="5" s="1"/>
  <c r="FX178" i="5" s="1"/>
  <c r="FQ306" i="5"/>
  <c r="JC306" i="5" s="1"/>
  <c r="JD306" i="5" s="1"/>
  <c r="JE306" i="5" s="1"/>
  <c r="DI306" i="5" s="1"/>
  <c r="FV306" i="5" s="1"/>
  <c r="FW306" i="5" s="1"/>
  <c r="FX306" i="5" s="1"/>
  <c r="FQ266" i="5"/>
  <c r="FO266" i="5" s="1"/>
  <c r="JH266" i="5" s="1"/>
  <c r="FQ613" i="5"/>
  <c r="JC613" i="5" s="1"/>
  <c r="JD613" i="5" s="1"/>
  <c r="JE613" i="5" s="1"/>
  <c r="DI613" i="5" s="1"/>
  <c r="AM613" i="5" s="1"/>
  <c r="HI735" i="5"/>
  <c r="HI737" i="5" s="1"/>
  <c r="FQ243" i="5"/>
  <c r="JC243" i="5" s="1"/>
  <c r="JD243" i="5" s="1"/>
  <c r="JE243" i="5" s="1"/>
  <c r="DI243" i="5" s="1"/>
  <c r="AM243" i="5" s="1"/>
  <c r="FQ505" i="5"/>
  <c r="JC505" i="5" s="1"/>
  <c r="JD505" i="5" s="1"/>
  <c r="JE505" i="5" s="1"/>
  <c r="DI505" i="5" s="1"/>
  <c r="FV505" i="5" s="1"/>
  <c r="FW505" i="5" s="1"/>
  <c r="FX505" i="5" s="1"/>
  <c r="FQ681" i="5"/>
  <c r="FO681" i="5" s="1"/>
  <c r="JH681" i="5" s="1"/>
  <c r="FQ593" i="5"/>
  <c r="JC593" i="5" s="1"/>
  <c r="JD593" i="5" s="1"/>
  <c r="JE593" i="5" s="1"/>
  <c r="DI593" i="5" s="1"/>
  <c r="FV593" i="5" s="1"/>
  <c r="FW593" i="5" s="1"/>
  <c r="FX593" i="5" s="1"/>
  <c r="HI418" i="5"/>
  <c r="HI420" i="5" s="1"/>
  <c r="HI68" i="5"/>
  <c r="HI70" i="5" s="1"/>
  <c r="HI184" i="5"/>
  <c r="HI186" i="5" s="1"/>
  <c r="HI526" i="5"/>
  <c r="HI528" i="5" s="1"/>
  <c r="HI287" i="5"/>
  <c r="HI289" i="5" s="1"/>
  <c r="HI101" i="5"/>
  <c r="HI103" i="5" s="1"/>
  <c r="HI395" i="5"/>
  <c r="HI397" i="5" s="1"/>
  <c r="DG573" i="5"/>
  <c r="EZ573" i="5" s="1"/>
  <c r="DG789" i="5"/>
  <c r="EZ789" i="5" s="1"/>
  <c r="DG218" i="5"/>
  <c r="FE218" i="5" s="1"/>
  <c r="DG291" i="5"/>
  <c r="EZ291" i="5" s="1"/>
  <c r="FV540" i="5"/>
  <c r="FW540" i="5" s="1"/>
  <c r="FX540" i="5" s="1"/>
  <c r="AM540" i="5"/>
  <c r="DG540" i="5"/>
  <c r="EZ540" i="5" s="1"/>
  <c r="JE789" i="5"/>
  <c r="DI789" i="5" s="1"/>
  <c r="FV739" i="5"/>
  <c r="FW739" i="5" s="1"/>
  <c r="FX739" i="5" s="1"/>
  <c r="AM739" i="5"/>
  <c r="AM155" i="5"/>
  <c r="FV155" i="5"/>
  <c r="FW155" i="5" s="1"/>
  <c r="FX155" i="5" s="1"/>
  <c r="DG334" i="5"/>
  <c r="EZ334" i="5" s="1"/>
  <c r="AM77" i="5"/>
  <c r="FV77" i="5"/>
  <c r="FW77" i="5" s="1"/>
  <c r="FX77" i="5" s="1"/>
  <c r="AM334" i="5"/>
  <c r="FV334" i="5"/>
  <c r="FW334" i="5" s="1"/>
  <c r="FX334" i="5" s="1"/>
  <c r="DG261" i="5"/>
  <c r="EZ261" i="5" s="1"/>
  <c r="DG520" i="5"/>
  <c r="EZ520" i="5" s="1"/>
  <c r="AM744" i="5"/>
  <c r="FV744" i="5"/>
  <c r="FW744" i="5" s="1"/>
  <c r="FX744" i="5" s="1"/>
  <c r="FO291" i="5"/>
  <c r="JH291" i="5" s="1"/>
  <c r="AM379" i="5"/>
  <c r="FV379" i="5"/>
  <c r="FW379" i="5" s="1"/>
  <c r="FX379" i="5" s="1"/>
  <c r="FV477" i="5"/>
  <c r="FW477" i="5" s="1"/>
  <c r="FX477" i="5" s="1"/>
  <c r="AM477" i="5"/>
  <c r="AM573" i="5"/>
  <c r="FV573" i="5"/>
  <c r="FW573" i="5" s="1"/>
  <c r="FX573" i="5" s="1"/>
  <c r="HI58" i="5"/>
  <c r="HI60" i="5" s="1"/>
  <c r="AM160" i="5"/>
  <c r="FV160" i="5"/>
  <c r="FW160" i="5" s="1"/>
  <c r="FX160" i="5" s="1"/>
  <c r="FO261" i="5"/>
  <c r="JH261" i="5" s="1"/>
  <c r="AM555" i="5"/>
  <c r="FV555" i="5"/>
  <c r="FW555" i="5" s="1"/>
  <c r="FX555" i="5" s="1"/>
  <c r="DG779" i="5"/>
  <c r="EZ779" i="5" s="1"/>
  <c r="DG739" i="5"/>
  <c r="FE739" i="5" s="1"/>
  <c r="AM82" i="5"/>
  <c r="FV82" i="5"/>
  <c r="FW82" i="5" s="1"/>
  <c r="FX82" i="5" s="1"/>
  <c r="FV374" i="5"/>
  <c r="FW374" i="5" s="1"/>
  <c r="FX374" i="5" s="1"/>
  <c r="AM374" i="5"/>
  <c r="FV578" i="5"/>
  <c r="FW578" i="5" s="1"/>
  <c r="FX578" i="5" s="1"/>
  <c r="AM578" i="5"/>
  <c r="FV472" i="5"/>
  <c r="FW472" i="5" s="1"/>
  <c r="FX472" i="5" s="1"/>
  <c r="AM472" i="5"/>
  <c r="AM779" i="5"/>
  <c r="FV779" i="5"/>
  <c r="FW779" i="5" s="1"/>
  <c r="FX779" i="5" s="1"/>
  <c r="FV95" i="5"/>
  <c r="FW95" i="5" s="1"/>
  <c r="FX95" i="5" s="1"/>
  <c r="AM95" i="5"/>
  <c r="FV520" i="5"/>
  <c r="FW520" i="5" s="1"/>
  <c r="FX520" i="5" s="1"/>
  <c r="AM520" i="5"/>
  <c r="FV666" i="5"/>
  <c r="FW666" i="5" s="1"/>
  <c r="FX666" i="5" s="1"/>
  <c r="AM666" i="5"/>
  <c r="DG477" i="5"/>
  <c r="FE477" i="5" s="1"/>
  <c r="DG555" i="5"/>
  <c r="FE555" i="5" s="1"/>
  <c r="DG719" i="5"/>
  <c r="EZ719" i="5" s="1"/>
  <c r="HI209" i="5"/>
  <c r="HI211" i="5" s="1"/>
  <c r="HI252" i="5"/>
  <c r="HI254" i="5" s="1"/>
  <c r="HI194" i="5"/>
  <c r="HI196" i="5" s="1"/>
  <c r="HI83" i="5"/>
  <c r="HI85" i="5" s="1"/>
  <c r="HI652" i="5"/>
  <c r="HI654" i="5" s="1"/>
  <c r="HI204" i="5"/>
  <c r="HI206" i="5" s="1"/>
  <c r="HI765" i="5"/>
  <c r="HI767" i="5" s="1"/>
  <c r="HI702" i="5"/>
  <c r="HI704" i="5" s="1"/>
  <c r="HI156" i="5"/>
  <c r="HI158" i="5" s="1"/>
  <c r="FQ188" i="5"/>
  <c r="JC188" i="5" s="1"/>
  <c r="JD188" i="5" s="1"/>
  <c r="JE188" i="5" s="1"/>
  <c r="DI188" i="5" s="1"/>
  <c r="HI604" i="5"/>
  <c r="HI606" i="5" s="1"/>
  <c r="HI53" i="5"/>
  <c r="HI55" i="5" s="1"/>
  <c r="DG155" i="5"/>
  <c r="FE155" i="5" s="1"/>
  <c r="FQ105" i="5"/>
  <c r="JC105" i="5" s="1"/>
  <c r="JD105" i="5" s="1"/>
  <c r="JE105" i="5" s="1"/>
  <c r="DI105" i="5" s="1"/>
  <c r="HI224" i="5"/>
  <c r="HI226" i="5" s="1"/>
  <c r="FQ281" i="5"/>
  <c r="HI423" i="5"/>
  <c r="HI425" i="5" s="1"/>
  <c r="DG77" i="5"/>
  <c r="EZ77" i="5" s="1"/>
  <c r="FQ452" i="5"/>
  <c r="JC452" i="5" s="1"/>
  <c r="JD452" i="5" s="1"/>
  <c r="JE452" i="5" s="1"/>
  <c r="DI452" i="5" s="1"/>
  <c r="FQ432" i="5"/>
  <c r="JC432" i="5" s="1"/>
  <c r="JD432" i="5" s="1"/>
  <c r="JE432" i="5" s="1"/>
  <c r="DI432" i="5" s="1"/>
  <c r="HI486" i="5"/>
  <c r="HI488" i="5" s="1"/>
  <c r="HI453" i="5"/>
  <c r="HI455" i="5" s="1"/>
  <c r="FQ422" i="5"/>
  <c r="FO422" i="5" s="1"/>
  <c r="JH422" i="5" s="1"/>
  <c r="HI73" i="5"/>
  <c r="HI75" i="5" s="1"/>
  <c r="HI564" i="5"/>
  <c r="HI566" i="5" s="1"/>
  <c r="FQ467" i="5"/>
  <c r="FO467" i="5" s="1"/>
  <c r="JH467" i="5" s="1"/>
  <c r="HI219" i="5"/>
  <c r="HI221" i="5" s="1"/>
  <c r="JD791" i="5"/>
  <c r="JE791" i="5" s="1"/>
  <c r="JV789" i="5"/>
  <c r="FQ296" i="5"/>
  <c r="HI96" i="5"/>
  <c r="HI98" i="5" s="1"/>
  <c r="FQ389" i="5"/>
  <c r="JC389" i="5" s="1"/>
  <c r="JD389" i="5" s="1"/>
  <c r="JE389" i="5" s="1"/>
  <c r="DI389" i="5" s="1"/>
  <c r="FQ563" i="5"/>
  <c r="JC563" i="5" s="1"/>
  <c r="JD563" i="5" s="1"/>
  <c r="JE563" i="5" s="1"/>
  <c r="DI563" i="5" s="1"/>
  <c r="FQ145" i="5"/>
  <c r="JC145" i="5" s="1"/>
  <c r="JD145" i="5" s="1"/>
  <c r="JE145" i="5" s="1"/>
  <c r="DI145" i="5" s="1"/>
  <c r="DG243" i="5"/>
  <c r="FE243" i="5" s="1"/>
  <c r="FQ598" i="5"/>
  <c r="JC598" i="5" s="1"/>
  <c r="JD598" i="5" s="1"/>
  <c r="JE598" i="5" s="1"/>
  <c r="DI598" i="5" s="1"/>
  <c r="FQ228" i="5"/>
  <c r="HI511" i="5"/>
  <c r="HI513" i="5" s="1"/>
  <c r="FQ462" i="5"/>
  <c r="JC462" i="5" s="1"/>
  <c r="JD462" i="5" s="1"/>
  <c r="JE462" i="5" s="1"/>
  <c r="DI462" i="5" s="1"/>
  <c r="FQ417" i="5"/>
  <c r="FO417" i="5" s="1"/>
  <c r="JH417" i="5" s="1"/>
  <c r="HI730" i="5"/>
  <c r="HI732" i="5" s="1"/>
  <c r="HI438" i="5"/>
  <c r="HI440" i="5" s="1"/>
  <c r="HI657" i="5"/>
  <c r="HI659" i="5" s="1"/>
  <c r="HI272" i="5"/>
  <c r="HI274" i="5" s="1"/>
  <c r="HI614" i="5"/>
  <c r="HI616" i="5" s="1"/>
  <c r="HI609" i="5"/>
  <c r="HI611" i="5" s="1"/>
  <c r="FQ490" i="5"/>
  <c r="JC490" i="5" s="1"/>
  <c r="JD490" i="5" s="1"/>
  <c r="JE490" i="5" s="1"/>
  <c r="DI490" i="5" s="1"/>
  <c r="HI760" i="5"/>
  <c r="HI762" i="5" s="1"/>
  <c r="FO603" i="5"/>
  <c r="JH603" i="5" s="1"/>
  <c r="FQ62" i="5"/>
  <c r="JC62" i="5" s="1"/>
  <c r="JD62" i="5" s="1"/>
  <c r="JE62" i="5" s="1"/>
  <c r="DI62" i="5" s="1"/>
  <c r="HI166" i="5"/>
  <c r="HI168" i="5" s="1"/>
  <c r="HI350" i="5"/>
  <c r="HI352" i="5" s="1"/>
  <c r="HI506" i="5"/>
  <c r="HI508" i="5" s="1"/>
  <c r="AZ95" i="5"/>
  <c r="IM95" i="5"/>
  <c r="GU155" i="5"/>
  <c r="HF155" i="5"/>
  <c r="HE155" i="5"/>
  <c r="GV155" i="5"/>
  <c r="GT155" i="5"/>
  <c r="HD155" i="5"/>
  <c r="GY155" i="5"/>
  <c r="GS155" i="5"/>
  <c r="GZ155" i="5"/>
  <c r="GU135" i="5"/>
  <c r="HE135" i="5"/>
  <c r="HF135" i="5"/>
  <c r="GT135" i="5"/>
  <c r="GS135" i="5"/>
  <c r="GZ135" i="5"/>
  <c r="GY135" i="5"/>
  <c r="HD135" i="5"/>
  <c r="GV135" i="5"/>
  <c r="GZ95" i="5"/>
  <c r="GV95" i="5"/>
  <c r="GU95" i="5"/>
  <c r="HF95" i="5"/>
  <c r="GY95" i="5"/>
  <c r="GT95" i="5"/>
  <c r="GS95" i="5"/>
  <c r="HD95" i="5"/>
  <c r="HE95" i="5"/>
  <c r="FQ52" i="5"/>
  <c r="JC52" i="5" s="1"/>
  <c r="JD52" i="5" s="1"/>
  <c r="JE52" i="5" s="1"/>
  <c r="DI52" i="5" s="1"/>
  <c r="FP52" i="5"/>
  <c r="FQ72" i="5"/>
  <c r="JC72" i="5" s="1"/>
  <c r="JD72" i="5" s="1"/>
  <c r="JE72" i="5" s="1"/>
  <c r="DI72" i="5" s="1"/>
  <c r="FP72" i="5"/>
  <c r="HI63" i="5"/>
  <c r="HI65" i="5" s="1"/>
  <c r="AZ52" i="5"/>
  <c r="IM52" i="5"/>
  <c r="FP57" i="5"/>
  <c r="GU130" i="5"/>
  <c r="GV130" i="5"/>
  <c r="HF130" i="5"/>
  <c r="HE130" i="5"/>
  <c r="HD130" i="5"/>
  <c r="GZ130" i="5"/>
  <c r="GY130" i="5"/>
  <c r="GT130" i="5"/>
  <c r="GS130" i="5"/>
  <c r="AZ165" i="5"/>
  <c r="IM165" i="5"/>
  <c r="GS115" i="5"/>
  <c r="GZ115" i="5"/>
  <c r="GY115" i="5"/>
  <c r="HF115" i="5"/>
  <c r="HE115" i="5"/>
  <c r="HD115" i="5"/>
  <c r="GV115" i="5"/>
  <c r="GU115" i="5"/>
  <c r="GT115" i="5"/>
  <c r="AZ140" i="5"/>
  <c r="IM140" i="5"/>
  <c r="IM155" i="5"/>
  <c r="AZ155" i="5"/>
  <c r="IM100" i="5"/>
  <c r="AZ100" i="5"/>
  <c r="GY208" i="5"/>
  <c r="HE208" i="5"/>
  <c r="GU208" i="5"/>
  <c r="GT208" i="5"/>
  <c r="HF208" i="5"/>
  <c r="HD208" i="5"/>
  <c r="GZ208" i="5"/>
  <c r="GS208" i="5"/>
  <c r="GV208" i="5"/>
  <c r="GS286" i="5"/>
  <c r="GU286" i="5"/>
  <c r="GY286" i="5"/>
  <c r="GZ286" i="5"/>
  <c r="GT286" i="5"/>
  <c r="GV286" i="5"/>
  <c r="HD286" i="5"/>
  <c r="HF286" i="5"/>
  <c r="HE286" i="5"/>
  <c r="HI234" i="5"/>
  <c r="HI236" i="5" s="1"/>
  <c r="GU233" i="5"/>
  <c r="GS233" i="5"/>
  <c r="HE233" i="5"/>
  <c r="GZ233" i="5"/>
  <c r="HF233" i="5"/>
  <c r="GY233" i="5"/>
  <c r="HD233" i="5"/>
  <c r="GV233" i="5"/>
  <c r="GT233" i="5"/>
  <c r="FQ150" i="5"/>
  <c r="JC150" i="5" s="1"/>
  <c r="JD150" i="5" s="1"/>
  <c r="JE150" i="5" s="1"/>
  <c r="DI150" i="5" s="1"/>
  <c r="FP150" i="5"/>
  <c r="DG160" i="5"/>
  <c r="HI189" i="5"/>
  <c r="HI191" i="5" s="1"/>
  <c r="FQ339" i="5"/>
  <c r="GS394" i="5"/>
  <c r="GU394" i="5"/>
  <c r="GZ394" i="5"/>
  <c r="GV394" i="5"/>
  <c r="HF394" i="5"/>
  <c r="HE394" i="5"/>
  <c r="GT394" i="5"/>
  <c r="GY394" i="5"/>
  <c r="HD394" i="5"/>
  <c r="GV251" i="5"/>
  <c r="HF251" i="5"/>
  <c r="HE251" i="5"/>
  <c r="GZ251" i="5"/>
  <c r="GU251" i="5"/>
  <c r="HD251" i="5"/>
  <c r="GY251" i="5"/>
  <c r="GT251" i="5"/>
  <c r="GS251" i="5"/>
  <c r="FQ208" i="5"/>
  <c r="JC208" i="5" s="1"/>
  <c r="JD208" i="5" s="1"/>
  <c r="JE208" i="5" s="1"/>
  <c r="DI208" i="5" s="1"/>
  <c r="HD261" i="5"/>
  <c r="GV261" i="5"/>
  <c r="GU261" i="5"/>
  <c r="GT261" i="5"/>
  <c r="GS261" i="5"/>
  <c r="HF261" i="5"/>
  <c r="GZ261" i="5"/>
  <c r="GY261" i="5"/>
  <c r="HE261" i="5"/>
  <c r="FQ223" i="5"/>
  <c r="FP223" i="5"/>
  <c r="AZ369" i="5"/>
  <c r="IM369" i="5"/>
  <c r="GY203" i="5"/>
  <c r="GU203" i="5"/>
  <c r="GZ203" i="5"/>
  <c r="HF203" i="5"/>
  <c r="HE203" i="5"/>
  <c r="GV203" i="5"/>
  <c r="HD203" i="5"/>
  <c r="GT203" i="5"/>
  <c r="GS203" i="5"/>
  <c r="FQ198" i="5"/>
  <c r="JC198" i="5" s="1"/>
  <c r="JD198" i="5" s="1"/>
  <c r="JE198" i="5" s="1"/>
  <c r="DI198" i="5" s="1"/>
  <c r="FQ173" i="5"/>
  <c r="FP173" i="5"/>
  <c r="AZ256" i="5"/>
  <c r="IM256" i="5"/>
  <c r="HI322" i="5"/>
  <c r="HI324" i="5" s="1"/>
  <c r="AZ354" i="5"/>
  <c r="IM354" i="5"/>
  <c r="FO334" i="5"/>
  <c r="JH334" i="5" s="1"/>
  <c r="FP334" i="5"/>
  <c r="FQ286" i="5"/>
  <c r="JC286" i="5" s="1"/>
  <c r="JD286" i="5" s="1"/>
  <c r="JE286" i="5" s="1"/>
  <c r="DI286" i="5" s="1"/>
  <c r="GS427" i="5"/>
  <c r="GV427" i="5"/>
  <c r="HF427" i="5"/>
  <c r="HD427" i="5"/>
  <c r="GU427" i="5"/>
  <c r="HE427" i="5"/>
  <c r="GY427" i="5"/>
  <c r="GT427" i="5"/>
  <c r="GZ427" i="5"/>
  <c r="AZ291" i="5"/>
  <c r="IM291" i="5"/>
  <c r="HI541" i="5"/>
  <c r="HI543" i="5" s="1"/>
  <c r="HE540" i="5"/>
  <c r="GU540" i="5"/>
  <c r="GS540" i="5"/>
  <c r="HD540" i="5"/>
  <c r="GZ540" i="5"/>
  <c r="HF540" i="5"/>
  <c r="GY540" i="5"/>
  <c r="GV540" i="5"/>
  <c r="GT540" i="5"/>
  <c r="HI458" i="5"/>
  <c r="HI460" i="5" s="1"/>
  <c r="HI516" i="5"/>
  <c r="HI518" i="5" s="1"/>
  <c r="HI574" i="5"/>
  <c r="HI576" i="5" s="1"/>
  <c r="HE573" i="5"/>
  <c r="GV573" i="5"/>
  <c r="GZ573" i="5"/>
  <c r="GY573" i="5"/>
  <c r="GU573" i="5"/>
  <c r="HD573" i="5"/>
  <c r="GT573" i="5"/>
  <c r="HF573" i="5"/>
  <c r="GS573" i="5"/>
  <c r="AZ447" i="5"/>
  <c r="IM447" i="5"/>
  <c r="GU719" i="5"/>
  <c r="GZ719" i="5"/>
  <c r="HF719" i="5"/>
  <c r="GS719" i="5"/>
  <c r="HE719" i="5"/>
  <c r="GY719" i="5"/>
  <c r="HD719" i="5"/>
  <c r="GV719" i="5"/>
  <c r="GT719" i="5"/>
  <c r="AZ432" i="5"/>
  <c r="IM432" i="5"/>
  <c r="AZ407" i="5"/>
  <c r="IM407" i="5"/>
  <c r="AZ535" i="5"/>
  <c r="IM535" i="5"/>
  <c r="FQ515" i="5"/>
  <c r="JC515" i="5" s="1"/>
  <c r="JD515" i="5" s="1"/>
  <c r="JE515" i="5" s="1"/>
  <c r="DI515" i="5" s="1"/>
  <c r="AZ550" i="5"/>
  <c r="IM550" i="5"/>
  <c r="FQ500" i="5"/>
  <c r="JC500" i="5" s="1"/>
  <c r="JD500" i="5" s="1"/>
  <c r="JE500" i="5" s="1"/>
  <c r="DI500" i="5" s="1"/>
  <c r="HI546" i="5"/>
  <c r="HI548" i="5" s="1"/>
  <c r="FQ568" i="5"/>
  <c r="FP568" i="5"/>
  <c r="HD472" i="5"/>
  <c r="GU472" i="5"/>
  <c r="HF472" i="5"/>
  <c r="HE472" i="5"/>
  <c r="GZ472" i="5"/>
  <c r="GY472" i="5"/>
  <c r="GS472" i="5"/>
  <c r="GT472" i="5"/>
  <c r="GV472" i="5"/>
  <c r="FO573" i="5"/>
  <c r="JH573" i="5" s="1"/>
  <c r="FP573" i="5"/>
  <c r="FO477" i="5"/>
  <c r="JH477" i="5" s="1"/>
  <c r="FP477" i="5"/>
  <c r="AZ510" i="5"/>
  <c r="IM510" i="5"/>
  <c r="AZ608" i="5"/>
  <c r="IM608" i="5"/>
  <c r="HI589" i="5"/>
  <c r="HI591" i="5" s="1"/>
  <c r="GT671" i="5"/>
  <c r="GS671" i="5"/>
  <c r="GU671" i="5"/>
  <c r="HF671" i="5"/>
  <c r="HE671" i="5"/>
  <c r="GV671" i="5"/>
  <c r="GZ671" i="5"/>
  <c r="GY671" i="5"/>
  <c r="HD671" i="5"/>
  <c r="HI780" i="5"/>
  <c r="HI782" i="5" s="1"/>
  <c r="FO789" i="5"/>
  <c r="JH789" i="5" s="1"/>
  <c r="FP789" i="5"/>
  <c r="HF651" i="5"/>
  <c r="HE651" i="5"/>
  <c r="GS651" i="5"/>
  <c r="GZ651" i="5"/>
  <c r="GY651" i="5"/>
  <c r="HD651" i="5"/>
  <c r="GV651" i="5"/>
  <c r="GU651" i="5"/>
  <c r="GT651" i="5"/>
  <c r="HI745" i="5"/>
  <c r="HI747" i="5" s="1"/>
  <c r="HI712" i="5"/>
  <c r="HI714" i="5" s="1"/>
  <c r="AZ749" i="5"/>
  <c r="IM749" i="5"/>
  <c r="AZ681" i="5"/>
  <c r="IM681" i="5"/>
  <c r="AZ711" i="5"/>
  <c r="IM711" i="5"/>
  <c r="FQ759" i="5"/>
  <c r="JC759" i="5" s="1"/>
  <c r="JD759" i="5" s="1"/>
  <c r="JE759" i="5" s="1"/>
  <c r="DI759" i="5" s="1"/>
  <c r="AZ784" i="5"/>
  <c r="IM784" i="5"/>
  <c r="FO671" i="5"/>
  <c r="JH671" i="5" s="1"/>
  <c r="AZ769" i="5"/>
  <c r="IM769" i="5"/>
  <c r="AZ72" i="5"/>
  <c r="IM72" i="5"/>
  <c r="GZ389" i="5"/>
  <c r="GY389" i="5"/>
  <c r="GU389" i="5"/>
  <c r="GT389" i="5"/>
  <c r="HD389" i="5"/>
  <c r="HF389" i="5"/>
  <c r="GS389" i="5"/>
  <c r="HE389" i="5"/>
  <c r="GV389" i="5"/>
  <c r="GY105" i="5"/>
  <c r="HF105" i="5"/>
  <c r="GT105" i="5"/>
  <c r="GV105" i="5"/>
  <c r="GU105" i="5"/>
  <c r="HD105" i="5"/>
  <c r="HE105" i="5"/>
  <c r="GS105" i="5"/>
  <c r="GZ105" i="5"/>
  <c r="GT165" i="5"/>
  <c r="GS165" i="5"/>
  <c r="HE165" i="5"/>
  <c r="GZ165" i="5"/>
  <c r="GV165" i="5"/>
  <c r="GU165" i="5"/>
  <c r="HD165" i="5"/>
  <c r="HF165" i="5"/>
  <c r="GY165" i="5"/>
  <c r="AZ62" i="5"/>
  <c r="IM62" i="5"/>
  <c r="HE57" i="5"/>
  <c r="GT57" i="5"/>
  <c r="GV57" i="5"/>
  <c r="GU57" i="5"/>
  <c r="HF57" i="5"/>
  <c r="HD57" i="5"/>
  <c r="GY57" i="5"/>
  <c r="GS57" i="5"/>
  <c r="GZ57" i="5"/>
  <c r="GU120" i="5"/>
  <c r="HE120" i="5"/>
  <c r="HD120" i="5"/>
  <c r="GZ120" i="5"/>
  <c r="HF120" i="5"/>
  <c r="GV120" i="5"/>
  <c r="GY120" i="5"/>
  <c r="GT120" i="5"/>
  <c r="GS120" i="5"/>
  <c r="AZ105" i="5"/>
  <c r="IM105" i="5"/>
  <c r="GZ145" i="5"/>
  <c r="GY145" i="5"/>
  <c r="HF145" i="5"/>
  <c r="HE145" i="5"/>
  <c r="HD145" i="5"/>
  <c r="GV145" i="5"/>
  <c r="GU145" i="5"/>
  <c r="GT145" i="5"/>
  <c r="GS145" i="5"/>
  <c r="HE223" i="5"/>
  <c r="HD223" i="5"/>
  <c r="GY223" i="5"/>
  <c r="GT223" i="5"/>
  <c r="GS223" i="5"/>
  <c r="HF223" i="5"/>
  <c r="GZ223" i="5"/>
  <c r="GU223" i="5"/>
  <c r="GV223" i="5"/>
  <c r="HI131" i="5"/>
  <c r="HI133" i="5" s="1"/>
  <c r="GY193" i="5"/>
  <c r="HE193" i="5"/>
  <c r="GT193" i="5"/>
  <c r="GV193" i="5"/>
  <c r="GS193" i="5"/>
  <c r="HF193" i="5"/>
  <c r="HD193" i="5"/>
  <c r="GU193" i="5"/>
  <c r="GZ193" i="5"/>
  <c r="GV329" i="5"/>
  <c r="HF329" i="5"/>
  <c r="GU329" i="5"/>
  <c r="GT329" i="5"/>
  <c r="GS329" i="5"/>
  <c r="HE329" i="5"/>
  <c r="GY329" i="5"/>
  <c r="HD329" i="5"/>
  <c r="GZ329" i="5"/>
  <c r="GU100" i="5"/>
  <c r="HF100" i="5"/>
  <c r="HE100" i="5"/>
  <c r="GZ100" i="5"/>
  <c r="GY100" i="5"/>
  <c r="GV100" i="5"/>
  <c r="GT100" i="5"/>
  <c r="HD100" i="5"/>
  <c r="GS100" i="5"/>
  <c r="AZ160" i="5"/>
  <c r="IM160" i="5"/>
  <c r="GZ321" i="5"/>
  <c r="GY321" i="5"/>
  <c r="HE321" i="5"/>
  <c r="GU321" i="5"/>
  <c r="HD321" i="5"/>
  <c r="GT321" i="5"/>
  <c r="GV321" i="5"/>
  <c r="GS321" i="5"/>
  <c r="HF321" i="5"/>
  <c r="GZ228" i="5"/>
  <c r="GV228" i="5"/>
  <c r="GU228" i="5"/>
  <c r="HD228" i="5"/>
  <c r="GT228" i="5"/>
  <c r="GS228" i="5"/>
  <c r="HF228" i="5"/>
  <c r="HE228" i="5"/>
  <c r="GY228" i="5"/>
  <c r="HD379" i="5"/>
  <c r="GS379" i="5"/>
  <c r="GZ379" i="5"/>
  <c r="HF379" i="5"/>
  <c r="GY379" i="5"/>
  <c r="GT379" i="5"/>
  <c r="GV379" i="5"/>
  <c r="HE379" i="5"/>
  <c r="GU379" i="5"/>
  <c r="HE490" i="5"/>
  <c r="HF490" i="5"/>
  <c r="HD490" i="5"/>
  <c r="GT490" i="5"/>
  <c r="GU490" i="5"/>
  <c r="GS490" i="5"/>
  <c r="GZ490" i="5"/>
  <c r="GY490" i="5"/>
  <c r="GV490" i="5"/>
  <c r="AZ213" i="5"/>
  <c r="IM213" i="5"/>
  <c r="HI229" i="5"/>
  <c r="HI231" i="5" s="1"/>
  <c r="FQ344" i="5"/>
  <c r="JC344" i="5" s="1"/>
  <c r="JD344" i="5" s="1"/>
  <c r="JE344" i="5" s="1"/>
  <c r="DI344" i="5" s="1"/>
  <c r="FP344" i="5"/>
  <c r="GS462" i="5"/>
  <c r="HE462" i="5"/>
  <c r="GT462" i="5"/>
  <c r="GZ462" i="5"/>
  <c r="HF462" i="5"/>
  <c r="GY462" i="5"/>
  <c r="GU462" i="5"/>
  <c r="HD462" i="5"/>
  <c r="GV462" i="5"/>
  <c r="AZ349" i="5"/>
  <c r="IM349" i="5"/>
  <c r="AZ394" i="5"/>
  <c r="IM394" i="5"/>
  <c r="AZ301" i="5"/>
  <c r="IM301" i="5"/>
  <c r="AZ311" i="5"/>
  <c r="IM311" i="5"/>
  <c r="AZ364" i="5"/>
  <c r="IM364" i="5"/>
  <c r="GS628" i="5"/>
  <c r="HF628" i="5"/>
  <c r="GY628" i="5"/>
  <c r="HD628" i="5"/>
  <c r="GV628" i="5"/>
  <c r="GU628" i="5"/>
  <c r="GT628" i="5"/>
  <c r="HE628" i="5"/>
  <c r="GZ628" i="5"/>
  <c r="GY447" i="5"/>
  <c r="GU447" i="5"/>
  <c r="GS447" i="5"/>
  <c r="GZ447" i="5"/>
  <c r="HF447" i="5"/>
  <c r="GT447" i="5"/>
  <c r="HE447" i="5"/>
  <c r="HD447" i="5"/>
  <c r="GV447" i="5"/>
  <c r="HF417" i="5"/>
  <c r="GY417" i="5"/>
  <c r="GU417" i="5"/>
  <c r="GZ417" i="5"/>
  <c r="HE417" i="5"/>
  <c r="GV417" i="5"/>
  <c r="HD417" i="5"/>
  <c r="GT417" i="5"/>
  <c r="GS417" i="5"/>
  <c r="HI521" i="5"/>
  <c r="HI523" i="5" s="1"/>
  <c r="GV485" i="5"/>
  <c r="GT485" i="5"/>
  <c r="GU485" i="5"/>
  <c r="GY485" i="5"/>
  <c r="HF485" i="5"/>
  <c r="HE485" i="5"/>
  <c r="GZ485" i="5"/>
  <c r="GS485" i="5"/>
  <c r="HD485" i="5"/>
  <c r="HI433" i="5"/>
  <c r="HI435" i="5" s="1"/>
  <c r="AZ467" i="5"/>
  <c r="IM467" i="5"/>
  <c r="FQ485" i="5"/>
  <c r="FO485" i="5" s="1"/>
  <c r="JH485" i="5" s="1"/>
  <c r="HI501" i="5"/>
  <c r="HI503" i="5" s="1"/>
  <c r="FQ623" i="5"/>
  <c r="HD724" i="5"/>
  <c r="GU724" i="5"/>
  <c r="GZ724" i="5"/>
  <c r="GS724" i="5"/>
  <c r="HF724" i="5"/>
  <c r="GT724" i="5"/>
  <c r="GY724" i="5"/>
  <c r="HE724" i="5"/>
  <c r="GV724" i="5"/>
  <c r="DG578" i="5"/>
  <c r="FP578" i="5"/>
  <c r="AZ628" i="5"/>
  <c r="IM628" i="5"/>
  <c r="AZ618" i="5"/>
  <c r="IM618" i="5"/>
  <c r="HI775" i="5"/>
  <c r="HI777" i="5" s="1"/>
  <c r="HF754" i="5"/>
  <c r="HE754" i="5"/>
  <c r="GS754" i="5"/>
  <c r="HD754" i="5"/>
  <c r="GT754" i="5"/>
  <c r="GV754" i="5"/>
  <c r="GU754" i="5"/>
  <c r="GZ754" i="5"/>
  <c r="GY754" i="5"/>
  <c r="AZ706" i="5"/>
  <c r="IM706" i="5"/>
  <c r="AZ729" i="5"/>
  <c r="IM729" i="5"/>
  <c r="IM115" i="5"/>
  <c r="AZ115" i="5"/>
  <c r="HI141" i="5"/>
  <c r="HI143" i="5" s="1"/>
  <c r="GT140" i="5"/>
  <c r="HF140" i="5"/>
  <c r="GS140" i="5"/>
  <c r="GZ140" i="5"/>
  <c r="HE140" i="5"/>
  <c r="GY140" i="5"/>
  <c r="GU140" i="5"/>
  <c r="GV140" i="5"/>
  <c r="HD140" i="5"/>
  <c r="GZ62" i="5"/>
  <c r="GU62" i="5"/>
  <c r="GY62" i="5"/>
  <c r="GS62" i="5"/>
  <c r="HE62" i="5"/>
  <c r="GV62" i="5"/>
  <c r="HF62" i="5"/>
  <c r="GT62" i="5"/>
  <c r="HD62" i="5"/>
  <c r="FP125" i="5"/>
  <c r="HI106" i="5"/>
  <c r="HI108" i="5" s="1"/>
  <c r="FQ125" i="5"/>
  <c r="JC125" i="5" s="1"/>
  <c r="JD125" i="5" s="1"/>
  <c r="JE125" i="5" s="1"/>
  <c r="DI125" i="5" s="1"/>
  <c r="HF276" i="5"/>
  <c r="GT276" i="5"/>
  <c r="GU276" i="5"/>
  <c r="GZ276" i="5"/>
  <c r="HD276" i="5"/>
  <c r="GV276" i="5"/>
  <c r="HE276" i="5"/>
  <c r="GS276" i="5"/>
  <c r="GY276" i="5"/>
  <c r="DG95" i="5"/>
  <c r="HI136" i="5"/>
  <c r="HI138" i="5" s="1"/>
  <c r="GS266" i="5"/>
  <c r="HF266" i="5"/>
  <c r="GU266" i="5"/>
  <c r="HD266" i="5"/>
  <c r="GV266" i="5"/>
  <c r="HE266" i="5"/>
  <c r="GZ266" i="5"/>
  <c r="GT266" i="5"/>
  <c r="GY266" i="5"/>
  <c r="HD173" i="5"/>
  <c r="GY173" i="5"/>
  <c r="GT173" i="5"/>
  <c r="GU173" i="5"/>
  <c r="GZ173" i="5"/>
  <c r="HF173" i="5"/>
  <c r="HE173" i="5"/>
  <c r="GV173" i="5"/>
  <c r="GS173" i="5"/>
  <c r="FQ57" i="5"/>
  <c r="JC57" i="5" s="1"/>
  <c r="JD57" i="5" s="1"/>
  <c r="JE57" i="5" s="1"/>
  <c r="DI57" i="5" s="1"/>
  <c r="FP105" i="5"/>
  <c r="FP140" i="5"/>
  <c r="HI151" i="5"/>
  <c r="HI153" i="5" s="1"/>
  <c r="FQ165" i="5"/>
  <c r="FP165" i="5"/>
  <c r="HI302" i="5"/>
  <c r="HI304" i="5" s="1"/>
  <c r="HI267" i="5"/>
  <c r="HI269" i="5" s="1"/>
  <c r="GU160" i="5"/>
  <c r="HF160" i="5"/>
  <c r="HE160" i="5"/>
  <c r="GY160" i="5"/>
  <c r="GS160" i="5"/>
  <c r="GV160" i="5"/>
  <c r="GZ160" i="5"/>
  <c r="GT160" i="5"/>
  <c r="HD160" i="5"/>
  <c r="FP178" i="5"/>
  <c r="AZ238" i="5"/>
  <c r="IM238" i="5"/>
  <c r="AZ183" i="5"/>
  <c r="IM183" i="5"/>
  <c r="AZ198" i="5"/>
  <c r="IM198" i="5"/>
  <c r="IM173" i="5"/>
  <c r="AZ173" i="5"/>
  <c r="AZ261" i="5"/>
  <c r="IM261" i="5"/>
  <c r="AZ359" i="5"/>
  <c r="IM359" i="5"/>
  <c r="GY535" i="5"/>
  <c r="GV535" i="5"/>
  <c r="GT535" i="5"/>
  <c r="GU535" i="5"/>
  <c r="GS535" i="5"/>
  <c r="GZ535" i="5"/>
  <c r="HE535" i="5"/>
  <c r="HF535" i="5"/>
  <c r="HD535" i="5"/>
  <c r="FQ301" i="5"/>
  <c r="JC301" i="5" s="1"/>
  <c r="JD301" i="5" s="1"/>
  <c r="JE301" i="5" s="1"/>
  <c r="DI301" i="5" s="1"/>
  <c r="HD296" i="5"/>
  <c r="GS296" i="5"/>
  <c r="GZ296" i="5"/>
  <c r="GY296" i="5"/>
  <c r="HF296" i="5"/>
  <c r="GT296" i="5"/>
  <c r="HE296" i="5"/>
  <c r="GU296" i="5"/>
  <c r="GV296" i="5"/>
  <c r="HI400" i="5"/>
  <c r="HI402" i="5" s="1"/>
  <c r="HE369" i="5"/>
  <c r="GS369" i="5"/>
  <c r="HF369" i="5"/>
  <c r="HD369" i="5"/>
  <c r="GV369" i="5"/>
  <c r="GU369" i="5"/>
  <c r="GZ369" i="5"/>
  <c r="GY369" i="5"/>
  <c r="GT369" i="5"/>
  <c r="GS555" i="5"/>
  <c r="GY555" i="5"/>
  <c r="HD555" i="5"/>
  <c r="GU555" i="5"/>
  <c r="GV555" i="5"/>
  <c r="GT555" i="5"/>
  <c r="HE555" i="5"/>
  <c r="GZ555" i="5"/>
  <c r="HF555" i="5"/>
  <c r="GS525" i="5"/>
  <c r="HF525" i="5"/>
  <c r="HD525" i="5"/>
  <c r="HE525" i="5"/>
  <c r="GZ525" i="5"/>
  <c r="GT525" i="5"/>
  <c r="GY525" i="5"/>
  <c r="GV525" i="5"/>
  <c r="GU525" i="5"/>
  <c r="FQ407" i="5"/>
  <c r="JC407" i="5" s="1"/>
  <c r="JD407" i="5" s="1"/>
  <c r="JE407" i="5" s="1"/>
  <c r="DI407" i="5" s="1"/>
  <c r="GZ568" i="5"/>
  <c r="HD568" i="5"/>
  <c r="GU568" i="5"/>
  <c r="GT568" i="5"/>
  <c r="HF568" i="5"/>
  <c r="GS568" i="5"/>
  <c r="HE568" i="5"/>
  <c r="GY568" i="5"/>
  <c r="GV568" i="5"/>
  <c r="HI463" i="5"/>
  <c r="HI465" i="5" s="1"/>
  <c r="GZ618" i="5"/>
  <c r="HF618" i="5"/>
  <c r="GV618" i="5"/>
  <c r="GU618" i="5"/>
  <c r="GY618" i="5"/>
  <c r="HD618" i="5"/>
  <c r="GS618" i="5"/>
  <c r="GT618" i="5"/>
  <c r="HE618" i="5"/>
  <c r="HE603" i="5"/>
  <c r="GV603" i="5"/>
  <c r="GS603" i="5"/>
  <c r="GZ603" i="5"/>
  <c r="HD603" i="5"/>
  <c r="HF603" i="5"/>
  <c r="GT603" i="5"/>
  <c r="GU603" i="5"/>
  <c r="GY603" i="5"/>
  <c r="HI413" i="5"/>
  <c r="HI415" i="5" s="1"/>
  <c r="GT744" i="5"/>
  <c r="GZ744" i="5"/>
  <c r="HE744" i="5"/>
  <c r="GY744" i="5"/>
  <c r="HD744" i="5"/>
  <c r="GU744" i="5"/>
  <c r="GS744" i="5"/>
  <c r="GV744" i="5"/>
  <c r="HF744" i="5"/>
  <c r="AZ422" i="5"/>
  <c r="IM422" i="5"/>
  <c r="AZ472" i="5"/>
  <c r="IM472" i="5"/>
  <c r="AZ525" i="5"/>
  <c r="IM525" i="5"/>
  <c r="GS774" i="5"/>
  <c r="GV774" i="5"/>
  <c r="GZ774" i="5"/>
  <c r="HE774" i="5"/>
  <c r="GT774" i="5"/>
  <c r="GY774" i="5"/>
  <c r="HF774" i="5"/>
  <c r="HD774" i="5"/>
  <c r="GU774" i="5"/>
  <c r="GS500" i="5"/>
  <c r="GY500" i="5"/>
  <c r="HF500" i="5"/>
  <c r="GU500" i="5"/>
  <c r="HE500" i="5"/>
  <c r="GT500" i="5"/>
  <c r="GZ500" i="5"/>
  <c r="HD500" i="5"/>
  <c r="GV500" i="5"/>
  <c r="FP550" i="5"/>
  <c r="HI556" i="5"/>
  <c r="HI558" i="5" s="1"/>
  <c r="FP633" i="5"/>
  <c r="FQ608" i="5"/>
  <c r="DG608" i="5" s="1"/>
  <c r="FP608" i="5"/>
  <c r="HE681" i="5"/>
  <c r="GZ681" i="5"/>
  <c r="HD681" i="5"/>
  <c r="GT681" i="5"/>
  <c r="HF681" i="5"/>
  <c r="GV681" i="5"/>
  <c r="GU681" i="5"/>
  <c r="GS681" i="5"/>
  <c r="GY681" i="5"/>
  <c r="IM633" i="5"/>
  <c r="AZ633" i="5"/>
  <c r="AZ603" i="5"/>
  <c r="IM603" i="5"/>
  <c r="GV701" i="5"/>
  <c r="GZ701" i="5"/>
  <c r="GT701" i="5"/>
  <c r="GS701" i="5"/>
  <c r="HE701" i="5"/>
  <c r="HF701" i="5"/>
  <c r="HD701" i="5"/>
  <c r="GY701" i="5"/>
  <c r="GU701" i="5"/>
  <c r="FQ651" i="5"/>
  <c r="AZ651" i="5"/>
  <c r="IM651" i="5"/>
  <c r="FQ646" i="5"/>
  <c r="JC646" i="5" s="1"/>
  <c r="JD646" i="5" s="1"/>
  <c r="JE646" i="5" s="1"/>
  <c r="DI646" i="5" s="1"/>
  <c r="AZ641" i="5"/>
  <c r="IM641" i="5"/>
  <c r="GU729" i="5"/>
  <c r="HF729" i="5"/>
  <c r="GS729" i="5"/>
  <c r="HE729" i="5"/>
  <c r="HD729" i="5"/>
  <c r="GV729" i="5"/>
  <c r="GT729" i="5"/>
  <c r="GZ729" i="5"/>
  <c r="GY729" i="5"/>
  <c r="FQ769" i="5"/>
  <c r="DG769" i="5" s="1"/>
  <c r="FP769" i="5"/>
  <c r="FO779" i="5"/>
  <c r="JH779" i="5" s="1"/>
  <c r="FP779" i="5"/>
  <c r="FQ661" i="5"/>
  <c r="JC661" i="5" s="1"/>
  <c r="JD661" i="5" s="1"/>
  <c r="JE661" i="5" s="1"/>
  <c r="DI661" i="5" s="1"/>
  <c r="FP661" i="5"/>
  <c r="FO666" i="5"/>
  <c r="JH666" i="5" s="1"/>
  <c r="FP666" i="5"/>
  <c r="AZ739" i="5"/>
  <c r="IM739" i="5"/>
  <c r="AZ789" i="5"/>
  <c r="IM789" i="5"/>
  <c r="GY87" i="5"/>
  <c r="GU87" i="5"/>
  <c r="HF87" i="5"/>
  <c r="GT87" i="5"/>
  <c r="GS87" i="5"/>
  <c r="HD87" i="5"/>
  <c r="HE87" i="5"/>
  <c r="GZ87" i="5"/>
  <c r="GV87" i="5"/>
  <c r="AZ135" i="5"/>
  <c r="IM135" i="5"/>
  <c r="HF72" i="5"/>
  <c r="HD72" i="5"/>
  <c r="GZ72" i="5"/>
  <c r="GS72" i="5"/>
  <c r="GV72" i="5"/>
  <c r="HE72" i="5"/>
  <c r="GY72" i="5"/>
  <c r="GU72" i="5"/>
  <c r="GT72" i="5"/>
  <c r="FO77" i="5"/>
  <c r="JH77" i="5" s="1"/>
  <c r="FP77" i="5"/>
  <c r="GU52" i="5"/>
  <c r="HF52" i="5"/>
  <c r="GZ52" i="5"/>
  <c r="HE52" i="5"/>
  <c r="GS52" i="5"/>
  <c r="GT52" i="5"/>
  <c r="GY52" i="5"/>
  <c r="GV52" i="5"/>
  <c r="HD52" i="5"/>
  <c r="AZ77" i="5"/>
  <c r="IM77" i="5"/>
  <c r="GU271" i="5"/>
  <c r="GT271" i="5"/>
  <c r="HD271" i="5"/>
  <c r="GY271" i="5"/>
  <c r="GZ271" i="5"/>
  <c r="HE271" i="5"/>
  <c r="HF271" i="5"/>
  <c r="GS271" i="5"/>
  <c r="GV271" i="5"/>
  <c r="HI335" i="5"/>
  <c r="HI337" i="5" s="1"/>
  <c r="GU334" i="5"/>
  <c r="HE334" i="5"/>
  <c r="GT334" i="5"/>
  <c r="GZ334" i="5"/>
  <c r="GS334" i="5"/>
  <c r="GY334" i="5"/>
  <c r="HF334" i="5"/>
  <c r="HD334" i="5"/>
  <c r="GV334" i="5"/>
  <c r="GU82" i="5"/>
  <c r="GT82" i="5"/>
  <c r="HE82" i="5"/>
  <c r="HF82" i="5"/>
  <c r="GZ82" i="5"/>
  <c r="GV82" i="5"/>
  <c r="HD82" i="5"/>
  <c r="GY82" i="5"/>
  <c r="GS82" i="5"/>
  <c r="AZ125" i="5"/>
  <c r="IM125" i="5"/>
  <c r="HI355" i="5"/>
  <c r="HI357" i="5" s="1"/>
  <c r="HD354" i="5"/>
  <c r="GV354" i="5"/>
  <c r="GU354" i="5"/>
  <c r="GY354" i="5"/>
  <c r="GT354" i="5"/>
  <c r="HE354" i="5"/>
  <c r="GS354" i="5"/>
  <c r="GZ354" i="5"/>
  <c r="HF354" i="5"/>
  <c r="GT218" i="5"/>
  <c r="GU218" i="5"/>
  <c r="HD218" i="5"/>
  <c r="GY218" i="5"/>
  <c r="GV218" i="5"/>
  <c r="GS218" i="5"/>
  <c r="GZ218" i="5"/>
  <c r="HF218" i="5"/>
  <c r="HE218" i="5"/>
  <c r="FQ87" i="5"/>
  <c r="FP87" i="5"/>
  <c r="HI146" i="5"/>
  <c r="HI148" i="5" s="1"/>
  <c r="HI161" i="5"/>
  <c r="HI163" i="5" s="1"/>
  <c r="HE213" i="5"/>
  <c r="GU213" i="5"/>
  <c r="GV213" i="5"/>
  <c r="GZ213" i="5"/>
  <c r="GT213" i="5"/>
  <c r="GY213" i="5"/>
  <c r="GS213" i="5"/>
  <c r="HF213" i="5"/>
  <c r="HD213" i="5"/>
  <c r="HD183" i="5"/>
  <c r="GS183" i="5"/>
  <c r="GZ183" i="5"/>
  <c r="HE183" i="5"/>
  <c r="GT183" i="5"/>
  <c r="HF183" i="5"/>
  <c r="GV183" i="5"/>
  <c r="GY183" i="5"/>
  <c r="GU183" i="5"/>
  <c r="GT256" i="5"/>
  <c r="HF256" i="5"/>
  <c r="GV256" i="5"/>
  <c r="GZ256" i="5"/>
  <c r="GY256" i="5"/>
  <c r="HE256" i="5"/>
  <c r="HD256" i="5"/>
  <c r="GU256" i="5"/>
  <c r="GS256" i="5"/>
  <c r="HI330" i="5"/>
  <c r="HI332" i="5" s="1"/>
  <c r="FQ140" i="5"/>
  <c r="FO140" i="5" s="1"/>
  <c r="JH140" i="5" s="1"/>
  <c r="GS364" i="5"/>
  <c r="HE364" i="5"/>
  <c r="GZ364" i="5"/>
  <c r="GU364" i="5"/>
  <c r="GY364" i="5"/>
  <c r="GV364" i="5"/>
  <c r="HD364" i="5"/>
  <c r="GT364" i="5"/>
  <c r="HF364" i="5"/>
  <c r="HI340" i="5"/>
  <c r="HI342" i="5" s="1"/>
  <c r="AZ178" i="5"/>
  <c r="IM178" i="5"/>
  <c r="IM399" i="5"/>
  <c r="AZ399" i="5"/>
  <c r="FQ213" i="5"/>
  <c r="JC213" i="5" s="1"/>
  <c r="JD213" i="5" s="1"/>
  <c r="JE213" i="5" s="1"/>
  <c r="DI213" i="5" s="1"/>
  <c r="FQ276" i="5"/>
  <c r="FQ203" i="5"/>
  <c r="JC203" i="5" s="1"/>
  <c r="JD203" i="5" s="1"/>
  <c r="JE203" i="5" s="1"/>
  <c r="DI203" i="5" s="1"/>
  <c r="GU437" i="5"/>
  <c r="HF437" i="5"/>
  <c r="GZ437" i="5"/>
  <c r="GV437" i="5"/>
  <c r="GT437" i="5"/>
  <c r="GS437" i="5"/>
  <c r="GY437" i="5"/>
  <c r="HE437" i="5"/>
  <c r="HD437" i="5"/>
  <c r="FQ233" i="5"/>
  <c r="DG233" i="5" s="1"/>
  <c r="FP233" i="5"/>
  <c r="AZ321" i="5"/>
  <c r="IM321" i="5"/>
  <c r="HI375" i="5"/>
  <c r="HI377" i="5" s="1"/>
  <c r="AZ286" i="5"/>
  <c r="IM286" i="5"/>
  <c r="HF412" i="5"/>
  <c r="GT412" i="5"/>
  <c r="HD412" i="5"/>
  <c r="GZ412" i="5"/>
  <c r="GU412" i="5"/>
  <c r="GY412" i="5"/>
  <c r="GS412" i="5"/>
  <c r="HE412" i="5"/>
  <c r="GV412" i="5"/>
  <c r="GZ477" i="5"/>
  <c r="GU477" i="5"/>
  <c r="GV477" i="5"/>
  <c r="GT477" i="5"/>
  <c r="GS477" i="5"/>
  <c r="GY477" i="5"/>
  <c r="HF477" i="5"/>
  <c r="HD477" i="5"/>
  <c r="HE477" i="5"/>
  <c r="FP321" i="5"/>
  <c r="HE384" i="5"/>
  <c r="GV384" i="5"/>
  <c r="GT384" i="5"/>
  <c r="HF384" i="5"/>
  <c r="GS384" i="5"/>
  <c r="GY384" i="5"/>
  <c r="GZ384" i="5"/>
  <c r="HD384" i="5"/>
  <c r="GU384" i="5"/>
  <c r="HD608" i="5"/>
  <c r="GU608" i="5"/>
  <c r="GS608" i="5"/>
  <c r="GY608" i="5"/>
  <c r="GZ608" i="5"/>
  <c r="HF608" i="5"/>
  <c r="GV608" i="5"/>
  <c r="HE608" i="5"/>
  <c r="GT608" i="5"/>
  <c r="HI624" i="5"/>
  <c r="HI626" i="5" s="1"/>
  <c r="HI360" i="5"/>
  <c r="HI362" i="5" s="1"/>
  <c r="HI536" i="5"/>
  <c r="HI538" i="5" s="1"/>
  <c r="HI629" i="5"/>
  <c r="HI631" i="5" s="1"/>
  <c r="GT505" i="5"/>
  <c r="HD505" i="5"/>
  <c r="GY505" i="5"/>
  <c r="GS505" i="5"/>
  <c r="GZ505" i="5"/>
  <c r="HF505" i="5"/>
  <c r="GV505" i="5"/>
  <c r="HE505" i="5"/>
  <c r="GU505" i="5"/>
  <c r="GY545" i="5"/>
  <c r="HF545" i="5"/>
  <c r="GV545" i="5"/>
  <c r="HE545" i="5"/>
  <c r="GT545" i="5"/>
  <c r="GZ545" i="5"/>
  <c r="HD545" i="5"/>
  <c r="GS545" i="5"/>
  <c r="GU545" i="5"/>
  <c r="AZ500" i="5"/>
  <c r="IM500" i="5"/>
  <c r="AZ477" i="5"/>
  <c r="IM477" i="5"/>
  <c r="AZ485" i="5"/>
  <c r="IM485" i="5"/>
  <c r="AZ545" i="5"/>
  <c r="IM545" i="5"/>
  <c r="DG563" i="5"/>
  <c r="EY789" i="5"/>
  <c r="HO790" i="5" s="1"/>
  <c r="HO792" i="5" s="1"/>
  <c r="FQ535" i="5"/>
  <c r="FO535" i="5" s="1"/>
  <c r="JH535" i="5" s="1"/>
  <c r="HF656" i="5"/>
  <c r="GV656" i="5"/>
  <c r="GS656" i="5"/>
  <c r="GT656" i="5"/>
  <c r="GZ656" i="5"/>
  <c r="HE656" i="5"/>
  <c r="HD656" i="5"/>
  <c r="GU656" i="5"/>
  <c r="GY656" i="5"/>
  <c r="GS759" i="5"/>
  <c r="GZ759" i="5"/>
  <c r="HE759" i="5"/>
  <c r="HD759" i="5"/>
  <c r="GY759" i="5"/>
  <c r="GV759" i="5"/>
  <c r="HF759" i="5"/>
  <c r="GU759" i="5"/>
  <c r="GT759" i="5"/>
  <c r="GU711" i="5"/>
  <c r="HD711" i="5"/>
  <c r="GT711" i="5"/>
  <c r="GV711" i="5"/>
  <c r="GZ711" i="5"/>
  <c r="GY711" i="5"/>
  <c r="HE711" i="5"/>
  <c r="GS711" i="5"/>
  <c r="HF711" i="5"/>
  <c r="HI672" i="5"/>
  <c r="HI674" i="5" s="1"/>
  <c r="GS784" i="5"/>
  <c r="GT784" i="5"/>
  <c r="HF784" i="5"/>
  <c r="GZ784" i="5"/>
  <c r="HE784" i="5"/>
  <c r="GY784" i="5"/>
  <c r="HD784" i="5"/>
  <c r="GV784" i="5"/>
  <c r="GU784" i="5"/>
  <c r="HD764" i="5"/>
  <c r="GV764" i="5"/>
  <c r="GU764" i="5"/>
  <c r="GZ764" i="5"/>
  <c r="GT764" i="5"/>
  <c r="GY764" i="5"/>
  <c r="GS764" i="5"/>
  <c r="HF764" i="5"/>
  <c r="HE764" i="5"/>
  <c r="HD739" i="5"/>
  <c r="GS739" i="5"/>
  <c r="GZ739" i="5"/>
  <c r="GY739" i="5"/>
  <c r="GV739" i="5"/>
  <c r="HF739" i="5"/>
  <c r="HE739" i="5"/>
  <c r="GU739" i="5"/>
  <c r="GT739" i="5"/>
  <c r="HE789" i="5"/>
  <c r="GU789" i="5"/>
  <c r="HD789" i="5"/>
  <c r="GT789" i="5"/>
  <c r="GY789" i="5"/>
  <c r="GS789" i="5"/>
  <c r="GZ789" i="5"/>
  <c r="HF789" i="5"/>
  <c r="GV789" i="5"/>
  <c r="HI647" i="5"/>
  <c r="HI649" i="5" s="1"/>
  <c r="AZ646" i="5"/>
  <c r="IM646" i="5"/>
  <c r="HI720" i="5"/>
  <c r="HI722" i="5" s="1"/>
  <c r="AZ671" i="5"/>
  <c r="IM671" i="5"/>
  <c r="FP691" i="5"/>
  <c r="FQ691" i="5"/>
  <c r="JC691" i="5" s="1"/>
  <c r="JD691" i="5" s="1"/>
  <c r="JE691" i="5" s="1"/>
  <c r="DI691" i="5" s="1"/>
  <c r="FQ711" i="5"/>
  <c r="JC711" i="5" s="1"/>
  <c r="JD711" i="5" s="1"/>
  <c r="JE711" i="5" s="1"/>
  <c r="DI711" i="5" s="1"/>
  <c r="FQ774" i="5"/>
  <c r="JC774" i="5" s="1"/>
  <c r="JD774" i="5" s="1"/>
  <c r="JE774" i="5" s="1"/>
  <c r="DI774" i="5" s="1"/>
  <c r="IM666" i="5"/>
  <c r="AZ666" i="5"/>
  <c r="FQ729" i="5"/>
  <c r="JC729" i="5" s="1"/>
  <c r="JD729" i="5" s="1"/>
  <c r="JE729" i="5" s="1"/>
  <c r="DI729" i="5" s="1"/>
  <c r="FQ764" i="5"/>
  <c r="JC764" i="5" s="1"/>
  <c r="JD764" i="5" s="1"/>
  <c r="JE764" i="5" s="1"/>
  <c r="DI764" i="5" s="1"/>
  <c r="GZ696" i="5"/>
  <c r="HF696" i="5"/>
  <c r="GS696" i="5"/>
  <c r="GU696" i="5"/>
  <c r="GT696" i="5"/>
  <c r="HE696" i="5"/>
  <c r="GV696" i="5"/>
  <c r="HD696" i="5"/>
  <c r="GY696" i="5"/>
  <c r="DG82" i="5"/>
  <c r="HI111" i="5"/>
  <c r="HI113" i="5" s="1"/>
  <c r="HE110" i="5"/>
  <c r="GS110" i="5"/>
  <c r="GZ110" i="5"/>
  <c r="GY110" i="5"/>
  <c r="GU110" i="5"/>
  <c r="GV110" i="5"/>
  <c r="GT110" i="5"/>
  <c r="HD110" i="5"/>
  <c r="HF110" i="5"/>
  <c r="GZ77" i="5"/>
  <c r="HE77" i="5"/>
  <c r="HD77" i="5"/>
  <c r="GU77" i="5"/>
  <c r="GT77" i="5"/>
  <c r="GS77" i="5"/>
  <c r="GV77" i="5"/>
  <c r="GY77" i="5"/>
  <c r="HF77" i="5"/>
  <c r="HI78" i="5"/>
  <c r="HI80" i="5" s="1"/>
  <c r="FQ67" i="5"/>
  <c r="FO67" i="5" s="1"/>
  <c r="JH67" i="5" s="1"/>
  <c r="FP67" i="5"/>
  <c r="GZ198" i="5"/>
  <c r="GS198" i="5"/>
  <c r="GY198" i="5"/>
  <c r="HE198" i="5"/>
  <c r="HD198" i="5"/>
  <c r="GV198" i="5"/>
  <c r="GT198" i="5"/>
  <c r="HF198" i="5"/>
  <c r="GU198" i="5"/>
  <c r="AZ120" i="5"/>
  <c r="IM120" i="5"/>
  <c r="GT349" i="5"/>
  <c r="GZ349" i="5"/>
  <c r="GS349" i="5"/>
  <c r="HE349" i="5"/>
  <c r="GU349" i="5"/>
  <c r="GY349" i="5"/>
  <c r="HF349" i="5"/>
  <c r="GV349" i="5"/>
  <c r="HD349" i="5"/>
  <c r="GV374" i="5"/>
  <c r="GU374" i="5"/>
  <c r="HF374" i="5"/>
  <c r="GT374" i="5"/>
  <c r="HE374" i="5"/>
  <c r="GS374" i="5"/>
  <c r="GY374" i="5"/>
  <c r="GZ374" i="5"/>
  <c r="HD374" i="5"/>
  <c r="FQ120" i="5"/>
  <c r="FP120" i="5"/>
  <c r="IM150" i="5"/>
  <c r="AZ150" i="5"/>
  <c r="HI174" i="5"/>
  <c r="HI176" i="5" s="1"/>
  <c r="HE339" i="5"/>
  <c r="GV339" i="5"/>
  <c r="HD339" i="5"/>
  <c r="GT339" i="5"/>
  <c r="HF339" i="5"/>
  <c r="GZ339" i="5"/>
  <c r="GU339" i="5"/>
  <c r="GY339" i="5"/>
  <c r="GS339" i="5"/>
  <c r="FQ359" i="5"/>
  <c r="HI179" i="5"/>
  <c r="HI181" i="5" s="1"/>
  <c r="IM281" i="5"/>
  <c r="AZ281" i="5"/>
  <c r="HI214" i="5"/>
  <c r="HI216" i="5" s="1"/>
  <c r="AZ203" i="5"/>
  <c r="IM203" i="5"/>
  <c r="AZ218" i="5"/>
  <c r="IM218" i="5"/>
  <c r="FQ193" i="5"/>
  <c r="JC193" i="5" s="1"/>
  <c r="JD193" i="5" s="1"/>
  <c r="JE193" i="5" s="1"/>
  <c r="DI193" i="5" s="1"/>
  <c r="AZ243" i="5"/>
  <c r="IM243" i="5"/>
  <c r="HI408" i="5"/>
  <c r="HI410" i="5" s="1"/>
  <c r="HE407" i="5"/>
  <c r="GS407" i="5"/>
  <c r="GU407" i="5"/>
  <c r="GT407" i="5"/>
  <c r="HF407" i="5"/>
  <c r="GY407" i="5"/>
  <c r="GZ407" i="5"/>
  <c r="GV407" i="5"/>
  <c r="HD407" i="5"/>
  <c r="GZ399" i="5"/>
  <c r="HF399" i="5"/>
  <c r="GU399" i="5"/>
  <c r="HE399" i="5"/>
  <c r="GT399" i="5"/>
  <c r="GS399" i="5"/>
  <c r="GY399" i="5"/>
  <c r="HD399" i="5"/>
  <c r="GV399" i="5"/>
  <c r="AZ276" i="5"/>
  <c r="IM276" i="5"/>
  <c r="DG374" i="5"/>
  <c r="AZ389" i="5"/>
  <c r="IM389" i="5"/>
  <c r="AZ384" i="5"/>
  <c r="IM384" i="5"/>
  <c r="FQ251" i="5"/>
  <c r="FO251" i="5" s="1"/>
  <c r="JH251" i="5" s="1"/>
  <c r="FP251" i="5"/>
  <c r="FQ321" i="5"/>
  <c r="JC321" i="5" s="1"/>
  <c r="JD321" i="5" s="1"/>
  <c r="JE321" i="5" s="1"/>
  <c r="DI321" i="5" s="1"/>
  <c r="HI634" i="5"/>
  <c r="HI636" i="5" s="1"/>
  <c r="GY633" i="5"/>
  <c r="HF633" i="5"/>
  <c r="GU633" i="5"/>
  <c r="HD633" i="5"/>
  <c r="GT633" i="5"/>
  <c r="GV633" i="5"/>
  <c r="GS633" i="5"/>
  <c r="GZ633" i="5"/>
  <c r="HE633" i="5"/>
  <c r="FQ399" i="5"/>
  <c r="JC399" i="5" s="1"/>
  <c r="JD399" i="5" s="1"/>
  <c r="JE399" i="5" s="1"/>
  <c r="DI399" i="5" s="1"/>
  <c r="HI443" i="5"/>
  <c r="HI445" i="5" s="1"/>
  <c r="GZ510" i="5"/>
  <c r="HE510" i="5"/>
  <c r="HD510" i="5"/>
  <c r="GS510" i="5"/>
  <c r="GU510" i="5"/>
  <c r="GT510" i="5"/>
  <c r="HF510" i="5"/>
  <c r="GY510" i="5"/>
  <c r="GV510" i="5"/>
  <c r="HE563" i="5"/>
  <c r="HD563" i="5"/>
  <c r="GS563" i="5"/>
  <c r="GT563" i="5"/>
  <c r="GZ563" i="5"/>
  <c r="GY563" i="5"/>
  <c r="HF563" i="5"/>
  <c r="GU563" i="5"/>
  <c r="GV563" i="5"/>
  <c r="HF588" i="5"/>
  <c r="HE588" i="5"/>
  <c r="GU588" i="5"/>
  <c r="GT588" i="5"/>
  <c r="GY588" i="5"/>
  <c r="HD588" i="5"/>
  <c r="GS588" i="5"/>
  <c r="GZ588" i="5"/>
  <c r="GV588" i="5"/>
  <c r="FQ427" i="5"/>
  <c r="JC427" i="5" s="1"/>
  <c r="JD427" i="5" s="1"/>
  <c r="JE427" i="5" s="1"/>
  <c r="DI427" i="5" s="1"/>
  <c r="AZ437" i="5"/>
  <c r="IM437" i="5"/>
  <c r="FQ442" i="5"/>
  <c r="JC442" i="5" s="1"/>
  <c r="JD442" i="5" s="1"/>
  <c r="JE442" i="5" s="1"/>
  <c r="DI442" i="5" s="1"/>
  <c r="HI428" i="5"/>
  <c r="HI430" i="5" s="1"/>
  <c r="AZ563" i="5"/>
  <c r="IM563" i="5"/>
  <c r="AZ495" i="5"/>
  <c r="IM495" i="5"/>
  <c r="FO520" i="5"/>
  <c r="JH520" i="5" s="1"/>
  <c r="FP520" i="5"/>
  <c r="AZ515" i="5"/>
  <c r="IM515" i="5"/>
  <c r="FQ633" i="5"/>
  <c r="JC633" i="5" s="1"/>
  <c r="JD633" i="5" s="1"/>
  <c r="JE633" i="5" s="1"/>
  <c r="DI633" i="5" s="1"/>
  <c r="FQ641" i="5"/>
  <c r="FP641" i="5"/>
  <c r="AZ696" i="5"/>
  <c r="IM696" i="5"/>
  <c r="FQ676" i="5"/>
  <c r="JC676" i="5" s="1"/>
  <c r="JD676" i="5" s="1"/>
  <c r="JE676" i="5" s="1"/>
  <c r="DI676" i="5" s="1"/>
  <c r="AZ744" i="5"/>
  <c r="IM744" i="5"/>
  <c r="AZ701" i="5"/>
  <c r="IM701" i="5"/>
  <c r="FQ724" i="5"/>
  <c r="FO724" i="5" s="1"/>
  <c r="JH724" i="5" s="1"/>
  <c r="FP724" i="5"/>
  <c r="AZ764" i="5"/>
  <c r="IM764" i="5"/>
  <c r="GS311" i="5"/>
  <c r="HE311" i="5"/>
  <c r="GT311" i="5"/>
  <c r="GY311" i="5"/>
  <c r="HF311" i="5"/>
  <c r="GZ311" i="5"/>
  <c r="GV311" i="5"/>
  <c r="HD311" i="5"/>
  <c r="GU311" i="5"/>
  <c r="IM67" i="5"/>
  <c r="AZ67" i="5"/>
  <c r="GY306" i="5"/>
  <c r="GS306" i="5"/>
  <c r="GU306" i="5"/>
  <c r="HE306" i="5"/>
  <c r="GT306" i="5"/>
  <c r="HF306" i="5"/>
  <c r="GV306" i="5"/>
  <c r="HD306" i="5"/>
  <c r="GZ306" i="5"/>
  <c r="HF316" i="5"/>
  <c r="GY316" i="5"/>
  <c r="HE316" i="5"/>
  <c r="GZ316" i="5"/>
  <c r="GV316" i="5"/>
  <c r="GU316" i="5"/>
  <c r="GT316" i="5"/>
  <c r="GS316" i="5"/>
  <c r="HD316" i="5"/>
  <c r="FO95" i="5"/>
  <c r="JH95" i="5" s="1"/>
  <c r="FP95" i="5"/>
  <c r="FP130" i="5"/>
  <c r="GZ344" i="5"/>
  <c r="HD344" i="5"/>
  <c r="HF344" i="5"/>
  <c r="GS344" i="5"/>
  <c r="GY344" i="5"/>
  <c r="GV344" i="5"/>
  <c r="GT344" i="5"/>
  <c r="GU344" i="5"/>
  <c r="HE344" i="5"/>
  <c r="HI244" i="5"/>
  <c r="HI246" i="5" s="1"/>
  <c r="HI312" i="5"/>
  <c r="HI314" i="5" s="1"/>
  <c r="AZ228" i="5"/>
  <c r="IM228" i="5"/>
  <c r="AZ306" i="5"/>
  <c r="IM306" i="5"/>
  <c r="IM296" i="5"/>
  <c r="AZ296" i="5"/>
  <c r="AZ379" i="5"/>
  <c r="IM379" i="5"/>
  <c r="HF442" i="5"/>
  <c r="HE442" i="5"/>
  <c r="GU442" i="5"/>
  <c r="GT442" i="5"/>
  <c r="GY442" i="5"/>
  <c r="HD442" i="5"/>
  <c r="GV442" i="5"/>
  <c r="GS442" i="5"/>
  <c r="GZ442" i="5"/>
  <c r="FO379" i="5"/>
  <c r="JH379" i="5" s="1"/>
  <c r="FP379" i="5"/>
  <c r="FO374" i="5"/>
  <c r="JH374" i="5" s="1"/>
  <c r="FP374" i="5"/>
  <c r="HI491" i="5"/>
  <c r="HI493" i="5" s="1"/>
  <c r="GT515" i="5"/>
  <c r="GZ515" i="5"/>
  <c r="GS515" i="5"/>
  <c r="GV515" i="5"/>
  <c r="GY515" i="5"/>
  <c r="HF515" i="5"/>
  <c r="GU515" i="5"/>
  <c r="HE515" i="5"/>
  <c r="HD515" i="5"/>
  <c r="GS623" i="5"/>
  <c r="GZ623" i="5"/>
  <c r="GY623" i="5"/>
  <c r="GU623" i="5"/>
  <c r="HF623" i="5"/>
  <c r="GV623" i="5"/>
  <c r="HE623" i="5"/>
  <c r="HD623" i="5"/>
  <c r="GT623" i="5"/>
  <c r="FQ447" i="5"/>
  <c r="FO447" i="5" s="1"/>
  <c r="JH447" i="5" s="1"/>
  <c r="FP447" i="5"/>
  <c r="FP442" i="5"/>
  <c r="HE457" i="5"/>
  <c r="GU457" i="5"/>
  <c r="HF457" i="5"/>
  <c r="GY457" i="5"/>
  <c r="GT457" i="5"/>
  <c r="GZ457" i="5"/>
  <c r="GS457" i="5"/>
  <c r="HD457" i="5"/>
  <c r="GV457" i="5"/>
  <c r="AZ412" i="5"/>
  <c r="IM412" i="5"/>
  <c r="AZ555" i="5"/>
  <c r="IM555" i="5"/>
  <c r="AZ417" i="5"/>
  <c r="IM417" i="5"/>
  <c r="AZ530" i="5"/>
  <c r="IM530" i="5"/>
  <c r="AZ490" i="5"/>
  <c r="IM490" i="5"/>
  <c r="AZ540" i="5"/>
  <c r="IM540" i="5"/>
  <c r="GT467" i="5"/>
  <c r="GU467" i="5"/>
  <c r="GZ467" i="5"/>
  <c r="GY467" i="5"/>
  <c r="HD467" i="5"/>
  <c r="HE467" i="5"/>
  <c r="GS467" i="5"/>
  <c r="GV467" i="5"/>
  <c r="HF467" i="5"/>
  <c r="AZ505" i="5"/>
  <c r="IM505" i="5"/>
  <c r="GT550" i="5"/>
  <c r="HF550" i="5"/>
  <c r="HE550" i="5"/>
  <c r="GZ550" i="5"/>
  <c r="GS550" i="5"/>
  <c r="HD550" i="5"/>
  <c r="GV550" i="5"/>
  <c r="GU550" i="5"/>
  <c r="GY550" i="5"/>
  <c r="AZ578" i="5"/>
  <c r="IM578" i="5"/>
  <c r="HI584" i="5"/>
  <c r="HI586" i="5" s="1"/>
  <c r="AZ613" i="5"/>
  <c r="IM613" i="5"/>
  <c r="GS769" i="5"/>
  <c r="GZ769" i="5"/>
  <c r="GY769" i="5"/>
  <c r="HD769" i="5"/>
  <c r="HE769" i="5"/>
  <c r="GV769" i="5"/>
  <c r="HF769" i="5"/>
  <c r="GU769" i="5"/>
  <c r="GT769" i="5"/>
  <c r="AZ583" i="5"/>
  <c r="IM583" i="5"/>
  <c r="GS779" i="5"/>
  <c r="GY779" i="5"/>
  <c r="HF779" i="5"/>
  <c r="HE779" i="5"/>
  <c r="GV779" i="5"/>
  <c r="HD779" i="5"/>
  <c r="GU779" i="5"/>
  <c r="GT779" i="5"/>
  <c r="GZ779" i="5"/>
  <c r="GS706" i="5"/>
  <c r="HF706" i="5"/>
  <c r="GZ706" i="5"/>
  <c r="HD706" i="5"/>
  <c r="GY706" i="5"/>
  <c r="GV706" i="5"/>
  <c r="GU706" i="5"/>
  <c r="GT706" i="5"/>
  <c r="HE706" i="5"/>
  <c r="GZ686" i="5"/>
  <c r="GT686" i="5"/>
  <c r="HD686" i="5"/>
  <c r="HE686" i="5"/>
  <c r="GV686" i="5"/>
  <c r="GY686" i="5"/>
  <c r="GU686" i="5"/>
  <c r="GS686" i="5"/>
  <c r="HF686" i="5"/>
  <c r="HI770" i="5"/>
  <c r="HI772" i="5" s="1"/>
  <c r="AZ656" i="5"/>
  <c r="IM656" i="5"/>
  <c r="AZ734" i="5"/>
  <c r="IM734" i="5"/>
  <c r="AZ759" i="5"/>
  <c r="IM759" i="5"/>
  <c r="GY661" i="5"/>
  <c r="HF661" i="5"/>
  <c r="GV661" i="5"/>
  <c r="GS661" i="5"/>
  <c r="GZ661" i="5"/>
  <c r="GU661" i="5"/>
  <c r="HD661" i="5"/>
  <c r="GT661" i="5"/>
  <c r="HE661" i="5"/>
  <c r="FO82" i="5"/>
  <c r="JH82" i="5" s="1"/>
  <c r="FP82" i="5"/>
  <c r="IM87" i="5"/>
  <c r="AZ87" i="5"/>
  <c r="GT301" i="5"/>
  <c r="HD301" i="5"/>
  <c r="HE301" i="5"/>
  <c r="GU301" i="5"/>
  <c r="GS301" i="5"/>
  <c r="HF301" i="5"/>
  <c r="GV301" i="5"/>
  <c r="GY301" i="5"/>
  <c r="GZ301" i="5"/>
  <c r="HI88" i="5"/>
  <c r="HI90" i="5" s="1"/>
  <c r="FQ110" i="5"/>
  <c r="JC110" i="5" s="1"/>
  <c r="JD110" i="5" s="1"/>
  <c r="JE110" i="5" s="1"/>
  <c r="DI110" i="5" s="1"/>
  <c r="HI121" i="5"/>
  <c r="HI123" i="5" s="1"/>
  <c r="HI277" i="5"/>
  <c r="HI279" i="5" s="1"/>
  <c r="FQ100" i="5"/>
  <c r="FP100" i="5"/>
  <c r="FQ115" i="5"/>
  <c r="JC115" i="5" s="1"/>
  <c r="JD115" i="5" s="1"/>
  <c r="JE115" i="5" s="1"/>
  <c r="DI115" i="5" s="1"/>
  <c r="GU150" i="5"/>
  <c r="HF150" i="5"/>
  <c r="HE150" i="5"/>
  <c r="GZ150" i="5"/>
  <c r="GV150" i="5"/>
  <c r="HD150" i="5"/>
  <c r="GT150" i="5"/>
  <c r="GY150" i="5"/>
  <c r="GS150" i="5"/>
  <c r="GU67" i="5"/>
  <c r="HD67" i="5"/>
  <c r="HF67" i="5"/>
  <c r="HE67" i="5"/>
  <c r="GV67" i="5"/>
  <c r="GT67" i="5"/>
  <c r="GS67" i="5"/>
  <c r="GY67" i="5"/>
  <c r="GZ67" i="5"/>
  <c r="IM130" i="5"/>
  <c r="AZ130" i="5"/>
  <c r="FO155" i="5"/>
  <c r="JH155" i="5" s="1"/>
  <c r="FP155" i="5"/>
  <c r="HI199" i="5"/>
  <c r="HI201" i="5" s="1"/>
  <c r="AZ188" i="5"/>
  <c r="IM188" i="5"/>
  <c r="AZ208" i="5"/>
  <c r="IM208" i="5"/>
  <c r="AZ193" i="5"/>
  <c r="IM193" i="5"/>
  <c r="AZ271" i="5"/>
  <c r="IM271" i="5"/>
  <c r="AZ344" i="5"/>
  <c r="IM344" i="5"/>
  <c r="GZ291" i="5"/>
  <c r="GY291" i="5"/>
  <c r="GS291" i="5"/>
  <c r="HD291" i="5"/>
  <c r="GU291" i="5"/>
  <c r="HF291" i="5"/>
  <c r="GT291" i="5"/>
  <c r="HE291" i="5"/>
  <c r="GV291" i="5"/>
  <c r="AZ316" i="5"/>
  <c r="IM316" i="5"/>
  <c r="IM251" i="5"/>
  <c r="AZ251" i="5"/>
  <c r="AZ339" i="5"/>
  <c r="IM339" i="5"/>
  <c r="HI365" i="5"/>
  <c r="HI367" i="5" s="1"/>
  <c r="GS520" i="5"/>
  <c r="GZ520" i="5"/>
  <c r="GV520" i="5"/>
  <c r="GU520" i="5"/>
  <c r="HD520" i="5"/>
  <c r="HE520" i="5"/>
  <c r="GY520" i="5"/>
  <c r="GT520" i="5"/>
  <c r="HF520" i="5"/>
  <c r="FQ311" i="5"/>
  <c r="JC311" i="5" s="1"/>
  <c r="JD311" i="5" s="1"/>
  <c r="JE311" i="5" s="1"/>
  <c r="DI311" i="5" s="1"/>
  <c r="AZ329" i="5"/>
  <c r="IM329" i="5"/>
  <c r="FQ364" i="5"/>
  <c r="GS452" i="5"/>
  <c r="HF452" i="5"/>
  <c r="HD452" i="5"/>
  <c r="GV452" i="5"/>
  <c r="GT452" i="5"/>
  <c r="GZ452" i="5"/>
  <c r="GY452" i="5"/>
  <c r="HE452" i="5"/>
  <c r="GU452" i="5"/>
  <c r="GZ613" i="5"/>
  <c r="GY613" i="5"/>
  <c r="GV613" i="5"/>
  <c r="HF613" i="5"/>
  <c r="GU613" i="5"/>
  <c r="GT613" i="5"/>
  <c r="GS613" i="5"/>
  <c r="HD613" i="5"/>
  <c r="HE613" i="5"/>
  <c r="GT432" i="5"/>
  <c r="GY432" i="5"/>
  <c r="GV432" i="5"/>
  <c r="GZ432" i="5"/>
  <c r="HE432" i="5"/>
  <c r="GU432" i="5"/>
  <c r="HD432" i="5"/>
  <c r="GS432" i="5"/>
  <c r="HF432" i="5"/>
  <c r="HI599" i="5"/>
  <c r="HI601" i="5" s="1"/>
  <c r="HI579" i="5"/>
  <c r="HI581" i="5" s="1"/>
  <c r="HD578" i="5"/>
  <c r="GU578" i="5"/>
  <c r="GS578" i="5"/>
  <c r="HF578" i="5"/>
  <c r="GV578" i="5"/>
  <c r="GY578" i="5"/>
  <c r="GT578" i="5"/>
  <c r="GZ578" i="5"/>
  <c r="HE578" i="5"/>
  <c r="GV495" i="5"/>
  <c r="GS495" i="5"/>
  <c r="GU495" i="5"/>
  <c r="HF495" i="5"/>
  <c r="GY495" i="5"/>
  <c r="GT495" i="5"/>
  <c r="GZ495" i="5"/>
  <c r="HE495" i="5"/>
  <c r="HD495" i="5"/>
  <c r="HI569" i="5"/>
  <c r="HI571" i="5" s="1"/>
  <c r="FO472" i="5"/>
  <c r="JH472" i="5" s="1"/>
  <c r="FP472" i="5"/>
  <c r="HF422" i="5"/>
  <c r="GZ422" i="5"/>
  <c r="GT422" i="5"/>
  <c r="GU422" i="5"/>
  <c r="GS422" i="5"/>
  <c r="HE422" i="5"/>
  <c r="GV422" i="5"/>
  <c r="HD422" i="5"/>
  <c r="GY422" i="5"/>
  <c r="FQ457" i="5"/>
  <c r="JC457" i="5" s="1"/>
  <c r="JD457" i="5" s="1"/>
  <c r="JE457" i="5" s="1"/>
  <c r="DI457" i="5" s="1"/>
  <c r="AZ573" i="5"/>
  <c r="IM573" i="5"/>
  <c r="AZ568" i="5"/>
  <c r="IM568" i="5"/>
  <c r="AZ593" i="5"/>
  <c r="IM593" i="5"/>
  <c r="FQ550" i="5"/>
  <c r="JC550" i="5" s="1"/>
  <c r="JD550" i="5" s="1"/>
  <c r="JE550" i="5" s="1"/>
  <c r="DI550" i="5" s="1"/>
  <c r="HI473" i="5"/>
  <c r="HI475" i="5" s="1"/>
  <c r="FO540" i="5"/>
  <c r="JH540" i="5" s="1"/>
  <c r="FP540" i="5"/>
  <c r="HI725" i="5"/>
  <c r="HI727" i="5" s="1"/>
  <c r="FP598" i="5"/>
  <c r="HI692" i="5"/>
  <c r="HI694" i="5" s="1"/>
  <c r="GT646" i="5"/>
  <c r="GS646" i="5"/>
  <c r="HE646" i="5"/>
  <c r="GZ646" i="5"/>
  <c r="GV646" i="5"/>
  <c r="HF646" i="5"/>
  <c r="GY646" i="5"/>
  <c r="HD646" i="5"/>
  <c r="GU646" i="5"/>
  <c r="HD676" i="5"/>
  <c r="GV676" i="5"/>
  <c r="GS676" i="5"/>
  <c r="GT676" i="5"/>
  <c r="GZ676" i="5"/>
  <c r="HF676" i="5"/>
  <c r="HE676" i="5"/>
  <c r="GY676" i="5"/>
  <c r="GU676" i="5"/>
  <c r="HI755" i="5"/>
  <c r="HI757" i="5" s="1"/>
  <c r="FQ618" i="5"/>
  <c r="GU666" i="5"/>
  <c r="HD666" i="5"/>
  <c r="GT666" i="5"/>
  <c r="GY666" i="5"/>
  <c r="GS666" i="5"/>
  <c r="GZ666" i="5"/>
  <c r="HF666" i="5"/>
  <c r="GV666" i="5"/>
  <c r="HE666" i="5"/>
  <c r="AZ661" i="5"/>
  <c r="IM661" i="5"/>
  <c r="AZ719" i="5"/>
  <c r="IM719" i="5"/>
  <c r="FO744" i="5"/>
  <c r="JH744" i="5" s="1"/>
  <c r="FP744" i="5"/>
  <c r="AZ774" i="5"/>
  <c r="IM774" i="5"/>
  <c r="HI707" i="5"/>
  <c r="HI709" i="5" s="1"/>
  <c r="FO739" i="5"/>
  <c r="JH739" i="5" s="1"/>
  <c r="FP739" i="5"/>
  <c r="HI667" i="5"/>
  <c r="HI669" i="5" s="1"/>
  <c r="FQ734" i="5"/>
  <c r="JC734" i="5" s="1"/>
  <c r="JD734" i="5" s="1"/>
  <c r="JE734" i="5" s="1"/>
  <c r="DI734" i="5" s="1"/>
  <c r="FQ749" i="5"/>
  <c r="JC749" i="5" s="1"/>
  <c r="JD749" i="5" s="1"/>
  <c r="JE749" i="5" s="1"/>
  <c r="DI749" i="5" s="1"/>
  <c r="FP749" i="5"/>
  <c r="HD734" i="5"/>
  <c r="GZ734" i="5"/>
  <c r="HF734" i="5"/>
  <c r="GV734" i="5"/>
  <c r="GT734" i="5"/>
  <c r="GS734" i="5"/>
  <c r="GU734" i="5"/>
  <c r="GY734" i="5"/>
  <c r="HE734" i="5"/>
  <c r="AZ686" i="5"/>
  <c r="IM686" i="5"/>
  <c r="IM57" i="5"/>
  <c r="AZ57" i="5"/>
  <c r="GY243" i="5"/>
  <c r="GU243" i="5"/>
  <c r="HD243" i="5"/>
  <c r="GT243" i="5"/>
  <c r="GS243" i="5"/>
  <c r="GZ243" i="5"/>
  <c r="HE243" i="5"/>
  <c r="HF243" i="5"/>
  <c r="GV243" i="5"/>
  <c r="HI126" i="5"/>
  <c r="HI128" i="5" s="1"/>
  <c r="GY125" i="5"/>
  <c r="HE125" i="5"/>
  <c r="GT125" i="5"/>
  <c r="HF125" i="5"/>
  <c r="GU125" i="5"/>
  <c r="HD125" i="5"/>
  <c r="GV125" i="5"/>
  <c r="GS125" i="5"/>
  <c r="GZ125" i="5"/>
  <c r="FP62" i="5"/>
  <c r="IM82" i="5"/>
  <c r="AZ82" i="5"/>
  <c r="HI307" i="5"/>
  <c r="HI309" i="5" s="1"/>
  <c r="HI390" i="5"/>
  <c r="HI392" i="5" s="1"/>
  <c r="HI345" i="5"/>
  <c r="HI347" i="5" s="1"/>
  <c r="GY188" i="5"/>
  <c r="HE188" i="5"/>
  <c r="GZ188" i="5"/>
  <c r="GV188" i="5"/>
  <c r="GS188" i="5"/>
  <c r="GT188" i="5"/>
  <c r="HF188" i="5"/>
  <c r="HD188" i="5"/>
  <c r="GU188" i="5"/>
  <c r="HI317" i="5"/>
  <c r="HI319" i="5" s="1"/>
  <c r="FO160" i="5"/>
  <c r="JH160" i="5" s="1"/>
  <c r="FP160" i="5"/>
  <c r="GU238" i="5"/>
  <c r="HD238" i="5"/>
  <c r="GS238" i="5"/>
  <c r="GY238" i="5"/>
  <c r="HE238" i="5"/>
  <c r="GZ238" i="5"/>
  <c r="GV238" i="5"/>
  <c r="GT238" i="5"/>
  <c r="HF238" i="5"/>
  <c r="AZ110" i="5"/>
  <c r="IM110" i="5"/>
  <c r="GY178" i="5"/>
  <c r="GU178" i="5"/>
  <c r="GT178" i="5"/>
  <c r="GV178" i="5"/>
  <c r="HF178" i="5"/>
  <c r="GS178" i="5"/>
  <c r="GZ178" i="5"/>
  <c r="HE178" i="5"/>
  <c r="HD178" i="5"/>
  <c r="FQ130" i="5"/>
  <c r="JC130" i="5" s="1"/>
  <c r="JD130" i="5" s="1"/>
  <c r="JE130" i="5" s="1"/>
  <c r="DI130" i="5" s="1"/>
  <c r="AZ145" i="5"/>
  <c r="IM145" i="5"/>
  <c r="GV359" i="5"/>
  <c r="HF359" i="5"/>
  <c r="HD359" i="5"/>
  <c r="GU359" i="5"/>
  <c r="GT359" i="5"/>
  <c r="GS359" i="5"/>
  <c r="GZ359" i="5"/>
  <c r="GY359" i="5"/>
  <c r="HE359" i="5"/>
  <c r="HI239" i="5"/>
  <c r="HI241" i="5" s="1"/>
  <c r="AZ233" i="5"/>
  <c r="IM233" i="5"/>
  <c r="IM223" i="5"/>
  <c r="AZ223" i="5"/>
  <c r="FQ349" i="5"/>
  <c r="JC349" i="5" s="1"/>
  <c r="JD349" i="5" s="1"/>
  <c r="JE349" i="5" s="1"/>
  <c r="DI349" i="5" s="1"/>
  <c r="FP349" i="5"/>
  <c r="GS281" i="5"/>
  <c r="HE281" i="5"/>
  <c r="GZ281" i="5"/>
  <c r="HF281" i="5"/>
  <c r="GV281" i="5"/>
  <c r="GU281" i="5"/>
  <c r="GY281" i="5"/>
  <c r="HD281" i="5"/>
  <c r="GT281" i="5"/>
  <c r="HI257" i="5"/>
  <c r="HI259" i="5" s="1"/>
  <c r="AZ266" i="5"/>
  <c r="IM266" i="5"/>
  <c r="HI282" i="5"/>
  <c r="HI284" i="5" s="1"/>
  <c r="FQ238" i="5"/>
  <c r="FP238" i="5"/>
  <c r="IM374" i="5"/>
  <c r="AZ374" i="5"/>
  <c r="AZ334" i="5"/>
  <c r="IM334" i="5"/>
  <c r="HD598" i="5"/>
  <c r="GV598" i="5"/>
  <c r="GU598" i="5"/>
  <c r="GT598" i="5"/>
  <c r="HF598" i="5"/>
  <c r="GS598" i="5"/>
  <c r="HE598" i="5"/>
  <c r="GY598" i="5"/>
  <c r="GZ598" i="5"/>
  <c r="GU530" i="5"/>
  <c r="GY530" i="5"/>
  <c r="GT530" i="5"/>
  <c r="GS530" i="5"/>
  <c r="HF530" i="5"/>
  <c r="HE530" i="5"/>
  <c r="GV530" i="5"/>
  <c r="HD530" i="5"/>
  <c r="GZ530" i="5"/>
  <c r="IM457" i="5"/>
  <c r="AZ457" i="5"/>
  <c r="AZ442" i="5"/>
  <c r="IM442" i="5"/>
  <c r="GZ583" i="5"/>
  <c r="GV583" i="5"/>
  <c r="HF583" i="5"/>
  <c r="GU583" i="5"/>
  <c r="HE583" i="5"/>
  <c r="HD583" i="5"/>
  <c r="GT583" i="5"/>
  <c r="GS583" i="5"/>
  <c r="GY583" i="5"/>
  <c r="AZ452" i="5"/>
  <c r="IM452" i="5"/>
  <c r="AZ427" i="5"/>
  <c r="IM427" i="5"/>
  <c r="AZ462" i="5"/>
  <c r="IM462" i="5"/>
  <c r="HI478" i="5"/>
  <c r="HI480" i="5" s="1"/>
  <c r="DG472" i="5"/>
  <c r="AZ520" i="5"/>
  <c r="IM520" i="5"/>
  <c r="AZ598" i="5"/>
  <c r="IM598" i="5"/>
  <c r="FO555" i="5"/>
  <c r="JH555" i="5" s="1"/>
  <c r="FP555" i="5"/>
  <c r="AZ623" i="5"/>
  <c r="IM623" i="5"/>
  <c r="AZ588" i="5"/>
  <c r="IM588" i="5"/>
  <c r="HF691" i="5"/>
  <c r="HD691" i="5"/>
  <c r="HE691" i="5"/>
  <c r="GT691" i="5"/>
  <c r="GV691" i="5"/>
  <c r="GU691" i="5"/>
  <c r="GS691" i="5"/>
  <c r="GZ691" i="5"/>
  <c r="GY691" i="5"/>
  <c r="GZ593" i="5"/>
  <c r="HE593" i="5"/>
  <c r="HD593" i="5"/>
  <c r="GT593" i="5"/>
  <c r="GU593" i="5"/>
  <c r="HF593" i="5"/>
  <c r="GY593" i="5"/>
  <c r="GV593" i="5"/>
  <c r="GS593" i="5"/>
  <c r="HI687" i="5"/>
  <c r="HI689" i="5" s="1"/>
  <c r="GT749" i="5"/>
  <c r="GZ749" i="5"/>
  <c r="HD749" i="5"/>
  <c r="GU749" i="5"/>
  <c r="GY749" i="5"/>
  <c r="HF749" i="5"/>
  <c r="GV749" i="5"/>
  <c r="HE749" i="5"/>
  <c r="GS749" i="5"/>
  <c r="FQ656" i="5"/>
  <c r="JC656" i="5" s="1"/>
  <c r="JD656" i="5" s="1"/>
  <c r="JE656" i="5" s="1"/>
  <c r="DI656" i="5" s="1"/>
  <c r="HE641" i="5"/>
  <c r="HF641" i="5"/>
  <c r="GZ641" i="5"/>
  <c r="GT641" i="5"/>
  <c r="GU641" i="5"/>
  <c r="GY641" i="5"/>
  <c r="GV641" i="5"/>
  <c r="HD641" i="5"/>
  <c r="GS641" i="5"/>
  <c r="AZ724" i="5"/>
  <c r="IM724" i="5"/>
  <c r="AZ676" i="5"/>
  <c r="IM676" i="5"/>
  <c r="AZ779" i="5"/>
  <c r="IM779" i="5"/>
  <c r="DG744" i="5"/>
  <c r="AZ691" i="5"/>
  <c r="IM691" i="5"/>
  <c r="AZ754" i="5"/>
  <c r="IM754" i="5"/>
  <c r="HQ48" i="5"/>
  <c r="HQ50" i="5" s="1"/>
  <c r="FQ47" i="5"/>
  <c r="JC47" i="5" s="1"/>
  <c r="JD47" i="5" s="1"/>
  <c r="HI48" i="5"/>
  <c r="HI50" i="5" s="1"/>
  <c r="AZ47" i="5"/>
  <c r="IM47" i="5"/>
  <c r="GU47" i="5"/>
  <c r="HE47" i="5"/>
  <c r="GT47" i="5"/>
  <c r="HD47" i="5"/>
  <c r="GV47" i="5"/>
  <c r="GZ47" i="5"/>
  <c r="GY47" i="5"/>
  <c r="HF47" i="5"/>
  <c r="GS47" i="5"/>
  <c r="FP47" i="5"/>
  <c r="BR73" i="33"/>
  <c r="D92" i="10" s="1"/>
  <c r="E92"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1" i="24"/>
  <c r="I82" i="24"/>
  <c r="I83" i="24"/>
  <c r="I84" i="24"/>
  <c r="I85" i="24"/>
  <c r="I86" i="24"/>
  <c r="I87" i="24"/>
  <c r="I88" i="24"/>
  <c r="I89" i="24"/>
  <c r="I90" i="24"/>
  <c r="I91" i="24"/>
  <c r="I92" i="24"/>
  <c r="I93" i="24"/>
  <c r="I94" i="24"/>
  <c r="I95" i="24"/>
  <c r="I96" i="24"/>
  <c r="I97" i="24"/>
  <c r="I98" i="24"/>
  <c r="I99" i="24"/>
  <c r="I100" i="24"/>
  <c r="I102" i="24"/>
  <c r="I103" i="24"/>
  <c r="I104" i="24"/>
  <c r="I105" i="24"/>
  <c r="I106" i="24"/>
  <c r="I107" i="24"/>
  <c r="I108" i="24"/>
  <c r="I109" i="24"/>
  <c r="I110" i="24"/>
  <c r="F108" i="24"/>
  <c r="F106" i="24"/>
  <c r="F92" i="24"/>
  <c r="F81"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2" i="24"/>
  <c r="F84" i="24"/>
  <c r="F89" i="24"/>
  <c r="F88" i="24"/>
  <c r="F93" i="24"/>
  <c r="F94" i="24"/>
  <c r="F99" i="24"/>
  <c r="F100" i="24"/>
  <c r="F105" i="24"/>
  <c r="F110"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3" i="24"/>
  <c r="F85" i="24"/>
  <c r="F86" i="24"/>
  <c r="F87" i="24"/>
  <c r="F90" i="24"/>
  <c r="F91" i="24"/>
  <c r="F95" i="24"/>
  <c r="F96" i="24"/>
  <c r="F97" i="24"/>
  <c r="F98" i="24"/>
  <c r="F103" i="24"/>
  <c r="F102" i="24"/>
  <c r="F104" i="24"/>
  <c r="F107" i="24"/>
  <c r="F109" i="24"/>
  <c r="L53" i="19"/>
  <c r="N52" i="19"/>
  <c r="N53" i="19"/>
  <c r="T53" i="19"/>
  <c r="P52" i="19"/>
  <c r="X53" i="19"/>
  <c r="P53" i="19"/>
  <c r="M53" i="19"/>
  <c r="V53" i="19"/>
  <c r="U53" i="19"/>
  <c r="C51" i="19"/>
  <c r="P54" i="19"/>
  <c r="W53" i="19"/>
  <c r="H272" i="19"/>
  <c r="M52" i="19"/>
  <c r="DG701" i="5" l="1"/>
  <c r="FE701" i="5" s="1"/>
  <c r="FO329" i="5"/>
  <c r="JH329" i="5" s="1"/>
  <c r="DG412" i="5"/>
  <c r="DG329" i="5"/>
  <c r="FE329" i="5" s="1"/>
  <c r="FO218" i="5"/>
  <c r="JH218" i="5" s="1"/>
  <c r="FE789" i="5"/>
  <c r="EZ218" i="5"/>
  <c r="DG183" i="5"/>
  <c r="FE183" i="5" s="1"/>
  <c r="FV261" i="5"/>
  <c r="FW261" i="5" s="1"/>
  <c r="FX261" i="5" s="1"/>
  <c r="JE59" i="5"/>
  <c r="DI59" i="5" s="1"/>
  <c r="HQ58" i="5"/>
  <c r="HQ60" i="5" s="1"/>
  <c r="AQ63" i="33"/>
  <c r="AQ64" i="33"/>
  <c r="AQ65" i="33"/>
  <c r="AQ66" i="33"/>
  <c r="AQ62" i="33"/>
  <c r="AQ67" i="33"/>
  <c r="AQ68" i="33"/>
  <c r="AQ52" i="33"/>
  <c r="AQ60" i="33"/>
  <c r="AQ59" i="33"/>
  <c r="AQ61" i="33"/>
  <c r="AQ49" i="33"/>
  <c r="AQ45" i="33"/>
  <c r="AQ50" i="33"/>
  <c r="AQ46" i="33"/>
  <c r="AQ51" i="33"/>
  <c r="AQ47" i="33"/>
  <c r="AQ53" i="33"/>
  <c r="AQ48" i="33"/>
  <c r="AQ44" i="33"/>
  <c r="FE261" i="5"/>
  <c r="AM412" i="5"/>
  <c r="FO369" i="5"/>
  <c r="JH369" i="5" s="1"/>
  <c r="FO412" i="5"/>
  <c r="JH412" i="5" s="1"/>
  <c r="FO701" i="5"/>
  <c r="JH701" i="5" s="1"/>
  <c r="FO563" i="5"/>
  <c r="JH563" i="5" s="1"/>
  <c r="FE379" i="5"/>
  <c r="HN380" i="5" s="1"/>
  <c r="HN382" i="5" s="1"/>
  <c r="DG256" i="5"/>
  <c r="EZ256" i="5" s="1"/>
  <c r="DX256" i="5" s="1"/>
  <c r="DZ256" i="5" s="1"/>
  <c r="DG525" i="5"/>
  <c r="FE525" i="5" s="1"/>
  <c r="FO256" i="5"/>
  <c r="JH256" i="5" s="1"/>
  <c r="FO628" i="5"/>
  <c r="JH628" i="5" s="1"/>
  <c r="DG515" i="5"/>
  <c r="EZ515" i="5" s="1"/>
  <c r="FO711" i="5"/>
  <c r="JH711" i="5" s="1"/>
  <c r="DG711" i="5"/>
  <c r="EZ711" i="5" s="1"/>
  <c r="FO243" i="5"/>
  <c r="JH243" i="5" s="1"/>
  <c r="EZ183" i="5"/>
  <c r="DX183" i="5" s="1"/>
  <c r="DY185" i="5" s="1"/>
  <c r="FO183" i="5"/>
  <c r="JH183" i="5" s="1"/>
  <c r="FO495" i="5"/>
  <c r="JH495" i="5" s="1"/>
  <c r="DG495" i="5"/>
  <c r="EZ495" i="5" s="1"/>
  <c r="HU496" i="5" s="1"/>
  <c r="HU498" i="5" s="1"/>
  <c r="FO394" i="5"/>
  <c r="JH394" i="5" s="1"/>
  <c r="DG628" i="5"/>
  <c r="EZ628" i="5" s="1"/>
  <c r="DX628" i="5" s="1"/>
  <c r="DY628" i="5" s="1"/>
  <c r="DG696" i="5"/>
  <c r="EZ696" i="5" s="1"/>
  <c r="DX696" i="5" s="1"/>
  <c r="DY696" i="5" s="1"/>
  <c r="FO306" i="5"/>
  <c r="JH306" i="5" s="1"/>
  <c r="DG135" i="5"/>
  <c r="EZ135" i="5" s="1"/>
  <c r="DX135" i="5" s="1"/>
  <c r="DY135" i="5" s="1"/>
  <c r="EZ316" i="5"/>
  <c r="DX316" i="5" s="1"/>
  <c r="DY316" i="5" s="1"/>
  <c r="FE316" i="5"/>
  <c r="JG316" i="5" s="1"/>
  <c r="FO354" i="5"/>
  <c r="JH354" i="5" s="1"/>
  <c r="DG369" i="5"/>
  <c r="EZ369" i="5" s="1"/>
  <c r="DX369" i="5" s="1"/>
  <c r="DZ369" i="5" s="1"/>
  <c r="FO706" i="5"/>
  <c r="JH706" i="5" s="1"/>
  <c r="DG432" i="5"/>
  <c r="FE432" i="5" s="1"/>
  <c r="FO399" i="5"/>
  <c r="JH399" i="5" s="1"/>
  <c r="FO598" i="5"/>
  <c r="JH598" i="5" s="1"/>
  <c r="DG706" i="5"/>
  <c r="AM701" i="5"/>
  <c r="AM495" i="5"/>
  <c r="FO301" i="5"/>
  <c r="JH301" i="5" s="1"/>
  <c r="FO452" i="5"/>
  <c r="JH452" i="5" s="1"/>
  <c r="DG301" i="5"/>
  <c r="EZ301" i="5" s="1"/>
  <c r="AM686" i="5"/>
  <c r="AM628" i="5"/>
  <c r="AM394" i="5"/>
  <c r="FV256" i="5"/>
  <c r="FW256" i="5" s="1"/>
  <c r="FX256" i="5" s="1"/>
  <c r="FV183" i="5"/>
  <c r="FW183" i="5" s="1"/>
  <c r="FX183" i="5" s="1"/>
  <c r="DG593" i="5"/>
  <c r="AM291" i="5"/>
  <c r="FV525" i="5"/>
  <c r="FW525" i="5" s="1"/>
  <c r="FX525" i="5" s="1"/>
  <c r="EZ329" i="5"/>
  <c r="DX329" i="5" s="1"/>
  <c r="AM706" i="5"/>
  <c r="DG437" i="5"/>
  <c r="FE437" i="5" s="1"/>
  <c r="HN438" i="5" s="1"/>
  <c r="HN440" i="5" s="1"/>
  <c r="FO271" i="5"/>
  <c r="JH271" i="5" s="1"/>
  <c r="FV271" i="5"/>
  <c r="FW271" i="5" s="1"/>
  <c r="FX271" i="5" s="1"/>
  <c r="FO719" i="5"/>
  <c r="JH719" i="5" s="1"/>
  <c r="FO505" i="5"/>
  <c r="JH505" i="5" s="1"/>
  <c r="DG306" i="5"/>
  <c r="EZ306" i="5" s="1"/>
  <c r="DX306" i="5" s="1"/>
  <c r="DY306" i="5" s="1"/>
  <c r="FO593" i="5"/>
  <c r="JH593" i="5" s="1"/>
  <c r="DG603" i="5"/>
  <c r="EZ603" i="5" s="1"/>
  <c r="DX603" i="5" s="1"/>
  <c r="DY603" i="5" s="1"/>
  <c r="DG671" i="5"/>
  <c r="EZ671" i="5" s="1"/>
  <c r="DX671" i="5" s="1"/>
  <c r="DY673" i="5" s="1"/>
  <c r="DG505" i="5"/>
  <c r="FO437" i="5"/>
  <c r="JH437" i="5" s="1"/>
  <c r="FO525" i="5"/>
  <c r="JH525" i="5" s="1"/>
  <c r="FV218" i="5"/>
  <c r="FW218" i="5" s="1"/>
  <c r="FX218" i="5" s="1"/>
  <c r="FE545" i="5"/>
  <c r="JG545" i="5" s="1"/>
  <c r="EZ545" i="5"/>
  <c r="DX545" i="5" s="1"/>
  <c r="DZ545" i="5" s="1"/>
  <c r="FO462" i="5"/>
  <c r="JH462" i="5" s="1"/>
  <c r="FE754" i="5"/>
  <c r="HN755" i="5" s="1"/>
  <c r="HN757" i="5" s="1"/>
  <c r="FO530" i="5"/>
  <c r="JH530" i="5" s="1"/>
  <c r="FO696" i="5"/>
  <c r="JH696" i="5" s="1"/>
  <c r="JC316" i="5"/>
  <c r="JD316" i="5" s="1"/>
  <c r="JE316" i="5" s="1"/>
  <c r="DI316" i="5" s="1"/>
  <c r="FO316" i="5"/>
  <c r="JH316" i="5" s="1"/>
  <c r="FV719" i="5"/>
  <c r="FW719" i="5" s="1"/>
  <c r="FX719" i="5" s="1"/>
  <c r="DG384" i="5"/>
  <c r="DG613" i="5"/>
  <c r="EZ613" i="5" s="1"/>
  <c r="DX613" i="5" s="1"/>
  <c r="DY615" i="5" s="1"/>
  <c r="DG530" i="5"/>
  <c r="EZ530" i="5" s="1"/>
  <c r="DX530" i="5" s="1"/>
  <c r="DZ530" i="5" s="1"/>
  <c r="DG394" i="5"/>
  <c r="FO442" i="5"/>
  <c r="JH442" i="5" s="1"/>
  <c r="FO490" i="5"/>
  <c r="JH490" i="5" s="1"/>
  <c r="FO583" i="5"/>
  <c r="JH583" i="5" s="1"/>
  <c r="DG271" i="5"/>
  <c r="EZ271" i="5" s="1"/>
  <c r="DX271" i="5" s="1"/>
  <c r="DZ271" i="5" s="1"/>
  <c r="DG686" i="5"/>
  <c r="EZ686" i="5" s="1"/>
  <c r="DX686" i="5" s="1"/>
  <c r="JC754" i="5"/>
  <c r="JD754" i="5" s="1"/>
  <c r="JE754" i="5" s="1"/>
  <c r="DI754" i="5" s="1"/>
  <c r="FO754" i="5"/>
  <c r="JH754" i="5" s="1"/>
  <c r="DG764" i="5"/>
  <c r="EZ764" i="5" s="1"/>
  <c r="FO686" i="5"/>
  <c r="JH686" i="5" s="1"/>
  <c r="DG583" i="5"/>
  <c r="FE719" i="5"/>
  <c r="HN720" i="5" s="1"/>
  <c r="HN722" i="5" s="1"/>
  <c r="FE573" i="5"/>
  <c r="JG573" i="5" s="1"/>
  <c r="AM593" i="5"/>
  <c r="FV696" i="5"/>
  <c r="FW696" i="5" s="1"/>
  <c r="FX696" i="5" s="1"/>
  <c r="FV369" i="5"/>
  <c r="FW369" i="5" s="1"/>
  <c r="FX369" i="5" s="1"/>
  <c r="AM306" i="5"/>
  <c r="FV243" i="5"/>
  <c r="FW243" i="5" s="1"/>
  <c r="FX243" i="5" s="1"/>
  <c r="AM505" i="5"/>
  <c r="AM437" i="5"/>
  <c r="AM354" i="5"/>
  <c r="AM603" i="5"/>
  <c r="AM530" i="5"/>
  <c r="FV329" i="5"/>
  <c r="FW329" i="5" s="1"/>
  <c r="FX329" i="5" s="1"/>
  <c r="BS73" i="33"/>
  <c r="AO22" i="33" s="1"/>
  <c r="D91" i="10"/>
  <c r="Y39" i="33"/>
  <c r="FV583" i="5"/>
  <c r="FW583" i="5" s="1"/>
  <c r="FX583" i="5" s="1"/>
  <c r="AM384" i="5"/>
  <c r="HQ53" i="5"/>
  <c r="HQ55" i="5" s="1"/>
  <c r="JE54" i="5"/>
  <c r="DI54" i="5" s="1"/>
  <c r="EZ739" i="5"/>
  <c r="DX739" i="5" s="1"/>
  <c r="DY741" i="5" s="1"/>
  <c r="AM671" i="5"/>
  <c r="DG47" i="5"/>
  <c r="EZ47" i="5" s="1"/>
  <c r="DG774" i="5"/>
  <c r="EZ774" i="5" s="1"/>
  <c r="FO774" i="5"/>
  <c r="JH774" i="5" s="1"/>
  <c r="DG407" i="5"/>
  <c r="EZ407" i="5" s="1"/>
  <c r="FE779" i="5"/>
  <c r="JG779" i="5" s="1"/>
  <c r="DG208" i="5"/>
  <c r="FE208" i="5" s="1"/>
  <c r="FO384" i="5"/>
  <c r="JH384" i="5" s="1"/>
  <c r="DG500" i="5"/>
  <c r="EZ500" i="5" s="1"/>
  <c r="EZ243" i="5"/>
  <c r="HU244" i="5" s="1"/>
  <c r="HU246" i="5" s="1"/>
  <c r="FE520" i="5"/>
  <c r="HN521" i="5" s="1"/>
  <c r="HN523" i="5" s="1"/>
  <c r="AM135" i="5"/>
  <c r="FO500" i="5"/>
  <c r="JH500" i="5" s="1"/>
  <c r="FE540" i="5"/>
  <c r="HN541" i="5" s="1"/>
  <c r="HN543" i="5" s="1"/>
  <c r="FV784" i="5"/>
  <c r="FW784" i="5" s="1"/>
  <c r="FX784" i="5" s="1"/>
  <c r="DG784" i="5"/>
  <c r="FO344" i="5"/>
  <c r="JH344" i="5" s="1"/>
  <c r="FO676" i="5"/>
  <c r="JH676" i="5" s="1"/>
  <c r="JC545" i="5"/>
  <c r="JD545" i="5" s="1"/>
  <c r="JE545" i="5" s="1"/>
  <c r="DI545" i="5" s="1"/>
  <c r="FO545" i="5"/>
  <c r="JH545" i="5" s="1"/>
  <c r="FO784" i="5"/>
  <c r="JH784" i="5" s="1"/>
  <c r="FE334" i="5"/>
  <c r="HN335" i="5" s="1"/>
  <c r="HN337" i="5" s="1"/>
  <c r="FE666" i="5"/>
  <c r="HN667" i="5" s="1"/>
  <c r="HN669" i="5" s="1"/>
  <c r="DG203" i="5"/>
  <c r="EZ203" i="5" s="1"/>
  <c r="AM510" i="5"/>
  <c r="DG510" i="5"/>
  <c r="FO62" i="5"/>
  <c r="JH62" i="5" s="1"/>
  <c r="FO178" i="5"/>
  <c r="JH178" i="5" s="1"/>
  <c r="DG588" i="5"/>
  <c r="DG354" i="5"/>
  <c r="FO203" i="5"/>
  <c r="JH203" i="5" s="1"/>
  <c r="FO407" i="5"/>
  <c r="JH407" i="5" s="1"/>
  <c r="FO105" i="5"/>
  <c r="JH105" i="5" s="1"/>
  <c r="FO759" i="5"/>
  <c r="JH759" i="5" s="1"/>
  <c r="FE291" i="5"/>
  <c r="HN292" i="5" s="1"/>
  <c r="HN294" i="5" s="1"/>
  <c r="FO588" i="5"/>
  <c r="JH588" i="5" s="1"/>
  <c r="AM588" i="5"/>
  <c r="FO510" i="5"/>
  <c r="JH510" i="5" s="1"/>
  <c r="FO135" i="5"/>
  <c r="JH135" i="5" s="1"/>
  <c r="DG729" i="5"/>
  <c r="EZ729" i="5" s="1"/>
  <c r="EZ555" i="5"/>
  <c r="DX555" i="5" s="1"/>
  <c r="AM178" i="5"/>
  <c r="DG759" i="5"/>
  <c r="FE759" i="5" s="1"/>
  <c r="EZ155" i="5"/>
  <c r="DX155" i="5" s="1"/>
  <c r="DZ155" i="5" s="1"/>
  <c r="EZ477" i="5"/>
  <c r="DX477" i="5" s="1"/>
  <c r="DZ477" i="5" s="1"/>
  <c r="FV613" i="5"/>
  <c r="FW613" i="5" s="1"/>
  <c r="FX613" i="5" s="1"/>
  <c r="DG188" i="5"/>
  <c r="FO432" i="5"/>
  <c r="JH432" i="5" s="1"/>
  <c r="JC681" i="5"/>
  <c r="JD681" i="5" s="1"/>
  <c r="JE681" i="5" s="1"/>
  <c r="DI681" i="5" s="1"/>
  <c r="DG681" i="5"/>
  <c r="FO613" i="5"/>
  <c r="JH613" i="5" s="1"/>
  <c r="JC266" i="5"/>
  <c r="JD266" i="5" s="1"/>
  <c r="JE266" i="5" s="1"/>
  <c r="DI266" i="5" s="1"/>
  <c r="DG266" i="5"/>
  <c r="DG452" i="5"/>
  <c r="EZ452" i="5" s="1"/>
  <c r="HU453" i="5" s="1"/>
  <c r="HU455" i="5" s="1"/>
  <c r="DG178" i="5"/>
  <c r="FO125" i="5"/>
  <c r="JH125" i="5" s="1"/>
  <c r="DG462" i="5"/>
  <c r="EZ462" i="5" s="1"/>
  <c r="DX462" i="5" s="1"/>
  <c r="DY464" i="5" s="1"/>
  <c r="AM789" i="5"/>
  <c r="FV789" i="5"/>
  <c r="FW789" i="5" s="1"/>
  <c r="FX789" i="5" s="1"/>
  <c r="AM349" i="5"/>
  <c r="FV349" i="5"/>
  <c r="FW349" i="5" s="1"/>
  <c r="FX349" i="5" s="1"/>
  <c r="JC618" i="5"/>
  <c r="JD618" i="5" s="1"/>
  <c r="JE618" i="5" s="1"/>
  <c r="DI618" i="5" s="1"/>
  <c r="DG618" i="5"/>
  <c r="DX520" i="5"/>
  <c r="DY520" i="5" s="1"/>
  <c r="HU521" i="5"/>
  <c r="HU523" i="5" s="1"/>
  <c r="FO115" i="5"/>
  <c r="JH115" i="5" s="1"/>
  <c r="AM676" i="5"/>
  <c r="FV676" i="5"/>
  <c r="FW676" i="5" s="1"/>
  <c r="FX676" i="5" s="1"/>
  <c r="FV774" i="5"/>
  <c r="FW774" i="5" s="1"/>
  <c r="FX774" i="5" s="1"/>
  <c r="AM774" i="5"/>
  <c r="FV661" i="5"/>
  <c r="FW661" i="5" s="1"/>
  <c r="FX661" i="5" s="1"/>
  <c r="AM661" i="5"/>
  <c r="JC769" i="5"/>
  <c r="JD769" i="5" s="1"/>
  <c r="JE769" i="5" s="1"/>
  <c r="DI769" i="5" s="1"/>
  <c r="FO769" i="5"/>
  <c r="JH769" i="5" s="1"/>
  <c r="FO633" i="5"/>
  <c r="JH633" i="5" s="1"/>
  <c r="FV57" i="5"/>
  <c r="FW57" i="5" s="1"/>
  <c r="FX57" i="5" s="1"/>
  <c r="AM57" i="5"/>
  <c r="JC173" i="5"/>
  <c r="JD173" i="5" s="1"/>
  <c r="JE173" i="5" s="1"/>
  <c r="DI173" i="5" s="1"/>
  <c r="DG173" i="5"/>
  <c r="FO173" i="5"/>
  <c r="JH173" i="5" s="1"/>
  <c r="FO646" i="5"/>
  <c r="JH646" i="5" s="1"/>
  <c r="JC228" i="5"/>
  <c r="JD228" i="5" s="1"/>
  <c r="JE228" i="5" s="1"/>
  <c r="DI228" i="5" s="1"/>
  <c r="DG228" i="5"/>
  <c r="FO145" i="5"/>
  <c r="JH145" i="5" s="1"/>
  <c r="DG311" i="5"/>
  <c r="FO228" i="5"/>
  <c r="JH228" i="5" s="1"/>
  <c r="FO286" i="5"/>
  <c r="JH286" i="5" s="1"/>
  <c r="FO749" i="5"/>
  <c r="JH749" i="5" s="1"/>
  <c r="DG550" i="5"/>
  <c r="DG130" i="5"/>
  <c r="FV656" i="5"/>
  <c r="FW656" i="5" s="1"/>
  <c r="FX656" i="5" s="1"/>
  <c r="AM656" i="5"/>
  <c r="DX261" i="5"/>
  <c r="DY261" i="5" s="1"/>
  <c r="HU262" i="5"/>
  <c r="HU264" i="5" s="1"/>
  <c r="JC364" i="5"/>
  <c r="JD364" i="5" s="1"/>
  <c r="JE364" i="5" s="1"/>
  <c r="DI364" i="5" s="1"/>
  <c r="DG364" i="5"/>
  <c r="FO364" i="5"/>
  <c r="JH364" i="5" s="1"/>
  <c r="DX334" i="5"/>
  <c r="DZ334" i="5" s="1"/>
  <c r="HU335" i="5"/>
  <c r="HU337" i="5" s="1"/>
  <c r="JC100" i="5"/>
  <c r="JD100" i="5" s="1"/>
  <c r="JE100" i="5" s="1"/>
  <c r="DI100" i="5" s="1"/>
  <c r="FO100" i="5"/>
  <c r="JH100" i="5" s="1"/>
  <c r="DG100" i="5"/>
  <c r="DX379" i="5"/>
  <c r="DY381" i="5" s="1"/>
  <c r="HU380" i="5"/>
  <c r="HU382" i="5" s="1"/>
  <c r="FO130" i="5"/>
  <c r="JH130" i="5" s="1"/>
  <c r="AM427" i="5"/>
  <c r="FV427" i="5"/>
  <c r="FW427" i="5" s="1"/>
  <c r="FX427" i="5" s="1"/>
  <c r="FV193" i="5"/>
  <c r="FW193" i="5" s="1"/>
  <c r="FX193" i="5" s="1"/>
  <c r="AM193" i="5"/>
  <c r="FO457" i="5"/>
  <c r="JH457" i="5" s="1"/>
  <c r="JC233" i="5"/>
  <c r="JD233" i="5" s="1"/>
  <c r="JE233" i="5" s="1"/>
  <c r="DI233" i="5" s="1"/>
  <c r="FO233" i="5"/>
  <c r="JH233" i="5" s="1"/>
  <c r="FV125" i="5"/>
  <c r="FW125" i="5" s="1"/>
  <c r="FX125" i="5" s="1"/>
  <c r="AM125" i="5"/>
  <c r="FV198" i="5"/>
  <c r="FW198" i="5" s="1"/>
  <c r="FX198" i="5" s="1"/>
  <c r="AM198" i="5"/>
  <c r="DG457" i="5"/>
  <c r="FV598" i="5"/>
  <c r="FW598" i="5" s="1"/>
  <c r="FX598" i="5" s="1"/>
  <c r="AM598" i="5"/>
  <c r="JC422" i="5"/>
  <c r="JD422" i="5" s="1"/>
  <c r="JE422" i="5" s="1"/>
  <c r="DI422" i="5" s="1"/>
  <c r="DG422" i="5"/>
  <c r="AM452" i="5"/>
  <c r="FV452" i="5"/>
  <c r="FW452" i="5" s="1"/>
  <c r="FX452" i="5" s="1"/>
  <c r="FO150" i="5"/>
  <c r="JH150" i="5" s="1"/>
  <c r="DG72" i="5"/>
  <c r="DX666" i="5"/>
  <c r="DY668" i="5" s="1"/>
  <c r="HU667" i="5"/>
  <c r="HU669" i="5" s="1"/>
  <c r="DX754" i="5"/>
  <c r="DY756" i="5" s="1"/>
  <c r="HU755" i="5"/>
  <c r="HU757" i="5" s="1"/>
  <c r="DX789" i="5"/>
  <c r="DY791" i="5" s="1"/>
  <c r="HU790" i="5"/>
  <c r="HU792" i="5" s="1"/>
  <c r="DG349" i="5"/>
  <c r="EZ349" i="5" s="1"/>
  <c r="JC87" i="5"/>
  <c r="JD87" i="5" s="1"/>
  <c r="JE87" i="5" s="1"/>
  <c r="DI87" i="5" s="1"/>
  <c r="DG87" i="5"/>
  <c r="FO87" i="5"/>
  <c r="JH87" i="5" s="1"/>
  <c r="DG676" i="5"/>
  <c r="EZ676" i="5" s="1"/>
  <c r="JC651" i="5"/>
  <c r="JD651" i="5" s="1"/>
  <c r="JE651" i="5" s="1"/>
  <c r="DI651" i="5" s="1"/>
  <c r="DG651" i="5"/>
  <c r="AM301" i="5"/>
  <c r="FV301" i="5"/>
  <c r="FW301" i="5" s="1"/>
  <c r="FX301" i="5" s="1"/>
  <c r="JC165" i="5"/>
  <c r="JD165" i="5" s="1"/>
  <c r="JE165" i="5" s="1"/>
  <c r="DI165" i="5" s="1"/>
  <c r="FO165" i="5"/>
  <c r="JH165" i="5" s="1"/>
  <c r="DG165" i="5"/>
  <c r="FO618" i="5"/>
  <c r="JH618" i="5" s="1"/>
  <c r="DX540" i="5"/>
  <c r="DZ540" i="5" s="1"/>
  <c r="HU541" i="5"/>
  <c r="HU543" i="5" s="1"/>
  <c r="JC568" i="5"/>
  <c r="JD568" i="5" s="1"/>
  <c r="JE568" i="5" s="1"/>
  <c r="DI568" i="5" s="1"/>
  <c r="DG568" i="5"/>
  <c r="FO568" i="5"/>
  <c r="JH568" i="5" s="1"/>
  <c r="DG110" i="5"/>
  <c r="FO389" i="5"/>
  <c r="JH389" i="5" s="1"/>
  <c r="FO734" i="5"/>
  <c r="JH734" i="5" s="1"/>
  <c r="DX77" i="5"/>
  <c r="DZ77" i="5" s="1"/>
  <c r="HU78" i="5"/>
  <c r="HU80" i="5" s="1"/>
  <c r="FO72" i="5"/>
  <c r="JH72" i="5" s="1"/>
  <c r="DG691" i="5"/>
  <c r="DG598" i="5"/>
  <c r="DG105" i="5"/>
  <c r="FV749" i="5"/>
  <c r="FW749" i="5" s="1"/>
  <c r="FX749" i="5" s="1"/>
  <c r="AM749" i="5"/>
  <c r="JC724" i="5"/>
  <c r="JD724" i="5" s="1"/>
  <c r="JE724" i="5" s="1"/>
  <c r="DI724" i="5" s="1"/>
  <c r="DG724" i="5"/>
  <c r="FV633" i="5"/>
  <c r="FW633" i="5" s="1"/>
  <c r="FX633" i="5" s="1"/>
  <c r="AM633" i="5"/>
  <c r="DX573" i="5"/>
  <c r="DZ573" i="5" s="1"/>
  <c r="HU574" i="5"/>
  <c r="HU576" i="5" s="1"/>
  <c r="AM321" i="5"/>
  <c r="FV321" i="5"/>
  <c r="FW321" i="5" s="1"/>
  <c r="FX321" i="5" s="1"/>
  <c r="JC120" i="5"/>
  <c r="JD120" i="5" s="1"/>
  <c r="JE120" i="5" s="1"/>
  <c r="DI120" i="5" s="1"/>
  <c r="DG120" i="5"/>
  <c r="FO120" i="5"/>
  <c r="JH120" i="5" s="1"/>
  <c r="FV764" i="5"/>
  <c r="FW764" i="5" s="1"/>
  <c r="FX764" i="5" s="1"/>
  <c r="AM764" i="5"/>
  <c r="FV711" i="5"/>
  <c r="FW711" i="5" s="1"/>
  <c r="FX711" i="5" s="1"/>
  <c r="AM711" i="5"/>
  <c r="FO550" i="5"/>
  <c r="JH550" i="5" s="1"/>
  <c r="DG399" i="5"/>
  <c r="FE399" i="5" s="1"/>
  <c r="AM759" i="5"/>
  <c r="FV759" i="5"/>
  <c r="FW759" i="5" s="1"/>
  <c r="FX759" i="5" s="1"/>
  <c r="JC339" i="5"/>
  <c r="JD339" i="5" s="1"/>
  <c r="JE339" i="5" s="1"/>
  <c r="DI339" i="5" s="1"/>
  <c r="FO339" i="5"/>
  <c r="JH339" i="5" s="1"/>
  <c r="DG339" i="5"/>
  <c r="FO52" i="5"/>
  <c r="JH52" i="5" s="1"/>
  <c r="AM62" i="5"/>
  <c r="FV62" i="5"/>
  <c r="FW62" i="5" s="1"/>
  <c r="FX62" i="5" s="1"/>
  <c r="DG198" i="5"/>
  <c r="EZ198" i="5" s="1"/>
  <c r="DG389" i="5"/>
  <c r="FO661" i="5"/>
  <c r="JH661" i="5" s="1"/>
  <c r="DG749" i="5"/>
  <c r="DG633" i="5"/>
  <c r="FV130" i="5"/>
  <c r="FW130" i="5" s="1"/>
  <c r="FX130" i="5" s="1"/>
  <c r="AM130" i="5"/>
  <c r="AM734" i="5"/>
  <c r="FV734" i="5"/>
  <c r="FW734" i="5" s="1"/>
  <c r="FX734" i="5" s="1"/>
  <c r="JC447" i="5"/>
  <c r="JD447" i="5" s="1"/>
  <c r="JE447" i="5" s="1"/>
  <c r="DI447" i="5" s="1"/>
  <c r="DG447" i="5"/>
  <c r="FO311" i="5"/>
  <c r="JH311" i="5" s="1"/>
  <c r="JC359" i="5"/>
  <c r="JD359" i="5" s="1"/>
  <c r="JE359" i="5" s="1"/>
  <c r="DI359" i="5" s="1"/>
  <c r="FO359" i="5"/>
  <c r="JH359" i="5" s="1"/>
  <c r="DG359" i="5"/>
  <c r="FV729" i="5"/>
  <c r="FW729" i="5" s="1"/>
  <c r="FX729" i="5" s="1"/>
  <c r="AM729" i="5"/>
  <c r="AM691" i="5"/>
  <c r="FV691" i="5"/>
  <c r="FW691" i="5" s="1"/>
  <c r="FX691" i="5" s="1"/>
  <c r="FO656" i="5"/>
  <c r="JH656" i="5" s="1"/>
  <c r="FO321" i="5"/>
  <c r="JH321" i="5" s="1"/>
  <c r="AM203" i="5"/>
  <c r="FV203" i="5"/>
  <c r="FW203" i="5" s="1"/>
  <c r="FX203" i="5" s="1"/>
  <c r="FO110" i="5"/>
  <c r="JH110" i="5" s="1"/>
  <c r="FO764" i="5"/>
  <c r="JH764" i="5" s="1"/>
  <c r="JC623" i="5"/>
  <c r="JD623" i="5" s="1"/>
  <c r="JE623" i="5" s="1"/>
  <c r="DI623" i="5" s="1"/>
  <c r="DG623" i="5"/>
  <c r="FO623" i="5"/>
  <c r="JH623" i="5" s="1"/>
  <c r="FV500" i="5"/>
  <c r="FW500" i="5" s="1"/>
  <c r="FX500" i="5" s="1"/>
  <c r="AM500" i="5"/>
  <c r="DX291" i="5"/>
  <c r="DY293" i="5" s="1"/>
  <c r="HU292" i="5"/>
  <c r="HU294" i="5" s="1"/>
  <c r="AM145" i="5"/>
  <c r="FV145" i="5"/>
  <c r="FW145" i="5" s="1"/>
  <c r="FX145" i="5" s="1"/>
  <c r="JC296" i="5"/>
  <c r="JD296" i="5" s="1"/>
  <c r="JE296" i="5" s="1"/>
  <c r="DI296" i="5" s="1"/>
  <c r="FO296" i="5"/>
  <c r="JH296" i="5" s="1"/>
  <c r="DG296" i="5"/>
  <c r="JC467" i="5"/>
  <c r="JD467" i="5" s="1"/>
  <c r="JE467" i="5" s="1"/>
  <c r="DI467" i="5" s="1"/>
  <c r="DG467" i="5"/>
  <c r="DG52" i="5"/>
  <c r="EY52" i="5" s="1"/>
  <c r="HO53" i="5" s="1"/>
  <c r="HO55" i="5" s="1"/>
  <c r="DG321" i="5"/>
  <c r="FV550" i="5"/>
  <c r="FW550" i="5" s="1"/>
  <c r="FX550" i="5" s="1"/>
  <c r="AM550" i="5"/>
  <c r="AM311" i="5"/>
  <c r="FV311" i="5"/>
  <c r="FW311" i="5" s="1"/>
  <c r="FX311" i="5" s="1"/>
  <c r="JC641" i="5"/>
  <c r="JD641" i="5" s="1"/>
  <c r="JE641" i="5" s="1"/>
  <c r="DI641" i="5" s="1"/>
  <c r="DG641" i="5"/>
  <c r="FO641" i="5"/>
  <c r="JH641" i="5" s="1"/>
  <c r="DG734" i="5"/>
  <c r="FE734" i="5" s="1"/>
  <c r="DG193" i="5"/>
  <c r="EZ193" i="5" s="1"/>
  <c r="DG115" i="5"/>
  <c r="FE115" i="5" s="1"/>
  <c r="FO729" i="5"/>
  <c r="JH729" i="5" s="1"/>
  <c r="DG57" i="5"/>
  <c r="FV72" i="5"/>
  <c r="FW72" i="5" s="1"/>
  <c r="FX72" i="5" s="1"/>
  <c r="AM72" i="5"/>
  <c r="FO198" i="5"/>
  <c r="JH198" i="5" s="1"/>
  <c r="JC417" i="5"/>
  <c r="JD417" i="5" s="1"/>
  <c r="JE417" i="5" s="1"/>
  <c r="DI417" i="5" s="1"/>
  <c r="DG417" i="5"/>
  <c r="DG646" i="5"/>
  <c r="JC281" i="5"/>
  <c r="JD281" i="5" s="1"/>
  <c r="JE281" i="5" s="1"/>
  <c r="DI281" i="5" s="1"/>
  <c r="DG281" i="5"/>
  <c r="FO281" i="5"/>
  <c r="JH281" i="5" s="1"/>
  <c r="AM188" i="5"/>
  <c r="FV188" i="5"/>
  <c r="FW188" i="5" s="1"/>
  <c r="FX188" i="5" s="1"/>
  <c r="DG150" i="5"/>
  <c r="FO349" i="5"/>
  <c r="JH349" i="5" s="1"/>
  <c r="DG656" i="5"/>
  <c r="EZ656" i="5" s="1"/>
  <c r="JC238" i="5"/>
  <c r="JD238" i="5" s="1"/>
  <c r="JE238" i="5" s="1"/>
  <c r="DI238" i="5" s="1"/>
  <c r="DG238" i="5"/>
  <c r="FO238" i="5"/>
  <c r="JH238" i="5" s="1"/>
  <c r="AM110" i="5"/>
  <c r="FV110" i="5"/>
  <c r="FW110" i="5" s="1"/>
  <c r="FX110" i="5" s="1"/>
  <c r="DX218" i="5"/>
  <c r="DY218" i="5" s="1"/>
  <c r="HU219" i="5"/>
  <c r="HU221" i="5" s="1"/>
  <c r="FV442" i="5"/>
  <c r="FW442" i="5" s="1"/>
  <c r="FX442" i="5" s="1"/>
  <c r="AM442" i="5"/>
  <c r="JC251" i="5"/>
  <c r="JD251" i="5" s="1"/>
  <c r="JE251" i="5" s="1"/>
  <c r="DI251" i="5" s="1"/>
  <c r="DG251" i="5"/>
  <c r="FO691" i="5"/>
  <c r="JH691" i="5" s="1"/>
  <c r="JC276" i="5"/>
  <c r="JD276" i="5" s="1"/>
  <c r="JE276" i="5" s="1"/>
  <c r="DI276" i="5" s="1"/>
  <c r="FO276" i="5"/>
  <c r="JH276" i="5" s="1"/>
  <c r="JC608" i="5"/>
  <c r="JD608" i="5" s="1"/>
  <c r="JE608" i="5" s="1"/>
  <c r="DI608" i="5" s="1"/>
  <c r="FO608" i="5"/>
  <c r="JH608" i="5" s="1"/>
  <c r="AM407" i="5"/>
  <c r="FV407" i="5"/>
  <c r="FW407" i="5" s="1"/>
  <c r="FX407" i="5" s="1"/>
  <c r="DG213" i="5"/>
  <c r="EZ213" i="5" s="1"/>
  <c r="AM344" i="5"/>
  <c r="FV344" i="5"/>
  <c r="FW344" i="5" s="1"/>
  <c r="FX344" i="5" s="1"/>
  <c r="DG427" i="5"/>
  <c r="FE427" i="5" s="1"/>
  <c r="FV208" i="5"/>
  <c r="FW208" i="5" s="1"/>
  <c r="FX208" i="5" s="1"/>
  <c r="AM208" i="5"/>
  <c r="FO515" i="5"/>
  <c r="JH515" i="5" s="1"/>
  <c r="AM490" i="5"/>
  <c r="FV490" i="5"/>
  <c r="FW490" i="5" s="1"/>
  <c r="FX490" i="5" s="1"/>
  <c r="FO208" i="5"/>
  <c r="JH208" i="5" s="1"/>
  <c r="FV462" i="5"/>
  <c r="FW462" i="5" s="1"/>
  <c r="FX462" i="5" s="1"/>
  <c r="AM462" i="5"/>
  <c r="FV563" i="5"/>
  <c r="FW563" i="5" s="1"/>
  <c r="FX563" i="5" s="1"/>
  <c r="AM563" i="5"/>
  <c r="DG286" i="5"/>
  <c r="FO188" i="5"/>
  <c r="JH188" i="5" s="1"/>
  <c r="DG490" i="5"/>
  <c r="DG344" i="5"/>
  <c r="DG661" i="5"/>
  <c r="DG62" i="5"/>
  <c r="EY62" i="5" s="1"/>
  <c r="HO63" i="5" s="1"/>
  <c r="HO65" i="5" s="1"/>
  <c r="DG125" i="5"/>
  <c r="DX719" i="5"/>
  <c r="DY719" i="5" s="1"/>
  <c r="HU720" i="5"/>
  <c r="HU722" i="5" s="1"/>
  <c r="FV457" i="5"/>
  <c r="FW457" i="5" s="1"/>
  <c r="FX457" i="5" s="1"/>
  <c r="AM457" i="5"/>
  <c r="FV115" i="5"/>
  <c r="FW115" i="5" s="1"/>
  <c r="FX115" i="5" s="1"/>
  <c r="AM115" i="5"/>
  <c r="DX779" i="5"/>
  <c r="DY781" i="5" s="1"/>
  <c r="HU780" i="5"/>
  <c r="HU782" i="5" s="1"/>
  <c r="AM399" i="5"/>
  <c r="FV399" i="5"/>
  <c r="FW399" i="5" s="1"/>
  <c r="FX399" i="5" s="1"/>
  <c r="JC67" i="5"/>
  <c r="JD67" i="5" s="1"/>
  <c r="JE67" i="5" s="1"/>
  <c r="DI67" i="5" s="1"/>
  <c r="DG67" i="5"/>
  <c r="EY67" i="5" s="1"/>
  <c r="HO68" i="5" s="1"/>
  <c r="HO70" i="5" s="1"/>
  <c r="JC535" i="5"/>
  <c r="JD535" i="5" s="1"/>
  <c r="JE535" i="5" s="1"/>
  <c r="DI535" i="5" s="1"/>
  <c r="DG535" i="5"/>
  <c r="FV213" i="5"/>
  <c r="FW213" i="5" s="1"/>
  <c r="FX213" i="5" s="1"/>
  <c r="AM213" i="5"/>
  <c r="JC140" i="5"/>
  <c r="JD140" i="5" s="1"/>
  <c r="JE140" i="5" s="1"/>
  <c r="DI140" i="5" s="1"/>
  <c r="DG140" i="5"/>
  <c r="FV646" i="5"/>
  <c r="FW646" i="5" s="1"/>
  <c r="FX646" i="5" s="1"/>
  <c r="AM646" i="5"/>
  <c r="JC485" i="5"/>
  <c r="JD485" i="5" s="1"/>
  <c r="JE485" i="5" s="1"/>
  <c r="DI485" i="5" s="1"/>
  <c r="DG485" i="5"/>
  <c r="FO427" i="5"/>
  <c r="JH427" i="5" s="1"/>
  <c r="FO193" i="5"/>
  <c r="JH193" i="5" s="1"/>
  <c r="FO651" i="5"/>
  <c r="JH651" i="5" s="1"/>
  <c r="AM515" i="5"/>
  <c r="FV515" i="5"/>
  <c r="FW515" i="5" s="1"/>
  <c r="FX515" i="5" s="1"/>
  <c r="AM286" i="5"/>
  <c r="FV286" i="5"/>
  <c r="FW286" i="5" s="1"/>
  <c r="FX286" i="5" s="1"/>
  <c r="JC223" i="5"/>
  <c r="JD223" i="5" s="1"/>
  <c r="JE223" i="5" s="1"/>
  <c r="DI223" i="5" s="1"/>
  <c r="DG223" i="5"/>
  <c r="FO223" i="5"/>
  <c r="JH223" i="5" s="1"/>
  <c r="FV150" i="5"/>
  <c r="FW150" i="5" s="1"/>
  <c r="FX150" i="5" s="1"/>
  <c r="AM150" i="5"/>
  <c r="FO57" i="5"/>
  <c r="JH57" i="5" s="1"/>
  <c r="AM52" i="5"/>
  <c r="FV52" i="5"/>
  <c r="FW52" i="5" s="1"/>
  <c r="FX52" i="5" s="1"/>
  <c r="AM389" i="5"/>
  <c r="FV389" i="5"/>
  <c r="FW389" i="5" s="1"/>
  <c r="FX389" i="5" s="1"/>
  <c r="FO213" i="5"/>
  <c r="JH213" i="5" s="1"/>
  <c r="FV432" i="5"/>
  <c r="FW432" i="5" s="1"/>
  <c r="FX432" i="5" s="1"/>
  <c r="AM432" i="5"/>
  <c r="FV105" i="5"/>
  <c r="FW105" i="5" s="1"/>
  <c r="FX105" i="5" s="1"/>
  <c r="AM105" i="5"/>
  <c r="DG145" i="5"/>
  <c r="EZ145" i="5" s="1"/>
  <c r="DG276" i="5"/>
  <c r="DG442" i="5"/>
  <c r="FO47" i="5"/>
  <c r="JH47" i="5" s="1"/>
  <c r="M275" i="19"/>
  <c r="FE77" i="5"/>
  <c r="JG77" i="5" s="1"/>
  <c r="HQ790" i="5"/>
  <c r="HQ792" i="5" s="1"/>
  <c r="DI791" i="5"/>
  <c r="JG261" i="5"/>
  <c r="HN262" i="5"/>
  <c r="HN264" i="5" s="1"/>
  <c r="JG155" i="5"/>
  <c r="HN156" i="5"/>
  <c r="HN158" i="5" s="1"/>
  <c r="EZ233" i="5"/>
  <c r="FE233" i="5"/>
  <c r="EZ412" i="5"/>
  <c r="FE412" i="5"/>
  <c r="HN556" i="5"/>
  <c r="HN558" i="5" s="1"/>
  <c r="JG555" i="5"/>
  <c r="EZ744" i="5"/>
  <c r="FE744" i="5"/>
  <c r="HN219" i="5"/>
  <c r="HN221" i="5" s="1"/>
  <c r="JG218" i="5"/>
  <c r="HN790" i="5"/>
  <c r="HN792" i="5" s="1"/>
  <c r="JG789" i="5"/>
  <c r="EZ769" i="5"/>
  <c r="FE769" i="5"/>
  <c r="JG701" i="5"/>
  <c r="HN702" i="5"/>
  <c r="HN704" i="5" s="1"/>
  <c r="FE374" i="5"/>
  <c r="EZ374" i="5"/>
  <c r="EZ472" i="5"/>
  <c r="FE472" i="5"/>
  <c r="JG243" i="5"/>
  <c r="HN244" i="5"/>
  <c r="HN246" i="5" s="1"/>
  <c r="HN478" i="5"/>
  <c r="HN480" i="5" s="1"/>
  <c r="JG477" i="5"/>
  <c r="JG329" i="5"/>
  <c r="HN330" i="5"/>
  <c r="HN332" i="5" s="1"/>
  <c r="EZ82" i="5"/>
  <c r="FE82" i="5"/>
  <c r="EZ563" i="5"/>
  <c r="FE563" i="5"/>
  <c r="EZ95" i="5"/>
  <c r="FE95" i="5"/>
  <c r="IB392" i="5"/>
  <c r="FE160" i="5"/>
  <c r="EZ160" i="5"/>
  <c r="EZ578" i="5"/>
  <c r="FE578" i="5"/>
  <c r="HN740" i="5"/>
  <c r="HN742" i="5" s="1"/>
  <c r="JG739" i="5"/>
  <c r="EZ608" i="5"/>
  <c r="FE608" i="5"/>
  <c r="JG183" i="5"/>
  <c r="HN184" i="5"/>
  <c r="HN186" i="5" s="1"/>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M272" i="19"/>
  <c r="L272" i="19"/>
  <c r="I272" i="19"/>
  <c r="EZ701" i="5" l="1"/>
  <c r="DX701" i="5" s="1"/>
  <c r="DZ701" i="5" s="1"/>
  <c r="HU257" i="5"/>
  <c r="HU259" i="5" s="1"/>
  <c r="AM59" i="5"/>
  <c r="FV59" i="5"/>
  <c r="FE515" i="5"/>
  <c r="JG379" i="5"/>
  <c r="EZ432" i="5"/>
  <c r="FE256" i="5"/>
  <c r="HN257" i="5" s="1"/>
  <c r="HN259" i="5" s="1"/>
  <c r="EZ525" i="5"/>
  <c r="DX525" i="5" s="1"/>
  <c r="DY525" i="5" s="1"/>
  <c r="FE711" i="5"/>
  <c r="HN712" i="5" s="1"/>
  <c r="HN714" i="5" s="1"/>
  <c r="HU307" i="5"/>
  <c r="HU309" i="5" s="1"/>
  <c r="JG754" i="5"/>
  <c r="HU330" i="5"/>
  <c r="HU332" i="5" s="1"/>
  <c r="HU184" i="5"/>
  <c r="HU186" i="5" s="1"/>
  <c r="FE135" i="5"/>
  <c r="HN136" i="5" s="1"/>
  <c r="HN138" i="5" s="1"/>
  <c r="HU136" i="5"/>
  <c r="HU138" i="5" s="1"/>
  <c r="HU317" i="5"/>
  <c r="HU319" i="5" s="1"/>
  <c r="HU156" i="5"/>
  <c r="HU158" i="5" s="1"/>
  <c r="DY336" i="5"/>
  <c r="HN317" i="5"/>
  <c r="HN319" i="5" s="1"/>
  <c r="HU370" i="5"/>
  <c r="HU372" i="5" s="1"/>
  <c r="HU531" i="5"/>
  <c r="HU533" i="5" s="1"/>
  <c r="DX495" i="5"/>
  <c r="DY497" i="5" s="1"/>
  <c r="FE495" i="5"/>
  <c r="HN496" i="5" s="1"/>
  <c r="HN498" i="5" s="1"/>
  <c r="HU697" i="5"/>
  <c r="HU699" i="5" s="1"/>
  <c r="FE696" i="5"/>
  <c r="HN697" i="5" s="1"/>
  <c r="HN699" i="5" s="1"/>
  <c r="FE301" i="5"/>
  <c r="JG301" i="5" s="1"/>
  <c r="HU702" i="5"/>
  <c r="HU704" i="5" s="1"/>
  <c r="FE628" i="5"/>
  <c r="JG628" i="5" s="1"/>
  <c r="HU629" i="5"/>
  <c r="HU631" i="5" s="1"/>
  <c r="DY334" i="5"/>
  <c r="JG666" i="5"/>
  <c r="FE500" i="5"/>
  <c r="HN501" i="5" s="1"/>
  <c r="HN503" i="5" s="1"/>
  <c r="HU478" i="5"/>
  <c r="HU480" i="5" s="1"/>
  <c r="AQ72" i="33"/>
  <c r="FE369" i="5"/>
  <c r="JG369" i="5" s="1"/>
  <c r="EZ706" i="5"/>
  <c r="FE706" i="5"/>
  <c r="FE57" i="5"/>
  <c r="HN58" i="5" s="1"/>
  <c r="HN60" i="5" s="1"/>
  <c r="EY57" i="5"/>
  <c r="HO58" i="5" s="1"/>
  <c r="HO60" i="5" s="1"/>
  <c r="HN574" i="5"/>
  <c r="HN576" i="5" s="1"/>
  <c r="HN546" i="5"/>
  <c r="HN548" i="5" s="1"/>
  <c r="DY371" i="5"/>
  <c r="EZ208" i="5"/>
  <c r="DX208" i="5" s="1"/>
  <c r="DY210" i="5" s="1"/>
  <c r="JG437" i="5"/>
  <c r="HU463" i="5"/>
  <c r="HU465" i="5" s="1"/>
  <c r="HU672" i="5"/>
  <c r="HU674" i="5" s="1"/>
  <c r="HU687" i="5"/>
  <c r="HU689" i="5" s="1"/>
  <c r="JG334" i="5"/>
  <c r="HU740" i="5"/>
  <c r="HU742" i="5" s="1"/>
  <c r="EZ759" i="5"/>
  <c r="DX759" i="5" s="1"/>
  <c r="DY759" i="5" s="1"/>
  <c r="AN22" i="33"/>
  <c r="AQ57" i="33"/>
  <c r="AQ43" i="33"/>
  <c r="AQ58" i="33"/>
  <c r="AQ71" i="33"/>
  <c r="AQ55" i="33"/>
  <c r="AQ69" i="33"/>
  <c r="AQ54" i="33"/>
  <c r="AQ56" i="33"/>
  <c r="AQ70" i="33"/>
  <c r="EZ593" i="5"/>
  <c r="FE593" i="5"/>
  <c r="JG291" i="5"/>
  <c r="DY789" i="5"/>
  <c r="EZ437" i="5"/>
  <c r="HU438" i="5" s="1"/>
  <c r="HU440" i="5" s="1"/>
  <c r="DY522" i="5"/>
  <c r="DZ520" i="5"/>
  <c r="E91" i="10"/>
  <c r="E96" i="10" s="1"/>
  <c r="D96" i="10"/>
  <c r="JG540" i="5"/>
  <c r="FE764" i="5"/>
  <c r="HN765" i="5" s="1"/>
  <c r="HN767" i="5" s="1"/>
  <c r="DY329" i="5"/>
  <c r="DY331" i="5"/>
  <c r="JG719" i="5"/>
  <c r="HU604" i="5"/>
  <c r="HU606" i="5" s="1"/>
  <c r="HU272" i="5"/>
  <c r="HU274" i="5" s="1"/>
  <c r="HU546" i="5"/>
  <c r="HU548" i="5" s="1"/>
  <c r="DY291" i="5"/>
  <c r="DZ754" i="5"/>
  <c r="FE530" i="5"/>
  <c r="JG530" i="5" s="1"/>
  <c r="FE306" i="5"/>
  <c r="FE603" i="5"/>
  <c r="FE671" i="5"/>
  <c r="HU614" i="5"/>
  <c r="HU616" i="5" s="1"/>
  <c r="FE271" i="5"/>
  <c r="EZ505" i="5"/>
  <c r="FE505" i="5"/>
  <c r="FE656" i="5"/>
  <c r="JG656" i="5" s="1"/>
  <c r="DY721" i="5"/>
  <c r="DZ628" i="5"/>
  <c r="EZ57" i="5"/>
  <c r="DX57" i="5" s="1"/>
  <c r="DZ57" i="5" s="1"/>
  <c r="DZ696" i="5"/>
  <c r="FE774" i="5"/>
  <c r="HN775" i="5" s="1"/>
  <c r="HN777" i="5" s="1"/>
  <c r="JG520" i="5"/>
  <c r="FE203" i="5"/>
  <c r="HN204" i="5" s="1"/>
  <c r="HN206" i="5" s="1"/>
  <c r="DY688" i="5"/>
  <c r="DZ686" i="5"/>
  <c r="DX243" i="5"/>
  <c r="DY245" i="5" s="1"/>
  <c r="FE686" i="5"/>
  <c r="HN687" i="5" s="1"/>
  <c r="HN689" i="5" s="1"/>
  <c r="FE613" i="5"/>
  <c r="EZ734" i="5"/>
  <c r="DX734" i="5" s="1"/>
  <c r="DY545" i="5"/>
  <c r="DY273" i="5"/>
  <c r="HU556" i="5"/>
  <c r="HU558" i="5" s="1"/>
  <c r="DY547" i="5"/>
  <c r="FE407" i="5"/>
  <c r="JG407" i="5" s="1"/>
  <c r="FE729" i="5"/>
  <c r="JG729" i="5" s="1"/>
  <c r="DY157" i="5"/>
  <c r="EZ399" i="5"/>
  <c r="DX399" i="5" s="1"/>
  <c r="DY401" i="5" s="1"/>
  <c r="AM316" i="5"/>
  <c r="FV316" i="5"/>
  <c r="FW316" i="5" s="1"/>
  <c r="FX316" i="5" s="1"/>
  <c r="EZ583" i="5"/>
  <c r="FE583" i="5"/>
  <c r="FE394" i="5"/>
  <c r="EZ394" i="5"/>
  <c r="AM754" i="5"/>
  <c r="FV754" i="5"/>
  <c r="FW754" i="5" s="1"/>
  <c r="FX754" i="5" s="1"/>
  <c r="EZ384" i="5"/>
  <c r="FE384" i="5"/>
  <c r="DY557" i="5"/>
  <c r="DZ555" i="5"/>
  <c r="DY555" i="5"/>
  <c r="DZ379" i="5"/>
  <c r="HN780" i="5"/>
  <c r="HN782" i="5" s="1"/>
  <c r="EZ427" i="5"/>
  <c r="DX427" i="5" s="1"/>
  <c r="DY701" i="5"/>
  <c r="DZ218" i="5"/>
  <c r="DY703" i="5"/>
  <c r="DY686" i="5"/>
  <c r="DY308" i="5"/>
  <c r="FE198" i="5"/>
  <c r="JG198" i="5" s="1"/>
  <c r="F92" i="10"/>
  <c r="R92" i="10" s="1"/>
  <c r="EY47" i="5"/>
  <c r="HO48" i="5" s="1"/>
  <c r="HO50" i="5" s="1"/>
  <c r="FV54" i="5"/>
  <c r="AM54" i="5"/>
  <c r="DY542" i="5"/>
  <c r="DX452" i="5"/>
  <c r="DY454" i="5" s="1"/>
  <c r="FE47" i="5"/>
  <c r="HN48" i="5" s="1"/>
  <c r="HN50" i="5" s="1"/>
  <c r="DZ316" i="5"/>
  <c r="DY630" i="5"/>
  <c r="DY318" i="5"/>
  <c r="DY369" i="5"/>
  <c r="DZ719" i="5"/>
  <c r="EZ784" i="5"/>
  <c r="FE784" i="5"/>
  <c r="DZ291" i="5"/>
  <c r="DZ329" i="5"/>
  <c r="DY220" i="5"/>
  <c r="DY271" i="5"/>
  <c r="AM545" i="5"/>
  <c r="FV545" i="5"/>
  <c r="FW545" i="5" s="1"/>
  <c r="FX545" i="5" s="1"/>
  <c r="DZ603" i="5"/>
  <c r="DZ135" i="5"/>
  <c r="DY754" i="5"/>
  <c r="DY605" i="5"/>
  <c r="EZ115" i="5"/>
  <c r="DX115" i="5" s="1"/>
  <c r="DY137" i="5"/>
  <c r="FE510" i="5"/>
  <c r="EZ510" i="5"/>
  <c r="DZ671" i="5"/>
  <c r="FE676" i="5"/>
  <c r="JG676" i="5" s="1"/>
  <c r="FE354" i="5"/>
  <c r="EZ354" i="5"/>
  <c r="FE588" i="5"/>
  <c r="EZ588" i="5"/>
  <c r="DY575" i="5"/>
  <c r="FE462" i="5"/>
  <c r="DY573" i="5"/>
  <c r="DY462" i="5"/>
  <c r="DY379" i="5"/>
  <c r="DY540" i="5"/>
  <c r="DZ462" i="5"/>
  <c r="DY698" i="5"/>
  <c r="DZ306" i="5"/>
  <c r="DY671" i="5"/>
  <c r="FE145" i="5"/>
  <c r="HN146" i="5" s="1"/>
  <c r="HN148" i="5" s="1"/>
  <c r="FE213" i="5"/>
  <c r="HN214" i="5" s="1"/>
  <c r="HN216" i="5" s="1"/>
  <c r="EZ188" i="5"/>
  <c r="FE188" i="5"/>
  <c r="EZ178" i="5"/>
  <c r="FE178" i="5"/>
  <c r="HN78" i="5"/>
  <c r="HN80" i="5" s="1"/>
  <c r="DY256" i="5"/>
  <c r="FE349" i="5"/>
  <c r="HN350" i="5" s="1"/>
  <c r="HN352" i="5" s="1"/>
  <c r="DY530" i="5"/>
  <c r="DZ261" i="5"/>
  <c r="DZ183" i="5"/>
  <c r="EZ266" i="5"/>
  <c r="FE266" i="5"/>
  <c r="DY779" i="5"/>
  <c r="DY532" i="5"/>
  <c r="DY263" i="5"/>
  <c r="DY183" i="5"/>
  <c r="AM266" i="5"/>
  <c r="FV266" i="5"/>
  <c r="FW266" i="5" s="1"/>
  <c r="FX266" i="5" s="1"/>
  <c r="DZ779" i="5"/>
  <c r="DY666" i="5"/>
  <c r="FE452" i="5"/>
  <c r="DZ666" i="5"/>
  <c r="DY258" i="5"/>
  <c r="EZ681" i="5"/>
  <c r="FE681" i="5"/>
  <c r="AM681" i="5"/>
  <c r="FV681" i="5"/>
  <c r="FW681" i="5" s="1"/>
  <c r="FX681" i="5" s="1"/>
  <c r="DY477" i="5"/>
  <c r="DY155" i="5"/>
  <c r="DY739" i="5"/>
  <c r="DZ613" i="5"/>
  <c r="DY479" i="5"/>
  <c r="DZ739" i="5"/>
  <c r="DY613" i="5"/>
  <c r="DY79" i="5"/>
  <c r="DY77" i="5"/>
  <c r="FE193" i="5"/>
  <c r="HN194" i="5" s="1"/>
  <c r="HN196" i="5" s="1"/>
  <c r="DX193" i="5"/>
  <c r="DY195" i="5" s="1"/>
  <c r="HU194" i="5"/>
  <c r="HU196" i="5" s="1"/>
  <c r="DX764" i="5"/>
  <c r="DY766" i="5" s="1"/>
  <c r="HU765" i="5"/>
  <c r="HU767" i="5" s="1"/>
  <c r="DX676" i="5"/>
  <c r="DY678" i="5" s="1"/>
  <c r="HU677" i="5"/>
  <c r="HU679" i="5" s="1"/>
  <c r="DX233" i="5"/>
  <c r="DY233" i="5" s="1"/>
  <c r="HU234" i="5"/>
  <c r="HU236" i="5" s="1"/>
  <c r="EZ276" i="5"/>
  <c r="FE276" i="5"/>
  <c r="EZ140" i="5"/>
  <c r="FE140" i="5"/>
  <c r="EZ661" i="5"/>
  <c r="FE661" i="5"/>
  <c r="EZ251" i="5"/>
  <c r="FE251" i="5"/>
  <c r="AM641" i="5"/>
  <c r="FV641" i="5"/>
  <c r="FW641" i="5" s="1"/>
  <c r="FX641" i="5" s="1"/>
  <c r="EZ165" i="5"/>
  <c r="FE165" i="5"/>
  <c r="FV364" i="5"/>
  <c r="FW364" i="5" s="1"/>
  <c r="FX364" i="5" s="1"/>
  <c r="AM364" i="5"/>
  <c r="EZ228" i="5"/>
  <c r="FE228" i="5"/>
  <c r="EZ618" i="5"/>
  <c r="FE618" i="5"/>
  <c r="DX203" i="5"/>
  <c r="DY205" i="5" s="1"/>
  <c r="HU204" i="5"/>
  <c r="HU206" i="5" s="1"/>
  <c r="DX515" i="5"/>
  <c r="DY517" i="5" s="1"/>
  <c r="HU516" i="5"/>
  <c r="HU518" i="5" s="1"/>
  <c r="DX407" i="5"/>
  <c r="DY407" i="5" s="1"/>
  <c r="HU408" i="5"/>
  <c r="HU410" i="5" s="1"/>
  <c r="DX412" i="5"/>
  <c r="DZ412" i="5" s="1"/>
  <c r="HU413" i="5"/>
  <c r="HU415" i="5" s="1"/>
  <c r="DX656" i="5"/>
  <c r="DZ656" i="5" s="1"/>
  <c r="HU657" i="5"/>
  <c r="HU659" i="5" s="1"/>
  <c r="DX500" i="5"/>
  <c r="DY500" i="5" s="1"/>
  <c r="HU501" i="5"/>
  <c r="HU503" i="5" s="1"/>
  <c r="DX145" i="5"/>
  <c r="HU146" i="5"/>
  <c r="HU148" i="5" s="1"/>
  <c r="EZ223" i="5"/>
  <c r="FE223" i="5"/>
  <c r="FV140" i="5"/>
  <c r="FW140" i="5" s="1"/>
  <c r="FX140" i="5" s="1"/>
  <c r="AM140" i="5"/>
  <c r="EZ344" i="5"/>
  <c r="FE344" i="5"/>
  <c r="FV251" i="5"/>
  <c r="FW251" i="5" s="1"/>
  <c r="FX251" i="5" s="1"/>
  <c r="AM251" i="5"/>
  <c r="FV296" i="5"/>
  <c r="FW296" i="5" s="1"/>
  <c r="FX296" i="5" s="1"/>
  <c r="AM296" i="5"/>
  <c r="AM359" i="5"/>
  <c r="FV359" i="5"/>
  <c r="FW359" i="5" s="1"/>
  <c r="FX359" i="5" s="1"/>
  <c r="FE633" i="5"/>
  <c r="EZ633" i="5"/>
  <c r="EZ339" i="5"/>
  <c r="FE339" i="5"/>
  <c r="EZ724" i="5"/>
  <c r="FE724" i="5"/>
  <c r="EZ568" i="5"/>
  <c r="FE568" i="5"/>
  <c r="EZ87" i="5"/>
  <c r="FE87" i="5"/>
  <c r="FE100" i="5"/>
  <c r="EZ100" i="5"/>
  <c r="EZ130" i="5"/>
  <c r="FE130" i="5"/>
  <c r="AM228" i="5"/>
  <c r="FV228" i="5"/>
  <c r="FW228" i="5" s="1"/>
  <c r="FX228" i="5" s="1"/>
  <c r="AM618" i="5"/>
  <c r="FV618" i="5"/>
  <c r="FW618" i="5" s="1"/>
  <c r="FX618" i="5" s="1"/>
  <c r="DX374" i="5"/>
  <c r="DZ374" i="5" s="1"/>
  <c r="HU375" i="5"/>
  <c r="HU377" i="5" s="1"/>
  <c r="FV223" i="5"/>
  <c r="FW223" i="5" s="1"/>
  <c r="FX223" i="5" s="1"/>
  <c r="AM223" i="5"/>
  <c r="EZ485" i="5"/>
  <c r="FE485" i="5"/>
  <c r="EZ490" i="5"/>
  <c r="FE490" i="5"/>
  <c r="FV608" i="5"/>
  <c r="FW608" i="5" s="1"/>
  <c r="FX608" i="5" s="1"/>
  <c r="AM608" i="5"/>
  <c r="EZ749" i="5"/>
  <c r="FE749" i="5"/>
  <c r="FV724" i="5"/>
  <c r="FW724" i="5" s="1"/>
  <c r="FX724" i="5" s="1"/>
  <c r="AM724" i="5"/>
  <c r="AM568" i="5"/>
  <c r="FV568" i="5"/>
  <c r="FW568" i="5" s="1"/>
  <c r="FX568" i="5" s="1"/>
  <c r="AM165" i="5"/>
  <c r="FV165" i="5"/>
  <c r="FW165" i="5" s="1"/>
  <c r="FX165" i="5" s="1"/>
  <c r="AM87" i="5"/>
  <c r="FV87" i="5"/>
  <c r="FW87" i="5" s="1"/>
  <c r="FX87" i="5" s="1"/>
  <c r="EZ422" i="5"/>
  <c r="FE422" i="5"/>
  <c r="EZ550" i="5"/>
  <c r="FE550" i="5"/>
  <c r="DX349" i="5"/>
  <c r="DZ349" i="5" s="1"/>
  <c r="HU350" i="5"/>
  <c r="HU352" i="5" s="1"/>
  <c r="DX774" i="5"/>
  <c r="DZ774" i="5" s="1"/>
  <c r="HU775" i="5"/>
  <c r="HU777" i="5" s="1"/>
  <c r="FV485" i="5"/>
  <c r="FW485" i="5" s="1"/>
  <c r="FX485" i="5" s="1"/>
  <c r="AM485" i="5"/>
  <c r="EZ238" i="5"/>
  <c r="FE238" i="5"/>
  <c r="EZ281" i="5"/>
  <c r="FE281" i="5"/>
  <c r="FE321" i="5"/>
  <c r="EZ321" i="5"/>
  <c r="EZ623" i="5"/>
  <c r="FE623" i="5"/>
  <c r="EZ447" i="5"/>
  <c r="FE447" i="5"/>
  <c r="FV339" i="5"/>
  <c r="FW339" i="5" s="1"/>
  <c r="FX339" i="5" s="1"/>
  <c r="AM339" i="5"/>
  <c r="AM422" i="5"/>
  <c r="FV422" i="5"/>
  <c r="FW422" i="5" s="1"/>
  <c r="FX422" i="5" s="1"/>
  <c r="FV100" i="5"/>
  <c r="FW100" i="5" s="1"/>
  <c r="FX100" i="5" s="1"/>
  <c r="AM100" i="5"/>
  <c r="DX608" i="5"/>
  <c r="DY610" i="5" s="1"/>
  <c r="HU609" i="5"/>
  <c r="HU611" i="5" s="1"/>
  <c r="DX578" i="5"/>
  <c r="DZ578" i="5" s="1"/>
  <c r="HU579" i="5"/>
  <c r="HU581" i="5" s="1"/>
  <c r="DX160" i="5"/>
  <c r="DY162" i="5" s="1"/>
  <c r="HU161" i="5"/>
  <c r="HU163" i="5" s="1"/>
  <c r="DX95" i="5"/>
  <c r="DY97" i="5" s="1"/>
  <c r="HU96" i="5"/>
  <c r="HU98" i="5" s="1"/>
  <c r="DX563" i="5"/>
  <c r="DY565" i="5" s="1"/>
  <c r="HU564" i="5"/>
  <c r="HU566" i="5" s="1"/>
  <c r="DX432" i="5"/>
  <c r="DY434" i="5" s="1"/>
  <c r="HU433" i="5"/>
  <c r="HU435" i="5" s="1"/>
  <c r="EZ535" i="5"/>
  <c r="FE535" i="5"/>
  <c r="FE286" i="5"/>
  <c r="EZ286" i="5"/>
  <c r="FV238" i="5"/>
  <c r="FW238" i="5" s="1"/>
  <c r="FX238" i="5" s="1"/>
  <c r="AM238" i="5"/>
  <c r="FV281" i="5"/>
  <c r="FW281" i="5" s="1"/>
  <c r="FX281" i="5" s="1"/>
  <c r="AM281" i="5"/>
  <c r="FE52" i="5"/>
  <c r="EZ52" i="5"/>
  <c r="FV623" i="5"/>
  <c r="FW623" i="5" s="1"/>
  <c r="FX623" i="5" s="1"/>
  <c r="AM623" i="5"/>
  <c r="AM447" i="5"/>
  <c r="FV447" i="5"/>
  <c r="FW447" i="5" s="1"/>
  <c r="FX447" i="5" s="1"/>
  <c r="EZ389" i="5"/>
  <c r="FE389" i="5"/>
  <c r="FV233" i="5"/>
  <c r="FW233" i="5" s="1"/>
  <c r="FX233" i="5" s="1"/>
  <c r="AM233" i="5"/>
  <c r="DX769" i="5"/>
  <c r="DY769" i="5" s="1"/>
  <c r="HU770" i="5"/>
  <c r="HU772" i="5" s="1"/>
  <c r="AM535" i="5"/>
  <c r="FV535" i="5"/>
  <c r="FW535" i="5" s="1"/>
  <c r="FX535" i="5" s="1"/>
  <c r="EZ646" i="5"/>
  <c r="FE646" i="5"/>
  <c r="EZ467" i="5"/>
  <c r="FE467" i="5"/>
  <c r="DX198" i="5"/>
  <c r="HU199" i="5"/>
  <c r="HU201" i="5" s="1"/>
  <c r="EZ120" i="5"/>
  <c r="FE120" i="5"/>
  <c r="FE105" i="5"/>
  <c r="EZ105" i="5"/>
  <c r="EZ651" i="5"/>
  <c r="FE651" i="5"/>
  <c r="DX729" i="5"/>
  <c r="DY731" i="5" s="1"/>
  <c r="HU730" i="5"/>
  <c r="HU732" i="5" s="1"/>
  <c r="DX472" i="5"/>
  <c r="DY472" i="5" s="1"/>
  <c r="HU473" i="5"/>
  <c r="HU475" i="5" s="1"/>
  <c r="DX744" i="5"/>
  <c r="DY746" i="5" s="1"/>
  <c r="HU745" i="5"/>
  <c r="HU747" i="5" s="1"/>
  <c r="EZ67" i="5"/>
  <c r="FE67" i="5"/>
  <c r="FE125" i="5"/>
  <c r="EZ125" i="5"/>
  <c r="AM276" i="5"/>
  <c r="FV276" i="5"/>
  <c r="FW276" i="5" s="1"/>
  <c r="FX276" i="5" s="1"/>
  <c r="EZ417" i="5"/>
  <c r="FE417" i="5"/>
  <c r="FV467" i="5"/>
  <c r="FW467" i="5" s="1"/>
  <c r="FX467" i="5" s="1"/>
  <c r="AM467" i="5"/>
  <c r="AM120" i="5"/>
  <c r="FV120" i="5"/>
  <c r="FW120" i="5" s="1"/>
  <c r="FX120" i="5" s="1"/>
  <c r="FE598" i="5"/>
  <c r="EZ598" i="5"/>
  <c r="FV651" i="5"/>
  <c r="FW651" i="5" s="1"/>
  <c r="FX651" i="5" s="1"/>
  <c r="AM651" i="5"/>
  <c r="FE72" i="5"/>
  <c r="EZ72" i="5"/>
  <c r="EZ457" i="5"/>
  <c r="FE457" i="5"/>
  <c r="EZ311" i="5"/>
  <c r="FE311" i="5"/>
  <c r="FE173" i="5"/>
  <c r="EZ173" i="5"/>
  <c r="FV769" i="5"/>
  <c r="FW769" i="5" s="1"/>
  <c r="FX769" i="5" s="1"/>
  <c r="AM769" i="5"/>
  <c r="DX47" i="5"/>
  <c r="DY47" i="5" s="1"/>
  <c r="HU48" i="5"/>
  <c r="HU50" i="5" s="1"/>
  <c r="DX82" i="5"/>
  <c r="DZ82" i="5" s="1"/>
  <c r="HU83" i="5"/>
  <c r="HU85" i="5" s="1"/>
  <c r="DX711" i="5"/>
  <c r="DY713" i="5" s="1"/>
  <c r="HU712" i="5"/>
  <c r="HU714" i="5" s="1"/>
  <c r="DX213" i="5"/>
  <c r="DY213" i="5" s="1"/>
  <c r="HU214" i="5"/>
  <c r="HU216" i="5" s="1"/>
  <c r="DX301" i="5"/>
  <c r="DY301" i="5" s="1"/>
  <c r="HU302" i="5"/>
  <c r="HU304" i="5" s="1"/>
  <c r="EZ442" i="5"/>
  <c r="FE442" i="5"/>
  <c r="AM67" i="5"/>
  <c r="FV67" i="5"/>
  <c r="FW67" i="5" s="1"/>
  <c r="FX67" i="5" s="1"/>
  <c r="EZ62" i="5"/>
  <c r="FE62" i="5"/>
  <c r="EZ150" i="5"/>
  <c r="FE150" i="5"/>
  <c r="FV417" i="5"/>
  <c r="FW417" i="5" s="1"/>
  <c r="FX417" i="5" s="1"/>
  <c r="AM417" i="5"/>
  <c r="EZ641" i="5"/>
  <c r="FE641" i="5"/>
  <c r="EZ296" i="5"/>
  <c r="FE296" i="5"/>
  <c r="EZ359" i="5"/>
  <c r="FE359" i="5"/>
  <c r="EZ691" i="5"/>
  <c r="FE691" i="5"/>
  <c r="EZ110" i="5"/>
  <c r="FE110" i="5"/>
  <c r="FE364" i="5"/>
  <c r="EZ364" i="5"/>
  <c r="AM173" i="5"/>
  <c r="FV173" i="5"/>
  <c r="FW173" i="5" s="1"/>
  <c r="FX173" i="5" s="1"/>
  <c r="Y40" i="33"/>
  <c r="P22" i="33" s="1"/>
  <c r="IB450" i="5"/>
  <c r="ID450" i="5" s="1"/>
  <c r="B447" i="5" s="1"/>
  <c r="AM791" i="5"/>
  <c r="FV791" i="5"/>
  <c r="IB319" i="5"/>
  <c r="IB316" i="5" s="1"/>
  <c r="JG115" i="5"/>
  <c r="HN116" i="5"/>
  <c r="HN118" i="5" s="1"/>
  <c r="HN400" i="5"/>
  <c r="HN402" i="5" s="1"/>
  <c r="JG399" i="5"/>
  <c r="IB440" i="5"/>
  <c r="HN161" i="5"/>
  <c r="HN163" i="5" s="1"/>
  <c r="JG160" i="5"/>
  <c r="IB709" i="5"/>
  <c r="IB216" i="5"/>
  <c r="IB372" i="5"/>
  <c r="JG608" i="5"/>
  <c r="HN609" i="5"/>
  <c r="HN611" i="5" s="1"/>
  <c r="IB158" i="5"/>
  <c r="HN579" i="5"/>
  <c r="HN581" i="5" s="1"/>
  <c r="JG578" i="5"/>
  <c r="IB523" i="5"/>
  <c r="IB727" i="5"/>
  <c r="HN96" i="5"/>
  <c r="HN98" i="5" s="1"/>
  <c r="JG95" i="5"/>
  <c r="JG82" i="5"/>
  <c r="HN83" i="5"/>
  <c r="HN85" i="5" s="1"/>
  <c r="IB777" i="5"/>
  <c r="IB664" i="5"/>
  <c r="IB767" i="5"/>
  <c r="HN209" i="5"/>
  <c r="HN211" i="5" s="1"/>
  <c r="JG208" i="5"/>
  <c r="IB309" i="5"/>
  <c r="ID392" i="5"/>
  <c r="B389" i="5" s="1"/>
  <c r="ID390" i="5"/>
  <c r="IB389" i="5"/>
  <c r="HN473" i="5"/>
  <c r="HN475" i="5" s="1"/>
  <c r="JG472" i="5"/>
  <c r="JG57" i="5"/>
  <c r="IB148" i="5"/>
  <c r="HN375" i="5"/>
  <c r="HN377" i="5" s="1"/>
  <c r="JG374" i="5"/>
  <c r="HN770" i="5"/>
  <c r="HN772" i="5" s="1"/>
  <c r="JG769" i="5"/>
  <c r="IB314" i="5"/>
  <c r="JG525" i="5"/>
  <c r="HN526" i="5"/>
  <c r="HN528" i="5" s="1"/>
  <c r="JG427" i="5"/>
  <c r="HN428" i="5"/>
  <c r="HN430" i="5" s="1"/>
  <c r="IB699" i="5"/>
  <c r="IB382" i="5"/>
  <c r="HN516" i="5"/>
  <c r="HN518" i="5" s="1"/>
  <c r="JG515" i="5"/>
  <c r="HN564" i="5"/>
  <c r="HN566" i="5" s="1"/>
  <c r="JG563" i="5"/>
  <c r="JG759" i="5"/>
  <c r="HN760" i="5"/>
  <c r="HN762" i="5" s="1"/>
  <c r="JG734" i="5"/>
  <c r="HN735" i="5"/>
  <c r="HN737" i="5" s="1"/>
  <c r="JG432" i="5"/>
  <c r="HN433" i="5"/>
  <c r="HN435" i="5" s="1"/>
  <c r="IB420" i="5"/>
  <c r="IB480" i="5"/>
  <c r="IB747" i="5"/>
  <c r="IB644" i="5"/>
  <c r="IB576" i="5"/>
  <c r="IB206" i="5"/>
  <c r="IB465" i="5"/>
  <c r="IB684" i="5"/>
  <c r="IB128" i="5"/>
  <c r="IB221" i="5"/>
  <c r="HN745" i="5"/>
  <c r="HN747" i="5" s="1"/>
  <c r="JG744" i="5"/>
  <c r="HN413" i="5"/>
  <c r="HN415" i="5" s="1"/>
  <c r="JG412" i="5"/>
  <c r="HN234" i="5"/>
  <c r="HN236" i="5" s="1"/>
  <c r="JG233" i="5"/>
  <c r="IB98" i="5"/>
  <c r="F91" i="10"/>
  <c r="R91" i="10" s="1"/>
  <c r="BV37" i="22"/>
  <c r="H34" i="11"/>
  <c r="J32" i="20" s="1"/>
  <c r="J32" i="21" s="1"/>
  <c r="D10" i="19"/>
  <c r="BS36" i="22"/>
  <c r="HU526" i="5" l="1"/>
  <c r="HU528" i="5" s="1"/>
  <c r="FW59" i="5"/>
  <c r="FX59" i="5" s="1"/>
  <c r="D353" i="19"/>
  <c r="JG711" i="5"/>
  <c r="JG256" i="5"/>
  <c r="HN629" i="5"/>
  <c r="HN631" i="5" s="1"/>
  <c r="JG500" i="5"/>
  <c r="DY495" i="5"/>
  <c r="JG135" i="5"/>
  <c r="DZ495" i="5"/>
  <c r="JG696" i="5"/>
  <c r="HU116" i="5"/>
  <c r="HU118" i="5" s="1"/>
  <c r="HU209" i="5"/>
  <c r="HU211" i="5" s="1"/>
  <c r="JG495" i="5"/>
  <c r="HN370" i="5"/>
  <c r="HN372" i="5" s="1"/>
  <c r="HN302" i="5"/>
  <c r="HN304" i="5" s="1"/>
  <c r="HU400" i="5"/>
  <c r="HU402" i="5" s="1"/>
  <c r="DX437" i="5"/>
  <c r="DY437" i="5" s="1"/>
  <c r="R96" i="10"/>
  <c r="JG706" i="5"/>
  <c r="HN707" i="5"/>
  <c r="HN709" i="5" s="1"/>
  <c r="DX706" i="5"/>
  <c r="HU707" i="5"/>
  <c r="HU709" i="5" s="1"/>
  <c r="HU760" i="5"/>
  <c r="HU762" i="5" s="1"/>
  <c r="HU58" i="5"/>
  <c r="HU60" i="5" s="1"/>
  <c r="JG193" i="5"/>
  <c r="AQ73" i="33"/>
  <c r="F96" i="10"/>
  <c r="HN594" i="5"/>
  <c r="HN596" i="5" s="1"/>
  <c r="JG593" i="5"/>
  <c r="DX593" i="5"/>
  <c r="HU594" i="5"/>
  <c r="HU596" i="5" s="1"/>
  <c r="HN677" i="5"/>
  <c r="HN679" i="5" s="1"/>
  <c r="JG764" i="5"/>
  <c r="DY412" i="5"/>
  <c r="DZ472" i="5"/>
  <c r="DZ243" i="5"/>
  <c r="HN531" i="5"/>
  <c r="HN533" i="5" s="1"/>
  <c r="DY203" i="5"/>
  <c r="DY658" i="5"/>
  <c r="JG203" i="5"/>
  <c r="JG774" i="5"/>
  <c r="JG306" i="5"/>
  <c r="HN307" i="5"/>
  <c r="HN309" i="5" s="1"/>
  <c r="JG603" i="5"/>
  <c r="HN604" i="5"/>
  <c r="HN606" i="5" s="1"/>
  <c r="DY734" i="5"/>
  <c r="DZ734" i="5"/>
  <c r="HU735" i="5"/>
  <c r="HU737" i="5" s="1"/>
  <c r="DZ515" i="5"/>
  <c r="DY515" i="5"/>
  <c r="DY774" i="5"/>
  <c r="DZ160" i="5"/>
  <c r="DY776" i="5"/>
  <c r="DZ500" i="5"/>
  <c r="DY160" i="5"/>
  <c r="DY432" i="5"/>
  <c r="DY502" i="5"/>
  <c r="DZ432" i="5"/>
  <c r="HN657" i="5"/>
  <c r="HN659" i="5" s="1"/>
  <c r="HN730" i="5"/>
  <c r="HN732" i="5" s="1"/>
  <c r="HN672" i="5"/>
  <c r="HN674" i="5" s="1"/>
  <c r="JG671" i="5"/>
  <c r="HN506" i="5"/>
  <c r="HN508" i="5" s="1"/>
  <c r="JG505" i="5"/>
  <c r="DX505" i="5"/>
  <c r="HU506" i="5"/>
  <c r="HU508" i="5" s="1"/>
  <c r="HN272" i="5"/>
  <c r="HN274" i="5" s="1"/>
  <c r="JG271" i="5"/>
  <c r="JG686" i="5"/>
  <c r="DY474" i="5"/>
  <c r="DY82" i="5"/>
  <c r="AP22" i="33"/>
  <c r="K22" i="33" s="1"/>
  <c r="DY57" i="5"/>
  <c r="DY761" i="5"/>
  <c r="DY736" i="5"/>
  <c r="DY656" i="5"/>
  <c r="DY59" i="5"/>
  <c r="DZ203" i="5"/>
  <c r="DZ759" i="5"/>
  <c r="DY578" i="5"/>
  <c r="DY243" i="5"/>
  <c r="DY580" i="5"/>
  <c r="DY711" i="5"/>
  <c r="DY771" i="5"/>
  <c r="DZ744" i="5"/>
  <c r="DY608" i="5"/>
  <c r="HN614" i="5"/>
  <c r="HN616" i="5" s="1"/>
  <c r="JG613" i="5"/>
  <c r="DZ563" i="5"/>
  <c r="DZ711" i="5"/>
  <c r="DY563" i="5"/>
  <c r="DY208" i="5"/>
  <c r="DZ676" i="5"/>
  <c r="DZ769" i="5"/>
  <c r="DZ208" i="5"/>
  <c r="DY414" i="5"/>
  <c r="DY744" i="5"/>
  <c r="DY427" i="5"/>
  <c r="DZ427" i="5"/>
  <c r="DY429" i="5"/>
  <c r="HN408" i="5"/>
  <c r="HN410" i="5" s="1"/>
  <c r="DY84" i="5"/>
  <c r="DZ399" i="5"/>
  <c r="JG213" i="5"/>
  <c r="DZ608" i="5"/>
  <c r="JG349" i="5"/>
  <c r="DY399" i="5"/>
  <c r="HU428" i="5"/>
  <c r="HU430" i="5" s="1"/>
  <c r="DY235" i="5"/>
  <c r="JG384" i="5"/>
  <c r="HN385" i="5"/>
  <c r="HN387" i="5" s="1"/>
  <c r="DX384" i="5"/>
  <c r="HU385" i="5"/>
  <c r="HU387" i="5" s="1"/>
  <c r="HU395" i="5"/>
  <c r="HU397" i="5" s="1"/>
  <c r="DX394" i="5"/>
  <c r="JG394" i="5"/>
  <c r="HN395" i="5"/>
  <c r="HN397" i="5" s="1"/>
  <c r="HN584" i="5"/>
  <c r="HN586" i="5" s="1"/>
  <c r="JG583" i="5"/>
  <c r="DX583" i="5"/>
  <c r="HU584" i="5"/>
  <c r="HU586" i="5" s="1"/>
  <c r="DY764" i="5"/>
  <c r="DZ764" i="5"/>
  <c r="DZ213" i="5"/>
  <c r="DY215" i="5"/>
  <c r="HN199" i="5"/>
  <c r="HN201" i="5" s="1"/>
  <c r="DZ233" i="5"/>
  <c r="JG47" i="5"/>
  <c r="FW54" i="5"/>
  <c r="FX54" i="5" s="1"/>
  <c r="DY676" i="5"/>
  <c r="JG145" i="5"/>
  <c r="DZ452" i="5"/>
  <c r="DY452" i="5"/>
  <c r="DY117" i="5"/>
  <c r="DY115" i="5"/>
  <c r="DZ115" i="5"/>
  <c r="DY376" i="5"/>
  <c r="HN785" i="5"/>
  <c r="HN787" i="5" s="1"/>
  <c r="JG784" i="5"/>
  <c r="DX784" i="5"/>
  <c r="HU785" i="5"/>
  <c r="HU787" i="5" s="1"/>
  <c r="DZ301" i="5"/>
  <c r="DY351" i="5"/>
  <c r="DZ407" i="5"/>
  <c r="JG510" i="5"/>
  <c r="HN511" i="5"/>
  <c r="HN513" i="5" s="1"/>
  <c r="DX588" i="5"/>
  <c r="HU589" i="5"/>
  <c r="HU591" i="5" s="1"/>
  <c r="JG588" i="5"/>
  <c r="HN589" i="5"/>
  <c r="HN591" i="5" s="1"/>
  <c r="DX354" i="5"/>
  <c r="HU355" i="5"/>
  <c r="HU357" i="5" s="1"/>
  <c r="HN355" i="5"/>
  <c r="HN357" i="5" s="1"/>
  <c r="JG354" i="5"/>
  <c r="DX510" i="5"/>
  <c r="HU511" i="5"/>
  <c r="HU513" i="5" s="1"/>
  <c r="DY409" i="5"/>
  <c r="DY303" i="5"/>
  <c r="DY374" i="5"/>
  <c r="DY349" i="5"/>
  <c r="DY95" i="5"/>
  <c r="DY49" i="5"/>
  <c r="DZ95" i="5"/>
  <c r="DY193" i="5"/>
  <c r="DZ193" i="5"/>
  <c r="DY729" i="5"/>
  <c r="DY527" i="5"/>
  <c r="HN463" i="5"/>
  <c r="HN465" i="5" s="1"/>
  <c r="JG462" i="5"/>
  <c r="DZ729" i="5"/>
  <c r="DZ525" i="5"/>
  <c r="HN189" i="5"/>
  <c r="HN191" i="5" s="1"/>
  <c r="JG188" i="5"/>
  <c r="HU189" i="5"/>
  <c r="HU191" i="5" s="1"/>
  <c r="DX188" i="5"/>
  <c r="JG452" i="5"/>
  <c r="HN453" i="5"/>
  <c r="HN455" i="5" s="1"/>
  <c r="HN682" i="5"/>
  <c r="HN684" i="5" s="1"/>
  <c r="JG681" i="5"/>
  <c r="DX681" i="5"/>
  <c r="HU682" i="5"/>
  <c r="HU684" i="5" s="1"/>
  <c r="HN267" i="5"/>
  <c r="HN269" i="5" s="1"/>
  <c r="JG266" i="5"/>
  <c r="HN179" i="5"/>
  <c r="HN181" i="5" s="1"/>
  <c r="JG178" i="5"/>
  <c r="DX266" i="5"/>
  <c r="HU267" i="5"/>
  <c r="HU269" i="5" s="1"/>
  <c r="DX178" i="5"/>
  <c r="HU179" i="5"/>
  <c r="HU181" i="5" s="1"/>
  <c r="JG110" i="5"/>
  <c r="HN111" i="5"/>
  <c r="HN113" i="5" s="1"/>
  <c r="JG641" i="5"/>
  <c r="HN642" i="5"/>
  <c r="HN644" i="5" s="1"/>
  <c r="HN418" i="5"/>
  <c r="HN420" i="5" s="1"/>
  <c r="JG417" i="5"/>
  <c r="DX105" i="5"/>
  <c r="HU106" i="5"/>
  <c r="HU108" i="5" s="1"/>
  <c r="HN647" i="5"/>
  <c r="HN649" i="5" s="1"/>
  <c r="JG646" i="5"/>
  <c r="HN282" i="5"/>
  <c r="HN284" i="5" s="1"/>
  <c r="JG281" i="5"/>
  <c r="JG422" i="5"/>
  <c r="HN423" i="5"/>
  <c r="HN425" i="5" s="1"/>
  <c r="JG485" i="5"/>
  <c r="HN486" i="5"/>
  <c r="HN488" i="5" s="1"/>
  <c r="JG568" i="5"/>
  <c r="HN569" i="5"/>
  <c r="HN571" i="5" s="1"/>
  <c r="HN662" i="5"/>
  <c r="HN664" i="5" s="1"/>
  <c r="JG661" i="5"/>
  <c r="DX110" i="5"/>
  <c r="HU111" i="5"/>
  <c r="HU113" i="5" s="1"/>
  <c r="DX641" i="5"/>
  <c r="HU642" i="5"/>
  <c r="HU644" i="5" s="1"/>
  <c r="JG173" i="5"/>
  <c r="HN174" i="5"/>
  <c r="HN176" i="5" s="1"/>
  <c r="DX417" i="5"/>
  <c r="HU418" i="5"/>
  <c r="HU420" i="5" s="1"/>
  <c r="HN106" i="5"/>
  <c r="HN108" i="5" s="1"/>
  <c r="JG105" i="5"/>
  <c r="DX646" i="5"/>
  <c r="HU647" i="5"/>
  <c r="HU649" i="5" s="1"/>
  <c r="DX281" i="5"/>
  <c r="HU282" i="5"/>
  <c r="HU284" i="5" s="1"/>
  <c r="DX422" i="5"/>
  <c r="HU423" i="5"/>
  <c r="HU425" i="5" s="1"/>
  <c r="DX485" i="5"/>
  <c r="HU486" i="5"/>
  <c r="HU488" i="5" s="1"/>
  <c r="DX568" i="5"/>
  <c r="HU569" i="5"/>
  <c r="HU571" i="5" s="1"/>
  <c r="DX661" i="5"/>
  <c r="HU662" i="5"/>
  <c r="HU664" i="5" s="1"/>
  <c r="JG691" i="5"/>
  <c r="HN692" i="5"/>
  <c r="HN694" i="5" s="1"/>
  <c r="JG442" i="5"/>
  <c r="HN443" i="5"/>
  <c r="HN445" i="5" s="1"/>
  <c r="JG311" i="5"/>
  <c r="HN312" i="5"/>
  <c r="HN314" i="5" s="1"/>
  <c r="DX598" i="5"/>
  <c r="HU599" i="5"/>
  <c r="HU601" i="5" s="1"/>
  <c r="JG120" i="5"/>
  <c r="HN121" i="5"/>
  <c r="HN123" i="5" s="1"/>
  <c r="DX286" i="5"/>
  <c r="HU287" i="5"/>
  <c r="HU289" i="5" s="1"/>
  <c r="HN448" i="5"/>
  <c r="HN450" i="5" s="1"/>
  <c r="JG447" i="5"/>
  <c r="JG238" i="5"/>
  <c r="HN239" i="5"/>
  <c r="HN241" i="5" s="1"/>
  <c r="JG749" i="5"/>
  <c r="HN750" i="5"/>
  <c r="HN752" i="5" s="1"/>
  <c r="JG130" i="5"/>
  <c r="HN131" i="5"/>
  <c r="HN133" i="5" s="1"/>
  <c r="HN725" i="5"/>
  <c r="HN727" i="5" s="1"/>
  <c r="JG724" i="5"/>
  <c r="JG223" i="5"/>
  <c r="HN224" i="5"/>
  <c r="HN226" i="5" s="1"/>
  <c r="JG165" i="5"/>
  <c r="HN166" i="5"/>
  <c r="HN168" i="5" s="1"/>
  <c r="JG140" i="5"/>
  <c r="HN141" i="5"/>
  <c r="HN143" i="5" s="1"/>
  <c r="DX173" i="5"/>
  <c r="HU174" i="5"/>
  <c r="HU176" i="5" s="1"/>
  <c r="DX691" i="5"/>
  <c r="HU692" i="5"/>
  <c r="HU694" i="5" s="1"/>
  <c r="DX442" i="5"/>
  <c r="HU443" i="5"/>
  <c r="HU445" i="5" s="1"/>
  <c r="DX311" i="5"/>
  <c r="HU312" i="5"/>
  <c r="HU314" i="5" s="1"/>
  <c r="JG598" i="5"/>
  <c r="HN599" i="5"/>
  <c r="HN601" i="5" s="1"/>
  <c r="DX120" i="5"/>
  <c r="HU121" i="5"/>
  <c r="HU123" i="5" s="1"/>
  <c r="JG286" i="5"/>
  <c r="HN287" i="5"/>
  <c r="HN289" i="5" s="1"/>
  <c r="DX447" i="5"/>
  <c r="HU448" i="5"/>
  <c r="HU450" i="5" s="1"/>
  <c r="DX238" i="5"/>
  <c r="HU239" i="5"/>
  <c r="HU241" i="5" s="1"/>
  <c r="DX749" i="5"/>
  <c r="HU750" i="5"/>
  <c r="HU752" i="5" s="1"/>
  <c r="DX130" i="5"/>
  <c r="HU131" i="5"/>
  <c r="HU133" i="5" s="1"/>
  <c r="DX724" i="5"/>
  <c r="HU725" i="5"/>
  <c r="HU727" i="5" s="1"/>
  <c r="DX223" i="5"/>
  <c r="HU224" i="5"/>
  <c r="HU226" i="5" s="1"/>
  <c r="DX165" i="5"/>
  <c r="HU166" i="5"/>
  <c r="HU168" i="5" s="1"/>
  <c r="DX140" i="5"/>
  <c r="HU141" i="5"/>
  <c r="HU143" i="5" s="1"/>
  <c r="JG359" i="5"/>
  <c r="HN360" i="5"/>
  <c r="HN362" i="5" s="1"/>
  <c r="HN151" i="5"/>
  <c r="HN153" i="5" s="1"/>
  <c r="JG150" i="5"/>
  <c r="JG457" i="5"/>
  <c r="HN458" i="5"/>
  <c r="HN460" i="5" s="1"/>
  <c r="DX125" i="5"/>
  <c r="HU126" i="5"/>
  <c r="HU128" i="5" s="1"/>
  <c r="DX52" i="5"/>
  <c r="HU53" i="5"/>
  <c r="HU55" i="5" s="1"/>
  <c r="HN536" i="5"/>
  <c r="HN538" i="5" s="1"/>
  <c r="JG535" i="5"/>
  <c r="JG623" i="5"/>
  <c r="HN624" i="5"/>
  <c r="HN626" i="5" s="1"/>
  <c r="DX100" i="5"/>
  <c r="HU101" i="5"/>
  <c r="HU103" i="5" s="1"/>
  <c r="JG339" i="5"/>
  <c r="HN340" i="5"/>
  <c r="HN342" i="5" s="1"/>
  <c r="HN619" i="5"/>
  <c r="HN621" i="5" s="1"/>
  <c r="JG618" i="5"/>
  <c r="JG276" i="5"/>
  <c r="HN277" i="5"/>
  <c r="HN279" i="5" s="1"/>
  <c r="DX359" i="5"/>
  <c r="HU360" i="5"/>
  <c r="HU362" i="5" s="1"/>
  <c r="DX150" i="5"/>
  <c r="HU151" i="5"/>
  <c r="HU153" i="5" s="1"/>
  <c r="DX457" i="5"/>
  <c r="HU458" i="5"/>
  <c r="HU460" i="5" s="1"/>
  <c r="HN126" i="5"/>
  <c r="HN128" i="5" s="1"/>
  <c r="JG125" i="5"/>
  <c r="DY198" i="5"/>
  <c r="DY200" i="5"/>
  <c r="DZ198" i="5"/>
  <c r="JG52" i="5"/>
  <c r="HN53" i="5"/>
  <c r="HN55" i="5" s="1"/>
  <c r="DX535" i="5"/>
  <c r="HU536" i="5"/>
  <c r="HU538" i="5" s="1"/>
  <c r="DX623" i="5"/>
  <c r="HU624" i="5"/>
  <c r="HU626" i="5" s="1"/>
  <c r="JG100" i="5"/>
  <c r="HN101" i="5"/>
  <c r="HN103" i="5" s="1"/>
  <c r="DX339" i="5"/>
  <c r="HU340" i="5"/>
  <c r="HU342" i="5" s="1"/>
  <c r="DY147" i="5"/>
  <c r="DZ145" i="5"/>
  <c r="DY145" i="5"/>
  <c r="DX618" i="5"/>
  <c r="HU619" i="5"/>
  <c r="HU621" i="5" s="1"/>
  <c r="DX276" i="5"/>
  <c r="HU277" i="5"/>
  <c r="HU279" i="5" s="1"/>
  <c r="DX364" i="5"/>
  <c r="HU365" i="5"/>
  <c r="HU367" i="5" s="1"/>
  <c r="HN297" i="5"/>
  <c r="HN299" i="5" s="1"/>
  <c r="JG296" i="5"/>
  <c r="HN63" i="5"/>
  <c r="HN65" i="5" s="1"/>
  <c r="JG62" i="5"/>
  <c r="DX72" i="5"/>
  <c r="HU73" i="5"/>
  <c r="HU75" i="5" s="1"/>
  <c r="HN68" i="5"/>
  <c r="HN70" i="5" s="1"/>
  <c r="JG67" i="5"/>
  <c r="HN652" i="5"/>
  <c r="HN654" i="5" s="1"/>
  <c r="JG651" i="5"/>
  <c r="HN468" i="5"/>
  <c r="HN470" i="5" s="1"/>
  <c r="JG467" i="5"/>
  <c r="JG389" i="5"/>
  <c r="HN390" i="5"/>
  <c r="HN392" i="5" s="1"/>
  <c r="DX321" i="5"/>
  <c r="HU322" i="5"/>
  <c r="HU324" i="5" s="1"/>
  <c r="JG550" i="5"/>
  <c r="HN551" i="5"/>
  <c r="HN553" i="5" s="1"/>
  <c r="HN491" i="5"/>
  <c r="HN493" i="5" s="1"/>
  <c r="JG490" i="5"/>
  <c r="HN88" i="5"/>
  <c r="HN90" i="5" s="1"/>
  <c r="JG87" i="5"/>
  <c r="DX633" i="5"/>
  <c r="HU634" i="5"/>
  <c r="HU636" i="5" s="1"/>
  <c r="JG344" i="5"/>
  <c r="HN345" i="5"/>
  <c r="HN347" i="5" s="1"/>
  <c r="JG228" i="5"/>
  <c r="HN229" i="5"/>
  <c r="HN231" i="5" s="1"/>
  <c r="JG251" i="5"/>
  <c r="HN252" i="5"/>
  <c r="HN254" i="5" s="1"/>
  <c r="HN365" i="5"/>
  <c r="HN367" i="5" s="1"/>
  <c r="JG364" i="5"/>
  <c r="DX296" i="5"/>
  <c r="HU297" i="5"/>
  <c r="HU299" i="5" s="1"/>
  <c r="DX62" i="5"/>
  <c r="HU63" i="5"/>
  <c r="HU65" i="5" s="1"/>
  <c r="HN73" i="5"/>
  <c r="HN75" i="5" s="1"/>
  <c r="JG72" i="5"/>
  <c r="DX67" i="5"/>
  <c r="HU68" i="5"/>
  <c r="HU70" i="5" s="1"/>
  <c r="DX651" i="5"/>
  <c r="HU652" i="5"/>
  <c r="HU654" i="5" s="1"/>
  <c r="DX467" i="5"/>
  <c r="HU468" i="5"/>
  <c r="HU470" i="5" s="1"/>
  <c r="DX389" i="5"/>
  <c r="HU390" i="5"/>
  <c r="HU392" i="5" s="1"/>
  <c r="HN322" i="5"/>
  <c r="HN324" i="5" s="1"/>
  <c r="JG321" i="5"/>
  <c r="DX550" i="5"/>
  <c r="HU551" i="5"/>
  <c r="HU553" i="5" s="1"/>
  <c r="DX490" i="5"/>
  <c r="HU491" i="5"/>
  <c r="HU493" i="5" s="1"/>
  <c r="DX87" i="5"/>
  <c r="HU88" i="5"/>
  <c r="HU90" i="5" s="1"/>
  <c r="JG633" i="5"/>
  <c r="HN634" i="5"/>
  <c r="HN636" i="5" s="1"/>
  <c r="DX344" i="5"/>
  <c r="HU345" i="5"/>
  <c r="HU347" i="5" s="1"/>
  <c r="DX228" i="5"/>
  <c r="HU229" i="5"/>
  <c r="HU231" i="5" s="1"/>
  <c r="DX251" i="5"/>
  <c r="HU252" i="5"/>
  <c r="HU254" i="5" s="1"/>
  <c r="ID319" i="5"/>
  <c r="B316" i="5" s="1"/>
  <c r="ID317" i="5"/>
  <c r="IB447" i="5"/>
  <c r="EK447" i="5" s="1"/>
  <c r="ID448" i="5"/>
  <c r="IB742" i="5"/>
  <c r="IB739" i="5" s="1"/>
  <c r="IB553" i="5"/>
  <c r="ID551" i="5" s="1"/>
  <c r="IB425" i="5"/>
  <c r="ID425" i="5" s="1"/>
  <c r="B422" i="5" s="1"/>
  <c r="IB352" i="5"/>
  <c r="IB349" i="5" s="1"/>
  <c r="IB201" i="5"/>
  <c r="ID199" i="5" s="1"/>
  <c r="IB435" i="5"/>
  <c r="IB432" i="5" s="1"/>
  <c r="IB410" i="5"/>
  <c r="ID408" i="5" s="1"/>
  <c r="IB211" i="5"/>
  <c r="ID209" i="5" s="1"/>
  <c r="IB80" i="5"/>
  <c r="IB77" i="5" s="1"/>
  <c r="IB538" i="5"/>
  <c r="IB535" i="5" s="1"/>
  <c r="IB279" i="5"/>
  <c r="ID277" i="5" s="1"/>
  <c r="IB508" i="5"/>
  <c r="ID508" i="5" s="1"/>
  <c r="B505" i="5" s="1"/>
  <c r="IB357" i="5"/>
  <c r="ID355" i="5" s="1"/>
  <c r="IB342" i="5"/>
  <c r="ID342" i="5" s="1"/>
  <c r="B339" i="5" s="1"/>
  <c r="IB168" i="5"/>
  <c r="ID166" i="5" s="1"/>
  <c r="IB186" i="5"/>
  <c r="IB183" i="5" s="1"/>
  <c r="IB259" i="5"/>
  <c r="ID259" i="5" s="1"/>
  <c r="B256" i="5" s="1"/>
  <c r="FW791" i="5"/>
  <c r="FX791" i="5" s="1"/>
  <c r="IB362" i="5"/>
  <c r="IB359" i="5" s="1"/>
  <c r="IB191" i="5"/>
  <c r="ID189" i="5" s="1"/>
  <c r="IB226" i="5"/>
  <c r="ID226" i="5" s="1"/>
  <c r="B223" i="5" s="1"/>
  <c r="IB548" i="5"/>
  <c r="ID548" i="5" s="1"/>
  <c r="B545" i="5" s="1"/>
  <c r="IB674" i="5"/>
  <c r="ID672" i="5" s="1"/>
  <c r="IB118" i="5"/>
  <c r="IB115" i="5" s="1"/>
  <c r="IB294" i="5"/>
  <c r="ID294" i="5" s="1"/>
  <c r="B291" i="5" s="1"/>
  <c r="IB274" i="5"/>
  <c r="ID272" i="5" s="1"/>
  <c r="IB596" i="5"/>
  <c r="ID596" i="5" s="1"/>
  <c r="B593" i="5" s="1"/>
  <c r="IB694" i="5"/>
  <c r="ID692" i="5" s="1"/>
  <c r="IB123" i="5"/>
  <c r="ID123" i="5" s="1"/>
  <c r="B120" i="5" s="1"/>
  <c r="IB264" i="5"/>
  <c r="IB261" i="5" s="1"/>
  <c r="IB246" i="5"/>
  <c r="ID244" i="5" s="1"/>
  <c r="IB787" i="5"/>
  <c r="ID787" i="5" s="1"/>
  <c r="B784" i="5" s="1"/>
  <c r="IB649" i="5"/>
  <c r="ID647" i="5" s="1"/>
  <c r="IB289" i="5"/>
  <c r="ID287" i="5" s="1"/>
  <c r="ID312" i="5"/>
  <c r="ID314" i="5"/>
  <c r="B311" i="5" s="1"/>
  <c r="IB311" i="5"/>
  <c r="IB387" i="5"/>
  <c r="ID370" i="5"/>
  <c r="ID372" i="5"/>
  <c r="B369" i="5" s="1"/>
  <c r="IB369" i="5"/>
  <c r="IB722" i="5"/>
  <c r="ID219" i="5"/>
  <c r="ID221" i="5"/>
  <c r="B218" i="5" s="1"/>
  <c r="IB218" i="5"/>
  <c r="IB181" i="5"/>
  <c r="IB493" i="5"/>
  <c r="IB714" i="5"/>
  <c r="EF316" i="5"/>
  <c r="DF318" i="5"/>
  <c r="DA316" i="5"/>
  <c r="EP316" i="5"/>
  <c r="JZ318" i="5"/>
  <c r="AO318" i="5"/>
  <c r="CY318" i="5"/>
  <c r="DK316" i="5"/>
  <c r="JJ318" i="5"/>
  <c r="ES316" i="5"/>
  <c r="IC316" i="5"/>
  <c r="DC316" i="5"/>
  <c r="EO316" i="5"/>
  <c r="CY316" i="5"/>
  <c r="DF316" i="5"/>
  <c r="EQ316" i="5"/>
  <c r="EG316" i="5"/>
  <c r="DG318" i="5"/>
  <c r="DS316" i="5" s="1"/>
  <c r="CV316" i="5"/>
  <c r="IC318" i="5"/>
  <c r="CV318" i="5"/>
  <c r="EL316" i="5"/>
  <c r="ER316" i="5"/>
  <c r="DB316" i="5"/>
  <c r="CX318" i="5"/>
  <c r="AO316" i="5"/>
  <c r="CW318" i="5"/>
  <c r="EI316" i="5"/>
  <c r="EN316" i="5"/>
  <c r="ED316" i="5"/>
  <c r="EK316" i="5"/>
  <c r="CW316" i="5"/>
  <c r="AR316" i="5"/>
  <c r="EM316" i="5" s="1"/>
  <c r="DJ316" i="5"/>
  <c r="CZ318" i="5"/>
  <c r="CZ316" i="5"/>
  <c r="DJ318" i="5"/>
  <c r="IB774" i="5"/>
  <c r="ID777" i="5"/>
  <c r="B774" i="5" s="1"/>
  <c r="ID775" i="5"/>
  <c r="ID523" i="5"/>
  <c r="B520" i="5" s="1"/>
  <c r="ID521" i="5"/>
  <c r="IB520" i="5"/>
  <c r="IB304" i="5"/>
  <c r="IB367" i="5"/>
  <c r="IB337" i="5"/>
  <c r="IB284" i="5"/>
  <c r="IB231" i="5"/>
  <c r="IB581" i="5"/>
  <c r="IB90" i="5"/>
  <c r="IB782" i="5"/>
  <c r="IB626" i="5"/>
  <c r="IB254" i="5"/>
  <c r="IB460" i="5"/>
  <c r="IB757" i="5"/>
  <c r="IB601" i="5"/>
  <c r="IB732" i="5"/>
  <c r="ID480" i="5"/>
  <c r="B477" i="5" s="1"/>
  <c r="IB477" i="5"/>
  <c r="ID478" i="5"/>
  <c r="IB85" i="5"/>
  <c r="IB631" i="5"/>
  <c r="IB764" i="5"/>
  <c r="ID765" i="5"/>
  <c r="ID767" i="5"/>
  <c r="B764" i="5" s="1"/>
  <c r="IB299" i="5"/>
  <c r="IB470" i="5"/>
  <c r="IB689" i="5"/>
  <c r="IB611" i="5"/>
  <c r="IB462" i="5"/>
  <c r="ID465" i="5"/>
  <c r="B462" i="5" s="1"/>
  <c r="ID463" i="5"/>
  <c r="IB573" i="5"/>
  <c r="ID576" i="5"/>
  <c r="B573" i="5" s="1"/>
  <c r="ID574" i="5"/>
  <c r="IB661" i="5"/>
  <c r="ID664" i="5"/>
  <c r="B661" i="5" s="1"/>
  <c r="ID662" i="5"/>
  <c r="ID158" i="5"/>
  <c r="B155" i="5" s="1"/>
  <c r="IB155" i="5"/>
  <c r="ID156" i="5"/>
  <c r="IB706" i="5"/>
  <c r="ID707" i="5"/>
  <c r="ID709" i="5"/>
  <c r="B706" i="5" s="1"/>
  <c r="IB437" i="5"/>
  <c r="ID438" i="5"/>
  <c r="ID440" i="5"/>
  <c r="B437" i="5" s="1"/>
  <c r="IB95" i="5"/>
  <c r="ID96" i="5"/>
  <c r="ID98" i="5"/>
  <c r="B95" i="5" s="1"/>
  <c r="IB143" i="5"/>
  <c r="IB133" i="5"/>
  <c r="IB744" i="5"/>
  <c r="ID747" i="5"/>
  <c r="B744" i="5" s="1"/>
  <c r="ID745" i="5"/>
  <c r="IB417" i="5"/>
  <c r="ID418" i="5"/>
  <c r="ID420" i="5"/>
  <c r="B417" i="5" s="1"/>
  <c r="ID382" i="5"/>
  <c r="B379" i="5" s="1"/>
  <c r="ID380" i="5"/>
  <c r="IB379" i="5"/>
  <c r="ID697" i="5"/>
  <c r="ID699" i="5"/>
  <c r="B696" i="5" s="1"/>
  <c r="IB696" i="5"/>
  <c r="ID146" i="5"/>
  <c r="ID148" i="5"/>
  <c r="B145" i="5" s="1"/>
  <c r="IB145" i="5"/>
  <c r="IB306" i="5"/>
  <c r="ID309" i="5"/>
  <c r="B306" i="5" s="1"/>
  <c r="ID307" i="5"/>
  <c r="IB488" i="5"/>
  <c r="ID727" i="5"/>
  <c r="B724" i="5" s="1"/>
  <c r="IB724" i="5"/>
  <c r="ID725" i="5"/>
  <c r="ID216" i="5"/>
  <c r="B213" i="5" s="1"/>
  <c r="ID214" i="5"/>
  <c r="IB213" i="5"/>
  <c r="ID682" i="5"/>
  <c r="ID684" i="5"/>
  <c r="B681" i="5" s="1"/>
  <c r="IB681" i="5"/>
  <c r="IB704" i="5"/>
  <c r="IB108" i="5"/>
  <c r="ID128" i="5"/>
  <c r="B125" i="5" s="1"/>
  <c r="ID126" i="5"/>
  <c r="IB125" i="5"/>
  <c r="IB636" i="5"/>
  <c r="ID204" i="5"/>
  <c r="ID206" i="5"/>
  <c r="B203" i="5" s="1"/>
  <c r="IB203" i="5"/>
  <c r="IB324" i="5"/>
  <c r="IB332" i="5"/>
  <c r="IB163" i="5"/>
  <c r="IB621" i="5"/>
  <c r="IB616" i="5"/>
  <c r="IB606" i="5"/>
  <c r="IB591" i="5"/>
  <c r="IB269" i="5"/>
  <c r="IB103" i="5"/>
  <c r="IB503" i="5"/>
  <c r="IB558" i="5"/>
  <c r="IB347" i="5"/>
  <c r="IB528" i="5"/>
  <c r="IB659" i="5"/>
  <c r="IB75" i="5"/>
  <c r="ID642" i="5"/>
  <c r="ID644" i="5"/>
  <c r="B641" i="5" s="1"/>
  <c r="IB641" i="5"/>
  <c r="IB397" i="5"/>
  <c r="IB445" i="5"/>
  <c r="IB543" i="5"/>
  <c r="IB241" i="5"/>
  <c r="CV391" i="5"/>
  <c r="ES389" i="5"/>
  <c r="CW389" i="5"/>
  <c r="CV389" i="5"/>
  <c r="EN389" i="5"/>
  <c r="DA389" i="5"/>
  <c r="EG389" i="5"/>
  <c r="AO389" i="5"/>
  <c r="EF389" i="5"/>
  <c r="DG391" i="5"/>
  <c r="DS389" i="5" s="1"/>
  <c r="DK389" i="5"/>
  <c r="ER389" i="5"/>
  <c r="JZ391" i="5"/>
  <c r="EO389" i="5"/>
  <c r="DF391" i="5"/>
  <c r="EQ389" i="5"/>
  <c r="CY391" i="5"/>
  <c r="ED389" i="5"/>
  <c r="EP389" i="5"/>
  <c r="IC389" i="5"/>
  <c r="EK389" i="5"/>
  <c r="DF389" i="5"/>
  <c r="IC391" i="5"/>
  <c r="EL389" i="5"/>
  <c r="DB389" i="5"/>
  <c r="AR389" i="5"/>
  <c r="EM389" i="5" s="1"/>
  <c r="AO391" i="5"/>
  <c r="CY389" i="5"/>
  <c r="CW391" i="5"/>
  <c r="CX391" i="5"/>
  <c r="EI389" i="5"/>
  <c r="DC389" i="5"/>
  <c r="JJ391" i="5"/>
  <c r="CZ389" i="5"/>
  <c r="DJ391" i="5"/>
  <c r="CZ391" i="5"/>
  <c r="DJ389" i="5"/>
  <c r="IB571" i="5"/>
  <c r="IB402" i="5"/>
  <c r="IB455" i="5"/>
  <c r="IB533" i="5"/>
  <c r="IB138" i="5"/>
  <c r="IB513" i="5"/>
  <c r="IB518" i="5"/>
  <c r="BV38" i="22"/>
  <c r="AV15" i="4"/>
  <c r="AV16" i="4"/>
  <c r="AV14" i="4"/>
  <c r="BO29" i="22"/>
  <c r="BQ29" i="22"/>
  <c r="BQ35" i="22"/>
  <c r="BU32" i="22"/>
  <c r="BQ37" i="22"/>
  <c r="BS29" i="22"/>
  <c r="BO27" i="22"/>
  <c r="BM36" i="22"/>
  <c r="BM24" i="22"/>
  <c r="BS32" i="22"/>
  <c r="BO30" i="22"/>
  <c r="BU38" i="22"/>
  <c r="BS34" i="22"/>
  <c r="BU35" i="22"/>
  <c r="BO33" i="22"/>
  <c r="BO31" i="22"/>
  <c r="BM30" i="22"/>
  <c r="BW31" i="22"/>
  <c r="BM38" i="22"/>
  <c r="BO38" i="22"/>
  <c r="BU26" i="22"/>
  <c r="BQ36" i="22"/>
  <c r="BO32" i="22"/>
  <c r="BM34" i="22"/>
  <c r="BW37" i="22"/>
  <c r="BU30" i="22"/>
  <c r="BU24" i="22"/>
  <c r="BQ31" i="22"/>
  <c r="BQ28" i="22"/>
  <c r="DZ437" i="5" l="1"/>
  <c r="DY439" i="5"/>
  <c r="DY706" i="5"/>
  <c r="DY708" i="5"/>
  <c r="DZ706" i="5"/>
  <c r="DZ593" i="5"/>
  <c r="DY593" i="5"/>
  <c r="DY595" i="5"/>
  <c r="DZ505" i="5"/>
  <c r="DY507" i="5"/>
  <c r="DY505" i="5"/>
  <c r="DY396" i="5"/>
  <c r="DZ394" i="5"/>
  <c r="DY394" i="5"/>
  <c r="DY583" i="5"/>
  <c r="DY585" i="5"/>
  <c r="DZ583" i="5"/>
  <c r="DZ384" i="5"/>
  <c r="DY384" i="5"/>
  <c r="DY386" i="5"/>
  <c r="DZ784" i="5"/>
  <c r="DY784" i="5"/>
  <c r="DY786" i="5"/>
  <c r="DY356" i="5"/>
  <c r="DY354" i="5"/>
  <c r="DZ354" i="5"/>
  <c r="DZ510" i="5"/>
  <c r="DY512" i="5"/>
  <c r="DY510" i="5"/>
  <c r="DZ588" i="5"/>
  <c r="DY588" i="5"/>
  <c r="DY590" i="5"/>
  <c r="DY190" i="5"/>
  <c r="DY188" i="5"/>
  <c r="DZ188" i="5"/>
  <c r="DY178" i="5"/>
  <c r="DZ178" i="5"/>
  <c r="DY180" i="5"/>
  <c r="DY683" i="5"/>
  <c r="DZ681" i="5"/>
  <c r="DY681" i="5"/>
  <c r="DY268" i="5"/>
  <c r="DY266" i="5"/>
  <c r="DZ266" i="5"/>
  <c r="DZ535" i="5"/>
  <c r="DY535" i="5"/>
  <c r="DY537" i="5"/>
  <c r="DY67" i="5"/>
  <c r="DZ67" i="5"/>
  <c r="DY69" i="5"/>
  <c r="DY635" i="5"/>
  <c r="DZ633" i="5"/>
  <c r="DY633" i="5"/>
  <c r="DZ321" i="5"/>
  <c r="DY323" i="5"/>
  <c r="DY321" i="5"/>
  <c r="DY366" i="5"/>
  <c r="DZ364" i="5"/>
  <c r="DY364" i="5"/>
  <c r="DY459" i="5"/>
  <c r="DZ457" i="5"/>
  <c r="DY457" i="5"/>
  <c r="DZ223" i="5"/>
  <c r="DY225" i="5"/>
  <c r="DY223" i="5"/>
  <c r="DZ238" i="5"/>
  <c r="DY240" i="5"/>
  <c r="DY238" i="5"/>
  <c r="DZ173" i="5"/>
  <c r="DY175" i="5"/>
  <c r="DY173" i="5"/>
  <c r="DY568" i="5"/>
  <c r="DY570" i="5"/>
  <c r="DZ568" i="5"/>
  <c r="DY646" i="5"/>
  <c r="DY648" i="5"/>
  <c r="DZ646" i="5"/>
  <c r="DY641" i="5"/>
  <c r="DY643" i="5"/>
  <c r="DZ641" i="5"/>
  <c r="DZ105" i="5"/>
  <c r="DY107" i="5"/>
  <c r="DY105" i="5"/>
  <c r="DZ339" i="5"/>
  <c r="DY341" i="5"/>
  <c r="DY339" i="5"/>
  <c r="DY253" i="5"/>
  <c r="DZ251" i="5"/>
  <c r="DY251" i="5"/>
  <c r="DY89" i="5"/>
  <c r="DZ87" i="5"/>
  <c r="DY87" i="5"/>
  <c r="DZ389" i="5"/>
  <c r="DY391" i="5"/>
  <c r="DY389" i="5"/>
  <c r="DY74" i="5"/>
  <c r="DY72" i="5"/>
  <c r="DZ72" i="5"/>
  <c r="DY276" i="5"/>
  <c r="DY278" i="5"/>
  <c r="DZ276" i="5"/>
  <c r="DY152" i="5"/>
  <c r="DZ150" i="5"/>
  <c r="DY150" i="5"/>
  <c r="DY54" i="5"/>
  <c r="DY52" i="5"/>
  <c r="DY726" i="5"/>
  <c r="DZ724" i="5"/>
  <c r="DY724" i="5"/>
  <c r="DY449" i="5"/>
  <c r="DZ447" i="5"/>
  <c r="DY447" i="5"/>
  <c r="DY311" i="5"/>
  <c r="DY313" i="5"/>
  <c r="DZ311" i="5"/>
  <c r="DZ286" i="5"/>
  <c r="DY286" i="5"/>
  <c r="DY288" i="5"/>
  <c r="DY485" i="5"/>
  <c r="DY487" i="5"/>
  <c r="DZ485" i="5"/>
  <c r="DY112" i="5"/>
  <c r="DZ110" i="5"/>
  <c r="DY110" i="5"/>
  <c r="DY230" i="5"/>
  <c r="DZ228" i="5"/>
  <c r="DY228" i="5"/>
  <c r="DY492" i="5"/>
  <c r="DZ490" i="5"/>
  <c r="DY490" i="5"/>
  <c r="DY467" i="5"/>
  <c r="DZ467" i="5"/>
  <c r="DY469" i="5"/>
  <c r="DY64" i="5"/>
  <c r="DZ62" i="5"/>
  <c r="DY62" i="5"/>
  <c r="DZ618" i="5"/>
  <c r="DY620" i="5"/>
  <c r="DY618" i="5"/>
  <c r="DY361" i="5"/>
  <c r="DY359" i="5"/>
  <c r="DZ359" i="5"/>
  <c r="DZ100" i="5"/>
  <c r="DY102" i="5"/>
  <c r="DY100" i="5"/>
  <c r="DY125" i="5"/>
  <c r="DZ125" i="5"/>
  <c r="DY127" i="5"/>
  <c r="DY142" i="5"/>
  <c r="DZ140" i="5"/>
  <c r="DY140" i="5"/>
  <c r="DY130" i="5"/>
  <c r="DY132" i="5"/>
  <c r="DZ130" i="5"/>
  <c r="DZ442" i="5"/>
  <c r="DY442" i="5"/>
  <c r="DY444" i="5"/>
  <c r="DZ422" i="5"/>
  <c r="DY424" i="5"/>
  <c r="DY422" i="5"/>
  <c r="DY419" i="5"/>
  <c r="DZ417" i="5"/>
  <c r="DY417" i="5"/>
  <c r="DZ623" i="5"/>
  <c r="DY623" i="5"/>
  <c r="DY625" i="5"/>
  <c r="DZ344" i="5"/>
  <c r="DY344" i="5"/>
  <c r="DY346" i="5"/>
  <c r="DY550" i="5"/>
  <c r="DZ550" i="5"/>
  <c r="DY552" i="5"/>
  <c r="DY653" i="5"/>
  <c r="DZ651" i="5"/>
  <c r="DY651" i="5"/>
  <c r="DZ296" i="5"/>
  <c r="DY296" i="5"/>
  <c r="DY298" i="5"/>
  <c r="DY167" i="5"/>
  <c r="DZ165" i="5"/>
  <c r="DY165" i="5"/>
  <c r="DY749" i="5"/>
  <c r="DY751" i="5"/>
  <c r="DZ749" i="5"/>
  <c r="DZ120" i="5"/>
  <c r="DY120" i="5"/>
  <c r="DY122" i="5"/>
  <c r="DY693" i="5"/>
  <c r="DZ691" i="5"/>
  <c r="DY691" i="5"/>
  <c r="DZ598" i="5"/>
  <c r="DY598" i="5"/>
  <c r="DY600" i="5"/>
  <c r="DY663" i="5"/>
  <c r="DY661" i="5"/>
  <c r="DZ661" i="5"/>
  <c r="DY281" i="5"/>
  <c r="DZ281" i="5"/>
  <c r="DY283" i="5"/>
  <c r="IB208" i="5"/>
  <c r="CX210" i="5" s="1"/>
  <c r="ID116" i="5"/>
  <c r="IB188" i="5"/>
  <c r="DF190" i="5" s="1"/>
  <c r="ID118" i="5"/>
  <c r="B115" i="5" s="1"/>
  <c r="ID191" i="5"/>
  <c r="B188" i="5" s="1"/>
  <c r="ID211" i="5"/>
  <c r="B208" i="5" s="1"/>
  <c r="ID201" i="5"/>
  <c r="B198" i="5" s="1"/>
  <c r="IB339" i="5"/>
  <c r="EN339" i="5" s="1"/>
  <c r="ID785" i="5"/>
  <c r="ID340" i="5"/>
  <c r="IB784" i="5"/>
  <c r="DA784" i="5" s="1"/>
  <c r="IB550" i="5"/>
  <c r="JZ552" i="5" s="1"/>
  <c r="ID184" i="5"/>
  <c r="ID186" i="5"/>
  <c r="B183" i="5" s="1"/>
  <c r="ID536" i="5"/>
  <c r="ID262" i="5"/>
  <c r="ID360" i="5"/>
  <c r="ID740" i="5"/>
  <c r="ID742" i="5"/>
  <c r="B739" i="5" s="1"/>
  <c r="IB165" i="5"/>
  <c r="CW167" i="5" s="1"/>
  <c r="ID168" i="5"/>
  <c r="B165" i="5" s="1"/>
  <c r="CZ447" i="5"/>
  <c r="EN447" i="5"/>
  <c r="EG447" i="5"/>
  <c r="CV449" i="5"/>
  <c r="ID279" i="5"/>
  <c r="B276" i="5" s="1"/>
  <c r="DF449" i="5"/>
  <c r="ES447" i="5"/>
  <c r="DA447" i="5"/>
  <c r="EF447" i="5"/>
  <c r="DF447" i="5"/>
  <c r="ID506" i="5"/>
  <c r="ID350" i="5"/>
  <c r="ID538" i="5"/>
  <c r="B535" i="5" s="1"/>
  <c r="ID553" i="5"/>
  <c r="B550" i="5" s="1"/>
  <c r="IB271" i="5"/>
  <c r="CW271" i="5" s="1"/>
  <c r="ID289" i="5"/>
  <c r="B286" i="5" s="1"/>
  <c r="ID274" i="5"/>
  <c r="B271" i="5" s="1"/>
  <c r="ID594" i="5"/>
  <c r="ID257" i="5"/>
  <c r="IB256" i="5"/>
  <c r="DF256" i="5" s="1"/>
  <c r="IB223" i="5"/>
  <c r="EG223" i="5" s="1"/>
  <c r="ID224" i="5"/>
  <c r="ID423" i="5"/>
  <c r="ID435" i="5"/>
  <c r="B432" i="5" s="1"/>
  <c r="ID433" i="5"/>
  <c r="ID362" i="5"/>
  <c r="B359" i="5" s="1"/>
  <c r="IB198" i="5"/>
  <c r="IC200" i="5" s="1"/>
  <c r="IB505" i="5"/>
  <c r="ER505" i="5" s="1"/>
  <c r="CY449" i="5"/>
  <c r="EI447" i="5"/>
  <c r="IC447" i="5"/>
  <c r="AR447" i="5"/>
  <c r="EM447" i="5" s="1"/>
  <c r="IB691" i="5"/>
  <c r="DG693" i="5" s="1"/>
  <c r="DS691" i="5" s="1"/>
  <c r="IB354" i="5"/>
  <c r="ES354" i="5" s="1"/>
  <c r="CZ449" i="5"/>
  <c r="CV447" i="5"/>
  <c r="CW447" i="5"/>
  <c r="AO449" i="5"/>
  <c r="ED447" i="5"/>
  <c r="IB407" i="5"/>
  <c r="CV407" i="5" s="1"/>
  <c r="IB276" i="5"/>
  <c r="DK276" i="5" s="1"/>
  <c r="DJ447" i="5"/>
  <c r="DC447" i="5"/>
  <c r="DK447" i="5"/>
  <c r="EO447" i="5"/>
  <c r="JZ449" i="5"/>
  <c r="DJ449" i="5"/>
  <c r="DG449" i="5"/>
  <c r="DS447" i="5" s="1"/>
  <c r="DT449" i="5" s="1"/>
  <c r="EQ447" i="5"/>
  <c r="JJ449" i="5"/>
  <c r="ER447" i="5"/>
  <c r="IB243" i="5"/>
  <c r="ES243" i="5" s="1"/>
  <c r="ID352" i="5"/>
  <c r="B349" i="5" s="1"/>
  <c r="EP447" i="5"/>
  <c r="IC449" i="5"/>
  <c r="EL447" i="5"/>
  <c r="CY447" i="5"/>
  <c r="CW449" i="5"/>
  <c r="IB545" i="5"/>
  <c r="EO545" i="5" s="1"/>
  <c r="IB671" i="5"/>
  <c r="AO671" i="5" s="1"/>
  <c r="CX449" i="5"/>
  <c r="DB447" i="5"/>
  <c r="AO447" i="5"/>
  <c r="ID410" i="5"/>
  <c r="B407" i="5" s="1"/>
  <c r="ID357" i="5"/>
  <c r="B354" i="5" s="1"/>
  <c r="ID80" i="5"/>
  <c r="B77" i="5" s="1"/>
  <c r="IB593" i="5"/>
  <c r="EP593" i="5" s="1"/>
  <c r="ID649" i="5"/>
  <c r="B646" i="5" s="1"/>
  <c r="ID78" i="5"/>
  <c r="IB422" i="5"/>
  <c r="IC424" i="5" s="1"/>
  <c r="IB291" i="5"/>
  <c r="AR291" i="5" s="1"/>
  <c r="EM291" i="5" s="1"/>
  <c r="ID264" i="5"/>
  <c r="B261" i="5" s="1"/>
  <c r="ET316" i="5"/>
  <c r="IB646" i="5"/>
  <c r="AO646" i="5" s="1"/>
  <c r="ID246" i="5"/>
  <c r="B243" i="5" s="1"/>
  <c r="ID546" i="5"/>
  <c r="ID674" i="5"/>
  <c r="B671" i="5" s="1"/>
  <c r="ID292" i="5"/>
  <c r="ID694" i="5"/>
  <c r="B691" i="5" s="1"/>
  <c r="IB120" i="5"/>
  <c r="CV122" i="5" s="1"/>
  <c r="ID121" i="5"/>
  <c r="IB286" i="5"/>
  <c r="CV286" i="5" s="1"/>
  <c r="DD389" i="5"/>
  <c r="DM316" i="5"/>
  <c r="DN318" i="5"/>
  <c r="AP316" i="5"/>
  <c r="DD316" i="5"/>
  <c r="ET389" i="5"/>
  <c r="IB442" i="5"/>
  <c r="ID443" i="5"/>
  <c r="ID445" i="5"/>
  <c r="B442" i="5" s="1"/>
  <c r="ID616" i="5"/>
  <c r="B613" i="5" s="1"/>
  <c r="IB613" i="5"/>
  <c r="ID614" i="5"/>
  <c r="ID516" i="5"/>
  <c r="IB515" i="5"/>
  <c r="ID518" i="5"/>
  <c r="B515" i="5" s="1"/>
  <c r="ID569" i="5"/>
  <c r="ID571" i="5"/>
  <c r="B568" i="5" s="1"/>
  <c r="IB568" i="5"/>
  <c r="AP389" i="5"/>
  <c r="ID108" i="5"/>
  <c r="B105" i="5" s="1"/>
  <c r="ID106" i="5"/>
  <c r="IB105" i="5"/>
  <c r="EQ349" i="5"/>
  <c r="DG351" i="5"/>
  <c r="DS349" i="5" s="1"/>
  <c r="AR349" i="5"/>
  <c r="EM349" i="5" s="1"/>
  <c r="CV351" i="5"/>
  <c r="EI349" i="5"/>
  <c r="ES349" i="5"/>
  <c r="CY351" i="5"/>
  <c r="IC351" i="5"/>
  <c r="DC349" i="5"/>
  <c r="EG349" i="5"/>
  <c r="EP349" i="5"/>
  <c r="AO351" i="5"/>
  <c r="EN349" i="5"/>
  <c r="DA349" i="5"/>
  <c r="DK349" i="5"/>
  <c r="EK349" i="5"/>
  <c r="EF349" i="5"/>
  <c r="DF351" i="5"/>
  <c r="CV349" i="5"/>
  <c r="DF349" i="5"/>
  <c r="JZ351" i="5"/>
  <c r="CX351" i="5"/>
  <c r="ER349" i="5"/>
  <c r="AO349" i="5"/>
  <c r="DB349" i="5"/>
  <c r="JJ351" i="5"/>
  <c r="EL349" i="5"/>
  <c r="ED349" i="5"/>
  <c r="CW351" i="5"/>
  <c r="IC349" i="5"/>
  <c r="CW349" i="5"/>
  <c r="CY349" i="5"/>
  <c r="EO349" i="5"/>
  <c r="CZ351" i="5"/>
  <c r="DJ351" i="5"/>
  <c r="CZ349" i="5"/>
  <c r="DJ349" i="5"/>
  <c r="ID299" i="5"/>
  <c r="B296" i="5" s="1"/>
  <c r="IB296" i="5"/>
  <c r="ID297" i="5"/>
  <c r="IB598" i="5"/>
  <c r="ID599" i="5"/>
  <c r="ID601" i="5"/>
  <c r="B598" i="5" s="1"/>
  <c r="IB228" i="5"/>
  <c r="ID229" i="5"/>
  <c r="ID231" i="5"/>
  <c r="B228" i="5" s="1"/>
  <c r="ID282" i="5"/>
  <c r="ID284" i="5"/>
  <c r="B281" i="5" s="1"/>
  <c r="IB281" i="5"/>
  <c r="JJ522" i="5"/>
  <c r="EG520" i="5"/>
  <c r="DC520" i="5"/>
  <c r="CW520" i="5"/>
  <c r="ER520" i="5"/>
  <c r="CV520" i="5"/>
  <c r="EL520" i="5"/>
  <c r="AO520" i="5"/>
  <c r="IC522" i="5"/>
  <c r="AR520" i="5"/>
  <c r="EM520" i="5" s="1"/>
  <c r="IC520" i="5"/>
  <c r="DB520" i="5"/>
  <c r="EQ520" i="5"/>
  <c r="CY522" i="5"/>
  <c r="CW522" i="5"/>
  <c r="ED520" i="5"/>
  <c r="DG522" i="5"/>
  <c r="DS520" i="5" s="1"/>
  <c r="CV522" i="5"/>
  <c r="CY520" i="5"/>
  <c r="DK520" i="5"/>
  <c r="EK520" i="5"/>
  <c r="EN520" i="5"/>
  <c r="ES520" i="5"/>
  <c r="AO522" i="5"/>
  <c r="DA520" i="5"/>
  <c r="EF520" i="5"/>
  <c r="DF520" i="5"/>
  <c r="EP520" i="5"/>
  <c r="DF522" i="5"/>
  <c r="JZ522" i="5"/>
  <c r="CX522" i="5"/>
  <c r="EO520" i="5"/>
  <c r="EI520" i="5"/>
  <c r="CZ520" i="5"/>
  <c r="DJ520" i="5"/>
  <c r="CZ522" i="5"/>
  <c r="DJ522" i="5"/>
  <c r="IB719" i="5"/>
  <c r="ID720" i="5"/>
  <c r="ID722" i="5"/>
  <c r="B719" i="5" s="1"/>
  <c r="ID161" i="5"/>
  <c r="ID163" i="5"/>
  <c r="B160" i="5" s="1"/>
  <c r="IB160" i="5"/>
  <c r="ID513" i="5"/>
  <c r="B510" i="5" s="1"/>
  <c r="IB510" i="5"/>
  <c r="ID511" i="5"/>
  <c r="IB394" i="5"/>
  <c r="ID395" i="5"/>
  <c r="ID397" i="5"/>
  <c r="B394" i="5" s="1"/>
  <c r="IB588" i="5"/>
  <c r="ID589" i="5"/>
  <c r="ID591" i="5"/>
  <c r="B588" i="5" s="1"/>
  <c r="ID332" i="5"/>
  <c r="B329" i="5" s="1"/>
  <c r="IB329" i="5"/>
  <c r="ID330" i="5"/>
  <c r="CY205" i="5"/>
  <c r="CV205" i="5"/>
  <c r="CV203" i="5"/>
  <c r="EL203" i="5"/>
  <c r="ER203" i="5"/>
  <c r="DA203" i="5"/>
  <c r="JZ205" i="5"/>
  <c r="EQ203" i="5"/>
  <c r="CY203" i="5"/>
  <c r="ED203" i="5"/>
  <c r="EK203" i="5"/>
  <c r="JJ205" i="5"/>
  <c r="EI203" i="5"/>
  <c r="EP203" i="5"/>
  <c r="DF203" i="5"/>
  <c r="CW203" i="5"/>
  <c r="AO203" i="5"/>
  <c r="DG205" i="5"/>
  <c r="DS203" i="5" s="1"/>
  <c r="DC203" i="5"/>
  <c r="EG203" i="5"/>
  <c r="AR203" i="5"/>
  <c r="EM203" i="5" s="1"/>
  <c r="DF205" i="5"/>
  <c r="CW205" i="5"/>
  <c r="AO205" i="5"/>
  <c r="ES203" i="5"/>
  <c r="EO203" i="5"/>
  <c r="CX205" i="5"/>
  <c r="IC205" i="5"/>
  <c r="DK203" i="5"/>
  <c r="EF203" i="5"/>
  <c r="DB203" i="5"/>
  <c r="IC203" i="5"/>
  <c r="EN203" i="5"/>
  <c r="CZ205" i="5"/>
  <c r="DJ203" i="5"/>
  <c r="DJ205" i="5"/>
  <c r="CZ203" i="5"/>
  <c r="ID702" i="5"/>
  <c r="IB701" i="5"/>
  <c r="ID704" i="5"/>
  <c r="B701" i="5" s="1"/>
  <c r="DJ147" i="5"/>
  <c r="JZ147" i="5"/>
  <c r="DG147" i="5"/>
  <c r="DS145" i="5" s="1"/>
  <c r="DF145" i="5"/>
  <c r="DC145" i="5"/>
  <c r="CV147" i="5"/>
  <c r="JJ147" i="5"/>
  <c r="EL145" i="5"/>
  <c r="CV145" i="5"/>
  <c r="EN145" i="5"/>
  <c r="CW147" i="5"/>
  <c r="ED145" i="5"/>
  <c r="AR145" i="5"/>
  <c r="EM145" i="5" s="1"/>
  <c r="IC147" i="5"/>
  <c r="EG145" i="5"/>
  <c r="CW145" i="5"/>
  <c r="EF145" i="5"/>
  <c r="EO145" i="5"/>
  <c r="CY145" i="5"/>
  <c r="ER145" i="5"/>
  <c r="DF147" i="5"/>
  <c r="CY147" i="5"/>
  <c r="CX147" i="5"/>
  <c r="DK145" i="5"/>
  <c r="ES145" i="5"/>
  <c r="EQ145" i="5"/>
  <c r="DB145" i="5"/>
  <c r="EK145" i="5"/>
  <c r="EI145" i="5"/>
  <c r="AO145" i="5"/>
  <c r="AO147" i="5"/>
  <c r="IC145" i="5"/>
  <c r="EP145" i="5"/>
  <c r="DA145" i="5"/>
  <c r="CZ147" i="5"/>
  <c r="CZ145" i="5"/>
  <c r="DJ145" i="5"/>
  <c r="CW115" i="5"/>
  <c r="EK115" i="5"/>
  <c r="CW117" i="5"/>
  <c r="CY115" i="5"/>
  <c r="ED115" i="5"/>
  <c r="EQ115" i="5"/>
  <c r="DA115" i="5"/>
  <c r="CV117" i="5"/>
  <c r="DG117" i="5"/>
  <c r="DS115" i="5" s="1"/>
  <c r="DF115" i="5"/>
  <c r="IC115" i="5"/>
  <c r="EN115" i="5"/>
  <c r="EL115" i="5"/>
  <c r="CV115" i="5"/>
  <c r="EI115" i="5"/>
  <c r="EF115" i="5"/>
  <c r="EP115" i="5"/>
  <c r="JZ117" i="5"/>
  <c r="DC115" i="5"/>
  <c r="JJ117" i="5"/>
  <c r="DB115" i="5"/>
  <c r="CX117" i="5"/>
  <c r="AO115" i="5"/>
  <c r="ER115" i="5"/>
  <c r="EO115" i="5"/>
  <c r="DF117" i="5"/>
  <c r="AR115" i="5"/>
  <c r="EM115" i="5" s="1"/>
  <c r="EG115" i="5"/>
  <c r="AO117" i="5"/>
  <c r="IC117" i="5"/>
  <c r="DK115" i="5"/>
  <c r="ES115" i="5"/>
  <c r="CY117" i="5"/>
  <c r="DJ115" i="5"/>
  <c r="DJ117" i="5"/>
  <c r="CZ115" i="5"/>
  <c r="CZ117" i="5"/>
  <c r="ER462" i="5"/>
  <c r="CW464" i="5"/>
  <c r="EP462" i="5"/>
  <c r="EF462" i="5"/>
  <c r="AR462" i="5"/>
  <c r="EM462" i="5" s="1"/>
  <c r="EO462" i="5"/>
  <c r="DB462" i="5"/>
  <c r="JZ464" i="5"/>
  <c r="DF464" i="5"/>
  <c r="IC464" i="5"/>
  <c r="EG462" i="5"/>
  <c r="CX464" i="5"/>
  <c r="CV464" i="5"/>
  <c r="AO464" i="5"/>
  <c r="CY464" i="5"/>
  <c r="DK462" i="5"/>
  <c r="EN462" i="5"/>
  <c r="ES462" i="5"/>
  <c r="IC462" i="5"/>
  <c r="DA462" i="5"/>
  <c r="AO462" i="5"/>
  <c r="EK462" i="5"/>
  <c r="EQ462" i="5"/>
  <c r="JJ464" i="5"/>
  <c r="CY462" i="5"/>
  <c r="DF462" i="5"/>
  <c r="EI462" i="5"/>
  <c r="ED462" i="5"/>
  <c r="CW462" i="5"/>
  <c r="CV462" i="5"/>
  <c r="DC462" i="5"/>
  <c r="DG464" i="5"/>
  <c r="DS462" i="5" s="1"/>
  <c r="EL462" i="5"/>
  <c r="CZ464" i="5"/>
  <c r="CZ462" i="5"/>
  <c r="DJ464" i="5"/>
  <c r="DJ462" i="5"/>
  <c r="ES739" i="5"/>
  <c r="EI739" i="5"/>
  <c r="EO739" i="5"/>
  <c r="CW739" i="5"/>
  <c r="EK739" i="5"/>
  <c r="DC739" i="5"/>
  <c r="EG739" i="5"/>
  <c r="ED739" i="5"/>
  <c r="DF739" i="5"/>
  <c r="JJ741" i="5"/>
  <c r="DK739" i="5"/>
  <c r="JZ741" i="5"/>
  <c r="CV739" i="5"/>
  <c r="CY741" i="5"/>
  <c r="DA739" i="5"/>
  <c r="IC741" i="5"/>
  <c r="ER739" i="5"/>
  <c r="EP739" i="5"/>
  <c r="CW741" i="5"/>
  <c r="CY739" i="5"/>
  <c r="DG741" i="5"/>
  <c r="DS739" i="5" s="1"/>
  <c r="AR739" i="5"/>
  <c r="EM739" i="5" s="1"/>
  <c r="DB739" i="5"/>
  <c r="EN739" i="5"/>
  <c r="CV741" i="5"/>
  <c r="DF741" i="5"/>
  <c r="IC739" i="5"/>
  <c r="AO739" i="5"/>
  <c r="EF739" i="5"/>
  <c r="AO741" i="5"/>
  <c r="EQ739" i="5"/>
  <c r="CX741" i="5"/>
  <c r="EL739" i="5"/>
  <c r="DJ739" i="5"/>
  <c r="CZ741" i="5"/>
  <c r="CZ739" i="5"/>
  <c r="DJ741" i="5"/>
  <c r="ID755" i="5"/>
  <c r="ID757" i="5"/>
  <c r="B754" i="5" s="1"/>
  <c r="IB754" i="5"/>
  <c r="IB578" i="5"/>
  <c r="ID581" i="5"/>
  <c r="B578" i="5" s="1"/>
  <c r="ID579" i="5"/>
  <c r="DT318" i="5"/>
  <c r="DV316" i="5"/>
  <c r="EA316" i="5" s="1"/>
  <c r="DT316" i="5"/>
  <c r="ID387" i="5"/>
  <c r="B384" i="5" s="1"/>
  <c r="IB384" i="5"/>
  <c r="ID385" i="5"/>
  <c r="EQ311" i="5"/>
  <c r="EI311" i="5"/>
  <c r="CW311" i="5"/>
  <c r="ER311" i="5"/>
  <c r="CW313" i="5"/>
  <c r="DK311" i="5"/>
  <c r="AR311" i="5"/>
  <c r="EM311" i="5" s="1"/>
  <c r="EL311" i="5"/>
  <c r="JZ313" i="5"/>
  <c r="DA311" i="5"/>
  <c r="DC311" i="5"/>
  <c r="DB311" i="5"/>
  <c r="ED311" i="5"/>
  <c r="EN311" i="5"/>
  <c r="CY311" i="5"/>
  <c r="IC313" i="5"/>
  <c r="DG313" i="5"/>
  <c r="DS311" i="5" s="1"/>
  <c r="DF311" i="5"/>
  <c r="AO313" i="5"/>
  <c r="AO311" i="5"/>
  <c r="CY313" i="5"/>
  <c r="CX313" i="5"/>
  <c r="CV311" i="5"/>
  <c r="EK311" i="5"/>
  <c r="EF311" i="5"/>
  <c r="CV313" i="5"/>
  <c r="EO311" i="5"/>
  <c r="EP311" i="5"/>
  <c r="JJ313" i="5"/>
  <c r="DF313" i="5"/>
  <c r="EG311" i="5"/>
  <c r="IC311" i="5"/>
  <c r="ES311" i="5"/>
  <c r="CZ311" i="5"/>
  <c r="DJ313" i="5"/>
  <c r="CZ313" i="5"/>
  <c r="DJ311" i="5"/>
  <c r="EJ389" i="5"/>
  <c r="EH389" i="5"/>
  <c r="ID659" i="5"/>
  <c r="B656" i="5" s="1"/>
  <c r="ID657" i="5"/>
  <c r="IB656" i="5"/>
  <c r="IB135" i="5"/>
  <c r="ID138" i="5"/>
  <c r="B135" i="5" s="1"/>
  <c r="ID136" i="5"/>
  <c r="ID347" i="5"/>
  <c r="B344" i="5" s="1"/>
  <c r="ID345" i="5"/>
  <c r="IB344" i="5"/>
  <c r="ID558" i="5"/>
  <c r="B555" i="5" s="1"/>
  <c r="IB555" i="5"/>
  <c r="ID556" i="5"/>
  <c r="ID103" i="5"/>
  <c r="B100" i="5" s="1"/>
  <c r="IB100" i="5"/>
  <c r="ID101" i="5"/>
  <c r="ID324" i="5"/>
  <c r="B321" i="5" s="1"/>
  <c r="IB321" i="5"/>
  <c r="ID322" i="5"/>
  <c r="EO681" i="5"/>
  <c r="EG681" i="5"/>
  <c r="ED681" i="5"/>
  <c r="EK681" i="5"/>
  <c r="IC683" i="5"/>
  <c r="DK681" i="5"/>
  <c r="CY681" i="5"/>
  <c r="DF681" i="5"/>
  <c r="EQ681" i="5"/>
  <c r="DA681" i="5"/>
  <c r="DG683" i="5"/>
  <c r="DS681" i="5" s="1"/>
  <c r="CV681" i="5"/>
  <c r="DC681" i="5"/>
  <c r="CV683" i="5"/>
  <c r="EL681" i="5"/>
  <c r="ER681" i="5"/>
  <c r="EI681" i="5"/>
  <c r="EN681" i="5"/>
  <c r="CW681" i="5"/>
  <c r="AR681" i="5"/>
  <c r="EM681" i="5" s="1"/>
  <c r="DB681" i="5"/>
  <c r="EF681" i="5"/>
  <c r="DF683" i="5"/>
  <c r="CY683" i="5"/>
  <c r="AO681" i="5"/>
  <c r="CW683" i="5"/>
  <c r="JZ683" i="5"/>
  <c r="AO683" i="5"/>
  <c r="IC681" i="5"/>
  <c r="EP681" i="5"/>
  <c r="JJ683" i="5"/>
  <c r="ES681" i="5"/>
  <c r="CX683" i="5"/>
  <c r="CZ681" i="5"/>
  <c r="CZ683" i="5"/>
  <c r="DJ681" i="5"/>
  <c r="DJ683" i="5"/>
  <c r="IC726" i="5"/>
  <c r="AO726" i="5"/>
  <c r="CV724" i="5"/>
  <c r="JZ726" i="5"/>
  <c r="CW726" i="5"/>
  <c r="EQ724" i="5"/>
  <c r="EN724" i="5"/>
  <c r="EL724" i="5"/>
  <c r="ES724" i="5"/>
  <c r="EG724" i="5"/>
  <c r="ED724" i="5"/>
  <c r="DC724" i="5"/>
  <c r="DG726" i="5"/>
  <c r="DS724" i="5" s="1"/>
  <c r="DK724" i="5"/>
  <c r="CW724" i="5"/>
  <c r="DF724" i="5"/>
  <c r="AO724" i="5"/>
  <c r="CX726" i="5"/>
  <c r="IC724" i="5"/>
  <c r="CY726" i="5"/>
  <c r="AR724" i="5"/>
  <c r="EM724" i="5" s="1"/>
  <c r="EP724" i="5"/>
  <c r="ER724" i="5"/>
  <c r="JJ726" i="5"/>
  <c r="EK724" i="5"/>
  <c r="DB724" i="5"/>
  <c r="EI724" i="5"/>
  <c r="EO724" i="5"/>
  <c r="DA724" i="5"/>
  <c r="CV726" i="5"/>
  <c r="CY724" i="5"/>
  <c r="EF724" i="5"/>
  <c r="DF726" i="5"/>
  <c r="DJ726" i="5"/>
  <c r="CZ724" i="5"/>
  <c r="CZ726" i="5"/>
  <c r="DJ724" i="5"/>
  <c r="EI744" i="5"/>
  <c r="EG744" i="5"/>
  <c r="EL744" i="5"/>
  <c r="JZ746" i="5"/>
  <c r="DC744" i="5"/>
  <c r="DK744" i="5"/>
  <c r="CW744" i="5"/>
  <c r="ES744" i="5"/>
  <c r="CX746" i="5"/>
  <c r="DA744" i="5"/>
  <c r="EK744" i="5"/>
  <c r="DF744" i="5"/>
  <c r="EP744" i="5"/>
  <c r="CV746" i="5"/>
  <c r="CV744" i="5"/>
  <c r="JJ746" i="5"/>
  <c r="IC746" i="5"/>
  <c r="DB744" i="5"/>
  <c r="DG746" i="5"/>
  <c r="DS744" i="5" s="1"/>
  <c r="AO746" i="5"/>
  <c r="CY744" i="5"/>
  <c r="CY746" i="5"/>
  <c r="AO744" i="5"/>
  <c r="ER744" i="5"/>
  <c r="EF744" i="5"/>
  <c r="IC744" i="5"/>
  <c r="CW746" i="5"/>
  <c r="AR744" i="5"/>
  <c r="EM744" i="5" s="1"/>
  <c r="EN744" i="5"/>
  <c r="EQ744" i="5"/>
  <c r="EO744" i="5"/>
  <c r="DF746" i="5"/>
  <c r="ED744" i="5"/>
  <c r="DJ746" i="5"/>
  <c r="DJ744" i="5"/>
  <c r="CZ744" i="5"/>
  <c r="CZ746" i="5"/>
  <c r="IB628" i="5"/>
  <c r="ID629" i="5"/>
  <c r="ID631" i="5"/>
  <c r="B628" i="5" s="1"/>
  <c r="ID460" i="5"/>
  <c r="B457" i="5" s="1"/>
  <c r="IB457" i="5"/>
  <c r="ID458" i="5"/>
  <c r="ID780" i="5"/>
  <c r="IB779" i="5"/>
  <c r="ID782" i="5"/>
  <c r="B779" i="5" s="1"/>
  <c r="IC776" i="5"/>
  <c r="DB774" i="5"/>
  <c r="EN774" i="5"/>
  <c r="JJ776" i="5"/>
  <c r="CY776" i="5"/>
  <c r="AO774" i="5"/>
  <c r="EF774" i="5"/>
  <c r="CV774" i="5"/>
  <c r="IC774" i="5"/>
  <c r="CW776" i="5"/>
  <c r="DG776" i="5"/>
  <c r="DS774" i="5" s="1"/>
  <c r="DF776" i="5"/>
  <c r="EQ774" i="5"/>
  <c r="EO774" i="5"/>
  <c r="ED774" i="5"/>
  <c r="ES774" i="5"/>
  <c r="EI774" i="5"/>
  <c r="EG774" i="5"/>
  <c r="DF774" i="5"/>
  <c r="EK774" i="5"/>
  <c r="DC774" i="5"/>
  <c r="DK774" i="5"/>
  <c r="JZ776" i="5"/>
  <c r="AO776" i="5"/>
  <c r="ER774" i="5"/>
  <c r="CX776" i="5"/>
  <c r="DA774" i="5"/>
  <c r="CY774" i="5"/>
  <c r="EL774" i="5"/>
  <c r="AR774" i="5"/>
  <c r="EM774" i="5" s="1"/>
  <c r="EP774" i="5"/>
  <c r="CV776" i="5"/>
  <c r="CW774" i="5"/>
  <c r="CZ774" i="5"/>
  <c r="DJ776" i="5"/>
  <c r="DJ774" i="5"/>
  <c r="CZ776" i="5"/>
  <c r="EJ316" i="5"/>
  <c r="EH316" i="5"/>
  <c r="ID714" i="5"/>
  <c r="B711" i="5" s="1"/>
  <c r="IB711" i="5"/>
  <c r="ID712" i="5"/>
  <c r="EL359" i="5"/>
  <c r="CY359" i="5"/>
  <c r="DF361" i="5"/>
  <c r="JJ361" i="5"/>
  <c r="CW359" i="5"/>
  <c r="IC361" i="5"/>
  <c r="EI359" i="5"/>
  <c r="IC359" i="5"/>
  <c r="CW361" i="5"/>
  <c r="ER359" i="5"/>
  <c r="CV361" i="5"/>
  <c r="DB359" i="5"/>
  <c r="CY361" i="5"/>
  <c r="EO359" i="5"/>
  <c r="AR359" i="5"/>
  <c r="EM359" i="5" s="1"/>
  <c r="EQ359" i="5"/>
  <c r="AO361" i="5"/>
  <c r="EG359" i="5"/>
  <c r="JZ361" i="5"/>
  <c r="ED359" i="5"/>
  <c r="EP359" i="5"/>
  <c r="DK359" i="5"/>
  <c r="CX361" i="5"/>
  <c r="CV359" i="5"/>
  <c r="EN359" i="5"/>
  <c r="DA359" i="5"/>
  <c r="ES359" i="5"/>
  <c r="AO359" i="5"/>
  <c r="EK359" i="5"/>
  <c r="DG361" i="5"/>
  <c r="DS359" i="5" s="1"/>
  <c r="EF359" i="5"/>
  <c r="DF359" i="5"/>
  <c r="DC359" i="5"/>
  <c r="CZ361" i="5"/>
  <c r="CZ359" i="5"/>
  <c r="DJ361" i="5"/>
  <c r="DJ359" i="5"/>
  <c r="EN641" i="5"/>
  <c r="JJ643" i="5"/>
  <c r="DA641" i="5"/>
  <c r="AO643" i="5"/>
  <c r="EF641" i="5"/>
  <c r="ED641" i="5"/>
  <c r="DG643" i="5"/>
  <c r="DS641" i="5" s="1"/>
  <c r="CY643" i="5"/>
  <c r="EL641" i="5"/>
  <c r="CY641" i="5"/>
  <c r="CW641" i="5"/>
  <c r="CX643" i="5"/>
  <c r="ES641" i="5"/>
  <c r="EK641" i="5"/>
  <c r="IC641" i="5"/>
  <c r="ER641" i="5"/>
  <c r="DF641" i="5"/>
  <c r="CV641" i="5"/>
  <c r="EQ641" i="5"/>
  <c r="IC643" i="5"/>
  <c r="CW643" i="5"/>
  <c r="AR641" i="5"/>
  <c r="EM641" i="5" s="1"/>
  <c r="AO641" i="5"/>
  <c r="EI641" i="5"/>
  <c r="DK641" i="5"/>
  <c r="DC641" i="5"/>
  <c r="EG641" i="5"/>
  <c r="EP641" i="5"/>
  <c r="CV643" i="5"/>
  <c r="JZ643" i="5"/>
  <c r="EO641" i="5"/>
  <c r="DF643" i="5"/>
  <c r="DB641" i="5"/>
  <c r="CZ641" i="5"/>
  <c r="CZ643" i="5"/>
  <c r="DJ641" i="5"/>
  <c r="DJ643" i="5"/>
  <c r="IB130" i="5"/>
  <c r="ID131" i="5"/>
  <c r="ID133" i="5"/>
  <c r="B130" i="5" s="1"/>
  <c r="ID143" i="5"/>
  <c r="B140" i="5" s="1"/>
  <c r="ID141" i="5"/>
  <c r="IB140" i="5"/>
  <c r="IB608" i="5"/>
  <c r="ID609" i="5"/>
  <c r="ID611" i="5"/>
  <c r="B608" i="5" s="1"/>
  <c r="ID335" i="5"/>
  <c r="IB334" i="5"/>
  <c r="ID337" i="5"/>
  <c r="B334" i="5" s="1"/>
  <c r="JJ185" i="5"/>
  <c r="AR183" i="5"/>
  <c r="EM183" i="5" s="1"/>
  <c r="EP183" i="5"/>
  <c r="ES183" i="5"/>
  <c r="IC185" i="5"/>
  <c r="ED183" i="5"/>
  <c r="CY185" i="5"/>
  <c r="DB183" i="5"/>
  <c r="EI183" i="5"/>
  <c r="CW185" i="5"/>
  <c r="CY183" i="5"/>
  <c r="IC183" i="5"/>
  <c r="CV185" i="5"/>
  <c r="DC183" i="5"/>
  <c r="AO185" i="5"/>
  <c r="EO183" i="5"/>
  <c r="EN183" i="5"/>
  <c r="EF183" i="5"/>
  <c r="EL183" i="5"/>
  <c r="EG183" i="5"/>
  <c r="DG185" i="5"/>
  <c r="DS183" i="5" s="1"/>
  <c r="DF183" i="5"/>
  <c r="CV183" i="5"/>
  <c r="CX185" i="5"/>
  <c r="CW183" i="5"/>
  <c r="DK183" i="5"/>
  <c r="EK183" i="5"/>
  <c r="EQ183" i="5"/>
  <c r="DA183" i="5"/>
  <c r="JZ185" i="5"/>
  <c r="ER183" i="5"/>
  <c r="DF185" i="5"/>
  <c r="AO183" i="5"/>
  <c r="CZ183" i="5"/>
  <c r="CZ185" i="5"/>
  <c r="DJ185" i="5"/>
  <c r="DJ183" i="5"/>
  <c r="ID501" i="5"/>
  <c r="IB500" i="5"/>
  <c r="ID503" i="5"/>
  <c r="B500" i="5" s="1"/>
  <c r="IC417" i="5"/>
  <c r="DA417" i="5"/>
  <c r="CV417" i="5"/>
  <c r="EF417" i="5"/>
  <c r="EQ417" i="5"/>
  <c r="CX419" i="5"/>
  <c r="AO417" i="5"/>
  <c r="JZ419" i="5"/>
  <c r="EI417" i="5"/>
  <c r="CY417" i="5"/>
  <c r="JJ419" i="5"/>
  <c r="DF419" i="5"/>
  <c r="DC417" i="5"/>
  <c r="CV419" i="5"/>
  <c r="AO419" i="5"/>
  <c r="EP417" i="5"/>
  <c r="CW419" i="5"/>
  <c r="EL417" i="5"/>
  <c r="ES417" i="5"/>
  <c r="ED417" i="5"/>
  <c r="EO417" i="5"/>
  <c r="CW417" i="5"/>
  <c r="DF417" i="5"/>
  <c r="DB417" i="5"/>
  <c r="IC419" i="5"/>
  <c r="EG417" i="5"/>
  <c r="AR417" i="5"/>
  <c r="EM417" i="5" s="1"/>
  <c r="DG419" i="5"/>
  <c r="DS417" i="5" s="1"/>
  <c r="EN417" i="5"/>
  <c r="CY419" i="5"/>
  <c r="DK417" i="5"/>
  <c r="EK417" i="5"/>
  <c r="ER417" i="5"/>
  <c r="CZ417" i="5"/>
  <c r="CZ419" i="5"/>
  <c r="DJ419" i="5"/>
  <c r="DJ417" i="5"/>
  <c r="ID533" i="5"/>
  <c r="B530" i="5" s="1"/>
  <c r="IB530" i="5"/>
  <c r="ID531" i="5"/>
  <c r="DN391" i="5"/>
  <c r="ID528" i="5"/>
  <c r="B525" i="5" s="1"/>
  <c r="IB525" i="5"/>
  <c r="ID526" i="5"/>
  <c r="ID636" i="5"/>
  <c r="B633" i="5" s="1"/>
  <c r="IB633" i="5"/>
  <c r="ID634" i="5"/>
  <c r="CY215" i="5"/>
  <c r="AO213" i="5"/>
  <c r="AO215" i="5"/>
  <c r="IC213" i="5"/>
  <c r="CW215" i="5"/>
  <c r="EQ213" i="5"/>
  <c r="EO213" i="5"/>
  <c r="EF213" i="5"/>
  <c r="DC213" i="5"/>
  <c r="DK213" i="5"/>
  <c r="CX215" i="5"/>
  <c r="DA213" i="5"/>
  <c r="EP213" i="5"/>
  <c r="DG215" i="5"/>
  <c r="DS213" i="5" s="1"/>
  <c r="ED213" i="5"/>
  <c r="CV215" i="5"/>
  <c r="CY213" i="5"/>
  <c r="IC215" i="5"/>
  <c r="CW213" i="5"/>
  <c r="EI213" i="5"/>
  <c r="JJ215" i="5"/>
  <c r="EN213" i="5"/>
  <c r="DB213" i="5"/>
  <c r="DF215" i="5"/>
  <c r="DF213" i="5"/>
  <c r="EG213" i="5"/>
  <c r="ER213" i="5"/>
  <c r="EL213" i="5"/>
  <c r="JZ215" i="5"/>
  <c r="EK213" i="5"/>
  <c r="CV213" i="5"/>
  <c r="ES213" i="5"/>
  <c r="AR213" i="5"/>
  <c r="EM213" i="5" s="1"/>
  <c r="DJ215" i="5"/>
  <c r="CZ215" i="5"/>
  <c r="DJ213" i="5"/>
  <c r="CZ213" i="5"/>
  <c r="IC696" i="5"/>
  <c r="CV698" i="5"/>
  <c r="DA696" i="5"/>
  <c r="DG698" i="5"/>
  <c r="DS696" i="5" s="1"/>
  <c r="DF696" i="5"/>
  <c r="EQ696" i="5"/>
  <c r="EN696" i="5"/>
  <c r="AO698" i="5"/>
  <c r="EG696" i="5"/>
  <c r="EI696" i="5"/>
  <c r="EF696" i="5"/>
  <c r="EL696" i="5"/>
  <c r="DK696" i="5"/>
  <c r="DC696" i="5"/>
  <c r="JZ698" i="5"/>
  <c r="CW696" i="5"/>
  <c r="ES696" i="5"/>
  <c r="CX698" i="5"/>
  <c r="JJ698" i="5"/>
  <c r="AR696" i="5"/>
  <c r="EM696" i="5" s="1"/>
  <c r="ER696" i="5"/>
  <c r="EP696" i="5"/>
  <c r="ED696" i="5"/>
  <c r="DF698" i="5"/>
  <c r="IC698" i="5"/>
  <c r="DB696" i="5"/>
  <c r="CY696" i="5"/>
  <c r="EK696" i="5"/>
  <c r="CY698" i="5"/>
  <c r="AO696" i="5"/>
  <c r="EO696" i="5"/>
  <c r="CV696" i="5"/>
  <c r="CW698" i="5"/>
  <c r="DJ696" i="5"/>
  <c r="DJ698" i="5"/>
  <c r="CZ698" i="5"/>
  <c r="CZ696" i="5"/>
  <c r="AR379" i="5"/>
  <c r="EM379" i="5" s="1"/>
  <c r="CV381" i="5"/>
  <c r="DG381" i="5"/>
  <c r="DS379" i="5" s="1"/>
  <c r="EP379" i="5"/>
  <c r="ED379" i="5"/>
  <c r="CW381" i="5"/>
  <c r="IC379" i="5"/>
  <c r="EQ379" i="5"/>
  <c r="EN379" i="5"/>
  <c r="EO379" i="5"/>
  <c r="EL379" i="5"/>
  <c r="EF379" i="5"/>
  <c r="EI379" i="5"/>
  <c r="EG379" i="5"/>
  <c r="CW379" i="5"/>
  <c r="DC379" i="5"/>
  <c r="DF379" i="5"/>
  <c r="DK379" i="5"/>
  <c r="JJ381" i="5"/>
  <c r="IC381" i="5"/>
  <c r="AO379" i="5"/>
  <c r="DA379" i="5"/>
  <c r="EK379" i="5"/>
  <c r="CY381" i="5"/>
  <c r="DB379" i="5"/>
  <c r="CX381" i="5"/>
  <c r="CV379" i="5"/>
  <c r="ES379" i="5"/>
  <c r="ER379" i="5"/>
  <c r="CY379" i="5"/>
  <c r="JZ381" i="5"/>
  <c r="AO381" i="5"/>
  <c r="DF381" i="5"/>
  <c r="DJ379" i="5"/>
  <c r="DJ381" i="5"/>
  <c r="CZ381" i="5"/>
  <c r="CZ379" i="5"/>
  <c r="EO706" i="5"/>
  <c r="DG708" i="5"/>
  <c r="DS706" i="5" s="1"/>
  <c r="EQ706" i="5"/>
  <c r="CV706" i="5"/>
  <c r="EG706" i="5"/>
  <c r="EL706" i="5"/>
  <c r="DC706" i="5"/>
  <c r="EI706" i="5"/>
  <c r="DK706" i="5"/>
  <c r="CW706" i="5"/>
  <c r="CV708" i="5"/>
  <c r="IC706" i="5"/>
  <c r="DA706" i="5"/>
  <c r="DF708" i="5"/>
  <c r="EP706" i="5"/>
  <c r="CY708" i="5"/>
  <c r="JZ708" i="5"/>
  <c r="AO708" i="5"/>
  <c r="DB706" i="5"/>
  <c r="DF706" i="5"/>
  <c r="JJ708" i="5"/>
  <c r="ER706" i="5"/>
  <c r="EN706" i="5"/>
  <c r="ES706" i="5"/>
  <c r="ED706" i="5"/>
  <c r="AR706" i="5"/>
  <c r="EM706" i="5" s="1"/>
  <c r="AO706" i="5"/>
  <c r="EF706" i="5"/>
  <c r="CW708" i="5"/>
  <c r="CY706" i="5"/>
  <c r="CX708" i="5"/>
  <c r="EK706" i="5"/>
  <c r="IC708" i="5"/>
  <c r="DJ706" i="5"/>
  <c r="CZ706" i="5"/>
  <c r="CZ708" i="5"/>
  <c r="DJ708" i="5"/>
  <c r="ID689" i="5"/>
  <c r="B686" i="5" s="1"/>
  <c r="IB686" i="5"/>
  <c r="ID687" i="5"/>
  <c r="ID367" i="5"/>
  <c r="B364" i="5" s="1"/>
  <c r="IB364" i="5"/>
  <c r="ID365" i="5"/>
  <c r="AO434" i="5"/>
  <c r="JJ434" i="5"/>
  <c r="DK432" i="5"/>
  <c r="CY432" i="5"/>
  <c r="IC434" i="5"/>
  <c r="EK432" i="5"/>
  <c r="DA432" i="5"/>
  <c r="EN432" i="5"/>
  <c r="CY434" i="5"/>
  <c r="DC432" i="5"/>
  <c r="DG434" i="5"/>
  <c r="DS432" i="5" s="1"/>
  <c r="ED432" i="5"/>
  <c r="CX434" i="5"/>
  <c r="DB432" i="5"/>
  <c r="EG432" i="5"/>
  <c r="EL432" i="5"/>
  <c r="EP432" i="5"/>
  <c r="AO432" i="5"/>
  <c r="CV434" i="5"/>
  <c r="AR432" i="5"/>
  <c r="EM432" i="5" s="1"/>
  <c r="CW434" i="5"/>
  <c r="ER432" i="5"/>
  <c r="EO432" i="5"/>
  <c r="DF432" i="5"/>
  <c r="EQ432" i="5"/>
  <c r="EF432" i="5"/>
  <c r="CW432" i="5"/>
  <c r="ES432" i="5"/>
  <c r="DF434" i="5"/>
  <c r="CV432" i="5"/>
  <c r="IC432" i="5"/>
  <c r="JZ434" i="5"/>
  <c r="EI432" i="5"/>
  <c r="DJ434" i="5"/>
  <c r="CZ434" i="5"/>
  <c r="DJ432" i="5"/>
  <c r="CZ432" i="5"/>
  <c r="ID267" i="5"/>
  <c r="ID269" i="5"/>
  <c r="B266" i="5" s="1"/>
  <c r="IB266" i="5"/>
  <c r="ID241" i="5"/>
  <c r="B238" i="5" s="1"/>
  <c r="ID239" i="5"/>
  <c r="IB238" i="5"/>
  <c r="EK125" i="5"/>
  <c r="CY127" i="5"/>
  <c r="DB125" i="5"/>
  <c r="DK125" i="5"/>
  <c r="DG127" i="5"/>
  <c r="DS125" i="5" s="1"/>
  <c r="DF125" i="5"/>
  <c r="IC125" i="5"/>
  <c r="AO125" i="5"/>
  <c r="DA125" i="5"/>
  <c r="EL125" i="5"/>
  <c r="CV125" i="5"/>
  <c r="EQ125" i="5"/>
  <c r="CV127" i="5"/>
  <c r="CW125" i="5"/>
  <c r="ER125" i="5"/>
  <c r="EI125" i="5"/>
  <c r="EF125" i="5"/>
  <c r="JZ127" i="5"/>
  <c r="AR125" i="5"/>
  <c r="EM125" i="5" s="1"/>
  <c r="DC125" i="5"/>
  <c r="CY125" i="5"/>
  <c r="DF127" i="5"/>
  <c r="EN125" i="5"/>
  <c r="ED125" i="5"/>
  <c r="CW127" i="5"/>
  <c r="AO127" i="5"/>
  <c r="JJ127" i="5"/>
  <c r="CX127" i="5"/>
  <c r="EO125" i="5"/>
  <c r="ES125" i="5"/>
  <c r="IC127" i="5"/>
  <c r="EP125" i="5"/>
  <c r="EG125" i="5"/>
  <c r="CZ127" i="5"/>
  <c r="CZ125" i="5"/>
  <c r="DJ127" i="5"/>
  <c r="DJ125" i="5"/>
  <c r="IB485" i="5"/>
  <c r="ID488" i="5"/>
  <c r="B485" i="5" s="1"/>
  <c r="ID486" i="5"/>
  <c r="CW663" i="5"/>
  <c r="DF661" i="5"/>
  <c r="CY661" i="5"/>
  <c r="DK661" i="5"/>
  <c r="CV663" i="5"/>
  <c r="CV661" i="5"/>
  <c r="DG663" i="5"/>
  <c r="DS661" i="5" s="1"/>
  <c r="JZ663" i="5"/>
  <c r="IC663" i="5"/>
  <c r="EN661" i="5"/>
  <c r="JJ663" i="5"/>
  <c r="ER661" i="5"/>
  <c r="EO661" i="5"/>
  <c r="CY663" i="5"/>
  <c r="EF661" i="5"/>
  <c r="EL661" i="5"/>
  <c r="ED661" i="5"/>
  <c r="CX663" i="5"/>
  <c r="DF663" i="5"/>
  <c r="DC661" i="5"/>
  <c r="CW661" i="5"/>
  <c r="EP661" i="5"/>
  <c r="AO663" i="5"/>
  <c r="EI661" i="5"/>
  <c r="AR661" i="5"/>
  <c r="EM661" i="5" s="1"/>
  <c r="DB661" i="5"/>
  <c r="ES661" i="5"/>
  <c r="DA661" i="5"/>
  <c r="IC661" i="5"/>
  <c r="AO661" i="5"/>
  <c r="EK661" i="5"/>
  <c r="EG661" i="5"/>
  <c r="EQ661" i="5"/>
  <c r="DJ663" i="5"/>
  <c r="DJ661" i="5"/>
  <c r="CZ661" i="5"/>
  <c r="CZ663" i="5"/>
  <c r="EG764" i="5"/>
  <c r="ED764" i="5"/>
  <c r="EQ764" i="5"/>
  <c r="DF764" i="5"/>
  <c r="DK764" i="5"/>
  <c r="CY764" i="5"/>
  <c r="EI764" i="5"/>
  <c r="EK764" i="5"/>
  <c r="CX766" i="5"/>
  <c r="DA764" i="5"/>
  <c r="DG766" i="5"/>
  <c r="DS764" i="5" s="1"/>
  <c r="DC764" i="5"/>
  <c r="CV764" i="5"/>
  <c r="EP764" i="5"/>
  <c r="CV766" i="5"/>
  <c r="EL764" i="5"/>
  <c r="DF766" i="5"/>
  <c r="DB764" i="5"/>
  <c r="EN764" i="5"/>
  <c r="CW764" i="5"/>
  <c r="AO766" i="5"/>
  <c r="AO764" i="5"/>
  <c r="EF764" i="5"/>
  <c r="IC766" i="5"/>
  <c r="ES764" i="5"/>
  <c r="CW766" i="5"/>
  <c r="JZ766" i="5"/>
  <c r="CY766" i="5"/>
  <c r="AR764" i="5"/>
  <c r="EM764" i="5" s="1"/>
  <c r="EO764" i="5"/>
  <c r="JJ766" i="5"/>
  <c r="IC764" i="5"/>
  <c r="ER764" i="5"/>
  <c r="DJ766" i="5"/>
  <c r="DJ764" i="5"/>
  <c r="CZ764" i="5"/>
  <c r="CZ766" i="5"/>
  <c r="ID85" i="5"/>
  <c r="B82" i="5" s="1"/>
  <c r="IB82" i="5"/>
  <c r="ID83" i="5"/>
  <c r="EL477" i="5"/>
  <c r="ER477" i="5"/>
  <c r="CX479" i="5"/>
  <c r="DA477" i="5"/>
  <c r="EF477" i="5"/>
  <c r="CW477" i="5"/>
  <c r="AR477" i="5"/>
  <c r="EM477" i="5" s="1"/>
  <c r="EP477" i="5"/>
  <c r="JZ479" i="5"/>
  <c r="DF479" i="5"/>
  <c r="IC479" i="5"/>
  <c r="DB477" i="5"/>
  <c r="JJ479" i="5"/>
  <c r="ES477" i="5"/>
  <c r="IC477" i="5"/>
  <c r="CW479" i="5"/>
  <c r="CY477" i="5"/>
  <c r="EK477" i="5"/>
  <c r="EQ477" i="5"/>
  <c r="EO477" i="5"/>
  <c r="DF477" i="5"/>
  <c r="EI477" i="5"/>
  <c r="EG477" i="5"/>
  <c r="CV479" i="5"/>
  <c r="CY479" i="5"/>
  <c r="DC477" i="5"/>
  <c r="AO477" i="5"/>
  <c r="DK477" i="5"/>
  <c r="ED477" i="5"/>
  <c r="DG479" i="5"/>
  <c r="DS477" i="5" s="1"/>
  <c r="EN477" i="5"/>
  <c r="AO479" i="5"/>
  <c r="CV477" i="5"/>
  <c r="DJ477" i="5"/>
  <c r="DJ479" i="5"/>
  <c r="CZ479" i="5"/>
  <c r="CZ477" i="5"/>
  <c r="ID732" i="5"/>
  <c r="B729" i="5" s="1"/>
  <c r="IB729" i="5"/>
  <c r="ID730" i="5"/>
  <c r="ID302" i="5"/>
  <c r="IB301" i="5"/>
  <c r="ID304" i="5"/>
  <c r="B301" i="5" s="1"/>
  <c r="EO218" i="5"/>
  <c r="AO220" i="5"/>
  <c r="DC218" i="5"/>
  <c r="AO218" i="5"/>
  <c r="EF218" i="5"/>
  <c r="EK218" i="5"/>
  <c r="ES218" i="5"/>
  <c r="CY220" i="5"/>
  <c r="CV220" i="5"/>
  <c r="DF218" i="5"/>
  <c r="IC218" i="5"/>
  <c r="DK218" i="5"/>
  <c r="EN218" i="5"/>
  <c r="CV218" i="5"/>
  <c r="EQ218" i="5"/>
  <c r="DB218" i="5"/>
  <c r="CW220" i="5"/>
  <c r="ED218" i="5"/>
  <c r="IC220" i="5"/>
  <c r="EP218" i="5"/>
  <c r="DA218" i="5"/>
  <c r="JZ220" i="5"/>
  <c r="CY218" i="5"/>
  <c r="DF220" i="5"/>
  <c r="AR218" i="5"/>
  <c r="EM218" i="5" s="1"/>
  <c r="JJ220" i="5"/>
  <c r="EL218" i="5"/>
  <c r="ER218" i="5"/>
  <c r="EG218" i="5"/>
  <c r="CX220" i="5"/>
  <c r="CW218" i="5"/>
  <c r="EI218" i="5"/>
  <c r="DG220" i="5"/>
  <c r="DS218" i="5" s="1"/>
  <c r="DJ220" i="5"/>
  <c r="CZ218" i="5"/>
  <c r="DJ218" i="5"/>
  <c r="CZ220" i="5"/>
  <c r="ID453" i="5"/>
  <c r="ID455" i="5"/>
  <c r="B452" i="5" s="1"/>
  <c r="IB452" i="5"/>
  <c r="ID402" i="5"/>
  <c r="B399" i="5" s="1"/>
  <c r="IB399" i="5"/>
  <c r="ID400" i="5"/>
  <c r="DM389" i="5"/>
  <c r="DT391" i="5"/>
  <c r="DV389" i="5"/>
  <c r="DT389" i="5"/>
  <c r="ID541" i="5"/>
  <c r="ID543" i="5"/>
  <c r="B540" i="5" s="1"/>
  <c r="IB540" i="5"/>
  <c r="ID75" i="5"/>
  <c r="B72" i="5" s="1"/>
  <c r="IB72" i="5"/>
  <c r="ID73" i="5"/>
  <c r="ID606" i="5"/>
  <c r="B603" i="5" s="1"/>
  <c r="ID604" i="5"/>
  <c r="IB603" i="5"/>
  <c r="IB618" i="5"/>
  <c r="ID621" i="5"/>
  <c r="B618" i="5" s="1"/>
  <c r="ID619" i="5"/>
  <c r="ER306" i="5"/>
  <c r="EP306" i="5"/>
  <c r="CW308" i="5"/>
  <c r="CW306" i="5"/>
  <c r="JJ308" i="5"/>
  <c r="AR306" i="5"/>
  <c r="EM306" i="5" s="1"/>
  <c r="ED306" i="5"/>
  <c r="IC306" i="5"/>
  <c r="ES306" i="5"/>
  <c r="CV308" i="5"/>
  <c r="DB306" i="5"/>
  <c r="EK306" i="5"/>
  <c r="EQ306" i="5"/>
  <c r="EF306" i="5"/>
  <c r="DF308" i="5"/>
  <c r="AO308" i="5"/>
  <c r="CX308" i="5"/>
  <c r="EI306" i="5"/>
  <c r="EO306" i="5"/>
  <c r="EL306" i="5"/>
  <c r="DC306" i="5"/>
  <c r="AO306" i="5"/>
  <c r="DA306" i="5"/>
  <c r="DK306" i="5"/>
  <c r="CY306" i="5"/>
  <c r="EN306" i="5"/>
  <c r="DF306" i="5"/>
  <c r="DG308" i="5"/>
  <c r="DS306" i="5" s="1"/>
  <c r="IC308" i="5"/>
  <c r="JZ308" i="5"/>
  <c r="CV306" i="5"/>
  <c r="CY308" i="5"/>
  <c r="EG306" i="5"/>
  <c r="CZ306" i="5"/>
  <c r="DJ308" i="5"/>
  <c r="DJ306" i="5"/>
  <c r="CZ308" i="5"/>
  <c r="CW95" i="5"/>
  <c r="EP95" i="5"/>
  <c r="IC95" i="5"/>
  <c r="CW97" i="5"/>
  <c r="CV95" i="5"/>
  <c r="DF97" i="5"/>
  <c r="DB95" i="5"/>
  <c r="EQ95" i="5"/>
  <c r="EO95" i="5"/>
  <c r="IC97" i="5"/>
  <c r="EL95" i="5"/>
  <c r="AO97" i="5"/>
  <c r="AO95" i="5"/>
  <c r="EI95" i="5"/>
  <c r="EG95" i="5"/>
  <c r="DG97" i="5"/>
  <c r="DS95" i="5" s="1"/>
  <c r="ES95" i="5"/>
  <c r="EF95" i="5"/>
  <c r="DC95" i="5"/>
  <c r="DK95" i="5"/>
  <c r="EK95" i="5"/>
  <c r="ER95" i="5"/>
  <c r="EN95" i="5"/>
  <c r="DA95" i="5"/>
  <c r="ED95" i="5"/>
  <c r="CY97" i="5"/>
  <c r="DF95" i="5"/>
  <c r="AR95" i="5"/>
  <c r="EM95" i="5" s="1"/>
  <c r="JZ97" i="5"/>
  <c r="CV97" i="5"/>
  <c r="JJ97" i="5"/>
  <c r="CY95" i="5"/>
  <c r="CX97" i="5"/>
  <c r="CZ95" i="5"/>
  <c r="CZ97" i="5"/>
  <c r="DJ95" i="5"/>
  <c r="DJ97" i="5"/>
  <c r="DB437" i="5"/>
  <c r="EN437" i="5"/>
  <c r="CW437" i="5"/>
  <c r="AR437" i="5"/>
  <c r="EM437" i="5" s="1"/>
  <c r="AO437" i="5"/>
  <c r="EF437" i="5"/>
  <c r="DF439" i="5"/>
  <c r="IC439" i="5"/>
  <c r="CW439" i="5"/>
  <c r="JZ439" i="5"/>
  <c r="AO439" i="5"/>
  <c r="IC437" i="5"/>
  <c r="EG437" i="5"/>
  <c r="ED437" i="5"/>
  <c r="EK437" i="5"/>
  <c r="CY439" i="5"/>
  <c r="DK437" i="5"/>
  <c r="CY437" i="5"/>
  <c r="DF437" i="5"/>
  <c r="EI437" i="5"/>
  <c r="CX439" i="5"/>
  <c r="DA437" i="5"/>
  <c r="DG439" i="5"/>
  <c r="DS437" i="5" s="1"/>
  <c r="CV437" i="5"/>
  <c r="DC437" i="5"/>
  <c r="EQ437" i="5"/>
  <c r="EP437" i="5"/>
  <c r="EO437" i="5"/>
  <c r="CV439" i="5"/>
  <c r="JJ439" i="5"/>
  <c r="EL437" i="5"/>
  <c r="ES437" i="5"/>
  <c r="ER437" i="5"/>
  <c r="DJ439" i="5"/>
  <c r="CZ439" i="5"/>
  <c r="CZ437" i="5"/>
  <c r="DJ437" i="5"/>
  <c r="DF573" i="5"/>
  <c r="IC573" i="5"/>
  <c r="AO573" i="5"/>
  <c r="DA573" i="5"/>
  <c r="DF575" i="5"/>
  <c r="CV573" i="5"/>
  <c r="EQ573" i="5"/>
  <c r="JZ575" i="5"/>
  <c r="CW575" i="5"/>
  <c r="AO575" i="5"/>
  <c r="ER573" i="5"/>
  <c r="EI573" i="5"/>
  <c r="ED573" i="5"/>
  <c r="CV575" i="5"/>
  <c r="AR573" i="5"/>
  <c r="EM573" i="5" s="1"/>
  <c r="DC573" i="5"/>
  <c r="JJ575" i="5"/>
  <c r="EL573" i="5"/>
  <c r="CX575" i="5"/>
  <c r="EF573" i="5"/>
  <c r="CY575" i="5"/>
  <c r="CW573" i="5"/>
  <c r="EN573" i="5"/>
  <c r="IC575" i="5"/>
  <c r="EO573" i="5"/>
  <c r="ES573" i="5"/>
  <c r="CY573" i="5"/>
  <c r="EP573" i="5"/>
  <c r="EG573" i="5"/>
  <c r="DG575" i="5"/>
  <c r="DS573" i="5" s="1"/>
  <c r="DB573" i="5"/>
  <c r="DK573" i="5"/>
  <c r="EK573" i="5"/>
  <c r="DJ573" i="5"/>
  <c r="CZ575" i="5"/>
  <c r="DJ575" i="5"/>
  <c r="CZ573" i="5"/>
  <c r="ID90" i="5"/>
  <c r="B87" i="5" s="1"/>
  <c r="IB87" i="5"/>
  <c r="ID88" i="5"/>
  <c r="IB490" i="5"/>
  <c r="ID493" i="5"/>
  <c r="B490" i="5" s="1"/>
  <c r="ID491" i="5"/>
  <c r="CV371" i="5"/>
  <c r="DG371" i="5"/>
  <c r="DS369" i="5" s="1"/>
  <c r="EP369" i="5"/>
  <c r="EI369" i="5"/>
  <c r="EN369" i="5"/>
  <c r="ER369" i="5"/>
  <c r="DB369" i="5"/>
  <c r="DC369" i="5"/>
  <c r="EF369" i="5"/>
  <c r="EG369" i="5"/>
  <c r="AR369" i="5"/>
  <c r="EM369" i="5" s="1"/>
  <c r="CX371" i="5"/>
  <c r="IC371" i="5"/>
  <c r="DK369" i="5"/>
  <c r="CW371" i="5"/>
  <c r="EQ369" i="5"/>
  <c r="JZ371" i="5"/>
  <c r="ED369" i="5"/>
  <c r="ES369" i="5"/>
  <c r="EK369" i="5"/>
  <c r="DA369" i="5"/>
  <c r="JJ371" i="5"/>
  <c r="CY369" i="5"/>
  <c r="DF369" i="5"/>
  <c r="CV369" i="5"/>
  <c r="DF371" i="5"/>
  <c r="EL369" i="5"/>
  <c r="CY371" i="5"/>
  <c r="AO369" i="5"/>
  <c r="IC369" i="5"/>
  <c r="EO369" i="5"/>
  <c r="AO371" i="5"/>
  <c r="CW369" i="5"/>
  <c r="DJ371" i="5"/>
  <c r="CZ369" i="5"/>
  <c r="CZ371" i="5"/>
  <c r="DJ369" i="5"/>
  <c r="ES155" i="5"/>
  <c r="IC157" i="5"/>
  <c r="DA155" i="5"/>
  <c r="JJ157" i="5"/>
  <c r="EK155" i="5"/>
  <c r="CY157" i="5"/>
  <c r="CX157" i="5"/>
  <c r="ED155" i="5"/>
  <c r="ER155" i="5"/>
  <c r="JZ157" i="5"/>
  <c r="DF155" i="5"/>
  <c r="IC155" i="5"/>
  <c r="EP155" i="5"/>
  <c r="CY155" i="5"/>
  <c r="DG157" i="5"/>
  <c r="DS155" i="5" s="1"/>
  <c r="CV155" i="5"/>
  <c r="EQ155" i="5"/>
  <c r="DB155" i="5"/>
  <c r="EN155" i="5"/>
  <c r="EL155" i="5"/>
  <c r="CV157" i="5"/>
  <c r="EI155" i="5"/>
  <c r="AO155" i="5"/>
  <c r="CW157" i="5"/>
  <c r="AR155" i="5"/>
  <c r="EM155" i="5" s="1"/>
  <c r="CW155" i="5"/>
  <c r="EF155" i="5"/>
  <c r="DC155" i="5"/>
  <c r="EG155" i="5"/>
  <c r="DK155" i="5"/>
  <c r="EO155" i="5"/>
  <c r="DF157" i="5"/>
  <c r="AO157" i="5"/>
  <c r="CZ157" i="5"/>
  <c r="CZ155" i="5"/>
  <c r="DJ157" i="5"/>
  <c r="DJ155" i="5"/>
  <c r="CV535" i="5"/>
  <c r="DC535" i="5"/>
  <c r="CV537" i="5"/>
  <c r="DA535" i="5"/>
  <c r="CX537" i="5"/>
  <c r="AO537" i="5"/>
  <c r="CY535" i="5"/>
  <c r="EO535" i="5"/>
  <c r="JZ537" i="5"/>
  <c r="ER535" i="5"/>
  <c r="EN535" i="5"/>
  <c r="IC537" i="5"/>
  <c r="EG535" i="5"/>
  <c r="CY537" i="5"/>
  <c r="CW537" i="5"/>
  <c r="DG537" i="5"/>
  <c r="DS535" i="5" s="1"/>
  <c r="CW535" i="5"/>
  <c r="ES535" i="5"/>
  <c r="IC535" i="5"/>
  <c r="DF537" i="5"/>
  <c r="AO535" i="5"/>
  <c r="EK535" i="5"/>
  <c r="EQ535" i="5"/>
  <c r="EP535" i="5"/>
  <c r="ED535" i="5"/>
  <c r="JJ537" i="5"/>
  <c r="DF535" i="5"/>
  <c r="AR535" i="5"/>
  <c r="EM535" i="5" s="1"/>
  <c r="EL535" i="5"/>
  <c r="EI535" i="5"/>
  <c r="EF535" i="5"/>
  <c r="DB535" i="5"/>
  <c r="DK535" i="5"/>
  <c r="DJ537" i="5"/>
  <c r="CZ535" i="5"/>
  <c r="DJ535" i="5"/>
  <c r="CZ537" i="5"/>
  <c r="ID468" i="5"/>
  <c r="ID470" i="5"/>
  <c r="B467" i="5" s="1"/>
  <c r="IB467" i="5"/>
  <c r="DF79" i="5"/>
  <c r="EN77" i="5"/>
  <c r="CX79" i="5"/>
  <c r="EO77" i="5"/>
  <c r="AO79" i="5"/>
  <c r="ED77" i="5"/>
  <c r="EP77" i="5"/>
  <c r="EG77" i="5"/>
  <c r="ES77" i="5"/>
  <c r="IC79" i="5"/>
  <c r="DB77" i="5"/>
  <c r="DK77" i="5"/>
  <c r="EK77" i="5"/>
  <c r="CY79" i="5"/>
  <c r="AO77" i="5"/>
  <c r="DA77" i="5"/>
  <c r="DF77" i="5"/>
  <c r="IC77" i="5"/>
  <c r="EF77" i="5"/>
  <c r="CV79" i="5"/>
  <c r="DG79" i="5"/>
  <c r="DS77" i="5" s="1"/>
  <c r="CV77" i="5"/>
  <c r="EQ77" i="5"/>
  <c r="JZ79" i="5"/>
  <c r="JJ79" i="5"/>
  <c r="EL77" i="5"/>
  <c r="ER77" i="5"/>
  <c r="EI77" i="5"/>
  <c r="CY77" i="5"/>
  <c r="CW77" i="5"/>
  <c r="AR77" i="5"/>
  <c r="EM77" i="5" s="1"/>
  <c r="DC77" i="5"/>
  <c r="CW79" i="5"/>
  <c r="DJ77" i="5"/>
  <c r="DJ79" i="5"/>
  <c r="CZ77" i="5"/>
  <c r="CZ79" i="5"/>
  <c r="ID254" i="5"/>
  <c r="B251" i="5" s="1"/>
  <c r="IB251" i="5"/>
  <c r="ID252" i="5"/>
  <c r="ID626" i="5"/>
  <c r="B623" i="5" s="1"/>
  <c r="IB623" i="5"/>
  <c r="ID624" i="5"/>
  <c r="IB178" i="5"/>
  <c r="ID179" i="5"/>
  <c r="ID181" i="5"/>
  <c r="B178" i="5" s="1"/>
  <c r="DB261" i="5"/>
  <c r="EQ261" i="5"/>
  <c r="IC263" i="5"/>
  <c r="DF261" i="5"/>
  <c r="DG263" i="5"/>
  <c r="DS261" i="5" s="1"/>
  <c r="AO261" i="5"/>
  <c r="DC261" i="5"/>
  <c r="EK261" i="5"/>
  <c r="DF263" i="5"/>
  <c r="EL261" i="5"/>
  <c r="CV263" i="5"/>
  <c r="JJ263" i="5"/>
  <c r="CV261" i="5"/>
  <c r="CW261" i="5"/>
  <c r="EN261" i="5"/>
  <c r="AO263" i="5"/>
  <c r="EI261" i="5"/>
  <c r="ER261" i="5"/>
  <c r="EF261" i="5"/>
  <c r="IC261" i="5"/>
  <c r="ES261" i="5"/>
  <c r="AR261" i="5"/>
  <c r="EM261" i="5" s="1"/>
  <c r="CY263" i="5"/>
  <c r="EO261" i="5"/>
  <c r="JZ263" i="5"/>
  <c r="CX263" i="5"/>
  <c r="ED261" i="5"/>
  <c r="DA261" i="5"/>
  <c r="EG261" i="5"/>
  <c r="CW263" i="5"/>
  <c r="CY261" i="5"/>
  <c r="DK261" i="5"/>
  <c r="EP261" i="5"/>
  <c r="CZ261" i="5"/>
  <c r="DJ263" i="5"/>
  <c r="DJ261" i="5"/>
  <c r="CZ263" i="5"/>
  <c r="BX24" i="22"/>
  <c r="GD10" i="5"/>
  <c r="GD8" i="5"/>
  <c r="GC10" i="5"/>
  <c r="GC8" i="5"/>
  <c r="GC6" i="5"/>
  <c r="GD6" i="5"/>
  <c r="BQ27" i="22"/>
  <c r="BO26" i="22"/>
  <c r="BW33" i="22"/>
  <c r="BU34" i="22"/>
  <c r="BS31" i="22"/>
  <c r="BQ38" i="22"/>
  <c r="BU36" i="22"/>
  <c r="BM33" i="22"/>
  <c r="BU29" i="22"/>
  <c r="BM32" i="22"/>
  <c r="BQ32" i="22"/>
  <c r="BW34" i="22"/>
  <c r="BM26" i="22"/>
  <c r="BS26" i="22"/>
  <c r="BS30" i="22"/>
  <c r="BK31" i="22"/>
  <c r="BS35" i="22"/>
  <c r="BU33" i="22"/>
  <c r="BO34" i="22"/>
  <c r="BW27" i="22"/>
  <c r="BW28" i="22"/>
  <c r="BU31" i="22"/>
  <c r="BQ24" i="22"/>
  <c r="BU27" i="22"/>
  <c r="BQ25" i="22"/>
  <c r="BW38" i="22"/>
  <c r="BW35" i="22"/>
  <c r="BS28" i="22"/>
  <c r="BK30" i="22"/>
  <c r="BQ26" i="22"/>
  <c r="BW36" i="22"/>
  <c r="BW32" i="22"/>
  <c r="BQ33" i="22"/>
  <c r="BM31" i="22"/>
  <c r="BO25" i="22"/>
  <c r="BQ30" i="22"/>
  <c r="BM37" i="22"/>
  <c r="BW24" i="22"/>
  <c r="BW30" i="22"/>
  <c r="BS38" i="22"/>
  <c r="BS24" i="22"/>
  <c r="BK32" i="22"/>
  <c r="BM29" i="22"/>
  <c r="BW25" i="22"/>
  <c r="BM28" i="22"/>
  <c r="BS37" i="22"/>
  <c r="BK29" i="22"/>
  <c r="BO37" i="22"/>
  <c r="BM25" i="22"/>
  <c r="BS27" i="22"/>
  <c r="BQ34" i="22"/>
  <c r="BO35" i="22"/>
  <c r="BS25" i="22"/>
  <c r="BW29" i="22"/>
  <c r="ET739" i="5" l="1"/>
  <c r="EA389" i="5"/>
  <c r="CZ245" i="5"/>
  <c r="CV671" i="5"/>
  <c r="JJ245" i="5"/>
  <c r="DC671" i="5"/>
  <c r="EO243" i="5"/>
  <c r="EQ671" i="5"/>
  <c r="EF243" i="5"/>
  <c r="CY673" i="5"/>
  <c r="DA243" i="5"/>
  <c r="DD681" i="5"/>
  <c r="CV243" i="5"/>
  <c r="AR671" i="5"/>
  <c r="EM671" i="5" s="1"/>
  <c r="DJ245" i="5"/>
  <c r="IC245" i="5"/>
  <c r="DG245" i="5"/>
  <c r="DS243" i="5" s="1"/>
  <c r="DV243" i="5" s="1"/>
  <c r="EA243" i="5" s="1"/>
  <c r="EK243" i="5"/>
  <c r="CV245" i="5"/>
  <c r="CZ673" i="5"/>
  <c r="AO673" i="5"/>
  <c r="AP671" i="5" s="1"/>
  <c r="ED671" i="5"/>
  <c r="EN671" i="5"/>
  <c r="DF671" i="5"/>
  <c r="DF673" i="5"/>
  <c r="DJ243" i="5"/>
  <c r="EL243" i="5"/>
  <c r="CY243" i="5"/>
  <c r="DK243" i="5"/>
  <c r="EQ243" i="5"/>
  <c r="DJ671" i="5"/>
  <c r="DK671" i="5"/>
  <c r="EO671" i="5"/>
  <c r="IC673" i="5"/>
  <c r="JJ673" i="5"/>
  <c r="EK671" i="5"/>
  <c r="IC243" i="5"/>
  <c r="ED243" i="5"/>
  <c r="EP243" i="5"/>
  <c r="AO243" i="5"/>
  <c r="AO245" i="5"/>
  <c r="CZ671" i="5"/>
  <c r="CX673" i="5"/>
  <c r="EI671" i="5"/>
  <c r="IC671" i="5"/>
  <c r="DB671" i="5"/>
  <c r="AR243" i="5"/>
  <c r="EM243" i="5" s="1"/>
  <c r="DF245" i="5"/>
  <c r="CW243" i="5"/>
  <c r="CW245" i="5"/>
  <c r="EN243" i="5"/>
  <c r="ES671" i="5"/>
  <c r="JZ673" i="5"/>
  <c r="CW671" i="5"/>
  <c r="EL671" i="5"/>
  <c r="ER671" i="5"/>
  <c r="DJ673" i="5"/>
  <c r="CX245" i="5"/>
  <c r="ER243" i="5"/>
  <c r="ET243" i="5" s="1"/>
  <c r="DF243" i="5"/>
  <c r="EI243" i="5"/>
  <c r="DA671" i="5"/>
  <c r="CY671" i="5"/>
  <c r="EF671" i="5"/>
  <c r="CV673" i="5"/>
  <c r="CZ243" i="5"/>
  <c r="EG243" i="5"/>
  <c r="DC243" i="5"/>
  <c r="DG673" i="5"/>
  <c r="DS671" i="5" s="1"/>
  <c r="DT671" i="5" s="1"/>
  <c r="CY245" i="5"/>
  <c r="JZ245" i="5"/>
  <c r="DB243" i="5"/>
  <c r="EP671" i="5"/>
  <c r="EG671" i="5"/>
  <c r="CW673" i="5"/>
  <c r="EK208" i="5"/>
  <c r="CZ208" i="5"/>
  <c r="EO208" i="5"/>
  <c r="AO210" i="5"/>
  <c r="EI208" i="5"/>
  <c r="JJ288" i="5"/>
  <c r="CX190" i="5"/>
  <c r="EN188" i="5"/>
  <c r="DB188" i="5"/>
  <c r="JJ210" i="5"/>
  <c r="AO208" i="5"/>
  <c r="EQ208" i="5"/>
  <c r="DG210" i="5"/>
  <c r="DS208" i="5" s="1"/>
  <c r="DT210" i="5" s="1"/>
  <c r="DF210" i="5"/>
  <c r="CY210" i="5"/>
  <c r="EG208" i="5"/>
  <c r="EP208" i="5"/>
  <c r="ER208" i="5"/>
  <c r="JZ210" i="5"/>
  <c r="EN208" i="5"/>
  <c r="ED208" i="5"/>
  <c r="ES208" i="5"/>
  <c r="IC208" i="5"/>
  <c r="DF208" i="5"/>
  <c r="DC208" i="5"/>
  <c r="EL208" i="5"/>
  <c r="DJ208" i="5"/>
  <c r="DK208" i="5"/>
  <c r="CW208" i="5"/>
  <c r="CY208" i="5"/>
  <c r="DB208" i="5"/>
  <c r="CZ210" i="5"/>
  <c r="AR208" i="5"/>
  <c r="EM208" i="5" s="1"/>
  <c r="CV210" i="5"/>
  <c r="EF208" i="5"/>
  <c r="IC210" i="5"/>
  <c r="DJ210" i="5"/>
  <c r="CW210" i="5"/>
  <c r="DA208" i="5"/>
  <c r="CV208" i="5"/>
  <c r="EQ188" i="5"/>
  <c r="EK784" i="5"/>
  <c r="EK188" i="5"/>
  <c r="EF784" i="5"/>
  <c r="DA188" i="5"/>
  <c r="EO188" i="5"/>
  <c r="EF188" i="5"/>
  <c r="CW190" i="5"/>
  <c r="EQ784" i="5"/>
  <c r="CY786" i="5"/>
  <c r="CZ786" i="5"/>
  <c r="CV786" i="5"/>
  <c r="DC784" i="5"/>
  <c r="ES784" i="5"/>
  <c r="EI784" i="5"/>
  <c r="CW648" i="5"/>
  <c r="IC190" i="5"/>
  <c r="CW188" i="5"/>
  <c r="DG190" i="5"/>
  <c r="DS188" i="5" s="1"/>
  <c r="DT188" i="5" s="1"/>
  <c r="JJ190" i="5"/>
  <c r="DJ188" i="5"/>
  <c r="IC188" i="5"/>
  <c r="EI188" i="5"/>
  <c r="AO188" i="5"/>
  <c r="DF188" i="5"/>
  <c r="CZ190" i="5"/>
  <c r="CY190" i="5"/>
  <c r="AO190" i="5"/>
  <c r="CV188" i="5"/>
  <c r="DC188" i="5"/>
  <c r="DJ190" i="5"/>
  <c r="ER188" i="5"/>
  <c r="EL188" i="5"/>
  <c r="ED188" i="5"/>
  <c r="AR188" i="5"/>
  <c r="EM188" i="5" s="1"/>
  <c r="DF341" i="5"/>
  <c r="CZ188" i="5"/>
  <c r="CY188" i="5"/>
  <c r="CV190" i="5"/>
  <c r="EG188" i="5"/>
  <c r="JZ190" i="5"/>
  <c r="DK188" i="5"/>
  <c r="EP188" i="5"/>
  <c r="ES188" i="5"/>
  <c r="CY784" i="5"/>
  <c r="JJ786" i="5"/>
  <c r="IC786" i="5"/>
  <c r="DB784" i="5"/>
  <c r="DK784" i="5"/>
  <c r="EO784" i="5"/>
  <c r="ER784" i="5"/>
  <c r="EL784" i="5"/>
  <c r="EP784" i="5"/>
  <c r="DF784" i="5"/>
  <c r="AO786" i="5"/>
  <c r="CZ784" i="5"/>
  <c r="ED784" i="5"/>
  <c r="AR784" i="5"/>
  <c r="EM784" i="5" s="1"/>
  <c r="AO784" i="5"/>
  <c r="IC784" i="5"/>
  <c r="DJ784" i="5"/>
  <c r="CV784" i="5"/>
  <c r="ES691" i="5"/>
  <c r="DJ786" i="5"/>
  <c r="EG784" i="5"/>
  <c r="JZ786" i="5"/>
  <c r="CW784" i="5"/>
  <c r="DG786" i="5"/>
  <c r="DS784" i="5" s="1"/>
  <c r="DV784" i="5" s="1"/>
  <c r="EA784" i="5" s="1"/>
  <c r="CX786" i="5"/>
  <c r="DF786" i="5"/>
  <c r="CW786" i="5"/>
  <c r="EN784" i="5"/>
  <c r="AR165" i="5"/>
  <c r="EM165" i="5" s="1"/>
  <c r="ET447" i="5"/>
  <c r="CZ341" i="5"/>
  <c r="DA339" i="5"/>
  <c r="CZ339" i="5"/>
  <c r="EP339" i="5"/>
  <c r="CX341" i="5"/>
  <c r="AR339" i="5"/>
  <c r="EM339" i="5" s="1"/>
  <c r="CW339" i="5"/>
  <c r="ER339" i="5"/>
  <c r="CV339" i="5"/>
  <c r="EF339" i="5"/>
  <c r="AO339" i="5"/>
  <c r="AO198" i="5"/>
  <c r="DJ339" i="5"/>
  <c r="DK339" i="5"/>
  <c r="DC339" i="5"/>
  <c r="DF339" i="5"/>
  <c r="CV341" i="5"/>
  <c r="DJ341" i="5"/>
  <c r="AO341" i="5"/>
  <c r="DG341" i="5"/>
  <c r="DS339" i="5" s="1"/>
  <c r="DV339" i="5" s="1"/>
  <c r="EA339" i="5" s="1"/>
  <c r="EG339" i="5"/>
  <c r="DB339" i="5"/>
  <c r="IC341" i="5"/>
  <c r="IC339" i="5"/>
  <c r="ES339" i="5"/>
  <c r="EQ339" i="5"/>
  <c r="CW341" i="5"/>
  <c r="EI339" i="5"/>
  <c r="CY339" i="5"/>
  <c r="EK339" i="5"/>
  <c r="CY341" i="5"/>
  <c r="JJ341" i="5"/>
  <c r="EL339" i="5"/>
  <c r="ED339" i="5"/>
  <c r="EO339" i="5"/>
  <c r="JZ341" i="5"/>
  <c r="CY276" i="5"/>
  <c r="CZ278" i="5"/>
  <c r="JZ278" i="5"/>
  <c r="IC276" i="5"/>
  <c r="EP276" i="5"/>
  <c r="EL550" i="5"/>
  <c r="CV200" i="5"/>
  <c r="ER550" i="5"/>
  <c r="DK198" i="5"/>
  <c r="DF552" i="5"/>
  <c r="EO198" i="5"/>
  <c r="DB550" i="5"/>
  <c r="EL198" i="5"/>
  <c r="CY198" i="5"/>
  <c r="JJ200" i="5"/>
  <c r="EF198" i="5"/>
  <c r="DJ278" i="5"/>
  <c r="JJ278" i="5"/>
  <c r="EI276" i="5"/>
  <c r="EN276" i="5"/>
  <c r="EQ276" i="5"/>
  <c r="DF550" i="5"/>
  <c r="ES550" i="5"/>
  <c r="CY552" i="5"/>
  <c r="IC550" i="5"/>
  <c r="ET744" i="5"/>
  <c r="EP198" i="5"/>
  <c r="DC198" i="5"/>
  <c r="EQ198" i="5"/>
  <c r="CY200" i="5"/>
  <c r="CZ276" i="5"/>
  <c r="EK276" i="5"/>
  <c r="ER276" i="5"/>
  <c r="AR276" i="5"/>
  <c r="EM276" i="5" s="1"/>
  <c r="CV276" i="5"/>
  <c r="CX552" i="5"/>
  <c r="DC550" i="5"/>
  <c r="DA550" i="5"/>
  <c r="JJ552" i="5"/>
  <c r="DJ200" i="5"/>
  <c r="CV198" i="5"/>
  <c r="ER198" i="5"/>
  <c r="AO200" i="5"/>
  <c r="EK198" i="5"/>
  <c r="CV278" i="5"/>
  <c r="CW278" i="5"/>
  <c r="AO278" i="5"/>
  <c r="DA276" i="5"/>
  <c r="EG276" i="5"/>
  <c r="CZ550" i="5"/>
  <c r="EQ550" i="5"/>
  <c r="EI550" i="5"/>
  <c r="EK550" i="5"/>
  <c r="EF550" i="5"/>
  <c r="CZ200" i="5"/>
  <c r="DG200" i="5"/>
  <c r="DS198" i="5" s="1"/>
  <c r="DV198" i="5" s="1"/>
  <c r="EA198" i="5" s="1"/>
  <c r="ED198" i="5"/>
  <c r="JZ200" i="5"/>
  <c r="CW198" i="5"/>
  <c r="CY278" i="5"/>
  <c r="ED276" i="5"/>
  <c r="CW276" i="5"/>
  <c r="DB276" i="5"/>
  <c r="CZ552" i="5"/>
  <c r="EG550" i="5"/>
  <c r="EN550" i="5"/>
  <c r="AO550" i="5"/>
  <c r="EO550" i="5"/>
  <c r="CZ198" i="5"/>
  <c r="DA198" i="5"/>
  <c r="EG198" i="5"/>
  <c r="CW200" i="5"/>
  <c r="EN198" i="5"/>
  <c r="DF276" i="5"/>
  <c r="DC276" i="5"/>
  <c r="EF276" i="5"/>
  <c r="EL276" i="5"/>
  <c r="DJ552" i="5"/>
  <c r="CV552" i="5"/>
  <c r="AO552" i="5"/>
  <c r="DG552" i="5"/>
  <c r="DS550" i="5" s="1"/>
  <c r="DV550" i="5" s="1"/>
  <c r="EA550" i="5" s="1"/>
  <c r="CW550" i="5"/>
  <c r="DJ198" i="5"/>
  <c r="CX200" i="5"/>
  <c r="EI198" i="5"/>
  <c r="IC198" i="5"/>
  <c r="DB198" i="5"/>
  <c r="EO276" i="5"/>
  <c r="AO276" i="5"/>
  <c r="CX278" i="5"/>
  <c r="IC278" i="5"/>
  <c r="DJ550" i="5"/>
  <c r="AR550" i="5"/>
  <c r="EM550" i="5" s="1"/>
  <c r="DK550" i="5"/>
  <c r="CW552" i="5"/>
  <c r="EP550" i="5"/>
  <c r="DF198" i="5"/>
  <c r="AR198" i="5"/>
  <c r="EM198" i="5" s="1"/>
  <c r="ES198" i="5"/>
  <c r="DF200" i="5"/>
  <c r="DJ276" i="5"/>
  <c r="DG278" i="5"/>
  <c r="DS276" i="5" s="1"/>
  <c r="DV276" i="5" s="1"/>
  <c r="EA276" i="5" s="1"/>
  <c r="ES276" i="5"/>
  <c r="DF278" i="5"/>
  <c r="CY550" i="5"/>
  <c r="IC552" i="5"/>
  <c r="CV550" i="5"/>
  <c r="ED550" i="5"/>
  <c r="CZ545" i="5"/>
  <c r="IC167" i="5"/>
  <c r="EF165" i="5"/>
  <c r="DJ256" i="5"/>
  <c r="DJ505" i="5"/>
  <c r="EQ256" i="5"/>
  <c r="DF507" i="5"/>
  <c r="CY258" i="5"/>
  <c r="CW354" i="5"/>
  <c r="DF505" i="5"/>
  <c r="EK256" i="5"/>
  <c r="CX507" i="5"/>
  <c r="EI256" i="5"/>
  <c r="DF165" i="5"/>
  <c r="EP505" i="5"/>
  <c r="DG167" i="5"/>
  <c r="DS165" i="5" s="1"/>
  <c r="DT167" i="5" s="1"/>
  <c r="CW165" i="5"/>
  <c r="AO505" i="5"/>
  <c r="EO505" i="5"/>
  <c r="CY256" i="5"/>
  <c r="ED256" i="5"/>
  <c r="JZ258" i="5"/>
  <c r="DB165" i="5"/>
  <c r="EG165" i="5"/>
  <c r="CZ505" i="5"/>
  <c r="AO507" i="5"/>
  <c r="EL505" i="5"/>
  <c r="CV505" i="5"/>
  <c r="CY505" i="5"/>
  <c r="CZ258" i="5"/>
  <c r="EP256" i="5"/>
  <c r="AO256" i="5"/>
  <c r="IC165" i="5"/>
  <c r="CX167" i="5"/>
  <c r="EN165" i="5"/>
  <c r="EI165" i="5"/>
  <c r="DJ507" i="5"/>
  <c r="IC505" i="5"/>
  <c r="CW507" i="5"/>
  <c r="DG507" i="5"/>
  <c r="DS505" i="5" s="1"/>
  <c r="DT507" i="5" s="1"/>
  <c r="DC505" i="5"/>
  <c r="CZ256" i="5"/>
  <c r="DF258" i="5"/>
  <c r="CX258" i="5"/>
  <c r="ES256" i="5"/>
  <c r="CV258" i="5"/>
  <c r="AO356" i="5"/>
  <c r="EF646" i="5"/>
  <c r="CZ507" i="5"/>
  <c r="EI505" i="5"/>
  <c r="EG256" i="5"/>
  <c r="CZ167" i="5"/>
  <c r="CV167" i="5"/>
  <c r="DK165" i="5"/>
  <c r="EO165" i="5"/>
  <c r="AO165" i="5"/>
  <c r="JJ507" i="5"/>
  <c r="EG505" i="5"/>
  <c r="DB505" i="5"/>
  <c r="CV507" i="5"/>
  <c r="CY507" i="5"/>
  <c r="CW258" i="5"/>
  <c r="EF256" i="5"/>
  <c r="DG258" i="5"/>
  <c r="DS256" i="5" s="1"/>
  <c r="DV256" i="5" s="1"/>
  <c r="EA256" i="5" s="1"/>
  <c r="AO258" i="5"/>
  <c r="EN354" i="5"/>
  <c r="DF167" i="5"/>
  <c r="EP354" i="5"/>
  <c r="DJ167" i="5"/>
  <c r="EP165" i="5"/>
  <c r="CY165" i="5"/>
  <c r="DC165" i="5"/>
  <c r="EQ165" i="5"/>
  <c r="EN505" i="5"/>
  <c r="EQ505" i="5"/>
  <c r="CW505" i="5"/>
  <c r="JZ507" i="5"/>
  <c r="CW256" i="5"/>
  <c r="ER256" i="5"/>
  <c r="AR256" i="5"/>
  <c r="EM256" i="5" s="1"/>
  <c r="EN256" i="5"/>
  <c r="ET155" i="5"/>
  <c r="DJ165" i="5"/>
  <c r="CY167" i="5"/>
  <c r="JJ167" i="5"/>
  <c r="ER165" i="5"/>
  <c r="CV165" i="5"/>
  <c r="DK505" i="5"/>
  <c r="IC507" i="5"/>
  <c r="ES505" i="5"/>
  <c r="ET505" i="5" s="1"/>
  <c r="EK505" i="5"/>
  <c r="EL256" i="5"/>
  <c r="IC256" i="5"/>
  <c r="IC258" i="5"/>
  <c r="DC256" i="5"/>
  <c r="ES165" i="5"/>
  <c r="ED165" i="5"/>
  <c r="EK165" i="5"/>
  <c r="AO167" i="5"/>
  <c r="JZ167" i="5"/>
  <c r="EL165" i="5"/>
  <c r="ED505" i="5"/>
  <c r="AR505" i="5"/>
  <c r="EM505" i="5" s="1"/>
  <c r="EF505" i="5"/>
  <c r="DA505" i="5"/>
  <c r="DJ258" i="5"/>
  <c r="DB256" i="5"/>
  <c r="DK256" i="5"/>
  <c r="EO256" i="5"/>
  <c r="JJ258" i="5"/>
  <c r="CZ165" i="5"/>
  <c r="DA256" i="5"/>
  <c r="DA165" i="5"/>
  <c r="CV256" i="5"/>
  <c r="DD349" i="5"/>
  <c r="DB691" i="5"/>
  <c r="EP691" i="5"/>
  <c r="EF691" i="5"/>
  <c r="AO691" i="5"/>
  <c r="CZ593" i="5"/>
  <c r="DJ693" i="5"/>
  <c r="DK691" i="5"/>
  <c r="CZ691" i="5"/>
  <c r="CW693" i="5"/>
  <c r="EI691" i="5"/>
  <c r="DJ691" i="5"/>
  <c r="JJ693" i="5"/>
  <c r="IC691" i="5"/>
  <c r="AR691" i="5"/>
  <c r="EM691" i="5" s="1"/>
  <c r="JZ693" i="5"/>
  <c r="DA593" i="5"/>
  <c r="EN691" i="5"/>
  <c r="CX693" i="5"/>
  <c r="DF693" i="5"/>
  <c r="EL691" i="5"/>
  <c r="CY691" i="5"/>
  <c r="DC593" i="5"/>
  <c r="DC691" i="5"/>
  <c r="EO691" i="5"/>
  <c r="DF691" i="5"/>
  <c r="EG691" i="5"/>
  <c r="AO593" i="5"/>
  <c r="EK691" i="5"/>
  <c r="EQ691" i="5"/>
  <c r="CV693" i="5"/>
  <c r="DA691" i="5"/>
  <c r="CW595" i="5"/>
  <c r="ED691" i="5"/>
  <c r="AO693" i="5"/>
  <c r="CY693" i="5"/>
  <c r="ER691" i="5"/>
  <c r="CZ693" i="5"/>
  <c r="CV691" i="5"/>
  <c r="IC693" i="5"/>
  <c r="CW691" i="5"/>
  <c r="EI422" i="5"/>
  <c r="ER545" i="5"/>
  <c r="DG424" i="5"/>
  <c r="DS422" i="5" s="1"/>
  <c r="DT424" i="5" s="1"/>
  <c r="CZ223" i="5"/>
  <c r="CV547" i="5"/>
  <c r="EP271" i="5"/>
  <c r="EG422" i="5"/>
  <c r="ED271" i="5"/>
  <c r="EN545" i="5"/>
  <c r="DK422" i="5"/>
  <c r="EQ545" i="5"/>
  <c r="CW424" i="5"/>
  <c r="ES646" i="5"/>
  <c r="EL646" i="5"/>
  <c r="EK646" i="5"/>
  <c r="EI646" i="5"/>
  <c r="ET764" i="5"/>
  <c r="DJ593" i="5"/>
  <c r="AO595" i="5"/>
  <c r="JJ595" i="5"/>
  <c r="DK593" i="5"/>
  <c r="CY595" i="5"/>
  <c r="CZ595" i="5"/>
  <c r="ER593" i="5"/>
  <c r="EL593" i="5"/>
  <c r="IC595" i="5"/>
  <c r="EO593" i="5"/>
  <c r="CW409" i="5"/>
  <c r="EQ593" i="5"/>
  <c r="CY593" i="5"/>
  <c r="CV595" i="5"/>
  <c r="DB593" i="5"/>
  <c r="CX595" i="5"/>
  <c r="DF407" i="5"/>
  <c r="EI593" i="5"/>
  <c r="EK593" i="5"/>
  <c r="CV593" i="5"/>
  <c r="EG593" i="5"/>
  <c r="CV409" i="5"/>
  <c r="IC593" i="5"/>
  <c r="ED593" i="5"/>
  <c r="EN593" i="5"/>
  <c r="EF593" i="5"/>
  <c r="EP407" i="5"/>
  <c r="DV447" i="5"/>
  <c r="EA447" i="5" s="1"/>
  <c r="AR593" i="5"/>
  <c r="EM593" i="5" s="1"/>
  <c r="CW593" i="5"/>
  <c r="JZ595" i="5"/>
  <c r="DF593" i="5"/>
  <c r="DJ595" i="5"/>
  <c r="DF595" i="5"/>
  <c r="ES593" i="5"/>
  <c r="DG595" i="5"/>
  <c r="DS593" i="5" s="1"/>
  <c r="DT595" i="5" s="1"/>
  <c r="DJ545" i="5"/>
  <c r="CV545" i="5"/>
  <c r="AR545" i="5"/>
  <c r="EM545" i="5" s="1"/>
  <c r="IC547" i="5"/>
  <c r="EG545" i="5"/>
  <c r="DJ424" i="5"/>
  <c r="ED422" i="5"/>
  <c r="JZ424" i="5"/>
  <c r="EN422" i="5"/>
  <c r="AO422" i="5"/>
  <c r="CV273" i="5"/>
  <c r="CX273" i="5"/>
  <c r="DJ223" i="5"/>
  <c r="EP545" i="5"/>
  <c r="DB545" i="5"/>
  <c r="CY547" i="5"/>
  <c r="ES545" i="5"/>
  <c r="DF547" i="5"/>
  <c r="EO422" i="5"/>
  <c r="ES422" i="5"/>
  <c r="CV422" i="5"/>
  <c r="DF424" i="5"/>
  <c r="CZ271" i="5"/>
  <c r="CV271" i="5"/>
  <c r="JZ273" i="5"/>
  <c r="DG648" i="5"/>
  <c r="DS646" i="5" s="1"/>
  <c r="DT646" i="5" s="1"/>
  <c r="IC646" i="5"/>
  <c r="CY225" i="5"/>
  <c r="DM447" i="5"/>
  <c r="DA545" i="5"/>
  <c r="CX547" i="5"/>
  <c r="DG547" i="5"/>
  <c r="DS545" i="5" s="1"/>
  <c r="DT545" i="5" s="1"/>
  <c r="EL545" i="5"/>
  <c r="DB422" i="5"/>
  <c r="CX424" i="5"/>
  <c r="ER422" i="5"/>
  <c r="AO424" i="5"/>
  <c r="CZ273" i="5"/>
  <c r="DF273" i="5"/>
  <c r="EO271" i="5"/>
  <c r="JZ648" i="5"/>
  <c r="DB646" i="5"/>
  <c r="EQ223" i="5"/>
  <c r="EK545" i="5"/>
  <c r="CY545" i="5"/>
  <c r="ED545" i="5"/>
  <c r="CW545" i="5"/>
  <c r="CY422" i="5"/>
  <c r="JJ424" i="5"/>
  <c r="EF422" i="5"/>
  <c r="EL422" i="5"/>
  <c r="DJ273" i="5"/>
  <c r="EF271" i="5"/>
  <c r="CW273" i="5"/>
  <c r="DJ648" i="5"/>
  <c r="EN646" i="5"/>
  <c r="CV648" i="5"/>
  <c r="JZ225" i="5"/>
  <c r="EI545" i="5"/>
  <c r="CW547" i="5"/>
  <c r="DK545" i="5"/>
  <c r="IC545" i="5"/>
  <c r="DJ422" i="5"/>
  <c r="DF422" i="5"/>
  <c r="CY424" i="5"/>
  <c r="EK422" i="5"/>
  <c r="CV424" i="5"/>
  <c r="AO271" i="5"/>
  <c r="IC273" i="5"/>
  <c r="CZ646" i="5"/>
  <c r="AO648" i="5"/>
  <c r="AP646" i="5" s="1"/>
  <c r="CV646" i="5"/>
  <c r="DJ547" i="5"/>
  <c r="JJ547" i="5"/>
  <c r="JZ547" i="5"/>
  <c r="DF545" i="5"/>
  <c r="AO547" i="5"/>
  <c r="CZ424" i="5"/>
  <c r="DN424" i="5" s="1"/>
  <c r="EQ422" i="5"/>
  <c r="IC422" i="5"/>
  <c r="DA422" i="5"/>
  <c r="DC422" i="5"/>
  <c r="EI271" i="5"/>
  <c r="CY271" i="5"/>
  <c r="CZ547" i="5"/>
  <c r="AO545" i="5"/>
  <c r="EF545" i="5"/>
  <c r="DC545" i="5"/>
  <c r="CZ422" i="5"/>
  <c r="EP422" i="5"/>
  <c r="AR422" i="5"/>
  <c r="EM422" i="5" s="1"/>
  <c r="CW422" i="5"/>
  <c r="DB271" i="5"/>
  <c r="AR271" i="5"/>
  <c r="EM271" i="5" s="1"/>
  <c r="DC646" i="5"/>
  <c r="CW646" i="5"/>
  <c r="EJ447" i="5"/>
  <c r="EH447" i="5"/>
  <c r="CV120" i="5"/>
  <c r="DF646" i="5"/>
  <c r="DF648" i="5"/>
  <c r="EP646" i="5"/>
  <c r="DK223" i="5"/>
  <c r="EP120" i="5"/>
  <c r="EO646" i="5"/>
  <c r="CY646" i="5"/>
  <c r="EN223" i="5"/>
  <c r="ES120" i="5"/>
  <c r="CW120" i="5"/>
  <c r="ED407" i="5"/>
  <c r="DC407" i="5"/>
  <c r="DK407" i="5"/>
  <c r="JZ409" i="5"/>
  <c r="DT447" i="5"/>
  <c r="ES407" i="5"/>
  <c r="EL407" i="5"/>
  <c r="CY409" i="5"/>
  <c r="EG407" i="5"/>
  <c r="DJ409" i="5"/>
  <c r="IC407" i="5"/>
  <c r="AO407" i="5"/>
  <c r="AO409" i="5"/>
  <c r="AR407" i="5"/>
  <c r="EM407" i="5" s="1"/>
  <c r="CZ407" i="5"/>
  <c r="DA407" i="5"/>
  <c r="EN407" i="5"/>
  <c r="EF407" i="5"/>
  <c r="CY407" i="5"/>
  <c r="DJ407" i="5"/>
  <c r="ER407" i="5"/>
  <c r="EQ407" i="5"/>
  <c r="IC409" i="5"/>
  <c r="CX409" i="5"/>
  <c r="CZ409" i="5"/>
  <c r="CW407" i="5"/>
  <c r="EK407" i="5"/>
  <c r="JJ409" i="5"/>
  <c r="EO407" i="5"/>
  <c r="EI407" i="5"/>
  <c r="DB407" i="5"/>
  <c r="DG409" i="5"/>
  <c r="DS407" i="5" s="1"/>
  <c r="DV407" i="5" s="1"/>
  <c r="EA407" i="5" s="1"/>
  <c r="DF409" i="5"/>
  <c r="AR646" i="5"/>
  <c r="EM646" i="5" s="1"/>
  <c r="ED646" i="5"/>
  <c r="IC648" i="5"/>
  <c r="ER646" i="5"/>
  <c r="EL223" i="5"/>
  <c r="DJ646" i="5"/>
  <c r="CX648" i="5"/>
  <c r="DA646" i="5"/>
  <c r="JJ648" i="5"/>
  <c r="DK646" i="5"/>
  <c r="AO225" i="5"/>
  <c r="CZ648" i="5"/>
  <c r="CY648" i="5"/>
  <c r="EG646" i="5"/>
  <c r="EQ646" i="5"/>
  <c r="DC223" i="5"/>
  <c r="DD739" i="5"/>
  <c r="IC271" i="5"/>
  <c r="DC271" i="5"/>
  <c r="DF271" i="5"/>
  <c r="DA271" i="5"/>
  <c r="JJ225" i="5"/>
  <c r="DF223" i="5"/>
  <c r="CW223" i="5"/>
  <c r="ER223" i="5"/>
  <c r="CV223" i="5"/>
  <c r="CY223" i="5"/>
  <c r="EP223" i="5"/>
  <c r="CV225" i="5"/>
  <c r="EL271" i="5"/>
  <c r="JJ273" i="5"/>
  <c r="EN271" i="5"/>
  <c r="ER271" i="5"/>
  <c r="DJ225" i="5"/>
  <c r="CW225" i="5"/>
  <c r="ED223" i="5"/>
  <c r="IC223" i="5"/>
  <c r="DA223" i="5"/>
  <c r="DJ271" i="5"/>
  <c r="AO273" i="5"/>
  <c r="EQ271" i="5"/>
  <c r="ES271" i="5"/>
  <c r="EG271" i="5"/>
  <c r="CZ225" i="5"/>
  <c r="EO223" i="5"/>
  <c r="ES223" i="5"/>
  <c r="AR223" i="5"/>
  <c r="EM223" i="5" s="1"/>
  <c r="DF225" i="5"/>
  <c r="CX225" i="5"/>
  <c r="EI223" i="5"/>
  <c r="EF223" i="5"/>
  <c r="EH223" i="5" s="1"/>
  <c r="AO223" i="5"/>
  <c r="DG225" i="5"/>
  <c r="DS223" i="5" s="1"/>
  <c r="DT223" i="5" s="1"/>
  <c r="CY273" i="5"/>
  <c r="DG273" i="5"/>
  <c r="DS271" i="5" s="1"/>
  <c r="DT271" i="5" s="1"/>
  <c r="EK271" i="5"/>
  <c r="DK271" i="5"/>
  <c r="DB223" i="5"/>
  <c r="EK223" i="5"/>
  <c r="IC225" i="5"/>
  <c r="DN449" i="5"/>
  <c r="CV293" i="5"/>
  <c r="ER291" i="5"/>
  <c r="DB291" i="5"/>
  <c r="DF291" i="5"/>
  <c r="CX293" i="5"/>
  <c r="DJ122" i="5"/>
  <c r="IC120" i="5"/>
  <c r="IC122" i="5"/>
  <c r="DB120" i="5"/>
  <c r="DF122" i="5"/>
  <c r="CZ122" i="5"/>
  <c r="EL120" i="5"/>
  <c r="DF120" i="5"/>
  <c r="DC120" i="5"/>
  <c r="CX122" i="5"/>
  <c r="DJ120" i="5"/>
  <c r="EO120" i="5"/>
  <c r="EK120" i="5"/>
  <c r="EN120" i="5"/>
  <c r="AR120" i="5"/>
  <c r="EM120" i="5" s="1"/>
  <c r="DK120" i="5"/>
  <c r="ED120" i="5"/>
  <c r="CW122" i="5"/>
  <c r="AO122" i="5"/>
  <c r="ER120" i="5"/>
  <c r="EQ120" i="5"/>
  <c r="CY122" i="5"/>
  <c r="AO120" i="5"/>
  <c r="DA120" i="5"/>
  <c r="EG120" i="5"/>
  <c r="DG122" i="5"/>
  <c r="DS120" i="5" s="1"/>
  <c r="DT120" i="5" s="1"/>
  <c r="JZ122" i="5"/>
  <c r="EI120" i="5"/>
  <c r="CZ120" i="5"/>
  <c r="CY120" i="5"/>
  <c r="JJ122" i="5"/>
  <c r="EF120" i="5"/>
  <c r="AP447" i="5"/>
  <c r="DC286" i="5"/>
  <c r="EQ286" i="5"/>
  <c r="AR286" i="5"/>
  <c r="EM286" i="5" s="1"/>
  <c r="DK286" i="5"/>
  <c r="DJ356" i="5"/>
  <c r="EK354" i="5"/>
  <c r="EI354" i="5"/>
  <c r="ER354" i="5"/>
  <c r="ET354" i="5" s="1"/>
  <c r="ED354" i="5"/>
  <c r="CZ356" i="5"/>
  <c r="DF356" i="5"/>
  <c r="EF354" i="5"/>
  <c r="DC354" i="5"/>
  <c r="CX356" i="5"/>
  <c r="DJ354" i="5"/>
  <c r="JZ356" i="5"/>
  <c r="DK354" i="5"/>
  <c r="CV354" i="5"/>
  <c r="AO354" i="5"/>
  <c r="CZ354" i="5"/>
  <c r="DA354" i="5"/>
  <c r="AR354" i="5"/>
  <c r="EM354" i="5" s="1"/>
  <c r="DF354" i="5"/>
  <c r="CV356" i="5"/>
  <c r="DG356" i="5"/>
  <c r="DS354" i="5" s="1"/>
  <c r="DT356" i="5" s="1"/>
  <c r="EG354" i="5"/>
  <c r="CY356" i="5"/>
  <c r="CY354" i="5"/>
  <c r="JJ356" i="5"/>
  <c r="EO354" i="5"/>
  <c r="DB354" i="5"/>
  <c r="IC354" i="5"/>
  <c r="EQ354" i="5"/>
  <c r="DD447" i="5"/>
  <c r="IC356" i="5"/>
  <c r="CW356" i="5"/>
  <c r="EL354" i="5"/>
  <c r="DM535" i="5"/>
  <c r="AP155" i="5"/>
  <c r="CZ288" i="5"/>
  <c r="CY288" i="5"/>
  <c r="EF286" i="5"/>
  <c r="CW288" i="5"/>
  <c r="ES286" i="5"/>
  <c r="DJ293" i="5"/>
  <c r="DK291" i="5"/>
  <c r="EO291" i="5"/>
  <c r="CW293" i="5"/>
  <c r="EN291" i="5"/>
  <c r="EK286" i="5"/>
  <c r="CX288" i="5"/>
  <c r="CW286" i="5"/>
  <c r="DA286" i="5"/>
  <c r="DA291" i="5"/>
  <c r="EQ291" i="5"/>
  <c r="JJ293" i="5"/>
  <c r="EI291" i="5"/>
  <c r="DF288" i="5"/>
  <c r="DB286" i="5"/>
  <c r="EO286" i="5"/>
  <c r="AO286" i="5"/>
  <c r="CV291" i="5"/>
  <c r="IC293" i="5"/>
  <c r="EL291" i="5"/>
  <c r="EF291" i="5"/>
  <c r="IC286" i="5"/>
  <c r="ED286" i="5"/>
  <c r="EP286" i="5"/>
  <c r="DF286" i="5"/>
  <c r="CY291" i="5"/>
  <c r="EG291" i="5"/>
  <c r="IC291" i="5"/>
  <c r="JZ293" i="5"/>
  <c r="DJ286" i="5"/>
  <c r="EG286" i="5"/>
  <c r="IC288" i="5"/>
  <c r="JZ288" i="5"/>
  <c r="EI286" i="5"/>
  <c r="CZ293" i="5"/>
  <c r="EK291" i="5"/>
  <c r="EP291" i="5"/>
  <c r="ES291" i="5"/>
  <c r="DG293" i="5"/>
  <c r="DS291" i="5" s="1"/>
  <c r="DV291" i="5" s="1"/>
  <c r="EA291" i="5" s="1"/>
  <c r="DJ288" i="5"/>
  <c r="EN286" i="5"/>
  <c r="EL286" i="5"/>
  <c r="AO288" i="5"/>
  <c r="CV288" i="5"/>
  <c r="CZ291" i="5"/>
  <c r="DC291" i="5"/>
  <c r="CY293" i="5"/>
  <c r="ED291" i="5"/>
  <c r="AO291" i="5"/>
  <c r="CZ286" i="5"/>
  <c r="CY286" i="5"/>
  <c r="DG288" i="5"/>
  <c r="DS286" i="5" s="1"/>
  <c r="DT288" i="5" s="1"/>
  <c r="ER286" i="5"/>
  <c r="DJ291" i="5"/>
  <c r="DF293" i="5"/>
  <c r="CW291" i="5"/>
  <c r="AO293" i="5"/>
  <c r="ET724" i="5"/>
  <c r="DN205" i="5"/>
  <c r="DD432" i="5"/>
  <c r="DM115" i="5"/>
  <c r="DD417" i="5"/>
  <c r="AP641" i="5"/>
  <c r="AP77" i="5"/>
  <c r="DD203" i="5"/>
  <c r="DN220" i="5"/>
  <c r="DN766" i="5"/>
  <c r="DM369" i="5"/>
  <c r="DN643" i="5"/>
  <c r="DN746" i="5"/>
  <c r="ET349" i="5"/>
  <c r="DM359" i="5"/>
  <c r="DM774" i="5"/>
  <c r="DN683" i="5"/>
  <c r="ET641" i="5"/>
  <c r="AP145" i="5"/>
  <c r="DO316" i="5"/>
  <c r="DM203" i="5"/>
  <c r="ET437" i="5"/>
  <c r="ET95" i="5"/>
  <c r="DM764" i="5"/>
  <c r="DD261" i="5"/>
  <c r="DN537" i="5"/>
  <c r="AP349" i="5"/>
  <c r="DN185" i="5"/>
  <c r="DD724" i="5"/>
  <c r="AP218" i="5"/>
  <c r="ET379" i="5"/>
  <c r="DN157" i="5"/>
  <c r="DD155" i="5"/>
  <c r="AP95" i="5"/>
  <c r="DD306" i="5"/>
  <c r="DO389" i="5"/>
  <c r="AP661" i="5"/>
  <c r="ET213" i="5"/>
  <c r="ET183" i="5"/>
  <c r="DN464" i="5"/>
  <c r="AP115" i="5"/>
  <c r="AP261" i="5"/>
  <c r="DD77" i="5"/>
  <c r="ET369" i="5"/>
  <c r="DM95" i="5"/>
  <c r="DN263" i="5"/>
  <c r="AP369" i="5"/>
  <c r="DM661" i="5"/>
  <c r="DM432" i="5"/>
  <c r="ET261" i="5"/>
  <c r="DD696" i="5"/>
  <c r="AP462" i="5"/>
  <c r="DM145" i="5"/>
  <c r="AP739" i="5"/>
  <c r="DD145" i="5"/>
  <c r="DN522" i="5"/>
  <c r="DD520" i="5"/>
  <c r="DD125" i="5"/>
  <c r="DD183" i="5"/>
  <c r="DN776" i="5"/>
  <c r="DN479" i="5"/>
  <c r="DN127" i="5"/>
  <c r="DN215" i="5"/>
  <c r="DN313" i="5"/>
  <c r="AP311" i="5"/>
  <c r="DD311" i="5"/>
  <c r="ET311" i="5"/>
  <c r="AP203" i="5"/>
  <c r="ET477" i="5"/>
  <c r="ET661" i="5"/>
  <c r="AP125" i="5"/>
  <c r="DM706" i="5"/>
  <c r="AP706" i="5"/>
  <c r="DD706" i="5"/>
  <c r="DM696" i="5"/>
  <c r="ET696" i="5"/>
  <c r="DM417" i="5"/>
  <c r="DD641" i="5"/>
  <c r="DD774" i="5"/>
  <c r="DN117" i="5"/>
  <c r="DD115" i="5"/>
  <c r="DD535" i="5"/>
  <c r="DN371" i="5"/>
  <c r="DN439" i="5"/>
  <c r="AP306" i="5"/>
  <c r="ET417" i="5"/>
  <c r="DN361" i="5"/>
  <c r="EJ573" i="5"/>
  <c r="EH573" i="5"/>
  <c r="CX253" i="5"/>
  <c r="EQ251" i="5"/>
  <c r="DA251" i="5"/>
  <c r="DC251" i="5"/>
  <c r="JZ253" i="5"/>
  <c r="EG251" i="5"/>
  <c r="CW253" i="5"/>
  <c r="ES251" i="5"/>
  <c r="DG253" i="5"/>
  <c r="DS251" i="5" s="1"/>
  <c r="CV253" i="5"/>
  <c r="CW251" i="5"/>
  <c r="EN251" i="5"/>
  <c r="DK251" i="5"/>
  <c r="AO253" i="5"/>
  <c r="IC253" i="5"/>
  <c r="CY253" i="5"/>
  <c r="ED251" i="5"/>
  <c r="EP251" i="5"/>
  <c r="ER251" i="5"/>
  <c r="EO251" i="5"/>
  <c r="DF251" i="5"/>
  <c r="DB251" i="5"/>
  <c r="EI251" i="5"/>
  <c r="EF251" i="5"/>
  <c r="AR251" i="5"/>
  <c r="EM251" i="5" s="1"/>
  <c r="AO251" i="5"/>
  <c r="CY251" i="5"/>
  <c r="CV251" i="5"/>
  <c r="IC251" i="5"/>
  <c r="JJ253" i="5"/>
  <c r="DF253" i="5"/>
  <c r="EK251" i="5"/>
  <c r="EL251" i="5"/>
  <c r="DJ251" i="5"/>
  <c r="CZ251" i="5"/>
  <c r="CZ253" i="5"/>
  <c r="DJ253" i="5"/>
  <c r="ET77" i="5"/>
  <c r="DT261" i="5"/>
  <c r="DT263" i="5"/>
  <c r="DV261" i="5"/>
  <c r="EA261" i="5" s="1"/>
  <c r="DG625" i="5"/>
  <c r="DS623" i="5" s="1"/>
  <c r="EQ623" i="5"/>
  <c r="DC623" i="5"/>
  <c r="JZ625" i="5"/>
  <c r="EK623" i="5"/>
  <c r="CW623" i="5"/>
  <c r="AO625" i="5"/>
  <c r="DK623" i="5"/>
  <c r="DB623" i="5"/>
  <c r="IC625" i="5"/>
  <c r="DF623" i="5"/>
  <c r="EO623" i="5"/>
  <c r="DF625" i="5"/>
  <c r="CW625" i="5"/>
  <c r="ES623" i="5"/>
  <c r="EG623" i="5"/>
  <c r="ED623" i="5"/>
  <c r="CY625" i="5"/>
  <c r="CV625" i="5"/>
  <c r="DA623" i="5"/>
  <c r="CV623" i="5"/>
  <c r="CY623" i="5"/>
  <c r="EN623" i="5"/>
  <c r="CX625" i="5"/>
  <c r="JJ625" i="5"/>
  <c r="AR623" i="5"/>
  <c r="EM623" i="5" s="1"/>
  <c r="EI623" i="5"/>
  <c r="AO623" i="5"/>
  <c r="ER623" i="5"/>
  <c r="EF623" i="5"/>
  <c r="EP623" i="5"/>
  <c r="IC623" i="5"/>
  <c r="EL623" i="5"/>
  <c r="DJ623" i="5"/>
  <c r="CZ625" i="5"/>
  <c r="DJ625" i="5"/>
  <c r="CZ623" i="5"/>
  <c r="DM573" i="5"/>
  <c r="DM437" i="5"/>
  <c r="IC540" i="5"/>
  <c r="DA540" i="5"/>
  <c r="ED540" i="5"/>
  <c r="DF540" i="5"/>
  <c r="EQ540" i="5"/>
  <c r="JZ542" i="5"/>
  <c r="CW540" i="5"/>
  <c r="EL540" i="5"/>
  <c r="EI540" i="5"/>
  <c r="JJ542" i="5"/>
  <c r="AO540" i="5"/>
  <c r="DB540" i="5"/>
  <c r="DC540" i="5"/>
  <c r="AO542" i="5"/>
  <c r="CX542" i="5"/>
  <c r="EK540" i="5"/>
  <c r="ER540" i="5"/>
  <c r="CW542" i="5"/>
  <c r="EF540" i="5"/>
  <c r="EN540" i="5"/>
  <c r="CV540" i="5"/>
  <c r="AR540" i="5"/>
  <c r="EM540" i="5" s="1"/>
  <c r="EO540" i="5"/>
  <c r="CY540" i="5"/>
  <c r="CV542" i="5"/>
  <c r="IC542" i="5"/>
  <c r="EG540" i="5"/>
  <c r="DG542" i="5"/>
  <c r="DS540" i="5" s="1"/>
  <c r="DF542" i="5"/>
  <c r="CY542" i="5"/>
  <c r="DK540" i="5"/>
  <c r="ES540" i="5"/>
  <c r="EP540" i="5"/>
  <c r="CZ540" i="5"/>
  <c r="DJ540" i="5"/>
  <c r="CZ542" i="5"/>
  <c r="DJ542" i="5"/>
  <c r="ES399" i="5"/>
  <c r="IC399" i="5"/>
  <c r="JZ401" i="5"/>
  <c r="DK399" i="5"/>
  <c r="EK399" i="5"/>
  <c r="EQ399" i="5"/>
  <c r="JJ401" i="5"/>
  <c r="CW401" i="5"/>
  <c r="DF399" i="5"/>
  <c r="EI399" i="5"/>
  <c r="ED399" i="5"/>
  <c r="CV401" i="5"/>
  <c r="EL399" i="5"/>
  <c r="ER399" i="5"/>
  <c r="CX401" i="5"/>
  <c r="EO399" i="5"/>
  <c r="CW399" i="5"/>
  <c r="AR399" i="5"/>
  <c r="EM399" i="5" s="1"/>
  <c r="EP399" i="5"/>
  <c r="EN399" i="5"/>
  <c r="DF401" i="5"/>
  <c r="IC401" i="5"/>
  <c r="DB399" i="5"/>
  <c r="DA399" i="5"/>
  <c r="CV399" i="5"/>
  <c r="CY401" i="5"/>
  <c r="DC399" i="5"/>
  <c r="AO399" i="5"/>
  <c r="CY399" i="5"/>
  <c r="EG399" i="5"/>
  <c r="EF399" i="5"/>
  <c r="DG401" i="5"/>
  <c r="DS399" i="5" s="1"/>
  <c r="AO401" i="5"/>
  <c r="CZ401" i="5"/>
  <c r="DJ399" i="5"/>
  <c r="CZ399" i="5"/>
  <c r="DJ401" i="5"/>
  <c r="DD218" i="5"/>
  <c r="AP477" i="5"/>
  <c r="DN663" i="5"/>
  <c r="EJ125" i="5"/>
  <c r="EH125" i="5"/>
  <c r="DN708" i="5"/>
  <c r="EJ706" i="5"/>
  <c r="EH706" i="5"/>
  <c r="DD379" i="5"/>
  <c r="AP696" i="5"/>
  <c r="AP213" i="5"/>
  <c r="DN419" i="5"/>
  <c r="JJ502" i="5"/>
  <c r="EG500" i="5"/>
  <c r="AO500" i="5"/>
  <c r="EL500" i="5"/>
  <c r="IC502" i="5"/>
  <c r="ED500" i="5"/>
  <c r="EN500" i="5"/>
  <c r="CW502" i="5"/>
  <c r="EF500" i="5"/>
  <c r="CY502" i="5"/>
  <c r="CY500" i="5"/>
  <c r="CV502" i="5"/>
  <c r="EK500" i="5"/>
  <c r="IC500" i="5"/>
  <c r="CX502" i="5"/>
  <c r="DK500" i="5"/>
  <c r="AR500" i="5"/>
  <c r="EM500" i="5" s="1"/>
  <c r="EQ500" i="5"/>
  <c r="ES500" i="5"/>
  <c r="DB500" i="5"/>
  <c r="DA500" i="5"/>
  <c r="EI500" i="5"/>
  <c r="DF500" i="5"/>
  <c r="DG502" i="5"/>
  <c r="DS500" i="5" s="1"/>
  <c r="DF502" i="5"/>
  <c r="DC500" i="5"/>
  <c r="AO502" i="5"/>
  <c r="EO500" i="5"/>
  <c r="EP500" i="5"/>
  <c r="JZ502" i="5"/>
  <c r="ER500" i="5"/>
  <c r="CW500" i="5"/>
  <c r="CV500" i="5"/>
  <c r="DJ500" i="5"/>
  <c r="CZ500" i="5"/>
  <c r="CZ502" i="5"/>
  <c r="DJ502" i="5"/>
  <c r="DM641" i="5"/>
  <c r="AP359" i="5"/>
  <c r="DD359" i="5"/>
  <c r="DV774" i="5"/>
  <c r="EA774" i="5" s="1"/>
  <c r="DT774" i="5"/>
  <c r="DT776" i="5"/>
  <c r="DF457" i="5"/>
  <c r="DC457" i="5"/>
  <c r="CY457" i="5"/>
  <c r="EL457" i="5"/>
  <c r="CV457" i="5"/>
  <c r="JJ459" i="5"/>
  <c r="CW457" i="5"/>
  <c r="EG457" i="5"/>
  <c r="AO459" i="5"/>
  <c r="EP457" i="5"/>
  <c r="DF459" i="5"/>
  <c r="IC459" i="5"/>
  <c r="ER457" i="5"/>
  <c r="DB457" i="5"/>
  <c r="EO457" i="5"/>
  <c r="EF457" i="5"/>
  <c r="CV459" i="5"/>
  <c r="AR457" i="5"/>
  <c r="EM457" i="5" s="1"/>
  <c r="AO457" i="5"/>
  <c r="CY459" i="5"/>
  <c r="DA457" i="5"/>
  <c r="DG459" i="5"/>
  <c r="DS457" i="5" s="1"/>
  <c r="IC457" i="5"/>
  <c r="JZ459" i="5"/>
  <c r="EN457" i="5"/>
  <c r="ES457" i="5"/>
  <c r="EQ457" i="5"/>
  <c r="CX459" i="5"/>
  <c r="DK457" i="5"/>
  <c r="EK457" i="5"/>
  <c r="EI457" i="5"/>
  <c r="ED457" i="5"/>
  <c r="CW459" i="5"/>
  <c r="DJ457" i="5"/>
  <c r="CZ457" i="5"/>
  <c r="CZ459" i="5"/>
  <c r="DJ459" i="5"/>
  <c r="DM744" i="5"/>
  <c r="DG557" i="5"/>
  <c r="DS555" i="5" s="1"/>
  <c r="CV555" i="5"/>
  <c r="DC555" i="5"/>
  <c r="DK555" i="5"/>
  <c r="EF555" i="5"/>
  <c r="EL555" i="5"/>
  <c r="ER555" i="5"/>
  <c r="CX557" i="5"/>
  <c r="DA555" i="5"/>
  <c r="CW555" i="5"/>
  <c r="AR555" i="5"/>
  <c r="EM555" i="5" s="1"/>
  <c r="EP555" i="5"/>
  <c r="JZ557" i="5"/>
  <c r="DF557" i="5"/>
  <c r="IC557" i="5"/>
  <c r="DB555" i="5"/>
  <c r="JJ557" i="5"/>
  <c r="AO557" i="5"/>
  <c r="CY557" i="5"/>
  <c r="AO555" i="5"/>
  <c r="ED555" i="5"/>
  <c r="ES555" i="5"/>
  <c r="IC555" i="5"/>
  <c r="CW557" i="5"/>
  <c r="CY555" i="5"/>
  <c r="EK555" i="5"/>
  <c r="EQ555" i="5"/>
  <c r="EO555" i="5"/>
  <c r="EN555" i="5"/>
  <c r="CV557" i="5"/>
  <c r="DF555" i="5"/>
  <c r="EI555" i="5"/>
  <c r="EG555" i="5"/>
  <c r="DJ557" i="5"/>
  <c r="CZ557" i="5"/>
  <c r="CZ555" i="5"/>
  <c r="DJ555" i="5"/>
  <c r="AO578" i="5"/>
  <c r="DG580" i="5"/>
  <c r="DS578" i="5" s="1"/>
  <c r="ER578" i="5"/>
  <c r="EO578" i="5"/>
  <c r="CW580" i="5"/>
  <c r="AR578" i="5"/>
  <c r="EM578" i="5" s="1"/>
  <c r="EG578" i="5"/>
  <c r="ED578" i="5"/>
  <c r="DF580" i="5"/>
  <c r="EL578" i="5"/>
  <c r="JJ580" i="5"/>
  <c r="DA578" i="5"/>
  <c r="AO580" i="5"/>
  <c r="EI578" i="5"/>
  <c r="CV580" i="5"/>
  <c r="IC578" i="5"/>
  <c r="ES578" i="5"/>
  <c r="DK578" i="5"/>
  <c r="EQ578" i="5"/>
  <c r="EN578" i="5"/>
  <c r="CX580" i="5"/>
  <c r="EK578" i="5"/>
  <c r="EF578" i="5"/>
  <c r="EP578" i="5"/>
  <c r="DF578" i="5"/>
  <c r="JZ580" i="5"/>
  <c r="DC578" i="5"/>
  <c r="CY578" i="5"/>
  <c r="DB578" i="5"/>
  <c r="CV578" i="5"/>
  <c r="CY580" i="5"/>
  <c r="IC580" i="5"/>
  <c r="CW578" i="5"/>
  <c r="DJ578" i="5"/>
  <c r="CZ578" i="5"/>
  <c r="CZ580" i="5"/>
  <c r="DJ580" i="5"/>
  <c r="DN741" i="5"/>
  <c r="DM462" i="5"/>
  <c r="ET115" i="5"/>
  <c r="EH115" i="5"/>
  <c r="EJ115" i="5"/>
  <c r="DT205" i="5"/>
  <c r="DV203" i="5"/>
  <c r="EA203" i="5" s="1"/>
  <c r="DT203" i="5"/>
  <c r="IC590" i="5"/>
  <c r="DB588" i="5"/>
  <c r="DK588" i="5"/>
  <c r="DF588" i="5"/>
  <c r="CY590" i="5"/>
  <c r="ED588" i="5"/>
  <c r="DF590" i="5"/>
  <c r="AO588" i="5"/>
  <c r="IC588" i="5"/>
  <c r="CY588" i="5"/>
  <c r="EF588" i="5"/>
  <c r="EN588" i="5"/>
  <c r="EQ588" i="5"/>
  <c r="EK588" i="5"/>
  <c r="EO588" i="5"/>
  <c r="AO590" i="5"/>
  <c r="EI588" i="5"/>
  <c r="CV588" i="5"/>
  <c r="DA588" i="5"/>
  <c r="EL588" i="5"/>
  <c r="DC588" i="5"/>
  <c r="JJ590" i="5"/>
  <c r="CW590" i="5"/>
  <c r="CW588" i="5"/>
  <c r="ER588" i="5"/>
  <c r="CX590" i="5"/>
  <c r="DG590" i="5"/>
  <c r="DS588" i="5" s="1"/>
  <c r="CV590" i="5"/>
  <c r="JZ590" i="5"/>
  <c r="EG588" i="5"/>
  <c r="ES588" i="5"/>
  <c r="AR588" i="5"/>
  <c r="EM588" i="5" s="1"/>
  <c r="EP588" i="5"/>
  <c r="CZ590" i="5"/>
  <c r="DJ590" i="5"/>
  <c r="CZ588" i="5"/>
  <c r="DJ588" i="5"/>
  <c r="JJ396" i="5"/>
  <c r="DF394" i="5"/>
  <c r="CY394" i="5"/>
  <c r="DG396" i="5"/>
  <c r="DS394" i="5" s="1"/>
  <c r="CV394" i="5"/>
  <c r="AR394" i="5"/>
  <c r="EM394" i="5" s="1"/>
  <c r="IC394" i="5"/>
  <c r="EL394" i="5"/>
  <c r="CX396" i="5"/>
  <c r="IC396" i="5"/>
  <c r="EO394" i="5"/>
  <c r="CW394" i="5"/>
  <c r="EP394" i="5"/>
  <c r="CY396" i="5"/>
  <c r="DC394" i="5"/>
  <c r="DF396" i="5"/>
  <c r="DB394" i="5"/>
  <c r="DA394" i="5"/>
  <c r="AO394" i="5"/>
  <c r="CW396" i="5"/>
  <c r="AO396" i="5"/>
  <c r="EG394" i="5"/>
  <c r="EQ394" i="5"/>
  <c r="EI394" i="5"/>
  <c r="CV396" i="5"/>
  <c r="ES394" i="5"/>
  <c r="ER394" i="5"/>
  <c r="ED394" i="5"/>
  <c r="EN394" i="5"/>
  <c r="JZ396" i="5"/>
  <c r="EK394" i="5"/>
  <c r="EF394" i="5"/>
  <c r="DK394" i="5"/>
  <c r="CZ396" i="5"/>
  <c r="CZ394" i="5"/>
  <c r="DJ394" i="5"/>
  <c r="DJ396" i="5"/>
  <c r="ET520" i="5"/>
  <c r="EH349" i="5"/>
  <c r="EJ349" i="5"/>
  <c r="AO469" i="5"/>
  <c r="AO467" i="5"/>
  <c r="CY467" i="5"/>
  <c r="IC467" i="5"/>
  <c r="ES467" i="5"/>
  <c r="CW469" i="5"/>
  <c r="EP467" i="5"/>
  <c r="EN467" i="5"/>
  <c r="EK467" i="5"/>
  <c r="DA467" i="5"/>
  <c r="EG467" i="5"/>
  <c r="ED467" i="5"/>
  <c r="DF467" i="5"/>
  <c r="CV469" i="5"/>
  <c r="CW467" i="5"/>
  <c r="CY469" i="5"/>
  <c r="IC469" i="5"/>
  <c r="ER467" i="5"/>
  <c r="DG469" i="5"/>
  <c r="DS467" i="5" s="1"/>
  <c r="DC467" i="5"/>
  <c r="JZ469" i="5"/>
  <c r="CX469" i="5"/>
  <c r="EI467" i="5"/>
  <c r="EO467" i="5"/>
  <c r="AR467" i="5"/>
  <c r="EM467" i="5" s="1"/>
  <c r="JJ469" i="5"/>
  <c r="EL467" i="5"/>
  <c r="DK467" i="5"/>
  <c r="EF467" i="5"/>
  <c r="DF469" i="5"/>
  <c r="DB467" i="5"/>
  <c r="EQ467" i="5"/>
  <c r="CV467" i="5"/>
  <c r="DJ467" i="5"/>
  <c r="CZ469" i="5"/>
  <c r="DJ469" i="5"/>
  <c r="CZ467" i="5"/>
  <c r="JZ303" i="5"/>
  <c r="DF303" i="5"/>
  <c r="EL301" i="5"/>
  <c r="DF301" i="5"/>
  <c r="CV301" i="5"/>
  <c r="JJ303" i="5"/>
  <c r="CV303" i="5"/>
  <c r="CW301" i="5"/>
  <c r="CW303" i="5"/>
  <c r="IC303" i="5"/>
  <c r="ER301" i="5"/>
  <c r="ED301" i="5"/>
  <c r="DA301" i="5"/>
  <c r="CY303" i="5"/>
  <c r="AR301" i="5"/>
  <c r="EM301" i="5" s="1"/>
  <c r="DK301" i="5"/>
  <c r="AO303" i="5"/>
  <c r="IC301" i="5"/>
  <c r="EP301" i="5"/>
  <c r="ES301" i="5"/>
  <c r="EK301" i="5"/>
  <c r="EQ301" i="5"/>
  <c r="EF301" i="5"/>
  <c r="EO301" i="5"/>
  <c r="CY301" i="5"/>
  <c r="EI301" i="5"/>
  <c r="DB301" i="5"/>
  <c r="CX303" i="5"/>
  <c r="EG301" i="5"/>
  <c r="DC301" i="5"/>
  <c r="DG303" i="5"/>
  <c r="DS301" i="5" s="1"/>
  <c r="EN301" i="5"/>
  <c r="AO301" i="5"/>
  <c r="DJ301" i="5"/>
  <c r="CZ303" i="5"/>
  <c r="CZ301" i="5"/>
  <c r="DJ303" i="5"/>
  <c r="DG84" i="5"/>
  <c r="DS82" i="5" s="1"/>
  <c r="EF82" i="5"/>
  <c r="IC84" i="5"/>
  <c r="CX84" i="5"/>
  <c r="EL82" i="5"/>
  <c r="CW82" i="5"/>
  <c r="ER82" i="5"/>
  <c r="CY84" i="5"/>
  <c r="EP82" i="5"/>
  <c r="ES82" i="5"/>
  <c r="AR82" i="5"/>
  <c r="EM82" i="5" s="1"/>
  <c r="IC82" i="5"/>
  <c r="DB82" i="5"/>
  <c r="DF84" i="5"/>
  <c r="EO82" i="5"/>
  <c r="EQ82" i="5"/>
  <c r="AO82" i="5"/>
  <c r="AO84" i="5"/>
  <c r="EG82" i="5"/>
  <c r="EI82" i="5"/>
  <c r="JZ84" i="5"/>
  <c r="EK82" i="5"/>
  <c r="DA82" i="5"/>
  <c r="DC82" i="5"/>
  <c r="JJ84" i="5"/>
  <c r="DF82" i="5"/>
  <c r="CV84" i="5"/>
  <c r="CW84" i="5"/>
  <c r="ED82" i="5"/>
  <c r="CV82" i="5"/>
  <c r="EN82" i="5"/>
  <c r="DK82" i="5"/>
  <c r="CY82" i="5"/>
  <c r="CZ82" i="5"/>
  <c r="DJ84" i="5"/>
  <c r="CZ84" i="5"/>
  <c r="DJ82" i="5"/>
  <c r="EH764" i="5"/>
  <c r="EJ764" i="5"/>
  <c r="DV183" i="5"/>
  <c r="EA183" i="5" s="1"/>
  <c r="DT185" i="5"/>
  <c r="DT183" i="5"/>
  <c r="DV744" i="5"/>
  <c r="EA744" i="5" s="1"/>
  <c r="DT746" i="5"/>
  <c r="DT744" i="5"/>
  <c r="DT726" i="5"/>
  <c r="DV724" i="5"/>
  <c r="EA724" i="5" s="1"/>
  <c r="DT724" i="5"/>
  <c r="EJ145" i="5"/>
  <c r="EH145" i="5"/>
  <c r="ES160" i="5"/>
  <c r="CY162" i="5"/>
  <c r="AO160" i="5"/>
  <c r="JZ162" i="5"/>
  <c r="EK160" i="5"/>
  <c r="IC160" i="5"/>
  <c r="CW162" i="5"/>
  <c r="JJ162" i="5"/>
  <c r="IC162" i="5"/>
  <c r="DF160" i="5"/>
  <c r="EQ160" i="5"/>
  <c r="EO160" i="5"/>
  <c r="ED160" i="5"/>
  <c r="CV162" i="5"/>
  <c r="DG162" i="5"/>
  <c r="DS160" i="5" s="1"/>
  <c r="CV160" i="5"/>
  <c r="EI160" i="5"/>
  <c r="EG160" i="5"/>
  <c r="CY160" i="5"/>
  <c r="DF162" i="5"/>
  <c r="EL160" i="5"/>
  <c r="EN160" i="5"/>
  <c r="DC160" i="5"/>
  <c r="DK160" i="5"/>
  <c r="AR160" i="5"/>
  <c r="EM160" i="5" s="1"/>
  <c r="CW160" i="5"/>
  <c r="ER160" i="5"/>
  <c r="CX162" i="5"/>
  <c r="DA160" i="5"/>
  <c r="EP160" i="5"/>
  <c r="AO162" i="5"/>
  <c r="DB160" i="5"/>
  <c r="EF160" i="5"/>
  <c r="CZ160" i="5"/>
  <c r="CZ162" i="5"/>
  <c r="DJ160" i="5"/>
  <c r="DJ162" i="5"/>
  <c r="DF296" i="5"/>
  <c r="CV298" i="5"/>
  <c r="AO296" i="5"/>
  <c r="DB296" i="5"/>
  <c r="DG298" i="5"/>
  <c r="DS296" i="5" s="1"/>
  <c r="CV296" i="5"/>
  <c r="EN296" i="5"/>
  <c r="ER296" i="5"/>
  <c r="CW298" i="5"/>
  <c r="JZ298" i="5"/>
  <c r="CX298" i="5"/>
  <c r="CY296" i="5"/>
  <c r="CY298" i="5"/>
  <c r="JJ298" i="5"/>
  <c r="IC296" i="5"/>
  <c r="EL296" i="5"/>
  <c r="EQ296" i="5"/>
  <c r="IC298" i="5"/>
  <c r="EO296" i="5"/>
  <c r="CW296" i="5"/>
  <c r="EF296" i="5"/>
  <c r="AO298" i="5"/>
  <c r="EG296" i="5"/>
  <c r="AR296" i="5"/>
  <c r="EM296" i="5" s="1"/>
  <c r="DC296" i="5"/>
  <c r="ES296" i="5"/>
  <c r="DK296" i="5"/>
  <c r="DF298" i="5"/>
  <c r="EP296" i="5"/>
  <c r="ED296" i="5"/>
  <c r="EK296" i="5"/>
  <c r="DA296" i="5"/>
  <c r="EI296" i="5"/>
  <c r="DJ298" i="5"/>
  <c r="DJ296" i="5"/>
  <c r="CZ298" i="5"/>
  <c r="CZ296" i="5"/>
  <c r="DT537" i="5"/>
  <c r="DT535" i="5"/>
  <c r="DV535" i="5"/>
  <c r="EA535" i="5" s="1"/>
  <c r="DT97" i="5"/>
  <c r="DT95" i="5"/>
  <c r="DV95" i="5"/>
  <c r="EA95" i="5" s="1"/>
  <c r="EJ306" i="5"/>
  <c r="EH306" i="5"/>
  <c r="EJ261" i="5"/>
  <c r="EH261" i="5"/>
  <c r="EJ535" i="5"/>
  <c r="EH535" i="5"/>
  <c r="DT691" i="5"/>
  <c r="DT693" i="5"/>
  <c r="DV691" i="5"/>
  <c r="EA691" i="5" s="1"/>
  <c r="DN575" i="5"/>
  <c r="ET573" i="5"/>
  <c r="AP573" i="5"/>
  <c r="DD95" i="5"/>
  <c r="DN308" i="5"/>
  <c r="CV454" i="5"/>
  <c r="DF454" i="5"/>
  <c r="EI452" i="5"/>
  <c r="EP452" i="5"/>
  <c r="AR452" i="5"/>
  <c r="EM452" i="5" s="1"/>
  <c r="EN452" i="5"/>
  <c r="AO454" i="5"/>
  <c r="DF452" i="5"/>
  <c r="ED452" i="5"/>
  <c r="EF452" i="5"/>
  <c r="CX454" i="5"/>
  <c r="ER452" i="5"/>
  <c r="DB452" i="5"/>
  <c r="JJ454" i="5"/>
  <c r="DK452" i="5"/>
  <c r="EQ452" i="5"/>
  <c r="EO452" i="5"/>
  <c r="DG454" i="5"/>
  <c r="DS452" i="5" s="1"/>
  <c r="CV452" i="5"/>
  <c r="EG452" i="5"/>
  <c r="DA452" i="5"/>
  <c r="EL452" i="5"/>
  <c r="AO452" i="5"/>
  <c r="DC452" i="5"/>
  <c r="CY452" i="5"/>
  <c r="EK452" i="5"/>
  <c r="ES452" i="5"/>
  <c r="IC454" i="5"/>
  <c r="CY454" i="5"/>
  <c r="CW454" i="5"/>
  <c r="IC452" i="5"/>
  <c r="JZ454" i="5"/>
  <c r="CW452" i="5"/>
  <c r="DJ454" i="5"/>
  <c r="DJ452" i="5"/>
  <c r="CZ454" i="5"/>
  <c r="CZ452" i="5"/>
  <c r="AP764" i="5"/>
  <c r="ET125" i="5"/>
  <c r="ET432" i="5"/>
  <c r="DT706" i="5"/>
  <c r="DT708" i="5"/>
  <c r="DV706" i="5"/>
  <c r="EA706" i="5" s="1"/>
  <c r="DN698" i="5"/>
  <c r="DT696" i="5"/>
  <c r="DV696" i="5"/>
  <c r="EA696" i="5" s="1"/>
  <c r="DT698" i="5"/>
  <c r="EH213" i="5"/>
  <c r="EJ213" i="5"/>
  <c r="JZ132" i="5"/>
  <c r="ER130" i="5"/>
  <c r="DC130" i="5"/>
  <c r="CW132" i="5"/>
  <c r="CY130" i="5"/>
  <c r="AR130" i="5"/>
  <c r="EM130" i="5" s="1"/>
  <c r="JJ132" i="5"/>
  <c r="EO130" i="5"/>
  <c r="CV132" i="5"/>
  <c r="EN130" i="5"/>
  <c r="DF132" i="5"/>
  <c r="ED130" i="5"/>
  <c r="CX132" i="5"/>
  <c r="EG130" i="5"/>
  <c r="EQ130" i="5"/>
  <c r="AO132" i="5"/>
  <c r="IC132" i="5"/>
  <c r="EP130" i="5"/>
  <c r="DK130" i="5"/>
  <c r="DG132" i="5"/>
  <c r="DS130" i="5" s="1"/>
  <c r="ES130" i="5"/>
  <c r="CY132" i="5"/>
  <c r="DB130" i="5"/>
  <c r="DA130" i="5"/>
  <c r="DF130" i="5"/>
  <c r="EI130" i="5"/>
  <c r="EL130" i="5"/>
  <c r="EK130" i="5"/>
  <c r="IC130" i="5"/>
  <c r="AO130" i="5"/>
  <c r="CW130" i="5"/>
  <c r="CV130" i="5"/>
  <c r="EF130" i="5"/>
  <c r="DJ130" i="5"/>
  <c r="CZ132" i="5"/>
  <c r="DJ132" i="5"/>
  <c r="CZ130" i="5"/>
  <c r="ET359" i="5"/>
  <c r="DF713" i="5"/>
  <c r="EI711" i="5"/>
  <c r="EG711" i="5"/>
  <c r="JJ713" i="5"/>
  <c r="AO713" i="5"/>
  <c r="DC711" i="5"/>
  <c r="DK711" i="5"/>
  <c r="CV713" i="5"/>
  <c r="ER711" i="5"/>
  <c r="CX713" i="5"/>
  <c r="DA711" i="5"/>
  <c r="ES711" i="5"/>
  <c r="AR711" i="5"/>
  <c r="EM711" i="5" s="1"/>
  <c r="EP711" i="5"/>
  <c r="EF711" i="5"/>
  <c r="CV711" i="5"/>
  <c r="IC713" i="5"/>
  <c r="DB711" i="5"/>
  <c r="ED711" i="5"/>
  <c r="EN711" i="5"/>
  <c r="DG713" i="5"/>
  <c r="DS711" i="5" s="1"/>
  <c r="CY713" i="5"/>
  <c r="AO711" i="5"/>
  <c r="DF711" i="5"/>
  <c r="EK711" i="5"/>
  <c r="EL711" i="5"/>
  <c r="IC711" i="5"/>
  <c r="CW713" i="5"/>
  <c r="JZ713" i="5"/>
  <c r="CW711" i="5"/>
  <c r="EQ711" i="5"/>
  <c r="EO711" i="5"/>
  <c r="CY711" i="5"/>
  <c r="CZ711" i="5"/>
  <c r="DJ711" i="5"/>
  <c r="DJ713" i="5"/>
  <c r="CZ713" i="5"/>
  <c r="ET774" i="5"/>
  <c r="DD744" i="5"/>
  <c r="DN726" i="5"/>
  <c r="DV681" i="5"/>
  <c r="EA681" i="5" s="1"/>
  <c r="DT681" i="5"/>
  <c r="DT683" i="5"/>
  <c r="EL344" i="5"/>
  <c r="CW346" i="5"/>
  <c r="DF346" i="5"/>
  <c r="AO344" i="5"/>
  <c r="CW344" i="5"/>
  <c r="EO344" i="5"/>
  <c r="DB344" i="5"/>
  <c r="CV346" i="5"/>
  <c r="IC346" i="5"/>
  <c r="EG344" i="5"/>
  <c r="JZ346" i="5"/>
  <c r="ER344" i="5"/>
  <c r="CY346" i="5"/>
  <c r="DK344" i="5"/>
  <c r="AR344" i="5"/>
  <c r="EM344" i="5" s="1"/>
  <c r="ED344" i="5"/>
  <c r="IC344" i="5"/>
  <c r="DA344" i="5"/>
  <c r="CX346" i="5"/>
  <c r="CV344" i="5"/>
  <c r="EQ344" i="5"/>
  <c r="JJ346" i="5"/>
  <c r="ES344" i="5"/>
  <c r="EN344" i="5"/>
  <c r="EI344" i="5"/>
  <c r="DF344" i="5"/>
  <c r="EF344" i="5"/>
  <c r="AO346" i="5"/>
  <c r="DG346" i="5"/>
  <c r="DS344" i="5" s="1"/>
  <c r="DC344" i="5"/>
  <c r="EK344" i="5"/>
  <c r="CY344" i="5"/>
  <c r="EP344" i="5"/>
  <c r="CZ344" i="5"/>
  <c r="CZ346" i="5"/>
  <c r="DJ346" i="5"/>
  <c r="DJ344" i="5"/>
  <c r="DF135" i="5"/>
  <c r="CY137" i="5"/>
  <c r="AO135" i="5"/>
  <c r="DA135" i="5"/>
  <c r="DG137" i="5"/>
  <c r="DS135" i="5" s="1"/>
  <c r="CV135" i="5"/>
  <c r="IC135" i="5"/>
  <c r="CV137" i="5"/>
  <c r="JJ137" i="5"/>
  <c r="EL135" i="5"/>
  <c r="EF135" i="5"/>
  <c r="EQ135" i="5"/>
  <c r="ED135" i="5"/>
  <c r="CW135" i="5"/>
  <c r="JZ137" i="5"/>
  <c r="EI135" i="5"/>
  <c r="CY135" i="5"/>
  <c r="DF137" i="5"/>
  <c r="ER135" i="5"/>
  <c r="DC135" i="5"/>
  <c r="CW137" i="5"/>
  <c r="AO137" i="5"/>
  <c r="AR135" i="5"/>
  <c r="EM135" i="5" s="1"/>
  <c r="CX137" i="5"/>
  <c r="EO135" i="5"/>
  <c r="ES135" i="5"/>
  <c r="EN135" i="5"/>
  <c r="EP135" i="5"/>
  <c r="EG135" i="5"/>
  <c r="EK135" i="5"/>
  <c r="IC137" i="5"/>
  <c r="DB135" i="5"/>
  <c r="DK135" i="5"/>
  <c r="DJ137" i="5"/>
  <c r="CZ135" i="5"/>
  <c r="DJ135" i="5"/>
  <c r="CZ137" i="5"/>
  <c r="ET462" i="5"/>
  <c r="JZ512" i="5"/>
  <c r="EG510" i="5"/>
  <c r="CW510" i="5"/>
  <c r="CX512" i="5"/>
  <c r="DF512" i="5"/>
  <c r="DK510" i="5"/>
  <c r="AR510" i="5"/>
  <c r="EM510" i="5" s="1"/>
  <c r="EI510" i="5"/>
  <c r="ES510" i="5"/>
  <c r="DA510" i="5"/>
  <c r="CV512" i="5"/>
  <c r="AO512" i="5"/>
  <c r="EK510" i="5"/>
  <c r="EP510" i="5"/>
  <c r="EQ510" i="5"/>
  <c r="IC510" i="5"/>
  <c r="DF510" i="5"/>
  <c r="ED510" i="5"/>
  <c r="EF510" i="5"/>
  <c r="AO510" i="5"/>
  <c r="CV510" i="5"/>
  <c r="DB510" i="5"/>
  <c r="DC510" i="5"/>
  <c r="EN510" i="5"/>
  <c r="CW512" i="5"/>
  <c r="JJ512" i="5"/>
  <c r="IC512" i="5"/>
  <c r="ER510" i="5"/>
  <c r="DG512" i="5"/>
  <c r="DS510" i="5" s="1"/>
  <c r="EO510" i="5"/>
  <c r="EL510" i="5"/>
  <c r="CY512" i="5"/>
  <c r="CY510" i="5"/>
  <c r="CZ510" i="5"/>
  <c r="DJ510" i="5"/>
  <c r="CZ512" i="5"/>
  <c r="DJ512" i="5"/>
  <c r="ES228" i="5"/>
  <c r="IC228" i="5"/>
  <c r="EN228" i="5"/>
  <c r="EF228" i="5"/>
  <c r="IC230" i="5"/>
  <c r="EK228" i="5"/>
  <c r="EQ228" i="5"/>
  <c r="DA228" i="5"/>
  <c r="ED228" i="5"/>
  <c r="DF228" i="5"/>
  <c r="EI228" i="5"/>
  <c r="AO228" i="5"/>
  <c r="JJ230" i="5"/>
  <c r="DG230" i="5"/>
  <c r="DS228" i="5" s="1"/>
  <c r="CV228" i="5"/>
  <c r="DC228" i="5"/>
  <c r="CY228" i="5"/>
  <c r="CX230" i="5"/>
  <c r="DK228" i="5"/>
  <c r="EL228" i="5"/>
  <c r="ER228" i="5"/>
  <c r="CW230" i="5"/>
  <c r="JZ230" i="5"/>
  <c r="CW228" i="5"/>
  <c r="AR228" i="5"/>
  <c r="EM228" i="5" s="1"/>
  <c r="EO228" i="5"/>
  <c r="EG228" i="5"/>
  <c r="DB228" i="5"/>
  <c r="DF230" i="5"/>
  <c r="AO230" i="5"/>
  <c r="CY230" i="5"/>
  <c r="CV230" i="5"/>
  <c r="EP228" i="5"/>
  <c r="DJ230" i="5"/>
  <c r="DJ228" i="5"/>
  <c r="CZ230" i="5"/>
  <c r="CZ228" i="5"/>
  <c r="AO107" i="5"/>
  <c r="CV107" i="5"/>
  <c r="CX107" i="5"/>
  <c r="DK105" i="5"/>
  <c r="ES105" i="5"/>
  <c r="JJ107" i="5"/>
  <c r="EP105" i="5"/>
  <c r="DA105" i="5"/>
  <c r="EK105" i="5"/>
  <c r="IC107" i="5"/>
  <c r="DB105" i="5"/>
  <c r="EF105" i="5"/>
  <c r="DG107" i="5"/>
  <c r="DS105" i="5" s="1"/>
  <c r="DF105" i="5"/>
  <c r="CY107" i="5"/>
  <c r="AO105" i="5"/>
  <c r="JZ107" i="5"/>
  <c r="EL105" i="5"/>
  <c r="CV105" i="5"/>
  <c r="IC105" i="5"/>
  <c r="CY105" i="5"/>
  <c r="CW105" i="5"/>
  <c r="EN105" i="5"/>
  <c r="EQ105" i="5"/>
  <c r="CW107" i="5"/>
  <c r="ED105" i="5"/>
  <c r="ER105" i="5"/>
  <c r="EI105" i="5"/>
  <c r="EO105" i="5"/>
  <c r="DF107" i="5"/>
  <c r="AR105" i="5"/>
  <c r="EM105" i="5" s="1"/>
  <c r="DC105" i="5"/>
  <c r="EG105" i="5"/>
  <c r="CZ105" i="5"/>
  <c r="DJ107" i="5"/>
  <c r="CZ107" i="5"/>
  <c r="DJ105" i="5"/>
  <c r="DM155" i="5"/>
  <c r="DT369" i="5"/>
  <c r="DT371" i="5"/>
  <c r="DV369" i="5"/>
  <c r="EA369" i="5" s="1"/>
  <c r="DD437" i="5"/>
  <c r="DT308" i="5"/>
  <c r="DV306" i="5"/>
  <c r="EA306" i="5" s="1"/>
  <c r="DT306" i="5"/>
  <c r="EJ218" i="5"/>
  <c r="EH218" i="5"/>
  <c r="DD661" i="5"/>
  <c r="JJ487" i="5"/>
  <c r="JZ487" i="5"/>
  <c r="EF485" i="5"/>
  <c r="DF485" i="5"/>
  <c r="IC487" i="5"/>
  <c r="DF487" i="5"/>
  <c r="CW487" i="5"/>
  <c r="ED485" i="5"/>
  <c r="CV485" i="5"/>
  <c r="CY487" i="5"/>
  <c r="EQ485" i="5"/>
  <c r="EO485" i="5"/>
  <c r="CY485" i="5"/>
  <c r="IC485" i="5"/>
  <c r="EI485" i="5"/>
  <c r="EG485" i="5"/>
  <c r="CW485" i="5"/>
  <c r="DG487" i="5"/>
  <c r="DS485" i="5" s="1"/>
  <c r="DC485" i="5"/>
  <c r="DK485" i="5"/>
  <c r="EL485" i="5"/>
  <c r="ER485" i="5"/>
  <c r="EP485" i="5"/>
  <c r="DA485" i="5"/>
  <c r="AO487" i="5"/>
  <c r="AR485" i="5"/>
  <c r="EM485" i="5" s="1"/>
  <c r="DB485" i="5"/>
  <c r="CV487" i="5"/>
  <c r="ES485" i="5"/>
  <c r="CX487" i="5"/>
  <c r="AO485" i="5"/>
  <c r="EN485" i="5"/>
  <c r="EK485" i="5"/>
  <c r="DJ485" i="5"/>
  <c r="CZ485" i="5"/>
  <c r="CZ487" i="5"/>
  <c r="DJ487" i="5"/>
  <c r="EH696" i="5"/>
  <c r="EJ696" i="5"/>
  <c r="DD213" i="5"/>
  <c r="DG635" i="5"/>
  <c r="DS633" i="5" s="1"/>
  <c r="CV633" i="5"/>
  <c r="DC633" i="5"/>
  <c r="DK633" i="5"/>
  <c r="EN633" i="5"/>
  <c r="EL633" i="5"/>
  <c r="ER633" i="5"/>
  <c r="CX635" i="5"/>
  <c r="DA633" i="5"/>
  <c r="CW633" i="5"/>
  <c r="AR633" i="5"/>
  <c r="EM633" i="5" s="1"/>
  <c r="EP633" i="5"/>
  <c r="JZ635" i="5"/>
  <c r="DF635" i="5"/>
  <c r="IC635" i="5"/>
  <c r="DB633" i="5"/>
  <c r="JJ635" i="5"/>
  <c r="AO635" i="5"/>
  <c r="CY635" i="5"/>
  <c r="AO633" i="5"/>
  <c r="CV635" i="5"/>
  <c r="ES633" i="5"/>
  <c r="IC633" i="5"/>
  <c r="CW635" i="5"/>
  <c r="EF633" i="5"/>
  <c r="EK633" i="5"/>
  <c r="EQ633" i="5"/>
  <c r="EO633" i="5"/>
  <c r="CY633" i="5"/>
  <c r="DF633" i="5"/>
  <c r="EI633" i="5"/>
  <c r="EG633" i="5"/>
  <c r="ED633" i="5"/>
  <c r="CZ635" i="5"/>
  <c r="DJ633" i="5"/>
  <c r="DJ635" i="5"/>
  <c r="CZ633" i="5"/>
  <c r="DT643" i="5"/>
  <c r="DT641" i="5"/>
  <c r="DV641" i="5"/>
  <c r="EA641" i="5" s="1"/>
  <c r="EH744" i="5"/>
  <c r="EJ744" i="5"/>
  <c r="DM724" i="5"/>
  <c r="DM681" i="5"/>
  <c r="ER100" i="5"/>
  <c r="DF102" i="5"/>
  <c r="EG100" i="5"/>
  <c r="CW102" i="5"/>
  <c r="DK100" i="5"/>
  <c r="AO102" i="5"/>
  <c r="CX102" i="5"/>
  <c r="CV102" i="5"/>
  <c r="IC102" i="5"/>
  <c r="EP100" i="5"/>
  <c r="JZ102" i="5"/>
  <c r="DG102" i="5"/>
  <c r="DS100" i="5" s="1"/>
  <c r="CY102" i="5"/>
  <c r="JJ102" i="5"/>
  <c r="IC100" i="5"/>
  <c r="ES100" i="5"/>
  <c r="EK100" i="5"/>
  <c r="DB100" i="5"/>
  <c r="EL100" i="5"/>
  <c r="ED100" i="5"/>
  <c r="AO100" i="5"/>
  <c r="DF100" i="5"/>
  <c r="CW100" i="5"/>
  <c r="CV100" i="5"/>
  <c r="EQ100" i="5"/>
  <c r="CY100" i="5"/>
  <c r="EN100" i="5"/>
  <c r="DA100" i="5"/>
  <c r="EI100" i="5"/>
  <c r="EO100" i="5"/>
  <c r="EF100" i="5"/>
  <c r="DC100" i="5"/>
  <c r="AR100" i="5"/>
  <c r="EM100" i="5" s="1"/>
  <c r="CZ100" i="5"/>
  <c r="DJ100" i="5"/>
  <c r="DJ102" i="5"/>
  <c r="CZ102" i="5"/>
  <c r="DM311" i="5"/>
  <c r="CV756" i="5"/>
  <c r="EL754" i="5"/>
  <c r="AO756" i="5"/>
  <c r="EK754" i="5"/>
  <c r="EN754" i="5"/>
  <c r="CW754" i="5"/>
  <c r="ER754" i="5"/>
  <c r="DA754" i="5"/>
  <c r="EF754" i="5"/>
  <c r="IC756" i="5"/>
  <c r="DF754" i="5"/>
  <c r="CV754" i="5"/>
  <c r="JZ756" i="5"/>
  <c r="CY756" i="5"/>
  <c r="EP754" i="5"/>
  <c r="DF756" i="5"/>
  <c r="JJ756" i="5"/>
  <c r="IC754" i="5"/>
  <c r="AR754" i="5"/>
  <c r="EM754" i="5" s="1"/>
  <c r="CX756" i="5"/>
  <c r="ED754" i="5"/>
  <c r="EQ754" i="5"/>
  <c r="EO754" i="5"/>
  <c r="ES754" i="5"/>
  <c r="CY754" i="5"/>
  <c r="EI754" i="5"/>
  <c r="DB754" i="5"/>
  <c r="EG754" i="5"/>
  <c r="CW756" i="5"/>
  <c r="DG756" i="5"/>
  <c r="DS754" i="5" s="1"/>
  <c r="DC754" i="5"/>
  <c r="AO754" i="5"/>
  <c r="DK754" i="5"/>
  <c r="CZ754" i="5"/>
  <c r="DJ756" i="5"/>
  <c r="DJ754" i="5"/>
  <c r="CZ756" i="5"/>
  <c r="DT462" i="5"/>
  <c r="DT464" i="5"/>
  <c r="DV462" i="5"/>
  <c r="EA462" i="5" s="1"/>
  <c r="CW703" i="5"/>
  <c r="CX703" i="5"/>
  <c r="IC701" i="5"/>
  <c r="AO701" i="5"/>
  <c r="EO701" i="5"/>
  <c r="EQ701" i="5"/>
  <c r="EN701" i="5"/>
  <c r="DG703" i="5"/>
  <c r="DS701" i="5" s="1"/>
  <c r="EG701" i="5"/>
  <c r="ED701" i="5"/>
  <c r="DF701" i="5"/>
  <c r="EI701" i="5"/>
  <c r="JZ703" i="5"/>
  <c r="CY701" i="5"/>
  <c r="CV701" i="5"/>
  <c r="DK701" i="5"/>
  <c r="JJ703" i="5"/>
  <c r="IC703" i="5"/>
  <c r="AO703" i="5"/>
  <c r="DF703" i="5"/>
  <c r="CY703" i="5"/>
  <c r="CV703" i="5"/>
  <c r="EL701" i="5"/>
  <c r="DC701" i="5"/>
  <c r="ES701" i="5"/>
  <c r="EP701" i="5"/>
  <c r="AR701" i="5"/>
  <c r="EM701" i="5" s="1"/>
  <c r="DB701" i="5"/>
  <c r="ER701" i="5"/>
  <c r="EF701" i="5"/>
  <c r="CW701" i="5"/>
  <c r="DA701" i="5"/>
  <c r="EK701" i="5"/>
  <c r="DJ703" i="5"/>
  <c r="CZ701" i="5"/>
  <c r="CZ703" i="5"/>
  <c r="DJ701" i="5"/>
  <c r="DG331" i="5"/>
  <c r="DS329" i="5" s="1"/>
  <c r="DA329" i="5"/>
  <c r="AO331" i="5"/>
  <c r="CW329" i="5"/>
  <c r="CV331" i="5"/>
  <c r="IC329" i="5"/>
  <c r="IC331" i="5"/>
  <c r="EQ329" i="5"/>
  <c r="AR329" i="5"/>
  <c r="EM329" i="5" s="1"/>
  <c r="EN329" i="5"/>
  <c r="EK329" i="5"/>
  <c r="CX331" i="5"/>
  <c r="EG329" i="5"/>
  <c r="EF329" i="5"/>
  <c r="DK329" i="5"/>
  <c r="ES329" i="5"/>
  <c r="DC329" i="5"/>
  <c r="JZ331" i="5"/>
  <c r="CV329" i="5"/>
  <c r="EI329" i="5"/>
  <c r="EP329" i="5"/>
  <c r="JJ331" i="5"/>
  <c r="AO329" i="5"/>
  <c r="DF329" i="5"/>
  <c r="DB329" i="5"/>
  <c r="ED329" i="5"/>
  <c r="EO329" i="5"/>
  <c r="CW331" i="5"/>
  <c r="DF331" i="5"/>
  <c r="CY329" i="5"/>
  <c r="CY331" i="5"/>
  <c r="ER329" i="5"/>
  <c r="EL329" i="5"/>
  <c r="CZ331" i="5"/>
  <c r="DJ331" i="5"/>
  <c r="CZ329" i="5"/>
  <c r="DJ329" i="5"/>
  <c r="DM520" i="5"/>
  <c r="EH520" i="5"/>
  <c r="EJ520" i="5"/>
  <c r="DK568" i="5"/>
  <c r="JJ570" i="5"/>
  <c r="CW568" i="5"/>
  <c r="ER568" i="5"/>
  <c r="DA568" i="5"/>
  <c r="ED568" i="5"/>
  <c r="EI568" i="5"/>
  <c r="AR568" i="5"/>
  <c r="EM568" i="5" s="1"/>
  <c r="CV570" i="5"/>
  <c r="CY568" i="5"/>
  <c r="DF570" i="5"/>
  <c r="AO568" i="5"/>
  <c r="EF568" i="5"/>
  <c r="IC568" i="5"/>
  <c r="ES568" i="5"/>
  <c r="CX570" i="5"/>
  <c r="CW570" i="5"/>
  <c r="CY570" i="5"/>
  <c r="EQ568" i="5"/>
  <c r="EK568" i="5"/>
  <c r="EP568" i="5"/>
  <c r="EO568" i="5"/>
  <c r="DC568" i="5"/>
  <c r="DG570" i="5"/>
  <c r="DS568" i="5" s="1"/>
  <c r="DF568" i="5"/>
  <c r="IC570" i="5"/>
  <c r="EL568" i="5"/>
  <c r="AO570" i="5"/>
  <c r="CV568" i="5"/>
  <c r="DB568" i="5"/>
  <c r="EG568" i="5"/>
  <c r="EN568" i="5"/>
  <c r="JZ570" i="5"/>
  <c r="DJ570" i="5"/>
  <c r="DJ568" i="5"/>
  <c r="CZ570" i="5"/>
  <c r="CZ568" i="5"/>
  <c r="ED613" i="5"/>
  <c r="EK613" i="5"/>
  <c r="EI613" i="5"/>
  <c r="DC613" i="5"/>
  <c r="CY613" i="5"/>
  <c r="DF613" i="5"/>
  <c r="AO613" i="5"/>
  <c r="DA613" i="5"/>
  <c r="DF615" i="5"/>
  <c r="CV613" i="5"/>
  <c r="JJ615" i="5"/>
  <c r="EO613" i="5"/>
  <c r="EL613" i="5"/>
  <c r="CX615" i="5"/>
  <c r="IC613" i="5"/>
  <c r="EF613" i="5"/>
  <c r="CW613" i="5"/>
  <c r="ER613" i="5"/>
  <c r="AO615" i="5"/>
  <c r="DB613" i="5"/>
  <c r="JZ615" i="5"/>
  <c r="CW615" i="5"/>
  <c r="EG613" i="5"/>
  <c r="EP613" i="5"/>
  <c r="DG615" i="5"/>
  <c r="DS613" i="5" s="1"/>
  <c r="CY615" i="5"/>
  <c r="EN613" i="5"/>
  <c r="DK613" i="5"/>
  <c r="AR613" i="5"/>
  <c r="EM613" i="5" s="1"/>
  <c r="IC615" i="5"/>
  <c r="ES613" i="5"/>
  <c r="CV615" i="5"/>
  <c r="EQ613" i="5"/>
  <c r="CZ613" i="5"/>
  <c r="CZ615" i="5"/>
  <c r="DJ613" i="5"/>
  <c r="DJ615" i="5"/>
  <c r="EJ369" i="5"/>
  <c r="EH369" i="5"/>
  <c r="ET218" i="5"/>
  <c r="CX731" i="5"/>
  <c r="EK729" i="5"/>
  <c r="EN729" i="5"/>
  <c r="DK729" i="5"/>
  <c r="EP729" i="5"/>
  <c r="DF729" i="5"/>
  <c r="AR729" i="5"/>
  <c r="EM729" i="5" s="1"/>
  <c r="DF731" i="5"/>
  <c r="IC731" i="5"/>
  <c r="DB729" i="5"/>
  <c r="CV729" i="5"/>
  <c r="EL729" i="5"/>
  <c r="EF729" i="5"/>
  <c r="CY731" i="5"/>
  <c r="ED729" i="5"/>
  <c r="CV731" i="5"/>
  <c r="CW729" i="5"/>
  <c r="IC729" i="5"/>
  <c r="CY729" i="5"/>
  <c r="ER729" i="5"/>
  <c r="AO729" i="5"/>
  <c r="EQ729" i="5"/>
  <c r="DG731" i="5"/>
  <c r="DS729" i="5" s="1"/>
  <c r="EO729" i="5"/>
  <c r="JZ731" i="5"/>
  <c r="EI729" i="5"/>
  <c r="AO731" i="5"/>
  <c r="DA729" i="5"/>
  <c r="JJ731" i="5"/>
  <c r="DC729" i="5"/>
  <c r="ES729" i="5"/>
  <c r="CW731" i="5"/>
  <c r="EG729" i="5"/>
  <c r="DJ731" i="5"/>
  <c r="CZ731" i="5"/>
  <c r="DJ729" i="5"/>
  <c r="CZ729" i="5"/>
  <c r="DT127" i="5"/>
  <c r="DT125" i="5"/>
  <c r="DV125" i="5"/>
  <c r="EA125" i="5" s="1"/>
  <c r="EO238" i="5"/>
  <c r="DF240" i="5"/>
  <c r="AO240" i="5"/>
  <c r="IC240" i="5"/>
  <c r="ES238" i="5"/>
  <c r="DK238" i="5"/>
  <c r="CY240" i="5"/>
  <c r="CV238" i="5"/>
  <c r="DF238" i="5"/>
  <c r="DA238" i="5"/>
  <c r="IC238" i="5"/>
  <c r="CX240" i="5"/>
  <c r="AO238" i="5"/>
  <c r="DG240" i="5"/>
  <c r="DS238" i="5" s="1"/>
  <c r="CV240" i="5"/>
  <c r="EI238" i="5"/>
  <c r="EF238" i="5"/>
  <c r="EQ238" i="5"/>
  <c r="DB238" i="5"/>
  <c r="EL238" i="5"/>
  <c r="EP238" i="5"/>
  <c r="CW238" i="5"/>
  <c r="DC238" i="5"/>
  <c r="ED238" i="5"/>
  <c r="CY238" i="5"/>
  <c r="CW240" i="5"/>
  <c r="ER238" i="5"/>
  <c r="JZ240" i="5"/>
  <c r="JJ240" i="5"/>
  <c r="EN238" i="5"/>
  <c r="AR238" i="5"/>
  <c r="EM238" i="5" s="1"/>
  <c r="EG238" i="5"/>
  <c r="EK238" i="5"/>
  <c r="CZ240" i="5"/>
  <c r="CZ238" i="5"/>
  <c r="DJ240" i="5"/>
  <c r="DJ238" i="5"/>
  <c r="JJ688" i="5"/>
  <c r="DF686" i="5"/>
  <c r="EK686" i="5"/>
  <c r="IC688" i="5"/>
  <c r="DG688" i="5"/>
  <c r="DS686" i="5" s="1"/>
  <c r="CV686" i="5"/>
  <c r="DB686" i="5"/>
  <c r="ER686" i="5"/>
  <c r="EL686" i="5"/>
  <c r="DF688" i="5"/>
  <c r="AO686" i="5"/>
  <c r="EQ686" i="5"/>
  <c r="EP686" i="5"/>
  <c r="EN686" i="5"/>
  <c r="CV688" i="5"/>
  <c r="CY686" i="5"/>
  <c r="EG686" i="5"/>
  <c r="ED686" i="5"/>
  <c r="IC686" i="5"/>
  <c r="EI686" i="5"/>
  <c r="CX688" i="5"/>
  <c r="CW686" i="5"/>
  <c r="AR686" i="5"/>
  <c r="EM686" i="5" s="1"/>
  <c r="ES686" i="5"/>
  <c r="AO688" i="5"/>
  <c r="CW688" i="5"/>
  <c r="EO686" i="5"/>
  <c r="DC686" i="5"/>
  <c r="DA686" i="5"/>
  <c r="JZ688" i="5"/>
  <c r="EF686" i="5"/>
  <c r="CY688" i="5"/>
  <c r="DK686" i="5"/>
  <c r="CZ686" i="5"/>
  <c r="CZ688" i="5"/>
  <c r="DJ686" i="5"/>
  <c r="DJ688" i="5"/>
  <c r="DM379" i="5"/>
  <c r="AP379" i="5"/>
  <c r="DV213" i="5"/>
  <c r="EA213" i="5" s="1"/>
  <c r="DT215" i="5"/>
  <c r="DT213" i="5"/>
  <c r="DG532" i="5"/>
  <c r="DS530" i="5" s="1"/>
  <c r="AR530" i="5"/>
  <c r="EM530" i="5" s="1"/>
  <c r="CW532" i="5"/>
  <c r="ER530" i="5"/>
  <c r="EL530" i="5"/>
  <c r="AO532" i="5"/>
  <c r="EI530" i="5"/>
  <c r="AO530" i="5"/>
  <c r="CW530" i="5"/>
  <c r="DC530" i="5"/>
  <c r="DK530" i="5"/>
  <c r="EO530" i="5"/>
  <c r="IC532" i="5"/>
  <c r="IC530" i="5"/>
  <c r="EF530" i="5"/>
  <c r="DF532" i="5"/>
  <c r="CY532" i="5"/>
  <c r="EK530" i="5"/>
  <c r="DF530" i="5"/>
  <c r="CX532" i="5"/>
  <c r="CV532" i="5"/>
  <c r="EP530" i="5"/>
  <c r="DB530" i="5"/>
  <c r="ED530" i="5"/>
  <c r="EN530" i="5"/>
  <c r="JZ532" i="5"/>
  <c r="EG530" i="5"/>
  <c r="EQ530" i="5"/>
  <c r="ES530" i="5"/>
  <c r="JJ532" i="5"/>
  <c r="CV530" i="5"/>
  <c r="CY530" i="5"/>
  <c r="DA530" i="5"/>
  <c r="DJ530" i="5"/>
  <c r="CZ532" i="5"/>
  <c r="CZ530" i="5"/>
  <c r="DJ532" i="5"/>
  <c r="AP417" i="5"/>
  <c r="DM183" i="5"/>
  <c r="EJ183" i="5"/>
  <c r="EH183" i="5"/>
  <c r="EJ774" i="5"/>
  <c r="EH774" i="5"/>
  <c r="IC781" i="5"/>
  <c r="EF779" i="5"/>
  <c r="CV779" i="5"/>
  <c r="AO779" i="5"/>
  <c r="CV781" i="5"/>
  <c r="CY779" i="5"/>
  <c r="CY781" i="5"/>
  <c r="DB779" i="5"/>
  <c r="ER779" i="5"/>
  <c r="EI779" i="5"/>
  <c r="EP779" i="5"/>
  <c r="IC779" i="5"/>
  <c r="EK779" i="5"/>
  <c r="CW781" i="5"/>
  <c r="DK779" i="5"/>
  <c r="ED779" i="5"/>
  <c r="EL779" i="5"/>
  <c r="EO779" i="5"/>
  <c r="DA779" i="5"/>
  <c r="CW779" i="5"/>
  <c r="DC779" i="5"/>
  <c r="EG779" i="5"/>
  <c r="ES779" i="5"/>
  <c r="DG781" i="5"/>
  <c r="DS779" i="5" s="1"/>
  <c r="DF781" i="5"/>
  <c r="JZ781" i="5"/>
  <c r="AO781" i="5"/>
  <c r="EN779" i="5"/>
  <c r="CX781" i="5"/>
  <c r="JJ781" i="5"/>
  <c r="EQ779" i="5"/>
  <c r="DF779" i="5"/>
  <c r="AR779" i="5"/>
  <c r="EM779" i="5" s="1"/>
  <c r="DJ781" i="5"/>
  <c r="DJ779" i="5"/>
  <c r="CZ779" i="5"/>
  <c r="CZ781" i="5"/>
  <c r="EG628" i="5"/>
  <c r="ED628" i="5"/>
  <c r="EK628" i="5"/>
  <c r="EP628" i="5"/>
  <c r="DK628" i="5"/>
  <c r="CY628" i="5"/>
  <c r="DF628" i="5"/>
  <c r="DB628" i="5"/>
  <c r="DA628" i="5"/>
  <c r="DG630" i="5"/>
  <c r="DS628" i="5" s="1"/>
  <c r="CV628" i="5"/>
  <c r="AO628" i="5"/>
  <c r="CV630" i="5"/>
  <c r="EL628" i="5"/>
  <c r="ER628" i="5"/>
  <c r="CX630" i="5"/>
  <c r="EN628" i="5"/>
  <c r="CW628" i="5"/>
  <c r="AR628" i="5"/>
  <c r="EM628" i="5" s="1"/>
  <c r="EI628" i="5"/>
  <c r="EF628" i="5"/>
  <c r="DF630" i="5"/>
  <c r="IC630" i="5"/>
  <c r="CY630" i="5"/>
  <c r="CW630" i="5"/>
  <c r="JZ630" i="5"/>
  <c r="AO630" i="5"/>
  <c r="EQ628" i="5"/>
  <c r="IC628" i="5"/>
  <c r="EO628" i="5"/>
  <c r="JJ630" i="5"/>
  <c r="ES628" i="5"/>
  <c r="DC628" i="5"/>
  <c r="DJ630" i="5"/>
  <c r="CZ630" i="5"/>
  <c r="CZ628" i="5"/>
  <c r="DJ628" i="5"/>
  <c r="AP681" i="5"/>
  <c r="CY658" i="5"/>
  <c r="ER656" i="5"/>
  <c r="DG658" i="5"/>
  <c r="DS656" i="5" s="1"/>
  <c r="JZ658" i="5"/>
  <c r="DF658" i="5"/>
  <c r="IC656" i="5"/>
  <c r="ED656" i="5"/>
  <c r="EL656" i="5"/>
  <c r="DA656" i="5"/>
  <c r="AO658" i="5"/>
  <c r="EQ656" i="5"/>
  <c r="CW656" i="5"/>
  <c r="DB656" i="5"/>
  <c r="ES656" i="5"/>
  <c r="EI656" i="5"/>
  <c r="AO656" i="5"/>
  <c r="EG656" i="5"/>
  <c r="EK656" i="5"/>
  <c r="DC656" i="5"/>
  <c r="EP656" i="5"/>
  <c r="CY656" i="5"/>
  <c r="DF656" i="5"/>
  <c r="CV658" i="5"/>
  <c r="DK656" i="5"/>
  <c r="CX658" i="5"/>
  <c r="CV656" i="5"/>
  <c r="EN656" i="5"/>
  <c r="EO656" i="5"/>
  <c r="CW658" i="5"/>
  <c r="IC658" i="5"/>
  <c r="EF656" i="5"/>
  <c r="JJ658" i="5"/>
  <c r="AR656" i="5"/>
  <c r="EM656" i="5" s="1"/>
  <c r="CZ658" i="5"/>
  <c r="CZ656" i="5"/>
  <c r="DJ656" i="5"/>
  <c r="DJ658" i="5"/>
  <c r="EJ311" i="5"/>
  <c r="EH311" i="5"/>
  <c r="DT311" i="5"/>
  <c r="DT313" i="5"/>
  <c r="DV311" i="5"/>
  <c r="EA311" i="5" s="1"/>
  <c r="DD462" i="5"/>
  <c r="EJ203" i="5"/>
  <c r="EH203" i="5"/>
  <c r="DT522" i="5"/>
  <c r="DT520" i="5"/>
  <c r="DV520" i="5"/>
  <c r="EA520" i="5" s="1"/>
  <c r="AP535" i="5"/>
  <c r="DN79" i="5"/>
  <c r="DT79" i="5"/>
  <c r="DT77" i="5"/>
  <c r="DV77" i="5"/>
  <c r="EA77" i="5" s="1"/>
  <c r="DV437" i="5"/>
  <c r="EA437" i="5" s="1"/>
  <c r="DT437" i="5"/>
  <c r="DT439" i="5"/>
  <c r="DM306" i="5"/>
  <c r="IC618" i="5"/>
  <c r="DA618" i="5"/>
  <c r="AR618" i="5"/>
  <c r="EM618" i="5" s="1"/>
  <c r="DG620" i="5"/>
  <c r="DS618" i="5" s="1"/>
  <c r="EQ618" i="5"/>
  <c r="CV620" i="5"/>
  <c r="CX620" i="5"/>
  <c r="CY618" i="5"/>
  <c r="EI618" i="5"/>
  <c r="EN618" i="5"/>
  <c r="CV618" i="5"/>
  <c r="AO620" i="5"/>
  <c r="DC618" i="5"/>
  <c r="EF618" i="5"/>
  <c r="AO618" i="5"/>
  <c r="ES618" i="5"/>
  <c r="CW620" i="5"/>
  <c r="JZ620" i="5"/>
  <c r="ED618" i="5"/>
  <c r="EP618" i="5"/>
  <c r="ER618" i="5"/>
  <c r="EO618" i="5"/>
  <c r="DF620" i="5"/>
  <c r="JJ620" i="5"/>
  <c r="DF618" i="5"/>
  <c r="IC620" i="5"/>
  <c r="EG618" i="5"/>
  <c r="EK618" i="5"/>
  <c r="EL618" i="5"/>
  <c r="CY620" i="5"/>
  <c r="DK618" i="5"/>
  <c r="CW618" i="5"/>
  <c r="DB618" i="5"/>
  <c r="DJ618" i="5"/>
  <c r="CZ618" i="5"/>
  <c r="CZ620" i="5"/>
  <c r="DJ620" i="5"/>
  <c r="DM218" i="5"/>
  <c r="DT479" i="5"/>
  <c r="DV477" i="5"/>
  <c r="EA477" i="5" s="1"/>
  <c r="DT477" i="5"/>
  <c r="DV764" i="5"/>
  <c r="EA764" i="5" s="1"/>
  <c r="DT764" i="5"/>
  <c r="DT766" i="5"/>
  <c r="DN434" i="5"/>
  <c r="DV432" i="5"/>
  <c r="EA432" i="5" s="1"/>
  <c r="DT432" i="5"/>
  <c r="DT434" i="5"/>
  <c r="DN381" i="5"/>
  <c r="EJ379" i="5"/>
  <c r="EH379" i="5"/>
  <c r="DM213" i="5"/>
  <c r="AP183" i="5"/>
  <c r="ES140" i="5"/>
  <c r="CV142" i="5"/>
  <c r="EP140" i="5"/>
  <c r="DK140" i="5"/>
  <c r="EK140" i="5"/>
  <c r="IC142" i="5"/>
  <c r="DB140" i="5"/>
  <c r="DA140" i="5"/>
  <c r="DG142" i="5"/>
  <c r="DS140" i="5" s="1"/>
  <c r="DF140" i="5"/>
  <c r="CY142" i="5"/>
  <c r="AO140" i="5"/>
  <c r="CY140" i="5"/>
  <c r="EL140" i="5"/>
  <c r="CV140" i="5"/>
  <c r="IC140" i="5"/>
  <c r="EF140" i="5"/>
  <c r="CW140" i="5"/>
  <c r="EN140" i="5"/>
  <c r="EQ140" i="5"/>
  <c r="ED140" i="5"/>
  <c r="JJ142" i="5"/>
  <c r="JZ142" i="5"/>
  <c r="EI140" i="5"/>
  <c r="CW142" i="5"/>
  <c r="DF142" i="5"/>
  <c r="ER140" i="5"/>
  <c r="DC140" i="5"/>
  <c r="EO140" i="5"/>
  <c r="AO142" i="5"/>
  <c r="AR140" i="5"/>
  <c r="EM140" i="5" s="1"/>
  <c r="CX142" i="5"/>
  <c r="EG140" i="5"/>
  <c r="CZ142" i="5"/>
  <c r="DJ142" i="5"/>
  <c r="CZ140" i="5"/>
  <c r="DJ140" i="5"/>
  <c r="EH641" i="5"/>
  <c r="EJ641" i="5"/>
  <c r="EJ359" i="5"/>
  <c r="EH359" i="5"/>
  <c r="AP774" i="5"/>
  <c r="AP744" i="5"/>
  <c r="AP724" i="5"/>
  <c r="ET681" i="5"/>
  <c r="ET203" i="5"/>
  <c r="AP520" i="5"/>
  <c r="AO281" i="5"/>
  <c r="DA281" i="5"/>
  <c r="EI281" i="5"/>
  <c r="EK281" i="5"/>
  <c r="AO283" i="5"/>
  <c r="CY283" i="5"/>
  <c r="DF281" i="5"/>
  <c r="EF281" i="5"/>
  <c r="DG283" i="5"/>
  <c r="DS281" i="5" s="1"/>
  <c r="ER281" i="5"/>
  <c r="DK281" i="5"/>
  <c r="JJ283" i="5"/>
  <c r="EL281" i="5"/>
  <c r="EG281" i="5"/>
  <c r="CY281" i="5"/>
  <c r="IC281" i="5"/>
  <c r="DC281" i="5"/>
  <c r="CW281" i="5"/>
  <c r="IC283" i="5"/>
  <c r="CV283" i="5"/>
  <c r="AR281" i="5"/>
  <c r="EM281" i="5" s="1"/>
  <c r="CX283" i="5"/>
  <c r="DF283" i="5"/>
  <c r="EQ281" i="5"/>
  <c r="CV281" i="5"/>
  <c r="EP281" i="5"/>
  <c r="EO281" i="5"/>
  <c r="JZ283" i="5"/>
  <c r="CW283" i="5"/>
  <c r="DB281" i="5"/>
  <c r="ED281" i="5"/>
  <c r="EN281" i="5"/>
  <c r="ES281" i="5"/>
  <c r="DJ281" i="5"/>
  <c r="CZ283" i="5"/>
  <c r="CZ281" i="5"/>
  <c r="DJ283" i="5"/>
  <c r="DM349" i="5"/>
  <c r="DM261" i="5"/>
  <c r="EJ155" i="5"/>
  <c r="EH155" i="5"/>
  <c r="DM77" i="5"/>
  <c r="DD369" i="5"/>
  <c r="DD573" i="5"/>
  <c r="EH437" i="5"/>
  <c r="EJ437" i="5"/>
  <c r="DN97" i="5"/>
  <c r="ET306" i="5"/>
  <c r="CW605" i="5"/>
  <c r="CW603" i="5"/>
  <c r="ED603" i="5"/>
  <c r="EF603" i="5"/>
  <c r="EO603" i="5"/>
  <c r="EK603" i="5"/>
  <c r="CY603" i="5"/>
  <c r="AR603" i="5"/>
  <c r="EM603" i="5" s="1"/>
  <c r="IC605" i="5"/>
  <c r="EG603" i="5"/>
  <c r="DF603" i="5"/>
  <c r="AO603" i="5"/>
  <c r="EP603" i="5"/>
  <c r="CY605" i="5"/>
  <c r="DK603" i="5"/>
  <c r="JZ605" i="5"/>
  <c r="AO605" i="5"/>
  <c r="IC603" i="5"/>
  <c r="DA603" i="5"/>
  <c r="DF605" i="5"/>
  <c r="CV603" i="5"/>
  <c r="EQ603" i="5"/>
  <c r="CV605" i="5"/>
  <c r="DB603" i="5"/>
  <c r="ES603" i="5"/>
  <c r="EI603" i="5"/>
  <c r="DG605" i="5"/>
  <c r="DS603" i="5" s="1"/>
  <c r="CX605" i="5"/>
  <c r="JJ605" i="5"/>
  <c r="DC603" i="5"/>
  <c r="EL603" i="5"/>
  <c r="ER603" i="5"/>
  <c r="EN603" i="5"/>
  <c r="CZ605" i="5"/>
  <c r="CZ603" i="5"/>
  <c r="DJ605" i="5"/>
  <c r="DJ603" i="5"/>
  <c r="EL72" i="5"/>
  <c r="DF72" i="5"/>
  <c r="ER72" i="5"/>
  <c r="JZ74" i="5"/>
  <c r="DC72" i="5"/>
  <c r="CW72" i="5"/>
  <c r="CV72" i="5"/>
  <c r="AR72" i="5"/>
  <c r="EM72" i="5" s="1"/>
  <c r="JJ74" i="5"/>
  <c r="CY72" i="5"/>
  <c r="EK72" i="5"/>
  <c r="CX74" i="5"/>
  <c r="IC74" i="5"/>
  <c r="DB72" i="5"/>
  <c r="CV74" i="5"/>
  <c r="DA72" i="5"/>
  <c r="AO72" i="5"/>
  <c r="CY74" i="5"/>
  <c r="CW74" i="5"/>
  <c r="EN72" i="5"/>
  <c r="DF74" i="5"/>
  <c r="IC72" i="5"/>
  <c r="EO72" i="5"/>
  <c r="EF72" i="5"/>
  <c r="ES72" i="5"/>
  <c r="DG74" i="5"/>
  <c r="DS72" i="5" s="1"/>
  <c r="AO74" i="5"/>
  <c r="EQ72" i="5"/>
  <c r="EG72" i="5"/>
  <c r="ED72" i="5"/>
  <c r="EI72" i="5"/>
  <c r="DK72" i="5"/>
  <c r="EP72" i="5"/>
  <c r="CZ74" i="5"/>
  <c r="DJ74" i="5"/>
  <c r="CZ72" i="5"/>
  <c r="DJ72" i="5"/>
  <c r="DM477" i="5"/>
  <c r="EJ477" i="5"/>
  <c r="EH477" i="5"/>
  <c r="DD764" i="5"/>
  <c r="EH661" i="5"/>
  <c r="EJ661" i="5"/>
  <c r="DT663" i="5"/>
  <c r="DV661" i="5"/>
  <c r="EA661" i="5" s="1"/>
  <c r="DT661" i="5"/>
  <c r="DM125" i="5"/>
  <c r="IC268" i="5"/>
  <c r="EG266" i="5"/>
  <c r="AO268" i="5"/>
  <c r="ER266" i="5"/>
  <c r="CW266" i="5"/>
  <c r="CY268" i="5"/>
  <c r="DK266" i="5"/>
  <c r="ES266" i="5"/>
  <c r="CV268" i="5"/>
  <c r="IC266" i="5"/>
  <c r="DA266" i="5"/>
  <c r="EK266" i="5"/>
  <c r="EP266" i="5"/>
  <c r="EI266" i="5"/>
  <c r="JJ268" i="5"/>
  <c r="CV266" i="5"/>
  <c r="EN266" i="5"/>
  <c r="DC266" i="5"/>
  <c r="ED266" i="5"/>
  <c r="DG268" i="5"/>
  <c r="DS266" i="5" s="1"/>
  <c r="AR266" i="5"/>
  <c r="EM266" i="5" s="1"/>
  <c r="CW268" i="5"/>
  <c r="CY266" i="5"/>
  <c r="EF266" i="5"/>
  <c r="EL266" i="5"/>
  <c r="DB266" i="5"/>
  <c r="AO266" i="5"/>
  <c r="EQ266" i="5"/>
  <c r="EO266" i="5"/>
  <c r="JZ268" i="5"/>
  <c r="DF268" i="5"/>
  <c r="DF266" i="5"/>
  <c r="CX268" i="5"/>
  <c r="CZ266" i="5"/>
  <c r="CZ268" i="5"/>
  <c r="DJ266" i="5"/>
  <c r="DJ268" i="5"/>
  <c r="EH432" i="5"/>
  <c r="EJ432" i="5"/>
  <c r="AP432" i="5"/>
  <c r="CY366" i="5"/>
  <c r="AO364" i="5"/>
  <c r="EN364" i="5"/>
  <c r="CV364" i="5"/>
  <c r="DA364" i="5"/>
  <c r="IC364" i="5"/>
  <c r="CW366" i="5"/>
  <c r="AR364" i="5"/>
  <c r="EM364" i="5" s="1"/>
  <c r="CY364" i="5"/>
  <c r="EQ364" i="5"/>
  <c r="JZ366" i="5"/>
  <c r="DG366" i="5"/>
  <c r="DS364" i="5" s="1"/>
  <c r="EK364" i="5"/>
  <c r="EF364" i="5"/>
  <c r="EI364" i="5"/>
  <c r="CV366" i="5"/>
  <c r="EL364" i="5"/>
  <c r="DK364" i="5"/>
  <c r="DC364" i="5"/>
  <c r="ES364" i="5"/>
  <c r="ED364" i="5"/>
  <c r="CX366" i="5"/>
  <c r="EG364" i="5"/>
  <c r="CW364" i="5"/>
  <c r="JJ366" i="5"/>
  <c r="EP364" i="5"/>
  <c r="DF364" i="5"/>
  <c r="DF366" i="5"/>
  <c r="IC366" i="5"/>
  <c r="DB364" i="5"/>
  <c r="AO366" i="5"/>
  <c r="EO364" i="5"/>
  <c r="ER364" i="5"/>
  <c r="DJ364" i="5"/>
  <c r="DJ366" i="5"/>
  <c r="CZ364" i="5"/>
  <c r="CZ366" i="5"/>
  <c r="ET706" i="5"/>
  <c r="DT379" i="5"/>
  <c r="DT381" i="5"/>
  <c r="DV379" i="5"/>
  <c r="EA379" i="5" s="1"/>
  <c r="EF525" i="5"/>
  <c r="ER525" i="5"/>
  <c r="CW525" i="5"/>
  <c r="CY525" i="5"/>
  <c r="JZ527" i="5"/>
  <c r="AR525" i="5"/>
  <c r="EM525" i="5" s="1"/>
  <c r="JJ527" i="5"/>
  <c r="EI525" i="5"/>
  <c r="DF527" i="5"/>
  <c r="CW527" i="5"/>
  <c r="IC527" i="5"/>
  <c r="CY527" i="5"/>
  <c r="AO527" i="5"/>
  <c r="EO525" i="5"/>
  <c r="AO525" i="5"/>
  <c r="CX527" i="5"/>
  <c r="ES525" i="5"/>
  <c r="EG525" i="5"/>
  <c r="DG527" i="5"/>
  <c r="DS525" i="5" s="1"/>
  <c r="IC525" i="5"/>
  <c r="EK525" i="5"/>
  <c r="DK525" i="5"/>
  <c r="ED525" i="5"/>
  <c r="EQ525" i="5"/>
  <c r="CV527" i="5"/>
  <c r="DF525" i="5"/>
  <c r="DA525" i="5"/>
  <c r="EP525" i="5"/>
  <c r="DC525" i="5"/>
  <c r="EN525" i="5"/>
  <c r="CV525" i="5"/>
  <c r="EL525" i="5"/>
  <c r="DB525" i="5"/>
  <c r="CZ527" i="5"/>
  <c r="DJ525" i="5"/>
  <c r="CZ525" i="5"/>
  <c r="DJ527" i="5"/>
  <c r="EO334" i="5"/>
  <c r="EL334" i="5"/>
  <c r="DF336" i="5"/>
  <c r="CY334" i="5"/>
  <c r="EG334" i="5"/>
  <c r="CV334" i="5"/>
  <c r="DB334" i="5"/>
  <c r="EQ334" i="5"/>
  <c r="JZ336" i="5"/>
  <c r="EK334" i="5"/>
  <c r="CY336" i="5"/>
  <c r="AO334" i="5"/>
  <c r="ED334" i="5"/>
  <c r="AR334" i="5"/>
  <c r="EM334" i="5" s="1"/>
  <c r="EF334" i="5"/>
  <c r="CW334" i="5"/>
  <c r="IC334" i="5"/>
  <c r="DG336" i="5"/>
  <c r="DS334" i="5" s="1"/>
  <c r="DA334" i="5"/>
  <c r="EP334" i="5"/>
  <c r="ER334" i="5"/>
  <c r="EN334" i="5"/>
  <c r="EI334" i="5"/>
  <c r="CV336" i="5"/>
  <c r="CX336" i="5"/>
  <c r="DF334" i="5"/>
  <c r="DC334" i="5"/>
  <c r="ES334" i="5"/>
  <c r="DK334" i="5"/>
  <c r="IC336" i="5"/>
  <c r="CW336" i="5"/>
  <c r="JJ336" i="5"/>
  <c r="AO336" i="5"/>
  <c r="CZ334" i="5"/>
  <c r="DJ336" i="5"/>
  <c r="DJ334" i="5"/>
  <c r="CZ336" i="5"/>
  <c r="DV359" i="5"/>
  <c r="EA359" i="5" s="1"/>
  <c r="DT361" i="5"/>
  <c r="DT359" i="5"/>
  <c r="EH724" i="5"/>
  <c r="EJ724" i="5"/>
  <c r="CW321" i="5"/>
  <c r="AR321" i="5"/>
  <c r="EM321" i="5" s="1"/>
  <c r="EP321" i="5"/>
  <c r="EN321" i="5"/>
  <c r="DF323" i="5"/>
  <c r="IC323" i="5"/>
  <c r="DB321" i="5"/>
  <c r="EF321" i="5"/>
  <c r="AO323" i="5"/>
  <c r="CY323" i="5"/>
  <c r="AO321" i="5"/>
  <c r="CY321" i="5"/>
  <c r="EK321" i="5"/>
  <c r="EQ321" i="5"/>
  <c r="EO321" i="5"/>
  <c r="ED321" i="5"/>
  <c r="DF321" i="5"/>
  <c r="EI321" i="5"/>
  <c r="EG321" i="5"/>
  <c r="CV323" i="5"/>
  <c r="DG323" i="5"/>
  <c r="DS321" i="5" s="1"/>
  <c r="CV321" i="5"/>
  <c r="DC321" i="5"/>
  <c r="DK321" i="5"/>
  <c r="JZ323" i="5"/>
  <c r="JJ323" i="5"/>
  <c r="EL321" i="5"/>
  <c r="ES321" i="5"/>
  <c r="CW323" i="5"/>
  <c r="ER321" i="5"/>
  <c r="IC321" i="5"/>
  <c r="CX323" i="5"/>
  <c r="DA321" i="5"/>
  <c r="CZ323" i="5"/>
  <c r="DJ321" i="5"/>
  <c r="CZ321" i="5"/>
  <c r="DJ323" i="5"/>
  <c r="EQ384" i="5"/>
  <c r="EI384" i="5"/>
  <c r="DC384" i="5"/>
  <c r="JZ386" i="5"/>
  <c r="JJ386" i="5"/>
  <c r="IC386" i="5"/>
  <c r="CX386" i="5"/>
  <c r="CY386" i="5"/>
  <c r="CV386" i="5"/>
  <c r="IC384" i="5"/>
  <c r="EN384" i="5"/>
  <c r="DF384" i="5"/>
  <c r="ER384" i="5"/>
  <c r="EL384" i="5"/>
  <c r="AO384" i="5"/>
  <c r="EF384" i="5"/>
  <c r="CV384" i="5"/>
  <c r="AO386" i="5"/>
  <c r="CY384" i="5"/>
  <c r="EO384" i="5"/>
  <c r="EK384" i="5"/>
  <c r="DF386" i="5"/>
  <c r="CW386" i="5"/>
  <c r="DA384" i="5"/>
  <c r="EP384" i="5"/>
  <c r="DB384" i="5"/>
  <c r="ES384" i="5"/>
  <c r="DK384" i="5"/>
  <c r="EG384" i="5"/>
  <c r="CW384" i="5"/>
  <c r="ED384" i="5"/>
  <c r="DG386" i="5"/>
  <c r="DS384" i="5" s="1"/>
  <c r="AR384" i="5"/>
  <c r="EM384" i="5" s="1"/>
  <c r="CZ384" i="5"/>
  <c r="CZ386" i="5"/>
  <c r="DJ386" i="5"/>
  <c r="DJ384" i="5"/>
  <c r="EJ739" i="5"/>
  <c r="EH739" i="5"/>
  <c r="DT739" i="5"/>
  <c r="DT741" i="5"/>
  <c r="DV739" i="5"/>
  <c r="EA739" i="5" s="1"/>
  <c r="ET145" i="5"/>
  <c r="EQ719" i="5"/>
  <c r="EO719" i="5"/>
  <c r="JZ721" i="5"/>
  <c r="AO721" i="5"/>
  <c r="EI719" i="5"/>
  <c r="EG719" i="5"/>
  <c r="JJ721" i="5"/>
  <c r="ES719" i="5"/>
  <c r="DC719" i="5"/>
  <c r="DK719" i="5"/>
  <c r="ED719" i="5"/>
  <c r="EK719" i="5"/>
  <c r="CX721" i="5"/>
  <c r="DA719" i="5"/>
  <c r="CY719" i="5"/>
  <c r="DF719" i="5"/>
  <c r="EP719" i="5"/>
  <c r="ER719" i="5"/>
  <c r="DG721" i="5"/>
  <c r="DS719" i="5" s="1"/>
  <c r="CV719" i="5"/>
  <c r="IC721" i="5"/>
  <c r="DB719" i="5"/>
  <c r="CV721" i="5"/>
  <c r="EL719" i="5"/>
  <c r="AR719" i="5"/>
  <c r="EM719" i="5" s="1"/>
  <c r="CY721" i="5"/>
  <c r="AO719" i="5"/>
  <c r="EN719" i="5"/>
  <c r="CW719" i="5"/>
  <c r="IC719" i="5"/>
  <c r="CW721" i="5"/>
  <c r="EF719" i="5"/>
  <c r="DF721" i="5"/>
  <c r="DJ719" i="5"/>
  <c r="DJ721" i="5"/>
  <c r="CZ719" i="5"/>
  <c r="CZ721" i="5"/>
  <c r="DB178" i="5"/>
  <c r="JJ180" i="5"/>
  <c r="EN178" i="5"/>
  <c r="EF178" i="5"/>
  <c r="AO178" i="5"/>
  <c r="ER178" i="5"/>
  <c r="CY178" i="5"/>
  <c r="CV180" i="5"/>
  <c r="CW180" i="5"/>
  <c r="ES178" i="5"/>
  <c r="IC180" i="5"/>
  <c r="EL178" i="5"/>
  <c r="EO178" i="5"/>
  <c r="ED178" i="5"/>
  <c r="CY180" i="5"/>
  <c r="CV178" i="5"/>
  <c r="EG178" i="5"/>
  <c r="DC178" i="5"/>
  <c r="IC178" i="5"/>
  <c r="AR178" i="5"/>
  <c r="EM178" i="5" s="1"/>
  <c r="DK178" i="5"/>
  <c r="DG180" i="5"/>
  <c r="DS178" i="5" s="1"/>
  <c r="CW178" i="5"/>
  <c r="EK178" i="5"/>
  <c r="CX180" i="5"/>
  <c r="DA178" i="5"/>
  <c r="EQ178" i="5"/>
  <c r="AO180" i="5"/>
  <c r="DF178" i="5"/>
  <c r="EP178" i="5"/>
  <c r="JZ180" i="5"/>
  <c r="DF180" i="5"/>
  <c r="EI178" i="5"/>
  <c r="DJ180" i="5"/>
  <c r="CZ178" i="5"/>
  <c r="DJ178" i="5"/>
  <c r="CZ180" i="5"/>
  <c r="EH77" i="5"/>
  <c r="EJ77" i="5"/>
  <c r="ET535" i="5"/>
  <c r="DT155" i="5"/>
  <c r="DT157" i="5"/>
  <c r="DV155" i="5"/>
  <c r="EA155" i="5" s="1"/>
  <c r="CV490" i="5"/>
  <c r="DC490" i="5"/>
  <c r="IC492" i="5"/>
  <c r="EI490" i="5"/>
  <c r="AR490" i="5"/>
  <c r="EM490" i="5" s="1"/>
  <c r="CY492" i="5"/>
  <c r="EQ490" i="5"/>
  <c r="CY490" i="5"/>
  <c r="CV492" i="5"/>
  <c r="DG492" i="5"/>
  <c r="DS490" i="5" s="1"/>
  <c r="CW490" i="5"/>
  <c r="IC490" i="5"/>
  <c r="ER490" i="5"/>
  <c r="EF490" i="5"/>
  <c r="EO490" i="5"/>
  <c r="CX492" i="5"/>
  <c r="EK490" i="5"/>
  <c r="JJ492" i="5"/>
  <c r="ED490" i="5"/>
  <c r="ES490" i="5"/>
  <c r="DB490" i="5"/>
  <c r="EP490" i="5"/>
  <c r="DF490" i="5"/>
  <c r="DK490" i="5"/>
  <c r="DA490" i="5"/>
  <c r="AO492" i="5"/>
  <c r="EL490" i="5"/>
  <c r="AO490" i="5"/>
  <c r="CW492" i="5"/>
  <c r="JZ492" i="5"/>
  <c r="DF492" i="5"/>
  <c r="EN490" i="5"/>
  <c r="EG490" i="5"/>
  <c r="DJ490" i="5"/>
  <c r="DJ492" i="5"/>
  <c r="CZ492" i="5"/>
  <c r="CZ490" i="5"/>
  <c r="JZ89" i="5"/>
  <c r="EI87" i="5"/>
  <c r="CW89" i="5"/>
  <c r="CY87" i="5"/>
  <c r="ER87" i="5"/>
  <c r="DC87" i="5"/>
  <c r="EO87" i="5"/>
  <c r="DF89" i="5"/>
  <c r="AR87" i="5"/>
  <c r="EM87" i="5" s="1"/>
  <c r="EN87" i="5"/>
  <c r="EG87" i="5"/>
  <c r="AO89" i="5"/>
  <c r="CV89" i="5"/>
  <c r="JJ89" i="5"/>
  <c r="DK87" i="5"/>
  <c r="ES87" i="5"/>
  <c r="IC89" i="5"/>
  <c r="CX89" i="5"/>
  <c r="DA87" i="5"/>
  <c r="DG89" i="5"/>
  <c r="DS87" i="5" s="1"/>
  <c r="EK87" i="5"/>
  <c r="CY89" i="5"/>
  <c r="EP87" i="5"/>
  <c r="EF87" i="5"/>
  <c r="EL87" i="5"/>
  <c r="DF87" i="5"/>
  <c r="IC87" i="5"/>
  <c r="DB87" i="5"/>
  <c r="CW87" i="5"/>
  <c r="CV87" i="5"/>
  <c r="EQ87" i="5"/>
  <c r="AO87" i="5"/>
  <c r="ED87" i="5"/>
  <c r="CZ89" i="5"/>
  <c r="CZ87" i="5"/>
  <c r="DJ87" i="5"/>
  <c r="DJ89" i="5"/>
  <c r="DT573" i="5"/>
  <c r="DT575" i="5"/>
  <c r="DV573" i="5"/>
  <c r="EA573" i="5" s="1"/>
  <c r="AP437" i="5"/>
  <c r="EJ95" i="5"/>
  <c r="EH95" i="5"/>
  <c r="DT218" i="5"/>
  <c r="DV218" i="5"/>
  <c r="EA218" i="5" s="1"/>
  <c r="DT220" i="5"/>
  <c r="DD477" i="5"/>
  <c r="DV417" i="5"/>
  <c r="EA417" i="5" s="1"/>
  <c r="DT419" i="5"/>
  <c r="DT417" i="5"/>
  <c r="EJ417" i="5"/>
  <c r="EH417" i="5"/>
  <c r="EF608" i="5"/>
  <c r="DF610" i="5"/>
  <c r="IC608" i="5"/>
  <c r="ED608" i="5"/>
  <c r="CX610" i="5"/>
  <c r="JJ610" i="5"/>
  <c r="AR608" i="5"/>
  <c r="EM608" i="5" s="1"/>
  <c r="EL608" i="5"/>
  <c r="DK608" i="5"/>
  <c r="EP608" i="5"/>
  <c r="AO610" i="5"/>
  <c r="CY610" i="5"/>
  <c r="DF608" i="5"/>
  <c r="DB608" i="5"/>
  <c r="CY608" i="5"/>
  <c r="ER608" i="5"/>
  <c r="EI608" i="5"/>
  <c r="AO608" i="5"/>
  <c r="DG610" i="5"/>
  <c r="DS608" i="5" s="1"/>
  <c r="EG608" i="5"/>
  <c r="IC610" i="5"/>
  <c r="CW610" i="5"/>
  <c r="EK608" i="5"/>
  <c r="ES608" i="5"/>
  <c r="DA608" i="5"/>
  <c r="CV610" i="5"/>
  <c r="CV608" i="5"/>
  <c r="CW608" i="5"/>
  <c r="EQ608" i="5"/>
  <c r="EN608" i="5"/>
  <c r="JZ610" i="5"/>
  <c r="EO608" i="5"/>
  <c r="DC608" i="5"/>
  <c r="DJ608" i="5"/>
  <c r="CZ608" i="5"/>
  <c r="DJ610" i="5"/>
  <c r="CZ610" i="5"/>
  <c r="EJ681" i="5"/>
  <c r="EH681" i="5"/>
  <c r="DM739" i="5"/>
  <c r="EJ462" i="5"/>
  <c r="EH462" i="5"/>
  <c r="DT117" i="5"/>
  <c r="DT115" i="5"/>
  <c r="DV115" i="5"/>
  <c r="EA115" i="5" s="1"/>
  <c r="DN147" i="5"/>
  <c r="DV145" i="5"/>
  <c r="EA145" i="5" s="1"/>
  <c r="DT147" i="5"/>
  <c r="DT145" i="5"/>
  <c r="DG600" i="5"/>
  <c r="DS598" i="5" s="1"/>
  <c r="DK598" i="5"/>
  <c r="DF600" i="5"/>
  <c r="EP598" i="5"/>
  <c r="EN598" i="5"/>
  <c r="IC598" i="5"/>
  <c r="DA598" i="5"/>
  <c r="EF598" i="5"/>
  <c r="DB598" i="5"/>
  <c r="EQ598" i="5"/>
  <c r="CW600" i="5"/>
  <c r="IC600" i="5"/>
  <c r="EL598" i="5"/>
  <c r="EI598" i="5"/>
  <c r="ED598" i="5"/>
  <c r="CX600" i="5"/>
  <c r="CW598" i="5"/>
  <c r="DC598" i="5"/>
  <c r="CY598" i="5"/>
  <c r="JJ600" i="5"/>
  <c r="AO598" i="5"/>
  <c r="CY600" i="5"/>
  <c r="AO600" i="5"/>
  <c r="CV600" i="5"/>
  <c r="JZ600" i="5"/>
  <c r="EO598" i="5"/>
  <c r="ER598" i="5"/>
  <c r="ES598" i="5"/>
  <c r="EK598" i="5"/>
  <c r="EG598" i="5"/>
  <c r="AR598" i="5"/>
  <c r="EM598" i="5" s="1"/>
  <c r="DF598" i="5"/>
  <c r="CV598" i="5"/>
  <c r="CZ600" i="5"/>
  <c r="CZ598" i="5"/>
  <c r="DJ598" i="5"/>
  <c r="DJ600" i="5"/>
  <c r="DN351" i="5"/>
  <c r="DT351" i="5"/>
  <c r="DV349" i="5"/>
  <c r="EA349" i="5" s="1"/>
  <c r="DT349" i="5"/>
  <c r="DC515" i="5"/>
  <c r="CW515" i="5"/>
  <c r="DF515" i="5"/>
  <c r="CW517" i="5"/>
  <c r="JZ517" i="5"/>
  <c r="AR515" i="5"/>
  <c r="EM515" i="5" s="1"/>
  <c r="DG517" i="5"/>
  <c r="DS515" i="5" s="1"/>
  <c r="CV515" i="5"/>
  <c r="JJ517" i="5"/>
  <c r="AO517" i="5"/>
  <c r="EN515" i="5"/>
  <c r="ES515" i="5"/>
  <c r="IC517" i="5"/>
  <c r="ED515" i="5"/>
  <c r="ER515" i="5"/>
  <c r="DB515" i="5"/>
  <c r="EP515" i="5"/>
  <c r="CY517" i="5"/>
  <c r="CY515" i="5"/>
  <c r="EG515" i="5"/>
  <c r="DF517" i="5"/>
  <c r="IC515" i="5"/>
  <c r="CX517" i="5"/>
  <c r="CV517" i="5"/>
  <c r="EK515" i="5"/>
  <c r="EQ515" i="5"/>
  <c r="EL515" i="5"/>
  <c r="EF515" i="5"/>
  <c r="DA515" i="5"/>
  <c r="EI515" i="5"/>
  <c r="DK515" i="5"/>
  <c r="EO515" i="5"/>
  <c r="AO515" i="5"/>
  <c r="DJ517" i="5"/>
  <c r="CZ515" i="5"/>
  <c r="CZ517" i="5"/>
  <c r="DJ515" i="5"/>
  <c r="DA442" i="5"/>
  <c r="AO442" i="5"/>
  <c r="DC442" i="5"/>
  <c r="EK442" i="5"/>
  <c r="JZ444" i="5"/>
  <c r="CV444" i="5"/>
  <c r="EQ442" i="5"/>
  <c r="DF444" i="5"/>
  <c r="CX444" i="5"/>
  <c r="JJ444" i="5"/>
  <c r="EI442" i="5"/>
  <c r="DB442" i="5"/>
  <c r="CV442" i="5"/>
  <c r="EP442" i="5"/>
  <c r="ED442" i="5"/>
  <c r="DF442" i="5"/>
  <c r="EN442" i="5"/>
  <c r="CW444" i="5"/>
  <c r="CY442" i="5"/>
  <c r="AO444" i="5"/>
  <c r="IC442" i="5"/>
  <c r="EO442" i="5"/>
  <c r="DG444" i="5"/>
  <c r="DS442" i="5" s="1"/>
  <c r="ES442" i="5"/>
  <c r="EL442" i="5"/>
  <c r="EG442" i="5"/>
  <c r="IC444" i="5"/>
  <c r="ER442" i="5"/>
  <c r="CW442" i="5"/>
  <c r="DK442" i="5"/>
  <c r="CY444" i="5"/>
  <c r="EF442" i="5"/>
  <c r="AR442" i="5"/>
  <c r="EM442" i="5" s="1"/>
  <c r="DJ444" i="5"/>
  <c r="CZ444" i="5"/>
  <c r="DJ442" i="5"/>
  <c r="CZ442" i="5"/>
  <c r="BX25" i="22"/>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BY25" i="22"/>
  <c r="DV671" i="5" l="1"/>
  <c r="EA671" i="5" s="1"/>
  <c r="DT673" i="5"/>
  <c r="DD671" i="5"/>
  <c r="ET329" i="5"/>
  <c r="DN245" i="5"/>
  <c r="AP339" i="5"/>
  <c r="EH243" i="5"/>
  <c r="DM671" i="5"/>
  <c r="DM243" i="5"/>
  <c r="AP243" i="5"/>
  <c r="DT243" i="5"/>
  <c r="DT245" i="5"/>
  <c r="AP452" i="5"/>
  <c r="DM188" i="5"/>
  <c r="EH671" i="5"/>
  <c r="DD243" i="5"/>
  <c r="ET671" i="5"/>
  <c r="EJ671" i="5"/>
  <c r="DN673" i="5"/>
  <c r="EJ243" i="5"/>
  <c r="ET422" i="5"/>
  <c r="DM208" i="5"/>
  <c r="AP208" i="5"/>
  <c r="EH208" i="5"/>
  <c r="DN210" i="5"/>
  <c r="DV188" i="5"/>
  <c r="EA188" i="5" s="1"/>
  <c r="EJ208" i="5"/>
  <c r="EH646" i="5"/>
  <c r="DT190" i="5"/>
  <c r="ET208" i="5"/>
  <c r="DD188" i="5"/>
  <c r="EH784" i="5"/>
  <c r="DV208" i="5"/>
  <c r="EA208" i="5" s="1"/>
  <c r="DT208" i="5"/>
  <c r="DN786" i="5"/>
  <c r="DD208" i="5"/>
  <c r="DN190" i="5"/>
  <c r="AP784" i="5"/>
  <c r="DD784" i="5"/>
  <c r="EJ784" i="5"/>
  <c r="ET691" i="5"/>
  <c r="ET784" i="5"/>
  <c r="DD550" i="5"/>
  <c r="ET339" i="5"/>
  <c r="EH339" i="5"/>
  <c r="DM339" i="5"/>
  <c r="DM784" i="5"/>
  <c r="EJ188" i="5"/>
  <c r="ET188" i="5"/>
  <c r="AP188" i="5"/>
  <c r="EH188" i="5"/>
  <c r="DT552" i="5"/>
  <c r="DT786" i="5"/>
  <c r="DT784" i="5"/>
  <c r="DM198" i="5"/>
  <c r="AP510" i="5"/>
  <c r="AP198" i="5"/>
  <c r="ET198" i="5"/>
  <c r="DD339" i="5"/>
  <c r="AP593" i="5"/>
  <c r="EH271" i="5"/>
  <c r="DD613" i="5"/>
  <c r="EJ691" i="5"/>
  <c r="EJ339" i="5"/>
  <c r="DN341" i="5"/>
  <c r="AP505" i="5"/>
  <c r="DT276" i="5"/>
  <c r="DT278" i="5"/>
  <c r="DN552" i="5"/>
  <c r="DD198" i="5"/>
  <c r="DT339" i="5"/>
  <c r="DT341" i="5"/>
  <c r="DD505" i="5"/>
  <c r="DD256" i="5"/>
  <c r="DM165" i="5"/>
  <c r="EH256" i="5"/>
  <c r="AP550" i="5"/>
  <c r="AP354" i="5"/>
  <c r="DD276" i="5"/>
  <c r="DT422" i="5"/>
  <c r="DM276" i="5"/>
  <c r="ET550" i="5"/>
  <c r="DN200" i="5"/>
  <c r="EJ271" i="5"/>
  <c r="EH198" i="5"/>
  <c r="ET256" i="5"/>
  <c r="DM545" i="5"/>
  <c r="EJ198" i="5"/>
  <c r="DT200" i="5"/>
  <c r="DT198" i="5"/>
  <c r="DD691" i="5"/>
  <c r="DN167" i="5"/>
  <c r="DN507" i="5"/>
  <c r="EJ256" i="5"/>
  <c r="DM505" i="5"/>
  <c r="AP276" i="5"/>
  <c r="EH550" i="5"/>
  <c r="DN278" i="5"/>
  <c r="ET276" i="5"/>
  <c r="DT550" i="5"/>
  <c r="EJ422" i="5"/>
  <c r="DM223" i="5"/>
  <c r="AP691" i="5"/>
  <c r="ET165" i="5"/>
  <c r="DM550" i="5"/>
  <c r="EJ276" i="5"/>
  <c r="EJ550" i="5"/>
  <c r="DT165" i="5"/>
  <c r="EH276" i="5"/>
  <c r="DN258" i="5"/>
  <c r="DD165" i="5"/>
  <c r="AP165" i="5"/>
  <c r="AP256" i="5"/>
  <c r="DM691" i="5"/>
  <c r="DM256" i="5"/>
  <c r="EJ505" i="5"/>
  <c r="EJ165" i="5"/>
  <c r="DV165" i="5"/>
  <c r="EA165" i="5" s="1"/>
  <c r="DT505" i="5"/>
  <c r="EH165" i="5"/>
  <c r="DV505" i="5"/>
  <c r="EA505" i="5" s="1"/>
  <c r="DT258" i="5"/>
  <c r="DT256" i="5"/>
  <c r="EH505" i="5"/>
  <c r="EH691" i="5"/>
  <c r="EH593" i="5"/>
  <c r="ET646" i="5"/>
  <c r="DN693" i="5"/>
  <c r="DV545" i="5"/>
  <c r="EA545" i="5" s="1"/>
  <c r="DT547" i="5"/>
  <c r="DN547" i="5"/>
  <c r="ET545" i="5"/>
  <c r="DD593" i="5"/>
  <c r="DM593" i="5"/>
  <c r="DT593" i="5"/>
  <c r="DV593" i="5"/>
  <c r="EA593" i="5" s="1"/>
  <c r="DT273" i="5"/>
  <c r="DV271" i="5"/>
  <c r="EA271" i="5" s="1"/>
  <c r="EJ593" i="5"/>
  <c r="ET593" i="5"/>
  <c r="AP545" i="5"/>
  <c r="DV422" i="5"/>
  <c r="EA422" i="5" s="1"/>
  <c r="DM646" i="5"/>
  <c r="DN273" i="5"/>
  <c r="AP422" i="5"/>
  <c r="DT225" i="5"/>
  <c r="AP271" i="5"/>
  <c r="DD422" i="5"/>
  <c r="DN595" i="5"/>
  <c r="DT648" i="5"/>
  <c r="DV646" i="5"/>
  <c r="EA646" i="5" s="1"/>
  <c r="EH422" i="5"/>
  <c r="DD646" i="5"/>
  <c r="AP120" i="5"/>
  <c r="DO447" i="5"/>
  <c r="DD407" i="5"/>
  <c r="EJ545" i="5"/>
  <c r="DM422" i="5"/>
  <c r="DO422" i="5" s="1"/>
  <c r="DN648" i="5"/>
  <c r="DD223" i="5"/>
  <c r="DD271" i="5"/>
  <c r="DO125" i="5"/>
  <c r="DM271" i="5"/>
  <c r="DD545" i="5"/>
  <c r="DO661" i="5"/>
  <c r="EH545" i="5"/>
  <c r="DO437" i="5"/>
  <c r="DT409" i="5"/>
  <c r="DV223" i="5"/>
  <c r="EA223" i="5" s="1"/>
  <c r="DO145" i="5"/>
  <c r="EJ646" i="5"/>
  <c r="DT407" i="5"/>
  <c r="DT122" i="5"/>
  <c r="DT354" i="5"/>
  <c r="ET120" i="5"/>
  <c r="DD120" i="5"/>
  <c r="ET291" i="5"/>
  <c r="EH407" i="5"/>
  <c r="DN409" i="5"/>
  <c r="EJ223" i="5"/>
  <c r="ET271" i="5"/>
  <c r="DM407" i="5"/>
  <c r="AP407" i="5"/>
  <c r="EJ291" i="5"/>
  <c r="DN356" i="5"/>
  <c r="EH120" i="5"/>
  <c r="EJ407" i="5"/>
  <c r="ET407" i="5"/>
  <c r="EJ120" i="5"/>
  <c r="DT293" i="5"/>
  <c r="DN122" i="5"/>
  <c r="AP291" i="5"/>
  <c r="DD291" i="5"/>
  <c r="ET223" i="5"/>
  <c r="DV354" i="5"/>
  <c r="EA354" i="5" s="1"/>
  <c r="DV120" i="5"/>
  <c r="EA120" i="5" s="1"/>
  <c r="DD354" i="5"/>
  <c r="AP223" i="5"/>
  <c r="DO696" i="5"/>
  <c r="DO535" i="5"/>
  <c r="AP286" i="5"/>
  <c r="DN293" i="5"/>
  <c r="DM354" i="5"/>
  <c r="EH354" i="5"/>
  <c r="DN225" i="5"/>
  <c r="EJ354" i="5"/>
  <c r="DM120" i="5"/>
  <c r="DN288" i="5"/>
  <c r="DO359" i="5"/>
  <c r="EH286" i="5"/>
  <c r="DD286" i="5"/>
  <c r="EH291" i="5"/>
  <c r="DM291" i="5"/>
  <c r="DM779" i="5"/>
  <c r="ET394" i="5"/>
  <c r="DM286" i="5"/>
  <c r="DO462" i="5"/>
  <c r="DV286" i="5"/>
  <c r="EA286" i="5" s="1"/>
  <c r="DT286" i="5"/>
  <c r="DO706" i="5"/>
  <c r="DO369" i="5"/>
  <c r="EJ286" i="5"/>
  <c r="ET286" i="5"/>
  <c r="AP266" i="5"/>
  <c r="DO218" i="5"/>
  <c r="DT291" i="5"/>
  <c r="DO203" i="5"/>
  <c r="DO764" i="5"/>
  <c r="DO417" i="5"/>
  <c r="DO95" i="5"/>
  <c r="DO774" i="5"/>
  <c r="DO744" i="5"/>
  <c r="DD618" i="5"/>
  <c r="DM711" i="5"/>
  <c r="DN542" i="5"/>
  <c r="DO261" i="5"/>
  <c r="ET344" i="5"/>
  <c r="DD364" i="5"/>
  <c r="DO681" i="5"/>
  <c r="DO115" i="5"/>
  <c r="DO739" i="5"/>
  <c r="DO183" i="5"/>
  <c r="DN137" i="5"/>
  <c r="DM140" i="5"/>
  <c r="DO641" i="5"/>
  <c r="DO155" i="5"/>
  <c r="AP301" i="5"/>
  <c r="DD711" i="5"/>
  <c r="DM701" i="5"/>
  <c r="DO306" i="5"/>
  <c r="DN331" i="5"/>
  <c r="DM754" i="5"/>
  <c r="AP485" i="5"/>
  <c r="ET510" i="5"/>
  <c r="ET160" i="5"/>
  <c r="AP719" i="5"/>
  <c r="ET238" i="5"/>
  <c r="DD623" i="5"/>
  <c r="DD140" i="5"/>
  <c r="DN240" i="5"/>
  <c r="DD754" i="5"/>
  <c r="DD633" i="5"/>
  <c r="DD130" i="5"/>
  <c r="DD467" i="5"/>
  <c r="ET442" i="5"/>
  <c r="AP334" i="5"/>
  <c r="ET135" i="5"/>
  <c r="ET729" i="5"/>
  <c r="AP457" i="5"/>
  <c r="DM623" i="5"/>
  <c r="AP87" i="5"/>
  <c r="ET525" i="5"/>
  <c r="DO213" i="5"/>
  <c r="DM618" i="5"/>
  <c r="DO520" i="5"/>
  <c r="DN502" i="5"/>
  <c r="DD100" i="5"/>
  <c r="DM633" i="5"/>
  <c r="DN512" i="5"/>
  <c r="DD266" i="5"/>
  <c r="DD485" i="5"/>
  <c r="DN527" i="5"/>
  <c r="ET628" i="5"/>
  <c r="DO724" i="5"/>
  <c r="DD598" i="5"/>
  <c r="ET140" i="5"/>
  <c r="DD555" i="5"/>
  <c r="DD457" i="5"/>
  <c r="ET500" i="5"/>
  <c r="DM540" i="5"/>
  <c r="AP598" i="5"/>
  <c r="ET178" i="5"/>
  <c r="DN688" i="5"/>
  <c r="AP238" i="5"/>
  <c r="ET485" i="5"/>
  <c r="AP135" i="5"/>
  <c r="AP130" i="5"/>
  <c r="DM452" i="5"/>
  <c r="DD452" i="5"/>
  <c r="AP394" i="5"/>
  <c r="DN459" i="5"/>
  <c r="DM334" i="5"/>
  <c r="AP364" i="5"/>
  <c r="DN74" i="5"/>
  <c r="DO432" i="5"/>
  <c r="AP618" i="5"/>
  <c r="DM656" i="5"/>
  <c r="DD729" i="5"/>
  <c r="ET452" i="5"/>
  <c r="DN396" i="5"/>
  <c r="DM457" i="5"/>
  <c r="DD238" i="5"/>
  <c r="DD251" i="5"/>
  <c r="DO477" i="5"/>
  <c r="DO77" i="5"/>
  <c r="DO311" i="5"/>
  <c r="AP633" i="5"/>
  <c r="DM485" i="5"/>
  <c r="AP82" i="5"/>
  <c r="DN469" i="5"/>
  <c r="DM296" i="5"/>
  <c r="DM160" i="5"/>
  <c r="DD578" i="5"/>
  <c r="ET82" i="5"/>
  <c r="DD686" i="5"/>
  <c r="AP613" i="5"/>
  <c r="ET457" i="5"/>
  <c r="DN492" i="5"/>
  <c r="AP490" i="5"/>
  <c r="DN336" i="5"/>
  <c r="DN366" i="5"/>
  <c r="DN605" i="5"/>
  <c r="DN703" i="5"/>
  <c r="ET754" i="5"/>
  <c r="DM394" i="5"/>
  <c r="AP578" i="5"/>
  <c r="DM525" i="5"/>
  <c r="DM364" i="5"/>
  <c r="AP628" i="5"/>
  <c r="DM568" i="5"/>
  <c r="DD515" i="5"/>
  <c r="DM729" i="5"/>
  <c r="AP729" i="5"/>
  <c r="DN570" i="5"/>
  <c r="ET568" i="5"/>
  <c r="ET711" i="5"/>
  <c r="DN132" i="5"/>
  <c r="DM82" i="5"/>
  <c r="DD394" i="5"/>
  <c r="DN401" i="5"/>
  <c r="ET623" i="5"/>
  <c r="DN107" i="5"/>
  <c r="DM510" i="5"/>
  <c r="ET130" i="5"/>
  <c r="DN162" i="5"/>
  <c r="AP160" i="5"/>
  <c r="AP623" i="5"/>
  <c r="DN600" i="5"/>
  <c r="ET87" i="5"/>
  <c r="DN386" i="5"/>
  <c r="AP72" i="5"/>
  <c r="AP281" i="5"/>
  <c r="DN658" i="5"/>
  <c r="ET613" i="5"/>
  <c r="ET467" i="5"/>
  <c r="AP467" i="5"/>
  <c r="AP321" i="5"/>
  <c r="AP140" i="5"/>
  <c r="ET618" i="5"/>
  <c r="DM301" i="5"/>
  <c r="DN444" i="5"/>
  <c r="DM608" i="5"/>
  <c r="DM87" i="5"/>
  <c r="DD334" i="5"/>
  <c r="DN102" i="5"/>
  <c r="DN713" i="5"/>
  <c r="DD301" i="5"/>
  <c r="DM251" i="5"/>
  <c r="EH72" i="5"/>
  <c r="EJ72" i="5"/>
  <c r="DD329" i="5"/>
  <c r="DN517" i="5"/>
  <c r="EJ598" i="5"/>
  <c r="EH598" i="5"/>
  <c r="AP442" i="5"/>
  <c r="DM515" i="5"/>
  <c r="AP608" i="5"/>
  <c r="DN89" i="5"/>
  <c r="DM490" i="5"/>
  <c r="DD490" i="5"/>
  <c r="ET490" i="5"/>
  <c r="DD178" i="5"/>
  <c r="ET719" i="5"/>
  <c r="DM384" i="5"/>
  <c r="DD384" i="5"/>
  <c r="DM321" i="5"/>
  <c r="DD525" i="5"/>
  <c r="EJ525" i="5"/>
  <c r="EH525" i="5"/>
  <c r="ET364" i="5"/>
  <c r="ET281" i="5"/>
  <c r="EJ656" i="5"/>
  <c r="EH656" i="5"/>
  <c r="ET686" i="5"/>
  <c r="DV613" i="5"/>
  <c r="EA613" i="5" s="1"/>
  <c r="DT615" i="5"/>
  <c r="DT613" i="5"/>
  <c r="DT703" i="5"/>
  <c r="DT701" i="5"/>
  <c r="DV701" i="5"/>
  <c r="EA701" i="5" s="1"/>
  <c r="EH100" i="5"/>
  <c r="EJ100" i="5"/>
  <c r="DT107" i="5"/>
  <c r="DV105" i="5"/>
  <c r="EA105" i="5" s="1"/>
  <c r="DT105" i="5"/>
  <c r="EJ510" i="5"/>
  <c r="EH510" i="5"/>
  <c r="DD135" i="5"/>
  <c r="DV344" i="5"/>
  <c r="EA344" i="5" s="1"/>
  <c r="DT344" i="5"/>
  <c r="DT346" i="5"/>
  <c r="DV467" i="5"/>
  <c r="EA467" i="5" s="1"/>
  <c r="DT467" i="5"/>
  <c r="DT469" i="5"/>
  <c r="AP588" i="5"/>
  <c r="DV578" i="5"/>
  <c r="EA578" i="5" s="1"/>
  <c r="DT578" i="5"/>
  <c r="DT580" i="5"/>
  <c r="DT459" i="5"/>
  <c r="DT457" i="5"/>
  <c r="DV457" i="5"/>
  <c r="EA457" i="5" s="1"/>
  <c r="EJ623" i="5"/>
  <c r="EH623" i="5"/>
  <c r="DT251" i="5"/>
  <c r="DT253" i="5"/>
  <c r="DV251" i="5"/>
  <c r="EA251" i="5" s="1"/>
  <c r="EH628" i="5"/>
  <c r="EJ628" i="5"/>
  <c r="EJ779" i="5"/>
  <c r="EH779" i="5"/>
  <c r="EJ686" i="5"/>
  <c r="EH686" i="5"/>
  <c r="EH613" i="5"/>
  <c r="EJ613" i="5"/>
  <c r="DT331" i="5"/>
  <c r="DV329" i="5"/>
  <c r="EA329" i="5" s="1"/>
  <c r="DT329" i="5"/>
  <c r="EJ105" i="5"/>
  <c r="EH105" i="5"/>
  <c r="AP344" i="5"/>
  <c r="EH296" i="5"/>
  <c r="EJ296" i="5"/>
  <c r="DV296" i="5"/>
  <c r="EA296" i="5" s="1"/>
  <c r="DT296" i="5"/>
  <c r="DT298" i="5"/>
  <c r="ET555" i="5"/>
  <c r="EH500" i="5"/>
  <c r="EJ500" i="5"/>
  <c r="EH251" i="5"/>
  <c r="EJ251" i="5"/>
  <c r="EJ238" i="5"/>
  <c r="EH238" i="5"/>
  <c r="DV568" i="5"/>
  <c r="EA568" i="5" s="1"/>
  <c r="DT568" i="5"/>
  <c r="DT570" i="5"/>
  <c r="EJ442" i="5"/>
  <c r="EH442" i="5"/>
  <c r="AP515" i="5"/>
  <c r="ET608" i="5"/>
  <c r="EH87" i="5"/>
  <c r="EJ87" i="5"/>
  <c r="EH719" i="5"/>
  <c r="EJ719" i="5"/>
  <c r="DV384" i="5"/>
  <c r="EA384" i="5" s="1"/>
  <c r="DT384" i="5"/>
  <c r="DT386" i="5"/>
  <c r="EJ384" i="5"/>
  <c r="EH384" i="5"/>
  <c r="DN323" i="5"/>
  <c r="EJ334" i="5"/>
  <c r="EH334" i="5"/>
  <c r="AP525" i="5"/>
  <c r="AP603" i="5"/>
  <c r="EH603" i="5"/>
  <c r="EJ603" i="5"/>
  <c r="EH281" i="5"/>
  <c r="EJ281" i="5"/>
  <c r="DD656" i="5"/>
  <c r="DM628" i="5"/>
  <c r="ET779" i="5"/>
  <c r="DM530" i="5"/>
  <c r="ET530" i="5"/>
  <c r="DO379" i="5"/>
  <c r="EJ701" i="5"/>
  <c r="EH701" i="5"/>
  <c r="EJ754" i="5"/>
  <c r="EH754" i="5"/>
  <c r="AP100" i="5"/>
  <c r="ET105" i="5"/>
  <c r="DD105" i="5"/>
  <c r="DN346" i="5"/>
  <c r="EJ344" i="5"/>
  <c r="EH344" i="5"/>
  <c r="AP711" i="5"/>
  <c r="EJ711" i="5"/>
  <c r="EH711" i="5"/>
  <c r="EJ130" i="5"/>
  <c r="EH130" i="5"/>
  <c r="DN454" i="5"/>
  <c r="DN298" i="5"/>
  <c r="DD296" i="5"/>
  <c r="EJ160" i="5"/>
  <c r="EH160" i="5"/>
  <c r="DN303" i="5"/>
  <c r="ET301" i="5"/>
  <c r="DT500" i="5"/>
  <c r="DT502" i="5"/>
  <c r="DV500" i="5"/>
  <c r="EA500" i="5" s="1"/>
  <c r="DO573" i="5"/>
  <c r="AP384" i="5"/>
  <c r="EH364" i="5"/>
  <c r="EJ364" i="5"/>
  <c r="DD72" i="5"/>
  <c r="DM603" i="5"/>
  <c r="DT603" i="5"/>
  <c r="DV603" i="5"/>
  <c r="EA603" i="5" s="1"/>
  <c r="DT605" i="5"/>
  <c r="DN630" i="5"/>
  <c r="DT781" i="5"/>
  <c r="DV779" i="5"/>
  <c r="EA779" i="5" s="1"/>
  <c r="DT779" i="5"/>
  <c r="DD779" i="5"/>
  <c r="DN532" i="5"/>
  <c r="DV686" i="5"/>
  <c r="EA686" i="5" s="1"/>
  <c r="DT686" i="5"/>
  <c r="DT688" i="5"/>
  <c r="DT731" i="5"/>
  <c r="DT729" i="5"/>
  <c r="DV729" i="5"/>
  <c r="EA729" i="5" s="1"/>
  <c r="DD568" i="5"/>
  <c r="AP329" i="5"/>
  <c r="ET701" i="5"/>
  <c r="AP754" i="5"/>
  <c r="DT102" i="5"/>
  <c r="DT100" i="5"/>
  <c r="DV100" i="5"/>
  <c r="EA100" i="5" s="1"/>
  <c r="DN635" i="5"/>
  <c r="DN487" i="5"/>
  <c r="DM105" i="5"/>
  <c r="DT137" i="5"/>
  <c r="DT135" i="5"/>
  <c r="DV135" i="5"/>
  <c r="EA135" i="5" s="1"/>
  <c r="DM344" i="5"/>
  <c r="AP296" i="5"/>
  <c r="DD160" i="5"/>
  <c r="DD82" i="5"/>
  <c r="EH394" i="5"/>
  <c r="EJ394" i="5"/>
  <c r="EH578" i="5"/>
  <c r="EJ578" i="5"/>
  <c r="EH555" i="5"/>
  <c r="EJ555" i="5"/>
  <c r="DT399" i="5"/>
  <c r="DV399" i="5"/>
  <c r="EA399" i="5" s="1"/>
  <c r="DT401" i="5"/>
  <c r="DN625" i="5"/>
  <c r="DV442" i="5"/>
  <c r="EA442" i="5" s="1"/>
  <c r="DT442" i="5"/>
  <c r="DT444" i="5"/>
  <c r="ET515" i="5"/>
  <c r="DV515" i="5"/>
  <c r="EA515" i="5" s="1"/>
  <c r="DT515" i="5"/>
  <c r="DT517" i="5"/>
  <c r="DM598" i="5"/>
  <c r="ET598" i="5"/>
  <c r="DD608" i="5"/>
  <c r="DN180" i="5"/>
  <c r="AP178" i="5"/>
  <c r="DD719" i="5"/>
  <c r="EJ321" i="5"/>
  <c r="EH321" i="5"/>
  <c r="ET334" i="5"/>
  <c r="DO349" i="5"/>
  <c r="DD281" i="5"/>
  <c r="EJ618" i="5"/>
  <c r="EH618" i="5"/>
  <c r="DT658" i="5"/>
  <c r="DV656" i="5"/>
  <c r="EA656" i="5" s="1"/>
  <c r="DT656" i="5"/>
  <c r="DV628" i="5"/>
  <c r="EA628" i="5" s="1"/>
  <c r="DT630" i="5"/>
  <c r="DT628" i="5"/>
  <c r="DT240" i="5"/>
  <c r="DT238" i="5"/>
  <c r="DV238" i="5"/>
  <c r="EA238" i="5" s="1"/>
  <c r="EJ568" i="5"/>
  <c r="EH568" i="5"/>
  <c r="EJ329" i="5"/>
  <c r="EH329" i="5"/>
  <c r="DD701" i="5"/>
  <c r="AP701" i="5"/>
  <c r="EJ633" i="5"/>
  <c r="EH633" i="5"/>
  <c r="DT635" i="5"/>
  <c r="DV633" i="5"/>
  <c r="EA633" i="5" s="1"/>
  <c r="DT633" i="5"/>
  <c r="EJ485" i="5"/>
  <c r="EH485" i="5"/>
  <c r="DT230" i="5"/>
  <c r="DV228" i="5"/>
  <c r="EA228" i="5" s="1"/>
  <c r="DT228" i="5"/>
  <c r="DT713" i="5"/>
  <c r="DV711" i="5"/>
  <c r="EA711" i="5" s="1"/>
  <c r="DT711" i="5"/>
  <c r="DT452" i="5"/>
  <c r="DT454" i="5"/>
  <c r="DV452" i="5"/>
  <c r="EA452" i="5" s="1"/>
  <c r="EJ452" i="5"/>
  <c r="EH452" i="5"/>
  <c r="DT162" i="5"/>
  <c r="DV160" i="5"/>
  <c r="EA160" i="5" s="1"/>
  <c r="DT160" i="5"/>
  <c r="DN84" i="5"/>
  <c r="DM588" i="5"/>
  <c r="DM555" i="5"/>
  <c r="AP555" i="5"/>
  <c r="EJ399" i="5"/>
  <c r="EH399" i="5"/>
  <c r="DD399" i="5"/>
  <c r="DV540" i="5"/>
  <c r="EA540" i="5" s="1"/>
  <c r="DT540" i="5"/>
  <c r="DT542" i="5"/>
  <c r="DD540" i="5"/>
  <c r="EJ266" i="5"/>
  <c r="EH266" i="5"/>
  <c r="DV490" i="5"/>
  <c r="EA490" i="5" s="1"/>
  <c r="DT490" i="5"/>
  <c r="DT492" i="5"/>
  <c r="DM442" i="5"/>
  <c r="DN610" i="5"/>
  <c r="EH178" i="5"/>
  <c r="EJ178" i="5"/>
  <c r="DN721" i="5"/>
  <c r="ET384" i="5"/>
  <c r="DD321" i="5"/>
  <c r="DV364" i="5"/>
  <c r="EA364" i="5" s="1"/>
  <c r="DT364" i="5"/>
  <c r="DT366" i="5"/>
  <c r="DV266" i="5"/>
  <c r="EA266" i="5" s="1"/>
  <c r="DT266" i="5"/>
  <c r="DT268" i="5"/>
  <c r="ET266" i="5"/>
  <c r="DM72" i="5"/>
  <c r="ET656" i="5"/>
  <c r="DT530" i="5"/>
  <c r="DV530" i="5"/>
  <c r="EA530" i="5" s="1"/>
  <c r="DT532" i="5"/>
  <c r="AP686" i="5"/>
  <c r="EH729" i="5"/>
  <c r="EJ729" i="5"/>
  <c r="AP568" i="5"/>
  <c r="DT754" i="5"/>
  <c r="DV754" i="5"/>
  <c r="EA754" i="5" s="1"/>
  <c r="DT756" i="5"/>
  <c r="DM100" i="5"/>
  <c r="DV485" i="5"/>
  <c r="EA485" i="5" s="1"/>
  <c r="DT485" i="5"/>
  <c r="DT487" i="5"/>
  <c r="AP105" i="5"/>
  <c r="DM228" i="5"/>
  <c r="ET228" i="5"/>
  <c r="DD510" i="5"/>
  <c r="DM135" i="5"/>
  <c r="EJ135" i="5"/>
  <c r="EH135" i="5"/>
  <c r="DT590" i="5"/>
  <c r="DT588" i="5"/>
  <c r="DV588" i="5"/>
  <c r="EA588" i="5" s="1"/>
  <c r="EH588" i="5"/>
  <c r="EJ588" i="5"/>
  <c r="DN557" i="5"/>
  <c r="ET399" i="5"/>
  <c r="EJ540" i="5"/>
  <c r="EH540" i="5"/>
  <c r="AP540" i="5"/>
  <c r="DT625" i="5"/>
  <c r="DV623" i="5"/>
  <c r="EA623" i="5" s="1"/>
  <c r="DT623" i="5"/>
  <c r="DN253" i="5"/>
  <c r="DT180" i="5"/>
  <c r="DT178" i="5"/>
  <c r="DV178" i="5"/>
  <c r="EA178" i="5" s="1"/>
  <c r="DD442" i="5"/>
  <c r="DT600" i="5"/>
  <c r="DV598" i="5"/>
  <c r="EA598" i="5" s="1"/>
  <c r="DT598" i="5"/>
  <c r="DD87" i="5"/>
  <c r="DT87" i="5"/>
  <c r="DV87" i="5"/>
  <c r="EA87" i="5" s="1"/>
  <c r="DT89" i="5"/>
  <c r="DM178" i="5"/>
  <c r="DM719" i="5"/>
  <c r="ET321" i="5"/>
  <c r="DT527" i="5"/>
  <c r="DV525" i="5"/>
  <c r="EA525" i="5" s="1"/>
  <c r="DT525" i="5"/>
  <c r="DN268" i="5"/>
  <c r="ET72" i="5"/>
  <c r="ET603" i="5"/>
  <c r="DD603" i="5"/>
  <c r="DM281" i="5"/>
  <c r="DN142" i="5"/>
  <c r="DN620" i="5"/>
  <c r="DT620" i="5"/>
  <c r="DV618" i="5"/>
  <c r="EA618" i="5" s="1"/>
  <c r="DT618" i="5"/>
  <c r="DD628" i="5"/>
  <c r="DN781" i="5"/>
  <c r="AP530" i="5"/>
  <c r="DM686" i="5"/>
  <c r="DN615" i="5"/>
  <c r="DM329" i="5"/>
  <c r="DN756" i="5"/>
  <c r="ET100" i="5"/>
  <c r="ET633" i="5"/>
  <c r="DN230" i="5"/>
  <c r="DD228" i="5"/>
  <c r="AP228" i="5"/>
  <c r="EH228" i="5"/>
  <c r="EJ228" i="5"/>
  <c r="DV510" i="5"/>
  <c r="EA510" i="5" s="1"/>
  <c r="DT512" i="5"/>
  <c r="DT510" i="5"/>
  <c r="DD344" i="5"/>
  <c r="DM130" i="5"/>
  <c r="ET296" i="5"/>
  <c r="EJ82" i="5"/>
  <c r="EH82" i="5"/>
  <c r="DT303" i="5"/>
  <c r="DV301" i="5"/>
  <c r="EA301" i="5" s="1"/>
  <c r="DT301" i="5"/>
  <c r="EJ301" i="5"/>
  <c r="EH301" i="5"/>
  <c r="DM467" i="5"/>
  <c r="EJ467" i="5"/>
  <c r="EH467" i="5"/>
  <c r="DN590" i="5"/>
  <c r="DD588" i="5"/>
  <c r="DN580" i="5"/>
  <c r="EJ457" i="5"/>
  <c r="EH457" i="5"/>
  <c r="DD500" i="5"/>
  <c r="ET251" i="5"/>
  <c r="EH608" i="5"/>
  <c r="EJ608" i="5"/>
  <c r="DT283" i="5"/>
  <c r="DT281" i="5"/>
  <c r="DV281" i="5"/>
  <c r="EA281" i="5" s="1"/>
  <c r="EJ515" i="5"/>
  <c r="EH515" i="5"/>
  <c r="DT610" i="5"/>
  <c r="DV608" i="5"/>
  <c r="EA608" i="5" s="1"/>
  <c r="DT608" i="5"/>
  <c r="EJ490" i="5"/>
  <c r="EH490" i="5"/>
  <c r="DV719" i="5"/>
  <c r="EA719" i="5" s="1"/>
  <c r="DT721" i="5"/>
  <c r="DT719" i="5"/>
  <c r="DT323" i="5"/>
  <c r="DV321" i="5"/>
  <c r="EA321" i="5" s="1"/>
  <c r="DT321" i="5"/>
  <c r="DT336" i="5"/>
  <c r="DV334" i="5"/>
  <c r="EA334" i="5" s="1"/>
  <c r="DT334" i="5"/>
  <c r="DM266" i="5"/>
  <c r="DT74" i="5"/>
  <c r="DV72" i="5"/>
  <c r="EA72" i="5" s="1"/>
  <c r="DT72" i="5"/>
  <c r="DN283" i="5"/>
  <c r="EJ140" i="5"/>
  <c r="EH140" i="5"/>
  <c r="DT140" i="5"/>
  <c r="DT142" i="5"/>
  <c r="DV140" i="5"/>
  <c r="EA140" i="5" s="1"/>
  <c r="AP656" i="5"/>
  <c r="AP779" i="5"/>
  <c r="DD530" i="5"/>
  <c r="EH530" i="5"/>
  <c r="EJ530" i="5"/>
  <c r="DM238" i="5"/>
  <c r="DN731" i="5"/>
  <c r="DM613" i="5"/>
  <c r="DT132" i="5"/>
  <c r="DT130" i="5"/>
  <c r="DV130" i="5"/>
  <c r="EA130" i="5" s="1"/>
  <c r="DT82" i="5"/>
  <c r="DT84" i="5"/>
  <c r="DV82" i="5"/>
  <c r="EA82" i="5" s="1"/>
  <c r="DT396" i="5"/>
  <c r="DV394" i="5"/>
  <c r="EA394" i="5" s="1"/>
  <c r="DT394" i="5"/>
  <c r="ET588" i="5"/>
  <c r="DM578" i="5"/>
  <c r="ET578" i="5"/>
  <c r="DT557" i="5"/>
  <c r="DV555" i="5"/>
  <c r="EA555" i="5" s="1"/>
  <c r="DT555" i="5"/>
  <c r="DM500" i="5"/>
  <c r="AP500" i="5"/>
  <c r="DM399" i="5"/>
  <c r="AP399" i="5"/>
  <c r="ET540" i="5"/>
  <c r="AP251" i="5"/>
  <c r="BX26" i="22"/>
  <c r="C78" i="12"/>
  <c r="C79" i="12"/>
  <c r="BY26" i="22"/>
  <c r="DO243" i="5" l="1"/>
  <c r="DO671" i="5"/>
  <c r="DO188" i="5"/>
  <c r="DO208" i="5"/>
  <c r="DO344" i="5"/>
  <c r="DO784" i="5"/>
  <c r="DO339" i="5"/>
  <c r="DO198" i="5"/>
  <c r="DO550" i="5"/>
  <c r="DO165" i="5"/>
  <c r="DO276" i="5"/>
  <c r="DO223" i="5"/>
  <c r="DO545" i="5"/>
  <c r="DO505" i="5"/>
  <c r="DO256" i="5"/>
  <c r="DO691" i="5"/>
  <c r="DO593" i="5"/>
  <c r="DO646" i="5"/>
  <c r="DO271" i="5"/>
  <c r="DO100" i="5"/>
  <c r="DO407" i="5"/>
  <c r="DO354" i="5"/>
  <c r="DO779" i="5"/>
  <c r="DO329" i="5"/>
  <c r="DO120" i="5"/>
  <c r="DO291" i="5"/>
  <c r="DO286" i="5"/>
  <c r="DO238" i="5"/>
  <c r="DO686" i="5"/>
  <c r="DO140" i="5"/>
  <c r="DO613" i="5"/>
  <c r="DO485" i="5"/>
  <c r="DO452" i="5"/>
  <c r="DO711" i="5"/>
  <c r="DO130" i="5"/>
  <c r="DO72" i="5"/>
  <c r="DO603" i="5"/>
  <c r="DO178" i="5"/>
  <c r="DO633" i="5"/>
  <c r="DO568" i="5"/>
  <c r="DO540" i="5"/>
  <c r="DO135" i="5"/>
  <c r="DO160" i="5"/>
  <c r="DO623" i="5"/>
  <c r="DO525" i="5"/>
  <c r="DO500" i="5"/>
  <c r="DO754" i="5"/>
  <c r="DO394" i="5"/>
  <c r="DO701" i="5"/>
  <c r="DO105" i="5"/>
  <c r="DO296" i="5"/>
  <c r="DO251" i="5"/>
  <c r="DO334" i="5"/>
  <c r="DO618" i="5"/>
  <c r="DO608" i="5"/>
  <c r="DO442" i="5"/>
  <c r="DO266" i="5"/>
  <c r="DO467" i="5"/>
  <c r="DO82" i="5"/>
  <c r="DO399" i="5"/>
  <c r="DO729" i="5"/>
  <c r="DO656" i="5"/>
  <c r="DO87" i="5"/>
  <c r="DO457" i="5"/>
  <c r="DO719" i="5"/>
  <c r="DO301" i="5"/>
  <c r="DO598" i="5"/>
  <c r="DO510" i="5"/>
  <c r="DO490" i="5"/>
  <c r="DO364" i="5"/>
  <c r="DO384" i="5"/>
  <c r="DO281" i="5"/>
  <c r="DO578" i="5"/>
  <c r="DO628" i="5"/>
  <c r="DO321" i="5"/>
  <c r="DO555" i="5"/>
  <c r="DO515" i="5"/>
  <c r="DO588" i="5"/>
  <c r="DO530" i="5"/>
  <c r="DO228" i="5"/>
  <c r="BX27" i="22"/>
  <c r="F46" i="10"/>
  <c r="E46" i="10"/>
  <c r="A66" i="10"/>
  <c r="B66" i="10"/>
  <c r="A67" i="10"/>
  <c r="B67" i="10"/>
  <c r="A68" i="10"/>
  <c r="B68" i="10"/>
  <c r="A69" i="10"/>
  <c r="B69" i="10"/>
  <c r="FA32" i="8"/>
  <c r="FA33" i="8"/>
  <c r="FA34" i="8"/>
  <c r="ET34" i="8" s="1"/>
  <c r="FA35" i="8"/>
  <c r="ET35" i="8" s="1"/>
  <c r="FA36" i="8"/>
  <c r="ET36" i="8" s="1"/>
  <c r="FA37" i="8"/>
  <c r="ET37" i="8" s="1"/>
  <c r="FA38" i="8"/>
  <c r="ET38" i="8" s="1"/>
  <c r="FA39" i="8"/>
  <c r="ET39" i="8" s="1"/>
  <c r="FA40" i="8"/>
  <c r="ET40" i="8" s="1"/>
  <c r="FA41" i="8"/>
  <c r="ET41" i="8" s="1"/>
  <c r="FA42" i="8"/>
  <c r="ET42" i="8" s="1"/>
  <c r="FA43" i="8"/>
  <c r="ET43" i="8" s="1"/>
  <c r="FA44" i="8"/>
  <c r="ET44" i="8" s="1"/>
  <c r="FA45" i="8"/>
  <c r="ET45" i="8" s="1"/>
  <c r="FA46" i="8"/>
  <c r="ET46" i="8" s="1"/>
  <c r="FA47" i="8"/>
  <c r="ET47" i="8" s="1"/>
  <c r="FA48" i="8"/>
  <c r="ET48" i="8" s="1"/>
  <c r="FA49" i="8"/>
  <c r="ET49" i="8" s="1"/>
  <c r="FA50" i="8"/>
  <c r="ET50" i="8" s="1"/>
  <c r="FA51" i="8"/>
  <c r="ET51" i="8" s="1"/>
  <c r="FA52" i="8"/>
  <c r="ET52" i="8" s="1"/>
  <c r="FA53" i="8"/>
  <c r="ET53" i="8" s="1"/>
  <c r="FA54" i="8"/>
  <c r="ET54" i="8" s="1"/>
  <c r="FA55" i="8"/>
  <c r="ET55" i="8" s="1"/>
  <c r="FA56" i="8"/>
  <c r="ET56" i="8" s="1"/>
  <c r="FA57" i="8"/>
  <c r="ET57" i="8" s="1"/>
  <c r="FA58" i="8"/>
  <c r="ET58" i="8" s="1"/>
  <c r="FA59" i="8"/>
  <c r="ET59" i="8" s="1"/>
  <c r="FA60" i="8"/>
  <c r="ET60" i="8" s="1"/>
  <c r="FA61" i="8"/>
  <c r="ET61" i="8" s="1"/>
  <c r="FA62" i="8"/>
  <c r="ET62" i="8" s="1"/>
  <c r="FA63" i="8"/>
  <c r="FA64" i="8"/>
  <c r="FA65" i="8"/>
  <c r="FA66" i="8"/>
  <c r="FA67" i="8"/>
  <c r="FA68" i="8"/>
  <c r="FA69" i="8"/>
  <c r="FA70" i="8"/>
  <c r="FA71" i="8"/>
  <c r="FA72" i="8"/>
  <c r="FA73" i="8"/>
  <c r="BO189" i="8" s="1"/>
  <c r="FA74" i="8"/>
  <c r="BO190" i="8" s="1"/>
  <c r="FA75" i="8"/>
  <c r="BO191" i="8" s="1"/>
  <c r="FA76" i="8"/>
  <c r="BO192" i="8" s="1"/>
  <c r="FA28" i="8"/>
  <c r="ET28" i="8" s="1"/>
  <c r="BN144" i="8" s="1"/>
  <c r="FA29" i="8"/>
  <c r="FA30" i="8"/>
  <c r="FA31" i="8"/>
  <c r="ET31" i="8" s="1"/>
  <c r="FA27" i="8"/>
  <c r="ET27" i="8" s="1"/>
  <c r="BN143" i="8" s="1"/>
  <c r="A64" i="10"/>
  <c r="B64" i="10"/>
  <c r="A65" i="10"/>
  <c r="B65" i="10"/>
  <c r="BY27" i="22"/>
  <c r="BO180" i="8" l="1"/>
  <c r="ET64" i="8"/>
  <c r="EV64" i="8"/>
  <c r="BO187" i="8"/>
  <c r="ET71" i="8"/>
  <c r="EV71" i="8"/>
  <c r="BO179" i="8"/>
  <c r="ET63" i="8"/>
  <c r="EV63" i="8"/>
  <c r="BO186" i="8"/>
  <c r="ET70" i="8"/>
  <c r="EV70" i="8"/>
  <c r="BO185" i="8"/>
  <c r="ET69" i="8"/>
  <c r="EV69" i="8"/>
  <c r="BO188" i="8"/>
  <c r="ET72" i="8"/>
  <c r="EV72" i="8"/>
  <c r="BO184" i="8"/>
  <c r="ET68" i="8"/>
  <c r="EV68" i="8"/>
  <c r="BO183" i="8"/>
  <c r="ET67" i="8"/>
  <c r="EV67" i="8"/>
  <c r="BO182" i="8"/>
  <c r="ET66" i="8"/>
  <c r="EV66" i="8"/>
  <c r="BO181" i="8"/>
  <c r="ET65" i="8"/>
  <c r="EV65" i="8"/>
  <c r="BO149" i="8"/>
  <c r="ET33" i="8"/>
  <c r="BR149" i="8" s="1"/>
  <c r="BO148" i="8"/>
  <c r="ET32" i="8"/>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EV33" i="8"/>
  <c r="ET76" i="8"/>
  <c r="BR192" i="8" s="1"/>
  <c r="EV76" i="8"/>
  <c r="BN148" i="8"/>
  <c r="EV32" i="8"/>
  <c r="EV30" i="8"/>
  <c r="BR191" i="8"/>
  <c r="EV75" i="8"/>
  <c r="EV27" i="8"/>
  <c r="EV29" i="8"/>
  <c r="CV31" i="8"/>
  <c r="CW31" i="8"/>
  <c r="CY31" i="8"/>
  <c r="CV32" i="8"/>
  <c r="CW32" i="8"/>
  <c r="CY32" i="8"/>
  <c r="CV33" i="8"/>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CW64" i="8"/>
  <c r="CY64" i="8"/>
  <c r="CV65" i="8"/>
  <c r="BP181" i="8" s="1"/>
  <c r="BQ181" i="8" s="1"/>
  <c r="CW65" i="8"/>
  <c r="CY65" i="8"/>
  <c r="CV66" i="8"/>
  <c r="CW66" i="8"/>
  <c r="CY66" i="8"/>
  <c r="CV67" i="8"/>
  <c r="CW67" i="8"/>
  <c r="CY67" i="8"/>
  <c r="CV68" i="8"/>
  <c r="CW68" i="8"/>
  <c r="CY68" i="8"/>
  <c r="CV69" i="8"/>
  <c r="CW69" i="8"/>
  <c r="CY69" i="8"/>
  <c r="CV70" i="8"/>
  <c r="CW70" i="8"/>
  <c r="CY70" i="8"/>
  <c r="CV71" i="8"/>
  <c r="BP187" i="8" s="1"/>
  <c r="BQ187" i="8" s="1"/>
  <c r="CW71" i="8"/>
  <c r="CY71" i="8"/>
  <c r="CV72" i="8"/>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CW29" i="8"/>
  <c r="CY29" i="8"/>
  <c r="CV30" i="8"/>
  <c r="CW30" i="8"/>
  <c r="CY30" i="8"/>
  <c r="CV27" i="8"/>
  <c r="BP186" i="8" l="1"/>
  <c r="BQ186" i="8" s="1"/>
  <c r="BP149" i="8"/>
  <c r="BQ149" i="8" s="1"/>
  <c r="BP188" i="8"/>
  <c r="BQ188" i="8" s="1"/>
  <c r="BP185" i="8"/>
  <c r="BQ185" i="8" s="1"/>
  <c r="BP146" i="8"/>
  <c r="BQ146" i="8" s="1"/>
  <c r="BP182" i="8"/>
  <c r="BQ182" i="8" s="1"/>
  <c r="BP184" i="8"/>
  <c r="BQ184" i="8" s="1"/>
  <c r="BP145" i="8"/>
  <c r="BQ145" i="8" s="1"/>
  <c r="BP180" i="8"/>
  <c r="BQ180" i="8" s="1"/>
  <c r="BR179" i="8"/>
  <c r="DN129" i="8"/>
  <c r="DR129" i="8"/>
  <c r="BR183" i="8"/>
  <c r="DR133" i="8"/>
  <c r="DN133" i="8"/>
  <c r="BR185" i="8"/>
  <c r="DN135" i="8"/>
  <c r="DR135" i="8"/>
  <c r="BR181" i="8"/>
  <c r="DN131" i="8"/>
  <c r="DR131" i="8"/>
  <c r="BR187" i="8"/>
  <c r="DR137" i="8"/>
  <c r="DN137" i="8"/>
  <c r="BR184" i="8"/>
  <c r="DN134" i="8"/>
  <c r="DR134" i="8"/>
  <c r="BR186" i="8"/>
  <c r="DN136" i="8"/>
  <c r="DR136" i="8"/>
  <c r="BR182" i="8"/>
  <c r="DR132" i="8"/>
  <c r="DN132" i="8"/>
  <c r="BR180" i="8"/>
  <c r="DN130" i="8"/>
  <c r="DR130" i="8"/>
  <c r="BR188" i="8"/>
  <c r="DR138" i="8"/>
  <c r="DN138" i="8"/>
  <c r="BP143" i="8"/>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Y29" i="22"/>
  <c r="BX30" i="22" l="1"/>
  <c r="AV13" i="4"/>
  <c r="AV12" i="4"/>
  <c r="C49" i="10" s="1"/>
  <c r="AV11" i="4"/>
  <c r="BY30" i="22"/>
  <c r="BX31" i="22" l="1"/>
  <c r="H122" i="21"/>
  <c r="BY31" i="22"/>
  <c r="BX32" i="22" l="1"/>
  <c r="BY32" i="22"/>
  <c r="BX33" i="22" l="1"/>
  <c r="BY33" i="22"/>
  <c r="BX34" i="22" l="1"/>
  <c r="C116" i="12"/>
  <c r="BY34" i="22"/>
  <c r="BX35" i="22" l="1"/>
  <c r="V36" i="21"/>
  <c r="U34" i="21"/>
  <c r="U32" i="21"/>
  <c r="R20" i="21"/>
  <c r="BY35" i="22"/>
  <c r="BX36" i="22" l="1"/>
  <c r="U51" i="10"/>
  <c r="V51" i="10"/>
  <c r="I51" i="10"/>
  <c r="G51" i="10"/>
  <c r="Y43" i="10" s="1"/>
  <c r="H51" i="10"/>
  <c r="F51" i="10"/>
  <c r="Y42" i="10" s="1"/>
  <c r="E51" i="10"/>
  <c r="BY36" i="22"/>
  <c r="BX37" i="22" l="1"/>
  <c r="CR5" i="4"/>
  <c r="CR6" i="4"/>
  <c r="CR7" i="4"/>
  <c r="CR8" i="4"/>
  <c r="CR9" i="4"/>
  <c r="CR10" i="4"/>
  <c r="CR11" i="4"/>
  <c r="CR12" i="4"/>
  <c r="CR13" i="4"/>
  <c r="CR14" i="4"/>
  <c r="CR15" i="4"/>
  <c r="CR16" i="4"/>
  <c r="CR17" i="4"/>
  <c r="CR18" i="4"/>
  <c r="CR19" i="4"/>
  <c r="CR20" i="4"/>
  <c r="CR21" i="4"/>
  <c r="CR22" i="4"/>
  <c r="CR23" i="4"/>
  <c r="CR24" i="4"/>
  <c r="CR25" i="4"/>
  <c r="CR26" i="4"/>
  <c r="CR27" i="4"/>
  <c r="CR28" i="4"/>
  <c r="CR29" i="4"/>
  <c r="CR30" i="4"/>
  <c r="CR31" i="4"/>
  <c r="CR32" i="4"/>
  <c r="CR33" i="4"/>
  <c r="CR4" i="4"/>
  <c r="BY37" i="22"/>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Y38" i="22"/>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CA24" i="22"/>
  <c r="BZ25" i="22" l="1"/>
  <c r="CO5" i="4"/>
  <c r="CO6" i="4"/>
  <c r="CO7" i="4"/>
  <c r="CO8" i="4"/>
  <c r="CO9" i="4"/>
  <c r="CO10" i="4"/>
  <c r="CO11" i="4"/>
  <c r="CO12" i="4"/>
  <c r="CO13" i="4"/>
  <c r="CO14" i="4"/>
  <c r="CO15" i="4"/>
  <c r="CO16" i="4"/>
  <c r="CO17" i="4"/>
  <c r="CO18" i="4"/>
  <c r="CO19" i="4"/>
  <c r="CO20" i="4"/>
  <c r="CO21" i="4"/>
  <c r="CO22" i="4"/>
  <c r="CO23" i="4"/>
  <c r="CO24" i="4"/>
  <c r="CO25" i="4"/>
  <c r="CO26" i="4"/>
  <c r="CO27" i="4"/>
  <c r="CO28" i="4"/>
  <c r="CO29" i="4"/>
  <c r="CO30" i="4"/>
  <c r="CO31" i="4"/>
  <c r="CO32" i="4"/>
  <c r="CO33" i="4"/>
  <c r="CO4" i="4"/>
  <c r="CA25" i="22"/>
  <c r="BZ26" i="22" l="1"/>
  <c r="B28" i="4"/>
  <c r="A2" i="14" s="1"/>
  <c r="Q190" i="14" s="1"/>
  <c r="B27" i="4"/>
  <c r="B26" i="4"/>
  <c r="B60" i="12" s="1"/>
  <c r="B24" i="4"/>
  <c r="B23" i="4"/>
  <c r="B20" i="12" s="1"/>
  <c r="B22" i="4"/>
  <c r="B20" i="4" s="1"/>
  <c r="B19" i="4"/>
  <c r="L7" i="33" s="1"/>
  <c r="L9" i="33" l="1"/>
  <c r="C139" i="12"/>
  <c r="B191" i="29"/>
  <c r="J9" i="20"/>
  <c r="J9" i="21"/>
  <c r="J9" i="22"/>
  <c r="I9" i="15"/>
  <c r="C126" i="12"/>
  <c r="B52" i="12"/>
  <c r="BZ27" i="22"/>
  <c r="C74" i="12"/>
  <c r="B25" i="4"/>
  <c r="CA27" i="22"/>
  <c r="A7" i="19"/>
  <c r="A350" i="19" l="1"/>
  <c r="BZ28" i="22"/>
  <c r="B6" i="4"/>
  <c r="B13" i="4" s="1"/>
  <c r="CA28" i="22"/>
  <c r="BZ29" i="22" l="1"/>
  <c r="Z65" i="9"/>
  <c r="AF65" i="9"/>
  <c r="BZ30" i="22" l="1"/>
  <c r="W56" i="9"/>
  <c r="U65" i="9" s="1"/>
  <c r="V56" i="9"/>
  <c r="S62" i="9" s="1"/>
  <c r="S65" i="9"/>
  <c r="S64" i="9"/>
  <c r="AE64" i="9" s="1"/>
  <c r="Z64" i="9" s="1"/>
  <c r="S63" i="9"/>
  <c r="AF63" i="9" s="1"/>
  <c r="R56" i="9"/>
  <c r="CA30" i="22"/>
  <c r="BZ31" i="22" l="1"/>
  <c r="W65" i="9"/>
  <c r="AA65" i="9" s="1"/>
  <c r="W64" i="9"/>
  <c r="AA64" i="9" s="1"/>
  <c r="AF64" i="9"/>
  <c r="W63" i="9"/>
  <c r="AE63" i="9"/>
  <c r="Z63" i="9" s="1"/>
  <c r="W62" i="9"/>
  <c r="AF62" i="9"/>
  <c r="AE65" i="9"/>
  <c r="AE62" i="9"/>
  <c r="X56" i="9"/>
  <c r="BZ32" i="22" l="1"/>
  <c r="AF66" i="9"/>
  <c r="W66" i="9"/>
  <c r="Z62" i="9"/>
  <c r="Z66" i="9" s="1"/>
  <c r="AE66" i="9"/>
  <c r="AA63" i="9"/>
  <c r="CA32" i="22"/>
  <c r="BZ33" i="22" l="1"/>
  <c r="AA62" i="9"/>
  <c r="AA66" i="9" s="1"/>
  <c r="A75" i="10"/>
  <c r="B75" i="10"/>
  <c r="A76" i="10"/>
  <c r="B76" i="10"/>
  <c r="BF896" i="5"/>
  <c r="BF897" i="5"/>
  <c r="BF898" i="5"/>
  <c r="EZ29" i="8"/>
  <c r="FB29" i="8" s="1"/>
  <c r="ET29" i="8" s="1"/>
  <c r="BN145" i="8" s="1"/>
  <c r="EZ30" i="8"/>
  <c r="FB30" i="8" s="1"/>
  <c r="ET30" i="8" s="1"/>
  <c r="BN146" i="8" s="1"/>
  <c r="EZ31" i="8"/>
  <c r="EZ32" i="8"/>
  <c r="EZ33" i="8"/>
  <c r="EZ34" i="8"/>
  <c r="EZ35" i="8"/>
  <c r="EZ36" i="8"/>
  <c r="FB36" i="8" s="1"/>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EZ28" i="8"/>
  <c r="FB28" i="8" s="1"/>
  <c r="CA33" i="22"/>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CA34" i="22"/>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CA35" i="22"/>
  <c r="BZ36" i="22" l="1"/>
  <c r="CA36" i="22"/>
  <c r="BZ37" i="22" l="1"/>
  <c r="D27" i="22"/>
  <c r="CA37" i="22"/>
  <c r="BZ38" i="22" l="1"/>
  <c r="CA38" i="22"/>
  <c r="CB24" i="22" l="1"/>
  <c r="AR24" i="5"/>
  <c r="AR22" i="5"/>
  <c r="AR20" i="5"/>
  <c r="AL26" i="5"/>
  <c r="AH26" i="5"/>
  <c r="AH24" i="5"/>
  <c r="AH22" i="5"/>
  <c r="AH20" i="5"/>
  <c r="E328" i="5" s="1"/>
  <c r="CC24" i="22"/>
  <c r="CB25" i="22" l="1"/>
  <c r="E640" i="5"/>
  <c r="E718" i="5"/>
  <c r="E484" i="5"/>
  <c r="E562" i="5"/>
  <c r="E406" i="5"/>
  <c r="E250" i="5"/>
  <c r="E172" i="5"/>
  <c r="E94" i="5"/>
  <c r="D43" i="22"/>
  <c r="CP37" i="22"/>
  <c r="CC25" i="22"/>
  <c r="CB26" i="22" l="1"/>
  <c r="AD26" i="22"/>
  <c r="R23" i="22"/>
  <c r="CC26" i="22"/>
  <c r="CB27" i="22" l="1"/>
  <c r="CC5" i="4"/>
  <c r="CC6" i="4"/>
  <c r="CC7" i="4"/>
  <c r="CC8" i="4"/>
  <c r="CC9" i="4"/>
  <c r="CC10" i="4"/>
  <c r="CC11" i="4"/>
  <c r="CC12" i="4"/>
  <c r="CC13" i="4"/>
  <c r="CC14" i="4"/>
  <c r="CC15" i="4"/>
  <c r="CC16" i="4"/>
  <c r="CC17" i="4"/>
  <c r="CC18" i="4"/>
  <c r="CC19" i="4"/>
  <c r="CC20" i="4"/>
  <c r="CC21" i="4"/>
  <c r="CC22" i="4"/>
  <c r="CC23" i="4"/>
  <c r="CC24" i="4"/>
  <c r="CC25" i="4"/>
  <c r="CC26" i="4"/>
  <c r="CC27" i="4"/>
  <c r="CC28" i="4"/>
  <c r="CC29" i="4"/>
  <c r="CC30" i="4"/>
  <c r="CC31" i="4"/>
  <c r="CC32" i="4"/>
  <c r="CC33" i="4"/>
  <c r="CB28" i="22" l="1"/>
  <c r="D46" i="22"/>
  <c r="D45" i="22"/>
  <c r="D42" i="22"/>
  <c r="D41" i="22"/>
  <c r="D40" i="22"/>
  <c r="D36" i="22"/>
  <c r="D34" i="22"/>
  <c r="D35" i="22"/>
  <c r="D33" i="22"/>
  <c r="D32" i="22"/>
  <c r="D31" i="22"/>
  <c r="D26" i="22"/>
  <c r="CC28" i="22"/>
  <c r="CB29" i="22" l="1"/>
  <c r="CP6" i="5"/>
  <c r="CC29" i="22"/>
  <c r="CB30" i="22" l="1"/>
  <c r="D47" i="22"/>
  <c r="D44" i="22"/>
  <c r="A10" i="19"/>
  <c r="A353" i="19" l="1"/>
  <c r="CB31" i="22"/>
  <c r="F4" i="19"/>
  <c r="F347" i="19" s="1"/>
  <c r="F365" i="19" s="1"/>
  <c r="T35" i="14"/>
  <c r="CC31" i="22"/>
  <c r="E32" i="19"/>
  <c r="J556" i="20" l="1"/>
  <c r="J464" i="20" s="1"/>
  <c r="J144" i="20" s="1"/>
  <c r="CB32" i="22"/>
  <c r="B49" i="10"/>
  <c r="B48" i="10"/>
  <c r="C48" i="10"/>
  <c r="A74" i="10"/>
  <c r="B74" i="10"/>
  <c r="CB33" i="22" l="1"/>
  <c r="BL94" i="8"/>
  <c r="BL93" i="8"/>
  <c r="CC33" i="22"/>
  <c r="CB34" i="22" l="1"/>
  <c r="CN259" i="8"/>
  <c r="BV259" i="8" s="1"/>
  <c r="CB35" i="22" l="1"/>
  <c r="M100" i="21"/>
  <c r="M94" i="21"/>
  <c r="M92" i="21"/>
  <c r="M90" i="21"/>
  <c r="O88" i="21"/>
  <c r="L70" i="20"/>
  <c r="U415" i="20"/>
  <c r="U329" i="20"/>
  <c r="J311" i="20"/>
  <c r="U298" i="20"/>
  <c r="J298" i="20"/>
  <c r="I281" i="20"/>
  <c r="U132" i="20"/>
  <c r="J132" i="20"/>
  <c r="J121" i="20"/>
  <c r="S119" i="20"/>
  <c r="L90" i="20"/>
  <c r="L90" i="21" s="1"/>
  <c r="H110" i="21"/>
  <c r="F110" i="21"/>
  <c r="H106" i="21"/>
  <c r="I119" i="21"/>
  <c r="F108" i="21"/>
  <c r="S119" i="21"/>
  <c r="H108" i="21"/>
  <c r="F106" i="21"/>
  <c r="CC35" i="22"/>
  <c r="H112" i="21"/>
  <c r="F112" i="21"/>
  <c r="CB36" i="22" l="1"/>
  <c r="L70" i="21"/>
  <c r="U351" i="21"/>
  <c r="J121" i="21"/>
  <c r="I255" i="21"/>
  <c r="J276" i="21"/>
  <c r="U132" i="21"/>
  <c r="U266" i="21"/>
  <c r="J266" i="21"/>
  <c r="J132" i="21"/>
  <c r="U294" i="21"/>
  <c r="K121" i="20"/>
  <c r="CC36" i="22"/>
  <c r="CB37" i="22" l="1"/>
  <c r="K121" i="21"/>
  <c r="CC37" i="22"/>
  <c r="CB38" i="22" l="1"/>
  <c r="R51" i="10" l="1"/>
  <c r="A54" i="19"/>
  <c r="C54" i="19"/>
  <c r="F52" i="19"/>
  <c r="A53" i="19"/>
  <c r="C52" i="19"/>
  <c r="J52" i="19"/>
  <c r="C53" i="19"/>
  <c r="A52" i="19"/>
  <c r="G52" i="19"/>
  <c r="A58" i="19"/>
  <c r="EV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AC348" i="19" s="1"/>
  <c r="AC366" i="19" s="1"/>
  <c r="C5" i="19"/>
  <c r="C348" i="19" s="1"/>
  <c r="C366" i="19" s="1"/>
  <c r="CW4" i="5" l="1"/>
  <c r="B58" i="19"/>
  <c r="D58" i="19"/>
  <c r="C58" i="19"/>
  <c r="E58" i="19"/>
  <c r="BA4" i="19" l="1"/>
  <c r="BA347" i="19" s="1"/>
  <c r="BA365" i="19" s="1"/>
  <c r="BA5" i="19"/>
  <c r="N5" i="19"/>
  <c r="N4" i="19"/>
  <c r="N347" i="19" s="1"/>
  <c r="N365" i="19" s="1"/>
  <c r="BM4" i="19"/>
  <c r="BM5" i="19"/>
  <c r="T4" i="19"/>
  <c r="T347" i="19" s="1"/>
  <c r="T365" i="19" s="1"/>
  <c r="T5" i="19"/>
  <c r="AS5" i="19"/>
  <c r="AS4" i="19"/>
  <c r="AS347" i="19" s="1"/>
  <c r="AS365" i="19" s="1"/>
  <c r="BK4" i="19"/>
  <c r="BK347" i="19" s="1"/>
  <c r="BL365" i="19" s="1"/>
  <c r="BK5" i="19"/>
  <c r="P4" i="19"/>
  <c r="P347" i="19" s="1"/>
  <c r="P365" i="19" s="1"/>
  <c r="P5" i="19"/>
  <c r="BC5" i="19"/>
  <c r="BC4" i="19"/>
  <c r="BC347" i="19" s="1"/>
  <c r="BC365" i="19" s="1"/>
  <c r="BO4" i="19"/>
  <c r="AW4" i="19"/>
  <c r="AW347" i="19" s="1"/>
  <c r="AW365" i="19" s="1"/>
  <c r="AT4" i="19"/>
  <c r="AT347" i="19" s="1"/>
  <c r="AT365" i="19" s="1"/>
  <c r="AT5" i="19"/>
  <c r="AW5" i="19"/>
  <c r="BF5" i="19"/>
  <c r="BF4" i="19"/>
  <c r="BF347" i="19" s="1"/>
  <c r="BF365" i="19" s="1"/>
  <c r="AX5" i="19"/>
  <c r="AX4" i="19"/>
  <c r="AU5" i="19"/>
  <c r="AU4" i="19"/>
  <c r="AU347" i="19" s="1"/>
  <c r="AU365" i="19" s="1"/>
  <c r="F5" i="19"/>
  <c r="BB5" i="19"/>
  <c r="BB4" i="19"/>
  <c r="BB347" i="19" s="1"/>
  <c r="BB365" i="19" s="1"/>
  <c r="O4" i="19"/>
  <c r="O347" i="19" s="1"/>
  <c r="O365" i="19" s="1"/>
  <c r="O5" i="19"/>
  <c r="AV5" i="19"/>
  <c r="AV4" i="19"/>
  <c r="AV347" i="19" s="1"/>
  <c r="AV365" i="19" s="1"/>
  <c r="BO5" i="19"/>
  <c r="BN348" i="19" s="1"/>
  <c r="BO366" i="19" s="1"/>
  <c r="AZ5" i="19"/>
  <c r="AZ4" i="19"/>
  <c r="AZ347" i="19" s="1"/>
  <c r="AZ365" i="19" s="1"/>
  <c r="A365" i="19" s="1"/>
  <c r="D5" i="19"/>
  <c r="D4" i="19"/>
  <c r="D347" i="19" s="1"/>
  <c r="D365" i="19" s="1"/>
  <c r="Q5" i="19"/>
  <c r="BD5" i="19"/>
  <c r="BD4" i="19"/>
  <c r="BD347" i="19" s="1"/>
  <c r="BD365" i="19" s="1"/>
  <c r="Q4" i="19"/>
  <c r="Q347" i="19" s="1"/>
  <c r="Q365" i="19" s="1"/>
  <c r="J541" i="21" l="1"/>
  <c r="U365" i="21" s="1"/>
  <c r="J192" i="21" s="1"/>
  <c r="BD348" i="19"/>
  <c r="BD366" i="19" s="1"/>
  <c r="U491" i="21"/>
  <c r="J405" i="21" s="1"/>
  <c r="J156" i="21" s="1"/>
  <c r="Q348" i="19"/>
  <c r="Q366" i="19" s="1"/>
  <c r="J537" i="21"/>
  <c r="J375" i="21" s="1"/>
  <c r="J200" i="21" s="1"/>
  <c r="AZ348" i="19"/>
  <c r="AZ366" i="19" s="1"/>
  <c r="A366" i="19" s="1"/>
  <c r="J535" i="21"/>
  <c r="AV348" i="19"/>
  <c r="AV366" i="19" s="1"/>
  <c r="J539" i="21"/>
  <c r="U363" i="21" s="1"/>
  <c r="J190" i="21" s="1"/>
  <c r="BB348" i="19"/>
  <c r="BB366" i="19" s="1"/>
  <c r="U533" i="21"/>
  <c r="U357" i="21" s="1"/>
  <c r="J184" i="21" s="1"/>
  <c r="AU348" i="19"/>
  <c r="AU366" i="19" s="1"/>
  <c r="U425" i="20"/>
  <c r="J188" i="20" s="1"/>
  <c r="AX347" i="19"/>
  <c r="AX365" i="19" s="1"/>
  <c r="U361" i="21"/>
  <c r="J188" i="21" s="1"/>
  <c r="AX348" i="19"/>
  <c r="AX366" i="19" s="1"/>
  <c r="J543" i="21"/>
  <c r="J377" i="21" s="1"/>
  <c r="BF348" i="19"/>
  <c r="BF366" i="19" s="1"/>
  <c r="U535" i="21"/>
  <c r="J361" i="21" s="1"/>
  <c r="U186" i="21" s="1"/>
  <c r="AW348" i="19"/>
  <c r="AW366" i="19" s="1"/>
  <c r="J533" i="21"/>
  <c r="J357" i="21" s="1"/>
  <c r="U182" i="21" s="1"/>
  <c r="AT348" i="19"/>
  <c r="AT366" i="19" s="1"/>
  <c r="J561" i="21"/>
  <c r="J443" i="21" s="1"/>
  <c r="BN347" i="19"/>
  <c r="BO365" i="19" s="1"/>
  <c r="U541" i="21"/>
  <c r="J365" i="21" s="1"/>
  <c r="U190" i="21" s="1"/>
  <c r="BC348" i="19"/>
  <c r="BC366" i="19" s="1"/>
  <c r="J491" i="21"/>
  <c r="U403" i="21" s="1"/>
  <c r="U154" i="21" s="1"/>
  <c r="P348" i="19"/>
  <c r="P366" i="19" s="1"/>
  <c r="U553" i="21"/>
  <c r="BK348" i="19"/>
  <c r="BL366" i="19" s="1"/>
  <c r="U531" i="21"/>
  <c r="U355" i="21" s="1"/>
  <c r="U359" i="21" s="1"/>
  <c r="J186" i="21" s="1"/>
  <c r="AS348" i="19"/>
  <c r="AS366" i="19" s="1"/>
  <c r="U407" i="21"/>
  <c r="U158" i="21" s="1"/>
  <c r="T348" i="19"/>
  <c r="T366" i="19" s="1"/>
  <c r="J381" i="21"/>
  <c r="J210" i="21" s="1"/>
  <c r="BL348" i="19"/>
  <c r="BM366" i="19" s="1"/>
  <c r="J447" i="20"/>
  <c r="J210" i="20" s="1"/>
  <c r="BL347" i="19"/>
  <c r="BM365" i="19" s="1"/>
  <c r="U539" i="21"/>
  <c r="J363" i="21" s="1"/>
  <c r="U188" i="21" s="1"/>
  <c r="BA348" i="19"/>
  <c r="BA366" i="19" s="1"/>
  <c r="J477" i="21"/>
  <c r="J391" i="21" s="1"/>
  <c r="J142" i="21" s="1"/>
  <c r="D348" i="19"/>
  <c r="D366" i="19" s="1"/>
  <c r="U489" i="21"/>
  <c r="J403" i="21" s="1"/>
  <c r="J154" i="21" s="1"/>
  <c r="O348" i="19"/>
  <c r="O366" i="19" s="1"/>
  <c r="J479" i="21"/>
  <c r="J393" i="21" s="1"/>
  <c r="J144" i="21" s="1"/>
  <c r="F348" i="19"/>
  <c r="F366" i="19" s="1"/>
  <c r="J489" i="21"/>
  <c r="U401" i="21" s="1"/>
  <c r="U152" i="21" s="1"/>
  <c r="N348" i="19"/>
  <c r="N366" i="19" s="1"/>
  <c r="U636" i="20"/>
  <c r="J626" i="20"/>
  <c r="J620" i="20"/>
  <c r="J439" i="20" s="1"/>
  <c r="J200" i="20" s="1"/>
  <c r="J624" i="20"/>
  <c r="U429" i="20" s="1"/>
  <c r="J192" i="20" s="1"/>
  <c r="U624" i="20"/>
  <c r="J429" i="20" s="1"/>
  <c r="U190" i="20" s="1"/>
  <c r="J622" i="20"/>
  <c r="U427" i="20" s="1"/>
  <c r="J190" i="20" s="1"/>
  <c r="U622" i="20"/>
  <c r="J427" i="20" s="1"/>
  <c r="U188" i="20" s="1"/>
  <c r="U614" i="20"/>
  <c r="J614" i="20"/>
  <c r="J421" i="20" s="1"/>
  <c r="U182" i="20" s="1"/>
  <c r="U612" i="20"/>
  <c r="U419" i="20" s="1"/>
  <c r="J182" i="20" s="1"/>
  <c r="U478" i="20"/>
  <c r="U158" i="20" s="1"/>
  <c r="J554" i="20"/>
  <c r="J462" i="20" s="1"/>
  <c r="J142" i="20" s="1"/>
  <c r="J645" i="20"/>
  <c r="J520" i="20" s="1"/>
  <c r="U564" i="20"/>
  <c r="J476" i="20" s="1"/>
  <c r="J156" i="20" s="1"/>
  <c r="U562" i="20"/>
  <c r="J474" i="20" s="1"/>
  <c r="J154" i="20" s="1"/>
  <c r="J564" i="20"/>
  <c r="U474" i="20" s="1"/>
  <c r="U154" i="20" s="1"/>
  <c r="J562" i="20"/>
  <c r="U472" i="20" s="1"/>
  <c r="U152" i="20" s="1"/>
  <c r="J616" i="20"/>
  <c r="U423" i="20" s="1"/>
  <c r="J186" i="20" s="1"/>
  <c r="U616" i="20"/>
  <c r="J425" i="20" s="1"/>
  <c r="U186" i="20" s="1"/>
  <c r="U421" i="20" l="1"/>
  <c r="J184" i="20" s="1"/>
  <c r="J618" i="20"/>
  <c r="J182" i="21"/>
  <c r="S49" i="21"/>
  <c r="J441"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AG47" i="4"/>
  <c r="D51" i="19"/>
  <c r="F5" i="10" l="1"/>
  <c r="F4" i="10"/>
  <c r="BJ4" i="19"/>
  <c r="BJ347" i="19" s="1"/>
  <c r="BK365" i="19" s="1"/>
  <c r="BJ5" i="19"/>
  <c r="J553" i="21" l="1"/>
  <c r="U379" i="21" s="1"/>
  <c r="J208" i="21" s="1"/>
  <c r="BJ348" i="19"/>
  <c r="BK366" i="19" s="1"/>
  <c r="J636" i="20"/>
  <c r="U443" i="20" s="1"/>
  <c r="J208"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FK4" i="8" l="1"/>
  <c r="L55" i="11"/>
  <c r="K55" i="11"/>
  <c r="H55" i="11"/>
  <c r="G55" i="11"/>
  <c r="F55" i="11"/>
  <c r="E55" i="11"/>
  <c r="O49" i="11"/>
  <c r="Q49" i="11" l="1"/>
  <c r="R53" i="11"/>
  <c r="R43" i="5" s="1"/>
  <c r="I43" i="19"/>
  <c r="AE7" i="19"/>
  <c r="AE350" i="19"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X51" i="10"/>
  <c r="Y51" i="10"/>
  <c r="Z51" i="10"/>
  <c r="C51" i="10"/>
  <c r="B52" i="10"/>
  <c r="D52" i="19"/>
  <c r="D54" i="19"/>
  <c r="AV10" i="4" l="1"/>
  <c r="AV9" i="4"/>
  <c r="AV8" i="4"/>
  <c r="AV7" i="4"/>
  <c r="AV6" i="4"/>
  <c r="AV5" i="4"/>
  <c r="AV4" i="4"/>
  <c r="AV3" i="4"/>
  <c r="C46" i="10" l="1"/>
  <c r="C41" i="10"/>
  <c r="AG54" i="10" s="1"/>
  <c r="C45" i="10"/>
  <c r="C40" i="10"/>
  <c r="AG74" i="10" s="1"/>
  <c r="C42" i="10"/>
  <c r="C44" i="10"/>
  <c r="C43" i="10"/>
  <c r="C47" i="10"/>
  <c r="AG55" i="10" l="1"/>
  <c r="AG57" i="10"/>
  <c r="AG56" i="10"/>
  <c r="AG71" i="10"/>
  <c r="AG70" i="10"/>
  <c r="AG73" i="10"/>
  <c r="AG72" i="10"/>
  <c r="AG53" i="10"/>
  <c r="AG52" i="10"/>
  <c r="AI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K5" i="9"/>
  <c r="G5" i="9"/>
  <c r="IQ49" i="5" l="1"/>
  <c r="JE49" i="5" s="1"/>
  <c r="DI49" i="5" s="1"/>
  <c r="IQ47" i="5"/>
  <c r="JE47" i="5" s="1"/>
  <c r="DI47" i="5" s="1"/>
  <c r="P6" i="9"/>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FV47" i="5" l="1"/>
  <c r="FW47" i="5" s="1"/>
  <c r="FX47" i="5" s="1"/>
  <c r="AM47" i="5"/>
  <c r="FV49" i="5"/>
  <c r="FW49" i="5" s="1"/>
  <c r="FX49" i="5" s="1"/>
  <c r="AM49" i="5"/>
  <c r="EV256" i="8"/>
  <c r="DV256" i="8" s="1"/>
  <c r="EV255" i="8"/>
  <c r="DV255" i="8" s="1"/>
  <c r="EV254" i="8"/>
  <c r="DV254" i="8" s="1"/>
  <c r="DN74" i="8"/>
  <c r="DN7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9" i="8" l="1"/>
  <c r="J112" i="19"/>
  <c r="DM140" i="8"/>
  <c r="J113" i="19"/>
  <c r="DV27" i="8"/>
  <c r="DV37" i="8"/>
  <c r="DV45" i="8"/>
  <c r="DN45" i="8" s="1"/>
  <c r="DV53" i="8"/>
  <c r="DN53" i="8" s="1"/>
  <c r="DV65" i="8"/>
  <c r="DN65" i="8" s="1"/>
  <c r="DM131" i="8" s="1"/>
  <c r="DV30" i="8"/>
  <c r="DV34" i="8"/>
  <c r="DV38" i="8"/>
  <c r="DN38" i="8" s="1"/>
  <c r="DV42" i="8"/>
  <c r="DN42" i="8" s="1"/>
  <c r="DV46" i="8"/>
  <c r="DN46" i="8" s="1"/>
  <c r="DV50" i="8"/>
  <c r="DN50" i="8" s="1"/>
  <c r="DV54" i="8"/>
  <c r="DN54" i="8" s="1"/>
  <c r="DV58" i="8"/>
  <c r="DN58" i="8" s="1"/>
  <c r="DM124" i="8" s="1"/>
  <c r="DV62" i="8"/>
  <c r="DN62" i="8" s="1"/>
  <c r="DM128" i="8" s="1"/>
  <c r="DV66" i="8"/>
  <c r="DN66" i="8" s="1"/>
  <c r="DM132" i="8" s="1"/>
  <c r="DV70" i="8"/>
  <c r="DN70" i="8" s="1"/>
  <c r="DM136" i="8" s="1"/>
  <c r="DV74" i="8"/>
  <c r="DV57" i="8"/>
  <c r="DN57" i="8" s="1"/>
  <c r="DV31" i="8"/>
  <c r="DN31" i="8" s="1"/>
  <c r="DV35" i="8"/>
  <c r="DV39" i="8"/>
  <c r="DN39" i="8" s="1"/>
  <c r="DV43" i="8"/>
  <c r="DN43" i="8" s="1"/>
  <c r="DV47" i="8"/>
  <c r="DN47" i="8" s="1"/>
  <c r="DV51" i="8"/>
  <c r="DN51" i="8" s="1"/>
  <c r="DV55" i="8"/>
  <c r="DN55" i="8" s="1"/>
  <c r="DV59" i="8"/>
  <c r="DN59" i="8" s="1"/>
  <c r="DM125" i="8" s="1"/>
  <c r="DV63" i="8"/>
  <c r="DN63" i="8" s="1"/>
  <c r="DM129" i="8" s="1"/>
  <c r="DV67" i="8"/>
  <c r="DN67" i="8" s="1"/>
  <c r="DM133" i="8" s="1"/>
  <c r="DV71" i="8"/>
  <c r="DN71" i="8" s="1"/>
  <c r="DM137" i="8" s="1"/>
  <c r="DV75" i="8"/>
  <c r="DN75" i="8" s="1"/>
  <c r="DV33" i="8"/>
  <c r="DN33" i="8" s="1"/>
  <c r="DV41" i="8"/>
  <c r="DN41" i="8" s="1"/>
  <c r="DV49" i="8"/>
  <c r="DN49" i="8" s="1"/>
  <c r="DV61" i="8"/>
  <c r="DN61" i="8" s="1"/>
  <c r="DM127" i="8" s="1"/>
  <c r="DV69" i="8"/>
  <c r="DN69" i="8" s="1"/>
  <c r="DM135" i="8" s="1"/>
  <c r="DV73" i="8"/>
  <c r="DV28" i="8"/>
  <c r="DN28" i="8" s="1"/>
  <c r="J67" i="19" s="1"/>
  <c r="DV32" i="8"/>
  <c r="DV36" i="8"/>
  <c r="DV40" i="8"/>
  <c r="DN40" i="8" s="1"/>
  <c r="DV44" i="8"/>
  <c r="DN44" i="8" s="1"/>
  <c r="DV48" i="8"/>
  <c r="DN48" i="8" s="1"/>
  <c r="DV52" i="8"/>
  <c r="DN52" i="8" s="1"/>
  <c r="DV56" i="8"/>
  <c r="DN56" i="8" s="1"/>
  <c r="DM122" i="8" s="1"/>
  <c r="DV60" i="8"/>
  <c r="DN60" i="8" s="1"/>
  <c r="DM126" i="8" s="1"/>
  <c r="DV64" i="8"/>
  <c r="DN64" i="8" s="1"/>
  <c r="DM130" i="8" s="1"/>
  <c r="DV68" i="8"/>
  <c r="DN68" i="8" s="1"/>
  <c r="DM134" i="8" s="1"/>
  <c r="DV72" i="8"/>
  <c r="DN72" i="8" s="1"/>
  <c r="DM138" i="8" s="1"/>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110" i="19" l="1"/>
  <c r="J106" i="19"/>
  <c r="J109" i="19"/>
  <c r="J108" i="19"/>
  <c r="J102" i="19"/>
  <c r="J105" i="19"/>
  <c r="J104" i="19"/>
  <c r="J111" i="19"/>
  <c r="J103" i="19"/>
  <c r="J107" i="19"/>
  <c r="BK105" i="33"/>
  <c r="BK112" i="33" s="1"/>
  <c r="BK56" i="33"/>
  <c r="J99" i="19"/>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BM143" i="8" s="1"/>
  <c r="B100" i="19"/>
  <c r="B114" i="19"/>
  <c r="B98" i="19"/>
  <c r="B102" i="19"/>
  <c r="B106" i="19"/>
  <c r="B110" i="19"/>
  <c r="B105" i="19"/>
  <c r="B108" i="19"/>
  <c r="BK54" i="33" l="1"/>
  <c r="BK44" i="33"/>
  <c r="FG316" i="5"/>
  <c r="FH316" i="5" s="1"/>
  <c r="FG389" i="5"/>
  <c r="FH389" i="5" s="1"/>
  <c r="FG437" i="5"/>
  <c r="FH437" i="5" s="1"/>
  <c r="FG306" i="5"/>
  <c r="FH306" i="5" s="1"/>
  <c r="FG165" i="5"/>
  <c r="FH165" i="5" s="1"/>
  <c r="FG744" i="5"/>
  <c r="FH744" i="5" s="1"/>
  <c r="FG764" i="5"/>
  <c r="FH764" i="5" s="1"/>
  <c r="FG417" i="5"/>
  <c r="FH417" i="5" s="1"/>
  <c r="FG661" i="5"/>
  <c r="FH661" i="5" s="1"/>
  <c r="FG724" i="5"/>
  <c r="FH724" i="5" s="1"/>
  <c r="FG203" i="5"/>
  <c r="FH203" i="5" s="1"/>
  <c r="FG379" i="5"/>
  <c r="FH379" i="5" s="1"/>
  <c r="FG671" i="5"/>
  <c r="FH671" i="5" s="1"/>
  <c r="FG696" i="5"/>
  <c r="FH696" i="5" s="1"/>
  <c r="FG77" i="5"/>
  <c r="FH77" i="5" s="1"/>
  <c r="FG155" i="5"/>
  <c r="FH155" i="5" s="1"/>
  <c r="FG520" i="5"/>
  <c r="FH520" i="5" s="1"/>
  <c r="FG774" i="5"/>
  <c r="FH774" i="5" s="1"/>
  <c r="FG261" i="5"/>
  <c r="FH261" i="5" s="1"/>
  <c r="FG115" i="5"/>
  <c r="FH115" i="5" s="1"/>
  <c r="FG213" i="5"/>
  <c r="FH213" i="5" s="1"/>
  <c r="FG243" i="5"/>
  <c r="FH243" i="5" s="1"/>
  <c r="FG95" i="5"/>
  <c r="FH95" i="5" s="1"/>
  <c r="FG311" i="5"/>
  <c r="FH311" i="5" s="1"/>
  <c r="FG218" i="5"/>
  <c r="FH218" i="5" s="1"/>
  <c r="FG349" i="5"/>
  <c r="FH349" i="5" s="1"/>
  <c r="FG641" i="5"/>
  <c r="FH641" i="5" s="1"/>
  <c r="FG125" i="5"/>
  <c r="FH125" i="5" s="1"/>
  <c r="FG535" i="5"/>
  <c r="FH535" i="5" s="1"/>
  <c r="FG739" i="5"/>
  <c r="FH739" i="5" s="1"/>
  <c r="FG681" i="5"/>
  <c r="FH681" i="5" s="1"/>
  <c r="FG369" i="5"/>
  <c r="FH369" i="5" s="1"/>
  <c r="FG706" i="5"/>
  <c r="FH706" i="5" s="1"/>
  <c r="FG462" i="5"/>
  <c r="FH462" i="5" s="1"/>
  <c r="FG145" i="5"/>
  <c r="FH145" i="5" s="1"/>
  <c r="FG183" i="5"/>
  <c r="FH183" i="5" s="1"/>
  <c r="FG573" i="5"/>
  <c r="FH573" i="5" s="1"/>
  <c r="FG477" i="5"/>
  <c r="FH477" i="5" s="1"/>
  <c r="FG432" i="5"/>
  <c r="FH432" i="5" s="1"/>
  <c r="FG447" i="5"/>
  <c r="FH447" i="5" s="1"/>
  <c r="FG359" i="5"/>
  <c r="FH359" i="5" s="1"/>
  <c r="FG384" i="5"/>
  <c r="FH384" i="5" s="1"/>
  <c r="FG354" i="5"/>
  <c r="FH354" i="5" s="1"/>
  <c r="FG452" i="5"/>
  <c r="FH452" i="5" s="1"/>
  <c r="FG399" i="5"/>
  <c r="FH399" i="5" s="1"/>
  <c r="FG160" i="5"/>
  <c r="FH160" i="5" s="1"/>
  <c r="FG719" i="5"/>
  <c r="FH719" i="5" s="1"/>
  <c r="FG510" i="5"/>
  <c r="FH510" i="5" s="1"/>
  <c r="FG422" i="5"/>
  <c r="FH422" i="5" s="1"/>
  <c r="FG505" i="5"/>
  <c r="FH505" i="5" s="1"/>
  <c r="FG120" i="5"/>
  <c r="FH120" i="5" s="1"/>
  <c r="FG130" i="5"/>
  <c r="FH130" i="5" s="1"/>
  <c r="FG500" i="5"/>
  <c r="FH500" i="5" s="1"/>
  <c r="FG321" i="5"/>
  <c r="FH321" i="5" s="1"/>
  <c r="FG656" i="5"/>
  <c r="FH656" i="5" s="1"/>
  <c r="FG82" i="5"/>
  <c r="FH82" i="5" s="1"/>
  <c r="FG646" i="5"/>
  <c r="FH646" i="5" s="1"/>
  <c r="FG686" i="5"/>
  <c r="FH686" i="5" s="1"/>
  <c r="FG286" i="5"/>
  <c r="FH286" i="5" s="1"/>
  <c r="FG555" i="5"/>
  <c r="FH555" i="5" s="1"/>
  <c r="FG691" i="5"/>
  <c r="FH691" i="5" s="1"/>
  <c r="FG603" i="5"/>
  <c r="FH603" i="5" s="1"/>
  <c r="FG135" i="5"/>
  <c r="FH135" i="5" s="1"/>
  <c r="FG87" i="5"/>
  <c r="FH87" i="5" s="1"/>
  <c r="FG105" i="5"/>
  <c r="FH105" i="5" s="1"/>
  <c r="FG618" i="5"/>
  <c r="FH618" i="5" s="1"/>
  <c r="FG296" i="5"/>
  <c r="FH296" i="5" s="1"/>
  <c r="FG276" i="5"/>
  <c r="FH276" i="5" s="1"/>
  <c r="FG301" i="5"/>
  <c r="FH301" i="5" s="1"/>
  <c r="FG188" i="5"/>
  <c r="FH188" i="5" s="1"/>
  <c r="FG593" i="5"/>
  <c r="FH593" i="5" s="1"/>
  <c r="FG223" i="5"/>
  <c r="FH223" i="5" s="1"/>
  <c r="FG281" i="5"/>
  <c r="FH281" i="5" s="1"/>
  <c r="FG540" i="5"/>
  <c r="FH540" i="5" s="1"/>
  <c r="FG578" i="5"/>
  <c r="FH578" i="5" s="1"/>
  <c r="FG140" i="5"/>
  <c r="FH140" i="5" s="1"/>
  <c r="FG344" i="5"/>
  <c r="FH344" i="5" s="1"/>
  <c r="FG608" i="5"/>
  <c r="FH608" i="5" s="1"/>
  <c r="FG530" i="5"/>
  <c r="FH530" i="5" s="1"/>
  <c r="FG228" i="5"/>
  <c r="FH228" i="5" s="1"/>
  <c r="FG598" i="5"/>
  <c r="FH598" i="5" s="1"/>
  <c r="FG334" i="5"/>
  <c r="FH334" i="5" s="1"/>
  <c r="FG701" i="5"/>
  <c r="FH701" i="5" s="1"/>
  <c r="FG729" i="5"/>
  <c r="FH729" i="5" s="1"/>
  <c r="FG467" i="5"/>
  <c r="FH467" i="5" s="1"/>
  <c r="FG442" i="5"/>
  <c r="FH442" i="5" s="1"/>
  <c r="FG198" i="5"/>
  <c r="FH198" i="5" s="1"/>
  <c r="FG545" i="5"/>
  <c r="FH545" i="5" s="1"/>
  <c r="FG238" i="5"/>
  <c r="FH238" i="5" s="1"/>
  <c r="FG623" i="5"/>
  <c r="FH623" i="5" s="1"/>
  <c r="FG364" i="5"/>
  <c r="FH364" i="5" s="1"/>
  <c r="FG711" i="5"/>
  <c r="FH711" i="5" s="1"/>
  <c r="FG633" i="5"/>
  <c r="FH633" i="5" s="1"/>
  <c r="FG588" i="5"/>
  <c r="FH588" i="5" s="1"/>
  <c r="FG100" i="5"/>
  <c r="FH100" i="5" s="1"/>
  <c r="FG457" i="5"/>
  <c r="FH457" i="5" s="1"/>
  <c r="FG784" i="5"/>
  <c r="FH784" i="5" s="1"/>
  <c r="FG550" i="5"/>
  <c r="FH550" i="5" s="1"/>
  <c r="FG251" i="5"/>
  <c r="FH251" i="5" s="1"/>
  <c r="FG72" i="5"/>
  <c r="FH72" i="5" s="1"/>
  <c r="FG568" i="5"/>
  <c r="FH568" i="5" s="1"/>
  <c r="FG178" i="5"/>
  <c r="FH178" i="5" s="1"/>
  <c r="FG339" i="5"/>
  <c r="FH339" i="5" s="1"/>
  <c r="FG754" i="5"/>
  <c r="FH754" i="5" s="1"/>
  <c r="FG291" i="5"/>
  <c r="FH291" i="5" s="1"/>
  <c r="FG613" i="5"/>
  <c r="FH613" i="5" s="1"/>
  <c r="FG515" i="5"/>
  <c r="FH515" i="5" s="1"/>
  <c r="FG256" i="5"/>
  <c r="FH256" i="5" s="1"/>
  <c r="FG779" i="5"/>
  <c r="FH779" i="5" s="1"/>
  <c r="FG525" i="5"/>
  <c r="FH525" i="5" s="1"/>
  <c r="FG394" i="5"/>
  <c r="FH394" i="5" s="1"/>
  <c r="FG208" i="5"/>
  <c r="FH208" i="5" s="1"/>
  <c r="FG407" i="5"/>
  <c r="FH407" i="5" s="1"/>
  <c r="FG266" i="5"/>
  <c r="FH266" i="5" s="1"/>
  <c r="FG271" i="5"/>
  <c r="FH271" i="5" s="1"/>
  <c r="FG490" i="5"/>
  <c r="FH490" i="5" s="1"/>
  <c r="FG329" i="5"/>
  <c r="FH329" i="5" s="1"/>
  <c r="FG628" i="5"/>
  <c r="FH628" i="5" s="1"/>
  <c r="FG485" i="5"/>
  <c r="FH485" i="5" s="1"/>
  <c r="J66" i="19"/>
  <c r="DM98" i="8"/>
  <c r="J71" i="19"/>
  <c r="DM103" i="8"/>
  <c r="J76" i="19"/>
  <c r="DM96" i="8"/>
  <c r="J69" i="19"/>
  <c r="DM100" i="8"/>
  <c r="J73" i="19"/>
  <c r="DM102" i="8"/>
  <c r="J75" i="19"/>
  <c r="DM95" i="8"/>
  <c r="J68" i="19"/>
  <c r="DM101" i="8"/>
  <c r="J74" i="19"/>
  <c r="DM93" i="8"/>
  <c r="G7" i="3"/>
  <c r="P72" i="33" l="1"/>
  <c r="P84" i="33"/>
  <c r="P83" i="33"/>
  <c r="P93" i="33"/>
  <c r="P92" i="33"/>
  <c r="P91" i="33"/>
  <c r="P90" i="33"/>
  <c r="P89" i="33"/>
  <c r="P88" i="33"/>
  <c r="P87" i="33"/>
  <c r="P86" i="33"/>
  <c r="P85" i="33"/>
  <c r="P102" i="33"/>
  <c r="P101" i="33"/>
  <c r="P100" i="33"/>
  <c r="P99" i="33"/>
  <c r="P98" i="33"/>
  <c r="P97" i="33"/>
  <c r="P96" i="33"/>
  <c r="P95" i="33"/>
  <c r="P94" i="33"/>
  <c r="P66" i="33"/>
  <c r="P65" i="33"/>
  <c r="P64" i="33"/>
  <c r="P63" i="33"/>
  <c r="P62" i="33"/>
  <c r="P68" i="33"/>
  <c r="P67" i="33"/>
  <c r="P61" i="33"/>
  <c r="P60" i="33"/>
  <c r="P59" i="33"/>
  <c r="P52" i="33"/>
  <c r="P53" i="33"/>
  <c r="P51" i="33"/>
  <c r="P50" i="33"/>
  <c r="P49" i="33"/>
  <c r="P48" i="33"/>
  <c r="P47" i="33"/>
  <c r="P46" i="33"/>
  <c r="P45" i="33"/>
  <c r="P44" i="33"/>
  <c r="AB792" i="5"/>
  <c r="AB787" i="5"/>
  <c r="AB782" i="5"/>
  <c r="AB777" i="5"/>
  <c r="AB772" i="5"/>
  <c r="AB767" i="5"/>
  <c r="AB762" i="5"/>
  <c r="AB757" i="5"/>
  <c r="AB752" i="5"/>
  <c r="AB747" i="5"/>
  <c r="AB742" i="5"/>
  <c r="AB737" i="5"/>
  <c r="AB732" i="5"/>
  <c r="AB727" i="5"/>
  <c r="AB722" i="5"/>
  <c r="AB714" i="5"/>
  <c r="AB709" i="5"/>
  <c r="AB704" i="5"/>
  <c r="AB699" i="5"/>
  <c r="AB694" i="5"/>
  <c r="AB689" i="5"/>
  <c r="AB684" i="5"/>
  <c r="AB679" i="5"/>
  <c r="AB674" i="5"/>
  <c r="AB669" i="5"/>
  <c r="AB664" i="5"/>
  <c r="AB659" i="5"/>
  <c r="AB654" i="5"/>
  <c r="AB649" i="5"/>
  <c r="AB644" i="5"/>
  <c r="AB636" i="5"/>
  <c r="AB631" i="5"/>
  <c r="AB626" i="5"/>
  <c r="AB621" i="5"/>
  <c r="AB616" i="5"/>
  <c r="AB611" i="5"/>
  <c r="AB606" i="5"/>
  <c r="AB601" i="5"/>
  <c r="AB596" i="5"/>
  <c r="AB591" i="5"/>
  <c r="AB586" i="5"/>
  <c r="AB581" i="5"/>
  <c r="AB576" i="5"/>
  <c r="AB571" i="5"/>
  <c r="AB566" i="5"/>
  <c r="AB558" i="5"/>
  <c r="AB553" i="5"/>
  <c r="AB548" i="5"/>
  <c r="AB543" i="5"/>
  <c r="AB538" i="5"/>
  <c r="AB533" i="5"/>
  <c r="AB528" i="5"/>
  <c r="AB523" i="5"/>
  <c r="AB518" i="5"/>
  <c r="AB513" i="5"/>
  <c r="AB508" i="5"/>
  <c r="AB503" i="5"/>
  <c r="AB498" i="5"/>
  <c r="AB493" i="5"/>
  <c r="AB488" i="5"/>
  <c r="AB480" i="5"/>
  <c r="AB475" i="5"/>
  <c r="AB470" i="5"/>
  <c r="AB465" i="5"/>
  <c r="AB460" i="5"/>
  <c r="AB455" i="5"/>
  <c r="AB450" i="5"/>
  <c r="AB445" i="5"/>
  <c r="AB440" i="5"/>
  <c r="AB435" i="5"/>
  <c r="AB430" i="5"/>
  <c r="AB425" i="5"/>
  <c r="AB420" i="5"/>
  <c r="AB415" i="5"/>
  <c r="AB410" i="5"/>
  <c r="AB402" i="5"/>
  <c r="AB397" i="5"/>
  <c r="AB392" i="5"/>
  <c r="AB387" i="5"/>
  <c r="AB382" i="5"/>
  <c r="AB377" i="5"/>
  <c r="AB372" i="5"/>
  <c r="AB367" i="5"/>
  <c r="AB362" i="5"/>
  <c r="AB357" i="5"/>
  <c r="AB352" i="5"/>
  <c r="AB347" i="5"/>
  <c r="AB342" i="5"/>
  <c r="AB337" i="5"/>
  <c r="AB332" i="5"/>
  <c r="AB324" i="5"/>
  <c r="AB319" i="5"/>
  <c r="AB314" i="5"/>
  <c r="AB309" i="5"/>
  <c r="AB304" i="5"/>
  <c r="AB299" i="5"/>
  <c r="AB294" i="5"/>
  <c r="AB289" i="5"/>
  <c r="AB284" i="5"/>
  <c r="AB279" i="5"/>
  <c r="AB274" i="5"/>
  <c r="AB269" i="5"/>
  <c r="AB264" i="5"/>
  <c r="AB259" i="5"/>
  <c r="AB254" i="5"/>
  <c r="AB246" i="5"/>
  <c r="AB241" i="5"/>
  <c r="AB236" i="5"/>
  <c r="AB231" i="5"/>
  <c r="AB226" i="5"/>
  <c r="AB221" i="5"/>
  <c r="AB216" i="5"/>
  <c r="AB211" i="5"/>
  <c r="AB206" i="5"/>
  <c r="AB201" i="5"/>
  <c r="AB196" i="5"/>
  <c r="AB191" i="5"/>
  <c r="AB186" i="5"/>
  <c r="AB181" i="5"/>
  <c r="AB176" i="5"/>
  <c r="AB168" i="5"/>
  <c r="AB163" i="5"/>
  <c r="AB158" i="5"/>
  <c r="AB153" i="5"/>
  <c r="AB148" i="5"/>
  <c r="AB143" i="5"/>
  <c r="AB138" i="5"/>
  <c r="AB133" i="5"/>
  <c r="AB128" i="5"/>
  <c r="AB123" i="5"/>
  <c r="AB118" i="5"/>
  <c r="AB113" i="5"/>
  <c r="AB108" i="5"/>
  <c r="AB103" i="5"/>
  <c r="AB98" i="5"/>
  <c r="AB90" i="5"/>
  <c r="AB85" i="5"/>
  <c r="AB80" i="5"/>
  <c r="AB75" i="5"/>
  <c r="AB70" i="5"/>
  <c r="AB65" i="5"/>
  <c r="AB60" i="5"/>
  <c r="AB55" i="5"/>
  <c r="Q72" i="33"/>
  <c r="AS72" i="33" s="1"/>
  <c r="AE72" i="33"/>
  <c r="P109" i="33"/>
  <c r="P110" i="33"/>
  <c r="P111" i="33"/>
  <c r="P82" i="33"/>
  <c r="P104" i="33"/>
  <c r="P105" i="33"/>
  <c r="P103" i="33"/>
  <c r="P106" i="33"/>
  <c r="P108" i="33"/>
  <c r="P107" i="33"/>
  <c r="HK765" i="5"/>
  <c r="HK767" i="5" s="1"/>
  <c r="GJ761" i="5"/>
  <c r="GJ746" i="5"/>
  <c r="HK740" i="5"/>
  <c r="HK742" i="5" s="1"/>
  <c r="HK712" i="5"/>
  <c r="HK714" i="5" s="1"/>
  <c r="HK707" i="5"/>
  <c r="HK709" i="5" s="1"/>
  <c r="GJ673" i="5"/>
  <c r="GJ653" i="5"/>
  <c r="GJ786" i="5"/>
  <c r="GJ731" i="5"/>
  <c r="GJ698" i="5"/>
  <c r="HK682" i="5"/>
  <c r="HK684" i="5" s="1"/>
  <c r="HK755" i="5"/>
  <c r="HK757" i="5" s="1"/>
  <c r="GJ726" i="5"/>
  <c r="GJ721" i="5"/>
  <c r="HK657" i="5"/>
  <c r="HK659" i="5" s="1"/>
  <c r="GJ781" i="5"/>
  <c r="HK775" i="5"/>
  <c r="HK777" i="5" s="1"/>
  <c r="GJ771" i="5"/>
  <c r="GJ736" i="5"/>
  <c r="GJ668" i="5"/>
  <c r="GJ791" i="5"/>
  <c r="HK785" i="5"/>
  <c r="HK787" i="5" s="1"/>
  <c r="HK780" i="5"/>
  <c r="HK782" i="5" s="1"/>
  <c r="GJ766" i="5"/>
  <c r="HK725" i="5"/>
  <c r="HK727" i="5" s="1"/>
  <c r="GJ703" i="5"/>
  <c r="HK697" i="5"/>
  <c r="HK699" i="5" s="1"/>
  <c r="GJ693" i="5"/>
  <c r="HK687" i="5"/>
  <c r="HK689" i="5" s="1"/>
  <c r="HK652" i="5"/>
  <c r="HK654" i="5" s="1"/>
  <c r="GJ648" i="5"/>
  <c r="GJ643" i="5"/>
  <c r="HK760" i="5"/>
  <c r="HK762" i="5" s="1"/>
  <c r="GJ658" i="5"/>
  <c r="HK790" i="5"/>
  <c r="HK792" i="5" s="1"/>
  <c r="GJ751" i="5"/>
  <c r="HK745" i="5"/>
  <c r="HK747" i="5" s="1"/>
  <c r="HK735" i="5"/>
  <c r="HK737" i="5" s="1"/>
  <c r="HK720" i="5"/>
  <c r="HK722" i="5" s="1"/>
  <c r="GJ708" i="5"/>
  <c r="HK672" i="5"/>
  <c r="HK674" i="5" s="1"/>
  <c r="HK667" i="5"/>
  <c r="HK669" i="5" s="1"/>
  <c r="HK642" i="5"/>
  <c r="HK644" i="5" s="1"/>
  <c r="GJ756" i="5"/>
  <c r="HK770" i="5"/>
  <c r="HK772" i="5" s="1"/>
  <c r="GJ741" i="5"/>
  <c r="GJ713" i="5"/>
  <c r="HK702" i="5"/>
  <c r="HK704" i="5" s="1"/>
  <c r="HK692" i="5"/>
  <c r="HK694" i="5" s="1"/>
  <c r="GJ688" i="5"/>
  <c r="GJ683" i="5"/>
  <c r="GJ678" i="5"/>
  <c r="GJ663" i="5"/>
  <c r="HK662" i="5"/>
  <c r="HK664" i="5" s="1"/>
  <c r="HK647" i="5"/>
  <c r="HK649" i="5" s="1"/>
  <c r="HK750" i="5"/>
  <c r="HK752" i="5" s="1"/>
  <c r="HK730" i="5"/>
  <c r="HK732" i="5" s="1"/>
  <c r="HK677" i="5"/>
  <c r="HK679" i="5" s="1"/>
  <c r="GJ776" i="5"/>
  <c r="GJ635" i="5"/>
  <c r="GJ630" i="5"/>
  <c r="GJ595" i="5"/>
  <c r="GJ590" i="5"/>
  <c r="GJ547" i="5"/>
  <c r="GJ527" i="5"/>
  <c r="HK516" i="5"/>
  <c r="HK518" i="5" s="1"/>
  <c r="GJ497" i="5"/>
  <c r="HK473" i="5"/>
  <c r="HK475" i="5" s="1"/>
  <c r="HK453" i="5"/>
  <c r="HK455" i="5" s="1"/>
  <c r="GJ449" i="5"/>
  <c r="GJ434" i="5"/>
  <c r="HK428" i="5"/>
  <c r="HK430" i="5" s="1"/>
  <c r="GJ409" i="5"/>
  <c r="HK521" i="5"/>
  <c r="HK523" i="5" s="1"/>
  <c r="HK624" i="5"/>
  <c r="HK626" i="5" s="1"/>
  <c r="HK619" i="5"/>
  <c r="HK621" i="5" s="1"/>
  <c r="GJ615" i="5"/>
  <c r="GJ600" i="5"/>
  <c r="HK531" i="5"/>
  <c r="HK533" i="5" s="1"/>
  <c r="GJ512" i="5"/>
  <c r="GJ507" i="5"/>
  <c r="HK468" i="5"/>
  <c r="HK470" i="5" s="1"/>
  <c r="GJ439" i="5"/>
  <c r="HK526" i="5"/>
  <c r="HK528" i="5" s="1"/>
  <c r="HK579" i="5"/>
  <c r="HK581" i="5" s="1"/>
  <c r="GJ565" i="5"/>
  <c r="GJ537" i="5"/>
  <c r="GJ474" i="5"/>
  <c r="GJ464" i="5"/>
  <c r="HK423" i="5"/>
  <c r="HK425" i="5" s="1"/>
  <c r="HK418" i="5"/>
  <c r="HK420" i="5" s="1"/>
  <c r="GJ605" i="5"/>
  <c r="GJ570" i="5"/>
  <c r="HK551" i="5"/>
  <c r="HK553" i="5" s="1"/>
  <c r="HK546" i="5"/>
  <c r="HK548" i="5" s="1"/>
  <c r="HK541" i="5"/>
  <c r="HK543" i="5" s="1"/>
  <c r="HK511" i="5"/>
  <c r="HK513" i="5" s="1"/>
  <c r="HK501" i="5"/>
  <c r="HK503" i="5" s="1"/>
  <c r="HK496" i="5"/>
  <c r="HK498" i="5" s="1"/>
  <c r="GJ479" i="5"/>
  <c r="GJ469" i="5"/>
  <c r="HK448" i="5"/>
  <c r="HK450" i="5" s="1"/>
  <c r="HK433" i="5"/>
  <c r="HK435" i="5" s="1"/>
  <c r="GJ414" i="5"/>
  <c r="HK634" i="5"/>
  <c r="HK636" i="5" s="1"/>
  <c r="HK589" i="5"/>
  <c r="HK591" i="5" s="1"/>
  <c r="GJ580" i="5"/>
  <c r="HK564" i="5"/>
  <c r="HK566" i="5" s="1"/>
  <c r="GJ542" i="5"/>
  <c r="HK536" i="5"/>
  <c r="HK538" i="5" s="1"/>
  <c r="GJ532" i="5"/>
  <c r="GJ522" i="5"/>
  <c r="GJ502" i="5"/>
  <c r="HK491" i="5"/>
  <c r="HK493" i="5" s="1"/>
  <c r="GJ459" i="5"/>
  <c r="GJ454" i="5"/>
  <c r="HK438" i="5"/>
  <c r="HK440" i="5" s="1"/>
  <c r="GJ610" i="5"/>
  <c r="HK629" i="5"/>
  <c r="HK631" i="5" s="1"/>
  <c r="HK614" i="5"/>
  <c r="HK616" i="5" s="1"/>
  <c r="HK609" i="5"/>
  <c r="HK611" i="5" s="1"/>
  <c r="HK594" i="5"/>
  <c r="HK596" i="5" s="1"/>
  <c r="GJ575" i="5"/>
  <c r="HK569" i="5"/>
  <c r="HK571" i="5" s="1"/>
  <c r="GJ557" i="5"/>
  <c r="GJ552" i="5"/>
  <c r="GJ517" i="5"/>
  <c r="GJ492" i="5"/>
  <c r="GJ487" i="5"/>
  <c r="HK478" i="5"/>
  <c r="HK480" i="5" s="1"/>
  <c r="HK463" i="5"/>
  <c r="HK465" i="5" s="1"/>
  <c r="GJ429" i="5"/>
  <c r="HK413" i="5"/>
  <c r="HK415" i="5" s="1"/>
  <c r="HK408" i="5"/>
  <c r="HK410" i="5" s="1"/>
  <c r="GJ625" i="5"/>
  <c r="GJ424" i="5"/>
  <c r="GJ620" i="5"/>
  <c r="HK604" i="5"/>
  <c r="HK606" i="5" s="1"/>
  <c r="HK599" i="5"/>
  <c r="HK601" i="5" s="1"/>
  <c r="GJ585" i="5"/>
  <c r="HK574" i="5"/>
  <c r="HK576" i="5" s="1"/>
  <c r="HK556" i="5"/>
  <c r="HK558" i="5" s="1"/>
  <c r="HK506" i="5"/>
  <c r="HK508" i="5" s="1"/>
  <c r="HK486" i="5"/>
  <c r="HK488" i="5" s="1"/>
  <c r="HK458" i="5"/>
  <c r="HK460" i="5" s="1"/>
  <c r="HK443" i="5"/>
  <c r="HK445" i="5" s="1"/>
  <c r="GJ419" i="5"/>
  <c r="HK584" i="5"/>
  <c r="HK586" i="5" s="1"/>
  <c r="GJ444" i="5"/>
  <c r="HK360" i="5"/>
  <c r="HK362" i="5" s="1"/>
  <c r="HK335" i="5"/>
  <c r="HK337" i="5" s="1"/>
  <c r="HK330" i="5"/>
  <c r="HK332" i="5" s="1"/>
  <c r="GJ323" i="5"/>
  <c r="GJ288" i="5"/>
  <c r="GJ263" i="5"/>
  <c r="HK252" i="5"/>
  <c r="HK254" i="5" s="1"/>
  <c r="HK209" i="5"/>
  <c r="HK211" i="5" s="1"/>
  <c r="HK184" i="5"/>
  <c r="HK186" i="5" s="1"/>
  <c r="HK179" i="5"/>
  <c r="HK181" i="5" s="1"/>
  <c r="GJ381" i="5"/>
  <c r="GJ376" i="5"/>
  <c r="GJ371" i="5"/>
  <c r="HK302" i="5"/>
  <c r="HK304" i="5" s="1"/>
  <c r="HK282" i="5"/>
  <c r="HK284" i="5" s="1"/>
  <c r="GJ225" i="5"/>
  <c r="HK204" i="5"/>
  <c r="HK206" i="5" s="1"/>
  <c r="GJ200" i="5"/>
  <c r="HK194" i="5"/>
  <c r="HK196" i="5" s="1"/>
  <c r="GJ180" i="5"/>
  <c r="HK174" i="5"/>
  <c r="HK176" i="5" s="1"/>
  <c r="GJ386" i="5"/>
  <c r="HK380" i="5"/>
  <c r="HK382" i="5" s="1"/>
  <c r="GJ361" i="5"/>
  <c r="HK355" i="5"/>
  <c r="HK357" i="5" s="1"/>
  <c r="GJ351" i="5"/>
  <c r="GJ346" i="5"/>
  <c r="HK307" i="5"/>
  <c r="HK309" i="5" s="1"/>
  <c r="HK297" i="5"/>
  <c r="HK299" i="5" s="1"/>
  <c r="HK292" i="5"/>
  <c r="HK294" i="5" s="1"/>
  <c r="HK287" i="5"/>
  <c r="HK289" i="5" s="1"/>
  <c r="GJ283" i="5"/>
  <c r="HK272" i="5"/>
  <c r="HK274" i="5" s="1"/>
  <c r="GJ253" i="5"/>
  <c r="HK244" i="5"/>
  <c r="HK246" i="5" s="1"/>
  <c r="HK229" i="5"/>
  <c r="HK231" i="5" s="1"/>
  <c r="HK189" i="5"/>
  <c r="HK191" i="5" s="1"/>
  <c r="GJ245" i="5"/>
  <c r="GJ195" i="5"/>
  <c r="HK400" i="5"/>
  <c r="HK402" i="5" s="1"/>
  <c r="HK395" i="5"/>
  <c r="HK397" i="5" s="1"/>
  <c r="HK340" i="5"/>
  <c r="HK342" i="5" s="1"/>
  <c r="HK322" i="5"/>
  <c r="HK324" i="5" s="1"/>
  <c r="GJ313" i="5"/>
  <c r="GJ273" i="5"/>
  <c r="GJ268" i="5"/>
  <c r="HK239" i="5"/>
  <c r="HK241" i="5" s="1"/>
  <c r="HK234" i="5"/>
  <c r="HK236" i="5" s="1"/>
  <c r="GJ220" i="5"/>
  <c r="GJ175" i="5"/>
  <c r="GJ331" i="5"/>
  <c r="GJ298" i="5"/>
  <c r="HK390" i="5"/>
  <c r="HK392" i="5" s="1"/>
  <c r="HK375" i="5"/>
  <c r="HK377" i="5" s="1"/>
  <c r="GJ356" i="5"/>
  <c r="HK345" i="5"/>
  <c r="HK347" i="5" s="1"/>
  <c r="GJ336" i="5"/>
  <c r="HK317" i="5"/>
  <c r="HK319" i="5" s="1"/>
  <c r="HK312" i="5"/>
  <c r="HK314" i="5" s="1"/>
  <c r="GJ308" i="5"/>
  <c r="GJ258" i="5"/>
  <c r="HK214" i="5"/>
  <c r="HK216" i="5" s="1"/>
  <c r="GJ210" i="5"/>
  <c r="HK199" i="5"/>
  <c r="HK201" i="5" s="1"/>
  <c r="GJ230" i="5"/>
  <c r="GJ185" i="5"/>
  <c r="HK385" i="5"/>
  <c r="HK387" i="5" s="1"/>
  <c r="HK370" i="5"/>
  <c r="HK372" i="5" s="1"/>
  <c r="HK350" i="5"/>
  <c r="HK352" i="5" s="1"/>
  <c r="GJ293" i="5"/>
  <c r="HK262" i="5"/>
  <c r="HK264" i="5" s="1"/>
  <c r="HK219" i="5"/>
  <c r="HK221" i="5" s="1"/>
  <c r="GJ205" i="5"/>
  <c r="GJ190" i="5"/>
  <c r="GJ396" i="5"/>
  <c r="HK267" i="5"/>
  <c r="HK269" i="5" s="1"/>
  <c r="GJ401" i="5"/>
  <c r="GJ391" i="5"/>
  <c r="GJ366" i="5"/>
  <c r="GJ341" i="5"/>
  <c r="GJ303" i="5"/>
  <c r="GJ278" i="5"/>
  <c r="HK277" i="5"/>
  <c r="HK279" i="5" s="1"/>
  <c r="GJ240" i="5"/>
  <c r="GJ235" i="5"/>
  <c r="GJ215" i="5"/>
  <c r="HK365" i="5"/>
  <c r="HK367" i="5" s="1"/>
  <c r="GJ318" i="5"/>
  <c r="HK257" i="5"/>
  <c r="HK259" i="5" s="1"/>
  <c r="HK224" i="5"/>
  <c r="HK226" i="5" s="1"/>
  <c r="GJ152" i="5"/>
  <c r="HK136" i="5"/>
  <c r="HK138" i="5" s="1"/>
  <c r="GJ127" i="5"/>
  <c r="HK111" i="5"/>
  <c r="HK113" i="5" s="1"/>
  <c r="GJ64" i="5"/>
  <c r="GJ162" i="5"/>
  <c r="GJ102" i="5"/>
  <c r="GJ79" i="5"/>
  <c r="HK73" i="5"/>
  <c r="HK75" i="5" s="1"/>
  <c r="HK58" i="5"/>
  <c r="HK60" i="5" s="1"/>
  <c r="HK161" i="5"/>
  <c r="HK163" i="5" s="1"/>
  <c r="HK141" i="5"/>
  <c r="HK143" i="5" s="1"/>
  <c r="GJ132" i="5"/>
  <c r="HK121" i="5"/>
  <c r="HK123" i="5" s="1"/>
  <c r="GJ107" i="5"/>
  <c r="GJ97" i="5"/>
  <c r="HK88" i="5"/>
  <c r="HK90" i="5" s="1"/>
  <c r="GJ157" i="5"/>
  <c r="HK146" i="5"/>
  <c r="HK148" i="5" s="1"/>
  <c r="HK126" i="5"/>
  <c r="HK128" i="5" s="1"/>
  <c r="HK63" i="5"/>
  <c r="HK65" i="5" s="1"/>
  <c r="AB50" i="5"/>
  <c r="GJ167" i="5"/>
  <c r="GJ147" i="5"/>
  <c r="GJ117" i="5"/>
  <c r="HK78" i="5"/>
  <c r="HK80" i="5" s="1"/>
  <c r="GJ69" i="5"/>
  <c r="GJ84" i="5"/>
  <c r="GJ74" i="5"/>
  <c r="HK156" i="5"/>
  <c r="HK158" i="5" s="1"/>
  <c r="GJ137" i="5"/>
  <c r="HK131" i="5"/>
  <c r="HK133" i="5" s="1"/>
  <c r="GJ122" i="5"/>
  <c r="HK116" i="5"/>
  <c r="HK118" i="5" s="1"/>
  <c r="GJ112" i="5"/>
  <c r="HK106" i="5"/>
  <c r="HK108" i="5" s="1"/>
  <c r="HK96" i="5"/>
  <c r="HK98" i="5" s="1"/>
  <c r="GJ54" i="5"/>
  <c r="HK151" i="5"/>
  <c r="HK153" i="5" s="1"/>
  <c r="HK101" i="5"/>
  <c r="HK103" i="5" s="1"/>
  <c r="HK83" i="5"/>
  <c r="HK85" i="5" s="1"/>
  <c r="GJ59" i="5"/>
  <c r="GJ49" i="5"/>
  <c r="HK166" i="5"/>
  <c r="HK168" i="5" s="1"/>
  <c r="GJ142" i="5"/>
  <c r="GJ89" i="5"/>
  <c r="HK68" i="5"/>
  <c r="HK70" i="5" s="1"/>
  <c r="HK48" i="5"/>
  <c r="HK50" i="5" s="1"/>
  <c r="HK53" i="5"/>
  <c r="HK55" i="5" s="1"/>
  <c r="P71" i="33"/>
  <c r="P70" i="33"/>
  <c r="P69" i="33"/>
  <c r="P58" i="33"/>
  <c r="P57" i="33"/>
  <c r="P56" i="33"/>
  <c r="P55" i="33"/>
  <c r="P43" i="33"/>
  <c r="P54" i="33"/>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7" i="3"/>
  <c r="G228" i="3"/>
  <c r="G229" i="3"/>
  <c r="G232" i="3"/>
  <c r="G233" i="3"/>
  <c r="G234" i="3"/>
  <c r="G235" i="3"/>
  <c r="G236" i="3"/>
  <c r="G237" i="3"/>
  <c r="G238" i="3"/>
  <c r="G239" i="3"/>
  <c r="G240" i="3"/>
  <c r="G241" i="3"/>
  <c r="G242" i="3"/>
  <c r="G243" i="3"/>
  <c r="G244" i="3"/>
  <c r="G245" i="3"/>
  <c r="G246" i="3"/>
  <c r="G247" i="3"/>
  <c r="G250" i="3"/>
  <c r="G251" i="3"/>
  <c r="G252" i="3"/>
  <c r="G253" i="3"/>
  <c r="G254" i="3"/>
  <c r="G255" i="3"/>
  <c r="G256" i="3"/>
  <c r="G257" i="3"/>
  <c r="G258" i="3"/>
  <c r="G259" i="3"/>
  <c r="G310" i="3"/>
  <c r="G311" i="3"/>
  <c r="G312" i="3"/>
  <c r="G313" i="3"/>
  <c r="G314" i="3"/>
  <c r="G315" i="3"/>
  <c r="G316" i="3"/>
  <c r="G317" i="3"/>
  <c r="G318" i="3"/>
  <c r="G319" i="3"/>
  <c r="G320" i="3"/>
  <c r="G321" i="3"/>
  <c r="G322" i="3"/>
  <c r="G323" i="3"/>
  <c r="G324" i="3"/>
  <c r="G325" i="3"/>
  <c r="G326" i="3"/>
  <c r="G327" i="3"/>
  <c r="G328" i="3"/>
  <c r="G329" i="3"/>
  <c r="G330" i="3"/>
  <c r="G309" i="3"/>
  <c r="G303" i="3"/>
  <c r="G304" i="3"/>
  <c r="G305" i="3"/>
  <c r="G306" i="3"/>
  <c r="G302"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74" i="3"/>
  <c r="G263" i="3"/>
  <c r="G264" i="3"/>
  <c r="G265" i="3"/>
  <c r="G266" i="3"/>
  <c r="G267" i="3"/>
  <c r="G268" i="3"/>
  <c r="G269" i="3"/>
  <c r="G270" i="3"/>
  <c r="G271" i="3"/>
  <c r="G262" i="3"/>
  <c r="U50" i="5" a="1"/>
  <c r="U465" i="5" a="1"/>
  <c r="U133" i="5" a="1"/>
  <c r="U752" i="5" a="1"/>
  <c r="U420" i="5" a="1"/>
  <c r="U85" i="5" a="1"/>
  <c r="U747" i="5" a="1"/>
  <c r="U415" i="5" a="1"/>
  <c r="U80" i="5" a="1"/>
  <c r="U699" i="5" a="1"/>
  <c r="U367" i="5" a="1"/>
  <c r="D294" i="19"/>
  <c r="U694" i="5" a="1"/>
  <c r="U362" i="5" a="1"/>
  <c r="D282" i="19"/>
  <c r="U689" i="5" a="1"/>
  <c r="U357" i="5" a="1"/>
  <c r="D296" i="19"/>
  <c r="U722" i="5" a="1"/>
  <c r="U387" i="5" a="1"/>
  <c r="U55" i="5" a="1"/>
  <c r="U410" i="5" a="1"/>
  <c r="U397" i="5" a="1"/>
  <c r="U757" i="5" a="1"/>
  <c r="U425" i="5" a="1"/>
  <c r="U90" i="5" a="1"/>
  <c r="U709" i="5" a="1"/>
  <c r="U377" i="5" a="1"/>
  <c r="D283" i="19"/>
  <c r="U704" i="5" a="1"/>
  <c r="U372" i="5" a="1"/>
  <c r="D281" i="19"/>
  <c r="U659" i="5" a="1"/>
  <c r="U324" i="5" a="1"/>
  <c r="D297" i="19"/>
  <c r="U654" i="5" a="1"/>
  <c r="U319" i="5" a="1"/>
  <c r="D284" i="19"/>
  <c r="U649" i="5" a="1"/>
  <c r="U314" i="5" a="1"/>
  <c r="D302" i="19"/>
  <c r="U679" i="5" a="1"/>
  <c r="U347" i="5" a="1"/>
  <c r="D295" i="19"/>
  <c r="U176" i="5" a="1"/>
  <c r="U123" i="5" a="1"/>
  <c r="U70" i="5" a="1"/>
  <c r="U714" i="5" a="1"/>
  <c r="U382" i="5" a="1"/>
  <c r="D301" i="19"/>
  <c r="U669" i="5" a="1"/>
  <c r="U337" i="5" a="1"/>
  <c r="D303" i="19"/>
  <c r="U664" i="5" a="1"/>
  <c r="U332" i="5" a="1"/>
  <c r="D277" i="19"/>
  <c r="U616" i="5" a="1"/>
  <c r="U284" i="5" a="1"/>
  <c r="D279" i="19"/>
  <c r="U611" i="5" a="1"/>
  <c r="U279" i="5" a="1"/>
  <c r="D299" i="19"/>
  <c r="U606" i="5" a="1"/>
  <c r="U274" i="5" a="1"/>
  <c r="D278" i="19"/>
  <c r="U636" i="5" a="1"/>
  <c r="U304" i="5" a="1"/>
  <c r="D298" i="19"/>
  <c r="U792" i="5" a="1"/>
  <c r="U674" i="5" a="1"/>
  <c r="U342" i="5" a="1"/>
  <c r="D280" i="19"/>
  <c r="U626" i="5" a="1"/>
  <c r="U294" i="5" a="1"/>
  <c r="D304" i="19"/>
  <c r="U621" i="5" a="1"/>
  <c r="U289" i="5" a="1"/>
  <c r="D285" i="19"/>
  <c r="U576" i="5" a="1"/>
  <c r="U241" i="5" a="1"/>
  <c r="U644" i="5" a="1"/>
  <c r="U571" i="5" a="1"/>
  <c r="U236" i="5" a="1"/>
  <c r="U558" i="5" a="1"/>
  <c r="U566" i="5" a="1"/>
  <c r="U231" i="5" a="1"/>
  <c r="U518" i="5" a="1"/>
  <c r="U596" i="5" a="1"/>
  <c r="U264" i="5" a="1"/>
  <c r="U727" i="5" a="1"/>
  <c r="U128" i="5" a="1"/>
  <c r="U75" i="5" a="1"/>
  <c r="U762" i="5" a="1"/>
  <c r="U631" i="5" a="1"/>
  <c r="U299" i="5" a="1"/>
  <c r="D276" i="19"/>
  <c r="U586" i="5" a="1"/>
  <c r="U254" i="5" a="1"/>
  <c r="U684" i="5" a="1"/>
  <c r="U581" i="5" a="1"/>
  <c r="U246" i="5" a="1"/>
  <c r="U767" i="5" a="1"/>
  <c r="U533" i="5" a="1"/>
  <c r="U201" i="5" a="1"/>
  <c r="U143" i="5" a="1"/>
  <c r="U528" i="5" a="1"/>
  <c r="U196" i="5" a="1"/>
  <c r="U435" i="5" a="1"/>
  <c r="U523" i="5" a="1"/>
  <c r="U191" i="5" a="1"/>
  <c r="U475" i="5" a="1"/>
  <c r="U553" i="5" a="1"/>
  <c r="U221" i="5" a="1"/>
  <c r="U392" i="5" a="1"/>
  <c r="U460" i="5" a="1"/>
  <c r="U742" i="5" a="1"/>
  <c r="U732" i="5" a="1"/>
  <c r="U430" i="5" a="1"/>
  <c r="U591" i="5" a="1"/>
  <c r="U259" i="5" a="1"/>
  <c r="U601" i="5" a="1"/>
  <c r="U543" i="5" a="1"/>
  <c r="U211" i="5" a="1"/>
  <c r="U352" i="5" a="1"/>
  <c r="U538" i="5" a="1"/>
  <c r="U206" i="5" a="1"/>
  <c r="U309" i="5" a="1"/>
  <c r="U493" i="5" a="1"/>
  <c r="U158" i="5" a="1"/>
  <c r="D286" i="19"/>
  <c r="U488" i="5" a="1"/>
  <c r="U153" i="5" a="1"/>
  <c r="U226" i="5" a="1"/>
  <c r="U480" i="5" a="1"/>
  <c r="U148" i="5" a="1"/>
  <c r="U269" i="5" a="1"/>
  <c r="U513" i="5" a="1"/>
  <c r="U181" i="5" a="1"/>
  <c r="U103" i="5" a="1"/>
  <c r="U787" i="5" a="1"/>
  <c r="U402" i="5" a="1"/>
  <c r="U98" i="5" a="1"/>
  <c r="U548" i="5" a="1"/>
  <c r="U216" i="5" a="1"/>
  <c r="U186" i="5" a="1"/>
  <c r="U503" i="5" a="1"/>
  <c r="U168" i="5" a="1"/>
  <c r="U60" i="5" a="1"/>
  <c r="U498" i="5" a="1"/>
  <c r="U163" i="5" a="1"/>
  <c r="U782" i="5" a="1"/>
  <c r="U450" i="5" a="1"/>
  <c r="U118" i="5" a="1"/>
  <c r="U777" i="5" a="1"/>
  <c r="U445" i="5" a="1"/>
  <c r="U113" i="5" a="1"/>
  <c r="U772" i="5" a="1"/>
  <c r="U440" i="5" a="1"/>
  <c r="U108" i="5" a="1"/>
  <c r="D300" i="19"/>
  <c r="U470" i="5" a="1"/>
  <c r="U138" i="5" a="1"/>
  <c r="U508" i="5" a="1"/>
  <c r="U455" i="5" a="1"/>
  <c r="U737" i="5" a="1"/>
  <c r="U65" i="5" a="1"/>
  <c r="U103" i="5" l="1"/>
  <c r="HA100" i="5" s="1"/>
  <c r="GQ100" i="5" s="1"/>
  <c r="GQ101" i="5" s="1"/>
  <c r="GQ103" i="5" s="1"/>
  <c r="U392" i="5"/>
  <c r="HA389" i="5" s="1"/>
  <c r="GQ389" i="5" s="1"/>
  <c r="GQ390" i="5" s="1"/>
  <c r="GQ392" i="5" s="1"/>
  <c r="U727" i="5"/>
  <c r="HA724" i="5" s="1"/>
  <c r="GQ724" i="5" s="1"/>
  <c r="GQ725" i="5" s="1"/>
  <c r="GM725" i="5" s="1"/>
  <c r="AY724" i="5" s="1"/>
  <c r="HX725" i="5" s="1"/>
  <c r="HX727" i="5" s="1"/>
  <c r="U55" i="5"/>
  <c r="HA52" i="5" s="1"/>
  <c r="GQ52" i="5" s="1"/>
  <c r="GQ53" i="5" s="1"/>
  <c r="U98" i="5"/>
  <c r="HA95" i="5" s="1"/>
  <c r="GQ95" i="5" s="1"/>
  <c r="GQ96" i="5" s="1"/>
  <c r="U138" i="5"/>
  <c r="HA135" i="5" s="1"/>
  <c r="GQ135" i="5" s="1"/>
  <c r="GQ136" i="5" s="1"/>
  <c r="GQ138" i="5" s="1"/>
  <c r="U181" i="5"/>
  <c r="HA178" i="5" s="1"/>
  <c r="GQ178" i="5" s="1"/>
  <c r="GQ179" i="5" s="1"/>
  <c r="GM179" i="5" s="1"/>
  <c r="AY178" i="5" s="1"/>
  <c r="HX179" i="5" s="1"/>
  <c r="HX181" i="5" s="1"/>
  <c r="U221" i="5"/>
  <c r="HA218" i="5" s="1"/>
  <c r="GQ218" i="5" s="1"/>
  <c r="GQ219" i="5" s="1"/>
  <c r="GQ221" i="5" s="1"/>
  <c r="U264" i="5"/>
  <c r="HA261" i="5" s="1"/>
  <c r="GQ261" i="5" s="1"/>
  <c r="GQ262" i="5" s="1"/>
  <c r="GM262" i="5" s="1"/>
  <c r="AY261" i="5" s="1"/>
  <c r="HX262" i="5" s="1"/>
  <c r="HX264" i="5" s="1"/>
  <c r="U304" i="5"/>
  <c r="HA301" i="5" s="1"/>
  <c r="GQ301" i="5" s="1"/>
  <c r="GQ302" i="5" s="1"/>
  <c r="GQ304" i="5" s="1"/>
  <c r="U347" i="5"/>
  <c r="HA344" i="5" s="1"/>
  <c r="GQ344" i="5" s="1"/>
  <c r="GQ345" i="5" s="1"/>
  <c r="GM345" i="5" s="1"/>
  <c r="AY344" i="5" s="1"/>
  <c r="HX345" i="5" s="1"/>
  <c r="HX347" i="5" s="1"/>
  <c r="U387" i="5"/>
  <c r="HA384" i="5" s="1"/>
  <c r="GQ384" i="5" s="1"/>
  <c r="GQ385" i="5" s="1"/>
  <c r="U430" i="5"/>
  <c r="HA427" i="5" s="1"/>
  <c r="GQ427" i="5" s="1"/>
  <c r="GQ428" i="5" s="1"/>
  <c r="U470" i="5"/>
  <c r="HA467" i="5" s="1"/>
  <c r="GQ467" i="5" s="1"/>
  <c r="GQ468" i="5" s="1"/>
  <c r="GQ470" i="5" s="1"/>
  <c r="U513" i="5"/>
  <c r="HA510" i="5" s="1"/>
  <c r="GQ510" i="5" s="1"/>
  <c r="GQ511" i="5" s="1"/>
  <c r="GM511" i="5" s="1"/>
  <c r="AY510" i="5" s="1"/>
  <c r="HX511" i="5" s="1"/>
  <c r="HX513" i="5" s="1"/>
  <c r="U553" i="5"/>
  <c r="HA550" i="5" s="1"/>
  <c r="GQ550" i="5" s="1"/>
  <c r="GQ551" i="5" s="1"/>
  <c r="GM551" i="5" s="1"/>
  <c r="AY550" i="5" s="1"/>
  <c r="HX551" i="5" s="1"/>
  <c r="HX553" i="5" s="1"/>
  <c r="U596" i="5"/>
  <c r="HA593" i="5" s="1"/>
  <c r="GQ593" i="5" s="1"/>
  <c r="GQ594" i="5" s="1"/>
  <c r="GQ596" i="5" s="1"/>
  <c r="U636" i="5"/>
  <c r="HA633" i="5" s="1"/>
  <c r="GQ633" i="5" s="1"/>
  <c r="GQ634" i="5" s="1"/>
  <c r="GM634" i="5" s="1"/>
  <c r="AY633" i="5" s="1"/>
  <c r="HX634" i="5" s="1"/>
  <c r="HX636" i="5" s="1"/>
  <c r="U679" i="5"/>
  <c r="HA676" i="5" s="1"/>
  <c r="GQ676" i="5" s="1"/>
  <c r="GQ677" i="5" s="1"/>
  <c r="GQ679" i="5" s="1"/>
  <c r="IB679" i="5" s="1"/>
  <c r="U722" i="5"/>
  <c r="HA719" i="5" s="1"/>
  <c r="GQ719" i="5" s="1"/>
  <c r="GQ720" i="5" s="1"/>
  <c r="U762" i="5"/>
  <c r="HA759" i="5" s="1"/>
  <c r="GQ759" i="5" s="1"/>
  <c r="GQ760" i="5" s="1"/>
  <c r="U269" i="5"/>
  <c r="HA266" i="5" s="1"/>
  <c r="GQ266" i="5" s="1"/>
  <c r="GQ267" i="5" s="1"/>
  <c r="GM267" i="5" s="1"/>
  <c r="AY266" i="5" s="1"/>
  <c r="HX267" i="5" s="1"/>
  <c r="HX269" i="5" s="1"/>
  <c r="U475" i="5"/>
  <c r="HA472" i="5" s="1"/>
  <c r="GQ472" i="5" s="1"/>
  <c r="GQ473" i="5" s="1"/>
  <c r="GQ475" i="5" s="1"/>
  <c r="IB475" i="5" s="1"/>
  <c r="U518" i="5"/>
  <c r="HA515" i="5" s="1"/>
  <c r="GQ515" i="5" s="1"/>
  <c r="GQ516" i="5" s="1"/>
  <c r="GM516" i="5" s="1"/>
  <c r="AY515" i="5" s="1"/>
  <c r="HX516" i="5" s="1"/>
  <c r="HX518" i="5" s="1"/>
  <c r="U65" i="5"/>
  <c r="HA62" i="5" s="1"/>
  <c r="GQ62" i="5" s="1"/>
  <c r="GQ63" i="5" s="1"/>
  <c r="GQ65" i="5" s="1"/>
  <c r="U108" i="5"/>
  <c r="HA105" i="5" s="1"/>
  <c r="GQ105" i="5" s="1"/>
  <c r="GQ106" i="5" s="1"/>
  <c r="GM106" i="5" s="1"/>
  <c r="AY105" i="5" s="1"/>
  <c r="HX106" i="5" s="1"/>
  <c r="HX108" i="5" s="1"/>
  <c r="U148" i="5"/>
  <c r="HA145" i="5" s="1"/>
  <c r="GQ145" i="5" s="1"/>
  <c r="GQ146" i="5" s="1"/>
  <c r="GQ148" i="5" s="1"/>
  <c r="U191" i="5"/>
  <c r="HA188" i="5" s="1"/>
  <c r="GQ188" i="5" s="1"/>
  <c r="GQ189" i="5" s="1"/>
  <c r="U231" i="5"/>
  <c r="HA228" i="5" s="1"/>
  <c r="GQ228" i="5" s="1"/>
  <c r="GQ229" i="5" s="1"/>
  <c r="GM229" i="5" s="1"/>
  <c r="AY228" i="5" s="1"/>
  <c r="HX229" i="5" s="1"/>
  <c r="HX231" i="5" s="1"/>
  <c r="U274" i="5"/>
  <c r="HA271" i="5" s="1"/>
  <c r="GQ271" i="5" s="1"/>
  <c r="GQ272" i="5" s="1"/>
  <c r="GM272" i="5" s="1"/>
  <c r="AY271" i="5" s="1"/>
  <c r="HX272" i="5" s="1"/>
  <c r="HX274" i="5" s="1"/>
  <c r="U314" i="5"/>
  <c r="HA311" i="5" s="1"/>
  <c r="GQ311" i="5" s="1"/>
  <c r="GQ312" i="5" s="1"/>
  <c r="GQ314" i="5" s="1"/>
  <c r="U357" i="5"/>
  <c r="HA354" i="5" s="1"/>
  <c r="GQ354" i="5" s="1"/>
  <c r="GQ355" i="5" s="1"/>
  <c r="GQ357" i="5" s="1"/>
  <c r="U397" i="5"/>
  <c r="HA394" i="5" s="1"/>
  <c r="GQ394" i="5" s="1"/>
  <c r="GQ395" i="5" s="1"/>
  <c r="GM395" i="5" s="1"/>
  <c r="AY394" i="5" s="1"/>
  <c r="HX395" i="5" s="1"/>
  <c r="HX397" i="5" s="1"/>
  <c r="U440" i="5"/>
  <c r="HA437" i="5" s="1"/>
  <c r="GQ437" i="5" s="1"/>
  <c r="GQ438" i="5" s="1"/>
  <c r="GQ440" i="5" s="1"/>
  <c r="U480" i="5"/>
  <c r="HA477" i="5" s="1"/>
  <c r="GQ477" i="5" s="1"/>
  <c r="GQ478" i="5" s="1"/>
  <c r="GQ480" i="5" s="1"/>
  <c r="U523" i="5"/>
  <c r="HA520" i="5" s="1"/>
  <c r="GQ520" i="5" s="1"/>
  <c r="GQ521" i="5" s="1"/>
  <c r="U566" i="5"/>
  <c r="HA563" i="5" s="1"/>
  <c r="GQ563" i="5" s="1"/>
  <c r="GQ564" i="5" s="1"/>
  <c r="GQ566" i="5" s="1"/>
  <c r="IB566" i="5" s="1"/>
  <c r="U606" i="5"/>
  <c r="HA603" i="5" s="1"/>
  <c r="GQ603" i="5" s="1"/>
  <c r="GQ604" i="5" s="1"/>
  <c r="GM604" i="5" s="1"/>
  <c r="AY603" i="5" s="1"/>
  <c r="HX604" i="5" s="1"/>
  <c r="HX606" i="5" s="1"/>
  <c r="U649" i="5"/>
  <c r="HA646" i="5" s="1"/>
  <c r="GQ646" i="5" s="1"/>
  <c r="GQ647" i="5" s="1"/>
  <c r="GQ649" i="5" s="1"/>
  <c r="U689" i="5"/>
  <c r="HA686" i="5" s="1"/>
  <c r="GQ686" i="5" s="1"/>
  <c r="GQ687" i="5" s="1"/>
  <c r="GM687" i="5" s="1"/>
  <c r="AY686" i="5" s="1"/>
  <c r="HX687" i="5" s="1"/>
  <c r="HX689" i="5" s="1"/>
  <c r="U732" i="5"/>
  <c r="HA729" i="5" s="1"/>
  <c r="GQ729" i="5" s="1"/>
  <c r="GQ730" i="5" s="1"/>
  <c r="GM730" i="5" s="1"/>
  <c r="AY729" i="5" s="1"/>
  <c r="HX730" i="5" s="1"/>
  <c r="HX732" i="5" s="1"/>
  <c r="U772" i="5"/>
  <c r="HA769" i="5" s="1"/>
  <c r="GQ769" i="5" s="1"/>
  <c r="GQ770" i="5" s="1"/>
  <c r="GM770" i="5" s="1"/>
  <c r="AY769" i="5" s="1"/>
  <c r="HX770" i="5" s="1"/>
  <c r="HX772" i="5" s="1"/>
  <c r="U226" i="5"/>
  <c r="HA223" i="5" s="1"/>
  <c r="GQ223" i="5" s="1"/>
  <c r="GQ224" i="5" s="1"/>
  <c r="GQ226" i="5" s="1"/>
  <c r="U435" i="5"/>
  <c r="HA432" i="5" s="1"/>
  <c r="GQ432" i="5" s="1"/>
  <c r="GQ433" i="5" s="1"/>
  <c r="U558" i="5"/>
  <c r="HA555" i="5" s="1"/>
  <c r="GQ555" i="5" s="1"/>
  <c r="GQ556" i="5" s="1"/>
  <c r="GM556" i="5" s="1"/>
  <c r="AY555" i="5" s="1"/>
  <c r="HX556" i="5" s="1"/>
  <c r="HX558" i="5" s="1"/>
  <c r="U70" i="5"/>
  <c r="HA67" i="5" s="1"/>
  <c r="GQ67" i="5" s="1"/>
  <c r="GQ68" i="5" s="1"/>
  <c r="GQ70" i="5" s="1"/>
  <c r="U113" i="5"/>
  <c r="HA110" i="5" s="1"/>
  <c r="GQ110" i="5" s="1"/>
  <c r="GQ111" i="5" s="1"/>
  <c r="GM111" i="5" s="1"/>
  <c r="AY110" i="5" s="1"/>
  <c r="HX111" i="5" s="1"/>
  <c r="HX113" i="5" s="1"/>
  <c r="U153" i="5"/>
  <c r="HA150" i="5" s="1"/>
  <c r="GQ150" i="5" s="1"/>
  <c r="GQ151" i="5" s="1"/>
  <c r="GQ153" i="5" s="1"/>
  <c r="IB153" i="5" s="1"/>
  <c r="U196" i="5"/>
  <c r="HA193" i="5" s="1"/>
  <c r="GQ193" i="5" s="1"/>
  <c r="GQ194" i="5" s="1"/>
  <c r="GQ196" i="5" s="1"/>
  <c r="IB196" i="5" s="1"/>
  <c r="U236" i="5"/>
  <c r="HA233" i="5" s="1"/>
  <c r="GQ233" i="5" s="1"/>
  <c r="GQ234" i="5" s="1"/>
  <c r="GQ236" i="5" s="1"/>
  <c r="IB236" i="5" s="1"/>
  <c r="U279" i="5"/>
  <c r="HA276" i="5" s="1"/>
  <c r="GQ276" i="5" s="1"/>
  <c r="GQ277" i="5" s="1"/>
  <c r="GQ279" i="5" s="1"/>
  <c r="U319" i="5"/>
  <c r="HA316" i="5" s="1"/>
  <c r="GQ316" i="5" s="1"/>
  <c r="GQ317" i="5" s="1"/>
  <c r="U362" i="5"/>
  <c r="HA359" i="5" s="1"/>
  <c r="GQ359" i="5" s="1"/>
  <c r="GQ360" i="5" s="1"/>
  <c r="GQ362" i="5" s="1"/>
  <c r="U402" i="5"/>
  <c r="HA399" i="5" s="1"/>
  <c r="GQ399" i="5" s="1"/>
  <c r="GQ400" i="5" s="1"/>
  <c r="GQ402" i="5" s="1"/>
  <c r="U445" i="5"/>
  <c r="HA442" i="5" s="1"/>
  <c r="GQ442" i="5" s="1"/>
  <c r="GQ443" i="5" s="1"/>
  <c r="GM443" i="5" s="1"/>
  <c r="AY442" i="5" s="1"/>
  <c r="HX443" i="5" s="1"/>
  <c r="HX445" i="5" s="1"/>
  <c r="U488" i="5"/>
  <c r="HA485" i="5" s="1"/>
  <c r="GQ485" i="5" s="1"/>
  <c r="GQ486" i="5" s="1"/>
  <c r="GM486" i="5" s="1"/>
  <c r="AY485" i="5" s="1"/>
  <c r="HX486" i="5" s="1"/>
  <c r="HX488" i="5" s="1"/>
  <c r="U528" i="5"/>
  <c r="HA525" i="5" s="1"/>
  <c r="GQ525" i="5" s="1"/>
  <c r="GQ526" i="5" s="1"/>
  <c r="GM526" i="5" s="1"/>
  <c r="AY525" i="5" s="1"/>
  <c r="HX526" i="5" s="1"/>
  <c r="HX528" i="5" s="1"/>
  <c r="U571" i="5"/>
  <c r="HA568" i="5" s="1"/>
  <c r="GQ568" i="5" s="1"/>
  <c r="GQ569" i="5" s="1"/>
  <c r="GQ571" i="5" s="1"/>
  <c r="U611" i="5"/>
  <c r="HA608" i="5" s="1"/>
  <c r="GQ608" i="5" s="1"/>
  <c r="GQ609" i="5" s="1"/>
  <c r="GM609" i="5" s="1"/>
  <c r="AY608" i="5" s="1"/>
  <c r="HX609" i="5" s="1"/>
  <c r="HX611" i="5" s="1"/>
  <c r="U654" i="5"/>
  <c r="HA651" i="5" s="1"/>
  <c r="GQ651" i="5" s="1"/>
  <c r="GQ652" i="5" s="1"/>
  <c r="U694" i="5"/>
  <c r="HA691" i="5" s="1"/>
  <c r="GQ691" i="5" s="1"/>
  <c r="GQ692" i="5" s="1"/>
  <c r="GM692" i="5" s="1"/>
  <c r="AY691" i="5" s="1"/>
  <c r="HX692" i="5" s="1"/>
  <c r="HX694" i="5" s="1"/>
  <c r="U737" i="5"/>
  <c r="HA734" i="5" s="1"/>
  <c r="GQ734" i="5" s="1"/>
  <c r="GQ735" i="5" s="1"/>
  <c r="GM735" i="5" s="1"/>
  <c r="AY734" i="5" s="1"/>
  <c r="HX735" i="5" s="1"/>
  <c r="HX737" i="5" s="1"/>
  <c r="U777" i="5"/>
  <c r="HA774" i="5" s="1"/>
  <c r="GQ774" i="5" s="1"/>
  <c r="GQ775" i="5" s="1"/>
  <c r="GQ777" i="5" s="1"/>
  <c r="U143" i="5"/>
  <c r="HA140" i="5" s="1"/>
  <c r="GQ140" i="5" s="1"/>
  <c r="GQ141" i="5" s="1"/>
  <c r="GM141" i="5" s="1"/>
  <c r="AY140" i="5" s="1"/>
  <c r="HX141" i="5" s="1"/>
  <c r="HX143" i="5" s="1"/>
  <c r="U644" i="5"/>
  <c r="HA641" i="5" s="1"/>
  <c r="GQ641" i="5" s="1"/>
  <c r="GQ642" i="5" s="1"/>
  <c r="GQ644" i="5" s="1"/>
  <c r="U75" i="5"/>
  <c r="HA72" i="5" s="1"/>
  <c r="GQ72" i="5" s="1"/>
  <c r="GQ73" i="5" s="1"/>
  <c r="GM73" i="5" s="1"/>
  <c r="AY72" i="5" s="1"/>
  <c r="HX73" i="5" s="1"/>
  <c r="HX75" i="5" s="1"/>
  <c r="U118" i="5"/>
  <c r="HA115" i="5" s="1"/>
  <c r="GQ115" i="5" s="1"/>
  <c r="GQ116" i="5" s="1"/>
  <c r="GM116" i="5" s="1"/>
  <c r="AY115" i="5" s="1"/>
  <c r="HX116" i="5" s="1"/>
  <c r="HX118" i="5" s="1"/>
  <c r="U158" i="5"/>
  <c r="HA155" i="5" s="1"/>
  <c r="GQ155" i="5" s="1"/>
  <c r="GQ156" i="5" s="1"/>
  <c r="GM156" i="5" s="1"/>
  <c r="AY155" i="5" s="1"/>
  <c r="HX156" i="5" s="1"/>
  <c r="HX158" i="5" s="1"/>
  <c r="U201" i="5"/>
  <c r="HA198" i="5" s="1"/>
  <c r="GQ198" i="5" s="1"/>
  <c r="GQ199" i="5" s="1"/>
  <c r="GM199" i="5" s="1"/>
  <c r="AY198" i="5" s="1"/>
  <c r="HX199" i="5" s="1"/>
  <c r="HX201" i="5" s="1"/>
  <c r="U241" i="5"/>
  <c r="HA238" i="5" s="1"/>
  <c r="GQ238" i="5" s="1"/>
  <c r="GQ239" i="5" s="1"/>
  <c r="GM239" i="5" s="1"/>
  <c r="AY238" i="5" s="1"/>
  <c r="HX239" i="5" s="1"/>
  <c r="HX241" i="5" s="1"/>
  <c r="U284" i="5"/>
  <c r="HA281" i="5" s="1"/>
  <c r="GQ281" i="5" s="1"/>
  <c r="GQ282" i="5" s="1"/>
  <c r="GM282" i="5" s="1"/>
  <c r="AY281" i="5" s="1"/>
  <c r="HX282" i="5" s="1"/>
  <c r="HX284" i="5" s="1"/>
  <c r="U324" i="5"/>
  <c r="HA321" i="5" s="1"/>
  <c r="GQ321" i="5" s="1"/>
  <c r="GQ322" i="5" s="1"/>
  <c r="GQ324" i="5" s="1"/>
  <c r="U367" i="5"/>
  <c r="HA364" i="5" s="1"/>
  <c r="GQ364" i="5" s="1"/>
  <c r="GQ365" i="5" s="1"/>
  <c r="GQ367" i="5" s="1"/>
  <c r="U410" i="5"/>
  <c r="HA407" i="5" s="1"/>
  <c r="GQ407" i="5" s="1"/>
  <c r="GQ408" i="5" s="1"/>
  <c r="GQ410" i="5" s="1"/>
  <c r="U450" i="5"/>
  <c r="HA447" i="5" s="1"/>
  <c r="GQ447" i="5" s="1"/>
  <c r="GQ448" i="5" s="1"/>
  <c r="GQ450" i="5" s="1"/>
  <c r="U493" i="5"/>
  <c r="HA490" i="5" s="1"/>
  <c r="GQ490" i="5" s="1"/>
  <c r="GQ491" i="5" s="1"/>
  <c r="GM491" i="5" s="1"/>
  <c r="AY490" i="5" s="1"/>
  <c r="HX491" i="5" s="1"/>
  <c r="HX493" i="5" s="1"/>
  <c r="U533" i="5"/>
  <c r="HA530" i="5" s="1"/>
  <c r="GQ530" i="5" s="1"/>
  <c r="GQ531" i="5" s="1"/>
  <c r="GQ533" i="5" s="1"/>
  <c r="U576" i="5"/>
  <c r="HA573" i="5" s="1"/>
  <c r="GQ573" i="5" s="1"/>
  <c r="GQ574" i="5" s="1"/>
  <c r="GQ576" i="5" s="1"/>
  <c r="U616" i="5"/>
  <c r="HA613" i="5" s="1"/>
  <c r="GQ613" i="5" s="1"/>
  <c r="GQ614" i="5" s="1"/>
  <c r="GQ616" i="5" s="1"/>
  <c r="U659" i="5"/>
  <c r="HA656" i="5" s="1"/>
  <c r="GQ656" i="5" s="1"/>
  <c r="GQ657" i="5" s="1"/>
  <c r="GQ659" i="5" s="1"/>
  <c r="U699" i="5"/>
  <c r="HA696" i="5" s="1"/>
  <c r="GQ696" i="5" s="1"/>
  <c r="GQ697" i="5" s="1"/>
  <c r="GM697" i="5" s="1"/>
  <c r="AY696" i="5" s="1"/>
  <c r="HX697" i="5" s="1"/>
  <c r="HX699" i="5" s="1"/>
  <c r="U742" i="5"/>
  <c r="HA739" i="5" s="1"/>
  <c r="GQ739" i="5" s="1"/>
  <c r="GQ740" i="5" s="1"/>
  <c r="GM740" i="5" s="1"/>
  <c r="AY739" i="5" s="1"/>
  <c r="HX740" i="5" s="1"/>
  <c r="HX742" i="5" s="1"/>
  <c r="U782" i="5"/>
  <c r="HA779" i="5" s="1"/>
  <c r="GQ779" i="5" s="1"/>
  <c r="GQ780" i="5" s="1"/>
  <c r="GM780" i="5" s="1"/>
  <c r="AY779" i="5" s="1"/>
  <c r="HX780" i="5" s="1"/>
  <c r="HX782" i="5" s="1"/>
  <c r="U309" i="5"/>
  <c r="HA306" i="5" s="1"/>
  <c r="GQ306" i="5" s="1"/>
  <c r="GQ307" i="5" s="1"/>
  <c r="GM307" i="5" s="1"/>
  <c r="AY306" i="5" s="1"/>
  <c r="HX307" i="5" s="1"/>
  <c r="HX309" i="5" s="1"/>
  <c r="U767" i="5"/>
  <c r="HA764" i="5" s="1"/>
  <c r="GQ764" i="5" s="1"/>
  <c r="GQ765" i="5" s="1"/>
  <c r="GQ767" i="5" s="1"/>
  <c r="U80" i="5"/>
  <c r="HA77" i="5" s="1"/>
  <c r="GQ77" i="5" s="1"/>
  <c r="GQ78" i="5" s="1"/>
  <c r="GM78" i="5" s="1"/>
  <c r="AY77" i="5" s="1"/>
  <c r="HX78" i="5" s="1"/>
  <c r="HX80" i="5" s="1"/>
  <c r="U123" i="5"/>
  <c r="HA120" i="5" s="1"/>
  <c r="GQ120" i="5" s="1"/>
  <c r="GQ121" i="5" s="1"/>
  <c r="GM121" i="5" s="1"/>
  <c r="AY120" i="5" s="1"/>
  <c r="HX121" i="5" s="1"/>
  <c r="HX123" i="5" s="1"/>
  <c r="U163" i="5"/>
  <c r="HA160" i="5" s="1"/>
  <c r="GQ160" i="5" s="1"/>
  <c r="GQ161" i="5" s="1"/>
  <c r="GQ163" i="5" s="1"/>
  <c r="U206" i="5"/>
  <c r="HA203" i="5" s="1"/>
  <c r="GQ203" i="5" s="1"/>
  <c r="GQ204" i="5" s="1"/>
  <c r="GM204" i="5" s="1"/>
  <c r="AY203" i="5" s="1"/>
  <c r="HX204" i="5" s="1"/>
  <c r="HX206" i="5" s="1"/>
  <c r="U246" i="5"/>
  <c r="HA243" i="5" s="1"/>
  <c r="GQ243" i="5" s="1"/>
  <c r="GQ244" i="5" s="1"/>
  <c r="GM244" i="5" s="1"/>
  <c r="AY243" i="5" s="1"/>
  <c r="HX244" i="5" s="1"/>
  <c r="HX246" i="5" s="1"/>
  <c r="U289" i="5"/>
  <c r="HA286" i="5" s="1"/>
  <c r="GQ286" i="5" s="1"/>
  <c r="GQ287" i="5" s="1"/>
  <c r="GQ289" i="5" s="1"/>
  <c r="U332" i="5"/>
  <c r="HA329" i="5" s="1"/>
  <c r="GQ329" i="5" s="1"/>
  <c r="GQ330" i="5" s="1"/>
  <c r="GM330" i="5" s="1"/>
  <c r="AY329" i="5" s="1"/>
  <c r="HX330" i="5" s="1"/>
  <c r="HX332" i="5" s="1"/>
  <c r="U372" i="5"/>
  <c r="HA369" i="5" s="1"/>
  <c r="GQ369" i="5" s="1"/>
  <c r="GQ370" i="5" s="1"/>
  <c r="GQ372" i="5" s="1"/>
  <c r="U415" i="5"/>
  <c r="HA412" i="5" s="1"/>
  <c r="GQ412" i="5" s="1"/>
  <c r="GQ413" i="5" s="1"/>
  <c r="GM413" i="5" s="1"/>
  <c r="AY412" i="5" s="1"/>
  <c r="HX413" i="5" s="1"/>
  <c r="HX415" i="5" s="1"/>
  <c r="U455" i="5"/>
  <c r="HA452" i="5" s="1"/>
  <c r="GQ452" i="5" s="1"/>
  <c r="GQ453" i="5" s="1"/>
  <c r="GQ455" i="5" s="1"/>
  <c r="U498" i="5"/>
  <c r="HA495" i="5" s="1"/>
  <c r="GQ495" i="5" s="1"/>
  <c r="GQ496" i="5" s="1"/>
  <c r="GQ498" i="5" s="1"/>
  <c r="IB498" i="5" s="1"/>
  <c r="U538" i="5"/>
  <c r="HA535" i="5" s="1"/>
  <c r="GQ535" i="5" s="1"/>
  <c r="GQ536" i="5" s="1"/>
  <c r="GQ538" i="5" s="1"/>
  <c r="U581" i="5"/>
  <c r="HA578" i="5" s="1"/>
  <c r="GQ578" i="5" s="1"/>
  <c r="GQ579" i="5" s="1"/>
  <c r="GQ581" i="5" s="1"/>
  <c r="U621" i="5"/>
  <c r="HA618" i="5" s="1"/>
  <c r="GQ618" i="5" s="1"/>
  <c r="GQ619" i="5" s="1"/>
  <c r="GM619" i="5" s="1"/>
  <c r="AY618" i="5" s="1"/>
  <c r="HX619" i="5" s="1"/>
  <c r="HX621" i="5" s="1"/>
  <c r="U664" i="5"/>
  <c r="HA661" i="5" s="1"/>
  <c r="GQ661" i="5" s="1"/>
  <c r="GQ662" i="5" s="1"/>
  <c r="GQ664" i="5" s="1"/>
  <c r="U704" i="5"/>
  <c r="HA701" i="5" s="1"/>
  <c r="GQ701" i="5" s="1"/>
  <c r="GQ702" i="5" s="1"/>
  <c r="GM702" i="5" s="1"/>
  <c r="AY701" i="5" s="1"/>
  <c r="HX702" i="5" s="1"/>
  <c r="HX704" i="5" s="1"/>
  <c r="U747" i="5"/>
  <c r="HA744" i="5" s="1"/>
  <c r="GQ744" i="5" s="1"/>
  <c r="GQ745" i="5" s="1"/>
  <c r="GQ747" i="5" s="1"/>
  <c r="U787" i="5"/>
  <c r="HA784" i="5" s="1"/>
  <c r="GQ784" i="5" s="1"/>
  <c r="GQ785" i="5" s="1"/>
  <c r="GQ787" i="5" s="1"/>
  <c r="U60" i="5"/>
  <c r="HA57" i="5" s="1"/>
  <c r="GQ57" i="5" s="1"/>
  <c r="GQ58" i="5" s="1"/>
  <c r="GQ60" i="5" s="1"/>
  <c r="U352" i="5"/>
  <c r="HA349" i="5" s="1"/>
  <c r="GQ349" i="5" s="1"/>
  <c r="GQ350" i="5" s="1"/>
  <c r="GM350" i="5" s="1"/>
  <c r="AY349" i="5" s="1"/>
  <c r="HX350" i="5" s="1"/>
  <c r="HX352" i="5" s="1"/>
  <c r="U684" i="5"/>
  <c r="HA681" i="5" s="1"/>
  <c r="GQ681" i="5" s="1"/>
  <c r="GQ682" i="5" s="1"/>
  <c r="GM682" i="5" s="1"/>
  <c r="AY681" i="5" s="1"/>
  <c r="HX682" i="5" s="1"/>
  <c r="HX684" i="5" s="1"/>
  <c r="U85" i="5"/>
  <c r="HA82" i="5" s="1"/>
  <c r="GQ82" i="5" s="1"/>
  <c r="GQ83" i="5" s="1"/>
  <c r="GQ85" i="5" s="1"/>
  <c r="U128" i="5"/>
  <c r="HA125" i="5" s="1"/>
  <c r="GQ125" i="5" s="1"/>
  <c r="GQ126" i="5" s="1"/>
  <c r="GM126" i="5" s="1"/>
  <c r="AY125" i="5" s="1"/>
  <c r="HX126" i="5" s="1"/>
  <c r="HX128" i="5" s="1"/>
  <c r="U168" i="5"/>
  <c r="HA165" i="5" s="1"/>
  <c r="GQ165" i="5" s="1"/>
  <c r="GQ166" i="5" s="1"/>
  <c r="GM166" i="5" s="1"/>
  <c r="AY165" i="5" s="1"/>
  <c r="HX166" i="5" s="1"/>
  <c r="HX168" i="5" s="1"/>
  <c r="U211" i="5"/>
  <c r="HA208" i="5" s="1"/>
  <c r="GQ208" i="5" s="1"/>
  <c r="GQ209" i="5" s="1"/>
  <c r="GQ211" i="5" s="1"/>
  <c r="U254" i="5"/>
  <c r="HA251" i="5" s="1"/>
  <c r="GQ251" i="5" s="1"/>
  <c r="GQ252" i="5" s="1"/>
  <c r="GQ254" i="5" s="1"/>
  <c r="U294" i="5"/>
  <c r="HA291" i="5" s="1"/>
  <c r="GQ291" i="5" s="1"/>
  <c r="GQ292" i="5" s="1"/>
  <c r="GQ294" i="5" s="1"/>
  <c r="U337" i="5"/>
  <c r="HA334" i="5" s="1"/>
  <c r="GQ334" i="5" s="1"/>
  <c r="GQ335" i="5" s="1"/>
  <c r="GM335" i="5" s="1"/>
  <c r="AY334" i="5" s="1"/>
  <c r="HX335" i="5" s="1"/>
  <c r="HX337" i="5" s="1"/>
  <c r="U377" i="5"/>
  <c r="HA374" i="5" s="1"/>
  <c r="GQ374" i="5" s="1"/>
  <c r="GQ375" i="5" s="1"/>
  <c r="GQ377" i="5" s="1"/>
  <c r="IB377" i="5" s="1"/>
  <c r="U420" i="5"/>
  <c r="HA417" i="5" s="1"/>
  <c r="GQ417" i="5" s="1"/>
  <c r="GQ418" i="5" s="1"/>
  <c r="GM418" i="5" s="1"/>
  <c r="AY417" i="5" s="1"/>
  <c r="HX418" i="5" s="1"/>
  <c r="HX420" i="5" s="1"/>
  <c r="U460" i="5"/>
  <c r="HA457" i="5" s="1"/>
  <c r="GQ457" i="5" s="1"/>
  <c r="GQ458" i="5" s="1"/>
  <c r="GQ460" i="5" s="1"/>
  <c r="U503" i="5"/>
  <c r="HA500" i="5" s="1"/>
  <c r="GQ500" i="5" s="1"/>
  <c r="GQ501" i="5" s="1"/>
  <c r="GQ503" i="5" s="1"/>
  <c r="U543" i="5"/>
  <c r="HA540" i="5" s="1"/>
  <c r="GQ540" i="5" s="1"/>
  <c r="GQ541" i="5" s="1"/>
  <c r="GQ543" i="5" s="1"/>
  <c r="U586" i="5"/>
  <c r="HA583" i="5" s="1"/>
  <c r="GQ583" i="5" s="1"/>
  <c r="GQ584" i="5" s="1"/>
  <c r="GM584" i="5" s="1"/>
  <c r="AY583" i="5" s="1"/>
  <c r="HX584" i="5" s="1"/>
  <c r="HX586" i="5" s="1"/>
  <c r="U626" i="5"/>
  <c r="HA623" i="5" s="1"/>
  <c r="GQ623" i="5" s="1"/>
  <c r="GQ624" i="5" s="1"/>
  <c r="GQ626" i="5" s="1"/>
  <c r="U669" i="5"/>
  <c r="HA666" i="5" s="1"/>
  <c r="GQ666" i="5" s="1"/>
  <c r="GQ667" i="5" s="1"/>
  <c r="GM667" i="5" s="1"/>
  <c r="AY666" i="5" s="1"/>
  <c r="HX667" i="5" s="1"/>
  <c r="HX669" i="5" s="1"/>
  <c r="U709" i="5"/>
  <c r="HA706" i="5" s="1"/>
  <c r="GQ706" i="5" s="1"/>
  <c r="GQ707" i="5" s="1"/>
  <c r="GM707" i="5" s="1"/>
  <c r="AY706" i="5" s="1"/>
  <c r="HX707" i="5" s="1"/>
  <c r="HX709" i="5" s="1"/>
  <c r="U752" i="5"/>
  <c r="HA749" i="5" s="1"/>
  <c r="GQ749" i="5" s="1"/>
  <c r="GQ750" i="5" s="1"/>
  <c r="GQ752" i="5" s="1"/>
  <c r="IB752" i="5" s="1"/>
  <c r="U792" i="5"/>
  <c r="HA789" i="5" s="1"/>
  <c r="GQ789" i="5" s="1"/>
  <c r="GQ790" i="5" s="1"/>
  <c r="GQ792" i="5" s="1"/>
  <c r="U186" i="5"/>
  <c r="HA183" i="5" s="1"/>
  <c r="GQ183" i="5" s="1"/>
  <c r="GQ184" i="5" s="1"/>
  <c r="GM184" i="5" s="1"/>
  <c r="AY183" i="5" s="1"/>
  <c r="HX184" i="5" s="1"/>
  <c r="HX186" i="5" s="1"/>
  <c r="U601" i="5"/>
  <c r="HA598" i="5" s="1"/>
  <c r="GQ598" i="5" s="1"/>
  <c r="GQ599" i="5" s="1"/>
  <c r="GM599" i="5" s="1"/>
  <c r="AY598" i="5" s="1"/>
  <c r="HX599" i="5" s="1"/>
  <c r="HX601" i="5" s="1"/>
  <c r="U90" i="5"/>
  <c r="HA87" i="5" s="1"/>
  <c r="GQ87" i="5" s="1"/>
  <c r="GQ88" i="5" s="1"/>
  <c r="GQ90" i="5" s="1"/>
  <c r="U133" i="5"/>
  <c r="HA130" i="5" s="1"/>
  <c r="GQ130" i="5" s="1"/>
  <c r="GQ131" i="5" s="1"/>
  <c r="GQ133" i="5" s="1"/>
  <c r="U176" i="5"/>
  <c r="HA173" i="5" s="1"/>
  <c r="GQ173" i="5" s="1"/>
  <c r="GQ174" i="5" s="1"/>
  <c r="GQ176" i="5" s="1"/>
  <c r="IB176" i="5" s="1"/>
  <c r="U216" i="5"/>
  <c r="HA213" i="5" s="1"/>
  <c r="GQ213" i="5" s="1"/>
  <c r="GQ214" i="5" s="1"/>
  <c r="GM214" i="5" s="1"/>
  <c r="AY213" i="5" s="1"/>
  <c r="HX214" i="5" s="1"/>
  <c r="HX216" i="5" s="1"/>
  <c r="U259" i="5"/>
  <c r="HA256" i="5" s="1"/>
  <c r="GQ256" i="5" s="1"/>
  <c r="GQ257" i="5" s="1"/>
  <c r="GM257" i="5" s="1"/>
  <c r="AY256" i="5" s="1"/>
  <c r="HX257" i="5" s="1"/>
  <c r="HX259" i="5" s="1"/>
  <c r="U299" i="5"/>
  <c r="HA296" i="5" s="1"/>
  <c r="GQ296" i="5" s="1"/>
  <c r="GQ297" i="5" s="1"/>
  <c r="GM297" i="5" s="1"/>
  <c r="AY296" i="5" s="1"/>
  <c r="HX297" i="5" s="1"/>
  <c r="HX299" i="5" s="1"/>
  <c r="U342" i="5"/>
  <c r="HA339" i="5" s="1"/>
  <c r="GQ339" i="5" s="1"/>
  <c r="GQ340" i="5" s="1"/>
  <c r="GM340" i="5" s="1"/>
  <c r="AY339" i="5" s="1"/>
  <c r="HX340" i="5" s="1"/>
  <c r="HX342" i="5" s="1"/>
  <c r="U382" i="5"/>
  <c r="HA379" i="5" s="1"/>
  <c r="GQ379" i="5" s="1"/>
  <c r="GQ380" i="5" s="1"/>
  <c r="GQ382" i="5" s="1"/>
  <c r="U425" i="5"/>
  <c r="HA422" i="5" s="1"/>
  <c r="GQ422" i="5" s="1"/>
  <c r="GQ423" i="5" s="1"/>
  <c r="GQ425" i="5" s="1"/>
  <c r="U465" i="5"/>
  <c r="HA462" i="5" s="1"/>
  <c r="GQ462" i="5" s="1"/>
  <c r="GQ463" i="5" s="1"/>
  <c r="GM463" i="5" s="1"/>
  <c r="AY462" i="5" s="1"/>
  <c r="HX463" i="5" s="1"/>
  <c r="HX465" i="5" s="1"/>
  <c r="U508" i="5"/>
  <c r="HA505" i="5" s="1"/>
  <c r="GQ505" i="5" s="1"/>
  <c r="GQ506" i="5" s="1"/>
  <c r="GM506" i="5" s="1"/>
  <c r="AY505" i="5" s="1"/>
  <c r="HX506" i="5" s="1"/>
  <c r="HX508" i="5" s="1"/>
  <c r="U548" i="5"/>
  <c r="HA545" i="5" s="1"/>
  <c r="GQ545" i="5" s="1"/>
  <c r="GQ546" i="5" s="1"/>
  <c r="GM546" i="5" s="1"/>
  <c r="AY545" i="5" s="1"/>
  <c r="HX546" i="5" s="1"/>
  <c r="HX548" i="5" s="1"/>
  <c r="U591" i="5"/>
  <c r="HA588" i="5" s="1"/>
  <c r="GQ588" i="5" s="1"/>
  <c r="GQ589" i="5" s="1"/>
  <c r="GM589" i="5" s="1"/>
  <c r="AY588" i="5" s="1"/>
  <c r="HX589" i="5" s="1"/>
  <c r="HX591" i="5" s="1"/>
  <c r="U631" i="5"/>
  <c r="HA628" i="5" s="1"/>
  <c r="GQ628" i="5" s="1"/>
  <c r="GQ629" i="5" s="1"/>
  <c r="GQ631" i="5" s="1"/>
  <c r="U674" i="5"/>
  <c r="HA671" i="5" s="1"/>
  <c r="GQ671" i="5" s="1"/>
  <c r="GQ672" i="5" s="1"/>
  <c r="GM672" i="5" s="1"/>
  <c r="AY671" i="5" s="1"/>
  <c r="HX672" i="5" s="1"/>
  <c r="HX674" i="5" s="1"/>
  <c r="U714" i="5"/>
  <c r="HA711" i="5" s="1"/>
  <c r="GQ711" i="5" s="1"/>
  <c r="GQ712" i="5" s="1"/>
  <c r="GQ714" i="5" s="1"/>
  <c r="U757" i="5"/>
  <c r="HA754" i="5" s="1"/>
  <c r="GQ754" i="5" s="1"/>
  <c r="GQ755" i="5" s="1"/>
  <c r="GM755" i="5" s="1"/>
  <c r="AY754" i="5" s="1"/>
  <c r="HX755" i="5" s="1"/>
  <c r="HX757" i="5" s="1"/>
  <c r="U50" i="5"/>
  <c r="HA47" i="5" s="1"/>
  <c r="GQ47" i="5" s="1"/>
  <c r="GQ48" i="5" s="1"/>
  <c r="GQ50" i="5" s="1"/>
  <c r="BB105" i="33"/>
  <c r="BA105" i="33"/>
  <c r="BC105" i="33"/>
  <c r="BC99" i="33"/>
  <c r="BA99" i="33"/>
  <c r="BB99" i="33"/>
  <c r="BB89" i="33"/>
  <c r="BA89" i="33"/>
  <c r="BC89" i="33"/>
  <c r="BA104" i="33"/>
  <c r="BB104" i="33"/>
  <c r="BC104" i="33"/>
  <c r="BC100" i="33"/>
  <c r="BB100" i="33"/>
  <c r="BA100" i="33"/>
  <c r="BA90" i="33"/>
  <c r="BB90" i="33"/>
  <c r="BC90" i="33"/>
  <c r="BA82" i="33"/>
  <c r="BB82" i="33"/>
  <c r="BC82" i="33"/>
  <c r="BB101" i="33"/>
  <c r="BC101" i="33"/>
  <c r="AC101" i="33" s="1"/>
  <c r="BA101" i="33"/>
  <c r="BC91" i="33"/>
  <c r="BA91" i="33"/>
  <c r="BB91" i="33"/>
  <c r="BC111" i="33"/>
  <c r="BB111" i="33"/>
  <c r="BA111" i="33"/>
  <c r="BA94" i="33"/>
  <c r="BB94" i="33"/>
  <c r="BC94" i="33"/>
  <c r="BA102" i="33"/>
  <c r="BB102" i="33"/>
  <c r="BC102" i="33"/>
  <c r="BB92" i="33"/>
  <c r="BC92" i="33"/>
  <c r="BA92" i="33"/>
  <c r="BC107" i="33"/>
  <c r="BA107" i="33"/>
  <c r="BB107" i="33"/>
  <c r="BA110" i="33"/>
  <c r="BB110" i="33"/>
  <c r="BC110" i="33"/>
  <c r="BC95" i="33"/>
  <c r="BA95" i="33"/>
  <c r="BB95" i="33"/>
  <c r="BB85" i="33"/>
  <c r="BC85" i="33"/>
  <c r="BA85" i="33"/>
  <c r="BB93" i="33"/>
  <c r="BC93" i="33"/>
  <c r="BA93" i="33"/>
  <c r="BC108" i="33"/>
  <c r="BB108" i="33"/>
  <c r="BA108" i="33"/>
  <c r="BC109" i="33"/>
  <c r="BB109" i="33"/>
  <c r="BA109" i="33"/>
  <c r="BA96" i="33"/>
  <c r="BB96" i="33"/>
  <c r="BC96" i="33"/>
  <c r="AC96" i="33" s="1"/>
  <c r="BA86" i="33"/>
  <c r="BB86" i="33"/>
  <c r="BC86" i="33"/>
  <c r="BC83" i="33"/>
  <c r="BA83" i="33"/>
  <c r="BB83" i="33"/>
  <c r="BC106" i="33"/>
  <c r="BA106" i="33"/>
  <c r="BB106" i="33"/>
  <c r="BB97" i="33"/>
  <c r="BA97" i="33"/>
  <c r="BC97" i="33"/>
  <c r="BC87" i="33"/>
  <c r="BA87" i="33"/>
  <c r="BB87" i="33"/>
  <c r="BC84" i="33"/>
  <c r="BB84" i="33"/>
  <c r="BA84" i="33"/>
  <c r="BC103" i="33"/>
  <c r="BB103" i="33"/>
  <c r="BA103" i="33"/>
  <c r="BC98" i="33"/>
  <c r="BA98" i="33"/>
  <c r="BB98" i="33"/>
  <c r="BA88" i="33"/>
  <c r="BB88" i="33"/>
  <c r="BC88" i="33"/>
  <c r="BC44" i="33"/>
  <c r="BB44" i="33"/>
  <c r="BA44" i="33"/>
  <c r="BC54" i="33"/>
  <c r="BB54" i="33"/>
  <c r="BA54" i="33"/>
  <c r="BC43" i="33"/>
  <c r="BB43" i="33"/>
  <c r="BA43" i="33"/>
  <c r="BC55" i="33"/>
  <c r="BB55" i="33"/>
  <c r="BA55" i="33"/>
  <c r="BC56" i="33"/>
  <c r="BB56" i="33"/>
  <c r="BA56" i="33"/>
  <c r="BC57" i="33"/>
  <c r="BB57" i="33"/>
  <c r="BA57" i="33"/>
  <c r="BC58" i="33"/>
  <c r="BB58" i="33"/>
  <c r="BA58" i="33"/>
  <c r="BC69" i="33"/>
  <c r="BB69" i="33"/>
  <c r="BA69" i="33"/>
  <c r="BC70" i="33"/>
  <c r="BB70" i="33"/>
  <c r="BA70" i="33"/>
  <c r="BC71" i="33"/>
  <c r="BB71" i="33"/>
  <c r="BA71" i="33"/>
  <c r="BU44" i="33"/>
  <c r="BT44" i="33"/>
  <c r="BC45" i="33"/>
  <c r="BB45" i="33"/>
  <c r="BA45" i="33"/>
  <c r="BC46" i="33"/>
  <c r="BB46" i="33"/>
  <c r="BA46" i="33"/>
  <c r="BC47" i="33"/>
  <c r="BB47" i="33"/>
  <c r="BA47" i="33"/>
  <c r="BC48" i="33"/>
  <c r="BB48" i="33"/>
  <c r="BA48" i="33"/>
  <c r="BC49" i="33"/>
  <c r="BB49" i="33"/>
  <c r="BA49" i="33"/>
  <c r="BC50" i="33"/>
  <c r="BB50" i="33"/>
  <c r="AC50" i="33" s="1"/>
  <c r="BA50" i="33"/>
  <c r="BC51" i="33"/>
  <c r="BB51" i="33"/>
  <c r="BA51" i="33"/>
  <c r="BC53" i="33"/>
  <c r="BB53" i="33"/>
  <c r="BA53" i="33"/>
  <c r="BC52" i="33"/>
  <c r="BB52" i="33"/>
  <c r="BA52" i="33"/>
  <c r="BC59" i="33"/>
  <c r="BB59" i="33"/>
  <c r="BA59" i="33"/>
  <c r="BC60" i="33"/>
  <c r="BB60" i="33"/>
  <c r="BA60" i="33"/>
  <c r="BC61" i="33"/>
  <c r="BB61" i="33"/>
  <c r="BA61" i="33"/>
  <c r="BC67" i="33"/>
  <c r="BB67" i="33"/>
  <c r="BA67" i="33"/>
  <c r="BC68" i="33"/>
  <c r="BB68" i="33"/>
  <c r="BA68" i="33"/>
  <c r="BC62" i="33"/>
  <c r="BB62" i="33"/>
  <c r="BA62" i="33"/>
  <c r="BC63" i="33"/>
  <c r="BB63" i="33"/>
  <c r="BA63" i="33"/>
  <c r="BC64" i="33"/>
  <c r="BB64" i="33"/>
  <c r="BA64" i="33"/>
  <c r="BC65" i="33"/>
  <c r="BB65" i="33"/>
  <c r="BA65" i="33"/>
  <c r="BC66" i="33"/>
  <c r="BB66" i="33"/>
  <c r="BA66" i="33"/>
  <c r="BC72" i="33"/>
  <c r="BB72" i="33"/>
  <c r="BA72" i="33"/>
  <c r="Z72" i="33" s="1"/>
  <c r="Q44" i="33"/>
  <c r="AE44" i="33"/>
  <c r="Q45" i="33"/>
  <c r="AE45" i="33"/>
  <c r="Q46" i="33"/>
  <c r="AE46" i="33"/>
  <c r="Q47" i="33"/>
  <c r="AE47" i="33"/>
  <c r="Q48" i="33"/>
  <c r="AE48" i="33"/>
  <c r="Q49" i="33"/>
  <c r="AE49" i="33"/>
  <c r="Q50" i="33"/>
  <c r="AE50" i="33"/>
  <c r="Q51" i="33"/>
  <c r="AE51" i="33"/>
  <c r="Q53" i="33"/>
  <c r="AE53" i="33"/>
  <c r="Q52" i="33"/>
  <c r="AE52" i="33"/>
  <c r="Q59" i="33"/>
  <c r="AE59" i="33"/>
  <c r="Q60" i="33"/>
  <c r="AE60" i="33"/>
  <c r="Q61" i="33"/>
  <c r="AE61" i="33"/>
  <c r="Q67" i="33"/>
  <c r="AE67" i="33"/>
  <c r="Q68" i="33"/>
  <c r="AE68" i="33"/>
  <c r="AC68" i="33"/>
  <c r="Q62" i="33"/>
  <c r="AE62" i="33"/>
  <c r="Q63" i="33"/>
  <c r="AE63" i="33"/>
  <c r="Q64" i="33"/>
  <c r="AE64" i="33"/>
  <c r="Q65" i="33"/>
  <c r="AE65" i="33"/>
  <c r="Q66" i="33"/>
  <c r="AE66" i="33"/>
  <c r="Q94" i="33"/>
  <c r="AS94" i="33" s="1"/>
  <c r="AE94" i="33"/>
  <c r="Q95" i="33"/>
  <c r="AS95" i="33" s="1"/>
  <c r="AE95" i="33"/>
  <c r="Q96" i="33"/>
  <c r="AS96" i="33" s="1"/>
  <c r="AE96" i="33"/>
  <c r="Q97" i="33"/>
  <c r="AS97" i="33" s="1"/>
  <c r="AE97" i="33"/>
  <c r="Q98" i="33"/>
  <c r="AS98" i="33" s="1"/>
  <c r="AE98" i="33"/>
  <c r="Q99" i="33"/>
  <c r="AS99" i="33" s="1"/>
  <c r="AE99" i="33"/>
  <c r="Q100" i="33"/>
  <c r="AS100" i="33" s="1"/>
  <c r="AE100" i="33"/>
  <c r="Q101" i="33"/>
  <c r="AS101" i="33" s="1"/>
  <c r="AE101" i="33"/>
  <c r="Q102" i="33"/>
  <c r="AS102" i="33" s="1"/>
  <c r="AE102" i="33"/>
  <c r="Q85" i="33"/>
  <c r="AS85" i="33" s="1"/>
  <c r="AE85" i="33"/>
  <c r="Q86" i="33"/>
  <c r="AS86" i="33" s="1"/>
  <c r="AE86" i="33"/>
  <c r="Q87" i="33"/>
  <c r="AS87" i="33" s="1"/>
  <c r="AE87" i="33"/>
  <c r="Q88" i="33"/>
  <c r="AS88" i="33" s="1"/>
  <c r="AE88" i="33"/>
  <c r="Q89" i="33"/>
  <c r="AS89" i="33" s="1"/>
  <c r="AE89" i="33"/>
  <c r="Q90" i="33"/>
  <c r="AS90" i="33" s="1"/>
  <c r="AE90" i="33"/>
  <c r="AC90" i="33"/>
  <c r="Q91" i="33"/>
  <c r="AS91" i="33" s="1"/>
  <c r="AE91" i="33"/>
  <c r="AC91" i="33"/>
  <c r="Q92" i="33"/>
  <c r="AS92" i="33" s="1"/>
  <c r="AE92" i="33"/>
  <c r="Q93" i="33"/>
  <c r="AS93" i="33" s="1"/>
  <c r="AE93" i="33"/>
  <c r="Q83" i="33"/>
  <c r="AS83" i="33" s="1"/>
  <c r="AE83" i="33"/>
  <c r="Q84" i="33"/>
  <c r="AS84" i="33" s="1"/>
  <c r="AE84" i="33"/>
  <c r="W72" i="33"/>
  <c r="AR72" i="33" s="1"/>
  <c r="AE57" i="33"/>
  <c r="AE106" i="33"/>
  <c r="AE58" i="33"/>
  <c r="AE103" i="33"/>
  <c r="AE69" i="33"/>
  <c r="AE105" i="33"/>
  <c r="AE70" i="33"/>
  <c r="AE104" i="33"/>
  <c r="AE54" i="33"/>
  <c r="AE71" i="33"/>
  <c r="AE82" i="33"/>
  <c r="AE43" i="33"/>
  <c r="AE111" i="33"/>
  <c r="AE55" i="33"/>
  <c r="AE107" i="33"/>
  <c r="AE110" i="33"/>
  <c r="AE56" i="33"/>
  <c r="AE108" i="33"/>
  <c r="AE109" i="33"/>
  <c r="BU56" i="33"/>
  <c r="BT56" i="33"/>
  <c r="BU105" i="33"/>
  <c r="BU112" i="33" s="1"/>
  <c r="I95" i="10" s="1"/>
  <c r="BT105" i="33"/>
  <c r="BT112" i="33" s="1"/>
  <c r="G95" i="10" s="1"/>
  <c r="S95" i="10" s="1"/>
  <c r="BT54" i="33"/>
  <c r="BU54" i="33"/>
  <c r="Q106" i="33"/>
  <c r="AS106" i="33" s="1"/>
  <c r="Q103" i="33"/>
  <c r="AS103" i="33" s="1"/>
  <c r="Q105" i="33"/>
  <c r="AS105" i="33" s="1"/>
  <c r="Q104" i="33"/>
  <c r="AS104" i="33" s="1"/>
  <c r="Q82" i="33"/>
  <c r="AS82" i="33" s="1"/>
  <c r="Q111" i="33"/>
  <c r="AS111" i="33" s="1"/>
  <c r="Q107" i="33"/>
  <c r="AS107" i="33" s="1"/>
  <c r="Q110" i="33"/>
  <c r="AS110" i="33" s="1"/>
  <c r="Q108" i="33"/>
  <c r="AS108" i="33" s="1"/>
  <c r="Q109" i="33"/>
  <c r="AS109" i="33" s="1"/>
  <c r="Q58" i="33"/>
  <c r="Q57" i="33"/>
  <c r="Q69" i="33"/>
  <c r="Q55" i="33"/>
  <c r="Q71" i="33"/>
  <c r="Q70" i="33"/>
  <c r="Q56" i="33"/>
  <c r="Q43" i="33"/>
  <c r="AS43" i="33" s="1"/>
  <c r="Q54" i="33"/>
  <c r="GQ558" i="5"/>
  <c r="GQ387" i="5"/>
  <c r="GM385" i="5"/>
  <c r="AY384" i="5" s="1"/>
  <c r="HX385" i="5" s="1"/>
  <c r="HX387" i="5" s="1"/>
  <c r="GM720" i="5"/>
  <c r="AY719" i="5" s="1"/>
  <c r="HX720" i="5" s="1"/>
  <c r="HX722" i="5" s="1"/>
  <c r="GQ722" i="5"/>
  <c r="GQ231" i="5"/>
  <c r="GM189" i="5"/>
  <c r="AY188" i="5" s="1"/>
  <c r="HX189" i="5" s="1"/>
  <c r="HX191" i="5" s="1"/>
  <c r="GQ191" i="5"/>
  <c r="GQ762" i="5"/>
  <c r="IB762" i="5" s="1"/>
  <c r="GM760" i="5"/>
  <c r="AY759" i="5" s="1"/>
  <c r="HX760" i="5" s="1"/>
  <c r="HX762" i="5" s="1"/>
  <c r="GQ55" i="5"/>
  <c r="GM53" i="5"/>
  <c r="AY52" i="5" s="1"/>
  <c r="HX53" i="5" s="1"/>
  <c r="HX55" i="5" s="1"/>
  <c r="GM390" i="5"/>
  <c r="AY389" i="5" s="1"/>
  <c r="HX390" i="5" s="1"/>
  <c r="HX392" i="5" s="1"/>
  <c r="GM101" i="5"/>
  <c r="AY100" i="5" s="1"/>
  <c r="HX101" i="5" s="1"/>
  <c r="HX103" i="5" s="1"/>
  <c r="GM564" i="5"/>
  <c r="AY563" i="5" s="1"/>
  <c r="HX564" i="5" s="1"/>
  <c r="HX566" i="5" s="1"/>
  <c r="GQ430" i="5"/>
  <c r="IB430" i="5" s="1"/>
  <c r="GM428" i="5"/>
  <c r="AY427" i="5" s="1"/>
  <c r="HX428" i="5" s="1"/>
  <c r="HX430" i="5" s="1"/>
  <c r="GQ523" i="5"/>
  <c r="GM521" i="5"/>
  <c r="AY520" i="5" s="1"/>
  <c r="HX521" i="5" s="1"/>
  <c r="HX523" i="5" s="1"/>
  <c r="GQ98" i="5"/>
  <c r="GM96" i="5"/>
  <c r="AY95" i="5" s="1"/>
  <c r="HX96" i="5" s="1"/>
  <c r="HX98" i="5" s="1"/>
  <c r="GQ435" i="5"/>
  <c r="GM433" i="5"/>
  <c r="AY432" i="5" s="1"/>
  <c r="HX433" i="5" s="1"/>
  <c r="HX435" i="5" s="1"/>
  <c r="GQ319" i="5"/>
  <c r="GM317" i="5"/>
  <c r="AY316" i="5" s="1"/>
  <c r="HX317" i="5" s="1"/>
  <c r="HX319" i="5" s="1"/>
  <c r="GQ654" i="5"/>
  <c r="IB654" i="5" s="1"/>
  <c r="GM652" i="5"/>
  <c r="AY651" i="5" s="1"/>
  <c r="HX652" i="5" s="1"/>
  <c r="HX654" i="5" s="1"/>
  <c r="GM136" i="5"/>
  <c r="AY135" i="5" s="1"/>
  <c r="HX136" i="5" s="1"/>
  <c r="HX138" i="5" s="1"/>
  <c r="GQ264" i="5"/>
  <c r="IM162" i="5"/>
  <c r="IN160" i="5" s="1"/>
  <c r="AC163" i="5"/>
  <c r="AN162" i="5" s="1"/>
  <c r="IK162" i="5"/>
  <c r="AD163" i="5"/>
  <c r="IM127" i="5"/>
  <c r="IN125" i="5" s="1"/>
  <c r="AC128" i="5"/>
  <c r="AN127" i="5" s="1"/>
  <c r="IK127" i="5"/>
  <c r="AD128" i="5"/>
  <c r="IM167" i="5"/>
  <c r="IN165" i="5" s="1"/>
  <c r="IK167" i="5"/>
  <c r="AD168" i="5"/>
  <c r="AC168" i="5"/>
  <c r="AN167" i="5" s="1"/>
  <c r="IM210" i="5"/>
  <c r="IN208" i="5" s="1"/>
  <c r="IK210" i="5"/>
  <c r="AD211" i="5"/>
  <c r="AC211" i="5"/>
  <c r="AN210" i="5" s="1"/>
  <c r="AC236" i="5"/>
  <c r="AN235" i="5" s="1"/>
  <c r="IM235" i="5"/>
  <c r="IN233" i="5" s="1"/>
  <c r="IK235" i="5"/>
  <c r="AD236" i="5"/>
  <c r="AD342" i="5"/>
  <c r="IM341" i="5"/>
  <c r="IN339" i="5" s="1"/>
  <c r="AC342" i="5"/>
  <c r="AN341" i="5" s="1"/>
  <c r="IK341" i="5"/>
  <c r="AC196" i="5"/>
  <c r="AN195" i="5" s="1"/>
  <c r="AD196" i="5"/>
  <c r="IM195" i="5"/>
  <c r="IN193" i="5" s="1"/>
  <c r="IK195" i="5"/>
  <c r="IK185" i="5"/>
  <c r="IM185" i="5"/>
  <c r="IN183" i="5" s="1"/>
  <c r="AC186" i="5"/>
  <c r="AN185" i="5" s="1"/>
  <c r="AD186" i="5"/>
  <c r="AC294" i="5"/>
  <c r="AN293" i="5" s="1"/>
  <c r="AD294" i="5"/>
  <c r="IK293" i="5"/>
  <c r="IM293" i="5"/>
  <c r="IN291" i="5" s="1"/>
  <c r="IK409" i="5"/>
  <c r="IM409" i="5"/>
  <c r="IN407" i="5" s="1"/>
  <c r="AD410" i="5"/>
  <c r="AC410" i="5"/>
  <c r="AN409" i="5" s="1"/>
  <c r="IM635" i="5"/>
  <c r="IN633" i="5" s="1"/>
  <c r="AD636" i="5"/>
  <c r="AC636" i="5"/>
  <c r="AN635" i="5" s="1"/>
  <c r="IK635" i="5"/>
  <c r="AD518" i="5"/>
  <c r="AC518" i="5"/>
  <c r="AN517" i="5" s="1"/>
  <c r="IM517" i="5"/>
  <c r="IN515" i="5" s="1"/>
  <c r="IK517" i="5"/>
  <c r="AD465" i="5"/>
  <c r="IM464" i="5"/>
  <c r="IN462" i="5" s="1"/>
  <c r="IK464" i="5"/>
  <c r="AC465" i="5"/>
  <c r="AN464" i="5" s="1"/>
  <c r="AC488" i="5"/>
  <c r="AN487" i="5" s="1"/>
  <c r="IM487" i="5"/>
  <c r="IN485" i="5" s="1"/>
  <c r="AD488" i="5"/>
  <c r="IK487" i="5"/>
  <c r="IM590" i="5"/>
  <c r="IN588" i="5" s="1"/>
  <c r="AD591" i="5"/>
  <c r="AC591" i="5"/>
  <c r="AN590" i="5" s="1"/>
  <c r="IK590" i="5"/>
  <c r="AD722" i="5"/>
  <c r="AC722" i="5"/>
  <c r="AN721" i="5" s="1"/>
  <c r="IM721" i="5"/>
  <c r="IN719" i="5" s="1"/>
  <c r="IK721" i="5"/>
  <c r="AD674" i="5"/>
  <c r="IM673" i="5"/>
  <c r="IN671" i="5" s="1"/>
  <c r="AC674" i="5"/>
  <c r="AN673" i="5" s="1"/>
  <c r="IK673" i="5"/>
  <c r="IM668" i="5"/>
  <c r="IN666" i="5" s="1"/>
  <c r="IK668" i="5"/>
  <c r="AD669" i="5"/>
  <c r="AC669" i="5"/>
  <c r="AN668" i="5" s="1"/>
  <c r="AD689" i="5"/>
  <c r="IK688" i="5"/>
  <c r="IM688" i="5"/>
  <c r="IN686" i="5" s="1"/>
  <c r="AC689" i="5"/>
  <c r="AN688" i="5" s="1"/>
  <c r="AD664" i="5"/>
  <c r="AC664" i="5"/>
  <c r="AN663" i="5" s="1"/>
  <c r="IM663" i="5"/>
  <c r="IN661" i="5" s="1"/>
  <c r="IK663" i="5"/>
  <c r="IM89" i="5"/>
  <c r="IN87" i="5" s="1"/>
  <c r="AC90" i="5"/>
  <c r="AN89" i="5" s="1"/>
  <c r="IK89" i="5"/>
  <c r="AD90" i="5"/>
  <c r="IM69" i="5"/>
  <c r="IN67" i="5" s="1"/>
  <c r="IK69" i="5"/>
  <c r="AD70" i="5"/>
  <c r="AC70" i="5"/>
  <c r="AN69" i="5" s="1"/>
  <c r="AD314" i="5"/>
  <c r="IM313" i="5"/>
  <c r="IN311" i="5" s="1"/>
  <c r="AC314" i="5"/>
  <c r="AN313" i="5" s="1"/>
  <c r="IK313" i="5"/>
  <c r="IM371" i="5"/>
  <c r="IN369" i="5" s="1"/>
  <c r="AC372" i="5"/>
  <c r="AN371" i="5" s="1"/>
  <c r="AD372" i="5"/>
  <c r="IK371" i="5"/>
  <c r="AD216" i="5"/>
  <c r="IM215" i="5"/>
  <c r="IN213" i="5" s="1"/>
  <c r="IK215" i="5"/>
  <c r="AC216" i="5"/>
  <c r="AN215" i="5" s="1"/>
  <c r="IK376" i="5"/>
  <c r="AD377" i="5"/>
  <c r="IM376" i="5"/>
  <c r="IN374" i="5" s="1"/>
  <c r="AC377" i="5"/>
  <c r="AN376" i="5" s="1"/>
  <c r="AC508" i="5"/>
  <c r="AN507" i="5" s="1"/>
  <c r="IM507" i="5"/>
  <c r="IN505" i="5" s="1"/>
  <c r="AD508" i="5"/>
  <c r="IK507" i="5"/>
  <c r="AD566" i="5"/>
  <c r="AC566" i="5"/>
  <c r="AN565" i="5" s="1"/>
  <c r="IM565" i="5"/>
  <c r="IN563" i="5" s="1"/>
  <c r="IK565" i="5"/>
  <c r="AD596" i="5"/>
  <c r="IK595" i="5"/>
  <c r="IM595" i="5"/>
  <c r="IN593" i="5" s="1"/>
  <c r="AC596" i="5"/>
  <c r="AN595" i="5" s="1"/>
  <c r="AD503" i="5"/>
  <c r="IM502" i="5"/>
  <c r="IN500" i="5" s="1"/>
  <c r="AC503" i="5"/>
  <c r="AN502" i="5" s="1"/>
  <c r="IK502" i="5"/>
  <c r="AC762" i="5"/>
  <c r="AN761" i="5" s="1"/>
  <c r="IM761" i="5"/>
  <c r="IN759" i="5" s="1"/>
  <c r="AD762" i="5"/>
  <c r="IK761" i="5"/>
  <c r="AD777" i="5"/>
  <c r="IM776" i="5"/>
  <c r="IN774" i="5" s="1"/>
  <c r="IK776" i="5"/>
  <c r="AC777" i="5"/>
  <c r="AN776" i="5" s="1"/>
  <c r="AD699" i="5"/>
  <c r="IM698" i="5"/>
  <c r="IN696" i="5" s="1"/>
  <c r="IK698" i="5"/>
  <c r="AC699" i="5"/>
  <c r="AN698" i="5" s="1"/>
  <c r="IM79" i="5"/>
  <c r="IN77" i="5" s="1"/>
  <c r="AD80" i="5"/>
  <c r="IK79" i="5"/>
  <c r="AC80" i="5"/>
  <c r="AN79" i="5" s="1"/>
  <c r="IM64" i="5"/>
  <c r="IN62" i="5" s="1"/>
  <c r="AC65" i="5"/>
  <c r="AN64" i="5" s="1"/>
  <c r="IK64" i="5"/>
  <c r="AD65" i="5"/>
  <c r="IM122" i="5"/>
  <c r="IN120" i="5" s="1"/>
  <c r="AC123" i="5"/>
  <c r="AN122" i="5" s="1"/>
  <c r="IK122" i="5"/>
  <c r="AD123" i="5"/>
  <c r="AC226" i="5"/>
  <c r="AN225" i="5" s="1"/>
  <c r="IK225" i="5"/>
  <c r="AD226" i="5"/>
  <c r="IM225" i="5"/>
  <c r="IN223" i="5" s="1"/>
  <c r="IK273" i="5"/>
  <c r="AC274" i="5"/>
  <c r="AN273" i="5" s="1"/>
  <c r="IM273" i="5"/>
  <c r="IN271" i="5" s="1"/>
  <c r="AD274" i="5"/>
  <c r="AD289" i="5"/>
  <c r="IK288" i="5"/>
  <c r="IM288" i="5"/>
  <c r="IN286" i="5" s="1"/>
  <c r="AC289" i="5"/>
  <c r="AN288" i="5" s="1"/>
  <c r="IM190" i="5"/>
  <c r="IN188" i="5" s="1"/>
  <c r="AC191" i="5"/>
  <c r="AN190" i="5" s="1"/>
  <c r="AD191" i="5"/>
  <c r="IK190" i="5"/>
  <c r="AD367" i="5"/>
  <c r="IM366" i="5"/>
  <c r="IN364" i="5" s="1"/>
  <c r="IK366" i="5"/>
  <c r="AC367" i="5"/>
  <c r="AN366" i="5" s="1"/>
  <c r="AD221" i="5"/>
  <c r="IM220" i="5"/>
  <c r="IN218" i="5" s="1"/>
  <c r="AC221" i="5"/>
  <c r="AN220" i="5" s="1"/>
  <c r="IK220" i="5"/>
  <c r="AC553" i="5"/>
  <c r="AN552" i="5" s="1"/>
  <c r="AD553" i="5"/>
  <c r="IM552" i="5"/>
  <c r="IN550" i="5" s="1"/>
  <c r="IK552" i="5"/>
  <c r="IM557" i="5"/>
  <c r="IN555" i="5" s="1"/>
  <c r="AC558" i="5"/>
  <c r="AN557" i="5" s="1"/>
  <c r="IK557" i="5"/>
  <c r="AD558" i="5"/>
  <c r="IM600" i="5"/>
  <c r="IN598" i="5" s="1"/>
  <c r="IK600" i="5"/>
  <c r="AC601" i="5"/>
  <c r="AN600" i="5" s="1"/>
  <c r="AD601" i="5"/>
  <c r="AC523" i="5"/>
  <c r="AN522" i="5" s="1"/>
  <c r="IM522" i="5"/>
  <c r="IN520" i="5" s="1"/>
  <c r="AD523" i="5"/>
  <c r="IK522" i="5"/>
  <c r="AC606" i="5"/>
  <c r="AN605" i="5" s="1"/>
  <c r="AD606" i="5"/>
  <c r="IM605" i="5"/>
  <c r="IN603" i="5" s="1"/>
  <c r="IK605" i="5"/>
  <c r="IK736" i="5"/>
  <c r="AD737" i="5"/>
  <c r="AC737" i="5"/>
  <c r="AN736" i="5" s="1"/>
  <c r="IM736" i="5"/>
  <c r="IN734" i="5" s="1"/>
  <c r="AD787" i="5"/>
  <c r="IM786" i="5"/>
  <c r="IN784" i="5" s="1"/>
  <c r="AC787" i="5"/>
  <c r="AN786" i="5" s="1"/>
  <c r="IK786" i="5"/>
  <c r="IM741" i="5"/>
  <c r="IN739" i="5" s="1"/>
  <c r="AD742" i="5"/>
  <c r="IK741" i="5"/>
  <c r="AC742" i="5"/>
  <c r="AN741" i="5" s="1"/>
  <c r="IM708" i="5"/>
  <c r="IN706" i="5" s="1"/>
  <c r="AD709" i="5"/>
  <c r="IK708" i="5"/>
  <c r="AC709" i="5"/>
  <c r="AN708" i="5" s="1"/>
  <c r="IM97" i="5"/>
  <c r="IN95" i="5" s="1"/>
  <c r="IK97" i="5"/>
  <c r="AD98" i="5"/>
  <c r="AC98" i="5"/>
  <c r="AN97" i="5" s="1"/>
  <c r="IM152" i="5"/>
  <c r="IN150" i="5" s="1"/>
  <c r="AC153" i="5"/>
  <c r="AN152" i="5" s="1"/>
  <c r="AD153" i="5"/>
  <c r="IK152" i="5"/>
  <c r="IM142" i="5"/>
  <c r="IN140" i="5" s="1"/>
  <c r="IK142" i="5"/>
  <c r="AD143" i="5"/>
  <c r="AC143" i="5"/>
  <c r="AN142" i="5" s="1"/>
  <c r="AC347" i="5"/>
  <c r="AN346" i="5" s="1"/>
  <c r="AD347" i="5"/>
  <c r="IM346" i="5"/>
  <c r="IN344" i="5" s="1"/>
  <c r="IK346" i="5"/>
  <c r="IK253" i="5"/>
  <c r="AD254" i="5"/>
  <c r="AC254" i="5"/>
  <c r="AN253" i="5" s="1"/>
  <c r="IM253" i="5"/>
  <c r="IN251" i="5" s="1"/>
  <c r="AD231" i="5"/>
  <c r="AC231" i="5"/>
  <c r="AN230" i="5" s="1"/>
  <c r="IK230" i="5"/>
  <c r="IM230" i="5"/>
  <c r="IN228" i="5" s="1"/>
  <c r="AD299" i="5"/>
  <c r="AC299" i="5"/>
  <c r="AN298" i="5" s="1"/>
  <c r="IM298" i="5"/>
  <c r="IN296" i="5" s="1"/>
  <c r="IK298" i="5"/>
  <c r="AC397" i="5"/>
  <c r="AN396" i="5" s="1"/>
  <c r="IM396" i="5"/>
  <c r="IN394" i="5" s="1"/>
  <c r="AD397" i="5"/>
  <c r="IK396" i="5"/>
  <c r="IM205" i="5"/>
  <c r="IN203" i="5" s="1"/>
  <c r="AD206" i="5"/>
  <c r="AC206" i="5"/>
  <c r="AN205" i="5" s="1"/>
  <c r="IK205" i="5"/>
  <c r="AC337" i="5"/>
  <c r="AN336" i="5" s="1"/>
  <c r="IK336" i="5"/>
  <c r="IM336" i="5"/>
  <c r="IN334" i="5" s="1"/>
  <c r="AD337" i="5"/>
  <c r="AD450" i="5"/>
  <c r="IM449" i="5"/>
  <c r="IN447" i="5" s="1"/>
  <c r="AC450" i="5"/>
  <c r="AN449" i="5" s="1"/>
  <c r="IK449" i="5"/>
  <c r="IM537" i="5"/>
  <c r="IN535" i="5" s="1"/>
  <c r="IK537" i="5"/>
  <c r="AD538" i="5"/>
  <c r="AC538" i="5"/>
  <c r="AN537" i="5" s="1"/>
  <c r="AD420" i="5"/>
  <c r="IK419" i="5"/>
  <c r="AC420" i="5"/>
  <c r="AN419" i="5" s="1"/>
  <c r="IM419" i="5"/>
  <c r="IN417" i="5" s="1"/>
  <c r="IM615" i="5"/>
  <c r="IN613" i="5" s="1"/>
  <c r="AD616" i="5"/>
  <c r="AC616" i="5"/>
  <c r="AN615" i="5" s="1"/>
  <c r="IK615" i="5"/>
  <c r="AC626" i="5"/>
  <c r="AN625" i="5" s="1"/>
  <c r="AD626" i="5"/>
  <c r="IM625" i="5"/>
  <c r="IN623" i="5" s="1"/>
  <c r="IK625" i="5"/>
  <c r="AC782" i="5"/>
  <c r="AN781" i="5" s="1"/>
  <c r="IM781" i="5"/>
  <c r="IN779" i="5" s="1"/>
  <c r="IK781" i="5"/>
  <c r="AD782" i="5"/>
  <c r="IM713" i="5"/>
  <c r="IN711" i="5" s="1"/>
  <c r="AC714" i="5"/>
  <c r="AN713" i="5" s="1"/>
  <c r="IK713" i="5"/>
  <c r="AD714" i="5"/>
  <c r="AC644" i="5"/>
  <c r="AN643" i="5" s="1"/>
  <c r="IM643" i="5"/>
  <c r="IN641" i="5" s="1"/>
  <c r="IK643" i="5"/>
  <c r="AD644" i="5"/>
  <c r="IM751" i="5"/>
  <c r="IN749" i="5" s="1"/>
  <c r="AC752" i="5"/>
  <c r="AN751" i="5" s="1"/>
  <c r="IK751" i="5"/>
  <c r="AD752" i="5"/>
  <c r="IM107" i="5"/>
  <c r="IN105" i="5" s="1"/>
  <c r="AC108" i="5"/>
  <c r="AN107" i="5" s="1"/>
  <c r="IK107" i="5"/>
  <c r="AD108" i="5"/>
  <c r="IM74" i="5"/>
  <c r="IN72" i="5" s="1"/>
  <c r="AC75" i="5"/>
  <c r="AN74" i="5" s="1"/>
  <c r="AD75" i="5"/>
  <c r="IK74" i="5"/>
  <c r="IM137" i="5"/>
  <c r="IN135" i="5" s="1"/>
  <c r="AD138" i="5"/>
  <c r="IK137" i="5"/>
  <c r="AC138" i="5"/>
  <c r="AN137" i="5" s="1"/>
  <c r="AD352" i="5"/>
  <c r="IM351" i="5"/>
  <c r="IN349" i="5" s="1"/>
  <c r="AC352" i="5"/>
  <c r="AN351" i="5" s="1"/>
  <c r="IK351" i="5"/>
  <c r="AC181" i="5"/>
  <c r="AN180" i="5" s="1"/>
  <c r="IM180" i="5"/>
  <c r="IN178" i="5" s="1"/>
  <c r="AD181" i="5"/>
  <c r="IK180" i="5"/>
  <c r="AC382" i="5"/>
  <c r="AN381" i="5" s="1"/>
  <c r="IM381" i="5"/>
  <c r="IN379" i="5" s="1"/>
  <c r="AD382" i="5"/>
  <c r="IK381" i="5"/>
  <c r="IK356" i="5"/>
  <c r="AD357" i="5"/>
  <c r="AC357" i="5"/>
  <c r="AN356" i="5" s="1"/>
  <c r="IM356" i="5"/>
  <c r="IN354" i="5" s="1"/>
  <c r="AC548" i="5"/>
  <c r="AN547" i="5" s="1"/>
  <c r="AD548" i="5"/>
  <c r="IK547" i="5"/>
  <c r="IM547" i="5"/>
  <c r="IN545" i="5" s="1"/>
  <c r="AD498" i="5"/>
  <c r="AC498" i="5"/>
  <c r="AN497" i="5" s="1"/>
  <c r="IM497" i="5"/>
  <c r="IN495" i="5" s="1"/>
  <c r="IK497" i="5"/>
  <c r="AD425" i="5"/>
  <c r="IM424" i="5"/>
  <c r="IN422" i="5" s="1"/>
  <c r="IK424" i="5"/>
  <c r="AC425" i="5"/>
  <c r="AN424" i="5" s="1"/>
  <c r="IK527" i="5"/>
  <c r="AD528" i="5"/>
  <c r="IM527" i="5"/>
  <c r="IN525" i="5" s="1"/>
  <c r="AC528" i="5"/>
  <c r="AN527" i="5" s="1"/>
  <c r="IM575" i="5"/>
  <c r="IN573" i="5" s="1"/>
  <c r="AC576" i="5"/>
  <c r="AN575" i="5" s="1"/>
  <c r="IK575" i="5"/>
  <c r="AD576" i="5"/>
  <c r="AD430" i="5"/>
  <c r="AC430" i="5"/>
  <c r="AN429" i="5" s="1"/>
  <c r="IM429" i="5"/>
  <c r="IN427" i="5" s="1"/>
  <c r="IK429" i="5"/>
  <c r="AD513" i="5"/>
  <c r="AC513" i="5"/>
  <c r="AN512" i="5" s="1"/>
  <c r="IK512" i="5"/>
  <c r="IM512" i="5"/>
  <c r="IN510" i="5" s="1"/>
  <c r="IM454" i="5"/>
  <c r="IN452" i="5" s="1"/>
  <c r="AD455" i="5"/>
  <c r="IK454" i="5"/>
  <c r="AC455" i="5"/>
  <c r="AN454" i="5" s="1"/>
  <c r="AD533" i="5"/>
  <c r="IK532" i="5"/>
  <c r="AC533" i="5"/>
  <c r="AN532" i="5" s="1"/>
  <c r="IM532" i="5"/>
  <c r="IN530" i="5" s="1"/>
  <c r="IK766" i="5"/>
  <c r="AD767" i="5"/>
  <c r="AC767" i="5"/>
  <c r="AN766" i="5" s="1"/>
  <c r="IM766" i="5"/>
  <c r="IN764" i="5" s="1"/>
  <c r="AD732" i="5"/>
  <c r="AC732" i="5"/>
  <c r="AN731" i="5" s="1"/>
  <c r="IM731" i="5"/>
  <c r="IN729" i="5" s="1"/>
  <c r="IK731" i="5"/>
  <c r="AD694" i="5"/>
  <c r="IM693" i="5"/>
  <c r="IN691" i="5" s="1"/>
  <c r="AC694" i="5"/>
  <c r="AN693" i="5" s="1"/>
  <c r="IK693" i="5"/>
  <c r="IM132" i="5"/>
  <c r="IN130" i="5" s="1"/>
  <c r="AC133" i="5"/>
  <c r="AN132" i="5" s="1"/>
  <c r="AD133" i="5"/>
  <c r="IK132" i="5"/>
  <c r="IM102" i="5"/>
  <c r="IN100" i="5" s="1"/>
  <c r="IK102" i="5"/>
  <c r="AC103" i="5"/>
  <c r="AN102" i="5" s="1"/>
  <c r="AD103" i="5"/>
  <c r="AC85" i="5"/>
  <c r="AN84" i="5" s="1"/>
  <c r="AD85" i="5"/>
  <c r="IM84" i="5"/>
  <c r="IN82" i="5" s="1"/>
  <c r="IK84" i="5"/>
  <c r="AD113" i="5"/>
  <c r="AC113" i="5"/>
  <c r="AN112" i="5" s="1"/>
  <c r="IM112" i="5"/>
  <c r="IN110" i="5" s="1"/>
  <c r="IK112" i="5"/>
  <c r="IK361" i="5"/>
  <c r="AD362" i="5"/>
  <c r="IM361" i="5"/>
  <c r="IN359" i="5" s="1"/>
  <c r="AC362" i="5"/>
  <c r="AN361" i="5" s="1"/>
  <c r="AD284" i="5"/>
  <c r="AC284" i="5"/>
  <c r="AN283" i="5" s="1"/>
  <c r="IK283" i="5"/>
  <c r="IM283" i="5"/>
  <c r="IN281" i="5" s="1"/>
  <c r="IM318" i="5"/>
  <c r="IN316" i="5" s="1"/>
  <c r="AD319" i="5"/>
  <c r="IK318" i="5"/>
  <c r="AC319" i="5"/>
  <c r="AN318" i="5" s="1"/>
  <c r="AD304" i="5"/>
  <c r="IK303" i="5"/>
  <c r="AC304" i="5"/>
  <c r="AN303" i="5" s="1"/>
  <c r="IM303" i="5"/>
  <c r="IN301" i="5" s="1"/>
  <c r="IM278" i="5"/>
  <c r="IN276" i="5" s="1"/>
  <c r="AC279" i="5"/>
  <c r="AN278" i="5" s="1"/>
  <c r="AD279" i="5"/>
  <c r="IK278" i="5"/>
  <c r="IM474" i="5"/>
  <c r="IN472" i="5" s="1"/>
  <c r="AD475" i="5"/>
  <c r="IK474" i="5"/>
  <c r="AC475" i="5"/>
  <c r="AN474" i="5" s="1"/>
  <c r="AD631" i="5"/>
  <c r="IK630" i="5"/>
  <c r="AC631" i="5"/>
  <c r="AN630" i="5" s="1"/>
  <c r="IM630" i="5"/>
  <c r="IN628" i="5" s="1"/>
  <c r="AC586" i="5"/>
  <c r="AN585" i="5" s="1"/>
  <c r="IM585" i="5"/>
  <c r="IN583" i="5" s="1"/>
  <c r="AD586" i="5"/>
  <c r="IK585" i="5"/>
  <c r="IK444" i="5"/>
  <c r="AC445" i="5"/>
  <c r="AN444" i="5" s="1"/>
  <c r="AD445" i="5"/>
  <c r="IM444" i="5"/>
  <c r="IN442" i="5" s="1"/>
  <c r="AD581" i="5"/>
  <c r="IK580" i="5"/>
  <c r="IM580" i="5"/>
  <c r="IN578" i="5" s="1"/>
  <c r="AC581" i="5"/>
  <c r="AN580" i="5" s="1"/>
  <c r="AD659" i="5"/>
  <c r="AC659" i="5"/>
  <c r="AN658" i="5" s="1"/>
  <c r="IM658" i="5"/>
  <c r="IN656" i="5" s="1"/>
  <c r="IK658" i="5"/>
  <c r="IM117" i="5"/>
  <c r="IN115" i="5" s="1"/>
  <c r="IK117" i="5"/>
  <c r="AD118" i="5"/>
  <c r="AC118" i="5"/>
  <c r="AN117" i="5" s="1"/>
  <c r="AD50" i="5"/>
  <c r="IK49" i="5"/>
  <c r="IM49" i="5"/>
  <c r="IN47" i="5" s="1"/>
  <c r="AC50" i="5"/>
  <c r="AN49" i="5" s="1"/>
  <c r="AC148" i="5"/>
  <c r="AN147" i="5" s="1"/>
  <c r="IM147" i="5"/>
  <c r="IN145" i="5" s="1"/>
  <c r="IK147" i="5"/>
  <c r="AD148" i="5"/>
  <c r="IM157" i="5"/>
  <c r="IN155" i="5" s="1"/>
  <c r="AD158" i="5"/>
  <c r="AC158" i="5"/>
  <c r="AN157" i="5" s="1"/>
  <c r="IK157" i="5"/>
  <c r="AD201" i="5"/>
  <c r="IM200" i="5"/>
  <c r="IN198" i="5" s="1"/>
  <c r="IK200" i="5"/>
  <c r="AC201" i="5"/>
  <c r="AN200" i="5" s="1"/>
  <c r="AD324" i="5"/>
  <c r="IM323" i="5"/>
  <c r="IN321" i="5" s="1"/>
  <c r="AC324" i="5"/>
  <c r="AN323" i="5" s="1"/>
  <c r="IK323" i="5"/>
  <c r="IM240" i="5"/>
  <c r="IN238" i="5" s="1"/>
  <c r="AD241" i="5"/>
  <c r="IK240" i="5"/>
  <c r="AC241" i="5"/>
  <c r="AN240" i="5" s="1"/>
  <c r="AD392" i="5"/>
  <c r="IK391" i="5"/>
  <c r="AC392" i="5"/>
  <c r="AN391" i="5" s="1"/>
  <c r="IM391" i="5"/>
  <c r="IN389" i="5" s="1"/>
  <c r="AD259" i="5"/>
  <c r="IK258" i="5"/>
  <c r="AC259" i="5"/>
  <c r="AN258" i="5" s="1"/>
  <c r="IM258" i="5"/>
  <c r="IN256" i="5" s="1"/>
  <c r="IM175" i="5"/>
  <c r="IN173" i="5" s="1"/>
  <c r="AD176" i="5"/>
  <c r="IK175" i="5"/>
  <c r="AC176" i="5"/>
  <c r="AN175" i="5" s="1"/>
  <c r="AD543" i="5"/>
  <c r="AC543" i="5"/>
  <c r="AN542" i="5" s="1"/>
  <c r="IM542" i="5"/>
  <c r="IN540" i="5" s="1"/>
  <c r="IK542" i="5"/>
  <c r="IK620" i="5"/>
  <c r="AD621" i="5"/>
  <c r="IM620" i="5"/>
  <c r="IN618" i="5" s="1"/>
  <c r="AC621" i="5"/>
  <c r="AN620" i="5" s="1"/>
  <c r="AD460" i="5"/>
  <c r="IM459" i="5"/>
  <c r="IN457" i="5" s="1"/>
  <c r="AC460" i="5"/>
  <c r="AN459" i="5" s="1"/>
  <c r="IK459" i="5"/>
  <c r="IM479" i="5"/>
  <c r="IN477" i="5" s="1"/>
  <c r="AC480" i="5"/>
  <c r="AN479" i="5" s="1"/>
  <c r="IK479" i="5"/>
  <c r="AD480" i="5"/>
  <c r="IM570" i="5"/>
  <c r="IN568" i="5" s="1"/>
  <c r="AC571" i="5"/>
  <c r="AN570" i="5" s="1"/>
  <c r="IK570" i="5"/>
  <c r="AD571" i="5"/>
  <c r="IM648" i="5"/>
  <c r="IN646" i="5" s="1"/>
  <c r="AC649" i="5"/>
  <c r="AN648" i="5" s="1"/>
  <c r="AD649" i="5"/>
  <c r="IK648" i="5"/>
  <c r="IM653" i="5"/>
  <c r="IN651" i="5" s="1"/>
  <c r="AC654" i="5"/>
  <c r="AN653" i="5" s="1"/>
  <c r="AD654" i="5"/>
  <c r="IK653" i="5"/>
  <c r="AD757" i="5"/>
  <c r="IK756" i="5"/>
  <c r="IM756" i="5"/>
  <c r="IN754" i="5" s="1"/>
  <c r="AC757" i="5"/>
  <c r="AN756" i="5" s="1"/>
  <c r="AD679" i="5"/>
  <c r="IM678" i="5"/>
  <c r="IN676" i="5" s="1"/>
  <c r="AC679" i="5"/>
  <c r="AN678" i="5" s="1"/>
  <c r="IK678" i="5"/>
  <c r="IM771" i="5"/>
  <c r="IN769" i="5" s="1"/>
  <c r="IK771" i="5"/>
  <c r="AC772" i="5"/>
  <c r="AN771" i="5" s="1"/>
  <c r="AD772" i="5"/>
  <c r="IK703" i="5"/>
  <c r="AD704" i="5"/>
  <c r="AC704" i="5"/>
  <c r="AN703" i="5" s="1"/>
  <c r="IM703" i="5"/>
  <c r="IN701" i="5" s="1"/>
  <c r="IM791" i="5"/>
  <c r="IN789" i="5" s="1"/>
  <c r="IK791" i="5"/>
  <c r="AD792" i="5"/>
  <c r="AC792" i="5"/>
  <c r="AN791" i="5" s="1"/>
  <c r="AC60" i="5"/>
  <c r="AN59" i="5" s="1"/>
  <c r="AD60" i="5"/>
  <c r="IK59" i="5"/>
  <c r="IM59" i="5"/>
  <c r="IN57" i="5" s="1"/>
  <c r="IM54" i="5"/>
  <c r="IN52" i="5" s="1"/>
  <c r="AC55" i="5"/>
  <c r="AN54" i="5" s="1"/>
  <c r="IK54" i="5"/>
  <c r="AD55" i="5"/>
  <c r="AD387" i="5"/>
  <c r="IK386" i="5"/>
  <c r="IM386" i="5"/>
  <c r="IN384" i="5" s="1"/>
  <c r="AC387" i="5"/>
  <c r="AN386" i="5" s="1"/>
  <c r="IM245" i="5"/>
  <c r="IN243" i="5" s="1"/>
  <c r="AD246" i="5"/>
  <c r="IK245" i="5"/>
  <c r="AC246" i="5"/>
  <c r="AN245" i="5" s="1"/>
  <c r="AD332" i="5"/>
  <c r="IM331" i="5"/>
  <c r="IN329" i="5" s="1"/>
  <c r="AC332" i="5"/>
  <c r="AN331" i="5" s="1"/>
  <c r="IK331" i="5"/>
  <c r="AD269" i="5"/>
  <c r="IM268" i="5"/>
  <c r="IN266" i="5" s="1"/>
  <c r="AC269" i="5"/>
  <c r="AN268" i="5" s="1"/>
  <c r="IK268" i="5"/>
  <c r="IK263" i="5"/>
  <c r="IM263" i="5"/>
  <c r="IN261" i="5" s="1"/>
  <c r="AC264" i="5"/>
  <c r="AN263" i="5" s="1"/>
  <c r="AD264" i="5"/>
  <c r="AD402" i="5"/>
  <c r="IM401" i="5"/>
  <c r="IN399" i="5" s="1"/>
  <c r="AC402" i="5"/>
  <c r="AN401" i="5" s="1"/>
  <c r="IK401" i="5"/>
  <c r="IM308" i="5"/>
  <c r="IN306" i="5" s="1"/>
  <c r="AD309" i="5"/>
  <c r="AC309" i="5"/>
  <c r="AN308" i="5" s="1"/>
  <c r="IK308" i="5"/>
  <c r="IM469" i="5"/>
  <c r="IN467" i="5" s="1"/>
  <c r="IK469" i="5"/>
  <c r="AC470" i="5"/>
  <c r="AN469" i="5" s="1"/>
  <c r="AD470" i="5"/>
  <c r="AC435" i="5"/>
  <c r="AN434" i="5" s="1"/>
  <c r="AD435" i="5"/>
  <c r="IM434" i="5"/>
  <c r="IN432" i="5" s="1"/>
  <c r="IK434" i="5"/>
  <c r="IM439" i="5"/>
  <c r="IN437" i="5" s="1"/>
  <c r="AD440" i="5"/>
  <c r="IK439" i="5"/>
  <c r="AC440" i="5"/>
  <c r="AN439" i="5" s="1"/>
  <c r="AC611" i="5"/>
  <c r="AN610" i="5" s="1"/>
  <c r="IK610" i="5"/>
  <c r="AD611" i="5"/>
  <c r="IM610" i="5"/>
  <c r="IN608" i="5" s="1"/>
  <c r="AD415" i="5"/>
  <c r="IM414" i="5"/>
  <c r="IN412" i="5" s="1"/>
  <c r="AC415" i="5"/>
  <c r="AN414" i="5" s="1"/>
  <c r="IK414" i="5"/>
  <c r="AC493" i="5"/>
  <c r="AN492" i="5" s="1"/>
  <c r="IK492" i="5"/>
  <c r="AD493" i="5"/>
  <c r="IM492" i="5"/>
  <c r="IN490" i="5" s="1"/>
  <c r="IK726" i="5"/>
  <c r="IM726" i="5"/>
  <c r="IN724" i="5" s="1"/>
  <c r="AD727" i="5"/>
  <c r="AC727" i="5"/>
  <c r="AN726" i="5" s="1"/>
  <c r="AC747" i="5"/>
  <c r="AN746" i="5" s="1"/>
  <c r="IK746" i="5"/>
  <c r="AD747" i="5"/>
  <c r="IM746" i="5"/>
  <c r="IN744" i="5" s="1"/>
  <c r="IK683" i="5"/>
  <c r="IM683" i="5"/>
  <c r="IN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DY134" i="8"/>
  <c r="DZ134" i="8"/>
  <c r="DZ112" i="8"/>
  <c r="DY112" i="8"/>
  <c r="DY142" i="8"/>
  <c r="DZ142" i="8"/>
  <c r="EA142" i="8"/>
  <c r="DY129" i="8"/>
  <c r="DZ129" i="8"/>
  <c r="DY121" i="8"/>
  <c r="DZ121" i="8"/>
  <c r="DY101" i="8"/>
  <c r="DZ101" i="8"/>
  <c r="DY114" i="8"/>
  <c r="DZ114" i="8"/>
  <c r="DY97" i="8"/>
  <c r="DZ97" i="8"/>
  <c r="DY99" i="8"/>
  <c r="DZ99" i="8"/>
  <c r="DY122" i="8"/>
  <c r="DZ122" i="8"/>
  <c r="DY115" i="8"/>
  <c r="DZ115" i="8"/>
  <c r="DZ95" i="8"/>
  <c r="DY95" i="8"/>
  <c r="DZ136" i="8"/>
  <c r="DY136" i="8"/>
  <c r="DY116" i="8"/>
  <c r="DZ116" i="8"/>
  <c r="DZ108" i="8"/>
  <c r="DY108" i="8"/>
  <c r="DY138" i="8"/>
  <c r="DZ138" i="8"/>
  <c r="DZ128" i="8"/>
  <c r="DY128" i="8"/>
  <c r="DZ94" i="8"/>
  <c r="DY94" i="8"/>
  <c r="DY109" i="8"/>
  <c r="DZ109" i="8"/>
  <c r="DY137" i="8"/>
  <c r="DZ137" i="8"/>
  <c r="DY123" i="8"/>
  <c r="DZ123" i="8"/>
  <c r="DZ103" i="8"/>
  <c r="DY103" i="8"/>
  <c r="DZ139" i="8"/>
  <c r="DY139" i="8"/>
  <c r="DZ132" i="8"/>
  <c r="DY132" i="8"/>
  <c r="DY96" i="8"/>
  <c r="DZ96" i="8"/>
  <c r="DY130" i="8"/>
  <c r="DZ130" i="8"/>
  <c r="DY117" i="8"/>
  <c r="DZ117" i="8"/>
  <c r="DY102" i="8"/>
  <c r="DZ102" i="8"/>
  <c r="DY133" i="8"/>
  <c r="DZ133" i="8"/>
  <c r="DZ119" i="8"/>
  <c r="DY119" i="8"/>
  <c r="DY113" i="8"/>
  <c r="DZ113" i="8"/>
  <c r="DY98" i="8"/>
  <c r="DZ98" i="8"/>
  <c r="DZ93" i="8"/>
  <c r="DY93" i="8"/>
  <c r="DY125" i="8"/>
  <c r="DZ125" i="8"/>
  <c r="DY111" i="8"/>
  <c r="DZ111" i="8"/>
  <c r="DZ104" i="8"/>
  <c r="DY104" i="8"/>
  <c r="DZ140" i="8"/>
  <c r="DY140" i="8"/>
  <c r="EA140" i="8"/>
  <c r="DY120" i="8"/>
  <c r="DZ120" i="8"/>
  <c r="DY106" i="8"/>
  <c r="DZ106" i="8"/>
  <c r="DY131" i="8"/>
  <c r="DZ131" i="8"/>
  <c r="DY110" i="8"/>
  <c r="DZ110" i="8"/>
  <c r="DY141" i="8"/>
  <c r="EA141" i="8"/>
  <c r="DZ141" i="8"/>
  <c r="DY118" i="8"/>
  <c r="DZ118" i="8"/>
  <c r="DY105" i="8"/>
  <c r="DZ105" i="8"/>
  <c r="DY135" i="8"/>
  <c r="DZ135" i="8"/>
  <c r="DZ127" i="8"/>
  <c r="DY127" i="8"/>
  <c r="DZ107" i="8"/>
  <c r="DY107" i="8"/>
  <c r="DY100" i="8"/>
  <c r="DZ100" i="8"/>
  <c r="DA27" i="8"/>
  <c r="DA34" i="8"/>
  <c r="DA35" i="8"/>
  <c r="DA33" i="8"/>
  <c r="DX92" i="8"/>
  <c r="DA38" i="8"/>
  <c r="DA36" i="8"/>
  <c r="DA32" i="8"/>
  <c r="DA31" i="8"/>
  <c r="DA30" i="8"/>
  <c r="DA29" i="8"/>
  <c r="DA28" i="8"/>
  <c r="DA254" i="8"/>
  <c r="AH43" i="4"/>
  <c r="AH42" i="4"/>
  <c r="AH41" i="4"/>
  <c r="AH40" i="4"/>
  <c r="AH39" i="4"/>
  <c r="AH38" i="4"/>
  <c r="AH37" i="4"/>
  <c r="AH36" i="4"/>
  <c r="AH35" i="4"/>
  <c r="AH34" i="4"/>
  <c r="AH33" i="4"/>
  <c r="AH32" i="4"/>
  <c r="AH31" i="4"/>
  <c r="AI30" i="4"/>
  <c r="AH30" i="4"/>
  <c r="AI29" i="4"/>
  <c r="AH29" i="4"/>
  <c r="AI28" i="4"/>
  <c r="AH28" i="4"/>
  <c r="AI27" i="4"/>
  <c r="AH27" i="4"/>
  <c r="AI26" i="4"/>
  <c r="AH26" i="4"/>
  <c r="AI25" i="4"/>
  <c r="AH25" i="4"/>
  <c r="AI24" i="4"/>
  <c r="AH24" i="4"/>
  <c r="AI23" i="4"/>
  <c r="AH23" i="4"/>
  <c r="AI22" i="4"/>
  <c r="AH22" i="4"/>
  <c r="AI21" i="4"/>
  <c r="AH21" i="4"/>
  <c r="AI20" i="4"/>
  <c r="AH20" i="4"/>
  <c r="AI19" i="4"/>
  <c r="AH19" i="4"/>
  <c r="AI18" i="4"/>
  <c r="AH18" i="4"/>
  <c r="AI17" i="4"/>
  <c r="AH17" i="4"/>
  <c r="AI16" i="4"/>
  <c r="AH16" i="4"/>
  <c r="AI15" i="4"/>
  <c r="AH15" i="4"/>
  <c r="AI14" i="4"/>
  <c r="AH14" i="4"/>
  <c r="AI13" i="4"/>
  <c r="AH13" i="4"/>
  <c r="AI12" i="4"/>
  <c r="AH12" i="4"/>
  <c r="AI11" i="4"/>
  <c r="AH11" i="4"/>
  <c r="AI10" i="4"/>
  <c r="AH10" i="4"/>
  <c r="AI9" i="4"/>
  <c r="AH9" i="4"/>
  <c r="AI8" i="4"/>
  <c r="AH8" i="4"/>
  <c r="AI7" i="4"/>
  <c r="AH7" i="4"/>
  <c r="AI6" i="4"/>
  <c r="AH6" i="4"/>
  <c r="AI5" i="4"/>
  <c r="AH5" i="4"/>
  <c r="AI4" i="4"/>
  <c r="AH4" i="4"/>
  <c r="AH3" i="4"/>
  <c r="E283" i="19"/>
  <c r="O280" i="19"/>
  <c r="O282" i="19"/>
  <c r="E277" i="19"/>
  <c r="O299" i="19"/>
  <c r="E279" i="19"/>
  <c r="O296" i="19"/>
  <c r="O278" i="19"/>
  <c r="E298" i="19"/>
  <c r="E286" i="19"/>
  <c r="O283" i="19"/>
  <c r="E278" i="19"/>
  <c r="E299" i="19"/>
  <c r="E280" i="19"/>
  <c r="E276" i="19"/>
  <c r="M290" i="19"/>
  <c r="E302" i="19"/>
  <c r="E304" i="19"/>
  <c r="O285" i="19"/>
  <c r="O277" i="19"/>
  <c r="E282" i="19"/>
  <c r="O302" i="19"/>
  <c r="E285" i="19"/>
  <c r="O301" i="19"/>
  <c r="O303" i="19"/>
  <c r="O297" i="19"/>
  <c r="O279" i="19"/>
  <c r="E294" i="19"/>
  <c r="E295" i="19"/>
  <c r="E284" i="19"/>
  <c r="E301" i="19"/>
  <c r="E281" i="19"/>
  <c r="O281" i="19"/>
  <c r="O276" i="19"/>
  <c r="E300" i="19"/>
  <c r="O284" i="19"/>
  <c r="E303" i="19"/>
  <c r="GQ158" i="5" l="1"/>
  <c r="GQ299" i="5"/>
  <c r="GQ332" i="5"/>
  <c r="GQ420" i="5"/>
  <c r="GM458" i="5"/>
  <c r="AY457" i="5" s="1"/>
  <c r="HX458" i="5" s="1"/>
  <c r="HX460" i="5" s="1"/>
  <c r="GM662" i="5"/>
  <c r="AY661" i="5" s="1"/>
  <c r="HX662" i="5" s="1"/>
  <c r="HX664" i="5" s="1"/>
  <c r="GQ493" i="5"/>
  <c r="GQ727" i="5"/>
  <c r="GM146" i="5"/>
  <c r="AY145" i="5" s="1"/>
  <c r="HX146" i="5" s="1"/>
  <c r="HX148" i="5" s="1"/>
  <c r="GQ347" i="5"/>
  <c r="GM287" i="5"/>
  <c r="AY286" i="5" s="1"/>
  <c r="HX287" i="5" s="1"/>
  <c r="HX289" i="5" s="1"/>
  <c r="GM448" i="5"/>
  <c r="AY447" i="5" s="1"/>
  <c r="HX448" i="5" s="1"/>
  <c r="HX450" i="5" s="1"/>
  <c r="GQ611" i="5"/>
  <c r="GM478" i="5"/>
  <c r="AY477" i="5" s="1"/>
  <c r="HX478" i="5" s="1"/>
  <c r="HX480" i="5" s="1"/>
  <c r="GQ241" i="5"/>
  <c r="GQ274" i="5"/>
  <c r="GQ80" i="5"/>
  <c r="GM629" i="5"/>
  <c r="AY628" i="5" s="1"/>
  <c r="HX629" i="5" s="1"/>
  <c r="HX631" i="5" s="1"/>
  <c r="GM365" i="5"/>
  <c r="AY364" i="5" s="1"/>
  <c r="HX365" i="5" s="1"/>
  <c r="HX367" i="5" s="1"/>
  <c r="GQ732" i="5"/>
  <c r="GM63" i="5"/>
  <c r="AY62" i="5" s="1"/>
  <c r="HX63" i="5" s="1"/>
  <c r="HX65" i="5" s="1"/>
  <c r="GQ528" i="5"/>
  <c r="GQ606" i="5"/>
  <c r="GM468" i="5"/>
  <c r="AY467" i="5" s="1"/>
  <c r="HX468" i="5" s="1"/>
  <c r="HX470" i="5" s="1"/>
  <c r="GM302" i="5"/>
  <c r="AY301" i="5" s="1"/>
  <c r="HX302" i="5" s="1"/>
  <c r="HX304" i="5" s="1"/>
  <c r="GM68" i="5"/>
  <c r="AY67" i="5" s="1"/>
  <c r="HX68" i="5" s="1"/>
  <c r="HX70" i="5" s="1"/>
  <c r="GQ699" i="5"/>
  <c r="GQ337" i="5"/>
  <c r="GQ397" i="5"/>
  <c r="GM642" i="5"/>
  <c r="AY641" i="5" s="1"/>
  <c r="HX642" i="5" s="1"/>
  <c r="HX644" i="5" s="1"/>
  <c r="GQ342" i="5"/>
  <c r="GM531" i="5"/>
  <c r="AY530" i="5" s="1"/>
  <c r="HX531" i="5" s="1"/>
  <c r="HX533" i="5" s="1"/>
  <c r="GM360" i="5"/>
  <c r="AY359" i="5" s="1"/>
  <c r="HX360" i="5" s="1"/>
  <c r="HX362" i="5" s="1"/>
  <c r="GQ201" i="5"/>
  <c r="GM594" i="5"/>
  <c r="AY593" i="5" s="1"/>
  <c r="HX594" i="5" s="1"/>
  <c r="HX596" i="5" s="1"/>
  <c r="GQ674" i="5"/>
  <c r="GM194" i="5"/>
  <c r="AY193" i="5" s="1"/>
  <c r="HX194" i="5" s="1"/>
  <c r="HX196" i="5" s="1"/>
  <c r="GQ737" i="5"/>
  <c r="IB737" i="5" s="1"/>
  <c r="GQ704" i="5"/>
  <c r="GM400" i="5"/>
  <c r="AY399" i="5" s="1"/>
  <c r="HX400" i="5" s="1"/>
  <c r="HX402" i="5" s="1"/>
  <c r="GQ636" i="5"/>
  <c r="GQ772" i="5"/>
  <c r="IB772" i="5" s="1"/>
  <c r="GM569" i="5"/>
  <c r="AY568" i="5" s="1"/>
  <c r="HX569" i="5" s="1"/>
  <c r="HX571" i="5" s="1"/>
  <c r="GQ269" i="5"/>
  <c r="GQ742" i="5"/>
  <c r="GM234" i="5"/>
  <c r="AY233" i="5" s="1"/>
  <c r="HX234" i="5" s="1"/>
  <c r="HX236" i="5" s="1"/>
  <c r="GQ168" i="5"/>
  <c r="GQ186" i="5"/>
  <c r="GQ246" i="5"/>
  <c r="GQ694" i="5"/>
  <c r="GQ309" i="5"/>
  <c r="GM765" i="5"/>
  <c r="AY764" i="5" s="1"/>
  <c r="HX765" i="5" s="1"/>
  <c r="HX767" i="5" s="1"/>
  <c r="GM370" i="5"/>
  <c r="AY369" i="5" s="1"/>
  <c r="HX370" i="5" s="1"/>
  <c r="HX372" i="5" s="1"/>
  <c r="GM790" i="5"/>
  <c r="AY789" i="5" s="1"/>
  <c r="HX790" i="5" s="1"/>
  <c r="HX792" i="5" s="1"/>
  <c r="GM501" i="5"/>
  <c r="AY500" i="5" s="1"/>
  <c r="HX501" i="5" s="1"/>
  <c r="HX503" i="5" s="1"/>
  <c r="GQ75" i="5"/>
  <c r="GQ128" i="5"/>
  <c r="GM408" i="5"/>
  <c r="AY407" i="5" s="1"/>
  <c r="HX408" i="5" s="1"/>
  <c r="HX410" i="5" s="1"/>
  <c r="GM375" i="5"/>
  <c r="AY374" i="5" s="1"/>
  <c r="HX375" i="5" s="1"/>
  <c r="HX377" i="5" s="1"/>
  <c r="GM574" i="5"/>
  <c r="AY573" i="5" s="1"/>
  <c r="HX574" i="5" s="1"/>
  <c r="HX576" i="5" s="1"/>
  <c r="GQ782" i="5"/>
  <c r="GQ508" i="5"/>
  <c r="GQ118" i="5"/>
  <c r="GQ621" i="5"/>
  <c r="GQ709" i="5"/>
  <c r="GM277" i="5"/>
  <c r="AY276" i="5" s="1"/>
  <c r="HX277" i="5" s="1"/>
  <c r="HX279" i="5" s="1"/>
  <c r="GM677" i="5"/>
  <c r="AY676" i="5" s="1"/>
  <c r="HX677" i="5" s="1"/>
  <c r="HX679" i="5" s="1"/>
  <c r="GM224" i="5"/>
  <c r="AY223" i="5" s="1"/>
  <c r="HX224" i="5" s="1"/>
  <c r="HX226" i="5" s="1"/>
  <c r="GM536" i="5"/>
  <c r="AY535" i="5" s="1"/>
  <c r="HX536" i="5" s="1"/>
  <c r="HX538" i="5" s="1"/>
  <c r="GQ352" i="5"/>
  <c r="GQ669" i="5"/>
  <c r="IB669" i="5" s="1"/>
  <c r="GQ206" i="5"/>
  <c r="GM579" i="5"/>
  <c r="AY578" i="5" s="1"/>
  <c r="HX579" i="5" s="1"/>
  <c r="HX581" i="5" s="1"/>
  <c r="GQ108" i="5"/>
  <c r="GM209" i="5"/>
  <c r="AY208" i="5" s="1"/>
  <c r="HX209" i="5" s="1"/>
  <c r="HX211" i="5" s="1"/>
  <c r="GM438" i="5"/>
  <c r="AY437" i="5" s="1"/>
  <c r="HX438" i="5" s="1"/>
  <c r="HX440" i="5" s="1"/>
  <c r="GQ684" i="5"/>
  <c r="GQ415" i="5"/>
  <c r="IB415" i="5" s="1"/>
  <c r="GM83" i="5"/>
  <c r="AY82" i="5" s="1"/>
  <c r="HX83" i="5" s="1"/>
  <c r="HX85" i="5" s="1"/>
  <c r="GM750" i="5"/>
  <c r="AY749" i="5" s="1"/>
  <c r="HX750" i="5" s="1"/>
  <c r="HX752" i="5" s="1"/>
  <c r="GQ259" i="5"/>
  <c r="GQ518" i="5"/>
  <c r="GQ548" i="5"/>
  <c r="GM219" i="5"/>
  <c r="AY218" i="5" s="1"/>
  <c r="HX219" i="5" s="1"/>
  <c r="HX221" i="5" s="1"/>
  <c r="GQ465" i="5"/>
  <c r="GM657" i="5"/>
  <c r="AY656" i="5" s="1"/>
  <c r="HX657" i="5" s="1"/>
  <c r="HX659" i="5" s="1"/>
  <c r="GQ553" i="5"/>
  <c r="GM292" i="5"/>
  <c r="AY291" i="5" s="1"/>
  <c r="HX292" i="5" s="1"/>
  <c r="HX294" i="5" s="1"/>
  <c r="GM151" i="5"/>
  <c r="AY150" i="5" s="1"/>
  <c r="HX151" i="5" s="1"/>
  <c r="HX153" i="5" s="1"/>
  <c r="GQ689" i="5"/>
  <c r="GM355" i="5"/>
  <c r="AY354" i="5" s="1"/>
  <c r="HX355" i="5" s="1"/>
  <c r="HX357" i="5" s="1"/>
  <c r="GM131" i="5"/>
  <c r="AY130" i="5" s="1"/>
  <c r="HX131" i="5" s="1"/>
  <c r="HX133" i="5" s="1"/>
  <c r="GM161" i="5"/>
  <c r="AY160" i="5" s="1"/>
  <c r="HX161" i="5" s="1"/>
  <c r="HX163" i="5" s="1"/>
  <c r="GQ601" i="5"/>
  <c r="GM712" i="5"/>
  <c r="AY711" i="5" s="1"/>
  <c r="HX712" i="5" s="1"/>
  <c r="HX714" i="5" s="1"/>
  <c r="GM380" i="5"/>
  <c r="AY379" i="5" s="1"/>
  <c r="HX380" i="5" s="1"/>
  <c r="HX382" i="5" s="1"/>
  <c r="GM541" i="5"/>
  <c r="AY540" i="5" s="1"/>
  <c r="HX541" i="5" s="1"/>
  <c r="HX543" i="5" s="1"/>
  <c r="GM745" i="5"/>
  <c r="AY744" i="5" s="1"/>
  <c r="HX745" i="5" s="1"/>
  <c r="HX747" i="5" s="1"/>
  <c r="GQ216" i="5"/>
  <c r="GQ591" i="5"/>
  <c r="GM614" i="5"/>
  <c r="AY613" i="5" s="1"/>
  <c r="HX614" i="5" s="1"/>
  <c r="HX616" i="5" s="1"/>
  <c r="GQ143" i="5"/>
  <c r="GM322" i="5"/>
  <c r="AY321" i="5" s="1"/>
  <c r="HX322" i="5" s="1"/>
  <c r="HX324" i="5" s="1"/>
  <c r="GM647" i="5"/>
  <c r="AY646" i="5" s="1"/>
  <c r="HX647" i="5" s="1"/>
  <c r="HX649" i="5" s="1"/>
  <c r="GM174" i="5"/>
  <c r="AY173" i="5" s="1"/>
  <c r="HX174" i="5" s="1"/>
  <c r="HX176" i="5" s="1"/>
  <c r="GM48" i="5"/>
  <c r="AY47" i="5" s="1"/>
  <c r="HX48" i="5" s="1"/>
  <c r="HX50" i="5" s="1"/>
  <c r="GM88" i="5"/>
  <c r="AY87" i="5" s="1"/>
  <c r="HX88" i="5" s="1"/>
  <c r="HX90" i="5" s="1"/>
  <c r="GM496" i="5"/>
  <c r="AY495" i="5" s="1"/>
  <c r="HX496" i="5" s="1"/>
  <c r="HX498" i="5" s="1"/>
  <c r="GM58" i="5"/>
  <c r="AY57" i="5" s="1"/>
  <c r="HX58" i="5" s="1"/>
  <c r="HX60" i="5" s="1"/>
  <c r="GM624" i="5"/>
  <c r="AY623" i="5" s="1"/>
  <c r="HX624" i="5" s="1"/>
  <c r="HX626" i="5" s="1"/>
  <c r="GQ488" i="5"/>
  <c r="GM252" i="5"/>
  <c r="AY251" i="5" s="1"/>
  <c r="HX252" i="5" s="1"/>
  <c r="HX254" i="5" s="1"/>
  <c r="GQ123" i="5"/>
  <c r="GQ181" i="5"/>
  <c r="GQ586" i="5"/>
  <c r="IB586" i="5" s="1"/>
  <c r="GM453" i="5"/>
  <c r="AY452" i="5" s="1"/>
  <c r="HX453" i="5" s="1"/>
  <c r="HX455" i="5" s="1"/>
  <c r="GM423" i="5"/>
  <c r="AY422" i="5" s="1"/>
  <c r="HX423" i="5" s="1"/>
  <c r="HX425" i="5" s="1"/>
  <c r="GM312" i="5"/>
  <c r="AY311" i="5" s="1"/>
  <c r="HX312" i="5" s="1"/>
  <c r="HX314" i="5" s="1"/>
  <c r="GQ284" i="5"/>
  <c r="GM775" i="5"/>
  <c r="AY774" i="5" s="1"/>
  <c r="HX775" i="5" s="1"/>
  <c r="HX777" i="5" s="1"/>
  <c r="GQ113" i="5"/>
  <c r="IB113" i="5" s="1"/>
  <c r="GM473" i="5"/>
  <c r="AY472" i="5" s="1"/>
  <c r="HX473" i="5" s="1"/>
  <c r="HX475" i="5" s="1"/>
  <c r="GQ513" i="5"/>
  <c r="GM785" i="5"/>
  <c r="AY784" i="5" s="1"/>
  <c r="HX785" i="5" s="1"/>
  <c r="HX787" i="5" s="1"/>
  <c r="GQ445" i="5"/>
  <c r="GQ757" i="5"/>
  <c r="AC66" i="33"/>
  <c r="AC60" i="33"/>
  <c r="AC47" i="33"/>
  <c r="AC88" i="33"/>
  <c r="AC86" i="33"/>
  <c r="AC87" i="33"/>
  <c r="AC72" i="33"/>
  <c r="AG72" i="33" s="1"/>
  <c r="AC48" i="33"/>
  <c r="AC93" i="33"/>
  <c r="AC45" i="33"/>
  <c r="AC44" i="33"/>
  <c r="AC98" i="33"/>
  <c r="AC89" i="33"/>
  <c r="AC62" i="33"/>
  <c r="AC92" i="33"/>
  <c r="AC100" i="33"/>
  <c r="AT72" i="33"/>
  <c r="AU72" i="33" s="1"/>
  <c r="AX72" i="33" s="1"/>
  <c r="AC85" i="33"/>
  <c r="AC51" i="33"/>
  <c r="AC99" i="33"/>
  <c r="AC49" i="33"/>
  <c r="AC95" i="33"/>
  <c r="AC94" i="33"/>
  <c r="AC61" i="33"/>
  <c r="AC102" i="33"/>
  <c r="AC97" i="33"/>
  <c r="AC83" i="33"/>
  <c r="AC64" i="33"/>
  <c r="AC65" i="33"/>
  <c r="AC59" i="33"/>
  <c r="AC52" i="33"/>
  <c r="AC67" i="33"/>
  <c r="AC84" i="33"/>
  <c r="AT97" i="33"/>
  <c r="AU97" i="33" s="1"/>
  <c r="AX97" i="33" s="1"/>
  <c r="AT102" i="33"/>
  <c r="AU102" i="33" s="1"/>
  <c r="AX102" i="33" s="1"/>
  <c r="AT91" i="33"/>
  <c r="AU91" i="33" s="1"/>
  <c r="AX91" i="33" s="1"/>
  <c r="AT104" i="33"/>
  <c r="AU104" i="33" s="1"/>
  <c r="AX104" i="33" s="1"/>
  <c r="AT105" i="33"/>
  <c r="AU105" i="33" s="1"/>
  <c r="AX105" i="33" s="1"/>
  <c r="AT87" i="33"/>
  <c r="AU87" i="33" s="1"/>
  <c r="AX87" i="33" s="1"/>
  <c r="AT99" i="33"/>
  <c r="AU99" i="33" s="1"/>
  <c r="AX99" i="33" s="1"/>
  <c r="AT101" i="33"/>
  <c r="AU101" i="33" s="1"/>
  <c r="AX101" i="33" s="1"/>
  <c r="AT89" i="33"/>
  <c r="AU89" i="33" s="1"/>
  <c r="AX89" i="33" s="1"/>
  <c r="AT96" i="33"/>
  <c r="AU96" i="33" s="1"/>
  <c r="AX96" i="33" s="1"/>
  <c r="AT88" i="33"/>
  <c r="AU88" i="33" s="1"/>
  <c r="AX88" i="33" s="1"/>
  <c r="AT86" i="33"/>
  <c r="AU86" i="33" s="1"/>
  <c r="AX86" i="33" s="1"/>
  <c r="AT90" i="33"/>
  <c r="AU90" i="33" s="1"/>
  <c r="AX90" i="33" s="1"/>
  <c r="AT106" i="33"/>
  <c r="AU106" i="33" s="1"/>
  <c r="AX106" i="33" s="1"/>
  <c r="AT95" i="33"/>
  <c r="AU95" i="33" s="1"/>
  <c r="AX95" i="33" s="1"/>
  <c r="AT92" i="33"/>
  <c r="AU92" i="33" s="1"/>
  <c r="AX92" i="33" s="1"/>
  <c r="AT94" i="33"/>
  <c r="AU94" i="33" s="1"/>
  <c r="AX94" i="33" s="1"/>
  <c r="AT100" i="33"/>
  <c r="AU100" i="33" s="1"/>
  <c r="AX100" i="33" s="1"/>
  <c r="AT98" i="33"/>
  <c r="AU98" i="33" s="1"/>
  <c r="AX98" i="33" s="1"/>
  <c r="AT93" i="33"/>
  <c r="AU93" i="33" s="1"/>
  <c r="AX93" i="33" s="1"/>
  <c r="AT111" i="33"/>
  <c r="AU111" i="33" s="1"/>
  <c r="AX111" i="33" s="1"/>
  <c r="AT103" i="33"/>
  <c r="AU103" i="33" s="1"/>
  <c r="AX103" i="33" s="1"/>
  <c r="AT83" i="33"/>
  <c r="AU83" i="33" s="1"/>
  <c r="AX83" i="33" s="1"/>
  <c r="AT109" i="33"/>
  <c r="AU109" i="33" s="1"/>
  <c r="AX109" i="33" s="1"/>
  <c r="AT85" i="33"/>
  <c r="AU85" i="33" s="1"/>
  <c r="AX85" i="33" s="1"/>
  <c r="AT110" i="33"/>
  <c r="AU110" i="33" s="1"/>
  <c r="AX110" i="33" s="1"/>
  <c r="AC63" i="33"/>
  <c r="AC53" i="33"/>
  <c r="AT84" i="33"/>
  <c r="AU84" i="33" s="1"/>
  <c r="AX84" i="33" s="1"/>
  <c r="AT108" i="33"/>
  <c r="AU108" i="33" s="1"/>
  <c r="AX108" i="33" s="1"/>
  <c r="AT107" i="33"/>
  <c r="AU107" i="33" s="1"/>
  <c r="AX107" i="33" s="1"/>
  <c r="W54" i="33"/>
  <c r="AS54" i="33"/>
  <c r="W56" i="33"/>
  <c r="AR56" i="33" s="1"/>
  <c r="AS56" i="33"/>
  <c r="W70" i="33"/>
  <c r="AR70" i="33" s="1"/>
  <c r="AS70" i="33"/>
  <c r="W71" i="33"/>
  <c r="AR71" i="33" s="1"/>
  <c r="AS71" i="33"/>
  <c r="W55" i="33"/>
  <c r="AS55" i="33"/>
  <c r="W69" i="33"/>
  <c r="AR69" i="33" s="1"/>
  <c r="AS69" i="33"/>
  <c r="W57" i="33"/>
  <c r="AR57" i="33" s="1"/>
  <c r="AS57" i="33"/>
  <c r="W58" i="33"/>
  <c r="AR58" i="33" s="1"/>
  <c r="AS58" i="33"/>
  <c r="W109" i="33"/>
  <c r="AR109" i="33" s="1"/>
  <c r="W108" i="33"/>
  <c r="AR108" i="33" s="1"/>
  <c r="W110" i="33"/>
  <c r="AR110" i="33" s="1"/>
  <c r="W107" i="33"/>
  <c r="AR107" i="33" s="1"/>
  <c r="W111" i="33"/>
  <c r="AR111" i="33" s="1"/>
  <c r="W82" i="33"/>
  <c r="AR82" i="33" s="1"/>
  <c r="W104" i="33"/>
  <c r="AR104" i="33" s="1"/>
  <c r="W105" i="33"/>
  <c r="AR105" i="33" s="1"/>
  <c r="W103" i="33"/>
  <c r="AR103" i="33" s="1"/>
  <c r="W84" i="33"/>
  <c r="AR84" i="33" s="1"/>
  <c r="W83" i="33"/>
  <c r="AR83" i="33" s="1"/>
  <c r="W93" i="33"/>
  <c r="AR93" i="33" s="1"/>
  <c r="W92" i="33"/>
  <c r="AR92" i="33" s="1"/>
  <c r="W91" i="33"/>
  <c r="AR91" i="33" s="1"/>
  <c r="W90" i="33"/>
  <c r="AR90" i="33" s="1"/>
  <c r="W89" i="33"/>
  <c r="AR89" i="33" s="1"/>
  <c r="W88" i="33"/>
  <c r="AR88" i="33" s="1"/>
  <c r="W87" i="33"/>
  <c r="AR87" i="33" s="1"/>
  <c r="W86" i="33"/>
  <c r="AR86" i="33" s="1"/>
  <c r="W85" i="33"/>
  <c r="AR85" i="33" s="1"/>
  <c r="W102" i="33"/>
  <c r="AR102" i="33" s="1"/>
  <c r="W101" i="33"/>
  <c r="AR101" i="33" s="1"/>
  <c r="W100" i="33"/>
  <c r="AR100" i="33" s="1"/>
  <c r="W99" i="33"/>
  <c r="AR99" i="33" s="1"/>
  <c r="W98" i="33"/>
  <c r="AR98" i="33" s="1"/>
  <c r="W97" i="33"/>
  <c r="AR97" i="33" s="1"/>
  <c r="W96" i="33"/>
  <c r="AR96" i="33" s="1"/>
  <c r="W95" i="33"/>
  <c r="AR95" i="33" s="1"/>
  <c r="W94" i="33"/>
  <c r="AR94" i="33" s="1"/>
  <c r="W66" i="33"/>
  <c r="AR66" i="33" s="1"/>
  <c r="AS66" i="33"/>
  <c r="W65" i="33"/>
  <c r="AR65" i="33" s="1"/>
  <c r="AS65" i="33"/>
  <c r="W64" i="33"/>
  <c r="AR64" i="33" s="1"/>
  <c r="AS64" i="33"/>
  <c r="W63" i="33"/>
  <c r="AR63" i="33" s="1"/>
  <c r="AS63" i="33"/>
  <c r="W62" i="33"/>
  <c r="AR62" i="33" s="1"/>
  <c r="AS62" i="33"/>
  <c r="W68" i="33"/>
  <c r="AR68" i="33" s="1"/>
  <c r="AS68" i="33"/>
  <c r="W67" i="33"/>
  <c r="AR67" i="33" s="1"/>
  <c r="AS67" i="33"/>
  <c r="W61" i="33"/>
  <c r="AR61" i="33" s="1"/>
  <c r="AS61" i="33"/>
  <c r="W60" i="33"/>
  <c r="AR60" i="33" s="1"/>
  <c r="AS60" i="33"/>
  <c r="W59" i="33"/>
  <c r="AR59" i="33" s="1"/>
  <c r="AS59" i="33"/>
  <c r="W52" i="33"/>
  <c r="AR52" i="33" s="1"/>
  <c r="AS52" i="33"/>
  <c r="W53" i="33"/>
  <c r="AR53" i="33" s="1"/>
  <c r="AS53" i="33"/>
  <c r="W51" i="33"/>
  <c r="AR51" i="33" s="1"/>
  <c r="AS51" i="33"/>
  <c r="W50" i="33"/>
  <c r="AR50" i="33" s="1"/>
  <c r="AS50" i="33"/>
  <c r="W49" i="33"/>
  <c r="AR49" i="33" s="1"/>
  <c r="AS49" i="33"/>
  <c r="W48" i="33"/>
  <c r="AR48" i="33" s="1"/>
  <c r="AS48" i="33"/>
  <c r="W47" i="33"/>
  <c r="AR47" i="33" s="1"/>
  <c r="AS47" i="33"/>
  <c r="W46" i="33"/>
  <c r="AR46" i="33" s="1"/>
  <c r="AS46" i="33"/>
  <c r="W45" i="33"/>
  <c r="AR45" i="33" s="1"/>
  <c r="AS45" i="33"/>
  <c r="W44" i="33"/>
  <c r="AR44" i="33" s="1"/>
  <c r="AS44" i="33"/>
  <c r="ID174" i="5"/>
  <c r="ID176" i="5"/>
  <c r="B173" i="5" s="1"/>
  <c r="IB173" i="5"/>
  <c r="AC46" i="33"/>
  <c r="Z84" i="33"/>
  <c r="Z83" i="33"/>
  <c r="AG83" i="33" s="1"/>
  <c r="Z93" i="33"/>
  <c r="AG93" i="33" s="1"/>
  <c r="Z92" i="33"/>
  <c r="Z91" i="33"/>
  <c r="AG91" i="33" s="1"/>
  <c r="Z90" i="33"/>
  <c r="AG90" i="33" s="1"/>
  <c r="Z89" i="33"/>
  <c r="AG89" i="33" s="1"/>
  <c r="Z88" i="33"/>
  <c r="Z87" i="33"/>
  <c r="Z86" i="33"/>
  <c r="Z85" i="33"/>
  <c r="AG85" i="33" s="1"/>
  <c r="Z102" i="33"/>
  <c r="Z101" i="33"/>
  <c r="AG101" i="33" s="1"/>
  <c r="Z100" i="33"/>
  <c r="Z99" i="33"/>
  <c r="Z98" i="33"/>
  <c r="Z97" i="33"/>
  <c r="AG97" i="33" s="1"/>
  <c r="Z96" i="33"/>
  <c r="AG96" i="33" s="1"/>
  <c r="Z95" i="33"/>
  <c r="Z94" i="33"/>
  <c r="Z66" i="33"/>
  <c r="AG66" i="33" s="1"/>
  <c r="AT66" i="33"/>
  <c r="AU66" i="33" s="1"/>
  <c r="AX66" i="33" s="1"/>
  <c r="AT65" i="33"/>
  <c r="AU65" i="33" s="1"/>
  <c r="AX65" i="33" s="1"/>
  <c r="Z65" i="33"/>
  <c r="Z64" i="33"/>
  <c r="AT64" i="33"/>
  <c r="AU64" i="33" s="1"/>
  <c r="AX64" i="33" s="1"/>
  <c r="Z63" i="33"/>
  <c r="AG63" i="33" s="1"/>
  <c r="AT63" i="33"/>
  <c r="AU63" i="33" s="1"/>
  <c r="AX63" i="33" s="1"/>
  <c r="Z62" i="33"/>
  <c r="AG62" i="33" s="1"/>
  <c r="AT62" i="33"/>
  <c r="AU62" i="33" s="1"/>
  <c r="AX62" i="33" s="1"/>
  <c r="AT68" i="33"/>
  <c r="AU68" i="33" s="1"/>
  <c r="AX68" i="33" s="1"/>
  <c r="Z68" i="33"/>
  <c r="AG68" i="33" s="1"/>
  <c r="AT67" i="33"/>
  <c r="AU67" i="33" s="1"/>
  <c r="AX67" i="33" s="1"/>
  <c r="Z67" i="33"/>
  <c r="AT61" i="33"/>
  <c r="AU61" i="33" s="1"/>
  <c r="AX61" i="33" s="1"/>
  <c r="Z61" i="33"/>
  <c r="AT60" i="33"/>
  <c r="AU60" i="33" s="1"/>
  <c r="AX60" i="33" s="1"/>
  <c r="Z60" i="33"/>
  <c r="AG60" i="33" s="1"/>
  <c r="AT59" i="33"/>
  <c r="AU59" i="33" s="1"/>
  <c r="AX59" i="33" s="1"/>
  <c r="Z59" i="33"/>
  <c r="AT52" i="33"/>
  <c r="AU52" i="33" s="1"/>
  <c r="AX52" i="33" s="1"/>
  <c r="Z52" i="33"/>
  <c r="AT53" i="33"/>
  <c r="AU53" i="33" s="1"/>
  <c r="AX53" i="33" s="1"/>
  <c r="Z53" i="33"/>
  <c r="AG53" i="33" s="1"/>
  <c r="AT51" i="33"/>
  <c r="AU51" i="33" s="1"/>
  <c r="AX51" i="33" s="1"/>
  <c r="Z51" i="33"/>
  <c r="AG51" i="33" s="1"/>
  <c r="AT50" i="33"/>
  <c r="AU50" i="33" s="1"/>
  <c r="AX50" i="33" s="1"/>
  <c r="Z50" i="33"/>
  <c r="AG50" i="33" s="1"/>
  <c r="AT49" i="33"/>
  <c r="AU49" i="33" s="1"/>
  <c r="AX49" i="33" s="1"/>
  <c r="Z49" i="33"/>
  <c r="AT48" i="33"/>
  <c r="AU48" i="33" s="1"/>
  <c r="AX48" i="33" s="1"/>
  <c r="Z48" i="33"/>
  <c r="AT47" i="33"/>
  <c r="AU47" i="33" s="1"/>
  <c r="AX47" i="33" s="1"/>
  <c r="Z47" i="33"/>
  <c r="AG47" i="33" s="1"/>
  <c r="AT46" i="33"/>
  <c r="AU46" i="33" s="1"/>
  <c r="AX46" i="33" s="1"/>
  <c r="Z46" i="33"/>
  <c r="AG46" i="33" s="1"/>
  <c r="AT45" i="33"/>
  <c r="AU45" i="33" s="1"/>
  <c r="AX45" i="33" s="1"/>
  <c r="Z45" i="33"/>
  <c r="AG45" i="33" s="1"/>
  <c r="Z44" i="33"/>
  <c r="AG44" i="33" s="1"/>
  <c r="AT44" i="33"/>
  <c r="AU44" i="33" s="1"/>
  <c r="AX44" i="33" s="1"/>
  <c r="W43" i="33"/>
  <c r="AR43" i="33" s="1"/>
  <c r="W106" i="33"/>
  <c r="AR106" i="33" s="1"/>
  <c r="AC106" i="33"/>
  <c r="AT43" i="33"/>
  <c r="AU43" i="33" s="1"/>
  <c r="AT82" i="33"/>
  <c r="AU82" i="33" s="1"/>
  <c r="AC107" i="33"/>
  <c r="AS112" i="33"/>
  <c r="T94" i="10" s="1"/>
  <c r="Z55" i="33"/>
  <c r="AT55" i="33"/>
  <c r="AU55" i="33" s="1"/>
  <c r="Z70" i="33"/>
  <c r="AT70" i="33"/>
  <c r="AU70" i="33" s="1"/>
  <c r="AC110" i="33"/>
  <c r="Z110" i="33"/>
  <c r="Z69" i="33"/>
  <c r="AT69" i="33"/>
  <c r="AU69" i="33" s="1"/>
  <c r="Z109" i="33"/>
  <c r="Z103" i="33"/>
  <c r="Z56" i="33"/>
  <c r="AT56" i="33"/>
  <c r="AU56" i="33" s="1"/>
  <c r="Z54" i="33"/>
  <c r="AT54" i="33"/>
  <c r="AU54" i="33" s="1"/>
  <c r="Z58" i="33"/>
  <c r="AT58" i="33"/>
  <c r="AU58" i="33" s="1"/>
  <c r="Z108" i="33"/>
  <c r="Z107" i="33"/>
  <c r="Z104" i="33"/>
  <c r="Z106" i="33"/>
  <c r="Z57" i="33"/>
  <c r="AT57" i="33"/>
  <c r="AU57" i="33" s="1"/>
  <c r="Z71" i="33"/>
  <c r="AT71" i="33"/>
  <c r="AU71" i="33" s="1"/>
  <c r="Z111" i="33"/>
  <c r="Z105" i="33"/>
  <c r="AC104" i="33"/>
  <c r="Z82" i="33"/>
  <c r="BA112" i="33"/>
  <c r="AC105" i="33"/>
  <c r="AC82" i="33"/>
  <c r="AV82" i="33" s="1"/>
  <c r="BB112" i="33"/>
  <c r="BC112" i="33"/>
  <c r="AC109" i="33"/>
  <c r="AC103" i="33"/>
  <c r="AC108" i="33"/>
  <c r="AC111" i="33"/>
  <c r="AC71" i="33"/>
  <c r="AC69" i="33"/>
  <c r="AC55" i="33"/>
  <c r="BA73" i="33"/>
  <c r="Z43" i="33"/>
  <c r="AC54" i="33"/>
  <c r="AC56" i="33"/>
  <c r="BB73" i="33"/>
  <c r="AC43" i="33"/>
  <c r="AV43" i="33" s="1"/>
  <c r="BC73" i="33"/>
  <c r="AC70" i="33"/>
  <c r="AC58" i="33"/>
  <c r="AC57" i="33"/>
  <c r="N95" i="10"/>
  <c r="J95" i="10"/>
  <c r="AE112" i="33"/>
  <c r="Q78" i="33"/>
  <c r="ID654" i="5"/>
  <c r="B651" i="5" s="1"/>
  <c r="ID652" i="5"/>
  <c r="IB651" i="5"/>
  <c r="ID564" i="5"/>
  <c r="ID566" i="5"/>
  <c r="B563" i="5" s="1"/>
  <c r="IB563" i="5"/>
  <c r="ID415" i="5"/>
  <c r="B412" i="5" s="1"/>
  <c r="ID413" i="5"/>
  <c r="IB412" i="5"/>
  <c r="IB233" i="5"/>
  <c r="ID234" i="5"/>
  <c r="ID236" i="5"/>
  <c r="B233" i="5" s="1"/>
  <c r="ID430" i="5"/>
  <c r="B427" i="5" s="1"/>
  <c r="ID428" i="5"/>
  <c r="IB427" i="5"/>
  <c r="ID496" i="5"/>
  <c r="IB495" i="5"/>
  <c r="ID498" i="5"/>
  <c r="B495" i="5" s="1"/>
  <c r="ID153" i="5"/>
  <c r="B150" i="5" s="1"/>
  <c r="IB150" i="5"/>
  <c r="ID151" i="5"/>
  <c r="ID760" i="5"/>
  <c r="IB759" i="5"/>
  <c r="ID762" i="5"/>
  <c r="B759" i="5" s="1"/>
  <c r="ID677" i="5"/>
  <c r="ID679" i="5"/>
  <c r="B676" i="5" s="1"/>
  <c r="IB676" i="5"/>
  <c r="IB110" i="5"/>
  <c r="ID111" i="5"/>
  <c r="ID113" i="5"/>
  <c r="B110" i="5" s="1"/>
  <c r="IB374" i="5"/>
  <c r="ID375" i="5"/>
  <c r="ID377" i="5"/>
  <c r="B374" i="5" s="1"/>
  <c r="ID473" i="5"/>
  <c r="ID475" i="5"/>
  <c r="B472" i="5" s="1"/>
  <c r="IB472" i="5"/>
  <c r="ID772" i="5"/>
  <c r="B769" i="5" s="1"/>
  <c r="ID770" i="5"/>
  <c r="IB769" i="5"/>
  <c r="ID667" i="5"/>
  <c r="ID669" i="5"/>
  <c r="B666" i="5" s="1"/>
  <c r="IB666" i="5"/>
  <c r="ID750" i="5"/>
  <c r="ID752" i="5"/>
  <c r="B749" i="5" s="1"/>
  <c r="IB749" i="5"/>
  <c r="ID196" i="5"/>
  <c r="B193" i="5" s="1"/>
  <c r="IB193" i="5"/>
  <c r="ID194" i="5"/>
  <c r="ID584" i="5"/>
  <c r="ID586" i="5"/>
  <c r="B583" i="5" s="1"/>
  <c r="IB583" i="5"/>
  <c r="IB734" i="5"/>
  <c r="ID735" i="5"/>
  <c r="ID737" i="5"/>
  <c r="B734" i="5" s="1"/>
  <c r="EP92" i="8"/>
  <c r="AE73" i="33"/>
  <c r="Q39" i="33"/>
  <c r="EM107" i="8" a="1"/>
  <c r="EM107" i="8" s="1"/>
  <c r="EM118" i="8" a="1"/>
  <c r="EM104" i="8" a="1"/>
  <c r="EM104" i="8" s="1"/>
  <c r="EM103" i="8" a="1"/>
  <c r="EM109" i="8" a="1"/>
  <c r="EM109" i="8" s="1"/>
  <c r="EM108" i="8" a="1"/>
  <c r="EM108" i="8" s="1"/>
  <c r="EM97" i="8" a="1"/>
  <c r="EM97" i="8" s="1"/>
  <c r="EM98" i="8" a="1"/>
  <c r="EM98" i="8" s="1"/>
  <c r="EM96" i="8" a="1"/>
  <c r="EM96" i="8" s="1"/>
  <c r="EM94" i="8" a="1"/>
  <c r="EM106" i="8" a="1"/>
  <c r="EM106" i="8" s="1"/>
  <c r="EM102" i="8" a="1"/>
  <c r="EM102" i="8" s="1"/>
  <c r="EM115" i="8" a="1"/>
  <c r="EM114" i="8" a="1"/>
  <c r="EM114" i="8" s="1"/>
  <c r="EM95" i="8" a="1"/>
  <c r="EM95" i="8" s="1"/>
  <c r="EM111" i="8" a="1"/>
  <c r="EM111" i="8" s="1"/>
  <c r="EM113" i="8" a="1"/>
  <c r="EM113" i="8" s="1"/>
  <c r="EM123" i="8" a="1"/>
  <c r="EM123" i="8" s="1"/>
  <c r="EM116" i="8" a="1"/>
  <c r="EM116" i="8" s="1"/>
  <c r="EM105" i="8" a="1"/>
  <c r="EM105" i="8" s="1"/>
  <c r="EM120" i="8" a="1"/>
  <c r="EM120" i="8" s="1"/>
  <c r="EM119" i="8" a="1"/>
  <c r="EM119" i="8" s="1"/>
  <c r="EM117" i="8" a="1"/>
  <c r="EM117" i="8" s="1"/>
  <c r="EM122" i="8" a="1"/>
  <c r="EM122" i="8" s="1"/>
  <c r="EM101" i="8" a="1"/>
  <c r="EM124" i="8" a="1"/>
  <c r="EM100" i="8" a="1"/>
  <c r="EM100" i="8" s="1"/>
  <c r="EM110" i="8" a="1"/>
  <c r="EM110" i="8" s="1"/>
  <c r="EM125" i="8" a="1"/>
  <c r="EM125" i="8" s="1"/>
  <c r="EM112" i="8" a="1"/>
  <c r="EM112" i="8" s="1"/>
  <c r="EM99" i="8" a="1"/>
  <c r="EM99" i="8" s="1"/>
  <c r="EM121" i="8" a="1"/>
  <c r="EM121" i="8" s="1"/>
  <c r="EN126" i="8"/>
  <c r="EL126" i="8"/>
  <c r="EN141" i="8"/>
  <c r="EL141" i="8"/>
  <c r="EN130" i="8"/>
  <c r="EL130" i="8"/>
  <c r="EL123" i="8"/>
  <c r="EN123" i="8"/>
  <c r="EL128" i="8"/>
  <c r="EN128" i="8"/>
  <c r="EN138" i="8"/>
  <c r="EL138" i="8"/>
  <c r="EL116" i="8"/>
  <c r="EN116" i="8"/>
  <c r="EL95" i="8"/>
  <c r="EN95" i="8"/>
  <c r="EL127" i="8"/>
  <c r="EN127" i="8"/>
  <c r="EN118" i="8"/>
  <c r="EL118" i="8"/>
  <c r="EM118" i="8"/>
  <c r="EL131" i="8"/>
  <c r="EN131" i="8"/>
  <c r="EL120" i="8"/>
  <c r="EN120" i="8"/>
  <c r="EN104" i="8"/>
  <c r="EL104" i="8"/>
  <c r="EL119" i="8"/>
  <c r="EN119" i="8"/>
  <c r="EN133" i="8"/>
  <c r="EL133" i="8"/>
  <c r="EN117" i="8"/>
  <c r="EL117" i="8"/>
  <c r="EL103" i="8"/>
  <c r="EN103" i="8"/>
  <c r="EM103" i="8"/>
  <c r="EN109" i="8"/>
  <c r="EL109" i="8"/>
  <c r="EL108" i="8"/>
  <c r="EN108" i="8"/>
  <c r="EL136" i="8"/>
  <c r="EN136" i="8"/>
  <c r="EN122" i="8"/>
  <c r="EL122" i="8"/>
  <c r="EN97" i="8"/>
  <c r="EL97" i="8"/>
  <c r="EN101" i="8"/>
  <c r="EL101" i="8"/>
  <c r="EM101" i="8"/>
  <c r="EN142" i="8"/>
  <c r="EL142" i="8"/>
  <c r="EN134" i="8"/>
  <c r="EL134" i="8"/>
  <c r="EL124" i="8"/>
  <c r="EN124" i="8"/>
  <c r="EM124" i="8"/>
  <c r="EL111" i="8"/>
  <c r="EN111" i="8"/>
  <c r="EL98" i="8"/>
  <c r="EN98" i="8"/>
  <c r="EN96" i="8"/>
  <c r="EL96" i="8"/>
  <c r="EL94" i="8"/>
  <c r="EM94" i="8"/>
  <c r="EN94" i="8"/>
  <c r="EN129" i="8"/>
  <c r="EL129" i="8"/>
  <c r="EN112" i="8"/>
  <c r="EL112" i="8"/>
  <c r="EL135" i="8"/>
  <c r="EN135" i="8"/>
  <c r="EN113" i="8"/>
  <c r="EL113" i="8"/>
  <c r="EL100" i="8"/>
  <c r="EN100" i="8"/>
  <c r="EL110" i="8"/>
  <c r="EN110" i="8"/>
  <c r="EN125" i="8"/>
  <c r="EL125" i="8"/>
  <c r="EL139" i="8"/>
  <c r="EN139" i="8"/>
  <c r="EL107" i="8"/>
  <c r="EN107" i="8"/>
  <c r="EN105" i="8"/>
  <c r="EL105" i="8"/>
  <c r="EL106" i="8"/>
  <c r="EN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L132" i="8"/>
  <c r="EN132" i="8"/>
  <c r="EN137" i="8"/>
  <c r="EL137" i="8"/>
  <c r="EL115" i="8"/>
  <c r="EN115" i="8"/>
  <c r="EM115" i="8"/>
  <c r="EL99" i="8"/>
  <c r="EN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10" i="3"/>
  <c r="B311" i="3"/>
  <c r="B312" i="3"/>
  <c r="B313" i="3"/>
  <c r="B314" i="3"/>
  <c r="B315" i="3"/>
  <c r="B316" i="3"/>
  <c r="B317" i="3"/>
  <c r="B318" i="3"/>
  <c r="B319" i="3"/>
  <c r="B320" i="3"/>
  <c r="B321" i="3"/>
  <c r="B322" i="3"/>
  <c r="B323" i="3"/>
  <c r="B324" i="3"/>
  <c r="B325" i="3"/>
  <c r="B326" i="3"/>
  <c r="B327" i="3"/>
  <c r="B328" i="3"/>
  <c r="B329" i="3"/>
  <c r="B330" i="3"/>
  <c r="B309" i="3"/>
  <c r="A302" i="3"/>
  <c r="A303" i="3"/>
  <c r="A304" i="3"/>
  <c r="A305" i="3"/>
  <c r="A306" i="3"/>
  <c r="A309" i="3"/>
  <c r="A310" i="3"/>
  <c r="A311" i="3"/>
  <c r="A312" i="3"/>
  <c r="A313" i="3"/>
  <c r="A314" i="3"/>
  <c r="A315" i="3"/>
  <c r="A316" i="3"/>
  <c r="A317" i="3"/>
  <c r="A318" i="3"/>
  <c r="A319" i="3"/>
  <c r="A320" i="3"/>
  <c r="A321" i="3"/>
  <c r="A322" i="3"/>
  <c r="A323" i="3"/>
  <c r="A324" i="3"/>
  <c r="A325" i="3"/>
  <c r="A326" i="3"/>
  <c r="A327" i="3"/>
  <c r="A328" i="3"/>
  <c r="A329" i="3"/>
  <c r="A330" i="3"/>
  <c r="A332" i="3"/>
  <c r="A333" i="3"/>
  <c r="A334" i="3"/>
  <c r="A335" i="3"/>
  <c r="A336" i="3"/>
  <c r="A337" i="3"/>
  <c r="A338" i="3"/>
  <c r="A339" i="3"/>
  <c r="A340" i="3"/>
  <c r="A341" i="3"/>
  <c r="A342" i="3"/>
  <c r="A343" i="3"/>
  <c r="A344" i="3"/>
  <c r="A345" i="3"/>
  <c r="A346" i="3"/>
  <c r="A347" i="3"/>
  <c r="A348" i="3"/>
  <c r="A349" i="3"/>
  <c r="A350" i="3"/>
  <c r="A351" i="3"/>
  <c r="A352"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7" i="3"/>
  <c r="B228" i="3"/>
  <c r="B229" i="3"/>
  <c r="B244" i="3"/>
  <c r="B245" i="3"/>
  <c r="B246" i="3"/>
  <c r="B247" i="3"/>
  <c r="B238" i="3"/>
  <c r="B239" i="3"/>
  <c r="B240" i="3"/>
  <c r="B241" i="3"/>
  <c r="B242" i="3"/>
  <c r="B243" i="3"/>
  <c r="B232" i="3"/>
  <c r="B233" i="3"/>
  <c r="B234" i="3"/>
  <c r="B235" i="3"/>
  <c r="B236" i="3"/>
  <c r="B237"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50" i="3"/>
  <c r="B251" i="3"/>
  <c r="B252" i="3"/>
  <c r="B253" i="3"/>
  <c r="B254" i="3"/>
  <c r="B255" i="3"/>
  <c r="B256" i="3"/>
  <c r="B257" i="3"/>
  <c r="B258" i="3"/>
  <c r="B259"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2" i="3"/>
  <c r="B303" i="3"/>
  <c r="B304" i="3"/>
  <c r="B305" i="3"/>
  <c r="B306" i="3"/>
  <c r="B332" i="3"/>
  <c r="B333" i="3"/>
  <c r="B334" i="3"/>
  <c r="B335" i="3"/>
  <c r="B336" i="3"/>
  <c r="B337" i="3"/>
  <c r="B338" i="3"/>
  <c r="B339" i="3"/>
  <c r="B340" i="3"/>
  <c r="B341" i="3"/>
  <c r="B342" i="3"/>
  <c r="B343" i="3"/>
  <c r="B344" i="3"/>
  <c r="B345" i="3"/>
  <c r="B346" i="3"/>
  <c r="B347" i="3"/>
  <c r="B348" i="3"/>
  <c r="B349" i="3"/>
  <c r="B350" i="3"/>
  <c r="B351" i="3"/>
  <c r="B352" i="3"/>
  <c r="B17" i="3"/>
  <c r="B18" i="3"/>
  <c r="B19" i="3"/>
  <c r="B20" i="3"/>
  <c r="B21" i="3"/>
  <c r="B16" i="3"/>
  <c r="B8" i="3"/>
  <c r="B7"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274" i="3"/>
  <c r="A264" i="3"/>
  <c r="A265" i="3"/>
  <c r="A266" i="3"/>
  <c r="A267" i="3"/>
  <c r="A268" i="3"/>
  <c r="A269" i="3"/>
  <c r="A270" i="3"/>
  <c r="A271" i="3"/>
  <c r="A262" i="3"/>
  <c r="A263" i="3"/>
  <c r="A251" i="3"/>
  <c r="A252" i="3"/>
  <c r="A253" i="3"/>
  <c r="A254" i="3"/>
  <c r="A255" i="3"/>
  <c r="A256" i="3"/>
  <c r="A257" i="3"/>
  <c r="A258" i="3"/>
  <c r="A259" i="3"/>
  <c r="A250" i="3"/>
  <c r="A237" i="3"/>
  <c r="A243"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7" i="3"/>
  <c r="A228" i="3"/>
  <c r="A229" i="3"/>
  <c r="A244" i="3"/>
  <c r="A245" i="3"/>
  <c r="A246" i="3"/>
  <c r="A247" i="3"/>
  <c r="A238" i="3"/>
  <c r="A232" i="3"/>
  <c r="A239" i="3"/>
  <c r="A233" i="3"/>
  <c r="A240" i="3"/>
  <c r="A234" i="3"/>
  <c r="A241" i="3"/>
  <c r="A235" i="3"/>
  <c r="A242" i="3"/>
  <c r="A236" i="3"/>
  <c r="D10" i="4"/>
  <c r="D9" i="4"/>
  <c r="B7" i="4"/>
  <c r="B9" i="4" s="1"/>
  <c r="B10" i="4"/>
  <c r="J301" i="19"/>
  <c r="BO28" i="22"/>
  <c r="J284" i="19"/>
  <c r="CA29" i="22"/>
  <c r="N279" i="19"/>
  <c r="J282" i="19"/>
  <c r="L276" i="19"/>
  <c r="J296" i="19"/>
  <c r="N277" i="19"/>
  <c r="BW26" i="22"/>
  <c r="L296" i="19"/>
  <c r="BS33" i="22"/>
  <c r="J278" i="19"/>
  <c r="J276" i="19"/>
  <c r="N299" i="19"/>
  <c r="BM35" i="22"/>
  <c r="N296" i="19"/>
  <c r="BU28" i="22"/>
  <c r="L285" i="19"/>
  <c r="CC32" i="22"/>
  <c r="E296" i="19"/>
  <c r="J302" i="19"/>
  <c r="J285" i="19"/>
  <c r="L302" i="19"/>
  <c r="N282" i="19"/>
  <c r="L278" i="19"/>
  <c r="O300" i="19"/>
  <c r="L301" i="19"/>
  <c r="L277" i="19"/>
  <c r="L303" i="19"/>
  <c r="J297" i="19"/>
  <c r="L297" i="19"/>
  <c r="N284" i="19"/>
  <c r="G290" i="19"/>
  <c r="L284" i="19"/>
  <c r="BU25" i="22"/>
  <c r="BY24" i="22"/>
  <c r="N278" i="19"/>
  <c r="BM27" i="22"/>
  <c r="L283" i="19"/>
  <c r="J283" i="19"/>
  <c r="J281" i="19"/>
  <c r="L279" i="19"/>
  <c r="J277" i="19"/>
  <c r="N283" i="19"/>
  <c r="O295" i="19"/>
  <c r="BO24" i="22"/>
  <c r="N285" i="19"/>
  <c r="BY28" i="22"/>
  <c r="BU37" i="22"/>
  <c r="L282" i="19"/>
  <c r="N302" i="19"/>
  <c r="CC27" i="22"/>
  <c r="L290" i="19"/>
  <c r="E290" i="19"/>
  <c r="BO36" i="22"/>
  <c r="N301" i="19"/>
  <c r="O298" i="19"/>
  <c r="CC34" i="22"/>
  <c r="CA26" i="22"/>
  <c r="J299" i="19"/>
  <c r="N281" i="19"/>
  <c r="O304" i="19"/>
  <c r="J303" i="19"/>
  <c r="J279" i="19"/>
  <c r="N276" i="19"/>
  <c r="L281" i="19"/>
  <c r="N280" i="19"/>
  <c r="J280" i="19"/>
  <c r="CC30" i="22"/>
  <c r="N297" i="19"/>
  <c r="N303" i="19"/>
  <c r="O294" i="19"/>
  <c r="O286" i="19"/>
  <c r="L299" i="19"/>
  <c r="E272" i="19"/>
  <c r="L280" i="19"/>
  <c r="CA31" i="22"/>
  <c r="AG88" i="33" l="1"/>
  <c r="AG86" i="33"/>
  <c r="AG48" i="33"/>
  <c r="AG92" i="33"/>
  <c r="AG87" i="33"/>
  <c r="AG98" i="33"/>
  <c r="AG100" i="33"/>
  <c r="AG64" i="33"/>
  <c r="AG99" i="33"/>
  <c r="AG61" i="33"/>
  <c r="AG95" i="33"/>
  <c r="AG49" i="33"/>
  <c r="AG52" i="33"/>
  <c r="AG67" i="33"/>
  <c r="AG94" i="33"/>
  <c r="AG59" i="33"/>
  <c r="AG65" i="33"/>
  <c r="AG84" i="33"/>
  <c r="AG102" i="33"/>
  <c r="AR112" i="33"/>
  <c r="AS73" i="33"/>
  <c r="T91" i="10" s="1"/>
  <c r="T96" i="10" s="1"/>
  <c r="CW173" i="5"/>
  <c r="IC175" i="5"/>
  <c r="AO173" i="5"/>
  <c r="DK173" i="5"/>
  <c r="EF173" i="5"/>
  <c r="ES173" i="5"/>
  <c r="JZ175" i="5"/>
  <c r="EO173" i="5"/>
  <c r="EQ173" i="5"/>
  <c r="DF175" i="5"/>
  <c r="EK173" i="5"/>
  <c r="CX175" i="5"/>
  <c r="CW175" i="5"/>
  <c r="FG173" i="5" s="1"/>
  <c r="EG173" i="5"/>
  <c r="AO175" i="5"/>
  <c r="DF173" i="5"/>
  <c r="CV173" i="5"/>
  <c r="IC173" i="5"/>
  <c r="JJ175" i="5"/>
  <c r="DA173" i="5"/>
  <c r="CV175" i="5"/>
  <c r="EI173" i="5"/>
  <c r="AR173" i="5"/>
  <c r="EM173" i="5" s="1"/>
  <c r="EN173" i="5"/>
  <c r="CY175" i="5"/>
  <c r="ER173" i="5"/>
  <c r="EP173" i="5"/>
  <c r="DB173" i="5"/>
  <c r="ED173" i="5"/>
  <c r="CY173" i="5"/>
  <c r="EL173" i="5"/>
  <c r="DC173" i="5"/>
  <c r="DG175" i="5"/>
  <c r="DS173" i="5" s="1"/>
  <c r="DJ173" i="5"/>
  <c r="DJ175" i="5"/>
  <c r="CZ173" i="5"/>
  <c r="CZ175" i="5"/>
  <c r="W112" i="33"/>
  <c r="AG106" i="33"/>
  <c r="AG107" i="33"/>
  <c r="Q79" i="33"/>
  <c r="AG111" i="33"/>
  <c r="AG70" i="33"/>
  <c r="AG69" i="33"/>
  <c r="AG71" i="33"/>
  <c r="AG55" i="33"/>
  <c r="AG103" i="33"/>
  <c r="AG110" i="33"/>
  <c r="AG57" i="33"/>
  <c r="Z112" i="33"/>
  <c r="AT112" i="33"/>
  <c r="Z73" i="33"/>
  <c r="AC112" i="33"/>
  <c r="AT73" i="33"/>
  <c r="AG104" i="33"/>
  <c r="AG108" i="33"/>
  <c r="AG82" i="33"/>
  <c r="AV112" i="33"/>
  <c r="U94" i="10" s="1"/>
  <c r="AG105" i="33"/>
  <c r="AG109" i="33"/>
  <c r="AR55" i="33"/>
  <c r="AR54" i="33"/>
  <c r="AC73" i="33"/>
  <c r="AG43" i="33"/>
  <c r="AG58" i="33"/>
  <c r="AG56" i="33"/>
  <c r="AG54" i="33"/>
  <c r="W73" i="33"/>
  <c r="DK734" i="5"/>
  <c r="EQ734" i="5"/>
  <c r="EF734" i="5"/>
  <c r="JJ736" i="5"/>
  <c r="CZ734" i="5"/>
  <c r="DF734" i="5"/>
  <c r="AR734" i="5"/>
  <c r="EM734" i="5" s="1"/>
  <c r="DC734" i="5"/>
  <c r="DF736" i="5"/>
  <c r="DJ736" i="5"/>
  <c r="CY734" i="5"/>
  <c r="EG734" i="5"/>
  <c r="CV734" i="5"/>
  <c r="CW736" i="5"/>
  <c r="FG734" i="5" s="1"/>
  <c r="DJ734" i="5"/>
  <c r="IC734" i="5"/>
  <c r="ED734" i="5"/>
  <c r="DA734" i="5"/>
  <c r="DB734" i="5"/>
  <c r="CZ736" i="5"/>
  <c r="CW734" i="5"/>
  <c r="EN734" i="5"/>
  <c r="JZ736" i="5"/>
  <c r="IC736" i="5"/>
  <c r="ER734" i="5"/>
  <c r="EI734" i="5"/>
  <c r="DG736" i="5"/>
  <c r="DS734" i="5" s="1"/>
  <c r="EL734" i="5"/>
  <c r="CY736" i="5"/>
  <c r="CV736" i="5"/>
  <c r="EO734" i="5"/>
  <c r="EP734" i="5"/>
  <c r="CX736" i="5"/>
  <c r="ES734" i="5"/>
  <c r="EK734" i="5"/>
  <c r="AO734" i="5"/>
  <c r="AO736" i="5"/>
  <c r="CW193" i="5"/>
  <c r="AO195" i="5"/>
  <c r="EK193" i="5"/>
  <c r="DG195" i="5"/>
  <c r="DS193" i="5" s="1"/>
  <c r="EN193" i="5"/>
  <c r="AR193" i="5"/>
  <c r="EM193" i="5" s="1"/>
  <c r="CY195" i="5"/>
  <c r="EQ193" i="5"/>
  <c r="CV193" i="5"/>
  <c r="DJ195" i="5"/>
  <c r="CW195" i="5"/>
  <c r="FG193" i="5" s="1"/>
  <c r="EG193" i="5"/>
  <c r="DA193" i="5"/>
  <c r="DC193" i="5"/>
  <c r="CZ193" i="5"/>
  <c r="DB193" i="5"/>
  <c r="CY193" i="5"/>
  <c r="EP193" i="5"/>
  <c r="JZ195" i="5"/>
  <c r="DJ193" i="5"/>
  <c r="DF195" i="5"/>
  <c r="ES193" i="5"/>
  <c r="DF193" i="5"/>
  <c r="AO193" i="5"/>
  <c r="CZ195" i="5"/>
  <c r="IC195" i="5"/>
  <c r="IC193" i="5"/>
  <c r="EI193" i="5"/>
  <c r="EL193" i="5"/>
  <c r="ED193" i="5"/>
  <c r="JJ195" i="5"/>
  <c r="CV195" i="5"/>
  <c r="CX195" i="5"/>
  <c r="EO193" i="5"/>
  <c r="DK193" i="5"/>
  <c r="EF193" i="5"/>
  <c r="ER193" i="5"/>
  <c r="AO771" i="5"/>
  <c r="EF769" i="5"/>
  <c r="EO769" i="5"/>
  <c r="DA769" i="5"/>
  <c r="DJ771" i="5"/>
  <c r="CY769" i="5"/>
  <c r="EL769" i="5"/>
  <c r="JJ771" i="5"/>
  <c r="DG771" i="5"/>
  <c r="DS769" i="5" s="1"/>
  <c r="CZ769" i="5"/>
  <c r="DF769" i="5"/>
  <c r="CX771" i="5"/>
  <c r="AR769" i="5"/>
  <c r="EM769" i="5" s="1"/>
  <c r="ES769" i="5"/>
  <c r="EQ769" i="5"/>
  <c r="DC769" i="5"/>
  <c r="EP769" i="5"/>
  <c r="CW771" i="5"/>
  <c r="FG769" i="5" s="1"/>
  <c r="EN769" i="5"/>
  <c r="JZ771" i="5"/>
  <c r="EG769" i="5"/>
  <c r="AO769" i="5"/>
  <c r="ED769" i="5"/>
  <c r="DF771" i="5"/>
  <c r="CW769" i="5"/>
  <c r="CY771" i="5"/>
  <c r="DK769" i="5"/>
  <c r="IC769" i="5"/>
  <c r="EI769" i="5"/>
  <c r="CV771" i="5"/>
  <c r="DB769" i="5"/>
  <c r="DJ769" i="5"/>
  <c r="EK769" i="5"/>
  <c r="CV769" i="5"/>
  <c r="CZ771" i="5"/>
  <c r="ER769" i="5"/>
  <c r="IC771" i="5"/>
  <c r="IC374" i="5"/>
  <c r="DC374" i="5"/>
  <c r="DA374" i="5"/>
  <c r="IC376" i="5"/>
  <c r="EF374" i="5"/>
  <c r="JZ376" i="5"/>
  <c r="EQ374" i="5"/>
  <c r="EG374" i="5"/>
  <c r="DF376" i="5"/>
  <c r="EO374" i="5"/>
  <c r="JJ376" i="5"/>
  <c r="CV374" i="5"/>
  <c r="AR374" i="5"/>
  <c r="EM374" i="5" s="1"/>
  <c r="EP374" i="5"/>
  <c r="AO374" i="5"/>
  <c r="CY374" i="5"/>
  <c r="DF374" i="5"/>
  <c r="CV376" i="5"/>
  <c r="EK374" i="5"/>
  <c r="EI374" i="5"/>
  <c r="AO376" i="5"/>
  <c r="DJ374" i="5"/>
  <c r="ES374" i="5"/>
  <c r="CW374" i="5"/>
  <c r="DG376" i="5"/>
  <c r="DS374" i="5" s="1"/>
  <c r="DK374" i="5"/>
  <c r="CZ376" i="5"/>
  <c r="CX376" i="5"/>
  <c r="DB374" i="5"/>
  <c r="ED374" i="5"/>
  <c r="ER374" i="5"/>
  <c r="CZ374" i="5"/>
  <c r="CY376" i="5"/>
  <c r="DJ376" i="5"/>
  <c r="EN374" i="5"/>
  <c r="CW376" i="5"/>
  <c r="FG374" i="5" s="1"/>
  <c r="EL374" i="5"/>
  <c r="EQ759" i="5"/>
  <c r="CV759" i="5"/>
  <c r="ER759" i="5"/>
  <c r="CY761" i="5"/>
  <c r="AO759" i="5"/>
  <c r="DC759" i="5"/>
  <c r="EN759" i="5"/>
  <c r="CW761" i="5"/>
  <c r="FG759" i="5" s="1"/>
  <c r="ES759" i="5"/>
  <c r="CX761" i="5"/>
  <c r="EP759" i="5"/>
  <c r="DB759" i="5"/>
  <c r="IC761" i="5"/>
  <c r="IC759" i="5"/>
  <c r="ED759" i="5"/>
  <c r="JZ761" i="5"/>
  <c r="CW759" i="5"/>
  <c r="DJ761" i="5"/>
  <c r="DK759" i="5"/>
  <c r="DF759" i="5"/>
  <c r="DF761" i="5"/>
  <c r="AR759" i="5"/>
  <c r="EM759" i="5" s="1"/>
  <c r="CZ761" i="5"/>
  <c r="EG759" i="5"/>
  <c r="EI759" i="5"/>
  <c r="CV761" i="5"/>
  <c r="EF759" i="5"/>
  <c r="DJ759" i="5"/>
  <c r="EK759" i="5"/>
  <c r="CY759" i="5"/>
  <c r="EL759" i="5"/>
  <c r="AO761" i="5"/>
  <c r="JJ761" i="5"/>
  <c r="EO759" i="5"/>
  <c r="DA759" i="5"/>
  <c r="CZ759" i="5"/>
  <c r="DG761" i="5"/>
  <c r="DS759" i="5" s="1"/>
  <c r="EG427" i="5"/>
  <c r="DA427" i="5"/>
  <c r="JJ429" i="5"/>
  <c r="CY427" i="5"/>
  <c r="DJ427" i="5"/>
  <c r="DK427" i="5"/>
  <c r="ED427" i="5"/>
  <c r="EP427" i="5"/>
  <c r="EL427" i="5"/>
  <c r="DB427" i="5"/>
  <c r="CW427" i="5"/>
  <c r="CZ427" i="5"/>
  <c r="AR427" i="5"/>
  <c r="EM427" i="5" s="1"/>
  <c r="JZ429" i="5"/>
  <c r="EO427" i="5"/>
  <c r="AO429" i="5"/>
  <c r="EK427" i="5"/>
  <c r="CV427" i="5"/>
  <c r="DG429" i="5"/>
  <c r="DS427" i="5" s="1"/>
  <c r="CZ429" i="5"/>
  <c r="CY429" i="5"/>
  <c r="DC427" i="5"/>
  <c r="IC429" i="5"/>
  <c r="IC427" i="5"/>
  <c r="EI427" i="5"/>
  <c r="CW429" i="5"/>
  <c r="FG427" i="5" s="1"/>
  <c r="DJ429" i="5"/>
  <c r="EQ427" i="5"/>
  <c r="EF427" i="5"/>
  <c r="DF427" i="5"/>
  <c r="AO427" i="5"/>
  <c r="ES427" i="5"/>
  <c r="ER427" i="5"/>
  <c r="CV429" i="5"/>
  <c r="DF429" i="5"/>
  <c r="CX429" i="5"/>
  <c r="EN427" i="5"/>
  <c r="ES583" i="5"/>
  <c r="ED583" i="5"/>
  <c r="CX585" i="5"/>
  <c r="CW583" i="5"/>
  <c r="CW585" i="5"/>
  <c r="FG583" i="5" s="1"/>
  <c r="EN583" i="5"/>
  <c r="JJ585" i="5"/>
  <c r="DF583" i="5"/>
  <c r="AO585" i="5"/>
  <c r="DB583" i="5"/>
  <c r="DA583" i="5"/>
  <c r="DC583" i="5"/>
  <c r="DF585" i="5"/>
  <c r="EI583" i="5"/>
  <c r="EG583" i="5"/>
  <c r="DK583" i="5"/>
  <c r="DG585" i="5"/>
  <c r="DS583" i="5" s="1"/>
  <c r="IC585" i="5"/>
  <c r="EO583" i="5"/>
  <c r="AR583" i="5"/>
  <c r="EM583" i="5" s="1"/>
  <c r="DJ585" i="5"/>
  <c r="CV585" i="5"/>
  <c r="JZ585" i="5"/>
  <c r="EP583" i="5"/>
  <c r="IC583" i="5"/>
  <c r="EF583" i="5"/>
  <c r="AO583" i="5"/>
  <c r="EL583" i="5"/>
  <c r="CY585" i="5"/>
  <c r="CZ585" i="5"/>
  <c r="DJ583" i="5"/>
  <c r="EK583" i="5"/>
  <c r="CZ583" i="5"/>
  <c r="CY583" i="5"/>
  <c r="ER583" i="5"/>
  <c r="CV583" i="5"/>
  <c r="EQ583" i="5"/>
  <c r="ER563" i="5"/>
  <c r="ED563" i="5"/>
  <c r="DF565" i="5"/>
  <c r="EK563" i="5"/>
  <c r="DJ565" i="5"/>
  <c r="EL563" i="5"/>
  <c r="IC565" i="5"/>
  <c r="IC563" i="5"/>
  <c r="EI563" i="5"/>
  <c r="DK563" i="5"/>
  <c r="EP563" i="5"/>
  <c r="AO563" i="5"/>
  <c r="EO563" i="5"/>
  <c r="JJ565" i="5"/>
  <c r="DG565" i="5"/>
  <c r="DS563" i="5" s="1"/>
  <c r="CV565" i="5"/>
  <c r="EF563" i="5"/>
  <c r="DC563" i="5"/>
  <c r="CV563" i="5"/>
  <c r="CY563" i="5"/>
  <c r="ES563" i="5"/>
  <c r="AO565" i="5"/>
  <c r="EG563" i="5"/>
  <c r="AR563" i="5"/>
  <c r="EM563" i="5" s="1"/>
  <c r="CY565" i="5"/>
  <c r="EQ563" i="5"/>
  <c r="CZ563" i="5"/>
  <c r="DF563" i="5"/>
  <c r="DA563" i="5"/>
  <c r="CW563" i="5"/>
  <c r="EN563" i="5"/>
  <c r="CZ565" i="5"/>
  <c r="DJ563" i="5"/>
  <c r="DB563" i="5"/>
  <c r="CW565" i="5"/>
  <c r="FG563" i="5" s="1"/>
  <c r="JZ565" i="5"/>
  <c r="CX565" i="5"/>
  <c r="AR749" i="5"/>
  <c r="EM749" i="5" s="1"/>
  <c r="CV751" i="5"/>
  <c r="DF749" i="5"/>
  <c r="JJ751" i="5"/>
  <c r="CW751" i="5"/>
  <c r="FG749" i="5" s="1"/>
  <c r="EN749" i="5"/>
  <c r="ER749" i="5"/>
  <c r="DK749" i="5"/>
  <c r="AO749" i="5"/>
  <c r="EF749" i="5"/>
  <c r="DF751" i="5"/>
  <c r="CY749" i="5"/>
  <c r="CY751" i="5"/>
  <c r="EQ749" i="5"/>
  <c r="CX751" i="5"/>
  <c r="CZ751" i="5"/>
  <c r="ES749" i="5"/>
  <c r="EG749" i="5"/>
  <c r="EL749" i="5"/>
  <c r="EK749" i="5"/>
  <c r="CZ749" i="5"/>
  <c r="DB749" i="5"/>
  <c r="CW749" i="5"/>
  <c r="ED749" i="5"/>
  <c r="CV749" i="5"/>
  <c r="DJ751" i="5"/>
  <c r="IC751" i="5"/>
  <c r="AO751" i="5"/>
  <c r="DC749" i="5"/>
  <c r="DA749" i="5"/>
  <c r="DJ749" i="5"/>
  <c r="DG751" i="5"/>
  <c r="DS749" i="5" s="1"/>
  <c r="EO749" i="5"/>
  <c r="IC749" i="5"/>
  <c r="EI749" i="5"/>
  <c r="EP749" i="5"/>
  <c r="JZ751" i="5"/>
  <c r="AR472" i="5"/>
  <c r="EM472" i="5" s="1"/>
  <c r="EP472" i="5"/>
  <c r="AO472" i="5"/>
  <c r="CV472" i="5"/>
  <c r="CV474" i="5"/>
  <c r="DK472" i="5"/>
  <c r="CY474" i="5"/>
  <c r="CW474" i="5"/>
  <c r="FG472" i="5" s="1"/>
  <c r="EO472" i="5"/>
  <c r="EN472" i="5"/>
  <c r="JJ474" i="5"/>
  <c r="EQ472" i="5"/>
  <c r="CY472" i="5"/>
  <c r="DF474" i="5"/>
  <c r="ES472" i="5"/>
  <c r="DF472" i="5"/>
  <c r="CW472" i="5"/>
  <c r="ER472" i="5"/>
  <c r="CX474" i="5"/>
  <c r="DB472" i="5"/>
  <c r="IC474" i="5"/>
  <c r="DJ472" i="5"/>
  <c r="EI472" i="5"/>
  <c r="EG472" i="5"/>
  <c r="EF472" i="5"/>
  <c r="IC472" i="5"/>
  <c r="CZ472" i="5"/>
  <c r="DG474" i="5"/>
  <c r="DS472" i="5" s="1"/>
  <c r="AO474" i="5"/>
  <c r="EK472" i="5"/>
  <c r="ED472" i="5"/>
  <c r="DJ474" i="5"/>
  <c r="DC472" i="5"/>
  <c r="DA472" i="5"/>
  <c r="JZ474" i="5"/>
  <c r="EL472" i="5"/>
  <c r="CZ474" i="5"/>
  <c r="JZ112" i="5"/>
  <c r="CY110" i="5"/>
  <c r="EO110" i="5"/>
  <c r="DK110" i="5"/>
  <c r="CZ112" i="5"/>
  <c r="DC110" i="5"/>
  <c r="EL110" i="5"/>
  <c r="JJ112" i="5"/>
  <c r="AO112" i="5"/>
  <c r="EK110" i="5"/>
  <c r="CV110" i="5"/>
  <c r="ER110" i="5"/>
  <c r="IC112" i="5"/>
  <c r="IC110" i="5"/>
  <c r="EP110" i="5"/>
  <c r="EI110" i="5"/>
  <c r="CX112" i="5"/>
  <c r="DB110" i="5"/>
  <c r="CV112" i="5"/>
  <c r="DG112" i="5"/>
  <c r="DS110" i="5" s="1"/>
  <c r="ED110" i="5"/>
  <c r="CW112" i="5"/>
  <c r="FG110" i="5" s="1"/>
  <c r="EG110" i="5"/>
  <c r="DA110" i="5"/>
  <c r="AO110" i="5"/>
  <c r="DF110" i="5"/>
  <c r="CW110" i="5"/>
  <c r="DF112" i="5"/>
  <c r="ES110" i="5"/>
  <c r="DJ110" i="5"/>
  <c r="EF110" i="5"/>
  <c r="EQ110" i="5"/>
  <c r="EN110" i="5"/>
  <c r="AR110" i="5"/>
  <c r="EM110" i="5" s="1"/>
  <c r="CY112" i="5"/>
  <c r="CZ110" i="5"/>
  <c r="DJ112" i="5"/>
  <c r="EL150" i="5"/>
  <c r="DB150" i="5"/>
  <c r="EG150" i="5"/>
  <c r="ES150" i="5"/>
  <c r="DJ150" i="5"/>
  <c r="IC152" i="5"/>
  <c r="ED150" i="5"/>
  <c r="EF150" i="5"/>
  <c r="AR150" i="5"/>
  <c r="EM150" i="5" s="1"/>
  <c r="CZ152" i="5"/>
  <c r="EP150" i="5"/>
  <c r="EO150" i="5"/>
  <c r="DF152" i="5"/>
  <c r="CW152" i="5"/>
  <c r="FG150" i="5" s="1"/>
  <c r="CZ150" i="5"/>
  <c r="DA150" i="5"/>
  <c r="JJ152" i="5"/>
  <c r="DK150" i="5"/>
  <c r="EI150" i="5"/>
  <c r="EN150" i="5"/>
  <c r="DJ152" i="5"/>
  <c r="DF150" i="5"/>
  <c r="IC150" i="5"/>
  <c r="AO152" i="5"/>
  <c r="DG152" i="5"/>
  <c r="DS150" i="5" s="1"/>
  <c r="JZ152" i="5"/>
  <c r="CW150" i="5"/>
  <c r="AO150" i="5"/>
  <c r="ER150" i="5"/>
  <c r="EK150" i="5"/>
  <c r="CY152" i="5"/>
  <c r="CV150" i="5"/>
  <c r="CY150" i="5"/>
  <c r="DC150" i="5"/>
  <c r="CV152" i="5"/>
  <c r="CX152" i="5"/>
  <c r="EQ150" i="5"/>
  <c r="JZ678" i="5"/>
  <c r="IC678" i="5"/>
  <c r="IC676" i="5"/>
  <c r="EI676" i="5"/>
  <c r="CZ676" i="5"/>
  <c r="ED676" i="5"/>
  <c r="EG676" i="5"/>
  <c r="DA676" i="5"/>
  <c r="EN676" i="5"/>
  <c r="CZ678" i="5"/>
  <c r="DF676" i="5"/>
  <c r="DG678" i="5"/>
  <c r="DS676" i="5" s="1"/>
  <c r="DF678" i="5"/>
  <c r="CX678" i="5"/>
  <c r="DJ676" i="5"/>
  <c r="ER676" i="5"/>
  <c r="AR676" i="5"/>
  <c r="EM676" i="5" s="1"/>
  <c r="ES676" i="5"/>
  <c r="AO676" i="5"/>
  <c r="DJ678" i="5"/>
  <c r="EO676" i="5"/>
  <c r="CY678" i="5"/>
  <c r="EQ676" i="5"/>
  <c r="EP676" i="5"/>
  <c r="JJ678" i="5"/>
  <c r="DK676" i="5"/>
  <c r="CV678" i="5"/>
  <c r="DC676" i="5"/>
  <c r="CW678" i="5"/>
  <c r="FG676" i="5" s="1"/>
  <c r="EL676" i="5"/>
  <c r="AO678" i="5"/>
  <c r="CV676" i="5"/>
  <c r="CY676" i="5"/>
  <c r="CW676" i="5"/>
  <c r="DB676" i="5"/>
  <c r="EK676" i="5"/>
  <c r="EF676" i="5"/>
  <c r="CX653" i="5"/>
  <c r="CV651" i="5"/>
  <c r="AR651" i="5"/>
  <c r="EM651" i="5" s="1"/>
  <c r="CY653" i="5"/>
  <c r="CZ651" i="5"/>
  <c r="DF651" i="5"/>
  <c r="ES651" i="5"/>
  <c r="DC651" i="5"/>
  <c r="DB651" i="5"/>
  <c r="CV653" i="5"/>
  <c r="EN651" i="5"/>
  <c r="DJ653" i="5"/>
  <c r="EL651" i="5"/>
  <c r="EI651" i="5"/>
  <c r="EQ651" i="5"/>
  <c r="DA651" i="5"/>
  <c r="DF653" i="5"/>
  <c r="DK651" i="5"/>
  <c r="DJ651" i="5"/>
  <c r="ED651" i="5"/>
  <c r="JZ653" i="5"/>
  <c r="ER651" i="5"/>
  <c r="EP651" i="5"/>
  <c r="AO651" i="5"/>
  <c r="EO651" i="5"/>
  <c r="IC651" i="5"/>
  <c r="EK651" i="5"/>
  <c r="DG653" i="5"/>
  <c r="DS651" i="5" s="1"/>
  <c r="CW651" i="5"/>
  <c r="AO653" i="5"/>
  <c r="CZ653" i="5"/>
  <c r="IC653" i="5"/>
  <c r="EF651" i="5"/>
  <c r="CY651" i="5"/>
  <c r="CW653" i="5"/>
  <c r="FG651" i="5" s="1"/>
  <c r="EG651" i="5"/>
  <c r="JJ653" i="5"/>
  <c r="ER666" i="5"/>
  <c r="CY668" i="5"/>
  <c r="EL666" i="5"/>
  <c r="DB666" i="5"/>
  <c r="AR666" i="5"/>
  <c r="EM666" i="5" s="1"/>
  <c r="EP666" i="5"/>
  <c r="JJ668" i="5"/>
  <c r="DF668" i="5"/>
  <c r="ES666" i="5"/>
  <c r="DJ668" i="5"/>
  <c r="CV666" i="5"/>
  <c r="JZ668" i="5"/>
  <c r="EQ666" i="5"/>
  <c r="DC666" i="5"/>
  <c r="DJ666" i="5"/>
  <c r="DA666" i="5"/>
  <c r="CW668" i="5"/>
  <c r="FG666" i="5" s="1"/>
  <c r="DK666" i="5"/>
  <c r="EN666" i="5"/>
  <c r="CZ668" i="5"/>
  <c r="IC668" i="5"/>
  <c r="DG668" i="5"/>
  <c r="DS666" i="5" s="1"/>
  <c r="EG666" i="5"/>
  <c r="AO666" i="5"/>
  <c r="CZ666" i="5"/>
  <c r="EF666" i="5"/>
  <c r="CW666" i="5"/>
  <c r="ED666" i="5"/>
  <c r="IC666" i="5"/>
  <c r="AO668" i="5"/>
  <c r="EK666" i="5"/>
  <c r="CY666" i="5"/>
  <c r="DF666" i="5"/>
  <c r="EO666" i="5"/>
  <c r="EI666" i="5"/>
  <c r="CV668" i="5"/>
  <c r="CX668" i="5"/>
  <c r="ES233" i="5"/>
  <c r="DF233" i="5"/>
  <c r="CY235" i="5"/>
  <c r="CX235" i="5"/>
  <c r="EL233" i="5"/>
  <c r="DA233" i="5"/>
  <c r="CV235" i="5"/>
  <c r="EQ233" i="5"/>
  <c r="EO233" i="5"/>
  <c r="JZ235" i="5"/>
  <c r="DG235" i="5"/>
  <c r="DS233" i="5" s="1"/>
  <c r="DJ233" i="5"/>
  <c r="EN233" i="5"/>
  <c r="CW235" i="5"/>
  <c r="FG233" i="5" s="1"/>
  <c r="CY233" i="5"/>
  <c r="IC235" i="5"/>
  <c r="ER233" i="5"/>
  <c r="DB233" i="5"/>
  <c r="CZ233" i="5"/>
  <c r="AR233" i="5"/>
  <c r="EM233" i="5" s="1"/>
  <c r="CZ235" i="5"/>
  <c r="CW233" i="5"/>
  <c r="EP233" i="5"/>
  <c r="DF235" i="5"/>
  <c r="ED233" i="5"/>
  <c r="EK233" i="5"/>
  <c r="EF233" i="5"/>
  <c r="DJ235" i="5"/>
  <c r="CV233" i="5"/>
  <c r="JJ235" i="5"/>
  <c r="EI233" i="5"/>
  <c r="IC233" i="5"/>
  <c r="AO235" i="5"/>
  <c r="AO233" i="5"/>
  <c r="DC233" i="5"/>
  <c r="DK233" i="5"/>
  <c r="EG233" i="5"/>
  <c r="ES495" i="5"/>
  <c r="DF495" i="5"/>
  <c r="ER495" i="5"/>
  <c r="IC497" i="5"/>
  <c r="DC495" i="5"/>
  <c r="CV497" i="5"/>
  <c r="DK495" i="5"/>
  <c r="JJ497" i="5"/>
  <c r="DB495" i="5"/>
  <c r="CX497" i="5"/>
  <c r="CZ497" i="5"/>
  <c r="EP495" i="5"/>
  <c r="AR495" i="5"/>
  <c r="EM495" i="5" s="1"/>
  <c r="EN495" i="5"/>
  <c r="EO495" i="5"/>
  <c r="DJ495" i="5"/>
  <c r="JZ497" i="5"/>
  <c r="AO495" i="5"/>
  <c r="CY495" i="5"/>
  <c r="IC495" i="5"/>
  <c r="EF495" i="5"/>
  <c r="DJ497" i="5"/>
  <c r="EK495" i="5"/>
  <c r="CV495" i="5"/>
  <c r="DG497" i="5"/>
  <c r="DS495" i="5" s="1"/>
  <c r="EI495" i="5"/>
  <c r="CZ495" i="5"/>
  <c r="DA495" i="5"/>
  <c r="EL495" i="5"/>
  <c r="CY497" i="5"/>
  <c r="AO497" i="5"/>
  <c r="CW495" i="5"/>
  <c r="EQ495" i="5"/>
  <c r="DF497" i="5"/>
  <c r="EG495" i="5"/>
  <c r="ED495" i="5"/>
  <c r="CW497" i="5"/>
  <c r="FG495" i="5" s="1"/>
  <c r="CX414" i="5"/>
  <c r="EG412" i="5"/>
  <c r="CW414" i="5"/>
  <c r="FG412" i="5" s="1"/>
  <c r="EO412" i="5"/>
  <c r="DJ412" i="5"/>
  <c r="EQ412" i="5"/>
  <c r="CW412" i="5"/>
  <c r="JJ414" i="5"/>
  <c r="CV412" i="5"/>
  <c r="DK412" i="5"/>
  <c r="CV414" i="5"/>
  <c r="EN412" i="5"/>
  <c r="DJ414" i="5"/>
  <c r="IC412" i="5"/>
  <c r="DC412" i="5"/>
  <c r="ES412" i="5"/>
  <c r="EL412" i="5"/>
  <c r="DG414" i="5"/>
  <c r="DS412" i="5" s="1"/>
  <c r="CZ412" i="5"/>
  <c r="IC414" i="5"/>
  <c r="AO412" i="5"/>
  <c r="JZ414" i="5"/>
  <c r="AR412" i="5"/>
  <c r="EM412" i="5" s="1"/>
  <c r="DF412" i="5"/>
  <c r="EF412" i="5"/>
  <c r="EI412" i="5"/>
  <c r="DA412" i="5"/>
  <c r="CY414" i="5"/>
  <c r="CY412" i="5"/>
  <c r="CZ414" i="5"/>
  <c r="EK412" i="5"/>
  <c r="EP412" i="5"/>
  <c r="ED412" i="5"/>
  <c r="ER412" i="5"/>
  <c r="DF414" i="5"/>
  <c r="AO414" i="5"/>
  <c r="DB412" i="5"/>
  <c r="Q40" i="33"/>
  <c r="U100" i="10"/>
  <c r="EN143" i="8"/>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85" i="12"/>
  <c r="L7" i="5"/>
  <c r="J7" i="12"/>
  <c r="J23" i="12" s="1"/>
  <c r="K7" i="11"/>
  <c r="BV30" i="8"/>
  <c r="C188" i="12"/>
  <c r="B12" i="4"/>
  <c r="B21" i="4" s="1"/>
  <c r="BV28" i="8"/>
  <c r="BV27" i="8"/>
  <c r="CP258" i="8"/>
  <c r="DB254" i="8" s="1"/>
  <c r="BV258" i="8"/>
  <c r="BV29" i="8"/>
  <c r="DR7" i="8"/>
  <c r="J7" i="8"/>
  <c r="BR7" i="8"/>
  <c r="P285" i="19"/>
  <c r="J286" i="19"/>
  <c r="N295" i="19"/>
  <c r="P301" i="19"/>
  <c r="P276" i="19"/>
  <c r="L286" i="19"/>
  <c r="P279" i="19"/>
  <c r="P282" i="19"/>
  <c r="J300" i="19"/>
  <c r="P281" i="19"/>
  <c r="L298" i="19"/>
  <c r="L304" i="19"/>
  <c r="N294" i="19"/>
  <c r="N286" i="19"/>
  <c r="L295" i="19"/>
  <c r="L300" i="19"/>
  <c r="N298" i="19"/>
  <c r="J295" i="19"/>
  <c r="J304" i="19"/>
  <c r="P280" i="19"/>
  <c r="P278" i="19"/>
  <c r="N304" i="19"/>
  <c r="L294" i="19"/>
  <c r="P302" i="19"/>
  <c r="J298" i="19"/>
  <c r="E297" i="19"/>
  <c r="P297" i="19"/>
  <c r="P284" i="19"/>
  <c r="P283" i="19"/>
  <c r="J294" i="19"/>
  <c r="N300" i="19"/>
  <c r="P277" i="19"/>
  <c r="DN175" i="5" l="1"/>
  <c r="DM173" i="5"/>
  <c r="ET173" i="5"/>
  <c r="DT173" i="5"/>
  <c r="DT175" i="5"/>
  <c r="DV173" i="5"/>
  <c r="EA173" i="5" s="1"/>
  <c r="DD173" i="5"/>
  <c r="EJ173" i="5"/>
  <c r="EH173" i="5"/>
  <c r="FH173" i="5" s="1"/>
  <c r="AP173" i="5"/>
  <c r="G91" i="10"/>
  <c r="S91" i="10" s="1"/>
  <c r="ET233" i="5"/>
  <c r="DD563" i="5"/>
  <c r="AG78" i="33"/>
  <c r="AR73" i="33"/>
  <c r="AV73" i="33"/>
  <c r="U91" i="10" s="1"/>
  <c r="U96" i="10" s="1"/>
  <c r="AG112" i="33"/>
  <c r="I94" i="10" s="1"/>
  <c r="AG39" i="33"/>
  <c r="U99" i="10"/>
  <c r="AG73" i="33"/>
  <c r="AX82" i="33"/>
  <c r="AP110" i="5"/>
  <c r="DN736" i="5"/>
  <c r="DD769" i="5"/>
  <c r="DD583" i="5"/>
  <c r="DD759" i="5"/>
  <c r="DD495" i="5"/>
  <c r="ET412" i="5"/>
  <c r="DM759" i="5"/>
  <c r="ET374" i="5"/>
  <c r="DM472" i="5"/>
  <c r="AP427" i="5"/>
  <c r="AP769" i="5"/>
  <c r="DD374" i="5"/>
  <c r="DN414" i="5"/>
  <c r="DM412" i="5"/>
  <c r="DM495" i="5"/>
  <c r="ET472" i="5"/>
  <c r="DM583" i="5"/>
  <c r="ET759" i="5"/>
  <c r="DM374" i="5"/>
  <c r="DN653" i="5"/>
  <c r="DM150" i="5"/>
  <c r="ET150" i="5"/>
  <c r="DN565" i="5"/>
  <c r="AP472" i="5"/>
  <c r="ET749" i="5"/>
  <c r="AP563" i="5"/>
  <c r="DD412" i="5"/>
  <c r="DM651" i="5"/>
  <c r="AP374" i="5"/>
  <c r="DM666" i="5"/>
  <c r="AP150" i="5"/>
  <c r="DN497" i="5"/>
  <c r="DD749" i="5"/>
  <c r="DD193" i="5"/>
  <c r="DN585" i="5"/>
  <c r="DM769" i="5"/>
  <c r="DM193" i="5"/>
  <c r="DN751" i="5"/>
  <c r="DN668" i="5"/>
  <c r="DD666" i="5"/>
  <c r="ET769" i="5"/>
  <c r="DN195" i="5"/>
  <c r="AP666" i="5"/>
  <c r="ET495" i="5"/>
  <c r="DT678" i="5"/>
  <c r="DV676" i="5"/>
  <c r="EA676" i="5" s="1"/>
  <c r="DT676" i="5"/>
  <c r="DV150" i="5"/>
  <c r="EA150" i="5" s="1"/>
  <c r="DT152" i="5"/>
  <c r="DT150" i="5"/>
  <c r="DT749" i="5"/>
  <c r="DV749" i="5"/>
  <c r="EA749" i="5" s="1"/>
  <c r="DT751" i="5"/>
  <c r="EH583" i="5"/>
  <c r="FH583" i="5" s="1"/>
  <c r="EJ583" i="5"/>
  <c r="DT376" i="5"/>
  <c r="DT374" i="5"/>
  <c r="DV374" i="5"/>
  <c r="EA374" i="5" s="1"/>
  <c r="AP412" i="5"/>
  <c r="AP495" i="5"/>
  <c r="ET651" i="5"/>
  <c r="DD676" i="5"/>
  <c r="AP676" i="5"/>
  <c r="EH150" i="5"/>
  <c r="FH150" i="5" s="1"/>
  <c r="EJ150" i="5"/>
  <c r="DN112" i="5"/>
  <c r="DT585" i="5"/>
  <c r="DT583" i="5"/>
  <c r="DV583" i="5"/>
  <c r="EA583" i="5" s="1"/>
  <c r="EJ759" i="5"/>
  <c r="EH759" i="5"/>
  <c r="FH759" i="5" s="1"/>
  <c r="DT495" i="5"/>
  <c r="DV495" i="5"/>
  <c r="EA495" i="5" s="1"/>
  <c r="DT497" i="5"/>
  <c r="DN678" i="5"/>
  <c r="DM110" i="5"/>
  <c r="DV110" i="5"/>
  <c r="EA110" i="5" s="1"/>
  <c r="DT110" i="5"/>
  <c r="DT112" i="5"/>
  <c r="ET110" i="5"/>
  <c r="EH472" i="5"/>
  <c r="FH472" i="5" s="1"/>
  <c r="EJ472" i="5"/>
  <c r="DM563" i="5"/>
  <c r="EJ427" i="5"/>
  <c r="EH427" i="5"/>
  <c r="FH427" i="5" s="1"/>
  <c r="DN235" i="5"/>
  <c r="EH666" i="5"/>
  <c r="FH666" i="5" s="1"/>
  <c r="EJ666" i="5"/>
  <c r="DT651" i="5"/>
  <c r="DT653" i="5"/>
  <c r="DV651" i="5"/>
  <c r="EA651" i="5" s="1"/>
  <c r="DM749" i="5"/>
  <c r="DN429" i="5"/>
  <c r="DM427" i="5"/>
  <c r="DN771" i="5"/>
  <c r="AP193" i="5"/>
  <c r="DM734" i="5"/>
  <c r="DT414" i="5"/>
  <c r="DV412" i="5"/>
  <c r="EA412" i="5" s="1"/>
  <c r="DT412" i="5"/>
  <c r="ET666" i="5"/>
  <c r="ET676" i="5"/>
  <c r="DD110" i="5"/>
  <c r="EJ563" i="5"/>
  <c r="EH563" i="5"/>
  <c r="FH563" i="5" s="1"/>
  <c r="ET563" i="5"/>
  <c r="DV427" i="5"/>
  <c r="EA427" i="5" s="1"/>
  <c r="DT429" i="5"/>
  <c r="DT427" i="5"/>
  <c r="EH374" i="5"/>
  <c r="FH374" i="5" s="1"/>
  <c r="EJ374" i="5"/>
  <c r="EJ769" i="5"/>
  <c r="EH769" i="5"/>
  <c r="FH769" i="5" s="1"/>
  <c r="AP734" i="5"/>
  <c r="EH412" i="5"/>
  <c r="FH412" i="5" s="1"/>
  <c r="EJ412" i="5"/>
  <c r="EJ233" i="5"/>
  <c r="EH233" i="5"/>
  <c r="FH233" i="5" s="1"/>
  <c r="DM233" i="5"/>
  <c r="DV233" i="5"/>
  <c r="EA233" i="5" s="1"/>
  <c r="DT235" i="5"/>
  <c r="DT233" i="5"/>
  <c r="DD427" i="5"/>
  <c r="DN761" i="5"/>
  <c r="DV769" i="5"/>
  <c r="EA769" i="5" s="1"/>
  <c r="DT771" i="5"/>
  <c r="DT769" i="5"/>
  <c r="DT736" i="5"/>
  <c r="DT734" i="5"/>
  <c r="DV734" i="5"/>
  <c r="EA734" i="5" s="1"/>
  <c r="DD734" i="5"/>
  <c r="EJ734" i="5"/>
  <c r="EH734" i="5"/>
  <c r="FH734" i="5" s="1"/>
  <c r="EH495" i="5"/>
  <c r="FH495" i="5" s="1"/>
  <c r="EJ495" i="5"/>
  <c r="AP233" i="5"/>
  <c r="DD233" i="5"/>
  <c r="EJ651" i="5"/>
  <c r="EH651" i="5"/>
  <c r="FH651" i="5" s="1"/>
  <c r="DD651" i="5"/>
  <c r="DN474" i="5"/>
  <c r="EH749" i="5"/>
  <c r="FH749" i="5" s="1"/>
  <c r="EJ749" i="5"/>
  <c r="DV563" i="5"/>
  <c r="EA563" i="5" s="1"/>
  <c r="DT565" i="5"/>
  <c r="DT563" i="5"/>
  <c r="ET427" i="5"/>
  <c r="DN376" i="5"/>
  <c r="ET193" i="5"/>
  <c r="DT668" i="5"/>
  <c r="DV666" i="5"/>
  <c r="EA666" i="5" s="1"/>
  <c r="DT666" i="5"/>
  <c r="AP651" i="5"/>
  <c r="EH676" i="5"/>
  <c r="FH676" i="5" s="1"/>
  <c r="EJ676" i="5"/>
  <c r="DM676" i="5"/>
  <c r="DN152" i="5"/>
  <c r="DD150" i="5"/>
  <c r="EJ110" i="5"/>
  <c r="EH110" i="5"/>
  <c r="FH110" i="5" s="1"/>
  <c r="DV472" i="5"/>
  <c r="EA472" i="5" s="1"/>
  <c r="DT472" i="5"/>
  <c r="DT474" i="5"/>
  <c r="DD472" i="5"/>
  <c r="AP749" i="5"/>
  <c r="ET583" i="5"/>
  <c r="AP583" i="5"/>
  <c r="DT759" i="5"/>
  <c r="DV759" i="5"/>
  <c r="EA759" i="5" s="1"/>
  <c r="DT761" i="5"/>
  <c r="AP759" i="5"/>
  <c r="EJ193" i="5"/>
  <c r="EH193" i="5"/>
  <c r="FH193" i="5" s="1"/>
  <c r="DT193" i="5"/>
  <c r="DV193" i="5"/>
  <c r="EA193" i="5" s="1"/>
  <c r="DT195" i="5"/>
  <c r="ET734" i="5"/>
  <c r="G94" i="10"/>
  <c r="S94" i="10" s="1"/>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P299" i="19"/>
  <c r="P286" i="19"/>
  <c r="P298" i="19"/>
  <c r="P304" i="19"/>
  <c r="P294" i="19"/>
  <c r="P303" i="19"/>
  <c r="N290" i="19"/>
  <c r="P300" i="19"/>
  <c r="P296" i="19"/>
  <c r="P295" i="19"/>
  <c r="N272" i="19"/>
  <c r="DO173" i="5" l="1"/>
  <c r="I91" i="10"/>
  <c r="O91" i="10" s="1"/>
  <c r="AB789" i="5"/>
  <c r="AB784" i="5"/>
  <c r="AB779" i="5"/>
  <c r="AB774" i="5"/>
  <c r="AB769" i="5"/>
  <c r="AB764" i="5"/>
  <c r="AB759" i="5"/>
  <c r="AB754" i="5"/>
  <c r="AB749" i="5"/>
  <c r="AB744" i="5"/>
  <c r="AB739" i="5"/>
  <c r="AB734" i="5"/>
  <c r="AB729" i="5"/>
  <c r="AB724" i="5"/>
  <c r="AB719" i="5"/>
  <c r="AB711" i="5"/>
  <c r="AB706" i="5"/>
  <c r="AB701" i="5"/>
  <c r="AB696" i="5"/>
  <c r="AB691" i="5"/>
  <c r="AB686" i="5"/>
  <c r="AB681" i="5"/>
  <c r="AB676" i="5"/>
  <c r="AB671" i="5"/>
  <c r="AB666" i="5"/>
  <c r="AB661" i="5"/>
  <c r="AB656" i="5"/>
  <c r="AB651" i="5"/>
  <c r="AB646" i="5"/>
  <c r="AB641" i="5"/>
  <c r="AB633" i="5"/>
  <c r="AB628" i="5"/>
  <c r="AB623" i="5"/>
  <c r="AB618" i="5"/>
  <c r="AB613" i="5"/>
  <c r="AB608" i="5"/>
  <c r="AB603" i="5"/>
  <c r="AB598" i="5"/>
  <c r="AB593" i="5"/>
  <c r="AB588" i="5"/>
  <c r="AB583" i="5"/>
  <c r="AB578" i="5"/>
  <c r="AB573" i="5"/>
  <c r="AB568" i="5"/>
  <c r="AB563" i="5"/>
  <c r="AB555" i="5"/>
  <c r="AB550" i="5"/>
  <c r="AB545" i="5"/>
  <c r="AB540" i="5"/>
  <c r="AB535" i="5"/>
  <c r="AB530" i="5"/>
  <c r="AB525" i="5"/>
  <c r="AB520" i="5"/>
  <c r="AB515" i="5"/>
  <c r="AB510" i="5"/>
  <c r="AB505" i="5"/>
  <c r="AB500" i="5"/>
  <c r="AB495" i="5"/>
  <c r="AB490" i="5"/>
  <c r="AB485" i="5"/>
  <c r="AB477" i="5"/>
  <c r="AB472" i="5"/>
  <c r="AB467" i="5"/>
  <c r="AB462" i="5"/>
  <c r="AB457" i="5"/>
  <c r="AB452" i="5"/>
  <c r="AB447" i="5"/>
  <c r="AB442" i="5"/>
  <c r="AB437" i="5"/>
  <c r="AB432" i="5"/>
  <c r="AB427" i="5"/>
  <c r="AB422" i="5"/>
  <c r="AB417" i="5"/>
  <c r="AB412" i="5"/>
  <c r="AB407" i="5"/>
  <c r="AB399" i="5"/>
  <c r="AB394" i="5"/>
  <c r="AB389" i="5"/>
  <c r="AB384" i="5"/>
  <c r="AB379" i="5"/>
  <c r="AB374" i="5"/>
  <c r="AB369" i="5"/>
  <c r="AB364" i="5"/>
  <c r="AB359" i="5"/>
  <c r="AB354" i="5"/>
  <c r="AB349" i="5"/>
  <c r="AB344" i="5"/>
  <c r="AB339" i="5"/>
  <c r="AB334" i="5"/>
  <c r="AB329" i="5"/>
  <c r="AB321" i="5"/>
  <c r="AB316" i="5"/>
  <c r="AB311" i="5"/>
  <c r="AB306" i="5"/>
  <c r="AB301" i="5"/>
  <c r="AB296" i="5"/>
  <c r="AB291" i="5"/>
  <c r="AB286" i="5"/>
  <c r="AB281" i="5"/>
  <c r="AB276" i="5"/>
  <c r="AB271" i="5"/>
  <c r="AB266" i="5"/>
  <c r="AB261" i="5"/>
  <c r="AB256" i="5"/>
  <c r="AB251" i="5"/>
  <c r="AB243" i="5"/>
  <c r="AB238" i="5"/>
  <c r="AB233" i="5"/>
  <c r="AB228" i="5"/>
  <c r="AB223" i="5"/>
  <c r="AB218" i="5"/>
  <c r="AB213" i="5"/>
  <c r="AB208" i="5"/>
  <c r="AB203" i="5"/>
  <c r="AB198" i="5"/>
  <c r="AB193" i="5"/>
  <c r="AB188" i="5"/>
  <c r="AB183" i="5"/>
  <c r="AB178" i="5"/>
  <c r="AB173" i="5"/>
  <c r="AB165" i="5"/>
  <c r="AB160" i="5"/>
  <c r="AB155" i="5"/>
  <c r="AB150" i="5"/>
  <c r="AB145" i="5"/>
  <c r="AB140" i="5"/>
  <c r="AB135" i="5"/>
  <c r="AB130" i="5"/>
  <c r="AB125" i="5"/>
  <c r="AB120" i="5"/>
  <c r="AB115" i="5"/>
  <c r="AB110" i="5"/>
  <c r="AB105" i="5"/>
  <c r="AB100" i="5"/>
  <c r="AB95" i="5"/>
  <c r="AB87" i="5"/>
  <c r="AB82" i="5"/>
  <c r="AB77" i="5"/>
  <c r="AB72" i="5"/>
  <c r="AB67" i="5"/>
  <c r="AB57" i="5"/>
  <c r="AB62" i="5"/>
  <c r="AB52" i="5"/>
  <c r="H91" i="10"/>
  <c r="J91" i="10" s="1"/>
  <c r="AN32" i="33"/>
  <c r="AX70" i="33"/>
  <c r="AX54" i="33"/>
  <c r="AX58" i="33"/>
  <c r="AX71" i="33"/>
  <c r="AX55" i="33"/>
  <c r="AX57" i="33"/>
  <c r="AX69" i="33"/>
  <c r="AX43" i="33"/>
  <c r="AN24" i="33"/>
  <c r="AN28" i="33" s="1"/>
  <c r="X26" i="33" s="1"/>
  <c r="Y26" i="33" s="1"/>
  <c r="AX56" i="33"/>
  <c r="O94" i="10"/>
  <c r="AU112" i="33"/>
  <c r="AX112" i="33"/>
  <c r="DO734" i="5"/>
  <c r="DO759" i="5"/>
  <c r="DO472" i="5"/>
  <c r="DO412" i="5"/>
  <c r="DO150" i="5"/>
  <c r="DO495" i="5"/>
  <c r="DO676" i="5"/>
  <c r="DO749" i="5"/>
  <c r="DO563" i="5"/>
  <c r="DO374" i="5"/>
  <c r="DO193" i="5"/>
  <c r="DO583" i="5"/>
  <c r="DO233" i="5"/>
  <c r="DO110" i="5"/>
  <c r="DO651" i="5"/>
  <c r="DO769" i="5"/>
  <c r="DO666" i="5"/>
  <c r="DO427" i="5"/>
  <c r="GJ764" i="5"/>
  <c r="GA754" i="5"/>
  <c r="GJ719" i="5"/>
  <c r="GA681" i="5"/>
  <c r="GA666" i="5"/>
  <c r="GA656" i="5"/>
  <c r="GJ641" i="5"/>
  <c r="GJ784" i="5"/>
  <c r="GJ779" i="5"/>
  <c r="GA739" i="5"/>
  <c r="GA724" i="5"/>
  <c r="GJ711" i="5"/>
  <c r="GA701" i="5"/>
  <c r="GA676" i="5"/>
  <c r="GJ661" i="5"/>
  <c r="GA774" i="5"/>
  <c r="GA764" i="5"/>
  <c r="GJ744" i="5"/>
  <c r="GJ734" i="5"/>
  <c r="GA719" i="5"/>
  <c r="GJ696" i="5"/>
  <c r="GJ671" i="5"/>
  <c r="GA641" i="5"/>
  <c r="GA784" i="5"/>
  <c r="GA779" i="5"/>
  <c r="GJ769" i="5"/>
  <c r="GA711" i="5"/>
  <c r="GA661" i="5"/>
  <c r="GJ651" i="5"/>
  <c r="GA646" i="5"/>
  <c r="GJ774" i="5"/>
  <c r="GA744" i="5"/>
  <c r="GA734" i="5"/>
  <c r="GA696" i="5"/>
  <c r="GJ691" i="5"/>
  <c r="GA671" i="5"/>
  <c r="GJ646" i="5"/>
  <c r="GJ789" i="5"/>
  <c r="GA769" i="5"/>
  <c r="GJ759" i="5"/>
  <c r="GJ749" i="5"/>
  <c r="GJ729" i="5"/>
  <c r="GJ706" i="5"/>
  <c r="GJ686" i="5"/>
  <c r="GA651" i="5"/>
  <c r="GJ754" i="5"/>
  <c r="GA691" i="5"/>
  <c r="GJ666" i="5"/>
  <c r="GA789" i="5"/>
  <c r="GA759" i="5"/>
  <c r="GA749" i="5"/>
  <c r="GJ739" i="5"/>
  <c r="GA729" i="5"/>
  <c r="GJ724" i="5"/>
  <c r="GA706" i="5"/>
  <c r="GJ701" i="5"/>
  <c r="GA686" i="5"/>
  <c r="GJ676" i="5"/>
  <c r="GJ681" i="5"/>
  <c r="GJ656" i="5"/>
  <c r="GJ623" i="5"/>
  <c r="GA593" i="5"/>
  <c r="GJ588" i="5"/>
  <c r="GA540" i="5"/>
  <c r="GJ535" i="5"/>
  <c r="GA530" i="5"/>
  <c r="GA500" i="5"/>
  <c r="GA490" i="5"/>
  <c r="GA472" i="5"/>
  <c r="GA432" i="5"/>
  <c r="GJ422" i="5"/>
  <c r="GJ407" i="5"/>
  <c r="GA495" i="5"/>
  <c r="GJ472" i="5"/>
  <c r="GA427" i="5"/>
  <c r="GA633" i="5"/>
  <c r="GA628" i="5"/>
  <c r="GJ618" i="5"/>
  <c r="GJ603" i="5"/>
  <c r="GA598" i="5"/>
  <c r="GJ583" i="5"/>
  <c r="GJ573" i="5"/>
  <c r="GJ545" i="5"/>
  <c r="GA515" i="5"/>
  <c r="GJ510" i="5"/>
  <c r="GA505" i="5"/>
  <c r="GJ485" i="5"/>
  <c r="GA467" i="5"/>
  <c r="GA457" i="5"/>
  <c r="GA452" i="5"/>
  <c r="GJ442" i="5"/>
  <c r="GJ490" i="5"/>
  <c r="GA623" i="5"/>
  <c r="GA588" i="5"/>
  <c r="GJ568" i="5"/>
  <c r="GJ550" i="5"/>
  <c r="GA535" i="5"/>
  <c r="GJ447" i="5"/>
  <c r="GA422" i="5"/>
  <c r="GA407" i="5"/>
  <c r="GA618" i="5"/>
  <c r="GJ613" i="5"/>
  <c r="GA603" i="5"/>
  <c r="GA583" i="5"/>
  <c r="GA573" i="5"/>
  <c r="GJ555" i="5"/>
  <c r="GA545" i="5"/>
  <c r="GJ525" i="5"/>
  <c r="GA510" i="5"/>
  <c r="GA485" i="5"/>
  <c r="GJ477" i="5"/>
  <c r="GA442" i="5"/>
  <c r="GJ437" i="5"/>
  <c r="GJ417" i="5"/>
  <c r="GJ540" i="5"/>
  <c r="GA412" i="5"/>
  <c r="GA568" i="5"/>
  <c r="GJ563" i="5"/>
  <c r="GA550" i="5"/>
  <c r="GJ495" i="5"/>
  <c r="GJ462" i="5"/>
  <c r="GA447" i="5"/>
  <c r="GJ427" i="5"/>
  <c r="GJ412" i="5"/>
  <c r="GJ593" i="5"/>
  <c r="GJ530" i="5"/>
  <c r="GJ500" i="5"/>
  <c r="GJ432" i="5"/>
  <c r="GA613" i="5"/>
  <c r="GJ608" i="5"/>
  <c r="GJ578" i="5"/>
  <c r="GA555" i="5"/>
  <c r="GA525" i="5"/>
  <c r="GJ520" i="5"/>
  <c r="GA477" i="5"/>
  <c r="GA437" i="5"/>
  <c r="GA417" i="5"/>
  <c r="GA563" i="5"/>
  <c r="GA462" i="5"/>
  <c r="GJ633" i="5"/>
  <c r="GJ628" i="5"/>
  <c r="GA608" i="5"/>
  <c r="GJ598" i="5"/>
  <c r="GA578" i="5"/>
  <c r="GA520" i="5"/>
  <c r="GJ515" i="5"/>
  <c r="GJ505" i="5"/>
  <c r="GJ467" i="5"/>
  <c r="GJ457" i="5"/>
  <c r="GJ452" i="5"/>
  <c r="GJ399" i="5"/>
  <c r="GA344" i="5"/>
  <c r="GJ316" i="5"/>
  <c r="GJ271" i="5"/>
  <c r="GA266" i="5"/>
  <c r="GJ261" i="5"/>
  <c r="GA243" i="5"/>
  <c r="GJ238" i="5"/>
  <c r="GA218" i="5"/>
  <c r="GJ198" i="5"/>
  <c r="GA384" i="5"/>
  <c r="GA379" i="5"/>
  <c r="GA374" i="5"/>
  <c r="GJ359" i="5"/>
  <c r="GJ354" i="5"/>
  <c r="GJ311" i="5"/>
  <c r="GJ306" i="5"/>
  <c r="GJ291" i="5"/>
  <c r="GJ233" i="5"/>
  <c r="GJ208" i="5"/>
  <c r="GJ193" i="5"/>
  <c r="GA178" i="5"/>
  <c r="GJ173" i="5"/>
  <c r="GA399" i="5"/>
  <c r="GJ364" i="5"/>
  <c r="GJ334" i="5"/>
  <c r="GA316" i="5"/>
  <c r="GJ301" i="5"/>
  <c r="GJ281" i="5"/>
  <c r="GJ276" i="5"/>
  <c r="GA271" i="5"/>
  <c r="GA261" i="5"/>
  <c r="GJ256" i="5"/>
  <c r="GJ251" i="5"/>
  <c r="GA238" i="5"/>
  <c r="GA198" i="5"/>
  <c r="GJ369" i="5"/>
  <c r="GA359" i="5"/>
  <c r="GA354" i="5"/>
  <c r="GJ329" i="5"/>
  <c r="GJ321" i="5"/>
  <c r="GA311" i="5"/>
  <c r="GA306" i="5"/>
  <c r="GA291" i="5"/>
  <c r="GA233" i="5"/>
  <c r="GJ213" i="5"/>
  <c r="GA208" i="5"/>
  <c r="GJ203" i="5"/>
  <c r="GA193" i="5"/>
  <c r="GA173" i="5"/>
  <c r="GJ183" i="5"/>
  <c r="GA364" i="5"/>
  <c r="GJ349" i="5"/>
  <c r="GA334" i="5"/>
  <c r="GA301" i="5"/>
  <c r="GJ286" i="5"/>
  <c r="GA281" i="5"/>
  <c r="GA276" i="5"/>
  <c r="GA256" i="5"/>
  <c r="GA251" i="5"/>
  <c r="GJ223" i="5"/>
  <c r="GJ188" i="5"/>
  <c r="GJ394" i="5"/>
  <c r="GJ389" i="5"/>
  <c r="GA369" i="5"/>
  <c r="GJ339" i="5"/>
  <c r="GA329" i="5"/>
  <c r="GA321" i="5"/>
  <c r="GJ296" i="5"/>
  <c r="GJ228" i="5"/>
  <c r="GA213" i="5"/>
  <c r="GA203" i="5"/>
  <c r="GA349" i="5"/>
  <c r="GJ344" i="5"/>
  <c r="GA286" i="5"/>
  <c r="GJ266" i="5"/>
  <c r="GJ243" i="5"/>
  <c r="GA223" i="5"/>
  <c r="GJ218" i="5"/>
  <c r="GA188" i="5"/>
  <c r="GA394" i="5"/>
  <c r="GA389" i="5"/>
  <c r="GJ384" i="5"/>
  <c r="GJ379" i="5"/>
  <c r="GJ374" i="5"/>
  <c r="GA339" i="5"/>
  <c r="GA296" i="5"/>
  <c r="GA228" i="5"/>
  <c r="GA183" i="5"/>
  <c r="GJ178" i="5"/>
  <c r="GJ115" i="5"/>
  <c r="GA150" i="5"/>
  <c r="GA100" i="5"/>
  <c r="GJ82" i="5"/>
  <c r="GJ165" i="5"/>
  <c r="GA155" i="5"/>
  <c r="GA125" i="5"/>
  <c r="GA115" i="5"/>
  <c r="GA110" i="5"/>
  <c r="GJ105" i="5"/>
  <c r="GJ95" i="5"/>
  <c r="GJ77" i="5"/>
  <c r="GJ67" i="5"/>
  <c r="GA57" i="5"/>
  <c r="GA165" i="5"/>
  <c r="GA82" i="5"/>
  <c r="GJ145" i="5"/>
  <c r="GJ140" i="5"/>
  <c r="GA105" i="5"/>
  <c r="GA95" i="5"/>
  <c r="GA77" i="5"/>
  <c r="GA67" i="5"/>
  <c r="GJ72" i="5"/>
  <c r="GJ52" i="5"/>
  <c r="GJ47" i="5"/>
  <c r="GJ135" i="5"/>
  <c r="GA145" i="5"/>
  <c r="GA140" i="5"/>
  <c r="GJ130" i="5"/>
  <c r="GJ120" i="5"/>
  <c r="GJ87" i="5"/>
  <c r="GA72" i="5"/>
  <c r="GJ62" i="5"/>
  <c r="GA52" i="5"/>
  <c r="GA47" i="5"/>
  <c r="GJ160" i="5"/>
  <c r="GJ155" i="5"/>
  <c r="GJ150" i="5"/>
  <c r="GA135" i="5"/>
  <c r="GJ100" i="5"/>
  <c r="GJ57" i="5"/>
  <c r="GA130" i="5"/>
  <c r="GJ125" i="5"/>
  <c r="GA120" i="5"/>
  <c r="GJ110" i="5"/>
  <c r="GA87" i="5"/>
  <c r="GA62" i="5"/>
  <c r="GA160" i="5"/>
  <c r="GB749" i="5"/>
  <c r="GC749" i="5" s="1"/>
  <c r="GB389" i="5"/>
  <c r="GC389" i="5" s="1"/>
  <c r="GB666" i="5"/>
  <c r="GC666" i="5" s="1"/>
  <c r="GB316" i="5"/>
  <c r="GC316" i="5" s="1"/>
  <c r="GB495" i="5"/>
  <c r="GC495" i="5" s="1"/>
  <c r="GB110" i="5"/>
  <c r="GC110" i="5" s="1"/>
  <c r="GB150" i="5"/>
  <c r="GC150" i="5" s="1"/>
  <c r="GB764" i="5"/>
  <c r="GC764" i="5" s="1"/>
  <c r="GB661" i="5"/>
  <c r="GC661" i="5" s="1"/>
  <c r="GB641" i="5"/>
  <c r="GC641" i="5" s="1"/>
  <c r="GB95" i="5"/>
  <c r="GC95" i="5" s="1"/>
  <c r="GB563" i="5"/>
  <c r="GC563" i="5" s="1"/>
  <c r="GB183" i="5"/>
  <c r="GC183" i="5" s="1"/>
  <c r="GB379" i="5"/>
  <c r="GC379" i="5" s="1"/>
  <c r="GB412" i="5"/>
  <c r="GC412" i="5" s="1"/>
  <c r="GB125" i="5"/>
  <c r="GC125" i="5" s="1"/>
  <c r="GB774" i="5"/>
  <c r="GC774" i="5" s="1"/>
  <c r="GB233" i="5"/>
  <c r="GC233" i="5" s="1"/>
  <c r="GB739" i="5"/>
  <c r="GC739" i="5" s="1"/>
  <c r="GB676" i="5"/>
  <c r="GC676" i="5" s="1"/>
  <c r="GB417" i="5"/>
  <c r="GC417" i="5" s="1"/>
  <c r="GB213" i="5"/>
  <c r="GC213" i="5" s="1"/>
  <c r="GB671" i="5"/>
  <c r="GC671" i="5" s="1"/>
  <c r="GB115" i="5"/>
  <c r="GC115" i="5" s="1"/>
  <c r="GB359" i="5"/>
  <c r="GC359" i="5" s="1"/>
  <c r="GB145" i="5"/>
  <c r="GC145" i="5" s="1"/>
  <c r="GB349" i="5"/>
  <c r="GC349" i="5" s="1"/>
  <c r="GB374" i="5"/>
  <c r="GC374" i="5" s="1"/>
  <c r="GB724" i="5"/>
  <c r="GC724" i="5" s="1"/>
  <c r="GB472" i="5"/>
  <c r="GC472" i="5" s="1"/>
  <c r="GB155" i="5"/>
  <c r="GC155" i="5" s="1"/>
  <c r="GB193" i="5"/>
  <c r="GC193" i="5" s="1"/>
  <c r="GB203" i="5"/>
  <c r="GC203" i="5" s="1"/>
  <c r="GB77" i="5"/>
  <c r="GC77" i="5" s="1"/>
  <c r="GB744" i="5"/>
  <c r="GC744" i="5" s="1"/>
  <c r="GB311" i="5"/>
  <c r="GC311" i="5" s="1"/>
  <c r="GB681" i="5"/>
  <c r="GC681" i="5" s="1"/>
  <c r="GB583" i="5"/>
  <c r="GC583" i="5" s="1"/>
  <c r="GB573" i="5"/>
  <c r="GC573" i="5" s="1"/>
  <c r="GB520" i="5"/>
  <c r="GC520" i="5" s="1"/>
  <c r="GB535" i="5"/>
  <c r="GC535" i="5" s="1"/>
  <c r="GB769" i="5"/>
  <c r="GC769" i="5" s="1"/>
  <c r="GB734" i="5"/>
  <c r="GC734" i="5" s="1"/>
  <c r="GB759" i="5"/>
  <c r="GC759" i="5" s="1"/>
  <c r="GB696" i="5"/>
  <c r="GC696" i="5" s="1"/>
  <c r="GB437" i="5"/>
  <c r="GC437" i="5" s="1"/>
  <c r="GB271" i="5"/>
  <c r="GC271" i="5" s="1"/>
  <c r="GB477" i="5"/>
  <c r="GC477" i="5" s="1"/>
  <c r="GB462" i="5"/>
  <c r="GC462" i="5" s="1"/>
  <c r="GB447" i="5"/>
  <c r="GC447" i="5" s="1"/>
  <c r="GB218" i="5"/>
  <c r="GC218" i="5" s="1"/>
  <c r="GB369" i="5"/>
  <c r="GC369" i="5" s="1"/>
  <c r="GB432" i="5"/>
  <c r="GC432" i="5" s="1"/>
  <c r="GB243" i="5"/>
  <c r="GC243" i="5" s="1"/>
  <c r="GB427" i="5"/>
  <c r="GC427" i="5" s="1"/>
  <c r="GB261" i="5"/>
  <c r="GC261" i="5" s="1"/>
  <c r="GB651" i="5"/>
  <c r="GC651" i="5" s="1"/>
  <c r="GB306" i="5"/>
  <c r="GC306" i="5" s="1"/>
  <c r="GB706" i="5"/>
  <c r="GC706" i="5" s="1"/>
  <c r="GB490" i="5"/>
  <c r="GC490" i="5" s="1"/>
  <c r="GB729" i="5"/>
  <c r="GC729" i="5" s="1"/>
  <c r="GB286" i="5"/>
  <c r="GC286" i="5" s="1"/>
  <c r="GB130" i="5"/>
  <c r="GC130" i="5" s="1"/>
  <c r="GB72" i="5"/>
  <c r="GC72" i="5" s="1"/>
  <c r="GB399" i="5"/>
  <c r="GC399" i="5" s="1"/>
  <c r="GB296" i="5"/>
  <c r="GC296" i="5" s="1"/>
  <c r="GB100" i="5"/>
  <c r="GC100" i="5" s="1"/>
  <c r="GB301" i="5"/>
  <c r="GC301" i="5" s="1"/>
  <c r="GB281" i="5"/>
  <c r="GC281" i="5" s="1"/>
  <c r="GB339" i="5"/>
  <c r="GC339" i="5" s="1"/>
  <c r="GB266" i="5"/>
  <c r="GC266" i="5" s="1"/>
  <c r="GB701" i="5"/>
  <c r="GC701" i="5" s="1"/>
  <c r="GB422" i="5"/>
  <c r="GC422" i="5" s="1"/>
  <c r="GB588" i="5"/>
  <c r="GC588" i="5" s="1"/>
  <c r="GB530" i="5"/>
  <c r="GC530" i="5" s="1"/>
  <c r="GB593" i="5"/>
  <c r="GC593" i="5" s="1"/>
  <c r="GB467" i="5"/>
  <c r="GC467" i="5" s="1"/>
  <c r="GB623" i="5"/>
  <c r="GC623" i="5" s="1"/>
  <c r="GB555" i="5"/>
  <c r="GC555" i="5" s="1"/>
  <c r="GB618" i="5"/>
  <c r="GC618" i="5" s="1"/>
  <c r="GB188" i="5"/>
  <c r="GC188" i="5" s="1"/>
  <c r="GB686" i="5"/>
  <c r="GC686" i="5" s="1"/>
  <c r="GB105" i="5"/>
  <c r="GC105" i="5" s="1"/>
  <c r="GB608" i="5"/>
  <c r="GC608" i="5" s="1"/>
  <c r="GB578" i="5"/>
  <c r="GC578" i="5" s="1"/>
  <c r="GB754" i="5"/>
  <c r="GC754" i="5" s="1"/>
  <c r="GB384" i="5"/>
  <c r="GC384" i="5" s="1"/>
  <c r="GB223" i="5"/>
  <c r="GC223" i="5" s="1"/>
  <c r="GB120" i="5"/>
  <c r="GC120" i="5" s="1"/>
  <c r="GB779" i="5"/>
  <c r="GC779" i="5" s="1"/>
  <c r="GB256" i="5"/>
  <c r="GC256" i="5" s="1"/>
  <c r="GB135" i="5"/>
  <c r="GC135" i="5" s="1"/>
  <c r="GB140" i="5"/>
  <c r="GC140" i="5" s="1"/>
  <c r="GB540" i="5"/>
  <c r="GC540" i="5" s="1"/>
  <c r="GB603" i="5"/>
  <c r="GC603" i="5" s="1"/>
  <c r="GB407" i="5"/>
  <c r="GC407" i="5" s="1"/>
  <c r="GB646" i="5"/>
  <c r="GC646" i="5" s="1"/>
  <c r="GB545" i="5"/>
  <c r="GC545" i="5" s="1"/>
  <c r="GB568" i="5"/>
  <c r="GC568" i="5" s="1"/>
  <c r="GB550" i="5"/>
  <c r="GC550" i="5" s="1"/>
  <c r="GB173" i="5"/>
  <c r="GC173" i="5" s="1"/>
  <c r="GB238" i="5"/>
  <c r="GC238" i="5" s="1"/>
  <c r="GB691" i="5"/>
  <c r="GC691" i="5" s="1"/>
  <c r="GB452" i="5"/>
  <c r="GC452" i="5" s="1"/>
  <c r="GB656" i="5"/>
  <c r="GC656" i="5" s="1"/>
  <c r="GB276" i="5"/>
  <c r="GC276" i="5" s="1"/>
  <c r="GB165" i="5"/>
  <c r="GC165" i="5" s="1"/>
  <c r="GB784" i="5"/>
  <c r="GC784" i="5" s="1"/>
  <c r="GB329" i="5"/>
  <c r="GC329" i="5" s="1"/>
  <c r="GB87" i="5"/>
  <c r="GC87" i="5" s="1"/>
  <c r="GB394" i="5"/>
  <c r="GC394" i="5" s="1"/>
  <c r="GB485" i="5"/>
  <c r="GC485" i="5" s="1"/>
  <c r="GB505" i="5"/>
  <c r="GC505" i="5" s="1"/>
  <c r="GB160" i="5"/>
  <c r="GC160" i="5" s="1"/>
  <c r="GB628" i="5"/>
  <c r="GC628" i="5" s="1"/>
  <c r="GB208" i="5"/>
  <c r="GC208" i="5" s="1"/>
  <c r="GB354" i="5"/>
  <c r="GC354" i="5" s="1"/>
  <c r="GB442" i="5"/>
  <c r="GC442" i="5" s="1"/>
  <c r="GB344" i="5"/>
  <c r="GC344" i="5" s="1"/>
  <c r="GB719" i="5"/>
  <c r="GC719" i="5" s="1"/>
  <c r="GB251" i="5"/>
  <c r="GC251" i="5" s="1"/>
  <c r="GB510" i="5"/>
  <c r="GC510" i="5" s="1"/>
  <c r="GB515" i="5"/>
  <c r="GC515" i="5" s="1"/>
  <c r="GB82" i="5"/>
  <c r="GC82" i="5" s="1"/>
  <c r="GB613" i="5"/>
  <c r="GC613" i="5" s="1"/>
  <c r="GB598" i="5"/>
  <c r="GC598" i="5" s="1"/>
  <c r="GB321" i="5"/>
  <c r="GC321" i="5" s="1"/>
  <c r="GB178" i="5"/>
  <c r="GC178" i="5" s="1"/>
  <c r="GB457" i="5"/>
  <c r="GC457" i="5" s="1"/>
  <c r="GB334" i="5"/>
  <c r="GC334" i="5" s="1"/>
  <c r="GB291" i="5"/>
  <c r="GC291" i="5" s="1"/>
  <c r="GB711" i="5"/>
  <c r="GC711" i="5" s="1"/>
  <c r="GB525" i="5"/>
  <c r="GC525" i="5" s="1"/>
  <c r="GB500" i="5"/>
  <c r="GC500" i="5" s="1"/>
  <c r="GB228" i="5"/>
  <c r="GC228" i="5" s="1"/>
  <c r="GB364" i="5"/>
  <c r="GC364" i="5" s="1"/>
  <c r="GB633" i="5"/>
  <c r="GC633" i="5" s="1"/>
  <c r="GB198" i="5"/>
  <c r="GC198" i="5" s="1"/>
  <c r="IK578" i="5"/>
  <c r="IL578" i="5" s="1"/>
  <c r="IK618" i="5"/>
  <c r="IL618" i="5" s="1"/>
  <c r="IK681" i="5"/>
  <c r="IL681" i="5" s="1"/>
  <c r="IK613" i="5"/>
  <c r="IL613" i="5" s="1"/>
  <c r="IK256" i="5"/>
  <c r="IL256" i="5" s="1"/>
  <c r="IK598" i="5"/>
  <c r="IL598" i="5" s="1"/>
  <c r="IK57" i="5"/>
  <c r="IL57" i="5" s="1"/>
  <c r="IK789" i="5"/>
  <c r="IL789" i="5" s="1"/>
  <c r="IK286" i="5"/>
  <c r="IL286" i="5" s="1"/>
  <c r="IK701" i="5"/>
  <c r="IL701" i="5" s="1"/>
  <c r="IK394" i="5"/>
  <c r="IL394" i="5" s="1"/>
  <c r="IK744" i="5"/>
  <c r="IL744" i="5" s="1"/>
  <c r="IK183" i="5"/>
  <c r="IL183" i="5" s="1"/>
  <c r="IK155" i="5"/>
  <c r="IL155" i="5" s="1"/>
  <c r="IK173" i="5"/>
  <c r="IL173" i="5" s="1"/>
  <c r="IK311" i="5"/>
  <c r="IL311" i="5" s="1"/>
  <c r="IK467" i="5"/>
  <c r="IL467" i="5" s="1"/>
  <c r="IK145" i="5"/>
  <c r="IL145" i="5" s="1"/>
  <c r="HJ702" i="5"/>
  <c r="HJ704" i="5" s="1"/>
  <c r="IF701" i="5" s="1"/>
  <c r="HJ569" i="5"/>
  <c r="HJ571" i="5" s="1"/>
  <c r="IF568" i="5" s="1"/>
  <c r="HJ345" i="5"/>
  <c r="HJ347" i="5" s="1"/>
  <c r="IF344" i="5" s="1"/>
  <c r="HJ78" i="5"/>
  <c r="HJ80" i="5" s="1"/>
  <c r="IF77" i="5" s="1"/>
  <c r="HJ526" i="5"/>
  <c r="HJ528" i="5" s="1"/>
  <c r="IF525" i="5" s="1"/>
  <c r="HJ126" i="5"/>
  <c r="HJ128" i="5" s="1"/>
  <c r="IF125" i="5" s="1"/>
  <c r="HJ473" i="5"/>
  <c r="HJ475" i="5" s="1"/>
  <c r="IF472" i="5" s="1"/>
  <c r="HJ322" i="5"/>
  <c r="HJ324" i="5" s="1"/>
  <c r="IF321" i="5" s="1"/>
  <c r="HJ418" i="5"/>
  <c r="HJ420" i="5" s="1"/>
  <c r="IF417" i="5" s="1"/>
  <c r="HJ239" i="5"/>
  <c r="HJ241" i="5" s="1"/>
  <c r="IF238" i="5" s="1"/>
  <c r="HJ677" i="5"/>
  <c r="HJ679" i="5" s="1"/>
  <c r="IF676" i="5" s="1"/>
  <c r="HJ234" i="5"/>
  <c r="HJ236" i="5" s="1"/>
  <c r="IF233" i="5" s="1"/>
  <c r="HJ740" i="5"/>
  <c r="HJ742" i="5" s="1"/>
  <c r="IF739" i="5" s="1"/>
  <c r="HJ536" i="5"/>
  <c r="HJ538" i="5" s="1"/>
  <c r="IF535" i="5" s="1"/>
  <c r="HJ272" i="5"/>
  <c r="HJ274" i="5" s="1"/>
  <c r="IF271" i="5" s="1"/>
  <c r="HJ672" i="5"/>
  <c r="HJ674" i="5" s="1"/>
  <c r="IF671" i="5" s="1"/>
  <c r="HJ551" i="5"/>
  <c r="HJ553" i="5" s="1"/>
  <c r="IF550" i="5" s="1"/>
  <c r="IK691" i="5"/>
  <c r="IL691" i="5" s="1"/>
  <c r="IK228" i="5"/>
  <c r="IL228" i="5" s="1"/>
  <c r="IK724" i="5"/>
  <c r="IL724" i="5" s="1"/>
  <c r="IK364" i="5"/>
  <c r="IL364" i="5" s="1"/>
  <c r="IK95" i="5"/>
  <c r="IL95" i="5" s="1"/>
  <c r="IK266" i="5"/>
  <c r="IL266" i="5" s="1"/>
  <c r="IK62" i="5"/>
  <c r="IL62" i="5" s="1"/>
  <c r="IK535" i="5"/>
  <c r="IL535" i="5" s="1"/>
  <c r="IK354" i="5"/>
  <c r="IL354" i="5" s="1"/>
  <c r="IK623" i="5"/>
  <c r="IL623" i="5" s="1"/>
  <c r="IK550" i="5"/>
  <c r="IL550" i="5" s="1"/>
  <c r="IK520" i="5"/>
  <c r="IL520" i="5" s="1"/>
  <c r="IK442" i="5"/>
  <c r="IL442" i="5" s="1"/>
  <c r="IK160" i="5"/>
  <c r="IL160" i="5" s="1"/>
  <c r="IK208" i="5"/>
  <c r="IL208" i="5" s="1"/>
  <c r="IK178" i="5"/>
  <c r="IL178" i="5" s="1"/>
  <c r="IK407" i="5"/>
  <c r="IL407" i="5" s="1"/>
  <c r="IK150" i="5"/>
  <c r="IL150" i="5" s="1"/>
  <c r="HJ730" i="5"/>
  <c r="HJ732" i="5" s="1"/>
  <c r="IF729" i="5" s="1"/>
  <c r="HJ790" i="5"/>
  <c r="HJ792" i="5" s="1"/>
  <c r="IF789" i="5" s="1"/>
  <c r="HJ370" i="5"/>
  <c r="HJ372" i="5" s="1"/>
  <c r="IF369" i="5" s="1"/>
  <c r="HJ53" i="5"/>
  <c r="HJ55" i="5" s="1"/>
  <c r="IF52" i="5" s="1"/>
  <c r="HJ428" i="5"/>
  <c r="HJ430" i="5" s="1"/>
  <c r="IF427" i="5" s="1"/>
  <c r="HJ531" i="5"/>
  <c r="HJ533" i="5" s="1"/>
  <c r="IF530" i="5" s="1"/>
  <c r="HJ189" i="5"/>
  <c r="HJ191" i="5" s="1"/>
  <c r="IF188" i="5" s="1"/>
  <c r="HJ340" i="5"/>
  <c r="HJ342" i="5" s="1"/>
  <c r="IF339" i="5" s="1"/>
  <c r="HJ166" i="5"/>
  <c r="HJ168" i="5" s="1"/>
  <c r="IF165" i="5" s="1"/>
  <c r="HJ647" i="5"/>
  <c r="HJ649" i="5" s="1"/>
  <c r="IF646" i="5" s="1"/>
  <c r="HJ360" i="5"/>
  <c r="HJ362" i="5" s="1"/>
  <c r="IF359" i="5" s="1"/>
  <c r="HJ204" i="5"/>
  <c r="HJ206" i="5" s="1"/>
  <c r="IF203" i="5" s="1"/>
  <c r="HJ745" i="5"/>
  <c r="HJ747" i="5" s="1"/>
  <c r="IF744" i="5" s="1"/>
  <c r="HJ408" i="5"/>
  <c r="HJ410" i="5" s="1"/>
  <c r="IF407" i="5" s="1"/>
  <c r="HJ174" i="5"/>
  <c r="HJ176" i="5" s="1"/>
  <c r="IF173" i="5" s="1"/>
  <c r="HJ282" i="5"/>
  <c r="HJ284" i="5" s="1"/>
  <c r="IF281" i="5" s="1"/>
  <c r="IK734" i="5"/>
  <c r="IL734" i="5" s="1"/>
  <c r="IK261" i="5"/>
  <c r="IL261" i="5" s="1"/>
  <c r="IK573" i="5"/>
  <c r="IL573" i="5" s="1"/>
  <c r="IK555" i="5"/>
  <c r="IL555" i="5" s="1"/>
  <c r="IK666" i="5"/>
  <c r="IL666" i="5" s="1"/>
  <c r="IK515" i="5"/>
  <c r="IL515" i="5" s="1"/>
  <c r="IK218" i="5"/>
  <c r="IL218" i="5" s="1"/>
  <c r="IK500" i="5"/>
  <c r="IL500" i="5" s="1"/>
  <c r="IK281" i="5"/>
  <c r="IL281" i="5" s="1"/>
  <c r="IK676" i="5"/>
  <c r="IL676" i="5" s="1"/>
  <c r="IK198" i="5"/>
  <c r="IL198" i="5" s="1"/>
  <c r="IK764" i="5"/>
  <c r="IL764" i="5" s="1"/>
  <c r="IK321" i="5"/>
  <c r="IL321" i="5" s="1"/>
  <c r="IK739" i="5"/>
  <c r="IL739" i="5" s="1"/>
  <c r="IK588" i="5"/>
  <c r="IL588" i="5" s="1"/>
  <c r="IK130" i="5"/>
  <c r="IL130" i="5" s="1"/>
  <c r="IK389" i="5"/>
  <c r="IL389" i="5" s="1"/>
  <c r="IK213" i="5"/>
  <c r="IL213" i="5" s="1"/>
  <c r="HJ521" i="5"/>
  <c r="HJ523" i="5" s="1"/>
  <c r="IF520" i="5" s="1"/>
  <c r="HJ317" i="5"/>
  <c r="HJ319" i="5" s="1"/>
  <c r="IF316" i="5" s="1"/>
  <c r="HJ750" i="5"/>
  <c r="HJ752" i="5" s="1"/>
  <c r="IF749" i="5" s="1"/>
  <c r="HJ312" i="5"/>
  <c r="HJ314" i="5" s="1"/>
  <c r="IF311" i="5" s="1"/>
  <c r="HJ48" i="5"/>
  <c r="HJ50" i="5" s="1"/>
  <c r="IF47" i="5" s="1"/>
  <c r="HJ468" i="5"/>
  <c r="HJ470" i="5" s="1"/>
  <c r="IF467" i="5" s="1"/>
  <c r="HJ63" i="5"/>
  <c r="HJ65" i="5" s="1"/>
  <c r="IF62" i="5" s="1"/>
  <c r="HJ453" i="5"/>
  <c r="HJ455" i="5" s="1"/>
  <c r="IF452" i="5" s="1"/>
  <c r="HJ209" i="5"/>
  <c r="HJ211" i="5" s="1"/>
  <c r="IF208" i="5" s="1"/>
  <c r="HJ614" i="5"/>
  <c r="HJ616" i="5" s="1"/>
  <c r="IF613" i="5" s="1"/>
  <c r="HJ400" i="5"/>
  <c r="HJ402" i="5" s="1"/>
  <c r="IF399" i="5" s="1"/>
  <c r="HJ146" i="5"/>
  <c r="HJ148" i="5" s="1"/>
  <c r="IF145" i="5" s="1"/>
  <c r="HJ725" i="5"/>
  <c r="HJ727" i="5" s="1"/>
  <c r="IF724" i="5" s="1"/>
  <c r="HJ297" i="5"/>
  <c r="HJ299" i="5" s="1"/>
  <c r="IF296" i="5" s="1"/>
  <c r="HJ179" i="5"/>
  <c r="HJ181" i="5" s="1"/>
  <c r="IF178" i="5" s="1"/>
  <c r="HJ697" i="5"/>
  <c r="HJ699" i="5" s="1"/>
  <c r="IF696" i="5" s="1"/>
  <c r="HJ413" i="5"/>
  <c r="HJ415" i="5" s="1"/>
  <c r="IF412" i="5" s="1"/>
  <c r="HJ161" i="5"/>
  <c r="HJ163" i="5" s="1"/>
  <c r="IF160" i="5" s="1"/>
  <c r="HJ720" i="5"/>
  <c r="HJ722" i="5" s="1"/>
  <c r="IF719" i="5" s="1"/>
  <c r="HJ438" i="5"/>
  <c r="HJ440" i="5" s="1"/>
  <c r="IF437" i="5" s="1"/>
  <c r="AB47" i="5"/>
  <c r="IK452" i="5"/>
  <c r="IL452" i="5" s="1"/>
  <c r="IK384" i="5"/>
  <c r="IL384" i="5" s="1"/>
  <c r="IK472" i="5"/>
  <c r="IL472" i="5" s="1"/>
  <c r="IK316" i="5"/>
  <c r="IL316" i="5" s="1"/>
  <c r="IK749" i="5"/>
  <c r="IL749" i="5" s="1"/>
  <c r="IK296" i="5"/>
  <c r="IL296" i="5" s="1"/>
  <c r="IK87" i="5"/>
  <c r="IL87" i="5" s="1"/>
  <c r="IK437" i="5"/>
  <c r="IL437" i="5" s="1"/>
  <c r="IK374" i="5"/>
  <c r="IL374" i="5" s="1"/>
  <c r="IK462" i="5"/>
  <c r="IL462" i="5" s="1"/>
  <c r="IK339" i="5"/>
  <c r="IL339" i="5" s="1"/>
  <c r="IK706" i="5"/>
  <c r="IL706" i="5" s="1"/>
  <c r="IK417" i="5"/>
  <c r="IL417" i="5" s="1"/>
  <c r="IK729" i="5"/>
  <c r="IL729" i="5" s="1"/>
  <c r="IK568" i="5"/>
  <c r="IL568" i="5" s="1"/>
  <c r="IK47" i="5"/>
  <c r="IL47" i="5" s="1"/>
  <c r="IK505" i="5"/>
  <c r="IL505" i="5" s="1"/>
  <c r="IK125" i="5"/>
  <c r="IL125" i="5" s="1"/>
  <c r="HJ760" i="5"/>
  <c r="HJ762" i="5" s="1"/>
  <c r="IF759" i="5" s="1"/>
  <c r="HJ496" i="5"/>
  <c r="HJ498" i="5" s="1"/>
  <c r="IF495" i="5" s="1"/>
  <c r="HJ267" i="5"/>
  <c r="HJ269" i="5" s="1"/>
  <c r="IF266" i="5" s="1"/>
  <c r="HJ667" i="5"/>
  <c r="HJ669" i="5" s="1"/>
  <c r="IF666" i="5" s="1"/>
  <c r="HJ390" i="5"/>
  <c r="HJ392" i="5" s="1"/>
  <c r="IF389" i="5" s="1"/>
  <c r="HJ785" i="5"/>
  <c r="HJ787" i="5" s="1"/>
  <c r="IF784" i="5" s="1"/>
  <c r="HJ385" i="5"/>
  <c r="HJ387" i="5" s="1"/>
  <c r="IF384" i="5" s="1"/>
  <c r="HJ765" i="5"/>
  <c r="HJ767" i="5" s="1"/>
  <c r="IF764" i="5" s="1"/>
  <c r="HJ423" i="5"/>
  <c r="HJ425" i="5" s="1"/>
  <c r="IF422" i="5" s="1"/>
  <c r="HJ151" i="5"/>
  <c r="HJ153" i="5" s="1"/>
  <c r="IF150" i="5" s="1"/>
  <c r="HJ629" i="5"/>
  <c r="HJ631" i="5" s="1"/>
  <c r="IF628" i="5" s="1"/>
  <c r="HJ252" i="5"/>
  <c r="HJ254" i="5" s="1"/>
  <c r="IF251" i="5" s="1"/>
  <c r="HJ156" i="5"/>
  <c r="HJ158" i="5" s="1"/>
  <c r="IF155" i="5" s="1"/>
  <c r="HJ556" i="5"/>
  <c r="HJ558" i="5" s="1"/>
  <c r="IF555" i="5" s="1"/>
  <c r="HJ302" i="5"/>
  <c r="HJ304" i="5" s="1"/>
  <c r="IF301" i="5" s="1"/>
  <c r="HJ106" i="5"/>
  <c r="HJ108" i="5" s="1"/>
  <c r="IF105" i="5" s="1"/>
  <c r="HJ755" i="5"/>
  <c r="HJ757" i="5" s="1"/>
  <c r="IF754" i="5" s="1"/>
  <c r="HJ433" i="5"/>
  <c r="HJ435" i="5" s="1"/>
  <c r="IF432" i="5" s="1"/>
  <c r="HJ652" i="5"/>
  <c r="HJ654" i="5" s="1"/>
  <c r="IF651" i="5" s="1"/>
  <c r="HJ116" i="5"/>
  <c r="HJ118" i="5" s="1"/>
  <c r="IF115" i="5" s="1"/>
  <c r="IK696" i="5"/>
  <c r="IL696" i="5" s="1"/>
  <c r="IK115" i="5"/>
  <c r="IL115" i="5" s="1"/>
  <c r="IK769" i="5"/>
  <c r="IL769" i="5" s="1"/>
  <c r="IK608" i="5"/>
  <c r="IL608" i="5" s="1"/>
  <c r="IK485" i="5"/>
  <c r="IL485" i="5" s="1"/>
  <c r="IK457" i="5"/>
  <c r="IL457" i="5" s="1"/>
  <c r="IK759" i="5"/>
  <c r="IL759" i="5" s="1"/>
  <c r="IK276" i="5"/>
  <c r="IL276" i="5" s="1"/>
  <c r="IK77" i="5"/>
  <c r="IL77" i="5" s="1"/>
  <c r="IK447" i="5"/>
  <c r="IL447" i="5" s="1"/>
  <c r="IK251" i="5"/>
  <c r="IL251" i="5" s="1"/>
  <c r="IK545" i="5"/>
  <c r="IL545" i="5" s="1"/>
  <c r="IK223" i="5"/>
  <c r="IL223" i="5" s="1"/>
  <c r="IK628" i="5"/>
  <c r="IL628" i="5" s="1"/>
  <c r="IK271" i="5"/>
  <c r="IL271" i="5" s="1"/>
  <c r="IK656" i="5"/>
  <c r="IL656" i="5" s="1"/>
  <c r="IK563" i="5"/>
  <c r="IL563" i="5" s="1"/>
  <c r="IK120" i="5"/>
  <c r="IL120" i="5" s="1"/>
  <c r="HJ478" i="5"/>
  <c r="HJ480" i="5" s="1"/>
  <c r="IF477" i="5" s="1"/>
  <c r="HJ770" i="5"/>
  <c r="HJ772" i="5" s="1"/>
  <c r="IF769" i="5" s="1"/>
  <c r="HJ244" i="5"/>
  <c r="HJ246" i="5" s="1"/>
  <c r="IF243" i="5" s="1"/>
  <c r="HJ330" i="5"/>
  <c r="HJ332" i="5" s="1"/>
  <c r="IF329" i="5" s="1"/>
  <c r="HJ443" i="5"/>
  <c r="HJ445" i="5" s="1"/>
  <c r="IF442" i="5" s="1"/>
  <c r="HJ131" i="5"/>
  <c r="HJ133" i="5" s="1"/>
  <c r="IF130" i="5" s="1"/>
  <c r="HJ584" i="5"/>
  <c r="HJ586" i="5" s="1"/>
  <c r="IF583" i="5" s="1"/>
  <c r="HJ277" i="5"/>
  <c r="HJ279" i="5" s="1"/>
  <c r="IF276" i="5" s="1"/>
  <c r="HJ73" i="5"/>
  <c r="HJ75" i="5" s="1"/>
  <c r="IF72" i="5" s="1"/>
  <c r="HJ486" i="5"/>
  <c r="HJ488" i="5" s="1"/>
  <c r="IF485" i="5" s="1"/>
  <c r="HJ199" i="5"/>
  <c r="HJ201" i="5" s="1"/>
  <c r="IF198" i="5" s="1"/>
  <c r="HJ83" i="5"/>
  <c r="HJ85" i="5" s="1"/>
  <c r="IF82" i="5" s="1"/>
  <c r="HJ642" i="5"/>
  <c r="HJ644" i="5" s="1"/>
  <c r="IF641" i="5" s="1"/>
  <c r="HJ88" i="5"/>
  <c r="HJ90" i="5" s="1"/>
  <c r="IF87" i="5" s="1"/>
  <c r="HJ662" i="5"/>
  <c r="HJ664" i="5" s="1"/>
  <c r="IF661" i="5" s="1"/>
  <c r="HJ380" i="5"/>
  <c r="HJ382" i="5" s="1"/>
  <c r="IF379" i="5" s="1"/>
  <c r="HJ101" i="5"/>
  <c r="HJ103" i="5" s="1"/>
  <c r="IF100" i="5" s="1"/>
  <c r="IK359" i="5"/>
  <c r="IL359" i="5" s="1"/>
  <c r="IK140" i="5"/>
  <c r="IL140" i="5" s="1"/>
  <c r="IK651" i="5"/>
  <c r="IL651" i="5" s="1"/>
  <c r="IK135" i="5"/>
  <c r="IL135" i="5" s="1"/>
  <c r="IK774" i="5"/>
  <c r="IL774" i="5" s="1"/>
  <c r="IK238" i="5"/>
  <c r="IL238" i="5" s="1"/>
  <c r="IK779" i="5"/>
  <c r="IL779" i="5" s="1"/>
  <c r="IK243" i="5"/>
  <c r="IL243" i="5" s="1"/>
  <c r="IK52" i="5"/>
  <c r="IL52" i="5" s="1"/>
  <c r="IK603" i="5"/>
  <c r="IL603" i="5" s="1"/>
  <c r="IK301" i="5"/>
  <c r="IL301" i="5" s="1"/>
  <c r="IK432" i="5"/>
  <c r="IL432" i="5" s="1"/>
  <c r="IK379" i="5"/>
  <c r="IL379" i="5" s="1"/>
  <c r="IK641" i="5"/>
  <c r="IL641" i="5" s="1"/>
  <c r="IK477" i="5"/>
  <c r="IL477" i="5" s="1"/>
  <c r="IK671" i="5"/>
  <c r="IL671" i="5" s="1"/>
  <c r="IK593" i="5"/>
  <c r="IL593" i="5" s="1"/>
  <c r="IK82" i="5"/>
  <c r="IL82" i="5" s="1"/>
  <c r="HJ589" i="5"/>
  <c r="HJ591" i="5" s="1"/>
  <c r="IF588" i="5" s="1"/>
  <c r="HJ609" i="5"/>
  <c r="HJ611" i="5" s="1"/>
  <c r="IF608" i="5" s="1"/>
  <c r="HJ657" i="5"/>
  <c r="HJ659" i="5" s="1"/>
  <c r="IF656" i="5" s="1"/>
  <c r="HJ184" i="5"/>
  <c r="HJ186" i="5" s="1"/>
  <c r="IF183" i="5" s="1"/>
  <c r="HJ516" i="5"/>
  <c r="HJ518" i="5" s="1"/>
  <c r="IF515" i="5" s="1"/>
  <c r="HJ287" i="5"/>
  <c r="HJ289" i="5" s="1"/>
  <c r="IF286" i="5" s="1"/>
  <c r="HJ707" i="5"/>
  <c r="HJ709" i="5" s="1"/>
  <c r="IF706" i="5" s="1"/>
  <c r="HJ448" i="5"/>
  <c r="HJ450" i="5" s="1"/>
  <c r="IF447" i="5" s="1"/>
  <c r="HJ111" i="5"/>
  <c r="HJ113" i="5" s="1"/>
  <c r="IF110" i="5" s="1"/>
  <c r="HJ511" i="5"/>
  <c r="HJ513" i="5" s="1"/>
  <c r="IF510" i="5" s="1"/>
  <c r="HJ262" i="5"/>
  <c r="HJ264" i="5" s="1"/>
  <c r="IF261" i="5" s="1"/>
  <c r="HJ682" i="5"/>
  <c r="HJ684" i="5" s="1"/>
  <c r="IF681" i="5" s="1"/>
  <c r="HJ491" i="5"/>
  <c r="HJ493" i="5" s="1"/>
  <c r="IF490" i="5" s="1"/>
  <c r="HJ194" i="5"/>
  <c r="HJ196" i="5" s="1"/>
  <c r="IF193" i="5" s="1"/>
  <c r="HJ68" i="5"/>
  <c r="HJ70" i="5" s="1"/>
  <c r="IF67" i="5" s="1"/>
  <c r="HJ634" i="5"/>
  <c r="HJ636" i="5" s="1"/>
  <c r="IF633" i="5" s="1"/>
  <c r="HJ687" i="5"/>
  <c r="HJ689" i="5" s="1"/>
  <c r="IF686" i="5" s="1"/>
  <c r="HJ604" i="5"/>
  <c r="HJ606" i="5" s="1"/>
  <c r="IF603" i="5" s="1"/>
  <c r="HJ335" i="5"/>
  <c r="HJ337" i="5" s="1"/>
  <c r="IF334" i="5" s="1"/>
  <c r="HJ96" i="5"/>
  <c r="HJ98" i="5" s="1"/>
  <c r="IF95" i="5" s="1"/>
  <c r="IK661" i="5"/>
  <c r="IL661" i="5" s="1"/>
  <c r="IK490" i="5"/>
  <c r="IL490" i="5" s="1"/>
  <c r="IK334" i="5"/>
  <c r="IL334" i="5" s="1"/>
  <c r="IK495" i="5"/>
  <c r="IL495" i="5" s="1"/>
  <c r="IK72" i="5"/>
  <c r="IL72" i="5" s="1"/>
  <c r="IK686" i="5"/>
  <c r="IL686" i="5" s="1"/>
  <c r="IK344" i="5"/>
  <c r="IL344" i="5" s="1"/>
  <c r="IK633" i="5"/>
  <c r="IL633" i="5" s="1"/>
  <c r="IK399" i="5"/>
  <c r="IL399" i="5" s="1"/>
  <c r="IK711" i="5"/>
  <c r="IL711" i="5" s="1"/>
  <c r="IK193" i="5"/>
  <c r="IL193" i="5" s="1"/>
  <c r="IK188" i="5"/>
  <c r="IL188" i="5" s="1"/>
  <c r="IK369" i="5"/>
  <c r="IL369" i="5" s="1"/>
  <c r="IK291" i="5"/>
  <c r="IL291" i="5" s="1"/>
  <c r="IK530" i="5"/>
  <c r="IL530" i="5" s="1"/>
  <c r="IK165" i="5"/>
  <c r="IL165" i="5" s="1"/>
  <c r="IK427" i="5"/>
  <c r="IL427" i="5" s="1"/>
  <c r="IK233" i="5"/>
  <c r="IL233" i="5" s="1"/>
  <c r="HJ692" i="5"/>
  <c r="HJ694" i="5" s="1"/>
  <c r="IF691" i="5" s="1"/>
  <c r="HJ599" i="5"/>
  <c r="HJ601" i="5" s="1"/>
  <c r="IF598" i="5" s="1"/>
  <c r="HJ458" i="5"/>
  <c r="HJ460" i="5" s="1"/>
  <c r="IF457" i="5" s="1"/>
  <c r="HJ257" i="5"/>
  <c r="HJ259" i="5" s="1"/>
  <c r="IF256" i="5" s="1"/>
  <c r="HJ594" i="5"/>
  <c r="HJ596" i="5" s="1"/>
  <c r="IF593" i="5" s="1"/>
  <c r="HJ214" i="5"/>
  <c r="HJ216" i="5" s="1"/>
  <c r="IF213" i="5" s="1"/>
  <c r="HJ501" i="5"/>
  <c r="HJ503" i="5" s="1"/>
  <c r="IF500" i="5" s="1"/>
  <c r="HJ365" i="5"/>
  <c r="HJ367" i="5" s="1"/>
  <c r="IF364" i="5" s="1"/>
  <c r="HJ136" i="5"/>
  <c r="HJ138" i="5" s="1"/>
  <c r="IF135" i="5" s="1"/>
  <c r="HJ564" i="5"/>
  <c r="HJ566" i="5" s="1"/>
  <c r="IF563" i="5" s="1"/>
  <c r="HJ350" i="5"/>
  <c r="HJ352" i="5" s="1"/>
  <c r="IF349" i="5" s="1"/>
  <c r="HJ229" i="5"/>
  <c r="HJ231" i="5" s="1"/>
  <c r="IF228" i="5" s="1"/>
  <c r="HJ58" i="5"/>
  <c r="HJ60" i="5" s="1"/>
  <c r="IF57" i="5" s="1"/>
  <c r="HJ624" i="5"/>
  <c r="HJ626" i="5" s="1"/>
  <c r="IF623" i="5" s="1"/>
  <c r="HJ355" i="5"/>
  <c r="HJ357" i="5" s="1"/>
  <c r="IF354" i="5" s="1"/>
  <c r="HJ712" i="5"/>
  <c r="HJ714" i="5" s="1"/>
  <c r="IF711" i="5" s="1"/>
  <c r="HJ619" i="5"/>
  <c r="HJ621" i="5" s="1"/>
  <c r="IF618" i="5" s="1"/>
  <c r="HJ292" i="5"/>
  <c r="HJ294" i="5" s="1"/>
  <c r="IF291" i="5" s="1"/>
  <c r="IK646" i="5"/>
  <c r="IL646" i="5" s="1"/>
  <c r="IK540" i="5"/>
  <c r="IL540" i="5" s="1"/>
  <c r="IK105" i="5"/>
  <c r="IL105" i="5" s="1"/>
  <c r="IK583" i="5"/>
  <c r="IL583" i="5" s="1"/>
  <c r="IK67" i="5"/>
  <c r="IL67" i="5" s="1"/>
  <c r="IK754" i="5"/>
  <c r="IL754" i="5" s="1"/>
  <c r="IK110" i="5"/>
  <c r="IL110" i="5" s="1"/>
  <c r="IK784" i="5"/>
  <c r="IL784" i="5" s="1"/>
  <c r="IK422" i="5"/>
  <c r="IL422" i="5" s="1"/>
  <c r="IK525" i="5"/>
  <c r="IL525" i="5" s="1"/>
  <c r="IK203" i="5"/>
  <c r="IL203" i="5" s="1"/>
  <c r="IK100" i="5"/>
  <c r="IL100" i="5" s="1"/>
  <c r="IK510" i="5"/>
  <c r="IL510" i="5" s="1"/>
  <c r="IK329" i="5"/>
  <c r="IL329" i="5" s="1"/>
  <c r="IK412" i="5"/>
  <c r="IL412" i="5" s="1"/>
  <c r="IK306" i="5"/>
  <c r="IL306" i="5" s="1"/>
  <c r="IK719" i="5"/>
  <c r="IL719" i="5" s="1"/>
  <c r="IK349" i="5"/>
  <c r="IL349" i="5" s="1"/>
  <c r="HJ735" i="5"/>
  <c r="HJ737" i="5" s="1"/>
  <c r="IF734" i="5" s="1"/>
  <c r="HJ375" i="5"/>
  <c r="HJ377" i="5" s="1"/>
  <c r="IF374" i="5" s="1"/>
  <c r="HJ121" i="5"/>
  <c r="HJ123" i="5" s="1"/>
  <c r="IF120" i="5" s="1"/>
  <c r="HJ541" i="5"/>
  <c r="HJ543" i="5" s="1"/>
  <c r="IF540" i="5" s="1"/>
  <c r="HJ579" i="5"/>
  <c r="HJ581" i="5" s="1"/>
  <c r="IF578" i="5" s="1"/>
  <c r="HJ307" i="5"/>
  <c r="HJ309" i="5" s="1"/>
  <c r="IF306" i="5" s="1"/>
  <c r="HJ141" i="5"/>
  <c r="HJ143" i="5" s="1"/>
  <c r="IF140" i="5" s="1"/>
  <c r="HJ463" i="5"/>
  <c r="HJ465" i="5" s="1"/>
  <c r="IF462" i="5" s="1"/>
  <c r="HJ219" i="5"/>
  <c r="HJ221" i="5" s="1"/>
  <c r="IF218" i="5" s="1"/>
  <c r="HJ775" i="5"/>
  <c r="HJ777" i="5" s="1"/>
  <c r="IF774" i="5" s="1"/>
  <c r="HJ574" i="5"/>
  <c r="HJ576" i="5" s="1"/>
  <c r="IF573" i="5" s="1"/>
  <c r="HJ224" i="5"/>
  <c r="HJ226" i="5" s="1"/>
  <c r="IF223" i="5" s="1"/>
  <c r="HJ780" i="5"/>
  <c r="HJ782" i="5" s="1"/>
  <c r="IF779" i="5" s="1"/>
  <c r="HJ546" i="5"/>
  <c r="HJ548" i="5" s="1"/>
  <c r="IF545" i="5" s="1"/>
  <c r="HJ395" i="5"/>
  <c r="HJ397" i="5" s="1"/>
  <c r="IF394" i="5" s="1"/>
  <c r="HJ506" i="5"/>
  <c r="HJ508" i="5" s="1"/>
  <c r="IF505" i="5" s="1"/>
  <c r="H94" i="10"/>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X28" i="33" l="1"/>
  <c r="Y28" i="33" s="1"/>
  <c r="AX73" i="33"/>
  <c r="Y22" i="33" s="1"/>
  <c r="AN26" i="33"/>
  <c r="T28" i="33"/>
  <c r="X30" i="33"/>
  <c r="Y30" i="33" s="1"/>
  <c r="AU73" i="33"/>
  <c r="J94" i="10"/>
  <c r="J96" i="10" s="1"/>
  <c r="H96" i="10"/>
  <c r="L96" i="10" s="1"/>
  <c r="AC608" i="5"/>
  <c r="AN608" i="5" s="1"/>
  <c r="AD608" i="5"/>
  <c r="HZ609" i="5"/>
  <c r="HZ611" i="5" s="1"/>
  <c r="AC173" i="5"/>
  <c r="AN173" i="5" s="1"/>
  <c r="AD173" i="5"/>
  <c r="HZ174" i="5"/>
  <c r="HZ176" i="5" s="1"/>
  <c r="IG774" i="5"/>
  <c r="IG776" i="5"/>
  <c r="IG120" i="5"/>
  <c r="IG122" i="5"/>
  <c r="AC155" i="5"/>
  <c r="AN155" i="5" s="1"/>
  <c r="AD155" i="5"/>
  <c r="HZ156" i="5"/>
  <c r="HZ158" i="5" s="1"/>
  <c r="AD578" i="5"/>
  <c r="AC578" i="5"/>
  <c r="AN578" i="5" s="1"/>
  <c r="HZ579" i="5"/>
  <c r="HZ581" i="5" s="1"/>
  <c r="IG711" i="5"/>
  <c r="IG713" i="5"/>
  <c r="IG565" i="5"/>
  <c r="IG563" i="5"/>
  <c r="IG258" i="5"/>
  <c r="IG256" i="5"/>
  <c r="AC178" i="5"/>
  <c r="AN178" i="5" s="1"/>
  <c r="AD178" i="5"/>
  <c r="HZ179" i="5"/>
  <c r="HZ181" i="5" s="1"/>
  <c r="AC641" i="5"/>
  <c r="AN641" i="5" s="1"/>
  <c r="AD641" i="5"/>
  <c r="HZ642" i="5"/>
  <c r="HZ644" i="5" s="1"/>
  <c r="AC427" i="5"/>
  <c r="AN427" i="5" s="1"/>
  <c r="AD427" i="5"/>
  <c r="HZ428" i="5"/>
  <c r="HZ430" i="5" s="1"/>
  <c r="IG110" i="5"/>
  <c r="IG112" i="5"/>
  <c r="IG610" i="5"/>
  <c r="IG608" i="5"/>
  <c r="AD656" i="5"/>
  <c r="AC656" i="5"/>
  <c r="AN656" i="5" s="1"/>
  <c r="HZ657" i="5"/>
  <c r="HZ659" i="5" s="1"/>
  <c r="AC344" i="5"/>
  <c r="AN344" i="5" s="1"/>
  <c r="AD344" i="5"/>
  <c r="HZ345" i="5"/>
  <c r="HZ347" i="5" s="1"/>
  <c r="IG84" i="5"/>
  <c r="IG82" i="5"/>
  <c r="AC686" i="5"/>
  <c r="AN686" i="5" s="1"/>
  <c r="AD686" i="5"/>
  <c r="HZ687" i="5"/>
  <c r="HZ689" i="5" s="1"/>
  <c r="AC422" i="5"/>
  <c r="AN422" i="5" s="1"/>
  <c r="AD422" i="5"/>
  <c r="HZ423" i="5"/>
  <c r="HZ425" i="5" s="1"/>
  <c r="HZ413" i="5"/>
  <c r="HZ415" i="5" s="1"/>
  <c r="AD412" i="5"/>
  <c r="AC412" i="5"/>
  <c r="AN412" i="5" s="1"/>
  <c r="IG155" i="5"/>
  <c r="IG157" i="5"/>
  <c r="IG391" i="5"/>
  <c r="IG389" i="5"/>
  <c r="AD47" i="5"/>
  <c r="AC47" i="5"/>
  <c r="AN47" i="5" s="1"/>
  <c r="HZ48" i="5"/>
  <c r="HZ50" i="5" s="1"/>
  <c r="AD374" i="5"/>
  <c r="AC374" i="5"/>
  <c r="AN374" i="5" s="1"/>
  <c r="HZ375" i="5"/>
  <c r="HZ377" i="5" s="1"/>
  <c r="IG160" i="5"/>
  <c r="IG162" i="5"/>
  <c r="IG615" i="5"/>
  <c r="IG613" i="5"/>
  <c r="IG316" i="5"/>
  <c r="IG318" i="5"/>
  <c r="AD734" i="5"/>
  <c r="AC734" i="5"/>
  <c r="AN734" i="5" s="1"/>
  <c r="HZ735" i="5"/>
  <c r="HZ737" i="5" s="1"/>
  <c r="AC291" i="5"/>
  <c r="AN291" i="5" s="1"/>
  <c r="AD291" i="5"/>
  <c r="HZ292" i="5"/>
  <c r="HZ294" i="5" s="1"/>
  <c r="IG746" i="5"/>
  <c r="IG744" i="5"/>
  <c r="IG530" i="5"/>
  <c r="IG532" i="5"/>
  <c r="IG729" i="5"/>
  <c r="IG731" i="5"/>
  <c r="HZ755" i="5"/>
  <c r="HZ757" i="5" s="1"/>
  <c r="AC754" i="5"/>
  <c r="AN754" i="5" s="1"/>
  <c r="AD754" i="5"/>
  <c r="AD651" i="5"/>
  <c r="AC651" i="5"/>
  <c r="AN651" i="5" s="1"/>
  <c r="HZ652" i="5"/>
  <c r="HZ654" i="5" s="1"/>
  <c r="IG235" i="5"/>
  <c r="IG233" i="5"/>
  <c r="AC120" i="5"/>
  <c r="AN120" i="5" s="1"/>
  <c r="AD120" i="5"/>
  <c r="HZ121" i="5"/>
  <c r="HZ123" i="5" s="1"/>
  <c r="AC573" i="5"/>
  <c r="AN573" i="5" s="1"/>
  <c r="AD573" i="5"/>
  <c r="HZ574" i="5"/>
  <c r="HZ576" i="5" s="1"/>
  <c r="IG507" i="5"/>
  <c r="IG505" i="5"/>
  <c r="IG218" i="5"/>
  <c r="IG220" i="5"/>
  <c r="AC588" i="5"/>
  <c r="AN588" i="5" s="1"/>
  <c r="AD588" i="5"/>
  <c r="HZ589" i="5"/>
  <c r="HZ591" i="5" s="1"/>
  <c r="AD633" i="5"/>
  <c r="AC633" i="5"/>
  <c r="AN633" i="5" s="1"/>
  <c r="HZ634" i="5"/>
  <c r="HZ636" i="5" s="1"/>
  <c r="AD306" i="5"/>
  <c r="AC306" i="5"/>
  <c r="AN306" i="5" s="1"/>
  <c r="HZ307" i="5"/>
  <c r="HZ309" i="5" s="1"/>
  <c r="IG356" i="5"/>
  <c r="IG354" i="5"/>
  <c r="IG135" i="5"/>
  <c r="IG137" i="5"/>
  <c r="IG459" i="5"/>
  <c r="IG457" i="5"/>
  <c r="HZ146" i="5"/>
  <c r="HZ148" i="5" s="1"/>
  <c r="AC145" i="5"/>
  <c r="AN145" i="5" s="1"/>
  <c r="AD145" i="5"/>
  <c r="AD598" i="5"/>
  <c r="AC598" i="5"/>
  <c r="AN598" i="5" s="1"/>
  <c r="HZ599" i="5"/>
  <c r="HZ601" i="5" s="1"/>
  <c r="IG633" i="5"/>
  <c r="IG635" i="5"/>
  <c r="IG447" i="5"/>
  <c r="IG449" i="5"/>
  <c r="IG590" i="5"/>
  <c r="IG588" i="5"/>
  <c r="HZ501" i="5"/>
  <c r="HZ503" i="5" s="1"/>
  <c r="AD500" i="5"/>
  <c r="AC500" i="5"/>
  <c r="AN500" i="5" s="1"/>
  <c r="AC286" i="5"/>
  <c r="AN286" i="5" s="1"/>
  <c r="AD286" i="5"/>
  <c r="HZ287" i="5"/>
  <c r="HZ289" i="5" s="1"/>
  <c r="IG198" i="5"/>
  <c r="IG200" i="5"/>
  <c r="IG331" i="5"/>
  <c r="IG329" i="5"/>
  <c r="AC369" i="5"/>
  <c r="AN369" i="5" s="1"/>
  <c r="AD369" i="5"/>
  <c r="HZ370" i="5"/>
  <c r="HZ372" i="5" s="1"/>
  <c r="IG651" i="5"/>
  <c r="IG653" i="5"/>
  <c r="IG253" i="5"/>
  <c r="IG251" i="5"/>
  <c r="IG668" i="5"/>
  <c r="IG666" i="5"/>
  <c r="AD729" i="5"/>
  <c r="AC729" i="5"/>
  <c r="AN729" i="5" s="1"/>
  <c r="HZ730" i="5"/>
  <c r="HZ732" i="5" s="1"/>
  <c r="AD535" i="5"/>
  <c r="AC535" i="5"/>
  <c r="AN535" i="5" s="1"/>
  <c r="HZ536" i="5"/>
  <c r="HZ538" i="5" s="1"/>
  <c r="IG412" i="5"/>
  <c r="IG414" i="5"/>
  <c r="IG210" i="5"/>
  <c r="IG208" i="5"/>
  <c r="IG522" i="5"/>
  <c r="IG520" i="5"/>
  <c r="HZ317" i="5"/>
  <c r="HZ319" i="5" s="1"/>
  <c r="AD316" i="5"/>
  <c r="AC316" i="5"/>
  <c r="AN316" i="5" s="1"/>
  <c r="AC540" i="5"/>
  <c r="AN540" i="5" s="1"/>
  <c r="AD540" i="5"/>
  <c r="HZ541" i="5"/>
  <c r="HZ543" i="5" s="1"/>
  <c r="IG203" i="5"/>
  <c r="IG205" i="5"/>
  <c r="HZ131" i="5"/>
  <c r="HZ133" i="5" s="1"/>
  <c r="AD130" i="5"/>
  <c r="AC130" i="5"/>
  <c r="AN130" i="5" s="1"/>
  <c r="AD676" i="5"/>
  <c r="AC676" i="5"/>
  <c r="AN676" i="5" s="1"/>
  <c r="HZ677" i="5"/>
  <c r="HZ679" i="5" s="1"/>
  <c r="AC233" i="5"/>
  <c r="AN233" i="5" s="1"/>
  <c r="AD233" i="5"/>
  <c r="HZ234" i="5"/>
  <c r="HZ236" i="5" s="1"/>
  <c r="AC407" i="5"/>
  <c r="AN407" i="5" s="1"/>
  <c r="AD407" i="5"/>
  <c r="HZ408" i="5"/>
  <c r="HZ410" i="5" s="1"/>
  <c r="AC477" i="5"/>
  <c r="AN477" i="5" s="1"/>
  <c r="HZ478" i="5"/>
  <c r="HZ480" i="5" s="1"/>
  <c r="AD477" i="5"/>
  <c r="AD759" i="5"/>
  <c r="AC759" i="5"/>
  <c r="AN759" i="5" s="1"/>
  <c r="HZ760" i="5"/>
  <c r="HZ762" i="5" s="1"/>
  <c r="AC261" i="5"/>
  <c r="AN261" i="5" s="1"/>
  <c r="AD261" i="5"/>
  <c r="HZ262" i="5"/>
  <c r="HZ264" i="5" s="1"/>
  <c r="AC769" i="5"/>
  <c r="AN769" i="5" s="1"/>
  <c r="AD769" i="5"/>
  <c r="HZ770" i="5"/>
  <c r="HZ772" i="5" s="1"/>
  <c r="IG462" i="5"/>
  <c r="IG464" i="5"/>
  <c r="AD198" i="5"/>
  <c r="AC198" i="5"/>
  <c r="AN198" i="5" s="1"/>
  <c r="HZ199" i="5"/>
  <c r="HZ201" i="5" s="1"/>
  <c r="AD462" i="5"/>
  <c r="AC462" i="5"/>
  <c r="AN462" i="5" s="1"/>
  <c r="HZ463" i="5"/>
  <c r="HZ465" i="5" s="1"/>
  <c r="AD213" i="5"/>
  <c r="AC213" i="5"/>
  <c r="AN213" i="5" s="1"/>
  <c r="HZ214" i="5"/>
  <c r="HZ216" i="5" s="1"/>
  <c r="IG623" i="5"/>
  <c r="IG625" i="5"/>
  <c r="IG366" i="5"/>
  <c r="IG364" i="5"/>
  <c r="IG598" i="5"/>
  <c r="IG600" i="5"/>
  <c r="AD67" i="5"/>
  <c r="AC67" i="5"/>
  <c r="AN67" i="5" s="1"/>
  <c r="HZ68" i="5"/>
  <c r="HZ70" i="5" s="1"/>
  <c r="AD490" i="5"/>
  <c r="HZ491" i="5"/>
  <c r="HZ493" i="5" s="1"/>
  <c r="AC490" i="5"/>
  <c r="AN490" i="5" s="1"/>
  <c r="IG69" i="5"/>
  <c r="IG708" i="5"/>
  <c r="IG706" i="5"/>
  <c r="AC681" i="5"/>
  <c r="AN681" i="5" s="1"/>
  <c r="AD681" i="5"/>
  <c r="HZ682" i="5"/>
  <c r="HZ684" i="5" s="1"/>
  <c r="IG100" i="5"/>
  <c r="IG102" i="5"/>
  <c r="IG485" i="5"/>
  <c r="IG487" i="5"/>
  <c r="AD618" i="5"/>
  <c r="HZ619" i="5"/>
  <c r="HZ621" i="5" s="1"/>
  <c r="AC618" i="5"/>
  <c r="AN618" i="5" s="1"/>
  <c r="AC160" i="5"/>
  <c r="AN160" i="5" s="1"/>
  <c r="AD160" i="5"/>
  <c r="HZ161" i="5"/>
  <c r="HZ163" i="5" s="1"/>
  <c r="AC183" i="5"/>
  <c r="AN183" i="5" s="1"/>
  <c r="AD183" i="5"/>
  <c r="HZ184" i="5"/>
  <c r="HZ186" i="5" s="1"/>
  <c r="AC150" i="5"/>
  <c r="AN150" i="5" s="1"/>
  <c r="AD150" i="5"/>
  <c r="HZ151" i="5"/>
  <c r="HZ153" i="5" s="1"/>
  <c r="IG628" i="5"/>
  <c r="IG630" i="5"/>
  <c r="IG266" i="5"/>
  <c r="IG268" i="5"/>
  <c r="AC628" i="5"/>
  <c r="AN628" i="5" s="1"/>
  <c r="AD628" i="5"/>
  <c r="HZ629" i="5"/>
  <c r="HZ631" i="5" s="1"/>
  <c r="AD520" i="5"/>
  <c r="AC520" i="5"/>
  <c r="AN520" i="5" s="1"/>
  <c r="HZ521" i="5"/>
  <c r="HZ523" i="5" s="1"/>
  <c r="IG698" i="5"/>
  <c r="IG696" i="5"/>
  <c r="IG454" i="5"/>
  <c r="IG452" i="5"/>
  <c r="AC779" i="5"/>
  <c r="AN779" i="5" s="1"/>
  <c r="HZ780" i="5"/>
  <c r="HZ782" i="5" s="1"/>
  <c r="AD779" i="5"/>
  <c r="HZ166" i="5"/>
  <c r="HZ168" i="5" s="1"/>
  <c r="AD165" i="5"/>
  <c r="AC165" i="5"/>
  <c r="AN165" i="5" s="1"/>
  <c r="AD525" i="5"/>
  <c r="AC525" i="5"/>
  <c r="AN525" i="5" s="1"/>
  <c r="HZ526" i="5"/>
  <c r="HZ528" i="5" s="1"/>
  <c r="IG361" i="5"/>
  <c r="IG359" i="5"/>
  <c r="IG429" i="5"/>
  <c r="IG427" i="5"/>
  <c r="AD105" i="5"/>
  <c r="AC105" i="5"/>
  <c r="AN105" i="5" s="1"/>
  <c r="HZ106" i="5"/>
  <c r="HZ108" i="5" s="1"/>
  <c r="AD188" i="5"/>
  <c r="AC188" i="5"/>
  <c r="AN188" i="5" s="1"/>
  <c r="HZ189" i="5"/>
  <c r="HZ191" i="5" s="1"/>
  <c r="IG678" i="5"/>
  <c r="IG676" i="5"/>
  <c r="IG125" i="5"/>
  <c r="IG127" i="5"/>
  <c r="AC646" i="5"/>
  <c r="AN646" i="5" s="1"/>
  <c r="AD646" i="5"/>
  <c r="HZ647" i="5"/>
  <c r="HZ649" i="5" s="1"/>
  <c r="AC711" i="5"/>
  <c r="AN711" i="5" s="1"/>
  <c r="AD711" i="5"/>
  <c r="HZ712" i="5"/>
  <c r="HZ714" i="5" s="1"/>
  <c r="IG394" i="5"/>
  <c r="IG396" i="5"/>
  <c r="IG140" i="5"/>
  <c r="IG142" i="5"/>
  <c r="IG376" i="5"/>
  <c r="IG374" i="5"/>
  <c r="AD62" i="5"/>
  <c r="AC62" i="5"/>
  <c r="AN62" i="5" s="1"/>
  <c r="HZ63" i="5"/>
  <c r="HZ65" i="5" s="1"/>
  <c r="AC243" i="5"/>
  <c r="AN243" i="5" s="1"/>
  <c r="AD243" i="5"/>
  <c r="HZ244" i="5"/>
  <c r="HZ246" i="5" s="1"/>
  <c r="IG59" i="5"/>
  <c r="AC789" i="5"/>
  <c r="AN789" i="5" s="1"/>
  <c r="AD789" i="5"/>
  <c r="HZ790" i="5"/>
  <c r="HZ792" i="5" s="1"/>
  <c r="IG693" i="5"/>
  <c r="IG691" i="5"/>
  <c r="HZ551" i="5"/>
  <c r="HZ553" i="5" s="1"/>
  <c r="AC550" i="5"/>
  <c r="AN550" i="5" s="1"/>
  <c r="AD550" i="5"/>
  <c r="HZ556" i="5"/>
  <c r="HZ558" i="5" s="1"/>
  <c r="AD555" i="5"/>
  <c r="AC555" i="5"/>
  <c r="AN555" i="5" s="1"/>
  <c r="IG195" i="5"/>
  <c r="IG193" i="5"/>
  <c r="IG286" i="5"/>
  <c r="IG288" i="5"/>
  <c r="AD321" i="5"/>
  <c r="AC321" i="5"/>
  <c r="AN321" i="5" s="1"/>
  <c r="HZ322" i="5"/>
  <c r="HZ324" i="5" s="1"/>
  <c r="IG379" i="5"/>
  <c r="IG381" i="5"/>
  <c r="IG72" i="5"/>
  <c r="IG74" i="5"/>
  <c r="IG243" i="5"/>
  <c r="IG245" i="5"/>
  <c r="AC115" i="5"/>
  <c r="AN115" i="5" s="1"/>
  <c r="HZ116" i="5"/>
  <c r="HZ118" i="5" s="1"/>
  <c r="AD115" i="5"/>
  <c r="AC135" i="5"/>
  <c r="AN135" i="5" s="1"/>
  <c r="AD135" i="5"/>
  <c r="HZ136" i="5"/>
  <c r="HZ138" i="5" s="1"/>
  <c r="IG434" i="5"/>
  <c r="IG432" i="5"/>
  <c r="IG150" i="5"/>
  <c r="IG152" i="5"/>
  <c r="IG497" i="5"/>
  <c r="IG495" i="5"/>
  <c r="AD661" i="5"/>
  <c r="AC661" i="5"/>
  <c r="AN661" i="5" s="1"/>
  <c r="HZ662" i="5"/>
  <c r="HZ664" i="5" s="1"/>
  <c r="AC77" i="5"/>
  <c r="AN77" i="5" s="1"/>
  <c r="HZ78" i="5"/>
  <c r="HZ80" i="5" s="1"/>
  <c r="AD77" i="5"/>
  <c r="IG180" i="5"/>
  <c r="IG178" i="5"/>
  <c r="IG64" i="5"/>
  <c r="IG62" i="5"/>
  <c r="AC495" i="5"/>
  <c r="AN495" i="5" s="1"/>
  <c r="AD495" i="5"/>
  <c r="HZ496" i="5"/>
  <c r="HZ498" i="5" s="1"/>
  <c r="IG281" i="5"/>
  <c r="IG283" i="5"/>
  <c r="IG648" i="5"/>
  <c r="IG646" i="5"/>
  <c r="IG54" i="5"/>
  <c r="HZ390" i="5"/>
  <c r="HZ392" i="5" s="1"/>
  <c r="AC389" i="5"/>
  <c r="AN389" i="5" s="1"/>
  <c r="AD389" i="5"/>
  <c r="AC329" i="5"/>
  <c r="AN329" i="5" s="1"/>
  <c r="AD329" i="5"/>
  <c r="HZ330" i="5"/>
  <c r="HZ332" i="5" s="1"/>
  <c r="IG552" i="5"/>
  <c r="IG550" i="5"/>
  <c r="IG240" i="5"/>
  <c r="IG238" i="5"/>
  <c r="IG525" i="5"/>
  <c r="IG527" i="5"/>
  <c r="AC706" i="5"/>
  <c r="AN706" i="5" s="1"/>
  <c r="AD706" i="5"/>
  <c r="HZ707" i="5"/>
  <c r="HZ709" i="5" s="1"/>
  <c r="AD774" i="5"/>
  <c r="AC774" i="5"/>
  <c r="AN774" i="5" s="1"/>
  <c r="HZ775" i="5"/>
  <c r="HZ777" i="5" s="1"/>
  <c r="IG545" i="5"/>
  <c r="IG547" i="5"/>
  <c r="IG308" i="5"/>
  <c r="IG306" i="5"/>
  <c r="AC510" i="5"/>
  <c r="AN510" i="5" s="1"/>
  <c r="AD510" i="5"/>
  <c r="HZ511" i="5"/>
  <c r="HZ513" i="5" s="1"/>
  <c r="AC719" i="5"/>
  <c r="AN719" i="5" s="1"/>
  <c r="AD719" i="5"/>
  <c r="HZ720" i="5"/>
  <c r="HZ722" i="5" s="1"/>
  <c r="AC563" i="5"/>
  <c r="AN563" i="5" s="1"/>
  <c r="AD563" i="5"/>
  <c r="HZ564" i="5"/>
  <c r="HZ566" i="5" s="1"/>
  <c r="IG228" i="5"/>
  <c r="IG230" i="5"/>
  <c r="AC251" i="5"/>
  <c r="AN251" i="5" s="1"/>
  <c r="AD251" i="5"/>
  <c r="HZ252" i="5"/>
  <c r="HZ254" i="5" s="1"/>
  <c r="HZ380" i="5"/>
  <c r="HZ382" i="5" s="1"/>
  <c r="AC379" i="5"/>
  <c r="AN379" i="5" s="1"/>
  <c r="AD379" i="5"/>
  <c r="IG95" i="5"/>
  <c r="IG97" i="5"/>
  <c r="IG490" i="5"/>
  <c r="IG492" i="5"/>
  <c r="IG517" i="5"/>
  <c r="IG515" i="5"/>
  <c r="AD472" i="5"/>
  <c r="AC472" i="5"/>
  <c r="AN472" i="5" s="1"/>
  <c r="HZ473" i="5"/>
  <c r="HZ475" i="5" s="1"/>
  <c r="AC505" i="5"/>
  <c r="AN505" i="5" s="1"/>
  <c r="AD505" i="5"/>
  <c r="HZ506" i="5"/>
  <c r="HZ508" i="5" s="1"/>
  <c r="IG663" i="5"/>
  <c r="IG661" i="5"/>
  <c r="IG278" i="5"/>
  <c r="IG276" i="5"/>
  <c r="IG769" i="5"/>
  <c r="IG771" i="5"/>
  <c r="HZ83" i="5"/>
  <c r="HZ85" i="5" s="1"/>
  <c r="AD82" i="5"/>
  <c r="AC82" i="5"/>
  <c r="AN82" i="5" s="1"/>
  <c r="AC384" i="5"/>
  <c r="AN384" i="5" s="1"/>
  <c r="AD384" i="5"/>
  <c r="HZ385" i="5"/>
  <c r="HZ387" i="5" s="1"/>
  <c r="IG756" i="5"/>
  <c r="IG754" i="5"/>
  <c r="IG424" i="5"/>
  <c r="IG422" i="5"/>
  <c r="IG761" i="5"/>
  <c r="IG759" i="5"/>
  <c r="AC442" i="5"/>
  <c r="AN442" i="5" s="1"/>
  <c r="AD442" i="5"/>
  <c r="HZ443" i="5"/>
  <c r="HZ445" i="5" s="1"/>
  <c r="HZ219" i="5"/>
  <c r="HZ221" i="5" s="1"/>
  <c r="AD218" i="5"/>
  <c r="AC218" i="5"/>
  <c r="AN218" i="5" s="1"/>
  <c r="IG298" i="5"/>
  <c r="IG296" i="5"/>
  <c r="IG469" i="5"/>
  <c r="IG467" i="5"/>
  <c r="HZ614" i="5"/>
  <c r="HZ616" i="5" s="1"/>
  <c r="AD613" i="5"/>
  <c r="AC613" i="5"/>
  <c r="AN613" i="5" s="1"/>
  <c r="HZ486" i="5"/>
  <c r="HZ488" i="5" s="1"/>
  <c r="AC485" i="5"/>
  <c r="AN485" i="5" s="1"/>
  <c r="AD485" i="5"/>
  <c r="IG167" i="5"/>
  <c r="IG165" i="5"/>
  <c r="IG369" i="5"/>
  <c r="IG371" i="5"/>
  <c r="AC724" i="5"/>
  <c r="AN724" i="5" s="1"/>
  <c r="AD724" i="5"/>
  <c r="HZ725" i="5"/>
  <c r="HZ727" i="5" s="1"/>
  <c r="HZ365" i="5"/>
  <c r="HZ367" i="5" s="1"/>
  <c r="AD364" i="5"/>
  <c r="AC364" i="5"/>
  <c r="AN364" i="5" s="1"/>
  <c r="IG673" i="5"/>
  <c r="IG671" i="5"/>
  <c r="IG417" i="5"/>
  <c r="IG419" i="5"/>
  <c r="IG77" i="5"/>
  <c r="IG79" i="5"/>
  <c r="AD281" i="5"/>
  <c r="AC281" i="5"/>
  <c r="AN281" i="5" s="1"/>
  <c r="HZ282" i="5"/>
  <c r="HZ284" i="5" s="1"/>
  <c r="AD228" i="5"/>
  <c r="AC228" i="5"/>
  <c r="AN228" i="5" s="1"/>
  <c r="HZ229" i="5"/>
  <c r="HZ231" i="5" s="1"/>
  <c r="IG779" i="5"/>
  <c r="IG781" i="5"/>
  <c r="IG580" i="5"/>
  <c r="IG578" i="5"/>
  <c r="IG734" i="5"/>
  <c r="IG736" i="5"/>
  <c r="AC452" i="5"/>
  <c r="AN452" i="5" s="1"/>
  <c r="AD452" i="5"/>
  <c r="HZ453" i="5"/>
  <c r="HZ455" i="5" s="1"/>
  <c r="AC87" i="5"/>
  <c r="AN87" i="5" s="1"/>
  <c r="AD87" i="5"/>
  <c r="HZ88" i="5"/>
  <c r="HZ90" i="5" s="1"/>
  <c r="AC623" i="5"/>
  <c r="AN623" i="5" s="1"/>
  <c r="AD623" i="5"/>
  <c r="HZ624" i="5"/>
  <c r="HZ626" i="5" s="1"/>
  <c r="IG500" i="5"/>
  <c r="IG502" i="5"/>
  <c r="AC349" i="5"/>
  <c r="AN349" i="5" s="1"/>
  <c r="AD349" i="5"/>
  <c r="HZ350" i="5"/>
  <c r="HZ352" i="5" s="1"/>
  <c r="IG334" i="5"/>
  <c r="IG336" i="5"/>
  <c r="IG683" i="5"/>
  <c r="IG681" i="5"/>
  <c r="IG185" i="5"/>
  <c r="IG183" i="5"/>
  <c r="AC339" i="5"/>
  <c r="AN339" i="5" s="1"/>
  <c r="AD339" i="5"/>
  <c r="HZ340" i="5"/>
  <c r="HZ342" i="5" s="1"/>
  <c r="AC437" i="5"/>
  <c r="AN437" i="5" s="1"/>
  <c r="AD437" i="5"/>
  <c r="HZ438" i="5"/>
  <c r="HZ440" i="5" s="1"/>
  <c r="IG89" i="5"/>
  <c r="IG87" i="5"/>
  <c r="IG583" i="5"/>
  <c r="IG585" i="5"/>
  <c r="HZ257" i="5"/>
  <c r="HZ259" i="5" s="1"/>
  <c r="AC256" i="5"/>
  <c r="AN256" i="5" s="1"/>
  <c r="AD256" i="5"/>
  <c r="AD266" i="5"/>
  <c r="AC266" i="5"/>
  <c r="AN266" i="5" s="1"/>
  <c r="HZ267" i="5"/>
  <c r="HZ269" i="5" s="1"/>
  <c r="AD334" i="5"/>
  <c r="AC334" i="5"/>
  <c r="AN334" i="5" s="1"/>
  <c r="HZ335" i="5"/>
  <c r="HZ337" i="5" s="1"/>
  <c r="IG105" i="5"/>
  <c r="IG107" i="5"/>
  <c r="IG766" i="5"/>
  <c r="IG764" i="5"/>
  <c r="AD603" i="5"/>
  <c r="AC603" i="5"/>
  <c r="AN603" i="5" s="1"/>
  <c r="HZ604" i="5"/>
  <c r="HZ606" i="5" s="1"/>
  <c r="AC223" i="5"/>
  <c r="AN223" i="5" s="1"/>
  <c r="HZ224" i="5"/>
  <c r="HZ226" i="5" s="1"/>
  <c r="AD223" i="5"/>
  <c r="IG726" i="5"/>
  <c r="IG724" i="5"/>
  <c r="IG49" i="5"/>
  <c r="AC530" i="5"/>
  <c r="AN530" i="5" s="1"/>
  <c r="AD530" i="5"/>
  <c r="HZ531" i="5"/>
  <c r="HZ533" i="5" s="1"/>
  <c r="AC568" i="5"/>
  <c r="AN568" i="5" s="1"/>
  <c r="AD568" i="5"/>
  <c r="HZ569" i="5"/>
  <c r="HZ571" i="5" s="1"/>
  <c r="HZ765" i="5"/>
  <c r="HZ767" i="5" s="1"/>
  <c r="AC764" i="5"/>
  <c r="AN764" i="5" s="1"/>
  <c r="AD764" i="5"/>
  <c r="IG341" i="5"/>
  <c r="IG339" i="5"/>
  <c r="IG789" i="5"/>
  <c r="IG791" i="5"/>
  <c r="AC447" i="5"/>
  <c r="AN447" i="5" s="1"/>
  <c r="AD447" i="5"/>
  <c r="HZ448" i="5"/>
  <c r="HZ450" i="5" s="1"/>
  <c r="AC125" i="5"/>
  <c r="AN125" i="5" s="1"/>
  <c r="AD125" i="5"/>
  <c r="HZ126" i="5"/>
  <c r="HZ128" i="5" s="1"/>
  <c r="IG271" i="5"/>
  <c r="IG273" i="5"/>
  <c r="AC749" i="5"/>
  <c r="AN749" i="5" s="1"/>
  <c r="AD749" i="5"/>
  <c r="HZ750" i="5"/>
  <c r="HZ752" i="5" s="1"/>
  <c r="IG344" i="5"/>
  <c r="IG346" i="5"/>
  <c r="AD671" i="5"/>
  <c r="AC671" i="5"/>
  <c r="AN671" i="5" s="1"/>
  <c r="HZ672" i="5"/>
  <c r="HZ674" i="5" s="1"/>
  <c r="AD140" i="5"/>
  <c r="AC140" i="5"/>
  <c r="AN140" i="5" s="1"/>
  <c r="HZ141" i="5"/>
  <c r="HZ143" i="5" s="1"/>
  <c r="IG223" i="5"/>
  <c r="IG225" i="5"/>
  <c r="AC193" i="5"/>
  <c r="AN193" i="5" s="1"/>
  <c r="AD193" i="5"/>
  <c r="HZ194" i="5"/>
  <c r="HZ196" i="5" s="1"/>
  <c r="AC359" i="5"/>
  <c r="AN359" i="5" s="1"/>
  <c r="AD359" i="5"/>
  <c r="HZ360" i="5"/>
  <c r="HZ362" i="5" s="1"/>
  <c r="IG291" i="5"/>
  <c r="IG293" i="5"/>
  <c r="AC784" i="5"/>
  <c r="AN784" i="5" s="1"/>
  <c r="AD784" i="5"/>
  <c r="HZ785" i="5"/>
  <c r="HZ787" i="5" s="1"/>
  <c r="IG215" i="5"/>
  <c r="IG213" i="5"/>
  <c r="AC696" i="5"/>
  <c r="AN696" i="5" s="1"/>
  <c r="AD696" i="5"/>
  <c r="HZ697" i="5"/>
  <c r="HZ699" i="5" s="1"/>
  <c r="AC666" i="5"/>
  <c r="AN666" i="5" s="1"/>
  <c r="AD666" i="5"/>
  <c r="HZ667" i="5"/>
  <c r="HZ669" i="5" s="1"/>
  <c r="IG605" i="5"/>
  <c r="IG603" i="5"/>
  <c r="IG263" i="5"/>
  <c r="IG261" i="5"/>
  <c r="IG658" i="5"/>
  <c r="IG656" i="5"/>
  <c r="AC95" i="5"/>
  <c r="AN95" i="5" s="1"/>
  <c r="AD95" i="5"/>
  <c r="HZ96" i="5"/>
  <c r="HZ98" i="5" s="1"/>
  <c r="AD399" i="5"/>
  <c r="AC399" i="5"/>
  <c r="AN399" i="5" s="1"/>
  <c r="HZ400" i="5"/>
  <c r="HZ402" i="5" s="1"/>
  <c r="AD467" i="5"/>
  <c r="AC467" i="5"/>
  <c r="AN467" i="5" s="1"/>
  <c r="HZ468" i="5"/>
  <c r="HZ470" i="5" s="1"/>
  <c r="IG130" i="5"/>
  <c r="IG132" i="5"/>
  <c r="IG477" i="5"/>
  <c r="IG479" i="5"/>
  <c r="AC100" i="5"/>
  <c r="AN100" i="5" s="1"/>
  <c r="AD100" i="5"/>
  <c r="HZ101" i="5"/>
  <c r="HZ103" i="5" s="1"/>
  <c r="AD203" i="5"/>
  <c r="HZ204" i="5"/>
  <c r="HZ206" i="5" s="1"/>
  <c r="AC203" i="5"/>
  <c r="AN203" i="5" s="1"/>
  <c r="IG303" i="5"/>
  <c r="IG301" i="5"/>
  <c r="IG384" i="5"/>
  <c r="IG386" i="5"/>
  <c r="AD296" i="5"/>
  <c r="AC296" i="5"/>
  <c r="AN296" i="5" s="1"/>
  <c r="HZ297" i="5"/>
  <c r="HZ299" i="5" s="1"/>
  <c r="IG437" i="5"/>
  <c r="IG439" i="5"/>
  <c r="IG147" i="5"/>
  <c r="IG145" i="5"/>
  <c r="IG313" i="5"/>
  <c r="IG311" i="5"/>
  <c r="AD739" i="5"/>
  <c r="AC739" i="5"/>
  <c r="AN739" i="5" s="1"/>
  <c r="HZ740" i="5"/>
  <c r="HZ742" i="5" s="1"/>
  <c r="AC583" i="5"/>
  <c r="AN583" i="5" s="1"/>
  <c r="AD583" i="5"/>
  <c r="HZ584" i="5"/>
  <c r="HZ586" i="5" s="1"/>
  <c r="IG175" i="5"/>
  <c r="IG173" i="5"/>
  <c r="HZ702" i="5"/>
  <c r="HZ704" i="5" s="1"/>
  <c r="AD701" i="5"/>
  <c r="AC701" i="5"/>
  <c r="AN701" i="5" s="1"/>
  <c r="HZ312" i="5"/>
  <c r="HZ314" i="5" s="1"/>
  <c r="AC311" i="5"/>
  <c r="AN311" i="5" s="1"/>
  <c r="AD311" i="5"/>
  <c r="AD432" i="5"/>
  <c r="AC432" i="5"/>
  <c r="AN432" i="5" s="1"/>
  <c r="HZ433" i="5"/>
  <c r="HZ435" i="5" s="1"/>
  <c r="HZ58" i="5"/>
  <c r="HZ60" i="5" s="1"/>
  <c r="AC57" i="5"/>
  <c r="AN57" i="5" s="1"/>
  <c r="AD57" i="5"/>
  <c r="IG537" i="5"/>
  <c r="IG535" i="5"/>
  <c r="IG323" i="5"/>
  <c r="IG321" i="5"/>
  <c r="IG568" i="5"/>
  <c r="IG570" i="5"/>
  <c r="AD457" i="5"/>
  <c r="AC457" i="5"/>
  <c r="AN457" i="5" s="1"/>
  <c r="HZ458" i="5"/>
  <c r="HZ460" i="5" s="1"/>
  <c r="AC110" i="5"/>
  <c r="AN110" i="5" s="1"/>
  <c r="AD110" i="5"/>
  <c r="HZ111" i="5"/>
  <c r="HZ113" i="5" s="1"/>
  <c r="IG573" i="5"/>
  <c r="IG575" i="5"/>
  <c r="IG540" i="5"/>
  <c r="IG542" i="5"/>
  <c r="AD276" i="5"/>
  <c r="AC276" i="5"/>
  <c r="AN276" i="5" s="1"/>
  <c r="HZ277" i="5"/>
  <c r="HZ279" i="5" s="1"/>
  <c r="IG618" i="5"/>
  <c r="IG620" i="5"/>
  <c r="IG349" i="5"/>
  <c r="IG351" i="5"/>
  <c r="IG593" i="5"/>
  <c r="IG595" i="5"/>
  <c r="AD238" i="5"/>
  <c r="AC238" i="5"/>
  <c r="AN238" i="5" s="1"/>
  <c r="HZ239" i="5"/>
  <c r="HZ241" i="5" s="1"/>
  <c r="AD394" i="5"/>
  <c r="AC394" i="5"/>
  <c r="AN394" i="5" s="1"/>
  <c r="HZ395" i="5"/>
  <c r="HZ397" i="5" s="1"/>
  <c r="IG686" i="5"/>
  <c r="IG688" i="5"/>
  <c r="IG512" i="5"/>
  <c r="IG510" i="5"/>
  <c r="AC271" i="5"/>
  <c r="AN271" i="5" s="1"/>
  <c r="AD271" i="5"/>
  <c r="HZ272" i="5"/>
  <c r="HZ274" i="5" s="1"/>
  <c r="HZ302" i="5"/>
  <c r="HZ304" i="5" s="1"/>
  <c r="AD301" i="5"/>
  <c r="AC301" i="5"/>
  <c r="AN301" i="5" s="1"/>
  <c r="HZ209" i="5"/>
  <c r="HZ211" i="5" s="1"/>
  <c r="AC208" i="5"/>
  <c r="AN208" i="5" s="1"/>
  <c r="AD208" i="5"/>
  <c r="IG641" i="5"/>
  <c r="IG643" i="5"/>
  <c r="IG442" i="5"/>
  <c r="IG444" i="5"/>
  <c r="AD691" i="5"/>
  <c r="AC691" i="5"/>
  <c r="AN691" i="5" s="1"/>
  <c r="HZ692" i="5"/>
  <c r="HZ694" i="5" s="1"/>
  <c r="AC593" i="5"/>
  <c r="AN593" i="5" s="1"/>
  <c r="AD593" i="5"/>
  <c r="HZ594" i="5"/>
  <c r="HZ596" i="5" s="1"/>
  <c r="IG115" i="5"/>
  <c r="IG117" i="5"/>
  <c r="IG557" i="5"/>
  <c r="IG555" i="5"/>
  <c r="IG786" i="5"/>
  <c r="IG784" i="5"/>
  <c r="AD52" i="5"/>
  <c r="AC52" i="5"/>
  <c r="AN52" i="5" s="1"/>
  <c r="HZ53" i="5"/>
  <c r="HZ55" i="5" s="1"/>
  <c r="AD515" i="5"/>
  <c r="AC515" i="5"/>
  <c r="AN515" i="5" s="1"/>
  <c r="HZ516" i="5"/>
  <c r="HZ518" i="5" s="1"/>
  <c r="IG721" i="5"/>
  <c r="IG719" i="5"/>
  <c r="IG399" i="5"/>
  <c r="IG401" i="5"/>
  <c r="IG749" i="5"/>
  <c r="IG751" i="5"/>
  <c r="HZ745" i="5"/>
  <c r="HZ747" i="5" s="1"/>
  <c r="AC744" i="5"/>
  <c r="AN744" i="5" s="1"/>
  <c r="AD744" i="5"/>
  <c r="AD354" i="5"/>
  <c r="AC354" i="5"/>
  <c r="AN354" i="5" s="1"/>
  <c r="HZ355" i="5"/>
  <c r="HZ357" i="5" s="1"/>
  <c r="IG409" i="5"/>
  <c r="IG407" i="5"/>
  <c r="IG190" i="5"/>
  <c r="IG188" i="5"/>
  <c r="AD545" i="5"/>
  <c r="AC545" i="5"/>
  <c r="AN545" i="5" s="1"/>
  <c r="HZ546" i="5"/>
  <c r="HZ548" i="5" s="1"/>
  <c r="AD72" i="5"/>
  <c r="AC72" i="5"/>
  <c r="AN72" i="5" s="1"/>
  <c r="HZ73" i="5"/>
  <c r="HZ75" i="5" s="1"/>
  <c r="HZ418" i="5"/>
  <c r="HZ420" i="5" s="1"/>
  <c r="AD417" i="5"/>
  <c r="AC417" i="5"/>
  <c r="AN417" i="5" s="1"/>
  <c r="IG741" i="5"/>
  <c r="IG739" i="5"/>
  <c r="IG472" i="5"/>
  <c r="IG474" i="5"/>
  <c r="IG701" i="5"/>
  <c r="IG703" i="5"/>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IG67" i="5" l="1"/>
  <c r="IH67" i="5" s="1"/>
  <c r="IG57" i="5"/>
  <c r="IG47" i="5"/>
  <c r="IH47" i="5" s="1"/>
  <c r="IG52" i="5"/>
  <c r="IH412" i="5"/>
  <c r="IH729" i="5"/>
  <c r="IH160" i="5"/>
  <c r="IH256" i="5"/>
  <c r="IH676" i="5"/>
  <c r="IH427" i="5"/>
  <c r="IH100" i="5"/>
  <c r="IH628" i="5"/>
  <c r="IH208" i="5"/>
  <c r="IH719" i="5"/>
  <c r="IH784" i="5"/>
  <c r="IH321" i="5"/>
  <c r="IH173" i="5"/>
  <c r="IH311" i="5"/>
  <c r="IH656" i="5"/>
  <c r="IH671" i="5"/>
  <c r="IH754" i="5"/>
  <c r="IH82" i="5"/>
  <c r="IH608" i="5"/>
  <c r="IH588" i="5"/>
  <c r="IH354" i="5"/>
  <c r="IH711" i="5"/>
  <c r="IH407" i="5"/>
  <c r="IH603" i="5"/>
  <c r="IH213" i="5"/>
  <c r="IH87" i="5"/>
  <c r="IH183" i="5"/>
  <c r="IH296" i="5"/>
  <c r="IH759" i="5"/>
  <c r="IH661" i="5"/>
  <c r="IH515" i="5"/>
  <c r="IH178" i="5"/>
  <c r="IH495" i="5"/>
  <c r="IH706" i="5"/>
  <c r="IH329" i="5"/>
  <c r="IH500" i="5"/>
  <c r="IH399" i="5"/>
  <c r="IH641" i="5"/>
  <c r="IH573" i="5"/>
  <c r="IH568" i="5"/>
  <c r="IH271" i="5"/>
  <c r="IH789" i="5"/>
  <c r="IH417" i="5"/>
  <c r="IH490" i="5"/>
  <c r="IH266" i="5"/>
  <c r="IH462" i="5"/>
  <c r="IH530" i="5"/>
  <c r="IH155" i="5"/>
  <c r="IH281" i="5"/>
  <c r="IH613" i="5"/>
  <c r="IH744" i="5"/>
  <c r="IH339" i="5"/>
  <c r="IH384" i="5"/>
  <c r="IH291" i="5"/>
  <c r="IH223" i="5"/>
  <c r="IH344" i="5"/>
  <c r="IH472" i="5"/>
  <c r="IH739" i="5"/>
  <c r="IH550" i="5"/>
  <c r="IH545" i="5"/>
  <c r="IH520" i="5"/>
  <c r="IH238" i="5"/>
  <c r="IH563" i="5"/>
  <c r="IH52" i="5"/>
  <c r="IH140" i="5"/>
  <c r="IH110" i="5"/>
  <c r="IH349" i="5"/>
  <c r="IH130" i="5"/>
  <c r="IH525" i="5"/>
  <c r="IH485" i="5"/>
  <c r="IH432" i="5"/>
  <c r="IH120" i="5"/>
  <c r="IH301" i="5"/>
  <c r="IH583" i="5"/>
  <c r="IH72" i="5"/>
  <c r="IH623" i="5"/>
  <c r="IH633" i="5"/>
  <c r="IH306" i="5"/>
  <c r="IH646" i="5"/>
  <c r="IH193" i="5"/>
  <c r="IH691" i="5"/>
  <c r="IH452" i="5"/>
  <c r="IH666" i="5"/>
  <c r="IH505" i="5"/>
  <c r="IH233" i="5"/>
  <c r="IH389" i="5"/>
  <c r="IH701" i="5"/>
  <c r="IH686" i="5"/>
  <c r="IH593" i="5"/>
  <c r="IH477" i="5"/>
  <c r="IH774" i="5"/>
  <c r="IH749" i="5"/>
  <c r="IH115" i="5"/>
  <c r="IH442" i="5"/>
  <c r="IH540" i="5"/>
  <c r="IH437" i="5"/>
  <c r="IH724" i="5"/>
  <c r="IH764" i="5"/>
  <c r="IH779" i="5"/>
  <c r="IH77" i="5"/>
  <c r="IH379" i="5"/>
  <c r="IH394" i="5"/>
  <c r="IH125" i="5"/>
  <c r="IH696" i="5"/>
  <c r="IH251" i="5"/>
  <c r="IH135" i="5"/>
  <c r="IH681" i="5"/>
  <c r="IH422" i="5"/>
  <c r="IH150" i="5"/>
  <c r="IH598" i="5"/>
  <c r="IH198" i="5"/>
  <c r="IH618" i="5"/>
  <c r="IH105" i="5"/>
  <c r="IH57" i="5"/>
  <c r="IH374" i="5"/>
  <c r="IH359" i="5"/>
  <c r="IH364" i="5"/>
  <c r="IH203" i="5"/>
  <c r="IH651" i="5"/>
  <c r="IH316" i="5"/>
  <c r="IH510" i="5"/>
  <c r="IH334" i="5"/>
  <c r="IH734" i="5"/>
  <c r="IH369" i="5"/>
  <c r="IH769" i="5"/>
  <c r="IH95" i="5"/>
  <c r="IH228" i="5"/>
  <c r="IH243" i="5"/>
  <c r="IH447" i="5"/>
  <c r="IH188" i="5"/>
  <c r="IH555" i="5"/>
  <c r="IH535" i="5"/>
  <c r="IH145" i="5"/>
  <c r="IH261" i="5"/>
  <c r="IH578" i="5"/>
  <c r="IH165" i="5"/>
  <c r="IH467" i="5"/>
  <c r="IH276" i="5"/>
  <c r="IH62" i="5"/>
  <c r="IH286" i="5"/>
  <c r="IH457" i="5"/>
  <c r="IH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T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E78" i="8" l="1"/>
  <c r="E77" i="8"/>
  <c r="BX92" i="8"/>
  <c r="A77" i="8" l="1"/>
  <c r="A78" i="8"/>
  <c r="BN206" i="8" l="1"/>
  <c r="CA118" i="8"/>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CA104" i="8"/>
  <c r="BN202" i="8"/>
  <c r="CA100" i="8"/>
  <c r="CA99" i="8"/>
  <c r="BN204" i="8"/>
  <c r="CA102" i="8"/>
  <c r="CA101" i="8"/>
  <c r="BN203" i="8"/>
  <c r="BN205" i="8"/>
  <c r="CA105" i="8"/>
  <c r="CA103" i="8"/>
  <c r="BN207" i="8"/>
  <c r="BN201"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BW44" i="33" l="1"/>
  <c r="B44" i="33" s="1"/>
  <c r="BW107" i="33"/>
  <c r="B107" i="33" s="1"/>
  <c r="BW72" i="33"/>
  <c r="B72" i="33" s="1"/>
  <c r="BW111" i="33"/>
  <c r="B111" i="33" s="1"/>
  <c r="BW109" i="33"/>
  <c r="B109" i="33" s="1"/>
  <c r="BW110" i="33"/>
  <c r="B110" i="33" s="1"/>
  <c r="BW108" i="33"/>
  <c r="B108" i="33" s="1"/>
  <c r="BW71" i="33"/>
  <c r="B71" i="33" s="1"/>
  <c r="BW69" i="33"/>
  <c r="B69" i="33" s="1"/>
  <c r="BW70" i="33"/>
  <c r="B70" i="33" s="1"/>
  <c r="BW57" i="33"/>
  <c r="B57" i="33" s="1"/>
  <c r="BW58" i="33"/>
  <c r="B58" i="33" s="1"/>
  <c r="BW55" i="33"/>
  <c r="B55" i="33" s="1"/>
  <c r="BW106" i="33"/>
  <c r="B106" i="33" s="1"/>
  <c r="BW104" i="33"/>
  <c r="B104" i="33" s="1"/>
  <c r="BW105" i="33"/>
  <c r="B105" i="33" s="1"/>
  <c r="BW56" i="33"/>
  <c r="B56" i="33" s="1"/>
  <c r="BW82" i="33"/>
  <c r="B82" i="33" s="1"/>
  <c r="BW103" i="33"/>
  <c r="B103" i="33" s="1"/>
  <c r="BW43" i="33"/>
  <c r="BW54" i="33"/>
  <c r="B54" i="33" s="1"/>
  <c r="B43" i="33" l="1"/>
  <c r="BL43" i="33" l="1"/>
  <c r="E73" i="33"/>
  <c r="BK43" i="33" l="1"/>
  <c r="BK73" i="33" s="1"/>
  <c r="X24" i="33" s="1"/>
  <c r="Y24" i="33" s="1"/>
  <c r="U24" i="33" s="1"/>
  <c r="B2" i="33" s="1"/>
  <c r="BM43" i="33"/>
  <c r="BU43" i="33" l="1"/>
  <c r="BU73" i="33" s="1"/>
  <c r="AO24" i="33" s="1"/>
  <c r="AJ43" i="33"/>
  <c r="BT43" i="33"/>
  <c r="BT73" i="33" s="1"/>
  <c r="G92" i="10" s="1"/>
  <c r="S92" i="10" s="1"/>
  <c r="S96" i="10" s="1"/>
  <c r="H89" i="11" l="1"/>
  <c r="U89" i="11" s="1"/>
  <c r="P41" i="22" s="1"/>
  <c r="G96" i="10"/>
  <c r="G98" i="10" s="1"/>
  <c r="I92" i="10"/>
  <c r="CA121" i="8"/>
  <c r="BK89" i="11" l="1"/>
  <c r="BJ89" i="11"/>
  <c r="P29" i="22"/>
  <c r="N92" i="10"/>
  <c r="I96" i="10"/>
  <c r="J98" i="10" s="1"/>
  <c r="J92" i="10"/>
  <c r="AP24" i="33"/>
  <c r="AO26" i="33"/>
  <c r="DI30" i="5"/>
  <c r="N96" i="10" l="1"/>
  <c r="O96" i="10" s="1"/>
  <c r="AP26" i="33"/>
  <c r="AP28" i="33"/>
  <c r="K24" i="33"/>
  <c r="K26" i="33" s="1"/>
  <c r="B4" i="33" s="1"/>
  <c r="IH8" i="5"/>
  <c r="IH6" i="5" l="1"/>
  <c r="II6" i="5" l="1"/>
  <c r="IK6" i="5" s="1"/>
  <c r="IL6" i="5" s="1"/>
  <c r="HV58" i="5" s="1"/>
  <c r="HV60" i="5" s="1"/>
  <c r="II8" i="5"/>
  <c r="IK8" i="5" s="1"/>
  <c r="IL8" i="5" s="1"/>
  <c r="HW68" i="5" s="1"/>
  <c r="HW70" i="5" s="1"/>
  <c r="IB70" i="5" s="1"/>
  <c r="ID70" i="5" l="1"/>
  <c r="B67" i="5" s="1"/>
  <c r="IB67" i="5"/>
  <c r="ID68" i="5"/>
  <c r="HW58" i="5"/>
  <c r="HW60" i="5" s="1"/>
  <c r="IB60" i="5" s="1"/>
  <c r="ID60" i="5" s="1"/>
  <c r="B57" i="5" s="1"/>
  <c r="HW63" i="5"/>
  <c r="HW65" i="5" s="1"/>
  <c r="IB65" i="5" s="1"/>
  <c r="HW790" i="5"/>
  <c r="HW792" i="5" s="1"/>
  <c r="HW53" i="5"/>
  <c r="HW55" i="5" s="1"/>
  <c r="HV790" i="5"/>
  <c r="HV792" i="5" s="1"/>
  <c r="HV53" i="5"/>
  <c r="HV55" i="5" s="1"/>
  <c r="IB792" i="5"/>
  <c r="ID792" i="5" s="1"/>
  <c r="B789" i="5" s="1"/>
  <c r="HW48" i="5"/>
  <c r="HW50" i="5" s="1"/>
  <c r="HV48" i="5"/>
  <c r="HV50" i="5" s="1"/>
  <c r="BK28" i="22"/>
  <c r="DF69" i="5" l="1"/>
  <c r="DF67" i="5"/>
  <c r="CV69" i="5"/>
  <c r="CV67" i="5"/>
  <c r="EK67" i="5"/>
  <c r="AR67" i="5"/>
  <c r="EM67" i="5" s="1"/>
  <c r="DG69" i="5"/>
  <c r="DS67" i="5" s="1"/>
  <c r="DC67" i="5"/>
  <c r="CY69" i="5"/>
  <c r="CZ67" i="5"/>
  <c r="EO67" i="5"/>
  <c r="CX69" i="5"/>
  <c r="CZ69" i="5"/>
  <c r="DB67" i="5"/>
  <c r="EG67" i="5"/>
  <c r="DJ67" i="5"/>
  <c r="CY67" i="5"/>
  <c r="DJ69" i="5"/>
  <c r="EI67" i="5" s="1"/>
  <c r="AO69" i="5"/>
  <c r="EL67" i="5"/>
  <c r="CW69" i="5"/>
  <c r="FG67" i="5" s="1"/>
  <c r="IC69" i="5"/>
  <c r="IC67" i="5"/>
  <c r="AO67" i="5"/>
  <c r="CW67" i="5"/>
  <c r="GB67" i="5" s="1"/>
  <c r="GC67" i="5" s="1"/>
  <c r="ID65" i="5"/>
  <c r="B62" i="5" s="1"/>
  <c r="IB62" i="5"/>
  <c r="ID63" i="5"/>
  <c r="ID58" i="5"/>
  <c r="IB57" i="5"/>
  <c r="AO59" i="5" s="1"/>
  <c r="IB55" i="5"/>
  <c r="ID55" i="5" s="1"/>
  <c r="B52" i="5" s="1"/>
  <c r="IB50" i="5"/>
  <c r="ID48" i="5" s="1"/>
  <c r="IB789" i="5"/>
  <c r="DB789" i="5" s="1"/>
  <c r="ID790" i="5"/>
  <c r="B125" i="19"/>
  <c r="B124" i="19"/>
  <c r="BK24" i="22"/>
  <c r="CC38" i="22"/>
  <c r="BK26" i="22"/>
  <c r="BK27" i="22"/>
  <c r="B126" i="19"/>
  <c r="AO57" i="5" l="1"/>
  <c r="AP57" i="5" s="1"/>
  <c r="DD67" i="5"/>
  <c r="DM67" i="5"/>
  <c r="EF67" i="5" s="1"/>
  <c r="EH67" i="5" s="1"/>
  <c r="FH67" i="5" s="1"/>
  <c r="DK67" i="5"/>
  <c r="DA67" i="5"/>
  <c r="DN69" i="5"/>
  <c r="DT69" i="5"/>
  <c r="DV67" i="5"/>
  <c r="EA67" i="5" s="1"/>
  <c r="DT67" i="5"/>
  <c r="AP67" i="5"/>
  <c r="DG59" i="5"/>
  <c r="DS57" i="5" s="1"/>
  <c r="DT59" i="5" s="1"/>
  <c r="CZ59" i="5"/>
  <c r="EG57" i="5" s="1"/>
  <c r="AR57" i="5"/>
  <c r="EM57" i="5" s="1"/>
  <c r="DC57" i="5"/>
  <c r="DJ59" i="5"/>
  <c r="CX59" i="5"/>
  <c r="EO57" i="5"/>
  <c r="CY59" i="5"/>
  <c r="DF59" i="5"/>
  <c r="EL57" i="5" s="1"/>
  <c r="CV57" i="5"/>
  <c r="CY57" i="5"/>
  <c r="ID53" i="5"/>
  <c r="DF57" i="5"/>
  <c r="CZ57" i="5"/>
  <c r="DC62" i="5"/>
  <c r="CV62" i="5"/>
  <c r="IC62" i="5"/>
  <c r="CY62" i="5"/>
  <c r="DJ62" i="5"/>
  <c r="EO62" i="5"/>
  <c r="DJ64" i="5"/>
  <c r="EI62" i="5" s="1"/>
  <c r="DB62" i="5"/>
  <c r="DF62" i="5"/>
  <c r="AO62" i="5"/>
  <c r="CZ62" i="5"/>
  <c r="DA62" i="5" s="1"/>
  <c r="CV64" i="5"/>
  <c r="EK62" i="5" s="1"/>
  <c r="CX64" i="5"/>
  <c r="DG64" i="5"/>
  <c r="DS62" i="5" s="1"/>
  <c r="CZ64" i="5"/>
  <c r="IC64" i="5"/>
  <c r="CY64" i="5"/>
  <c r="CW62" i="5"/>
  <c r="GB62" i="5" s="1"/>
  <c r="GC62" i="5" s="1"/>
  <c r="AO64" i="5"/>
  <c r="CW64" i="5"/>
  <c r="FG62" i="5" s="1"/>
  <c r="DF64" i="5"/>
  <c r="EL62" i="5" s="1"/>
  <c r="AR62" i="5"/>
  <c r="EM62" i="5" s="1"/>
  <c r="IB52" i="5"/>
  <c r="IC52" i="5" s="1"/>
  <c r="DJ57" i="5"/>
  <c r="DB57" i="5"/>
  <c r="CW57" i="5"/>
  <c r="GB57" i="5" s="1"/>
  <c r="GC57" i="5" s="1"/>
  <c r="CW59" i="5"/>
  <c r="FG57" i="5" s="1"/>
  <c r="CV59" i="5"/>
  <c r="EK57" i="5" s="1"/>
  <c r="IC57" i="5"/>
  <c r="IC59" i="5"/>
  <c r="IB47" i="5"/>
  <c r="DJ49" i="5" s="1"/>
  <c r="EI47" i="5" s="1"/>
  <c r="ID50" i="5"/>
  <c r="CZ791" i="5"/>
  <c r="EG789" i="5" s="1"/>
  <c r="DJ789" i="5"/>
  <c r="DF789" i="5"/>
  <c r="CW789" i="5"/>
  <c r="GB789" i="5" s="1"/>
  <c r="GC789" i="5" s="1"/>
  <c r="AO789" i="5"/>
  <c r="DJ791" i="5"/>
  <c r="EI789" i="5" s="1"/>
  <c r="CY789" i="5"/>
  <c r="CV791" i="5"/>
  <c r="EK789" i="5" s="1"/>
  <c r="IC791" i="5"/>
  <c r="CX791" i="5"/>
  <c r="IC789" i="5"/>
  <c r="CW791" i="5"/>
  <c r="FG789" i="5" s="1"/>
  <c r="DG791" i="5"/>
  <c r="DS789" i="5" s="1"/>
  <c r="DT791" i="5" s="1"/>
  <c r="AO791" i="5"/>
  <c r="DF791" i="5"/>
  <c r="DZ789" i="5" s="1"/>
  <c r="EO789" i="5" s="1"/>
  <c r="DC789" i="5"/>
  <c r="DD789" i="5" s="1"/>
  <c r="CZ789" i="5"/>
  <c r="DA789" i="5" s="1"/>
  <c r="CV789" i="5"/>
  <c r="CY791" i="5"/>
  <c r="AR789" i="5"/>
  <c r="EM789" i="5" s="1"/>
  <c r="BK25" i="22"/>
  <c r="B47" i="5" l="1"/>
  <c r="DN64" i="5"/>
  <c r="EJ67" i="5"/>
  <c r="DO67" i="5"/>
  <c r="DT57" i="5"/>
  <c r="DV57" i="5"/>
  <c r="EA57" i="5" s="1"/>
  <c r="DK62" i="5"/>
  <c r="DK57" i="5"/>
  <c r="EG62" i="5"/>
  <c r="DA57" i="5"/>
  <c r="EI57" i="5"/>
  <c r="DN59" i="5"/>
  <c r="DD57" i="5"/>
  <c r="DG54" i="5"/>
  <c r="DS52" i="5" s="1"/>
  <c r="DT54" i="5" s="1"/>
  <c r="DF52" i="5"/>
  <c r="DM57" i="5"/>
  <c r="AP62" i="5"/>
  <c r="DD62" i="5"/>
  <c r="IC54" i="5"/>
  <c r="DC52" i="5"/>
  <c r="DJ54" i="5"/>
  <c r="EI52" i="5" s="1"/>
  <c r="CY52" i="5"/>
  <c r="CY54" i="5"/>
  <c r="AO52" i="5"/>
  <c r="DF54" i="5"/>
  <c r="DZ52" i="5" s="1"/>
  <c r="EO52" i="5" s="1"/>
  <c r="CW52" i="5"/>
  <c r="GB52" i="5" s="1"/>
  <c r="GC52" i="5" s="1"/>
  <c r="CV52" i="5"/>
  <c r="CV54" i="5"/>
  <c r="AO54" i="5"/>
  <c r="DM62" i="5"/>
  <c r="CZ52" i="5"/>
  <c r="AR52" i="5"/>
  <c r="EM52" i="5" s="1"/>
  <c r="DJ52" i="5"/>
  <c r="DB52" i="5"/>
  <c r="CZ54" i="5"/>
  <c r="DT62" i="5"/>
  <c r="DV62" i="5"/>
  <c r="EA62" i="5" s="1"/>
  <c r="DT64" i="5"/>
  <c r="CX54" i="5"/>
  <c r="CW54" i="5"/>
  <c r="FG52" i="5" s="1"/>
  <c r="EL52" i="5"/>
  <c r="EG52" i="5"/>
  <c r="AO47" i="5"/>
  <c r="DF49" i="5"/>
  <c r="DZ47" i="5" s="1"/>
  <c r="EO47" i="5" s="1"/>
  <c r="DJ47" i="5"/>
  <c r="DK47" i="5" s="1"/>
  <c r="DG49" i="5"/>
  <c r="DS47" i="5" s="1"/>
  <c r="DT49" i="5" s="1"/>
  <c r="CW49" i="5"/>
  <c r="FG47" i="5" s="1"/>
  <c r="CZ47" i="5"/>
  <c r="CW47" i="5"/>
  <c r="IC49" i="5"/>
  <c r="CX49" i="5"/>
  <c r="IC47" i="5"/>
  <c r="CV49" i="5"/>
  <c r="DB47" i="5"/>
  <c r="AR47" i="5"/>
  <c r="EM47" i="5" s="1"/>
  <c r="CZ49" i="5"/>
  <c r="EG47" i="5" s="1"/>
  <c r="CV47" i="5"/>
  <c r="CY47" i="5"/>
  <c r="AO49" i="5"/>
  <c r="DF47" i="5"/>
  <c r="DC47" i="5"/>
  <c r="CY49" i="5"/>
  <c r="AP789" i="5"/>
  <c r="DK789" i="5"/>
  <c r="EL789" i="5"/>
  <c r="DM789" i="5"/>
  <c r="EF789" i="5" s="1"/>
  <c r="EH789" i="5" s="1"/>
  <c r="FH789" i="5" s="1"/>
  <c r="DT789" i="5"/>
  <c r="DV789" i="5"/>
  <c r="EA789" i="5" s="1"/>
  <c r="DN791" i="5"/>
  <c r="EK52" i="5" l="1"/>
  <c r="DD52" i="5"/>
  <c r="DS103" i="8"/>
  <c r="DS120" i="8"/>
  <c r="DS137" i="8"/>
  <c r="DT137" i="8" s="1"/>
  <c r="DS122" i="8"/>
  <c r="DS126" i="8"/>
  <c r="DS109" i="8"/>
  <c r="DS118" i="8"/>
  <c r="DS111" i="8"/>
  <c r="DS128" i="8"/>
  <c r="DS96" i="8"/>
  <c r="DS130" i="8"/>
  <c r="DS108" i="8"/>
  <c r="DS117" i="8"/>
  <c r="DS142" i="8"/>
  <c r="DS119" i="8"/>
  <c r="DS136" i="8"/>
  <c r="DT136" i="8" s="1"/>
  <c r="DS131" i="8"/>
  <c r="DS138" i="8"/>
  <c r="DS116" i="8"/>
  <c r="DS125" i="8"/>
  <c r="DS127" i="8"/>
  <c r="DS95" i="8"/>
  <c r="DS98" i="8"/>
  <c r="DS97" i="8"/>
  <c r="DS124" i="8"/>
  <c r="DS133" i="8"/>
  <c r="DS135" i="8"/>
  <c r="DS105" i="8"/>
  <c r="DS134" i="8"/>
  <c r="DS107" i="8"/>
  <c r="DS132" i="8"/>
  <c r="DS141" i="8"/>
  <c r="DT141" i="8" s="1"/>
  <c r="DS94" i="8"/>
  <c r="DS113" i="8"/>
  <c r="DS93" i="8"/>
  <c r="DS115" i="8"/>
  <c r="DS140" i="8"/>
  <c r="DT140" i="8" s="1"/>
  <c r="DS100" i="8"/>
  <c r="DS104" i="8"/>
  <c r="DS121" i="8"/>
  <c r="DS106" i="8"/>
  <c r="EA106" i="8" s="1"/>
  <c r="DS123" i="8"/>
  <c r="DS99" i="8"/>
  <c r="DS102" i="8"/>
  <c r="DT102" i="8" s="1"/>
  <c r="DS112" i="8"/>
  <c r="DS129" i="8"/>
  <c r="DS114" i="8"/>
  <c r="DS139" i="8"/>
  <c r="DT139" i="8" s="1"/>
  <c r="DS101" i="8"/>
  <c r="DT101" i="8" s="1"/>
  <c r="DS110" i="8"/>
  <c r="DK52" i="5"/>
  <c r="DO62" i="5"/>
  <c r="EF62" i="5"/>
  <c r="DO57" i="5"/>
  <c r="EF57" i="5"/>
  <c r="DA52" i="5"/>
  <c r="AP52" i="5"/>
  <c r="DV52" i="5"/>
  <c r="EA52" i="5" s="1"/>
  <c r="DT52" i="5"/>
  <c r="DN54" i="5"/>
  <c r="DM52" i="5"/>
  <c r="EF52" i="5" s="1"/>
  <c r="GB47" i="5"/>
  <c r="GC47" i="5" s="1"/>
  <c r="EA108" i="8"/>
  <c r="EA125" i="8"/>
  <c r="EA137" i="8"/>
  <c r="EA99" i="8"/>
  <c r="EA116" i="8"/>
  <c r="EA105" i="8"/>
  <c r="EA122" i="8"/>
  <c r="EA136" i="8"/>
  <c r="EA100" i="8"/>
  <c r="DA47" i="5"/>
  <c r="EL47" i="5"/>
  <c r="EK47" i="5"/>
  <c r="AP47" i="5"/>
  <c r="DT47" i="5"/>
  <c r="DV47" i="5"/>
  <c r="EA47" i="5" s="1"/>
  <c r="DO789" i="5"/>
  <c r="DD47" i="5"/>
  <c r="DM47" i="5"/>
  <c r="EF47" i="5" s="1"/>
  <c r="EH47" i="5" s="1"/>
  <c r="FH47" i="5" s="1"/>
  <c r="DN49" i="5"/>
  <c r="EJ789" i="5"/>
  <c r="BS96" i="8"/>
  <c r="BT96" i="8" s="1"/>
  <c r="BS101" i="8"/>
  <c r="BT101" i="8" s="1"/>
  <c r="BS112" i="8"/>
  <c r="BT112" i="8" s="1"/>
  <c r="BS133" i="8"/>
  <c r="BT133" i="8" s="1"/>
  <c r="BS156" i="8"/>
  <c r="BT156" i="8" s="1"/>
  <c r="BS130" i="8"/>
  <c r="BT130" i="8" s="1"/>
  <c r="BS135" i="8"/>
  <c r="BT135" i="8" s="1"/>
  <c r="BS148" i="8"/>
  <c r="BT148" i="8" s="1"/>
  <c r="BS98" i="8"/>
  <c r="BT98" i="8" s="1"/>
  <c r="BS149" i="8"/>
  <c r="BT149" i="8" s="1"/>
  <c r="BS134" i="8"/>
  <c r="BT134" i="8" s="1"/>
  <c r="BS136" i="8"/>
  <c r="BT136" i="8" s="1"/>
  <c r="BS127" i="8"/>
  <c r="BT127" i="8" s="1"/>
  <c r="BS119" i="8"/>
  <c r="BT119" i="8" s="1"/>
  <c r="BS158" i="8"/>
  <c r="BT158" i="8" s="1"/>
  <c r="BS97" i="8"/>
  <c r="BT97" i="8" s="1"/>
  <c r="BS166" i="8"/>
  <c r="BT166" i="8" s="1"/>
  <c r="BS121" i="8"/>
  <c r="BT121" i="8" s="1"/>
  <c r="BS107" i="8"/>
  <c r="BT107" i="8" s="1"/>
  <c r="BS132" i="8"/>
  <c r="BT132" i="8" s="1"/>
  <c r="BS138" i="8"/>
  <c r="BT138" i="8" s="1"/>
  <c r="BS142" i="8"/>
  <c r="BT142" i="8" s="1"/>
  <c r="BS157" i="8"/>
  <c r="BT157" i="8" s="1"/>
  <c r="BS151" i="8"/>
  <c r="BT151" i="8" s="1"/>
  <c r="BS190" i="8"/>
  <c r="BT190" i="8" s="1"/>
  <c r="BS181" i="8"/>
  <c r="BT181" i="8" s="1"/>
  <c r="BS179" i="8"/>
  <c r="BT179" i="8" s="1"/>
  <c r="BS173" i="8"/>
  <c r="BT173" i="8" s="1"/>
  <c r="BS120" i="8"/>
  <c r="BT120" i="8" s="1"/>
  <c r="BS111" i="8"/>
  <c r="BT111" i="8" s="1"/>
  <c r="BS182" i="8"/>
  <c r="BT182" i="8" s="1"/>
  <c r="BS146" i="8"/>
  <c r="BT146" i="8" s="1"/>
  <c r="BS154" i="8"/>
  <c r="BT154" i="8" s="1"/>
  <c r="BS104" i="8"/>
  <c r="BT104" i="8" s="1"/>
  <c r="BS139" i="8"/>
  <c r="BT139" i="8" s="1"/>
  <c r="BS124" i="8"/>
  <c r="BT124" i="8" s="1"/>
  <c r="BS152" i="8"/>
  <c r="BT152" i="8" s="1"/>
  <c r="BS108" i="8"/>
  <c r="BT108" i="8" s="1"/>
  <c r="BS125" i="8"/>
  <c r="BT125" i="8" s="1"/>
  <c r="BS180" i="8"/>
  <c r="BT180" i="8" s="1"/>
  <c r="BS163" i="8"/>
  <c r="BT163" i="8" s="1"/>
  <c r="BS117" i="8"/>
  <c r="BT117" i="8" s="1"/>
  <c r="BS129" i="8"/>
  <c r="BT129" i="8" s="1"/>
  <c r="BS188" i="8"/>
  <c r="BT188" i="8" s="1"/>
  <c r="BS99" i="8"/>
  <c r="BT99" i="8" s="1"/>
  <c r="BS109" i="8"/>
  <c r="BT109" i="8" s="1"/>
  <c r="AK78" i="8"/>
  <c r="C78" i="8" s="1"/>
  <c r="BS103" i="8"/>
  <c r="BT103" i="8" s="1"/>
  <c r="BS110" i="8"/>
  <c r="BT110" i="8" s="1"/>
  <c r="BS161" i="8"/>
  <c r="BT161" i="8" s="1"/>
  <c r="BS189" i="8"/>
  <c r="BT189" i="8" s="1"/>
  <c r="BS150" i="8"/>
  <c r="BT150" i="8" s="1"/>
  <c r="BS122" i="8"/>
  <c r="BT122" i="8" s="1"/>
  <c r="BS114" i="8"/>
  <c r="BT114" i="8" s="1"/>
  <c r="BS106" i="8"/>
  <c r="BT106" i="8" s="1"/>
  <c r="BS184" i="8"/>
  <c r="BT184" i="8" s="1"/>
  <c r="BS162" i="8"/>
  <c r="BT162" i="8" s="1"/>
  <c r="BS147" i="8"/>
  <c r="BT147" i="8" s="1"/>
  <c r="BS93" i="8"/>
  <c r="BS177" i="8"/>
  <c r="BT177" i="8" s="1"/>
  <c r="BS168" i="8"/>
  <c r="BT168" i="8" s="1"/>
  <c r="BS102" i="8"/>
  <c r="BT102" i="8" s="1"/>
  <c r="BS176" i="8"/>
  <c r="BT176" i="8" s="1"/>
  <c r="BS155" i="8"/>
  <c r="BT155" i="8" s="1"/>
  <c r="BS170" i="8"/>
  <c r="BT170" i="8" s="1"/>
  <c r="BS95" i="8"/>
  <c r="BT95" i="8" s="1"/>
  <c r="BS192" i="8"/>
  <c r="BT192" i="8" s="1"/>
  <c r="BS169" i="8"/>
  <c r="BT169" i="8" s="1"/>
  <c r="BS191" i="8"/>
  <c r="BT191" i="8" s="1"/>
  <c r="BS105" i="8"/>
  <c r="BT105" i="8" s="1"/>
  <c r="BS178" i="8"/>
  <c r="BT178" i="8" s="1"/>
  <c r="BS143" i="8"/>
  <c r="BT143" i="8" s="1"/>
  <c r="BS113" i="8"/>
  <c r="BT113" i="8" s="1"/>
  <c r="BS159" i="8"/>
  <c r="BT159" i="8" s="1"/>
  <c r="BS186" i="8"/>
  <c r="BT186" i="8" s="1"/>
  <c r="BS131" i="8"/>
  <c r="BT131" i="8" s="1"/>
  <c r="BS164" i="8"/>
  <c r="BT164" i="8" s="1"/>
  <c r="BS167" i="8"/>
  <c r="BT167" i="8" s="1"/>
  <c r="BS100" i="8"/>
  <c r="BT100" i="8" s="1"/>
  <c r="BS137" i="8"/>
  <c r="BT137" i="8" s="1"/>
  <c r="BS116" i="8"/>
  <c r="BT116" i="8" s="1"/>
  <c r="BS115" i="8"/>
  <c r="BT115" i="8" s="1"/>
  <c r="BS174" i="8"/>
  <c r="BT174" i="8" s="1"/>
  <c r="BS140" i="8"/>
  <c r="BT140" i="8" s="1"/>
  <c r="BS144" i="8"/>
  <c r="BT144" i="8" s="1"/>
  <c r="AK77" i="8"/>
  <c r="C77" i="8" s="1"/>
  <c r="BS128" i="8"/>
  <c r="BT128" i="8" s="1"/>
  <c r="BS183" i="8"/>
  <c r="BT183" i="8" s="1"/>
  <c r="BS160" i="8"/>
  <c r="BT160" i="8" s="1"/>
  <c r="BS94" i="8"/>
  <c r="BT94" i="8" s="1"/>
  <c r="BS145" i="8"/>
  <c r="BT145" i="8" s="1"/>
  <c r="BS153" i="8"/>
  <c r="BT153" i="8" s="1"/>
  <c r="BS123" i="8"/>
  <c r="BT123" i="8" s="1"/>
  <c r="BS172" i="8"/>
  <c r="BT172" i="8" s="1"/>
  <c r="BS175" i="8"/>
  <c r="BT175" i="8" s="1"/>
  <c r="BS165" i="8"/>
  <c r="BT165" i="8" s="1"/>
  <c r="BS185" i="8"/>
  <c r="BT185" i="8" s="1"/>
  <c r="BS118" i="8"/>
  <c r="BT118" i="8" s="1"/>
  <c r="BS187" i="8"/>
  <c r="BT187" i="8" s="1"/>
  <c r="BS141" i="8"/>
  <c r="BT141" i="8" s="1"/>
  <c r="BS126" i="8"/>
  <c r="BT126" i="8" s="1"/>
  <c r="BS171" i="8"/>
  <c r="BT171" i="8" s="1"/>
  <c r="EO40" i="5"/>
  <c r="DO52" i="5" l="1"/>
  <c r="DT116" i="8"/>
  <c r="DT105" i="8"/>
  <c r="EJ62" i="5"/>
  <c r="EH62" i="5"/>
  <c r="FH62" i="5" s="1"/>
  <c r="EH57" i="5"/>
  <c r="FH57" i="5" s="1"/>
  <c r="EJ57" i="5"/>
  <c r="DT125" i="8"/>
  <c r="DT106" i="8"/>
  <c r="DT108" i="8"/>
  <c r="DT122" i="8"/>
  <c r="EA102" i="8"/>
  <c r="EA139" i="8"/>
  <c r="DT126" i="8"/>
  <c r="EA126" i="8"/>
  <c r="DT109" i="8"/>
  <c r="EA109" i="8"/>
  <c r="DT128" i="8"/>
  <c r="EA128" i="8"/>
  <c r="DT138" i="8"/>
  <c r="EA138" i="8"/>
  <c r="DT124" i="8"/>
  <c r="EA124" i="8"/>
  <c r="DT121" i="8"/>
  <c r="EA121" i="8"/>
  <c r="DT103" i="8"/>
  <c r="EA103" i="8"/>
  <c r="DT107" i="8"/>
  <c r="EA107" i="8"/>
  <c r="DT117" i="8"/>
  <c r="EA117" i="8"/>
  <c r="DT132" i="8"/>
  <c r="EA132" i="8"/>
  <c r="DT130" i="8"/>
  <c r="EA130" i="8"/>
  <c r="DT135" i="8"/>
  <c r="EA135" i="8"/>
  <c r="DT111" i="8"/>
  <c r="EA111" i="8"/>
  <c r="DT120" i="8"/>
  <c r="EA120" i="8"/>
  <c r="DT115" i="8"/>
  <c r="EA115" i="8"/>
  <c r="DT134" i="8"/>
  <c r="EA134" i="8"/>
  <c r="DT113" i="8"/>
  <c r="EA113" i="8"/>
  <c r="DT110" i="8"/>
  <c r="EA110" i="8"/>
  <c r="DT104" i="8"/>
  <c r="EA104" i="8"/>
  <c r="DT119" i="8"/>
  <c r="EA119" i="8"/>
  <c r="DT123" i="8"/>
  <c r="EA123" i="8"/>
  <c r="DT129" i="8"/>
  <c r="EA129" i="8"/>
  <c r="DT118" i="8"/>
  <c r="EA118" i="8"/>
  <c r="DT112" i="8"/>
  <c r="EA112" i="8"/>
  <c r="DT133" i="8"/>
  <c r="EA133" i="8"/>
  <c r="DT127" i="8"/>
  <c r="EA127" i="8"/>
  <c r="DT131" i="8"/>
  <c r="EA131" i="8"/>
  <c r="DT114" i="8"/>
  <c r="EA114" i="8"/>
  <c r="DT142" i="8"/>
  <c r="EA101" i="8"/>
  <c r="CA93" i="8"/>
  <c r="EJ52" i="5"/>
  <c r="EH52" i="5"/>
  <c r="FH52" i="5" s="1"/>
  <c r="DO47" i="5"/>
  <c r="EJ47" i="5"/>
  <c r="CA98" i="8"/>
  <c r="BN200" i="8"/>
  <c r="EA98" i="8"/>
  <c r="BN199" i="8"/>
  <c r="CA97" i="8"/>
  <c r="DM32" i="5"/>
  <c r="DO32" i="5" s="1"/>
  <c r="DN32" i="5"/>
  <c r="BN195" i="8"/>
  <c r="BT93" i="8"/>
  <c r="BR200" i="8" s="1" a="1"/>
  <c r="BR200" i="8" s="1"/>
  <c r="BN197" i="8"/>
  <c r="CA95" i="8"/>
  <c r="BN198" i="8"/>
  <c r="CA96" i="8"/>
  <c r="CA94" i="8"/>
  <c r="BN196" i="8"/>
  <c r="DO43" i="5" l="1"/>
  <c r="BR195" i="8"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H43" i="5"/>
  <c r="CG130" i="8" l="1"/>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BI4" i="19" l="1"/>
  <c r="BI5" i="19" s="1"/>
  <c r="BI348" i="19" l="1"/>
  <c r="BI366" i="19" s="1"/>
  <c r="U551" i="21"/>
  <c r="BI347" i="19"/>
  <c r="BI365" i="19" s="1"/>
  <c r="U634" i="20"/>
  <c r="AX353" i="19"/>
  <c r="Z63" i="14" l="1"/>
  <c r="DT96" i="8"/>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F734" i="5" l="1"/>
  <c r="GF739" i="5"/>
  <c r="GF729" i="5"/>
  <c r="GF744" i="5"/>
  <c r="GF759" i="5"/>
  <c r="GF779" i="5"/>
  <c r="GF774" i="5"/>
  <c r="GF769" i="5"/>
  <c r="GF749" i="5"/>
  <c r="GF764" i="5"/>
  <c r="GF784" i="5"/>
  <c r="GF724" i="5"/>
  <c r="GF789" i="5"/>
  <c r="GF754" i="5"/>
  <c r="GF719" i="5"/>
  <c r="GF661" i="5"/>
  <c r="GF651" i="5"/>
  <c r="GF696" i="5"/>
  <c r="GF666" i="5"/>
  <c r="GF641" i="5"/>
  <c r="GF681" i="5"/>
  <c r="GF671" i="5"/>
  <c r="GF676" i="5"/>
  <c r="GF691" i="5"/>
  <c r="GF686" i="5"/>
  <c r="GF701" i="5"/>
  <c r="GF646" i="5"/>
  <c r="GF711" i="5"/>
  <c r="GF706" i="5"/>
  <c r="GF656" i="5"/>
  <c r="GF593" i="5"/>
  <c r="GF583" i="5"/>
  <c r="GF598" i="5"/>
  <c r="GF588" i="5"/>
  <c r="GF603" i="5"/>
  <c r="GF628" i="5"/>
  <c r="GF618" i="5"/>
  <c r="GF608" i="5"/>
  <c r="GF578" i="5"/>
  <c r="GF623" i="5"/>
  <c r="GF573" i="5"/>
  <c r="GF568" i="5"/>
  <c r="GF613" i="5"/>
  <c r="GF563" i="5"/>
  <c r="GF633" i="5"/>
  <c r="GF530" i="5"/>
  <c r="GF500" i="5"/>
  <c r="GF495" i="5"/>
  <c r="GF550" i="5"/>
  <c r="GF485" i="5"/>
  <c r="GF555" i="5"/>
  <c r="GF510" i="5"/>
  <c r="GF520" i="5"/>
  <c r="GF525" i="5"/>
  <c r="GF540" i="5"/>
  <c r="GF515" i="5"/>
  <c r="GF505" i="5"/>
  <c r="GF490" i="5"/>
  <c r="GF535" i="5"/>
  <c r="GF545" i="5"/>
  <c r="GF472" i="5"/>
  <c r="GF422" i="5"/>
  <c r="GF462" i="5"/>
  <c r="GF457" i="5"/>
  <c r="GF467" i="5"/>
  <c r="GF427" i="5"/>
  <c r="GF412" i="5"/>
  <c r="GF407" i="5"/>
  <c r="GF447" i="5"/>
  <c r="GF417" i="5"/>
  <c r="GF442" i="5"/>
  <c r="GF477" i="5"/>
  <c r="GF437" i="5"/>
  <c r="GF452" i="5"/>
  <c r="GF432" i="5"/>
  <c r="GF369" i="5"/>
  <c r="GF394" i="5"/>
  <c r="GF384" i="5"/>
  <c r="GF329" i="5"/>
  <c r="GF354" i="5"/>
  <c r="GF334" i="5"/>
  <c r="GF399" i="5"/>
  <c r="GF339" i="5"/>
  <c r="GF349" i="5"/>
  <c r="GF364" i="5"/>
  <c r="GF389" i="5"/>
  <c r="GF374" i="5"/>
  <c r="GF344" i="5"/>
  <c r="GF359" i="5"/>
  <c r="GF379" i="5"/>
  <c r="GF251" i="5"/>
  <c r="GF261" i="5"/>
  <c r="GF296" i="5"/>
  <c r="GF291" i="5"/>
  <c r="GF281" i="5"/>
  <c r="GF316" i="5"/>
  <c r="GF311" i="5"/>
  <c r="GF266" i="5"/>
  <c r="GF321" i="5"/>
  <c r="GF306" i="5"/>
  <c r="GF256" i="5"/>
  <c r="GF301" i="5"/>
  <c r="GF276" i="5"/>
  <c r="GF286" i="5"/>
  <c r="GF271" i="5"/>
  <c r="GF208" i="5"/>
  <c r="GF203" i="5"/>
  <c r="GF238" i="5"/>
  <c r="GF228" i="5"/>
  <c r="GF223" i="5"/>
  <c r="GF188" i="5"/>
  <c r="GF243" i="5"/>
  <c r="GF213" i="5"/>
  <c r="GF183" i="5"/>
  <c r="GF173" i="5"/>
  <c r="GF198" i="5"/>
  <c r="GF193" i="5"/>
  <c r="GF218" i="5"/>
  <c r="GF178" i="5"/>
  <c r="GF233" i="5"/>
  <c r="GF160" i="5"/>
  <c r="GD160" i="5" s="1"/>
  <c r="GF165" i="5"/>
  <c r="GF150" i="5"/>
  <c r="GE150" i="5" s="1"/>
  <c r="GF155" i="5"/>
  <c r="GF145" i="5"/>
  <c r="GF135" i="5"/>
  <c r="GD135" i="5" s="1"/>
  <c r="GF140" i="5"/>
  <c r="GF125" i="5"/>
  <c r="GD125" i="5" s="1"/>
  <c r="GF130" i="5"/>
  <c r="GF115" i="5"/>
  <c r="GE115" i="5" s="1"/>
  <c r="GF120" i="5"/>
  <c r="GF110" i="5"/>
  <c r="GF105" i="5"/>
  <c r="GF100" i="5"/>
  <c r="GF95" i="5"/>
  <c r="GF87" i="5"/>
  <c r="GF82" i="5"/>
  <c r="GF77" i="5"/>
  <c r="GF67" i="5"/>
  <c r="GD67" i="5" s="1"/>
  <c r="GF72" i="5"/>
  <c r="GF62" i="5"/>
  <c r="GF57" i="5"/>
  <c r="GF52" i="5"/>
  <c r="GF47" i="5"/>
  <c r="AL48" i="8"/>
  <c r="AL54" i="8"/>
  <c r="AL74" i="8"/>
  <c r="AC74" i="8"/>
  <c r="AL49" i="8"/>
  <c r="AC68" i="8"/>
  <c r="AL68" i="8"/>
  <c r="AL66" i="8"/>
  <c r="AC66" i="8"/>
  <c r="AL41" i="8"/>
  <c r="AC67" i="8"/>
  <c r="AL67" i="8"/>
  <c r="AL59" i="8"/>
  <c r="AC59" i="8"/>
  <c r="AL47" i="8"/>
  <c r="AC73" i="8"/>
  <c r="AL73" i="8"/>
  <c r="AL37" i="8"/>
  <c r="AL60" i="8"/>
  <c r="AC60" i="8"/>
  <c r="AL75" i="8"/>
  <c r="AC75" i="8"/>
  <c r="AL35" i="8"/>
  <c r="AC58" i="8"/>
  <c r="AL58" i="8"/>
  <c r="AL55" i="8"/>
  <c r="AL62" i="8"/>
  <c r="AC62" i="8"/>
  <c r="AL33" i="8"/>
  <c r="AL43" i="8"/>
  <c r="AL38" i="8"/>
  <c r="AC63" i="8"/>
  <c r="AL63" i="8"/>
  <c r="AL76" i="8"/>
  <c r="AC76" i="8"/>
  <c r="AL45" i="8"/>
  <c r="AL31" i="8"/>
  <c r="AL71" i="8"/>
  <c r="AC71" i="8"/>
  <c r="AL70" i="8"/>
  <c r="AC70" i="8"/>
  <c r="AL32" i="8"/>
  <c r="AC64" i="8"/>
  <c r="AL64" i="8"/>
  <c r="AL77" i="8"/>
  <c r="AC77" i="8"/>
  <c r="AL53" i="8"/>
  <c r="P28" i="8"/>
  <c r="AL44" i="8"/>
  <c r="AL52" i="8"/>
  <c r="AL65" i="8"/>
  <c r="AC65" i="8"/>
  <c r="AL39" i="8"/>
  <c r="AC69" i="8"/>
  <c r="AL69" i="8"/>
  <c r="AC72" i="8"/>
  <c r="AL72" i="8"/>
  <c r="AL36" i="8"/>
  <c r="AL40" i="8"/>
  <c r="AC78" i="8"/>
  <c r="AL78" i="8"/>
  <c r="AL57" i="8"/>
  <c r="AL46" i="8"/>
  <c r="AL56" i="8"/>
  <c r="AL50" i="8"/>
  <c r="AL34" i="8"/>
  <c r="AL42" i="8"/>
  <c r="AL51" i="8"/>
  <c r="AL61" i="8"/>
  <c r="AC61" i="8"/>
  <c r="GD769" i="5" l="1"/>
  <c r="GE769" i="5"/>
  <c r="DQ769" i="5"/>
  <c r="AW769" i="5" s="1"/>
  <c r="GE719" i="5"/>
  <c r="GD719" i="5"/>
  <c r="DQ719" i="5"/>
  <c r="AW719" i="5" s="1"/>
  <c r="GE774" i="5"/>
  <c r="GD774" i="5"/>
  <c r="DQ774" i="5"/>
  <c r="AW774" i="5" s="1"/>
  <c r="GD754" i="5"/>
  <c r="GE754" i="5"/>
  <c r="DQ754" i="5"/>
  <c r="AW754" i="5" s="1"/>
  <c r="GE779" i="5"/>
  <c r="GD779" i="5"/>
  <c r="DQ779" i="5"/>
  <c r="AW779" i="5" s="1"/>
  <c r="GE789" i="5"/>
  <c r="GD789" i="5"/>
  <c r="DQ789" i="5"/>
  <c r="GD759" i="5"/>
  <c r="GE759" i="5"/>
  <c r="DQ759" i="5"/>
  <c r="AW759" i="5" s="1"/>
  <c r="GD724" i="5"/>
  <c r="GE724" i="5"/>
  <c r="DQ724" i="5"/>
  <c r="AW724" i="5" s="1"/>
  <c r="GE744" i="5"/>
  <c r="GD744" i="5"/>
  <c r="DQ744" i="5"/>
  <c r="AW744" i="5" s="1"/>
  <c r="GE784" i="5"/>
  <c r="GD784" i="5"/>
  <c r="DQ784" i="5"/>
  <c r="AW784" i="5" s="1"/>
  <c r="GE729" i="5"/>
  <c r="GD729" i="5"/>
  <c r="DQ729" i="5"/>
  <c r="AW729" i="5" s="1"/>
  <c r="GE764" i="5"/>
  <c r="GD764" i="5"/>
  <c r="DQ764" i="5"/>
  <c r="AW764" i="5" s="1"/>
  <c r="GE739" i="5"/>
  <c r="GD739" i="5"/>
  <c r="DQ739" i="5"/>
  <c r="AW739" i="5" s="1"/>
  <c r="GE749" i="5"/>
  <c r="GD749" i="5"/>
  <c r="DQ749" i="5"/>
  <c r="AW749" i="5" s="1"/>
  <c r="GD734" i="5"/>
  <c r="GE734" i="5"/>
  <c r="DQ734" i="5"/>
  <c r="AW734" i="5" s="1"/>
  <c r="GE676" i="5"/>
  <c r="GD676" i="5"/>
  <c r="DQ676" i="5"/>
  <c r="AW676" i="5" s="1"/>
  <c r="GD656" i="5"/>
  <c r="GE656" i="5"/>
  <c r="DQ656" i="5"/>
  <c r="AW656" i="5" s="1"/>
  <c r="GE671" i="5"/>
  <c r="GD671" i="5"/>
  <c r="DQ671" i="5"/>
  <c r="AW671" i="5" s="1"/>
  <c r="GE706" i="5"/>
  <c r="GD706" i="5"/>
  <c r="DQ706" i="5"/>
  <c r="AW706" i="5" s="1"/>
  <c r="GE681" i="5"/>
  <c r="GD681" i="5"/>
  <c r="DQ681" i="5"/>
  <c r="AW681" i="5" s="1"/>
  <c r="GE711" i="5"/>
  <c r="GD711" i="5"/>
  <c r="DQ711" i="5"/>
  <c r="AW711" i="5" s="1"/>
  <c r="GD641" i="5"/>
  <c r="GE641" i="5"/>
  <c r="DQ641" i="5"/>
  <c r="AW641" i="5" s="1"/>
  <c r="GE646" i="5"/>
  <c r="GD646" i="5"/>
  <c r="DQ646" i="5"/>
  <c r="AW646" i="5" s="1"/>
  <c r="GE666" i="5"/>
  <c r="GD666" i="5"/>
  <c r="DQ666" i="5"/>
  <c r="AW666" i="5" s="1"/>
  <c r="GE701" i="5"/>
  <c r="GD701" i="5"/>
  <c r="DQ701" i="5"/>
  <c r="AW701" i="5" s="1"/>
  <c r="GD696" i="5"/>
  <c r="GE696" i="5"/>
  <c r="DQ696" i="5"/>
  <c r="AW696" i="5" s="1"/>
  <c r="GD686" i="5"/>
  <c r="GE686" i="5"/>
  <c r="DQ686" i="5"/>
  <c r="AW686" i="5" s="1"/>
  <c r="GD651" i="5"/>
  <c r="GE651" i="5"/>
  <c r="DQ651" i="5"/>
  <c r="AW651" i="5" s="1"/>
  <c r="GE691" i="5"/>
  <c r="GD691" i="5"/>
  <c r="DQ691" i="5"/>
  <c r="AW691" i="5" s="1"/>
  <c r="GD661" i="5"/>
  <c r="GE661" i="5"/>
  <c r="DQ661" i="5"/>
  <c r="AW661" i="5" s="1"/>
  <c r="GE608" i="5"/>
  <c r="GD608" i="5"/>
  <c r="DQ608" i="5"/>
  <c r="AW608" i="5" s="1"/>
  <c r="GE633" i="5"/>
  <c r="GD633" i="5"/>
  <c r="DQ633" i="5"/>
  <c r="AW633" i="5" s="1"/>
  <c r="GE618" i="5"/>
  <c r="GD618" i="5"/>
  <c r="DQ618" i="5"/>
  <c r="AW618" i="5" s="1"/>
  <c r="GE563" i="5"/>
  <c r="GD563" i="5"/>
  <c r="DQ563" i="5"/>
  <c r="AW563" i="5" s="1"/>
  <c r="GE628" i="5"/>
  <c r="GD628" i="5"/>
  <c r="DQ628" i="5"/>
  <c r="AW628" i="5" s="1"/>
  <c r="GD613" i="5"/>
  <c r="GE613" i="5"/>
  <c r="DQ613" i="5"/>
  <c r="AW613" i="5" s="1"/>
  <c r="GE603" i="5"/>
  <c r="GD603" i="5"/>
  <c r="DQ603" i="5"/>
  <c r="AW603" i="5" s="1"/>
  <c r="GE568" i="5"/>
  <c r="GD568" i="5"/>
  <c r="DQ568" i="5"/>
  <c r="AW568" i="5" s="1"/>
  <c r="GE588" i="5"/>
  <c r="GD588" i="5"/>
  <c r="DQ588" i="5"/>
  <c r="AW588" i="5" s="1"/>
  <c r="GD573" i="5"/>
  <c r="GE573" i="5"/>
  <c r="DQ573" i="5"/>
  <c r="AW573" i="5" s="1"/>
  <c r="GE598" i="5"/>
  <c r="GD598" i="5"/>
  <c r="DQ598" i="5"/>
  <c r="AW598" i="5" s="1"/>
  <c r="GE623" i="5"/>
  <c r="GD623" i="5"/>
  <c r="DQ623" i="5"/>
  <c r="AW623" i="5" s="1"/>
  <c r="GE583" i="5"/>
  <c r="GD583" i="5"/>
  <c r="DQ583" i="5"/>
  <c r="AW583" i="5" s="1"/>
  <c r="GE578" i="5"/>
  <c r="GD578" i="5"/>
  <c r="DQ578" i="5"/>
  <c r="AW578" i="5" s="1"/>
  <c r="GD593" i="5"/>
  <c r="GE593" i="5"/>
  <c r="DQ593" i="5"/>
  <c r="AW593" i="5" s="1"/>
  <c r="GD520" i="5"/>
  <c r="GE520" i="5"/>
  <c r="DQ520" i="5"/>
  <c r="AW520" i="5" s="1"/>
  <c r="GD545" i="5"/>
  <c r="GE545" i="5"/>
  <c r="DQ545" i="5"/>
  <c r="AW545" i="5" s="1"/>
  <c r="GE510" i="5"/>
  <c r="GD510" i="5"/>
  <c r="DQ510" i="5"/>
  <c r="AW510" i="5" s="1"/>
  <c r="GD535" i="5"/>
  <c r="GE535" i="5"/>
  <c r="DQ535" i="5"/>
  <c r="AW535" i="5" s="1"/>
  <c r="GE555" i="5"/>
  <c r="GD555" i="5"/>
  <c r="DQ555" i="5"/>
  <c r="AW555" i="5" s="1"/>
  <c r="GD490" i="5"/>
  <c r="GE490" i="5"/>
  <c r="DQ490" i="5"/>
  <c r="AW490" i="5" s="1"/>
  <c r="GE485" i="5"/>
  <c r="GD485" i="5"/>
  <c r="DQ485" i="5"/>
  <c r="AW485" i="5" s="1"/>
  <c r="GD505" i="5"/>
  <c r="GE505" i="5"/>
  <c r="DQ505" i="5"/>
  <c r="AW505" i="5" s="1"/>
  <c r="GE550" i="5"/>
  <c r="GD550" i="5"/>
  <c r="DQ550" i="5"/>
  <c r="AW550" i="5" s="1"/>
  <c r="GE515" i="5"/>
  <c r="GD515" i="5"/>
  <c r="DQ515" i="5"/>
  <c r="AW515" i="5" s="1"/>
  <c r="GE495" i="5"/>
  <c r="GD495" i="5"/>
  <c r="DQ495" i="5"/>
  <c r="AW495" i="5" s="1"/>
  <c r="GE540" i="5"/>
  <c r="GD540" i="5"/>
  <c r="DQ540" i="5"/>
  <c r="AW540" i="5" s="1"/>
  <c r="GE500" i="5"/>
  <c r="GD500" i="5"/>
  <c r="DQ500" i="5"/>
  <c r="AW500" i="5" s="1"/>
  <c r="GD525" i="5"/>
  <c r="GE525" i="5"/>
  <c r="DQ525" i="5"/>
  <c r="AW525" i="5" s="1"/>
  <c r="GE530" i="5"/>
  <c r="GD530" i="5"/>
  <c r="DQ530" i="5"/>
  <c r="AW530" i="5" s="1"/>
  <c r="GE407" i="5"/>
  <c r="GD407" i="5"/>
  <c r="DQ407" i="5"/>
  <c r="AW407" i="5" s="1"/>
  <c r="GE432" i="5"/>
  <c r="GD432" i="5"/>
  <c r="DQ432" i="5"/>
  <c r="AW432" i="5" s="1"/>
  <c r="GE412" i="5"/>
  <c r="GD412" i="5"/>
  <c r="DQ412" i="5"/>
  <c r="AW412" i="5" s="1"/>
  <c r="GD452" i="5"/>
  <c r="GE452" i="5"/>
  <c r="DQ452" i="5"/>
  <c r="AW452" i="5" s="1"/>
  <c r="GE427" i="5"/>
  <c r="GD427" i="5"/>
  <c r="DQ427" i="5"/>
  <c r="AW427" i="5" s="1"/>
  <c r="GE437" i="5"/>
  <c r="GD437" i="5"/>
  <c r="DQ437" i="5"/>
  <c r="AW437" i="5" s="1"/>
  <c r="GD467" i="5"/>
  <c r="GE467" i="5"/>
  <c r="DQ467" i="5"/>
  <c r="AW467" i="5" s="1"/>
  <c r="GE477" i="5"/>
  <c r="GD477" i="5"/>
  <c r="DQ477" i="5"/>
  <c r="AW477" i="5" s="1"/>
  <c r="GE457" i="5"/>
  <c r="GD457" i="5"/>
  <c r="DQ457" i="5"/>
  <c r="AW457" i="5" s="1"/>
  <c r="GE442" i="5"/>
  <c r="GD442" i="5"/>
  <c r="DQ442" i="5"/>
  <c r="AW442" i="5" s="1"/>
  <c r="GE462" i="5"/>
  <c r="GD462" i="5"/>
  <c r="DQ462" i="5"/>
  <c r="AW462" i="5" s="1"/>
  <c r="GE417" i="5"/>
  <c r="GD417" i="5"/>
  <c r="DQ417" i="5"/>
  <c r="AW417" i="5" s="1"/>
  <c r="GD422" i="5"/>
  <c r="GE422" i="5"/>
  <c r="DQ422" i="5"/>
  <c r="AW422" i="5" s="1"/>
  <c r="GE447" i="5"/>
  <c r="GD447" i="5"/>
  <c r="DQ447" i="5"/>
  <c r="AW447" i="5" s="1"/>
  <c r="GE472" i="5"/>
  <c r="GD472" i="5"/>
  <c r="DQ472" i="5"/>
  <c r="AW472" i="5" s="1"/>
  <c r="GE339" i="5"/>
  <c r="GD339" i="5"/>
  <c r="DQ339" i="5"/>
  <c r="AW339" i="5" s="1"/>
  <c r="GE379" i="5"/>
  <c r="GD379" i="5"/>
  <c r="DQ379" i="5"/>
  <c r="AW379" i="5" s="1"/>
  <c r="GE399" i="5"/>
  <c r="GD399" i="5"/>
  <c r="DQ399" i="5"/>
  <c r="AW399" i="5" s="1"/>
  <c r="GE359" i="5"/>
  <c r="GD359" i="5"/>
  <c r="DQ359" i="5"/>
  <c r="AW359" i="5" s="1"/>
  <c r="GE334" i="5"/>
  <c r="GD334" i="5"/>
  <c r="DQ334" i="5"/>
  <c r="AW334" i="5" s="1"/>
  <c r="GE344" i="5"/>
  <c r="GD344" i="5"/>
  <c r="DQ344" i="5"/>
  <c r="AW344" i="5" s="1"/>
  <c r="GE354" i="5"/>
  <c r="GD354" i="5"/>
  <c r="DQ354" i="5"/>
  <c r="AW354" i="5" s="1"/>
  <c r="GE374" i="5"/>
  <c r="GD374" i="5"/>
  <c r="DQ374" i="5"/>
  <c r="AW374" i="5" s="1"/>
  <c r="GD329" i="5"/>
  <c r="GE329" i="5"/>
  <c r="DQ329" i="5"/>
  <c r="AW329" i="5" s="1"/>
  <c r="GD389" i="5"/>
  <c r="GE389" i="5"/>
  <c r="DQ389" i="5"/>
  <c r="AW389" i="5" s="1"/>
  <c r="GD384" i="5"/>
  <c r="GE384" i="5"/>
  <c r="DQ384" i="5"/>
  <c r="AW384" i="5" s="1"/>
  <c r="GD364" i="5"/>
  <c r="GE364" i="5"/>
  <c r="DQ364" i="5"/>
  <c r="AW364" i="5" s="1"/>
  <c r="GD394" i="5"/>
  <c r="GE394" i="5"/>
  <c r="DQ394" i="5"/>
  <c r="AW394" i="5" s="1"/>
  <c r="GD349" i="5"/>
  <c r="GE349" i="5"/>
  <c r="DQ349" i="5"/>
  <c r="AW349" i="5" s="1"/>
  <c r="GD369" i="5"/>
  <c r="GE369" i="5"/>
  <c r="DQ369" i="5"/>
  <c r="AW369" i="5" s="1"/>
  <c r="GE266" i="5"/>
  <c r="GD266" i="5"/>
  <c r="DQ266" i="5"/>
  <c r="AW266" i="5" s="1"/>
  <c r="GD271" i="5"/>
  <c r="GE271" i="5"/>
  <c r="DQ271" i="5"/>
  <c r="AW271" i="5" s="1"/>
  <c r="GD311" i="5"/>
  <c r="GE311" i="5"/>
  <c r="DQ311" i="5"/>
  <c r="AW311" i="5" s="1"/>
  <c r="GD286" i="5"/>
  <c r="GE286" i="5"/>
  <c r="DQ286" i="5"/>
  <c r="AW286" i="5" s="1"/>
  <c r="GE316" i="5"/>
  <c r="GD316" i="5"/>
  <c r="DQ316" i="5"/>
  <c r="AW316" i="5" s="1"/>
  <c r="GE276" i="5"/>
  <c r="GD276" i="5"/>
  <c r="DQ276" i="5"/>
  <c r="AW276" i="5" s="1"/>
  <c r="GE281" i="5"/>
  <c r="GD281" i="5"/>
  <c r="DQ281" i="5"/>
  <c r="AW281" i="5" s="1"/>
  <c r="GD301" i="5"/>
  <c r="GE301" i="5"/>
  <c r="DQ301" i="5"/>
  <c r="AW301" i="5" s="1"/>
  <c r="GD291" i="5"/>
  <c r="GE291" i="5"/>
  <c r="DQ291" i="5"/>
  <c r="AW291" i="5" s="1"/>
  <c r="GE256" i="5"/>
  <c r="GD256" i="5"/>
  <c r="DQ256" i="5"/>
  <c r="AW256" i="5" s="1"/>
  <c r="GE296" i="5"/>
  <c r="GD296" i="5"/>
  <c r="DQ296" i="5"/>
  <c r="AW296" i="5" s="1"/>
  <c r="GD306" i="5"/>
  <c r="GE306" i="5"/>
  <c r="DQ306" i="5"/>
  <c r="AW306" i="5" s="1"/>
  <c r="GD261" i="5"/>
  <c r="GE261" i="5"/>
  <c r="DQ261" i="5"/>
  <c r="AW261" i="5" s="1"/>
  <c r="GE321" i="5"/>
  <c r="GD321" i="5"/>
  <c r="DQ321" i="5"/>
  <c r="AW321" i="5" s="1"/>
  <c r="GE251" i="5"/>
  <c r="GD251" i="5"/>
  <c r="DQ251" i="5"/>
  <c r="AW251" i="5" s="1"/>
  <c r="GE213" i="5"/>
  <c r="GD213" i="5"/>
  <c r="DQ213" i="5"/>
  <c r="AW213" i="5" s="1"/>
  <c r="GE233" i="5"/>
  <c r="GD233" i="5"/>
  <c r="DQ233" i="5"/>
  <c r="AW233" i="5" s="1"/>
  <c r="GE243" i="5"/>
  <c r="GD243" i="5"/>
  <c r="DQ243" i="5"/>
  <c r="AW243" i="5" s="1"/>
  <c r="GE178" i="5"/>
  <c r="GD178" i="5"/>
  <c r="DQ178" i="5"/>
  <c r="AW178" i="5" s="1"/>
  <c r="GE188" i="5"/>
  <c r="GD188" i="5"/>
  <c r="DQ188" i="5"/>
  <c r="AW188" i="5" s="1"/>
  <c r="GE218" i="5"/>
  <c r="GD218" i="5"/>
  <c r="DQ218" i="5"/>
  <c r="AW218" i="5" s="1"/>
  <c r="GE223" i="5"/>
  <c r="GD223" i="5"/>
  <c r="DQ223" i="5"/>
  <c r="AW223" i="5" s="1"/>
  <c r="DQ160" i="5"/>
  <c r="AW160" i="5" s="1"/>
  <c r="GE193" i="5"/>
  <c r="GD193" i="5"/>
  <c r="DQ193" i="5"/>
  <c r="AW193" i="5" s="1"/>
  <c r="GE228" i="5"/>
  <c r="GD228" i="5"/>
  <c r="DQ228" i="5"/>
  <c r="AW228" i="5" s="1"/>
  <c r="GE160" i="5"/>
  <c r="GE198" i="5"/>
  <c r="GD198" i="5"/>
  <c r="DQ198" i="5"/>
  <c r="AW198" i="5" s="1"/>
  <c r="GE238" i="5"/>
  <c r="GD238" i="5"/>
  <c r="DQ238" i="5"/>
  <c r="AW238" i="5" s="1"/>
  <c r="GD173" i="5"/>
  <c r="GE173" i="5"/>
  <c r="DQ173" i="5"/>
  <c r="AW173" i="5" s="1"/>
  <c r="GE203" i="5"/>
  <c r="GD203" i="5"/>
  <c r="DQ203" i="5"/>
  <c r="AW203" i="5" s="1"/>
  <c r="GE183" i="5"/>
  <c r="GD183" i="5"/>
  <c r="DQ183" i="5"/>
  <c r="AW183" i="5" s="1"/>
  <c r="GD208" i="5"/>
  <c r="GE208" i="5"/>
  <c r="DQ208" i="5"/>
  <c r="AW208" i="5" s="1"/>
  <c r="GD150" i="5"/>
  <c r="DQ150" i="5"/>
  <c r="GD165" i="5"/>
  <c r="GE165" i="5"/>
  <c r="DQ165" i="5"/>
  <c r="AW165" i="5" s="1"/>
  <c r="GE155" i="5"/>
  <c r="GD155" i="5"/>
  <c r="DQ155" i="5"/>
  <c r="AW155" i="5" s="1"/>
  <c r="GE125" i="5"/>
  <c r="DQ135" i="5"/>
  <c r="GE135" i="5"/>
  <c r="GD145" i="5"/>
  <c r="GE145" i="5"/>
  <c r="DQ145" i="5"/>
  <c r="AW145" i="5" s="1"/>
  <c r="GD140" i="5"/>
  <c r="GE140" i="5"/>
  <c r="DQ140" i="5"/>
  <c r="AW140" i="5" s="1"/>
  <c r="DQ125" i="5"/>
  <c r="GD130" i="5"/>
  <c r="GE130" i="5"/>
  <c r="DQ130" i="5"/>
  <c r="AW130" i="5" s="1"/>
  <c r="DQ115" i="5"/>
  <c r="GD115" i="5"/>
  <c r="GD120" i="5"/>
  <c r="GE120" i="5"/>
  <c r="DQ120" i="5"/>
  <c r="AW120" i="5" s="1"/>
  <c r="GD110" i="5"/>
  <c r="GE110" i="5"/>
  <c r="DQ110" i="5"/>
  <c r="AW110" i="5" s="1"/>
  <c r="DQ67" i="5"/>
  <c r="GD105" i="5"/>
  <c r="GE105" i="5"/>
  <c r="DQ105" i="5"/>
  <c r="AW105" i="5" s="1"/>
  <c r="GD100" i="5"/>
  <c r="GE100" i="5"/>
  <c r="DQ100" i="5"/>
  <c r="AW100" i="5" s="1"/>
  <c r="GE67" i="5"/>
  <c r="GE95" i="5"/>
  <c r="GD95" i="5"/>
  <c r="DQ95" i="5"/>
  <c r="AW95" i="5" s="1"/>
  <c r="GD87" i="5"/>
  <c r="GE87" i="5"/>
  <c r="DQ87" i="5"/>
  <c r="AW87" i="5" s="1"/>
  <c r="GE82" i="5"/>
  <c r="GD82" i="5"/>
  <c r="DQ82" i="5"/>
  <c r="AW82" i="5" s="1"/>
  <c r="GD77" i="5"/>
  <c r="GE77" i="5"/>
  <c r="DQ77" i="5"/>
  <c r="AW77" i="5" s="1"/>
  <c r="GE72" i="5"/>
  <c r="GD72" i="5"/>
  <c r="DQ72" i="5"/>
  <c r="AW72" i="5" s="1"/>
  <c r="GD62" i="5"/>
  <c r="GE62" i="5"/>
  <c r="DQ62" i="5"/>
  <c r="GD57" i="5"/>
  <c r="GE57" i="5"/>
  <c r="DQ57" i="5"/>
  <c r="GD52" i="5"/>
  <c r="GE52" i="5"/>
  <c r="DQ52" i="5"/>
  <c r="GE47" i="5"/>
  <c r="GD47" i="5"/>
  <c r="DQ47" i="5"/>
  <c r="AM82" i="8"/>
  <c r="AL82" i="8"/>
  <c r="DU150" i="5" l="1"/>
  <c r="AW150" i="5"/>
  <c r="DR135" i="5"/>
  <c r="AW135" i="5"/>
  <c r="DR125" i="5"/>
  <c r="AW125" i="5"/>
  <c r="DU115" i="5"/>
  <c r="AW115" i="5"/>
  <c r="DR69" i="5"/>
  <c r="BS880" i="5"/>
  <c r="GG729" i="5"/>
  <c r="GH729" i="5" s="1"/>
  <c r="GG774" i="5"/>
  <c r="GH774" i="5" s="1"/>
  <c r="GG500" i="5"/>
  <c r="GH500" i="5" s="1"/>
  <c r="GG623" i="5"/>
  <c r="GH623" i="5" s="1"/>
  <c r="GG593" i="5"/>
  <c r="GH593" i="5" s="1"/>
  <c r="GG563" i="5"/>
  <c r="GH563" i="5" s="1"/>
  <c r="GG671" i="5"/>
  <c r="GH671" i="5" s="1"/>
  <c r="GG784" i="5"/>
  <c r="GH784" i="5" s="1"/>
  <c r="GG568" i="5"/>
  <c r="GH568" i="5" s="1"/>
  <c r="GG719" i="5"/>
  <c r="GH719" i="5" s="1"/>
  <c r="DR726" i="5"/>
  <c r="DU724" i="5"/>
  <c r="EC724" i="5"/>
  <c r="DR724" i="5"/>
  <c r="DR739" i="5"/>
  <c r="DU739" i="5"/>
  <c r="EC739" i="5"/>
  <c r="DR741" i="5"/>
  <c r="DR781" i="5"/>
  <c r="DU779" i="5"/>
  <c r="EC779" i="5"/>
  <c r="DR779" i="5"/>
  <c r="GG739" i="5"/>
  <c r="GH739" i="5" s="1"/>
  <c r="DU784" i="5"/>
  <c r="EC784" i="5"/>
  <c r="DR786" i="5"/>
  <c r="DR784" i="5"/>
  <c r="GG724" i="5"/>
  <c r="GH724" i="5" s="1"/>
  <c r="GG779" i="5"/>
  <c r="GH779" i="5" s="1"/>
  <c r="DR721" i="5"/>
  <c r="DU719" i="5"/>
  <c r="EC719" i="5"/>
  <c r="DR719" i="5"/>
  <c r="EC759" i="5"/>
  <c r="DR759" i="5"/>
  <c r="DU759" i="5"/>
  <c r="DR761" i="5"/>
  <c r="GG696" i="5"/>
  <c r="GH696" i="5" s="1"/>
  <c r="DU764" i="5"/>
  <c r="EC764" i="5"/>
  <c r="DR766" i="5"/>
  <c r="DR764" i="5"/>
  <c r="DU754" i="5"/>
  <c r="EC754" i="5"/>
  <c r="DR756" i="5"/>
  <c r="DR754" i="5"/>
  <c r="DU734" i="5"/>
  <c r="DR736" i="5"/>
  <c r="EC734" i="5"/>
  <c r="DR734" i="5"/>
  <c r="GG734" i="5"/>
  <c r="GH734" i="5" s="1"/>
  <c r="GG764" i="5"/>
  <c r="GH764" i="5" s="1"/>
  <c r="DR746" i="5"/>
  <c r="DR744" i="5"/>
  <c r="EC744" i="5"/>
  <c r="DU744" i="5"/>
  <c r="GG759" i="5"/>
  <c r="GH759" i="5" s="1"/>
  <c r="EC769" i="5"/>
  <c r="DR769" i="5"/>
  <c r="DR771" i="5"/>
  <c r="DU769" i="5"/>
  <c r="DR751" i="5"/>
  <c r="EC749" i="5"/>
  <c r="DU749" i="5"/>
  <c r="DR749" i="5"/>
  <c r="GG744" i="5"/>
  <c r="GH744" i="5" s="1"/>
  <c r="EC789" i="5"/>
  <c r="ED789" i="5" s="1"/>
  <c r="AW789" i="5" s="1"/>
  <c r="DR789" i="5"/>
  <c r="DR791" i="5"/>
  <c r="DU789" i="5"/>
  <c r="EN789" i="5" s="1"/>
  <c r="GG754" i="5"/>
  <c r="GH754" i="5" s="1"/>
  <c r="GG349" i="5"/>
  <c r="GH349" i="5" s="1"/>
  <c r="GG399" i="5"/>
  <c r="GH399" i="5" s="1"/>
  <c r="GG442" i="5"/>
  <c r="GH442" i="5" s="1"/>
  <c r="GG432" i="5"/>
  <c r="GH432" i="5" s="1"/>
  <c r="GG550" i="5"/>
  <c r="GH550" i="5" s="1"/>
  <c r="GG749" i="5"/>
  <c r="GH749" i="5" s="1"/>
  <c r="DR731" i="5"/>
  <c r="DR729" i="5"/>
  <c r="DU729" i="5"/>
  <c r="EC729" i="5"/>
  <c r="GG789" i="5"/>
  <c r="GH789" i="5" s="1"/>
  <c r="DR776" i="5"/>
  <c r="DU774" i="5"/>
  <c r="EC774" i="5"/>
  <c r="DR774" i="5"/>
  <c r="GG769" i="5"/>
  <c r="GH769" i="5" s="1"/>
  <c r="DR648" i="5"/>
  <c r="DU646" i="5"/>
  <c r="EC646" i="5"/>
  <c r="DR646" i="5"/>
  <c r="EC651" i="5"/>
  <c r="DR651" i="5"/>
  <c r="DR653" i="5"/>
  <c r="DU651" i="5"/>
  <c r="GG646" i="5"/>
  <c r="GH646" i="5" s="1"/>
  <c r="DU681" i="5"/>
  <c r="EC681" i="5"/>
  <c r="DR681" i="5"/>
  <c r="DR683" i="5"/>
  <c r="GG477" i="5"/>
  <c r="GH477" i="5" s="1"/>
  <c r="GG530" i="5"/>
  <c r="GH530" i="5" s="1"/>
  <c r="GG485" i="5"/>
  <c r="GH485" i="5" s="1"/>
  <c r="GG578" i="5"/>
  <c r="GH578" i="5" s="1"/>
  <c r="DU701" i="5"/>
  <c r="DR703" i="5"/>
  <c r="EC701" i="5"/>
  <c r="DR701" i="5"/>
  <c r="GG681" i="5"/>
  <c r="GH681" i="5" s="1"/>
  <c r="DR656" i="5"/>
  <c r="DR658" i="5"/>
  <c r="DU656" i="5"/>
  <c r="EC656" i="5"/>
  <c r="DR663" i="5"/>
  <c r="DU661" i="5"/>
  <c r="DR661" i="5"/>
  <c r="EC661" i="5"/>
  <c r="GG651" i="5"/>
  <c r="GH651" i="5" s="1"/>
  <c r="GG701" i="5"/>
  <c r="GH701" i="5" s="1"/>
  <c r="DU641" i="5"/>
  <c r="EC641" i="5"/>
  <c r="DR643" i="5"/>
  <c r="DR641" i="5"/>
  <c r="EC686" i="5"/>
  <c r="DU686" i="5"/>
  <c r="DR686" i="5"/>
  <c r="DR688" i="5"/>
  <c r="EC706" i="5"/>
  <c r="DU706" i="5"/>
  <c r="DR708" i="5"/>
  <c r="DR706" i="5"/>
  <c r="GG656" i="5"/>
  <c r="GH656" i="5" s="1"/>
  <c r="GG661" i="5"/>
  <c r="GH661" i="5" s="1"/>
  <c r="DR668" i="5"/>
  <c r="EC666" i="5"/>
  <c r="DU666" i="5"/>
  <c r="DR666" i="5"/>
  <c r="GG641" i="5"/>
  <c r="GH641" i="5" s="1"/>
  <c r="GG706" i="5"/>
  <c r="GH706" i="5" s="1"/>
  <c r="DR678" i="5"/>
  <c r="DU676" i="5"/>
  <c r="DR676" i="5"/>
  <c r="EC676" i="5"/>
  <c r="GG510" i="5"/>
  <c r="GH510" i="5" s="1"/>
  <c r="EC691" i="5"/>
  <c r="DR691" i="5"/>
  <c r="DR693" i="5"/>
  <c r="DU691" i="5"/>
  <c r="GG686" i="5"/>
  <c r="GH686" i="5" s="1"/>
  <c r="GG666" i="5"/>
  <c r="GH666" i="5" s="1"/>
  <c r="EC711" i="5"/>
  <c r="DR713" i="5"/>
  <c r="DU711" i="5"/>
  <c r="DR711" i="5"/>
  <c r="GG676" i="5"/>
  <c r="GH676" i="5" s="1"/>
  <c r="GG691" i="5"/>
  <c r="GH691" i="5" s="1"/>
  <c r="DR698" i="5"/>
  <c r="DU696" i="5"/>
  <c r="DR696" i="5"/>
  <c r="EC696" i="5"/>
  <c r="GG711" i="5"/>
  <c r="GH711" i="5" s="1"/>
  <c r="DR673" i="5"/>
  <c r="DU671" i="5"/>
  <c r="EC671" i="5"/>
  <c r="DR671" i="5"/>
  <c r="GG598" i="5"/>
  <c r="GH598" i="5" s="1"/>
  <c r="DU568" i="5"/>
  <c r="DR570" i="5"/>
  <c r="EC568" i="5"/>
  <c r="DR568" i="5"/>
  <c r="GG613" i="5"/>
  <c r="GH613" i="5" s="1"/>
  <c r="GG618" i="5"/>
  <c r="GH618" i="5" s="1"/>
  <c r="DR585" i="5"/>
  <c r="EC583" i="5"/>
  <c r="DR583" i="5"/>
  <c r="DU583" i="5"/>
  <c r="GG583" i="5"/>
  <c r="GH583" i="5" s="1"/>
  <c r="EC573" i="5"/>
  <c r="DR575" i="5"/>
  <c r="DR573" i="5"/>
  <c r="DU573" i="5"/>
  <c r="GG628" i="5"/>
  <c r="GH628" i="5" s="1"/>
  <c r="EC633" i="5"/>
  <c r="DR633" i="5"/>
  <c r="DR635" i="5"/>
  <c r="DU633" i="5"/>
  <c r="GG417" i="5"/>
  <c r="GH417" i="5" s="1"/>
  <c r="GG525" i="5"/>
  <c r="GH525" i="5" s="1"/>
  <c r="GG495" i="5"/>
  <c r="GH495" i="5" s="1"/>
  <c r="GG490" i="5"/>
  <c r="GH490" i="5" s="1"/>
  <c r="EC593" i="5"/>
  <c r="DR595" i="5"/>
  <c r="DU593" i="5"/>
  <c r="DR593" i="5"/>
  <c r="DR605" i="5"/>
  <c r="EC603" i="5"/>
  <c r="DU603" i="5"/>
  <c r="DR603" i="5"/>
  <c r="GG633" i="5"/>
  <c r="GH633" i="5" s="1"/>
  <c r="GG452" i="5"/>
  <c r="GH452" i="5" s="1"/>
  <c r="DU623" i="5"/>
  <c r="DR625" i="5"/>
  <c r="EC623" i="5"/>
  <c r="DR623" i="5"/>
  <c r="GG573" i="5"/>
  <c r="GH573" i="5" s="1"/>
  <c r="GG603" i="5"/>
  <c r="GH603" i="5" s="1"/>
  <c r="DR565" i="5"/>
  <c r="EC563" i="5"/>
  <c r="DU563" i="5"/>
  <c r="DR563" i="5"/>
  <c r="DU628" i="5"/>
  <c r="EC628" i="5"/>
  <c r="DR628" i="5"/>
  <c r="DR630" i="5"/>
  <c r="DR590" i="5"/>
  <c r="DR588" i="5"/>
  <c r="DU588" i="5"/>
  <c r="EC588" i="5"/>
  <c r="DU608" i="5"/>
  <c r="DR610" i="5"/>
  <c r="EC608" i="5"/>
  <c r="DR608" i="5"/>
  <c r="DR578" i="5"/>
  <c r="DU578" i="5"/>
  <c r="DR580" i="5"/>
  <c r="EC578" i="5"/>
  <c r="GG588" i="5"/>
  <c r="GH588" i="5" s="1"/>
  <c r="EC613" i="5"/>
  <c r="DR613" i="5"/>
  <c r="DU613" i="5"/>
  <c r="DR615" i="5"/>
  <c r="GG608" i="5"/>
  <c r="GH608" i="5" s="1"/>
  <c r="GG545" i="5"/>
  <c r="GH545" i="5" s="1"/>
  <c r="DR600" i="5"/>
  <c r="EC598" i="5"/>
  <c r="DR598" i="5"/>
  <c r="DU598" i="5"/>
  <c r="DR620" i="5"/>
  <c r="DU618" i="5"/>
  <c r="DR618" i="5"/>
  <c r="EC618" i="5"/>
  <c r="DU505" i="5"/>
  <c r="EC505" i="5"/>
  <c r="DR505" i="5"/>
  <c r="DR507" i="5"/>
  <c r="GG296" i="5"/>
  <c r="GH296" i="5" s="1"/>
  <c r="GG457" i="5"/>
  <c r="GH457" i="5" s="1"/>
  <c r="GG407" i="5"/>
  <c r="GH407" i="5" s="1"/>
  <c r="DR502" i="5"/>
  <c r="DU500" i="5"/>
  <c r="EC500" i="5"/>
  <c r="DR500" i="5"/>
  <c r="EC555" i="5"/>
  <c r="DR555" i="5"/>
  <c r="DR557" i="5"/>
  <c r="DU555" i="5"/>
  <c r="DR517" i="5"/>
  <c r="DU515" i="5"/>
  <c r="DR515" i="5"/>
  <c r="EC515" i="5"/>
  <c r="GG505" i="5"/>
  <c r="GH505" i="5" s="1"/>
  <c r="GG555" i="5"/>
  <c r="GH555" i="5" s="1"/>
  <c r="DR545" i="5"/>
  <c r="DU545" i="5"/>
  <c r="EC545" i="5"/>
  <c r="DR547" i="5"/>
  <c r="EC530" i="5"/>
  <c r="DU530" i="5"/>
  <c r="DR532" i="5"/>
  <c r="DR530" i="5"/>
  <c r="GG515" i="5"/>
  <c r="GH515" i="5" s="1"/>
  <c r="DR487" i="5"/>
  <c r="DU485" i="5"/>
  <c r="EC485" i="5"/>
  <c r="DR485" i="5"/>
  <c r="DR542" i="5"/>
  <c r="DR540" i="5"/>
  <c r="DU540" i="5"/>
  <c r="EC540" i="5"/>
  <c r="DR535" i="5"/>
  <c r="DR537" i="5"/>
  <c r="DU535" i="5"/>
  <c r="EC535" i="5"/>
  <c r="GG540" i="5"/>
  <c r="GH540" i="5" s="1"/>
  <c r="EC550" i="5"/>
  <c r="DR552" i="5"/>
  <c r="DU550" i="5"/>
  <c r="DR550" i="5"/>
  <c r="DR522" i="5"/>
  <c r="DU520" i="5"/>
  <c r="DR520" i="5"/>
  <c r="EC520" i="5"/>
  <c r="GG422" i="5"/>
  <c r="GH422" i="5" s="1"/>
  <c r="DU525" i="5"/>
  <c r="DR525" i="5"/>
  <c r="DR527" i="5"/>
  <c r="EC525" i="5"/>
  <c r="DU490" i="5"/>
  <c r="EC490" i="5"/>
  <c r="DR492" i="5"/>
  <c r="DR490" i="5"/>
  <c r="GG535" i="5"/>
  <c r="GH535" i="5" s="1"/>
  <c r="DR495" i="5"/>
  <c r="DR497" i="5"/>
  <c r="DU495" i="5"/>
  <c r="EC495" i="5"/>
  <c r="DR510" i="5"/>
  <c r="DR512" i="5"/>
  <c r="EC510" i="5"/>
  <c r="DU510" i="5"/>
  <c r="GG520" i="5"/>
  <c r="GH520" i="5" s="1"/>
  <c r="GG447" i="5"/>
  <c r="GH447" i="5" s="1"/>
  <c r="GG462" i="5"/>
  <c r="GH462" i="5" s="1"/>
  <c r="EC477" i="5"/>
  <c r="DR477" i="5"/>
  <c r="DR479" i="5"/>
  <c r="DU477" i="5"/>
  <c r="GG412" i="5"/>
  <c r="GH412" i="5" s="1"/>
  <c r="DU437" i="5"/>
  <c r="EC437" i="5"/>
  <c r="DR437" i="5"/>
  <c r="DR439" i="5"/>
  <c r="DU422" i="5"/>
  <c r="EC422" i="5"/>
  <c r="DR424" i="5"/>
  <c r="DR422" i="5"/>
  <c r="DR427" i="5"/>
  <c r="DR429" i="5"/>
  <c r="DU427" i="5"/>
  <c r="EC427" i="5"/>
  <c r="GG251" i="5"/>
  <c r="GH251" i="5" s="1"/>
  <c r="DU442" i="5"/>
  <c r="DR442" i="5"/>
  <c r="DR444" i="5"/>
  <c r="EC442" i="5"/>
  <c r="GG427" i="5"/>
  <c r="GH427" i="5" s="1"/>
  <c r="DR434" i="5"/>
  <c r="DU432" i="5"/>
  <c r="DR432" i="5"/>
  <c r="EC432" i="5"/>
  <c r="DR472" i="5"/>
  <c r="DR474" i="5"/>
  <c r="EC472" i="5"/>
  <c r="DU472" i="5"/>
  <c r="DR467" i="5"/>
  <c r="DR469" i="5"/>
  <c r="DU467" i="5"/>
  <c r="EC467" i="5"/>
  <c r="DR449" i="5"/>
  <c r="EC447" i="5"/>
  <c r="DU447" i="5"/>
  <c r="DR447" i="5"/>
  <c r="EC160" i="5"/>
  <c r="GG233" i="5"/>
  <c r="GH233" i="5" s="1"/>
  <c r="GG384" i="5"/>
  <c r="GH384" i="5" s="1"/>
  <c r="GG374" i="5"/>
  <c r="GH374" i="5" s="1"/>
  <c r="GG472" i="5"/>
  <c r="GH472" i="5" s="1"/>
  <c r="DR419" i="5"/>
  <c r="DU417" i="5"/>
  <c r="DR417" i="5"/>
  <c r="EC417" i="5"/>
  <c r="DU452" i="5"/>
  <c r="EC452" i="5"/>
  <c r="DR454" i="5"/>
  <c r="DR452" i="5"/>
  <c r="DR459" i="5"/>
  <c r="DR457" i="5"/>
  <c r="DU457" i="5"/>
  <c r="EC457" i="5"/>
  <c r="GG467" i="5"/>
  <c r="GH467" i="5" s="1"/>
  <c r="EC407" i="5"/>
  <c r="DR407" i="5"/>
  <c r="DU407" i="5"/>
  <c r="DR409" i="5"/>
  <c r="DR462" i="5"/>
  <c r="DR464" i="5"/>
  <c r="EC462" i="5"/>
  <c r="DU462" i="5"/>
  <c r="GG437" i="5"/>
  <c r="GH437" i="5" s="1"/>
  <c r="EC412" i="5"/>
  <c r="DR412" i="5"/>
  <c r="DU412" i="5"/>
  <c r="DR414" i="5"/>
  <c r="DR376" i="5"/>
  <c r="DU374" i="5"/>
  <c r="DR374" i="5"/>
  <c r="EC374" i="5"/>
  <c r="DU334" i="5"/>
  <c r="DR334" i="5"/>
  <c r="DR336" i="5"/>
  <c r="EC334" i="5"/>
  <c r="DU389" i="5"/>
  <c r="DR389" i="5"/>
  <c r="DR391" i="5"/>
  <c r="EC389" i="5"/>
  <c r="GG334" i="5"/>
  <c r="GH334" i="5" s="1"/>
  <c r="DR381" i="5"/>
  <c r="DU379" i="5"/>
  <c r="DR379" i="5"/>
  <c r="EC379" i="5"/>
  <c r="DU369" i="5"/>
  <c r="EC369" i="5"/>
  <c r="DR371" i="5"/>
  <c r="DR369" i="5"/>
  <c r="GG394" i="5"/>
  <c r="GH394" i="5" s="1"/>
  <c r="DR356" i="5"/>
  <c r="DU354" i="5"/>
  <c r="DR354" i="5"/>
  <c r="EC354" i="5"/>
  <c r="GG379" i="5"/>
  <c r="GH379" i="5" s="1"/>
  <c r="EC394" i="5"/>
  <c r="DR394" i="5"/>
  <c r="DR396" i="5"/>
  <c r="DU394" i="5"/>
  <c r="DU160" i="5"/>
  <c r="GG311" i="5"/>
  <c r="GH311" i="5" s="1"/>
  <c r="DR366" i="5"/>
  <c r="EC364" i="5"/>
  <c r="DR364" i="5"/>
  <c r="DU364" i="5"/>
  <c r="GG389" i="5"/>
  <c r="GH389" i="5" s="1"/>
  <c r="GG354" i="5"/>
  <c r="GH354" i="5" s="1"/>
  <c r="EC359" i="5"/>
  <c r="DR359" i="5"/>
  <c r="DR361" i="5"/>
  <c r="DU359" i="5"/>
  <c r="DR162" i="5"/>
  <c r="GG160" i="5"/>
  <c r="GH160" i="5" s="1"/>
  <c r="GG369" i="5"/>
  <c r="GH369" i="5" s="1"/>
  <c r="DU329" i="5"/>
  <c r="DR331" i="5"/>
  <c r="DR329" i="5"/>
  <c r="EC329" i="5"/>
  <c r="GG359" i="5"/>
  <c r="GH359" i="5" s="1"/>
  <c r="EC339" i="5"/>
  <c r="DU339" i="5"/>
  <c r="DR339" i="5"/>
  <c r="DR341" i="5"/>
  <c r="DR160" i="5"/>
  <c r="DU349" i="5"/>
  <c r="EC349" i="5"/>
  <c r="DR351" i="5"/>
  <c r="DR349" i="5"/>
  <c r="GG364" i="5"/>
  <c r="GH364" i="5" s="1"/>
  <c r="EC344" i="5"/>
  <c r="DR346" i="5"/>
  <c r="DU344" i="5"/>
  <c r="DR344" i="5"/>
  <c r="GG339" i="5"/>
  <c r="GH339" i="5" s="1"/>
  <c r="GG281" i="5"/>
  <c r="GH281" i="5" s="1"/>
  <c r="DR386" i="5"/>
  <c r="DU384" i="5"/>
  <c r="DR384" i="5"/>
  <c r="EC384" i="5"/>
  <c r="GG329" i="5"/>
  <c r="GH329" i="5" s="1"/>
  <c r="GG344" i="5"/>
  <c r="GH344" i="5" s="1"/>
  <c r="EC399" i="5"/>
  <c r="DR399" i="5"/>
  <c r="DR401" i="5"/>
  <c r="DU399" i="5"/>
  <c r="DR303" i="5"/>
  <c r="EC301" i="5"/>
  <c r="DU301" i="5"/>
  <c r="DR301" i="5"/>
  <c r="EC261" i="5"/>
  <c r="DU261" i="5"/>
  <c r="DR263" i="5"/>
  <c r="DR261" i="5"/>
  <c r="DR152" i="5"/>
  <c r="GG218" i="5"/>
  <c r="GH218" i="5" s="1"/>
  <c r="DR258" i="5"/>
  <c r="DU256" i="5"/>
  <c r="DR256" i="5"/>
  <c r="EC256" i="5"/>
  <c r="GG301" i="5"/>
  <c r="GH301" i="5" s="1"/>
  <c r="GG316" i="5"/>
  <c r="GH316" i="5" s="1"/>
  <c r="DU271" i="5"/>
  <c r="EC271" i="5"/>
  <c r="DR273" i="5"/>
  <c r="DR271" i="5"/>
  <c r="DR150" i="5"/>
  <c r="GG150" i="5"/>
  <c r="GH150" i="5" s="1"/>
  <c r="GG203" i="5"/>
  <c r="GH203" i="5" s="1"/>
  <c r="GG193" i="5"/>
  <c r="GH193" i="5" s="1"/>
  <c r="GG243" i="5"/>
  <c r="GH243" i="5" s="1"/>
  <c r="EC251" i="5"/>
  <c r="DU251" i="5"/>
  <c r="DR251" i="5"/>
  <c r="DR253" i="5"/>
  <c r="GG261" i="5"/>
  <c r="GH261" i="5" s="1"/>
  <c r="GG256" i="5"/>
  <c r="GH256" i="5" s="1"/>
  <c r="EC281" i="5"/>
  <c r="DR283" i="5"/>
  <c r="DR281" i="5"/>
  <c r="DU281" i="5"/>
  <c r="DU306" i="5"/>
  <c r="DR306" i="5"/>
  <c r="EC306" i="5"/>
  <c r="DR308" i="5"/>
  <c r="DR288" i="5"/>
  <c r="DU286" i="5"/>
  <c r="DR286" i="5"/>
  <c r="EC286" i="5"/>
  <c r="GG271" i="5"/>
  <c r="GH271" i="5" s="1"/>
  <c r="EC150" i="5"/>
  <c r="DR293" i="5"/>
  <c r="DU291" i="5"/>
  <c r="EC291" i="5"/>
  <c r="DR291" i="5"/>
  <c r="DR268" i="5"/>
  <c r="DR266" i="5"/>
  <c r="EC266" i="5"/>
  <c r="DU266" i="5"/>
  <c r="DU316" i="5"/>
  <c r="EC316" i="5"/>
  <c r="DR316" i="5"/>
  <c r="DR318" i="5"/>
  <c r="EC321" i="5"/>
  <c r="DR321" i="5"/>
  <c r="DR323" i="5"/>
  <c r="DU321" i="5"/>
  <c r="GG306" i="5"/>
  <c r="GH306" i="5" s="1"/>
  <c r="DR276" i="5"/>
  <c r="DU276" i="5"/>
  <c r="DR278" i="5"/>
  <c r="EC276" i="5"/>
  <c r="GG286" i="5"/>
  <c r="GH286" i="5" s="1"/>
  <c r="GG266" i="5"/>
  <c r="GH266" i="5" s="1"/>
  <c r="GG321" i="5"/>
  <c r="GH321" i="5" s="1"/>
  <c r="DR296" i="5"/>
  <c r="DR298" i="5"/>
  <c r="EC296" i="5"/>
  <c r="DU296" i="5"/>
  <c r="GG291" i="5"/>
  <c r="GH291" i="5" s="1"/>
  <c r="GG276" i="5"/>
  <c r="GH276" i="5" s="1"/>
  <c r="DR313" i="5"/>
  <c r="EC311" i="5"/>
  <c r="DR311" i="5"/>
  <c r="DU311" i="5"/>
  <c r="DR208" i="5"/>
  <c r="DR210" i="5"/>
  <c r="DU208" i="5"/>
  <c r="EC208" i="5"/>
  <c r="GG198" i="5"/>
  <c r="GH198" i="5" s="1"/>
  <c r="DU188" i="5"/>
  <c r="EC188" i="5"/>
  <c r="DR190" i="5"/>
  <c r="DR188" i="5"/>
  <c r="DU173" i="5"/>
  <c r="DR175" i="5"/>
  <c r="EC173" i="5"/>
  <c r="DR173" i="5"/>
  <c r="GG188" i="5"/>
  <c r="GH188" i="5" s="1"/>
  <c r="DR235" i="5"/>
  <c r="DU233" i="5"/>
  <c r="DR233" i="5"/>
  <c r="EC233" i="5"/>
  <c r="GG208" i="5"/>
  <c r="GH208" i="5" s="1"/>
  <c r="DR225" i="5"/>
  <c r="EC223" i="5"/>
  <c r="DR223" i="5"/>
  <c r="DU223" i="5"/>
  <c r="DR185" i="5"/>
  <c r="EC183" i="5"/>
  <c r="DU183" i="5"/>
  <c r="DR183" i="5"/>
  <c r="GG173" i="5"/>
  <c r="GH173" i="5" s="1"/>
  <c r="EC228" i="5"/>
  <c r="DR228" i="5"/>
  <c r="DR230" i="5"/>
  <c r="DU228" i="5"/>
  <c r="GG223" i="5"/>
  <c r="GH223" i="5" s="1"/>
  <c r="DR178" i="5"/>
  <c r="EC178" i="5"/>
  <c r="DR180" i="5"/>
  <c r="DU178" i="5"/>
  <c r="GG183" i="5"/>
  <c r="GH183" i="5" s="1"/>
  <c r="EC238" i="5"/>
  <c r="DR240" i="5"/>
  <c r="DR238" i="5"/>
  <c r="DU238" i="5"/>
  <c r="GG228" i="5"/>
  <c r="GH228" i="5" s="1"/>
  <c r="GG178" i="5"/>
  <c r="GH178" i="5" s="1"/>
  <c r="DR215" i="5"/>
  <c r="DR213" i="5"/>
  <c r="EC213" i="5"/>
  <c r="DU213" i="5"/>
  <c r="DR200" i="5"/>
  <c r="DU198" i="5"/>
  <c r="EC198" i="5"/>
  <c r="DR198" i="5"/>
  <c r="GG238" i="5"/>
  <c r="GH238" i="5" s="1"/>
  <c r="DR220" i="5"/>
  <c r="DU218" i="5"/>
  <c r="EC218" i="5"/>
  <c r="DR218" i="5"/>
  <c r="GG213" i="5"/>
  <c r="GH213" i="5" s="1"/>
  <c r="DR205" i="5"/>
  <c r="DU203" i="5"/>
  <c r="EC203" i="5"/>
  <c r="DR203" i="5"/>
  <c r="EC193" i="5"/>
  <c r="DR193" i="5"/>
  <c r="DR195" i="5"/>
  <c r="DU193" i="5"/>
  <c r="EC243" i="5"/>
  <c r="DR243" i="5"/>
  <c r="DR245" i="5"/>
  <c r="DU243" i="5"/>
  <c r="EC165" i="5"/>
  <c r="DR165" i="5"/>
  <c r="DU165" i="5"/>
  <c r="DR167" i="5"/>
  <c r="GG165" i="5"/>
  <c r="GH165" i="5" s="1"/>
  <c r="GG135" i="5"/>
  <c r="GH135" i="5" s="1"/>
  <c r="DU135" i="5"/>
  <c r="GG125" i="5"/>
  <c r="GH125" i="5" s="1"/>
  <c r="DR137" i="5"/>
  <c r="DR127" i="5"/>
  <c r="EC125" i="5"/>
  <c r="EC135" i="5"/>
  <c r="EC155" i="5"/>
  <c r="DR155" i="5"/>
  <c r="DR157" i="5"/>
  <c r="DU155" i="5"/>
  <c r="GG155" i="5"/>
  <c r="GH155" i="5" s="1"/>
  <c r="DU125" i="5"/>
  <c r="EC145" i="5"/>
  <c r="DR145" i="5"/>
  <c r="DR147" i="5"/>
  <c r="DU145" i="5"/>
  <c r="GG145" i="5"/>
  <c r="GH145" i="5" s="1"/>
  <c r="EC140" i="5"/>
  <c r="DU140" i="5"/>
  <c r="DR140" i="5"/>
  <c r="DR142" i="5"/>
  <c r="GG140" i="5"/>
  <c r="GH140" i="5" s="1"/>
  <c r="EC130" i="5"/>
  <c r="DR130" i="5"/>
  <c r="DR132" i="5"/>
  <c r="DU130" i="5"/>
  <c r="GG67" i="5"/>
  <c r="GH67" i="5" s="1"/>
  <c r="GG130" i="5"/>
  <c r="GH130" i="5" s="1"/>
  <c r="DR117" i="5"/>
  <c r="DR115" i="5"/>
  <c r="EC115" i="5"/>
  <c r="EC120" i="5"/>
  <c r="DU120" i="5"/>
  <c r="DR120" i="5"/>
  <c r="DR122" i="5"/>
  <c r="DR67" i="5"/>
  <c r="GG115" i="5"/>
  <c r="GH115" i="5" s="1"/>
  <c r="GG120" i="5"/>
  <c r="GH120" i="5" s="1"/>
  <c r="DU67" i="5"/>
  <c r="EN67" i="5" s="1"/>
  <c r="GG105" i="5"/>
  <c r="GH105" i="5" s="1"/>
  <c r="EC110" i="5"/>
  <c r="DR110" i="5"/>
  <c r="DR112" i="5"/>
  <c r="DU110" i="5"/>
  <c r="GG110" i="5"/>
  <c r="GH110" i="5" s="1"/>
  <c r="EC67" i="5"/>
  <c r="ED67" i="5" s="1"/>
  <c r="AW67" i="5" s="1"/>
  <c r="EC105" i="5"/>
  <c r="DR105" i="5"/>
  <c r="DU105" i="5"/>
  <c r="DR107" i="5"/>
  <c r="EC100" i="5"/>
  <c r="DR100" i="5"/>
  <c r="DR102" i="5"/>
  <c r="DU100" i="5"/>
  <c r="GG100" i="5"/>
  <c r="GH100" i="5" s="1"/>
  <c r="EC95" i="5"/>
  <c r="DR95" i="5"/>
  <c r="DR97" i="5"/>
  <c r="DU95" i="5"/>
  <c r="GG95" i="5"/>
  <c r="GH95" i="5" s="1"/>
  <c r="GG82" i="5"/>
  <c r="GH82" i="5" s="1"/>
  <c r="EC87" i="5"/>
  <c r="DR87" i="5"/>
  <c r="DU87" i="5"/>
  <c r="DR89" i="5"/>
  <c r="GG87" i="5"/>
  <c r="GH87" i="5" s="1"/>
  <c r="EC82" i="5"/>
  <c r="DR82" i="5"/>
  <c r="DR84" i="5"/>
  <c r="DU82" i="5"/>
  <c r="GG72" i="5"/>
  <c r="GH72" i="5" s="1"/>
  <c r="EC77" i="5"/>
  <c r="DR77" i="5"/>
  <c r="DR79" i="5"/>
  <c r="DU77" i="5"/>
  <c r="GG77" i="5"/>
  <c r="GH77" i="5" s="1"/>
  <c r="EC72" i="5"/>
  <c r="DR72" i="5"/>
  <c r="DR74" i="5"/>
  <c r="DU72" i="5"/>
  <c r="EC62" i="5"/>
  <c r="ED62" i="5" s="1"/>
  <c r="AW62" i="5" s="1"/>
  <c r="DR62" i="5"/>
  <c r="DU62" i="5"/>
  <c r="EN62" i="5" s="1"/>
  <c r="DR64" i="5"/>
  <c r="GG62" i="5"/>
  <c r="GH62" i="5" s="1"/>
  <c r="EC57" i="5"/>
  <c r="ED57" i="5" s="1"/>
  <c r="DR57" i="5"/>
  <c r="DR59" i="5"/>
  <c r="DU57" i="5"/>
  <c r="EN57" i="5" s="1"/>
  <c r="GG57" i="5"/>
  <c r="GH57" i="5" s="1"/>
  <c r="EC52" i="5"/>
  <c r="ED52" i="5" s="1"/>
  <c r="AW52" i="5" s="1"/>
  <c r="DR52" i="5"/>
  <c r="DR54" i="5"/>
  <c r="DU52" i="5"/>
  <c r="EN52" i="5" s="1"/>
  <c r="GG52" i="5"/>
  <c r="GH52" i="5" s="1"/>
  <c r="EC47" i="5"/>
  <c r="ED47" i="5" s="1"/>
  <c r="DR47" i="5"/>
  <c r="DR49" i="5"/>
  <c r="DU47" i="5"/>
  <c r="EN47" i="5" s="1"/>
  <c r="GG47" i="5"/>
  <c r="GH47" i="5" s="1"/>
  <c r="CB880" i="5"/>
  <c r="AK83" i="8" a="1"/>
  <c r="AK83" i="8" s="1"/>
  <c r="BN880" i="5"/>
  <c r="CG892" i="5"/>
  <c r="Y70" i="10" s="1"/>
  <c r="BL897" i="5"/>
  <c r="CG888" i="5"/>
  <c r="Y60" i="10" s="1"/>
  <c r="BS889" i="5"/>
  <c r="BO885" i="5"/>
  <c r="G57" i="10" s="1"/>
  <c r="BL882" i="5"/>
  <c r="BO903" i="5"/>
  <c r="G68" i="10" s="1"/>
  <c r="CG900" i="5"/>
  <c r="Y65" i="10" s="1"/>
  <c r="CG884" i="5"/>
  <c r="Y56" i="10" s="1"/>
  <c r="BL890" i="5"/>
  <c r="BS888" i="5"/>
  <c r="BO888" i="5"/>
  <c r="G60" i="10" s="1"/>
  <c r="CF900" i="5"/>
  <c r="BL891" i="5"/>
  <c r="BZ890" i="5"/>
  <c r="R62" i="10" s="1"/>
  <c r="BO889" i="5"/>
  <c r="G61" i="10" s="1"/>
  <c r="BL887" i="5"/>
  <c r="CG903" i="5"/>
  <c r="Y68" i="10" s="1"/>
  <c r="BZ882" i="5"/>
  <c r="R54" i="10" s="1"/>
  <c r="BS892" i="5"/>
  <c r="CF895" i="5"/>
  <c r="CB881" i="5"/>
  <c r="T53" i="10" s="1"/>
  <c r="CA900" i="5"/>
  <c r="S65" i="10" s="1"/>
  <c r="BY888" i="5"/>
  <c r="Q60" i="10" s="1"/>
  <c r="BU895" i="5"/>
  <c r="M73" i="10" s="1"/>
  <c r="CB884" i="5"/>
  <c r="T56" i="10" s="1"/>
  <c r="BL903" i="5"/>
  <c r="CG883" i="5"/>
  <c r="Y55" i="10" s="1"/>
  <c r="BO883" i="5"/>
  <c r="G55" i="10" s="1"/>
  <c r="BO897" i="5"/>
  <c r="G75" i="10" s="1"/>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CB903" i="5"/>
  <c r="T68" i="10" s="1"/>
  <c r="BL889" i="5"/>
  <c r="CB892" i="5"/>
  <c r="T70" i="10" s="1"/>
  <c r="BS882" i="5"/>
  <c r="BL901" i="5"/>
  <c r="BY901" i="5"/>
  <c r="Q66" i="10" s="1"/>
  <c r="BO891" i="5"/>
  <c r="G63" i="10" s="1"/>
  <c r="BU898" i="5"/>
  <c r="M76" i="10" s="1"/>
  <c r="BK895" i="5"/>
  <c r="C73" i="10" s="1"/>
  <c r="BL888" i="5"/>
  <c r="BU888" i="5"/>
  <c r="M60" i="10" s="1"/>
  <c r="BU890" i="5"/>
  <c r="M62" i="10" s="1"/>
  <c r="CF887" i="5"/>
  <c r="CF883" i="5"/>
  <c r="BY897" i="5"/>
  <c r="Q75" i="10" s="1"/>
  <c r="BK902" i="5"/>
  <c r="C67" i="10" s="1"/>
  <c r="BN887" i="5"/>
  <c r="BY884" i="5"/>
  <c r="Q56" i="10" s="1"/>
  <c r="CB886" i="5"/>
  <c r="T58" i="10" s="1"/>
  <c r="CA883" i="5"/>
  <c r="S55" i="10" s="1"/>
  <c r="BO902" i="5"/>
  <c r="G67" i="10" s="1"/>
  <c r="CG893" i="5"/>
  <c r="Y71" i="10" s="1"/>
  <c r="BZ883" i="5"/>
  <c r="R55" i="10" s="1"/>
  <c r="CA882" i="5"/>
  <c r="S54" i="10" s="1"/>
  <c r="CB887" i="5"/>
  <c r="T59"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A901" i="5"/>
  <c r="S66" i="10" s="1"/>
  <c r="CF889" i="5"/>
  <c r="CF898" i="5"/>
  <c r="CB894" i="5"/>
  <c r="T72" i="10" s="1"/>
  <c r="BK894" i="5"/>
  <c r="C72" i="10" s="1"/>
  <c r="BZ895" i="5"/>
  <c r="R73" i="10" s="1"/>
  <c r="BS894" i="5"/>
  <c r="BZ904" i="5"/>
  <c r="R69" i="10" s="1"/>
  <c r="BY894" i="5"/>
  <c r="Q72" i="10" s="1"/>
  <c r="CG885" i="5"/>
  <c r="Y57" i="10" s="1"/>
  <c r="CG901" i="5"/>
  <c r="Y66" i="10" s="1"/>
  <c r="BY900" i="5"/>
  <c r="Q65" i="10" s="1"/>
  <c r="BU892" i="5"/>
  <c r="M70" i="10" s="1"/>
  <c r="BS884" i="5"/>
  <c r="BN901" i="5"/>
  <c r="BZ897" i="5"/>
  <c r="R75" i="10" s="1"/>
  <c r="BY904" i="5"/>
  <c r="Q69" i="10" s="1"/>
  <c r="BU902" i="5"/>
  <c r="M67" i="10" s="1"/>
  <c r="CA888" i="5"/>
  <c r="S60" i="10" s="1"/>
  <c r="CB893" i="5"/>
  <c r="T71" i="10" s="1"/>
  <c r="BL883" i="5"/>
  <c r="BU887" i="5"/>
  <c r="M59" i="10" s="1"/>
  <c r="BS891" i="5"/>
  <c r="BL893" i="5"/>
  <c r="BK891" i="5"/>
  <c r="C63" i="10" s="1"/>
  <c r="CB882" i="5"/>
  <c r="T54" i="10" s="1"/>
  <c r="CG902" i="5"/>
  <c r="Y67" i="10" s="1"/>
  <c r="BS890" i="5"/>
  <c r="BY899" i="5"/>
  <c r="Q64" i="10" s="1"/>
  <c r="CF903" i="5"/>
  <c r="CG904" i="5"/>
  <c r="Y69" i="10" s="1"/>
  <c r="CB899" i="5"/>
  <c r="T64" i="10" s="1"/>
  <c r="CG886" i="5"/>
  <c r="Y58" i="10" s="1"/>
  <c r="BS904" i="5"/>
  <c r="CB900" i="5"/>
  <c r="T65" i="10" s="1"/>
  <c r="BY902" i="5"/>
  <c r="Q67" i="10" s="1"/>
  <c r="BY883" i="5"/>
  <c r="Q55" i="10" s="1"/>
  <c r="BO895" i="5"/>
  <c r="G73" i="10" s="1"/>
  <c r="CF894" i="5"/>
  <c r="BS883" i="5"/>
  <c r="CF890" i="5"/>
  <c r="BL884" i="5"/>
  <c r="BN895" i="5"/>
  <c r="BN894" i="5"/>
  <c r="BN886" i="5"/>
  <c r="BZ888" i="5"/>
  <c r="R60" i="10" s="1"/>
  <c r="BU883" i="5"/>
  <c r="M55" i="10" s="1"/>
  <c r="BS902" i="5"/>
  <c r="BZ903" i="5"/>
  <c r="R68" i="10" s="1"/>
  <c r="CA895" i="5"/>
  <c r="S73" i="10" s="1"/>
  <c r="CA894" i="5"/>
  <c r="S72" i="10" s="1"/>
  <c r="BL898" i="5"/>
  <c r="BK882" i="5"/>
  <c r="C54" i="10" s="1"/>
  <c r="CB888" i="5"/>
  <c r="T60" i="10" s="1"/>
  <c r="CF896" i="5"/>
  <c r="BZ884" i="5"/>
  <c r="R56" i="10" s="1"/>
  <c r="BN903" i="5"/>
  <c r="CF892" i="5"/>
  <c r="CF884" i="5"/>
  <c r="BY903" i="5"/>
  <c r="Q68" i="10" s="1"/>
  <c r="BU894" i="5"/>
  <c r="M72" i="10" s="1"/>
  <c r="CA904" i="5"/>
  <c r="S69" i="10" s="1"/>
  <c r="CB883" i="5"/>
  <c r="T55" i="10" s="1"/>
  <c r="BS881" i="5"/>
  <c r="BN885" i="5"/>
  <c r="BN893" i="5"/>
  <c r="CG880" i="5"/>
  <c r="CA893" i="5"/>
  <c r="S71" i="10" s="1"/>
  <c r="BS887" i="5"/>
  <c r="CB890" i="5"/>
  <c r="T62" i="10" s="1"/>
  <c r="BY882" i="5"/>
  <c r="Q54" i="10" s="1"/>
  <c r="BO898" i="5"/>
  <c r="G76" i="10" s="1"/>
  <c r="BO892" i="5"/>
  <c r="G70" i="10" s="1"/>
  <c r="CF893" i="5"/>
  <c r="CG896" i="5"/>
  <c r="Y74" i="10" s="1"/>
  <c r="BN904" i="5"/>
  <c r="BO894" i="5"/>
  <c r="G72" i="10" s="1"/>
  <c r="BU900" i="5"/>
  <c r="M65" i="10" s="1"/>
  <c r="CB902" i="5"/>
  <c r="T67" i="10" s="1"/>
  <c r="CA899" i="5"/>
  <c r="S64" i="10" s="1"/>
  <c r="BS885" i="5"/>
  <c r="BZ894" i="5"/>
  <c r="R72" i="10" s="1"/>
  <c r="CF902" i="5"/>
  <c r="CB889" i="5"/>
  <c r="T61" i="10" s="1"/>
  <c r="BN899" i="5"/>
  <c r="BN892" i="5"/>
  <c r="BO886" i="5"/>
  <c r="G58" i="10" s="1"/>
  <c r="CF880" i="5"/>
  <c r="BO882" i="5"/>
  <c r="G54" i="10" s="1"/>
  <c r="BS898" i="5"/>
  <c r="CG891" i="5"/>
  <c r="Y63" i="10" s="1"/>
  <c r="BO904" i="5"/>
  <c r="G69" i="10" s="1"/>
  <c r="BK890" i="5"/>
  <c r="C62" i="10" s="1"/>
  <c r="BU897" i="5"/>
  <c r="M75" i="10" s="1"/>
  <c r="BK893" i="5"/>
  <c r="C71" i="10" s="1"/>
  <c r="BZ901" i="5"/>
  <c r="R66" i="10" s="1"/>
  <c r="BS899" i="5"/>
  <c r="CA890" i="5"/>
  <c r="S62" i="10" s="1"/>
  <c r="BS900" i="5"/>
  <c r="BK885" i="5"/>
  <c r="C57" i="10" s="1"/>
  <c r="BK898" i="5"/>
  <c r="C76" i="10" s="1"/>
  <c r="CF888" i="5"/>
  <c r="CF897" i="5"/>
  <c r="BU891" i="5"/>
  <c r="M63" i="10" s="1"/>
  <c r="BK889" i="5"/>
  <c r="C61" i="10" s="1"/>
  <c r="CG882" i="5"/>
  <c r="Y54" i="10" s="1"/>
  <c r="BU886" i="5"/>
  <c r="M58" i="10" s="1"/>
  <c r="BN881" i="5"/>
  <c r="BY895" i="5"/>
  <c r="Q73" i="10" s="1"/>
  <c r="BU884" i="5"/>
  <c r="M56" i="10" s="1"/>
  <c r="BK896" i="5"/>
  <c r="C74" i="10" s="1"/>
  <c r="BU904" i="5"/>
  <c r="M69" i="10" s="1"/>
  <c r="BO890" i="5"/>
  <c r="G62" i="10" s="1"/>
  <c r="CG889" i="5"/>
  <c r="Y61" i="10" s="1"/>
  <c r="BL894" i="5"/>
  <c r="BK888" i="5"/>
  <c r="C60" i="10" s="1"/>
  <c r="CB896" i="5"/>
  <c r="T74" i="10" s="1"/>
  <c r="CB898" i="5"/>
  <c r="T76" i="10" s="1"/>
  <c r="BU889" i="5"/>
  <c r="M61" i="10" s="1"/>
  <c r="CF885" i="5"/>
  <c r="BU896" i="5"/>
  <c r="M74" i="10" s="1"/>
  <c r="BL881" i="5"/>
  <c r="CB904" i="5"/>
  <c r="T69" i="10" s="1"/>
  <c r="BL880" i="5"/>
  <c r="BO887" i="5"/>
  <c r="G59" i="10" s="1"/>
  <c r="CB885" i="5"/>
  <c r="T57" i="10" s="1"/>
  <c r="BN890" i="5"/>
  <c r="BN889" i="5"/>
  <c r="BN896" i="5"/>
  <c r="BN897" i="5"/>
  <c r="BS886" i="5"/>
  <c r="BY893" i="5"/>
  <c r="Q71" i="10" s="1"/>
  <c r="BO901" i="5"/>
  <c r="G66" i="10" s="1"/>
  <c r="BU901" i="5"/>
  <c r="M66" i="10" s="1"/>
  <c r="CG890" i="5"/>
  <c r="Y62" i="10" s="1"/>
  <c r="BN891" i="5"/>
  <c r="CF904" i="5"/>
  <c r="BL902" i="5"/>
  <c r="BL904" i="5"/>
  <c r="CA902" i="5"/>
  <c r="S67" i="10" s="1"/>
  <c r="BY891" i="5"/>
  <c r="Q63" i="10" s="1"/>
  <c r="BK899" i="5"/>
  <c r="C64" i="10" s="1"/>
  <c r="CF899" i="5"/>
  <c r="BU885" i="5"/>
  <c r="M57" i="10" s="1"/>
  <c r="CF882" i="5"/>
  <c r="BK901" i="5"/>
  <c r="C66" i="10" s="1"/>
  <c r="BK897" i="5"/>
  <c r="C75" i="10" s="1"/>
  <c r="BN898" i="5"/>
  <c r="BL886" i="5"/>
  <c r="BU880" i="5"/>
  <c r="BO900" i="5"/>
  <c r="G65" i="10" s="1"/>
  <c r="CG898" i="5"/>
  <c r="Y76" i="10" s="1"/>
  <c r="BU882" i="5"/>
  <c r="M54" i="10" s="1"/>
  <c r="BK900" i="5"/>
  <c r="C65" i="10" s="1"/>
  <c r="CF881" i="5"/>
  <c r="BO881" i="5"/>
  <c r="G53" i="10" s="1"/>
  <c r="BN900" i="5"/>
  <c r="BU881" i="5"/>
  <c r="M53" i="10" s="1"/>
  <c r="BO899" i="5"/>
  <c r="G64" i="10" s="1"/>
  <c r="BL885" i="5"/>
  <c r="BO880" i="5"/>
  <c r="BY898" i="5"/>
  <c r="Q76" i="10" s="1"/>
  <c r="BO893" i="5"/>
  <c r="G71" i="10" s="1"/>
  <c r="CF886" i="5"/>
  <c r="BS895" i="5"/>
  <c r="CA897" i="5"/>
  <c r="S75" i="10" s="1"/>
  <c r="BN883" i="5"/>
  <c r="BN884" i="5"/>
  <c r="CB901" i="5"/>
  <c r="T66" i="10" s="1"/>
  <c r="BO884" i="5"/>
  <c r="G56" i="10" s="1"/>
  <c r="BZ902" i="5"/>
  <c r="R67" i="10" s="1"/>
  <c r="BL892" i="5"/>
  <c r="CA884" i="5"/>
  <c r="S56" i="10" s="1"/>
  <c r="BU903" i="5"/>
  <c r="M68" i="10" s="1"/>
  <c r="BK903" i="5"/>
  <c r="C68" i="10" s="1"/>
  <c r="BZ898" i="5"/>
  <c r="R76" i="10" s="1"/>
  <c r="BZ893" i="5"/>
  <c r="R71" i="10" s="1"/>
  <c r="CB891" i="5"/>
  <c r="T63" i="10" s="1"/>
  <c r="BL896" i="5"/>
  <c r="CF901" i="5"/>
  <c r="BS896" i="5"/>
  <c r="BO896" i="5"/>
  <c r="G74" i="10" s="1"/>
  <c r="CF891" i="5"/>
  <c r="CG899" i="5"/>
  <c r="Y64" i="10" s="1"/>
  <c r="CB895" i="5"/>
  <c r="T73" i="10" s="1"/>
  <c r="CB897" i="5"/>
  <c r="T75" i="10" s="1"/>
  <c r="BS897" i="5"/>
  <c r="BN882" i="5"/>
  <c r="BL899" i="5"/>
  <c r="BK887" i="5"/>
  <c r="C59" i="10" s="1"/>
  <c r="BK886" i="5"/>
  <c r="C58" i="10" s="1"/>
  <c r="AW57" i="5" l="1"/>
  <c r="AW47" i="5"/>
  <c r="CC885" i="5"/>
  <c r="U57" i="10" s="1"/>
  <c r="CC893" i="5"/>
  <c r="U71" i="10" s="1"/>
  <c r="CC901" i="5"/>
  <c r="U66" i="10" s="1"/>
  <c r="CC880" i="5"/>
  <c r="CD899" i="5"/>
  <c r="V64" i="10" s="1"/>
  <c r="CD891" i="5"/>
  <c r="V63" i="10" s="1"/>
  <c r="CC899" i="5"/>
  <c r="U64" i="10" s="1"/>
  <c r="CC886" i="5"/>
  <c r="U58" i="10" s="1"/>
  <c r="CC894" i="5"/>
  <c r="U72" i="10" s="1"/>
  <c r="CC902" i="5"/>
  <c r="U67" i="10" s="1"/>
  <c r="CD898" i="5"/>
  <c r="V76" i="10" s="1"/>
  <c r="CD890" i="5"/>
  <c r="V62" i="10" s="1"/>
  <c r="CD882" i="5"/>
  <c r="V54" i="10" s="1"/>
  <c r="CD880" i="5"/>
  <c r="CC887" i="5"/>
  <c r="U59" i="10" s="1"/>
  <c r="CC895" i="5"/>
  <c r="U73" i="10" s="1"/>
  <c r="CC903" i="5"/>
  <c r="U68" i="10" s="1"/>
  <c r="CD897" i="5"/>
  <c r="V75" i="10" s="1"/>
  <c r="CD889" i="5"/>
  <c r="V61" i="10" s="1"/>
  <c r="CD881" i="5"/>
  <c r="V53" i="10" s="1"/>
  <c r="CD893" i="5"/>
  <c r="V71" i="10" s="1"/>
  <c r="CC888" i="5"/>
  <c r="U60" i="10" s="1"/>
  <c r="CC896" i="5"/>
  <c r="U74" i="10" s="1"/>
  <c r="CC904" i="5"/>
  <c r="U69" i="10" s="1"/>
  <c r="CD904" i="5"/>
  <c r="V69" i="10" s="1"/>
  <c r="CD896" i="5"/>
  <c r="V74" i="10" s="1"/>
  <c r="CD888" i="5"/>
  <c r="V60" i="10" s="1"/>
  <c r="CC891" i="5"/>
  <c r="U63" i="10" s="1"/>
  <c r="CC889" i="5"/>
  <c r="U61" i="10" s="1"/>
  <c r="CC897" i="5"/>
  <c r="U75" i="10" s="1"/>
  <c r="CC884" i="5"/>
  <c r="U56" i="10" s="1"/>
  <c r="CD903" i="5"/>
  <c r="V68" i="10" s="1"/>
  <c r="CD895" i="5"/>
  <c r="V73" i="10" s="1"/>
  <c r="CD887" i="5"/>
  <c r="V59" i="10" s="1"/>
  <c r="CC882" i="5"/>
  <c r="U54" i="10" s="1"/>
  <c r="CC890" i="5"/>
  <c r="U62" i="10" s="1"/>
  <c r="CC898" i="5"/>
  <c r="U76" i="10" s="1"/>
  <c r="CC883" i="5"/>
  <c r="U55" i="10" s="1"/>
  <c r="CD902" i="5"/>
  <c r="V67" i="10" s="1"/>
  <c r="CD894" i="5"/>
  <c r="V72" i="10" s="1"/>
  <c r="CD886" i="5"/>
  <c r="V58" i="10" s="1"/>
  <c r="CD901" i="5"/>
  <c r="V66" i="10" s="1"/>
  <c r="CC892" i="5"/>
  <c r="U70" i="10" s="1"/>
  <c r="CC900" i="5"/>
  <c r="U65" i="10" s="1"/>
  <c r="CC881" i="5"/>
  <c r="U53" i="10" s="1"/>
  <c r="CD900" i="5"/>
  <c r="V65" i="10" s="1"/>
  <c r="CD892" i="5"/>
  <c r="V70" i="10" s="1"/>
  <c r="CD884" i="5"/>
  <c r="V56" i="10" s="1"/>
  <c r="CD883" i="5"/>
  <c r="V55" i="10" s="1"/>
  <c r="CD885" i="5"/>
  <c r="V57" i="10" s="1"/>
  <c r="BK881" i="5"/>
  <c r="C53" i="10" s="1"/>
  <c r="F44" i="10"/>
  <c r="BK880" i="5"/>
  <c r="C52" i="10" s="1"/>
  <c r="AF66" i="10"/>
  <c r="E45" i="10"/>
  <c r="AF69" i="10"/>
  <c r="AF68" i="10"/>
  <c r="F45" i="10"/>
  <c r="AF65" i="10"/>
  <c r="AF62" i="10"/>
  <c r="AF60" i="10"/>
  <c r="Y102" i="10"/>
  <c r="E44" i="10"/>
  <c r="X58" i="10"/>
  <c r="CH886" i="5"/>
  <c r="Z58" i="10" s="1"/>
  <c r="F65" i="10"/>
  <c r="BR900" i="5"/>
  <c r="BU906" i="5"/>
  <c r="BU6" i="5" s="1"/>
  <c r="M52" i="10"/>
  <c r="M89" i="10" s="1"/>
  <c r="X64" i="10"/>
  <c r="CH899" i="5"/>
  <c r="Z64" i="10" s="1"/>
  <c r="X69" i="10"/>
  <c r="CH904" i="5"/>
  <c r="Z69" i="10" s="1"/>
  <c r="F74" i="10"/>
  <c r="BR896" i="5"/>
  <c r="BX898" i="5"/>
  <c r="P76" i="10" s="1"/>
  <c r="K76" i="10"/>
  <c r="AF76" i="10" s="1"/>
  <c r="Y52" i="10"/>
  <c r="CG906" i="5"/>
  <c r="X56" i="10"/>
  <c r="CH884" i="5"/>
  <c r="Z56" i="10" s="1"/>
  <c r="AD56" i="10" s="1"/>
  <c r="F73" i="10"/>
  <c r="BR895" i="5"/>
  <c r="BX890" i="5"/>
  <c r="P62" i="10" s="1"/>
  <c r="K62" i="10"/>
  <c r="T80" i="10"/>
  <c r="D62" i="10"/>
  <c r="BM890" i="5"/>
  <c r="E62" i="10" s="1"/>
  <c r="D75" i="10"/>
  <c r="BM897" i="5"/>
  <c r="E75" i="10" s="1"/>
  <c r="BS906" i="5"/>
  <c r="BS6" i="5" s="1"/>
  <c r="BX880" i="5"/>
  <c r="K52" i="10"/>
  <c r="C101" i="10"/>
  <c r="F43" i="10"/>
  <c r="BR891" i="5"/>
  <c r="F63" i="10"/>
  <c r="F61" i="10"/>
  <c r="BR889" i="5"/>
  <c r="X57" i="10"/>
  <c r="CH885" i="5"/>
  <c r="Z57" i="10" s="1"/>
  <c r="AD57" i="10" s="1"/>
  <c r="BX899" i="5"/>
  <c r="P64" i="10" s="1"/>
  <c r="K64" i="10"/>
  <c r="BX885" i="5"/>
  <c r="P57" i="10" s="1"/>
  <c r="K57" i="10"/>
  <c r="CH893" i="5"/>
  <c r="Z71" i="10" s="1"/>
  <c r="AD71" i="10" s="1"/>
  <c r="X71" i="10"/>
  <c r="F71" i="10"/>
  <c r="BR893" i="5"/>
  <c r="X70" i="10"/>
  <c r="CH892" i="5"/>
  <c r="Z70" i="10" s="1"/>
  <c r="AD70" i="10" s="1"/>
  <c r="D56" i="10"/>
  <c r="BM884" i="5"/>
  <c r="E56" i="10" s="1"/>
  <c r="BM888" i="5"/>
  <c r="E60" i="10" s="1"/>
  <c r="D60" i="10"/>
  <c r="D61" i="10"/>
  <c r="BM889" i="5"/>
  <c r="E61" i="10" s="1"/>
  <c r="BM887" i="5"/>
  <c r="E59" i="10" s="1"/>
  <c r="D59" i="10"/>
  <c r="C80" i="10"/>
  <c r="E43" i="10"/>
  <c r="X63" i="10"/>
  <c r="CH891" i="5"/>
  <c r="Z63" i="10" s="1"/>
  <c r="F52" i="10"/>
  <c r="BR880" i="5"/>
  <c r="BN906" i="5"/>
  <c r="BN6" i="5" s="1"/>
  <c r="K20" i="5" s="1"/>
  <c r="X53" i="10"/>
  <c r="CH881" i="5"/>
  <c r="Z53" i="10" s="1"/>
  <c r="AD53" i="10" s="1"/>
  <c r="D58" i="10"/>
  <c r="BM886" i="5"/>
  <c r="E58" i="10" s="1"/>
  <c r="F62" i="10"/>
  <c r="BR890" i="5"/>
  <c r="AF63" i="10"/>
  <c r="CF906" i="5"/>
  <c r="CH880" i="5"/>
  <c r="X52" i="10"/>
  <c r="S102" i="10"/>
  <c r="F57" i="10"/>
  <c r="BR885" i="5"/>
  <c r="F68" i="10"/>
  <c r="BR903" i="5"/>
  <c r="X62" i="10"/>
  <c r="CH890" i="5"/>
  <c r="Z62" i="10" s="1"/>
  <c r="K69" i="10"/>
  <c r="BX904" i="5"/>
  <c r="P69" i="10" s="1"/>
  <c r="X76" i="10"/>
  <c r="CH898" i="5"/>
  <c r="Z76" i="10" s="1"/>
  <c r="AD76" i="10" s="1"/>
  <c r="BR887" i="5"/>
  <c r="F59" i="10"/>
  <c r="BR888" i="5"/>
  <c r="F60" i="10"/>
  <c r="F56" i="10"/>
  <c r="BR884" i="5"/>
  <c r="G52" i="10"/>
  <c r="BO906" i="5"/>
  <c r="BO6" i="5" s="1"/>
  <c r="BR898" i="5"/>
  <c r="F76" i="10"/>
  <c r="X75" i="10"/>
  <c r="CH897" i="5"/>
  <c r="Z75" i="10" s="1"/>
  <c r="AD75" i="10" s="1"/>
  <c r="G80" i="10"/>
  <c r="BX881" i="5"/>
  <c r="P53" i="10" s="1"/>
  <c r="K53" i="10"/>
  <c r="K67" i="10"/>
  <c r="BX902" i="5"/>
  <c r="P67" i="10" s="1"/>
  <c r="K55" i="10"/>
  <c r="AF55" i="10" s="1"/>
  <c r="BX883" i="5"/>
  <c r="P55" i="10" s="1"/>
  <c r="Y80" i="10"/>
  <c r="AF67" i="10"/>
  <c r="X61"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P889" i="5"/>
  <c r="X60" i="10"/>
  <c r="CH888" i="5"/>
  <c r="Z60" i="10" s="1"/>
  <c r="F70" i="10"/>
  <c r="BR892" i="5"/>
  <c r="X74" i="10"/>
  <c r="CH896" i="5"/>
  <c r="Z74" i="10" s="1"/>
  <c r="AD74" i="10" s="1"/>
  <c r="X72" i="10"/>
  <c r="CH894" i="5"/>
  <c r="Z72" i="10" s="1"/>
  <c r="AD72" i="10" s="1"/>
  <c r="T102" i="10"/>
  <c r="D71" i="10"/>
  <c r="BM893" i="5"/>
  <c r="E71" i="10" s="1"/>
  <c r="BR902" i="5"/>
  <c r="F67" i="10"/>
  <c r="D63" i="10"/>
  <c r="BM891" i="5"/>
  <c r="E63" i="10" s="1"/>
  <c r="D54" i="10"/>
  <c r="BM882" i="5"/>
  <c r="E54" i="10" s="1"/>
  <c r="F54" i="10"/>
  <c r="BR882" i="5"/>
  <c r="X66" i="10"/>
  <c r="CH901" i="5"/>
  <c r="Z66" i="10" s="1"/>
  <c r="G102" i="10"/>
  <c r="D52" i="10"/>
  <c r="BL906" i="5"/>
  <c r="BL6" i="5" s="1"/>
  <c r="BM880" i="5"/>
  <c r="F64" i="10"/>
  <c r="BR899" i="5"/>
  <c r="K63" i="10"/>
  <c r="BX891" i="5"/>
  <c r="P63" i="10" s="1"/>
  <c r="K68" i="10"/>
  <c r="BX903" i="5"/>
  <c r="P68" i="10" s="1"/>
  <c r="R102" i="10"/>
  <c r="X55" i="10"/>
  <c r="CH883" i="5"/>
  <c r="Z55" i="10" s="1"/>
  <c r="AD55" i="10" s="1"/>
  <c r="EN40" i="5"/>
  <c r="X73" i="10"/>
  <c r="CH895" i="5"/>
  <c r="Z73" i="10" s="1"/>
  <c r="AD73" i="10" s="1"/>
  <c r="X65" i="10"/>
  <c r="CH900" i="5"/>
  <c r="Z65" i="10" s="1"/>
  <c r="K75" i="10"/>
  <c r="AF75" i="10" s="1"/>
  <c r="BX897" i="5"/>
  <c r="P75" i="10" s="1"/>
  <c r="D74" i="10"/>
  <c r="BM896" i="5"/>
  <c r="E74" i="10" s="1"/>
  <c r="D70" i="10"/>
  <c r="BM892" i="5"/>
  <c r="E70" i="10" s="1"/>
  <c r="CH882" i="5"/>
  <c r="Z54" i="10" s="1"/>
  <c r="AD54" i="10" s="1"/>
  <c r="X54" i="10"/>
  <c r="BM904" i="5"/>
  <c r="E69" i="10" s="1"/>
  <c r="D69" i="10"/>
  <c r="BX886" i="5"/>
  <c r="P58" i="10" s="1"/>
  <c r="K58" i="10"/>
  <c r="BM894" i="5"/>
  <c r="E72" i="10" s="1"/>
  <c r="D72" i="10"/>
  <c r="F53" i="10"/>
  <c r="BR881" i="5"/>
  <c r="K59" i="10"/>
  <c r="BX887" i="5"/>
  <c r="P59" i="10" s="1"/>
  <c r="F58" i="10"/>
  <c r="BR886" i="5"/>
  <c r="X68" i="10"/>
  <c r="CH903" i="5"/>
  <c r="Z68" i="10" s="1"/>
  <c r="BR901" i="5"/>
  <c r="F66" i="10"/>
  <c r="K72" i="10"/>
  <c r="AF72" i="10" s="1"/>
  <c r="BX894" i="5"/>
  <c r="P72" i="10" s="1"/>
  <c r="AF64" i="10"/>
  <c r="M102" i="10"/>
  <c r="X59"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X67" i="10"/>
  <c r="CH902" i="5"/>
  <c r="Z67" i="10" s="1"/>
  <c r="F69" i="10"/>
  <c r="BR904" i="5"/>
  <c r="D76" i="10"/>
  <c r="BM898" i="5"/>
  <c r="E76" i="10" s="1"/>
  <c r="F72" i="10"/>
  <c r="BR894" i="5"/>
  <c r="Q102" i="10"/>
  <c r="BM883" i="5"/>
  <c r="E55" i="10" s="1"/>
  <c r="D55" i="10"/>
  <c r="K56" i="10"/>
  <c r="AF56" i="10" s="1"/>
  <c r="BX884" i="5"/>
  <c r="P56" i="10" s="1"/>
  <c r="K54" i="10"/>
  <c r="AF54" i="10" s="1"/>
  <c r="BX882" i="5"/>
  <c r="P54" i="10" s="1"/>
  <c r="D65" i="10"/>
  <c r="BM900" i="5"/>
  <c r="E65" i="10" s="1"/>
  <c r="BX893" i="5"/>
  <c r="P71" i="10" s="1"/>
  <c r="K71" i="10"/>
  <c r="AF71" i="10" s="1"/>
  <c r="K60" i="10"/>
  <c r="BX888" i="5"/>
  <c r="P60" i="10" s="1"/>
  <c r="K30" i="5" l="1"/>
  <c r="K28" i="5"/>
  <c r="F82" i="10"/>
  <c r="L72" i="20" s="1"/>
  <c r="D82" i="10"/>
  <c r="G89" i="10"/>
  <c r="G82" i="10"/>
  <c r="K89" i="10"/>
  <c r="D89" i="10"/>
  <c r="F89" i="10"/>
  <c r="BK906" i="5"/>
  <c r="BK6" i="5" s="1"/>
  <c r="BW882" i="5"/>
  <c r="BG882" i="5" s="1"/>
  <c r="BW899" i="5"/>
  <c r="BG899" i="5" s="1"/>
  <c r="BW892" i="5"/>
  <c r="O70" i="10" s="1"/>
  <c r="AE70" i="10" s="1"/>
  <c r="AF102" i="10"/>
  <c r="E47" i="10"/>
  <c r="E49" i="10" s="1"/>
  <c r="BW901" i="5"/>
  <c r="BG901" i="5" s="1"/>
  <c r="BW881" i="5"/>
  <c r="BG881" i="5" s="1"/>
  <c r="BW904" i="5"/>
  <c r="O69" i="10" s="1"/>
  <c r="F47" i="10"/>
  <c r="F49" i="10" s="1"/>
  <c r="BW894" i="5"/>
  <c r="BG894" i="5" s="1"/>
  <c r="BW886" i="5"/>
  <c r="O58" i="10" s="1"/>
  <c r="L104" i="10"/>
  <c r="BW902" i="5"/>
  <c r="O67" i="10" s="1"/>
  <c r="BW897" i="5"/>
  <c r="BG897" i="5" s="1"/>
  <c r="BK913" i="5"/>
  <c r="J58" i="10"/>
  <c r="CJ886" i="5"/>
  <c r="D78" i="10"/>
  <c r="F80" i="10"/>
  <c r="K80" i="10"/>
  <c r="H61" i="10"/>
  <c r="BT889" i="5"/>
  <c r="L61" i="10" s="1"/>
  <c r="AE61" i="10" s="1"/>
  <c r="H54" i="10"/>
  <c r="BT882" i="5"/>
  <c r="L54" i="10" s="1"/>
  <c r="BT881" i="5"/>
  <c r="L53" i="10" s="1"/>
  <c r="H53" i="10"/>
  <c r="H67" i="10"/>
  <c r="BT902" i="5"/>
  <c r="L67" i="10" s="1"/>
  <c r="AE67" i="10" s="1"/>
  <c r="BT899" i="5"/>
  <c r="L64" i="10" s="1"/>
  <c r="H64" i="10"/>
  <c r="H76" i="10"/>
  <c r="BT898" i="5"/>
  <c r="L76" i="10" s="1"/>
  <c r="CC906" i="5"/>
  <c r="U52" i="10"/>
  <c r="F104" i="10"/>
  <c r="BW884" i="5"/>
  <c r="J60" i="10"/>
  <c r="CJ888" i="5"/>
  <c r="E80" i="10"/>
  <c r="J71" i="10"/>
  <c r="CJ893" i="5"/>
  <c r="AB71" i="10" s="1"/>
  <c r="BW895" i="5"/>
  <c r="M78" i="10"/>
  <c r="M82" i="10"/>
  <c r="P80" i="10"/>
  <c r="BT896" i="5"/>
  <c r="L74" i="10" s="1"/>
  <c r="H74" i="10"/>
  <c r="BT894" i="5"/>
  <c r="L72" i="10" s="1"/>
  <c r="H72" i="10"/>
  <c r="H60" i="10"/>
  <c r="BT888" i="5"/>
  <c r="L60" i="10" s="1"/>
  <c r="AE60" i="10" s="1"/>
  <c r="BT892" i="5"/>
  <c r="L70" i="10" s="1"/>
  <c r="H70" i="10"/>
  <c r="T82" i="10"/>
  <c r="T78" i="10"/>
  <c r="J56" i="10"/>
  <c r="CJ884" i="5"/>
  <c r="BW887" i="5"/>
  <c r="X78" i="10"/>
  <c r="X82" i="10"/>
  <c r="D80" i="10"/>
  <c r="J73" i="10"/>
  <c r="CJ895" i="5"/>
  <c r="AB73" i="10" s="1"/>
  <c r="BW896" i="5"/>
  <c r="H59" i="10"/>
  <c r="BT887" i="5"/>
  <c r="L59" i="10" s="1"/>
  <c r="AE59" i="10" s="1"/>
  <c r="U102" i="10"/>
  <c r="BW903" i="5"/>
  <c r="CH906" i="5"/>
  <c r="CH6" i="5" s="1"/>
  <c r="Z52" i="10"/>
  <c r="BW889" i="5"/>
  <c r="K82" i="10"/>
  <c r="K78" i="10"/>
  <c r="J74" i="10"/>
  <c r="CJ896" i="5"/>
  <c r="AB74" i="10" s="1"/>
  <c r="BW900" i="5"/>
  <c r="J69" i="10"/>
  <c r="CJ904" i="5"/>
  <c r="AB69" i="10" s="1"/>
  <c r="J66" i="10"/>
  <c r="CJ901" i="5"/>
  <c r="H71" i="10"/>
  <c r="BT893" i="5"/>
  <c r="L71" i="10" s="1"/>
  <c r="BT891" i="5"/>
  <c r="L63" i="10" s="1"/>
  <c r="AE63" i="10" s="1"/>
  <c r="H63" i="10"/>
  <c r="I102" i="10"/>
  <c r="U80" i="10"/>
  <c r="D102" i="10"/>
  <c r="BW898" i="5"/>
  <c r="J59" i="10"/>
  <c r="CJ887" i="5"/>
  <c r="AB59" i="10" s="1"/>
  <c r="J68" i="10"/>
  <c r="CJ903" i="5"/>
  <c r="CF6" i="5"/>
  <c r="J61" i="10"/>
  <c r="CJ889" i="5"/>
  <c r="AB61" i="10" s="1"/>
  <c r="P52" i="10"/>
  <c r="BX906" i="5"/>
  <c r="J65" i="10"/>
  <c r="CJ900" i="5"/>
  <c r="AB65" i="10" s="1"/>
  <c r="BQ906" i="5"/>
  <c r="BQ6" i="5" s="1"/>
  <c r="K22" i="5" s="1"/>
  <c r="K24" i="5" s="1"/>
  <c r="I52" i="10"/>
  <c r="EQ40" i="5"/>
  <c r="EP40" i="5"/>
  <c r="J64" i="10"/>
  <c r="CJ899" i="5"/>
  <c r="J67" i="10"/>
  <c r="CJ902" i="5"/>
  <c r="AB67" i="10" s="1"/>
  <c r="J53" i="10"/>
  <c r="CJ881" i="5"/>
  <c r="AB53" i="10" s="1"/>
  <c r="F102" i="10"/>
  <c r="J54" i="10"/>
  <c r="CJ882" i="5"/>
  <c r="J70" i="10"/>
  <c r="CJ892" i="5"/>
  <c r="H58" i="10"/>
  <c r="BT886" i="5"/>
  <c r="L58" i="10" s="1"/>
  <c r="H73" i="10"/>
  <c r="BT895" i="5"/>
  <c r="L73" i="10" s="1"/>
  <c r="BT884" i="5"/>
  <c r="L56" i="10" s="1"/>
  <c r="H56" i="10"/>
  <c r="BT897" i="5"/>
  <c r="L75" i="10" s="1"/>
  <c r="H75" i="10"/>
  <c r="E102" i="10"/>
  <c r="BW880" i="5"/>
  <c r="BP906" i="5"/>
  <c r="BP6" i="5" s="1"/>
  <c r="BT880" i="5"/>
  <c r="H52" i="10"/>
  <c r="E52" i="10"/>
  <c r="BM906" i="5"/>
  <c r="BM6" i="5" s="1"/>
  <c r="BT900" i="5"/>
  <c r="L65" i="10" s="1"/>
  <c r="AE65" i="10" s="1"/>
  <c r="H65" i="10"/>
  <c r="BT904" i="5"/>
  <c r="L69" i="10" s="1"/>
  <c r="AE69" i="10" s="1"/>
  <c r="H69" i="10"/>
  <c r="V80" i="10"/>
  <c r="V102" i="10"/>
  <c r="J76" i="10"/>
  <c r="CJ898" i="5"/>
  <c r="AB76" i="10" s="1"/>
  <c r="BW885" i="5"/>
  <c r="BW890" i="5"/>
  <c r="H31" i="14"/>
  <c r="BW891" i="5"/>
  <c r="CG6" i="5"/>
  <c r="Z80" i="10"/>
  <c r="J72" i="10"/>
  <c r="CJ894" i="5"/>
  <c r="J75" i="10"/>
  <c r="CJ897" i="5"/>
  <c r="I80" i="10"/>
  <c r="BT883" i="5"/>
  <c r="L55" i="10" s="1"/>
  <c r="H55" i="10"/>
  <c r="H68" i="10"/>
  <c r="BT903" i="5"/>
  <c r="L68" i="10" s="1"/>
  <c r="AE68" i="10" s="1"/>
  <c r="H62" i="10"/>
  <c r="BT890" i="5"/>
  <c r="L62" i="10" s="1"/>
  <c r="AE62" i="10" s="1"/>
  <c r="BW883" i="5"/>
  <c r="BW888" i="5"/>
  <c r="J57" i="10"/>
  <c r="CJ885" i="5"/>
  <c r="AB57" i="10" s="1"/>
  <c r="J62" i="10"/>
  <c r="CJ890" i="5"/>
  <c r="BR906" i="5"/>
  <c r="J52" i="10"/>
  <c r="CJ880" i="5"/>
  <c r="K102" i="10"/>
  <c r="Y78" i="10"/>
  <c r="Y82" i="10"/>
  <c r="Z102" i="10"/>
  <c r="X80" i="10"/>
  <c r="H66" i="10"/>
  <c r="BT901" i="5"/>
  <c r="L66" i="10" s="1"/>
  <c r="AE66" i="10" s="1"/>
  <c r="H57" i="10"/>
  <c r="BT885" i="5"/>
  <c r="L57" i="10" s="1"/>
  <c r="CD906" i="5"/>
  <c r="V52" i="10"/>
  <c r="R89" i="10" s="1"/>
  <c r="J55" i="10"/>
  <c r="CJ883" i="5"/>
  <c r="AB55" i="10" s="1"/>
  <c r="G78" i="10"/>
  <c r="F78" i="10"/>
  <c r="BW893" i="5"/>
  <c r="P102" i="10"/>
  <c r="J63" i="10"/>
  <c r="CJ891" i="5"/>
  <c r="AB63" i="10" s="1"/>
  <c r="X102" i="10"/>
  <c r="EP62" i="5" l="1"/>
  <c r="ER62" i="5" s="1"/>
  <c r="EP67" i="5"/>
  <c r="ER67" i="5" s="1"/>
  <c r="EQ62" i="5"/>
  <c r="ES62" i="5" s="1"/>
  <c r="EQ67" i="5"/>
  <c r="ES67" i="5" s="1"/>
  <c r="EP52" i="5"/>
  <c r="ER52" i="5" s="1"/>
  <c r="EP57" i="5"/>
  <c r="ER57" i="5" s="1"/>
  <c r="EQ52" i="5"/>
  <c r="ES52" i="5" s="1"/>
  <c r="EQ57" i="5"/>
  <c r="ES57" i="5" s="1"/>
  <c r="H82" i="10"/>
  <c r="L78" i="20" s="1"/>
  <c r="L78" i="21" s="1"/>
  <c r="EP47" i="5"/>
  <c r="ER47" i="5" s="1"/>
  <c r="EP789" i="5"/>
  <c r="ER789" i="5" s="1"/>
  <c r="EQ47" i="5"/>
  <c r="ES47" i="5" s="1"/>
  <c r="EQ789" i="5"/>
  <c r="ES789" i="5" s="1"/>
  <c r="BY887" i="5"/>
  <c r="Q59" i="10" s="1"/>
  <c r="AF59" i="10" s="1"/>
  <c r="BY896" i="5"/>
  <c r="Q74" i="10" s="1"/>
  <c r="BZ887" i="5"/>
  <c r="R59" i="10" s="1"/>
  <c r="E89" i="10"/>
  <c r="E82" i="10"/>
  <c r="J89" i="10"/>
  <c r="I89" i="10"/>
  <c r="I82" i="10"/>
  <c r="H89" i="10"/>
  <c r="G49" i="10"/>
  <c r="J19" i="10" s="1"/>
  <c r="BG892" i="5"/>
  <c r="O54" i="10"/>
  <c r="AE54" i="10" s="1"/>
  <c r="O72" i="10"/>
  <c r="AE72" i="10" s="1"/>
  <c r="O53" i="10"/>
  <c r="AE53" i="10" s="1"/>
  <c r="O64" i="10"/>
  <c r="G47" i="10"/>
  <c r="O66" i="10"/>
  <c r="BG902" i="5"/>
  <c r="BG886" i="5"/>
  <c r="O75" i="10"/>
  <c r="AE75" i="10" s="1"/>
  <c r="BG904" i="5"/>
  <c r="H104" i="10"/>
  <c r="L52" i="10"/>
  <c r="BT906" i="5"/>
  <c r="J102" i="10"/>
  <c r="AB64" i="10"/>
  <c r="O68" i="10"/>
  <c r="BG903" i="5"/>
  <c r="AB56" i="10"/>
  <c r="AB60" i="10"/>
  <c r="AE64" i="10"/>
  <c r="L102"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4" i="10"/>
  <c r="AC9" i="10"/>
  <c r="AC24" i="10"/>
  <c r="AC14" i="10"/>
  <c r="AC19" i="10"/>
  <c r="AC29" i="10"/>
  <c r="P82" i="10"/>
  <c r="P78" i="10"/>
  <c r="E104" i="10"/>
  <c r="BG885" i="5"/>
  <c r="O57" i="10"/>
  <c r="AE57" i="10" s="1"/>
  <c r="C103" i="10"/>
  <c r="BG895" i="5"/>
  <c r="O73" i="10"/>
  <c r="AE73" i="10" s="1"/>
  <c r="U78" i="10"/>
  <c r="U82" i="10"/>
  <c r="Z42" i="10"/>
  <c r="CD6" i="5"/>
  <c r="CD909" i="5"/>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4" i="10"/>
  <c r="AB58" i="10"/>
  <c r="G24" i="10"/>
  <c r="P24" i="10" s="1"/>
  <c r="G9" i="10"/>
  <c r="P9" i="10" s="1"/>
  <c r="J80" i="10"/>
  <c r="G4" i="10"/>
  <c r="L76" i="20" s="1"/>
  <c r="G14" i="10"/>
  <c r="P14" i="10" s="1"/>
  <c r="G19" i="10"/>
  <c r="P19" i="10" s="1"/>
  <c r="G29" i="10"/>
  <c r="P29" i="10" s="1"/>
  <c r="BR6" i="5"/>
  <c r="BK912" i="5"/>
  <c r="H78" i="10"/>
  <c r="H80" i="10"/>
  <c r="H102" i="10"/>
  <c r="Q15" i="19"/>
  <c r="BY889" i="5" l="1"/>
  <c r="Q61" i="10" s="1"/>
  <c r="AF61" i="10" s="1"/>
  <c r="Q358" i="19"/>
  <c r="BZ885" i="5"/>
  <c r="R57" i="10" s="1"/>
  <c r="BZ889" i="5"/>
  <c r="R61" i="10" s="1"/>
  <c r="BY886" i="5"/>
  <c r="Q58" i="10" s="1"/>
  <c r="AF58" i="10" s="1"/>
  <c r="BY885" i="5"/>
  <c r="Q57" i="10" s="1"/>
  <c r="ET52" i="5"/>
  <c r="ET67" i="5"/>
  <c r="ET62" i="5"/>
  <c r="ET57" i="5"/>
  <c r="BZ896" i="5"/>
  <c r="R74" i="10" s="1"/>
  <c r="BZ886" i="5"/>
  <c r="R58" i="10" s="1"/>
  <c r="ET789" i="5"/>
  <c r="ET47" i="5"/>
  <c r="CA889" i="5" s="1"/>
  <c r="S61" i="10" s="1"/>
  <c r="CA887" i="5"/>
  <c r="S59" i="10" s="1"/>
  <c r="CA896" i="5"/>
  <c r="S74" i="10" s="1"/>
  <c r="AF74" i="10" s="1"/>
  <c r="O82" i="10"/>
  <c r="L80" i="20" s="1"/>
  <c r="L89" i="10"/>
  <c r="L82" i="10"/>
  <c r="J14" i="10"/>
  <c r="O89" i="10"/>
  <c r="J9" i="10"/>
  <c r="J24" i="10"/>
  <c r="BY881" i="5"/>
  <c r="Q53" i="10" s="1"/>
  <c r="BZ881" i="5"/>
  <c r="R53" i="10" s="1"/>
  <c r="BY880" i="5"/>
  <c r="P4" i="10"/>
  <c r="BZ880" i="5"/>
  <c r="I104" i="10"/>
  <c r="O80" i="10"/>
  <c r="O102" i="10"/>
  <c r="I13" i="10"/>
  <c r="I16" i="10" s="1"/>
  <c r="I8" i="10"/>
  <c r="I11" i="10" s="1"/>
  <c r="I23" i="10"/>
  <c r="I26" i="10" s="1"/>
  <c r="I28" i="10"/>
  <c r="I18" i="10"/>
  <c r="I21" i="10" s="1"/>
  <c r="K104" i="10"/>
  <c r="G104" i="10"/>
  <c r="O102" i="20"/>
  <c r="O102" i="21" s="1"/>
  <c r="AC4" i="10"/>
  <c r="AC3" i="10"/>
  <c r="AC31" i="10"/>
  <c r="AC26" i="10"/>
  <c r="BK914" i="5"/>
  <c r="BT6" i="5"/>
  <c r="L84" i="20"/>
  <c r="L84" i="21" s="1"/>
  <c r="Z43" i="10"/>
  <c r="Z44" i="10" s="1"/>
  <c r="AA44" i="10" s="1"/>
  <c r="L82" i="20"/>
  <c r="L82" i="21" s="1"/>
  <c r="AC21" i="10"/>
  <c r="T31" i="14"/>
  <c r="T37" i="14" s="1"/>
  <c r="E30" i="5"/>
  <c r="Z31" i="14" s="1"/>
  <c r="AE102" i="10"/>
  <c r="AB52" i="10"/>
  <c r="L78" i="10"/>
  <c r="AE52" i="10"/>
  <c r="O78" i="10"/>
  <c r="L102" i="20"/>
  <c r="L72" i="21"/>
  <c r="O72" i="20"/>
  <c r="U357"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4" i="5"/>
  <c r="H35" i="14"/>
  <c r="H37" i="14" s="1"/>
  <c r="L76" i="21"/>
  <c r="R80" i="10" l="1"/>
  <c r="AD9" i="10" s="1"/>
  <c r="AE9" i="10" s="1"/>
  <c r="AF9" i="10" s="1"/>
  <c r="AG9" i="10" s="1"/>
  <c r="Q80" i="10"/>
  <c r="CA886" i="5"/>
  <c r="S58" i="10" s="1"/>
  <c r="S80" i="10" s="1"/>
  <c r="CA885" i="5"/>
  <c r="S57" i="10" s="1"/>
  <c r="AF57" i="10" s="1"/>
  <c r="J4" i="10"/>
  <c r="W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E4" i="5" s="1"/>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AC6" i="10"/>
  <c r="BI858" i="5"/>
  <c r="CK858" i="5"/>
  <c r="BI866" i="5"/>
  <c r="CK866" i="5"/>
  <c r="P15" i="19"/>
  <c r="AD29" i="10" l="1"/>
  <c r="AE29" i="10" s="1"/>
  <c r="AF29" i="10" s="1"/>
  <c r="AD24" i="10"/>
  <c r="AD19" i="10"/>
  <c r="AE19" i="10" s="1"/>
  <c r="AF19" i="10" s="1"/>
  <c r="AG19" i="10" s="1"/>
  <c r="AD14" i="10"/>
  <c r="AE14" i="10" s="1"/>
  <c r="AF14" i="10" s="1"/>
  <c r="AG14" i="10" s="1"/>
  <c r="P358" i="19"/>
  <c r="AF80" i="10"/>
  <c r="C14" i="10" s="1"/>
  <c r="D14" i="10" s="1"/>
  <c r="K14" i="10" s="1"/>
  <c r="J82" i="10"/>
  <c r="L74" i="20" s="1"/>
  <c r="L74" i="21" s="1"/>
  <c r="T84" i="10"/>
  <c r="AD4" i="10"/>
  <c r="AE24" i="10"/>
  <c r="AF24" i="10" s="1"/>
  <c r="AG24" i="10" s="1"/>
  <c r="S82" i="10"/>
  <c r="CA906" i="5"/>
  <c r="CA6" i="5" s="1"/>
  <c r="Q82" i="10"/>
  <c r="S78" i="10"/>
  <c r="R82" i="10"/>
  <c r="AF52" i="10"/>
  <c r="AF78" i="10" s="1"/>
  <c r="C18" i="10" s="1"/>
  <c r="AG29" i="10"/>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C29" i="10" l="1"/>
  <c r="D29" i="10" s="1"/>
  <c r="K29" i="10" s="1"/>
  <c r="C4" i="10"/>
  <c r="D4" i="10" s="1"/>
  <c r="C9" i="10"/>
  <c r="D9" i="10" s="1"/>
  <c r="K9" i="10" s="1"/>
  <c r="C24" i="10"/>
  <c r="D24" i="10" s="1"/>
  <c r="K24" i="10" s="1"/>
  <c r="C19" i="10"/>
  <c r="D19" i="10" s="1"/>
  <c r="K19" i="10" s="1"/>
  <c r="AF4" i="10"/>
  <c r="AG4" i="10"/>
  <c r="AE4" i="10"/>
  <c r="J405" i="20"/>
  <c r="M28" i="21"/>
  <c r="AD8" i="10"/>
  <c r="AD11" i="10" s="1"/>
  <c r="AE11" i="10" s="1"/>
  <c r="AF11" i="10" s="1"/>
  <c r="AG11" i="10" s="1"/>
  <c r="AD18" i="10"/>
  <c r="AD21" i="10" s="1"/>
  <c r="AE21" i="10" s="1"/>
  <c r="C13" i="10"/>
  <c r="D13" i="10" s="1"/>
  <c r="C8" i="10"/>
  <c r="D8" i="10" s="1"/>
  <c r="AD23" i="10"/>
  <c r="AD26" i="10" s="1"/>
  <c r="AE26" i="10" s="1"/>
  <c r="AF26" i="10" s="1"/>
  <c r="AG26" i="10" s="1"/>
  <c r="AD13" i="10"/>
  <c r="AD16" i="10" s="1"/>
  <c r="AE16" i="10" s="1"/>
  <c r="AF16" i="10" s="1"/>
  <c r="AG16" i="10" s="1"/>
  <c r="AF81" i="10"/>
  <c r="AD28" i="10"/>
  <c r="AE28" i="10" s="1"/>
  <c r="AF28" i="10" s="1"/>
  <c r="D18" i="10"/>
  <c r="T18" i="10" s="1"/>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K4" i="10" l="1"/>
  <c r="C21" i="10"/>
  <c r="AE8" i="10"/>
  <c r="AF8" i="10" s="1"/>
  <c r="AG8" i="10" s="1"/>
  <c r="AE18" i="10"/>
  <c r="AF18" i="10" s="1"/>
  <c r="AD31" i="10"/>
  <c r="AE31" i="10" s="1"/>
  <c r="AF31" i="10" s="1"/>
  <c r="AE13" i="10"/>
  <c r="AF13" i="10" s="1"/>
  <c r="AG13" i="10" s="1"/>
  <c r="C11" i="10"/>
  <c r="C16" i="10"/>
  <c r="AE23" i="10"/>
  <c r="AF23" i="10" s="1"/>
  <c r="AG23" i="10" s="1"/>
  <c r="AD3" i="10"/>
  <c r="AG28" i="10"/>
  <c r="P16" i="10"/>
  <c r="T13" i="10"/>
  <c r="D16" i="10"/>
  <c r="AF21" i="10"/>
  <c r="AG21" i="10" s="1"/>
  <c r="T3" i="10"/>
  <c r="D21" i="10"/>
  <c r="P18" i="10"/>
  <c r="P3" i="10" s="1"/>
  <c r="P21" i="10"/>
  <c r="P6" i="10" s="1"/>
  <c r="T8" i="10"/>
  <c r="A111" i="10" s="1"/>
  <c r="C113" i="10"/>
  <c r="D11" i="10"/>
  <c r="BL863" i="5"/>
  <c r="BK22" i="5"/>
  <c r="BK40" i="5"/>
  <c r="BL869" i="5"/>
  <c r="BL864" i="5"/>
  <c r="BK24" i="5"/>
  <c r="BK32" i="5"/>
  <c r="BL868" i="5"/>
  <c r="BL857" i="5"/>
  <c r="BK10" i="5"/>
  <c r="BK8" i="5"/>
  <c r="BL856" i="5"/>
  <c r="G6" i="10"/>
  <c r="BK18" i="5"/>
  <c r="BL861" i="5"/>
  <c r="AJ78" i="10"/>
  <c r="AI78" i="10"/>
  <c r="BK20" i="5"/>
  <c r="BL862" i="5"/>
  <c r="BK16" i="5"/>
  <c r="BL860" i="5"/>
  <c r="C108"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B10" i="5"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10" i="10" s="1"/>
  <c r="C109" i="10"/>
  <c r="Q8" i="10"/>
  <c r="H11" i="10"/>
  <c r="BM20" i="5"/>
  <c r="BN862" i="5"/>
  <c r="H3" i="10"/>
  <c r="N28" i="10"/>
  <c r="H31" i="10"/>
  <c r="U8" i="10"/>
  <c r="A112" i="10" s="1"/>
  <c r="C114" i="10"/>
  <c r="Q13" i="10"/>
  <c r="H16" i="10"/>
  <c r="V106" i="20" l="1"/>
  <c r="V106" i="21" s="1"/>
  <c r="O23" i="10"/>
  <c r="O28" i="10"/>
  <c r="N18" i="10"/>
  <c r="O18" i="10" s="1"/>
  <c r="C111" i="10"/>
  <c r="C110" i="10" s="1"/>
  <c r="C115" i="10" s="1"/>
  <c r="BN20" i="5"/>
  <c r="BO862" i="5"/>
  <c r="C3" i="10"/>
  <c r="D28" i="10"/>
  <c r="BN24" i="5"/>
  <c r="BO864" i="5"/>
  <c r="BN8" i="5"/>
  <c r="BO856" i="5"/>
  <c r="Y28" i="10"/>
  <c r="BN26" i="5"/>
  <c r="BO865" i="5"/>
  <c r="BA10" i="5"/>
  <c r="BN14" i="5"/>
  <c r="BO859" i="5"/>
  <c r="BN18" i="5"/>
  <c r="BO861" i="5"/>
  <c r="BO868" i="5"/>
  <c r="BN32" i="5"/>
  <c r="BN16" i="5"/>
  <c r="BO860" i="5"/>
  <c r="A109" i="10"/>
  <c r="AA8" i="10"/>
  <c r="W8" i="10"/>
  <c r="A114"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6" i="10"/>
  <c r="C118" i="10" s="1"/>
  <c r="AA18" i="10"/>
  <c r="V18" i="10" s="1"/>
  <c r="V3" i="10" s="1"/>
  <c r="W18" i="10"/>
  <c r="W3" i="10" s="1"/>
  <c r="N3" i="10"/>
  <c r="Q28" i="10"/>
  <c r="Q3" i="10" s="1"/>
  <c r="C112" i="10"/>
  <c r="Y13" i="10"/>
  <c r="J13" i="10" s="1"/>
  <c r="A108"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R28" i="10" s="1"/>
  <c r="D3" i="10"/>
  <c r="D6" i="10" s="1"/>
  <c r="C6" i="10"/>
  <c r="Z37" i="14" l="1"/>
  <c r="V108" i="20"/>
  <c r="V108" i="21" s="1"/>
  <c r="B6" i="5"/>
  <c r="E6" i="5" s="1"/>
  <c r="Y18" i="10"/>
  <c r="J18" i="10" s="1"/>
  <c r="AA3" i="10"/>
  <c r="S13" i="10"/>
  <c r="R13" i="10"/>
  <c r="K13" i="10"/>
  <c r="M13" i="10" s="1"/>
  <c r="BP14" i="5"/>
  <c r="BQ859" i="5"/>
  <c r="BQ864" i="5"/>
  <c r="BP24" i="5"/>
  <c r="BP22" i="5"/>
  <c r="BQ863" i="5"/>
  <c r="A113" i="10"/>
  <c r="A116"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R18" i="10" l="1"/>
  <c r="S18" i="10"/>
  <c r="K18" i="10"/>
  <c r="M18" i="10" s="1"/>
  <c r="Z46" i="10"/>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N15" i="19"/>
  <c r="N358" i="19" l="1"/>
  <c r="V110" i="20"/>
  <c r="CG4" i="19"/>
  <c r="BX26" i="5"/>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J667" i="20" l="1"/>
  <c r="J347" i="20" s="1"/>
  <c r="J231" i="20" s="1"/>
  <c r="CF347" i="19"/>
  <c r="CF365" i="19" s="1"/>
  <c r="BY32" i="5"/>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CB20" i="5" l="1"/>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CD859" i="5" l="1"/>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CD32" i="5" l="1"/>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CE12" i="5" l="1"/>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CG861" i="5" l="1"/>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CG10" i="5" l="1"/>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CH22" i="5" l="1"/>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CI40" i="5" l="1"/>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U3" i="10" l="1"/>
  <c r="Y23" i="10"/>
  <c r="Y3" i="10" s="1"/>
  <c r="J23" i="10" l="1"/>
  <c r="K23" i="10" l="1"/>
  <c r="S23" i="10"/>
  <c r="S3" i="10" s="1"/>
  <c r="R23" i="10"/>
  <c r="R3" i="10" s="1"/>
  <c r="J3" i="10"/>
  <c r="KB127" i="5" l="1"/>
  <c r="KB132" i="5"/>
  <c r="KB137" i="5"/>
  <c r="KB142" i="5"/>
  <c r="KB147" i="5"/>
  <c r="KB152" i="5"/>
  <c r="KB157" i="5"/>
  <c r="KB162" i="5"/>
  <c r="KB167" i="5"/>
  <c r="KB175" i="5"/>
  <c r="KB180" i="5"/>
  <c r="KB185" i="5"/>
  <c r="KB190" i="5"/>
  <c r="KB195" i="5"/>
  <c r="KB200" i="5"/>
  <c r="KB205" i="5"/>
  <c r="KB210" i="5"/>
  <c r="KB215" i="5"/>
  <c r="KB220" i="5"/>
  <c r="KB225" i="5"/>
  <c r="KB230" i="5"/>
  <c r="KB235" i="5"/>
  <c r="KB240" i="5"/>
  <c r="KB245" i="5"/>
  <c r="KB253" i="5"/>
  <c r="KB258" i="5"/>
  <c r="KB263" i="5"/>
  <c r="KB268" i="5"/>
  <c r="KB273" i="5"/>
  <c r="KB278" i="5"/>
  <c r="KB283" i="5"/>
  <c r="KB288" i="5"/>
  <c r="KB293" i="5"/>
  <c r="KB298" i="5"/>
  <c r="KB303" i="5"/>
  <c r="KB308" i="5"/>
  <c r="KB313" i="5"/>
  <c r="KB318" i="5"/>
  <c r="KB323" i="5"/>
  <c r="KB331" i="5"/>
  <c r="KB336" i="5"/>
  <c r="KB341" i="5"/>
  <c r="KB346" i="5"/>
  <c r="KB351" i="5"/>
  <c r="KB356" i="5"/>
  <c r="KB361" i="5"/>
  <c r="KB366" i="5"/>
  <c r="KB371" i="5"/>
  <c r="KB376" i="5"/>
  <c r="KB381" i="5"/>
  <c r="KB386" i="5"/>
  <c r="KB391" i="5"/>
  <c r="KB396" i="5"/>
  <c r="KB401" i="5"/>
  <c r="KB409" i="5"/>
  <c r="KB414" i="5"/>
  <c r="KB419" i="5"/>
  <c r="KB424" i="5"/>
  <c r="KB429" i="5"/>
  <c r="KB434" i="5"/>
  <c r="KB439" i="5"/>
  <c r="KB444" i="5"/>
  <c r="KB449" i="5"/>
  <c r="KB454" i="5"/>
  <c r="KB459" i="5"/>
  <c r="KB464" i="5"/>
  <c r="KB469" i="5"/>
  <c r="KB474" i="5"/>
  <c r="KB479" i="5"/>
  <c r="KB487" i="5"/>
  <c r="KB492" i="5"/>
  <c r="KB497" i="5"/>
  <c r="KB502" i="5"/>
  <c r="KB507" i="5"/>
  <c r="KB512" i="5"/>
  <c r="KB517" i="5"/>
  <c r="KB522" i="5"/>
  <c r="KB527" i="5"/>
  <c r="KB532" i="5"/>
  <c r="KB537" i="5"/>
  <c r="KB542" i="5"/>
  <c r="KB547" i="5"/>
  <c r="KB552" i="5"/>
  <c r="KB557" i="5"/>
  <c r="KB565" i="5"/>
  <c r="KB570" i="5"/>
  <c r="KB575" i="5"/>
  <c r="KB580" i="5"/>
  <c r="KB585" i="5"/>
  <c r="KB590" i="5"/>
  <c r="KB595" i="5"/>
  <c r="KB600" i="5"/>
  <c r="KB605" i="5"/>
  <c r="KB610" i="5"/>
  <c r="KB615" i="5"/>
  <c r="KB620" i="5"/>
  <c r="KB625" i="5"/>
  <c r="KB630" i="5"/>
  <c r="KB635" i="5"/>
  <c r="KB643" i="5"/>
  <c r="KB648" i="5"/>
  <c r="KB653" i="5"/>
  <c r="KB658" i="5"/>
  <c r="KB663" i="5"/>
  <c r="KB668" i="5"/>
  <c r="KB673" i="5"/>
  <c r="KB678" i="5"/>
  <c r="KB683" i="5"/>
  <c r="KB688" i="5"/>
  <c r="KB693" i="5"/>
  <c r="KB698" i="5"/>
  <c r="KB703" i="5"/>
  <c r="KB708" i="5"/>
  <c r="KB713" i="5"/>
  <c r="KB721" i="5"/>
  <c r="KB726" i="5"/>
  <c r="KB731" i="5"/>
  <c r="KB736" i="5"/>
  <c r="KB741" i="5"/>
  <c r="KB746" i="5"/>
  <c r="KB751" i="5"/>
  <c r="KB756" i="5"/>
  <c r="KB761" i="5"/>
  <c r="KB766" i="5"/>
  <c r="KB771" i="5"/>
  <c r="KB776" i="5"/>
  <c r="KB781" i="5"/>
  <c r="KB786" i="5"/>
  <c r="KB791" i="5"/>
  <c r="KB122" i="5"/>
  <c r="KB117" i="5"/>
  <c r="KB112" i="5"/>
  <c r="KB107" i="5"/>
  <c r="KB102" i="5"/>
  <c r="KB97" i="5"/>
  <c r="KB79" i="5"/>
  <c r="KB84" i="5"/>
  <c r="KB89" i="5"/>
  <c r="KB74" i="5"/>
  <c r="KB69" i="5"/>
  <c r="KB64" i="5"/>
  <c r="KB59" i="5"/>
  <c r="KB54" i="5"/>
  <c r="KB49" i="5"/>
  <c r="JZ69" i="5"/>
  <c r="JJ69" i="5"/>
  <c r="JZ64" i="5"/>
  <c r="JJ64" i="5"/>
  <c r="JZ59" i="5"/>
  <c r="JJ59" i="5"/>
  <c r="JJ54" i="5"/>
  <c r="JZ54" i="5"/>
  <c r="JJ791" i="5"/>
  <c r="JZ791" i="5"/>
  <c r="JX791" i="5"/>
  <c r="JN786" i="5"/>
  <c r="JT781" i="5"/>
  <c r="JV791" i="5"/>
  <c r="JL786" i="5"/>
  <c r="JT791" i="5"/>
  <c r="JP781" i="5"/>
  <c r="JR791" i="5"/>
  <c r="JX786" i="5"/>
  <c r="JN781" i="5"/>
  <c r="JP791" i="5"/>
  <c r="JN791" i="5"/>
  <c r="JT786" i="5"/>
  <c r="JT776" i="5"/>
  <c r="JV786" i="5"/>
  <c r="JX781" i="5"/>
  <c r="JR776" i="5"/>
  <c r="JX771" i="5"/>
  <c r="JL791" i="5"/>
  <c r="JR786" i="5"/>
  <c r="JV781" i="5"/>
  <c r="JP776" i="5"/>
  <c r="JV771" i="5"/>
  <c r="JP786" i="5"/>
  <c r="JR781" i="5"/>
  <c r="JN776" i="5"/>
  <c r="JT771" i="5"/>
  <c r="JL781" i="5"/>
  <c r="JL776" i="5"/>
  <c r="JR771" i="5"/>
  <c r="JX776" i="5"/>
  <c r="JN771" i="5"/>
  <c r="JP766" i="5"/>
  <c r="JV761" i="5"/>
  <c r="JL771" i="5"/>
  <c r="JN766" i="5"/>
  <c r="JT761" i="5"/>
  <c r="JV776" i="5"/>
  <c r="JL766" i="5"/>
  <c r="JX766" i="5"/>
  <c r="JN761" i="5"/>
  <c r="JP771" i="5"/>
  <c r="JR766" i="5"/>
  <c r="JX761" i="5"/>
  <c r="JP756" i="5"/>
  <c r="JN756" i="5"/>
  <c r="JR761" i="5"/>
  <c r="JL756" i="5"/>
  <c r="JR751" i="5"/>
  <c r="JV766" i="5"/>
  <c r="JP761" i="5"/>
  <c r="JP751" i="5"/>
  <c r="JT766" i="5"/>
  <c r="JL761" i="5"/>
  <c r="JX756" i="5"/>
  <c r="JN751" i="5"/>
  <c r="JR756" i="5"/>
  <c r="JX751" i="5"/>
  <c r="JV756" i="5"/>
  <c r="JR746" i="5"/>
  <c r="JX741" i="5"/>
  <c r="JT756" i="5"/>
  <c r="JV751" i="5"/>
  <c r="JP746" i="5"/>
  <c r="JV741" i="5"/>
  <c r="JT751" i="5"/>
  <c r="JN746" i="5"/>
  <c r="JT741" i="5"/>
  <c r="JL751" i="5"/>
  <c r="JL746" i="5"/>
  <c r="JX746" i="5"/>
  <c r="JT746" i="5"/>
  <c r="JP741" i="5"/>
  <c r="JL736" i="5"/>
  <c r="JR731" i="5"/>
  <c r="JN741" i="5"/>
  <c r="JL741" i="5"/>
  <c r="JX736" i="5"/>
  <c r="JV736" i="5"/>
  <c r="JR736" i="5"/>
  <c r="JX731" i="5"/>
  <c r="JR741" i="5"/>
  <c r="JV731" i="5"/>
  <c r="JX726" i="5"/>
  <c r="JT731" i="5"/>
  <c r="JV746" i="5"/>
  <c r="JT736" i="5"/>
  <c r="JL731" i="5"/>
  <c r="JP726" i="5"/>
  <c r="JN736" i="5"/>
  <c r="JL726" i="5"/>
  <c r="JT726" i="5"/>
  <c r="JR721" i="5"/>
  <c r="JP736" i="5"/>
  <c r="JR726" i="5"/>
  <c r="JP721" i="5"/>
  <c r="JV726" i="5"/>
  <c r="JN726" i="5"/>
  <c r="JN721" i="5"/>
  <c r="JL721" i="5"/>
  <c r="JP731" i="5"/>
  <c r="JX721" i="5"/>
  <c r="JT721" i="5"/>
  <c r="JN731" i="5"/>
  <c r="JV721" i="5"/>
  <c r="JX713" i="5"/>
  <c r="JN708" i="5"/>
  <c r="JT703" i="5"/>
  <c r="JV713" i="5"/>
  <c r="JT713" i="5"/>
  <c r="JR713" i="5"/>
  <c r="JX708" i="5"/>
  <c r="JN703" i="5"/>
  <c r="JP713" i="5"/>
  <c r="JV708" i="5"/>
  <c r="JN713" i="5"/>
  <c r="JT708" i="5"/>
  <c r="JR698" i="5"/>
  <c r="JX693" i="5"/>
  <c r="JX703" i="5"/>
  <c r="JP698" i="5"/>
  <c r="JV693" i="5"/>
  <c r="JV703" i="5"/>
  <c r="JL713" i="5"/>
  <c r="JR703" i="5"/>
  <c r="JL698" i="5"/>
  <c r="JR693" i="5"/>
  <c r="JP703" i="5"/>
  <c r="JN698" i="5"/>
  <c r="JP688" i="5"/>
  <c r="JN688" i="5"/>
  <c r="JR708" i="5"/>
  <c r="JP708" i="5"/>
  <c r="JT693" i="5"/>
  <c r="JX688" i="5"/>
  <c r="JL708" i="5"/>
  <c r="JL703" i="5"/>
  <c r="JV688" i="5"/>
  <c r="JN683" i="5"/>
  <c r="JT678" i="5"/>
  <c r="JT688" i="5"/>
  <c r="JL683" i="5"/>
  <c r="JR678" i="5"/>
  <c r="JP693" i="5"/>
  <c r="JR688" i="5"/>
  <c r="JX698" i="5"/>
  <c r="JN693" i="5"/>
  <c r="JL688" i="5"/>
  <c r="JX683" i="5"/>
  <c r="JN678" i="5"/>
  <c r="JT673" i="5"/>
  <c r="JV698" i="5"/>
  <c r="JL693" i="5"/>
  <c r="JV683" i="5"/>
  <c r="JL678" i="5"/>
  <c r="JR673" i="5"/>
  <c r="JT698" i="5"/>
  <c r="JT683" i="5"/>
  <c r="JP683" i="5"/>
  <c r="JX678" i="5"/>
  <c r="JV673" i="5"/>
  <c r="JV678" i="5"/>
  <c r="JP673" i="5"/>
  <c r="JX668" i="5"/>
  <c r="JP678" i="5"/>
  <c r="JN673" i="5"/>
  <c r="JV668" i="5"/>
  <c r="JL673" i="5"/>
  <c r="JT668" i="5"/>
  <c r="JR668" i="5"/>
  <c r="JP668" i="5"/>
  <c r="JL668" i="5"/>
  <c r="JR663" i="5"/>
  <c r="JP663" i="5"/>
  <c r="JV658" i="5"/>
  <c r="JN663" i="5"/>
  <c r="JL663" i="5"/>
  <c r="JR658" i="5"/>
  <c r="JX653" i="5"/>
  <c r="JX663" i="5"/>
  <c r="JX673" i="5"/>
  <c r="JV663" i="5"/>
  <c r="JL658" i="5"/>
  <c r="JX658" i="5"/>
  <c r="JP648" i="5"/>
  <c r="JT658" i="5"/>
  <c r="JN648" i="5"/>
  <c r="JP658" i="5"/>
  <c r="JV653" i="5"/>
  <c r="JL648" i="5"/>
  <c r="JN658" i="5"/>
  <c r="JT653" i="5"/>
  <c r="JR683" i="5"/>
  <c r="JN668" i="5"/>
  <c r="JR653" i="5"/>
  <c r="JP653" i="5"/>
  <c r="JV648" i="5"/>
  <c r="JL643" i="5"/>
  <c r="JN643" i="5"/>
  <c r="JX648" i="5"/>
  <c r="JX643" i="5"/>
  <c r="JP643" i="5"/>
  <c r="JT648" i="5"/>
  <c r="JR648" i="5"/>
  <c r="JV643" i="5"/>
  <c r="JT663" i="5"/>
  <c r="JT643" i="5"/>
  <c r="JN653" i="5"/>
  <c r="JR643" i="5"/>
  <c r="JL653" i="5"/>
  <c r="JX635" i="5"/>
  <c r="JN630" i="5"/>
  <c r="JT625" i="5"/>
  <c r="JV635" i="5"/>
  <c r="JL630" i="5"/>
  <c r="JT635" i="5"/>
  <c r="JR635" i="5"/>
  <c r="JX630" i="5"/>
  <c r="JN625" i="5"/>
  <c r="JP635" i="5"/>
  <c r="JV630" i="5"/>
  <c r="JL625" i="5"/>
  <c r="JN635" i="5"/>
  <c r="JT630" i="5"/>
  <c r="JT620" i="5"/>
  <c r="JR620" i="5"/>
  <c r="JX615" i="5"/>
  <c r="JP630" i="5"/>
  <c r="JX625" i="5"/>
  <c r="JN620" i="5"/>
  <c r="JT615" i="5"/>
  <c r="JV625" i="5"/>
  <c r="JL620" i="5"/>
  <c r="JR615" i="5"/>
  <c r="JP610" i="5"/>
  <c r="JX620" i="5"/>
  <c r="JN610" i="5"/>
  <c r="JR630" i="5"/>
  <c r="JV620" i="5"/>
  <c r="JL610" i="5"/>
  <c r="JP620" i="5"/>
  <c r="JV615" i="5"/>
  <c r="JR625" i="5"/>
  <c r="JN615" i="5"/>
  <c r="JR605" i="5"/>
  <c r="JX600" i="5"/>
  <c r="JL615" i="5"/>
  <c r="JN605" i="5"/>
  <c r="JT600" i="5"/>
  <c r="JP625" i="5"/>
  <c r="JL605" i="5"/>
  <c r="JL635" i="5"/>
  <c r="JV610" i="5"/>
  <c r="JX605" i="5"/>
  <c r="JX610" i="5"/>
  <c r="JP600" i="5"/>
  <c r="JX595" i="5"/>
  <c r="JN590" i="5"/>
  <c r="JR610" i="5"/>
  <c r="JL600" i="5"/>
  <c r="JT595" i="5"/>
  <c r="JT605" i="5"/>
  <c r="JP595" i="5"/>
  <c r="JP615" i="5"/>
  <c r="JR600" i="5"/>
  <c r="JV600" i="5"/>
  <c r="JX590" i="5"/>
  <c r="JN600" i="5"/>
  <c r="JV590" i="5"/>
  <c r="JX585" i="5"/>
  <c r="JT590" i="5"/>
  <c r="JT610" i="5"/>
  <c r="JV605" i="5"/>
  <c r="JR590" i="5"/>
  <c r="JR595" i="5"/>
  <c r="JL590" i="5"/>
  <c r="JP585" i="5"/>
  <c r="JP590" i="5"/>
  <c r="JT585" i="5"/>
  <c r="JP580" i="5"/>
  <c r="JV575" i="5"/>
  <c r="JP605" i="5"/>
  <c r="JV595" i="5"/>
  <c r="JR585" i="5"/>
  <c r="JN580" i="5"/>
  <c r="JN595" i="5"/>
  <c r="JN585" i="5"/>
  <c r="JV580" i="5"/>
  <c r="JL575" i="5"/>
  <c r="JX575" i="5"/>
  <c r="JN570" i="5"/>
  <c r="JT565" i="5"/>
  <c r="JV585" i="5"/>
  <c r="JT575" i="5"/>
  <c r="JL570" i="5"/>
  <c r="JR565" i="5"/>
  <c r="JR575" i="5"/>
  <c r="JP565" i="5"/>
  <c r="JX580" i="5"/>
  <c r="JP575" i="5"/>
  <c r="JX570" i="5"/>
  <c r="JN565" i="5"/>
  <c r="JL585" i="5"/>
  <c r="JT580" i="5"/>
  <c r="JN575" i="5"/>
  <c r="JV570" i="5"/>
  <c r="JL565" i="5"/>
  <c r="JL580" i="5"/>
  <c r="JR570" i="5"/>
  <c r="JP570" i="5"/>
  <c r="JL595" i="5"/>
  <c r="JR580" i="5"/>
  <c r="JT570" i="5"/>
  <c r="JX565" i="5"/>
  <c r="JV565" i="5"/>
  <c r="JX557" i="5"/>
  <c r="JV557" i="5"/>
  <c r="JT557" i="5"/>
  <c r="JR557" i="5"/>
  <c r="JX552" i="5"/>
  <c r="JP557" i="5"/>
  <c r="JV552" i="5"/>
  <c r="JN557" i="5"/>
  <c r="JT552" i="5"/>
  <c r="JP552" i="5"/>
  <c r="JV547" i="5"/>
  <c r="JN552" i="5"/>
  <c r="JL547" i="5"/>
  <c r="JT542" i="5"/>
  <c r="JX547" i="5"/>
  <c r="JR542" i="5"/>
  <c r="JX537" i="5"/>
  <c r="JT547" i="5"/>
  <c r="JR547" i="5"/>
  <c r="JN542" i="5"/>
  <c r="JT537" i="5"/>
  <c r="JR552" i="5"/>
  <c r="JN547" i="5"/>
  <c r="JL542" i="5"/>
  <c r="JL537" i="5"/>
  <c r="JL532" i="5"/>
  <c r="JP547" i="5"/>
  <c r="JX532" i="5"/>
  <c r="JN527" i="5"/>
  <c r="JX542" i="5"/>
  <c r="JV537" i="5"/>
  <c r="JL552" i="5"/>
  <c r="JV542" i="5"/>
  <c r="JR537" i="5"/>
  <c r="JT532" i="5"/>
  <c r="JP527" i="5"/>
  <c r="JR522" i="5"/>
  <c r="JN532" i="5"/>
  <c r="JL522" i="5"/>
  <c r="JR517" i="5"/>
  <c r="JX512" i="5"/>
  <c r="JP537" i="5"/>
  <c r="JX527" i="5"/>
  <c r="JN537" i="5"/>
  <c r="JL557" i="5"/>
  <c r="JP542" i="5"/>
  <c r="JV532" i="5"/>
  <c r="JR527" i="5"/>
  <c r="JT522" i="5"/>
  <c r="JP512" i="5"/>
  <c r="JT527" i="5"/>
  <c r="JL527" i="5"/>
  <c r="JR532" i="5"/>
  <c r="JP522" i="5"/>
  <c r="JL507" i="5"/>
  <c r="JR502" i="5"/>
  <c r="JX497" i="5"/>
  <c r="JP532" i="5"/>
  <c r="JV527" i="5"/>
  <c r="JT517" i="5"/>
  <c r="JN512" i="5"/>
  <c r="JT507" i="5"/>
  <c r="JP497" i="5"/>
  <c r="JT512" i="5"/>
  <c r="JX517" i="5"/>
  <c r="JP517" i="5"/>
  <c r="JX507" i="5"/>
  <c r="JV502" i="5"/>
  <c r="JR497" i="5"/>
  <c r="JL492" i="5"/>
  <c r="JR487" i="5"/>
  <c r="JN517" i="5"/>
  <c r="JV507" i="5"/>
  <c r="JT502" i="5"/>
  <c r="JN497" i="5"/>
  <c r="JX522" i="5"/>
  <c r="JL517" i="5"/>
  <c r="JV522" i="5"/>
  <c r="JN522" i="5"/>
  <c r="JV512" i="5"/>
  <c r="JN507" i="5"/>
  <c r="JL502" i="5"/>
  <c r="JT492" i="5"/>
  <c r="JP507" i="5"/>
  <c r="JR512" i="5"/>
  <c r="JL512" i="5"/>
  <c r="JP487" i="5"/>
  <c r="JV517" i="5"/>
  <c r="JP502" i="5"/>
  <c r="JV497" i="5"/>
  <c r="JX492" i="5"/>
  <c r="JR507" i="5"/>
  <c r="JL497" i="5"/>
  <c r="JP492" i="5"/>
  <c r="JL487" i="5"/>
  <c r="JN492" i="5"/>
  <c r="JT497" i="5"/>
  <c r="JX502" i="5"/>
  <c r="JX487" i="5"/>
  <c r="JT487" i="5"/>
  <c r="JN502" i="5"/>
  <c r="JV487" i="5"/>
  <c r="JV492" i="5"/>
  <c r="JR492" i="5"/>
  <c r="JN487" i="5"/>
  <c r="JX479" i="5"/>
  <c r="JN474" i="5"/>
  <c r="JV479" i="5"/>
  <c r="JL474" i="5"/>
  <c r="JT479" i="5"/>
  <c r="JR479" i="5"/>
  <c r="JX474" i="5"/>
  <c r="JP479" i="5"/>
  <c r="JV474" i="5"/>
  <c r="JL469" i="5"/>
  <c r="JN479" i="5"/>
  <c r="JT474" i="5"/>
  <c r="JP474" i="5"/>
  <c r="JV469" i="5"/>
  <c r="JL479" i="5"/>
  <c r="JT469" i="5"/>
  <c r="JV464" i="5"/>
  <c r="JL459" i="5"/>
  <c r="JR469" i="5"/>
  <c r="JT464" i="5"/>
  <c r="JP469" i="5"/>
  <c r="JR464" i="5"/>
  <c r="JX459" i="5"/>
  <c r="JR474" i="5"/>
  <c r="JN469" i="5"/>
  <c r="JN464" i="5"/>
  <c r="JT459" i="5"/>
  <c r="JL464" i="5"/>
  <c r="JR459" i="5"/>
  <c r="JL454" i="5"/>
  <c r="JR449" i="5"/>
  <c r="JP459" i="5"/>
  <c r="JN459" i="5"/>
  <c r="JX454" i="5"/>
  <c r="JN449" i="5"/>
  <c r="JV454" i="5"/>
  <c r="JX469" i="5"/>
  <c r="JX464" i="5"/>
  <c r="JP454" i="5"/>
  <c r="JV459" i="5"/>
  <c r="JV449" i="5"/>
  <c r="JP444" i="5"/>
  <c r="JT449" i="5"/>
  <c r="JN444" i="5"/>
  <c r="JT454" i="5"/>
  <c r="JP449" i="5"/>
  <c r="JR454" i="5"/>
  <c r="JL449" i="5"/>
  <c r="JN454" i="5"/>
  <c r="JX444" i="5"/>
  <c r="JT444" i="5"/>
  <c r="JL444" i="5"/>
  <c r="JP439" i="5"/>
  <c r="JV434" i="5"/>
  <c r="JX449" i="5"/>
  <c r="JN439" i="5"/>
  <c r="JT434" i="5"/>
  <c r="JL439" i="5"/>
  <c r="JR434" i="5"/>
  <c r="JP434" i="5"/>
  <c r="JX439" i="5"/>
  <c r="JN434" i="5"/>
  <c r="JV439" i="5"/>
  <c r="JL434" i="5"/>
  <c r="JV444" i="5"/>
  <c r="JT439" i="5"/>
  <c r="JX429" i="5"/>
  <c r="JV429" i="5"/>
  <c r="JL424" i="5"/>
  <c r="JR419" i="5"/>
  <c r="JX414" i="5"/>
  <c r="JT429" i="5"/>
  <c r="JP419" i="5"/>
  <c r="JR429" i="5"/>
  <c r="JX424" i="5"/>
  <c r="JN419" i="5"/>
  <c r="JT414" i="5"/>
  <c r="JR439" i="5"/>
  <c r="JN429" i="5"/>
  <c r="JT424" i="5"/>
  <c r="JX434" i="5"/>
  <c r="JP424" i="5"/>
  <c r="JV419" i="5"/>
  <c r="JV414" i="5"/>
  <c r="JX409" i="5"/>
  <c r="JN414" i="5"/>
  <c r="JT419" i="5"/>
  <c r="JR414" i="5"/>
  <c r="JV409" i="5"/>
  <c r="JL419" i="5"/>
  <c r="JP414" i="5"/>
  <c r="JT409" i="5"/>
  <c r="JV424" i="5"/>
  <c r="JR424" i="5"/>
  <c r="JL414" i="5"/>
  <c r="JP409" i="5"/>
  <c r="JP429" i="5"/>
  <c r="JN424" i="5"/>
  <c r="JN409" i="5"/>
  <c r="JP464" i="5"/>
  <c r="JR444" i="5"/>
  <c r="JL429" i="5"/>
  <c r="JL409" i="5"/>
  <c r="JX419" i="5"/>
  <c r="JR409" i="5"/>
  <c r="JX401" i="5"/>
  <c r="JN396" i="5"/>
  <c r="JV401" i="5"/>
  <c r="JL396" i="5"/>
  <c r="JT401" i="5"/>
  <c r="JR401" i="5"/>
  <c r="JX396" i="5"/>
  <c r="JN391" i="5"/>
  <c r="JP401" i="5"/>
  <c r="JV396" i="5"/>
  <c r="JL391" i="5"/>
  <c r="JP396" i="5"/>
  <c r="JN401" i="5"/>
  <c r="JT386" i="5"/>
  <c r="JL401" i="5"/>
  <c r="JX391" i="5"/>
  <c r="JR386" i="5"/>
  <c r="JX381" i="5"/>
  <c r="JP391" i="5"/>
  <c r="JR391" i="5"/>
  <c r="JN386" i="5"/>
  <c r="JR396" i="5"/>
  <c r="JL381" i="5"/>
  <c r="JX386" i="5"/>
  <c r="JV381" i="5"/>
  <c r="JT376" i="5"/>
  <c r="JT396" i="5"/>
  <c r="JT391" i="5"/>
  <c r="JP386" i="5"/>
  <c r="JP381" i="5"/>
  <c r="JP376" i="5"/>
  <c r="JN381" i="5"/>
  <c r="JN376" i="5"/>
  <c r="JL376" i="5"/>
  <c r="JV371" i="5"/>
  <c r="JV391" i="5"/>
  <c r="JV386" i="5"/>
  <c r="JX376" i="5"/>
  <c r="JP371" i="5"/>
  <c r="JR381" i="5"/>
  <c r="JX371" i="5"/>
  <c r="JR366" i="5"/>
  <c r="JT371" i="5"/>
  <c r="JP366" i="5"/>
  <c r="JR371" i="5"/>
  <c r="JN366" i="5"/>
  <c r="JN371" i="5"/>
  <c r="JL371" i="5"/>
  <c r="JL386" i="5"/>
  <c r="JV376" i="5"/>
  <c r="JX366" i="5"/>
  <c r="JN361" i="5"/>
  <c r="JT356" i="5"/>
  <c r="JR376" i="5"/>
  <c r="JT381" i="5"/>
  <c r="JL366" i="5"/>
  <c r="JX361" i="5"/>
  <c r="JN356" i="5"/>
  <c r="JT361" i="5"/>
  <c r="JP351" i="5"/>
  <c r="JV361" i="5"/>
  <c r="JX346" i="5"/>
  <c r="JN341" i="5"/>
  <c r="JT336" i="5"/>
  <c r="JR361" i="5"/>
  <c r="JV366" i="5"/>
  <c r="JL361" i="5"/>
  <c r="JV356" i="5"/>
  <c r="JV351" i="5"/>
  <c r="JR346" i="5"/>
  <c r="JX341" i="5"/>
  <c r="JN336" i="5"/>
  <c r="JP356" i="5"/>
  <c r="JR351" i="5"/>
  <c r="JN346" i="5"/>
  <c r="JT341" i="5"/>
  <c r="JX351" i="5"/>
  <c r="JL341" i="5"/>
  <c r="JR336" i="5"/>
  <c r="JT351" i="5"/>
  <c r="JP336" i="5"/>
  <c r="JL331" i="5"/>
  <c r="JN351" i="5"/>
  <c r="JL336" i="5"/>
  <c r="JL351" i="5"/>
  <c r="JX331" i="5"/>
  <c r="JX356" i="5"/>
  <c r="JV346" i="5"/>
  <c r="JP361" i="5"/>
  <c r="JR356" i="5"/>
  <c r="JT346" i="5"/>
  <c r="JV341" i="5"/>
  <c r="JT331" i="5"/>
  <c r="JL346" i="5"/>
  <c r="JP341" i="5"/>
  <c r="JV331" i="5"/>
  <c r="JT366" i="5"/>
  <c r="JN331" i="5"/>
  <c r="JL356" i="5"/>
  <c r="JR331" i="5"/>
  <c r="JX336" i="5"/>
  <c r="JP331" i="5"/>
  <c r="JP346" i="5"/>
  <c r="JR341" i="5"/>
  <c r="JV336" i="5"/>
  <c r="JX323" i="5"/>
  <c r="JN318" i="5"/>
  <c r="JV323" i="5"/>
  <c r="JL318" i="5"/>
  <c r="JR313" i="5"/>
  <c r="JT323" i="5"/>
  <c r="JP313" i="5"/>
  <c r="JR323" i="5"/>
  <c r="JX318" i="5"/>
  <c r="JN313" i="5"/>
  <c r="JP323" i="5"/>
  <c r="JV318" i="5"/>
  <c r="JN323" i="5"/>
  <c r="JT318" i="5"/>
  <c r="JP318" i="5"/>
  <c r="JL323" i="5"/>
  <c r="JT308" i="5"/>
  <c r="JX313" i="5"/>
  <c r="JR318" i="5"/>
  <c r="JL313" i="5"/>
  <c r="JL308" i="5"/>
  <c r="JR303" i="5"/>
  <c r="JX308" i="5"/>
  <c r="JV303" i="5"/>
  <c r="JX298" i="5"/>
  <c r="JV313" i="5"/>
  <c r="JP308" i="5"/>
  <c r="JN303" i="5"/>
  <c r="JT313" i="5"/>
  <c r="JN308" i="5"/>
  <c r="JL303" i="5"/>
  <c r="JX303" i="5"/>
  <c r="JN298" i="5"/>
  <c r="JL293" i="5"/>
  <c r="JV298" i="5"/>
  <c r="JT293" i="5"/>
  <c r="JT303" i="5"/>
  <c r="JP303" i="5"/>
  <c r="JT298" i="5"/>
  <c r="JT288" i="5"/>
  <c r="JR298" i="5"/>
  <c r="JX293" i="5"/>
  <c r="JR288" i="5"/>
  <c r="JX283" i="5"/>
  <c r="JN278" i="5"/>
  <c r="JT273" i="5"/>
  <c r="JP298" i="5"/>
  <c r="JV308" i="5"/>
  <c r="JL298" i="5"/>
  <c r="JR293" i="5"/>
  <c r="JN288" i="5"/>
  <c r="JR308" i="5"/>
  <c r="JP293" i="5"/>
  <c r="JN293" i="5"/>
  <c r="JP283" i="5"/>
  <c r="JV278" i="5"/>
  <c r="JR283" i="5"/>
  <c r="JL278" i="5"/>
  <c r="JL283" i="5"/>
  <c r="JV273" i="5"/>
  <c r="JX288" i="5"/>
  <c r="JX278" i="5"/>
  <c r="JP288" i="5"/>
  <c r="JV283" i="5"/>
  <c r="JR278" i="5"/>
  <c r="JL273" i="5"/>
  <c r="JP278" i="5"/>
  <c r="JP273" i="5"/>
  <c r="JR268" i="5"/>
  <c r="JX263" i="5"/>
  <c r="JN258" i="5"/>
  <c r="JT253" i="5"/>
  <c r="JN283" i="5"/>
  <c r="JN268" i="5"/>
  <c r="JT263" i="5"/>
  <c r="JP263" i="5"/>
  <c r="JV258" i="5"/>
  <c r="JV293" i="5"/>
  <c r="JV288" i="5"/>
  <c r="JL288" i="5"/>
  <c r="JX273" i="5"/>
  <c r="JV268" i="5"/>
  <c r="JL263" i="5"/>
  <c r="JR258" i="5"/>
  <c r="JX253" i="5"/>
  <c r="JN273" i="5"/>
  <c r="JV263" i="5"/>
  <c r="JL258" i="5"/>
  <c r="JR253" i="5"/>
  <c r="JR263" i="5"/>
  <c r="JN263" i="5"/>
  <c r="JX268" i="5"/>
  <c r="JT283" i="5"/>
  <c r="JT268" i="5"/>
  <c r="JX258" i="5"/>
  <c r="JP268" i="5"/>
  <c r="JT258" i="5"/>
  <c r="JT278" i="5"/>
  <c r="JV253" i="5"/>
  <c r="JP258" i="5"/>
  <c r="JR273" i="5"/>
  <c r="JP253" i="5"/>
  <c r="JN253" i="5"/>
  <c r="JL268" i="5"/>
  <c r="JL253" i="5"/>
  <c r="JX245" i="5"/>
  <c r="JN240" i="5"/>
  <c r="JT235" i="5"/>
  <c r="JV245" i="5"/>
  <c r="JT245" i="5"/>
  <c r="JR245" i="5"/>
  <c r="JX240" i="5"/>
  <c r="JN235" i="5"/>
  <c r="JN245" i="5"/>
  <c r="JT240" i="5"/>
  <c r="JL245" i="5"/>
  <c r="JR240" i="5"/>
  <c r="JX235" i="5"/>
  <c r="JX230" i="5"/>
  <c r="JN225" i="5"/>
  <c r="JV240" i="5"/>
  <c r="JV230" i="5"/>
  <c r="JP240" i="5"/>
  <c r="JT230" i="5"/>
  <c r="JP245" i="5"/>
  <c r="JL240" i="5"/>
  <c r="JR230" i="5"/>
  <c r="JX225" i="5"/>
  <c r="JV235" i="5"/>
  <c r="JP230" i="5"/>
  <c r="JR235" i="5"/>
  <c r="JT225" i="5"/>
  <c r="JN220" i="5"/>
  <c r="JP235" i="5"/>
  <c r="JR225" i="5"/>
  <c r="JL235" i="5"/>
  <c r="JP225" i="5"/>
  <c r="JL225" i="5"/>
  <c r="JX220" i="5"/>
  <c r="JR215" i="5"/>
  <c r="JX210" i="5"/>
  <c r="JV220" i="5"/>
  <c r="JP215" i="5"/>
  <c r="JV210" i="5"/>
  <c r="JN230" i="5"/>
  <c r="JT220" i="5"/>
  <c r="JN215" i="5"/>
  <c r="JT210" i="5"/>
  <c r="JL230" i="5"/>
  <c r="JR220" i="5"/>
  <c r="JL215" i="5"/>
  <c r="JV225" i="5"/>
  <c r="JL220" i="5"/>
  <c r="JX215" i="5"/>
  <c r="JL210" i="5"/>
  <c r="JL205" i="5"/>
  <c r="JV215" i="5"/>
  <c r="JT215" i="5"/>
  <c r="JX205" i="5"/>
  <c r="JV205" i="5"/>
  <c r="JR210" i="5"/>
  <c r="JR205" i="5"/>
  <c r="JP220" i="5"/>
  <c r="JT205" i="5"/>
  <c r="JR200" i="5"/>
  <c r="JX195" i="5"/>
  <c r="JN190" i="5"/>
  <c r="JT185" i="5"/>
  <c r="JP205" i="5"/>
  <c r="JP200" i="5"/>
  <c r="JV195" i="5"/>
  <c r="JL190" i="5"/>
  <c r="JP210" i="5"/>
  <c r="JN205" i="5"/>
  <c r="JN200" i="5"/>
  <c r="JT195" i="5"/>
  <c r="JP185" i="5"/>
  <c r="JN210" i="5"/>
  <c r="JL200" i="5"/>
  <c r="JR195" i="5"/>
  <c r="JX190" i="5"/>
  <c r="JN185" i="5"/>
  <c r="JP195" i="5"/>
  <c r="JX200" i="5"/>
  <c r="JN195" i="5"/>
  <c r="JT190" i="5"/>
  <c r="JL185" i="5"/>
  <c r="JP180" i="5"/>
  <c r="JV175" i="5"/>
  <c r="JN180" i="5"/>
  <c r="JT175" i="5"/>
  <c r="JV200" i="5"/>
  <c r="JL195" i="5"/>
  <c r="JR190" i="5"/>
  <c r="JV185" i="5"/>
  <c r="JT180" i="5"/>
  <c r="JT200" i="5"/>
  <c r="JX180" i="5"/>
  <c r="JV190" i="5"/>
  <c r="JV180" i="5"/>
  <c r="JP190" i="5"/>
  <c r="JR180" i="5"/>
  <c r="JX175" i="5"/>
  <c r="JN175" i="5"/>
  <c r="JL180" i="5"/>
  <c r="JR175" i="5"/>
  <c r="JL175" i="5"/>
  <c r="JX185" i="5"/>
  <c r="JP175" i="5"/>
  <c r="JR185" i="5"/>
  <c r="JX167" i="5"/>
  <c r="JL167" i="5"/>
  <c r="JV167" i="5"/>
  <c r="JT167" i="5"/>
  <c r="JR167" i="5"/>
  <c r="JP167" i="5"/>
  <c r="JN167" i="5"/>
  <c r="JX162" i="5"/>
  <c r="JV162" i="5"/>
  <c r="JL162" i="5"/>
  <c r="JT162" i="5"/>
  <c r="JR162" i="5"/>
  <c r="JP162" i="5"/>
  <c r="JN162" i="5"/>
  <c r="JX157" i="5"/>
  <c r="JV157" i="5"/>
  <c r="JL157" i="5"/>
  <c r="JT157" i="5"/>
  <c r="JN157" i="5"/>
  <c r="JR157" i="5"/>
  <c r="JP157" i="5"/>
  <c r="JX152" i="5"/>
  <c r="JN152" i="5"/>
  <c r="JV152" i="5"/>
  <c r="JL152" i="5"/>
  <c r="JT152" i="5"/>
  <c r="JR152" i="5"/>
  <c r="JP152" i="5"/>
  <c r="JX147" i="5"/>
  <c r="JV147" i="5"/>
  <c r="JT147" i="5"/>
  <c r="JR147" i="5"/>
  <c r="JP147" i="5"/>
  <c r="JL147" i="5"/>
  <c r="JN147" i="5"/>
  <c r="JX142" i="5"/>
  <c r="JV142" i="5"/>
  <c r="JL142" i="5"/>
  <c r="JT142" i="5"/>
  <c r="JR142" i="5"/>
  <c r="JP142" i="5"/>
  <c r="JN142" i="5"/>
  <c r="JX137" i="5"/>
  <c r="JV137" i="5"/>
  <c r="JT137" i="5"/>
  <c r="JL137" i="5"/>
  <c r="JR137" i="5"/>
  <c r="JP137" i="5"/>
  <c r="JN137" i="5"/>
  <c r="JX132" i="5"/>
  <c r="JV132" i="5"/>
  <c r="JT132" i="5"/>
  <c r="JR132" i="5"/>
  <c r="JL132" i="5"/>
  <c r="JP132" i="5"/>
  <c r="JN132" i="5"/>
  <c r="JX127" i="5"/>
  <c r="JV127" i="5"/>
  <c r="JT127" i="5"/>
  <c r="JL127" i="5"/>
  <c r="JR127" i="5"/>
  <c r="JP127" i="5"/>
  <c r="JN127" i="5"/>
  <c r="JX122" i="5"/>
  <c r="JL122" i="5"/>
  <c r="JV122" i="5"/>
  <c r="JT122" i="5"/>
  <c r="JR122" i="5"/>
  <c r="JP122" i="5"/>
  <c r="JN122" i="5"/>
  <c r="JX117" i="5"/>
  <c r="JV117" i="5"/>
  <c r="JT117" i="5"/>
  <c r="JR117" i="5"/>
  <c r="JP117" i="5"/>
  <c r="JN117" i="5"/>
  <c r="JL117" i="5"/>
  <c r="JX112" i="5"/>
  <c r="JV112" i="5"/>
  <c r="JT112" i="5"/>
  <c r="JR112" i="5"/>
  <c r="JP112" i="5"/>
  <c r="JL112" i="5"/>
  <c r="JN112" i="5"/>
  <c r="JX107" i="5"/>
  <c r="JV107" i="5"/>
  <c r="JT107" i="5"/>
  <c r="JR107" i="5"/>
  <c r="JL107" i="5"/>
  <c r="JP107" i="5"/>
  <c r="JN107" i="5"/>
  <c r="JX102" i="5"/>
  <c r="JV102" i="5"/>
  <c r="JT102" i="5"/>
  <c r="JR102" i="5"/>
  <c r="JP102" i="5"/>
  <c r="JN102" i="5"/>
  <c r="JL102" i="5"/>
  <c r="JX97" i="5"/>
  <c r="JV97" i="5"/>
  <c r="JP97" i="5"/>
  <c r="JT97" i="5"/>
  <c r="JR97" i="5"/>
  <c r="JN97" i="5"/>
  <c r="JL97" i="5"/>
  <c r="JX89" i="5"/>
  <c r="JV89" i="5"/>
  <c r="JT89" i="5"/>
  <c r="JR89" i="5"/>
  <c r="JP89" i="5"/>
  <c r="JN89" i="5"/>
  <c r="JL89" i="5"/>
  <c r="JX84" i="5"/>
  <c r="JV84" i="5"/>
  <c r="JT84" i="5"/>
  <c r="JL84" i="5"/>
  <c r="JR84" i="5"/>
  <c r="JP84" i="5"/>
  <c r="JN84" i="5"/>
  <c r="JX79" i="5"/>
  <c r="JV79" i="5"/>
  <c r="JT79" i="5"/>
  <c r="JL79" i="5"/>
  <c r="JR79" i="5"/>
  <c r="JP79" i="5"/>
  <c r="JN79" i="5"/>
  <c r="JX74" i="5"/>
  <c r="JV74" i="5"/>
  <c r="JR74" i="5"/>
  <c r="JT74" i="5"/>
  <c r="JN74" i="5"/>
  <c r="JL74" i="5"/>
  <c r="JP74" i="5"/>
  <c r="JX69" i="5"/>
  <c r="JN69" i="5"/>
  <c r="JL69" i="5"/>
  <c r="JV69" i="5"/>
  <c r="JT69" i="5"/>
  <c r="JR69" i="5"/>
  <c r="JP69" i="5"/>
  <c r="JX64" i="5"/>
  <c r="JV64" i="5"/>
  <c r="JT64" i="5"/>
  <c r="JR64" i="5"/>
  <c r="JP64" i="5"/>
  <c r="JN64" i="5"/>
  <c r="JL64" i="5"/>
  <c r="JX59" i="5"/>
  <c r="JV59" i="5"/>
  <c r="JT59" i="5"/>
  <c r="JR59" i="5"/>
  <c r="JN59" i="5"/>
  <c r="JL59" i="5"/>
  <c r="JP59" i="5"/>
  <c r="JX54" i="5"/>
  <c r="JT54" i="5"/>
  <c r="JV54" i="5"/>
  <c r="JL54" i="5"/>
  <c r="JR54" i="5"/>
  <c r="JP54" i="5"/>
  <c r="JN54" i="5"/>
  <c r="JX49" i="5"/>
  <c r="JT49" i="5"/>
  <c r="JV49" i="5"/>
  <c r="JP49" i="5"/>
  <c r="JR49" i="5"/>
  <c r="JJ49" i="5"/>
  <c r="JZ49" i="5"/>
  <c r="JN49" i="5"/>
  <c r="JL49" i="5"/>
  <c r="K3" i="10"/>
  <c r="M23" i="10"/>
  <c r="M3" i="10" s="1"/>
  <c r="KB16" i="5" l="1"/>
  <c r="KB12" i="5" s="1"/>
  <c r="JV16" i="5"/>
  <c r="JV12" i="5" s="1"/>
  <c r="JX16" i="5"/>
  <c r="JX12" i="5" s="1"/>
  <c r="W32" i="5" s="1"/>
  <c r="JZ16" i="5"/>
  <c r="JZ12" i="5" s="1"/>
  <c r="JJ16" i="5"/>
  <c r="JJ12" i="5" s="1"/>
  <c r="JN16" i="5"/>
  <c r="JN12" i="5" s="1"/>
  <c r="JL16" i="5"/>
  <c r="JL12" i="5" s="1"/>
  <c r="W34" i="5" l="1"/>
  <c r="A133" i="19"/>
  <c r="A134" i="19" s="1"/>
  <c r="A135" i="19" s="1"/>
  <c r="A136" i="19" s="1"/>
  <c r="A137" i="19" s="1"/>
  <c r="A138" i="19" l="1"/>
  <c r="A139" i="19" l="1"/>
  <c r="A140" i="19" l="1"/>
  <c r="A141" i="19" l="1"/>
  <c r="AE22" i="19" l="1"/>
  <c r="AH22" i="19"/>
  <c r="AM22" i="19"/>
  <c r="AI22" i="19"/>
  <c r="AG22" i="19"/>
  <c r="AF22" i="19"/>
  <c r="AK22" i="19"/>
  <c r="AL22" i="19"/>
  <c r="A142" i="19"/>
  <c r="AC51" i="8" l="1"/>
  <c r="AC50" i="8"/>
  <c r="AC49" i="8"/>
  <c r="A143" i="19"/>
  <c r="AC39" i="8" l="1"/>
  <c r="AC36" i="8"/>
  <c r="AC48" i="8"/>
  <c r="AC57" i="8"/>
  <c r="AC35" i="8"/>
  <c r="AC46" i="8"/>
  <c r="AC47" i="8"/>
  <c r="AC44" i="8"/>
  <c r="AC45" i="8"/>
  <c r="AC42" i="8"/>
  <c r="AC43" i="8"/>
  <c r="AC40" i="8"/>
  <c r="AC41" i="8"/>
  <c r="A144" i="19"/>
  <c r="A145" i="19" s="1"/>
  <c r="A146" i="19" s="1"/>
  <c r="A147" i="19" s="1"/>
  <c r="A148" i="19" l="1"/>
  <c r="A149" i="19" l="1"/>
  <c r="A150" i="19" l="1"/>
  <c r="A151" i="19" l="1"/>
  <c r="A152" i="19" l="1"/>
  <c r="A153" i="19" l="1"/>
  <c r="A154" i="19" l="1"/>
  <c r="A155" i="19" l="1"/>
  <c r="A156" i="19" l="1"/>
  <c r="A157" i="19" l="1"/>
  <c r="A158" i="19" l="1"/>
  <c r="A159" i="19" l="1"/>
  <c r="A160" i="19" s="1"/>
  <c r="A161" i="19" s="1"/>
  <c r="A162" i="19" s="1"/>
  <c r="A163" i="19" l="1"/>
  <c r="A164" i="19" l="1"/>
  <c r="A165" i="19" l="1"/>
  <c r="A166" i="19" l="1"/>
  <c r="A167" i="19" l="1"/>
  <c r="A168" i="19" l="1"/>
  <c r="A169" i="19" l="1"/>
  <c r="A170" i="19" l="1"/>
  <c r="A171" i="19" l="1"/>
  <c r="A172" i="19" l="1"/>
  <c r="AC34" i="8" l="1"/>
  <c r="A173" i="19"/>
  <c r="A174" i="19" l="1"/>
  <c r="A175" i="19" s="1"/>
  <c r="A176" i="19" s="1"/>
  <c r="A177" i="19" s="1"/>
  <c r="A178" i="19" l="1"/>
  <c r="A179" i="19" l="1"/>
  <c r="A180" i="19" l="1"/>
  <c r="A181" i="19" l="1"/>
  <c r="A182" i="19" l="1"/>
  <c r="HB76" i="8"/>
  <c r="KK71" i="8"/>
  <c r="GC59" i="8"/>
  <c r="IC76" i="8"/>
  <c r="HV60" i="8"/>
  <c r="IJ48" i="8"/>
  <c r="KR55" i="8"/>
  <c r="KH44" i="8"/>
  <c r="GY63" i="8"/>
  <c r="GA69" i="8"/>
  <c r="JK74" i="8"/>
  <c r="FZ74" i="8"/>
  <c r="HW65" i="8"/>
  <c r="IM73" i="8"/>
  <c r="C148" i="19"/>
  <c r="JB71" i="8"/>
  <c r="GW69" i="8"/>
  <c r="HY40" i="8"/>
  <c r="JI66" i="8"/>
  <c r="IB75" i="8"/>
  <c r="IY54" i="8"/>
  <c r="HH37" i="8"/>
  <c r="IP43" i="8"/>
  <c r="HD75" i="8"/>
  <c r="GY75" i="8"/>
  <c r="FW42" i="8"/>
  <c r="JV45" i="8"/>
  <c r="KA60" i="8"/>
  <c r="KO37" i="8"/>
  <c r="IJ58" i="8"/>
  <c r="GN67" i="8"/>
  <c r="GS52" i="8"/>
  <c r="JJ70" i="8"/>
  <c r="JS51" i="8"/>
  <c r="JX49" i="8"/>
  <c r="IV28" i="8"/>
  <c r="JY45" i="8"/>
  <c r="KP57" i="8"/>
  <c r="GR40" i="8"/>
  <c r="HS75" i="8"/>
  <c r="GY35" i="8"/>
  <c r="JP62" i="8"/>
  <c r="KA49" i="8"/>
  <c r="JT49" i="8"/>
  <c r="HR65" i="8"/>
  <c r="HW70" i="8"/>
  <c r="KB73" i="8"/>
  <c r="KS38" i="8"/>
  <c r="GI55" i="8"/>
  <c r="KF38" i="8"/>
  <c r="IZ50" i="8"/>
  <c r="GX44" i="8"/>
  <c r="IO67" i="8"/>
  <c r="KQ76" i="8"/>
  <c r="FO48" i="8"/>
  <c r="HN36" i="8"/>
  <c r="FK60" i="8"/>
  <c r="HV44" i="8"/>
  <c r="GM66" i="8"/>
  <c r="II57" i="8"/>
  <c r="GZ41" i="8"/>
  <c r="KG30" i="8"/>
  <c r="HG47" i="8"/>
  <c r="JM62" i="8"/>
  <c r="JA36" i="8"/>
  <c r="IH76" i="8"/>
  <c r="GW65" i="8"/>
  <c r="IL28" i="8"/>
  <c r="KL56" i="8"/>
  <c r="JS43" i="8"/>
  <c r="IL53" i="8"/>
  <c r="FU65" i="8"/>
  <c r="GS39" i="8"/>
  <c r="HY38" i="8"/>
  <c r="JV27" i="8"/>
  <c r="IH32" i="8"/>
  <c r="HW29" i="8"/>
  <c r="FR41" i="8"/>
  <c r="IA60" i="8"/>
  <c r="GA52" i="8"/>
  <c r="FV49" i="8"/>
  <c r="KU46" i="8"/>
  <c r="IW52" i="8"/>
  <c r="JV76" i="8"/>
  <c r="FY57" i="8"/>
  <c r="GT60" i="8"/>
  <c r="GW53" i="8"/>
  <c r="FU60" i="8"/>
  <c r="HT31" i="8"/>
  <c r="KG55" i="8"/>
  <c r="GG36" i="8"/>
  <c r="KO57" i="8"/>
  <c r="HQ42" i="8"/>
  <c r="GS65" i="8"/>
  <c r="IJ59" i="8"/>
  <c r="IM39" i="8"/>
  <c r="HS34" i="8"/>
  <c r="GR34" i="8"/>
  <c r="FY27" i="8"/>
  <c r="JM63" i="8"/>
  <c r="GS74" i="8"/>
  <c r="KL61" i="8"/>
  <c r="GB64" i="8"/>
  <c r="HV52" i="8"/>
  <c r="IR63" i="8"/>
  <c r="IS75" i="8"/>
  <c r="JV51" i="8"/>
  <c r="FV60" i="8"/>
  <c r="IM28" i="8"/>
  <c r="GV28" i="8"/>
  <c r="IX56" i="8"/>
  <c r="GN72" i="8"/>
  <c r="HP42" i="8"/>
  <c r="GT59" i="8"/>
  <c r="HJ74" i="8"/>
  <c r="KM44" i="8"/>
  <c r="HN59" i="8"/>
  <c r="IU67" i="8"/>
  <c r="IG44" i="8"/>
  <c r="JN43" i="8"/>
  <c r="GZ58" i="8"/>
  <c r="HR50" i="8"/>
  <c r="FR40" i="8"/>
  <c r="KC28" i="8"/>
  <c r="GN45" i="8"/>
  <c r="IU37" i="8"/>
  <c r="JH48" i="8"/>
  <c r="JM46" i="8"/>
  <c r="HA58" i="8"/>
  <c r="JR50" i="8"/>
  <c r="IU71" i="8"/>
  <c r="IC52" i="8"/>
  <c r="HU66" i="8"/>
  <c r="GU36" i="8"/>
  <c r="HZ51" i="8"/>
  <c r="KG70" i="8"/>
  <c r="HP27" i="8"/>
  <c r="FV44" i="8"/>
  <c r="IY33" i="8"/>
  <c r="GX41" i="8"/>
  <c r="JR71" i="8"/>
  <c r="KJ53" i="8"/>
  <c r="IB40" i="8"/>
  <c r="GM61" i="8"/>
  <c r="KS34" i="8"/>
  <c r="HN60" i="8"/>
  <c r="HI27" i="8"/>
  <c r="GH56" i="8"/>
  <c r="HV32" i="8"/>
  <c r="JW29" i="8"/>
  <c r="HO52" i="8"/>
  <c r="FP43" i="8"/>
  <c r="IL50" i="8"/>
  <c r="JU29" i="8"/>
  <c r="GP63" i="8"/>
  <c r="II73" i="8"/>
  <c r="JW59" i="8"/>
  <c r="KK36" i="8"/>
  <c r="KQ46" i="8"/>
  <c r="FU57" i="8"/>
  <c r="JY35" i="8"/>
  <c r="JO45" i="8"/>
  <c r="HW28" i="8"/>
  <c r="GD27" i="8"/>
  <c r="IT58" i="8"/>
  <c r="JK73" i="8"/>
  <c r="JG50" i="8"/>
  <c r="KD27" i="8"/>
  <c r="HN51" i="8"/>
  <c r="JB61" i="8"/>
  <c r="GV46" i="8"/>
  <c r="GX50" i="8"/>
  <c r="KS70" i="8"/>
  <c r="HC56" i="8"/>
  <c r="IL49" i="8"/>
  <c r="HZ53" i="8"/>
  <c r="KW44" i="8"/>
  <c r="JT30" i="8"/>
  <c r="JR63" i="8"/>
  <c r="B128" i="19"/>
  <c r="IR53" i="8"/>
  <c r="IQ76" i="8"/>
  <c r="GB38" i="8"/>
  <c r="GU59" i="8"/>
  <c r="G51" i="19"/>
  <c r="FU74" i="8"/>
  <c r="KT48" i="8"/>
  <c r="KA54" i="8"/>
  <c r="IH39" i="8"/>
  <c r="FK55" i="8"/>
  <c r="HR66" i="8"/>
  <c r="KS60" i="8"/>
  <c r="II63" i="8"/>
  <c r="IU59" i="8"/>
  <c r="IM37" i="8"/>
  <c r="GF58" i="8"/>
  <c r="IO36" i="8"/>
  <c r="JE35" i="8"/>
  <c r="IX61" i="8"/>
  <c r="HQ47" i="8"/>
  <c r="JH53" i="8"/>
  <c r="JO65" i="8"/>
  <c r="IW76" i="8"/>
  <c r="GF55" i="8"/>
  <c r="KJ59" i="8"/>
  <c r="HF32" i="8"/>
  <c r="JT48" i="8"/>
  <c r="JV64" i="8"/>
  <c r="HQ45" i="8"/>
  <c r="HT34" i="8"/>
  <c r="IU40" i="8"/>
  <c r="KV47" i="8"/>
  <c r="KO58" i="8"/>
  <c r="GQ54" i="8"/>
  <c r="HI43" i="8"/>
  <c r="JT55" i="8"/>
  <c r="FT49" i="8"/>
  <c r="KM40" i="8"/>
  <c r="GT31" i="8"/>
  <c r="IP63" i="8"/>
  <c r="KP47" i="8"/>
  <c r="JH58" i="8"/>
  <c r="HZ68" i="8"/>
  <c r="FZ68" i="8"/>
  <c r="KX38" i="8"/>
  <c r="KJ55" i="8"/>
  <c r="GX42" i="8"/>
  <c r="HV70" i="8"/>
  <c r="KP34" i="8"/>
  <c r="IT71" i="8"/>
  <c r="JU32" i="8"/>
  <c r="KR65" i="8"/>
  <c r="ID48" i="8"/>
  <c r="KD61" i="8"/>
  <c r="KL46" i="8"/>
  <c r="JA42" i="8"/>
  <c r="JK38" i="8"/>
  <c r="HI57" i="8"/>
  <c r="JQ52" i="8"/>
  <c r="KR47" i="8"/>
  <c r="IZ72" i="8"/>
  <c r="GZ43" i="8"/>
  <c r="HD72" i="8"/>
  <c r="FL75" i="8"/>
  <c r="J54" i="19"/>
  <c r="HG69" i="8"/>
  <c r="JB30" i="8"/>
  <c r="GP37" i="8"/>
  <c r="HP44" i="8"/>
  <c r="GV37" i="8"/>
  <c r="IU44" i="8"/>
  <c r="ID54" i="8"/>
  <c r="GD58" i="8"/>
  <c r="HN39" i="8"/>
  <c r="IS53" i="8"/>
  <c r="HV54" i="8"/>
  <c r="JH31" i="8"/>
  <c r="HN28" i="8"/>
  <c r="IV54" i="8"/>
  <c r="KM59" i="8"/>
  <c r="KN27" i="8"/>
  <c r="HI67" i="8"/>
  <c r="JW55" i="8"/>
  <c r="HN46" i="8"/>
  <c r="GU55" i="8"/>
  <c r="HK28" i="8"/>
  <c r="JV73" i="8"/>
  <c r="GG62" i="8"/>
  <c r="JB68" i="8"/>
  <c r="FR31" i="8"/>
  <c r="HP58" i="8"/>
  <c r="IV46" i="8"/>
  <c r="IE47" i="8"/>
  <c r="JA57" i="8"/>
  <c r="KE74" i="8"/>
  <c r="KM29" i="8"/>
  <c r="HM27" i="8"/>
  <c r="HH29" i="8"/>
  <c r="HJ38" i="8"/>
  <c r="GS62" i="8"/>
  <c r="FL50" i="8"/>
  <c r="GM62" i="8"/>
  <c r="HR75" i="8"/>
  <c r="HO43" i="8"/>
  <c r="KL72" i="8"/>
  <c r="FP54" i="8"/>
  <c r="JK55" i="8"/>
  <c r="KF33" i="8"/>
  <c r="HW57" i="8"/>
  <c r="GP49" i="8"/>
  <c r="KG31" i="8"/>
  <c r="IN63" i="8"/>
  <c r="HL34" i="8"/>
  <c r="HQ31" i="8"/>
  <c r="FS69" i="8"/>
  <c r="FN31" i="8"/>
  <c r="HY47" i="8"/>
  <c r="KU29" i="8"/>
  <c r="FW56" i="8"/>
  <c r="U51" i="19"/>
  <c r="HO59" i="8"/>
  <c r="GI29" i="8"/>
  <c r="IZ34" i="8"/>
  <c r="KQ73" i="8"/>
  <c r="J53" i="19"/>
  <c r="GS68" i="8"/>
  <c r="IU56" i="8"/>
  <c r="HE59" i="8"/>
  <c r="GE51" i="8"/>
  <c r="IZ59" i="8"/>
  <c r="HJ50" i="8"/>
  <c r="IS54" i="8"/>
  <c r="HC27" i="8"/>
  <c r="FQ76" i="8"/>
  <c r="JB67" i="8"/>
  <c r="KN68" i="8"/>
  <c r="FL63" i="8"/>
  <c r="GC73" i="8"/>
  <c r="JK54" i="8"/>
  <c r="GY66" i="8"/>
  <c r="FO63" i="8"/>
  <c r="GB60" i="8"/>
  <c r="KJ44" i="8"/>
  <c r="HD53" i="8"/>
  <c r="JJ75" i="8"/>
  <c r="KL32" i="8"/>
  <c r="IJ46" i="8"/>
  <c r="KN33" i="8"/>
  <c r="KF37" i="8"/>
  <c r="KT28" i="8"/>
  <c r="FO69" i="8"/>
  <c r="KU43" i="8"/>
  <c r="GG51" i="8"/>
  <c r="FK53" i="8"/>
  <c r="JC28" i="8"/>
  <c r="JL65" i="8"/>
  <c r="IF32" i="8"/>
  <c r="FK43" i="8"/>
  <c r="KK30" i="8"/>
  <c r="GE32" i="8"/>
  <c r="GJ28" i="8"/>
  <c r="IZ58" i="8"/>
  <c r="IY61" i="8"/>
  <c r="HU60" i="8"/>
  <c r="IX37" i="8"/>
  <c r="JJ74" i="8"/>
  <c r="HO46" i="8"/>
  <c r="HQ48" i="8"/>
  <c r="HO71" i="8"/>
  <c r="HX43" i="8"/>
  <c r="ID51" i="8"/>
  <c r="IZ76" i="8"/>
  <c r="GJ27" i="8"/>
  <c r="JL63" i="8"/>
  <c r="JD36" i="8"/>
  <c r="HA35" i="8"/>
  <c r="JS57" i="8"/>
  <c r="GK48" i="8"/>
  <c r="FW62" i="8"/>
  <c r="GS64" i="8"/>
  <c r="GK30" i="8"/>
  <c r="JB28" i="8"/>
  <c r="HM42" i="8"/>
  <c r="JA29" i="8"/>
  <c r="KX44" i="8"/>
  <c r="HZ43" i="8"/>
  <c r="KN29" i="8"/>
  <c r="HP55" i="8"/>
  <c r="IV74" i="8"/>
  <c r="IO75" i="8"/>
  <c r="HD71" i="8"/>
  <c r="FT27" i="8"/>
  <c r="IX40" i="8"/>
  <c r="FT63" i="8"/>
  <c r="GX34" i="8"/>
  <c r="FV66" i="8"/>
  <c r="JM33" i="8"/>
  <c r="JG44" i="8"/>
  <c r="IN74" i="8"/>
  <c r="GE65" i="8"/>
  <c r="IC45" i="8"/>
  <c r="FU39" i="8"/>
  <c r="GY74" i="8"/>
  <c r="FO72" i="8"/>
  <c r="FV46" i="8"/>
  <c r="HX70" i="8"/>
  <c r="IA72" i="8"/>
  <c r="GG37" i="8"/>
  <c r="B53" i="19"/>
  <c r="JJ63" i="8"/>
  <c r="JT59" i="8"/>
  <c r="GJ74" i="8"/>
  <c r="JR70" i="8"/>
  <c r="IK44" i="8"/>
  <c r="JH52" i="8"/>
  <c r="FS55" i="8"/>
  <c r="JW62" i="8"/>
  <c r="IB60" i="8"/>
  <c r="HX27" i="8"/>
  <c r="KU41" i="8"/>
  <c r="IU39" i="8"/>
  <c r="HX49" i="8"/>
  <c r="KE64" i="8"/>
  <c r="HA69" i="8"/>
  <c r="JF55" i="8"/>
  <c r="FK52" i="8"/>
  <c r="HU68" i="8"/>
  <c r="GT58" i="8"/>
  <c r="HZ52" i="8"/>
  <c r="IL68" i="8"/>
  <c r="KO41" i="8"/>
  <c r="KC33" i="8"/>
  <c r="KX73" i="8"/>
  <c r="GQ65" i="8"/>
  <c r="GC57" i="8"/>
  <c r="JN33" i="8"/>
  <c r="HN52" i="8"/>
  <c r="JV67" i="8"/>
  <c r="GU40" i="8"/>
  <c r="HA50" i="8"/>
  <c r="IZ63" i="8"/>
  <c r="GL46" i="8"/>
  <c r="GM45" i="8"/>
  <c r="JO76" i="8"/>
  <c r="HA34" i="8"/>
  <c r="HO41" i="8"/>
  <c r="KV48" i="8"/>
  <c r="IX72" i="8"/>
  <c r="GD43" i="8"/>
  <c r="HP39" i="8"/>
  <c r="KV63" i="8"/>
  <c r="GE73" i="8"/>
  <c r="JM70" i="8"/>
  <c r="IV32" i="8"/>
  <c r="FO76" i="8"/>
  <c r="IK54" i="8"/>
  <c r="GF76" i="8"/>
  <c r="JU54" i="8"/>
  <c r="GO56" i="8"/>
  <c r="GO59" i="8"/>
  <c r="FV33" i="8"/>
  <c r="JR34" i="8"/>
  <c r="FT31" i="8"/>
  <c r="FQ35" i="8"/>
  <c r="HI58" i="8"/>
  <c r="IJ73" i="8"/>
  <c r="HE41" i="8"/>
  <c r="IU68" i="8"/>
  <c r="HE76" i="8"/>
  <c r="HT39" i="8"/>
  <c r="FY28" i="8"/>
  <c r="JI47" i="8"/>
  <c r="JE58" i="8"/>
  <c r="HN68" i="8"/>
  <c r="HH50" i="8"/>
  <c r="HX36" i="8"/>
  <c r="IO58" i="8"/>
  <c r="GK68" i="8"/>
  <c r="GI68" i="8"/>
  <c r="JF34" i="8"/>
  <c r="JV43" i="8"/>
  <c r="KT71" i="8"/>
  <c r="HV27" i="8"/>
  <c r="FP76" i="8"/>
  <c r="JK36" i="8"/>
  <c r="HC31" i="8"/>
  <c r="JV39" i="8"/>
  <c r="FY58" i="8"/>
  <c r="JY38" i="8"/>
  <c r="FR37" i="8"/>
  <c r="IB29" i="8"/>
  <c r="IL58" i="8"/>
  <c r="KK47" i="8"/>
  <c r="KF36" i="8"/>
  <c r="JU56" i="8"/>
  <c r="JC63" i="8"/>
  <c r="KH36" i="8"/>
  <c r="IU45" i="8"/>
  <c r="IC51" i="8"/>
  <c r="KM34" i="8"/>
  <c r="GH47" i="8"/>
  <c r="JT32" i="8"/>
  <c r="HR37" i="8"/>
  <c r="KE42" i="8"/>
  <c r="HI44" i="8"/>
  <c r="FN63" i="8"/>
  <c r="KV70" i="8"/>
  <c r="FL47" i="8"/>
  <c r="IY71" i="8"/>
  <c r="HH69" i="8"/>
  <c r="KC27" i="8"/>
  <c r="HH47" i="8"/>
  <c r="HW58" i="8"/>
  <c r="KU53" i="8"/>
  <c r="KO43" i="8"/>
  <c r="HM33" i="8"/>
  <c r="GW30" i="8"/>
  <c r="IT73" i="8"/>
  <c r="FS72" i="8"/>
  <c r="IT41" i="8"/>
  <c r="KM67" i="8"/>
  <c r="IZ74" i="8"/>
  <c r="KA50" i="8"/>
  <c r="FP44" i="8"/>
  <c r="HS67" i="8"/>
  <c r="GI41" i="8"/>
  <c r="KC65" i="8"/>
  <c r="JA28" i="8"/>
  <c r="IV53" i="8"/>
  <c r="HF51" i="8"/>
  <c r="GY41" i="8"/>
  <c r="GY48" i="8"/>
  <c r="HV31" i="8"/>
  <c r="KH56" i="8"/>
  <c r="KJ54" i="8"/>
  <c r="GQ52" i="8"/>
  <c r="FY36" i="8"/>
  <c r="FK62" i="8"/>
  <c r="IW62" i="8"/>
  <c r="KG29" i="8"/>
  <c r="KC63" i="8"/>
  <c r="JX62" i="8"/>
  <c r="HK42" i="8"/>
  <c r="KQ37" i="8"/>
  <c r="IE54" i="8"/>
  <c r="GW48" i="8"/>
  <c r="JN28" i="8"/>
  <c r="FN29" i="8"/>
  <c r="JS49" i="8"/>
  <c r="HE30" i="8"/>
  <c r="ID62" i="8"/>
  <c r="HB68" i="8"/>
  <c r="IN57" i="8"/>
  <c r="HV33" i="8"/>
  <c r="JT61" i="8"/>
  <c r="IW34" i="8"/>
  <c r="GC29" i="8"/>
  <c r="FT47" i="8"/>
  <c r="HV53" i="8"/>
  <c r="JC48" i="8"/>
  <c r="HB70" i="8"/>
  <c r="GZ52" i="8"/>
  <c r="JO28" i="8"/>
  <c r="ID53" i="8"/>
  <c r="IN64" i="8"/>
  <c r="GN43" i="8"/>
  <c r="KO49" i="8"/>
  <c r="JQ31" i="8"/>
  <c r="GO73" i="8"/>
  <c r="IB58" i="8"/>
  <c r="FX49" i="8"/>
  <c r="GL69" i="8"/>
  <c r="JW76" i="8"/>
  <c r="JH72" i="8"/>
  <c r="HF34" i="8"/>
  <c r="HW41" i="8"/>
  <c r="JX65" i="8"/>
  <c r="HS41" i="8"/>
  <c r="GV47" i="8"/>
  <c r="KF29" i="8"/>
  <c r="GC54" i="8"/>
  <c r="GY49" i="8"/>
  <c r="HQ68" i="8"/>
  <c r="IY59" i="8"/>
  <c r="HX75" i="8"/>
  <c r="HN64" i="8"/>
  <c r="HT47" i="8"/>
  <c r="KR73" i="8"/>
  <c r="JM60" i="8"/>
  <c r="JF43" i="8"/>
  <c r="HQ49" i="8"/>
  <c r="JW60" i="8"/>
  <c r="IH56" i="8"/>
  <c r="GX38" i="8"/>
  <c r="JT52" i="8"/>
  <c r="GA36" i="8"/>
  <c r="JV59" i="8"/>
  <c r="KP72" i="8"/>
  <c r="X52" i="19"/>
  <c r="GU47" i="8"/>
  <c r="HX41" i="8"/>
  <c r="JN44" i="8"/>
  <c r="IC30" i="8"/>
  <c r="JD38" i="8"/>
  <c r="GB74" i="8"/>
  <c r="IK28" i="8"/>
  <c r="FY31" i="8"/>
  <c r="FT45" i="8"/>
  <c r="HI56" i="8"/>
  <c r="ID27" i="8"/>
  <c r="KU40" i="8"/>
  <c r="JT37" i="8"/>
  <c r="GJ76" i="8"/>
  <c r="IM59" i="8"/>
  <c r="KW61" i="8"/>
  <c r="HD34" i="8"/>
  <c r="IZ73" i="8"/>
  <c r="KN41" i="8"/>
  <c r="KX48" i="8"/>
  <c r="GW60" i="8"/>
  <c r="JU33" i="8"/>
  <c r="IB53" i="8"/>
  <c r="FW47" i="8"/>
  <c r="KK48" i="8"/>
  <c r="FW43" i="8"/>
  <c r="HQ55" i="8"/>
  <c r="GB37" i="8"/>
  <c r="GK35" i="8"/>
  <c r="KX72" i="8"/>
  <c r="KU31" i="8"/>
  <c r="GG67" i="8"/>
  <c r="GC64" i="8"/>
  <c r="HP65" i="8"/>
  <c r="HL59" i="8"/>
  <c r="IR52" i="8"/>
  <c r="KC32" i="8"/>
  <c r="GI66" i="8"/>
  <c r="GA68" i="8"/>
  <c r="HQ74" i="8"/>
  <c r="KF47" i="8"/>
  <c r="IZ32" i="8"/>
  <c r="GR71" i="8"/>
  <c r="GN31" i="8"/>
  <c r="FT53" i="8"/>
  <c r="IM48" i="8"/>
  <c r="KL62" i="8"/>
  <c r="GK46" i="8"/>
  <c r="GT66" i="8"/>
  <c r="JT53" i="8"/>
  <c r="IS69" i="8"/>
  <c r="IF52" i="8"/>
  <c r="FM53" i="8"/>
  <c r="KG46" i="8"/>
  <c r="JQ55" i="8"/>
  <c r="FV42" i="8"/>
  <c r="JZ60" i="8"/>
  <c r="HF62" i="8"/>
  <c r="GE34" i="8"/>
  <c r="GO65" i="8"/>
  <c r="IN65" i="8"/>
  <c r="HB34" i="8"/>
  <c r="IW35" i="8"/>
  <c r="KO53" i="8"/>
  <c r="IX31" i="8"/>
  <c r="KB51" i="8"/>
  <c r="GH38" i="8"/>
  <c r="HQ66" i="8"/>
  <c r="HM76" i="8"/>
  <c r="KP73" i="8"/>
  <c r="FO42" i="8"/>
  <c r="JA49" i="8"/>
  <c r="FT43" i="8"/>
  <c r="KH60" i="8"/>
  <c r="FV73" i="8"/>
  <c r="IU72" i="8"/>
  <c r="HK63" i="8"/>
  <c r="KF60" i="8"/>
  <c r="JM32" i="8"/>
  <c r="HD52" i="8"/>
  <c r="GZ74" i="8"/>
  <c r="HV55" i="8"/>
  <c r="FQ32" i="8"/>
  <c r="HY61" i="8"/>
  <c r="IT31" i="8"/>
  <c r="GP42" i="8"/>
  <c r="IV56" i="8"/>
  <c r="KC30" i="8"/>
  <c r="IN53" i="8"/>
  <c r="JI73" i="8"/>
  <c r="JX61" i="8"/>
  <c r="GV48" i="8"/>
  <c r="JY30" i="8"/>
  <c r="HI72" i="8"/>
  <c r="JG34" i="8"/>
  <c r="IC33" i="8"/>
  <c r="HA27" i="8"/>
  <c r="FR34" i="8"/>
  <c r="JY76" i="8"/>
  <c r="HE72" i="8"/>
  <c r="GG73" i="8"/>
  <c r="KF76" i="8"/>
  <c r="GF46" i="8"/>
  <c r="JG70" i="8"/>
  <c r="KA69" i="8"/>
  <c r="KG27" i="8"/>
  <c r="HO63" i="8"/>
  <c r="HL76" i="8"/>
  <c r="HX28" i="8"/>
  <c r="HX68" i="8"/>
  <c r="KW30" i="8"/>
  <c r="FN48" i="8"/>
  <c r="GK36" i="8"/>
  <c r="KB74" i="8"/>
  <c r="JS62" i="8"/>
  <c r="IJ67" i="8"/>
  <c r="IC39" i="8"/>
  <c r="IN51" i="8"/>
  <c r="JO58" i="8"/>
  <c r="II36" i="8"/>
  <c r="GW47" i="8"/>
  <c r="KT76" i="8"/>
  <c r="HG72" i="8"/>
  <c r="HO34" i="8"/>
  <c r="IL40" i="8"/>
  <c r="KN58" i="8"/>
  <c r="IL60" i="8"/>
  <c r="GI69" i="8"/>
  <c r="GA29" i="8"/>
  <c r="HF38" i="8"/>
  <c r="FO32" i="8"/>
  <c r="KM35" i="8"/>
  <c r="HF37" i="8"/>
  <c r="GQ29" i="8"/>
  <c r="HT42" i="8"/>
  <c r="HZ73" i="8"/>
  <c r="IG43" i="8"/>
  <c r="FU59" i="8"/>
  <c r="KE75" i="8"/>
  <c r="KL37" i="8"/>
  <c r="HG65" i="8"/>
  <c r="GJ38" i="8"/>
  <c r="KH46" i="8"/>
  <c r="GM67" i="8"/>
  <c r="IV29" i="8"/>
  <c r="GJ30" i="8"/>
  <c r="KC50" i="8"/>
  <c r="GH46" i="8"/>
  <c r="FZ28" i="8"/>
  <c r="GX65" i="8"/>
  <c r="IH55" i="8"/>
  <c r="HK56" i="8"/>
  <c r="GD62" i="8"/>
  <c r="KN62" i="8"/>
  <c r="HF48" i="8"/>
  <c r="JL50" i="8"/>
  <c r="GX27" i="8"/>
  <c r="II70" i="8"/>
  <c r="JC35" i="8"/>
  <c r="KU63" i="8"/>
  <c r="JY46" i="8"/>
  <c r="GR76" i="8"/>
  <c r="KK63" i="8"/>
  <c r="GV59" i="8"/>
  <c r="IC68" i="8"/>
  <c r="HT67" i="8"/>
  <c r="IN38" i="8"/>
  <c r="HD51" i="8"/>
  <c r="HV43" i="8"/>
  <c r="HS72" i="8"/>
  <c r="GH44" i="8"/>
  <c r="IK75" i="8"/>
  <c r="IK59" i="8"/>
  <c r="KC47" i="8"/>
  <c r="JA34" i="8"/>
  <c r="HA31" i="8"/>
  <c r="GJ36" i="8"/>
  <c r="KX28" i="8"/>
  <c r="JT57" i="8"/>
  <c r="IC40" i="8"/>
  <c r="KR37" i="8"/>
  <c r="JA64" i="8"/>
  <c r="JJ46" i="8"/>
  <c r="HW48" i="8"/>
  <c r="KK67" i="8"/>
  <c r="GX46" i="8"/>
  <c r="HZ27" i="8"/>
  <c r="HO28" i="8"/>
  <c r="GO46" i="8"/>
  <c r="JE68" i="8"/>
  <c r="FW61" i="8"/>
  <c r="HG61" i="8"/>
  <c r="JQ60" i="8"/>
  <c r="JG53" i="8"/>
  <c r="JJ72" i="8"/>
  <c r="HB49" i="8"/>
  <c r="FZ60" i="8"/>
  <c r="HM56" i="8"/>
  <c r="IU30" i="8"/>
  <c r="KJ36" i="8"/>
  <c r="JO37" i="8"/>
  <c r="GV64" i="8"/>
  <c r="HX61" i="8"/>
  <c r="GU75" i="8"/>
  <c r="IM51" i="8"/>
  <c r="HL70" i="8"/>
  <c r="IL74" i="8"/>
  <c r="FY50" i="8"/>
  <c r="IC67" i="8"/>
  <c r="KL42" i="8"/>
  <c r="IO51" i="8"/>
  <c r="GF38" i="8"/>
  <c r="IV61" i="8"/>
  <c r="GC46" i="8"/>
  <c r="ID66" i="8"/>
  <c r="GP64" i="8"/>
  <c r="GY27" i="8"/>
  <c r="IX62" i="8"/>
  <c r="E53" i="19"/>
  <c r="IK69" i="8"/>
  <c r="HB40" i="8"/>
  <c r="KM72" i="8"/>
  <c r="IQ75" i="8"/>
  <c r="FX50" i="8"/>
  <c r="KJ52" i="8"/>
  <c r="GF44" i="8"/>
  <c r="KB32" i="8"/>
  <c r="HT70" i="8"/>
  <c r="HE43" i="8"/>
  <c r="HA54" i="8"/>
  <c r="GH30" i="8"/>
  <c r="JV62" i="8"/>
  <c r="KK44" i="8"/>
  <c r="KQ59" i="8"/>
  <c r="JZ49" i="8"/>
  <c r="KN36" i="8"/>
  <c r="HD44" i="8"/>
  <c r="IG58" i="8"/>
  <c r="GA57" i="8"/>
  <c r="IF73" i="8"/>
  <c r="HW54" i="8"/>
  <c r="IM31" i="8"/>
  <c r="GA43" i="8"/>
  <c r="KJ45" i="8"/>
  <c r="KR71" i="8"/>
  <c r="KU55" i="8"/>
  <c r="IW58" i="8"/>
  <c r="IQ48" i="8"/>
  <c r="HM70" i="8"/>
  <c r="JD65" i="8"/>
  <c r="GG45" i="8"/>
  <c r="IU31" i="8"/>
  <c r="JK57" i="8"/>
  <c r="HA56" i="8"/>
  <c r="JC29" i="8"/>
  <c r="IA33" i="8"/>
  <c r="GX73" i="8"/>
  <c r="IV35" i="8"/>
  <c r="HN67" i="8"/>
  <c r="GF70" i="8"/>
  <c r="GM55" i="8"/>
  <c r="JK64" i="8"/>
  <c r="FN65" i="8"/>
  <c r="JV52" i="8"/>
  <c r="KP32" i="8"/>
  <c r="JH61" i="8"/>
  <c r="FU29" i="8"/>
  <c r="FX32" i="8"/>
  <c r="KG66" i="8"/>
  <c r="FU63" i="8"/>
  <c r="HQ57" i="8"/>
  <c r="KD62" i="8"/>
  <c r="HW32" i="8"/>
  <c r="GI33" i="8"/>
  <c r="GV30" i="8"/>
  <c r="FX27" i="8"/>
  <c r="GO68" i="8"/>
  <c r="IU53" i="8"/>
  <c r="JK35" i="8"/>
  <c r="HS51" i="8"/>
  <c r="GA65" i="8"/>
  <c r="FX76" i="8"/>
  <c r="KU51" i="8"/>
  <c r="KE71" i="8"/>
  <c r="KO44" i="8"/>
  <c r="KI64" i="8"/>
  <c r="IA76" i="8"/>
  <c r="HC58" i="8"/>
  <c r="JK53" i="8"/>
  <c r="FO34" i="8"/>
  <c r="FU53" i="8"/>
  <c r="IW43" i="8"/>
  <c r="HZ40" i="8"/>
  <c r="IR67" i="8"/>
  <c r="JE62" i="8"/>
  <c r="ID70" i="8"/>
  <c r="GR72" i="8"/>
  <c r="GT74" i="8"/>
  <c r="IO57" i="8"/>
  <c r="KP64" i="8"/>
  <c r="IM76" i="8"/>
  <c r="IT42" i="8"/>
  <c r="GQ33" i="8"/>
  <c r="KP53" i="8"/>
  <c r="GL35" i="8"/>
  <c r="HF41" i="8"/>
  <c r="IX53" i="8"/>
  <c r="GC55" i="8"/>
  <c r="GS66" i="8"/>
  <c r="GE54" i="8"/>
  <c r="FT68" i="8"/>
  <c r="KV46" i="8"/>
  <c r="KD68" i="8"/>
  <c r="HL42" i="8"/>
  <c r="KL53" i="8"/>
  <c r="JH37" i="8"/>
  <c r="JS38" i="8"/>
  <c r="KL35" i="8"/>
  <c r="HV72" i="8"/>
  <c r="IB71" i="8"/>
  <c r="IU34" i="8"/>
  <c r="KR52" i="8"/>
  <c r="F53" i="19"/>
  <c r="FP61" i="8"/>
  <c r="GK45" i="8"/>
  <c r="HI36" i="8"/>
  <c r="HD45" i="8"/>
  <c r="KS68" i="8"/>
  <c r="GW49" i="8"/>
  <c r="HE73" i="8"/>
  <c r="JR32" i="8"/>
  <c r="HS47" i="8"/>
  <c r="JV30" i="8"/>
  <c r="HK62" i="8"/>
  <c r="FZ53" i="8"/>
  <c r="IT48" i="8"/>
  <c r="GW73" i="8"/>
  <c r="JR40" i="8"/>
  <c r="IA47" i="8"/>
  <c r="GL40" i="8"/>
  <c r="HR74" i="8"/>
  <c r="HX72" i="8"/>
  <c r="JX40" i="8"/>
  <c r="IQ65" i="8"/>
  <c r="GX45" i="8"/>
  <c r="JC34" i="8"/>
  <c r="GI49" i="8"/>
  <c r="IP35" i="8"/>
  <c r="IJ69" i="8"/>
  <c r="HE50" i="8"/>
  <c r="KV72" i="8"/>
  <c r="JP27" i="8"/>
  <c r="GC67" i="8"/>
  <c r="HY37" i="8"/>
  <c r="HC29" i="8"/>
  <c r="JT36" i="8"/>
  <c r="HN33" i="8"/>
  <c r="HX32" i="8"/>
  <c r="JW57" i="8"/>
  <c r="HC65" i="8"/>
  <c r="KU74" i="8"/>
  <c r="IK57" i="8"/>
  <c r="HC43" i="8"/>
  <c r="GK67" i="8"/>
  <c r="FR29" i="8"/>
  <c r="JM55" i="8"/>
  <c r="HE31" i="8"/>
  <c r="KT35" i="8"/>
  <c r="KP44" i="8"/>
  <c r="KL75" i="8"/>
  <c r="GI58" i="8"/>
  <c r="JD30" i="8"/>
  <c r="FT54" i="8"/>
  <c r="JT66" i="8"/>
  <c r="GL50" i="8"/>
  <c r="HT38" i="8"/>
  <c r="IA61" i="8"/>
  <c r="IQ72" i="8"/>
  <c r="GP47" i="8"/>
  <c r="HJ28" i="8"/>
  <c r="GW40" i="8"/>
  <c r="JU38" i="8"/>
  <c r="GI56" i="8"/>
  <c r="KM58" i="8"/>
  <c r="FZ35" i="8"/>
  <c r="FP67" i="8"/>
  <c r="GQ44" i="8"/>
  <c r="IJ31" i="8"/>
  <c r="JN58" i="8"/>
  <c r="HM32" i="8"/>
  <c r="KV39" i="8"/>
  <c r="IK48" i="8"/>
  <c r="HT48" i="8"/>
  <c r="FO43" i="8"/>
  <c r="GX40" i="8"/>
  <c r="IE64" i="8"/>
  <c r="JU69" i="8"/>
  <c r="GP31" i="8"/>
  <c r="FO52" i="8"/>
  <c r="JL58" i="8"/>
  <c r="HJ70" i="8"/>
  <c r="JP75" i="8"/>
  <c r="IH47" i="8"/>
  <c r="IT37" i="8"/>
  <c r="FK46" i="8"/>
  <c r="KG32" i="8"/>
  <c r="IO55" i="8"/>
  <c r="GH33" i="8"/>
  <c r="HZ30" i="8"/>
  <c r="KW40" i="8"/>
  <c r="FZ45" i="8"/>
  <c r="IN41" i="8"/>
  <c r="GA44" i="8"/>
  <c r="HK69" i="8"/>
  <c r="IG69" i="8"/>
  <c r="FU67" i="8"/>
  <c r="IC59" i="8"/>
  <c r="IX46" i="8"/>
  <c r="HA51" i="8"/>
  <c r="GW29" i="8"/>
  <c r="IC44" i="8"/>
  <c r="IQ40" i="8"/>
  <c r="JR51" i="8"/>
  <c r="JI63" i="8"/>
  <c r="KC61" i="8"/>
  <c r="FL65" i="8"/>
  <c r="HT45" i="8"/>
  <c r="GE35" i="8"/>
  <c r="FW72" i="8"/>
  <c r="HQ54" i="8"/>
  <c r="GC51" i="8"/>
  <c r="HJ29" i="8"/>
  <c r="JD47" i="8"/>
  <c r="FT32" i="8"/>
  <c r="KQ55" i="8"/>
  <c r="HP56" i="8"/>
  <c r="HY53" i="8"/>
  <c r="FW29" i="8"/>
  <c r="FN42" i="8"/>
  <c r="FP74" i="8"/>
  <c r="GV34" i="8"/>
  <c r="HZ28" i="8"/>
  <c r="JY68" i="8"/>
  <c r="GM50" i="8"/>
  <c r="FM36" i="8"/>
  <c r="JD41" i="8"/>
  <c r="JG68" i="8"/>
  <c r="FP51" i="8"/>
  <c r="JJ58" i="8"/>
  <c r="IM60" i="8"/>
  <c r="HQ43" i="8"/>
  <c r="FU35" i="8"/>
  <c r="IG68" i="8"/>
  <c r="GK57" i="8"/>
  <c r="GU65" i="8"/>
  <c r="IY64" i="8"/>
  <c r="KR53" i="8"/>
  <c r="FO67" i="8"/>
  <c r="GM63" i="8"/>
  <c r="KO55" i="8"/>
  <c r="IW36" i="8"/>
  <c r="KU56" i="8"/>
  <c r="KH28" i="8"/>
  <c r="IV36" i="8"/>
  <c r="JX46" i="8"/>
  <c r="KB41" i="8"/>
  <c r="GK54" i="8"/>
  <c r="GA50" i="8"/>
  <c r="HW73" i="8"/>
  <c r="FV58" i="8"/>
  <c r="IR27" i="8"/>
  <c r="HI62" i="8"/>
  <c r="FM27" i="8"/>
  <c r="IG51" i="8"/>
  <c r="JD56" i="8"/>
  <c r="JH71" i="8"/>
  <c r="JT65" i="8"/>
  <c r="HK35" i="8"/>
  <c r="HI45" i="8"/>
  <c r="FW45" i="8"/>
  <c r="GA60" i="8"/>
  <c r="GR70" i="8"/>
  <c r="HJ30" i="8"/>
  <c r="GN49" i="8"/>
  <c r="C134" i="19"/>
  <c r="HM74" i="8"/>
  <c r="GY57" i="8"/>
  <c r="HS27" i="8"/>
  <c r="FW39" i="8"/>
  <c r="KT32" i="8"/>
  <c r="GV33" i="8"/>
  <c r="HP34" i="8"/>
  <c r="FR46" i="8"/>
  <c r="GZ54" i="8"/>
  <c r="KP75" i="8"/>
  <c r="HM68" i="8"/>
  <c r="IT57" i="8"/>
  <c r="FS32" i="8"/>
  <c r="JC33" i="8"/>
  <c r="FW33" i="8"/>
  <c r="IV59" i="8"/>
  <c r="JT43" i="8"/>
  <c r="HN72" i="8"/>
  <c r="HN71" i="8"/>
  <c r="GU54" i="8"/>
  <c r="HI70" i="8"/>
  <c r="HZ36" i="8"/>
  <c r="HV73" i="8"/>
  <c r="IM33" i="8"/>
  <c r="JU27" i="8"/>
  <c r="IB44" i="8"/>
  <c r="FX29" i="8"/>
  <c r="IH46" i="8"/>
  <c r="KP27" i="8"/>
  <c r="FV70" i="8"/>
  <c r="HS63" i="8"/>
  <c r="GT76" i="8"/>
  <c r="HZ61" i="8"/>
  <c r="KU36" i="8"/>
  <c r="JE50" i="8"/>
  <c r="HT41" i="8"/>
  <c r="JF28" i="8"/>
  <c r="FR39" i="8"/>
  <c r="IW63" i="8"/>
  <c r="KW34" i="8"/>
  <c r="JP38" i="8"/>
  <c r="GB31" i="8"/>
  <c r="IJ32" i="8"/>
  <c r="KQ63" i="8"/>
  <c r="KT49" i="8"/>
  <c r="KC29" i="8"/>
  <c r="GU51" i="8"/>
  <c r="FQ50" i="8"/>
  <c r="FO51" i="8"/>
  <c r="HY66" i="8"/>
  <c r="FU49" i="8"/>
  <c r="HY50" i="8"/>
  <c r="GM69" i="8"/>
  <c r="GG52" i="8"/>
  <c r="KI71" i="8"/>
  <c r="GM28" i="8"/>
  <c r="JJ60" i="8"/>
  <c r="IT47" i="8"/>
  <c r="JH32" i="8"/>
  <c r="IS74" i="8"/>
  <c r="GK61" i="8"/>
  <c r="GA35" i="8"/>
  <c r="IE57" i="8"/>
  <c r="GR63" i="8"/>
  <c r="GR46" i="8"/>
  <c r="HL67" i="8"/>
  <c r="JP47" i="8"/>
  <c r="JP35" i="8"/>
  <c r="FO74" i="8"/>
  <c r="KQ70" i="8"/>
  <c r="GD63" i="8"/>
  <c r="KI72" i="8"/>
  <c r="GP72" i="8"/>
  <c r="JW74" i="8"/>
  <c r="KW54" i="8"/>
  <c r="KH63" i="8"/>
  <c r="IJ43" i="8"/>
  <c r="KP55" i="8"/>
  <c r="IE49" i="8"/>
  <c r="HB65" i="8"/>
  <c r="IB68" i="8"/>
  <c r="HN69" i="8"/>
  <c r="KC60" i="8"/>
  <c r="KE67" i="8"/>
  <c r="GV29" i="8"/>
  <c r="KW63" i="8"/>
  <c r="HC41" i="8"/>
  <c r="GZ50" i="8"/>
  <c r="KK29" i="8"/>
  <c r="IV49" i="8"/>
  <c r="L52" i="19"/>
  <c r="JU48" i="8"/>
  <c r="IY69" i="8"/>
  <c r="KR43" i="8"/>
  <c r="KX66" i="8"/>
  <c r="GW34" i="8"/>
  <c r="KC41" i="8"/>
  <c r="KU75" i="8"/>
  <c r="HW47" i="8"/>
  <c r="FR36" i="8"/>
  <c r="JR46" i="8"/>
  <c r="JW54" i="8"/>
  <c r="HY34" i="8"/>
  <c r="FN68" i="8"/>
  <c r="IR69" i="8"/>
  <c r="FM67" i="8"/>
  <c r="FM76" i="8"/>
  <c r="GW63" i="8"/>
  <c r="HQ61" i="8"/>
  <c r="HI37" i="8"/>
  <c r="JS36" i="8"/>
  <c r="FU69" i="8"/>
  <c r="IH72" i="8"/>
  <c r="GY34" i="8"/>
  <c r="GL63" i="8"/>
  <c r="JD31" i="8"/>
  <c r="GZ68" i="8"/>
  <c r="IE30" i="8"/>
  <c r="HD66" i="8"/>
  <c r="FP40" i="8"/>
  <c r="JI29" i="8"/>
  <c r="GU71" i="8"/>
  <c r="GS28" i="8"/>
  <c r="GM37" i="8"/>
  <c r="KB30" i="8"/>
  <c r="FW38" i="8"/>
  <c r="KA74" i="8"/>
  <c r="JF51" i="8"/>
  <c r="JO29" i="8"/>
  <c r="KF69" i="8"/>
  <c r="JI30" i="8"/>
  <c r="GE38" i="8"/>
  <c r="KM46" i="8"/>
  <c r="GH48" i="8"/>
  <c r="GA72" i="8"/>
  <c r="HK61" i="8"/>
  <c r="JB65" i="8"/>
  <c r="FZ76" i="8"/>
  <c r="IN27" i="8"/>
  <c r="KW45" i="8"/>
  <c r="GW68" i="8"/>
  <c r="IN37" i="8"/>
  <c r="KX31" i="8"/>
  <c r="HV63" i="8"/>
  <c r="JF61" i="8"/>
  <c r="KX52" i="8"/>
  <c r="KQ65" i="8"/>
  <c r="GP65" i="8"/>
  <c r="HX50" i="8"/>
  <c r="FM70" i="8"/>
  <c r="KW68" i="8"/>
  <c r="HP76" i="8"/>
  <c r="KF52" i="8"/>
  <c r="GG59" i="8"/>
  <c r="HQ62" i="8"/>
  <c r="KC76" i="8"/>
  <c r="HR29" i="8"/>
  <c r="IK60" i="8"/>
  <c r="KG68" i="8"/>
  <c r="IP73" i="8"/>
  <c r="KP29" i="8"/>
  <c r="IX73" i="8"/>
  <c r="KU34" i="8"/>
  <c r="IS70" i="8"/>
  <c r="JT27" i="8"/>
  <c r="JI39" i="8"/>
  <c r="IR76" i="8"/>
  <c r="HL28" i="8"/>
  <c r="KV33" i="8"/>
  <c r="JD74" i="8"/>
  <c r="JE55" i="8"/>
  <c r="KS63" i="8"/>
  <c r="GL37" i="8"/>
  <c r="JZ64" i="8"/>
  <c r="JK40" i="8"/>
  <c r="HW68" i="8"/>
  <c r="FQ43" i="8"/>
  <c r="GU32" i="8"/>
  <c r="JC76" i="8"/>
  <c r="JB64" i="8"/>
  <c r="IZ71" i="8"/>
  <c r="GY43" i="8"/>
  <c r="IU65" i="8"/>
  <c r="GS56" i="8"/>
  <c r="KA53" i="8"/>
  <c r="KV50" i="8"/>
  <c r="JL72" i="8"/>
  <c r="B129" i="19"/>
  <c r="KE32" i="8"/>
  <c r="JU47" i="8"/>
  <c r="JQ72" i="8"/>
  <c r="JW64" i="8"/>
  <c r="GC30" i="8"/>
  <c r="GZ38" i="8"/>
  <c r="IC43" i="8"/>
  <c r="KD49" i="8"/>
  <c r="IT70" i="8"/>
  <c r="KK62" i="8"/>
  <c r="IG48" i="8"/>
  <c r="KS65" i="8"/>
  <c r="KD40" i="8"/>
  <c r="HX62" i="8"/>
  <c r="IB74" i="8"/>
  <c r="GE68" i="8"/>
  <c r="IA70" i="8"/>
  <c r="IR72" i="8"/>
  <c r="KX41" i="8"/>
  <c r="IL46" i="8"/>
  <c r="GX37" i="8"/>
  <c r="IU76" i="8"/>
  <c r="KX46" i="8"/>
  <c r="IC38" i="8"/>
  <c r="FM31" i="8"/>
  <c r="IW55" i="8"/>
  <c r="HV50" i="8"/>
  <c r="IK61" i="8"/>
  <c r="GB70" i="8"/>
  <c r="HE58" i="8"/>
  <c r="IA42" i="8"/>
  <c r="HU42" i="8"/>
  <c r="IV42" i="8"/>
  <c r="KX45" i="8"/>
  <c r="FX37" i="8"/>
  <c r="IJ66" i="8"/>
  <c r="GD69" i="8"/>
  <c r="JG52" i="8"/>
  <c r="HK45" i="8"/>
  <c r="FL51" i="8"/>
  <c r="GP59" i="8"/>
  <c r="GT50" i="8"/>
  <c r="FU50" i="8"/>
  <c r="GM64" i="8"/>
  <c r="KA59" i="8"/>
  <c r="KE40" i="8"/>
  <c r="JL28" i="8"/>
  <c r="FK56" i="8"/>
  <c r="FQ44" i="8"/>
  <c r="GN44" i="8"/>
  <c r="KJ27" i="8"/>
  <c r="GU70" i="8"/>
  <c r="IH59" i="8"/>
  <c r="GI65" i="8"/>
  <c r="JR35" i="8"/>
  <c r="GJ70" i="8"/>
  <c r="KT54" i="8"/>
  <c r="JI52" i="8"/>
  <c r="JZ43" i="8"/>
  <c r="GH40" i="8"/>
  <c r="JG46" i="8"/>
  <c r="FO30" i="8"/>
  <c r="KD64" i="8"/>
  <c r="GU29" i="8"/>
  <c r="GG72" i="8"/>
  <c r="HI34" i="8"/>
  <c r="C126" i="19"/>
  <c r="HH59" i="8"/>
  <c r="IB35" i="8"/>
  <c r="KH64" i="8"/>
  <c r="KN37" i="8"/>
  <c r="HC30" i="8"/>
  <c r="JK59" i="8"/>
  <c r="HX46" i="8"/>
  <c r="IP76" i="8"/>
  <c r="JX73" i="8"/>
  <c r="HQ59" i="8"/>
  <c r="FY49" i="8"/>
  <c r="JR44" i="8"/>
  <c r="HF44" i="8"/>
  <c r="KR36" i="8"/>
  <c r="IY32" i="8"/>
  <c r="KB68" i="8"/>
  <c r="IY60" i="8"/>
  <c r="JO52" i="8"/>
  <c r="IM43" i="8"/>
  <c r="FN61" i="8"/>
  <c r="HI47" i="8"/>
  <c r="JQ54" i="8"/>
  <c r="IZ46" i="8"/>
  <c r="GM29" i="8"/>
  <c r="IY74" i="8"/>
  <c r="KO51" i="8"/>
  <c r="FY48" i="8"/>
  <c r="HC63" i="8"/>
  <c r="KX76" i="8"/>
  <c r="IP67" i="8"/>
  <c r="HY72" i="8"/>
  <c r="L15" i="19"/>
  <c r="O15" i="19"/>
  <c r="JH46" i="8"/>
  <c r="FS30" i="8"/>
  <c r="IP53" i="8"/>
  <c r="HT63" i="8"/>
  <c r="HL39" i="8"/>
  <c r="FN64" i="8"/>
  <c r="FL28" i="8"/>
  <c r="JL62" i="8"/>
  <c r="IV34" i="8"/>
  <c r="IS41" i="8"/>
  <c r="HN35" i="8"/>
  <c r="GM52" i="8"/>
  <c r="FY35" i="8"/>
  <c r="HB50" i="8"/>
  <c r="HF52" i="8"/>
  <c r="KG44" i="8"/>
  <c r="JD44" i="8"/>
  <c r="IS34" i="8"/>
  <c r="JX72" i="8"/>
  <c r="FM49" i="8"/>
  <c r="HK27" i="8"/>
  <c r="JE70" i="8"/>
  <c r="IB39" i="8"/>
  <c r="FW44" i="8"/>
  <c r="HP41" i="8"/>
  <c r="FO35" i="8"/>
  <c r="GP74" i="8"/>
  <c r="GA70" i="8"/>
  <c r="HS62" i="8"/>
  <c r="JJ44" i="8"/>
  <c r="KR64" i="8"/>
  <c r="JL52" i="8"/>
  <c r="HD54" i="8"/>
  <c r="KV59" i="8"/>
  <c r="GC37" i="8"/>
  <c r="KF66" i="8"/>
  <c r="IO74" i="8"/>
  <c r="KH61" i="8"/>
  <c r="JD61" i="8"/>
  <c r="HD58" i="8"/>
  <c r="IC29" i="8"/>
  <c r="JM49" i="8"/>
  <c r="GU52" i="8"/>
  <c r="HV46" i="8"/>
  <c r="HB74" i="8"/>
  <c r="FT36" i="8"/>
  <c r="HG40" i="8"/>
  <c r="GZ61" i="8"/>
  <c r="HY49" i="8"/>
  <c r="HR27" i="8"/>
  <c r="IU28" i="8"/>
  <c r="JN71" i="8"/>
  <c r="IB64" i="8"/>
  <c r="IA69" i="8"/>
  <c r="IS67" i="8"/>
  <c r="GW57" i="8"/>
  <c r="GS36" i="8"/>
  <c r="JO31" i="8"/>
  <c r="JC55" i="8"/>
  <c r="HD64" i="8"/>
  <c r="JN65" i="8"/>
  <c r="FZ59" i="8"/>
  <c r="FU38" i="8"/>
  <c r="FP65" i="8"/>
  <c r="GA30" i="8"/>
  <c r="IK53" i="8"/>
  <c r="IG57" i="8"/>
  <c r="IR58" i="8"/>
  <c r="GI63" i="8"/>
  <c r="KS74" i="8"/>
  <c r="HF60" i="8"/>
  <c r="ID68" i="8"/>
  <c r="JB74" i="8"/>
  <c r="HZ37" i="8"/>
  <c r="KN57" i="8"/>
  <c r="GJ34" i="8"/>
  <c r="JB66" i="8"/>
  <c r="KT31" i="8"/>
  <c r="JH50" i="8"/>
  <c r="KX70" i="8"/>
  <c r="IV63" i="8"/>
  <c r="GR41" i="8"/>
  <c r="HT43" i="8"/>
  <c r="JZ75" i="8"/>
  <c r="HU30" i="8"/>
  <c r="JX54" i="8"/>
  <c r="B127" i="19"/>
  <c r="IA34" i="8"/>
  <c r="KM47" i="8"/>
  <c r="HC49" i="8"/>
  <c r="II40" i="8"/>
  <c r="KG67" i="8"/>
  <c r="FT66" i="8"/>
  <c r="KX43" i="8"/>
  <c r="IN69" i="8"/>
  <c r="HS64" i="8"/>
  <c r="JX75" i="8"/>
  <c r="HA76" i="8"/>
  <c r="FY33" i="8"/>
  <c r="GC72" i="8"/>
  <c r="JE33" i="8"/>
  <c r="HA39" i="8"/>
  <c r="IV64" i="8"/>
  <c r="FP75" i="8"/>
  <c r="FK32" i="8"/>
  <c r="KB48" i="8"/>
  <c r="HQ35" i="8"/>
  <c r="HG51" i="8"/>
  <c r="KC37" i="8"/>
  <c r="JS75" i="8"/>
  <c r="JM45" i="8"/>
  <c r="JX55" i="8"/>
  <c r="KP38" i="8"/>
  <c r="IV40" i="8"/>
  <c r="IH44" i="8"/>
  <c r="FN41" i="8"/>
  <c r="IQ33" i="8"/>
  <c r="HW30" i="8"/>
  <c r="FV39" i="8"/>
  <c r="JZ52" i="8"/>
  <c r="JQ38" i="8"/>
  <c r="KW31" i="8"/>
  <c r="II67" i="8"/>
  <c r="FN52" i="8"/>
  <c r="JI70" i="8"/>
  <c r="HN27" i="8"/>
  <c r="GX52" i="8"/>
  <c r="HY67" i="8"/>
  <c r="IQ45" i="8"/>
  <c r="C125" i="19"/>
  <c r="HO32" i="8"/>
  <c r="GR48" i="8"/>
  <c r="JS41" i="8"/>
  <c r="JC68" i="8"/>
  <c r="JU34" i="8"/>
  <c r="FY38" i="8"/>
  <c r="HT27" i="8"/>
  <c r="HN30" i="8"/>
  <c r="HW55" i="8"/>
  <c r="KO47" i="8"/>
  <c r="GS57" i="8"/>
  <c r="FN35" i="8"/>
  <c r="GX69" i="8"/>
  <c r="FT28" i="8"/>
  <c r="JX42" i="8"/>
  <c r="IN31" i="8"/>
  <c r="IT55" i="8"/>
  <c r="KH39" i="8"/>
  <c r="IX50" i="8"/>
  <c r="KW69" i="8"/>
  <c r="JU63" i="8"/>
  <c r="JD54" i="8"/>
  <c r="HI73" i="8"/>
  <c r="HB45" i="8"/>
  <c r="HN47" i="8"/>
  <c r="GZ37" i="8"/>
  <c r="KK64" i="8"/>
  <c r="JN54" i="8"/>
  <c r="IO50" i="8"/>
  <c r="FT58" i="8"/>
  <c r="GV39" i="8"/>
  <c r="KX58" i="8"/>
  <c r="HZ75" i="8"/>
  <c r="BH10" i="19"/>
  <c r="IC27" i="8"/>
  <c r="GH62" i="8"/>
  <c r="JC50" i="8"/>
  <c r="IR51" i="8"/>
  <c r="KK65" i="8"/>
  <c r="HJ45" i="8"/>
  <c r="GP28" i="8"/>
  <c r="GB57" i="8"/>
  <c r="JN55" i="8"/>
  <c r="ID74" i="8"/>
  <c r="GE53" i="8"/>
  <c r="GY28" i="8"/>
  <c r="FQ37" i="8"/>
  <c r="GM49" i="8"/>
  <c r="IU50" i="8"/>
  <c r="JH70" i="8"/>
  <c r="GM60" i="8"/>
  <c r="IL48" i="8"/>
  <c r="HD35" i="8"/>
  <c r="KG43" i="8"/>
  <c r="HC68" i="8"/>
  <c r="GW37" i="8"/>
  <c r="HY59" i="8"/>
  <c r="GK28" i="8"/>
  <c r="HX58" i="8"/>
  <c r="HK48" i="8"/>
  <c r="IW75" i="8"/>
  <c r="JS65" i="8"/>
  <c r="KV53" i="8"/>
  <c r="IS30" i="8"/>
  <c r="GA42" i="8"/>
  <c r="HI30" i="8"/>
  <c r="FP57" i="8"/>
  <c r="HR33" i="8"/>
  <c r="IG45" i="8"/>
  <c r="GZ36" i="8"/>
  <c r="HM57" i="8"/>
  <c r="HH30" i="8"/>
  <c r="FO56" i="8"/>
  <c r="KK27" i="8"/>
  <c r="KC70" i="8"/>
  <c r="KN30" i="8"/>
  <c r="IN59" i="8"/>
  <c r="KD73" i="8"/>
  <c r="FS74" i="8"/>
  <c r="GV55" i="8"/>
  <c r="C138" i="19"/>
  <c r="IY75" i="8"/>
  <c r="GX36" i="8"/>
  <c r="JB76" i="8"/>
  <c r="JY56" i="8"/>
  <c r="IF71" i="8"/>
  <c r="IL36" i="8"/>
  <c r="JQ39" i="8"/>
  <c r="GC48" i="8"/>
  <c r="IJ76" i="8"/>
  <c r="KH33" i="8"/>
  <c r="JR42" i="8"/>
  <c r="FZ43" i="8"/>
  <c r="GY39" i="8"/>
  <c r="GO67" i="8"/>
  <c r="JF72" i="8"/>
  <c r="HB27" i="8"/>
  <c r="JN59" i="8"/>
  <c r="IK46" i="8"/>
  <c r="KS47" i="8"/>
  <c r="JU42" i="8"/>
  <c r="HW31" i="8"/>
  <c r="KU32" i="8"/>
  <c r="KR39" i="8"/>
  <c r="JV38" i="8"/>
  <c r="KE49" i="8"/>
  <c r="HD69" i="8"/>
  <c r="HD76" i="8"/>
  <c r="IT33" i="8"/>
  <c r="JU74" i="8"/>
  <c r="IB42" i="8"/>
  <c r="JW46" i="8"/>
  <c r="HS58" i="8"/>
  <c r="GI54" i="8"/>
  <c r="HE37" i="8"/>
  <c r="GA39" i="8"/>
  <c r="IC41" i="8"/>
  <c r="HX69" i="8"/>
  <c r="HF65" i="8"/>
  <c r="FX33" i="8"/>
  <c r="IG59" i="8"/>
  <c r="JX43" i="8"/>
  <c r="KD75" i="8"/>
  <c r="GL42" i="8"/>
  <c r="JF75" i="8"/>
  <c r="KM50" i="8"/>
  <c r="HR28" i="8"/>
  <c r="JL55" i="8"/>
  <c r="IG55" i="8"/>
  <c r="FS61" i="8"/>
  <c r="IN72" i="8"/>
  <c r="KA29" i="8"/>
  <c r="KK40" i="8"/>
  <c r="JP68" i="8"/>
  <c r="KW42" i="8"/>
  <c r="IC49" i="8"/>
  <c r="IO59" i="8"/>
  <c r="GZ30" i="8"/>
  <c r="JO74" i="8"/>
  <c r="JA72" i="8"/>
  <c r="HV28" i="8"/>
  <c r="GP34" i="8"/>
  <c r="JN72" i="8"/>
  <c r="IB34" i="8"/>
  <c r="GN46" i="8"/>
  <c r="GG76" i="8"/>
  <c r="IG76" i="8"/>
  <c r="HP50" i="8"/>
  <c r="JT63" i="8"/>
  <c r="IB41" i="8"/>
  <c r="IA56" i="8"/>
  <c r="FR67" i="8"/>
  <c r="HV65" i="8"/>
  <c r="GU27" i="8"/>
  <c r="HQ32" i="8"/>
  <c r="FM55" i="8"/>
  <c r="GT72" i="8"/>
  <c r="KI45" i="8"/>
  <c r="IN39" i="8"/>
  <c r="GI74" i="8"/>
  <c r="HY29" i="8"/>
  <c r="IE53" i="8"/>
  <c r="JJ67" i="8"/>
  <c r="JU65" i="8"/>
  <c r="JK41" i="8"/>
  <c r="KW27" i="8"/>
  <c r="IV67" i="8"/>
  <c r="GD40" i="8"/>
  <c r="KT74" i="8"/>
  <c r="HD63" i="8"/>
  <c r="KJ56" i="8"/>
  <c r="IS57" i="8"/>
  <c r="JZ46" i="8"/>
  <c r="IL47" i="8"/>
  <c r="IP69" i="8"/>
  <c r="GY76" i="8"/>
  <c r="HD32" i="8"/>
  <c r="IW47" i="8"/>
  <c r="IM52" i="8"/>
  <c r="JP71" i="8"/>
  <c r="HP31" i="8"/>
  <c r="IZ37" i="8"/>
  <c r="JY44" i="8"/>
  <c r="KT50" i="8"/>
  <c r="JU50" i="8"/>
  <c r="HW61" i="8"/>
  <c r="GJ37" i="8"/>
  <c r="GN35" i="8"/>
  <c r="IX60" i="8"/>
  <c r="KT69" i="8"/>
  <c r="IZ66" i="8"/>
  <c r="JQ43" i="8"/>
  <c r="GQ48" i="8"/>
  <c r="HU31" i="8"/>
  <c r="IR71" i="8"/>
  <c r="JA76" i="8"/>
  <c r="HC53" i="8"/>
  <c r="II35" i="8"/>
  <c r="GT40" i="8"/>
  <c r="HE51" i="8"/>
  <c r="JF29" i="8"/>
  <c r="FY34" i="8"/>
  <c r="KL30" i="8"/>
  <c r="JY53" i="8"/>
  <c r="KI30" i="8"/>
  <c r="HN50" i="8"/>
  <c r="IK33" i="8"/>
  <c r="JS63" i="8"/>
  <c r="JK45" i="8"/>
  <c r="FV76" i="8"/>
  <c r="JW56" i="8"/>
  <c r="GC76" i="8"/>
  <c r="GR36" i="8"/>
  <c r="IO29" i="8"/>
  <c r="JZ33" i="8"/>
  <c r="HE29" i="8"/>
  <c r="GN39" i="8"/>
  <c r="JN60" i="8"/>
  <c r="KA30" i="8"/>
  <c r="HL38" i="8"/>
  <c r="IZ41" i="8"/>
  <c r="GS27" i="8"/>
  <c r="IA46" i="8"/>
  <c r="FX61" i="8"/>
  <c r="IO43" i="8"/>
  <c r="HT44" i="8"/>
  <c r="KD50" i="8"/>
  <c r="IP28" i="8"/>
  <c r="FU75" i="8"/>
  <c r="IL41" i="8"/>
  <c r="IJ55" i="8"/>
  <c r="GF59" i="8"/>
  <c r="GX63" i="8"/>
  <c r="JZ74" i="8"/>
  <c r="KM53" i="8"/>
  <c r="HW60" i="8"/>
  <c r="JO71" i="8"/>
  <c r="JV28" i="8"/>
  <c r="KB50" i="8"/>
  <c r="FR51" i="8"/>
  <c r="KK73" i="8"/>
  <c r="HK44" i="8"/>
  <c r="GJ55" i="8"/>
  <c r="HM63" i="8"/>
  <c r="IF31" i="8"/>
  <c r="ID31" i="8"/>
  <c r="HU72" i="8"/>
  <c r="FV32" i="8"/>
  <c r="GM76" i="8"/>
  <c r="FO40" i="8"/>
  <c r="FU72" i="8"/>
  <c r="JU67" i="8"/>
  <c r="JW70" i="8"/>
  <c r="HT50" i="8"/>
  <c r="KJ73" i="8"/>
  <c r="HD73" i="8"/>
  <c r="GU66" i="8"/>
  <c r="IB59" i="8"/>
  <c r="FS58" i="8"/>
  <c r="JZ47" i="8"/>
  <c r="KX35" i="8"/>
  <c r="FZ49" i="8"/>
  <c r="JQ50" i="8"/>
  <c r="IV68" i="8"/>
  <c r="HB36" i="8"/>
  <c r="JH76" i="8"/>
  <c r="GS58" i="8"/>
  <c r="FP39" i="8"/>
  <c r="JK62" i="8"/>
  <c r="FN70" i="8"/>
  <c r="JC60" i="8"/>
  <c r="HY75" i="8"/>
  <c r="GL71" i="8"/>
  <c r="IH75" i="8"/>
  <c r="GG50" i="8"/>
  <c r="JG51" i="8"/>
  <c r="HE75" i="8"/>
  <c r="IO56" i="8"/>
  <c r="HA42" i="8"/>
  <c r="HR47" i="8"/>
  <c r="IF42" i="8"/>
  <c r="KX56" i="8"/>
  <c r="GP38" i="8"/>
  <c r="JH27" i="8"/>
  <c r="HB71" i="8"/>
  <c r="GX30" i="8"/>
  <c r="JA40" i="8"/>
  <c r="KL48" i="8"/>
  <c r="HG43" i="8"/>
  <c r="HF35" i="8"/>
  <c r="JT33" i="8"/>
  <c r="HA52" i="8"/>
  <c r="IG39" i="8"/>
  <c r="KP54" i="8"/>
  <c r="KM45" i="8"/>
  <c r="IC46" i="8"/>
  <c r="KU27" i="8"/>
  <c r="JC40" i="8"/>
  <c r="FS37" i="8"/>
  <c r="HV76" i="8"/>
  <c r="JU59" i="8"/>
  <c r="KQ43" i="8"/>
  <c r="HH53" i="8"/>
  <c r="ID33" i="8"/>
  <c r="FZ70" i="8"/>
  <c r="JZ69" i="8"/>
  <c r="HN61" i="8"/>
  <c r="HM40" i="8"/>
  <c r="JC52" i="8"/>
  <c r="JT29" i="8"/>
  <c r="HI71" i="8"/>
  <c r="JV36" i="8"/>
  <c r="IA74" i="8"/>
  <c r="FX75" i="8"/>
  <c r="FX68" i="8"/>
  <c r="JC69" i="8"/>
  <c r="JR29" i="8"/>
  <c r="HH76" i="8"/>
  <c r="JK65" i="8"/>
  <c r="KO29" i="8"/>
  <c r="IV33" i="8"/>
  <c r="GA74" i="8"/>
  <c r="JZ68" i="8"/>
  <c r="FW63" i="8"/>
  <c r="JN42" i="8"/>
  <c r="IW56" i="8"/>
  <c r="KF41" i="8"/>
  <c r="GB39" i="8"/>
  <c r="KE62" i="8"/>
  <c r="KG65" i="8"/>
  <c r="KM28" i="8"/>
  <c r="JW44" i="8"/>
  <c r="HY33" i="8"/>
  <c r="GN34" i="8"/>
  <c r="HD49" i="8"/>
  <c r="KS52" i="8"/>
  <c r="IV65" i="8"/>
  <c r="JI50" i="8"/>
  <c r="IY36" i="8"/>
  <c r="IE43" i="8"/>
  <c r="KC53" i="8"/>
  <c r="GZ47" i="8"/>
  <c r="JW37" i="8"/>
  <c r="JB48" i="8"/>
  <c r="KV34" i="8"/>
  <c r="HG59" i="8"/>
  <c r="ID30" i="8"/>
  <c r="KP43" i="8"/>
  <c r="FZ41" i="8"/>
  <c r="HM44" i="8"/>
  <c r="KV60" i="8"/>
  <c r="HQ60" i="8"/>
  <c r="IB48" i="8"/>
  <c r="FZ55" i="8"/>
  <c r="IK68" i="8"/>
  <c r="GD73" i="8"/>
  <c r="IT67" i="8"/>
  <c r="FQ75" i="8"/>
  <c r="GI67" i="8"/>
  <c r="IR42" i="8"/>
  <c r="GJ61" i="8"/>
  <c r="IW67" i="8"/>
  <c r="HL71" i="8"/>
  <c r="HT33" i="8"/>
  <c r="IL59" i="8"/>
  <c r="JG47" i="8"/>
  <c r="JX45" i="8"/>
  <c r="JS31" i="8"/>
  <c r="IF60" i="8"/>
  <c r="KU28" i="8"/>
  <c r="HW40" i="8"/>
  <c r="HF45" i="8"/>
  <c r="HE69" i="8"/>
  <c r="KU35" i="8"/>
  <c r="IN60" i="8"/>
  <c r="FK57" i="8"/>
  <c r="II28" i="8"/>
  <c r="FO53" i="8"/>
  <c r="ID28" i="8"/>
  <c r="IL75" i="8"/>
  <c r="JG49" i="8"/>
  <c r="GC61" i="8"/>
  <c r="JR59" i="8"/>
  <c r="GE64" i="8"/>
  <c r="FN73" i="8"/>
  <c r="IF49" i="8"/>
  <c r="GW64" i="8"/>
  <c r="JT54" i="8"/>
  <c r="KG50" i="8"/>
  <c r="FQ54" i="8"/>
  <c r="IE39" i="8"/>
  <c r="JP70" i="8"/>
  <c r="GY36" i="8"/>
  <c r="FY29" i="8"/>
  <c r="KM70" i="8"/>
  <c r="HI54" i="8"/>
  <c r="JJ51" i="8"/>
  <c r="JZ39" i="8"/>
  <c r="GC68" i="8"/>
  <c r="JL49" i="8"/>
  <c r="HN54" i="8"/>
  <c r="FL45" i="8"/>
  <c r="KP62" i="8"/>
  <c r="HU55" i="8"/>
  <c r="KN55" i="8"/>
  <c r="HF68" i="8"/>
  <c r="FR73" i="8"/>
  <c r="HX63" i="8"/>
  <c r="HF33" i="8"/>
  <c r="GV65" i="8"/>
  <c r="IU58" i="8"/>
  <c r="KE69" i="8"/>
  <c r="JM53" i="8"/>
  <c r="IW28" i="8"/>
  <c r="HR45" i="8"/>
  <c r="KG37" i="8"/>
  <c r="JE46" i="8"/>
  <c r="HX30" i="8"/>
  <c r="IZ69" i="8"/>
  <c r="KA63" i="8"/>
  <c r="JE61" i="8"/>
  <c r="IG70" i="8"/>
  <c r="JK69" i="8"/>
  <c r="IH37" i="8"/>
  <c r="IS46" i="8"/>
  <c r="HB29" i="8"/>
  <c r="HC71" i="8"/>
  <c r="JA70" i="8"/>
  <c r="JN63" i="8"/>
  <c r="KH29" i="8"/>
  <c r="GH37" i="8"/>
  <c r="IA53" i="8"/>
  <c r="IK45" i="8"/>
  <c r="HS65" i="8"/>
  <c r="HO37" i="8"/>
  <c r="IB63" i="8"/>
  <c r="GE50" i="8"/>
  <c r="IV41" i="8"/>
  <c r="FT73" i="8"/>
  <c r="IA50" i="8"/>
  <c r="KH65" i="8"/>
  <c r="JN57" i="8"/>
  <c r="IC37" i="8"/>
  <c r="KX36" i="8"/>
  <c r="FK31" i="8"/>
  <c r="IU27" i="8"/>
  <c r="IY44" i="8"/>
  <c r="JQ69" i="8"/>
  <c r="FN40" i="8"/>
  <c r="HT62" i="8"/>
  <c r="HO30" i="8"/>
  <c r="IV57" i="8"/>
  <c r="HZ56" i="8"/>
  <c r="KP52" i="8"/>
  <c r="II45" i="8"/>
  <c r="HR53" i="8"/>
  <c r="GG47" i="8"/>
  <c r="HZ49" i="8"/>
  <c r="KJ37" i="8"/>
  <c r="FM40" i="8"/>
  <c r="JI54" i="8"/>
  <c r="FS27" i="8"/>
  <c r="KU67" i="8"/>
  <c r="GE39" i="8"/>
  <c r="GV62" i="8"/>
  <c r="JU44" i="8"/>
  <c r="JD51" i="8"/>
  <c r="JG56" i="8"/>
  <c r="HM62" i="8"/>
  <c r="KI68" i="8"/>
  <c r="FV68" i="8"/>
  <c r="FP66" i="8"/>
  <c r="IA58" i="8"/>
  <c r="GU76" i="8"/>
  <c r="JJ39" i="8"/>
  <c r="JQ28" i="8"/>
  <c r="GQ40" i="8"/>
  <c r="JQ37" i="8"/>
  <c r="FN49" i="8"/>
  <c r="JY50" i="8"/>
  <c r="IE38" i="8"/>
  <c r="HT64" i="8"/>
  <c r="FT48" i="8"/>
  <c r="GK42" i="8"/>
  <c r="KG42" i="8"/>
  <c r="KX51" i="8"/>
  <c r="IO62" i="8"/>
  <c r="FP46" i="8"/>
  <c r="FQ67" i="8"/>
  <c r="HN65" i="8"/>
  <c r="GO62" i="8"/>
  <c r="GF30" i="8"/>
  <c r="GF48" i="8"/>
  <c r="KT57" i="8"/>
  <c r="IP49" i="8"/>
  <c r="HL47" i="8"/>
  <c r="JC65" i="8"/>
  <c r="JO70" i="8"/>
  <c r="IE71" i="8"/>
  <c r="JT76" i="8"/>
  <c r="KI39" i="8"/>
  <c r="GZ76" i="8"/>
  <c r="HC72" i="8"/>
  <c r="GO75" i="8"/>
  <c r="IH52" i="8"/>
  <c r="HE44" i="8"/>
  <c r="HV51" i="8"/>
  <c r="IV39" i="8"/>
  <c r="KD55" i="8"/>
  <c r="FY54" i="8"/>
  <c r="KW55" i="8"/>
  <c r="KM56" i="8"/>
  <c r="HL36" i="8"/>
  <c r="KK49" i="8"/>
  <c r="HE28" i="8"/>
  <c r="GD45" i="8"/>
  <c r="FK67" i="8"/>
  <c r="KL60" i="8"/>
  <c r="KS27" i="8"/>
  <c r="JL36" i="8"/>
  <c r="KF30" i="8"/>
  <c r="JW58" i="8"/>
  <c r="HR34" i="8"/>
  <c r="KT33" i="8"/>
  <c r="JW47" i="8"/>
  <c r="KD65" i="8"/>
  <c r="KO40" i="8"/>
  <c r="GF39" i="8"/>
  <c r="JK31" i="8"/>
  <c r="JV49" i="8"/>
  <c r="KO66" i="8"/>
  <c r="JM58" i="8"/>
  <c r="KH72" i="8"/>
  <c r="IU49" i="8"/>
  <c r="KN45" i="8"/>
  <c r="GN54" i="8"/>
  <c r="IL66" i="8"/>
  <c r="KJ49" i="8"/>
  <c r="JM59" i="8"/>
  <c r="JP44" i="8"/>
  <c r="HK71" i="8"/>
  <c r="GL66" i="8"/>
  <c r="JJ47" i="8"/>
  <c r="JJ29" i="8"/>
  <c r="KP70" i="8"/>
  <c r="IT62" i="8"/>
  <c r="IO72" i="8"/>
  <c r="GC27" i="8"/>
  <c r="IY34" i="8"/>
  <c r="GF37" i="8"/>
  <c r="KL54" i="8"/>
  <c r="KC68" i="8"/>
  <c r="HZ63" i="8"/>
  <c r="IM30" i="8"/>
  <c r="JC57" i="8"/>
  <c r="JJ53" i="8"/>
  <c r="HU27" i="8"/>
  <c r="KR57" i="8"/>
  <c r="FU27" i="8"/>
  <c r="E22" i="19"/>
  <c r="GI31" i="8"/>
  <c r="GW43" i="8"/>
  <c r="HP46" i="8"/>
  <c r="FV59" i="8"/>
  <c r="GE62" i="8"/>
  <c r="JD28" i="8"/>
  <c r="JR65" i="8"/>
  <c r="HA38" i="8"/>
  <c r="GH69" i="8"/>
  <c r="FK36" i="8"/>
  <c r="GP54" i="8"/>
  <c r="HJ46" i="8"/>
  <c r="KS72" i="8"/>
  <c r="GR69" i="8"/>
  <c r="II39" i="8"/>
  <c r="GS37" i="8"/>
  <c r="KG36" i="8"/>
  <c r="GL67" i="8"/>
  <c r="KQ61" i="8"/>
  <c r="FQ64" i="8"/>
  <c r="KH45" i="8"/>
  <c r="KT29" i="8"/>
  <c r="KX47" i="8"/>
  <c r="JC39" i="8"/>
  <c r="IF43" i="8"/>
  <c r="GO32" i="8"/>
  <c r="FQ59" i="8"/>
  <c r="JR28" i="8"/>
  <c r="KH35" i="8"/>
  <c r="GD76" i="8"/>
  <c r="KL52" i="8"/>
  <c r="JZ61" i="8"/>
  <c r="JY40" i="8"/>
  <c r="KG63" i="8"/>
  <c r="GX59" i="8"/>
  <c r="JU31" i="8"/>
  <c r="FL54" i="8"/>
  <c r="IH67" i="8"/>
  <c r="KL65" i="8"/>
  <c r="HA55" i="8"/>
  <c r="HT55" i="8"/>
  <c r="HD42" i="8"/>
  <c r="FT33" i="8"/>
  <c r="GU37" i="8"/>
  <c r="KX65" i="8"/>
  <c r="ID38" i="8"/>
  <c r="HN38" i="8"/>
  <c r="KL43" i="8"/>
  <c r="IJ70" i="8"/>
  <c r="IG64" i="8"/>
  <c r="GJ64" i="8"/>
  <c r="FN76" i="8"/>
  <c r="HI42" i="8"/>
  <c r="JW49" i="8"/>
  <c r="HH72" i="8"/>
  <c r="IS42" i="8"/>
  <c r="KP49" i="8"/>
  <c r="FW69" i="8"/>
  <c r="HP36" i="8"/>
  <c r="GV42" i="8"/>
  <c r="KD32" i="8"/>
  <c r="IB46" i="8"/>
  <c r="KA48" i="8"/>
  <c r="JE40" i="8"/>
  <c r="KW53" i="8"/>
  <c r="HY51" i="8"/>
  <c r="JZ54" i="8"/>
  <c r="JP30" i="8"/>
  <c r="HD65" i="8"/>
  <c r="JL37" i="8"/>
  <c r="KK43" i="8"/>
  <c r="IC75" i="8"/>
  <c r="GQ28" i="8"/>
  <c r="HJ69" i="8"/>
  <c r="IN35" i="8"/>
  <c r="IQ42" i="8"/>
  <c r="HA41" i="8"/>
  <c r="JS64" i="8"/>
  <c r="JI53" i="8"/>
  <c r="IQ31" i="8"/>
  <c r="GZ31" i="8"/>
  <c r="HZ69" i="8"/>
  <c r="HS54" i="8"/>
  <c r="HC64" i="8"/>
  <c r="GT29" i="8"/>
  <c r="JE64" i="8"/>
  <c r="KQ57" i="8"/>
  <c r="HZ48" i="8"/>
  <c r="FK51" i="8"/>
  <c r="FN30" i="8"/>
  <c r="HS50" i="8"/>
  <c r="IT45" i="8"/>
  <c r="GB42" i="8"/>
  <c r="FO64" i="8"/>
  <c r="GT62" i="8"/>
  <c r="HL49" i="8"/>
  <c r="IS60" i="8"/>
  <c r="FY45" i="8"/>
  <c r="JS58" i="8"/>
  <c r="KM43" i="8"/>
  <c r="FM42" i="8"/>
  <c r="FT75" i="8"/>
  <c r="KA39" i="8"/>
  <c r="IM55" i="8"/>
  <c r="GQ70" i="8"/>
  <c r="FN46" i="8"/>
  <c r="IL71" i="8"/>
  <c r="KM73" i="8"/>
  <c r="GV49" i="8"/>
  <c r="FU48" i="8"/>
  <c r="FS45" i="8"/>
  <c r="HL35" i="8"/>
  <c r="FT51" i="8"/>
  <c r="GR27" i="8"/>
  <c r="KS51" i="8"/>
  <c r="HV39" i="8"/>
  <c r="JV70" i="8"/>
  <c r="HU70" i="8"/>
  <c r="GR39" i="8"/>
  <c r="IX64" i="8"/>
  <c r="IH50" i="8"/>
  <c r="IG52" i="8"/>
  <c r="KS36" i="8"/>
  <c r="JT56" i="8"/>
  <c r="GW72" i="8"/>
  <c r="GI53" i="8"/>
  <c r="HG74" i="8"/>
  <c r="IM57" i="8"/>
  <c r="JS27" i="8"/>
  <c r="GT33" i="8"/>
  <c r="KN54" i="8"/>
  <c r="FS76" i="8"/>
  <c r="GQ37" i="8"/>
  <c r="HZ60" i="8"/>
  <c r="GE72" i="8"/>
  <c r="KH73" i="8"/>
  <c r="IH49" i="8"/>
  <c r="KO54" i="8"/>
  <c r="JL71" i="8"/>
  <c r="GR45" i="8"/>
  <c r="KW74" i="8"/>
  <c r="GC71" i="8"/>
  <c r="IA66" i="8"/>
  <c r="GF53" i="8"/>
  <c r="HC47" i="8"/>
  <c r="GK49" i="8"/>
  <c r="IN30" i="8"/>
  <c r="HO61" i="8"/>
  <c r="JS35" i="8"/>
  <c r="GP76" i="8"/>
  <c r="KQ54" i="8"/>
  <c r="B130" i="19"/>
  <c r="IX42" i="8"/>
  <c r="IS44" i="8"/>
  <c r="IN46" i="8"/>
  <c r="HB51" i="8"/>
  <c r="JH34" i="8"/>
  <c r="GN48" i="8"/>
  <c r="IM74" i="8"/>
  <c r="KB34" i="8"/>
  <c r="FV43" i="8"/>
  <c r="JB60" i="8"/>
  <c r="GH36" i="8"/>
  <c r="IH62" i="8"/>
  <c r="KG40" i="8"/>
  <c r="W52" i="19"/>
  <c r="JW53" i="8"/>
  <c r="HT73" i="8"/>
  <c r="HB42" i="8"/>
  <c r="JA58" i="8"/>
  <c r="HL30" i="8"/>
  <c r="JZ53" i="8"/>
  <c r="GF75" i="8"/>
  <c r="HD48" i="8"/>
  <c r="JH51" i="8"/>
  <c r="JZ30" i="8"/>
  <c r="IY43" i="8"/>
  <c r="IW48" i="8"/>
  <c r="IX30" i="8"/>
  <c r="KA31" i="8"/>
  <c r="FW36" i="8"/>
  <c r="IG47" i="8"/>
  <c r="JD34" i="8"/>
  <c r="KQ47" i="8"/>
  <c r="IE60" i="8"/>
  <c r="JI46" i="8"/>
  <c r="IL31" i="8"/>
  <c r="GV76" i="8"/>
  <c r="HR71" i="8"/>
  <c r="HQ65" i="8"/>
  <c r="IZ57" i="8"/>
  <c r="IG53" i="8"/>
  <c r="HD37" i="8"/>
  <c r="GL41" i="8"/>
  <c r="HQ76" i="8"/>
  <c r="JH49" i="8"/>
  <c r="GY61" i="8"/>
  <c r="KB55" i="8"/>
  <c r="FS44" i="8"/>
  <c r="I15" i="19"/>
  <c r="HL41" i="8"/>
  <c r="JP56" i="8"/>
  <c r="KK66" i="8"/>
  <c r="JR54" i="8"/>
  <c r="HK60" i="8"/>
  <c r="FQ71" i="8"/>
  <c r="KO72" i="8"/>
  <c r="IR55" i="8"/>
  <c r="IP34" i="8"/>
  <c r="FZ62" i="8"/>
  <c r="HG33" i="8"/>
  <c r="HK46" i="8"/>
  <c r="KU58" i="8"/>
  <c r="GP32" i="8"/>
  <c r="HE53" i="8"/>
  <c r="IU63" i="8"/>
  <c r="FW67" i="8"/>
  <c r="KI70" i="8"/>
  <c r="JI72" i="8"/>
  <c r="FU42" i="8"/>
  <c r="IV38" i="8"/>
  <c r="HA71" i="8"/>
  <c r="KB37" i="8"/>
  <c r="HD60" i="8"/>
  <c r="KA67" i="8"/>
  <c r="IL32" i="8"/>
  <c r="GR58" i="8"/>
  <c r="IR62" i="8"/>
  <c r="FS52" i="8"/>
  <c r="GM36" i="8"/>
  <c r="IR28" i="8"/>
  <c r="IU69" i="8"/>
  <c r="GK58" i="8"/>
  <c r="HG52" i="8"/>
  <c r="HQ39" i="8"/>
  <c r="HW62" i="8"/>
  <c r="HW75" i="8"/>
  <c r="FL32" i="8"/>
  <c r="GQ32" i="8"/>
  <c r="FU34" i="8"/>
  <c r="KQ49" i="8"/>
  <c r="GD49" i="8"/>
  <c r="HV61" i="8"/>
  <c r="FL36" i="8"/>
  <c r="HG67" i="8"/>
  <c r="IU35" i="8"/>
  <c r="FX44" i="8"/>
  <c r="KV41" i="8"/>
  <c r="FV69" i="8"/>
  <c r="HK37" i="8"/>
  <c r="JI41" i="8"/>
  <c r="HX60" i="8"/>
  <c r="JQ27" i="8"/>
  <c r="KT27" i="8"/>
  <c r="GF64" i="8"/>
  <c r="GL36" i="8"/>
  <c r="IT40" i="8"/>
  <c r="HI74" i="8"/>
  <c r="JF30" i="8"/>
  <c r="HZ45" i="8"/>
  <c r="KN74" i="8"/>
  <c r="JW27" i="8"/>
  <c r="JB69" i="8"/>
  <c r="KH42" i="8"/>
  <c r="GW45" i="8"/>
  <c r="HX33" i="8"/>
  <c r="KE34" i="8"/>
  <c r="IN76" i="8"/>
  <c r="GQ61" i="8"/>
  <c r="GD41" i="8"/>
  <c r="JB75" i="8"/>
  <c r="IJ61" i="8"/>
  <c r="GZ53" i="8"/>
  <c r="FZ57" i="8"/>
  <c r="GL54" i="8"/>
  <c r="FO54" i="8"/>
  <c r="GA46" i="8"/>
  <c r="IW27" i="8"/>
  <c r="JA69" i="8"/>
  <c r="KE70" i="8"/>
  <c r="KU49" i="8"/>
  <c r="FL40" i="8"/>
  <c r="HV66" i="8"/>
  <c r="GZ69" i="8"/>
  <c r="FR74" i="8"/>
  <c r="GP53" i="8"/>
  <c r="IZ62" i="8"/>
  <c r="JR67" i="8"/>
  <c r="IN58" i="8"/>
  <c r="GT55" i="8"/>
  <c r="KD74" i="8"/>
  <c r="FT57" i="8"/>
  <c r="FU45" i="8"/>
  <c r="GZ35" i="8"/>
  <c r="FR43" i="8"/>
  <c r="B134" i="19"/>
  <c r="KD43" i="8"/>
  <c r="JE29" i="8"/>
  <c r="KL64" i="8"/>
  <c r="JU73" i="8"/>
  <c r="HQ44" i="8"/>
  <c r="JB45" i="8"/>
  <c r="JO73" i="8"/>
  <c r="JA73" i="8"/>
  <c r="KC38" i="8"/>
  <c r="FY59" i="8"/>
  <c r="KD71" i="8"/>
  <c r="KD59" i="8"/>
  <c r="HU71" i="8"/>
  <c r="GY60" i="8"/>
  <c r="GJ75" i="8"/>
  <c r="KM42" i="8"/>
  <c r="FW51" i="8"/>
  <c r="KS42" i="8"/>
  <c r="JZ58" i="8"/>
  <c r="GV40" i="8"/>
  <c r="KM36" i="8"/>
  <c r="JX52" i="8"/>
  <c r="FM39" i="8"/>
  <c r="IU29" i="8"/>
  <c r="KQ38" i="8"/>
  <c r="IG63" i="8"/>
  <c r="JY71" i="8"/>
  <c r="FU66" i="8"/>
  <c r="FP59" i="8"/>
  <c r="GI73" i="8"/>
  <c r="HF74" i="8"/>
  <c r="JQ42" i="8"/>
  <c r="HF46" i="8"/>
  <c r="JT47" i="8"/>
  <c r="JD55" i="8"/>
  <c r="FV62" i="8"/>
  <c r="JX57" i="8"/>
  <c r="C151" i="19"/>
  <c r="HN55" i="8"/>
  <c r="HI32" i="8"/>
  <c r="JY52" i="8"/>
  <c r="GS47" i="8"/>
  <c r="JM42" i="8"/>
  <c r="KB57" i="8"/>
  <c r="KC52" i="8"/>
  <c r="GB27" i="8"/>
  <c r="GM54" i="8"/>
  <c r="JT68" i="8"/>
  <c r="HH58" i="8"/>
  <c r="GX68" i="8"/>
  <c r="HW66" i="8"/>
  <c r="HT56" i="8"/>
  <c r="IZ52" i="8"/>
  <c r="IP54" i="8"/>
  <c r="FR58" i="8"/>
  <c r="JP52" i="8"/>
  <c r="ID75" i="8"/>
  <c r="GH66" i="8"/>
  <c r="HI61" i="8"/>
  <c r="KW41" i="8"/>
  <c r="IE68" i="8"/>
  <c r="KU44" i="8"/>
  <c r="HZ72" i="8"/>
  <c r="HV49" i="8"/>
  <c r="JN35" i="8"/>
  <c r="JA47" i="8"/>
  <c r="KD37" i="8"/>
  <c r="FY40" i="8"/>
  <c r="KV65" i="8"/>
  <c r="FS67" i="8"/>
  <c r="JB63" i="8"/>
  <c r="HS32" i="8"/>
  <c r="HH68" i="8"/>
  <c r="IN67" i="8"/>
  <c r="FW27" i="8"/>
  <c r="JQ75" i="8"/>
  <c r="HR60" i="8"/>
  <c r="JZ57" i="8"/>
  <c r="KH34" i="8"/>
  <c r="HU73" i="8"/>
  <c r="JQ32" i="8"/>
  <c r="GH68" i="8"/>
  <c r="HM52" i="8"/>
  <c r="HR31" i="8"/>
  <c r="JJ48" i="8"/>
  <c r="HN34" i="8"/>
  <c r="GH59" i="8"/>
  <c r="IB54" i="8"/>
  <c r="IR66" i="8"/>
  <c r="FX63" i="8"/>
  <c r="KA33" i="8"/>
  <c r="IM38" i="8"/>
  <c r="JD67" i="8"/>
  <c r="FN53" i="8"/>
  <c r="GV60" i="8"/>
  <c r="JQ44" i="8"/>
  <c r="GL57" i="8"/>
  <c r="KM54" i="8"/>
  <c r="IY53" i="8"/>
  <c r="KD76" i="8"/>
  <c r="KG39" i="8"/>
  <c r="IM46" i="8"/>
  <c r="JA52" i="8"/>
  <c r="JE49" i="8"/>
  <c r="II49" i="8"/>
  <c r="GG35" i="8"/>
  <c r="GX43" i="8"/>
  <c r="KF49" i="8"/>
  <c r="KF62" i="8"/>
  <c r="FQ60" i="8"/>
  <c r="GU38" i="8"/>
  <c r="IR34" i="8"/>
  <c r="IM32" i="8"/>
  <c r="HP49" i="8"/>
  <c r="IT27" i="8"/>
  <c r="JN62" i="8"/>
  <c r="FK39" i="8"/>
  <c r="FK37" i="8"/>
  <c r="GK64" i="8"/>
  <c r="IM58" i="8"/>
  <c r="KL51" i="8"/>
  <c r="JA48" i="8"/>
  <c r="HZ66" i="8"/>
  <c r="KJ76" i="8"/>
  <c r="GW38" i="8"/>
  <c r="FZ73" i="8"/>
  <c r="JL34" i="8"/>
  <c r="KN38" i="8"/>
  <c r="IK41" i="8"/>
  <c r="FS33" i="8"/>
  <c r="FV45" i="8"/>
  <c r="HX76" i="8"/>
  <c r="HD27" i="8"/>
  <c r="KX60" i="8"/>
  <c r="IQ54" i="8"/>
  <c r="KP58" i="8"/>
  <c r="JM65" i="8"/>
  <c r="IY57" i="8"/>
  <c r="IX71" i="8"/>
  <c r="HU61" i="8"/>
  <c r="KS33" i="8"/>
  <c r="KU76" i="8"/>
  <c r="HO40" i="8"/>
  <c r="GR67" i="8"/>
  <c r="IS76" i="8"/>
  <c r="HA64" i="8"/>
  <c r="JQ36" i="8"/>
  <c r="GA75" i="8"/>
  <c r="KW51" i="8"/>
  <c r="GR33" i="8"/>
  <c r="JN47" i="8"/>
  <c r="GX74" i="8"/>
  <c r="JO51" i="8"/>
  <c r="FW30" i="8"/>
  <c r="GP73" i="8"/>
  <c r="JJ57" i="8"/>
  <c r="GA28" i="8"/>
  <c r="KE58" i="8"/>
  <c r="HI38" i="8"/>
  <c r="KV58" i="8"/>
  <c r="IW29" i="8"/>
  <c r="ID64" i="8"/>
  <c r="HW72" i="8"/>
  <c r="GQ27" i="8"/>
  <c r="GW74" i="8"/>
  <c r="GF66" i="8"/>
  <c r="HM37" i="8"/>
  <c r="HY30" i="8"/>
  <c r="GO39" i="8"/>
  <c r="FP58" i="8"/>
  <c r="HC67" i="8"/>
  <c r="KV56" i="8"/>
  <c r="GW62" i="8"/>
  <c r="KQ27" i="8"/>
  <c r="GN36" i="8"/>
  <c r="JI38" i="8"/>
  <c r="HG73" i="8"/>
  <c r="HO49" i="8"/>
  <c r="IX39" i="8"/>
  <c r="KA73" i="8"/>
  <c r="GT42" i="8"/>
  <c r="GV50" i="8"/>
  <c r="HC55" i="8"/>
  <c r="GK47" i="8"/>
  <c r="GF43" i="8"/>
  <c r="KS61" i="8"/>
  <c r="JZ36" i="8"/>
  <c r="KQ74" i="8"/>
  <c r="GT27" i="8"/>
  <c r="IS61" i="8"/>
  <c r="FU46" i="8"/>
  <c r="IF37" i="8"/>
  <c r="GE52" i="8"/>
  <c r="JX68" i="8"/>
  <c r="IZ55" i="8"/>
  <c r="HD38" i="8"/>
  <c r="JC30" i="8"/>
  <c r="HN76" i="8"/>
  <c r="GP35" i="8"/>
  <c r="HL60" i="8"/>
  <c r="IJ62" i="8"/>
  <c r="JE63" i="8"/>
  <c r="KR62" i="8"/>
  <c r="JY66" i="8"/>
  <c r="KS76" i="8"/>
  <c r="IR65" i="8"/>
  <c r="IL63" i="8"/>
  <c r="IC36" i="8"/>
  <c r="JB42" i="8"/>
  <c r="JN39" i="8"/>
  <c r="GG75" i="8"/>
  <c r="II58" i="8"/>
  <c r="GD36" i="8"/>
  <c r="GM72" i="8"/>
  <c r="IU48" i="8"/>
  <c r="KA70" i="8"/>
  <c r="GN51" i="8"/>
  <c r="JK49" i="8"/>
  <c r="GC41" i="8"/>
  <c r="GX49" i="8"/>
  <c r="GI39" i="8"/>
  <c r="HQ53" i="8"/>
  <c r="FY46" i="8"/>
  <c r="KA57" i="8"/>
  <c r="IA38" i="8"/>
  <c r="C131" i="19"/>
  <c r="GR57" i="8"/>
  <c r="HV69" i="8"/>
  <c r="KW56" i="8"/>
  <c r="KU68" i="8"/>
  <c r="IN70" i="8"/>
  <c r="GU49" i="8"/>
  <c r="JP63" i="8"/>
  <c r="IA37" i="8"/>
  <c r="JQ56" i="8"/>
  <c r="GI27" i="8"/>
  <c r="IK73" i="8"/>
  <c r="HV38" i="8"/>
  <c r="JU30" i="8"/>
  <c r="IF67" i="8"/>
  <c r="JV32" i="8"/>
  <c r="JW45" i="8"/>
  <c r="HK53" i="8"/>
  <c r="FQ62" i="8"/>
  <c r="HJ75" i="8"/>
  <c r="IN50" i="8"/>
  <c r="IB51" i="8"/>
  <c r="IO34" i="8"/>
  <c r="FZ50" i="8"/>
  <c r="GR44" i="8"/>
  <c r="JO75" i="8"/>
  <c r="IQ58" i="8"/>
  <c r="KL67" i="8"/>
  <c r="KA51" i="8"/>
  <c r="JW42" i="8"/>
  <c r="FU40" i="8"/>
  <c r="JE74" i="8"/>
  <c r="IW71" i="8"/>
  <c r="GX28" i="8"/>
  <c r="GD47" i="8"/>
  <c r="FO65" i="8"/>
  <c r="JU45" i="8"/>
  <c r="JC71" i="8"/>
  <c r="HE61" i="8"/>
  <c r="IO35" i="8"/>
  <c r="KM66" i="8"/>
  <c r="GG57" i="8"/>
  <c r="KW62" i="8"/>
  <c r="FV71" i="8"/>
  <c r="IT28" i="8"/>
  <c r="KG69" i="8"/>
  <c r="KJ72" i="8"/>
  <c r="IT72" i="8"/>
  <c r="JL69" i="8"/>
  <c r="HN66" i="8"/>
  <c r="HF40" i="8"/>
  <c r="GR68" i="8"/>
  <c r="JH73" i="8"/>
  <c r="HX57" i="8"/>
  <c r="HM60" i="8"/>
  <c r="HP69" i="8"/>
  <c r="FL68" i="8"/>
  <c r="FW73" i="8"/>
  <c r="JY61" i="8"/>
  <c r="FT62" i="8"/>
  <c r="JM40" i="8"/>
  <c r="GH39" i="8"/>
  <c r="FQ69" i="8"/>
  <c r="GO41" i="8"/>
  <c r="KI56" i="8"/>
  <c r="KJ31" i="8"/>
  <c r="JB50" i="8"/>
  <c r="KG56" i="8"/>
  <c r="JU53" i="8"/>
  <c r="IY58" i="8"/>
  <c r="GT34" i="8"/>
  <c r="JH57" i="8"/>
  <c r="JO62" i="8"/>
  <c r="IY41" i="8"/>
  <c r="JR49" i="8"/>
  <c r="GR53" i="8"/>
  <c r="GF62" i="8"/>
  <c r="GE47" i="8"/>
  <c r="GB58" i="8"/>
  <c r="IT56" i="8"/>
  <c r="HM48" i="8"/>
  <c r="KQ52" i="8"/>
  <c r="JE36" i="8"/>
  <c r="HL45" i="8"/>
  <c r="JT42" i="8"/>
  <c r="JL59" i="8"/>
  <c r="GS31" i="8"/>
  <c r="JQ33" i="8"/>
  <c r="KG54" i="8"/>
  <c r="IX66" i="8"/>
  <c r="FT74" i="8"/>
  <c r="FO41" i="8"/>
  <c r="KF45" i="8"/>
  <c r="GO57" i="8"/>
  <c r="HK54" i="8"/>
  <c r="KB66" i="8"/>
  <c r="KE29" i="8"/>
  <c r="FM69" i="8"/>
  <c r="JT75" i="8"/>
  <c r="HJ60" i="8"/>
  <c r="GN62" i="8"/>
  <c r="HE34" i="8"/>
  <c r="KP30" i="8"/>
  <c r="IQ53" i="8"/>
  <c r="ID37" i="8"/>
  <c r="IV70" i="8"/>
  <c r="KG74" i="8"/>
  <c r="JZ62" i="8"/>
  <c r="JO50" i="8"/>
  <c r="KS32" i="8"/>
  <c r="HI46" i="8"/>
  <c r="KE37" i="8"/>
  <c r="JE60" i="8"/>
  <c r="GY58" i="8"/>
  <c r="JS53" i="8"/>
  <c r="KR41" i="8"/>
  <c r="KU69" i="8"/>
  <c r="JU62" i="8"/>
  <c r="KW48" i="8"/>
  <c r="KG53" i="8"/>
  <c r="KQ32" i="8"/>
  <c r="IH73" i="8"/>
  <c r="JG62" i="8"/>
  <c r="FZ31" i="8"/>
  <c r="HR51" i="8"/>
  <c r="FW55" i="8"/>
  <c r="GG61" i="8"/>
  <c r="JS52" i="8"/>
  <c r="IJ33" i="8"/>
  <c r="IE51" i="8"/>
  <c r="FL43" i="8"/>
  <c r="AI19" i="19"/>
  <c r="JU39" i="8"/>
  <c r="KN31" i="8"/>
  <c r="JJ49" i="8"/>
  <c r="GG74" i="8"/>
  <c r="KA62" i="8"/>
  <c r="KD69" i="8"/>
  <c r="JU51" i="8"/>
  <c r="GK74" i="8"/>
  <c r="KG62" i="8"/>
  <c r="FT37" i="8"/>
  <c r="IC48" i="8"/>
  <c r="GW55" i="8"/>
  <c r="B136" i="19"/>
  <c r="GV43" i="8"/>
  <c r="FL44" i="8"/>
  <c r="KC64" i="8"/>
  <c r="JP72" i="8"/>
  <c r="KM32" i="8"/>
  <c r="HM64" i="8"/>
  <c r="HR62" i="8"/>
  <c r="JH69" i="8"/>
  <c r="GQ43" i="8"/>
  <c r="HF50" i="8"/>
  <c r="JE52" i="8"/>
  <c r="FT41" i="8"/>
  <c r="KR56" i="8"/>
  <c r="HQ71" i="8"/>
  <c r="IS66" i="8"/>
  <c r="FY42" i="8"/>
  <c r="JJ33" i="8"/>
  <c r="HY58" i="8"/>
  <c r="IO70" i="8"/>
  <c r="KT63" i="8"/>
  <c r="KW70" i="8"/>
  <c r="IS33" i="8"/>
  <c r="HU64" i="8"/>
  <c r="IX45" i="8"/>
  <c r="IZ28" i="8"/>
  <c r="IA68" i="8"/>
  <c r="KV51" i="8"/>
  <c r="IB36" i="8"/>
  <c r="HO51" i="8"/>
  <c r="FS34" i="8"/>
  <c r="GY32" i="8"/>
  <c r="IO40" i="8"/>
  <c r="HD43" i="8"/>
  <c r="JZ31" i="8"/>
  <c r="GO49" i="8"/>
  <c r="GU33" i="8"/>
  <c r="KI33" i="8"/>
  <c r="JT44" i="8"/>
  <c r="HD50" i="8"/>
  <c r="HV56" i="8"/>
  <c r="GO31" i="8"/>
  <c r="GW51" i="8"/>
  <c r="KA47" i="8"/>
  <c r="JI62" i="8"/>
  <c r="KH43" i="8"/>
  <c r="IW49" i="8"/>
  <c r="JL70" i="8"/>
  <c r="IQ62" i="8"/>
  <c r="KL76" i="8"/>
  <c r="C139" i="19"/>
  <c r="IB43" i="8"/>
  <c r="HC28" i="8"/>
  <c r="FP72" i="8"/>
  <c r="HH43" i="8"/>
  <c r="KM69" i="8"/>
  <c r="GV41" i="8"/>
  <c r="HO35" i="8"/>
  <c r="HK41" i="8"/>
  <c r="GY62" i="8"/>
  <c r="IC53" i="8"/>
  <c r="ID67" i="8"/>
  <c r="IF70" i="8"/>
  <c r="GJ73" i="8"/>
  <c r="KF44" i="8"/>
  <c r="JP42" i="8"/>
  <c r="GX29" i="8"/>
  <c r="KX39" i="8"/>
  <c r="JU60" i="8"/>
  <c r="KQ75" i="8"/>
  <c r="JB37" i="8"/>
  <c r="GL58" i="8"/>
  <c r="KX55" i="8"/>
  <c r="IO53" i="8"/>
  <c r="IZ49" i="8"/>
  <c r="JL61" i="8"/>
  <c r="GQ31" i="8"/>
  <c r="GV53" i="8"/>
  <c r="HH42" i="8"/>
  <c r="GT30" i="8"/>
  <c r="KB56" i="8"/>
  <c r="KF27" i="8"/>
  <c r="FL66" i="8"/>
  <c r="GS63" i="8"/>
  <c r="II29" i="8"/>
  <c r="JP50" i="8"/>
  <c r="HV57" i="8"/>
  <c r="KN60" i="8"/>
  <c r="GF34" i="8"/>
  <c r="FM45" i="8"/>
  <c r="JJ30" i="8"/>
  <c r="L51" i="19"/>
  <c r="IX28" i="8"/>
  <c r="GO34" i="8"/>
  <c r="GU73" i="8"/>
  <c r="HG36" i="8"/>
  <c r="FW68" i="8"/>
  <c r="GX51" i="8"/>
  <c r="GY42" i="8"/>
  <c r="HS76" i="8"/>
  <c r="JT64" i="8"/>
  <c r="HO64" i="8"/>
  <c r="IZ38" i="8"/>
  <c r="HV40" i="8"/>
  <c r="GN33" i="8"/>
  <c r="IV51" i="8"/>
  <c r="JK50" i="8"/>
  <c r="II60" i="8"/>
  <c r="KT38" i="8"/>
  <c r="HS33" i="8"/>
  <c r="JK42" i="8"/>
  <c r="JV37" i="8"/>
  <c r="FQ45" i="8"/>
  <c r="KB33" i="8"/>
  <c r="GJ65" i="8"/>
  <c r="GE71" i="8"/>
  <c r="FN38" i="8"/>
  <c r="GC50" i="8"/>
  <c r="IF61" i="8"/>
  <c r="HM38" i="8"/>
  <c r="KJ57" i="8"/>
  <c r="KG35" i="8"/>
  <c r="HB30" i="8"/>
  <c r="HR36" i="8"/>
  <c r="JO63" i="8"/>
  <c r="JZ66" i="8"/>
  <c r="GU44" i="8"/>
  <c r="JD32" i="8"/>
  <c r="IC63" i="8"/>
  <c r="KJ65" i="8"/>
  <c r="KJ70" i="8"/>
  <c r="GW52" i="8"/>
  <c r="HY69" i="8"/>
  <c r="GB49" i="8"/>
  <c r="HA36" i="8"/>
  <c r="JW68" i="8"/>
  <c r="JM67" i="8"/>
  <c r="JG38" i="8"/>
  <c r="HG76" i="8"/>
  <c r="KO28" i="8"/>
  <c r="KC51" i="8"/>
  <c r="JL30" i="8"/>
  <c r="GU61" i="8"/>
  <c r="KQ36" i="8"/>
  <c r="IR37" i="8"/>
  <c r="GR29" i="8"/>
  <c r="JV63" i="8"/>
  <c r="GZ57" i="8"/>
  <c r="HL75" i="8"/>
  <c r="FM44" i="8"/>
  <c r="JA66" i="8"/>
  <c r="HZ46" i="8"/>
  <c r="HV74" i="8"/>
  <c r="GW32" i="8"/>
  <c r="IR61" i="8"/>
  <c r="HJ47" i="8"/>
  <c r="FM66" i="8"/>
  <c r="IP55" i="8"/>
  <c r="KK37" i="8"/>
  <c r="HO76" i="8"/>
  <c r="JR57" i="8"/>
  <c r="FX72" i="8"/>
  <c r="FQ34" i="8"/>
  <c r="FM54" i="8"/>
  <c r="GB44" i="8"/>
  <c r="KR48" i="8"/>
  <c r="KL57" i="8"/>
  <c r="KC55" i="8"/>
  <c r="GJ54" i="8"/>
  <c r="U52" i="19"/>
  <c r="KL47" i="8"/>
  <c r="GT44" i="8"/>
  <c r="GH75" i="8"/>
  <c r="IC32" i="8"/>
  <c r="FQ68" i="8"/>
  <c r="JL45" i="8"/>
  <c r="HJ64" i="8"/>
  <c r="IG67" i="8"/>
  <c r="JI69" i="8"/>
  <c r="FO47" i="8"/>
  <c r="KE53" i="8"/>
  <c r="IB30" i="8"/>
  <c r="GY44" i="8"/>
  <c r="KW65" i="8"/>
  <c r="JS44" i="8"/>
  <c r="FZ63" i="8"/>
  <c r="FU62" i="8"/>
  <c r="IA54" i="8"/>
  <c r="KK54" i="8"/>
  <c r="KC39" i="8"/>
  <c r="GK31" i="8"/>
  <c r="IG74" i="8"/>
  <c r="JR66" i="8"/>
  <c r="GI44" i="8"/>
  <c r="JE73" i="8"/>
  <c r="HB37" i="8"/>
  <c r="IP29" i="8"/>
  <c r="KB35" i="8"/>
  <c r="IP65" i="8"/>
  <c r="JK66" i="8"/>
  <c r="FM56" i="8"/>
  <c r="FP49" i="8"/>
  <c r="JI48" i="8"/>
  <c r="GM31" i="8"/>
  <c r="GJ57" i="8"/>
  <c r="GE29" i="8"/>
  <c r="KC34" i="8"/>
  <c r="HI29" i="8"/>
  <c r="HP75" i="8"/>
  <c r="FQ51" i="8"/>
  <c r="HP67" i="8"/>
  <c r="JB55" i="8"/>
  <c r="JB59" i="8"/>
  <c r="IT59" i="8"/>
  <c r="JR73" i="8"/>
  <c r="FR64" i="8"/>
  <c r="IY52" i="8"/>
  <c r="IT64" i="8"/>
  <c r="GL65" i="8"/>
  <c r="JU37" i="8"/>
  <c r="HA74" i="8"/>
  <c r="HR72" i="8"/>
  <c r="HH33" i="8"/>
  <c r="C155" i="19"/>
  <c r="HI33" i="8"/>
  <c r="HY70" i="8"/>
  <c r="JV54" i="8"/>
  <c r="FL71" i="8"/>
  <c r="KC57" i="8"/>
  <c r="GE28" i="8"/>
  <c r="KI59" i="8"/>
  <c r="HK52" i="8"/>
  <c r="HF42" i="8"/>
  <c r="KP63" i="8"/>
  <c r="JL42" i="8"/>
  <c r="IU36" i="8"/>
  <c r="FS43" i="8"/>
  <c r="FK68" i="8"/>
  <c r="HO67" i="8"/>
  <c r="GB43" i="8"/>
  <c r="HS68" i="8"/>
  <c r="HY46" i="8"/>
  <c r="IR32" i="8"/>
  <c r="U15" i="19"/>
  <c r="KT56" i="8"/>
  <c r="KU54" i="8"/>
  <c r="KF35" i="8"/>
  <c r="KS31" i="8"/>
  <c r="KW35" i="8"/>
  <c r="HU48" i="8"/>
  <c r="HJ51" i="8"/>
  <c r="HJ61" i="8"/>
  <c r="HP63" i="8"/>
  <c r="FR38" i="8"/>
  <c r="IS38" i="8"/>
  <c r="GB50" i="8"/>
  <c r="GK70" i="8"/>
  <c r="HI41" i="8"/>
  <c r="GC52" i="8"/>
  <c r="KB49" i="8"/>
  <c r="GH63" i="8"/>
  <c r="HQ67" i="8"/>
  <c r="IP72" i="8"/>
  <c r="IL55" i="8"/>
  <c r="FT69" i="8"/>
  <c r="IF63" i="8"/>
  <c r="JE69" i="8"/>
  <c r="GQ67" i="8"/>
  <c r="JK60" i="8"/>
  <c r="FY61" i="8"/>
  <c r="IM29" i="8"/>
  <c r="KG61" i="8"/>
  <c r="GH50" i="8"/>
  <c r="II43" i="8"/>
  <c r="GA59" i="8"/>
  <c r="JX47" i="8"/>
  <c r="KH51" i="8"/>
  <c r="HA75" i="8"/>
  <c r="FR35" i="8"/>
  <c r="IJ60" i="8"/>
  <c r="GV38" i="8"/>
  <c r="HL74" i="8"/>
  <c r="HD74" i="8"/>
  <c r="JK72" i="8"/>
  <c r="GJ41" i="8"/>
  <c r="GY50" i="8"/>
  <c r="IT54" i="8"/>
  <c r="JC67" i="8"/>
  <c r="KK50" i="8"/>
  <c r="HA33" i="8"/>
  <c r="HI64" i="8"/>
  <c r="B122" i="19"/>
  <c r="HH27" i="8"/>
  <c r="IS28" i="8"/>
  <c r="FS54" i="8"/>
  <c r="KV49" i="8"/>
  <c r="GS49" i="8"/>
  <c r="GB66" i="8"/>
  <c r="FP63" i="8"/>
  <c r="FL72" i="8"/>
  <c r="IB62" i="8"/>
  <c r="JX41" i="8"/>
  <c r="IQ50" i="8"/>
  <c r="JJ45" i="8"/>
  <c r="JX31" i="8"/>
  <c r="IP48" i="8"/>
  <c r="GY33" i="8"/>
  <c r="KU65" i="8"/>
  <c r="JM76" i="8"/>
  <c r="KB46" i="8"/>
  <c r="FS53" i="8"/>
  <c r="FX48" i="8"/>
  <c r="HZ47" i="8"/>
  <c r="HU62" i="8"/>
  <c r="FY43" i="8"/>
  <c r="HR59" i="8"/>
  <c r="KV45" i="8"/>
  <c r="GT57" i="8"/>
  <c r="JH54" i="8"/>
  <c r="GZ40" i="8"/>
  <c r="JY63" i="8"/>
  <c r="KJ29" i="8"/>
  <c r="KD31" i="8"/>
  <c r="KL27" i="8"/>
  <c r="KG59" i="8"/>
  <c r="GP58" i="8"/>
  <c r="KM62" i="8"/>
  <c r="HN56" i="8"/>
  <c r="GN52" i="8"/>
  <c r="GC36" i="8"/>
  <c r="GW27" i="8"/>
  <c r="IF46" i="8"/>
  <c r="JW36" i="8"/>
  <c r="KG73" i="8"/>
  <c r="GT70" i="8"/>
  <c r="FX41" i="8"/>
  <c r="HT66" i="8"/>
  <c r="KT75" i="8"/>
  <c r="GA54" i="8"/>
  <c r="KN28" i="8"/>
  <c r="HI40" i="8"/>
  <c r="GT43" i="8"/>
  <c r="IR31" i="8"/>
  <c r="JA75" i="8"/>
  <c r="GJ49" i="8"/>
  <c r="JU61" i="8"/>
  <c r="JX60" i="8"/>
  <c r="IA27" i="8"/>
  <c r="GA33" i="8"/>
  <c r="HW52" i="8"/>
  <c r="GO33" i="8"/>
  <c r="HF54" i="8"/>
  <c r="JO54" i="8"/>
  <c r="IV37" i="8"/>
  <c r="HP37" i="8"/>
  <c r="GI40" i="8"/>
  <c r="IY45" i="8"/>
  <c r="JA46" i="8"/>
  <c r="KI27" i="8"/>
  <c r="IH33" i="8"/>
  <c r="JX36" i="8"/>
  <c r="IH69" i="8"/>
  <c r="FL74" i="8"/>
  <c r="JP64" i="8"/>
  <c r="FL73" i="8"/>
  <c r="GM65" i="8"/>
  <c r="KR50" i="8"/>
  <c r="IJ41" i="8"/>
  <c r="HU37" i="8"/>
  <c r="IE52" i="8"/>
  <c r="JV69" i="8"/>
  <c r="HD67" i="8"/>
  <c r="HI35" i="8"/>
  <c r="IQ73" i="8"/>
  <c r="FS48" i="8"/>
  <c r="GF28" i="8"/>
  <c r="GE44" i="8"/>
  <c r="FM35" i="8"/>
  <c r="HZ74" i="8"/>
  <c r="HV47" i="8"/>
  <c r="JI58" i="8"/>
  <c r="JP53" i="8"/>
  <c r="FZ72" i="8"/>
  <c r="KB64" i="8"/>
  <c r="JO36" i="8"/>
  <c r="FV57" i="8"/>
  <c r="IT34" i="8"/>
  <c r="KV35" i="8"/>
  <c r="GU28" i="8"/>
  <c r="IE62" i="8"/>
  <c r="FT50" i="8"/>
  <c r="IB66" i="8"/>
  <c r="HN31" i="8"/>
  <c r="KR49" i="8"/>
  <c r="GE59" i="8"/>
  <c r="IW69" i="8"/>
  <c r="IL51" i="8"/>
  <c r="GF63" i="8"/>
  <c r="FL27" i="8"/>
  <c r="ID52" i="8"/>
  <c r="FK49" i="8"/>
  <c r="JX34" i="8"/>
  <c r="HM51" i="8"/>
  <c r="HO45" i="8"/>
  <c r="HF30" i="8"/>
  <c r="FK45" i="8"/>
  <c r="IS62" i="8"/>
  <c r="KA41" i="8"/>
  <c r="GY67" i="8"/>
  <c r="JH35" i="8"/>
  <c r="GO36" i="8"/>
  <c r="HW67" i="8"/>
  <c r="HK68" i="8"/>
  <c r="JX51" i="8"/>
  <c r="W51" i="19"/>
  <c r="HI31" i="8"/>
  <c r="IG50" i="8"/>
  <c r="HQ37" i="8"/>
  <c r="IQ63" i="8"/>
  <c r="JD29" i="8"/>
  <c r="GI59" i="8"/>
  <c r="JS50" i="8"/>
  <c r="JO27" i="8"/>
  <c r="KM55" i="8"/>
  <c r="FN67" i="8"/>
  <c r="HE49" i="8"/>
  <c r="KO71" i="8"/>
  <c r="HX73" i="8"/>
  <c r="HI53" i="8"/>
  <c r="IL52" i="8"/>
  <c r="KQ56" i="8"/>
  <c r="IF27" i="8"/>
  <c r="HU75" i="8"/>
  <c r="FV27" i="8"/>
  <c r="FL62" i="8"/>
  <c r="IA59" i="8"/>
  <c r="HC57" i="8"/>
  <c r="JP28" i="8"/>
  <c r="KP41" i="8"/>
  <c r="JK34" i="8"/>
  <c r="JU28" i="8"/>
  <c r="HU74" i="8"/>
  <c r="JH56" i="8"/>
  <c r="HN53" i="8"/>
  <c r="FY60" i="8"/>
  <c r="HE46" i="8"/>
  <c r="FQ57" i="8"/>
  <c r="HA59" i="8"/>
  <c r="GI64" i="8"/>
  <c r="IK76" i="8"/>
  <c r="GL39" i="8"/>
  <c r="JG33" i="8"/>
  <c r="G53" i="19"/>
  <c r="IJ53" i="8"/>
  <c r="KL66" i="8"/>
  <c r="JB33" i="8"/>
  <c r="FO70" i="8"/>
  <c r="HC69" i="8"/>
  <c r="IZ39" i="8"/>
  <c r="KA44" i="8"/>
  <c r="KN39" i="8"/>
  <c r="HN75" i="8"/>
  <c r="GF54" i="8"/>
  <c r="HY41" i="8"/>
  <c r="IP42" i="8"/>
  <c r="JM48" i="8"/>
  <c r="GG41" i="8"/>
  <c r="IP47" i="8"/>
  <c r="KS40" i="8"/>
  <c r="GB36" i="8"/>
  <c r="JF58" i="8"/>
  <c r="HW69" i="8"/>
  <c r="JA39" i="8"/>
  <c r="IX29" i="8"/>
  <c r="KS57" i="8"/>
  <c r="IY67" i="8"/>
  <c r="HF61" i="8"/>
  <c r="KK32" i="8"/>
  <c r="GS34" i="8"/>
  <c r="IC64" i="8"/>
  <c r="HN32" i="8"/>
  <c r="JX33" i="8"/>
  <c r="HY32" i="8"/>
  <c r="IS35" i="8"/>
  <c r="HP38" i="8"/>
  <c r="FU32" i="8"/>
  <c r="JF31" i="8"/>
  <c r="JV56" i="8"/>
  <c r="JN45" i="8"/>
  <c r="KW36" i="8"/>
  <c r="HC52" i="8"/>
  <c r="KL41" i="8"/>
  <c r="JI32" i="8"/>
  <c r="GV58" i="8"/>
  <c r="JK28" i="8"/>
  <c r="IZ61" i="8"/>
  <c r="HA61" i="8"/>
  <c r="HF69" i="8"/>
  <c r="JO66" i="8"/>
  <c r="KJ71" i="8"/>
  <c r="GZ49" i="8"/>
  <c r="KH59" i="8"/>
  <c r="KW67" i="8"/>
  <c r="JO67" i="8"/>
  <c r="KT62" i="8"/>
  <c r="KO45" i="8"/>
  <c r="HH65" i="8"/>
  <c r="GW75" i="8"/>
  <c r="ID60" i="8"/>
  <c r="GT48" i="8"/>
  <c r="KQ71" i="8"/>
  <c r="IA48" i="8"/>
  <c r="KL36" i="8"/>
  <c r="IE65" i="8"/>
  <c r="HS42" i="8"/>
  <c r="JB57" i="8"/>
  <c r="KL59" i="8"/>
  <c r="GO52" i="8"/>
  <c r="GX75" i="8"/>
  <c r="GL29" i="8"/>
  <c r="IR46" i="8"/>
  <c r="GS32" i="8"/>
  <c r="HQ73" i="8"/>
  <c r="HB56" i="8"/>
  <c r="GK29" i="8"/>
  <c r="GZ70" i="8"/>
  <c r="GM70" i="8"/>
  <c r="HP30" i="8"/>
  <c r="FP32" i="8"/>
  <c r="HU53" i="8"/>
  <c r="HY63" i="8"/>
  <c r="IZ29" i="8"/>
  <c r="GN37" i="8"/>
  <c r="JM61" i="8"/>
  <c r="HA43" i="8"/>
  <c r="HM47" i="8"/>
  <c r="HS52" i="8"/>
  <c r="IR74" i="8"/>
  <c r="HG39" i="8"/>
  <c r="HL31" i="8"/>
  <c r="JN31" i="8"/>
  <c r="KQ31" i="8"/>
  <c r="JQ29" i="8"/>
  <c r="KD36" i="8"/>
  <c r="JW67" i="8"/>
  <c r="JD64" i="8"/>
  <c r="HG71" i="8"/>
  <c r="JR33" i="8"/>
  <c r="JP33" i="8"/>
  <c r="JC32" i="8"/>
  <c r="IY72" i="8"/>
  <c r="KN50" i="8"/>
  <c r="GQ41" i="8"/>
  <c r="JG45" i="8"/>
  <c r="KF61" i="8"/>
  <c r="IS37" i="8"/>
  <c r="KN59" i="8"/>
  <c r="HA70" i="8"/>
  <c r="KW50" i="8"/>
  <c r="IJ29" i="8"/>
  <c r="FK41" i="8"/>
  <c r="JM29" i="8"/>
  <c r="IA41" i="8"/>
  <c r="JI68" i="8"/>
  <c r="GJ68" i="8"/>
  <c r="JU40" i="8"/>
  <c r="HS71" i="8"/>
  <c r="GU64" i="8"/>
  <c r="KB31" i="8"/>
  <c r="HB53" i="8"/>
  <c r="KO39" i="8"/>
  <c r="IH34" i="8"/>
  <c r="IY30" i="8"/>
  <c r="HR48" i="8"/>
  <c r="GW35" i="8"/>
  <c r="HG60" i="8"/>
  <c r="IQ60" i="8"/>
  <c r="JJ73" i="8"/>
  <c r="FT52" i="8"/>
  <c r="JN64" i="8"/>
  <c r="JX50" i="8"/>
  <c r="HS53" i="8"/>
  <c r="JB52" i="8"/>
  <c r="FX57" i="8"/>
  <c r="FU68" i="8"/>
  <c r="IR44" i="8"/>
  <c r="KT46" i="8"/>
  <c r="JJ54" i="8"/>
  <c r="FQ58" i="8"/>
  <c r="KS64" i="8"/>
  <c r="JG31" i="8"/>
  <c r="GA38" i="8"/>
  <c r="HU38" i="8"/>
  <c r="JI67" i="8"/>
  <c r="JA71" i="8"/>
  <c r="KA66" i="8"/>
  <c r="IP44" i="8"/>
  <c r="GL32" i="8"/>
  <c r="B146" i="19"/>
  <c r="JR38" i="8"/>
  <c r="KT52" i="8"/>
  <c r="HB57" i="8"/>
  <c r="FR61" i="8"/>
  <c r="JQ66" i="8"/>
  <c r="HF55" i="8"/>
  <c r="KG75" i="8"/>
  <c r="GI48" i="8"/>
  <c r="KJ43" i="8"/>
  <c r="HS73" i="8"/>
  <c r="GI32" i="8"/>
  <c r="KT60" i="8"/>
  <c r="GI57" i="8"/>
  <c r="GP71" i="8"/>
  <c r="HB31" i="8"/>
  <c r="KB54" i="8"/>
  <c r="KN53" i="8"/>
  <c r="GW76" i="8"/>
  <c r="KM65" i="8"/>
  <c r="IF41" i="8"/>
  <c r="IW60" i="8"/>
  <c r="IY35" i="8"/>
  <c r="II61" i="8"/>
  <c r="IW54" i="8"/>
  <c r="GM32" i="8"/>
  <c r="FY64" i="8"/>
  <c r="GJ31" i="8"/>
  <c r="HI76" i="8"/>
  <c r="GC34" i="8"/>
  <c r="GP48" i="8"/>
  <c r="KE76" i="8"/>
  <c r="KJ50" i="8"/>
  <c r="KD42" i="8"/>
  <c r="FV53" i="8"/>
  <c r="JA74" i="8"/>
  <c r="HW44" i="8"/>
  <c r="JR55" i="8"/>
  <c r="HK65" i="8"/>
  <c r="FR30" i="8"/>
  <c r="JM50" i="8"/>
  <c r="IT50" i="8"/>
  <c r="JD42" i="8"/>
  <c r="GI37" i="8"/>
  <c r="JW40" i="8"/>
  <c r="GC49" i="8"/>
  <c r="KV32" i="8"/>
  <c r="GE74" i="8"/>
  <c r="FR42" i="8"/>
  <c r="GW42" i="8"/>
  <c r="FL70" i="8"/>
  <c r="IQ29" i="8"/>
  <c r="IQ51" i="8"/>
  <c r="IO49" i="8"/>
  <c r="IE31" i="8"/>
  <c r="KH38" i="8"/>
  <c r="JO32" i="8"/>
  <c r="HD68" i="8"/>
  <c r="JC62" i="8"/>
  <c r="FO71" i="8"/>
  <c r="IE59" i="8"/>
  <c r="KI44" i="8"/>
  <c r="FX58" i="8"/>
  <c r="JR31" i="8"/>
  <c r="IW41" i="8"/>
  <c r="HP70" i="8"/>
  <c r="JK61" i="8"/>
  <c r="JQ47" i="8"/>
  <c r="GG43" i="8"/>
  <c r="GB52" i="8"/>
  <c r="KU61" i="8"/>
  <c r="GT71" i="8"/>
  <c r="GX54" i="8"/>
  <c r="IJ64" i="8"/>
  <c r="KN43" i="8"/>
  <c r="HW46" i="8"/>
  <c r="GV56" i="8"/>
  <c r="HB28" i="8"/>
  <c r="HZ59" i="8"/>
  <c r="JZ50" i="8"/>
  <c r="KC46" i="8"/>
  <c r="JS39" i="8"/>
  <c r="FL49" i="8"/>
  <c r="HW27" i="8"/>
  <c r="FL64" i="8"/>
  <c r="HQ38" i="8"/>
  <c r="JF68" i="8"/>
  <c r="HB46" i="8"/>
  <c r="FR56" i="8"/>
  <c r="HH38" i="8"/>
  <c r="KA42" i="8"/>
  <c r="GR62" i="8"/>
  <c r="KV38" i="8"/>
  <c r="KI74" i="8"/>
  <c r="FN34" i="8"/>
  <c r="KK46" i="8"/>
  <c r="HF56" i="8"/>
  <c r="HF67" i="8"/>
  <c r="HX34" i="8"/>
  <c r="IF53" i="8"/>
  <c r="KG60" i="8"/>
  <c r="KS56" i="8"/>
  <c r="GC44" i="8"/>
  <c r="IB32" i="8"/>
  <c r="KL73" i="8"/>
  <c r="FS73" i="8"/>
  <c r="HJ37" i="8"/>
  <c r="FN37" i="8"/>
  <c r="JD45" i="8"/>
  <c r="FN33" i="8"/>
  <c r="GT41" i="8"/>
  <c r="FM51" i="8"/>
  <c r="KP36" i="8"/>
  <c r="KS50" i="8"/>
  <c r="KS29" i="8"/>
  <c r="HA66" i="8"/>
  <c r="GL53" i="8"/>
  <c r="JY74" i="8"/>
  <c r="KR46" i="8"/>
  <c r="HU39" i="8"/>
  <c r="KS67" i="8"/>
  <c r="GC33" i="8"/>
  <c r="KE38" i="8"/>
  <c r="GQ51" i="8"/>
  <c r="HP74" i="8"/>
  <c r="JW31" i="8"/>
  <c r="KB75" i="8"/>
  <c r="IC73" i="8"/>
  <c r="IK35" i="8"/>
  <c r="GO74" i="8"/>
  <c r="GX76" i="8"/>
  <c r="HR38" i="8"/>
  <c r="GO43" i="8"/>
  <c r="JY32" i="8"/>
  <c r="HC51" i="8"/>
  <c r="KK33" i="8"/>
  <c r="HG68" i="8"/>
  <c r="JD71" i="8"/>
  <c r="HJ68" i="8"/>
  <c r="JT39" i="8"/>
  <c r="KN69" i="8"/>
  <c r="GA73" i="8"/>
  <c r="KK72" i="8"/>
  <c r="KP66" i="8"/>
  <c r="JJ36" i="8"/>
  <c r="HE27" i="8"/>
  <c r="FY56" i="8"/>
  <c r="FV47" i="8"/>
  <c r="IH64" i="8"/>
  <c r="GE75" i="8"/>
  <c r="HR69" i="8"/>
  <c r="KK76" i="8"/>
  <c r="JD37" i="8"/>
  <c r="GN41" i="8"/>
  <c r="FQ55" i="8"/>
  <c r="HK74" i="8"/>
  <c r="KH71" i="8"/>
  <c r="GZ64" i="8"/>
  <c r="GP62" i="8"/>
  <c r="FQ33" i="8"/>
  <c r="KT67" i="8"/>
  <c r="KB76" i="8"/>
  <c r="FW52" i="8"/>
  <c r="IB38" i="8"/>
  <c r="GU60" i="8"/>
  <c r="GB30" i="8"/>
  <c r="KF72" i="8"/>
  <c r="KJ42" i="8"/>
  <c r="HP71" i="8"/>
  <c r="GG31" i="8"/>
  <c r="FT55" i="8"/>
  <c r="HV64" i="8"/>
  <c r="FO39" i="8"/>
  <c r="GB45" i="8"/>
  <c r="JS67" i="8"/>
  <c r="GU74" i="8"/>
  <c r="GU45" i="8"/>
  <c r="IY56" i="8"/>
  <c r="HY43" i="8"/>
  <c r="IU66" i="8"/>
  <c r="HB58" i="8"/>
  <c r="FT46" i="8"/>
  <c r="JA60" i="8"/>
  <c r="GM39" i="8"/>
  <c r="KK28" i="8"/>
  <c r="II37" i="8"/>
  <c r="KV62" i="8"/>
  <c r="GS44" i="8"/>
  <c r="HT69" i="8"/>
  <c r="IX74" i="8"/>
  <c r="FV65" i="8"/>
  <c r="KE57" i="8"/>
  <c r="JZ28" i="8"/>
  <c r="JR45" i="8"/>
  <c r="HO31" i="8"/>
  <c r="HU49" i="8"/>
  <c r="ID35" i="8"/>
  <c r="HK33" i="8"/>
  <c r="JQ61" i="8"/>
  <c r="JS46" i="8"/>
  <c r="FY55" i="8"/>
  <c r="KA27" i="8"/>
  <c r="GV66" i="8"/>
  <c r="GJ69" i="8"/>
  <c r="HC34" i="8"/>
  <c r="IL42" i="8"/>
  <c r="HG58" i="8"/>
  <c r="IZ56" i="8"/>
  <c r="HK34" i="8"/>
  <c r="GH72" i="8"/>
  <c r="B139" i="19"/>
  <c r="GG28" i="8"/>
  <c r="GA67" i="8"/>
  <c r="GH60" i="8"/>
  <c r="GB41" i="8"/>
  <c r="HF43" i="8"/>
  <c r="HZ31" i="8"/>
  <c r="FZ56" i="8"/>
  <c r="KK61" i="8"/>
  <c r="KE68" i="8"/>
  <c r="HE45" i="8"/>
  <c r="FL41" i="8"/>
  <c r="KQ34" i="8"/>
  <c r="IH27" i="8"/>
  <c r="FW34" i="8"/>
  <c r="HH35" i="8"/>
  <c r="KI63" i="8"/>
  <c r="HW34" i="8"/>
  <c r="JT40" i="8"/>
  <c r="KM30" i="8"/>
  <c r="GS59" i="8"/>
  <c r="GD37" i="8"/>
  <c r="JG41" i="8"/>
  <c r="HL57" i="8"/>
  <c r="HP45" i="8"/>
  <c r="HW59" i="8"/>
  <c r="FR65" i="8"/>
  <c r="HP43" i="8"/>
  <c r="HQ41" i="8"/>
  <c r="IZ43" i="8"/>
  <c r="FY32" i="8"/>
  <c r="IB69" i="8"/>
  <c r="KU72" i="8"/>
  <c r="FU70" i="8"/>
  <c r="IX44" i="8"/>
  <c r="GS41" i="8"/>
  <c r="KP56" i="8"/>
  <c r="HK38" i="8"/>
  <c r="JP37" i="8"/>
  <c r="IA43" i="8"/>
  <c r="HV62" i="8"/>
  <c r="HO58" i="8"/>
  <c r="JU71" i="8"/>
  <c r="GE48" i="8"/>
  <c r="JI76" i="8"/>
  <c r="KB62" i="8"/>
  <c r="KD63" i="8"/>
  <c r="FK69" i="8"/>
  <c r="IX38" i="8"/>
  <c r="JP66" i="8"/>
  <c r="JZ44" i="8"/>
  <c r="JM73" i="8"/>
  <c r="FR54" i="8"/>
  <c r="IF69" i="8"/>
  <c r="FW37" i="8"/>
  <c r="KF65" i="8"/>
  <c r="FP56" i="8"/>
  <c r="IN45" i="8"/>
  <c r="GU39" i="8"/>
  <c r="IH28" i="8"/>
  <c r="GR59" i="8"/>
  <c r="FT76" i="8"/>
  <c r="FQ27" i="8"/>
  <c r="KA58" i="8"/>
  <c r="JD59" i="8"/>
  <c r="HB44" i="8"/>
  <c r="IM53" i="8"/>
  <c r="JN34" i="8"/>
  <c r="JC58" i="8"/>
  <c r="GP55" i="8"/>
  <c r="JP34" i="8"/>
  <c r="JW41" i="8"/>
  <c r="JR52" i="8"/>
  <c r="KC66" i="8"/>
  <c r="ID59" i="8"/>
  <c r="GE41" i="8"/>
  <c r="GE58" i="8"/>
  <c r="KH55" i="8"/>
  <c r="JT60" i="8"/>
  <c r="GU31" i="8"/>
  <c r="HR76" i="8"/>
  <c r="GE31" i="8"/>
  <c r="IB76" i="8"/>
  <c r="KE54" i="8"/>
  <c r="JJ68" i="8"/>
  <c r="K15" i="19"/>
  <c r="FX46" i="8"/>
  <c r="FU71" i="8"/>
  <c r="JU41" i="8"/>
  <c r="GE76" i="8"/>
  <c r="HU43" i="8"/>
  <c r="FS28" i="8"/>
  <c r="FS35" i="8"/>
  <c r="GR65" i="8"/>
  <c r="KD48" i="8"/>
  <c r="HZ54" i="8"/>
  <c r="GY37" i="8"/>
  <c r="JZ38" i="8"/>
  <c r="HX48" i="8"/>
  <c r="IC56" i="8"/>
  <c r="FL38" i="8"/>
  <c r="JV31" i="8"/>
  <c r="GL75" i="8"/>
  <c r="IQ66" i="8"/>
  <c r="JK52" i="8"/>
  <c r="IA63" i="8"/>
  <c r="GP41" i="8"/>
  <c r="FR59" i="8"/>
  <c r="HC40" i="8"/>
  <c r="ID56" i="8"/>
  <c r="HF49" i="8"/>
  <c r="IN28" i="8"/>
  <c r="IT36" i="8"/>
  <c r="II44" i="8"/>
  <c r="KD34" i="8"/>
  <c r="IG40" i="8"/>
  <c r="JP61" i="8"/>
  <c r="GO27" i="8"/>
  <c r="GA64" i="8"/>
  <c r="HC36" i="8"/>
  <c r="GN60" i="8"/>
  <c r="GG56" i="8"/>
  <c r="HJ41" i="8"/>
  <c r="KA55" i="8"/>
  <c r="IG65" i="8"/>
  <c r="JI37" i="8"/>
  <c r="GT49" i="8"/>
  <c r="IW51" i="8"/>
  <c r="GD52" i="8"/>
  <c r="HN44" i="8"/>
  <c r="GE30" i="8"/>
  <c r="IH30" i="8"/>
  <c r="IK52" i="8"/>
  <c r="HI48" i="8"/>
  <c r="KW52" i="8"/>
  <c r="JJ66" i="8"/>
  <c r="GC43" i="8"/>
  <c r="IK50" i="8"/>
  <c r="GB69" i="8"/>
  <c r="GZ29" i="8"/>
  <c r="FY47" i="8"/>
  <c r="JO30" i="8"/>
  <c r="HF47" i="8"/>
  <c r="JX48" i="8"/>
  <c r="FZ32" i="8"/>
  <c r="KS55" i="8"/>
  <c r="JM44" i="8"/>
  <c r="KR76" i="8"/>
  <c r="JZ70" i="8"/>
  <c r="FW50" i="8"/>
  <c r="GL72" i="8"/>
  <c r="FU41" i="8"/>
  <c r="GX48" i="8"/>
  <c r="JM66" i="8"/>
  <c r="GS54" i="8"/>
  <c r="IH40" i="8"/>
  <c r="KW49" i="8"/>
  <c r="KA45" i="8"/>
  <c r="KV28" i="8"/>
  <c r="JB40" i="8"/>
  <c r="KD33" i="8"/>
  <c r="HI28" i="8"/>
  <c r="HR57" i="8"/>
  <c r="JB43" i="8"/>
  <c r="HV45" i="8"/>
  <c r="KO48" i="8"/>
  <c r="HY36" i="8"/>
  <c r="IX57" i="8"/>
  <c r="HM34" i="8"/>
  <c r="GE42" i="8"/>
  <c r="GV32" i="8"/>
  <c r="KD46" i="8"/>
  <c r="JQ62" i="8"/>
  <c r="KB40" i="8"/>
  <c r="IS36" i="8"/>
  <c r="JE71" i="8"/>
  <c r="FY53" i="8"/>
  <c r="IA73" i="8"/>
  <c r="KL70" i="8"/>
  <c r="KT64" i="8"/>
  <c r="JF32" i="8"/>
  <c r="GA71" i="8"/>
  <c r="KP46" i="8"/>
  <c r="C124" i="19"/>
  <c r="JT35" i="8"/>
  <c r="GL30" i="8"/>
  <c r="FQ73" i="8"/>
  <c r="JL60" i="8"/>
  <c r="GA41" i="8"/>
  <c r="FT44" i="8"/>
  <c r="HS37" i="8"/>
  <c r="FK58" i="8"/>
  <c r="II66" i="8"/>
  <c r="HB75" i="8"/>
  <c r="JW66" i="8"/>
  <c r="KR60" i="8"/>
  <c r="JU75" i="8"/>
  <c r="HR30" i="8"/>
  <c r="HM73" i="8"/>
  <c r="IU32" i="8"/>
  <c r="W54" i="19"/>
  <c r="GE37" i="8"/>
  <c r="FX45" i="8"/>
  <c r="HF28" i="8"/>
  <c r="IP46" i="8"/>
  <c r="FL52" i="8"/>
  <c r="JU72" i="8"/>
  <c r="IJ57" i="8"/>
  <c r="FO28" i="8"/>
  <c r="IT69" i="8"/>
  <c r="JD66" i="8"/>
  <c r="IR38" i="8"/>
  <c r="GO72" i="8"/>
  <c r="FL60" i="8"/>
  <c r="HV30" i="8"/>
  <c r="HV29" i="8"/>
  <c r="KJ38" i="8"/>
  <c r="JF73" i="8"/>
  <c r="JJ65" i="8"/>
  <c r="JU55" i="8"/>
  <c r="GE56" i="8"/>
  <c r="HA63" i="8"/>
  <c r="IA32" i="8"/>
  <c r="JJ37" i="8"/>
  <c r="KL50" i="8"/>
  <c r="GK56" i="8"/>
  <c r="KK45" i="8"/>
  <c r="IW42" i="8"/>
  <c r="JY37" i="8"/>
  <c r="KO75" i="8"/>
  <c r="HW42" i="8"/>
  <c r="GF47" i="8"/>
  <c r="H52" i="19"/>
  <c r="KR42" i="8"/>
  <c r="JS61" i="8"/>
  <c r="JX56" i="8"/>
  <c r="JT73" i="8"/>
  <c r="GW71" i="8"/>
  <c r="GI34" i="8"/>
  <c r="HK36" i="8"/>
  <c r="GV44" i="8"/>
  <c r="GQ47" i="8"/>
  <c r="KB28" i="8"/>
  <c r="HP35" i="8"/>
  <c r="HC42" i="8"/>
  <c r="FX34" i="8"/>
  <c r="IP59" i="8"/>
  <c r="HW51" i="8"/>
  <c r="FK71" i="8"/>
  <c r="GQ60" i="8"/>
  <c r="IS71" i="8"/>
  <c r="FL35" i="8"/>
  <c r="IL69" i="8"/>
  <c r="HY56" i="8"/>
  <c r="GO51" i="8"/>
  <c r="GH28" i="8"/>
  <c r="FW70" i="8"/>
  <c r="FZ75" i="8"/>
  <c r="HC61" i="8"/>
  <c r="KI42" i="8"/>
  <c r="JJ50" i="8"/>
  <c r="KO46" i="8"/>
  <c r="II42" i="8"/>
  <c r="KW66" i="8"/>
  <c r="GS50" i="8"/>
  <c r="HC48" i="8"/>
  <c r="IX76" i="8"/>
  <c r="GB53" i="8"/>
  <c r="FM68" i="8"/>
  <c r="KB36" i="8"/>
  <c r="KV74" i="8"/>
  <c r="GQ64" i="8"/>
  <c r="GZ48" i="8"/>
  <c r="HZ62" i="8"/>
  <c r="JV53" i="8"/>
  <c r="HZ57" i="8"/>
  <c r="JH41" i="8"/>
  <c r="JL75" i="8"/>
  <c r="KB63" i="8"/>
  <c r="IG42" i="8"/>
  <c r="HI60" i="8"/>
  <c r="HA65" i="8"/>
  <c r="HK51" i="8"/>
  <c r="IB56" i="8"/>
  <c r="KJ60" i="8"/>
  <c r="FM60" i="8"/>
  <c r="KK56" i="8"/>
  <c r="FT61" i="8"/>
  <c r="IE41" i="8"/>
  <c r="KR75" i="8"/>
  <c r="FR49" i="8"/>
  <c r="FU56" i="8"/>
  <c r="JP59" i="8"/>
  <c r="V52" i="19"/>
  <c r="JH47" i="8"/>
  <c r="HE74" i="8"/>
  <c r="GR30" i="8"/>
  <c r="IG32" i="8"/>
  <c r="FK54" i="8"/>
  <c r="HO62" i="8"/>
  <c r="IC61" i="8"/>
  <c r="IP30" i="8"/>
  <c r="KI38" i="8"/>
  <c r="HG30" i="8"/>
  <c r="IW37" i="8"/>
  <c r="FM48" i="8"/>
  <c r="IR50" i="8"/>
  <c r="JI33" i="8"/>
  <c r="HC54" i="8"/>
  <c r="JO40" i="8"/>
  <c r="IT66" i="8"/>
  <c r="HX51" i="8"/>
  <c r="KN34" i="8"/>
  <c r="GI36" i="8"/>
  <c r="HA62" i="8"/>
  <c r="JI35" i="8"/>
  <c r="HZ42" i="8"/>
  <c r="JA62" i="8"/>
  <c r="GJ44" i="8"/>
  <c r="GW66" i="8"/>
  <c r="KC45" i="8"/>
  <c r="GK76" i="8"/>
  <c r="KC36" i="8"/>
  <c r="GR49" i="8"/>
  <c r="IQ46" i="8"/>
  <c r="IG61" i="8"/>
  <c r="GG65" i="8"/>
  <c r="IG41" i="8"/>
  <c r="IR29" i="8"/>
  <c r="IJ28" i="8"/>
  <c r="KI31" i="8"/>
  <c r="HH66" i="8"/>
  <c r="H15" i="19"/>
  <c r="V51" i="19"/>
  <c r="IM34" i="8"/>
  <c r="GQ57" i="8"/>
  <c r="HD41" i="8"/>
  <c r="FU30" i="8"/>
  <c r="GD70" i="8"/>
  <c r="JY58" i="8"/>
  <c r="HV48" i="8"/>
  <c r="JB34" i="8"/>
  <c r="JM56" i="8"/>
  <c r="JW61" i="8"/>
  <c r="JD27" i="8"/>
  <c r="IT30" i="8"/>
  <c r="JN40" i="8"/>
  <c r="KI61" i="8"/>
  <c r="HO66" i="8"/>
  <c r="IQ55" i="8"/>
  <c r="JY33" i="8"/>
  <c r="JP54" i="8"/>
  <c r="GW36" i="8"/>
  <c r="KI46" i="8"/>
  <c r="GO66" i="8"/>
  <c r="JN53" i="8"/>
  <c r="IC62" i="8"/>
  <c r="HA37" i="8"/>
  <c r="HX53" i="8"/>
  <c r="FQ47" i="8"/>
  <c r="KP42" i="8"/>
  <c r="KO63" i="8"/>
  <c r="KP60" i="8"/>
  <c r="FM30" i="8"/>
  <c r="GN66" i="8"/>
  <c r="GD50" i="8"/>
  <c r="GC60" i="8"/>
  <c r="HA40" i="8"/>
  <c r="HG75" i="8"/>
  <c r="KH69" i="8"/>
  <c r="HD39" i="8"/>
  <c r="FQ36" i="8"/>
  <c r="B143" i="19"/>
  <c r="KU64" i="8"/>
  <c r="KE47" i="8"/>
  <c r="HN74" i="8"/>
  <c r="FQ42" i="8"/>
  <c r="HS40" i="8"/>
  <c r="KC48" i="8"/>
  <c r="GD42" i="8"/>
  <c r="IP31" i="8"/>
  <c r="KG64" i="8"/>
  <c r="IX36" i="8"/>
  <c r="KX59" i="8"/>
  <c r="FP28" i="8"/>
  <c r="KT61" i="8"/>
  <c r="HD31" i="8"/>
  <c r="JH66" i="8"/>
  <c r="KS54" i="8"/>
  <c r="GI28" i="8"/>
  <c r="KL44" i="8"/>
  <c r="JR36" i="8"/>
  <c r="GD32" i="8"/>
  <c r="IP50" i="8"/>
  <c r="HF73" i="8"/>
  <c r="HW76" i="8"/>
  <c r="GA55" i="8"/>
  <c r="HQ63" i="8"/>
  <c r="HP33" i="8"/>
  <c r="FX70" i="8"/>
  <c r="HQ64" i="8"/>
  <c r="FX59" i="8"/>
  <c r="II65" i="8"/>
  <c r="GM74" i="8"/>
  <c r="JE76" i="8"/>
  <c r="IG54" i="8"/>
  <c r="IU46" i="8"/>
  <c r="JZ76" i="8"/>
  <c r="JT46" i="8"/>
  <c r="JM72" i="8"/>
  <c r="HZ67" i="8"/>
  <c r="KK74" i="8"/>
  <c r="JB62" i="8"/>
  <c r="IP40" i="8"/>
  <c r="HF64" i="8"/>
  <c r="GU34" i="8"/>
  <c r="IY50" i="8"/>
  <c r="II71" i="8"/>
  <c r="KG51" i="8"/>
  <c r="GJ39" i="8"/>
  <c r="B54" i="19"/>
  <c r="GH41" i="8"/>
  <c r="IC35" i="8"/>
  <c r="GQ59" i="8"/>
  <c r="IW57" i="8"/>
  <c r="KF75" i="8"/>
  <c r="KM74" i="8"/>
  <c r="JV65" i="8"/>
  <c r="IY70" i="8"/>
  <c r="GD72" i="8"/>
  <c r="KO32" i="8"/>
  <c r="KX54" i="8"/>
  <c r="KL58" i="8"/>
  <c r="KU66" i="8"/>
  <c r="KI55" i="8"/>
  <c r="KH66" i="8"/>
  <c r="HN57" i="8"/>
  <c r="HC35" i="8"/>
  <c r="JJ40" i="8"/>
  <c r="GP70" i="8"/>
  <c r="HL53" i="8"/>
  <c r="IM41" i="8"/>
  <c r="IW59" i="8"/>
  <c r="KT58" i="8"/>
  <c r="IA67" i="8"/>
  <c r="JD50" i="8"/>
  <c r="GX33" i="8"/>
  <c r="IZ47" i="8"/>
  <c r="IC42" i="8"/>
  <c r="FN50" i="8"/>
  <c r="IP68" i="8"/>
  <c r="FV36" i="8"/>
  <c r="ID73" i="8"/>
  <c r="FP50" i="8"/>
  <c r="IX54" i="8"/>
  <c r="FS75" i="8"/>
  <c r="HO42" i="8"/>
  <c r="KG58" i="8"/>
  <c r="HB69" i="8"/>
  <c r="KQ28" i="8"/>
  <c r="IU33" i="8"/>
  <c r="HP72" i="8"/>
  <c r="HU63" i="8"/>
  <c r="JG40" i="8"/>
  <c r="GG30" i="8"/>
  <c r="GC58" i="8"/>
  <c r="GB46" i="8"/>
  <c r="KI75" i="8"/>
  <c r="HG62" i="8"/>
  <c r="IO54" i="8"/>
  <c r="GM56" i="8"/>
  <c r="JY39" i="8"/>
  <c r="C123" i="19"/>
  <c r="GQ55" i="8"/>
  <c r="GE27" i="8"/>
  <c r="GS42" i="8"/>
  <c r="FY74" i="8"/>
  <c r="FV35" i="8"/>
  <c r="IW38" i="8"/>
  <c r="KX49" i="8"/>
  <c r="IV55" i="8"/>
  <c r="HK75" i="8"/>
  <c r="HM66" i="8"/>
  <c r="KK57" i="8"/>
  <c r="IU54" i="8"/>
  <c r="KE60" i="8"/>
  <c r="JP73" i="8"/>
  <c r="JD58" i="8"/>
  <c r="HF63" i="8"/>
  <c r="JO41" i="8"/>
  <c r="IL61" i="8"/>
  <c r="GU58" i="8"/>
  <c r="JK27" i="8"/>
  <c r="HS36" i="8"/>
  <c r="GK73" i="8"/>
  <c r="IX69" i="8"/>
  <c r="HJ48" i="8"/>
  <c r="JI75" i="8"/>
  <c r="KO27" i="8"/>
  <c r="IY47" i="8"/>
  <c r="IA65" i="8"/>
  <c r="KE36" i="8"/>
  <c r="HL33" i="8"/>
  <c r="IM54" i="8"/>
  <c r="GL34" i="8"/>
  <c r="JN29" i="8"/>
  <c r="FK72" i="8"/>
  <c r="KF64" i="8"/>
  <c r="JM47" i="8"/>
  <c r="HT54" i="8"/>
  <c r="JU49" i="8"/>
  <c r="KU57" i="8"/>
  <c r="GD30" i="8"/>
  <c r="HK57" i="8"/>
  <c r="IF65" i="8"/>
  <c r="HZ55" i="8"/>
  <c r="GY65" i="8"/>
  <c r="FR55" i="8"/>
  <c r="KI53" i="8"/>
  <c r="KU38" i="8"/>
  <c r="JQ35" i="8"/>
  <c r="IP33" i="8"/>
  <c r="GD46" i="8"/>
  <c r="JY49" i="8"/>
  <c r="FY66" i="8"/>
  <c r="HG27" i="8"/>
  <c r="FX36" i="8"/>
  <c r="JA53" i="8"/>
  <c r="FQ39" i="8"/>
  <c r="JD46" i="8"/>
  <c r="FZ52" i="8"/>
  <c r="HL68" i="8"/>
  <c r="HZ38" i="8"/>
  <c r="IG62" i="8"/>
  <c r="IW50" i="8"/>
  <c r="HH63" i="8"/>
  <c r="FW49" i="8"/>
  <c r="IB73" i="8"/>
  <c r="GA34" i="8"/>
  <c r="KQ67" i="8"/>
  <c r="HP73" i="8"/>
  <c r="JL35" i="8"/>
  <c r="GZ39" i="8"/>
  <c r="GZ45" i="8"/>
  <c r="GP33" i="8"/>
  <c r="HJ53" i="8"/>
  <c r="JZ42" i="8"/>
  <c r="FK65" i="8"/>
  <c r="IP27" i="8"/>
  <c r="JN68" i="8"/>
  <c r="IP64" i="8"/>
  <c r="B137" i="19"/>
  <c r="JM71" i="8"/>
  <c r="IF36" i="8"/>
  <c r="GJ66" i="8"/>
  <c r="JJ42" i="8"/>
  <c r="GM71" i="8"/>
  <c r="JF47" i="8"/>
  <c r="GQ68" i="8"/>
  <c r="FW75" i="8"/>
  <c r="KD45" i="8"/>
  <c r="HV59" i="8"/>
  <c r="KB38" i="8"/>
  <c r="FL42" i="8"/>
  <c r="KX71" i="8"/>
  <c r="KR35" i="8"/>
  <c r="KC54" i="8"/>
  <c r="E52" i="19"/>
  <c r="JJ56" i="8"/>
  <c r="JS37" i="8"/>
  <c r="IN48" i="8"/>
  <c r="JA59" i="8"/>
  <c r="KB53" i="8"/>
  <c r="HC32" i="8"/>
  <c r="KM52" i="8"/>
  <c r="JL48" i="8"/>
  <c r="GP36" i="8"/>
  <c r="KF70" i="8"/>
  <c r="KP69" i="8"/>
  <c r="KF53" i="8"/>
  <c r="IU51" i="8"/>
  <c r="JW50" i="8"/>
  <c r="FP34" i="8"/>
  <c r="KE39" i="8"/>
  <c r="KD29" i="8"/>
  <c r="GV31" i="8"/>
  <c r="FK61" i="8"/>
  <c r="JF63" i="8"/>
  <c r="GE61" i="8"/>
  <c r="JS30" i="8"/>
  <c r="JJ61" i="8"/>
  <c r="FU47" i="8"/>
  <c r="ID40" i="8"/>
  <c r="IK42" i="8"/>
  <c r="IZ70" i="8"/>
  <c r="KE59" i="8"/>
  <c r="FR48" i="8"/>
  <c r="IA29" i="8"/>
  <c r="JU36" i="8"/>
  <c r="IX43" i="8"/>
  <c r="IQ59" i="8"/>
  <c r="KI28" i="8"/>
  <c r="IX59" i="8"/>
  <c r="HG64" i="8"/>
  <c r="HL73" i="8"/>
  <c r="JX38" i="8"/>
  <c r="HW33" i="8"/>
  <c r="FT29" i="8"/>
  <c r="IR47" i="8"/>
  <c r="HA47" i="8"/>
  <c r="KO67" i="8"/>
  <c r="IT43" i="8"/>
  <c r="HA45" i="8"/>
  <c r="IE73" i="8"/>
  <c r="GP51" i="8"/>
  <c r="KA64" i="8"/>
  <c r="FX47" i="8"/>
  <c r="HN49" i="8"/>
  <c r="KM39" i="8"/>
  <c r="KI49" i="8"/>
  <c r="KJ62" i="8"/>
  <c r="GL44" i="8"/>
  <c r="GT37" i="8"/>
  <c r="KB70" i="8"/>
  <c r="IY66" i="8"/>
  <c r="GS70" i="8"/>
  <c r="KW60" i="8"/>
  <c r="IT32" i="8"/>
  <c r="KT55" i="8"/>
  <c r="IZ54" i="8"/>
  <c r="IL67" i="8"/>
  <c r="HE54" i="8"/>
  <c r="HX59" i="8"/>
  <c r="KA68" i="8"/>
  <c r="KF67" i="8"/>
  <c r="FR28" i="8"/>
  <c r="IX63" i="8"/>
  <c r="GK59" i="8"/>
  <c r="IA39" i="8"/>
  <c r="FL67" i="8"/>
  <c r="KS43" i="8"/>
  <c r="GO48" i="8"/>
  <c r="GD56" i="8"/>
  <c r="IP57" i="8"/>
  <c r="GZ32" i="8"/>
  <c r="C149" i="19"/>
  <c r="HT32" i="8"/>
  <c r="KT68" i="8"/>
  <c r="FL57" i="8"/>
  <c r="K51" i="19"/>
  <c r="IZ60" i="8"/>
  <c r="ID46" i="8"/>
  <c r="JE32" i="8"/>
  <c r="FP62" i="8"/>
  <c r="KH67" i="8"/>
  <c r="GY45" i="8"/>
  <c r="FX40" i="8"/>
  <c r="HU57" i="8"/>
  <c r="IF28" i="8"/>
  <c r="KM76" i="8"/>
  <c r="KG41" i="8"/>
  <c r="HW38" i="8"/>
  <c r="HH60" i="8"/>
  <c r="IA55" i="8"/>
  <c r="FW59" i="8"/>
  <c r="JH44" i="8"/>
  <c r="IZ36" i="8"/>
  <c r="KX30" i="8"/>
  <c r="HS60" i="8"/>
  <c r="JT69" i="8"/>
  <c r="HD40" i="8"/>
  <c r="GH45" i="8"/>
  <c r="JT28" i="8"/>
  <c r="HE63" i="8"/>
  <c r="GA58" i="8"/>
  <c r="FK74" i="8"/>
  <c r="KH53" i="8"/>
  <c r="FU33" i="8"/>
  <c r="JA63" i="8"/>
  <c r="C154" i="19"/>
  <c r="KP61" i="8"/>
  <c r="KH75" i="8"/>
  <c r="JX32" i="8"/>
  <c r="GV35" i="8"/>
  <c r="ID29" i="8"/>
  <c r="JB47" i="8"/>
  <c r="HS39" i="8"/>
  <c r="FM46" i="8"/>
  <c r="FR66" i="8"/>
  <c r="JY60" i="8"/>
  <c r="IA30" i="8"/>
  <c r="HM69" i="8"/>
  <c r="GP52" i="8"/>
  <c r="KS44" i="8"/>
  <c r="KT30" i="8"/>
  <c r="HV58" i="8"/>
  <c r="KP33" i="8"/>
  <c r="GO30" i="8"/>
  <c r="FY63" i="8"/>
  <c r="KH76" i="8"/>
  <c r="KO76" i="8"/>
  <c r="JO49" i="8"/>
  <c r="GF33" i="8"/>
  <c r="JT51" i="8"/>
  <c r="GW58" i="8"/>
  <c r="JL53" i="8"/>
  <c r="KW76" i="8"/>
  <c r="FV75" i="8"/>
  <c r="IZ75" i="8"/>
  <c r="GP44" i="8"/>
  <c r="IQ69" i="8"/>
  <c r="HC45" i="8"/>
  <c r="IR64" i="8"/>
  <c r="JT31" i="8"/>
  <c r="HT52" i="8"/>
  <c r="HG50" i="8"/>
  <c r="GG64" i="8"/>
  <c r="IF54" i="8"/>
  <c r="KE30" i="8"/>
  <c r="KF68" i="8"/>
  <c r="KN75" i="8"/>
  <c r="IQ43" i="8"/>
  <c r="HJ62" i="8"/>
  <c r="HK40" i="8"/>
  <c r="FZ44" i="8"/>
  <c r="HH71" i="8"/>
  <c r="FQ46" i="8"/>
  <c r="JP48" i="8"/>
  <c r="HG35" i="8"/>
  <c r="HN43" i="8"/>
  <c r="KT42" i="8"/>
  <c r="IR39" i="8"/>
  <c r="FR57" i="8"/>
  <c r="GD71" i="8"/>
  <c r="FZ29" i="8"/>
  <c r="JG75" i="8"/>
  <c r="IQ32" i="8"/>
  <c r="HW45" i="8"/>
  <c r="GX56" i="8"/>
  <c r="HQ29" i="8"/>
  <c r="IU64" i="8"/>
  <c r="GW31" i="8"/>
  <c r="KN71" i="8"/>
  <c r="FZ69" i="8"/>
  <c r="HI49" i="8"/>
  <c r="IX52" i="8"/>
  <c r="II41" i="8"/>
  <c r="GI30" i="8"/>
  <c r="II48" i="8"/>
  <c r="HQ52" i="8"/>
  <c r="IK38" i="8"/>
  <c r="GD31" i="8"/>
  <c r="KR29" i="8"/>
  <c r="GC40" i="8"/>
  <c r="JG35" i="8"/>
  <c r="IW64" i="8"/>
  <c r="JF59" i="8"/>
  <c r="FW57" i="8"/>
  <c r="JN67" i="8"/>
  <c r="FQ70" i="8"/>
  <c r="IL57" i="8"/>
  <c r="KM51" i="8"/>
  <c r="IL39" i="8"/>
  <c r="KJ47" i="8"/>
  <c r="FQ61" i="8"/>
  <c r="ID72" i="8"/>
  <c r="GH42" i="8"/>
  <c r="KU48" i="8"/>
  <c r="JE51" i="8"/>
  <c r="HU56" i="8"/>
  <c r="GA32" i="8"/>
  <c r="GO42" i="8"/>
  <c r="JM31" i="8"/>
  <c r="C130" i="19"/>
  <c r="KF74" i="8"/>
  <c r="GK69" i="8"/>
  <c r="JO57" i="8"/>
  <c r="JF44" i="8"/>
  <c r="HB32" i="8"/>
  <c r="FS38" i="8"/>
  <c r="JT72" i="8"/>
  <c r="HL27" i="8"/>
  <c r="JO55" i="8"/>
  <c r="FP45" i="8"/>
  <c r="IB57" i="8"/>
  <c r="HB38" i="8"/>
  <c r="KI67" i="8"/>
  <c r="JL29" i="8"/>
  <c r="KG52" i="8"/>
  <c r="JJ64" i="8"/>
  <c r="FT35" i="8"/>
  <c r="GW50" i="8"/>
  <c r="HP68" i="8"/>
  <c r="GY46" i="8"/>
  <c r="KT43" i="8"/>
  <c r="IG38" i="8"/>
  <c r="KE35" i="8"/>
  <c r="IL73" i="8"/>
  <c r="IE28" i="8"/>
  <c r="JG73" i="8"/>
  <c r="HZ35" i="8"/>
  <c r="KP74" i="8"/>
  <c r="KF31" i="8"/>
  <c r="HH74" i="8"/>
  <c r="FZ40" i="8"/>
  <c r="IP37" i="8"/>
  <c r="KX27" i="8"/>
  <c r="JN37" i="8"/>
  <c r="HX29" i="8"/>
  <c r="GO28" i="8"/>
  <c r="HF27" i="8"/>
  <c r="GV71" i="8"/>
  <c r="JW63" i="8"/>
  <c r="KX75" i="8"/>
  <c r="JM69" i="8"/>
  <c r="KW32" i="8"/>
  <c r="GU57" i="8"/>
  <c r="KQ29" i="8"/>
  <c r="GG27" i="8"/>
  <c r="JO33" i="8"/>
  <c r="GN65" i="8"/>
  <c r="IK31" i="8"/>
  <c r="IO38" i="8"/>
  <c r="HR64" i="8"/>
  <c r="IV71" i="8"/>
  <c r="IV66" i="8"/>
  <c r="JU64" i="8"/>
  <c r="HP64" i="8"/>
  <c r="KI37" i="8"/>
  <c r="GV69" i="8"/>
  <c r="FW40" i="8"/>
  <c r="GJ40" i="8"/>
  <c r="FO66" i="8"/>
  <c r="FQ66" i="8"/>
  <c r="FN45" i="8"/>
  <c r="GC56" i="8"/>
  <c r="JC53" i="8"/>
  <c r="GG69" i="8"/>
  <c r="ID61" i="8"/>
  <c r="JQ51" i="8"/>
  <c r="HU28" i="8"/>
  <c r="HC39" i="8"/>
  <c r="FU28" i="8"/>
  <c r="HJ56" i="8"/>
  <c r="IP70" i="8"/>
  <c r="HY28" i="8"/>
  <c r="GH58" i="8"/>
  <c r="HS43" i="8"/>
  <c r="HZ39" i="8"/>
  <c r="HL63" i="8"/>
  <c r="JL51" i="8"/>
  <c r="JB54" i="8"/>
  <c r="KJ35" i="8"/>
  <c r="GN76" i="8"/>
  <c r="JG64" i="8"/>
  <c r="HA28" i="8"/>
  <c r="HK64" i="8"/>
  <c r="HF75" i="8"/>
  <c r="HB52" i="8"/>
  <c r="KX34" i="8"/>
  <c r="KK75" i="8"/>
  <c r="JR60" i="8"/>
  <c r="JA61" i="8"/>
  <c r="FW64" i="8"/>
  <c r="HR54" i="8"/>
  <c r="KI62" i="8"/>
  <c r="JA51" i="8"/>
  <c r="IQ44" i="8"/>
  <c r="HO36" i="8"/>
  <c r="IR45" i="8"/>
  <c r="FY65" i="8"/>
  <c r="IE45" i="8"/>
  <c r="JS72" i="8"/>
  <c r="KE33" i="8"/>
  <c r="KL63" i="8"/>
  <c r="FY30" i="8"/>
  <c r="KH27" i="8"/>
  <c r="KI32" i="8"/>
  <c r="FV64" i="8"/>
  <c r="KM38" i="8"/>
  <c r="JP67" i="8"/>
  <c r="FO60" i="8"/>
  <c r="FN27" i="8"/>
  <c r="GD39" i="8"/>
  <c r="IL65" i="8"/>
  <c r="JU35" i="8"/>
  <c r="GE40" i="8"/>
  <c r="GW44" i="8"/>
  <c r="GQ73" i="8"/>
  <c r="GN47" i="8"/>
  <c r="HL37" i="8"/>
  <c r="KI41" i="8"/>
  <c r="IE29" i="8"/>
  <c r="GD53" i="8"/>
  <c r="IK74" i="8"/>
  <c r="HH61" i="8"/>
  <c r="HQ36" i="8"/>
  <c r="JB70" i="8"/>
  <c r="GG42" i="8"/>
  <c r="GL59" i="8"/>
  <c r="IS63" i="8"/>
  <c r="JH59" i="8"/>
  <c r="KM64" i="8"/>
  <c r="HI66" i="8"/>
  <c r="KD54" i="8"/>
  <c r="IZ48" i="8"/>
  <c r="JG60" i="8"/>
  <c r="FR27" i="8"/>
  <c r="GF67" i="8"/>
  <c r="KL33" i="8"/>
  <c r="GA62" i="8"/>
  <c r="FP30" i="8"/>
  <c r="JO38" i="8"/>
  <c r="JO34" i="8"/>
  <c r="HL40" i="8"/>
  <c r="HG53" i="8"/>
  <c r="KK51" i="8"/>
  <c r="KJ67" i="8"/>
  <c r="GC38" i="8"/>
  <c r="HW64" i="8"/>
  <c r="JL31" i="8"/>
  <c r="HJ32" i="8"/>
  <c r="KH58" i="8"/>
  <c r="C129" i="19"/>
  <c r="KU39" i="8"/>
  <c r="GK51" i="8"/>
  <c r="AE51" i="19"/>
  <c r="KK41" i="8"/>
  <c r="GP46" i="8"/>
  <c r="JO46" i="8"/>
  <c r="GR47" i="8"/>
  <c r="KS66" i="8"/>
  <c r="KB71" i="8"/>
  <c r="ID63" i="8"/>
  <c r="KI35" i="8"/>
  <c r="X51" i="19"/>
  <c r="GT52" i="8"/>
  <c r="IU70" i="8"/>
  <c r="GB48" i="8"/>
  <c r="HJ66" i="8"/>
  <c r="KR72" i="8"/>
  <c r="FK64" i="8"/>
  <c r="GX66" i="8"/>
  <c r="JK32" i="8"/>
  <c r="JV74" i="8"/>
  <c r="IW33" i="8"/>
  <c r="GM35" i="8"/>
  <c r="KE63" i="8"/>
  <c r="JE56" i="8"/>
  <c r="GL73" i="8"/>
  <c r="II47" i="8"/>
  <c r="HC44" i="8"/>
  <c r="GW56" i="8"/>
  <c r="GS61" i="8"/>
  <c r="JB36" i="8"/>
  <c r="GQ38" i="8"/>
  <c r="JM68" i="8"/>
  <c r="GD61" i="8"/>
  <c r="KR54" i="8"/>
  <c r="J15" i="19"/>
  <c r="IU47" i="8"/>
  <c r="JD48" i="8"/>
  <c r="IU42" i="8"/>
  <c r="JH55" i="8"/>
  <c r="JF42" i="8"/>
  <c r="JI42" i="8"/>
  <c r="HH46" i="8"/>
  <c r="KQ48" i="8"/>
  <c r="FM47" i="8"/>
  <c r="JC46" i="8"/>
  <c r="JB38" i="8"/>
  <c r="IV76" i="8"/>
  <c r="GG39" i="8"/>
  <c r="HO44" i="8"/>
  <c r="KH32" i="8"/>
  <c r="HL51" i="8"/>
  <c r="ID57" i="8"/>
  <c r="HU76" i="8"/>
  <c r="IZ45" i="8"/>
  <c r="HT58" i="8"/>
  <c r="KW59" i="8"/>
  <c r="JC70" i="8"/>
  <c r="IM69" i="8"/>
  <c r="KS48" i="8"/>
  <c r="HX38" i="8"/>
  <c r="HB55" i="8"/>
  <c r="KN70" i="8"/>
  <c r="JY48" i="8"/>
  <c r="GL31" i="8"/>
  <c r="HS46" i="8"/>
  <c r="JF45" i="8"/>
  <c r="JA45" i="8"/>
  <c r="KS49" i="8"/>
  <c r="KA35" i="8"/>
  <c r="KV31" i="8"/>
  <c r="GK43" i="8"/>
  <c r="JA27" i="8"/>
  <c r="GE60" i="8"/>
  <c r="IV50" i="8"/>
  <c r="HI75" i="8"/>
  <c r="FT65" i="8"/>
  <c r="HD30" i="8"/>
  <c r="KB72" i="8"/>
  <c r="HB54" i="8"/>
  <c r="ID47" i="8"/>
  <c r="GB55" i="8"/>
  <c r="HQ50" i="8"/>
  <c r="JA35" i="8"/>
  <c r="KI73" i="8"/>
  <c r="IE58" i="8"/>
  <c r="FR47" i="8"/>
  <c r="HK73" i="8"/>
  <c r="GZ34" i="8"/>
  <c r="IQ56" i="8"/>
  <c r="FY52" i="8"/>
  <c r="FS51" i="8"/>
  <c r="GL45" i="8"/>
  <c r="HW63" i="8"/>
  <c r="JH67" i="8"/>
  <c r="KJ63" i="8"/>
  <c r="GR74" i="8"/>
  <c r="KB45" i="8"/>
  <c r="IR73" i="8"/>
  <c r="JR75" i="8"/>
  <c r="GD60" i="8"/>
  <c r="IN68" i="8"/>
  <c r="KQ50" i="8"/>
  <c r="IY68" i="8"/>
  <c r="FW31" i="8"/>
  <c r="II34" i="8"/>
  <c r="KM48" i="8"/>
  <c r="IG27" i="8"/>
  <c r="KV54" i="8"/>
  <c r="HQ69" i="8"/>
  <c r="FM57" i="8"/>
  <c r="GC62" i="8"/>
  <c r="IF74" i="8"/>
  <c r="HN41" i="8"/>
  <c r="KJ39" i="8"/>
  <c r="GS45" i="8"/>
  <c r="FT71" i="8"/>
  <c r="GY68" i="8"/>
  <c r="FS56" i="8"/>
  <c r="IF75" i="8"/>
  <c r="KK58" i="8"/>
  <c r="HC37" i="8"/>
  <c r="HG31" i="8"/>
  <c r="HP53" i="8"/>
  <c r="IZ31" i="8"/>
  <c r="KR58" i="8"/>
  <c r="IM65" i="8"/>
  <c r="JP40" i="8"/>
  <c r="HS29" i="8"/>
  <c r="GN58" i="8"/>
  <c r="JQ70" i="8"/>
  <c r="IN33" i="8"/>
  <c r="HN63" i="8"/>
  <c r="HU46" i="8"/>
  <c r="GW28" i="8"/>
  <c r="IM49" i="8"/>
  <c r="HY73" i="8"/>
  <c r="JZ40" i="8"/>
  <c r="HO72" i="8"/>
  <c r="T52" i="19"/>
  <c r="KX74" i="8"/>
  <c r="JX35" i="8"/>
  <c r="GF73" i="8"/>
  <c r="JL74" i="8"/>
  <c r="JV34" i="8"/>
  <c r="HD62" i="8"/>
  <c r="KO69" i="8"/>
  <c r="IE40" i="8"/>
  <c r="HE64" i="8"/>
  <c r="FS66" i="8"/>
  <c r="JY70" i="8"/>
  <c r="FK44" i="8"/>
  <c r="KK59" i="8"/>
  <c r="IL34" i="8"/>
  <c r="HV34" i="8"/>
  <c r="IC47" i="8"/>
  <c r="FP37" i="8"/>
  <c r="IT74" i="8"/>
  <c r="GL52" i="8"/>
  <c r="FX74" i="8"/>
  <c r="II64" i="8"/>
  <c r="KL34" i="8"/>
  <c r="GL27" i="8"/>
  <c r="KA37" i="8"/>
  <c r="FN74" i="8"/>
  <c r="IV73" i="8"/>
  <c r="GK63" i="8"/>
  <c r="FU43" i="8"/>
  <c r="KC43" i="8"/>
  <c r="GY51" i="8"/>
  <c r="KP51" i="8"/>
  <c r="B157" i="19"/>
  <c r="HR32" i="8"/>
  <c r="JB29" i="8"/>
  <c r="FQ56" i="8"/>
  <c r="IO31" i="8"/>
  <c r="HX52" i="8"/>
  <c r="HE38" i="8"/>
  <c r="HI68" i="8"/>
  <c r="U54" i="19"/>
  <c r="GR35" i="8"/>
  <c r="IH43" i="8"/>
  <c r="GI45" i="8"/>
  <c r="HV75" i="8"/>
  <c r="IJ56" i="8"/>
  <c r="JL43" i="8"/>
  <c r="KM33" i="8"/>
  <c r="KW57" i="8"/>
  <c r="JU68" i="8"/>
  <c r="GV67" i="8"/>
  <c r="GX32" i="8"/>
  <c r="FR50" i="8"/>
  <c r="KN52" i="8"/>
  <c r="JQ30" i="8"/>
  <c r="JX30" i="8"/>
  <c r="IC50" i="8"/>
  <c r="HF70" i="8"/>
  <c r="JM41" i="8"/>
  <c r="FQ48" i="8"/>
  <c r="KQ72" i="8"/>
  <c r="KQ41" i="8"/>
  <c r="HR46" i="8"/>
  <c r="KJ32" i="8"/>
  <c r="IO44" i="8"/>
  <c r="IM63" i="8"/>
  <c r="HH51" i="8"/>
  <c r="GJ47" i="8"/>
  <c r="GN42" i="8"/>
  <c r="IF44" i="8"/>
  <c r="JN66" i="8"/>
  <c r="FY62" i="8"/>
  <c r="IR54" i="8"/>
  <c r="GF71" i="8"/>
  <c r="IO45" i="8"/>
  <c r="IN75" i="8"/>
  <c r="IO69" i="8"/>
  <c r="IZ42" i="8"/>
  <c r="FZ66" i="8"/>
  <c r="FX35" i="8"/>
  <c r="FL55" i="8"/>
  <c r="HL32" i="8"/>
  <c r="HK43" i="8"/>
  <c r="II27" i="8"/>
  <c r="IU55" i="8"/>
  <c r="HA29" i="8"/>
  <c r="KI40" i="8"/>
  <c r="KS35" i="8"/>
  <c r="FN32" i="8"/>
  <c r="JF74" i="8"/>
  <c r="KR66" i="8"/>
  <c r="GU30" i="8"/>
  <c r="KX69" i="8"/>
  <c r="GM33" i="8"/>
  <c r="IB31" i="8"/>
  <c r="FM61" i="8"/>
  <c r="KQ53" i="8"/>
  <c r="HL44" i="8"/>
  <c r="KF59" i="8"/>
  <c r="HX74" i="8"/>
  <c r="KX57" i="8"/>
  <c r="IB72" i="8"/>
  <c r="HQ28" i="8"/>
  <c r="JB58" i="8"/>
  <c r="IF50" i="8"/>
  <c r="KJ69" i="8"/>
  <c r="GQ62" i="8"/>
  <c r="KQ62" i="8"/>
  <c r="JG65" i="8"/>
  <c r="HH49" i="8"/>
  <c r="GG55" i="8"/>
  <c r="FQ72" i="8"/>
  <c r="IS68" i="8"/>
  <c r="IP66" i="8"/>
  <c r="FR62" i="8"/>
  <c r="HR40" i="8"/>
  <c r="KH49" i="8"/>
  <c r="C166" i="19"/>
  <c r="IM56" i="8"/>
  <c r="HC76" i="8"/>
  <c r="KK52" i="8"/>
  <c r="GY56" i="8"/>
  <c r="GB40" i="8"/>
  <c r="JX64" i="8"/>
  <c r="HY31" i="8"/>
  <c r="GY55" i="8"/>
  <c r="HT49" i="8"/>
  <c r="JR58" i="8"/>
  <c r="FX28" i="8"/>
  <c r="FL48" i="8"/>
  <c r="IW44" i="8"/>
  <c r="GM43" i="8"/>
  <c r="KE51" i="8"/>
  <c r="GK41" i="8"/>
  <c r="GT28" i="8"/>
  <c r="GK38" i="8"/>
  <c r="JM64" i="8"/>
  <c r="JW65" i="8"/>
  <c r="JA50" i="8"/>
  <c r="KD67" i="8"/>
  <c r="KR30" i="8"/>
  <c r="KS37" i="8"/>
  <c r="HU58" i="8"/>
  <c r="GQ34" i="8"/>
  <c r="HJ57" i="8"/>
  <c r="JH45" i="8"/>
  <c r="IU75" i="8"/>
  <c r="HR42" i="8"/>
  <c r="JS73" i="8"/>
  <c r="IO73" i="8"/>
  <c r="IW72" i="8"/>
  <c r="HU45" i="8"/>
  <c r="HW56" i="8"/>
  <c r="GA66" i="8"/>
  <c r="HB60" i="8"/>
  <c r="AI20" i="19"/>
  <c r="JT45" i="8"/>
  <c r="JO64" i="8"/>
  <c r="GP67" i="8"/>
  <c r="IC57" i="8"/>
  <c r="KD60" i="8"/>
  <c r="HN62" i="8"/>
  <c r="KL39" i="8"/>
  <c r="FP52" i="8"/>
  <c r="KX67" i="8"/>
  <c r="KX64" i="8"/>
  <c r="GC69" i="8"/>
  <c r="FX53" i="8"/>
  <c r="IK47" i="8"/>
  <c r="FT40" i="8"/>
  <c r="HW53" i="8"/>
  <c r="IA71" i="8"/>
  <c r="GW33" i="8"/>
  <c r="GD57" i="8"/>
  <c r="IP56" i="8"/>
  <c r="FO73" i="8"/>
  <c r="HO57" i="8"/>
  <c r="HG45" i="8"/>
  <c r="HT76" i="8"/>
  <c r="KL31" i="8"/>
  <c r="IO41" i="8"/>
  <c r="JV72" i="8"/>
  <c r="JL56" i="8"/>
  <c r="FW58" i="8"/>
  <c r="KR40" i="8"/>
  <c r="HZ65" i="8"/>
  <c r="GS76" i="8"/>
  <c r="IA62" i="8"/>
  <c r="KP40" i="8"/>
  <c r="GP30" i="8"/>
  <c r="JF65" i="8"/>
  <c r="IG46" i="8"/>
  <c r="ID58" i="8"/>
  <c r="IF51" i="8"/>
  <c r="KO70" i="8"/>
  <c r="HZ33" i="8"/>
  <c r="GF42" i="8"/>
  <c r="FX52" i="8"/>
  <c r="FP36" i="8"/>
  <c r="KW38" i="8"/>
  <c r="HE33" i="8"/>
  <c r="IJ44" i="8"/>
  <c r="GF57" i="8"/>
  <c r="GE63" i="8"/>
  <c r="IO65" i="8"/>
  <c r="JE27" i="8"/>
  <c r="KD28" i="8"/>
  <c r="GR28" i="8"/>
  <c r="FK48" i="8"/>
  <c r="JM75" i="8"/>
  <c r="JB46" i="8"/>
  <c r="FK75" i="8"/>
  <c r="KK53" i="8"/>
  <c r="II30" i="8"/>
  <c r="GN29" i="8"/>
  <c r="IH68" i="8"/>
  <c r="GX31" i="8"/>
  <c r="HG56" i="8"/>
  <c r="FO49" i="8"/>
  <c r="JZ67" i="8"/>
  <c r="HT29" i="8"/>
  <c r="IY31" i="8"/>
  <c r="GO71" i="8"/>
  <c r="C160" i="19"/>
  <c r="FN36" i="8"/>
  <c r="IJ30" i="8"/>
  <c r="HW43" i="8"/>
  <c r="FR44" i="8"/>
  <c r="JN49" i="8"/>
  <c r="JB44" i="8"/>
  <c r="HG34" i="8"/>
  <c r="KR69" i="8"/>
  <c r="KT41" i="8"/>
  <c r="JA55" i="8"/>
  <c r="IX65" i="8"/>
  <c r="FY39" i="8"/>
  <c r="JI56" i="8"/>
  <c r="KT45" i="8"/>
  <c r="HL65" i="8"/>
  <c r="JW72" i="8"/>
  <c r="HX64" i="8"/>
  <c r="JH36" i="8"/>
  <c r="HY76" i="8"/>
  <c r="JU43" i="8"/>
  <c r="HS35" i="8"/>
  <c r="FM58" i="8"/>
  <c r="JJ32" i="8"/>
  <c r="KU50" i="8"/>
  <c r="KB47" i="8"/>
  <c r="GV73" i="8"/>
  <c r="GB33" i="8"/>
  <c r="HI52" i="8"/>
  <c r="GU56" i="8"/>
  <c r="KQ66" i="8"/>
  <c r="GM40" i="8"/>
  <c r="KW39" i="8"/>
  <c r="JX39" i="8"/>
  <c r="JJ27" i="8"/>
  <c r="HR52" i="8"/>
  <c r="FX51" i="8"/>
  <c r="IU57" i="8"/>
  <c r="GJ35" i="8"/>
  <c r="HP54" i="8"/>
  <c r="KC69" i="8"/>
  <c r="GZ59" i="8"/>
  <c r="HB73" i="8"/>
  <c r="IP36" i="8"/>
  <c r="IZ30" i="8"/>
  <c r="HT30" i="8"/>
  <c r="JA68" i="8"/>
  <c r="GK40" i="8"/>
  <c r="HX40" i="8"/>
  <c r="IC58" i="8"/>
  <c r="GX55" i="8"/>
  <c r="FV40" i="8"/>
  <c r="IS45" i="8"/>
  <c r="GO60" i="8"/>
  <c r="IJ38" i="8"/>
  <c r="JR56" i="8"/>
  <c r="HM45" i="8"/>
  <c r="IP61" i="8"/>
  <c r="GJ60" i="8"/>
  <c r="FO61" i="8"/>
  <c r="F51" i="19"/>
  <c r="IM72" i="8"/>
  <c r="HJ35" i="8"/>
  <c r="HE47" i="8"/>
  <c r="GC75" i="8"/>
  <c r="IQ64" i="8"/>
  <c r="JZ65" i="8"/>
  <c r="JE54" i="8"/>
  <c r="FP71" i="8"/>
  <c r="FT34" i="8"/>
  <c r="GT73" i="8"/>
  <c r="GO70" i="8"/>
  <c r="JL46" i="8"/>
  <c r="IQ37" i="8"/>
  <c r="HG38" i="8"/>
  <c r="HK39" i="8"/>
  <c r="HX42" i="8"/>
  <c r="JH74" i="8"/>
  <c r="KQ42" i="8"/>
  <c r="KA61" i="8"/>
  <c r="GQ63" i="8"/>
  <c r="B133" i="19"/>
  <c r="HW39" i="8"/>
  <c r="KA52" i="8"/>
  <c r="KX37" i="8"/>
  <c r="IQ41" i="8"/>
  <c r="GP75" i="8"/>
  <c r="IZ65" i="8"/>
  <c r="FN60" i="8"/>
  <c r="HX54" i="8"/>
  <c r="JS70" i="8"/>
  <c r="HA53" i="8"/>
  <c r="JI28" i="8"/>
  <c r="HP52" i="8"/>
  <c r="KL49" i="8"/>
  <c r="KF57" i="8"/>
  <c r="HR63" i="8"/>
  <c r="KQ35" i="8"/>
  <c r="GP40" i="8"/>
  <c r="HM55" i="8"/>
  <c r="JS69" i="8"/>
  <c r="HJ36" i="8"/>
  <c r="HG48" i="8"/>
  <c r="GA48" i="8"/>
  <c r="KQ64" i="8"/>
  <c r="KD58" i="8"/>
  <c r="GC70" i="8"/>
  <c r="KO74" i="8"/>
  <c r="FW35" i="8"/>
  <c r="IO52" i="8"/>
  <c r="HM30" i="8"/>
  <c r="JQ45" i="8"/>
  <c r="GA49" i="8"/>
  <c r="GR64" i="8"/>
  <c r="GC63" i="8"/>
  <c r="FK30" i="8"/>
  <c r="KK69" i="8"/>
  <c r="HL52" i="8"/>
  <c r="IH31" i="8"/>
  <c r="GU48" i="8"/>
  <c r="GY47" i="8"/>
  <c r="KR63" i="8"/>
  <c r="GZ65" i="8"/>
  <c r="FO45" i="8"/>
  <c r="HH39" i="8"/>
  <c r="KC67" i="8"/>
  <c r="IS48" i="8"/>
  <c r="IW68" i="8"/>
  <c r="KP35" i="8"/>
  <c r="HL58" i="8"/>
  <c r="JC51" i="8"/>
  <c r="FX43" i="8"/>
  <c r="IJ54" i="8"/>
  <c r="GP29" i="8"/>
  <c r="FX67" i="8"/>
  <c r="JK30" i="8"/>
  <c r="FS42" i="8"/>
  <c r="FP55" i="8"/>
  <c r="FP41" i="8"/>
  <c r="GE36" i="8"/>
  <c r="KE72" i="8"/>
  <c r="IK43" i="8"/>
  <c r="JQ49" i="8"/>
  <c r="IA57" i="8"/>
  <c r="IZ40" i="8"/>
  <c r="IY63" i="8"/>
  <c r="GZ51" i="8"/>
  <c r="HI51" i="8"/>
  <c r="GS69" i="8"/>
  <c r="FS71" i="8"/>
  <c r="JS42" i="8"/>
  <c r="HV67" i="8"/>
  <c r="JP60" i="8"/>
  <c r="JH64" i="8"/>
  <c r="GF40" i="8"/>
  <c r="IR49" i="8"/>
  <c r="FR69" i="8"/>
  <c r="IU52" i="8"/>
  <c r="IP52" i="8"/>
  <c r="JM38" i="8"/>
  <c r="GR38" i="8"/>
  <c r="KJ34" i="8"/>
  <c r="FP73" i="8"/>
  <c r="HE65" i="8"/>
  <c r="IV48" i="8"/>
  <c r="FL39" i="8"/>
  <c r="KS46" i="8"/>
  <c r="JI40" i="8"/>
  <c r="JQ73" i="8"/>
  <c r="FN72" i="8"/>
  <c r="FU73" i="8"/>
  <c r="GM53" i="8"/>
  <c r="HM35" i="8"/>
  <c r="HU41" i="8"/>
  <c r="GN30" i="8"/>
  <c r="GP57" i="8"/>
  <c r="JU70" i="8"/>
  <c r="IS72" i="8"/>
  <c r="GT36" i="8"/>
  <c r="IV47" i="8"/>
  <c r="KW73" i="8"/>
  <c r="JD76" i="8"/>
  <c r="GM59" i="8"/>
  <c r="HI55" i="8"/>
  <c r="KO52" i="8"/>
  <c r="IT75" i="8"/>
  <c r="JG57" i="8"/>
  <c r="IC72" i="8"/>
  <c r="GD35" i="8"/>
  <c r="FK34" i="8"/>
  <c r="HO27" i="8"/>
  <c r="FX56" i="8"/>
  <c r="FZ51" i="8"/>
  <c r="FP35" i="8"/>
  <c r="GN40" i="8"/>
  <c r="JJ71" i="8"/>
  <c r="KN67" i="8"/>
  <c r="KF50" i="8"/>
  <c r="IX68" i="8"/>
  <c r="HO56" i="8"/>
  <c r="C135" i="19"/>
  <c r="IA49" i="8"/>
  <c r="JQ41" i="8"/>
  <c r="JK48" i="8"/>
  <c r="FS39" i="8"/>
  <c r="JJ41" i="8"/>
  <c r="JN32" i="8"/>
  <c r="KR32" i="8"/>
  <c r="JW30" i="8"/>
  <c r="C136" i="19"/>
  <c r="HU34" i="8"/>
  <c r="IE27" i="8"/>
  <c r="FZ33" i="8"/>
  <c r="IL38" i="8"/>
  <c r="JM27" i="8"/>
  <c r="GK50" i="8"/>
  <c r="KF56" i="8"/>
  <c r="HK50" i="8"/>
  <c r="IE35" i="8"/>
  <c r="GL70" i="8"/>
  <c r="GU43" i="8"/>
  <c r="FZ67" i="8"/>
  <c r="IS52" i="8"/>
  <c r="KM27" i="8"/>
  <c r="GG40" i="8"/>
  <c r="GD75" i="8"/>
  <c r="IU73" i="8"/>
  <c r="KV68" i="8"/>
  <c r="HS61" i="8"/>
  <c r="IT63" i="8"/>
  <c r="C156" i="19"/>
  <c r="KF54" i="8"/>
  <c r="AA51" i="19"/>
  <c r="GV68" i="8"/>
  <c r="IL56" i="8"/>
  <c r="JD35" i="8"/>
  <c r="IR68" i="8"/>
  <c r="KV61" i="8"/>
  <c r="KA40" i="8"/>
  <c r="IO63" i="8"/>
  <c r="HK55" i="8"/>
  <c r="HP47" i="8"/>
  <c r="KV69" i="8"/>
  <c r="HB33" i="8"/>
  <c r="JC72" i="8"/>
  <c r="KF48" i="8"/>
  <c r="FK76" i="8"/>
  <c r="IV72" i="8"/>
  <c r="HF36" i="8"/>
  <c r="HJ49" i="8"/>
  <c r="JN52" i="8"/>
  <c r="IC34" i="8"/>
  <c r="II54" i="8"/>
  <c r="GA45" i="8"/>
  <c r="GX47" i="8"/>
  <c r="IJ34" i="8"/>
  <c r="GM75" i="8"/>
  <c r="GF31" i="8"/>
  <c r="JQ67" i="8"/>
  <c r="GL51" i="8"/>
  <c r="GJ53" i="8"/>
  <c r="IV44" i="8"/>
  <c r="JV58" i="8"/>
  <c r="IR59" i="8"/>
  <c r="GJ67" i="8"/>
  <c r="IO46" i="8"/>
  <c r="JS33" i="8"/>
  <c r="HL72" i="8"/>
  <c r="GR75" i="8"/>
  <c r="IP58" i="8"/>
  <c r="JZ41" i="8"/>
  <c r="GW54" i="8"/>
  <c r="FL29" i="8"/>
  <c r="IM45" i="8"/>
  <c r="IZ35" i="8"/>
  <c r="GX39" i="8"/>
  <c r="IB61" i="8"/>
  <c r="FP42" i="8"/>
  <c r="HR41" i="8"/>
  <c r="IA40" i="8"/>
  <c r="GQ49" i="8"/>
  <c r="ID71" i="8"/>
  <c r="GX60" i="8"/>
  <c r="IR35" i="8"/>
  <c r="IK72" i="8"/>
  <c r="GE45" i="8"/>
  <c r="ID42" i="8"/>
  <c r="FQ53" i="8"/>
  <c r="GX67" i="8"/>
  <c r="KN46" i="8"/>
  <c r="IY48" i="8"/>
  <c r="FQ49" i="8"/>
  <c r="HG70" i="8"/>
  <c r="ID34" i="8"/>
  <c r="KL28" i="8"/>
  <c r="KC58" i="8"/>
  <c r="IV31" i="8"/>
  <c r="GZ44" i="8"/>
  <c r="JZ35" i="8"/>
  <c r="HU51" i="8"/>
  <c r="JZ59" i="8"/>
  <c r="GD34" i="8"/>
  <c r="JR48" i="8"/>
  <c r="FV61" i="8"/>
  <c r="GI51" i="8"/>
  <c r="HN45" i="8"/>
  <c r="GM68" i="8"/>
  <c r="KQ60" i="8"/>
  <c r="GQ71" i="8"/>
  <c r="KI65" i="8"/>
  <c r="GH74" i="8"/>
  <c r="HH67" i="8"/>
  <c r="GT54" i="8"/>
  <c r="KX32" i="8"/>
  <c r="ID36" i="8"/>
  <c r="GH61" i="8"/>
  <c r="HV71" i="8"/>
  <c r="GI62" i="8"/>
  <c r="KF58" i="8"/>
  <c r="GC74" i="8"/>
  <c r="HE39" i="8"/>
  <c r="IB65" i="8"/>
  <c r="HH75" i="8"/>
  <c r="KN32" i="8"/>
  <c r="GK52" i="8"/>
  <c r="JB39" i="8"/>
  <c r="KR70" i="8"/>
  <c r="HG57" i="8"/>
  <c r="IV27" i="8"/>
  <c r="JP69" i="8"/>
  <c r="FZ58" i="8"/>
  <c r="IX41" i="8"/>
  <c r="IG56" i="8"/>
  <c r="JV71" i="8"/>
  <c r="IM36" i="8"/>
  <c r="KK60" i="8"/>
  <c r="HR67" i="8"/>
  <c r="KK31" i="8"/>
  <c r="HR70" i="8"/>
  <c r="GN75" i="8"/>
  <c r="KL29" i="8"/>
  <c r="KL69" i="8"/>
  <c r="I52" i="19"/>
  <c r="GB59" i="8"/>
  <c r="IO64" i="8"/>
  <c r="GC42" i="8"/>
  <c r="KM37" i="8"/>
  <c r="GN59" i="8"/>
  <c r="JA33" i="8"/>
  <c r="FM74" i="8"/>
  <c r="HU44" i="8"/>
  <c r="GD64" i="8"/>
  <c r="KS69" i="8"/>
  <c r="IZ67" i="8"/>
  <c r="JX37" i="8"/>
  <c r="JS45" i="8"/>
  <c r="JJ28" i="8"/>
  <c r="JK58" i="8"/>
  <c r="IB49" i="8"/>
  <c r="HC59" i="8"/>
  <c r="B166" i="19"/>
  <c r="FN43" i="8"/>
  <c r="KE66" i="8"/>
  <c r="GW70" i="8"/>
  <c r="HA49" i="8"/>
  <c r="HG66" i="8"/>
  <c r="IF66" i="8"/>
  <c r="GT64" i="8"/>
  <c r="GQ36" i="8"/>
  <c r="HW49" i="8"/>
  <c r="GK60" i="8"/>
  <c r="JN36" i="8"/>
  <c r="HK58" i="8"/>
  <c r="HI63" i="8"/>
  <c r="FM38" i="8"/>
  <c r="FK73" i="8"/>
  <c r="HU32" i="8"/>
  <c r="FN55" i="8"/>
  <c r="GQ69" i="8"/>
  <c r="JX59" i="8"/>
  <c r="GG29" i="8"/>
  <c r="GF74" i="8"/>
  <c r="HH44" i="8"/>
  <c r="IR43" i="8"/>
  <c r="JW38" i="8"/>
  <c r="FQ52" i="8"/>
  <c r="JI36" i="8"/>
  <c r="GS75" i="8"/>
  <c r="FM59" i="8"/>
  <c r="JB56" i="8"/>
  <c r="IN71" i="8"/>
  <c r="KW75" i="8"/>
  <c r="HQ40" i="8"/>
  <c r="FQ63" i="8"/>
  <c r="KV27" i="8"/>
  <c r="FV74" i="8"/>
  <c r="FK29" i="8"/>
  <c r="ID43" i="8"/>
  <c r="IN52" i="8"/>
  <c r="IF76" i="8"/>
  <c r="IO68" i="8"/>
  <c r="FN56" i="8"/>
  <c r="IS56" i="8"/>
  <c r="KM75" i="8"/>
  <c r="FV72" i="8"/>
  <c r="HX47" i="8"/>
  <c r="KA56" i="8"/>
  <c r="FO62" i="8"/>
  <c r="IC54" i="8"/>
  <c r="JL64" i="8"/>
  <c r="JV47" i="8"/>
  <c r="FZ27" i="8"/>
  <c r="HP40" i="8"/>
  <c r="JQ65" i="8"/>
  <c r="JG72" i="8"/>
  <c r="IQ74" i="8"/>
  <c r="KH37" i="8"/>
  <c r="KB42" i="8"/>
  <c r="KH30" i="8"/>
  <c r="FU54" i="8"/>
  <c r="HL61" i="8"/>
  <c r="IM35" i="8"/>
  <c r="JP32" i="8"/>
  <c r="HN42" i="8"/>
  <c r="IS40" i="8"/>
  <c r="JO69" i="8"/>
  <c r="IE63" i="8"/>
  <c r="HM61" i="8"/>
  <c r="IN54" i="8"/>
  <c r="HL69" i="8"/>
  <c r="IH29" i="8"/>
  <c r="JV75" i="8"/>
  <c r="IQ67" i="8"/>
  <c r="FM32" i="8"/>
  <c r="HD59" i="8"/>
  <c r="HZ58" i="8"/>
  <c r="IH63" i="8"/>
  <c r="GJ50" i="8"/>
  <c r="JR47" i="8"/>
  <c r="JW35" i="8"/>
  <c r="GR66" i="8"/>
  <c r="GS35" i="8"/>
  <c r="JT62" i="8"/>
  <c r="KR33" i="8"/>
  <c r="KM63" i="8"/>
  <c r="GM51" i="8"/>
  <c r="JK56" i="8"/>
  <c r="GA27" i="8"/>
  <c r="JH42" i="8"/>
  <c r="KN63" i="8"/>
  <c r="HJ31" i="8"/>
  <c r="HY44" i="8"/>
  <c r="JQ63" i="8"/>
  <c r="GX72" i="8"/>
  <c r="IJ51" i="8"/>
  <c r="GI70" i="8"/>
  <c r="JC42" i="8"/>
  <c r="IJ68" i="8"/>
  <c r="KU37" i="8"/>
  <c r="JO72" i="8"/>
  <c r="KD53" i="8"/>
  <c r="HB66" i="8"/>
  <c r="HE36" i="8"/>
  <c r="HB67" i="8"/>
  <c r="HE55" i="8"/>
  <c r="HH73" i="8"/>
  <c r="II46" i="8"/>
  <c r="IQ28" i="8"/>
  <c r="KN51" i="8"/>
  <c r="HO69" i="8"/>
  <c r="IV30" i="8"/>
  <c r="GT63" i="8"/>
  <c r="GB73" i="8"/>
  <c r="HG49" i="8"/>
  <c r="HN37" i="8"/>
  <c r="FN58" i="8"/>
  <c r="HS55" i="8"/>
  <c r="HT72" i="8"/>
  <c r="B138" i="19"/>
  <c r="IG31" i="8"/>
  <c r="JY69" i="8"/>
  <c r="JN51" i="8"/>
  <c r="GJ52" i="8"/>
  <c r="IF38" i="8"/>
  <c r="IF56" i="8"/>
  <c r="GX64" i="8"/>
  <c r="FN28" i="8"/>
  <c r="KO34" i="8"/>
  <c r="KC74" i="8"/>
  <c r="FZ42" i="8"/>
  <c r="HI39" i="8"/>
  <c r="JZ45" i="8"/>
  <c r="JY62" i="8"/>
  <c r="B141" i="19"/>
  <c r="IF40" i="8"/>
  <c r="HH34" i="8"/>
  <c r="GQ39" i="8"/>
  <c r="HA68" i="8"/>
  <c r="IP38" i="8"/>
  <c r="HV36" i="8"/>
  <c r="IN29" i="8"/>
  <c r="GW46" i="8"/>
  <c r="B153" i="19"/>
  <c r="GD48" i="8"/>
  <c r="FP31" i="8"/>
  <c r="IM42" i="8"/>
  <c r="IF68" i="8"/>
  <c r="HE40" i="8"/>
  <c r="GA51" i="8"/>
  <c r="HG28" i="8"/>
  <c r="HC46" i="8"/>
  <c r="JG54" i="8"/>
  <c r="HF72" i="8"/>
  <c r="FL31" i="8"/>
  <c r="KA71" i="8"/>
  <c r="FX42" i="8"/>
  <c r="FR32" i="8"/>
  <c r="KP48" i="8"/>
  <c r="IW61" i="8"/>
  <c r="HU36" i="8"/>
  <c r="HH28" i="8"/>
  <c r="HA32" i="8"/>
  <c r="FV31" i="8"/>
  <c r="HD29" i="8"/>
  <c r="HE68" i="8"/>
  <c r="FM41" i="8"/>
  <c r="GK44" i="8"/>
  <c r="KT72" i="8"/>
  <c r="IR41" i="8"/>
  <c r="JT41" i="8"/>
  <c r="HO73" i="8"/>
  <c r="GE66" i="8"/>
  <c r="HN40" i="8"/>
  <c r="HG32" i="8"/>
  <c r="HS59" i="8"/>
  <c r="JA30" i="8"/>
  <c r="IH41" i="8"/>
  <c r="JL39" i="8"/>
  <c r="GQ53" i="8"/>
  <c r="JZ37" i="8"/>
  <c r="HR35" i="8"/>
  <c r="JB41" i="8"/>
  <c r="HW71" i="8"/>
  <c r="JC41" i="8"/>
  <c r="GJ63" i="8"/>
  <c r="GH67" i="8"/>
  <c r="JF39" i="8"/>
  <c r="FM62" i="8"/>
  <c r="JC75" i="8"/>
  <c r="KI66" i="8"/>
  <c r="HX71" i="8"/>
  <c r="KQ44" i="8"/>
  <c r="IJ71" i="8"/>
  <c r="KP39" i="8"/>
  <c r="FT72" i="8"/>
  <c r="JC37" i="8"/>
  <c r="GA40" i="8"/>
  <c r="KV75" i="8"/>
  <c r="IF72" i="8"/>
  <c r="KN49" i="8"/>
  <c r="JN30" i="8"/>
  <c r="GN64" i="8"/>
  <c r="JA54" i="8"/>
  <c r="FO55" i="8"/>
  <c r="FK50" i="8"/>
  <c r="JS47" i="8"/>
  <c r="JG48" i="8"/>
  <c r="KI52" i="8"/>
  <c r="JI34" i="8"/>
  <c r="IY37" i="8"/>
  <c r="FY51" i="8"/>
  <c r="GF29" i="8"/>
  <c r="GP68" i="8"/>
  <c r="FM71" i="8"/>
  <c r="IX34" i="8"/>
  <c r="JC56" i="8"/>
  <c r="IO71" i="8"/>
  <c r="JI65" i="8"/>
  <c r="GU68" i="8"/>
  <c r="JK76" i="8"/>
  <c r="GF56" i="8"/>
  <c r="HT36" i="8"/>
  <c r="II68" i="8"/>
  <c r="FX30" i="8"/>
  <c r="IG60" i="8"/>
  <c r="II52" i="8"/>
  <c r="HY65" i="8"/>
  <c r="GA47" i="8"/>
  <c r="JL66" i="8"/>
  <c r="HE52" i="8"/>
  <c r="FM75" i="8"/>
  <c r="JD75" i="8"/>
  <c r="GG63" i="8"/>
  <c r="GD66" i="8"/>
  <c r="KS75" i="8"/>
  <c r="FQ40" i="8"/>
  <c r="HS38" i="8"/>
  <c r="IA35" i="8"/>
  <c r="KI43" i="8"/>
  <c r="JJ55" i="8"/>
  <c r="KA75" i="8"/>
  <c r="FV30" i="8"/>
  <c r="JC59" i="8"/>
  <c r="GS71" i="8"/>
  <c r="KI50" i="8"/>
  <c r="FU44" i="8"/>
  <c r="GP43" i="8"/>
  <c r="KV71" i="8"/>
  <c r="FV28" i="8"/>
  <c r="KF43" i="8"/>
  <c r="FQ31" i="8"/>
  <c r="IC70" i="8"/>
  <c r="IA31" i="8"/>
  <c r="HJ72" i="8"/>
  <c r="JB32" i="8"/>
  <c r="HQ56" i="8"/>
  <c r="KU45" i="8"/>
  <c r="IG36" i="8"/>
  <c r="FP27" i="8"/>
  <c r="IH36" i="8"/>
  <c r="IJ52" i="8"/>
  <c r="KJ51" i="8"/>
  <c r="HG29" i="8"/>
  <c r="IW46" i="8"/>
  <c r="JZ55" i="8"/>
  <c r="KC42" i="8"/>
  <c r="HP28" i="8"/>
  <c r="HF29" i="8"/>
  <c r="IX27" i="8"/>
  <c r="JL40" i="8"/>
  <c r="KT51" i="8"/>
  <c r="KW37" i="8"/>
  <c r="IJ40" i="8"/>
  <c r="GD44" i="8"/>
  <c r="GU42" i="8"/>
  <c r="FU76" i="8"/>
  <c r="JW39" i="8"/>
  <c r="HR55" i="8"/>
  <c r="HH54" i="8"/>
  <c r="GK66" i="8"/>
  <c r="HJ44" i="8"/>
  <c r="KO59" i="8"/>
  <c r="JR62" i="8"/>
  <c r="FK38" i="8"/>
  <c r="JF57" i="8"/>
  <c r="KH47" i="8"/>
  <c r="JY42" i="8"/>
  <c r="GO47" i="8"/>
  <c r="HS31" i="8"/>
  <c r="JS55" i="8"/>
  <c r="KC35" i="8"/>
  <c r="IK65" i="8"/>
  <c r="JS60" i="8"/>
  <c r="HO38" i="8"/>
  <c r="HO53" i="8"/>
  <c r="KN61" i="8"/>
  <c r="KC71" i="8"/>
  <c r="JF36" i="8"/>
  <c r="GB32" i="8"/>
  <c r="HM28" i="8"/>
  <c r="M15" i="19"/>
  <c r="GS46" i="8"/>
  <c r="KV40" i="8"/>
  <c r="GU50" i="8"/>
  <c r="JR61" i="8"/>
  <c r="JO42" i="8"/>
  <c r="FV56" i="8"/>
  <c r="KS53" i="8"/>
  <c r="FV48" i="8"/>
  <c r="HQ70" i="8"/>
  <c r="IN43" i="8"/>
  <c r="IQ70" i="8"/>
  <c r="KJ33" i="8"/>
  <c r="HB43" i="8"/>
  <c r="C128" i="19"/>
  <c r="FK70" i="8"/>
  <c r="GM38" i="8"/>
  <c r="IF39" i="8"/>
  <c r="KS30" i="8"/>
  <c r="IJ75" i="8"/>
  <c r="JD70" i="8"/>
  <c r="IQ30" i="8"/>
  <c r="HA44" i="8"/>
  <c r="IV60" i="8"/>
  <c r="IW39" i="8"/>
  <c r="IT53" i="8"/>
  <c r="JP46" i="8"/>
  <c r="IM50" i="8"/>
  <c r="GG49" i="8"/>
  <c r="FL58" i="8"/>
  <c r="KI47" i="8"/>
  <c r="FS50" i="8"/>
  <c r="V54" i="19"/>
  <c r="II75" i="8"/>
  <c r="HG55" i="8"/>
  <c r="HY39" i="8"/>
  <c r="HW37" i="8"/>
  <c r="HR43" i="8"/>
  <c r="FN47" i="8"/>
  <c r="FT56" i="8"/>
  <c r="GQ66" i="8"/>
  <c r="GX53" i="8"/>
  <c r="GY53" i="8"/>
  <c r="FN75" i="8"/>
  <c r="HM29" i="8"/>
  <c r="JA56" i="8"/>
  <c r="HJ73" i="8"/>
  <c r="IR40" i="8"/>
  <c r="GO64" i="8"/>
  <c r="JV66" i="8"/>
  <c r="GP27" i="8"/>
  <c r="HK76" i="8"/>
  <c r="GH49" i="8"/>
  <c r="JL44" i="8"/>
  <c r="FT59" i="8"/>
  <c r="JY36" i="8"/>
  <c r="GX71" i="8"/>
  <c r="M51" i="19"/>
  <c r="JH75" i="8"/>
  <c r="HD28" i="8"/>
  <c r="JG55" i="8"/>
  <c r="HY74" i="8"/>
  <c r="KL40" i="8"/>
  <c r="FT70" i="8"/>
  <c r="KV36" i="8"/>
  <c r="HJ27" i="8"/>
  <c r="GE33" i="8"/>
  <c r="FS68" i="8"/>
  <c r="FV34" i="8"/>
  <c r="KJ74" i="8"/>
  <c r="GS40" i="8"/>
  <c r="IS55" i="8"/>
  <c r="HK31" i="8"/>
  <c r="JQ64" i="8"/>
  <c r="GL61" i="8"/>
  <c r="II74" i="8"/>
  <c r="JE37" i="8"/>
  <c r="GQ58" i="8"/>
  <c r="B132" i="19"/>
  <c r="HY62" i="8"/>
  <c r="KE43" i="8"/>
  <c r="HY57" i="8"/>
  <c r="FS60" i="8"/>
  <c r="IH66" i="8"/>
  <c r="II53" i="8"/>
  <c r="JC36" i="8"/>
  <c r="HT51" i="8"/>
  <c r="FX73" i="8"/>
  <c r="IE36" i="8"/>
  <c r="IY65" i="8"/>
  <c r="GM30" i="8"/>
  <c r="GZ46" i="8"/>
  <c r="HJ40" i="8"/>
  <c r="GB35" i="8"/>
  <c r="IE66" i="8"/>
  <c r="GK71" i="8"/>
  <c r="IC74" i="8"/>
  <c r="IH71" i="8"/>
  <c r="KJ66" i="8"/>
  <c r="IE70" i="8"/>
  <c r="JB35" i="8"/>
  <c r="FS57" i="8"/>
  <c r="JU46" i="8"/>
  <c r="JF41" i="8"/>
  <c r="IQ61" i="8"/>
  <c r="FX55" i="8"/>
  <c r="GY71" i="8"/>
  <c r="JF70" i="8"/>
  <c r="JK70" i="8"/>
  <c r="JI51" i="8"/>
  <c r="KO35" i="8"/>
  <c r="IL29" i="8"/>
  <c r="GK55" i="8"/>
  <c r="FX69" i="8"/>
  <c r="GE70" i="8"/>
  <c r="GS33" i="8"/>
  <c r="IA36" i="8"/>
  <c r="GT35" i="8"/>
  <c r="GB29" i="8"/>
  <c r="HQ51" i="8"/>
  <c r="FR60" i="8"/>
  <c r="KJ41" i="8"/>
  <c r="JJ31" i="8"/>
  <c r="FK28" i="8"/>
  <c r="KQ51" i="8"/>
  <c r="FU36" i="8"/>
  <c r="II72" i="8"/>
  <c r="IM44" i="8"/>
  <c r="HE71" i="8"/>
  <c r="FV37" i="8"/>
  <c r="KT65" i="8"/>
  <c r="KI48" i="8"/>
  <c r="FK59" i="8"/>
  <c r="HE70" i="8"/>
  <c r="HO54" i="8"/>
  <c r="FQ74" i="8"/>
  <c r="GL60" i="8"/>
  <c r="GN74" i="8"/>
  <c r="IV58" i="8"/>
  <c r="IM61" i="8"/>
  <c r="KD51" i="8"/>
  <c r="FN54" i="8"/>
  <c r="AC51" i="19"/>
  <c r="HJ58" i="8"/>
  <c r="HM49" i="8"/>
  <c r="IX70" i="8"/>
  <c r="JV41" i="8"/>
  <c r="N51" i="19"/>
  <c r="GO61" i="8"/>
  <c r="IB27" i="8"/>
  <c r="JM30" i="8"/>
  <c r="JP58" i="8"/>
  <c r="HM41" i="8"/>
  <c r="C132" i="19"/>
  <c r="IE75" i="8"/>
  <c r="IN44" i="8"/>
  <c r="GY64" i="8"/>
  <c r="JI61" i="8"/>
  <c r="GE57" i="8"/>
  <c r="KM49" i="8"/>
  <c r="IT65" i="8"/>
  <c r="FR52" i="8"/>
  <c r="JA31" i="8"/>
  <c r="GZ33" i="8"/>
  <c r="GR61" i="8"/>
  <c r="FN39" i="8"/>
  <c r="C144" i="19"/>
  <c r="JY72" i="8"/>
  <c r="IE44" i="8"/>
  <c r="JF66" i="8"/>
  <c r="HI69" i="8"/>
  <c r="JN76" i="8"/>
  <c r="JD53" i="8"/>
  <c r="IU60" i="8"/>
  <c r="GS73" i="8"/>
  <c r="HT28" i="8"/>
  <c r="JV44" i="8"/>
  <c r="IY55" i="8"/>
  <c r="GD68" i="8"/>
  <c r="IC31" i="8"/>
  <c r="IN61" i="8"/>
  <c r="KH70" i="8"/>
  <c r="HD47" i="8"/>
  <c r="FX38" i="8"/>
  <c r="GH31" i="8"/>
  <c r="KJ46" i="8"/>
  <c r="IJ50" i="8"/>
  <c r="HP29" i="8"/>
  <c r="FV41" i="8"/>
  <c r="JR30" i="8"/>
  <c r="IF59" i="8"/>
  <c r="HE62" i="8"/>
  <c r="GS60" i="8"/>
  <c r="KE44" i="8"/>
  <c r="FY68" i="8"/>
  <c r="JN48" i="8"/>
  <c r="KN44" i="8"/>
  <c r="FZ34" i="8"/>
  <c r="GI52" i="8"/>
  <c r="JX71" i="8"/>
  <c r="JE67" i="8"/>
  <c r="IF45" i="8"/>
  <c r="GY73" i="8"/>
  <c r="HZ70" i="8"/>
  <c r="FX66" i="8"/>
  <c r="KL74" i="8"/>
  <c r="HA73" i="8"/>
  <c r="IE37" i="8"/>
  <c r="GB65" i="8"/>
  <c r="JB73" i="8"/>
  <c r="KP28" i="8"/>
  <c r="B52" i="19"/>
  <c r="KR59" i="8"/>
  <c r="JP36" i="8"/>
  <c r="IK34" i="8"/>
  <c r="JY47" i="8"/>
  <c r="KV52" i="8"/>
  <c r="GR55" i="8"/>
  <c r="JA32" i="8"/>
  <c r="HO47" i="8"/>
  <c r="GA53" i="8"/>
  <c r="HH57" i="8"/>
  <c r="HU47" i="8"/>
  <c r="HY68" i="8"/>
  <c r="GB56" i="8"/>
  <c r="GG66" i="8"/>
  <c r="HF58" i="8"/>
  <c r="IK39" i="8"/>
  <c r="IE33" i="8"/>
  <c r="JP29" i="8"/>
  <c r="GH57" i="8"/>
  <c r="JJ35" i="8"/>
  <c r="IK64" i="8"/>
  <c r="GX70" i="8"/>
  <c r="AR144" i="19" l="1"/>
  <c r="Y144" i="19"/>
  <c r="AS144" i="19"/>
  <c r="T144" i="19"/>
  <c r="AI144" i="19" s="1"/>
  <c r="AE144" i="19"/>
  <c r="Z144" i="19"/>
  <c r="AQ144" i="19"/>
  <c r="AD144" i="19"/>
  <c r="J144" i="19"/>
  <c r="S144" i="19"/>
  <c r="Q144" i="19"/>
  <c r="K144" i="19"/>
  <c r="AC144" i="19"/>
  <c r="W144" i="19"/>
  <c r="O144" i="19"/>
  <c r="V144" i="19"/>
  <c r="H144" i="19"/>
  <c r="R144" i="19"/>
  <c r="N144" i="19"/>
  <c r="L144" i="19"/>
  <c r="AB144" i="19"/>
  <c r="AF144" i="19"/>
  <c r="D144" i="19"/>
  <c r="U144" i="19"/>
  <c r="AG144" i="19"/>
  <c r="X144" i="19"/>
  <c r="F144" i="19"/>
  <c r="M144" i="19"/>
  <c r="I144" i="19"/>
  <c r="E144" i="19"/>
  <c r="G144" i="19"/>
  <c r="AA144" i="19"/>
  <c r="F132" i="19"/>
  <c r="AQ132" i="19"/>
  <c r="O132" i="19"/>
  <c r="R132" i="19"/>
  <c r="AB132" i="19"/>
  <c r="X132" i="19"/>
  <c r="Z132" i="19"/>
  <c r="AD132" i="19"/>
  <c r="AG132" i="19"/>
  <c r="G132" i="19"/>
  <c r="AC132" i="19"/>
  <c r="L132" i="19"/>
  <c r="I132" i="19"/>
  <c r="H132" i="19"/>
  <c r="U132" i="19"/>
  <c r="E132" i="19"/>
  <c r="V132" i="19"/>
  <c r="K132" i="19"/>
  <c r="T132" i="19"/>
  <c r="AI132" i="19" s="1"/>
  <c r="W132" i="19"/>
  <c r="S132" i="19"/>
  <c r="AS132" i="19"/>
  <c r="AF132" i="19"/>
  <c r="AR132" i="19"/>
  <c r="Q132" i="19"/>
  <c r="AE132" i="19"/>
  <c r="M132" i="19"/>
  <c r="J132" i="19"/>
  <c r="N132" i="19"/>
  <c r="D132" i="19"/>
  <c r="Y132" i="19"/>
  <c r="AA132" i="19"/>
  <c r="R128" i="19"/>
  <c r="N128" i="19"/>
  <c r="M128" i="19"/>
  <c r="AD128" i="19"/>
  <c r="X128" i="19"/>
  <c r="AB128" i="19"/>
  <c r="Y128" i="19"/>
  <c r="AA128" i="19"/>
  <c r="V128" i="19"/>
  <c r="O128" i="19"/>
  <c r="I128" i="19"/>
  <c r="AC128" i="19"/>
  <c r="AG128" i="19"/>
  <c r="T128" i="19"/>
  <c r="AI128" i="19" s="1"/>
  <c r="AQ128" i="19"/>
  <c r="H128" i="19"/>
  <c r="Q128" i="19"/>
  <c r="AS128" i="19"/>
  <c r="AE128" i="19"/>
  <c r="Z128" i="19"/>
  <c r="J128" i="19"/>
  <c r="W128" i="19"/>
  <c r="K128" i="19"/>
  <c r="D128" i="19"/>
  <c r="S128" i="19"/>
  <c r="AR128" i="19"/>
  <c r="E128" i="19"/>
  <c r="AF128" i="19"/>
  <c r="U128" i="19"/>
  <c r="G128" i="19"/>
  <c r="L128" i="19"/>
  <c r="F128" i="19"/>
  <c r="M358" i="19"/>
  <c r="CJ4" i="19"/>
  <c r="R156" i="19"/>
  <c r="J156" i="19"/>
  <c r="O156" i="19"/>
  <c r="AF156" i="19"/>
  <c r="AC156" i="19"/>
  <c r="K156" i="19"/>
  <c r="X156" i="19"/>
  <c r="U156" i="19"/>
  <c r="N156" i="19"/>
  <c r="H156" i="19"/>
  <c r="G156" i="19"/>
  <c r="I156" i="19"/>
  <c r="AB156" i="19"/>
  <c r="M156" i="19"/>
  <c r="E156" i="19"/>
  <c r="D156" i="19"/>
  <c r="Q156" i="19"/>
  <c r="V156" i="19"/>
  <c r="T156" i="19"/>
  <c r="AI156" i="19" s="1"/>
  <c r="AA156" i="19"/>
  <c r="S156" i="19"/>
  <c r="AG156" i="19"/>
  <c r="AS156" i="19"/>
  <c r="AR156" i="19"/>
  <c r="Y156" i="19"/>
  <c r="F156" i="19"/>
  <c r="L156" i="19"/>
  <c r="W156" i="19"/>
  <c r="Z156" i="19"/>
  <c r="AD156" i="19"/>
  <c r="AE156" i="19"/>
  <c r="AQ156" i="19"/>
  <c r="I136" i="19"/>
  <c r="AC136" i="19"/>
  <c r="AD136" i="19"/>
  <c r="E136" i="19"/>
  <c r="AA136" i="19"/>
  <c r="AB136" i="19"/>
  <c r="U136" i="19"/>
  <c r="AS136" i="19"/>
  <c r="AG136" i="19"/>
  <c r="AE136" i="19"/>
  <c r="R136" i="19"/>
  <c r="X136" i="19"/>
  <c r="K136" i="19"/>
  <c r="T136" i="19"/>
  <c r="AI136" i="19" s="1"/>
  <c r="AP136" i="19" s="1"/>
  <c r="D136" i="19"/>
  <c r="AF136" i="19"/>
  <c r="S136" i="19"/>
  <c r="J136" i="19"/>
  <c r="AR136" i="19"/>
  <c r="W136" i="19"/>
  <c r="N136" i="19"/>
  <c r="H136" i="19"/>
  <c r="L136" i="19"/>
  <c r="Q136" i="19"/>
  <c r="Y136" i="19"/>
  <c r="V136" i="19"/>
  <c r="F136" i="19"/>
  <c r="AQ136" i="19"/>
  <c r="Z136" i="19"/>
  <c r="G136" i="19"/>
  <c r="O136" i="19"/>
  <c r="M136" i="19"/>
  <c r="J135" i="19"/>
  <c r="F135" i="19"/>
  <c r="W135" i="19"/>
  <c r="U135" i="19"/>
  <c r="V135" i="19"/>
  <c r="D135" i="19"/>
  <c r="AS135" i="19"/>
  <c r="S135" i="19"/>
  <c r="AR135" i="19"/>
  <c r="H135" i="19"/>
  <c r="Z135" i="19"/>
  <c r="I135" i="19"/>
  <c r="AF135" i="19"/>
  <c r="X135" i="19"/>
  <c r="AQ135" i="19"/>
  <c r="AA135" i="19"/>
  <c r="Y135" i="19"/>
  <c r="T135" i="19"/>
  <c r="AI135" i="19" s="1"/>
  <c r="AE135" i="19"/>
  <c r="N135" i="19"/>
  <c r="R135" i="19"/>
  <c r="O135" i="19"/>
  <c r="G135" i="19"/>
  <c r="AC135" i="19"/>
  <c r="M135" i="19"/>
  <c r="K135" i="19"/>
  <c r="AD135" i="19"/>
  <c r="Q135" i="19"/>
  <c r="E135" i="19"/>
  <c r="L135" i="19"/>
  <c r="AB135" i="19"/>
  <c r="AG135" i="19"/>
  <c r="H160" i="19"/>
  <c r="U160" i="19"/>
  <c r="AE160" i="19"/>
  <c r="AR160" i="19"/>
  <c r="AC160" i="19"/>
  <c r="V160" i="19"/>
  <c r="AD160" i="19"/>
  <c r="AS160" i="19"/>
  <c r="E160" i="19"/>
  <c r="N160" i="19"/>
  <c r="M160" i="19"/>
  <c r="F160" i="19"/>
  <c r="S160" i="19"/>
  <c r="Q160" i="19"/>
  <c r="I160" i="19"/>
  <c r="J160" i="19"/>
  <c r="D160" i="19"/>
  <c r="O160" i="19"/>
  <c r="L160" i="19"/>
  <c r="X160" i="19"/>
  <c r="Z160" i="19"/>
  <c r="Y160" i="19"/>
  <c r="G160" i="19"/>
  <c r="R160" i="19"/>
  <c r="AA160" i="19"/>
  <c r="AQ160" i="19"/>
  <c r="AB160" i="19"/>
  <c r="K160" i="19"/>
  <c r="W160" i="19"/>
  <c r="T160" i="19"/>
  <c r="AI160" i="19" s="1"/>
  <c r="AL160" i="19" s="1"/>
  <c r="AF160" i="19"/>
  <c r="AG160" i="19"/>
  <c r="AI18" i="19"/>
  <c r="AI4" i="19"/>
  <c r="W166" i="19"/>
  <c r="AG166" i="19"/>
  <c r="E166" i="19"/>
  <c r="V166" i="19"/>
  <c r="AE166" i="19"/>
  <c r="J166" i="19"/>
  <c r="AR166" i="19"/>
  <c r="T166" i="19"/>
  <c r="AI166" i="19" s="1"/>
  <c r="AM166" i="19" s="1"/>
  <c r="Z166" i="19"/>
  <c r="L166" i="19"/>
  <c r="M166" i="19"/>
  <c r="AS166" i="19"/>
  <c r="AA166" i="19"/>
  <c r="I166" i="19"/>
  <c r="N166" i="19"/>
  <c r="D166" i="19"/>
  <c r="K166" i="19"/>
  <c r="Y166" i="19"/>
  <c r="AQ166" i="19"/>
  <c r="AB166" i="19"/>
  <c r="Q166" i="19"/>
  <c r="S166" i="19"/>
  <c r="O166" i="19"/>
  <c r="AC166" i="19"/>
  <c r="X166" i="19"/>
  <c r="AD166" i="19"/>
  <c r="G166" i="19"/>
  <c r="H166" i="19"/>
  <c r="F166" i="19"/>
  <c r="U166" i="19"/>
  <c r="R166" i="19"/>
  <c r="AF166" i="19"/>
  <c r="J358" i="19"/>
  <c r="S129" i="19"/>
  <c r="V129" i="19"/>
  <c r="Z129" i="19"/>
  <c r="J129" i="19"/>
  <c r="Q129" i="19"/>
  <c r="AS129" i="19"/>
  <c r="T129" i="19"/>
  <c r="AI129" i="19" s="1"/>
  <c r="AD129" i="19"/>
  <c r="O129" i="19"/>
  <c r="L129" i="19"/>
  <c r="H129" i="19"/>
  <c r="AB129" i="19"/>
  <c r="M129" i="19"/>
  <c r="AR129" i="19"/>
  <c r="K129" i="19"/>
  <c r="I129" i="19"/>
  <c r="E129" i="19"/>
  <c r="G129" i="19"/>
  <c r="W129" i="19"/>
  <c r="R129" i="19"/>
  <c r="U129" i="19"/>
  <c r="N129" i="19"/>
  <c r="AC129" i="19"/>
  <c r="AE129" i="19"/>
  <c r="F129" i="19"/>
  <c r="AQ129" i="19"/>
  <c r="Y129" i="19"/>
  <c r="D129" i="19"/>
  <c r="AA129" i="19"/>
  <c r="X129" i="19"/>
  <c r="AG129" i="19"/>
  <c r="AF129" i="19"/>
  <c r="AA130" i="19"/>
  <c r="AS130" i="19"/>
  <c r="AD130" i="19"/>
  <c r="D130" i="19"/>
  <c r="R130" i="19"/>
  <c r="AC130" i="19"/>
  <c r="K130" i="19"/>
  <c r="T130" i="19"/>
  <c r="AI130" i="19" s="1"/>
  <c r="AO130" i="19" s="1"/>
  <c r="Q130" i="19"/>
  <c r="O130" i="19"/>
  <c r="N130" i="19"/>
  <c r="AG130" i="19"/>
  <c r="W130" i="19"/>
  <c r="AQ130" i="19"/>
  <c r="E130" i="19"/>
  <c r="G130" i="19"/>
  <c r="AF130" i="19"/>
  <c r="S130" i="19"/>
  <c r="X130" i="19"/>
  <c r="AR130" i="19"/>
  <c r="Y130" i="19"/>
  <c r="J130" i="19"/>
  <c r="M130" i="19"/>
  <c r="V130" i="19"/>
  <c r="AE130" i="19"/>
  <c r="I130" i="19"/>
  <c r="U130" i="19"/>
  <c r="F130" i="19"/>
  <c r="L130" i="19"/>
  <c r="AB130" i="19"/>
  <c r="Z130" i="19"/>
  <c r="H130" i="19"/>
  <c r="Q154" i="19"/>
  <c r="AB154" i="19"/>
  <c r="T154" i="19"/>
  <c r="AI154" i="19" s="1"/>
  <c r="AP154" i="19" s="1"/>
  <c r="K154" i="19"/>
  <c r="N154" i="19"/>
  <c r="AE154" i="19"/>
  <c r="I154" i="19"/>
  <c r="AR154" i="19"/>
  <c r="AC154" i="19"/>
  <c r="U154" i="19"/>
  <c r="F154" i="19"/>
  <c r="AA154" i="19"/>
  <c r="H154" i="19"/>
  <c r="M154" i="19"/>
  <c r="J154" i="19"/>
  <c r="R154" i="19"/>
  <c r="AQ154" i="19"/>
  <c r="AF154" i="19"/>
  <c r="L154" i="19"/>
  <c r="X154" i="19"/>
  <c r="Y154" i="19"/>
  <c r="D154" i="19"/>
  <c r="Z154" i="19"/>
  <c r="AG154" i="19"/>
  <c r="V154" i="19"/>
  <c r="W154" i="19"/>
  <c r="G154" i="19"/>
  <c r="O154" i="19"/>
  <c r="AS154" i="19"/>
  <c r="E154" i="19"/>
  <c r="AD154" i="19"/>
  <c r="S154" i="19"/>
  <c r="T149" i="19"/>
  <c r="AI149" i="19" s="1"/>
  <c r="F149" i="19"/>
  <c r="Y149" i="19"/>
  <c r="AR149" i="19"/>
  <c r="AS149" i="19"/>
  <c r="R149" i="19"/>
  <c r="L149" i="19"/>
  <c r="K149" i="19"/>
  <c r="AC149" i="19"/>
  <c r="AD149" i="19"/>
  <c r="W149" i="19"/>
  <c r="I149" i="19"/>
  <c r="AG149" i="19"/>
  <c r="J149" i="19"/>
  <c r="N149" i="19"/>
  <c r="AE149" i="19"/>
  <c r="S149" i="19"/>
  <c r="V149" i="19"/>
  <c r="G149" i="19"/>
  <c r="Q149" i="19"/>
  <c r="D149" i="19"/>
  <c r="H149" i="19"/>
  <c r="M149" i="19"/>
  <c r="U149" i="19"/>
  <c r="AA149" i="19"/>
  <c r="AB149" i="19"/>
  <c r="O149" i="19"/>
  <c r="E149" i="19"/>
  <c r="Z149" i="19"/>
  <c r="AF149" i="19"/>
  <c r="AQ149" i="19"/>
  <c r="X149" i="19"/>
  <c r="Y123" i="19"/>
  <c r="E123" i="19"/>
  <c r="AC123" i="19"/>
  <c r="T123" i="19"/>
  <c r="AI123" i="19" s="1"/>
  <c r="AP123" i="19" s="1"/>
  <c r="U123" i="19"/>
  <c r="AG123" i="19"/>
  <c r="R123" i="19"/>
  <c r="V123" i="19"/>
  <c r="AQ123" i="19"/>
  <c r="O123" i="19"/>
  <c r="H123" i="19"/>
  <c r="F123" i="19"/>
  <c r="K123" i="19"/>
  <c r="M123" i="19"/>
  <c r="G123" i="19"/>
  <c r="D123" i="19"/>
  <c r="AB123" i="19"/>
  <c r="W123" i="19"/>
  <c r="I123" i="19"/>
  <c r="AA123" i="19"/>
  <c r="N123" i="19"/>
  <c r="AS123" i="19"/>
  <c r="AE123" i="19"/>
  <c r="Q123" i="19"/>
  <c r="L123" i="19"/>
  <c r="AD123" i="19"/>
  <c r="Z123" i="19"/>
  <c r="X123" i="19"/>
  <c r="S123" i="19"/>
  <c r="J123" i="19"/>
  <c r="AF123" i="19"/>
  <c r="AR123" i="19"/>
  <c r="CI4" i="19"/>
  <c r="H358" i="19"/>
  <c r="S52" i="19"/>
  <c r="AR124" i="19"/>
  <c r="D124" i="19"/>
  <c r="G124" i="19"/>
  <c r="M124" i="19"/>
  <c r="R124" i="19"/>
  <c r="AF124" i="19"/>
  <c r="O124" i="19"/>
  <c r="Y124" i="19"/>
  <c r="AQ124" i="19"/>
  <c r="U124" i="19"/>
  <c r="AB124" i="19"/>
  <c r="F124" i="19"/>
  <c r="AS124" i="19"/>
  <c r="J124" i="19"/>
  <c r="V124" i="19"/>
  <c r="S124" i="19"/>
  <c r="AD124" i="19"/>
  <c r="E124" i="19"/>
  <c r="W124" i="19"/>
  <c r="I124" i="19"/>
  <c r="AE124" i="19"/>
  <c r="AG124" i="19"/>
  <c r="AC124" i="19"/>
  <c r="N124" i="19"/>
  <c r="AA124" i="19"/>
  <c r="X124" i="19"/>
  <c r="T124" i="19"/>
  <c r="AI124" i="19" s="1"/>
  <c r="AO124" i="19" s="1"/>
  <c r="H124" i="19"/>
  <c r="Q124" i="19"/>
  <c r="L124" i="19"/>
  <c r="K124" i="19"/>
  <c r="Z124" i="19"/>
  <c r="K358" i="19"/>
  <c r="U358" i="19"/>
  <c r="O100" i="20"/>
  <c r="C12" i="19"/>
  <c r="C355" i="19" s="1"/>
  <c r="BH5" i="19"/>
  <c r="BH4" i="19" s="1"/>
  <c r="AB155" i="19"/>
  <c r="AR155" i="19"/>
  <c r="AS155" i="19"/>
  <c r="I155" i="19"/>
  <c r="F155" i="19"/>
  <c r="AG155" i="19"/>
  <c r="N155" i="19"/>
  <c r="J155" i="19"/>
  <c r="Y155" i="19"/>
  <c r="AA155" i="19"/>
  <c r="S155" i="19"/>
  <c r="E155" i="19"/>
  <c r="D155" i="19"/>
  <c r="H155" i="19"/>
  <c r="X155" i="19"/>
  <c r="T155" i="19"/>
  <c r="AI155" i="19" s="1"/>
  <c r="AO155" i="19" s="1"/>
  <c r="G155" i="19"/>
  <c r="Q155" i="19"/>
  <c r="L155" i="19"/>
  <c r="O155" i="19"/>
  <c r="AD155" i="19"/>
  <c r="V155" i="19"/>
  <c r="Z155" i="19"/>
  <c r="K155" i="19"/>
  <c r="R155" i="19"/>
  <c r="AC155" i="19"/>
  <c r="U155" i="19"/>
  <c r="AE155" i="19"/>
  <c r="M155" i="19"/>
  <c r="W155" i="19"/>
  <c r="AQ155" i="19"/>
  <c r="AF155" i="19"/>
  <c r="AE139" i="19"/>
  <c r="AQ139" i="19"/>
  <c r="R139" i="19"/>
  <c r="L139" i="19"/>
  <c r="AR139" i="19"/>
  <c r="W139" i="19"/>
  <c r="Q139" i="19"/>
  <c r="M139" i="19"/>
  <c r="N139" i="19"/>
  <c r="U139" i="19"/>
  <c r="Z139" i="19"/>
  <c r="V139" i="19"/>
  <c r="AG139" i="19"/>
  <c r="X139" i="19"/>
  <c r="H139" i="19"/>
  <c r="O139" i="19"/>
  <c r="S139" i="19"/>
  <c r="K139" i="19"/>
  <c r="T139" i="19"/>
  <c r="AI139" i="19" s="1"/>
  <c r="AM139" i="19" s="1"/>
  <c r="AS139" i="19"/>
  <c r="J139" i="19"/>
  <c r="Y139" i="19"/>
  <c r="I139" i="19"/>
  <c r="AA139" i="19"/>
  <c r="AF139" i="19"/>
  <c r="F139" i="19"/>
  <c r="AB139" i="19"/>
  <c r="AD139" i="19"/>
  <c r="AC139" i="19"/>
  <c r="G139" i="19"/>
  <c r="E139" i="19"/>
  <c r="D139" i="19"/>
  <c r="AF131" i="19"/>
  <c r="AG131" i="19"/>
  <c r="AS131" i="19"/>
  <c r="AQ131" i="19"/>
  <c r="O131" i="19"/>
  <c r="M131" i="19"/>
  <c r="S131" i="19"/>
  <c r="Y131" i="19"/>
  <c r="H131" i="19"/>
  <c r="E131" i="19"/>
  <c r="D131" i="19"/>
  <c r="G131" i="19"/>
  <c r="F131" i="19"/>
  <c r="AE131" i="19"/>
  <c r="AB131" i="19"/>
  <c r="AR131" i="19"/>
  <c r="X131" i="19"/>
  <c r="N131" i="19"/>
  <c r="V131" i="19"/>
  <c r="W131" i="19"/>
  <c r="Z131" i="19"/>
  <c r="AA131" i="19"/>
  <c r="T131" i="19"/>
  <c r="AI131" i="19" s="1"/>
  <c r="AC131" i="19"/>
  <c r="L131" i="19"/>
  <c r="K131" i="19"/>
  <c r="J131" i="19"/>
  <c r="U131" i="19"/>
  <c r="AD131" i="19"/>
  <c r="R131" i="19"/>
  <c r="I131" i="19"/>
  <c r="Q131" i="19"/>
  <c r="AQ151" i="19"/>
  <c r="AE151" i="19"/>
  <c r="O151" i="19"/>
  <c r="V151" i="19"/>
  <c r="N151" i="19"/>
  <c r="AC151" i="19"/>
  <c r="T151" i="19"/>
  <c r="AI151" i="19" s="1"/>
  <c r="Q151" i="19"/>
  <c r="AA151" i="19"/>
  <c r="L151" i="19"/>
  <c r="W151" i="19"/>
  <c r="J151" i="19"/>
  <c r="AF151" i="19"/>
  <c r="R151" i="19"/>
  <c r="AB151" i="19"/>
  <c r="K151" i="19"/>
  <c r="E151" i="19"/>
  <c r="AS151" i="19"/>
  <c r="G151" i="19"/>
  <c r="AD151" i="19"/>
  <c r="I151" i="19"/>
  <c r="AG151" i="19"/>
  <c r="H151" i="19"/>
  <c r="AR151" i="19"/>
  <c r="D151" i="19"/>
  <c r="U151" i="19"/>
  <c r="Z151" i="19"/>
  <c r="S151" i="19"/>
  <c r="X151" i="19"/>
  <c r="Y151" i="19"/>
  <c r="F151" i="19"/>
  <c r="M151" i="19"/>
  <c r="I358" i="19"/>
  <c r="Y138" i="19"/>
  <c r="K138" i="19"/>
  <c r="M138" i="19"/>
  <c r="L138" i="19"/>
  <c r="T138" i="19"/>
  <c r="AI138" i="19" s="1"/>
  <c r="AO138" i="19" s="1"/>
  <c r="AC138" i="19"/>
  <c r="E138" i="19"/>
  <c r="Z138" i="19"/>
  <c r="W138" i="19"/>
  <c r="I138" i="19"/>
  <c r="N138" i="19"/>
  <c r="R138" i="19"/>
  <c r="X138" i="19"/>
  <c r="AE138" i="19"/>
  <c r="J138" i="19"/>
  <c r="AD138" i="19"/>
  <c r="AR138" i="19"/>
  <c r="H138" i="19"/>
  <c r="S138" i="19"/>
  <c r="AF138" i="19"/>
  <c r="AB138" i="19"/>
  <c r="G138" i="19"/>
  <c r="AS138" i="19"/>
  <c r="AA138" i="19"/>
  <c r="V138" i="19"/>
  <c r="AG138" i="19"/>
  <c r="U138" i="19"/>
  <c r="F138" i="19"/>
  <c r="AQ138" i="19"/>
  <c r="O138" i="19"/>
  <c r="D138" i="19"/>
  <c r="Q138" i="19"/>
  <c r="BH353" i="19"/>
  <c r="F125" i="19"/>
  <c r="D125" i="19"/>
  <c r="AE125" i="19"/>
  <c r="K125" i="19"/>
  <c r="AF125" i="19"/>
  <c r="G125" i="19"/>
  <c r="E125" i="19"/>
  <c r="W125" i="19"/>
  <c r="AS125" i="19"/>
  <c r="X125" i="19"/>
  <c r="AB125" i="19"/>
  <c r="L125" i="19"/>
  <c r="I125" i="19"/>
  <c r="V125" i="19"/>
  <c r="M125" i="19"/>
  <c r="AR125" i="19"/>
  <c r="AG125" i="19"/>
  <c r="J125" i="19"/>
  <c r="AQ125" i="19"/>
  <c r="O125" i="19"/>
  <c r="N125" i="19"/>
  <c r="AD125" i="19"/>
  <c r="Q125" i="19"/>
  <c r="AA125" i="19"/>
  <c r="S125" i="19"/>
  <c r="R125" i="19"/>
  <c r="Z125" i="19"/>
  <c r="Y125" i="19"/>
  <c r="AC125" i="19"/>
  <c r="U125" i="19"/>
  <c r="H125" i="19"/>
  <c r="T125" i="19"/>
  <c r="AI125" i="19" s="1"/>
  <c r="AO125" i="19" s="1"/>
  <c r="O358" i="19"/>
  <c r="L358" i="19"/>
  <c r="K126" i="19"/>
  <c r="X126" i="19"/>
  <c r="Z126" i="19"/>
  <c r="I126" i="19"/>
  <c r="Q126" i="19"/>
  <c r="AC126" i="19"/>
  <c r="V126" i="19"/>
  <c r="Y126" i="19"/>
  <c r="AB126" i="19"/>
  <c r="T126" i="19"/>
  <c r="AI126" i="19" s="1"/>
  <c r="AP126" i="19" s="1"/>
  <c r="AR126" i="19"/>
  <c r="H126" i="19"/>
  <c r="R126" i="19"/>
  <c r="AA126" i="19"/>
  <c r="O126" i="19"/>
  <c r="AG126" i="19"/>
  <c r="L126" i="19"/>
  <c r="S126" i="19"/>
  <c r="N126" i="19"/>
  <c r="M126" i="19"/>
  <c r="E126" i="19"/>
  <c r="F126" i="19"/>
  <c r="AQ126" i="19"/>
  <c r="AD126" i="19"/>
  <c r="AS126" i="19"/>
  <c r="AF126" i="19"/>
  <c r="W126" i="19"/>
  <c r="AE126" i="19"/>
  <c r="G126" i="19"/>
  <c r="U126" i="19"/>
  <c r="D126" i="19"/>
  <c r="J126" i="19"/>
  <c r="AQ134" i="19"/>
  <c r="AA134" i="19"/>
  <c r="AF134" i="19"/>
  <c r="AS134" i="19"/>
  <c r="J134" i="19"/>
  <c r="L134" i="19"/>
  <c r="K134" i="19"/>
  <c r="AC134" i="19"/>
  <c r="U134" i="19"/>
  <c r="I134" i="19"/>
  <c r="AB134" i="19"/>
  <c r="Z134" i="19"/>
  <c r="O134" i="19"/>
  <c r="R134" i="19"/>
  <c r="V134" i="19"/>
  <c r="AG134" i="19"/>
  <c r="S134" i="19"/>
  <c r="Y134" i="19"/>
  <c r="AE134" i="19"/>
  <c r="F134" i="19"/>
  <c r="AR134" i="19"/>
  <c r="AD134" i="19"/>
  <c r="D134" i="19"/>
  <c r="W134" i="19"/>
  <c r="X134" i="19"/>
  <c r="E134" i="19"/>
  <c r="H134" i="19"/>
  <c r="G134" i="19"/>
  <c r="T134" i="19"/>
  <c r="AI134" i="19" s="1"/>
  <c r="AK134" i="19" s="1"/>
  <c r="Q134" i="19"/>
  <c r="N134" i="19"/>
  <c r="M134" i="19"/>
  <c r="R52" i="19"/>
  <c r="AQ148" i="19"/>
  <c r="H148" i="19"/>
  <c r="Z148" i="19"/>
  <c r="AG148" i="19"/>
  <c r="AB148" i="19"/>
  <c r="AA148" i="19"/>
  <c r="D148" i="19"/>
  <c r="W148" i="19"/>
  <c r="M148" i="19"/>
  <c r="V148" i="19"/>
  <c r="R148" i="19"/>
  <c r="T148" i="19"/>
  <c r="AI148" i="19" s="1"/>
  <c r="AP148" i="19" s="1"/>
  <c r="F148" i="19"/>
  <c r="AS148" i="19"/>
  <c r="L148" i="19"/>
  <c r="G148" i="19"/>
  <c r="AD148" i="19"/>
  <c r="E148" i="19"/>
  <c r="J148" i="19"/>
  <c r="AC148" i="19"/>
  <c r="Y148" i="19"/>
  <c r="I148" i="19"/>
  <c r="X148" i="19"/>
  <c r="AR148" i="19"/>
  <c r="O148" i="19"/>
  <c r="Q148" i="19"/>
  <c r="N148" i="19"/>
  <c r="U148" i="19"/>
  <c r="AE148" i="19"/>
  <c r="AF148" i="19"/>
  <c r="K148" i="19"/>
  <c r="S148" i="19"/>
  <c r="AP166" i="19"/>
  <c r="AL130" i="19"/>
  <c r="AO166" i="19"/>
  <c r="CE5" i="19"/>
  <c r="J685" i="20" s="1"/>
  <c r="J374" i="20" s="1"/>
  <c r="J255" i="20" s="1"/>
  <c r="AN130" i="19"/>
  <c r="BH348" i="19"/>
  <c r="BH366" i="19" s="1"/>
  <c r="AP130" i="19"/>
  <c r="J551" i="21"/>
  <c r="AM130" i="19"/>
  <c r="AK155" i="19"/>
  <c r="D335" i="20"/>
  <c r="AP155" i="19"/>
  <c r="AP125" i="19"/>
  <c r="AL155" i="19"/>
  <c r="AK130" i="19"/>
  <c r="AM155" i="19"/>
  <c r="D657" i="20"/>
  <c r="D677" i="20"/>
  <c r="AN155" i="19"/>
  <c r="BX6" i="19"/>
  <c r="BX349" i="19" s="1"/>
  <c r="BX367" i="19" s="1"/>
  <c r="D219" i="20"/>
  <c r="AP144" i="19"/>
  <c r="AL144" i="19"/>
  <c r="AM144" i="19"/>
  <c r="AN144" i="19"/>
  <c r="AO123" i="19"/>
  <c r="AK148" i="19"/>
  <c r="AM124" i="19"/>
  <c r="AK124" i="19"/>
  <c r="AN124" i="19"/>
  <c r="AP124" i="19"/>
  <c r="AL124" i="19"/>
  <c r="AN123" i="19"/>
  <c r="AK123" i="19"/>
  <c r="AK131" i="19"/>
  <c r="AN131" i="19"/>
  <c r="AL131" i="19"/>
  <c r="AM131" i="19"/>
  <c r="AO131" i="19"/>
  <c r="AP131" i="19"/>
  <c r="U595" i="20"/>
  <c r="U510" i="20" s="1"/>
  <c r="U170" i="20" s="1"/>
  <c r="AI347" i="19"/>
  <c r="AI365" i="19" s="1"/>
  <c r="AI5" i="19"/>
  <c r="AN149" i="19"/>
  <c r="AO149" i="19"/>
  <c r="AK149" i="19"/>
  <c r="AM149" i="19"/>
  <c r="AP149" i="19"/>
  <c r="AL149" i="19"/>
  <c r="AM123" i="19"/>
  <c r="AO144" i="19"/>
  <c r="AK144" i="19"/>
  <c r="AM138" i="19"/>
  <c r="AK138" i="19"/>
  <c r="AP138" i="19"/>
  <c r="AO139" i="19"/>
  <c r="J634" i="20"/>
  <c r="BH347" i="19"/>
  <c r="BH365" i="19" s="1"/>
  <c r="AO156" i="19"/>
  <c r="AN156" i="19"/>
  <c r="AP156" i="19"/>
  <c r="AM156" i="19"/>
  <c r="AL156" i="19"/>
  <c r="AK156" i="19"/>
  <c r="AL132" i="19"/>
  <c r="AP132" i="19"/>
  <c r="AN132" i="19"/>
  <c r="AM132" i="19"/>
  <c r="AO132" i="19"/>
  <c r="AK132" i="19"/>
  <c r="AM135" i="19"/>
  <c r="AN135" i="19"/>
  <c r="AO135" i="19"/>
  <c r="AL135" i="19"/>
  <c r="AK135" i="19"/>
  <c r="AP135" i="19"/>
  <c r="AL123" i="19"/>
  <c r="AN126" i="19"/>
  <c r="AL126" i="19"/>
  <c r="AK126" i="19"/>
  <c r="D364" i="20"/>
  <c r="D245" i="20"/>
  <c r="CH347" i="19"/>
  <c r="CH365" i="19" s="1"/>
  <c r="J669" i="20"/>
  <c r="J351" i="20" s="1"/>
  <c r="J237" i="20" s="1"/>
  <c r="AK136" i="19"/>
  <c r="AN128" i="19"/>
  <c r="AP128" i="19"/>
  <c r="AM128" i="19"/>
  <c r="AL128" i="19"/>
  <c r="AO128" i="19"/>
  <c r="AK128" i="19"/>
  <c r="J388" i="20"/>
  <c r="L100" i="20"/>
  <c r="J359" i="20" s="1"/>
  <c r="O100" i="21"/>
  <c r="L88" i="20"/>
  <c r="L88" i="21" s="1"/>
  <c r="U669" i="20"/>
  <c r="J353" i="20" s="1"/>
  <c r="CI347" i="19"/>
  <c r="CI365" i="19" s="1"/>
  <c r="AN151" i="19"/>
  <c r="AO151" i="19"/>
  <c r="AL151" i="19"/>
  <c r="AM151" i="19"/>
  <c r="AP151" i="19"/>
  <c r="AK151" i="19"/>
  <c r="AN129" i="19"/>
  <c r="AK129" i="19"/>
  <c r="AL129" i="19"/>
  <c r="AO129" i="19"/>
  <c r="AP129" i="19"/>
  <c r="AM129" i="19"/>
  <c r="AN166" i="19"/>
  <c r="AL166" i="19"/>
  <c r="AK166" i="19"/>
  <c r="CD348" i="19"/>
  <c r="CD366" i="19" s="1"/>
  <c r="A183" i="19"/>
  <c r="AO126" i="19" l="1"/>
  <c r="AM126" i="19"/>
  <c r="AL138" i="19"/>
  <c r="AM134" i="19"/>
  <c r="CE4" i="19"/>
  <c r="AN138" i="19"/>
  <c r="AO154" i="19"/>
  <c r="AL134" i="19"/>
  <c r="J583" i="21"/>
  <c r="J457" i="21" s="1"/>
  <c r="J246" i="21" s="1"/>
  <c r="AN134" i="19"/>
  <c r="AM160" i="19"/>
  <c r="AO134" i="19"/>
  <c r="AN148" i="19"/>
  <c r="AP134" i="19"/>
  <c r="AL148" i="19"/>
  <c r="AM148" i="19"/>
  <c r="AL139" i="19"/>
  <c r="AN154" i="19"/>
  <c r="AO160" i="19"/>
  <c r="AK139" i="19"/>
  <c r="AM154" i="19"/>
  <c r="AO136" i="19"/>
  <c r="AN139" i="19"/>
  <c r="AK154" i="19"/>
  <c r="AP160" i="19"/>
  <c r="AL136" i="19"/>
  <c r="AN136" i="19"/>
  <c r="AP139" i="19"/>
  <c r="AL154" i="19"/>
  <c r="AN160" i="19"/>
  <c r="AK160" i="19"/>
  <c r="AM136" i="19"/>
  <c r="AO148" i="19"/>
  <c r="AM125" i="19"/>
  <c r="AK125" i="19"/>
  <c r="AN125" i="19"/>
  <c r="AL125" i="19"/>
  <c r="BY6" i="19"/>
  <c r="BZ4" i="19" s="1"/>
  <c r="BY4" i="19"/>
  <c r="BX347" i="19" s="1"/>
  <c r="BX365" i="19" s="1"/>
  <c r="CM4" i="19"/>
  <c r="CD347" i="19"/>
  <c r="CD365" i="19" s="1"/>
  <c r="J665" i="20"/>
  <c r="A184" i="19"/>
  <c r="GV70" i="8"/>
  <c r="HV42" i="8"/>
  <c r="GM34" i="8"/>
  <c r="JT70" i="8"/>
  <c r="HG46" i="8"/>
  <c r="KK68" i="8"/>
  <c r="HD36" i="8"/>
  <c r="GJ45" i="8"/>
  <c r="HE60" i="8"/>
  <c r="ID45" i="8"/>
  <c r="IT52" i="8"/>
  <c r="IY46" i="8"/>
  <c r="HC60" i="8"/>
  <c r="IS58" i="8"/>
  <c r="KI29" i="8"/>
  <c r="B165" i="19"/>
  <c r="GW39" i="8"/>
  <c r="HO74" i="8"/>
  <c r="JP31" i="8"/>
  <c r="E54" i="19"/>
  <c r="IS50" i="8"/>
  <c r="IV45" i="8"/>
  <c r="GS29" i="8"/>
  <c r="KI36" i="8"/>
  <c r="HC73" i="8"/>
  <c r="KC59" i="8"/>
  <c r="JR74" i="8"/>
  <c r="KG33" i="8"/>
  <c r="II69" i="8"/>
  <c r="KF28" i="8"/>
  <c r="IU38" i="8"/>
  <c r="C141" i="19"/>
  <c r="GN28" i="8"/>
  <c r="GV45" i="8"/>
  <c r="JF37" i="8"/>
  <c r="HS70" i="8"/>
  <c r="C143" i="19"/>
  <c r="JH29" i="8"/>
  <c r="JX58" i="8"/>
  <c r="JP43" i="8"/>
  <c r="GW61" i="8"/>
  <c r="GG32" i="8"/>
  <c r="HO48" i="8"/>
  <c r="HS30" i="8"/>
  <c r="HG44" i="8"/>
  <c r="GV75" i="8"/>
  <c r="KF71" i="8"/>
  <c r="JA41" i="8"/>
  <c r="IK27" i="8"/>
  <c r="GO38" i="8"/>
  <c r="JM43" i="8"/>
  <c r="GJ43" i="8"/>
  <c r="KU52" i="8"/>
  <c r="HY54" i="8"/>
  <c r="KO36" i="8"/>
  <c r="KT36" i="8"/>
  <c r="FS29" i="8"/>
  <c r="GE67" i="8"/>
  <c r="B154" i="19"/>
  <c r="JW71" i="8"/>
  <c r="HC70" i="8"/>
  <c r="GZ27" i="8"/>
  <c r="IT38" i="8"/>
  <c r="KS71" i="8"/>
  <c r="KE27" i="8"/>
  <c r="GZ63" i="8"/>
  <c r="C150" i="19"/>
  <c r="KF73" i="8"/>
  <c r="JJ62" i="8"/>
  <c r="C145" i="19"/>
  <c r="KN35" i="8"/>
  <c r="GA56" i="8"/>
  <c r="JE53" i="8"/>
  <c r="JH28" i="8"/>
  <c r="IK63" i="8"/>
  <c r="HK29" i="8"/>
  <c r="IY76" i="8"/>
  <c r="GU46" i="8"/>
  <c r="HK49" i="8"/>
  <c r="IR33" i="8"/>
  <c r="GZ56" i="8"/>
  <c r="JL27" i="8"/>
  <c r="IS65" i="8"/>
  <c r="FW28" i="8"/>
  <c r="HA60" i="8"/>
  <c r="HX56" i="8"/>
  <c r="IS59" i="8"/>
  <c r="JN61" i="8"/>
  <c r="JD52" i="8"/>
  <c r="JS32" i="8"/>
  <c r="KS62" i="8"/>
  <c r="C172" i="19"/>
  <c r="HM43" i="8"/>
  <c r="GS30" i="8"/>
  <c r="JV61" i="8"/>
  <c r="KQ58" i="8"/>
  <c r="HY55" i="8"/>
  <c r="GJ46" i="8"/>
  <c r="HT40" i="8"/>
  <c r="HQ27" i="8"/>
  <c r="FO57" i="8"/>
  <c r="IS29" i="8"/>
  <c r="GB67" i="8"/>
  <c r="IH74" i="8"/>
  <c r="KU60" i="8"/>
  <c r="FX62" i="8"/>
  <c r="HM54" i="8"/>
  <c r="GG38" i="8"/>
  <c r="KH31" i="8"/>
  <c r="JL73" i="8"/>
  <c r="JG66" i="8"/>
  <c r="IQ36" i="8"/>
  <c r="JV60" i="8"/>
  <c r="FW74" i="8"/>
  <c r="JH68" i="8"/>
  <c r="JT50" i="8"/>
  <c r="JL57" i="8"/>
  <c r="JL67" i="8"/>
  <c r="KT34" i="8"/>
  <c r="KR27" i="8"/>
  <c r="GG46" i="8"/>
  <c r="JG71" i="8"/>
  <c r="II59" i="8"/>
  <c r="JX28" i="8"/>
  <c r="KB65" i="8"/>
  <c r="GL62" i="8"/>
  <c r="KA34" i="8"/>
  <c r="KD70" i="8"/>
  <c r="KD41" i="8"/>
  <c r="HL48" i="8"/>
  <c r="GL56" i="8"/>
  <c r="FT38" i="8"/>
  <c r="FR76" i="8"/>
  <c r="GY69" i="8"/>
  <c r="KV42" i="8"/>
  <c r="JX27" i="8"/>
  <c r="KT73" i="8"/>
  <c r="GJ42" i="8"/>
  <c r="HX44" i="8"/>
  <c r="IK71" i="8"/>
  <c r="IB37" i="8"/>
  <c r="G54" i="19"/>
  <c r="B164" i="19"/>
  <c r="FM64" i="8"/>
  <c r="FQ30" i="8"/>
  <c r="KL45" i="8"/>
  <c r="GI50" i="8"/>
  <c r="B177" i="19"/>
  <c r="C152" i="19"/>
  <c r="JB72" i="8"/>
  <c r="FW32" i="8"/>
  <c r="HK32" i="8"/>
  <c r="JY55" i="8"/>
  <c r="IN40" i="8"/>
  <c r="IP75" i="8"/>
  <c r="FY70" i="8"/>
  <c r="GY38" i="8"/>
  <c r="KU73" i="8"/>
  <c r="GH29" i="8"/>
  <c r="JA44" i="8"/>
  <c r="GB68" i="8"/>
  <c r="JN46" i="8"/>
  <c r="KT53" i="8"/>
  <c r="FR71" i="8"/>
  <c r="IY62" i="8"/>
  <c r="JF33" i="8"/>
  <c r="FZ39" i="8"/>
  <c r="GI35" i="8"/>
  <c r="IY42" i="8"/>
  <c r="JR39" i="8"/>
  <c r="GP56" i="8"/>
  <c r="KD52" i="8"/>
  <c r="IZ68" i="8"/>
  <c r="GI38" i="8"/>
  <c r="GV52" i="8"/>
  <c r="IM71" i="8"/>
  <c r="GZ62" i="8"/>
  <c r="GU67" i="8"/>
  <c r="JO56" i="8"/>
  <c r="GH32" i="8"/>
  <c r="FS49" i="8"/>
  <c r="GP60" i="8"/>
  <c r="KW29" i="8"/>
  <c r="IN36" i="8"/>
  <c r="JH39" i="8"/>
  <c r="IB45" i="8"/>
  <c r="JD73" i="8"/>
  <c r="GV51" i="8"/>
  <c r="GN73" i="8"/>
  <c r="GK53" i="8"/>
  <c r="FZ61" i="8"/>
  <c r="GS51" i="8"/>
  <c r="HL66" i="8"/>
  <c r="IM62" i="8"/>
  <c r="FO58" i="8"/>
  <c r="GH65" i="8"/>
  <c r="JD43" i="8"/>
  <c r="JQ76" i="8"/>
  <c r="FN59" i="8"/>
  <c r="IR36" i="8"/>
  <c r="FP68" i="8"/>
  <c r="HF59" i="8"/>
  <c r="JY73" i="8"/>
  <c r="IJ45" i="8"/>
  <c r="HB63" i="8"/>
  <c r="KG76" i="8"/>
  <c r="HT59" i="8"/>
  <c r="HH48" i="8"/>
  <c r="B123" i="19"/>
  <c r="O51" i="19"/>
  <c r="C164" i="19"/>
  <c r="GC65" i="8"/>
  <c r="JM34" i="8"/>
  <c r="JH38" i="8"/>
  <c r="GL28" i="8"/>
  <c r="JZ56" i="8"/>
  <c r="JX74" i="8"/>
  <c r="C181" i="19"/>
  <c r="JC61" i="8"/>
  <c r="KP67" i="8"/>
  <c r="GN50" i="8"/>
  <c r="GR73" i="8"/>
  <c r="JM28" i="8"/>
  <c r="GT68" i="8"/>
  <c r="IN55" i="8"/>
  <c r="C183" i="19"/>
  <c r="GN61" i="8"/>
  <c r="HT60" i="8"/>
  <c r="KT44" i="8"/>
  <c r="KO73" i="8"/>
  <c r="GA63" i="8"/>
  <c r="JM39" i="8"/>
  <c r="FY72" i="8"/>
  <c r="KE46" i="8"/>
  <c r="HL29" i="8"/>
  <c r="JO61" i="8"/>
  <c r="JW51" i="8"/>
  <c r="GT67" i="8"/>
  <c r="FO46" i="8"/>
  <c r="KO61" i="8"/>
  <c r="HT57" i="8"/>
  <c r="GF68" i="8"/>
  <c r="HP59" i="8"/>
  <c r="FP69" i="8"/>
  <c r="JY54" i="8"/>
  <c r="IP32" i="8"/>
  <c r="C178" i="19"/>
  <c r="GF50" i="8"/>
  <c r="C180" i="19"/>
  <c r="JY28" i="8"/>
  <c r="GR50" i="8"/>
  <c r="HT71" i="8"/>
  <c r="KG72" i="8"/>
  <c r="JS66" i="8"/>
  <c r="HF76" i="8"/>
  <c r="IL54" i="8"/>
  <c r="GB47" i="8"/>
  <c r="GS72" i="8"/>
  <c r="B152" i="19"/>
  <c r="JG32" i="8"/>
  <c r="GG68" i="8"/>
  <c r="GP69" i="8"/>
  <c r="FL53" i="8"/>
  <c r="KI54" i="8"/>
  <c r="JA65" i="8"/>
  <c r="GO37" i="8"/>
  <c r="GR56" i="8"/>
  <c r="IF34" i="8"/>
  <c r="FV63" i="8"/>
  <c r="ID39" i="8"/>
  <c r="FM63" i="8"/>
  <c r="GJ33" i="8"/>
  <c r="FP29" i="8"/>
  <c r="HB35" i="8"/>
  <c r="JF56" i="8"/>
  <c r="FR63" i="8"/>
  <c r="GT61" i="8"/>
  <c r="HM50" i="8"/>
  <c r="HE32" i="8"/>
  <c r="HJ39" i="8"/>
  <c r="B172" i="19"/>
  <c r="GN68" i="8"/>
  <c r="JF50" i="8"/>
  <c r="IE32" i="8"/>
  <c r="KE55" i="8"/>
  <c r="FO59" i="8"/>
  <c r="JQ48" i="8"/>
  <c r="IR60" i="8"/>
  <c r="B155" i="19"/>
  <c r="FW41" i="8"/>
  <c r="JO60" i="8"/>
  <c r="FS47" i="8"/>
  <c r="JG36" i="8"/>
  <c r="GY70" i="8"/>
  <c r="IK30" i="8"/>
  <c r="IH45" i="8"/>
  <c r="JQ74" i="8"/>
  <c r="GF52" i="8"/>
  <c r="GF45" i="8"/>
  <c r="IM66" i="8"/>
  <c r="KP76" i="8"/>
  <c r="GI75" i="8"/>
  <c r="KX33" i="8"/>
  <c r="KJ40" i="8"/>
  <c r="JM51" i="8"/>
  <c r="IM75" i="8"/>
  <c r="JK71" i="8"/>
  <c r="C167" i="19"/>
  <c r="HU69" i="8"/>
  <c r="JE47" i="8"/>
  <c r="IB33" i="8"/>
  <c r="KB69" i="8"/>
  <c r="GP61" i="8"/>
  <c r="GO44" i="8"/>
  <c r="JK75" i="8"/>
  <c r="IG66" i="8"/>
  <c r="FP70" i="8"/>
  <c r="JH65" i="8"/>
  <c r="GQ30" i="8"/>
  <c r="HK30" i="8"/>
  <c r="JC43" i="8"/>
  <c r="GZ71" i="8"/>
  <c r="HA72" i="8"/>
  <c r="GU69" i="8"/>
  <c r="HL46" i="8"/>
  <c r="JP74" i="8"/>
  <c r="HP61" i="8"/>
  <c r="GZ42" i="8"/>
  <c r="JD72" i="8"/>
  <c r="HP57" i="8"/>
  <c r="JZ48" i="8"/>
  <c r="HT53" i="8"/>
  <c r="GD65" i="8"/>
  <c r="KX61" i="8"/>
  <c r="B150" i="19"/>
  <c r="GV27" i="8"/>
  <c r="KJ48" i="8"/>
  <c r="GV61" i="8"/>
  <c r="HL43" i="8"/>
  <c r="FP48" i="8"/>
  <c r="HI59" i="8"/>
  <c r="B176" i="19"/>
  <c r="T54" i="19"/>
  <c r="C142" i="19"/>
  <c r="KJ28" i="8"/>
  <c r="FO36" i="8"/>
  <c r="FM28" i="8"/>
  <c r="IA28" i="8"/>
  <c r="HM58" i="8"/>
  <c r="JP55" i="8"/>
  <c r="HC33" i="8"/>
  <c r="GH35" i="8"/>
  <c r="JG69" i="8"/>
  <c r="GL74" i="8"/>
  <c r="IR57" i="8"/>
  <c r="HK67" i="8"/>
  <c r="B149" i="19"/>
  <c r="B170" i="19"/>
  <c r="IG49" i="8"/>
  <c r="IN56" i="8"/>
  <c r="HK47" i="8"/>
  <c r="JE59" i="8"/>
  <c r="IH54" i="8"/>
  <c r="B175" i="19"/>
  <c r="FM50" i="8"/>
  <c r="JO59" i="8"/>
  <c r="GW59" i="8"/>
  <c r="B156" i="19"/>
  <c r="FQ65" i="8"/>
  <c r="GB76" i="8"/>
  <c r="KF51" i="8"/>
  <c r="GC66" i="8"/>
  <c r="JJ69" i="8"/>
  <c r="JG58" i="8"/>
  <c r="IK37" i="8"/>
  <c r="JL54" i="8"/>
  <c r="C133" i="19"/>
  <c r="IF30" i="8"/>
  <c r="IO39" i="8"/>
  <c r="IA52" i="8"/>
  <c r="KH40" i="8"/>
  <c r="IG33" i="8"/>
  <c r="HF66" i="8"/>
  <c r="GQ42" i="8"/>
  <c r="IS32" i="8"/>
  <c r="KD57" i="8"/>
  <c r="KR51" i="8"/>
  <c r="FS40" i="8"/>
  <c r="IU41" i="8"/>
  <c r="HT75" i="8"/>
  <c r="HC75" i="8"/>
  <c r="KE65" i="8"/>
  <c r="IE74" i="8"/>
  <c r="KV29" i="8"/>
  <c r="FY44" i="8"/>
  <c r="FQ41" i="8"/>
  <c r="KG49" i="8"/>
  <c r="KU33" i="8"/>
  <c r="JE30" i="8"/>
  <c r="KV66" i="8"/>
  <c r="JM54" i="8"/>
  <c r="IO37" i="8"/>
  <c r="GO69" i="8"/>
  <c r="IW65" i="8"/>
  <c r="B142" i="19"/>
  <c r="KS39" i="8"/>
  <c r="KG71" i="8"/>
  <c r="HK72" i="8"/>
  <c r="GK39" i="8"/>
  <c r="B151" i="19"/>
  <c r="HE48" i="8"/>
  <c r="JV50" i="8"/>
  <c r="FX65" i="8"/>
  <c r="HJ63" i="8"/>
  <c r="FZ64" i="8"/>
  <c r="KM41" i="8"/>
  <c r="JE48" i="8"/>
  <c r="GT53" i="8"/>
  <c r="HG63" i="8"/>
  <c r="B180" i="19"/>
  <c r="GE46" i="8"/>
  <c r="JK29" i="8"/>
  <c r="KW64" i="8"/>
  <c r="GH53" i="8"/>
  <c r="KH57" i="8"/>
  <c r="GR51" i="8"/>
  <c r="V15" i="19"/>
  <c r="KW28" i="8"/>
  <c r="JP76" i="8"/>
  <c r="JZ29" i="8"/>
  <c r="JT71" i="8"/>
  <c r="FZ47" i="8"/>
  <c r="GR52" i="8"/>
  <c r="IM64" i="8"/>
  <c r="HZ71" i="8"/>
  <c r="HS44" i="8"/>
  <c r="KN65" i="8"/>
  <c r="KN48" i="8"/>
  <c r="HH32" i="8"/>
  <c r="JI74" i="8"/>
  <c r="FM34" i="8"/>
  <c r="JF69" i="8"/>
  <c r="JI64" i="8"/>
  <c r="FU58" i="8"/>
  <c r="GQ74" i="8"/>
  <c r="KK55" i="8"/>
  <c r="FU64" i="8"/>
  <c r="FS63" i="8"/>
  <c r="IP39" i="8"/>
  <c r="JW32" i="8"/>
  <c r="KN72" i="8"/>
  <c r="GZ67" i="8"/>
  <c r="KC49" i="8"/>
  <c r="IP60" i="8"/>
  <c r="JX70" i="8"/>
  <c r="KI51" i="8"/>
  <c r="HU50" i="8"/>
  <c r="KA28" i="8"/>
  <c r="HQ33" i="8"/>
  <c r="FZ37" i="8"/>
  <c r="JJ34" i="8"/>
  <c r="IC66" i="8"/>
  <c r="JZ51" i="8"/>
  <c r="GA31" i="8"/>
  <c r="JX76" i="8"/>
  <c r="GM57" i="8"/>
  <c r="GE55" i="8"/>
  <c r="FR68" i="8"/>
  <c r="IQ27" i="8"/>
  <c r="KQ68" i="8"/>
  <c r="FT64" i="8"/>
  <c r="B147" i="19"/>
  <c r="IT39" i="8"/>
  <c r="KT40" i="8"/>
  <c r="JV29" i="8"/>
  <c r="KU71" i="8"/>
  <c r="C182" i="19"/>
  <c r="IL33" i="8"/>
  <c r="KJ68" i="8"/>
  <c r="HS57" i="8"/>
  <c r="B145" i="19"/>
  <c r="FN51" i="8"/>
  <c r="KX29" i="8"/>
  <c r="GI61" i="8"/>
  <c r="JG59" i="8"/>
  <c r="FZ30" i="8"/>
  <c r="FL46" i="8"/>
  <c r="KH41" i="8"/>
  <c r="GF27" i="8"/>
  <c r="HH52" i="8"/>
  <c r="GG60" i="8"/>
  <c r="FL37" i="8"/>
  <c r="FQ28" i="8"/>
  <c r="IY27" i="8"/>
  <c r="IW31" i="8"/>
  <c r="JW52" i="8"/>
  <c r="GD29" i="8"/>
  <c r="KN40" i="8"/>
  <c r="IC71" i="8"/>
  <c r="GJ56" i="8"/>
  <c r="JJ43" i="8"/>
  <c r="IA51" i="8"/>
  <c r="JX29" i="8"/>
  <c r="KQ39" i="8"/>
  <c r="GR54" i="8"/>
  <c r="GI43" i="8"/>
  <c r="II31" i="8"/>
  <c r="KD72" i="8"/>
  <c r="JY41" i="8"/>
  <c r="GM41" i="8"/>
  <c r="B163" i="19"/>
  <c r="HW50" i="8"/>
  <c r="JB27" i="8"/>
  <c r="FZ36" i="8"/>
  <c r="GF69" i="8"/>
  <c r="GH27" i="8"/>
  <c r="KV64" i="8"/>
  <c r="IG75" i="8"/>
  <c r="IR48" i="8"/>
  <c r="FZ48" i="8"/>
  <c r="GQ35" i="8"/>
  <c r="II50" i="8"/>
  <c r="KM57" i="8"/>
  <c r="KA43" i="8"/>
  <c r="JK39" i="8"/>
  <c r="FX71" i="8"/>
  <c r="GB62" i="8"/>
  <c r="HC74" i="8"/>
  <c r="JH40" i="8"/>
  <c r="JF67" i="8"/>
  <c r="KQ40" i="8"/>
  <c r="JM36" i="8"/>
  <c r="HT61" i="8"/>
  <c r="GP39" i="8"/>
  <c r="IF55" i="8"/>
  <c r="HX37" i="8"/>
  <c r="GB54" i="8"/>
  <c r="FW71" i="8"/>
  <c r="KW33" i="8"/>
  <c r="KG28" i="8"/>
  <c r="JI55" i="8"/>
  <c r="HU33" i="8"/>
  <c r="IY40" i="8"/>
  <c r="GH64" i="8"/>
  <c r="II33" i="8"/>
  <c r="JR27" i="8"/>
  <c r="HZ41" i="8"/>
  <c r="KD30" i="8"/>
  <c r="FU51" i="8"/>
  <c r="KV55" i="8"/>
  <c r="GJ48" i="8"/>
  <c r="KN64" i="8"/>
  <c r="KV67" i="8"/>
  <c r="GC39" i="8"/>
  <c r="GV36" i="8"/>
  <c r="KT47" i="8"/>
  <c r="JJ52" i="8"/>
  <c r="JM57" i="8"/>
  <c r="IK66" i="8"/>
  <c r="GW67" i="8"/>
  <c r="L54" i="19"/>
  <c r="KX40" i="8"/>
  <c r="GT75" i="8"/>
  <c r="HJ65" i="8"/>
  <c r="II38" i="8"/>
  <c r="HH70" i="8"/>
  <c r="JE75" i="8"/>
  <c r="FS41" i="8"/>
  <c r="JZ73" i="8"/>
  <c r="JE39" i="8"/>
  <c r="KR74" i="8"/>
  <c r="IE76" i="8"/>
  <c r="JJ38" i="8"/>
  <c r="KC40" i="8"/>
  <c r="B178" i="19"/>
  <c r="KX62" i="8"/>
  <c r="JT67" i="8"/>
  <c r="HA46" i="8"/>
  <c r="FY73" i="8"/>
  <c r="IT51" i="8"/>
  <c r="KW58" i="8"/>
  <c r="FK42" i="8"/>
  <c r="JF46" i="8"/>
  <c r="HX55" i="8"/>
  <c r="KH48" i="8"/>
  <c r="FL30" i="8"/>
  <c r="IH53" i="8"/>
  <c r="C176" i="19"/>
  <c r="JL41" i="8"/>
  <c r="FK35" i="8"/>
  <c r="GM27" i="8"/>
  <c r="HY60" i="8"/>
  <c r="JV33" i="8"/>
  <c r="IA44" i="8"/>
  <c r="IK36" i="8"/>
  <c r="GG53" i="8"/>
  <c r="IV43" i="8"/>
  <c r="F54" i="19"/>
  <c r="GF41" i="8"/>
  <c r="JY75" i="8"/>
  <c r="KW47" i="8"/>
  <c r="JW75" i="8"/>
  <c r="II56" i="8"/>
  <c r="IP71" i="8"/>
  <c r="JI49" i="8"/>
  <c r="GV72" i="8"/>
  <c r="FY76" i="8"/>
  <c r="IZ51" i="8"/>
  <c r="FK27" i="8"/>
  <c r="HC62" i="8"/>
  <c r="KV76" i="8"/>
  <c r="IW30" i="8"/>
  <c r="GS38" i="8"/>
  <c r="IH42" i="8"/>
  <c r="FP33" i="8"/>
  <c r="GJ58" i="8"/>
  <c r="JQ53" i="8"/>
  <c r="IY73" i="8"/>
  <c r="HQ75" i="8"/>
  <c r="KG48" i="8"/>
  <c r="IJ47" i="8"/>
  <c r="KO56" i="8"/>
  <c r="HJ71" i="8"/>
  <c r="JU57" i="8"/>
  <c r="HR68" i="8"/>
  <c r="HG42" i="8"/>
  <c r="B160" i="19"/>
  <c r="FV29" i="8"/>
  <c r="KO31" i="8"/>
  <c r="JO68" i="8"/>
  <c r="GN27" i="8"/>
  <c r="KG57" i="8"/>
  <c r="KK39" i="8"/>
  <c r="FY37" i="8"/>
  <c r="B161" i="19"/>
  <c r="FX64" i="8"/>
  <c r="JO53" i="8"/>
  <c r="HO75" i="8"/>
  <c r="KF63" i="8"/>
  <c r="KM68" i="8"/>
  <c r="FK47" i="8"/>
  <c r="B168" i="19"/>
  <c r="JG67" i="8"/>
  <c r="JR43" i="8"/>
  <c r="JA43" i="8"/>
  <c r="J51" i="19"/>
  <c r="B181" i="19"/>
  <c r="JO35" i="8"/>
  <c r="GK34" i="8"/>
  <c r="GL48" i="8"/>
  <c r="KS73" i="8"/>
  <c r="JD39" i="8"/>
  <c r="JK67" i="8"/>
  <c r="HE56" i="8"/>
  <c r="JH60" i="8"/>
  <c r="IS39" i="8"/>
  <c r="KU42" i="8"/>
  <c r="GL68" i="8"/>
  <c r="IW66" i="8"/>
  <c r="JR64" i="8"/>
  <c r="GJ71" i="8"/>
  <c r="KJ61" i="8"/>
  <c r="GO29" i="8"/>
  <c r="GK75" i="8"/>
  <c r="KP71" i="8"/>
  <c r="JD62" i="8"/>
  <c r="HJ67" i="8"/>
  <c r="JG42" i="8"/>
  <c r="GY54" i="8"/>
  <c r="IF58" i="8"/>
  <c r="GB28" i="8"/>
  <c r="GM44" i="8"/>
  <c r="KI69" i="8"/>
  <c r="GS67" i="8"/>
  <c r="KB59" i="8"/>
  <c r="JF60" i="8"/>
  <c r="KO62" i="8"/>
  <c r="JG74" i="8"/>
  <c r="C168" i="19"/>
  <c r="GG70" i="8"/>
  <c r="JM52" i="8"/>
  <c r="KU59" i="8"/>
  <c r="IR70" i="8"/>
  <c r="FZ65" i="8"/>
  <c r="GT65" i="8"/>
  <c r="GT32" i="8"/>
  <c r="IG28" i="8"/>
  <c r="GT51" i="8"/>
  <c r="HP48" i="8"/>
  <c r="HU65" i="8"/>
  <c r="KL55" i="8"/>
  <c r="IP51" i="8"/>
  <c r="GE43" i="8"/>
  <c r="IE67" i="8"/>
  <c r="KI34" i="8"/>
  <c r="KE61" i="8"/>
  <c r="HR39" i="8"/>
  <c r="HZ34" i="8"/>
  <c r="KM71" i="8"/>
  <c r="IP62" i="8"/>
  <c r="KM61" i="8"/>
  <c r="IP74" i="8"/>
  <c r="HN58" i="8"/>
  <c r="HQ58" i="8"/>
  <c r="JE38" i="8"/>
  <c r="FZ54" i="8"/>
  <c r="GF51" i="8"/>
  <c r="IL35" i="8"/>
  <c r="HS66" i="8"/>
  <c r="JI31" i="8"/>
  <c r="GK37" i="8"/>
  <c r="GO45" i="8"/>
  <c r="IH57" i="8"/>
  <c r="FP53" i="8"/>
  <c r="KE45" i="8"/>
  <c r="GT46" i="8"/>
  <c r="GS53" i="8"/>
  <c r="GH55" i="8"/>
  <c r="HA48" i="8"/>
  <c r="JC45" i="8"/>
  <c r="GF35" i="8"/>
  <c r="IQ35" i="8"/>
  <c r="JQ34" i="8"/>
  <c r="FR53" i="8"/>
  <c r="IP41" i="8"/>
  <c r="KD66" i="8"/>
  <c r="HS56" i="8"/>
  <c r="HB72" i="8"/>
  <c r="HY52" i="8"/>
  <c r="FO50" i="8"/>
  <c r="FW53" i="8"/>
  <c r="IE42" i="8"/>
  <c r="GV74" i="8"/>
  <c r="JK44" i="8"/>
  <c r="HI50" i="8"/>
  <c r="JE44" i="8"/>
  <c r="GQ76" i="8"/>
  <c r="C147" i="19"/>
  <c r="IF64" i="8"/>
  <c r="JC74" i="8"/>
  <c r="KF55" i="8"/>
  <c r="IW45" i="8"/>
  <c r="C159" i="19"/>
  <c r="KR34" i="8"/>
  <c r="IF47" i="8"/>
  <c r="IJ37" i="8"/>
  <c r="JE43" i="8"/>
  <c r="IZ53" i="8"/>
  <c r="FU55" i="8"/>
  <c r="KX68" i="8"/>
  <c r="HV41" i="8"/>
  <c r="GC53" i="8"/>
  <c r="JZ34" i="8"/>
  <c r="IJ63" i="8"/>
  <c r="IL30" i="8"/>
  <c r="JC44" i="8"/>
  <c r="GK27" i="8"/>
  <c r="KU62" i="8"/>
  <c r="JQ58" i="8"/>
  <c r="IJ36" i="8"/>
  <c r="HC66" i="8"/>
  <c r="HB62" i="8"/>
  <c r="KE50" i="8"/>
  <c r="FY75" i="8"/>
  <c r="IH70" i="8"/>
  <c r="KI76" i="8"/>
  <c r="II76" i="8"/>
  <c r="HE66" i="8"/>
  <c r="HM31" i="8"/>
  <c r="FV67" i="8"/>
  <c r="GJ51" i="8"/>
  <c r="KA38" i="8"/>
  <c r="GL47" i="8"/>
  <c r="KT59" i="8"/>
  <c r="HX67" i="8"/>
  <c r="JY59" i="8"/>
  <c r="HL54" i="8"/>
  <c r="IE46" i="8"/>
  <c r="FX31" i="8"/>
  <c r="FW48" i="8"/>
  <c r="IY39" i="8"/>
  <c r="GA76" i="8"/>
  <c r="IY51" i="8"/>
  <c r="JM37" i="8"/>
  <c r="IN73" i="8"/>
  <c r="KC73" i="8"/>
  <c r="IX35" i="8"/>
  <c r="KX42" i="8"/>
  <c r="C170" i="19"/>
  <c r="IZ27" i="8"/>
  <c r="HK59" i="8"/>
  <c r="JX53" i="8"/>
  <c r="C157" i="19"/>
  <c r="KH52" i="8"/>
  <c r="KP37" i="8"/>
  <c r="GT56" i="8"/>
  <c r="B162" i="19"/>
  <c r="KT66" i="8"/>
  <c r="JT58" i="8"/>
  <c r="JW34" i="8"/>
  <c r="JI57" i="8"/>
  <c r="KJ75" i="8"/>
  <c r="GN63" i="8"/>
  <c r="KH62" i="8"/>
  <c r="B173" i="19"/>
  <c r="HJ43" i="8"/>
  <c r="IZ64" i="8"/>
  <c r="JJ76" i="8"/>
  <c r="IG34" i="8"/>
  <c r="GL43" i="8"/>
  <c r="FK63" i="8"/>
  <c r="HE42" i="8"/>
  <c r="IN34" i="8"/>
  <c r="HM59" i="8"/>
  <c r="HM67" i="8"/>
  <c r="GY29" i="8"/>
  <c r="KA76" i="8"/>
  <c r="IM27" i="8"/>
  <c r="JC49" i="8"/>
  <c r="JR53" i="8"/>
  <c r="HA30" i="8"/>
  <c r="IM40" i="8"/>
  <c r="C177" i="19"/>
  <c r="JY64" i="8"/>
  <c r="JS48" i="8"/>
  <c r="ID69" i="8"/>
  <c r="FQ38" i="8"/>
  <c r="HZ29" i="8"/>
  <c r="GI60" i="8"/>
  <c r="GU35" i="8"/>
  <c r="GD28" i="8"/>
  <c r="IC55" i="8"/>
  <c r="FY41" i="8"/>
  <c r="HJ34" i="8"/>
  <c r="KO42" i="8"/>
  <c r="IS43" i="8"/>
  <c r="KN76" i="8"/>
  <c r="GG58" i="8"/>
  <c r="JT38" i="8"/>
  <c r="IQ39" i="8"/>
  <c r="GU53" i="8"/>
  <c r="C171" i="19"/>
  <c r="JL38" i="8"/>
  <c r="GJ59" i="8"/>
  <c r="HP62" i="8"/>
  <c r="JN74" i="8"/>
  <c r="FM43" i="8"/>
  <c r="JV68" i="8"/>
  <c r="KF42" i="8"/>
  <c r="FX60" i="8"/>
  <c r="HM75" i="8"/>
  <c r="JV35" i="8"/>
  <c r="KA36" i="8"/>
  <c r="IK51" i="8"/>
  <c r="HR58" i="8"/>
  <c r="KO64" i="8"/>
  <c r="GS55" i="8"/>
  <c r="HS69" i="8"/>
  <c r="HV68" i="8"/>
  <c r="GU41" i="8"/>
  <c r="JQ40" i="8"/>
  <c r="JR41" i="8"/>
  <c r="ID55" i="8"/>
  <c r="KS41" i="8"/>
  <c r="HE35" i="8"/>
  <c r="JA38" i="8"/>
  <c r="HB64" i="8"/>
  <c r="JI44" i="8"/>
  <c r="IQ34" i="8"/>
  <c r="GH54" i="8"/>
  <c r="JY27" i="8"/>
  <c r="KO50" i="8"/>
  <c r="IN62" i="8"/>
  <c r="FP38" i="8"/>
  <c r="GY40" i="8"/>
  <c r="II55" i="8"/>
  <c r="KG34" i="8"/>
  <c r="HY64" i="8"/>
  <c r="IV75" i="8"/>
  <c r="JE34" i="8"/>
  <c r="KR31" i="8"/>
  <c r="GP45" i="8"/>
  <c r="B148" i="19"/>
  <c r="HX31" i="8"/>
  <c r="JP51" i="8"/>
  <c r="IJ74" i="8"/>
  <c r="GN69" i="8"/>
  <c r="JE42" i="8"/>
  <c r="JC64" i="8"/>
  <c r="HH31" i="8"/>
  <c r="JP45" i="8"/>
  <c r="IG71" i="8"/>
  <c r="GB71" i="8"/>
  <c r="HZ32" i="8"/>
  <c r="JR68" i="8"/>
  <c r="IT60" i="8"/>
  <c r="JF40" i="8"/>
  <c r="JS74" i="8"/>
  <c r="GU62" i="8"/>
  <c r="JE28" i="8"/>
  <c r="KC56" i="8"/>
  <c r="HY71" i="8"/>
  <c r="HP66" i="8"/>
  <c r="IE61" i="8"/>
  <c r="IW32" i="8"/>
  <c r="HZ44" i="8"/>
  <c r="KK70" i="8"/>
  <c r="KU47" i="8"/>
  <c r="JS56" i="8"/>
  <c r="KP50" i="8"/>
  <c r="FO37" i="8"/>
  <c r="GR37" i="8"/>
  <c r="IO32" i="8"/>
  <c r="GP50" i="8"/>
  <c r="GQ50" i="8"/>
  <c r="JH30" i="8"/>
  <c r="FT30" i="8"/>
  <c r="GN53" i="8"/>
  <c r="IK49" i="8"/>
  <c r="HO39" i="8"/>
  <c r="HU40" i="8"/>
  <c r="FU52" i="8"/>
  <c r="JN38" i="8"/>
  <c r="KL38" i="8"/>
  <c r="JS40" i="8"/>
  <c r="KM31" i="8"/>
  <c r="GZ60" i="8"/>
  <c r="HJ55" i="8"/>
  <c r="GX35" i="8"/>
  <c r="FL59" i="8"/>
  <c r="HM36" i="8"/>
  <c r="JR72" i="8"/>
  <c r="GZ28" i="8"/>
  <c r="GK33" i="8"/>
  <c r="GY52" i="8"/>
  <c r="HP60" i="8"/>
  <c r="HE57" i="8"/>
  <c r="JF76" i="8"/>
  <c r="KV37" i="8"/>
  <c r="JK37" i="8"/>
  <c r="B171" i="19"/>
  <c r="JW48" i="8"/>
  <c r="GY30" i="8"/>
  <c r="HZ76" i="8"/>
  <c r="HU67" i="8"/>
  <c r="KB27" i="8"/>
  <c r="JL33" i="8"/>
  <c r="KC75" i="8"/>
  <c r="KD44" i="8"/>
  <c r="JJ59" i="8"/>
  <c r="IT68" i="8"/>
  <c r="IG73" i="8"/>
  <c r="KN73" i="8"/>
  <c r="HY48" i="8"/>
  <c r="FM29" i="8"/>
  <c r="C174" i="19"/>
  <c r="IK40" i="8"/>
  <c r="GM47" i="8"/>
  <c r="JD40" i="8"/>
  <c r="HR49" i="8"/>
  <c r="JZ63" i="8"/>
  <c r="T51" i="19"/>
  <c r="GJ62" i="8"/>
  <c r="JO43" i="8"/>
  <c r="KT70" i="8"/>
  <c r="KE28" i="8"/>
  <c r="JW28" i="8"/>
  <c r="FV51" i="8"/>
  <c r="GY31" i="8"/>
  <c r="KB39" i="8"/>
  <c r="IN49" i="8"/>
  <c r="KV73" i="8"/>
  <c r="HJ76" i="8"/>
  <c r="GD38" i="8"/>
  <c r="JY43" i="8"/>
  <c r="JG43" i="8"/>
  <c r="FM73" i="8"/>
  <c r="FS70" i="8"/>
  <c r="IX67" i="8"/>
  <c r="JW73" i="8"/>
  <c r="KI57" i="8"/>
  <c r="GJ32" i="8"/>
  <c r="IL37" i="8"/>
  <c r="KH68" i="8"/>
  <c r="IX33" i="8"/>
  <c r="GQ46" i="8"/>
  <c r="IF57" i="8"/>
  <c r="KF34" i="8"/>
  <c r="HQ34" i="8"/>
  <c r="HO50" i="8"/>
  <c r="GT39" i="8"/>
  <c r="JF38" i="8"/>
  <c r="FW60" i="8"/>
  <c r="HH36" i="8"/>
  <c r="GK62" i="8"/>
  <c r="FL56" i="8"/>
  <c r="GH73" i="8"/>
  <c r="HN29" i="8"/>
  <c r="FW46" i="8"/>
  <c r="GO50" i="8"/>
  <c r="FT60" i="8"/>
  <c r="GH34" i="8"/>
  <c r="IO30" i="8"/>
  <c r="IL62" i="8"/>
  <c r="HL56" i="8"/>
  <c r="JH63" i="8"/>
  <c r="FM33" i="8"/>
  <c r="GT69" i="8"/>
  <c r="JF48" i="8"/>
  <c r="HJ54" i="8"/>
  <c r="ID32" i="8"/>
  <c r="KQ33" i="8"/>
  <c r="JI27" i="8"/>
  <c r="ID76" i="8"/>
  <c r="GD33" i="8"/>
  <c r="KE41" i="8"/>
  <c r="GM58" i="8"/>
  <c r="JN75" i="8"/>
  <c r="JF27" i="8"/>
  <c r="KR38" i="8"/>
  <c r="IO76" i="8"/>
  <c r="HD55" i="8"/>
  <c r="JX69" i="8"/>
  <c r="FO31" i="8"/>
  <c r="KE56" i="8"/>
  <c r="KP31" i="8"/>
  <c r="JL68" i="8"/>
  <c r="IX55" i="8"/>
  <c r="HS49" i="8"/>
  <c r="C179" i="19"/>
  <c r="HY27" i="8"/>
  <c r="GB51" i="8"/>
  <c r="H51" i="19"/>
  <c r="KW43" i="8"/>
  <c r="JF64" i="8"/>
  <c r="FR33" i="8"/>
  <c r="HH41" i="8"/>
  <c r="FM52" i="8"/>
  <c r="FR70" i="8"/>
  <c r="FM37" i="8"/>
  <c r="KE31" i="8"/>
  <c r="C137" i="19"/>
  <c r="ID44" i="8"/>
  <c r="JD57" i="8"/>
  <c r="IO48" i="8"/>
  <c r="FV52" i="8"/>
  <c r="FU31" i="8"/>
  <c r="FL34" i="8"/>
  <c r="B158" i="19"/>
  <c r="HM65" i="8"/>
  <c r="HI65" i="8"/>
  <c r="HS48" i="8"/>
  <c r="GN55" i="8"/>
  <c r="GC35" i="8"/>
  <c r="B51" i="19"/>
  <c r="HY35" i="8"/>
  <c r="JF54" i="8"/>
  <c r="JG37" i="8"/>
  <c r="GH52" i="8"/>
  <c r="FL69" i="8"/>
  <c r="GF65" i="8"/>
  <c r="FS65" i="8"/>
  <c r="GF32" i="8"/>
  <c r="C146" i="19"/>
  <c r="FW65" i="8"/>
  <c r="IX48" i="8"/>
  <c r="FS31" i="8"/>
  <c r="ID49" i="8"/>
  <c r="FO75" i="8"/>
  <c r="GK65" i="8"/>
  <c r="JQ57" i="8"/>
  <c r="KX63" i="8"/>
  <c r="IH38" i="8"/>
  <c r="JZ27" i="8"/>
  <c r="HH64" i="8"/>
  <c r="KU70" i="8"/>
  <c r="KK38" i="8"/>
  <c r="KS45" i="8"/>
  <c r="IN66" i="8"/>
  <c r="KF40" i="8"/>
  <c r="JY51" i="8"/>
  <c r="HN48" i="8"/>
  <c r="JQ46" i="8"/>
  <c r="FS64" i="8"/>
  <c r="GT47" i="8"/>
  <c r="FL76" i="8"/>
  <c r="HZ64" i="8"/>
  <c r="IH58" i="8"/>
  <c r="IB28" i="8"/>
  <c r="IE55" i="8"/>
  <c r="JF71" i="8"/>
  <c r="GN32" i="8"/>
  <c r="JS76" i="8"/>
  <c r="HF71" i="8"/>
  <c r="Z51" i="19"/>
  <c r="HQ30" i="8"/>
  <c r="IO28" i="8"/>
  <c r="FK66" i="8"/>
  <c r="C165" i="19"/>
  <c r="JE57" i="8"/>
  <c r="HM53" i="8"/>
  <c r="HS45" i="8"/>
  <c r="JF52" i="8"/>
  <c r="IK32" i="8"/>
  <c r="KK35" i="8"/>
  <c r="JC73" i="8"/>
  <c r="HD70" i="8"/>
  <c r="JC38" i="8"/>
  <c r="HR56" i="8"/>
  <c r="IW73" i="8"/>
  <c r="HM46" i="8"/>
  <c r="HD46" i="8"/>
  <c r="IW40" i="8"/>
  <c r="JI45" i="8"/>
  <c r="GA61" i="8"/>
  <c r="IT76" i="8"/>
  <c r="HK70" i="8"/>
  <c r="JN41" i="8"/>
  <c r="IR56" i="8"/>
  <c r="ID65" i="8"/>
  <c r="KH50" i="8"/>
  <c r="JK51" i="8"/>
  <c r="HZ50" i="8"/>
  <c r="FS36" i="8"/>
  <c r="IO47" i="8"/>
  <c r="IK67" i="8"/>
  <c r="GF60" i="8"/>
  <c r="GO53" i="8"/>
  <c r="JK68" i="8"/>
  <c r="HU59" i="8"/>
  <c r="JU52" i="8"/>
  <c r="IQ38" i="8"/>
  <c r="II51" i="8"/>
  <c r="IS64" i="8"/>
  <c r="JW43" i="8"/>
  <c r="FX39" i="8"/>
  <c r="IC28" i="8"/>
  <c r="FV54" i="8"/>
  <c r="KV43" i="8"/>
  <c r="GA37" i="8"/>
  <c r="KO30" i="8"/>
  <c r="JI43" i="8"/>
  <c r="KE73" i="8"/>
  <c r="HH45" i="8"/>
  <c r="GB34" i="8"/>
  <c r="IZ33" i="8"/>
  <c r="JF53" i="8"/>
  <c r="FX54" i="8"/>
  <c r="JD69" i="8"/>
  <c r="KP59" i="8"/>
  <c r="GM73" i="8"/>
  <c r="HT65" i="8"/>
  <c r="KB44" i="8"/>
  <c r="IJ65" i="8"/>
  <c r="IQ49" i="8"/>
  <c r="JG76" i="8"/>
  <c r="IL76" i="8"/>
  <c r="IX75" i="8"/>
  <c r="JG39" i="8"/>
  <c r="JG29" i="8"/>
  <c r="GB72" i="8"/>
  <c r="IJ39" i="8"/>
  <c r="IW53" i="8"/>
  <c r="IL43" i="8"/>
  <c r="IJ72" i="8"/>
  <c r="JC47" i="8"/>
  <c r="B169" i="19"/>
  <c r="C158" i="19"/>
  <c r="IH35" i="8"/>
  <c r="KN56" i="8"/>
  <c r="IL27" i="8"/>
  <c r="C173" i="19"/>
  <c r="JB53" i="8"/>
  <c r="HX66" i="8"/>
  <c r="KC31" i="8"/>
  <c r="FO38" i="8"/>
  <c r="FO27" i="8"/>
  <c r="IT44" i="8"/>
  <c r="JK33" i="8"/>
  <c r="KO33" i="8"/>
  <c r="IH61" i="8"/>
  <c r="KR44" i="8"/>
  <c r="JH43" i="8"/>
  <c r="GB61" i="8"/>
  <c r="HJ52" i="8"/>
  <c r="GI76" i="8"/>
  <c r="GO58" i="8"/>
  <c r="HY42" i="8"/>
  <c r="GC47" i="8"/>
  <c r="JN70" i="8"/>
  <c r="GR60" i="8"/>
  <c r="GX57" i="8"/>
  <c r="IS31" i="8"/>
  <c r="FO33" i="8"/>
  <c r="FN66" i="8"/>
  <c r="JP65" i="8"/>
  <c r="IH65" i="8"/>
  <c r="KF32" i="8"/>
  <c r="IR75" i="8"/>
  <c r="IK55" i="8"/>
  <c r="KO60" i="8"/>
  <c r="KP65" i="8"/>
  <c r="GG34" i="8"/>
  <c r="GI46" i="8"/>
  <c r="GO55" i="8"/>
  <c r="KR45" i="8"/>
  <c r="HL62" i="8"/>
  <c r="FM72" i="8"/>
  <c r="FN71" i="8"/>
  <c r="HW74" i="8"/>
  <c r="IY28" i="8"/>
  <c r="GG48" i="8"/>
  <c r="HW36" i="8"/>
  <c r="KX50" i="8"/>
  <c r="B159" i="19"/>
  <c r="KV44" i="8"/>
  <c r="JY65" i="8"/>
  <c r="C161" i="19"/>
  <c r="IK56" i="8"/>
  <c r="GN38" i="8"/>
  <c r="KS58" i="8"/>
  <c r="HY45" i="8"/>
  <c r="HU29" i="8"/>
  <c r="HM72" i="8"/>
  <c r="KC62" i="8"/>
  <c r="GM42" i="8"/>
  <c r="KQ45" i="8"/>
  <c r="KS59" i="8"/>
  <c r="KB58" i="8"/>
  <c r="KB67" i="8"/>
  <c r="HT37" i="8"/>
  <c r="HO55" i="8"/>
  <c r="FY71" i="8"/>
  <c r="GV54" i="8"/>
  <c r="IN32" i="8"/>
  <c r="HQ72" i="8"/>
  <c r="IB50" i="8"/>
  <c r="KJ64" i="8"/>
  <c r="KK42" i="8"/>
  <c r="JK43" i="8"/>
  <c r="HF31" i="8"/>
  <c r="GZ73" i="8"/>
  <c r="KA32" i="8"/>
  <c r="JL47" i="8"/>
  <c r="IS49" i="8"/>
  <c r="JO44" i="8"/>
  <c r="JM74" i="8"/>
  <c r="GD55" i="8"/>
  <c r="GR31" i="8"/>
  <c r="GH70" i="8"/>
  <c r="JI59" i="8"/>
  <c r="HT35" i="8"/>
  <c r="IB67" i="8"/>
  <c r="IC60" i="8"/>
  <c r="JP49" i="8"/>
  <c r="IQ71" i="8"/>
  <c r="IJ42" i="8"/>
  <c r="IH51" i="8"/>
  <c r="HJ33" i="8"/>
  <c r="B167" i="19"/>
  <c r="JS68" i="8"/>
  <c r="GC45" i="8"/>
  <c r="JX63" i="8"/>
  <c r="GF36" i="8"/>
  <c r="JR69" i="8"/>
  <c r="IF62" i="8"/>
  <c r="HH40" i="8"/>
  <c r="IN42" i="8"/>
  <c r="IO42" i="8"/>
  <c r="JZ72" i="8"/>
  <c r="JI71" i="8"/>
  <c r="JK63" i="8"/>
  <c r="JE66" i="8"/>
  <c r="IQ52" i="8"/>
  <c r="GR43" i="8"/>
  <c r="FN69" i="8"/>
  <c r="KQ30" i="8"/>
  <c r="JH62" i="8"/>
  <c r="GO35" i="8"/>
  <c r="JG61" i="8"/>
  <c r="JO39" i="8"/>
  <c r="GX62" i="8"/>
  <c r="HT74" i="8"/>
  <c r="HG54" i="8"/>
  <c r="IT35" i="8"/>
  <c r="C140" i="19"/>
  <c r="KH54" i="8"/>
  <c r="GY59" i="8"/>
  <c r="KD47" i="8"/>
  <c r="IM68" i="8"/>
  <c r="GC31" i="8"/>
  <c r="KD35" i="8"/>
  <c r="GJ29" i="8"/>
  <c r="KP45" i="8"/>
  <c r="IT49" i="8"/>
  <c r="KB52" i="8"/>
  <c r="HF39" i="8"/>
  <c r="FP47" i="8"/>
  <c r="JM35" i="8"/>
  <c r="IL64" i="8"/>
  <c r="GD54" i="8"/>
  <c r="KV30" i="8"/>
  <c r="IA75" i="8"/>
  <c r="HD57" i="8"/>
  <c r="GT45" i="8"/>
  <c r="HU54" i="8"/>
  <c r="FS62" i="8"/>
  <c r="IE72" i="8"/>
  <c r="HP32" i="8"/>
  <c r="HX35" i="8"/>
  <c r="JY57" i="8"/>
  <c r="HL55" i="8"/>
  <c r="IX47" i="8"/>
  <c r="KO38" i="8"/>
  <c r="JB49" i="8"/>
  <c r="JL32" i="8"/>
  <c r="HL64" i="8"/>
  <c r="C162" i="19"/>
  <c r="IB55" i="8"/>
  <c r="JC66" i="8"/>
  <c r="JB31" i="8"/>
  <c r="HO29" i="8"/>
  <c r="HO65" i="8"/>
  <c r="JV46" i="8"/>
  <c r="GO54" i="8"/>
  <c r="IS73" i="8"/>
  <c r="IR30" i="8"/>
  <c r="GF61" i="8"/>
  <c r="FY67" i="8"/>
  <c r="GU72" i="8"/>
  <c r="IP45" i="8"/>
  <c r="IU61" i="8"/>
  <c r="KA65" i="8"/>
  <c r="GL33" i="8"/>
  <c r="FP60" i="8"/>
  <c r="C169" i="19"/>
  <c r="IZ44" i="8"/>
  <c r="JV42" i="8"/>
  <c r="B183" i="19"/>
  <c r="HC50" i="8"/>
  <c r="HB41" i="8"/>
  <c r="IC69" i="8"/>
  <c r="IV62" i="8"/>
  <c r="FL33" i="8"/>
  <c r="JV55" i="8"/>
  <c r="GF72" i="8"/>
  <c r="IX32" i="8"/>
  <c r="IQ68" i="8"/>
  <c r="GK72" i="8"/>
  <c r="KR28" i="8"/>
  <c r="JS34" i="8"/>
  <c r="GU63" i="8"/>
  <c r="GC32" i="8"/>
  <c r="GD59" i="8"/>
  <c r="KB60" i="8"/>
  <c r="HO33" i="8"/>
  <c r="IT46" i="8"/>
  <c r="IF33" i="8"/>
  <c r="IB70" i="8"/>
  <c r="JK46" i="8"/>
  <c r="IS47" i="8"/>
  <c r="JS29" i="8"/>
  <c r="KM60" i="8"/>
  <c r="KP68" i="8"/>
  <c r="JQ59" i="8"/>
  <c r="KG38" i="8"/>
  <c r="JD60" i="8"/>
  <c r="HR61" i="8"/>
  <c r="IO27" i="8"/>
  <c r="JX67" i="8"/>
  <c r="HL50" i="8"/>
  <c r="GF49" i="8"/>
  <c r="IV52" i="8"/>
  <c r="GN71" i="8"/>
  <c r="GG71" i="8"/>
  <c r="FW54" i="8"/>
  <c r="GM46" i="8"/>
  <c r="KL68" i="8"/>
  <c r="KD39" i="8"/>
  <c r="HG37" i="8"/>
  <c r="KW46" i="8"/>
  <c r="GI42" i="8"/>
  <c r="HJ59" i="8"/>
  <c r="IG72" i="8"/>
  <c r="HB39" i="8"/>
  <c r="KT39" i="8"/>
  <c r="IC65" i="8"/>
  <c r="II62" i="8"/>
  <c r="FP64" i="8"/>
  <c r="JN50" i="8"/>
  <c r="HF57" i="8"/>
  <c r="IB47" i="8"/>
  <c r="KO65" i="8"/>
  <c r="IE50" i="8"/>
  <c r="JA67" i="8"/>
  <c r="JW33" i="8"/>
  <c r="JV48" i="8"/>
  <c r="HT68" i="8"/>
  <c r="JV40" i="8"/>
  <c r="IB52" i="8"/>
  <c r="IN47" i="8"/>
  <c r="GV63" i="8"/>
  <c r="B174" i="19"/>
  <c r="IF29" i="8"/>
  <c r="JN56" i="8"/>
  <c r="JV57" i="8"/>
  <c r="JS28" i="8"/>
  <c r="JE45" i="8"/>
  <c r="HS74" i="8"/>
  <c r="IE34" i="8"/>
  <c r="KR67" i="8"/>
  <c r="HO68" i="8"/>
  <c r="C153" i="19"/>
  <c r="IQ47" i="8"/>
  <c r="GN56" i="8"/>
  <c r="GG44" i="8"/>
  <c r="GO76" i="8"/>
  <c r="GP66" i="8"/>
  <c r="IJ27" i="8"/>
  <c r="B140" i="19"/>
  <c r="HD33" i="8"/>
  <c r="JC54" i="8"/>
  <c r="GH43" i="8"/>
  <c r="FR45" i="8"/>
  <c r="GQ75" i="8"/>
  <c r="JQ68" i="8"/>
  <c r="FV50" i="8"/>
  <c r="FN44" i="8"/>
  <c r="FV55" i="8"/>
  <c r="IX49" i="8"/>
  <c r="JE72" i="8"/>
  <c r="FV38" i="8"/>
  <c r="GY72" i="8"/>
  <c r="IE48" i="8"/>
  <c r="KH74" i="8"/>
  <c r="GI47" i="8"/>
  <c r="FW66" i="8"/>
  <c r="I51" i="19"/>
  <c r="KF39" i="8"/>
  <c r="JF62" i="8"/>
  <c r="JS71" i="8"/>
  <c r="II32" i="8"/>
  <c r="IL45" i="8"/>
  <c r="KR61" i="8"/>
  <c r="B184" i="19"/>
  <c r="FZ46" i="8"/>
  <c r="JU66" i="8"/>
  <c r="GN70" i="8"/>
  <c r="JH33" i="8"/>
  <c r="HN73" i="8"/>
  <c r="FT42" i="8"/>
  <c r="HC38" i="8"/>
  <c r="FZ71" i="8"/>
  <c r="FM65" i="8"/>
  <c r="IL72" i="8"/>
  <c r="HU35" i="8"/>
  <c r="GC28" i="8"/>
  <c r="KJ58" i="8"/>
  <c r="IY29" i="8"/>
  <c r="GE49" i="8"/>
  <c r="JB51" i="8"/>
  <c r="IK29" i="8"/>
  <c r="C175" i="19"/>
  <c r="GX61" i="8"/>
  <c r="HB61" i="8"/>
  <c r="HA67" i="8"/>
  <c r="JI60" i="8"/>
  <c r="JZ32" i="8"/>
  <c r="KU30" i="8"/>
  <c r="C127" i="19"/>
  <c r="GD74" i="8"/>
  <c r="IX58" i="8"/>
  <c r="KE48" i="8"/>
  <c r="GD51" i="8"/>
  <c r="KL71" i="8"/>
  <c r="GS43" i="8"/>
  <c r="JL76" i="8"/>
  <c r="GL55" i="8"/>
  <c r="IG30" i="8"/>
  <c r="KO68" i="8"/>
  <c r="IT29" i="8"/>
  <c r="JK47" i="8"/>
  <c r="C163" i="19"/>
  <c r="JO47" i="8"/>
  <c r="HM71" i="8"/>
  <c r="FO68" i="8"/>
  <c r="KQ69" i="8"/>
  <c r="HH56" i="8"/>
  <c r="FO29" i="8"/>
  <c r="HV37" i="8"/>
  <c r="IM47" i="8"/>
  <c r="JG30" i="8"/>
  <c r="JT34" i="8"/>
  <c r="GI72" i="8"/>
  <c r="HS28" i="8"/>
  <c r="GX58" i="8"/>
  <c r="HO60" i="8"/>
  <c r="GE69" i="8"/>
  <c r="IE56" i="8"/>
  <c r="X54" i="19"/>
  <c r="KB43" i="8"/>
  <c r="IU62" i="8"/>
  <c r="IG35" i="8"/>
  <c r="JG63" i="8"/>
  <c r="GG33" i="8"/>
  <c r="KC44" i="8"/>
  <c r="KE52" i="8"/>
  <c r="IW74" i="8"/>
  <c r="GZ55" i="8"/>
  <c r="GG54" i="8"/>
  <c r="KN42" i="8"/>
  <c r="IX51" i="8"/>
  <c r="IK62" i="8"/>
  <c r="IT61" i="8"/>
  <c r="KD56" i="8"/>
  <c r="IL44" i="8"/>
  <c r="IE69" i="8"/>
  <c r="FO44" i="8"/>
  <c r="JC31" i="8"/>
  <c r="JQ71" i="8"/>
  <c r="IO60" i="8"/>
  <c r="JY34" i="8"/>
  <c r="IM70" i="8"/>
  <c r="HU52" i="8"/>
  <c r="GR42" i="8"/>
  <c r="HB48" i="8"/>
  <c r="GO63" i="8"/>
  <c r="FW76" i="8"/>
  <c r="GB75" i="8"/>
  <c r="JZ71" i="8"/>
  <c r="GO40" i="8"/>
  <c r="IJ49" i="8"/>
  <c r="GM48" i="8"/>
  <c r="FU37" i="8"/>
  <c r="JR76" i="8"/>
  <c r="HE67" i="8"/>
  <c r="IF48" i="8"/>
  <c r="JR37" i="8"/>
  <c r="GN57" i="8"/>
  <c r="JD63" i="8"/>
  <c r="GL64" i="8"/>
  <c r="GQ72" i="8"/>
  <c r="HT46" i="8"/>
  <c r="FT39" i="8"/>
  <c r="IA64" i="8"/>
  <c r="GT38" i="8"/>
  <c r="KW72" i="8"/>
  <c r="IG37" i="8"/>
  <c r="HJ42" i="8"/>
  <c r="KN66" i="8"/>
  <c r="IO66" i="8"/>
  <c r="IU43" i="8"/>
  <c r="IO33" i="8"/>
  <c r="IJ35" i="8"/>
  <c r="JF49" i="8"/>
  <c r="KS28" i="8"/>
  <c r="GK32" i="8"/>
  <c r="KF46" i="8"/>
  <c r="HH55" i="8"/>
  <c r="IK58" i="8"/>
  <c r="JE31" i="8"/>
  <c r="P51" i="19"/>
  <c r="IV69" i="8"/>
  <c r="HD61" i="8"/>
  <c r="IO61" i="8"/>
  <c r="JA37" i="8"/>
  <c r="JP39" i="8"/>
  <c r="GS48" i="8"/>
  <c r="KB29" i="8"/>
  <c r="JN73" i="8"/>
  <c r="FZ38" i="8"/>
  <c r="GH76" i="8"/>
  <c r="JX44" i="8"/>
  <c r="IY49" i="8"/>
  <c r="JN69" i="8"/>
  <c r="E51" i="19"/>
  <c r="HH62" i="8"/>
  <c r="GL38" i="8"/>
  <c r="GQ45" i="8"/>
  <c r="KC72" i="8"/>
  <c r="FS46" i="8"/>
  <c r="JW69" i="8"/>
  <c r="IY38" i="8"/>
  <c r="GL76" i="8"/>
  <c r="FR72" i="8"/>
  <c r="IH60" i="8"/>
  <c r="GV57" i="8"/>
  <c r="HX65" i="8"/>
  <c r="B131" i="19"/>
  <c r="GI71" i="8"/>
  <c r="HD56" i="8"/>
  <c r="JG28" i="8"/>
  <c r="FL61" i="8"/>
  <c r="IA45" i="8"/>
  <c r="IW70" i="8"/>
  <c r="FN62" i="8"/>
  <c r="IS27" i="8"/>
  <c r="C122" i="19"/>
  <c r="FK33" i="8"/>
  <c r="GW41" i="8"/>
  <c r="GZ75" i="8"/>
  <c r="HF53" i="8"/>
  <c r="KG45" i="8"/>
  <c r="HB47" i="8"/>
  <c r="GB63" i="8"/>
  <c r="FQ29" i="8"/>
  <c r="HP51" i="8"/>
  <c r="HA57" i="8"/>
  <c r="HR44" i="8"/>
  <c r="HV35" i="8"/>
  <c r="KA72" i="8"/>
  <c r="JO48" i="8"/>
  <c r="IH48" i="8"/>
  <c r="GH71" i="8"/>
  <c r="GJ72" i="8"/>
  <c r="JE41" i="8"/>
  <c r="HB59" i="8"/>
  <c r="FN57" i="8"/>
  <c r="JP57" i="8"/>
  <c r="FR75" i="8"/>
  <c r="JD68" i="8"/>
  <c r="KR68" i="8"/>
  <c r="JU76" i="8"/>
  <c r="HW35" i="8"/>
  <c r="FU61" i="8"/>
  <c r="HX45" i="8"/>
  <c r="B15" i="19"/>
  <c r="JS54" i="8"/>
  <c r="JG27" i="8"/>
  <c r="KI58" i="8"/>
  <c r="FT67" i="8"/>
  <c r="B135" i="19"/>
  <c r="FK40" i="8"/>
  <c r="HX39" i="8"/>
  <c r="JP41" i="8"/>
  <c r="JC27" i="8"/>
  <c r="B144" i="19"/>
  <c r="KJ30" i="8"/>
  <c r="GR32" i="8"/>
  <c r="JT74" i="8"/>
  <c r="KW71" i="8"/>
  <c r="GL49" i="8"/>
  <c r="IQ57" i="8"/>
  <c r="JD33" i="8"/>
  <c r="ID50" i="8"/>
  <c r="KX53" i="8"/>
  <c r="KA46" i="8"/>
  <c r="KG47" i="8"/>
  <c r="JE65" i="8"/>
  <c r="KB61" i="8"/>
  <c r="HQ46" i="8"/>
  <c r="JX66" i="8"/>
  <c r="B179" i="19"/>
  <c r="B182" i="19"/>
  <c r="JD49" i="8"/>
  <c r="IF35" i="8"/>
  <c r="JY67" i="8"/>
  <c r="KT37" i="8"/>
  <c r="FS59" i="8"/>
  <c r="KN47" i="8"/>
  <c r="KK34" i="8"/>
  <c r="HR73" i="8"/>
  <c r="GZ66" i="8"/>
  <c r="IU74" i="8"/>
  <c r="JS59" i="8"/>
  <c r="KI60" i="8"/>
  <c r="KV57" i="8"/>
  <c r="GD67" i="8"/>
  <c r="HO70" i="8"/>
  <c r="IS51" i="8"/>
  <c r="JF35" i="8"/>
  <c r="HK66" i="8"/>
  <c r="IL70" i="8"/>
  <c r="ID41" i="8"/>
  <c r="FY69" i="8"/>
  <c r="IG29" i="8"/>
  <c r="JU58" i="8"/>
  <c r="GH51" i="8"/>
  <c r="GZ72" i="8"/>
  <c r="HN70" i="8"/>
  <c r="HM39" i="8"/>
  <c r="GQ56" i="8"/>
  <c r="JN27" i="8"/>
  <c r="IK70" i="8"/>
  <c r="JY29" i="8"/>
  <c r="IM67" i="8"/>
  <c r="JY31" i="8"/>
  <c r="HG41" i="8"/>
  <c r="KD38" i="8"/>
  <c r="AB51" i="19"/>
  <c r="J310" i="21" l="1"/>
  <c r="J228" i="21" s="1"/>
  <c r="BY349" i="19"/>
  <c r="BY367" i="19" s="1"/>
  <c r="J659" i="20"/>
  <c r="J337" i="20" s="1"/>
  <c r="J223" i="20" s="1"/>
  <c r="LA69" i="8"/>
  <c r="FG69" i="8" s="1"/>
  <c r="W169" i="19"/>
  <c r="AS169" i="19"/>
  <c r="G169" i="19"/>
  <c r="H169" i="19"/>
  <c r="J169" i="19"/>
  <c r="L169" i="19"/>
  <c r="U169" i="19"/>
  <c r="O169" i="19"/>
  <c r="I169" i="19"/>
  <c r="AC169" i="19"/>
  <c r="AR169" i="19"/>
  <c r="Y169" i="19"/>
  <c r="R169" i="19"/>
  <c r="AB169" i="19"/>
  <c r="Z169" i="19"/>
  <c r="Q169" i="19"/>
  <c r="T169" i="19"/>
  <c r="AI169" i="19" s="1"/>
  <c r="AL169" i="19" s="1"/>
  <c r="D169" i="19"/>
  <c r="AD169" i="19"/>
  <c r="AG169" i="19"/>
  <c r="S169" i="19"/>
  <c r="N169" i="19"/>
  <c r="AA169" i="19"/>
  <c r="AE169" i="19"/>
  <c r="X169" i="19"/>
  <c r="K169" i="19"/>
  <c r="AF169" i="19"/>
  <c r="E169" i="19"/>
  <c r="F169" i="19"/>
  <c r="M169" i="19"/>
  <c r="V169" i="19"/>
  <c r="AQ169" i="19"/>
  <c r="LA60" i="8"/>
  <c r="FI60" i="8" s="1"/>
  <c r="LA54" i="8"/>
  <c r="FG54" i="8" s="1"/>
  <c r="FC54" i="8" s="1"/>
  <c r="LA39" i="8"/>
  <c r="FG39" i="8" s="1"/>
  <c r="DQ105" i="8" s="1"/>
  <c r="AF161" i="19"/>
  <c r="U161" i="19"/>
  <c r="AC161" i="19"/>
  <c r="AS161" i="19"/>
  <c r="Z161" i="19"/>
  <c r="N161" i="19"/>
  <c r="Q161" i="19"/>
  <c r="K161" i="19"/>
  <c r="AA161" i="19"/>
  <c r="AR161" i="19"/>
  <c r="E161" i="19"/>
  <c r="AG161" i="19"/>
  <c r="AD161" i="19"/>
  <c r="W161" i="19"/>
  <c r="M161" i="19"/>
  <c r="R161" i="19"/>
  <c r="AB161" i="19"/>
  <c r="G161" i="19"/>
  <c r="H161" i="19"/>
  <c r="V161" i="19"/>
  <c r="L161" i="19"/>
  <c r="T161" i="19"/>
  <c r="AI161" i="19" s="1"/>
  <c r="AO161" i="19" s="1"/>
  <c r="D161" i="19"/>
  <c r="F161" i="19"/>
  <c r="I161" i="19"/>
  <c r="O161" i="19"/>
  <c r="J161" i="19"/>
  <c r="S161" i="19"/>
  <c r="AE161" i="19"/>
  <c r="Y161" i="19"/>
  <c r="AQ161" i="19"/>
  <c r="X161" i="19"/>
  <c r="LA34" i="8"/>
  <c r="FI34" i="8" s="1"/>
  <c r="LA44" i="8"/>
  <c r="FG44" i="8" s="1"/>
  <c r="DQ110" i="8" s="1"/>
  <c r="W175" i="19"/>
  <c r="AB175" i="19"/>
  <c r="Y175" i="19"/>
  <c r="O175" i="19"/>
  <c r="U175" i="19"/>
  <c r="AC175" i="19"/>
  <c r="L175" i="19"/>
  <c r="AS175" i="19"/>
  <c r="M175" i="19"/>
  <c r="AG175" i="19"/>
  <c r="D175" i="19"/>
  <c r="AQ175" i="19"/>
  <c r="AD175" i="19"/>
  <c r="F175" i="19"/>
  <c r="H175" i="19"/>
  <c r="AF175" i="19"/>
  <c r="AA175" i="19"/>
  <c r="Z175" i="19"/>
  <c r="R175" i="19"/>
  <c r="G175" i="19"/>
  <c r="V175" i="19"/>
  <c r="I175" i="19"/>
  <c r="AE175" i="19"/>
  <c r="N175" i="19"/>
  <c r="J175" i="19"/>
  <c r="X175" i="19"/>
  <c r="T175" i="19"/>
  <c r="AI175" i="19" s="1"/>
  <c r="AL175" i="19" s="1"/>
  <c r="AR175" i="19"/>
  <c r="Q175" i="19"/>
  <c r="S175" i="19"/>
  <c r="K175" i="19"/>
  <c r="E175" i="19"/>
  <c r="LA45" i="8"/>
  <c r="FG45" i="8" s="1"/>
  <c r="DQ111" i="8" s="1"/>
  <c r="Z162" i="19"/>
  <c r="Y162" i="19"/>
  <c r="AS162" i="19"/>
  <c r="Q162" i="19"/>
  <c r="T162" i="19"/>
  <c r="AI162" i="19" s="1"/>
  <c r="AK162" i="19" s="1"/>
  <c r="K162" i="19"/>
  <c r="R162" i="19"/>
  <c r="G162" i="19"/>
  <c r="I162" i="19"/>
  <c r="AC162" i="19"/>
  <c r="AR162" i="19"/>
  <c r="O162" i="19"/>
  <c r="AG162" i="19"/>
  <c r="AE162" i="19"/>
  <c r="W162" i="19"/>
  <c r="F162" i="19"/>
  <c r="U162" i="19"/>
  <c r="AB162" i="19"/>
  <c r="H162" i="19"/>
  <c r="X162" i="19"/>
  <c r="AQ162" i="19"/>
  <c r="J162" i="19"/>
  <c r="V162" i="19"/>
  <c r="N162" i="19"/>
  <c r="L162" i="19"/>
  <c r="D162" i="19"/>
  <c r="S162" i="19"/>
  <c r="AF162" i="19"/>
  <c r="E162" i="19"/>
  <c r="AD162" i="19"/>
  <c r="M162" i="19"/>
  <c r="AA162" i="19"/>
  <c r="LA71" i="8"/>
  <c r="FI71" i="8" s="1"/>
  <c r="LA72" i="8"/>
  <c r="FI72" i="8" s="1"/>
  <c r="H137" i="19"/>
  <c r="AR137" i="19"/>
  <c r="AD137" i="19"/>
  <c r="AQ137" i="19"/>
  <c r="V137" i="19"/>
  <c r="AA137" i="19"/>
  <c r="K137" i="19"/>
  <c r="AG137" i="19"/>
  <c r="M137" i="19"/>
  <c r="Z137" i="19"/>
  <c r="T137" i="19"/>
  <c r="AI137" i="19" s="1"/>
  <c r="AL137" i="19" s="1"/>
  <c r="E137" i="19"/>
  <c r="AB137" i="19"/>
  <c r="W137" i="19"/>
  <c r="R137" i="19"/>
  <c r="AE137" i="19"/>
  <c r="AS137" i="19"/>
  <c r="Y137" i="19"/>
  <c r="AF137" i="19"/>
  <c r="J137" i="19"/>
  <c r="U137" i="19"/>
  <c r="X137" i="19"/>
  <c r="I137" i="19"/>
  <c r="D137" i="19"/>
  <c r="N137" i="19"/>
  <c r="O137" i="19"/>
  <c r="S137" i="19"/>
  <c r="L137" i="19"/>
  <c r="F137" i="19"/>
  <c r="AC137" i="19"/>
  <c r="Q137" i="19"/>
  <c r="G137" i="19"/>
  <c r="LA40" i="8"/>
  <c r="FG40" i="8" s="1"/>
  <c r="FC40" i="8" s="1"/>
  <c r="AF153" i="19"/>
  <c r="T153" i="19"/>
  <c r="AI153" i="19" s="1"/>
  <c r="AL153" i="19" s="1"/>
  <c r="AB153" i="19"/>
  <c r="AA153" i="19"/>
  <c r="Z153" i="19"/>
  <c r="Y153" i="19"/>
  <c r="E153" i="19"/>
  <c r="Q153" i="19"/>
  <c r="AG153" i="19"/>
  <c r="V153" i="19"/>
  <c r="AD153" i="19"/>
  <c r="I153" i="19"/>
  <c r="D153" i="19"/>
  <c r="M153" i="19"/>
  <c r="X153" i="19"/>
  <c r="AE153" i="19"/>
  <c r="AC153" i="19"/>
  <c r="AQ153" i="19"/>
  <c r="L153" i="19"/>
  <c r="F153" i="19"/>
  <c r="U153" i="19"/>
  <c r="K153" i="19"/>
  <c r="AR153" i="19"/>
  <c r="J153" i="19"/>
  <c r="S153" i="19"/>
  <c r="O153" i="19"/>
  <c r="H153" i="19"/>
  <c r="N153" i="19"/>
  <c r="W153" i="19"/>
  <c r="G153" i="19"/>
  <c r="AS153" i="19"/>
  <c r="R153" i="19"/>
  <c r="LA67" i="8"/>
  <c r="FG67" i="8" s="1"/>
  <c r="DQ133" i="8" s="1"/>
  <c r="AC53" i="8" s="1"/>
  <c r="LA52" i="8"/>
  <c r="FI52" i="8" s="1"/>
  <c r="B358" i="19"/>
  <c r="S51" i="19"/>
  <c r="AE179" i="19"/>
  <c r="Y179" i="19"/>
  <c r="Q179" i="19"/>
  <c r="O179" i="19"/>
  <c r="T179" i="19"/>
  <c r="AI179" i="19" s="1"/>
  <c r="AM179" i="19" s="1"/>
  <c r="H179" i="19"/>
  <c r="V179" i="19"/>
  <c r="K179" i="19"/>
  <c r="N179" i="19"/>
  <c r="I179" i="19"/>
  <c r="AQ179" i="19"/>
  <c r="AR179" i="19"/>
  <c r="AA179" i="19"/>
  <c r="Z179" i="19"/>
  <c r="X179" i="19"/>
  <c r="S179" i="19"/>
  <c r="R179" i="19"/>
  <c r="AD179" i="19"/>
  <c r="AB179" i="19"/>
  <c r="AS179" i="19"/>
  <c r="AF179" i="19"/>
  <c r="D179" i="19"/>
  <c r="F179" i="19"/>
  <c r="W179" i="19"/>
  <c r="L179" i="19"/>
  <c r="J179" i="19"/>
  <c r="M179" i="19"/>
  <c r="AC179" i="19"/>
  <c r="U179" i="19"/>
  <c r="G179" i="19"/>
  <c r="E179" i="19"/>
  <c r="AG179" i="19"/>
  <c r="LA57" i="8"/>
  <c r="FG57" i="8" s="1"/>
  <c r="DQ123" i="8" s="1"/>
  <c r="S165" i="19"/>
  <c r="AE165" i="19"/>
  <c r="L165" i="19"/>
  <c r="AF165" i="19"/>
  <c r="AD165" i="19"/>
  <c r="H165" i="19"/>
  <c r="AA165" i="19"/>
  <c r="T165" i="19"/>
  <c r="AI165" i="19" s="1"/>
  <c r="AL165" i="19" s="1"/>
  <c r="AB165" i="19"/>
  <c r="AR165" i="19"/>
  <c r="AS165" i="19"/>
  <c r="V165" i="19"/>
  <c r="U165" i="19"/>
  <c r="M165" i="19"/>
  <c r="O165" i="19"/>
  <c r="W165" i="19"/>
  <c r="I165" i="19"/>
  <c r="K165" i="19"/>
  <c r="N165" i="19"/>
  <c r="Q165" i="19"/>
  <c r="F165" i="19"/>
  <c r="D165" i="19"/>
  <c r="AQ165" i="19"/>
  <c r="Z165" i="19"/>
  <c r="AC165" i="19"/>
  <c r="AG165" i="19"/>
  <c r="J165" i="19"/>
  <c r="X165" i="19"/>
  <c r="R165" i="19"/>
  <c r="E165" i="19"/>
  <c r="Y165" i="19"/>
  <c r="G165" i="19"/>
  <c r="LA31" i="8"/>
  <c r="FI31" i="8" s="1"/>
  <c r="LA66" i="8"/>
  <c r="FG66" i="8" s="1"/>
  <c r="AS140" i="19"/>
  <c r="X140" i="19"/>
  <c r="AC140" i="19"/>
  <c r="L140" i="19"/>
  <c r="Q140" i="19"/>
  <c r="G140" i="19"/>
  <c r="AR140" i="19"/>
  <c r="AF140" i="19"/>
  <c r="J140" i="19"/>
  <c r="U140" i="19"/>
  <c r="D140" i="19"/>
  <c r="AA140" i="19"/>
  <c r="W140" i="19"/>
  <c r="I140" i="19"/>
  <c r="AQ140" i="19"/>
  <c r="Y140" i="19"/>
  <c r="R140" i="19"/>
  <c r="AE140" i="19"/>
  <c r="S140" i="19"/>
  <c r="F140" i="19"/>
  <c r="AB140" i="19"/>
  <c r="O140" i="19"/>
  <c r="V140" i="19"/>
  <c r="N140" i="19"/>
  <c r="Z140" i="19"/>
  <c r="H140" i="19"/>
  <c r="E140" i="19"/>
  <c r="M140" i="19"/>
  <c r="K140" i="19"/>
  <c r="AG140" i="19"/>
  <c r="T140" i="19"/>
  <c r="AI140" i="19" s="1"/>
  <c r="AL140" i="19" s="1"/>
  <c r="AD140" i="19"/>
  <c r="R54" i="19"/>
  <c r="LA38" i="8"/>
  <c r="FG38" i="8" s="1"/>
  <c r="DQ104" i="8" s="1"/>
  <c r="LA65" i="8"/>
  <c r="FI65" i="8" s="1"/>
  <c r="AG173" i="19"/>
  <c r="G173" i="19"/>
  <c r="V173" i="19"/>
  <c r="AC173" i="19"/>
  <c r="AB173" i="19"/>
  <c r="AS173" i="19"/>
  <c r="AR173" i="19"/>
  <c r="R173" i="19"/>
  <c r="W173" i="19"/>
  <c r="J173" i="19"/>
  <c r="AD173" i="19"/>
  <c r="D173" i="19"/>
  <c r="AQ173" i="19"/>
  <c r="N173" i="19"/>
  <c r="M173" i="19"/>
  <c r="AA173" i="19"/>
  <c r="AF173" i="19"/>
  <c r="T173" i="19"/>
  <c r="AI173" i="19" s="1"/>
  <c r="AO173" i="19" s="1"/>
  <c r="Z173" i="19"/>
  <c r="H173" i="19"/>
  <c r="K173" i="19"/>
  <c r="I173" i="19"/>
  <c r="AE173" i="19"/>
  <c r="S173" i="19"/>
  <c r="U173" i="19"/>
  <c r="F173" i="19"/>
  <c r="Y173" i="19"/>
  <c r="E173" i="19"/>
  <c r="Q173" i="19"/>
  <c r="O173" i="19"/>
  <c r="X173" i="19"/>
  <c r="L173" i="19"/>
  <c r="AE158" i="19"/>
  <c r="O158" i="19"/>
  <c r="AF158" i="19"/>
  <c r="E158" i="19"/>
  <c r="F158" i="19"/>
  <c r="AR158" i="19"/>
  <c r="U158" i="19"/>
  <c r="AB158" i="19"/>
  <c r="Y158" i="19"/>
  <c r="N158" i="19"/>
  <c r="S158" i="19"/>
  <c r="M158" i="19"/>
  <c r="K158" i="19"/>
  <c r="G158" i="19"/>
  <c r="R158" i="19"/>
  <c r="AA158" i="19"/>
  <c r="AQ158" i="19"/>
  <c r="AS158" i="19"/>
  <c r="V158" i="19"/>
  <c r="D158" i="19"/>
  <c r="X158" i="19"/>
  <c r="AG158" i="19"/>
  <c r="H158" i="19"/>
  <c r="AC158" i="19"/>
  <c r="Q158" i="19"/>
  <c r="Z158" i="19"/>
  <c r="T158" i="19"/>
  <c r="AI158" i="19" s="1"/>
  <c r="AK158" i="19" s="1"/>
  <c r="J158" i="19"/>
  <c r="AD158" i="19"/>
  <c r="L158" i="19"/>
  <c r="W158" i="19"/>
  <c r="I158" i="19"/>
  <c r="LA76" i="8"/>
  <c r="FI76" i="8" s="1"/>
  <c r="LA33" i="8"/>
  <c r="FG33" i="8" s="1"/>
  <c r="DQ99" i="8" s="1"/>
  <c r="AC37" i="8" s="1"/>
  <c r="U122" i="19"/>
  <c r="E122" i="19"/>
  <c r="F122" i="19"/>
  <c r="D122" i="19"/>
  <c r="S122" i="19"/>
  <c r="AS122" i="19"/>
  <c r="J122" i="19"/>
  <c r="AC122" i="19"/>
  <c r="K122" i="19"/>
  <c r="T122" i="19"/>
  <c r="Z122" i="19"/>
  <c r="Q122" i="19"/>
  <c r="G122" i="19"/>
  <c r="M122" i="19"/>
  <c r="W122" i="19"/>
  <c r="AR122" i="19"/>
  <c r="R122" i="19"/>
  <c r="AF122" i="19"/>
  <c r="AE122" i="19"/>
  <c r="N122" i="19"/>
  <c r="AB122" i="19"/>
  <c r="AD122" i="19"/>
  <c r="H122" i="19"/>
  <c r="X122" i="19"/>
  <c r="L122" i="19"/>
  <c r="I122" i="19"/>
  <c r="AQ122" i="19"/>
  <c r="V122" i="19"/>
  <c r="AA122" i="19"/>
  <c r="Y122" i="19"/>
  <c r="O122" i="19"/>
  <c r="AG122" i="19"/>
  <c r="LA62" i="8"/>
  <c r="FI62" i="8" s="1"/>
  <c r="LA68" i="8"/>
  <c r="FG68" i="8" s="1"/>
  <c r="DQ134" i="8" s="1"/>
  <c r="AC54" i="8" s="1"/>
  <c r="LA73" i="8"/>
  <c r="FI73" i="8" s="1"/>
  <c r="LA53" i="8"/>
  <c r="FI53" i="8" s="1"/>
  <c r="AA168" i="19"/>
  <c r="R168" i="19"/>
  <c r="Z168" i="19"/>
  <c r="U168" i="19"/>
  <c r="AQ168" i="19"/>
  <c r="S168" i="19"/>
  <c r="AE168" i="19"/>
  <c r="AS168" i="19"/>
  <c r="E168" i="19"/>
  <c r="D168" i="19"/>
  <c r="G168" i="19"/>
  <c r="AB168" i="19"/>
  <c r="F168" i="19"/>
  <c r="I168" i="19"/>
  <c r="V168" i="19"/>
  <c r="AC168" i="19"/>
  <c r="AR168" i="19"/>
  <c r="W168" i="19"/>
  <c r="AG168" i="19"/>
  <c r="AF168" i="19"/>
  <c r="J168" i="19"/>
  <c r="M168" i="19"/>
  <c r="L168" i="19"/>
  <c r="O168" i="19"/>
  <c r="Y168" i="19"/>
  <c r="K168" i="19"/>
  <c r="Q168" i="19"/>
  <c r="AD168" i="19"/>
  <c r="X168" i="19"/>
  <c r="N168" i="19"/>
  <c r="H168" i="19"/>
  <c r="T168" i="19"/>
  <c r="AI168" i="19" s="1"/>
  <c r="AM168" i="19" s="1"/>
  <c r="LA61" i="8"/>
  <c r="FG61" i="8" s="1"/>
  <c r="DQ127" i="8" s="1"/>
  <c r="D163" i="19"/>
  <c r="K163" i="19"/>
  <c r="AB163" i="19"/>
  <c r="S163" i="19"/>
  <c r="AS163" i="19"/>
  <c r="AD163" i="19"/>
  <c r="T163" i="19"/>
  <c r="AI163" i="19" s="1"/>
  <c r="AP163" i="19" s="1"/>
  <c r="Z163" i="19"/>
  <c r="G163" i="19"/>
  <c r="E163" i="19"/>
  <c r="W163" i="19"/>
  <c r="O163" i="19"/>
  <c r="L163" i="19"/>
  <c r="Q163" i="19"/>
  <c r="AC163" i="19"/>
  <c r="J163" i="19"/>
  <c r="R163" i="19"/>
  <c r="F163" i="19"/>
  <c r="H163" i="19"/>
  <c r="I163" i="19"/>
  <c r="X163" i="19"/>
  <c r="AR163" i="19"/>
  <c r="AF163" i="19"/>
  <c r="V163" i="19"/>
  <c r="U163" i="19"/>
  <c r="Y163" i="19"/>
  <c r="AE163" i="19"/>
  <c r="M163" i="19"/>
  <c r="AG163" i="19"/>
  <c r="AQ163" i="19"/>
  <c r="N163" i="19"/>
  <c r="AA163" i="19"/>
  <c r="S177" i="19"/>
  <c r="O177" i="19"/>
  <c r="AA177" i="19"/>
  <c r="G177" i="19"/>
  <c r="Q177" i="19"/>
  <c r="N177" i="19"/>
  <c r="AC177" i="19"/>
  <c r="AE177" i="19"/>
  <c r="U177" i="19"/>
  <c r="AS177" i="19"/>
  <c r="V177" i="19"/>
  <c r="Z177" i="19"/>
  <c r="W177" i="19"/>
  <c r="E177" i="19"/>
  <c r="Y177" i="19"/>
  <c r="X177" i="19"/>
  <c r="D177" i="19"/>
  <c r="J177" i="19"/>
  <c r="T177" i="19"/>
  <c r="AI177" i="19" s="1"/>
  <c r="AK177" i="19" s="1"/>
  <c r="AF177" i="19"/>
  <c r="F177" i="19"/>
  <c r="AG177" i="19"/>
  <c r="I177" i="19"/>
  <c r="AR177" i="19"/>
  <c r="L177" i="19"/>
  <c r="K177" i="19"/>
  <c r="AD177" i="19"/>
  <c r="AB177" i="19"/>
  <c r="R177" i="19"/>
  <c r="M177" i="19"/>
  <c r="H177" i="19"/>
  <c r="AQ177" i="19"/>
  <c r="LA41" i="8"/>
  <c r="FG41" i="8" s="1"/>
  <c r="DQ107" i="8" s="1"/>
  <c r="AC180" i="19"/>
  <c r="AG180" i="19"/>
  <c r="AD180" i="19"/>
  <c r="AF180" i="19"/>
  <c r="W180" i="19"/>
  <c r="AE180" i="19"/>
  <c r="M180" i="19"/>
  <c r="Y180" i="19"/>
  <c r="Z180" i="19"/>
  <c r="H180" i="19"/>
  <c r="D180" i="19"/>
  <c r="V180" i="19"/>
  <c r="R180" i="19"/>
  <c r="L180" i="19"/>
  <c r="N180" i="19"/>
  <c r="F180" i="19"/>
  <c r="U180" i="19"/>
  <c r="I180" i="19"/>
  <c r="AS180" i="19"/>
  <c r="Q180" i="19"/>
  <c r="T180" i="19"/>
  <c r="AI180" i="19" s="1"/>
  <c r="AK180" i="19" s="1"/>
  <c r="AR180" i="19"/>
  <c r="AA180" i="19"/>
  <c r="G180" i="19"/>
  <c r="O180" i="19"/>
  <c r="X180" i="19"/>
  <c r="AB180" i="19"/>
  <c r="E180" i="19"/>
  <c r="AQ180" i="19"/>
  <c r="S180" i="19"/>
  <c r="J180" i="19"/>
  <c r="K180" i="19"/>
  <c r="W178" i="19"/>
  <c r="F178" i="19"/>
  <c r="S178" i="19"/>
  <c r="J178" i="19"/>
  <c r="AG178" i="19"/>
  <c r="Y178" i="19"/>
  <c r="Q178" i="19"/>
  <c r="L178" i="19"/>
  <c r="E178" i="19"/>
  <c r="AF178" i="19"/>
  <c r="U178" i="19"/>
  <c r="Z178" i="19"/>
  <c r="G178" i="19"/>
  <c r="D178" i="19"/>
  <c r="AE178" i="19"/>
  <c r="T178" i="19"/>
  <c r="AI178" i="19" s="1"/>
  <c r="AP178" i="19" s="1"/>
  <c r="AC178" i="19"/>
  <c r="K178" i="19"/>
  <c r="AB178" i="19"/>
  <c r="N178" i="19"/>
  <c r="H178" i="19"/>
  <c r="AA178" i="19"/>
  <c r="V178" i="19"/>
  <c r="AQ178" i="19"/>
  <c r="O178" i="19"/>
  <c r="X178" i="19"/>
  <c r="AR178" i="19"/>
  <c r="R178" i="19"/>
  <c r="AD178" i="19"/>
  <c r="I178" i="19"/>
  <c r="AS178" i="19"/>
  <c r="M178" i="19"/>
  <c r="LA63" i="8"/>
  <c r="FG63" i="8" s="1"/>
  <c r="DQ129" i="8" s="1"/>
  <c r="AF174" i="19"/>
  <c r="Q174" i="19"/>
  <c r="Z174" i="19"/>
  <c r="AA174" i="19"/>
  <c r="J174" i="19"/>
  <c r="AG174" i="19"/>
  <c r="Y174" i="19"/>
  <c r="K174" i="19"/>
  <c r="L174" i="19"/>
  <c r="O174" i="19"/>
  <c r="W174" i="19"/>
  <c r="AC174" i="19"/>
  <c r="G174" i="19"/>
  <c r="AS174" i="19"/>
  <c r="H174" i="19"/>
  <c r="AE174" i="19"/>
  <c r="AR174" i="19"/>
  <c r="AD174" i="19"/>
  <c r="U174" i="19"/>
  <c r="X174" i="19"/>
  <c r="D174" i="19"/>
  <c r="AQ174" i="19"/>
  <c r="N174" i="19"/>
  <c r="V174" i="19"/>
  <c r="F174" i="19"/>
  <c r="M174" i="19"/>
  <c r="E174" i="19"/>
  <c r="R174" i="19"/>
  <c r="AB174" i="19"/>
  <c r="T174" i="19"/>
  <c r="AI174" i="19" s="1"/>
  <c r="AL174" i="19" s="1"/>
  <c r="I174" i="19"/>
  <c r="S174" i="19"/>
  <c r="LA74" i="8"/>
  <c r="FI74" i="8" s="1"/>
  <c r="LA29" i="8"/>
  <c r="FI29" i="8" s="1"/>
  <c r="AF133" i="19"/>
  <c r="E133" i="19"/>
  <c r="AB133" i="19"/>
  <c r="D133" i="19"/>
  <c r="T133" i="19"/>
  <c r="AI133" i="19" s="1"/>
  <c r="AN133" i="19" s="1"/>
  <c r="AE133" i="19"/>
  <c r="AS133" i="19"/>
  <c r="Z133" i="19"/>
  <c r="O133" i="19"/>
  <c r="G133" i="19"/>
  <c r="F133" i="19"/>
  <c r="Q133" i="19"/>
  <c r="W133" i="19"/>
  <c r="J133" i="19"/>
  <c r="AC133" i="19"/>
  <c r="AR133" i="19"/>
  <c r="N133" i="19"/>
  <c r="AQ133" i="19"/>
  <c r="L133" i="19"/>
  <c r="AD133" i="19"/>
  <c r="M133" i="19"/>
  <c r="S133" i="19"/>
  <c r="V133" i="19"/>
  <c r="Y133" i="19"/>
  <c r="R133" i="19"/>
  <c r="K133" i="19"/>
  <c r="X133" i="19"/>
  <c r="H133" i="19"/>
  <c r="AA133" i="19"/>
  <c r="AG133" i="19"/>
  <c r="U133" i="19"/>
  <c r="I133" i="19"/>
  <c r="AA157" i="19"/>
  <c r="AF157" i="19"/>
  <c r="T157" i="19"/>
  <c r="AI157" i="19" s="1"/>
  <c r="AL157" i="19" s="1"/>
  <c r="Z157" i="19"/>
  <c r="AR157" i="19"/>
  <c r="N157" i="19"/>
  <c r="S157" i="19"/>
  <c r="Y157" i="19"/>
  <c r="AC157" i="19"/>
  <c r="L157" i="19"/>
  <c r="D157" i="19"/>
  <c r="J157" i="19"/>
  <c r="M157" i="19"/>
  <c r="G157" i="19"/>
  <c r="AB157" i="19"/>
  <c r="R157" i="19"/>
  <c r="AQ157" i="19"/>
  <c r="E157" i="19"/>
  <c r="AG157" i="19"/>
  <c r="X157" i="19"/>
  <c r="U157" i="19"/>
  <c r="I157" i="19"/>
  <c r="W157" i="19"/>
  <c r="K157" i="19"/>
  <c r="H157" i="19"/>
  <c r="AE157" i="19"/>
  <c r="V157" i="19"/>
  <c r="AS157" i="19"/>
  <c r="AD157" i="19"/>
  <c r="Q157" i="19"/>
  <c r="F157" i="19"/>
  <c r="O157" i="19"/>
  <c r="R183" i="19"/>
  <c r="N183" i="19"/>
  <c r="H183" i="19"/>
  <c r="K183" i="19"/>
  <c r="S183" i="19"/>
  <c r="AD183" i="19"/>
  <c r="AB183" i="19"/>
  <c r="T183" i="19"/>
  <c r="AI183" i="19" s="1"/>
  <c r="AP183" i="19" s="1"/>
  <c r="V183" i="19"/>
  <c r="D183" i="19"/>
  <c r="Z183" i="19"/>
  <c r="Y183" i="19"/>
  <c r="W183" i="19"/>
  <c r="AE183" i="19"/>
  <c r="AR183" i="19"/>
  <c r="E183" i="19"/>
  <c r="AA183" i="19"/>
  <c r="L183" i="19"/>
  <c r="I183" i="19"/>
  <c r="O183" i="19"/>
  <c r="U183" i="19"/>
  <c r="AG183" i="19"/>
  <c r="AF183" i="19"/>
  <c r="J183" i="19"/>
  <c r="Q183" i="19"/>
  <c r="F183" i="19"/>
  <c r="AC183" i="19"/>
  <c r="M183" i="19"/>
  <c r="AQ183" i="19"/>
  <c r="X183" i="19"/>
  <c r="G183" i="19"/>
  <c r="AS183" i="19"/>
  <c r="AE170" i="19"/>
  <c r="I170" i="19"/>
  <c r="R170" i="19"/>
  <c r="W170" i="19"/>
  <c r="V170" i="19"/>
  <c r="S170" i="19"/>
  <c r="Z170" i="19"/>
  <c r="X170" i="19"/>
  <c r="AG170" i="19"/>
  <c r="Y170" i="19"/>
  <c r="F170" i="19"/>
  <c r="O170" i="19"/>
  <c r="M170" i="19"/>
  <c r="D170" i="19"/>
  <c r="H170" i="19"/>
  <c r="U170" i="19"/>
  <c r="AC170" i="19"/>
  <c r="N170" i="19"/>
  <c r="AB170" i="19"/>
  <c r="AQ170" i="19"/>
  <c r="AD170" i="19"/>
  <c r="K170" i="19"/>
  <c r="J170" i="19"/>
  <c r="Q170" i="19"/>
  <c r="T170" i="19"/>
  <c r="AI170" i="19" s="1"/>
  <c r="AM170" i="19" s="1"/>
  <c r="AA170" i="19"/>
  <c r="AF170" i="19"/>
  <c r="AS170" i="19"/>
  <c r="G170" i="19"/>
  <c r="L170" i="19"/>
  <c r="AR170" i="19"/>
  <c r="E170" i="19"/>
  <c r="LA47" i="8"/>
  <c r="FG47" i="8" s="1"/>
  <c r="H172" i="19"/>
  <c r="W172" i="19"/>
  <c r="M172" i="19"/>
  <c r="S172" i="19"/>
  <c r="AF172" i="19"/>
  <c r="AR172" i="19"/>
  <c r="G172" i="19"/>
  <c r="AB172" i="19"/>
  <c r="AS172" i="19"/>
  <c r="AQ172" i="19"/>
  <c r="D172" i="19"/>
  <c r="V172" i="19"/>
  <c r="Q172" i="19"/>
  <c r="AG172" i="19"/>
  <c r="AA172" i="19"/>
  <c r="N172" i="19"/>
  <c r="E172" i="19"/>
  <c r="Y172" i="19"/>
  <c r="J172" i="19"/>
  <c r="T172" i="19"/>
  <c r="AI172" i="19" s="1"/>
  <c r="AM172" i="19" s="1"/>
  <c r="AE172" i="19"/>
  <c r="I172" i="19"/>
  <c r="AD172" i="19"/>
  <c r="AC172" i="19"/>
  <c r="R172" i="19"/>
  <c r="K172" i="19"/>
  <c r="L172" i="19"/>
  <c r="U172" i="19"/>
  <c r="X172" i="19"/>
  <c r="F172" i="19"/>
  <c r="O172" i="19"/>
  <c r="Z172" i="19"/>
  <c r="LA37" i="8"/>
  <c r="FI37" i="8" s="1"/>
  <c r="LA50" i="8"/>
  <c r="O181" i="19"/>
  <c r="Q181" i="19"/>
  <c r="R181" i="19"/>
  <c r="AR181" i="19"/>
  <c r="D181" i="19"/>
  <c r="V181" i="19"/>
  <c r="AG181" i="19"/>
  <c r="W181" i="19"/>
  <c r="M181" i="19"/>
  <c r="X181" i="19"/>
  <c r="H181" i="19"/>
  <c r="AE181" i="19"/>
  <c r="F181" i="19"/>
  <c r="S181" i="19"/>
  <c r="T181" i="19"/>
  <c r="AI181" i="19" s="1"/>
  <c r="AP181" i="19" s="1"/>
  <c r="E181" i="19"/>
  <c r="Y181" i="19"/>
  <c r="I181" i="19"/>
  <c r="AF181" i="19"/>
  <c r="L181" i="19"/>
  <c r="Z181" i="19"/>
  <c r="AA181" i="19"/>
  <c r="AQ181" i="19"/>
  <c r="J181" i="19"/>
  <c r="K181" i="19"/>
  <c r="AD181" i="19"/>
  <c r="U181" i="19"/>
  <c r="AS181" i="19"/>
  <c r="AB181" i="19"/>
  <c r="N181" i="19"/>
  <c r="G181" i="19"/>
  <c r="AC181" i="19"/>
  <c r="LA59" i="8"/>
  <c r="FG59" i="8" s="1"/>
  <c r="DQ125" i="8" s="1"/>
  <c r="LA46" i="8"/>
  <c r="FG46" i="8" s="1"/>
  <c r="DQ112" i="8" s="1"/>
  <c r="AE164" i="19"/>
  <c r="Z164" i="19"/>
  <c r="AB164" i="19"/>
  <c r="R164" i="19"/>
  <c r="K164" i="19"/>
  <c r="N164" i="19"/>
  <c r="Y164" i="19"/>
  <c r="AC164" i="19"/>
  <c r="M164" i="19"/>
  <c r="I164" i="19"/>
  <c r="F164" i="19"/>
  <c r="H164" i="19"/>
  <c r="AR164" i="19"/>
  <c r="V164" i="19"/>
  <c r="T164" i="19"/>
  <c r="AI164" i="19" s="1"/>
  <c r="AO164" i="19" s="1"/>
  <c r="O164" i="19"/>
  <c r="AA164" i="19"/>
  <c r="Q164" i="19"/>
  <c r="D164" i="19"/>
  <c r="E164" i="19"/>
  <c r="W164" i="19"/>
  <c r="AQ164" i="19"/>
  <c r="AG164" i="19"/>
  <c r="J164" i="19"/>
  <c r="AF164" i="19"/>
  <c r="U164" i="19"/>
  <c r="X164" i="19"/>
  <c r="L164" i="19"/>
  <c r="AS164" i="19"/>
  <c r="AD164" i="19"/>
  <c r="G164" i="19"/>
  <c r="S164" i="19"/>
  <c r="LA51" i="8"/>
  <c r="FG51" i="8" s="1"/>
  <c r="FC51" i="8" s="1"/>
  <c r="AB182" i="19"/>
  <c r="I182" i="19"/>
  <c r="X182" i="19"/>
  <c r="W182" i="19"/>
  <c r="K182" i="19"/>
  <c r="M182" i="19"/>
  <c r="AQ182" i="19"/>
  <c r="F182" i="19"/>
  <c r="E182" i="19"/>
  <c r="G182" i="19"/>
  <c r="AC182" i="19"/>
  <c r="Q182" i="19"/>
  <c r="AF182" i="19"/>
  <c r="D182" i="19"/>
  <c r="H182" i="19"/>
  <c r="N182" i="19"/>
  <c r="L182" i="19"/>
  <c r="AA182" i="19"/>
  <c r="U182" i="19"/>
  <c r="T182" i="19"/>
  <c r="AI182" i="19" s="1"/>
  <c r="AP182" i="19" s="1"/>
  <c r="Y182" i="19"/>
  <c r="Z182" i="19"/>
  <c r="AS182" i="19"/>
  <c r="S182" i="19"/>
  <c r="R182" i="19"/>
  <c r="O182" i="19"/>
  <c r="V182" i="19"/>
  <c r="AG182" i="19"/>
  <c r="J182" i="19"/>
  <c r="AE182" i="19"/>
  <c r="AD182" i="19"/>
  <c r="AR182" i="19"/>
  <c r="LA28" i="8"/>
  <c r="FI28" i="8" s="1"/>
  <c r="LA36" i="8"/>
  <c r="FI36" i="8" s="1"/>
  <c r="J142" i="19"/>
  <c r="S142" i="19"/>
  <c r="Q142" i="19"/>
  <c r="K142" i="19"/>
  <c r="AS142" i="19"/>
  <c r="M142" i="19"/>
  <c r="L142" i="19"/>
  <c r="D142" i="19"/>
  <c r="AR142" i="19"/>
  <c r="X142" i="19"/>
  <c r="AA142" i="19"/>
  <c r="F142" i="19"/>
  <c r="AF142" i="19"/>
  <c r="N142" i="19"/>
  <c r="T142" i="19"/>
  <c r="AI142" i="19" s="1"/>
  <c r="AM142" i="19" s="1"/>
  <c r="AQ142" i="19"/>
  <c r="R142" i="19"/>
  <c r="AE142" i="19"/>
  <c r="AB142" i="19"/>
  <c r="U142" i="19"/>
  <c r="E142" i="19"/>
  <c r="O142" i="19"/>
  <c r="W142" i="19"/>
  <c r="AC142" i="19"/>
  <c r="AG142" i="19"/>
  <c r="I142" i="19"/>
  <c r="Y142" i="19"/>
  <c r="V142" i="19"/>
  <c r="Z142" i="19"/>
  <c r="AD142" i="19"/>
  <c r="H142" i="19"/>
  <c r="G142" i="19"/>
  <c r="Q145" i="19"/>
  <c r="F145" i="19"/>
  <c r="T145" i="19"/>
  <c r="AI145" i="19" s="1"/>
  <c r="AP145" i="19" s="1"/>
  <c r="R145" i="19"/>
  <c r="S145" i="19"/>
  <c r="O145" i="19"/>
  <c r="Z145" i="19"/>
  <c r="AR145" i="19"/>
  <c r="AD145" i="19"/>
  <c r="L145" i="19"/>
  <c r="U145" i="19"/>
  <c r="W145" i="19"/>
  <c r="AG145" i="19"/>
  <c r="AF145" i="19"/>
  <c r="N145" i="19"/>
  <c r="AC145" i="19"/>
  <c r="D145" i="19"/>
  <c r="AS145" i="19"/>
  <c r="AE145" i="19"/>
  <c r="G145" i="19"/>
  <c r="K145" i="19"/>
  <c r="X145" i="19"/>
  <c r="I145" i="19"/>
  <c r="Y145" i="19"/>
  <c r="AQ145" i="19"/>
  <c r="AB145" i="19"/>
  <c r="V145" i="19"/>
  <c r="E145" i="19"/>
  <c r="AA145" i="19"/>
  <c r="M145" i="19"/>
  <c r="J145" i="19"/>
  <c r="H145" i="19"/>
  <c r="LA58" i="8"/>
  <c r="FI58" i="8" s="1"/>
  <c r="L150" i="19"/>
  <c r="D150" i="19"/>
  <c r="U150" i="19"/>
  <c r="S150" i="19"/>
  <c r="G150" i="19"/>
  <c r="R150" i="19"/>
  <c r="AR150" i="19"/>
  <c r="F150" i="19"/>
  <c r="Q150" i="19"/>
  <c r="T150" i="19"/>
  <c r="AI150" i="19" s="1"/>
  <c r="AO150" i="19" s="1"/>
  <c r="AG150" i="19"/>
  <c r="V150" i="19"/>
  <c r="AE150" i="19"/>
  <c r="AD150" i="19"/>
  <c r="O150" i="19"/>
  <c r="AF150" i="19"/>
  <c r="AC150" i="19"/>
  <c r="Z150" i="19"/>
  <c r="AB150" i="19"/>
  <c r="AA150" i="19"/>
  <c r="K150" i="19"/>
  <c r="E150" i="19"/>
  <c r="I150" i="19"/>
  <c r="H150" i="19"/>
  <c r="Y150" i="19"/>
  <c r="N150" i="19"/>
  <c r="M150" i="19"/>
  <c r="W150" i="19"/>
  <c r="X150" i="19"/>
  <c r="J150" i="19"/>
  <c r="AS150" i="19"/>
  <c r="AQ150" i="19"/>
  <c r="LA56" i="8"/>
  <c r="FI56" i="8" s="1"/>
  <c r="LA48" i="8"/>
  <c r="FG48" i="8" s="1"/>
  <c r="DQ114" i="8" s="1"/>
  <c r="LA27" i="8"/>
  <c r="FG27" i="8" s="1"/>
  <c r="FC27" i="8" s="1"/>
  <c r="LA55" i="8"/>
  <c r="FG55" i="8" s="1"/>
  <c r="LA49" i="8"/>
  <c r="FI49" i="8" s="1"/>
  <c r="LA75" i="8"/>
  <c r="FI75" i="8" s="1"/>
  <c r="E159" i="19"/>
  <c r="L159" i="19"/>
  <c r="AB159" i="19"/>
  <c r="G159" i="19"/>
  <c r="AQ159" i="19"/>
  <c r="AR159" i="19"/>
  <c r="AC159" i="19"/>
  <c r="AG159" i="19"/>
  <c r="J159" i="19"/>
  <c r="O159" i="19"/>
  <c r="F159" i="19"/>
  <c r="M159" i="19"/>
  <c r="AD159" i="19"/>
  <c r="H159" i="19"/>
  <c r="N159" i="19"/>
  <c r="X159" i="19"/>
  <c r="AE159" i="19"/>
  <c r="Z159" i="19"/>
  <c r="AA159" i="19"/>
  <c r="AS159" i="19"/>
  <c r="Y159" i="19"/>
  <c r="I159" i="19"/>
  <c r="W159" i="19"/>
  <c r="R159" i="19"/>
  <c r="Q159" i="19"/>
  <c r="U159" i="19"/>
  <c r="V159" i="19"/>
  <c r="K159" i="19"/>
  <c r="S159" i="19"/>
  <c r="AF159" i="19"/>
  <c r="T159" i="19"/>
  <c r="AI159" i="19" s="1"/>
  <c r="AL159" i="19" s="1"/>
  <c r="D159" i="19"/>
  <c r="T147" i="19"/>
  <c r="AI147" i="19" s="1"/>
  <c r="AO147" i="19" s="1"/>
  <c r="AE147" i="19"/>
  <c r="V147" i="19"/>
  <c r="U147" i="19"/>
  <c r="AG147" i="19"/>
  <c r="E147" i="19"/>
  <c r="AR147" i="19"/>
  <c r="N147" i="19"/>
  <c r="AB147" i="19"/>
  <c r="G147" i="19"/>
  <c r="R147" i="19"/>
  <c r="AQ147" i="19"/>
  <c r="H147" i="19"/>
  <c r="D147" i="19"/>
  <c r="S147" i="19"/>
  <c r="L147" i="19"/>
  <c r="AD147" i="19"/>
  <c r="O147" i="19"/>
  <c r="M147" i="19"/>
  <c r="AA147" i="19"/>
  <c r="J147" i="19"/>
  <c r="X147" i="19"/>
  <c r="Z147" i="19"/>
  <c r="K147" i="19"/>
  <c r="I147" i="19"/>
  <c r="Y147" i="19"/>
  <c r="W147" i="19"/>
  <c r="F147" i="19"/>
  <c r="AF147" i="19"/>
  <c r="Q147" i="19"/>
  <c r="AS147" i="19"/>
  <c r="AC147" i="19"/>
  <c r="LA70" i="8"/>
  <c r="FI70" i="8" s="1"/>
  <c r="LA35" i="8"/>
  <c r="FI35" i="8" s="1"/>
  <c r="M176" i="19"/>
  <c r="Y176" i="19"/>
  <c r="AF176" i="19"/>
  <c r="S176" i="19"/>
  <c r="W176" i="19"/>
  <c r="AS176" i="19"/>
  <c r="AB176" i="19"/>
  <c r="I176" i="19"/>
  <c r="AE176" i="19"/>
  <c r="U176" i="19"/>
  <c r="Z176" i="19"/>
  <c r="J176" i="19"/>
  <c r="T176" i="19"/>
  <c r="AI176" i="19" s="1"/>
  <c r="AK176" i="19" s="1"/>
  <c r="H176" i="19"/>
  <c r="F176" i="19"/>
  <c r="Q176" i="19"/>
  <c r="AR176" i="19"/>
  <c r="O176" i="19"/>
  <c r="X176" i="19"/>
  <c r="V176" i="19"/>
  <c r="N176" i="19"/>
  <c r="AA176" i="19"/>
  <c r="G176" i="19"/>
  <c r="AC176" i="19"/>
  <c r="L176" i="19"/>
  <c r="AD176" i="19"/>
  <c r="E176" i="19"/>
  <c r="AG176" i="19"/>
  <c r="K176" i="19"/>
  <c r="D176" i="19"/>
  <c r="AQ176" i="19"/>
  <c r="R176" i="19"/>
  <c r="LA30" i="8"/>
  <c r="FI30" i="8" s="1"/>
  <c r="V143" i="19"/>
  <c r="S143" i="19"/>
  <c r="L143" i="19"/>
  <c r="Q143" i="19"/>
  <c r="I143" i="19"/>
  <c r="J143" i="19"/>
  <c r="AB143" i="19"/>
  <c r="AS143" i="19"/>
  <c r="AF143" i="19"/>
  <c r="AG143" i="19"/>
  <c r="T143" i="19"/>
  <c r="AI143" i="19" s="1"/>
  <c r="AL143" i="19" s="1"/>
  <c r="R143" i="19"/>
  <c r="O143" i="19"/>
  <c r="AQ143" i="19"/>
  <c r="U143" i="19"/>
  <c r="AA143" i="19"/>
  <c r="G143" i="19"/>
  <c r="D143" i="19"/>
  <c r="AC143" i="19"/>
  <c r="AR143" i="19"/>
  <c r="M143" i="19"/>
  <c r="Y143" i="19"/>
  <c r="AE143" i="19"/>
  <c r="X143" i="19"/>
  <c r="E143" i="19"/>
  <c r="K143" i="19"/>
  <c r="N143" i="19"/>
  <c r="F143" i="19"/>
  <c r="W143" i="19"/>
  <c r="H143" i="19"/>
  <c r="AD143" i="19"/>
  <c r="Z143" i="19"/>
  <c r="LA42" i="8"/>
  <c r="FI42" i="8" s="1"/>
  <c r="U167" i="19"/>
  <c r="M167" i="19"/>
  <c r="G167" i="19"/>
  <c r="AS167" i="19"/>
  <c r="T167" i="19"/>
  <c r="AI167" i="19" s="1"/>
  <c r="AO167" i="19" s="1"/>
  <c r="S167" i="19"/>
  <c r="X167" i="19"/>
  <c r="N167" i="19"/>
  <c r="R167" i="19"/>
  <c r="H167" i="19"/>
  <c r="Q167" i="19"/>
  <c r="AD167" i="19"/>
  <c r="AF167" i="19"/>
  <c r="AR167" i="19"/>
  <c r="D167" i="19"/>
  <c r="F167" i="19"/>
  <c r="AE167" i="19"/>
  <c r="V167" i="19"/>
  <c r="J167" i="19"/>
  <c r="AB167" i="19"/>
  <c r="Y167" i="19"/>
  <c r="L167" i="19"/>
  <c r="AQ167" i="19"/>
  <c r="AA167" i="19"/>
  <c r="K167" i="19"/>
  <c r="AG167" i="19"/>
  <c r="O167" i="19"/>
  <c r="E167" i="19"/>
  <c r="W167" i="19"/>
  <c r="Z167" i="19"/>
  <c r="AC167" i="19"/>
  <c r="I167" i="19"/>
  <c r="AF141" i="19"/>
  <c r="AD141" i="19"/>
  <c r="D141" i="19"/>
  <c r="H141" i="19"/>
  <c r="X141" i="19"/>
  <c r="W141" i="19"/>
  <c r="O141" i="19"/>
  <c r="L141" i="19"/>
  <c r="AQ141" i="19"/>
  <c r="R141" i="19"/>
  <c r="J141" i="19"/>
  <c r="G141" i="19"/>
  <c r="I141" i="19"/>
  <c r="E141" i="19"/>
  <c r="AA141" i="19"/>
  <c r="AE141" i="19"/>
  <c r="AB141" i="19"/>
  <c r="AG141" i="19"/>
  <c r="Q141" i="19"/>
  <c r="F141" i="19"/>
  <c r="Y141" i="19"/>
  <c r="K141" i="19"/>
  <c r="AC141" i="19"/>
  <c r="U141" i="19"/>
  <c r="N141" i="19"/>
  <c r="AR141" i="19"/>
  <c r="Z141" i="19"/>
  <c r="AS141" i="19"/>
  <c r="T141" i="19"/>
  <c r="AI141" i="19" s="1"/>
  <c r="AP141" i="19" s="1"/>
  <c r="M141" i="19"/>
  <c r="V141" i="19"/>
  <c r="S141" i="19"/>
  <c r="Z127" i="19"/>
  <c r="AR127" i="19"/>
  <c r="F127" i="19"/>
  <c r="AE127" i="19"/>
  <c r="J127" i="19"/>
  <c r="O127" i="19"/>
  <c r="AB127" i="19"/>
  <c r="AC127" i="19"/>
  <c r="K127" i="19"/>
  <c r="AS127" i="19"/>
  <c r="E127" i="19"/>
  <c r="S127" i="19"/>
  <c r="AF127" i="19"/>
  <c r="AA127" i="19"/>
  <c r="X127" i="19"/>
  <c r="Q127" i="19"/>
  <c r="M127" i="19"/>
  <c r="I127" i="19"/>
  <c r="G127" i="19"/>
  <c r="U127" i="19"/>
  <c r="D127" i="19"/>
  <c r="AD127" i="19"/>
  <c r="H127" i="19"/>
  <c r="Y127" i="19"/>
  <c r="W127" i="19"/>
  <c r="AG127" i="19"/>
  <c r="R127" i="19"/>
  <c r="AQ127" i="19"/>
  <c r="T127" i="19"/>
  <c r="AI127" i="19" s="1"/>
  <c r="AL127" i="19" s="1"/>
  <c r="N127" i="19"/>
  <c r="V127" i="19"/>
  <c r="L127" i="19"/>
  <c r="V358" i="19"/>
  <c r="CI5" i="19"/>
  <c r="J689" i="20" s="1"/>
  <c r="J380" i="20" s="1"/>
  <c r="J263" i="20" s="1"/>
  <c r="LA32" i="8"/>
  <c r="FG32" i="8" s="1"/>
  <c r="AF152" i="19"/>
  <c r="G152" i="19"/>
  <c r="Z152" i="19"/>
  <c r="H152" i="19"/>
  <c r="X152" i="19"/>
  <c r="I152" i="19"/>
  <c r="AD152" i="19"/>
  <c r="AG152" i="19"/>
  <c r="AC152" i="19"/>
  <c r="M152" i="19"/>
  <c r="L152" i="19"/>
  <c r="R152" i="19"/>
  <c r="N152" i="19"/>
  <c r="AA152" i="19"/>
  <c r="O152" i="19"/>
  <c r="AS152" i="19"/>
  <c r="AB152" i="19"/>
  <c r="V152" i="19"/>
  <c r="AR152" i="19"/>
  <c r="S152" i="19"/>
  <c r="W152" i="19"/>
  <c r="Q152" i="19"/>
  <c r="Y152" i="19"/>
  <c r="E152" i="19"/>
  <c r="J152" i="19"/>
  <c r="U152" i="19"/>
  <c r="AQ152" i="19"/>
  <c r="D152" i="19"/>
  <c r="T152" i="19"/>
  <c r="AI152" i="19" s="1"/>
  <c r="AL152" i="19" s="1"/>
  <c r="AE152" i="19"/>
  <c r="F152" i="19"/>
  <c r="K152" i="19"/>
  <c r="LA64" i="8"/>
  <c r="FI64" i="8" s="1"/>
  <c r="E146" i="19"/>
  <c r="G146" i="19"/>
  <c r="L146" i="19"/>
  <c r="W146" i="19"/>
  <c r="H146" i="19"/>
  <c r="O146" i="19"/>
  <c r="D146" i="19"/>
  <c r="Z146" i="19"/>
  <c r="U146" i="19"/>
  <c r="Y146" i="19"/>
  <c r="AB146" i="19"/>
  <c r="X146" i="19"/>
  <c r="AS146" i="19"/>
  <c r="AE146" i="19"/>
  <c r="AQ146" i="19"/>
  <c r="Q146" i="19"/>
  <c r="J146" i="19"/>
  <c r="R146" i="19"/>
  <c r="AF146" i="19"/>
  <c r="V146" i="19"/>
  <c r="AD146" i="19"/>
  <c r="AA146" i="19"/>
  <c r="N146" i="19"/>
  <c r="AG146" i="19"/>
  <c r="AC146" i="19"/>
  <c r="AR146" i="19"/>
  <c r="I146" i="19"/>
  <c r="F146" i="19"/>
  <c r="K146" i="19"/>
  <c r="M146" i="19"/>
  <c r="T146" i="19"/>
  <c r="AI146" i="19" s="1"/>
  <c r="AN146" i="19" s="1"/>
  <c r="S146" i="19"/>
  <c r="LA43" i="8"/>
  <c r="FG43" i="8" s="1"/>
  <c r="FC43" i="8" s="1"/>
  <c r="R51" i="19"/>
  <c r="Y171" i="19"/>
  <c r="N171" i="19"/>
  <c r="AF171" i="19"/>
  <c r="AB171" i="19"/>
  <c r="J171" i="19"/>
  <c r="M171" i="19"/>
  <c r="H171" i="19"/>
  <c r="I171" i="19"/>
  <c r="O171" i="19"/>
  <c r="V171" i="19"/>
  <c r="AD171" i="19"/>
  <c r="F171" i="19"/>
  <c r="L171" i="19"/>
  <c r="W171" i="19"/>
  <c r="S171" i="19"/>
  <c r="D171" i="19"/>
  <c r="AS171" i="19"/>
  <c r="R171" i="19"/>
  <c r="AR171" i="19"/>
  <c r="K171" i="19"/>
  <c r="AG171" i="19"/>
  <c r="Q171" i="19"/>
  <c r="T171" i="19"/>
  <c r="AI171" i="19" s="1"/>
  <c r="AM171" i="19" s="1"/>
  <c r="G171" i="19"/>
  <c r="AQ171" i="19"/>
  <c r="X171" i="19"/>
  <c r="AC171" i="19"/>
  <c r="E171" i="19"/>
  <c r="AA171" i="19"/>
  <c r="U171" i="19"/>
  <c r="Z171" i="19"/>
  <c r="AE171" i="19"/>
  <c r="J324" i="21"/>
  <c r="L100" i="21"/>
  <c r="U519" i="21"/>
  <c r="U433" i="21" s="1"/>
  <c r="U170" i="21" s="1"/>
  <c r="AI348" i="19"/>
  <c r="AI366" i="19" s="1"/>
  <c r="U659" i="20"/>
  <c r="U337" i="20" s="1"/>
  <c r="U221" i="20" s="1"/>
  <c r="BY347" i="19"/>
  <c r="BY365" i="19" s="1"/>
  <c r="J345" i="20"/>
  <c r="J229" i="20" s="1"/>
  <c r="J534" i="20"/>
  <c r="J272" i="20" s="1"/>
  <c r="J673" i="20"/>
  <c r="J357" i="20" s="1"/>
  <c r="CL347" i="19"/>
  <c r="CL365" i="19" s="1"/>
  <c r="FC39" i="8"/>
  <c r="AI122" i="19"/>
  <c r="AL122" i="19" s="1"/>
  <c r="AP168" i="19"/>
  <c r="AM175" i="19"/>
  <c r="AN140" i="19"/>
  <c r="AO157" i="19"/>
  <c r="AL163" i="19"/>
  <c r="AN163" i="19"/>
  <c r="AM137" i="19"/>
  <c r="FI66" i="8"/>
  <c r="AK161" i="19"/>
  <c r="AM150" i="19"/>
  <c r="AK157" i="19"/>
  <c r="AO133" i="19"/>
  <c r="AN157" i="19"/>
  <c r="AO140" i="19"/>
  <c r="AK140" i="19"/>
  <c r="AM140" i="19"/>
  <c r="AM157" i="19"/>
  <c r="FI69" i="8"/>
  <c r="AP133" i="19"/>
  <c r="AP140" i="19"/>
  <c r="AP157" i="19"/>
  <c r="AK163" i="19"/>
  <c r="AM163" i="19"/>
  <c r="AK137" i="19"/>
  <c r="AO163" i="19"/>
  <c r="FG60" i="8"/>
  <c r="DQ126" i="8" s="1"/>
  <c r="AO181" i="19"/>
  <c r="AO168" i="19"/>
  <c r="FI39" i="8"/>
  <c r="AN168" i="19"/>
  <c r="AK168" i="19"/>
  <c r="AP175" i="19"/>
  <c r="AL168" i="19"/>
  <c r="AK175" i="19"/>
  <c r="FG73" i="8"/>
  <c r="FC73" i="8" s="1"/>
  <c r="AK169" i="19"/>
  <c r="FG72" i="8"/>
  <c r="FC72" i="8" s="1"/>
  <c r="AP169" i="19"/>
  <c r="FG31" i="8"/>
  <c r="DQ97" i="8" s="1"/>
  <c r="FI41" i="8"/>
  <c r="AM169" i="19"/>
  <c r="AO169" i="19"/>
  <c r="FG71" i="8"/>
  <c r="DQ137" i="8" s="1"/>
  <c r="AC52" i="8" s="1"/>
  <c r="AN169" i="19"/>
  <c r="AM181" i="19"/>
  <c r="FG53" i="8"/>
  <c r="FC53" i="8" s="1"/>
  <c r="AO170" i="19"/>
  <c r="AL170" i="19"/>
  <c r="AP162" i="19"/>
  <c r="FC68" i="8"/>
  <c r="DQ106" i="8"/>
  <c r="FG65" i="8"/>
  <c r="FC65" i="8" s="1"/>
  <c r="AO162" i="19"/>
  <c r="AO153" i="19"/>
  <c r="AP170" i="19"/>
  <c r="AN170" i="19"/>
  <c r="AK170" i="19"/>
  <c r="AN162" i="19"/>
  <c r="AM162" i="19"/>
  <c r="AL162" i="19"/>
  <c r="AL180" i="19"/>
  <c r="AM178" i="19"/>
  <c r="AM161" i="19"/>
  <c r="AN161" i="19"/>
  <c r="AL161" i="19"/>
  <c r="AP161" i="19"/>
  <c r="AO180" i="19"/>
  <c r="FI40" i="8"/>
  <c r="AO175" i="19"/>
  <c r="AN175" i="19"/>
  <c r="FI68" i="8"/>
  <c r="AN153" i="19"/>
  <c r="AM180" i="19"/>
  <c r="AN180" i="19"/>
  <c r="AP180" i="19"/>
  <c r="AL145" i="19"/>
  <c r="FC69" i="8"/>
  <c r="DQ135" i="8"/>
  <c r="AC55" i="8" s="1"/>
  <c r="FC66" i="8"/>
  <c r="DQ132" i="8"/>
  <c r="A185" i="19"/>
  <c r="C184" i="19"/>
  <c r="B185" i="19"/>
  <c r="C185" i="19"/>
  <c r="DQ117" i="8" l="1"/>
  <c r="FI51" i="8"/>
  <c r="FG56" i="8"/>
  <c r="FC56" i="8" s="1"/>
  <c r="FI61" i="8"/>
  <c r="FC67" i="8"/>
  <c r="AO174" i="19"/>
  <c r="FI47" i="8"/>
  <c r="AL179" i="19"/>
  <c r="AM174" i="19"/>
  <c r="FI67" i="8"/>
  <c r="AO179" i="19"/>
  <c r="AP174" i="19"/>
  <c r="AN179" i="19"/>
  <c r="AK174" i="19"/>
  <c r="AK179" i="19"/>
  <c r="DQ120" i="8"/>
  <c r="AP179" i="19"/>
  <c r="FC61" i="8"/>
  <c r="FI38" i="8"/>
  <c r="FI54" i="8"/>
  <c r="FC38" i="8"/>
  <c r="FG28" i="8"/>
  <c r="FC28" i="8" s="1"/>
  <c r="AN174" i="19"/>
  <c r="FG37" i="8"/>
  <c r="FC37" i="8" s="1"/>
  <c r="AN181" i="19"/>
  <c r="AK181" i="19"/>
  <c r="AK153" i="19"/>
  <c r="AN137" i="19"/>
  <c r="AO178" i="19"/>
  <c r="AL178" i="19"/>
  <c r="AO137" i="19"/>
  <c r="AM153" i="19"/>
  <c r="AM133" i="19"/>
  <c r="AP137" i="19"/>
  <c r="AN178" i="19"/>
  <c r="AL133" i="19"/>
  <c r="AP153" i="19"/>
  <c r="AN143" i="19"/>
  <c r="AK178" i="19"/>
  <c r="FG52" i="8"/>
  <c r="FC52" i="8" s="1"/>
  <c r="FC41" i="8"/>
  <c r="AK133" i="19"/>
  <c r="AN165" i="19"/>
  <c r="FI45" i="8"/>
  <c r="AN183" i="19"/>
  <c r="AK165" i="19"/>
  <c r="AK183" i="19"/>
  <c r="FI57" i="8"/>
  <c r="AN158" i="19"/>
  <c r="AL183" i="19"/>
  <c r="AO165" i="19"/>
  <c r="AO183" i="19"/>
  <c r="FG62" i="8"/>
  <c r="FC62" i="8" s="1"/>
  <c r="AM165" i="19"/>
  <c r="AM183" i="19"/>
  <c r="FG29" i="8"/>
  <c r="FC29" i="8" s="1"/>
  <c r="AL158" i="19"/>
  <c r="AM158" i="19"/>
  <c r="AP165" i="19"/>
  <c r="FC57" i="8"/>
  <c r="AP158" i="19"/>
  <c r="FC45" i="8"/>
  <c r="AO158" i="19"/>
  <c r="AO182" i="19"/>
  <c r="AN173" i="19"/>
  <c r="FI33" i="8"/>
  <c r="AK147" i="19"/>
  <c r="AM173" i="19"/>
  <c r="AM177" i="19"/>
  <c r="FI59" i="8"/>
  <c r="AK164" i="19"/>
  <c r="FG36" i="8"/>
  <c r="DQ102" i="8" s="1"/>
  <c r="AC38" i="8" s="1"/>
  <c r="AL182" i="19"/>
  <c r="AL181" i="19"/>
  <c r="AM182" i="19"/>
  <c r="AK182" i="19"/>
  <c r="AO143" i="19"/>
  <c r="FG49" i="8"/>
  <c r="FC49" i="8" s="1"/>
  <c r="CH348" i="19"/>
  <c r="CH366" i="19" s="1"/>
  <c r="AP159" i="19"/>
  <c r="AN159" i="19"/>
  <c r="AK150" i="19"/>
  <c r="AO145" i="19"/>
  <c r="AN176" i="19"/>
  <c r="AK145" i="19"/>
  <c r="AN150" i="19"/>
  <c r="FC44" i="8"/>
  <c r="AO177" i="19"/>
  <c r="FG74" i="8"/>
  <c r="FC74" i="8" s="1"/>
  <c r="AL172" i="19"/>
  <c r="FC46" i="8"/>
  <c r="FI55" i="8"/>
  <c r="AK172" i="19"/>
  <c r="AN172" i="19"/>
  <c r="FI46" i="8"/>
  <c r="AP172" i="19"/>
  <c r="AL173" i="19"/>
  <c r="AP173" i="19"/>
  <c r="FC33" i="8"/>
  <c r="FI44" i="8"/>
  <c r="AP177" i="19"/>
  <c r="AL177" i="19"/>
  <c r="AO172" i="19"/>
  <c r="AK173" i="19"/>
  <c r="AN177" i="19"/>
  <c r="AL150" i="19"/>
  <c r="AN145" i="19"/>
  <c r="AP150" i="19"/>
  <c r="AM145" i="19"/>
  <c r="FG30" i="8"/>
  <c r="DQ96" i="8" s="1"/>
  <c r="AC33" i="8" s="1"/>
  <c r="AL176" i="19"/>
  <c r="AK159" i="19"/>
  <c r="FG76" i="8"/>
  <c r="DQ142" i="8" s="1"/>
  <c r="FC59" i="8"/>
  <c r="FI27" i="8"/>
  <c r="AP164" i="19"/>
  <c r="FI63" i="8"/>
  <c r="FC63" i="8"/>
  <c r="FG34" i="8"/>
  <c r="FC34" i="8" s="1"/>
  <c r="AM164" i="19"/>
  <c r="FG42" i="8"/>
  <c r="FC42" i="8" s="1"/>
  <c r="AL164" i="19"/>
  <c r="DQ93" i="8"/>
  <c r="AC31" i="8" s="1"/>
  <c r="AN164" i="19"/>
  <c r="AP143" i="19"/>
  <c r="AO159" i="19"/>
  <c r="AP176" i="19"/>
  <c r="AN152" i="19"/>
  <c r="FC48" i="8"/>
  <c r="AK152" i="19"/>
  <c r="FI48" i="8"/>
  <c r="FG64" i="8"/>
  <c r="DQ130" i="8" s="1"/>
  <c r="AM143" i="19"/>
  <c r="AK143" i="19"/>
  <c r="FG35" i="8"/>
  <c r="DQ101" i="8" s="1"/>
  <c r="J587" i="21"/>
  <c r="J316" i="21" s="1"/>
  <c r="U322" i="21" s="1"/>
  <c r="CM5" i="19"/>
  <c r="J591" i="21" s="1"/>
  <c r="J322" i="21" s="1"/>
  <c r="AN182" i="19"/>
  <c r="AO142" i="19"/>
  <c r="AN171" i="19"/>
  <c r="AP142" i="19"/>
  <c r="AM127" i="19"/>
  <c r="AL141" i="19"/>
  <c r="FI32" i="8"/>
  <c r="AO127" i="19"/>
  <c r="AM152" i="19"/>
  <c r="AN141" i="19"/>
  <c r="AP146" i="19"/>
  <c r="AN147" i="19"/>
  <c r="AN142" i="19"/>
  <c r="FG75" i="8"/>
  <c r="DQ141" i="8" s="1"/>
  <c r="AP152" i="19"/>
  <c r="AO176" i="19"/>
  <c r="FG70" i="8"/>
  <c r="FC70" i="8" s="1"/>
  <c r="AP171" i="19"/>
  <c r="AP147" i="19"/>
  <c r="AM147" i="19"/>
  <c r="AO141" i="19"/>
  <c r="AK146" i="19"/>
  <c r="AO146" i="19"/>
  <c r="AP127" i="19"/>
  <c r="AM159" i="19"/>
  <c r="AM141" i="19"/>
  <c r="AL142" i="19"/>
  <c r="FG50" i="8"/>
  <c r="FI50" i="8"/>
  <c r="AN167" i="19"/>
  <c r="AP167" i="19"/>
  <c r="AL167" i="19"/>
  <c r="AL147" i="19"/>
  <c r="AK167" i="19"/>
  <c r="AM146" i="19"/>
  <c r="AL171" i="19"/>
  <c r="AO152" i="19"/>
  <c r="FG58" i="8"/>
  <c r="DQ124" i="8" s="1"/>
  <c r="AN127" i="19"/>
  <c r="AK142" i="19"/>
  <c r="FI43" i="8"/>
  <c r="AL146" i="19"/>
  <c r="AO171" i="19"/>
  <c r="AK171" i="19"/>
  <c r="AK127" i="19"/>
  <c r="AM176" i="19"/>
  <c r="DQ109" i="8"/>
  <c r="AK141" i="19"/>
  <c r="AM167" i="19"/>
  <c r="AP122" i="19"/>
  <c r="AM122" i="19"/>
  <c r="AO122" i="19"/>
  <c r="AN122" i="19"/>
  <c r="AK122" i="19"/>
  <c r="FC60" i="8"/>
  <c r="DQ138" i="8"/>
  <c r="DQ94" i="8"/>
  <c r="AC32" i="8" s="1"/>
  <c r="FC31" i="8"/>
  <c r="DQ139" i="8"/>
  <c r="FC71" i="8"/>
  <c r="DQ119" i="8"/>
  <c r="DQ131" i="8"/>
  <c r="DQ122" i="8"/>
  <c r="DQ113" i="8"/>
  <c r="FC47" i="8"/>
  <c r="DQ121" i="8"/>
  <c r="FC55" i="8"/>
  <c r="DQ98" i="8"/>
  <c r="FC32" i="8"/>
  <c r="AC184" i="19"/>
  <c r="J184" i="19"/>
  <c r="I184" i="19"/>
  <c r="K184" i="19"/>
  <c r="AS184" i="19"/>
  <c r="AB184" i="19"/>
  <c r="W184" i="19"/>
  <c r="X184" i="19"/>
  <c r="O184" i="19"/>
  <c r="L184" i="19"/>
  <c r="Y184" i="19"/>
  <c r="Q184" i="19"/>
  <c r="V184" i="19"/>
  <c r="N184" i="19"/>
  <c r="AE184" i="19"/>
  <c r="AG184" i="19"/>
  <c r="AQ184" i="19"/>
  <c r="H184" i="19"/>
  <c r="AD184" i="19"/>
  <c r="F184" i="19"/>
  <c r="M184" i="19"/>
  <c r="Z184" i="19"/>
  <c r="U184" i="19"/>
  <c r="T184" i="19"/>
  <c r="AI184" i="19" s="1"/>
  <c r="AM184" i="19" s="1"/>
  <c r="E184" i="19"/>
  <c r="S184" i="19"/>
  <c r="AR184" i="19"/>
  <c r="D184" i="19"/>
  <c r="G184" i="19"/>
  <c r="AA184" i="19"/>
  <c r="AF184" i="19"/>
  <c r="R184" i="19"/>
  <c r="R185" i="19"/>
  <c r="Q185" i="19"/>
  <c r="Z185" i="19"/>
  <c r="D185" i="19"/>
  <c r="M185" i="19"/>
  <c r="AD185" i="19"/>
  <c r="AC185" i="19"/>
  <c r="AF185" i="19"/>
  <c r="O185" i="19"/>
  <c r="S185" i="19"/>
  <c r="U185" i="19"/>
  <c r="I185" i="19"/>
  <c r="AA185" i="19"/>
  <c r="AG185" i="19"/>
  <c r="G185" i="19"/>
  <c r="Y185" i="19"/>
  <c r="K185" i="19"/>
  <c r="H185" i="19"/>
  <c r="X185" i="19"/>
  <c r="AB185" i="19"/>
  <c r="F185" i="19"/>
  <c r="N185" i="19"/>
  <c r="AE185" i="19"/>
  <c r="V185" i="19"/>
  <c r="J185" i="19"/>
  <c r="L185" i="19"/>
  <c r="E185" i="19"/>
  <c r="AR185" i="19"/>
  <c r="W185" i="19"/>
  <c r="AQ185" i="19"/>
  <c r="AS185" i="19"/>
  <c r="T185" i="19"/>
  <c r="AI185" i="19" s="1"/>
  <c r="A186" i="19"/>
  <c r="B186" i="19"/>
  <c r="DQ118" i="8" l="1"/>
  <c r="DQ103" i="8"/>
  <c r="DQ128" i="8"/>
  <c r="DQ95" i="8"/>
  <c r="FC36" i="8"/>
  <c r="DQ115" i="8"/>
  <c r="DQ100" i="8"/>
  <c r="DQ140" i="8"/>
  <c r="FC30" i="8"/>
  <c r="FC76" i="8"/>
  <c r="DQ108" i="8"/>
  <c r="FC64" i="8"/>
  <c r="CL348" i="19"/>
  <c r="CL366" i="19" s="1"/>
  <c r="J693" i="20"/>
  <c r="J386" i="20" s="1"/>
  <c r="FC75" i="8"/>
  <c r="FC35" i="8"/>
  <c r="J236" i="21"/>
  <c r="DQ136" i="8"/>
  <c r="AC56" i="8" s="1"/>
  <c r="FC58" i="8"/>
  <c r="FC50" i="8"/>
  <c r="DQ116" i="8"/>
  <c r="AN184" i="19"/>
  <c r="AP184" i="19"/>
  <c r="AK184" i="19"/>
  <c r="AL184" i="19"/>
  <c r="AO184" i="19"/>
  <c r="A187" i="19"/>
  <c r="AO185" i="19"/>
  <c r="AP185" i="19"/>
  <c r="AL185" i="19"/>
  <c r="AN185" i="19"/>
  <c r="AK185" i="19"/>
  <c r="AM185" i="19"/>
  <c r="C187" i="19"/>
  <c r="C186" i="19"/>
  <c r="G186" i="19" l="1"/>
  <c r="AQ186" i="19"/>
  <c r="AS186" i="19"/>
  <c r="E186" i="19"/>
  <c r="S186" i="19"/>
  <c r="R186" i="19"/>
  <c r="V186" i="19"/>
  <c r="I186" i="19"/>
  <c r="AG186" i="19"/>
  <c r="X186" i="19"/>
  <c r="AD186" i="19"/>
  <c r="D186" i="19"/>
  <c r="M186" i="19"/>
  <c r="H186" i="19"/>
  <c r="J186" i="19"/>
  <c r="K186" i="19"/>
  <c r="T186" i="19"/>
  <c r="AI186" i="19" s="1"/>
  <c r="AK186" i="19" s="1"/>
  <c r="N186" i="19"/>
  <c r="AE186" i="19"/>
  <c r="AA186" i="19"/>
  <c r="AR186" i="19"/>
  <c r="U186" i="19"/>
  <c r="L186" i="19"/>
  <c r="AB186" i="19"/>
  <c r="Q186" i="19"/>
  <c r="W186" i="19"/>
  <c r="AF186" i="19"/>
  <c r="Z186" i="19"/>
  <c r="O186" i="19"/>
  <c r="F186" i="19"/>
  <c r="AC186" i="19"/>
  <c r="Y186" i="19"/>
  <c r="I187" i="19"/>
  <c r="U187" i="19"/>
  <c r="Z187" i="19"/>
  <c r="AA187" i="19"/>
  <c r="X187" i="19"/>
  <c r="F187" i="19"/>
  <c r="V187" i="19"/>
  <c r="R187" i="19"/>
  <c r="H187" i="19"/>
  <c r="G187" i="19"/>
  <c r="E187" i="19"/>
  <c r="O187" i="19"/>
  <c r="D187" i="19"/>
  <c r="AB187" i="19"/>
  <c r="AR187" i="19"/>
  <c r="L187" i="19"/>
  <c r="N187" i="19"/>
  <c r="M187" i="19"/>
  <c r="AS187" i="19"/>
  <c r="AC187" i="19"/>
  <c r="K187" i="19"/>
  <c r="Y187" i="19"/>
  <c r="AD187" i="19"/>
  <c r="S187" i="19"/>
  <c r="AQ187" i="19"/>
  <c r="J187" i="19"/>
  <c r="AE187" i="19"/>
  <c r="Q187" i="19"/>
  <c r="AF187" i="19"/>
  <c r="AG187" i="19"/>
  <c r="W187" i="19"/>
  <c r="T187" i="19"/>
  <c r="AI187" i="19" s="1"/>
  <c r="A188" i="19"/>
  <c r="B187" i="19"/>
  <c r="C188" i="19"/>
  <c r="AO186" i="19" l="1"/>
  <c r="AM186" i="19"/>
  <c r="AP186" i="19"/>
  <c r="AL186" i="19"/>
  <c r="AN186" i="19"/>
  <c r="AD188" i="19"/>
  <c r="G188" i="19"/>
  <c r="AR188" i="19"/>
  <c r="F188" i="19"/>
  <c r="AF188" i="19"/>
  <c r="U188" i="19"/>
  <c r="AS188" i="19"/>
  <c r="AC188" i="19"/>
  <c r="O188" i="19"/>
  <c r="Q188" i="19"/>
  <c r="Z188" i="19"/>
  <c r="H188" i="19"/>
  <c r="AG188" i="19"/>
  <c r="V188" i="19"/>
  <c r="L188" i="19"/>
  <c r="AQ188" i="19"/>
  <c r="N188" i="19"/>
  <c r="R188" i="19"/>
  <c r="AA188" i="19"/>
  <c r="W188" i="19"/>
  <c r="E188" i="19"/>
  <c r="AE188" i="19"/>
  <c r="J188" i="19"/>
  <c r="I188" i="19"/>
  <c r="AB188" i="19"/>
  <c r="D188" i="19"/>
  <c r="X188" i="19"/>
  <c r="K188" i="19"/>
  <c r="Y188" i="19"/>
  <c r="S188" i="19"/>
  <c r="M188" i="19"/>
  <c r="T188" i="19"/>
  <c r="AI188" i="19" s="1"/>
  <c r="A189" i="19"/>
  <c r="A190" i="19" s="1"/>
  <c r="A191" i="19" s="1"/>
  <c r="A192" i="19" s="1"/>
  <c r="AP187" i="19"/>
  <c r="AK187" i="19"/>
  <c r="AL187" i="19"/>
  <c r="AO187" i="19"/>
  <c r="AM187" i="19"/>
  <c r="AN187" i="19"/>
  <c r="B188" i="19"/>
  <c r="AP188" i="19" l="1"/>
  <c r="AL188" i="19"/>
  <c r="AK188" i="19"/>
  <c r="AM188" i="19"/>
  <c r="AO188" i="19"/>
  <c r="AN188" i="19"/>
  <c r="B189" i="19"/>
  <c r="C190" i="19"/>
  <c r="B190" i="19"/>
  <c r="C189" i="19"/>
  <c r="J189" i="19" l="1"/>
  <c r="E189" i="19"/>
  <c r="G189" i="19"/>
  <c r="S189" i="19"/>
  <c r="X189" i="19"/>
  <c r="AQ189" i="19"/>
  <c r="AG189" i="19"/>
  <c r="M189" i="19"/>
  <c r="AA189" i="19"/>
  <c r="U189" i="19"/>
  <c r="L189" i="19"/>
  <c r="H189" i="19"/>
  <c r="AE189" i="19"/>
  <c r="V189" i="19"/>
  <c r="F189" i="19"/>
  <c r="Q189" i="19"/>
  <c r="O189" i="19"/>
  <c r="T189" i="19"/>
  <c r="AI189" i="19" s="1"/>
  <c r="AO189" i="19" s="1"/>
  <c r="D189" i="19"/>
  <c r="AS189" i="19"/>
  <c r="I189" i="19"/>
  <c r="N189" i="19"/>
  <c r="Y189" i="19"/>
  <c r="K189" i="19"/>
  <c r="AB189" i="19"/>
  <c r="AC189" i="19"/>
  <c r="Z189" i="19"/>
  <c r="W189" i="19"/>
  <c r="R189" i="19"/>
  <c r="AR189" i="19"/>
  <c r="AD189" i="19"/>
  <c r="AF189" i="19"/>
  <c r="L190" i="19"/>
  <c r="AS190" i="19"/>
  <c r="D190" i="19"/>
  <c r="J190" i="19"/>
  <c r="AE190" i="19"/>
  <c r="I190" i="19"/>
  <c r="N190" i="19"/>
  <c r="U190" i="19"/>
  <c r="Y190" i="19"/>
  <c r="H190" i="19"/>
  <c r="AQ190" i="19"/>
  <c r="F190" i="19"/>
  <c r="K190" i="19"/>
  <c r="AC190" i="19"/>
  <c r="AF190" i="19"/>
  <c r="M190" i="19"/>
  <c r="V190" i="19"/>
  <c r="AG190" i="19"/>
  <c r="AB190" i="19"/>
  <c r="W190" i="19"/>
  <c r="R190" i="19"/>
  <c r="G190" i="19"/>
  <c r="O190" i="19"/>
  <c r="AA190" i="19"/>
  <c r="S190" i="19"/>
  <c r="Q190" i="19"/>
  <c r="AR190" i="19"/>
  <c r="E190" i="19"/>
  <c r="X190" i="19"/>
  <c r="Z190" i="19"/>
  <c r="AD190" i="19"/>
  <c r="T190" i="19"/>
  <c r="AI190" i="19" s="1"/>
  <c r="B191" i="19"/>
  <c r="C191" i="19"/>
  <c r="AM189" i="19" l="1"/>
  <c r="AN189" i="19"/>
  <c r="AK189" i="19"/>
  <c r="AP189" i="19"/>
  <c r="AL189" i="19"/>
  <c r="AG191" i="19"/>
  <c r="AE191" i="19"/>
  <c r="Z191" i="19"/>
  <c r="N191" i="19"/>
  <c r="F191" i="19"/>
  <c r="L191" i="19"/>
  <c r="U191" i="19"/>
  <c r="AD191" i="19"/>
  <c r="I191" i="19"/>
  <c r="AA191" i="19"/>
  <c r="AC191" i="19"/>
  <c r="AR191" i="19"/>
  <c r="G191" i="19"/>
  <c r="J191" i="19"/>
  <c r="D191" i="19"/>
  <c r="E191" i="19"/>
  <c r="X191" i="19"/>
  <c r="S191" i="19"/>
  <c r="W191" i="19"/>
  <c r="Y191" i="19"/>
  <c r="K191" i="19"/>
  <c r="Q191" i="19"/>
  <c r="M191" i="19"/>
  <c r="H191" i="19"/>
  <c r="AQ191" i="19"/>
  <c r="AB191" i="19"/>
  <c r="O191" i="19"/>
  <c r="V191" i="19"/>
  <c r="AF191" i="19"/>
  <c r="R191" i="19"/>
  <c r="AS191" i="19"/>
  <c r="T191" i="19"/>
  <c r="AI191" i="19" s="1"/>
  <c r="AL190" i="19"/>
  <c r="AN190" i="19"/>
  <c r="AO190" i="19"/>
  <c r="AM190" i="19"/>
  <c r="AK190" i="19"/>
  <c r="AP190" i="19"/>
  <c r="C192" i="19"/>
  <c r="B192" i="19"/>
  <c r="N192" i="19" l="1"/>
  <c r="AS192" i="19"/>
  <c r="AF192" i="19"/>
  <c r="K192" i="19"/>
  <c r="O192" i="19"/>
  <c r="E192" i="19"/>
  <c r="W192" i="19"/>
  <c r="AA192" i="19"/>
  <c r="D192" i="19"/>
  <c r="L192" i="19"/>
  <c r="F192" i="19"/>
  <c r="AB192" i="19"/>
  <c r="S192" i="19"/>
  <c r="J192" i="19"/>
  <c r="R192" i="19"/>
  <c r="AR192" i="19"/>
  <c r="U192" i="19"/>
  <c r="Q192" i="19"/>
  <c r="Y192" i="19"/>
  <c r="M192" i="19"/>
  <c r="AD192" i="19"/>
  <c r="V192" i="19"/>
  <c r="I192" i="19"/>
  <c r="X192" i="19"/>
  <c r="G192" i="19"/>
  <c r="Z192" i="19"/>
  <c r="H192" i="19"/>
  <c r="AQ192" i="19"/>
  <c r="AC192" i="19"/>
  <c r="AE192" i="19"/>
  <c r="AG192" i="19"/>
  <c r="T192" i="19"/>
  <c r="AI192" i="19" s="1"/>
  <c r="AO191" i="19"/>
  <c r="AL191" i="19"/>
  <c r="AN191" i="19"/>
  <c r="AK191" i="19"/>
  <c r="AM191" i="19"/>
  <c r="AP191" i="19"/>
  <c r="A193" i="19"/>
  <c r="B193" i="19"/>
  <c r="A194" i="19" l="1"/>
  <c r="AP192" i="19"/>
  <c r="AL192" i="19"/>
  <c r="AN192" i="19"/>
  <c r="AK192" i="19"/>
  <c r="AO192" i="19"/>
  <c r="AM192" i="19"/>
  <c r="B194" i="19"/>
  <c r="C194" i="19"/>
  <c r="C193" i="19"/>
  <c r="D193" i="19" l="1"/>
  <c r="AD193" i="19"/>
  <c r="AF193" i="19"/>
  <c r="K193" i="19"/>
  <c r="E193" i="19"/>
  <c r="AC193" i="19"/>
  <c r="AS193" i="19"/>
  <c r="R193" i="19"/>
  <c r="AG193" i="19"/>
  <c r="V193" i="19"/>
  <c r="Z193" i="19"/>
  <c r="L193" i="19"/>
  <c r="AE193" i="19"/>
  <c r="F193" i="19"/>
  <c r="M193" i="19"/>
  <c r="AR193" i="19"/>
  <c r="U193" i="19"/>
  <c r="N193" i="19"/>
  <c r="J193" i="19"/>
  <c r="S193" i="19"/>
  <c r="G193" i="19"/>
  <c r="I193" i="19"/>
  <c r="Q193" i="19"/>
  <c r="Y193" i="19"/>
  <c r="O193" i="19"/>
  <c r="X193" i="19"/>
  <c r="AQ193" i="19"/>
  <c r="AA193" i="19"/>
  <c r="AB193" i="19"/>
  <c r="W193" i="19"/>
  <c r="H193" i="19"/>
  <c r="T193" i="19"/>
  <c r="AI193" i="19" s="1"/>
  <c r="AL193" i="19" s="1"/>
  <c r="O194" i="19"/>
  <c r="L194" i="19"/>
  <c r="F194" i="19"/>
  <c r="AR194" i="19"/>
  <c r="AS194" i="19"/>
  <c r="AD194" i="19"/>
  <c r="AA194" i="19"/>
  <c r="X194" i="19"/>
  <c r="N194" i="19"/>
  <c r="Z194" i="19"/>
  <c r="K194" i="19"/>
  <c r="J194" i="19"/>
  <c r="AE194" i="19"/>
  <c r="AC194" i="19"/>
  <c r="R194" i="19"/>
  <c r="D194" i="19"/>
  <c r="Y194" i="19"/>
  <c r="I194" i="19"/>
  <c r="S194" i="19"/>
  <c r="W194" i="19"/>
  <c r="AG194" i="19"/>
  <c r="AB194" i="19"/>
  <c r="AF194" i="19"/>
  <c r="H194" i="19"/>
  <c r="Q194" i="19"/>
  <c r="M194" i="19"/>
  <c r="G194" i="19"/>
  <c r="V194" i="19"/>
  <c r="AQ194" i="19"/>
  <c r="U194" i="19"/>
  <c r="E194" i="19"/>
  <c r="T194" i="19"/>
  <c r="AI194" i="19" s="1"/>
  <c r="A195" i="19"/>
  <c r="C195" i="19"/>
  <c r="B195" i="19"/>
  <c r="AN193" i="19" l="1"/>
  <c r="AK193" i="19"/>
  <c r="AO193" i="19"/>
  <c r="AM193" i="19"/>
  <c r="AP193" i="19"/>
  <c r="U195" i="19"/>
  <c r="I195" i="19"/>
  <c r="AQ195" i="19"/>
  <c r="J195" i="19"/>
  <c r="AF195" i="19"/>
  <c r="V195" i="19"/>
  <c r="AC195" i="19"/>
  <c r="AE195" i="19"/>
  <c r="AD195" i="19"/>
  <c r="K195" i="19"/>
  <c r="D195" i="19"/>
  <c r="S195" i="19"/>
  <c r="N195" i="19"/>
  <c r="E195" i="19"/>
  <c r="AG195" i="19"/>
  <c r="AA195" i="19"/>
  <c r="H195" i="19"/>
  <c r="AS195" i="19"/>
  <c r="O195" i="19"/>
  <c r="AR195" i="19"/>
  <c r="R195" i="19"/>
  <c r="L195" i="19"/>
  <c r="Y195" i="19"/>
  <c r="X195" i="19"/>
  <c r="AB195" i="19"/>
  <c r="M195" i="19"/>
  <c r="Z195" i="19"/>
  <c r="W195" i="19"/>
  <c r="Q195" i="19"/>
  <c r="G195" i="19"/>
  <c r="F195" i="19"/>
  <c r="T195" i="19"/>
  <c r="AI195" i="19" s="1"/>
  <c r="AK194" i="19"/>
  <c r="AL194" i="19"/>
  <c r="AP194" i="19"/>
  <c r="AN194" i="19"/>
  <c r="AO194" i="19"/>
  <c r="AM194" i="19"/>
  <c r="A196" i="19"/>
  <c r="B196" i="19"/>
  <c r="AL195" i="19" l="1"/>
  <c r="AM195" i="19"/>
  <c r="AP195" i="19"/>
  <c r="AO195" i="19"/>
  <c r="AN195" i="19"/>
  <c r="AK195" i="19"/>
  <c r="A197" i="19"/>
  <c r="B197" i="19"/>
  <c r="C196" i="19"/>
  <c r="C197" i="19"/>
  <c r="E196" i="19" l="1"/>
  <c r="I196" i="19"/>
  <c r="S196" i="19"/>
  <c r="V196" i="19"/>
  <c r="H196" i="19"/>
  <c r="AB196" i="19"/>
  <c r="D196" i="19"/>
  <c r="Q196" i="19"/>
  <c r="AE196" i="19"/>
  <c r="AC196" i="19"/>
  <c r="J196" i="19"/>
  <c r="X196" i="19"/>
  <c r="Z196" i="19"/>
  <c r="L196" i="19"/>
  <c r="Y196" i="19"/>
  <c r="AD196" i="19"/>
  <c r="AF196" i="19"/>
  <c r="M196" i="19"/>
  <c r="AR196" i="19"/>
  <c r="AA196" i="19"/>
  <c r="W196" i="19"/>
  <c r="N196" i="19"/>
  <c r="R196" i="19"/>
  <c r="AS196" i="19"/>
  <c r="F196" i="19"/>
  <c r="O196" i="19"/>
  <c r="AQ196" i="19"/>
  <c r="AG196" i="19"/>
  <c r="G196" i="19"/>
  <c r="U196" i="19"/>
  <c r="K196" i="19"/>
  <c r="T196" i="19"/>
  <c r="AI196" i="19" s="1"/>
  <c r="AL196" i="19" s="1"/>
  <c r="AS197" i="19"/>
  <c r="AD197" i="19"/>
  <c r="Q197" i="19"/>
  <c r="K197" i="19"/>
  <c r="I197" i="19"/>
  <c r="Y197" i="19"/>
  <c r="X197" i="19"/>
  <c r="Z197" i="19"/>
  <c r="AQ197" i="19"/>
  <c r="H197" i="19"/>
  <c r="V197" i="19"/>
  <c r="N197" i="19"/>
  <c r="D197" i="19"/>
  <c r="AE197" i="19"/>
  <c r="L197" i="19"/>
  <c r="G197" i="19"/>
  <c r="AA197" i="19"/>
  <c r="AC197" i="19"/>
  <c r="F197" i="19"/>
  <c r="M197" i="19"/>
  <c r="E197" i="19"/>
  <c r="R197" i="19"/>
  <c r="AR197" i="19"/>
  <c r="W197" i="19"/>
  <c r="J197" i="19"/>
  <c r="AF197" i="19"/>
  <c r="O197" i="19"/>
  <c r="AB197" i="19"/>
  <c r="S197" i="19"/>
  <c r="U197" i="19"/>
  <c r="AG197" i="19"/>
  <c r="T197" i="19"/>
  <c r="AI197" i="19" s="1"/>
  <c r="A198" i="19"/>
  <c r="C198" i="19"/>
  <c r="B198" i="19"/>
  <c r="AM196" i="19" l="1"/>
  <c r="AP196" i="19"/>
  <c r="AO196" i="19"/>
  <c r="AN196" i="19"/>
  <c r="AK196" i="19"/>
  <c r="AE198" i="19"/>
  <c r="O198" i="19"/>
  <c r="F198" i="19"/>
  <c r="AQ198" i="19"/>
  <c r="M198" i="19"/>
  <c r="AA198" i="19"/>
  <c r="E198" i="19"/>
  <c r="H198" i="19"/>
  <c r="AG198" i="19"/>
  <c r="D198" i="19"/>
  <c r="AB198" i="19"/>
  <c r="S198" i="19"/>
  <c r="L198" i="19"/>
  <c r="R198" i="19"/>
  <c r="G198" i="19"/>
  <c r="Z198" i="19"/>
  <c r="AR198" i="19"/>
  <c r="W198" i="19"/>
  <c r="I198" i="19"/>
  <c r="AD198" i="19"/>
  <c r="Q198" i="19"/>
  <c r="V198" i="19"/>
  <c r="AF198" i="19"/>
  <c r="U198" i="19"/>
  <c r="K198" i="19"/>
  <c r="AC198" i="19"/>
  <c r="X198" i="19"/>
  <c r="AS198" i="19"/>
  <c r="N198" i="19"/>
  <c r="J198" i="19"/>
  <c r="Y198" i="19"/>
  <c r="T198" i="19"/>
  <c r="AI198" i="19" s="1"/>
  <c r="A199" i="19"/>
  <c r="AP197" i="19"/>
  <c r="AO197" i="19"/>
  <c r="AM197" i="19"/>
  <c r="AL197" i="19"/>
  <c r="AN197" i="19"/>
  <c r="AK197" i="19"/>
  <c r="B199" i="19"/>
  <c r="AM198" i="19" l="1"/>
  <c r="AL198" i="19"/>
  <c r="AP198" i="19"/>
  <c r="AO198" i="19"/>
  <c r="AK198" i="19"/>
  <c r="AN198" i="19"/>
  <c r="A200" i="19"/>
  <c r="C200" i="19"/>
  <c r="C199" i="19"/>
  <c r="B200" i="19"/>
  <c r="AG199" i="19" l="1"/>
  <c r="S199" i="19"/>
  <c r="D199" i="19"/>
  <c r="M199" i="19"/>
  <c r="I199" i="19"/>
  <c r="K199" i="19"/>
  <c r="Z199" i="19"/>
  <c r="AF199" i="19"/>
  <c r="Y199" i="19"/>
  <c r="AR199" i="19"/>
  <c r="Q199" i="19"/>
  <c r="U199" i="19"/>
  <c r="AD199" i="19"/>
  <c r="R199" i="19"/>
  <c r="G199" i="19"/>
  <c r="T199" i="19"/>
  <c r="AI199" i="19" s="1"/>
  <c r="AO199" i="19" s="1"/>
  <c r="J199" i="19"/>
  <c r="AE199" i="19"/>
  <c r="X199" i="19"/>
  <c r="N199" i="19"/>
  <c r="V199" i="19"/>
  <c r="AA199" i="19"/>
  <c r="AB199" i="19"/>
  <c r="H199" i="19"/>
  <c r="AS199" i="19"/>
  <c r="O199" i="19"/>
  <c r="W199" i="19"/>
  <c r="AQ199" i="19"/>
  <c r="E199" i="19"/>
  <c r="F199" i="19"/>
  <c r="AC199" i="19"/>
  <c r="L199" i="19"/>
  <c r="G200" i="19"/>
  <c r="H200" i="19"/>
  <c r="AG200" i="19"/>
  <c r="AA200" i="19"/>
  <c r="S200" i="19"/>
  <c r="AF200" i="19"/>
  <c r="AC200" i="19"/>
  <c r="K200" i="19"/>
  <c r="Q200" i="19"/>
  <c r="O200" i="19"/>
  <c r="Z200" i="19"/>
  <c r="U200" i="19"/>
  <c r="W200" i="19"/>
  <c r="N200" i="19"/>
  <c r="AS200" i="19"/>
  <c r="V200" i="19"/>
  <c r="I200" i="19"/>
  <c r="L200" i="19"/>
  <c r="R200" i="19"/>
  <c r="X200" i="19"/>
  <c r="E200" i="19"/>
  <c r="M200" i="19"/>
  <c r="J200" i="19"/>
  <c r="AB200" i="19"/>
  <c r="D200" i="19"/>
  <c r="AE200" i="19"/>
  <c r="AR200" i="19"/>
  <c r="AQ200" i="19"/>
  <c r="F200" i="19"/>
  <c r="AD200" i="19"/>
  <c r="Y200" i="19"/>
  <c r="T200" i="19"/>
  <c r="AI200" i="19" s="1"/>
  <c r="A201" i="19"/>
  <c r="B201" i="19"/>
  <c r="C201" i="19"/>
  <c r="AM199" i="19" l="1"/>
  <c r="AL199" i="19"/>
  <c r="AP199" i="19"/>
  <c r="AN199" i="19"/>
  <c r="AK199" i="19"/>
  <c r="N201" i="19"/>
  <c r="AR201" i="19"/>
  <c r="R201" i="19"/>
  <c r="Z201" i="19"/>
  <c r="O201" i="19"/>
  <c r="H201" i="19"/>
  <c r="I201" i="19"/>
  <c r="AG201" i="19"/>
  <c r="AF201" i="19"/>
  <c r="V201" i="19"/>
  <c r="S201" i="19"/>
  <c r="E201" i="19"/>
  <c r="AA201" i="19"/>
  <c r="AB201" i="19"/>
  <c r="F201" i="19"/>
  <c r="AS201" i="19"/>
  <c r="U201" i="19"/>
  <c r="Q201" i="19"/>
  <c r="M201" i="19"/>
  <c r="AC201" i="19"/>
  <c r="AE201" i="19"/>
  <c r="K201" i="19"/>
  <c r="D201" i="19"/>
  <c r="Y201" i="19"/>
  <c r="AQ201" i="19"/>
  <c r="G201" i="19"/>
  <c r="J201" i="19"/>
  <c r="AD201" i="19"/>
  <c r="L201" i="19"/>
  <c r="W201" i="19"/>
  <c r="X201" i="19"/>
  <c r="T201" i="19"/>
  <c r="AI201" i="19" s="1"/>
  <c r="AK200" i="19"/>
  <c r="AN200" i="19"/>
  <c r="AP200" i="19"/>
  <c r="AL200" i="19"/>
  <c r="AM200" i="19"/>
  <c r="AO200" i="19"/>
  <c r="A202" i="19"/>
  <c r="C202" i="19"/>
  <c r="E202" i="19" l="1"/>
  <c r="S202" i="19"/>
  <c r="U202" i="19"/>
  <c r="N202" i="19"/>
  <c r="D202" i="19"/>
  <c r="M202" i="19"/>
  <c r="AC202" i="19"/>
  <c r="J202" i="19"/>
  <c r="R202" i="19"/>
  <c r="Q202" i="19"/>
  <c r="AF202" i="19"/>
  <c r="AA202" i="19"/>
  <c r="AS202" i="19"/>
  <c r="V202" i="19"/>
  <c r="W202" i="19"/>
  <c r="L202" i="19"/>
  <c r="AD202" i="19"/>
  <c r="AQ202" i="19"/>
  <c r="X202" i="19"/>
  <c r="Y202" i="19"/>
  <c r="H202" i="19"/>
  <c r="F202" i="19"/>
  <c r="K202" i="19"/>
  <c r="AG202" i="19"/>
  <c r="G202" i="19"/>
  <c r="Z202" i="19"/>
  <c r="I202" i="19"/>
  <c r="AE202" i="19"/>
  <c r="O202" i="19"/>
  <c r="AR202" i="19"/>
  <c r="AB202" i="19"/>
  <c r="T202" i="19"/>
  <c r="AI202" i="19" s="1"/>
  <c r="A203" i="19"/>
  <c r="AO201" i="19"/>
  <c r="AN201" i="19"/>
  <c r="AK201" i="19"/>
  <c r="AL201" i="19"/>
  <c r="AP201" i="19"/>
  <c r="AM201" i="19"/>
  <c r="B202" i="19"/>
  <c r="C203" i="19"/>
  <c r="I203" i="19" l="1"/>
  <c r="AG203" i="19"/>
  <c r="Q203" i="19"/>
  <c r="F203" i="19"/>
  <c r="AD203" i="19"/>
  <c r="AB203" i="19"/>
  <c r="E203" i="19"/>
  <c r="J203" i="19"/>
  <c r="W203" i="19"/>
  <c r="U203" i="19"/>
  <c r="V203" i="19"/>
  <c r="L203" i="19"/>
  <c r="AQ203" i="19"/>
  <c r="Y203" i="19"/>
  <c r="AS203" i="19"/>
  <c r="AC203" i="19"/>
  <c r="X203" i="19"/>
  <c r="M203" i="19"/>
  <c r="AF203" i="19"/>
  <c r="H203" i="19"/>
  <c r="N203" i="19"/>
  <c r="R203" i="19"/>
  <c r="D203" i="19"/>
  <c r="AE203" i="19"/>
  <c r="AA203" i="19"/>
  <c r="G203" i="19"/>
  <c r="O203" i="19"/>
  <c r="S203" i="19"/>
  <c r="K203" i="19"/>
  <c r="AR203" i="19"/>
  <c r="Z203" i="19"/>
  <c r="T203" i="19"/>
  <c r="AI203" i="19" s="1"/>
  <c r="AK202" i="19"/>
  <c r="AN202" i="19"/>
  <c r="AO202" i="19"/>
  <c r="AM202" i="19"/>
  <c r="AP202" i="19"/>
  <c r="AL202" i="19"/>
  <c r="A204" i="19"/>
  <c r="A205" i="19" s="1"/>
  <c r="A206" i="19" s="1"/>
  <c r="A207" i="19" s="1"/>
  <c r="B203" i="19"/>
  <c r="AP203" i="19" l="1"/>
  <c r="AN203" i="19"/>
  <c r="AK203" i="19"/>
  <c r="AL203" i="19"/>
  <c r="AM203" i="19"/>
  <c r="AO203" i="19"/>
  <c r="C204" i="19"/>
  <c r="C205" i="19"/>
  <c r="B204" i="19"/>
  <c r="B205" i="19"/>
  <c r="AA204" i="19" l="1"/>
  <c r="AQ204" i="19"/>
  <c r="H204" i="19"/>
  <c r="G204" i="19"/>
  <c r="AR204" i="19"/>
  <c r="S204" i="19"/>
  <c r="W204" i="19"/>
  <c r="AG204" i="19"/>
  <c r="J204" i="19"/>
  <c r="F204" i="19"/>
  <c r="T204" i="19"/>
  <c r="AI204" i="19" s="1"/>
  <c r="AP204" i="19" s="1"/>
  <c r="K204" i="19"/>
  <c r="Y204" i="19"/>
  <c r="AS204" i="19"/>
  <c r="L204" i="19"/>
  <c r="E204" i="19"/>
  <c r="Z204" i="19"/>
  <c r="X204" i="19"/>
  <c r="V204" i="19"/>
  <c r="D204" i="19"/>
  <c r="AB204" i="19"/>
  <c r="AE204" i="19"/>
  <c r="U204" i="19"/>
  <c r="N204" i="19"/>
  <c r="AF204" i="19"/>
  <c r="M204" i="19"/>
  <c r="O204" i="19"/>
  <c r="Q204" i="19"/>
  <c r="AC204" i="19"/>
  <c r="AD204" i="19"/>
  <c r="R204" i="19"/>
  <c r="I204" i="19"/>
  <c r="AG205" i="19"/>
  <c r="AD205" i="19"/>
  <c r="S205" i="19"/>
  <c r="L205" i="19"/>
  <c r="K205" i="19"/>
  <c r="D205" i="19"/>
  <c r="V205" i="19"/>
  <c r="R205" i="19"/>
  <c r="W205" i="19"/>
  <c r="F205" i="19"/>
  <c r="U205" i="19"/>
  <c r="O205" i="19"/>
  <c r="AS205" i="19"/>
  <c r="AF205" i="19"/>
  <c r="AA205" i="19"/>
  <c r="AB205" i="19"/>
  <c r="H205" i="19"/>
  <c r="Z205" i="19"/>
  <c r="G205" i="19"/>
  <c r="N205" i="19"/>
  <c r="E205" i="19"/>
  <c r="AR205" i="19"/>
  <c r="I205" i="19"/>
  <c r="AQ205" i="19"/>
  <c r="X205" i="19"/>
  <c r="M205" i="19"/>
  <c r="AE205" i="19"/>
  <c r="J205" i="19"/>
  <c r="AC205" i="19"/>
  <c r="Y205" i="19"/>
  <c r="Q205" i="19"/>
  <c r="T205" i="19"/>
  <c r="AI205" i="19" s="1"/>
  <c r="C206" i="19"/>
  <c r="B206" i="19"/>
  <c r="AN204" i="19" l="1"/>
  <c r="AO204" i="19"/>
  <c r="AL204" i="19"/>
  <c r="AK204" i="19"/>
  <c r="AM204" i="19"/>
  <c r="AQ206" i="19"/>
  <c r="G206" i="19"/>
  <c r="U206" i="19"/>
  <c r="M206" i="19"/>
  <c r="V206" i="19"/>
  <c r="Q206" i="19"/>
  <c r="Z206" i="19"/>
  <c r="D206" i="19"/>
  <c r="AF206" i="19"/>
  <c r="AC206" i="19"/>
  <c r="AG206" i="19"/>
  <c r="R206" i="19"/>
  <c r="J206" i="19"/>
  <c r="F206" i="19"/>
  <c r="AA206" i="19"/>
  <c r="AS206" i="19"/>
  <c r="S206" i="19"/>
  <c r="I206" i="19"/>
  <c r="E206" i="19"/>
  <c r="AD206" i="19"/>
  <c r="H206" i="19"/>
  <c r="L206" i="19"/>
  <c r="Y206" i="19"/>
  <c r="AB206" i="19"/>
  <c r="O206" i="19"/>
  <c r="AR206" i="19"/>
  <c r="K206" i="19"/>
  <c r="X206" i="19"/>
  <c r="AE206" i="19"/>
  <c r="W206" i="19"/>
  <c r="N206" i="19"/>
  <c r="T206" i="19"/>
  <c r="AI206" i="19" s="1"/>
  <c r="AK205" i="19"/>
  <c r="AM205" i="19"/>
  <c r="AO205" i="19"/>
  <c r="AL205" i="19"/>
  <c r="AP205" i="19"/>
  <c r="AN205" i="19"/>
  <c r="B207" i="19"/>
  <c r="C207" i="19"/>
  <c r="AG207" i="19" l="1"/>
  <c r="AQ207" i="19"/>
  <c r="D207" i="19"/>
  <c r="N207" i="19"/>
  <c r="S207" i="19"/>
  <c r="H207" i="19"/>
  <c r="L207" i="19"/>
  <c r="AB207" i="19"/>
  <c r="E207" i="19"/>
  <c r="K207" i="19"/>
  <c r="O207" i="19"/>
  <c r="U207" i="19"/>
  <c r="AE207" i="19"/>
  <c r="M207" i="19"/>
  <c r="AD207" i="19"/>
  <c r="J207" i="19"/>
  <c r="G207" i="19"/>
  <c r="AC207" i="19"/>
  <c r="W207" i="19"/>
  <c r="AA207" i="19"/>
  <c r="Y207" i="19"/>
  <c r="AR207" i="19"/>
  <c r="I207" i="19"/>
  <c r="X207" i="19"/>
  <c r="Q207" i="19"/>
  <c r="V207" i="19"/>
  <c r="F207" i="19"/>
  <c r="AS207" i="19"/>
  <c r="AF207" i="19"/>
  <c r="R207" i="19"/>
  <c r="Z207" i="19"/>
  <c r="T207" i="19"/>
  <c r="AI207" i="19" s="1"/>
  <c r="AN206" i="19"/>
  <c r="AP206" i="19"/>
  <c r="AK206" i="19"/>
  <c r="AM206" i="19"/>
  <c r="AO206" i="19"/>
  <c r="AL206" i="19"/>
  <c r="A208" i="19"/>
  <c r="B208" i="19"/>
  <c r="AO207" i="19" l="1"/>
  <c r="AK207" i="19"/>
  <c r="AL207" i="19"/>
  <c r="AM207" i="19"/>
  <c r="AP207" i="19"/>
  <c r="AN207" i="19"/>
  <c r="A209" i="19"/>
  <c r="C209" i="19"/>
  <c r="B209" i="19"/>
  <c r="C208" i="19"/>
  <c r="S208" i="19" l="1"/>
  <c r="AF208" i="19"/>
  <c r="U208" i="19"/>
  <c r="Y208" i="19"/>
  <c r="AS208" i="19"/>
  <c r="J208" i="19"/>
  <c r="M208" i="19"/>
  <c r="F208" i="19"/>
  <c r="AB208" i="19"/>
  <c r="H208" i="19"/>
  <c r="D208" i="19"/>
  <c r="AA208" i="19"/>
  <c r="I208" i="19"/>
  <c r="T208" i="19"/>
  <c r="AI208" i="19" s="1"/>
  <c r="AN208" i="19" s="1"/>
  <c r="X208" i="19"/>
  <c r="N208" i="19"/>
  <c r="R208" i="19"/>
  <c r="L208" i="19"/>
  <c r="AD208" i="19"/>
  <c r="K208" i="19"/>
  <c r="O208" i="19"/>
  <c r="AQ208" i="19"/>
  <c r="E208" i="19"/>
  <c r="AR208" i="19"/>
  <c r="AG208" i="19"/>
  <c r="Z208" i="19"/>
  <c r="W208" i="19"/>
  <c r="AC208" i="19"/>
  <c r="G208" i="19"/>
  <c r="AE208" i="19"/>
  <c r="V208" i="19"/>
  <c r="Q208" i="19"/>
  <c r="Y209" i="19"/>
  <c r="S209" i="19"/>
  <c r="F209" i="19"/>
  <c r="AG209" i="19"/>
  <c r="O209" i="19"/>
  <c r="K209" i="19"/>
  <c r="AF209" i="19"/>
  <c r="X209" i="19"/>
  <c r="E209" i="19"/>
  <c r="M209" i="19"/>
  <c r="AS209" i="19"/>
  <c r="U209" i="19"/>
  <c r="AA209" i="19"/>
  <c r="G209" i="19"/>
  <c r="D209" i="19"/>
  <c r="Q209" i="19"/>
  <c r="AQ209" i="19"/>
  <c r="W209" i="19"/>
  <c r="V209" i="19"/>
  <c r="Z209" i="19"/>
  <c r="H209" i="19"/>
  <c r="AC209" i="19"/>
  <c r="R209" i="19"/>
  <c r="AD209" i="19"/>
  <c r="AE209" i="19"/>
  <c r="I209" i="19"/>
  <c r="N209" i="19"/>
  <c r="AR209" i="19"/>
  <c r="L209" i="19"/>
  <c r="AB209" i="19"/>
  <c r="J209" i="19"/>
  <c r="T209" i="19"/>
  <c r="AI209" i="19" s="1"/>
  <c r="A210" i="19"/>
  <c r="C210" i="19"/>
  <c r="AK208" i="19" l="1"/>
  <c r="AL208" i="19"/>
  <c r="AP208" i="19"/>
  <c r="AM208" i="19"/>
  <c r="AO208" i="19"/>
  <c r="E210" i="19"/>
  <c r="AR210" i="19"/>
  <c r="D210" i="19"/>
  <c r="G210" i="19"/>
  <c r="N210" i="19"/>
  <c r="H210" i="19"/>
  <c r="W210" i="19"/>
  <c r="J210" i="19"/>
  <c r="O210" i="19"/>
  <c r="AD210" i="19"/>
  <c r="V210" i="19"/>
  <c r="AC210" i="19"/>
  <c r="AF210" i="19"/>
  <c r="AA210" i="19"/>
  <c r="AQ210" i="19"/>
  <c r="F210" i="19"/>
  <c r="K210" i="19"/>
  <c r="I210" i="19"/>
  <c r="M210" i="19"/>
  <c r="R210" i="19"/>
  <c r="AG210" i="19"/>
  <c r="Q210" i="19"/>
  <c r="X210" i="19"/>
  <c r="U210" i="19"/>
  <c r="Z210" i="19"/>
  <c r="AE210" i="19"/>
  <c r="AB210" i="19"/>
  <c r="AS210" i="19"/>
  <c r="Y210" i="19"/>
  <c r="S210" i="19"/>
  <c r="L210" i="19"/>
  <c r="T210" i="19"/>
  <c r="AI210" i="19" s="1"/>
  <c r="AK209" i="19"/>
  <c r="AN209" i="19"/>
  <c r="AL209" i="19"/>
  <c r="AO209" i="19"/>
  <c r="AP209" i="19"/>
  <c r="AM209" i="19"/>
  <c r="A211" i="19"/>
  <c r="B211" i="19"/>
  <c r="B210" i="19"/>
  <c r="A212" i="19" l="1"/>
  <c r="AO210" i="19"/>
  <c r="AN210" i="19"/>
  <c r="AM210" i="19"/>
  <c r="AK210" i="19"/>
  <c r="AP210" i="19"/>
  <c r="AL210" i="19"/>
  <c r="C212" i="19"/>
  <c r="C211" i="19"/>
  <c r="B212" i="19"/>
  <c r="N211" i="19" l="1"/>
  <c r="D211" i="19"/>
  <c r="AE211" i="19"/>
  <c r="M211" i="19"/>
  <c r="H211" i="19"/>
  <c r="S211" i="19"/>
  <c r="J211" i="19"/>
  <c r="W211" i="19"/>
  <c r="AS211" i="19"/>
  <c r="L211" i="19"/>
  <c r="F211" i="19"/>
  <c r="G211" i="19"/>
  <c r="K211" i="19"/>
  <c r="Q211" i="19"/>
  <c r="AC211" i="19"/>
  <c r="Z211" i="19"/>
  <c r="AB211" i="19"/>
  <c r="AA211" i="19"/>
  <c r="X211" i="19"/>
  <c r="AR211" i="19"/>
  <c r="O211" i="19"/>
  <c r="I211" i="19"/>
  <c r="E211" i="19"/>
  <c r="AQ211" i="19"/>
  <c r="U211" i="19"/>
  <c r="AD211" i="19"/>
  <c r="AF211" i="19"/>
  <c r="Y211" i="19"/>
  <c r="R211" i="19"/>
  <c r="AG211" i="19"/>
  <c r="V211" i="19"/>
  <c r="T211" i="19"/>
  <c r="AI211" i="19" s="1"/>
  <c r="AN211" i="19" s="1"/>
  <c r="AR212" i="19"/>
  <c r="R212" i="19"/>
  <c r="S212" i="19"/>
  <c r="W212" i="19"/>
  <c r="I212" i="19"/>
  <c r="AE212" i="19"/>
  <c r="N212" i="19"/>
  <c r="Q212" i="19"/>
  <c r="L212" i="19"/>
  <c r="AA212" i="19"/>
  <c r="V212" i="19"/>
  <c r="M212" i="19"/>
  <c r="F212" i="19"/>
  <c r="AB212" i="19"/>
  <c r="X212" i="19"/>
  <c r="G212" i="19"/>
  <c r="J212" i="19"/>
  <c r="AQ212" i="19"/>
  <c r="O212" i="19"/>
  <c r="AD212" i="19"/>
  <c r="E212" i="19"/>
  <c r="Z212" i="19"/>
  <c r="AG212" i="19"/>
  <c r="AF212" i="19"/>
  <c r="H212" i="19"/>
  <c r="U212" i="19"/>
  <c r="AS212" i="19"/>
  <c r="Y212" i="19"/>
  <c r="AC212" i="19"/>
  <c r="K212" i="19"/>
  <c r="D212" i="19"/>
  <c r="T212" i="19"/>
  <c r="AI212" i="19" s="1"/>
  <c r="A213" i="19"/>
  <c r="B213" i="19"/>
  <c r="AK211" i="19" l="1"/>
  <c r="AM211" i="19"/>
  <c r="AP211" i="19"/>
  <c r="AL211" i="19"/>
  <c r="AO211" i="19"/>
  <c r="AM212" i="19"/>
  <c r="AP212" i="19"/>
  <c r="AK212" i="19"/>
  <c r="AO212" i="19"/>
  <c r="AL212" i="19"/>
  <c r="AN212" i="19"/>
  <c r="A214" i="19"/>
  <c r="C213" i="19"/>
  <c r="B214" i="19"/>
  <c r="AB213" i="19" l="1"/>
  <c r="AD213" i="19"/>
  <c r="AF213" i="19"/>
  <c r="W213" i="19"/>
  <c r="G213" i="19"/>
  <c r="N213" i="19"/>
  <c r="I213" i="19"/>
  <c r="U213" i="19"/>
  <c r="AQ213" i="19"/>
  <c r="Y213" i="19"/>
  <c r="AS213" i="19"/>
  <c r="K213" i="19"/>
  <c r="AG213" i="19"/>
  <c r="F213" i="19"/>
  <c r="V213" i="19"/>
  <c r="AC213" i="19"/>
  <c r="M213" i="19"/>
  <c r="L213" i="19"/>
  <c r="E213" i="19"/>
  <c r="AR213" i="19"/>
  <c r="T213" i="19"/>
  <c r="AI213" i="19" s="1"/>
  <c r="AP213" i="19" s="1"/>
  <c r="AE213" i="19"/>
  <c r="H213" i="19"/>
  <c r="O213" i="19"/>
  <c r="X213" i="19"/>
  <c r="J213" i="19"/>
  <c r="R213" i="19"/>
  <c r="Q213" i="19"/>
  <c r="AA213" i="19"/>
  <c r="D213" i="19"/>
  <c r="Z213" i="19"/>
  <c r="S213" i="19"/>
  <c r="A215" i="19"/>
  <c r="C214" i="19"/>
  <c r="B215" i="19"/>
  <c r="AM213" i="19" l="1"/>
  <c r="AO213" i="19"/>
  <c r="Q214" i="19"/>
  <c r="AS214" i="19"/>
  <c r="M214" i="19"/>
  <c r="R214" i="19"/>
  <c r="AB214" i="19"/>
  <c r="O214" i="19"/>
  <c r="F214" i="19"/>
  <c r="D214" i="19"/>
  <c r="E214" i="19"/>
  <c r="S214" i="19"/>
  <c r="I214" i="19"/>
  <c r="AR214" i="19"/>
  <c r="Y214" i="19"/>
  <c r="L214" i="19"/>
  <c r="K214" i="19"/>
  <c r="X214" i="19"/>
  <c r="AD214" i="19"/>
  <c r="AQ214" i="19"/>
  <c r="AC214" i="19"/>
  <c r="AF214" i="19"/>
  <c r="W214" i="19"/>
  <c r="N214" i="19"/>
  <c r="AA214" i="19"/>
  <c r="Z214" i="19"/>
  <c r="AE214" i="19"/>
  <c r="T214" i="19"/>
  <c r="AI214" i="19" s="1"/>
  <c r="AL214" i="19" s="1"/>
  <c r="AG214" i="19"/>
  <c r="G214" i="19"/>
  <c r="U214" i="19"/>
  <c r="V214" i="19"/>
  <c r="J214" i="19"/>
  <c r="H214" i="19"/>
  <c r="AN213" i="19"/>
  <c r="AK213" i="19"/>
  <c r="AL213" i="19"/>
  <c r="A216" i="19"/>
  <c r="B216" i="19"/>
  <c r="C215" i="19"/>
  <c r="C216" i="19"/>
  <c r="AO214" i="19" l="1"/>
  <c r="AP214" i="19"/>
  <c r="AM214" i="19"/>
  <c r="AN214" i="19"/>
  <c r="AK214" i="19"/>
  <c r="AC215" i="19"/>
  <c r="N215" i="19"/>
  <c r="AG215" i="19"/>
  <c r="AS215" i="19"/>
  <c r="D215" i="19"/>
  <c r="I215" i="19"/>
  <c r="AA215" i="19"/>
  <c r="AE215" i="19"/>
  <c r="Z215" i="19"/>
  <c r="H215" i="19"/>
  <c r="AQ215" i="19"/>
  <c r="X215" i="19"/>
  <c r="AF215" i="19"/>
  <c r="AD215" i="19"/>
  <c r="E215" i="19"/>
  <c r="G215" i="19"/>
  <c r="V215" i="19"/>
  <c r="Y215" i="19"/>
  <c r="AB215" i="19"/>
  <c r="J215" i="19"/>
  <c r="U215" i="19"/>
  <c r="M215" i="19"/>
  <c r="AR215" i="19"/>
  <c r="F215" i="19"/>
  <c r="L215" i="19"/>
  <c r="T215" i="19"/>
  <c r="AI215" i="19" s="1"/>
  <c r="AL215" i="19" s="1"/>
  <c r="R215" i="19"/>
  <c r="S215" i="19"/>
  <c r="K215" i="19"/>
  <c r="Q215" i="19"/>
  <c r="O215" i="19"/>
  <c r="W215" i="19"/>
  <c r="Z216" i="19"/>
  <c r="E216" i="19"/>
  <c r="I216" i="19"/>
  <c r="G216" i="19"/>
  <c r="D216" i="19"/>
  <c r="K216" i="19"/>
  <c r="AF216" i="19"/>
  <c r="W216" i="19"/>
  <c r="AQ216" i="19"/>
  <c r="H216" i="19"/>
  <c r="M216" i="19"/>
  <c r="AA216" i="19"/>
  <c r="AD216" i="19"/>
  <c r="R216" i="19"/>
  <c r="O216" i="19"/>
  <c r="AG216" i="19"/>
  <c r="U216" i="19"/>
  <c r="AS216" i="19"/>
  <c r="Y216" i="19"/>
  <c r="S216" i="19"/>
  <c r="AC216" i="19"/>
  <c r="F216" i="19"/>
  <c r="N216" i="19"/>
  <c r="X216" i="19"/>
  <c r="AR216" i="19"/>
  <c r="AE216" i="19"/>
  <c r="AB216" i="19"/>
  <c r="J216" i="19"/>
  <c r="V216" i="19"/>
  <c r="Q216" i="19"/>
  <c r="L216" i="19"/>
  <c r="T216" i="19"/>
  <c r="AI216" i="19" s="1"/>
  <c r="A217" i="19"/>
  <c r="B217" i="19"/>
  <c r="C217" i="19"/>
  <c r="AK215" i="19" l="1"/>
  <c r="AO215" i="19"/>
  <c r="AP215" i="19"/>
  <c r="AN215" i="19"/>
  <c r="AM215" i="19"/>
  <c r="AC217" i="19"/>
  <c r="N217" i="19"/>
  <c r="AR217" i="19"/>
  <c r="J217" i="19"/>
  <c r="D217" i="19"/>
  <c r="I217" i="19"/>
  <c r="E217" i="19"/>
  <c r="AA217" i="19"/>
  <c r="W217" i="19"/>
  <c r="AS217" i="19"/>
  <c r="AQ217" i="19"/>
  <c r="AG217" i="19"/>
  <c r="M217" i="19"/>
  <c r="S217" i="19"/>
  <c r="AF217" i="19"/>
  <c r="H217" i="19"/>
  <c r="V217" i="19"/>
  <c r="F217" i="19"/>
  <c r="R217" i="19"/>
  <c r="K217" i="19"/>
  <c r="X217" i="19"/>
  <c r="O217" i="19"/>
  <c r="U217" i="19"/>
  <c r="Y217" i="19"/>
  <c r="AD217" i="19"/>
  <c r="Q217" i="19"/>
  <c r="Z217" i="19"/>
  <c r="AB217" i="19"/>
  <c r="G217" i="19"/>
  <c r="L217" i="19"/>
  <c r="AE217" i="19"/>
  <c r="T217" i="19"/>
  <c r="AI217" i="19" s="1"/>
  <c r="AM216" i="19"/>
  <c r="AN216" i="19"/>
  <c r="AK216" i="19"/>
  <c r="AP216" i="19"/>
  <c r="AO216" i="19"/>
  <c r="AL216" i="19"/>
  <c r="A218" i="19"/>
  <c r="C218" i="19"/>
  <c r="S218" i="19" l="1"/>
  <c r="Y218" i="19"/>
  <c r="AR218" i="19"/>
  <c r="F218" i="19"/>
  <c r="K218" i="19"/>
  <c r="AA218" i="19"/>
  <c r="E218" i="19"/>
  <c r="V218" i="19"/>
  <c r="AE218" i="19"/>
  <c r="AC218" i="19"/>
  <c r="AS218" i="19"/>
  <c r="O218" i="19"/>
  <c r="M218" i="19"/>
  <c r="H218" i="19"/>
  <c r="J218" i="19"/>
  <c r="G218" i="19"/>
  <c r="AD218" i="19"/>
  <c r="Q218" i="19"/>
  <c r="D218" i="19"/>
  <c r="N218" i="19"/>
  <c r="AF218" i="19"/>
  <c r="R218" i="19"/>
  <c r="W218" i="19"/>
  <c r="AQ218" i="19"/>
  <c r="L218" i="19"/>
  <c r="U218" i="19"/>
  <c r="X218" i="19"/>
  <c r="AB218" i="19"/>
  <c r="I218" i="19"/>
  <c r="AG218" i="19"/>
  <c r="Z218" i="19"/>
  <c r="T218" i="19"/>
  <c r="AI218" i="19" s="1"/>
  <c r="A219" i="19"/>
  <c r="A220" i="19" s="1"/>
  <c r="A221" i="19" s="1"/>
  <c r="A222" i="19" s="1"/>
  <c r="AL217" i="19"/>
  <c r="AO217" i="19"/>
  <c r="AP217" i="19"/>
  <c r="AN217" i="19"/>
  <c r="AM217" i="19"/>
  <c r="AK217" i="19"/>
  <c r="B218" i="19"/>
  <c r="AO218" i="19" l="1"/>
  <c r="AP218" i="19"/>
  <c r="AK218" i="19"/>
  <c r="AM218" i="19"/>
  <c r="AL218" i="19"/>
  <c r="AN218" i="19"/>
  <c r="B220" i="19"/>
  <c r="C219" i="19"/>
  <c r="C220" i="19"/>
  <c r="B219" i="19"/>
  <c r="AR219" i="19" l="1"/>
  <c r="AD219" i="19"/>
  <c r="AE219" i="19"/>
  <c r="AS219" i="19"/>
  <c r="K219" i="19"/>
  <c r="Q219" i="19"/>
  <c r="I219" i="19"/>
  <c r="O219" i="19"/>
  <c r="Y219" i="19"/>
  <c r="R219" i="19"/>
  <c r="W219" i="19"/>
  <c r="AQ219" i="19"/>
  <c r="N219" i="19"/>
  <c r="AG219" i="19"/>
  <c r="AB219" i="19"/>
  <c r="E219" i="19"/>
  <c r="D219" i="19"/>
  <c r="U219" i="19"/>
  <c r="AC219" i="19"/>
  <c r="H219" i="19"/>
  <c r="V219" i="19"/>
  <c r="X219" i="19"/>
  <c r="AF219" i="19"/>
  <c r="S219" i="19"/>
  <c r="M219" i="19"/>
  <c r="G219" i="19"/>
  <c r="J219" i="19"/>
  <c r="AA219" i="19"/>
  <c r="Z219" i="19"/>
  <c r="L219" i="19"/>
  <c r="F219" i="19"/>
  <c r="T219" i="19"/>
  <c r="AI219" i="19" s="1"/>
  <c r="AN219" i="19" s="1"/>
  <c r="S220" i="19"/>
  <c r="D220" i="19"/>
  <c r="AG220" i="19"/>
  <c r="AA220" i="19"/>
  <c r="I220" i="19"/>
  <c r="V220" i="19"/>
  <c r="AB220" i="19"/>
  <c r="Y220" i="19"/>
  <c r="AE220" i="19"/>
  <c r="W220" i="19"/>
  <c r="R220" i="19"/>
  <c r="Q220" i="19"/>
  <c r="H220" i="19"/>
  <c r="Z220" i="19"/>
  <c r="N220" i="19"/>
  <c r="E220" i="19"/>
  <c r="AC220" i="19"/>
  <c r="AD220" i="19"/>
  <c r="U220" i="19"/>
  <c r="AR220" i="19"/>
  <c r="F220" i="19"/>
  <c r="K220" i="19"/>
  <c r="L220" i="19"/>
  <c r="AQ220" i="19"/>
  <c r="AS220" i="19"/>
  <c r="O220" i="19"/>
  <c r="X220" i="19"/>
  <c r="AF220" i="19"/>
  <c r="J220" i="19"/>
  <c r="M220" i="19"/>
  <c r="G220" i="19"/>
  <c r="T220" i="19"/>
  <c r="AI220" i="19" s="1"/>
  <c r="B221" i="19"/>
  <c r="C221" i="19"/>
  <c r="AP219" i="19" l="1"/>
  <c r="AO219" i="19"/>
  <c r="AK219" i="19"/>
  <c r="AL219" i="19"/>
  <c r="AM219" i="19"/>
  <c r="U221" i="19"/>
  <c r="S221" i="19"/>
  <c r="F221" i="19"/>
  <c r="E221" i="19"/>
  <c r="AR221" i="19"/>
  <c r="AG221" i="19"/>
  <c r="AE221" i="19"/>
  <c r="R221" i="19"/>
  <c r="AC221" i="19"/>
  <c r="O221" i="19"/>
  <c r="AD221" i="19"/>
  <c r="AB221" i="19"/>
  <c r="I221" i="19"/>
  <c r="G221" i="19"/>
  <c r="Q221" i="19"/>
  <c r="AA221" i="19"/>
  <c r="M221" i="19"/>
  <c r="V221" i="19"/>
  <c r="D221" i="19"/>
  <c r="L221" i="19"/>
  <c r="K221" i="19"/>
  <c r="Z221" i="19"/>
  <c r="W221" i="19"/>
  <c r="AS221" i="19"/>
  <c r="Y221" i="19"/>
  <c r="X221" i="19"/>
  <c r="AQ221" i="19"/>
  <c r="AF221" i="19"/>
  <c r="N221" i="19"/>
  <c r="J221" i="19"/>
  <c r="H221" i="19"/>
  <c r="T221" i="19"/>
  <c r="AI221" i="19" s="1"/>
  <c r="AP220" i="19"/>
  <c r="AL220" i="19"/>
  <c r="AO220" i="19"/>
  <c r="AK220" i="19"/>
  <c r="AM220" i="19"/>
  <c r="AN220" i="19"/>
  <c r="C222" i="19"/>
  <c r="B222" i="19"/>
  <c r="Z222" i="19" l="1"/>
  <c r="AR222" i="19"/>
  <c r="H222" i="19"/>
  <c r="I222" i="19"/>
  <c r="V222" i="19"/>
  <c r="Q222" i="19"/>
  <c r="X222" i="19"/>
  <c r="K222" i="19"/>
  <c r="F222" i="19"/>
  <c r="AG222" i="19"/>
  <c r="W222" i="19"/>
  <c r="R222" i="19"/>
  <c r="E222" i="19"/>
  <c r="O222" i="19"/>
  <c r="AQ222" i="19"/>
  <c r="N222" i="19"/>
  <c r="G222" i="19"/>
  <c r="AA222" i="19"/>
  <c r="AF222" i="19"/>
  <c r="M222" i="19"/>
  <c r="AE222" i="19"/>
  <c r="AD222" i="19"/>
  <c r="D222" i="19"/>
  <c r="AC222" i="19"/>
  <c r="AS222" i="19"/>
  <c r="J222" i="19"/>
  <c r="L222" i="19"/>
  <c r="AB222" i="19"/>
  <c r="Y222" i="19"/>
  <c r="U222" i="19"/>
  <c r="S222" i="19"/>
  <c r="T222" i="19"/>
  <c r="AI222" i="19" s="1"/>
  <c r="A223" i="19"/>
  <c r="AK221" i="19"/>
  <c r="AM221" i="19"/>
  <c r="AO221" i="19"/>
  <c r="AL221" i="19"/>
  <c r="AP221" i="19"/>
  <c r="AN221" i="19"/>
  <c r="B223" i="19"/>
  <c r="AK222" i="19" l="1"/>
  <c r="AN222" i="19"/>
  <c r="AM222" i="19"/>
  <c r="AP222" i="19"/>
  <c r="AO222" i="19"/>
  <c r="AL222" i="19"/>
  <c r="A224" i="19"/>
  <c r="B224" i="19"/>
  <c r="C224" i="19"/>
  <c r="C223" i="19"/>
  <c r="AR223" i="19" l="1"/>
  <c r="H223" i="19"/>
  <c r="AC223" i="19"/>
  <c r="AB223" i="19"/>
  <c r="AD223" i="19"/>
  <c r="F223" i="19"/>
  <c r="O223" i="19"/>
  <c r="M223" i="19"/>
  <c r="I223" i="19"/>
  <c r="S223" i="19"/>
  <c r="AA223" i="19"/>
  <c r="G223" i="19"/>
  <c r="E223" i="19"/>
  <c r="AQ223" i="19"/>
  <c r="V223" i="19"/>
  <c r="Z223" i="19"/>
  <c r="AE223" i="19"/>
  <c r="Q223" i="19"/>
  <c r="L223" i="19"/>
  <c r="X223" i="19"/>
  <c r="AG223" i="19"/>
  <c r="D223" i="19"/>
  <c r="R223" i="19"/>
  <c r="N223" i="19"/>
  <c r="Y223" i="19"/>
  <c r="AF223" i="19"/>
  <c r="W223" i="19"/>
  <c r="J223" i="19"/>
  <c r="AS223" i="19"/>
  <c r="U223" i="19"/>
  <c r="K223" i="19"/>
  <c r="T223" i="19"/>
  <c r="AI223" i="19" s="1"/>
  <c r="AK223" i="19" s="1"/>
  <c r="AG224" i="19"/>
  <c r="X224" i="19"/>
  <c r="I224" i="19"/>
  <c r="M224" i="19"/>
  <c r="AA224" i="19"/>
  <c r="AE224" i="19"/>
  <c r="Q224" i="19"/>
  <c r="AD224" i="19"/>
  <c r="E224" i="19"/>
  <c r="D224" i="19"/>
  <c r="N224" i="19"/>
  <c r="O224" i="19"/>
  <c r="J224" i="19"/>
  <c r="AC224" i="19"/>
  <c r="Z224" i="19"/>
  <c r="K224" i="19"/>
  <c r="Y224" i="19"/>
  <c r="W224" i="19"/>
  <c r="V224" i="19"/>
  <c r="AF224" i="19"/>
  <c r="U224" i="19"/>
  <c r="R224" i="19"/>
  <c r="L224" i="19"/>
  <c r="AR224" i="19"/>
  <c r="F224" i="19"/>
  <c r="AQ224" i="19"/>
  <c r="AB224" i="19"/>
  <c r="H224" i="19"/>
  <c r="S224" i="19"/>
  <c r="AS224" i="19"/>
  <c r="G224" i="19"/>
  <c r="T224" i="19"/>
  <c r="AI224" i="19" s="1"/>
  <c r="A225" i="19"/>
  <c r="B225" i="19"/>
  <c r="AP223" i="19" l="1"/>
  <c r="AO223" i="19"/>
  <c r="AN223" i="19"/>
  <c r="AL223" i="19"/>
  <c r="AM223" i="19"/>
  <c r="AP224" i="19"/>
  <c r="AL224" i="19"/>
  <c r="AO224" i="19"/>
  <c r="AK224" i="19"/>
  <c r="AM224" i="19"/>
  <c r="AN224" i="19"/>
  <c r="A226" i="19"/>
  <c r="C225" i="19"/>
  <c r="B226" i="19"/>
  <c r="AD225" i="19" l="1"/>
  <c r="L225" i="19"/>
  <c r="I225" i="19"/>
  <c r="AS225" i="19"/>
  <c r="AB225" i="19"/>
  <c r="D225" i="19"/>
  <c r="AR225" i="19"/>
  <c r="U225" i="19"/>
  <c r="V225" i="19"/>
  <c r="F225" i="19"/>
  <c r="O225" i="19"/>
  <c r="R225" i="19"/>
  <c r="J225" i="19"/>
  <c r="AE225" i="19"/>
  <c r="Z225" i="19"/>
  <c r="N225" i="19"/>
  <c r="AG225" i="19"/>
  <c r="M225" i="19"/>
  <c r="AC225" i="19"/>
  <c r="T225" i="19"/>
  <c r="AI225" i="19" s="1"/>
  <c r="AM225" i="19" s="1"/>
  <c r="E225" i="19"/>
  <c r="X225" i="19"/>
  <c r="S225" i="19"/>
  <c r="G225" i="19"/>
  <c r="W225" i="19"/>
  <c r="Q225" i="19"/>
  <c r="AQ225" i="19"/>
  <c r="K225" i="19"/>
  <c r="AA225" i="19"/>
  <c r="AF225" i="19"/>
  <c r="H225" i="19"/>
  <c r="Y225" i="19"/>
  <c r="A227" i="19"/>
  <c r="C226" i="19"/>
  <c r="C227" i="19"/>
  <c r="AO225" i="19" l="1"/>
  <c r="AL225" i="19"/>
  <c r="AP225" i="19"/>
  <c r="AN225" i="19"/>
  <c r="G226" i="19"/>
  <c r="AA226" i="19"/>
  <c r="AQ226" i="19"/>
  <c r="K226" i="19"/>
  <c r="H226" i="19"/>
  <c r="I226" i="19"/>
  <c r="AE226" i="19"/>
  <c r="L226" i="19"/>
  <c r="W226" i="19"/>
  <c r="U226" i="19"/>
  <c r="S226" i="19"/>
  <c r="Y226" i="19"/>
  <c r="O226" i="19"/>
  <c r="D226" i="19"/>
  <c r="AR226" i="19"/>
  <c r="Z226" i="19"/>
  <c r="N226" i="19"/>
  <c r="E226" i="19"/>
  <c r="T226" i="19"/>
  <c r="AI226" i="19" s="1"/>
  <c r="AM226" i="19" s="1"/>
  <c r="AG226" i="19"/>
  <c r="Q226" i="19"/>
  <c r="R226" i="19"/>
  <c r="AC226" i="19"/>
  <c r="AS226" i="19"/>
  <c r="X226" i="19"/>
  <c r="F226" i="19"/>
  <c r="V226" i="19"/>
  <c r="J226" i="19"/>
  <c r="AB226" i="19"/>
  <c r="AD226" i="19"/>
  <c r="M226" i="19"/>
  <c r="AF226" i="19"/>
  <c r="AK225" i="19"/>
  <c r="W227" i="19"/>
  <c r="F227" i="19"/>
  <c r="AG227" i="19"/>
  <c r="U227" i="19"/>
  <c r="S227" i="19"/>
  <c r="V227" i="19"/>
  <c r="E227" i="19"/>
  <c r="N227" i="19"/>
  <c r="AQ227" i="19"/>
  <c r="AB227" i="19"/>
  <c r="Y227" i="19"/>
  <c r="X227" i="19"/>
  <c r="AR227" i="19"/>
  <c r="J227" i="19"/>
  <c r="AE227" i="19"/>
  <c r="H227" i="19"/>
  <c r="AS227" i="19"/>
  <c r="M227" i="19"/>
  <c r="AD227" i="19"/>
  <c r="AA227" i="19"/>
  <c r="G227" i="19"/>
  <c r="R227" i="19"/>
  <c r="I227" i="19"/>
  <c r="Z227" i="19"/>
  <c r="Q227" i="19"/>
  <c r="D227" i="19"/>
  <c r="O227" i="19"/>
  <c r="AC227" i="19"/>
  <c r="AF227" i="19"/>
  <c r="K227" i="19"/>
  <c r="L227" i="19"/>
  <c r="T227" i="19"/>
  <c r="AI227" i="19" s="1"/>
  <c r="A228" i="19"/>
  <c r="B228" i="19"/>
  <c r="B227" i="19"/>
  <c r="AN226" i="19" l="1"/>
  <c r="AK226" i="19"/>
  <c r="AO226" i="19"/>
  <c r="AP226" i="19"/>
  <c r="AL226" i="19"/>
  <c r="AL227" i="19"/>
  <c r="AO227" i="19"/>
  <c r="AM227" i="19"/>
  <c r="AP227" i="19"/>
  <c r="AK227" i="19"/>
  <c r="AN227" i="19"/>
  <c r="A229" i="19"/>
  <c r="C228" i="19"/>
  <c r="C229" i="19"/>
  <c r="AA228" i="19" l="1"/>
  <c r="AE228" i="19"/>
  <c r="D228" i="19"/>
  <c r="Y228" i="19"/>
  <c r="L228" i="19"/>
  <c r="AR228" i="19"/>
  <c r="X228" i="19"/>
  <c r="K228" i="19"/>
  <c r="I228" i="19"/>
  <c r="Z228" i="19"/>
  <c r="G228" i="19"/>
  <c r="AC228" i="19"/>
  <c r="U228" i="19"/>
  <c r="J228" i="19"/>
  <c r="N228" i="19"/>
  <c r="AB228" i="19"/>
  <c r="S228" i="19"/>
  <c r="E228" i="19"/>
  <c r="M228" i="19"/>
  <c r="AD228" i="19"/>
  <c r="AS228" i="19"/>
  <c r="R228" i="19"/>
  <c r="Q228" i="19"/>
  <c r="O228" i="19"/>
  <c r="AF228" i="19"/>
  <c r="AG228" i="19"/>
  <c r="V228" i="19"/>
  <c r="W228" i="19"/>
  <c r="F228" i="19"/>
  <c r="AQ228" i="19"/>
  <c r="T228" i="19"/>
  <c r="AI228" i="19" s="1"/>
  <c r="AM228" i="19" s="1"/>
  <c r="H228" i="19"/>
  <c r="AC229" i="19"/>
  <c r="Z229" i="19"/>
  <c r="I229" i="19"/>
  <c r="L229" i="19"/>
  <c r="AE229" i="19"/>
  <c r="F229" i="19"/>
  <c r="X229" i="19"/>
  <c r="U229" i="19"/>
  <c r="N229" i="19"/>
  <c r="K229" i="19"/>
  <c r="AB229" i="19"/>
  <c r="AA229" i="19"/>
  <c r="Q229" i="19"/>
  <c r="W229" i="19"/>
  <c r="AF229" i="19"/>
  <c r="AR229" i="19"/>
  <c r="O229" i="19"/>
  <c r="S229" i="19"/>
  <c r="AS229" i="19"/>
  <c r="H229" i="19"/>
  <c r="V229" i="19"/>
  <c r="AQ229" i="19"/>
  <c r="Y229" i="19"/>
  <c r="R229" i="19"/>
  <c r="G229" i="19"/>
  <c r="D229" i="19"/>
  <c r="E229" i="19"/>
  <c r="AD229" i="19"/>
  <c r="AG229" i="19"/>
  <c r="M229" i="19"/>
  <c r="J229" i="19"/>
  <c r="T229" i="19"/>
  <c r="AI229" i="19" s="1"/>
  <c r="A230" i="19"/>
  <c r="C230" i="19"/>
  <c r="B229" i="19"/>
  <c r="B230" i="19"/>
  <c r="AL228" i="19" l="1"/>
  <c r="AN228" i="19"/>
  <c r="AP228" i="19"/>
  <c r="AK228" i="19"/>
  <c r="AO228" i="19"/>
  <c r="Y230" i="19"/>
  <c r="V230" i="19"/>
  <c r="AS230" i="19"/>
  <c r="N230" i="19"/>
  <c r="X230" i="19"/>
  <c r="F230" i="19"/>
  <c r="W230" i="19"/>
  <c r="Q230" i="19"/>
  <c r="AA230" i="19"/>
  <c r="AF230" i="19"/>
  <c r="R230" i="19"/>
  <c r="D230" i="19"/>
  <c r="I230" i="19"/>
  <c r="L230" i="19"/>
  <c r="Z230" i="19"/>
  <c r="H230" i="19"/>
  <c r="K230" i="19"/>
  <c r="J230" i="19"/>
  <c r="AE230" i="19"/>
  <c r="AB230" i="19"/>
  <c r="AD230" i="19"/>
  <c r="AQ230" i="19"/>
  <c r="U230" i="19"/>
  <c r="O230" i="19"/>
  <c r="M230" i="19"/>
  <c r="G230" i="19"/>
  <c r="E230" i="19"/>
  <c r="S230" i="19"/>
  <c r="AG230" i="19"/>
  <c r="AR230" i="19"/>
  <c r="AC230" i="19"/>
  <c r="T230" i="19"/>
  <c r="AI230" i="19" s="1"/>
  <c r="AP229" i="19"/>
  <c r="AL229" i="19"/>
  <c r="AM229" i="19"/>
  <c r="AO229" i="19"/>
  <c r="AN229" i="19"/>
  <c r="AK229" i="19"/>
  <c r="A231" i="19"/>
  <c r="B231" i="19"/>
  <c r="A232" i="19" l="1"/>
  <c r="AP230" i="19"/>
  <c r="AK230" i="19"/>
  <c r="AM230" i="19"/>
  <c r="AO230" i="19"/>
  <c r="AN230" i="19"/>
  <c r="AL230" i="19"/>
  <c r="C231" i="19"/>
  <c r="C232" i="19"/>
  <c r="B232" i="19"/>
  <c r="H231" i="19" l="1"/>
  <c r="AF231" i="19"/>
  <c r="K231" i="19"/>
  <c r="D231" i="19"/>
  <c r="AA231" i="19"/>
  <c r="AE231" i="19"/>
  <c r="R231" i="19"/>
  <c r="AS231" i="19"/>
  <c r="U231" i="19"/>
  <c r="AQ231" i="19"/>
  <c r="N231" i="19"/>
  <c r="T231" i="19"/>
  <c r="AI231" i="19" s="1"/>
  <c r="AL231" i="19" s="1"/>
  <c r="L231" i="19"/>
  <c r="S231" i="19"/>
  <c r="I231" i="19"/>
  <c r="Z231" i="19"/>
  <c r="AR231" i="19"/>
  <c r="V231" i="19"/>
  <c r="AC231" i="19"/>
  <c r="AD231" i="19"/>
  <c r="AG231" i="19"/>
  <c r="Y231" i="19"/>
  <c r="W231" i="19"/>
  <c r="AB231" i="19"/>
  <c r="F231" i="19"/>
  <c r="Q231" i="19"/>
  <c r="M231" i="19"/>
  <c r="X231" i="19"/>
  <c r="O231" i="19"/>
  <c r="E231" i="19"/>
  <c r="J231" i="19"/>
  <c r="G231" i="19"/>
  <c r="O232" i="19"/>
  <c r="W232" i="19"/>
  <c r="F232" i="19"/>
  <c r="AR232" i="19"/>
  <c r="Y232" i="19"/>
  <c r="J232" i="19"/>
  <c r="AA232" i="19"/>
  <c r="AE232" i="19"/>
  <c r="V232" i="19"/>
  <c r="AC232" i="19"/>
  <c r="Z232" i="19"/>
  <c r="E232" i="19"/>
  <c r="R232" i="19"/>
  <c r="AD232" i="19"/>
  <c r="M232" i="19"/>
  <c r="I232" i="19"/>
  <c r="U232" i="19"/>
  <c r="Q232" i="19"/>
  <c r="L232" i="19"/>
  <c r="G232" i="19"/>
  <c r="X232" i="19"/>
  <c r="AQ232" i="19"/>
  <c r="AS232" i="19"/>
  <c r="H232" i="19"/>
  <c r="S232" i="19"/>
  <c r="K232" i="19"/>
  <c r="AB232" i="19"/>
  <c r="AG232" i="19"/>
  <c r="AF232" i="19"/>
  <c r="N232" i="19"/>
  <c r="D232" i="19"/>
  <c r="T232" i="19"/>
  <c r="AI232" i="19" s="1"/>
  <c r="A233" i="19"/>
  <c r="C233" i="19"/>
  <c r="B233" i="19"/>
  <c r="AM231" i="19" l="1"/>
  <c r="AP231" i="19"/>
  <c r="AN231" i="19"/>
  <c r="AK231" i="19"/>
  <c r="AO231" i="19"/>
  <c r="J233" i="19"/>
  <c r="AD233" i="19"/>
  <c r="S233" i="19"/>
  <c r="AR233" i="19"/>
  <c r="W233" i="19"/>
  <c r="R233" i="19"/>
  <c r="H233" i="19"/>
  <c r="AG233" i="19"/>
  <c r="Y233" i="19"/>
  <c r="AF233" i="19"/>
  <c r="AS233" i="19"/>
  <c r="Z233" i="19"/>
  <c r="Q233" i="19"/>
  <c r="N233" i="19"/>
  <c r="U233" i="19"/>
  <c r="D233" i="19"/>
  <c r="AB233" i="19"/>
  <c r="AQ233" i="19"/>
  <c r="AE233" i="19"/>
  <c r="L233" i="19"/>
  <c r="X233" i="19"/>
  <c r="F233" i="19"/>
  <c r="O233" i="19"/>
  <c r="AC233" i="19"/>
  <c r="I233" i="19"/>
  <c r="AA233" i="19"/>
  <c r="V233" i="19"/>
  <c r="E233" i="19"/>
  <c r="M233" i="19"/>
  <c r="G233" i="19"/>
  <c r="K233" i="19"/>
  <c r="T233" i="19"/>
  <c r="AI233" i="19" s="1"/>
  <c r="AO232" i="19"/>
  <c r="AP232" i="19"/>
  <c r="AN232" i="19"/>
  <c r="AK232" i="19"/>
  <c r="AM232" i="19"/>
  <c r="AL232" i="19"/>
  <c r="A234" i="19"/>
  <c r="A235" i="19" s="1"/>
  <c r="A236" i="19" s="1"/>
  <c r="A237" i="19" s="1"/>
  <c r="AO233" i="19" l="1"/>
  <c r="AM233" i="19"/>
  <c r="AN233" i="19"/>
  <c r="AL233" i="19"/>
  <c r="AK233" i="19"/>
  <c r="AP233" i="19"/>
  <c r="C235" i="19"/>
  <c r="B234" i="19"/>
  <c r="B235" i="19"/>
  <c r="C234" i="19"/>
  <c r="L234" i="19" l="1"/>
  <c r="F234" i="19"/>
  <c r="AD234" i="19"/>
  <c r="AF234" i="19"/>
  <c r="S234" i="19"/>
  <c r="U234" i="19"/>
  <c r="I234" i="19"/>
  <c r="K234" i="19"/>
  <c r="X234" i="19"/>
  <c r="N234" i="19"/>
  <c r="T234" i="19"/>
  <c r="AI234" i="19" s="1"/>
  <c r="AO234" i="19" s="1"/>
  <c r="H234" i="19"/>
  <c r="M234" i="19"/>
  <c r="Z234" i="19"/>
  <c r="AQ234" i="19"/>
  <c r="Y234" i="19"/>
  <c r="AB234" i="19"/>
  <c r="E234" i="19"/>
  <c r="AG234" i="19"/>
  <c r="W234" i="19"/>
  <c r="AE234" i="19"/>
  <c r="O234" i="19"/>
  <c r="R234" i="19"/>
  <c r="J234" i="19"/>
  <c r="Q234" i="19"/>
  <c r="AS234" i="19"/>
  <c r="G234" i="19"/>
  <c r="V234" i="19"/>
  <c r="AC234" i="19"/>
  <c r="AA234" i="19"/>
  <c r="D234" i="19"/>
  <c r="AR234" i="19"/>
  <c r="X235" i="19"/>
  <c r="W235" i="19"/>
  <c r="L235" i="19"/>
  <c r="D235" i="19"/>
  <c r="AS235" i="19"/>
  <c r="G235" i="19"/>
  <c r="AA235" i="19"/>
  <c r="E235" i="19"/>
  <c r="Y235" i="19"/>
  <c r="AC235" i="19"/>
  <c r="K235" i="19"/>
  <c r="AB235" i="19"/>
  <c r="M235" i="19"/>
  <c r="AD235" i="19"/>
  <c r="J235" i="19"/>
  <c r="R235" i="19"/>
  <c r="Z235" i="19"/>
  <c r="H235" i="19"/>
  <c r="U235" i="19"/>
  <c r="I235" i="19"/>
  <c r="AF235" i="19"/>
  <c r="F235" i="19"/>
  <c r="AE235" i="19"/>
  <c r="O235" i="19"/>
  <c r="AQ235" i="19"/>
  <c r="S235" i="19"/>
  <c r="Q235" i="19"/>
  <c r="AR235" i="19"/>
  <c r="AG235" i="19"/>
  <c r="V235" i="19"/>
  <c r="N235" i="19"/>
  <c r="T235" i="19"/>
  <c r="AI235" i="19" s="1"/>
  <c r="B236" i="19"/>
  <c r="C236" i="19"/>
  <c r="AM234" i="19" l="1"/>
  <c r="AP234" i="19"/>
  <c r="AL234" i="19"/>
  <c r="AN234" i="19"/>
  <c r="AK234" i="19"/>
  <c r="G236" i="19"/>
  <c r="AA236" i="19"/>
  <c r="AR236" i="19"/>
  <c r="AD236" i="19"/>
  <c r="D236" i="19"/>
  <c r="AG236" i="19"/>
  <c r="I236" i="19"/>
  <c r="AF236" i="19"/>
  <c r="AS236" i="19"/>
  <c r="AE236" i="19"/>
  <c r="K236" i="19"/>
  <c r="Y236" i="19"/>
  <c r="AB236" i="19"/>
  <c r="F236" i="19"/>
  <c r="M236" i="19"/>
  <c r="U236" i="19"/>
  <c r="R236" i="19"/>
  <c r="N236" i="19"/>
  <c r="J236" i="19"/>
  <c r="L236" i="19"/>
  <c r="E236" i="19"/>
  <c r="V236" i="19"/>
  <c r="Z236" i="19"/>
  <c r="AC236" i="19"/>
  <c r="X236" i="19"/>
  <c r="H236" i="19"/>
  <c r="O236" i="19"/>
  <c r="Q236" i="19"/>
  <c r="S236" i="19"/>
  <c r="AQ236" i="19"/>
  <c r="W236" i="19"/>
  <c r="T236" i="19"/>
  <c r="AI236" i="19" s="1"/>
  <c r="AL235" i="19"/>
  <c r="AO235" i="19"/>
  <c r="AP235" i="19"/>
  <c r="AK235" i="19"/>
  <c r="AN235" i="19"/>
  <c r="AM235" i="19"/>
  <c r="B237" i="19"/>
  <c r="C237" i="19"/>
  <c r="O237" i="19" l="1"/>
  <c r="AA237" i="19"/>
  <c r="AC237" i="19"/>
  <c r="I237" i="19"/>
  <c r="E237" i="19"/>
  <c r="G237" i="19"/>
  <c r="H237" i="19"/>
  <c r="K237" i="19"/>
  <c r="AQ237" i="19"/>
  <c r="N237" i="19"/>
  <c r="AS237" i="19"/>
  <c r="L237" i="19"/>
  <c r="J237" i="19"/>
  <c r="AR237" i="19"/>
  <c r="R237" i="19"/>
  <c r="AG237" i="19"/>
  <c r="S237" i="19"/>
  <c r="F237" i="19"/>
  <c r="AD237" i="19"/>
  <c r="D237" i="19"/>
  <c r="V237" i="19"/>
  <c r="U237" i="19"/>
  <c r="Y237" i="19"/>
  <c r="X237" i="19"/>
  <c r="AE237" i="19"/>
  <c r="AB237" i="19"/>
  <c r="M237" i="19"/>
  <c r="Q237" i="19"/>
  <c r="W237" i="19"/>
  <c r="Z237" i="19"/>
  <c r="AF237" i="19"/>
  <c r="T237" i="19"/>
  <c r="AI237" i="19" s="1"/>
  <c r="A238" i="19"/>
  <c r="AK236" i="19"/>
  <c r="AM236" i="19"/>
  <c r="AP236" i="19"/>
  <c r="AO236" i="19"/>
  <c r="AN236" i="19"/>
  <c r="AL236" i="19"/>
  <c r="B238" i="19"/>
  <c r="AP237" i="19" l="1"/>
  <c r="AL237" i="19"/>
  <c r="AM237" i="19"/>
  <c r="AN237" i="19"/>
  <c r="AO237" i="19"/>
  <c r="AK237" i="19"/>
  <c r="A239" i="19"/>
  <c r="B239" i="19"/>
  <c r="C238" i="19"/>
  <c r="C239" i="19"/>
  <c r="K238" i="19" l="1"/>
  <c r="O238" i="19"/>
  <c r="AQ238" i="19"/>
  <c r="AD238" i="19"/>
  <c r="AB238" i="19"/>
  <c r="D238" i="19"/>
  <c r="AA238" i="19"/>
  <c r="J238" i="19"/>
  <c r="L238" i="19"/>
  <c r="AC238" i="19"/>
  <c r="AE238" i="19"/>
  <c r="E238" i="19"/>
  <c r="W238" i="19"/>
  <c r="V238" i="19"/>
  <c r="R238" i="19"/>
  <c r="AF238" i="19"/>
  <c r="Y238" i="19"/>
  <c r="Q238" i="19"/>
  <c r="U238" i="19"/>
  <c r="T238" i="19"/>
  <c r="AI238" i="19" s="1"/>
  <c r="AK238" i="19" s="1"/>
  <c r="AG238" i="19"/>
  <c r="S238" i="19"/>
  <c r="AR238" i="19"/>
  <c r="F238" i="19"/>
  <c r="AS238" i="19"/>
  <c r="Z238" i="19"/>
  <c r="X238" i="19"/>
  <c r="H238" i="19"/>
  <c r="G238" i="19"/>
  <c r="I238" i="19"/>
  <c r="M238" i="19"/>
  <c r="N238" i="19"/>
  <c r="F239" i="19"/>
  <c r="L239" i="19"/>
  <c r="X239" i="19"/>
  <c r="Z239" i="19"/>
  <c r="Q239" i="19"/>
  <c r="S239" i="19"/>
  <c r="O239" i="19"/>
  <c r="AF239" i="19"/>
  <c r="AA239" i="19"/>
  <c r="M239" i="19"/>
  <c r="AG239" i="19"/>
  <c r="N239" i="19"/>
  <c r="V239" i="19"/>
  <c r="H239" i="19"/>
  <c r="J239" i="19"/>
  <c r="AS239" i="19"/>
  <c r="R239" i="19"/>
  <c r="AE239" i="19"/>
  <c r="W239" i="19"/>
  <c r="K239" i="19"/>
  <c r="AB239" i="19"/>
  <c r="E239" i="19"/>
  <c r="U239" i="19"/>
  <c r="AC239" i="19"/>
  <c r="AD239" i="19"/>
  <c r="I239" i="19"/>
  <c r="Y239" i="19"/>
  <c r="G239" i="19"/>
  <c r="AR239" i="19"/>
  <c r="AQ239" i="19"/>
  <c r="D239" i="19"/>
  <c r="T239" i="19"/>
  <c r="AI239" i="19" s="1"/>
  <c r="A240" i="19"/>
  <c r="B240" i="19"/>
  <c r="C240" i="19"/>
  <c r="AL238" i="19" l="1"/>
  <c r="AO238" i="19"/>
  <c r="AP238" i="19"/>
  <c r="AM238" i="19"/>
  <c r="AN238" i="19"/>
  <c r="AD240" i="19"/>
  <c r="F240" i="19"/>
  <c r="S240" i="19"/>
  <c r="L240" i="19"/>
  <c r="W240" i="19"/>
  <c r="K240" i="19"/>
  <c r="Z240" i="19"/>
  <c r="G240" i="19"/>
  <c r="AR240" i="19"/>
  <c r="AC240" i="19"/>
  <c r="Q240" i="19"/>
  <c r="AB240" i="19"/>
  <c r="M240" i="19"/>
  <c r="N240" i="19"/>
  <c r="R240" i="19"/>
  <c r="V240" i="19"/>
  <c r="AF240" i="19"/>
  <c r="E240" i="19"/>
  <c r="J240" i="19"/>
  <c r="I240" i="19"/>
  <c r="U240" i="19"/>
  <c r="AS240" i="19"/>
  <c r="AA240" i="19"/>
  <c r="X240" i="19"/>
  <c r="H240" i="19"/>
  <c r="Y240" i="19"/>
  <c r="O240" i="19"/>
  <c r="D240" i="19"/>
  <c r="AG240" i="19"/>
  <c r="AE240" i="19"/>
  <c r="AQ240" i="19"/>
  <c r="T240" i="19"/>
  <c r="AI240" i="19" s="1"/>
  <c r="AL239" i="19"/>
  <c r="AP239" i="19"/>
  <c r="AN239" i="19"/>
  <c r="AO239" i="19"/>
  <c r="AK239" i="19"/>
  <c r="AM239" i="19"/>
  <c r="A241" i="19"/>
  <c r="B241" i="19"/>
  <c r="AK240" i="19" l="1"/>
  <c r="AL240" i="19"/>
  <c r="AN240" i="19"/>
  <c r="AM240" i="19"/>
  <c r="AO240" i="19"/>
  <c r="AP240" i="19"/>
  <c r="A242" i="19"/>
  <c r="C242" i="19"/>
  <c r="B242" i="19"/>
  <c r="C241" i="19"/>
  <c r="AE241" i="19" l="1"/>
  <c r="AF241" i="19"/>
  <c r="U241" i="19"/>
  <c r="I241" i="19"/>
  <c r="AD241" i="19"/>
  <c r="X241" i="19"/>
  <c r="J241" i="19"/>
  <c r="W241" i="19"/>
  <c r="R241" i="19"/>
  <c r="E241" i="19"/>
  <c r="F241" i="19"/>
  <c r="L241" i="19"/>
  <c r="AB241" i="19"/>
  <c r="S241" i="19"/>
  <c r="D241" i="19"/>
  <c r="AA241" i="19"/>
  <c r="G241" i="19"/>
  <c r="AS241" i="19"/>
  <c r="Q241" i="19"/>
  <c r="K241" i="19"/>
  <c r="T241" i="19"/>
  <c r="AI241" i="19" s="1"/>
  <c r="AN241" i="19" s="1"/>
  <c r="AG241" i="19"/>
  <c r="N241" i="19"/>
  <c r="H241" i="19"/>
  <c r="M241" i="19"/>
  <c r="Y241" i="19"/>
  <c r="Z241" i="19"/>
  <c r="AC241" i="19"/>
  <c r="AQ241" i="19"/>
  <c r="AR241" i="19"/>
  <c r="O241" i="19"/>
  <c r="V241" i="19"/>
  <c r="AQ242" i="19"/>
  <c r="J242" i="19"/>
  <c r="L242" i="19"/>
  <c r="M242" i="19"/>
  <c r="AG242" i="19"/>
  <c r="R242" i="19"/>
  <c r="O242" i="19"/>
  <c r="Z242" i="19"/>
  <c r="S242" i="19"/>
  <c r="U242" i="19"/>
  <c r="K242" i="19"/>
  <c r="AE242" i="19"/>
  <c r="F242" i="19"/>
  <c r="AR242" i="19"/>
  <c r="E242" i="19"/>
  <c r="AF242" i="19"/>
  <c r="AS242" i="19"/>
  <c r="G242" i="19"/>
  <c r="AC242" i="19"/>
  <c r="X242" i="19"/>
  <c r="Q242" i="19"/>
  <c r="W242" i="19"/>
  <c r="H242" i="19"/>
  <c r="AB242" i="19"/>
  <c r="AA242" i="19"/>
  <c r="AD242" i="19"/>
  <c r="V242" i="19"/>
  <c r="Y242" i="19"/>
  <c r="D242" i="19"/>
  <c r="N242" i="19"/>
  <c r="I242" i="19"/>
  <c r="T242" i="19"/>
  <c r="AI242" i="19" s="1"/>
  <c r="A243" i="19"/>
  <c r="B243" i="19"/>
  <c r="C243" i="19"/>
  <c r="AO241" i="19" l="1"/>
  <c r="AM241" i="19"/>
  <c r="AK241" i="19"/>
  <c r="AP241" i="19"/>
  <c r="AL241" i="19"/>
  <c r="Q243" i="19"/>
  <c r="AB243" i="19"/>
  <c r="M243" i="19"/>
  <c r="V243" i="19"/>
  <c r="S243" i="19"/>
  <c r="W243" i="19"/>
  <c r="N243" i="19"/>
  <c r="D243" i="19"/>
  <c r="Z243" i="19"/>
  <c r="AS243" i="19"/>
  <c r="R243" i="19"/>
  <c r="AQ243" i="19"/>
  <c r="G243" i="19"/>
  <c r="L243" i="19"/>
  <c r="F243" i="19"/>
  <c r="AF243" i="19"/>
  <c r="AA243" i="19"/>
  <c r="AR243" i="19"/>
  <c r="AC243" i="19"/>
  <c r="AG243" i="19"/>
  <c r="O243" i="19"/>
  <c r="K243" i="19"/>
  <c r="U243" i="19"/>
  <c r="J243" i="19"/>
  <c r="X243" i="19"/>
  <c r="H243" i="19"/>
  <c r="AE243" i="19"/>
  <c r="E243" i="19"/>
  <c r="Y243" i="19"/>
  <c r="I243" i="19"/>
  <c r="AD243" i="19"/>
  <c r="T243" i="19"/>
  <c r="AI243" i="19" s="1"/>
  <c r="A244" i="19"/>
  <c r="AL242" i="19"/>
  <c r="AN242" i="19"/>
  <c r="AK242" i="19"/>
  <c r="AP242" i="19"/>
  <c r="AM242" i="19"/>
  <c r="AO242" i="19"/>
  <c r="C244" i="19"/>
  <c r="AE244" i="19" l="1"/>
  <c r="K244" i="19"/>
  <c r="X244" i="19"/>
  <c r="AB244" i="19"/>
  <c r="AG244" i="19"/>
  <c r="I244" i="19"/>
  <c r="E244" i="19"/>
  <c r="AF244" i="19"/>
  <c r="AQ244" i="19"/>
  <c r="AA244" i="19"/>
  <c r="AS244" i="19"/>
  <c r="R244" i="19"/>
  <c r="U244" i="19"/>
  <c r="O244" i="19"/>
  <c r="L244" i="19"/>
  <c r="Z244" i="19"/>
  <c r="S244" i="19"/>
  <c r="N244" i="19"/>
  <c r="M244" i="19"/>
  <c r="J244" i="19"/>
  <c r="AC244" i="19"/>
  <c r="H244" i="19"/>
  <c r="AR244" i="19"/>
  <c r="Y244" i="19"/>
  <c r="G244" i="19"/>
  <c r="D244" i="19"/>
  <c r="F244" i="19"/>
  <c r="V244" i="19"/>
  <c r="AD244" i="19"/>
  <c r="W244" i="19"/>
  <c r="Q244" i="19"/>
  <c r="T244" i="19"/>
  <c r="AI244" i="19" s="1"/>
  <c r="AO243" i="19"/>
  <c r="AP243" i="19"/>
  <c r="AL243" i="19"/>
  <c r="AM243" i="19"/>
  <c r="AK243" i="19"/>
  <c r="AN243" i="19"/>
  <c r="A245" i="19"/>
  <c r="B244" i="19"/>
  <c r="C245" i="19"/>
  <c r="L245" i="19" l="1"/>
  <c r="S245" i="19"/>
  <c r="AQ245" i="19"/>
  <c r="Q245" i="19"/>
  <c r="W245" i="19"/>
  <c r="AE245" i="19"/>
  <c r="I245" i="19"/>
  <c r="AR245" i="19"/>
  <c r="AF245" i="19"/>
  <c r="O245" i="19"/>
  <c r="N245" i="19"/>
  <c r="M245" i="19"/>
  <c r="AD245" i="19"/>
  <c r="AC245" i="19"/>
  <c r="U245" i="19"/>
  <c r="X245" i="19"/>
  <c r="H245" i="19"/>
  <c r="G245" i="19"/>
  <c r="Z245" i="19"/>
  <c r="V245" i="19"/>
  <c r="Y245" i="19"/>
  <c r="K245" i="19"/>
  <c r="AG245" i="19"/>
  <c r="R245" i="19"/>
  <c r="F245" i="19"/>
  <c r="D245" i="19"/>
  <c r="AB245" i="19"/>
  <c r="E245" i="19"/>
  <c r="AS245" i="19"/>
  <c r="AA245" i="19"/>
  <c r="J245" i="19"/>
  <c r="T245" i="19"/>
  <c r="AI245" i="19" s="1"/>
  <c r="A246" i="19"/>
  <c r="AN244" i="19"/>
  <c r="AL244" i="19"/>
  <c r="AM244" i="19"/>
  <c r="AO244" i="19"/>
  <c r="AK244" i="19"/>
  <c r="AP244" i="19"/>
  <c r="C246" i="19"/>
  <c r="B245" i="19"/>
  <c r="D246" i="19" l="1"/>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C247" i="19"/>
  <c r="B246" i="19"/>
  <c r="AE247" i="19" l="1"/>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C248" i="19"/>
  <c r="B247" i="19"/>
  <c r="K248" i="19" l="1"/>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8" i="19"/>
  <c r="AN248" i="19" l="1"/>
  <c r="AL248" i="19"/>
  <c r="AM248" i="19"/>
  <c r="AO248" i="19"/>
  <c r="AP248" i="19"/>
  <c r="AK248" i="19"/>
  <c r="B249" i="19"/>
  <c r="C250" i="19"/>
  <c r="C249" i="19"/>
  <c r="B250" i="19"/>
  <c r="F249" i="19" l="1"/>
  <c r="D249" i="19"/>
  <c r="O249" i="19"/>
  <c r="AS249" i="19"/>
  <c r="AE249" i="19"/>
  <c r="AC249" i="19"/>
  <c r="AQ249" i="19"/>
  <c r="W249" i="19"/>
  <c r="Z249" i="19"/>
  <c r="U249" i="19"/>
  <c r="Y249" i="19"/>
  <c r="N249" i="19"/>
  <c r="R249" i="19"/>
  <c r="AF249" i="19"/>
  <c r="K249" i="19"/>
  <c r="G249" i="19"/>
  <c r="I249" i="19"/>
  <c r="L249" i="19"/>
  <c r="AA249" i="19"/>
  <c r="H249" i="19"/>
  <c r="AD249" i="19"/>
  <c r="AB249" i="19"/>
  <c r="J249" i="19"/>
  <c r="Q249" i="19"/>
  <c r="X249" i="19"/>
  <c r="M249" i="19"/>
  <c r="AG249" i="19"/>
  <c r="AR249" i="19"/>
  <c r="V249" i="19"/>
  <c r="T249" i="19"/>
  <c r="AI249" i="19" s="1"/>
  <c r="AK249" i="19" s="1"/>
  <c r="E249" i="19"/>
  <c r="S249" i="19"/>
  <c r="AF250" i="19"/>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C251" i="19"/>
  <c r="B251" i="19"/>
  <c r="AN249" i="19" l="1"/>
  <c r="AM249" i="19"/>
  <c r="AO249" i="19"/>
  <c r="AP249" i="19"/>
  <c r="AL249" i="19"/>
  <c r="I251" i="19"/>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B252" i="19"/>
  <c r="C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B253" i="19"/>
  <c r="AP252" i="19" l="1"/>
  <c r="AK252" i="19"/>
  <c r="AN252" i="19"/>
  <c r="AM252" i="19"/>
  <c r="AO252" i="19"/>
  <c r="AL252" i="19"/>
  <c r="A254" i="19"/>
  <c r="C254" i="19"/>
  <c r="C253" i="19"/>
  <c r="B254" i="19"/>
  <c r="AS253" i="19" l="1"/>
  <c r="S253" i="19"/>
  <c r="R253" i="19"/>
  <c r="AD253" i="19"/>
  <c r="AF253" i="19"/>
  <c r="M253" i="19"/>
  <c r="X253" i="19"/>
  <c r="AB253" i="19"/>
  <c r="G253" i="19"/>
  <c r="AE253" i="19"/>
  <c r="Q253" i="19"/>
  <c r="H253" i="19"/>
  <c r="AA253" i="19"/>
  <c r="AC253" i="19"/>
  <c r="W253" i="19"/>
  <c r="U253" i="19"/>
  <c r="F253" i="19"/>
  <c r="E253" i="19"/>
  <c r="K253" i="19"/>
  <c r="AG253" i="19"/>
  <c r="Y253" i="19"/>
  <c r="AR253" i="19"/>
  <c r="N253" i="19"/>
  <c r="V253" i="19"/>
  <c r="AQ253" i="19"/>
  <c r="L253" i="19"/>
  <c r="O253" i="19"/>
  <c r="J253" i="19"/>
  <c r="Z253" i="19"/>
  <c r="T253" i="19"/>
  <c r="AI253" i="19" s="1"/>
  <c r="AO253" i="19" s="1"/>
  <c r="I253" i="19"/>
  <c r="D253" i="19"/>
  <c r="Q254" i="19"/>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B255" i="19"/>
  <c r="C255" i="19"/>
  <c r="AK253" i="19" l="1"/>
  <c r="AL253" i="19"/>
  <c r="AM253" i="19"/>
  <c r="AP253" i="19"/>
  <c r="AN253" i="19"/>
  <c r="AA255" i="19"/>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B256" i="19"/>
  <c r="AP255" i="19" l="1"/>
  <c r="AM255" i="19"/>
  <c r="AK255" i="19"/>
  <c r="AN255" i="19"/>
  <c r="AO255" i="19"/>
  <c r="AL255" i="19"/>
  <c r="A257" i="19"/>
  <c r="C256" i="19"/>
  <c r="B257" i="19"/>
  <c r="C257" i="19"/>
  <c r="K256" i="19" l="1"/>
  <c r="Z256" i="19"/>
  <c r="S256" i="19"/>
  <c r="AS256" i="19"/>
  <c r="AD256" i="19"/>
  <c r="I256" i="19"/>
  <c r="F256" i="19"/>
  <c r="AG256" i="19"/>
  <c r="N256" i="19"/>
  <c r="Y256" i="19"/>
  <c r="AE256" i="19"/>
  <c r="O256" i="19"/>
  <c r="H256" i="19"/>
  <c r="Q256" i="19"/>
  <c r="M256" i="19"/>
  <c r="AA256" i="19"/>
  <c r="AQ256" i="19"/>
  <c r="X256" i="19"/>
  <c r="AR256" i="19"/>
  <c r="AC256" i="19"/>
  <c r="D256" i="19"/>
  <c r="AF256" i="19"/>
  <c r="R256" i="19"/>
  <c r="G256" i="19"/>
  <c r="U256" i="19"/>
  <c r="W256" i="19"/>
  <c r="E256" i="19"/>
  <c r="L256" i="19"/>
  <c r="AB256" i="19"/>
  <c r="V256" i="19"/>
  <c r="J256" i="19"/>
  <c r="T256" i="19"/>
  <c r="AI256" i="19" s="1"/>
  <c r="AO256" i="19" s="1"/>
  <c r="K257" i="19"/>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258" i="19"/>
  <c r="C258" i="19"/>
  <c r="AK256" i="19" l="1"/>
  <c r="AM256" i="19"/>
  <c r="AN256" i="19"/>
  <c r="AP256" i="19"/>
  <c r="AL256" i="19"/>
  <c r="S258" i="19"/>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C259" i="19"/>
  <c r="B258" i="19"/>
  <c r="B259"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C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0"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B262" i="19"/>
  <c r="B261" i="19"/>
  <c r="AN261" i="19" l="1"/>
  <c r="AK261" i="19"/>
  <c r="AP261" i="19"/>
  <c r="AL261" i="19"/>
  <c r="AO261" i="19"/>
  <c r="AM261" i="19"/>
  <c r="A263" i="19"/>
  <c r="C262" i="19"/>
  <c r="C263" i="19"/>
  <c r="B263" i="19"/>
  <c r="W262" i="19" l="1"/>
  <c r="AQ262" i="19"/>
  <c r="F262" i="19"/>
  <c r="Q262" i="19"/>
  <c r="AR262" i="19"/>
  <c r="AE262" i="19"/>
  <c r="H262" i="19"/>
  <c r="AF262" i="19"/>
  <c r="X262" i="19"/>
  <c r="E262" i="19"/>
  <c r="AA262" i="19"/>
  <c r="AS262" i="19"/>
  <c r="D262" i="19"/>
  <c r="L262" i="19"/>
  <c r="R262" i="19"/>
  <c r="M262" i="19"/>
  <c r="AG262" i="19"/>
  <c r="K262" i="19"/>
  <c r="AB262" i="19"/>
  <c r="U262" i="19"/>
  <c r="N262" i="19"/>
  <c r="V262" i="19"/>
  <c r="G262" i="19"/>
  <c r="J262" i="19"/>
  <c r="Z262" i="19"/>
  <c r="S262" i="19"/>
  <c r="AD262" i="19"/>
  <c r="Y262" i="19"/>
  <c r="I262" i="19"/>
  <c r="O262" i="19"/>
  <c r="T262" i="19"/>
  <c r="AI262" i="19" s="1"/>
  <c r="AN262" i="19" s="1"/>
  <c r="AC262" i="19"/>
  <c r="D263" i="19"/>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264" i="19"/>
  <c r="C264" i="19"/>
  <c r="B264" i="19"/>
  <c r="AL262" i="19" l="1"/>
  <c r="AO262" i="19"/>
  <c r="AK262" i="19"/>
  <c r="AP262" i="19"/>
  <c r="AM262" i="19"/>
  <c r="AR264" i="19"/>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B265" i="19"/>
  <c r="AM265" i="19" l="1"/>
  <c r="AN265" i="19"/>
  <c r="AK265" i="19"/>
  <c r="AL265" i="19"/>
  <c r="AP265" i="19"/>
  <c r="AO265" i="19"/>
  <c r="JT22" i="5"/>
  <c r="JR22" i="5"/>
  <c r="JR24" i="5" s="1"/>
  <c r="JR16" i="5"/>
  <c r="JR12" i="5" s="1"/>
  <c r="W30" i="5" s="1"/>
  <c r="JP22" i="5"/>
  <c r="JP24" i="5" s="1"/>
  <c r="JP16" i="5"/>
  <c r="JP12" i="5" s="1"/>
  <c r="W26" i="5" s="1"/>
  <c r="JT24" i="5" l="1"/>
  <c r="JT16" i="5"/>
  <c r="JT12" i="5" s="1"/>
  <c r="W28" i="5" s="1"/>
  <c r="AB51" i="14" s="1"/>
  <c r="BE55" i="14" l="1"/>
  <c r="J15" i="10"/>
  <c r="K15" i="10" s="1"/>
  <c r="J10" i="10"/>
  <c r="K10" i="10" s="1"/>
  <c r="J20" i="10"/>
  <c r="K20" i="10" s="1"/>
  <c r="J30" i="10"/>
  <c r="C30" i="10" s="1"/>
  <c r="J25" i="10"/>
  <c r="C25" i="10" s="1"/>
  <c r="T34" i="5"/>
  <c r="R15" i="19"/>
  <c r="J16" i="10" l="1"/>
  <c r="K16" i="10" s="1"/>
  <c r="J5" i="10"/>
  <c r="J11" i="10"/>
  <c r="R11" i="10" s="1"/>
  <c r="J21" i="10"/>
  <c r="R21" i="10" s="1"/>
  <c r="R358" i="19"/>
  <c r="J26" i="10"/>
  <c r="E32" i="5" s="1"/>
  <c r="BA6" i="5" s="1"/>
  <c r="J31" i="10"/>
  <c r="BG5" i="19"/>
  <c r="CK5" i="19"/>
  <c r="J691" i="20" s="1"/>
  <c r="J384" i="20" s="1"/>
  <c r="O92" i="20"/>
  <c r="O92" i="21" s="1"/>
  <c r="O94" i="20"/>
  <c r="O94" i="21" s="1"/>
  <c r="CH5" i="19"/>
  <c r="U687" i="20" s="1"/>
  <c r="J378" i="20" s="1"/>
  <c r="J261" i="20" s="1"/>
  <c r="R16" i="10"/>
  <c r="D25" i="10"/>
  <c r="C26" i="10"/>
  <c r="C31" i="10"/>
  <c r="D30" i="10"/>
  <c r="H53" i="19"/>
  <c r="K11" i="10" l="1"/>
  <c r="J6" i="10"/>
  <c r="K21" i="10"/>
  <c r="U585" i="21"/>
  <c r="J459" i="21" s="1"/>
  <c r="J248" i="21" s="1"/>
  <c r="CG348" i="19"/>
  <c r="CG366" i="19" s="1"/>
  <c r="J589" i="21"/>
  <c r="J320" i="21" s="1"/>
  <c r="CJ348" i="19"/>
  <c r="CJ366" i="19" s="1"/>
  <c r="U547" i="21"/>
  <c r="BG348" i="19"/>
  <c r="BG366" i="19" s="1"/>
  <c r="CC5" i="19"/>
  <c r="J683" i="20" s="1"/>
  <c r="J372" i="20" s="1"/>
  <c r="J251" i="20" s="1"/>
  <c r="Z35" i="14"/>
  <c r="AJ35" i="14" s="1"/>
  <c r="CL5" i="19"/>
  <c r="U691" i="20" s="1"/>
  <c r="V112" i="21"/>
  <c r="AR250" i="5"/>
  <c r="AR640" i="5"/>
  <c r="AR406" i="5"/>
  <c r="AR484" i="5"/>
  <c r="AR328" i="5"/>
  <c r="AR562" i="5"/>
  <c r="AR94" i="5"/>
  <c r="AR172" i="5"/>
  <c r="AR718" i="5"/>
  <c r="D31" i="10"/>
  <c r="K30" i="10"/>
  <c r="D26" i="10"/>
  <c r="K25" i="10"/>
  <c r="H54" i="19"/>
  <c r="S54" i="19" l="1"/>
  <c r="J314" i="21"/>
  <c r="J234" i="21" s="1"/>
  <c r="U459" i="21"/>
  <c r="U248" i="21" s="1"/>
  <c r="U589" i="21"/>
  <c r="U320" i="21" s="1"/>
  <c r="J238" i="21" s="1"/>
  <c r="CK348" i="19"/>
  <c r="CK366" i="19" s="1"/>
  <c r="J581" i="21"/>
  <c r="J308" i="21" s="1"/>
  <c r="J224" i="21" s="1"/>
  <c r="CB348" i="19"/>
  <c r="CB366" i="19" s="1"/>
  <c r="K5" i="10"/>
  <c r="Q31" i="10"/>
  <c r="R31" i="10"/>
  <c r="K31" i="10"/>
  <c r="Q26" i="10"/>
  <c r="R26" i="10"/>
  <c r="K26" i="10"/>
  <c r="I53" i="19"/>
  <c r="K6" i="10" l="1"/>
  <c r="Q6" i="10"/>
  <c r="N35" i="14" s="1"/>
  <c r="W22" i="5" s="1"/>
  <c r="R6" i="10"/>
  <c r="N37" i="14" s="1"/>
  <c r="M54" i="19"/>
  <c r="I54" i="19"/>
  <c r="N54" i="19"/>
  <c r="S15" i="19"/>
  <c r="AB49" i="14" l="1"/>
  <c r="CP35" i="22"/>
  <c r="S358" i="19"/>
  <c r="L96" i="20"/>
  <c r="L96" i="21" s="1"/>
  <c r="T24" i="5"/>
  <c r="T28" i="5"/>
  <c r="Y28" i="5"/>
  <c r="T15" i="19"/>
  <c r="G15" i="19"/>
  <c r="T358" i="19" l="1"/>
  <c r="G358" i="19"/>
  <c r="CH4" i="19"/>
  <c r="CG347" i="19" s="1"/>
  <c r="CG365" i="19" s="1"/>
  <c r="BA2" i="5"/>
  <c r="AJ31" i="14"/>
  <c r="AJ37" i="14" s="1"/>
  <c r="F15" i="19"/>
  <c r="F358" i="19" l="1"/>
  <c r="CK4" i="19"/>
  <c r="CC4" i="19"/>
  <c r="BG4" i="19"/>
  <c r="AU640" i="5"/>
  <c r="AU250" i="5"/>
  <c r="B2" i="5"/>
  <c r="E2" i="5" s="1"/>
  <c r="AU328" i="5"/>
  <c r="AU172" i="5"/>
  <c r="AU484" i="5"/>
  <c r="AU94" i="5"/>
  <c r="AU718" i="5"/>
  <c r="AU562" i="5"/>
  <c r="AU406" i="5"/>
  <c r="U667" i="20"/>
  <c r="J536" i="20" s="1"/>
  <c r="U630" i="20" l="1"/>
  <c r="BG347" i="19"/>
  <c r="BG365" i="19" s="1"/>
  <c r="J663" i="20"/>
  <c r="L92" i="20" s="1"/>
  <c r="L92" i="21" s="1"/>
  <c r="CB347" i="19"/>
  <c r="CB365" i="19" s="1"/>
  <c r="J671" i="20"/>
  <c r="CJ347" i="19"/>
  <c r="CJ365" i="19" s="1"/>
  <c r="CL4" i="19"/>
  <c r="J274" i="20"/>
  <c r="J349" i="20"/>
  <c r="J235" i="20" s="1"/>
  <c r="L94" i="20"/>
  <c r="U536" i="20" l="1"/>
  <c r="U274" i="20" s="1"/>
  <c r="J355" i="20"/>
  <c r="J343" i="20"/>
  <c r="J225" i="20" s="1"/>
  <c r="U671" i="20"/>
  <c r="U355" i="20" s="1"/>
  <c r="J239" i="20" s="1"/>
  <c r="CK347" i="19"/>
  <c r="CK365" i="19" s="1"/>
  <c r="L94" i="21"/>
  <c r="V112" i="20"/>
  <c r="B8" i="5" s="1"/>
  <c r="E8" i="5" s="1"/>
  <c r="AG51" i="24" l="1"/>
  <c r="AF51" i="24"/>
  <c r="AD27" i="22" l="1"/>
  <c r="Z71" i="14"/>
  <c r="AO10" i="19"/>
  <c r="AO12" i="19"/>
  <c r="AO13" i="19" l="1"/>
  <c r="AO355" i="19"/>
  <c r="BP4" i="19"/>
  <c r="U561" i="21" s="1"/>
  <c r="U443" i="21" s="1"/>
  <c r="AD31" i="22"/>
  <c r="BE63" i="14"/>
  <c r="CP38" i="22" s="1"/>
  <c r="AS12" i="19"/>
  <c r="AS10" i="19"/>
  <c r="AS13" i="19" l="1"/>
  <c r="AS355" i="19"/>
  <c r="BT4" i="19"/>
  <c r="U651" i="20" s="1"/>
  <c r="U524" i="20" s="1"/>
  <c r="U645" i="20"/>
  <c r="U520" i="20" s="1"/>
  <c r="BO347" i="19"/>
  <c r="BP365" i="19" s="1"/>
  <c r="AO356" i="19"/>
  <c r="BP5" i="19"/>
  <c r="BO348" i="19" s="1"/>
  <c r="BP366" i="19" s="1"/>
  <c r="BE69" i="14"/>
  <c r="CP41" i="22" s="1"/>
  <c r="BS347" i="19" l="1"/>
  <c r="BT365" i="19" s="1"/>
  <c r="U567" i="21"/>
  <c r="U447" i="21" s="1"/>
  <c r="Z73" i="14"/>
  <c r="AD32" i="22" l="1"/>
  <c r="BE71" i="14"/>
  <c r="CP42" i="22" s="1"/>
  <c r="AT10" i="19"/>
  <c r="AT12" i="19"/>
  <c r="AT13" i="19" l="1"/>
  <c r="BU4" i="19"/>
  <c r="J653" i="20" s="1"/>
  <c r="J526" i="20" s="1"/>
  <c r="AT355" i="19"/>
  <c r="AS356" i="19"/>
  <c r="BT5" i="19"/>
  <c r="BS348" i="19" s="1"/>
  <c r="BT366" i="19" s="1"/>
  <c r="Z65" i="14"/>
  <c r="BT347" i="19" l="1"/>
  <c r="BU365" i="19" s="1"/>
  <c r="J569" i="21"/>
  <c r="J449" i="21" s="1"/>
  <c r="AD28" i="22"/>
  <c r="AC73" i="14"/>
  <c r="AP12" i="19"/>
  <c r="AP10" i="19"/>
  <c r="AP13" i="19" l="1"/>
  <c r="AP355" i="19"/>
  <c r="AD33" i="22"/>
  <c r="BE57" i="14"/>
  <c r="CP36" i="22" s="1"/>
  <c r="AU12" i="19"/>
  <c r="AU10" i="19"/>
  <c r="AU13" i="19" l="1"/>
  <c r="AU355" i="19"/>
  <c r="BV4" i="19"/>
  <c r="U569" i="21" s="1"/>
  <c r="U449" i="21" s="1"/>
  <c r="BE67" i="14"/>
  <c r="CP40" i="22" s="1"/>
  <c r="U653" i="20" l="1"/>
  <c r="U526" i="20" s="1"/>
  <c r="BU347" i="19"/>
  <c r="BV365" i="19" s="1"/>
  <c r="BE73" i="14"/>
  <c r="CP43" i="22" s="1"/>
  <c r="AT356" i="19" l="1"/>
  <c r="BU5" i="19"/>
  <c r="BT348" i="19" s="1"/>
  <c r="BU366" i="19" s="1"/>
  <c r="BH73" i="14"/>
  <c r="CP44" i="22" s="1"/>
  <c r="AU356" i="19" l="1"/>
  <c r="BV5" i="19"/>
  <c r="BU348" i="19" s="1"/>
  <c r="BV366" i="19" s="1"/>
  <c r="BE65" i="14"/>
  <c r="CP39" i="22" s="1"/>
  <c r="Z69" i="14"/>
  <c r="AD30" i="22" l="1"/>
  <c r="AP356" i="19"/>
  <c r="Z57" i="14"/>
  <c r="Z67" i="14"/>
  <c r="AR12" i="19"/>
  <c r="AR10" i="19"/>
  <c r="AR13" i="19" l="1"/>
  <c r="AR355" i="19"/>
  <c r="BR4" i="19"/>
  <c r="U565" i="21" s="1"/>
  <c r="U445" i="21" s="1"/>
  <c r="AD29" i="22"/>
  <c r="AD25" i="22"/>
  <c r="AM12" i="19"/>
  <c r="AQ10" i="19"/>
  <c r="AQ12" i="19"/>
  <c r="AM10" i="19"/>
  <c r="AQ13" i="19" l="1"/>
  <c r="AQ356" i="19" s="1"/>
  <c r="AM13" i="19"/>
  <c r="AM356" i="19" s="1"/>
  <c r="BR5" i="19"/>
  <c r="BQ348" i="19" s="1"/>
  <c r="BR366" i="19" s="1"/>
  <c r="AR356" i="19"/>
  <c r="AQ355" i="19"/>
  <c r="AM355" i="19"/>
  <c r="U649" i="20"/>
  <c r="U522" i="20" s="1"/>
  <c r="BQ347" i="19"/>
  <c r="BR365" i="19" s="1"/>
  <c r="H87" i="11" l="1"/>
  <c r="U87" i="11" s="1"/>
  <c r="L93" i="11"/>
  <c r="AA93" i="11" s="1"/>
  <c r="V27" i="14"/>
  <c r="BJ87" i="11"/>
  <c r="M42" i="20"/>
  <c r="M42" i="21"/>
  <c r="P28" i="22"/>
  <c r="M52" i="20"/>
  <c r="M52" i="21" s="1"/>
  <c r="BK87" i="11"/>
  <c r="AB27" i="14"/>
  <c r="P40" i="22"/>
  <c r="AG20" i="19"/>
  <c r="AM19" i="19"/>
  <c r="BK10" i="19"/>
  <c r="AG19" i="19"/>
  <c r="BG10" i="19"/>
  <c r="BG353" i="19" l="1"/>
  <c r="J494" i="20"/>
  <c r="J419" i="21" s="1"/>
  <c r="BK353" i="19"/>
  <c r="AG18" i="19"/>
  <c r="AG4" i="19"/>
  <c r="P32" i="22"/>
  <c r="BJ95" i="11"/>
  <c r="AM20" i="19"/>
  <c r="AM18" i="19" l="1"/>
  <c r="AM4" i="19"/>
  <c r="U593" i="20"/>
  <c r="AG5" i="19"/>
  <c r="AG347" i="19"/>
  <c r="AG365" i="19" s="1"/>
  <c r="P44" i="22"/>
  <c r="BK95" i="11"/>
  <c r="H81" i="11"/>
  <c r="AE19" i="19"/>
  <c r="AG348" i="19" l="1"/>
  <c r="AG366" i="19" s="1"/>
  <c r="U517" i="21"/>
  <c r="U431" i="21" s="1"/>
  <c r="U168" i="21" s="1"/>
  <c r="U508" i="20"/>
  <c r="U168" i="20" s="1"/>
  <c r="J433" i="20"/>
  <c r="U194" i="20" s="1"/>
  <c r="AM5" i="19"/>
  <c r="U599" i="20"/>
  <c r="U514" i="20" s="1"/>
  <c r="U174" i="20" s="1"/>
  <c r="AM347" i="19"/>
  <c r="AM365" i="19" s="1"/>
  <c r="Z10" i="19"/>
  <c r="AD10" i="19"/>
  <c r="Z4" i="19" l="1"/>
  <c r="Z347" i="19" s="1"/>
  <c r="Z365" i="19" s="1"/>
  <c r="GR5" i="19"/>
  <c r="GQ348" i="19" s="1"/>
  <c r="Z5" i="19"/>
  <c r="J505" i="21" s="1"/>
  <c r="J369" i="21" s="1"/>
  <c r="U194" i="21" s="1"/>
  <c r="GR4" i="19"/>
  <c r="GQ347" i="19" s="1"/>
  <c r="Z348" i="19"/>
  <c r="Z366" i="19" s="1"/>
  <c r="U523" i="21"/>
  <c r="U437" i="21" s="1"/>
  <c r="U174" i="21" s="1"/>
  <c r="AM348" i="19"/>
  <c r="AM366" i="19" s="1"/>
  <c r="AD353" i="19"/>
  <c r="BL23" i="19"/>
  <c r="BL22" i="19"/>
  <c r="Z353" i="19"/>
  <c r="H93" i="11"/>
  <c r="U81" i="11"/>
  <c r="H83" i="11"/>
  <c r="K95" i="14" s="1"/>
  <c r="BD10" i="19"/>
  <c r="AL19" i="19"/>
  <c r="W10" i="19"/>
  <c r="V4" i="19" l="1"/>
  <c r="J577" i="20" s="1"/>
  <c r="J581" i="20"/>
  <c r="J437" i="20" s="1"/>
  <c r="K92" i="14"/>
  <c r="AD38" i="22"/>
  <c r="BD353" i="19"/>
  <c r="P37" i="22"/>
  <c r="BK81" i="11"/>
  <c r="M46" i="20"/>
  <c r="M46" i="21" s="1"/>
  <c r="AB21" i="14"/>
  <c r="BE10" i="19"/>
  <c r="AA10" i="19"/>
  <c r="AE20" i="19"/>
  <c r="BJ10" i="19"/>
  <c r="BJ353" i="19" l="1"/>
  <c r="AA353" i="19"/>
  <c r="BE353" i="19"/>
  <c r="AE4" i="19"/>
  <c r="U83" i="11"/>
  <c r="AB23" i="14" s="1"/>
  <c r="AF20" i="19"/>
  <c r="X10" i="19"/>
  <c r="BK83" i="11" l="1"/>
  <c r="M48" i="20"/>
  <c r="M48" i="21" s="1"/>
  <c r="P38" i="22"/>
  <c r="U591" i="20"/>
  <c r="AE5" i="19"/>
  <c r="AE347" i="19"/>
  <c r="AE365" i="19" s="1"/>
  <c r="X12" i="19"/>
  <c r="Y5" i="19" s="1"/>
  <c r="AF19" i="19"/>
  <c r="AF18" i="19" l="1"/>
  <c r="U431" i="20" s="1"/>
  <c r="U515" i="21"/>
  <c r="U429" i="21" s="1"/>
  <c r="U166" i="21" s="1"/>
  <c r="AE348" i="19"/>
  <c r="AE366" i="19" s="1"/>
  <c r="J431" i="20"/>
  <c r="U506" i="20"/>
  <c r="U166" i="20" s="1"/>
  <c r="U503" i="21"/>
  <c r="Y348" i="19"/>
  <c r="Y366" i="19" s="1"/>
  <c r="X11" i="19"/>
  <c r="X5" i="19" s="1"/>
  <c r="U93" i="11"/>
  <c r="AL20" i="19"/>
  <c r="Z492" i="20" l="1"/>
  <c r="U492" i="20" s="1"/>
  <c r="U417" i="21" s="1"/>
  <c r="AL18" i="19"/>
  <c r="AL4" i="19"/>
  <c r="U192" i="20"/>
  <c r="J435" i="20"/>
  <c r="U367" i="21"/>
  <c r="J194" i="21" s="1"/>
  <c r="J503" i="21"/>
  <c r="X348" i="19"/>
  <c r="X366" i="19" s="1"/>
  <c r="H85" i="11"/>
  <c r="AH19" i="19"/>
  <c r="J492" i="20" l="1"/>
  <c r="J417" i="21" s="1"/>
  <c r="AL5" i="19"/>
  <c r="AL347" i="19"/>
  <c r="AL365" i="19" s="1"/>
  <c r="J599" i="20"/>
  <c r="J514" i="20" s="1"/>
  <c r="J174" i="20" s="1"/>
  <c r="U85" i="11"/>
  <c r="Y10" i="19"/>
  <c r="AL348" i="19" l="1"/>
  <c r="AL366" i="19" s="1"/>
  <c r="J523" i="21"/>
  <c r="J437" i="21" s="1"/>
  <c r="J174" i="21" s="1"/>
  <c r="AA4" i="19"/>
  <c r="U581" i="20" s="1"/>
  <c r="V5" i="19"/>
  <c r="J501" i="21" s="1"/>
  <c r="J367" i="21" s="1"/>
  <c r="U192" i="21" s="1"/>
  <c r="Y4" i="19"/>
  <c r="Y347" i="19" s="1"/>
  <c r="Y365" i="19" s="1"/>
  <c r="X4" i="19"/>
  <c r="J579" i="20" s="1"/>
  <c r="U435" i="20"/>
  <c r="V347" i="19"/>
  <c r="V365" i="19" s="1"/>
  <c r="U315" i="20"/>
  <c r="H91" i="11"/>
  <c r="AK19" i="19"/>
  <c r="X347" i="19" l="1"/>
  <c r="X365" i="19" s="1"/>
  <c r="U280" i="21"/>
  <c r="V348" i="19"/>
  <c r="V366" i="19" s="1"/>
  <c r="J194" i="20"/>
  <c r="U579" i="20"/>
  <c r="BJ23" i="19"/>
  <c r="GQ5" i="19"/>
  <c r="GP348" i="19" s="1"/>
  <c r="BJ22" i="19"/>
  <c r="X353" i="19"/>
  <c r="GQ4" i="19"/>
  <c r="GP347" i="19" s="1"/>
  <c r="GP5" i="19"/>
  <c r="GO348" i="19" s="1"/>
  <c r="GP4" i="19"/>
  <c r="GO347" i="19" s="1"/>
  <c r="W353" i="19"/>
  <c r="BI22" i="19"/>
  <c r="BI23" i="19"/>
  <c r="U91" i="11"/>
  <c r="AB10" i="19"/>
  <c r="AB353" i="19" l="1"/>
  <c r="AC10" i="19"/>
  <c r="AC353" i="19" l="1"/>
  <c r="AE18" i="19"/>
  <c r="J490" i="20"/>
  <c r="J415" i="21" s="1"/>
  <c r="AA347" i="19"/>
  <c r="AA365" i="19" s="1"/>
  <c r="BJ81" i="11"/>
  <c r="K97" i="14"/>
  <c r="AD37" i="22" s="1"/>
  <c r="M36" i="20"/>
  <c r="M36" i="21" s="1"/>
  <c r="P25" i="22"/>
  <c r="V21" i="14"/>
  <c r="BJ83" i="11"/>
  <c r="V23" i="14"/>
  <c r="M38" i="20"/>
  <c r="M38" i="21" s="1"/>
  <c r="P26" i="22"/>
  <c r="U494" i="20"/>
  <c r="U419" i="21" s="1"/>
  <c r="GS4" i="19"/>
  <c r="GR347" i="19" s="1"/>
  <c r="GS5" i="19"/>
  <c r="GR348" i="19" s="1"/>
  <c r="AA5" i="19"/>
  <c r="U505" i="21"/>
  <c r="U369" i="21" s="1"/>
  <c r="J196" i="21" s="1"/>
  <c r="AA348" i="19"/>
  <c r="AA366" i="19" s="1"/>
  <c r="BK23" i="19"/>
  <c r="Y353" i="19"/>
  <c r="BK22" i="19"/>
  <c r="M50" i="20"/>
  <c r="M50" i="21" s="1"/>
  <c r="AB25" i="14"/>
  <c r="P39" i="22"/>
  <c r="BK85" i="11"/>
  <c r="BI10" i="19"/>
  <c r="BF10" i="19"/>
  <c r="AH20" i="19"/>
  <c r="BF353" i="19" l="1"/>
  <c r="BI353" i="19"/>
  <c r="AH18" i="19"/>
  <c r="AH4" i="19"/>
  <c r="BK91" i="11"/>
  <c r="P42" i="22"/>
  <c r="AK20" i="19"/>
  <c r="AK18" i="19" l="1"/>
  <c r="AK4" i="19"/>
  <c r="J595" i="20"/>
  <c r="AH5" i="19"/>
  <c r="AH347" i="19"/>
  <c r="AH365" i="19" s="1"/>
  <c r="BK93" i="11"/>
  <c r="P43" i="22"/>
  <c r="P30" i="22"/>
  <c r="BJ91" i="11"/>
  <c r="BJ93" i="11"/>
  <c r="P31" i="22"/>
  <c r="BJ85" i="11"/>
  <c r="P27" i="22"/>
  <c r="V25" i="14"/>
  <c r="M40" i="20"/>
  <c r="M40" i="21" s="1"/>
  <c r="K99" i="14"/>
  <c r="AD39" i="22" s="1"/>
  <c r="AH348" i="19" l="1"/>
  <c r="AH366" i="19" s="1"/>
  <c r="J519" i="21"/>
  <c r="J433" i="21" s="1"/>
  <c r="J170" i="21" s="1"/>
  <c r="U433" i="20"/>
  <c r="J510" i="20"/>
  <c r="J170" i="20" s="1"/>
  <c r="AK347" i="19"/>
  <c r="AK365" i="19" s="1"/>
  <c r="U597" i="20"/>
  <c r="U512" i="20" s="1"/>
  <c r="U172" i="20" s="1"/>
  <c r="AK5" i="19"/>
  <c r="U521" i="21" l="1"/>
  <c r="U435" i="21" s="1"/>
  <c r="U172" i="21" s="1"/>
  <c r="AK348" i="19"/>
  <c r="AK366" i="19" s="1"/>
  <c r="J196" i="20"/>
  <c r="U437" i="20"/>
</calcChain>
</file>

<file path=xl/comments1.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authors>
    <author>Michael lane</author>
    <author>Michael Lane</author>
  </authors>
  <commentList>
    <comment ref="CV18" authorId="0" shapeId="0">
      <text>
        <r>
          <rPr>
            <b/>
            <sz val="9"/>
            <color indexed="81"/>
            <rFont val="Tahoma"/>
            <family val="2"/>
          </rPr>
          <t>Michael lane:</t>
        </r>
        <r>
          <rPr>
            <sz val="9"/>
            <color indexed="81"/>
            <rFont val="Tahoma"/>
            <family val="2"/>
          </rPr>
          <t xml:space="preserve">
IF(IU51=TRUE,T50,0)
IU51 is TRUE if Calculate is YES</t>
        </r>
      </text>
    </comment>
    <comment ref="CW18" authorId="0" shapeId="0">
      <text>
        <r>
          <rPr>
            <b/>
            <sz val="9"/>
            <color indexed="81"/>
            <rFont val="Tahoma"/>
            <family val="2"/>
          </rPr>
          <t>Michael lane:</t>
        </r>
        <r>
          <rPr>
            <sz val="9"/>
            <color indexed="81"/>
            <rFont val="Tahoma"/>
            <family val="2"/>
          </rPr>
          <t xml:space="preserve">
=IF(IU51=TRUE,U50,"")
IU51 is TRUE if Calculate is YES</t>
        </r>
      </text>
    </comment>
    <comment ref="DG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K18" authorId="0" shapeId="0">
      <text>
        <r>
          <rPr>
            <b/>
            <sz val="9"/>
            <color indexed="81"/>
            <rFont val="Tahoma"/>
            <family val="2"/>
          </rPr>
          <t>Michael lane:</t>
        </r>
        <r>
          <rPr>
            <sz val="9"/>
            <color indexed="81"/>
            <rFont val="Tahoma"/>
            <family val="2"/>
          </rPr>
          <t xml:space="preserve">
If FALSE then there is an error
.</t>
        </r>
      </text>
    </comment>
    <comment ref="CS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K45" authorId="0" shapeId="0">
      <text>
        <r>
          <rPr>
            <b/>
            <sz val="9"/>
            <color indexed="81"/>
            <rFont val="Tahoma"/>
            <family val="2"/>
          </rPr>
          <t>Michael lane:</t>
        </r>
        <r>
          <rPr>
            <sz val="9"/>
            <color indexed="81"/>
            <rFont val="Tahoma"/>
            <family val="2"/>
          </rPr>
          <t xml:space="preserve">
If FALSE then there is an error
.</t>
        </r>
      </text>
    </comment>
    <comment ref="M48" authorId="1" shapeId="0">
      <text>
        <r>
          <rPr>
            <b/>
            <sz val="9"/>
            <color indexed="81"/>
            <rFont val="Tahoma"/>
            <family val="2"/>
          </rPr>
          <t>Michael Lane:</t>
        </r>
        <r>
          <rPr>
            <sz val="9"/>
            <color indexed="81"/>
            <rFont val="Tahoma"/>
            <family val="2"/>
          </rPr>
          <t xml:space="preserve">
Changed Retrofit / TI / NC
</t>
        </r>
      </text>
    </comment>
    <comment ref="N48" authorId="0" shapeId="0">
      <text>
        <r>
          <rPr>
            <b/>
            <sz val="9"/>
            <color indexed="81"/>
            <rFont val="Tahoma"/>
            <family val="2"/>
          </rPr>
          <t>Michael lane:</t>
        </r>
        <r>
          <rPr>
            <sz val="9"/>
            <color indexed="81"/>
            <rFont val="Tahoma"/>
            <family val="2"/>
          </rPr>
          <t xml:space="preserve">
HVAC factor</t>
        </r>
      </text>
    </comment>
    <comment ref="M49" authorId="0" shapeId="0">
      <text>
        <r>
          <rPr>
            <b/>
            <sz val="9"/>
            <color indexed="81"/>
            <rFont val="Tahoma"/>
            <family val="2"/>
          </rPr>
          <t>Michael lane:</t>
        </r>
        <r>
          <rPr>
            <sz val="9"/>
            <color indexed="81"/>
            <rFont val="Tahoma"/>
            <family val="2"/>
          </rPr>
          <t xml:space="preserve">
Space Type incorrect due to Heat Type Change
</t>
        </r>
      </text>
    </comment>
    <comment ref="N49" authorId="0" shapeId="0">
      <text>
        <r>
          <rPr>
            <b/>
            <sz val="9"/>
            <color indexed="81"/>
            <rFont val="Tahoma"/>
            <family val="2"/>
          </rPr>
          <t>Michael lane:</t>
        </r>
        <r>
          <rPr>
            <sz val="9"/>
            <color indexed="81"/>
            <rFont val="Tahoma"/>
            <family val="2"/>
          </rPr>
          <t xml:space="preserve">
LPA</t>
        </r>
      </text>
    </comment>
    <comment ref="M53" authorId="1" shapeId="0">
      <text>
        <r>
          <rPr>
            <b/>
            <sz val="9"/>
            <color indexed="81"/>
            <rFont val="Tahoma"/>
            <family val="2"/>
          </rPr>
          <t>Michael Lane:</t>
        </r>
        <r>
          <rPr>
            <sz val="9"/>
            <color indexed="81"/>
            <rFont val="Tahoma"/>
            <family val="2"/>
          </rPr>
          <t xml:space="preserve">
Changed Retrofit / TI / NC
</t>
        </r>
      </text>
    </comment>
    <comment ref="N53" authorId="0" shapeId="0">
      <text>
        <r>
          <rPr>
            <b/>
            <sz val="9"/>
            <color indexed="81"/>
            <rFont val="Tahoma"/>
            <family val="2"/>
          </rPr>
          <t>Michael lane:</t>
        </r>
        <r>
          <rPr>
            <sz val="9"/>
            <color indexed="81"/>
            <rFont val="Tahoma"/>
            <family val="2"/>
          </rPr>
          <t xml:space="preserve">
HVAC factor</t>
        </r>
      </text>
    </comment>
    <comment ref="M54" authorId="0" shapeId="0">
      <text>
        <r>
          <rPr>
            <b/>
            <sz val="9"/>
            <color indexed="81"/>
            <rFont val="Tahoma"/>
            <family val="2"/>
          </rPr>
          <t>Michael lane:</t>
        </r>
        <r>
          <rPr>
            <sz val="9"/>
            <color indexed="81"/>
            <rFont val="Tahoma"/>
            <family val="2"/>
          </rPr>
          <t xml:space="preserve">
Space Type incorrect due to Heat Type Change
</t>
        </r>
      </text>
    </comment>
    <comment ref="N54" authorId="0" shapeId="0">
      <text>
        <r>
          <rPr>
            <b/>
            <sz val="9"/>
            <color indexed="81"/>
            <rFont val="Tahoma"/>
            <family val="2"/>
          </rPr>
          <t>Michael lane:</t>
        </r>
        <r>
          <rPr>
            <sz val="9"/>
            <color indexed="81"/>
            <rFont val="Tahoma"/>
            <family val="2"/>
          </rPr>
          <t xml:space="preserve">
LPA</t>
        </r>
      </text>
    </comment>
    <comment ref="M58" authorId="1" shapeId="0">
      <text>
        <r>
          <rPr>
            <b/>
            <sz val="9"/>
            <color indexed="81"/>
            <rFont val="Tahoma"/>
            <family val="2"/>
          </rPr>
          <t>Michael Lane:</t>
        </r>
        <r>
          <rPr>
            <sz val="9"/>
            <color indexed="81"/>
            <rFont val="Tahoma"/>
            <family val="2"/>
          </rPr>
          <t xml:space="preserve">
Changed Retrofit / TI / NC
</t>
        </r>
      </text>
    </comment>
    <comment ref="N58" authorId="0" shapeId="0">
      <text>
        <r>
          <rPr>
            <b/>
            <sz val="9"/>
            <color indexed="81"/>
            <rFont val="Tahoma"/>
            <family val="2"/>
          </rPr>
          <t>Michael lane:</t>
        </r>
        <r>
          <rPr>
            <sz val="9"/>
            <color indexed="81"/>
            <rFont val="Tahoma"/>
            <family val="2"/>
          </rPr>
          <t xml:space="preserve">
HVAC factor</t>
        </r>
      </text>
    </comment>
    <comment ref="M59" authorId="0" shapeId="0">
      <text>
        <r>
          <rPr>
            <b/>
            <sz val="9"/>
            <color indexed="81"/>
            <rFont val="Tahoma"/>
            <family val="2"/>
          </rPr>
          <t>Michael lane:</t>
        </r>
        <r>
          <rPr>
            <sz val="9"/>
            <color indexed="81"/>
            <rFont val="Tahoma"/>
            <family val="2"/>
          </rPr>
          <t xml:space="preserve">
Space Type incorrect due to Heat Type Change
</t>
        </r>
      </text>
    </comment>
    <comment ref="N59" authorId="0" shapeId="0">
      <text>
        <r>
          <rPr>
            <b/>
            <sz val="9"/>
            <color indexed="81"/>
            <rFont val="Tahoma"/>
            <family val="2"/>
          </rPr>
          <t>Michael lane:</t>
        </r>
        <r>
          <rPr>
            <sz val="9"/>
            <color indexed="81"/>
            <rFont val="Tahoma"/>
            <family val="2"/>
          </rPr>
          <t xml:space="preserve">
LPA</t>
        </r>
      </text>
    </comment>
    <comment ref="M63" authorId="1" shapeId="0">
      <text>
        <r>
          <rPr>
            <b/>
            <sz val="9"/>
            <color indexed="81"/>
            <rFont val="Tahoma"/>
            <family val="2"/>
          </rPr>
          <t>Michael Lane:</t>
        </r>
        <r>
          <rPr>
            <sz val="9"/>
            <color indexed="81"/>
            <rFont val="Tahoma"/>
            <family val="2"/>
          </rPr>
          <t xml:space="preserve">
Changed Retrofit / TI / NC
</t>
        </r>
      </text>
    </comment>
    <comment ref="N63" authorId="0" shapeId="0">
      <text>
        <r>
          <rPr>
            <b/>
            <sz val="9"/>
            <color indexed="81"/>
            <rFont val="Tahoma"/>
            <family val="2"/>
          </rPr>
          <t>Michael lane:</t>
        </r>
        <r>
          <rPr>
            <sz val="9"/>
            <color indexed="81"/>
            <rFont val="Tahoma"/>
            <family val="2"/>
          </rPr>
          <t xml:space="preserve">
HVAC factor</t>
        </r>
      </text>
    </comment>
    <comment ref="M64" authorId="0" shapeId="0">
      <text>
        <r>
          <rPr>
            <b/>
            <sz val="9"/>
            <color indexed="81"/>
            <rFont val="Tahoma"/>
            <family val="2"/>
          </rPr>
          <t>Michael lane:</t>
        </r>
        <r>
          <rPr>
            <sz val="9"/>
            <color indexed="81"/>
            <rFont val="Tahoma"/>
            <family val="2"/>
          </rPr>
          <t xml:space="preserve">
Space Type incorrect due to Heat Type Change
</t>
        </r>
      </text>
    </comment>
    <comment ref="N64" authorId="0" shapeId="0">
      <text>
        <r>
          <rPr>
            <b/>
            <sz val="9"/>
            <color indexed="81"/>
            <rFont val="Tahoma"/>
            <family val="2"/>
          </rPr>
          <t>Michael lane:</t>
        </r>
        <r>
          <rPr>
            <sz val="9"/>
            <color indexed="81"/>
            <rFont val="Tahoma"/>
            <family val="2"/>
          </rPr>
          <t xml:space="preserve">
LPA</t>
        </r>
      </text>
    </comment>
    <comment ref="M68" authorId="1" shapeId="0">
      <text>
        <r>
          <rPr>
            <b/>
            <sz val="9"/>
            <color indexed="81"/>
            <rFont val="Tahoma"/>
            <family val="2"/>
          </rPr>
          <t>Michael Lane:</t>
        </r>
        <r>
          <rPr>
            <sz val="9"/>
            <color indexed="81"/>
            <rFont val="Tahoma"/>
            <family val="2"/>
          </rPr>
          <t xml:space="preserve">
Changed Retrofit / TI / NC
</t>
        </r>
      </text>
    </comment>
    <comment ref="N68" authorId="0" shapeId="0">
      <text>
        <r>
          <rPr>
            <b/>
            <sz val="9"/>
            <color indexed="81"/>
            <rFont val="Tahoma"/>
            <family val="2"/>
          </rPr>
          <t>Michael lane:</t>
        </r>
        <r>
          <rPr>
            <sz val="9"/>
            <color indexed="81"/>
            <rFont val="Tahoma"/>
            <family val="2"/>
          </rPr>
          <t xml:space="preserve">
HVAC factor</t>
        </r>
      </text>
    </comment>
    <comment ref="M69" authorId="0" shapeId="0">
      <text>
        <r>
          <rPr>
            <b/>
            <sz val="9"/>
            <color indexed="81"/>
            <rFont val="Tahoma"/>
            <family val="2"/>
          </rPr>
          <t>Michael lane:</t>
        </r>
        <r>
          <rPr>
            <sz val="9"/>
            <color indexed="81"/>
            <rFont val="Tahoma"/>
            <family val="2"/>
          </rPr>
          <t xml:space="preserve">
Space Type incorrect due to Heat Type Change
</t>
        </r>
      </text>
    </comment>
    <comment ref="N69" authorId="0" shapeId="0">
      <text>
        <r>
          <rPr>
            <b/>
            <sz val="9"/>
            <color indexed="81"/>
            <rFont val="Tahoma"/>
            <family val="2"/>
          </rPr>
          <t>Michael lane:</t>
        </r>
        <r>
          <rPr>
            <sz val="9"/>
            <color indexed="81"/>
            <rFont val="Tahoma"/>
            <family val="2"/>
          </rPr>
          <t xml:space="preserve">
LPA</t>
        </r>
      </text>
    </comment>
    <comment ref="M73" authorId="1" shapeId="0">
      <text>
        <r>
          <rPr>
            <b/>
            <sz val="9"/>
            <color indexed="81"/>
            <rFont val="Tahoma"/>
            <family val="2"/>
          </rPr>
          <t>Michael Lane:</t>
        </r>
        <r>
          <rPr>
            <sz val="9"/>
            <color indexed="81"/>
            <rFont val="Tahoma"/>
            <family val="2"/>
          </rPr>
          <t xml:space="preserve">
Changed Retrofit / TI / NC
</t>
        </r>
      </text>
    </comment>
    <comment ref="N73" authorId="0" shapeId="0">
      <text>
        <r>
          <rPr>
            <b/>
            <sz val="9"/>
            <color indexed="81"/>
            <rFont val="Tahoma"/>
            <family val="2"/>
          </rPr>
          <t>Michael lane:</t>
        </r>
        <r>
          <rPr>
            <sz val="9"/>
            <color indexed="81"/>
            <rFont val="Tahoma"/>
            <family val="2"/>
          </rPr>
          <t xml:space="preserve">
HVAC factor</t>
        </r>
      </text>
    </comment>
    <comment ref="M74" authorId="0" shapeId="0">
      <text>
        <r>
          <rPr>
            <b/>
            <sz val="9"/>
            <color indexed="81"/>
            <rFont val="Tahoma"/>
            <family val="2"/>
          </rPr>
          <t>Michael lane:</t>
        </r>
        <r>
          <rPr>
            <sz val="9"/>
            <color indexed="81"/>
            <rFont val="Tahoma"/>
            <family val="2"/>
          </rPr>
          <t xml:space="preserve">
Space Type incorrect due to Heat Type Change
</t>
        </r>
      </text>
    </comment>
    <comment ref="N74" authorId="0" shapeId="0">
      <text>
        <r>
          <rPr>
            <b/>
            <sz val="9"/>
            <color indexed="81"/>
            <rFont val="Tahoma"/>
            <family val="2"/>
          </rPr>
          <t>Michael lane:</t>
        </r>
        <r>
          <rPr>
            <sz val="9"/>
            <color indexed="81"/>
            <rFont val="Tahoma"/>
            <family val="2"/>
          </rPr>
          <t xml:space="preserve">
LPA</t>
        </r>
      </text>
    </comment>
    <comment ref="M78" authorId="1" shapeId="0">
      <text>
        <r>
          <rPr>
            <b/>
            <sz val="9"/>
            <color indexed="81"/>
            <rFont val="Tahoma"/>
            <family val="2"/>
          </rPr>
          <t>Michael Lane:</t>
        </r>
        <r>
          <rPr>
            <sz val="9"/>
            <color indexed="81"/>
            <rFont val="Tahoma"/>
            <family val="2"/>
          </rPr>
          <t xml:space="preserve">
Changed Retrofit / TI / NC
</t>
        </r>
      </text>
    </comment>
    <comment ref="N78" authorId="0" shapeId="0">
      <text>
        <r>
          <rPr>
            <b/>
            <sz val="9"/>
            <color indexed="81"/>
            <rFont val="Tahoma"/>
            <family val="2"/>
          </rPr>
          <t>Michael lane:</t>
        </r>
        <r>
          <rPr>
            <sz val="9"/>
            <color indexed="81"/>
            <rFont val="Tahoma"/>
            <family val="2"/>
          </rPr>
          <t xml:space="preserve">
HVAC factor</t>
        </r>
      </text>
    </comment>
    <comment ref="M79" authorId="0" shapeId="0">
      <text>
        <r>
          <rPr>
            <b/>
            <sz val="9"/>
            <color indexed="81"/>
            <rFont val="Tahoma"/>
            <family val="2"/>
          </rPr>
          <t>Michael lane:</t>
        </r>
        <r>
          <rPr>
            <sz val="9"/>
            <color indexed="81"/>
            <rFont val="Tahoma"/>
            <family val="2"/>
          </rPr>
          <t xml:space="preserve">
Space Type incorrect due to Heat Type Change
</t>
        </r>
      </text>
    </comment>
    <comment ref="N79" authorId="0" shapeId="0">
      <text>
        <r>
          <rPr>
            <b/>
            <sz val="9"/>
            <color indexed="81"/>
            <rFont val="Tahoma"/>
            <family val="2"/>
          </rPr>
          <t>Michael lane:</t>
        </r>
        <r>
          <rPr>
            <sz val="9"/>
            <color indexed="81"/>
            <rFont val="Tahoma"/>
            <family val="2"/>
          </rPr>
          <t xml:space="preserve">
LPA</t>
        </r>
      </text>
    </comment>
    <comment ref="M83" authorId="1" shapeId="0">
      <text>
        <r>
          <rPr>
            <b/>
            <sz val="9"/>
            <color indexed="81"/>
            <rFont val="Tahoma"/>
            <family val="2"/>
          </rPr>
          <t>Michael Lane:</t>
        </r>
        <r>
          <rPr>
            <sz val="9"/>
            <color indexed="81"/>
            <rFont val="Tahoma"/>
            <family val="2"/>
          </rPr>
          <t xml:space="preserve">
Changed Retrofit / TI / NC
</t>
        </r>
      </text>
    </comment>
    <comment ref="N83" authorId="0" shapeId="0">
      <text>
        <r>
          <rPr>
            <b/>
            <sz val="9"/>
            <color indexed="81"/>
            <rFont val="Tahoma"/>
            <family val="2"/>
          </rPr>
          <t>Michael lane:</t>
        </r>
        <r>
          <rPr>
            <sz val="9"/>
            <color indexed="81"/>
            <rFont val="Tahoma"/>
            <family val="2"/>
          </rPr>
          <t xml:space="preserve">
HVAC factor</t>
        </r>
      </text>
    </comment>
    <comment ref="M84" authorId="0" shapeId="0">
      <text>
        <r>
          <rPr>
            <b/>
            <sz val="9"/>
            <color indexed="81"/>
            <rFont val="Tahoma"/>
            <family val="2"/>
          </rPr>
          <t>Michael lane:</t>
        </r>
        <r>
          <rPr>
            <sz val="9"/>
            <color indexed="81"/>
            <rFont val="Tahoma"/>
            <family val="2"/>
          </rPr>
          <t xml:space="preserve">
Space Type incorrect due to Heat Type Change
</t>
        </r>
      </text>
    </comment>
    <comment ref="N84" authorId="0" shapeId="0">
      <text>
        <r>
          <rPr>
            <b/>
            <sz val="9"/>
            <color indexed="81"/>
            <rFont val="Tahoma"/>
            <family val="2"/>
          </rPr>
          <t>Michael lane:</t>
        </r>
        <r>
          <rPr>
            <sz val="9"/>
            <color indexed="81"/>
            <rFont val="Tahoma"/>
            <family val="2"/>
          </rPr>
          <t xml:space="preserve">
LPA</t>
        </r>
      </text>
    </comment>
    <comment ref="M88" authorId="1" shapeId="0">
      <text>
        <r>
          <rPr>
            <b/>
            <sz val="9"/>
            <color indexed="81"/>
            <rFont val="Tahoma"/>
            <family val="2"/>
          </rPr>
          <t>Michael Lane:</t>
        </r>
        <r>
          <rPr>
            <sz val="9"/>
            <color indexed="81"/>
            <rFont val="Tahoma"/>
            <family val="2"/>
          </rPr>
          <t xml:space="preserve">
Changed Retrofit / TI / NC
</t>
        </r>
      </text>
    </comment>
    <comment ref="N88" authorId="0" shapeId="0">
      <text>
        <r>
          <rPr>
            <b/>
            <sz val="9"/>
            <color indexed="81"/>
            <rFont val="Tahoma"/>
            <family val="2"/>
          </rPr>
          <t>Michael lane:</t>
        </r>
        <r>
          <rPr>
            <sz val="9"/>
            <color indexed="81"/>
            <rFont val="Tahoma"/>
            <family val="2"/>
          </rPr>
          <t xml:space="preserve">
HVAC factor</t>
        </r>
      </text>
    </comment>
    <comment ref="M89" authorId="0" shapeId="0">
      <text>
        <r>
          <rPr>
            <b/>
            <sz val="9"/>
            <color indexed="81"/>
            <rFont val="Tahoma"/>
            <family val="2"/>
          </rPr>
          <t>Michael lane:</t>
        </r>
        <r>
          <rPr>
            <sz val="9"/>
            <color indexed="81"/>
            <rFont val="Tahoma"/>
            <family val="2"/>
          </rPr>
          <t xml:space="preserve">
Space Type incorrect due to Heat Type Change
</t>
        </r>
      </text>
    </comment>
    <comment ref="N89" authorId="0" shapeId="0">
      <text>
        <r>
          <rPr>
            <b/>
            <sz val="9"/>
            <color indexed="81"/>
            <rFont val="Tahoma"/>
            <family val="2"/>
          </rPr>
          <t>Michael lane:</t>
        </r>
        <r>
          <rPr>
            <sz val="9"/>
            <color indexed="81"/>
            <rFont val="Tahoma"/>
            <family val="2"/>
          </rPr>
          <t xml:space="preserve">
LPA</t>
        </r>
      </text>
    </comment>
    <comment ref="M96" authorId="1" shapeId="0">
      <text>
        <r>
          <rPr>
            <b/>
            <sz val="9"/>
            <color indexed="81"/>
            <rFont val="Tahoma"/>
            <family val="2"/>
          </rPr>
          <t>Michael Lane:</t>
        </r>
        <r>
          <rPr>
            <sz val="9"/>
            <color indexed="81"/>
            <rFont val="Tahoma"/>
            <family val="2"/>
          </rPr>
          <t xml:space="preserve">
Changed Retrofit / TI / NC
</t>
        </r>
      </text>
    </comment>
    <comment ref="N96" authorId="0" shapeId="0">
      <text>
        <r>
          <rPr>
            <b/>
            <sz val="9"/>
            <color indexed="81"/>
            <rFont val="Tahoma"/>
            <family val="2"/>
          </rPr>
          <t>Michael lane:</t>
        </r>
        <r>
          <rPr>
            <sz val="9"/>
            <color indexed="81"/>
            <rFont val="Tahoma"/>
            <family val="2"/>
          </rPr>
          <t xml:space="preserve">
HVAC factor</t>
        </r>
      </text>
    </comment>
    <comment ref="M97" authorId="0" shapeId="0">
      <text>
        <r>
          <rPr>
            <b/>
            <sz val="9"/>
            <color indexed="81"/>
            <rFont val="Tahoma"/>
            <family val="2"/>
          </rPr>
          <t>Michael lane:</t>
        </r>
        <r>
          <rPr>
            <sz val="9"/>
            <color indexed="81"/>
            <rFont val="Tahoma"/>
            <family val="2"/>
          </rPr>
          <t xml:space="preserve">
Space Type incorrect due to Heat Type Change
</t>
        </r>
      </text>
    </comment>
    <comment ref="N97" authorId="0" shapeId="0">
      <text>
        <r>
          <rPr>
            <b/>
            <sz val="9"/>
            <color indexed="81"/>
            <rFont val="Tahoma"/>
            <family val="2"/>
          </rPr>
          <t>Michael lane:</t>
        </r>
        <r>
          <rPr>
            <sz val="9"/>
            <color indexed="81"/>
            <rFont val="Tahoma"/>
            <family val="2"/>
          </rPr>
          <t xml:space="preserve">
LPA</t>
        </r>
      </text>
    </comment>
    <comment ref="M101" authorId="1" shapeId="0">
      <text>
        <r>
          <rPr>
            <b/>
            <sz val="9"/>
            <color indexed="81"/>
            <rFont val="Tahoma"/>
            <family val="2"/>
          </rPr>
          <t>Michael Lane:</t>
        </r>
        <r>
          <rPr>
            <sz val="9"/>
            <color indexed="81"/>
            <rFont val="Tahoma"/>
            <family val="2"/>
          </rPr>
          <t xml:space="preserve">
Changed Retrofit / TI / NC
</t>
        </r>
      </text>
    </comment>
    <comment ref="N101" authorId="0" shapeId="0">
      <text>
        <r>
          <rPr>
            <b/>
            <sz val="9"/>
            <color indexed="81"/>
            <rFont val="Tahoma"/>
            <family val="2"/>
          </rPr>
          <t>Michael lane:</t>
        </r>
        <r>
          <rPr>
            <sz val="9"/>
            <color indexed="81"/>
            <rFont val="Tahoma"/>
            <family val="2"/>
          </rPr>
          <t xml:space="preserve">
HVAC factor</t>
        </r>
      </text>
    </comment>
    <comment ref="M102" authorId="0" shapeId="0">
      <text>
        <r>
          <rPr>
            <b/>
            <sz val="9"/>
            <color indexed="81"/>
            <rFont val="Tahoma"/>
            <family val="2"/>
          </rPr>
          <t>Michael lane:</t>
        </r>
        <r>
          <rPr>
            <sz val="9"/>
            <color indexed="81"/>
            <rFont val="Tahoma"/>
            <family val="2"/>
          </rPr>
          <t xml:space="preserve">
Space Type incorrect due to Heat Type Change
</t>
        </r>
      </text>
    </comment>
    <comment ref="N102" authorId="0" shapeId="0">
      <text>
        <r>
          <rPr>
            <b/>
            <sz val="9"/>
            <color indexed="81"/>
            <rFont val="Tahoma"/>
            <family val="2"/>
          </rPr>
          <t>Michael lane:</t>
        </r>
        <r>
          <rPr>
            <sz val="9"/>
            <color indexed="81"/>
            <rFont val="Tahoma"/>
            <family val="2"/>
          </rPr>
          <t xml:space="preserve">
LPA</t>
        </r>
      </text>
    </comment>
    <comment ref="M106" authorId="1" shapeId="0">
      <text>
        <r>
          <rPr>
            <b/>
            <sz val="9"/>
            <color indexed="81"/>
            <rFont val="Tahoma"/>
            <family val="2"/>
          </rPr>
          <t>Michael Lane:</t>
        </r>
        <r>
          <rPr>
            <sz val="9"/>
            <color indexed="81"/>
            <rFont val="Tahoma"/>
            <family val="2"/>
          </rPr>
          <t xml:space="preserve">
Changed Retrofit / TI / NC
</t>
        </r>
      </text>
    </comment>
    <comment ref="N106" authorId="0" shapeId="0">
      <text>
        <r>
          <rPr>
            <b/>
            <sz val="9"/>
            <color indexed="81"/>
            <rFont val="Tahoma"/>
            <family val="2"/>
          </rPr>
          <t>Michael lane:</t>
        </r>
        <r>
          <rPr>
            <sz val="9"/>
            <color indexed="81"/>
            <rFont val="Tahoma"/>
            <family val="2"/>
          </rPr>
          <t xml:space="preserve">
HVAC factor</t>
        </r>
      </text>
    </comment>
    <comment ref="M107" authorId="0" shapeId="0">
      <text>
        <r>
          <rPr>
            <b/>
            <sz val="9"/>
            <color indexed="81"/>
            <rFont val="Tahoma"/>
            <family val="2"/>
          </rPr>
          <t>Michael lane:</t>
        </r>
        <r>
          <rPr>
            <sz val="9"/>
            <color indexed="81"/>
            <rFont val="Tahoma"/>
            <family val="2"/>
          </rPr>
          <t xml:space="preserve">
Space Type incorrect due to Heat Type Change
</t>
        </r>
      </text>
    </comment>
    <comment ref="N107" authorId="0" shapeId="0">
      <text>
        <r>
          <rPr>
            <b/>
            <sz val="9"/>
            <color indexed="81"/>
            <rFont val="Tahoma"/>
            <family val="2"/>
          </rPr>
          <t>Michael lane:</t>
        </r>
        <r>
          <rPr>
            <sz val="9"/>
            <color indexed="81"/>
            <rFont val="Tahoma"/>
            <family val="2"/>
          </rPr>
          <t xml:space="preserve">
LPA</t>
        </r>
      </text>
    </comment>
    <comment ref="M111" authorId="1" shapeId="0">
      <text>
        <r>
          <rPr>
            <b/>
            <sz val="9"/>
            <color indexed="81"/>
            <rFont val="Tahoma"/>
            <family val="2"/>
          </rPr>
          <t>Michael Lane:</t>
        </r>
        <r>
          <rPr>
            <sz val="9"/>
            <color indexed="81"/>
            <rFont val="Tahoma"/>
            <family val="2"/>
          </rPr>
          <t xml:space="preserve">
Changed Retrofit / TI / NC
</t>
        </r>
      </text>
    </comment>
    <comment ref="N111" authorId="0" shapeId="0">
      <text>
        <r>
          <rPr>
            <b/>
            <sz val="9"/>
            <color indexed="81"/>
            <rFont val="Tahoma"/>
            <family val="2"/>
          </rPr>
          <t>Michael lane:</t>
        </r>
        <r>
          <rPr>
            <sz val="9"/>
            <color indexed="81"/>
            <rFont val="Tahoma"/>
            <family val="2"/>
          </rPr>
          <t xml:space="preserve">
HVAC factor</t>
        </r>
      </text>
    </comment>
    <comment ref="M112" authorId="0" shapeId="0">
      <text>
        <r>
          <rPr>
            <b/>
            <sz val="9"/>
            <color indexed="81"/>
            <rFont val="Tahoma"/>
            <family val="2"/>
          </rPr>
          <t>Michael lane:</t>
        </r>
        <r>
          <rPr>
            <sz val="9"/>
            <color indexed="81"/>
            <rFont val="Tahoma"/>
            <family val="2"/>
          </rPr>
          <t xml:space="preserve">
Space Type incorrect due to Heat Type Change
</t>
        </r>
      </text>
    </comment>
    <comment ref="N112" authorId="0" shapeId="0">
      <text>
        <r>
          <rPr>
            <b/>
            <sz val="9"/>
            <color indexed="81"/>
            <rFont val="Tahoma"/>
            <family val="2"/>
          </rPr>
          <t>Michael lane:</t>
        </r>
        <r>
          <rPr>
            <sz val="9"/>
            <color indexed="81"/>
            <rFont val="Tahoma"/>
            <family val="2"/>
          </rPr>
          <t xml:space="preserve">
LPA</t>
        </r>
      </text>
    </comment>
    <comment ref="M116" authorId="1" shapeId="0">
      <text>
        <r>
          <rPr>
            <b/>
            <sz val="9"/>
            <color indexed="81"/>
            <rFont val="Tahoma"/>
            <family val="2"/>
          </rPr>
          <t>Michael Lane:</t>
        </r>
        <r>
          <rPr>
            <sz val="9"/>
            <color indexed="81"/>
            <rFont val="Tahoma"/>
            <family val="2"/>
          </rPr>
          <t xml:space="preserve">
Changed Retrofit / TI / NC
</t>
        </r>
      </text>
    </comment>
    <comment ref="N116" authorId="0" shapeId="0">
      <text>
        <r>
          <rPr>
            <b/>
            <sz val="9"/>
            <color indexed="81"/>
            <rFont val="Tahoma"/>
            <family val="2"/>
          </rPr>
          <t>Michael lane:</t>
        </r>
        <r>
          <rPr>
            <sz val="9"/>
            <color indexed="81"/>
            <rFont val="Tahoma"/>
            <family val="2"/>
          </rPr>
          <t xml:space="preserve">
HVAC factor</t>
        </r>
      </text>
    </comment>
    <comment ref="M117" authorId="0" shapeId="0">
      <text>
        <r>
          <rPr>
            <b/>
            <sz val="9"/>
            <color indexed="81"/>
            <rFont val="Tahoma"/>
            <family val="2"/>
          </rPr>
          <t>Michael lane:</t>
        </r>
        <r>
          <rPr>
            <sz val="9"/>
            <color indexed="81"/>
            <rFont val="Tahoma"/>
            <family val="2"/>
          </rPr>
          <t xml:space="preserve">
Space Type incorrect due to Heat Type Change
</t>
        </r>
      </text>
    </comment>
    <comment ref="N117" authorId="0" shapeId="0">
      <text>
        <r>
          <rPr>
            <b/>
            <sz val="9"/>
            <color indexed="81"/>
            <rFont val="Tahoma"/>
            <family val="2"/>
          </rPr>
          <t>Michael lane:</t>
        </r>
        <r>
          <rPr>
            <sz val="9"/>
            <color indexed="81"/>
            <rFont val="Tahoma"/>
            <family val="2"/>
          </rPr>
          <t xml:space="preserve">
LPA</t>
        </r>
      </text>
    </comment>
    <comment ref="M121" authorId="1" shapeId="0">
      <text>
        <r>
          <rPr>
            <b/>
            <sz val="9"/>
            <color indexed="81"/>
            <rFont val="Tahoma"/>
            <family val="2"/>
          </rPr>
          <t>Michael Lane:</t>
        </r>
        <r>
          <rPr>
            <sz val="9"/>
            <color indexed="81"/>
            <rFont val="Tahoma"/>
            <family val="2"/>
          </rPr>
          <t xml:space="preserve">
Changed Retrofit / TI / NC
</t>
        </r>
      </text>
    </comment>
    <comment ref="N121" authorId="0" shapeId="0">
      <text>
        <r>
          <rPr>
            <b/>
            <sz val="9"/>
            <color indexed="81"/>
            <rFont val="Tahoma"/>
            <family val="2"/>
          </rPr>
          <t>Michael lane:</t>
        </r>
        <r>
          <rPr>
            <sz val="9"/>
            <color indexed="81"/>
            <rFont val="Tahoma"/>
            <family val="2"/>
          </rPr>
          <t xml:space="preserve">
HVAC factor</t>
        </r>
      </text>
    </comment>
    <comment ref="M122" authorId="0" shapeId="0">
      <text>
        <r>
          <rPr>
            <b/>
            <sz val="9"/>
            <color indexed="81"/>
            <rFont val="Tahoma"/>
            <family val="2"/>
          </rPr>
          <t>Michael lane:</t>
        </r>
        <r>
          <rPr>
            <sz val="9"/>
            <color indexed="81"/>
            <rFont val="Tahoma"/>
            <family val="2"/>
          </rPr>
          <t xml:space="preserve">
Space Type incorrect due to Heat Type Change
</t>
        </r>
      </text>
    </comment>
    <comment ref="N122" authorId="0" shapeId="0">
      <text>
        <r>
          <rPr>
            <b/>
            <sz val="9"/>
            <color indexed="81"/>
            <rFont val="Tahoma"/>
            <family val="2"/>
          </rPr>
          <t>Michael lane:</t>
        </r>
        <r>
          <rPr>
            <sz val="9"/>
            <color indexed="81"/>
            <rFont val="Tahoma"/>
            <family val="2"/>
          </rPr>
          <t xml:space="preserve">
LPA</t>
        </r>
      </text>
    </comment>
    <comment ref="M126" authorId="1" shapeId="0">
      <text>
        <r>
          <rPr>
            <b/>
            <sz val="9"/>
            <color indexed="81"/>
            <rFont val="Tahoma"/>
            <family val="2"/>
          </rPr>
          <t>Michael Lane:</t>
        </r>
        <r>
          <rPr>
            <sz val="9"/>
            <color indexed="81"/>
            <rFont val="Tahoma"/>
            <family val="2"/>
          </rPr>
          <t xml:space="preserve">
Changed Retrofit / TI / NC
</t>
        </r>
      </text>
    </comment>
    <comment ref="N126" authorId="0" shapeId="0">
      <text>
        <r>
          <rPr>
            <b/>
            <sz val="9"/>
            <color indexed="81"/>
            <rFont val="Tahoma"/>
            <family val="2"/>
          </rPr>
          <t>Michael lane:</t>
        </r>
        <r>
          <rPr>
            <sz val="9"/>
            <color indexed="81"/>
            <rFont val="Tahoma"/>
            <family val="2"/>
          </rPr>
          <t xml:space="preserve">
HVAC factor</t>
        </r>
      </text>
    </comment>
    <comment ref="M127" authorId="0" shapeId="0">
      <text>
        <r>
          <rPr>
            <b/>
            <sz val="9"/>
            <color indexed="81"/>
            <rFont val="Tahoma"/>
            <family val="2"/>
          </rPr>
          <t>Michael lane:</t>
        </r>
        <r>
          <rPr>
            <sz val="9"/>
            <color indexed="81"/>
            <rFont val="Tahoma"/>
            <family val="2"/>
          </rPr>
          <t xml:space="preserve">
Space Type incorrect due to Heat Type Change
</t>
        </r>
      </text>
    </comment>
    <comment ref="N127" authorId="0" shapeId="0">
      <text>
        <r>
          <rPr>
            <b/>
            <sz val="9"/>
            <color indexed="81"/>
            <rFont val="Tahoma"/>
            <family val="2"/>
          </rPr>
          <t>Michael lane:</t>
        </r>
        <r>
          <rPr>
            <sz val="9"/>
            <color indexed="81"/>
            <rFont val="Tahoma"/>
            <family val="2"/>
          </rPr>
          <t xml:space="preserve">
LPA</t>
        </r>
      </text>
    </comment>
    <comment ref="M131" authorId="1" shapeId="0">
      <text>
        <r>
          <rPr>
            <b/>
            <sz val="9"/>
            <color indexed="81"/>
            <rFont val="Tahoma"/>
            <family val="2"/>
          </rPr>
          <t>Michael Lane:</t>
        </r>
        <r>
          <rPr>
            <sz val="9"/>
            <color indexed="81"/>
            <rFont val="Tahoma"/>
            <family val="2"/>
          </rPr>
          <t xml:space="preserve">
Changed Retrofit / TI / NC
</t>
        </r>
      </text>
    </comment>
    <comment ref="N131" authorId="0" shapeId="0">
      <text>
        <r>
          <rPr>
            <b/>
            <sz val="9"/>
            <color indexed="81"/>
            <rFont val="Tahoma"/>
            <family val="2"/>
          </rPr>
          <t>Michael lane:</t>
        </r>
        <r>
          <rPr>
            <sz val="9"/>
            <color indexed="81"/>
            <rFont val="Tahoma"/>
            <family val="2"/>
          </rPr>
          <t xml:space="preserve">
HVAC factor</t>
        </r>
      </text>
    </comment>
    <comment ref="M132" authorId="0" shapeId="0">
      <text>
        <r>
          <rPr>
            <b/>
            <sz val="9"/>
            <color indexed="81"/>
            <rFont val="Tahoma"/>
            <family val="2"/>
          </rPr>
          <t>Michael lane:</t>
        </r>
        <r>
          <rPr>
            <sz val="9"/>
            <color indexed="81"/>
            <rFont val="Tahoma"/>
            <family val="2"/>
          </rPr>
          <t xml:space="preserve">
Space Type incorrect due to Heat Type Change
</t>
        </r>
      </text>
    </comment>
    <comment ref="N132" authorId="0" shapeId="0">
      <text>
        <r>
          <rPr>
            <b/>
            <sz val="9"/>
            <color indexed="81"/>
            <rFont val="Tahoma"/>
            <family val="2"/>
          </rPr>
          <t>Michael lane:</t>
        </r>
        <r>
          <rPr>
            <sz val="9"/>
            <color indexed="81"/>
            <rFont val="Tahoma"/>
            <family val="2"/>
          </rPr>
          <t xml:space="preserve">
LPA</t>
        </r>
      </text>
    </comment>
    <comment ref="M136" authorId="1" shapeId="0">
      <text>
        <r>
          <rPr>
            <b/>
            <sz val="9"/>
            <color indexed="81"/>
            <rFont val="Tahoma"/>
            <family val="2"/>
          </rPr>
          <t>Michael Lane:</t>
        </r>
        <r>
          <rPr>
            <sz val="9"/>
            <color indexed="81"/>
            <rFont val="Tahoma"/>
            <family val="2"/>
          </rPr>
          <t xml:space="preserve">
Changed Retrofit / TI / NC
</t>
        </r>
      </text>
    </comment>
    <comment ref="N136" authorId="0" shapeId="0">
      <text>
        <r>
          <rPr>
            <b/>
            <sz val="9"/>
            <color indexed="81"/>
            <rFont val="Tahoma"/>
            <family val="2"/>
          </rPr>
          <t>Michael lane:</t>
        </r>
        <r>
          <rPr>
            <sz val="9"/>
            <color indexed="81"/>
            <rFont val="Tahoma"/>
            <family val="2"/>
          </rPr>
          <t xml:space="preserve">
HVAC factor</t>
        </r>
      </text>
    </comment>
    <comment ref="M137" authorId="0" shapeId="0">
      <text>
        <r>
          <rPr>
            <b/>
            <sz val="9"/>
            <color indexed="81"/>
            <rFont val="Tahoma"/>
            <family val="2"/>
          </rPr>
          <t>Michael lane:</t>
        </r>
        <r>
          <rPr>
            <sz val="9"/>
            <color indexed="81"/>
            <rFont val="Tahoma"/>
            <family val="2"/>
          </rPr>
          <t xml:space="preserve">
Space Type incorrect due to Heat Type Change
</t>
        </r>
      </text>
    </comment>
    <comment ref="N137" authorId="0" shapeId="0">
      <text>
        <r>
          <rPr>
            <b/>
            <sz val="9"/>
            <color indexed="81"/>
            <rFont val="Tahoma"/>
            <family val="2"/>
          </rPr>
          <t>Michael lane:</t>
        </r>
        <r>
          <rPr>
            <sz val="9"/>
            <color indexed="81"/>
            <rFont val="Tahoma"/>
            <family val="2"/>
          </rPr>
          <t xml:space="preserve">
LPA</t>
        </r>
      </text>
    </comment>
    <comment ref="M141" authorId="1" shapeId="0">
      <text>
        <r>
          <rPr>
            <b/>
            <sz val="9"/>
            <color indexed="81"/>
            <rFont val="Tahoma"/>
            <family val="2"/>
          </rPr>
          <t>Michael Lane:</t>
        </r>
        <r>
          <rPr>
            <sz val="9"/>
            <color indexed="81"/>
            <rFont val="Tahoma"/>
            <family val="2"/>
          </rPr>
          <t xml:space="preserve">
Changed Retrofit / TI / NC
</t>
        </r>
      </text>
    </comment>
    <comment ref="N141" authorId="0" shapeId="0">
      <text>
        <r>
          <rPr>
            <b/>
            <sz val="9"/>
            <color indexed="81"/>
            <rFont val="Tahoma"/>
            <family val="2"/>
          </rPr>
          <t>Michael lane:</t>
        </r>
        <r>
          <rPr>
            <sz val="9"/>
            <color indexed="81"/>
            <rFont val="Tahoma"/>
            <family val="2"/>
          </rPr>
          <t xml:space="preserve">
HVAC factor</t>
        </r>
      </text>
    </comment>
    <comment ref="M142" authorId="0" shapeId="0">
      <text>
        <r>
          <rPr>
            <b/>
            <sz val="9"/>
            <color indexed="81"/>
            <rFont val="Tahoma"/>
            <family val="2"/>
          </rPr>
          <t>Michael lane:</t>
        </r>
        <r>
          <rPr>
            <sz val="9"/>
            <color indexed="81"/>
            <rFont val="Tahoma"/>
            <family val="2"/>
          </rPr>
          <t xml:space="preserve">
Space Type incorrect due to Heat Type Change
</t>
        </r>
      </text>
    </comment>
    <comment ref="N142" authorId="0" shapeId="0">
      <text>
        <r>
          <rPr>
            <b/>
            <sz val="9"/>
            <color indexed="81"/>
            <rFont val="Tahoma"/>
            <family val="2"/>
          </rPr>
          <t>Michael lane:</t>
        </r>
        <r>
          <rPr>
            <sz val="9"/>
            <color indexed="81"/>
            <rFont val="Tahoma"/>
            <family val="2"/>
          </rPr>
          <t xml:space="preserve">
LPA</t>
        </r>
      </text>
    </comment>
    <comment ref="M146" authorId="1" shapeId="0">
      <text>
        <r>
          <rPr>
            <b/>
            <sz val="9"/>
            <color indexed="81"/>
            <rFont val="Tahoma"/>
            <family val="2"/>
          </rPr>
          <t>Michael Lane:</t>
        </r>
        <r>
          <rPr>
            <sz val="9"/>
            <color indexed="81"/>
            <rFont val="Tahoma"/>
            <family val="2"/>
          </rPr>
          <t xml:space="preserve">
Changed Retrofit / TI / NC
</t>
        </r>
      </text>
    </comment>
    <comment ref="N146" authorId="0" shapeId="0">
      <text>
        <r>
          <rPr>
            <b/>
            <sz val="9"/>
            <color indexed="81"/>
            <rFont val="Tahoma"/>
            <family val="2"/>
          </rPr>
          <t>Michael lane:</t>
        </r>
        <r>
          <rPr>
            <sz val="9"/>
            <color indexed="81"/>
            <rFont val="Tahoma"/>
            <family val="2"/>
          </rPr>
          <t xml:space="preserve">
HVAC factor</t>
        </r>
      </text>
    </comment>
    <comment ref="M147" authorId="0" shapeId="0">
      <text>
        <r>
          <rPr>
            <b/>
            <sz val="9"/>
            <color indexed="81"/>
            <rFont val="Tahoma"/>
            <family val="2"/>
          </rPr>
          <t>Michael lane:</t>
        </r>
        <r>
          <rPr>
            <sz val="9"/>
            <color indexed="81"/>
            <rFont val="Tahoma"/>
            <family val="2"/>
          </rPr>
          <t xml:space="preserve">
Space Type incorrect due to Heat Type Change
</t>
        </r>
      </text>
    </comment>
    <comment ref="N147" authorId="0" shapeId="0">
      <text>
        <r>
          <rPr>
            <b/>
            <sz val="9"/>
            <color indexed="81"/>
            <rFont val="Tahoma"/>
            <family val="2"/>
          </rPr>
          <t>Michael lane:</t>
        </r>
        <r>
          <rPr>
            <sz val="9"/>
            <color indexed="81"/>
            <rFont val="Tahoma"/>
            <family val="2"/>
          </rPr>
          <t xml:space="preserve">
LPA</t>
        </r>
      </text>
    </comment>
    <comment ref="M151" authorId="1" shapeId="0">
      <text>
        <r>
          <rPr>
            <b/>
            <sz val="9"/>
            <color indexed="81"/>
            <rFont val="Tahoma"/>
            <family val="2"/>
          </rPr>
          <t>Michael Lane:</t>
        </r>
        <r>
          <rPr>
            <sz val="9"/>
            <color indexed="81"/>
            <rFont val="Tahoma"/>
            <family val="2"/>
          </rPr>
          <t xml:space="preserve">
Changed Retrofit / TI / NC
</t>
        </r>
      </text>
    </comment>
    <comment ref="N151" authorId="0" shapeId="0">
      <text>
        <r>
          <rPr>
            <b/>
            <sz val="9"/>
            <color indexed="81"/>
            <rFont val="Tahoma"/>
            <family val="2"/>
          </rPr>
          <t>Michael lane:</t>
        </r>
        <r>
          <rPr>
            <sz val="9"/>
            <color indexed="81"/>
            <rFont val="Tahoma"/>
            <family val="2"/>
          </rPr>
          <t xml:space="preserve">
HVAC factor</t>
        </r>
      </text>
    </comment>
    <comment ref="M152" authorId="0" shapeId="0">
      <text>
        <r>
          <rPr>
            <b/>
            <sz val="9"/>
            <color indexed="81"/>
            <rFont val="Tahoma"/>
            <family val="2"/>
          </rPr>
          <t>Michael lane:</t>
        </r>
        <r>
          <rPr>
            <sz val="9"/>
            <color indexed="81"/>
            <rFont val="Tahoma"/>
            <family val="2"/>
          </rPr>
          <t xml:space="preserve">
Space Type incorrect due to Heat Type Change
</t>
        </r>
      </text>
    </comment>
    <comment ref="N152" authorId="0" shapeId="0">
      <text>
        <r>
          <rPr>
            <b/>
            <sz val="9"/>
            <color indexed="81"/>
            <rFont val="Tahoma"/>
            <family val="2"/>
          </rPr>
          <t>Michael lane:</t>
        </r>
        <r>
          <rPr>
            <sz val="9"/>
            <color indexed="81"/>
            <rFont val="Tahoma"/>
            <family val="2"/>
          </rPr>
          <t xml:space="preserve">
LPA</t>
        </r>
      </text>
    </comment>
    <comment ref="M156" authorId="1" shapeId="0">
      <text>
        <r>
          <rPr>
            <b/>
            <sz val="9"/>
            <color indexed="81"/>
            <rFont val="Tahoma"/>
            <family val="2"/>
          </rPr>
          <t>Michael Lane:</t>
        </r>
        <r>
          <rPr>
            <sz val="9"/>
            <color indexed="81"/>
            <rFont val="Tahoma"/>
            <family val="2"/>
          </rPr>
          <t xml:space="preserve">
Changed Retrofit / TI / NC
</t>
        </r>
      </text>
    </comment>
    <comment ref="N156" authorId="0" shapeId="0">
      <text>
        <r>
          <rPr>
            <b/>
            <sz val="9"/>
            <color indexed="81"/>
            <rFont val="Tahoma"/>
            <family val="2"/>
          </rPr>
          <t>Michael lane:</t>
        </r>
        <r>
          <rPr>
            <sz val="9"/>
            <color indexed="81"/>
            <rFont val="Tahoma"/>
            <family val="2"/>
          </rPr>
          <t xml:space="preserve">
HVAC factor</t>
        </r>
      </text>
    </comment>
    <comment ref="M157" authorId="0" shapeId="0">
      <text>
        <r>
          <rPr>
            <b/>
            <sz val="9"/>
            <color indexed="81"/>
            <rFont val="Tahoma"/>
            <family val="2"/>
          </rPr>
          <t>Michael lane:</t>
        </r>
        <r>
          <rPr>
            <sz val="9"/>
            <color indexed="81"/>
            <rFont val="Tahoma"/>
            <family val="2"/>
          </rPr>
          <t xml:space="preserve">
Space Type incorrect due to Heat Type Change
</t>
        </r>
      </text>
    </comment>
    <comment ref="N157" authorId="0" shapeId="0">
      <text>
        <r>
          <rPr>
            <b/>
            <sz val="9"/>
            <color indexed="81"/>
            <rFont val="Tahoma"/>
            <family val="2"/>
          </rPr>
          <t>Michael lane:</t>
        </r>
        <r>
          <rPr>
            <sz val="9"/>
            <color indexed="81"/>
            <rFont val="Tahoma"/>
            <family val="2"/>
          </rPr>
          <t xml:space="preserve">
LPA</t>
        </r>
      </text>
    </comment>
    <comment ref="M161" authorId="1" shapeId="0">
      <text>
        <r>
          <rPr>
            <b/>
            <sz val="9"/>
            <color indexed="81"/>
            <rFont val="Tahoma"/>
            <family val="2"/>
          </rPr>
          <t>Michael Lane:</t>
        </r>
        <r>
          <rPr>
            <sz val="9"/>
            <color indexed="81"/>
            <rFont val="Tahoma"/>
            <family val="2"/>
          </rPr>
          <t xml:space="preserve">
Changed Retrofit / TI / NC
</t>
        </r>
      </text>
    </comment>
    <comment ref="N161" authorId="0" shapeId="0">
      <text>
        <r>
          <rPr>
            <b/>
            <sz val="9"/>
            <color indexed="81"/>
            <rFont val="Tahoma"/>
            <family val="2"/>
          </rPr>
          <t>Michael lane:</t>
        </r>
        <r>
          <rPr>
            <sz val="9"/>
            <color indexed="81"/>
            <rFont val="Tahoma"/>
            <family val="2"/>
          </rPr>
          <t xml:space="preserve">
HVAC factor</t>
        </r>
      </text>
    </comment>
    <comment ref="M162" authorId="0" shapeId="0">
      <text>
        <r>
          <rPr>
            <b/>
            <sz val="9"/>
            <color indexed="81"/>
            <rFont val="Tahoma"/>
            <family val="2"/>
          </rPr>
          <t>Michael lane:</t>
        </r>
        <r>
          <rPr>
            <sz val="9"/>
            <color indexed="81"/>
            <rFont val="Tahoma"/>
            <family val="2"/>
          </rPr>
          <t xml:space="preserve">
Space Type incorrect due to Heat Type Change
</t>
        </r>
      </text>
    </comment>
    <comment ref="N162" authorId="0" shapeId="0">
      <text>
        <r>
          <rPr>
            <b/>
            <sz val="9"/>
            <color indexed="81"/>
            <rFont val="Tahoma"/>
            <family val="2"/>
          </rPr>
          <t>Michael lane:</t>
        </r>
        <r>
          <rPr>
            <sz val="9"/>
            <color indexed="81"/>
            <rFont val="Tahoma"/>
            <family val="2"/>
          </rPr>
          <t xml:space="preserve">
LPA</t>
        </r>
      </text>
    </comment>
    <comment ref="M166" authorId="1" shapeId="0">
      <text>
        <r>
          <rPr>
            <b/>
            <sz val="9"/>
            <color indexed="81"/>
            <rFont val="Tahoma"/>
            <family val="2"/>
          </rPr>
          <t>Michael Lane:</t>
        </r>
        <r>
          <rPr>
            <sz val="9"/>
            <color indexed="81"/>
            <rFont val="Tahoma"/>
            <family val="2"/>
          </rPr>
          <t xml:space="preserve">
Changed Retrofit / TI / NC
</t>
        </r>
      </text>
    </comment>
    <comment ref="N166" authorId="0" shapeId="0">
      <text>
        <r>
          <rPr>
            <b/>
            <sz val="9"/>
            <color indexed="81"/>
            <rFont val="Tahoma"/>
            <family val="2"/>
          </rPr>
          <t>Michael lane:</t>
        </r>
        <r>
          <rPr>
            <sz val="9"/>
            <color indexed="81"/>
            <rFont val="Tahoma"/>
            <family val="2"/>
          </rPr>
          <t xml:space="preserve">
HVAC factor</t>
        </r>
      </text>
    </comment>
    <comment ref="M167" authorId="0" shapeId="0">
      <text>
        <r>
          <rPr>
            <b/>
            <sz val="9"/>
            <color indexed="81"/>
            <rFont val="Tahoma"/>
            <family val="2"/>
          </rPr>
          <t>Michael lane:</t>
        </r>
        <r>
          <rPr>
            <sz val="9"/>
            <color indexed="81"/>
            <rFont val="Tahoma"/>
            <family val="2"/>
          </rPr>
          <t xml:space="preserve">
Space Type incorrect due to Heat Type Change
</t>
        </r>
      </text>
    </comment>
    <comment ref="N167" authorId="0" shapeId="0">
      <text>
        <r>
          <rPr>
            <b/>
            <sz val="9"/>
            <color indexed="81"/>
            <rFont val="Tahoma"/>
            <family val="2"/>
          </rPr>
          <t>Michael lane:</t>
        </r>
        <r>
          <rPr>
            <sz val="9"/>
            <color indexed="81"/>
            <rFont val="Tahoma"/>
            <family val="2"/>
          </rPr>
          <t xml:space="preserve">
LPA</t>
        </r>
      </text>
    </comment>
    <comment ref="M174" authorId="1" shapeId="0">
      <text>
        <r>
          <rPr>
            <b/>
            <sz val="9"/>
            <color indexed="81"/>
            <rFont val="Tahoma"/>
            <family val="2"/>
          </rPr>
          <t>Michael Lane:</t>
        </r>
        <r>
          <rPr>
            <sz val="9"/>
            <color indexed="81"/>
            <rFont val="Tahoma"/>
            <family val="2"/>
          </rPr>
          <t xml:space="preserve">
Changed Retrofit / TI / NC
</t>
        </r>
      </text>
    </comment>
    <comment ref="N174" authorId="0" shapeId="0">
      <text>
        <r>
          <rPr>
            <b/>
            <sz val="9"/>
            <color indexed="81"/>
            <rFont val="Tahoma"/>
            <family val="2"/>
          </rPr>
          <t>Michael lane:</t>
        </r>
        <r>
          <rPr>
            <sz val="9"/>
            <color indexed="81"/>
            <rFont val="Tahoma"/>
            <family val="2"/>
          </rPr>
          <t xml:space="preserve">
HVAC factor</t>
        </r>
      </text>
    </comment>
    <comment ref="M175" authorId="0" shapeId="0">
      <text>
        <r>
          <rPr>
            <b/>
            <sz val="9"/>
            <color indexed="81"/>
            <rFont val="Tahoma"/>
            <family val="2"/>
          </rPr>
          <t>Michael lane:</t>
        </r>
        <r>
          <rPr>
            <sz val="9"/>
            <color indexed="81"/>
            <rFont val="Tahoma"/>
            <family val="2"/>
          </rPr>
          <t xml:space="preserve">
Space Type incorrect due to Heat Type Change
</t>
        </r>
      </text>
    </comment>
    <comment ref="N175" authorId="0" shapeId="0">
      <text>
        <r>
          <rPr>
            <b/>
            <sz val="9"/>
            <color indexed="81"/>
            <rFont val="Tahoma"/>
            <family val="2"/>
          </rPr>
          <t>Michael lane:</t>
        </r>
        <r>
          <rPr>
            <sz val="9"/>
            <color indexed="81"/>
            <rFont val="Tahoma"/>
            <family val="2"/>
          </rPr>
          <t xml:space="preserve">
LPA</t>
        </r>
      </text>
    </comment>
    <comment ref="M179" authorId="1" shapeId="0">
      <text>
        <r>
          <rPr>
            <b/>
            <sz val="9"/>
            <color indexed="81"/>
            <rFont val="Tahoma"/>
            <family val="2"/>
          </rPr>
          <t>Michael Lane:</t>
        </r>
        <r>
          <rPr>
            <sz val="9"/>
            <color indexed="81"/>
            <rFont val="Tahoma"/>
            <family val="2"/>
          </rPr>
          <t xml:space="preserve">
Changed Retrofit / TI / NC
</t>
        </r>
      </text>
    </comment>
    <comment ref="N179" authorId="0" shapeId="0">
      <text>
        <r>
          <rPr>
            <b/>
            <sz val="9"/>
            <color indexed="81"/>
            <rFont val="Tahoma"/>
            <family val="2"/>
          </rPr>
          <t>Michael lane:</t>
        </r>
        <r>
          <rPr>
            <sz val="9"/>
            <color indexed="81"/>
            <rFont val="Tahoma"/>
            <family val="2"/>
          </rPr>
          <t xml:space="preserve">
HVAC factor</t>
        </r>
      </text>
    </comment>
    <comment ref="M180" authorId="0" shapeId="0">
      <text>
        <r>
          <rPr>
            <b/>
            <sz val="9"/>
            <color indexed="81"/>
            <rFont val="Tahoma"/>
            <family val="2"/>
          </rPr>
          <t>Michael lane:</t>
        </r>
        <r>
          <rPr>
            <sz val="9"/>
            <color indexed="81"/>
            <rFont val="Tahoma"/>
            <family val="2"/>
          </rPr>
          <t xml:space="preserve">
Space Type incorrect due to Heat Type Change
</t>
        </r>
      </text>
    </comment>
    <comment ref="N180" authorId="0" shapeId="0">
      <text>
        <r>
          <rPr>
            <b/>
            <sz val="9"/>
            <color indexed="81"/>
            <rFont val="Tahoma"/>
            <family val="2"/>
          </rPr>
          <t>Michael lane:</t>
        </r>
        <r>
          <rPr>
            <sz val="9"/>
            <color indexed="81"/>
            <rFont val="Tahoma"/>
            <family val="2"/>
          </rPr>
          <t xml:space="preserve">
LPA</t>
        </r>
      </text>
    </comment>
    <comment ref="M184" authorId="1" shapeId="0">
      <text>
        <r>
          <rPr>
            <b/>
            <sz val="9"/>
            <color indexed="81"/>
            <rFont val="Tahoma"/>
            <family val="2"/>
          </rPr>
          <t>Michael Lane:</t>
        </r>
        <r>
          <rPr>
            <sz val="9"/>
            <color indexed="81"/>
            <rFont val="Tahoma"/>
            <family val="2"/>
          </rPr>
          <t xml:space="preserve">
Changed Retrofit / TI / NC
</t>
        </r>
      </text>
    </comment>
    <comment ref="N184" authorId="0" shapeId="0">
      <text>
        <r>
          <rPr>
            <b/>
            <sz val="9"/>
            <color indexed="81"/>
            <rFont val="Tahoma"/>
            <family val="2"/>
          </rPr>
          <t>Michael lane:</t>
        </r>
        <r>
          <rPr>
            <sz val="9"/>
            <color indexed="81"/>
            <rFont val="Tahoma"/>
            <family val="2"/>
          </rPr>
          <t xml:space="preserve">
HVAC factor</t>
        </r>
      </text>
    </comment>
    <comment ref="M185" authorId="0" shapeId="0">
      <text>
        <r>
          <rPr>
            <b/>
            <sz val="9"/>
            <color indexed="81"/>
            <rFont val="Tahoma"/>
            <family val="2"/>
          </rPr>
          <t>Michael lane:</t>
        </r>
        <r>
          <rPr>
            <sz val="9"/>
            <color indexed="81"/>
            <rFont val="Tahoma"/>
            <family val="2"/>
          </rPr>
          <t xml:space="preserve">
Space Type incorrect due to Heat Type Change
</t>
        </r>
      </text>
    </comment>
    <comment ref="N185" authorId="0" shapeId="0">
      <text>
        <r>
          <rPr>
            <b/>
            <sz val="9"/>
            <color indexed="81"/>
            <rFont val="Tahoma"/>
            <family val="2"/>
          </rPr>
          <t>Michael lane:</t>
        </r>
        <r>
          <rPr>
            <sz val="9"/>
            <color indexed="81"/>
            <rFont val="Tahoma"/>
            <family val="2"/>
          </rPr>
          <t xml:space="preserve">
LPA</t>
        </r>
      </text>
    </comment>
    <comment ref="M189" authorId="1" shapeId="0">
      <text>
        <r>
          <rPr>
            <b/>
            <sz val="9"/>
            <color indexed="81"/>
            <rFont val="Tahoma"/>
            <family val="2"/>
          </rPr>
          <t>Michael Lane:</t>
        </r>
        <r>
          <rPr>
            <sz val="9"/>
            <color indexed="81"/>
            <rFont val="Tahoma"/>
            <family val="2"/>
          </rPr>
          <t xml:space="preserve">
Changed Retrofit / TI / NC
</t>
        </r>
      </text>
    </comment>
    <comment ref="N189" authorId="0" shapeId="0">
      <text>
        <r>
          <rPr>
            <b/>
            <sz val="9"/>
            <color indexed="81"/>
            <rFont val="Tahoma"/>
            <family val="2"/>
          </rPr>
          <t>Michael lane:</t>
        </r>
        <r>
          <rPr>
            <sz val="9"/>
            <color indexed="81"/>
            <rFont val="Tahoma"/>
            <family val="2"/>
          </rPr>
          <t xml:space="preserve">
HVAC factor</t>
        </r>
      </text>
    </comment>
    <comment ref="M190" authorId="0" shapeId="0">
      <text>
        <r>
          <rPr>
            <b/>
            <sz val="9"/>
            <color indexed="81"/>
            <rFont val="Tahoma"/>
            <family val="2"/>
          </rPr>
          <t>Michael lane:</t>
        </r>
        <r>
          <rPr>
            <sz val="9"/>
            <color indexed="81"/>
            <rFont val="Tahoma"/>
            <family val="2"/>
          </rPr>
          <t xml:space="preserve">
Space Type incorrect due to Heat Type Change
</t>
        </r>
      </text>
    </comment>
    <comment ref="N190" authorId="0" shapeId="0">
      <text>
        <r>
          <rPr>
            <b/>
            <sz val="9"/>
            <color indexed="81"/>
            <rFont val="Tahoma"/>
            <family val="2"/>
          </rPr>
          <t>Michael lane:</t>
        </r>
        <r>
          <rPr>
            <sz val="9"/>
            <color indexed="81"/>
            <rFont val="Tahoma"/>
            <family val="2"/>
          </rPr>
          <t xml:space="preserve">
LPA</t>
        </r>
      </text>
    </comment>
    <comment ref="M194" authorId="1" shapeId="0">
      <text>
        <r>
          <rPr>
            <b/>
            <sz val="9"/>
            <color indexed="81"/>
            <rFont val="Tahoma"/>
            <family val="2"/>
          </rPr>
          <t>Michael Lane:</t>
        </r>
        <r>
          <rPr>
            <sz val="9"/>
            <color indexed="81"/>
            <rFont val="Tahoma"/>
            <family val="2"/>
          </rPr>
          <t xml:space="preserve">
Changed Retrofit / TI / NC
</t>
        </r>
      </text>
    </comment>
    <comment ref="N194" authorId="0" shapeId="0">
      <text>
        <r>
          <rPr>
            <b/>
            <sz val="9"/>
            <color indexed="81"/>
            <rFont val="Tahoma"/>
            <family val="2"/>
          </rPr>
          <t>Michael lane:</t>
        </r>
        <r>
          <rPr>
            <sz val="9"/>
            <color indexed="81"/>
            <rFont val="Tahoma"/>
            <family val="2"/>
          </rPr>
          <t xml:space="preserve">
HVAC factor</t>
        </r>
      </text>
    </comment>
    <comment ref="M195" authorId="0" shapeId="0">
      <text>
        <r>
          <rPr>
            <b/>
            <sz val="9"/>
            <color indexed="81"/>
            <rFont val="Tahoma"/>
            <family val="2"/>
          </rPr>
          <t>Michael lane:</t>
        </r>
        <r>
          <rPr>
            <sz val="9"/>
            <color indexed="81"/>
            <rFont val="Tahoma"/>
            <family val="2"/>
          </rPr>
          <t xml:space="preserve">
Space Type incorrect due to Heat Type Change
</t>
        </r>
      </text>
    </comment>
    <comment ref="N195" authorId="0" shapeId="0">
      <text>
        <r>
          <rPr>
            <b/>
            <sz val="9"/>
            <color indexed="81"/>
            <rFont val="Tahoma"/>
            <family val="2"/>
          </rPr>
          <t>Michael lane:</t>
        </r>
        <r>
          <rPr>
            <sz val="9"/>
            <color indexed="81"/>
            <rFont val="Tahoma"/>
            <family val="2"/>
          </rPr>
          <t xml:space="preserve">
LPA</t>
        </r>
      </text>
    </comment>
    <comment ref="M199" authorId="1" shapeId="0">
      <text>
        <r>
          <rPr>
            <b/>
            <sz val="9"/>
            <color indexed="81"/>
            <rFont val="Tahoma"/>
            <family val="2"/>
          </rPr>
          <t>Michael Lane:</t>
        </r>
        <r>
          <rPr>
            <sz val="9"/>
            <color indexed="81"/>
            <rFont val="Tahoma"/>
            <family val="2"/>
          </rPr>
          <t xml:space="preserve">
Changed Retrofit / TI / NC
</t>
        </r>
      </text>
    </comment>
    <comment ref="N199" authorId="0" shapeId="0">
      <text>
        <r>
          <rPr>
            <b/>
            <sz val="9"/>
            <color indexed="81"/>
            <rFont val="Tahoma"/>
            <family val="2"/>
          </rPr>
          <t>Michael lane:</t>
        </r>
        <r>
          <rPr>
            <sz val="9"/>
            <color indexed="81"/>
            <rFont val="Tahoma"/>
            <family val="2"/>
          </rPr>
          <t xml:space="preserve">
HVAC factor</t>
        </r>
      </text>
    </comment>
    <comment ref="M200" authorId="0" shapeId="0">
      <text>
        <r>
          <rPr>
            <b/>
            <sz val="9"/>
            <color indexed="81"/>
            <rFont val="Tahoma"/>
            <family val="2"/>
          </rPr>
          <t>Michael lane:</t>
        </r>
        <r>
          <rPr>
            <sz val="9"/>
            <color indexed="81"/>
            <rFont val="Tahoma"/>
            <family val="2"/>
          </rPr>
          <t xml:space="preserve">
Space Type incorrect due to Heat Type Change
</t>
        </r>
      </text>
    </comment>
    <comment ref="N200" authorId="0" shapeId="0">
      <text>
        <r>
          <rPr>
            <b/>
            <sz val="9"/>
            <color indexed="81"/>
            <rFont val="Tahoma"/>
            <family val="2"/>
          </rPr>
          <t>Michael lane:</t>
        </r>
        <r>
          <rPr>
            <sz val="9"/>
            <color indexed="81"/>
            <rFont val="Tahoma"/>
            <family val="2"/>
          </rPr>
          <t xml:space="preserve">
LPA</t>
        </r>
      </text>
    </comment>
    <comment ref="M204" authorId="1" shapeId="0">
      <text>
        <r>
          <rPr>
            <b/>
            <sz val="9"/>
            <color indexed="81"/>
            <rFont val="Tahoma"/>
            <family val="2"/>
          </rPr>
          <t>Michael Lane:</t>
        </r>
        <r>
          <rPr>
            <sz val="9"/>
            <color indexed="81"/>
            <rFont val="Tahoma"/>
            <family val="2"/>
          </rPr>
          <t xml:space="preserve">
Changed Retrofit / TI / NC
</t>
        </r>
      </text>
    </comment>
    <comment ref="N204" authorId="0" shapeId="0">
      <text>
        <r>
          <rPr>
            <b/>
            <sz val="9"/>
            <color indexed="81"/>
            <rFont val="Tahoma"/>
            <family val="2"/>
          </rPr>
          <t>Michael lane:</t>
        </r>
        <r>
          <rPr>
            <sz val="9"/>
            <color indexed="81"/>
            <rFont val="Tahoma"/>
            <family val="2"/>
          </rPr>
          <t xml:space="preserve">
HVAC factor</t>
        </r>
      </text>
    </comment>
    <comment ref="M205" authorId="0" shapeId="0">
      <text>
        <r>
          <rPr>
            <b/>
            <sz val="9"/>
            <color indexed="81"/>
            <rFont val="Tahoma"/>
            <family val="2"/>
          </rPr>
          <t>Michael lane:</t>
        </r>
        <r>
          <rPr>
            <sz val="9"/>
            <color indexed="81"/>
            <rFont val="Tahoma"/>
            <family val="2"/>
          </rPr>
          <t xml:space="preserve">
Space Type incorrect due to Heat Type Change
</t>
        </r>
      </text>
    </comment>
    <comment ref="N205" authorId="0" shapeId="0">
      <text>
        <r>
          <rPr>
            <b/>
            <sz val="9"/>
            <color indexed="81"/>
            <rFont val="Tahoma"/>
            <family val="2"/>
          </rPr>
          <t>Michael lane:</t>
        </r>
        <r>
          <rPr>
            <sz val="9"/>
            <color indexed="81"/>
            <rFont val="Tahoma"/>
            <family val="2"/>
          </rPr>
          <t xml:space="preserve">
LPA</t>
        </r>
      </text>
    </comment>
    <comment ref="M209" authorId="1" shapeId="0">
      <text>
        <r>
          <rPr>
            <b/>
            <sz val="9"/>
            <color indexed="81"/>
            <rFont val="Tahoma"/>
            <family val="2"/>
          </rPr>
          <t>Michael Lane:</t>
        </r>
        <r>
          <rPr>
            <sz val="9"/>
            <color indexed="81"/>
            <rFont val="Tahoma"/>
            <family val="2"/>
          </rPr>
          <t xml:space="preserve">
Changed Retrofit / TI / NC
</t>
        </r>
      </text>
    </comment>
    <comment ref="N209" authorId="0" shapeId="0">
      <text>
        <r>
          <rPr>
            <b/>
            <sz val="9"/>
            <color indexed="81"/>
            <rFont val="Tahoma"/>
            <family val="2"/>
          </rPr>
          <t>Michael lane:</t>
        </r>
        <r>
          <rPr>
            <sz val="9"/>
            <color indexed="81"/>
            <rFont val="Tahoma"/>
            <family val="2"/>
          </rPr>
          <t xml:space="preserve">
HVAC factor</t>
        </r>
      </text>
    </comment>
    <comment ref="M210" authorId="0" shapeId="0">
      <text>
        <r>
          <rPr>
            <b/>
            <sz val="9"/>
            <color indexed="81"/>
            <rFont val="Tahoma"/>
            <family val="2"/>
          </rPr>
          <t>Michael lane:</t>
        </r>
        <r>
          <rPr>
            <sz val="9"/>
            <color indexed="81"/>
            <rFont val="Tahoma"/>
            <family val="2"/>
          </rPr>
          <t xml:space="preserve">
Space Type incorrect due to Heat Type Change
</t>
        </r>
      </text>
    </comment>
    <comment ref="N210" authorId="0" shapeId="0">
      <text>
        <r>
          <rPr>
            <b/>
            <sz val="9"/>
            <color indexed="81"/>
            <rFont val="Tahoma"/>
            <family val="2"/>
          </rPr>
          <t>Michael lane:</t>
        </r>
        <r>
          <rPr>
            <sz val="9"/>
            <color indexed="81"/>
            <rFont val="Tahoma"/>
            <family val="2"/>
          </rPr>
          <t xml:space="preserve">
LPA</t>
        </r>
      </text>
    </comment>
    <comment ref="M214" authorId="1" shapeId="0">
      <text>
        <r>
          <rPr>
            <b/>
            <sz val="9"/>
            <color indexed="81"/>
            <rFont val="Tahoma"/>
            <family val="2"/>
          </rPr>
          <t>Michael Lane:</t>
        </r>
        <r>
          <rPr>
            <sz val="9"/>
            <color indexed="81"/>
            <rFont val="Tahoma"/>
            <family val="2"/>
          </rPr>
          <t xml:space="preserve">
Changed Retrofit / TI / NC
</t>
        </r>
      </text>
    </comment>
    <comment ref="N214" authorId="0" shapeId="0">
      <text>
        <r>
          <rPr>
            <b/>
            <sz val="9"/>
            <color indexed="81"/>
            <rFont val="Tahoma"/>
            <family val="2"/>
          </rPr>
          <t>Michael lane:</t>
        </r>
        <r>
          <rPr>
            <sz val="9"/>
            <color indexed="81"/>
            <rFont val="Tahoma"/>
            <family val="2"/>
          </rPr>
          <t xml:space="preserve">
HVAC factor</t>
        </r>
      </text>
    </comment>
    <comment ref="M215" authorId="0" shapeId="0">
      <text>
        <r>
          <rPr>
            <b/>
            <sz val="9"/>
            <color indexed="81"/>
            <rFont val="Tahoma"/>
            <family val="2"/>
          </rPr>
          <t>Michael lane:</t>
        </r>
        <r>
          <rPr>
            <sz val="9"/>
            <color indexed="81"/>
            <rFont val="Tahoma"/>
            <family val="2"/>
          </rPr>
          <t xml:space="preserve">
Space Type incorrect due to Heat Type Change
</t>
        </r>
      </text>
    </comment>
    <comment ref="N215" authorId="0" shapeId="0">
      <text>
        <r>
          <rPr>
            <b/>
            <sz val="9"/>
            <color indexed="81"/>
            <rFont val="Tahoma"/>
            <family val="2"/>
          </rPr>
          <t>Michael lane:</t>
        </r>
        <r>
          <rPr>
            <sz val="9"/>
            <color indexed="81"/>
            <rFont val="Tahoma"/>
            <family val="2"/>
          </rPr>
          <t xml:space="preserve">
LPA</t>
        </r>
      </text>
    </comment>
    <comment ref="M219" authorId="1" shapeId="0">
      <text>
        <r>
          <rPr>
            <b/>
            <sz val="9"/>
            <color indexed="81"/>
            <rFont val="Tahoma"/>
            <family val="2"/>
          </rPr>
          <t>Michael Lane:</t>
        </r>
        <r>
          <rPr>
            <sz val="9"/>
            <color indexed="81"/>
            <rFont val="Tahoma"/>
            <family val="2"/>
          </rPr>
          <t xml:space="preserve">
Changed Retrofit / TI / NC
</t>
        </r>
      </text>
    </comment>
    <comment ref="N219" authorId="0" shapeId="0">
      <text>
        <r>
          <rPr>
            <b/>
            <sz val="9"/>
            <color indexed="81"/>
            <rFont val="Tahoma"/>
            <family val="2"/>
          </rPr>
          <t>Michael lane:</t>
        </r>
        <r>
          <rPr>
            <sz val="9"/>
            <color indexed="81"/>
            <rFont val="Tahoma"/>
            <family val="2"/>
          </rPr>
          <t xml:space="preserve">
HVAC factor</t>
        </r>
      </text>
    </comment>
    <comment ref="M220" authorId="0" shapeId="0">
      <text>
        <r>
          <rPr>
            <b/>
            <sz val="9"/>
            <color indexed="81"/>
            <rFont val="Tahoma"/>
            <family val="2"/>
          </rPr>
          <t>Michael lane:</t>
        </r>
        <r>
          <rPr>
            <sz val="9"/>
            <color indexed="81"/>
            <rFont val="Tahoma"/>
            <family val="2"/>
          </rPr>
          <t xml:space="preserve">
Space Type incorrect due to Heat Type Change
</t>
        </r>
      </text>
    </comment>
    <comment ref="N220" authorId="0" shapeId="0">
      <text>
        <r>
          <rPr>
            <b/>
            <sz val="9"/>
            <color indexed="81"/>
            <rFont val="Tahoma"/>
            <family val="2"/>
          </rPr>
          <t>Michael lane:</t>
        </r>
        <r>
          <rPr>
            <sz val="9"/>
            <color indexed="81"/>
            <rFont val="Tahoma"/>
            <family val="2"/>
          </rPr>
          <t xml:space="preserve">
LPA</t>
        </r>
      </text>
    </comment>
    <comment ref="M224" authorId="1" shapeId="0">
      <text>
        <r>
          <rPr>
            <b/>
            <sz val="9"/>
            <color indexed="81"/>
            <rFont val="Tahoma"/>
            <family val="2"/>
          </rPr>
          <t>Michael Lane:</t>
        </r>
        <r>
          <rPr>
            <sz val="9"/>
            <color indexed="81"/>
            <rFont val="Tahoma"/>
            <family val="2"/>
          </rPr>
          <t xml:space="preserve">
Changed Retrofit / TI / NC
</t>
        </r>
      </text>
    </comment>
    <comment ref="N224" authorId="0" shapeId="0">
      <text>
        <r>
          <rPr>
            <b/>
            <sz val="9"/>
            <color indexed="81"/>
            <rFont val="Tahoma"/>
            <family val="2"/>
          </rPr>
          <t>Michael lane:</t>
        </r>
        <r>
          <rPr>
            <sz val="9"/>
            <color indexed="81"/>
            <rFont val="Tahoma"/>
            <family val="2"/>
          </rPr>
          <t xml:space="preserve">
HVAC factor</t>
        </r>
      </text>
    </comment>
    <comment ref="M225" authorId="0" shapeId="0">
      <text>
        <r>
          <rPr>
            <b/>
            <sz val="9"/>
            <color indexed="81"/>
            <rFont val="Tahoma"/>
            <family val="2"/>
          </rPr>
          <t>Michael lane:</t>
        </r>
        <r>
          <rPr>
            <sz val="9"/>
            <color indexed="81"/>
            <rFont val="Tahoma"/>
            <family val="2"/>
          </rPr>
          <t xml:space="preserve">
Space Type incorrect due to Heat Type Change
</t>
        </r>
      </text>
    </comment>
    <comment ref="N225" authorId="0" shapeId="0">
      <text>
        <r>
          <rPr>
            <b/>
            <sz val="9"/>
            <color indexed="81"/>
            <rFont val="Tahoma"/>
            <family val="2"/>
          </rPr>
          <t>Michael lane:</t>
        </r>
        <r>
          <rPr>
            <sz val="9"/>
            <color indexed="81"/>
            <rFont val="Tahoma"/>
            <family val="2"/>
          </rPr>
          <t xml:space="preserve">
LPA</t>
        </r>
      </text>
    </comment>
    <comment ref="M229" authorId="1" shapeId="0">
      <text>
        <r>
          <rPr>
            <b/>
            <sz val="9"/>
            <color indexed="81"/>
            <rFont val="Tahoma"/>
            <family val="2"/>
          </rPr>
          <t>Michael Lane:</t>
        </r>
        <r>
          <rPr>
            <sz val="9"/>
            <color indexed="81"/>
            <rFont val="Tahoma"/>
            <family val="2"/>
          </rPr>
          <t xml:space="preserve">
Changed Retrofit / TI / NC
</t>
        </r>
      </text>
    </comment>
    <comment ref="N229" authorId="0" shapeId="0">
      <text>
        <r>
          <rPr>
            <b/>
            <sz val="9"/>
            <color indexed="81"/>
            <rFont val="Tahoma"/>
            <family val="2"/>
          </rPr>
          <t>Michael lane:</t>
        </r>
        <r>
          <rPr>
            <sz val="9"/>
            <color indexed="81"/>
            <rFont val="Tahoma"/>
            <family val="2"/>
          </rPr>
          <t xml:space="preserve">
HVAC factor</t>
        </r>
      </text>
    </comment>
    <comment ref="M230" authorId="0" shapeId="0">
      <text>
        <r>
          <rPr>
            <b/>
            <sz val="9"/>
            <color indexed="81"/>
            <rFont val="Tahoma"/>
            <family val="2"/>
          </rPr>
          <t>Michael lane:</t>
        </r>
        <r>
          <rPr>
            <sz val="9"/>
            <color indexed="81"/>
            <rFont val="Tahoma"/>
            <family val="2"/>
          </rPr>
          <t xml:space="preserve">
Space Type incorrect due to Heat Type Change
</t>
        </r>
      </text>
    </comment>
    <comment ref="N230" authorId="0" shapeId="0">
      <text>
        <r>
          <rPr>
            <b/>
            <sz val="9"/>
            <color indexed="81"/>
            <rFont val="Tahoma"/>
            <family val="2"/>
          </rPr>
          <t>Michael lane:</t>
        </r>
        <r>
          <rPr>
            <sz val="9"/>
            <color indexed="81"/>
            <rFont val="Tahoma"/>
            <family val="2"/>
          </rPr>
          <t xml:space="preserve">
LPA</t>
        </r>
      </text>
    </comment>
    <comment ref="M234" authorId="1" shapeId="0">
      <text>
        <r>
          <rPr>
            <b/>
            <sz val="9"/>
            <color indexed="81"/>
            <rFont val="Tahoma"/>
            <family val="2"/>
          </rPr>
          <t>Michael Lane:</t>
        </r>
        <r>
          <rPr>
            <sz val="9"/>
            <color indexed="81"/>
            <rFont val="Tahoma"/>
            <family val="2"/>
          </rPr>
          <t xml:space="preserve">
Changed Retrofit / TI / NC
</t>
        </r>
      </text>
    </comment>
    <comment ref="N234" authorId="0" shapeId="0">
      <text>
        <r>
          <rPr>
            <b/>
            <sz val="9"/>
            <color indexed="81"/>
            <rFont val="Tahoma"/>
            <family val="2"/>
          </rPr>
          <t>Michael lane:</t>
        </r>
        <r>
          <rPr>
            <sz val="9"/>
            <color indexed="81"/>
            <rFont val="Tahoma"/>
            <family val="2"/>
          </rPr>
          <t xml:space="preserve">
HVAC factor</t>
        </r>
      </text>
    </comment>
    <comment ref="M235" authorId="0" shapeId="0">
      <text>
        <r>
          <rPr>
            <b/>
            <sz val="9"/>
            <color indexed="81"/>
            <rFont val="Tahoma"/>
            <family val="2"/>
          </rPr>
          <t>Michael lane:</t>
        </r>
        <r>
          <rPr>
            <sz val="9"/>
            <color indexed="81"/>
            <rFont val="Tahoma"/>
            <family val="2"/>
          </rPr>
          <t xml:space="preserve">
Space Type incorrect due to Heat Type Change
</t>
        </r>
      </text>
    </comment>
    <comment ref="N235" authorId="0" shapeId="0">
      <text>
        <r>
          <rPr>
            <b/>
            <sz val="9"/>
            <color indexed="81"/>
            <rFont val="Tahoma"/>
            <family val="2"/>
          </rPr>
          <t>Michael lane:</t>
        </r>
        <r>
          <rPr>
            <sz val="9"/>
            <color indexed="81"/>
            <rFont val="Tahoma"/>
            <family val="2"/>
          </rPr>
          <t xml:space="preserve">
LPA</t>
        </r>
      </text>
    </comment>
    <comment ref="M239" authorId="1" shapeId="0">
      <text>
        <r>
          <rPr>
            <b/>
            <sz val="9"/>
            <color indexed="81"/>
            <rFont val="Tahoma"/>
            <family val="2"/>
          </rPr>
          <t>Michael Lane:</t>
        </r>
        <r>
          <rPr>
            <sz val="9"/>
            <color indexed="81"/>
            <rFont val="Tahoma"/>
            <family val="2"/>
          </rPr>
          <t xml:space="preserve">
Changed Retrofit / TI / NC
</t>
        </r>
      </text>
    </comment>
    <comment ref="N239" authorId="0" shapeId="0">
      <text>
        <r>
          <rPr>
            <b/>
            <sz val="9"/>
            <color indexed="81"/>
            <rFont val="Tahoma"/>
            <family val="2"/>
          </rPr>
          <t>Michael lane:</t>
        </r>
        <r>
          <rPr>
            <sz val="9"/>
            <color indexed="81"/>
            <rFont val="Tahoma"/>
            <family val="2"/>
          </rPr>
          <t xml:space="preserve">
HVAC factor</t>
        </r>
      </text>
    </comment>
    <comment ref="M240" authorId="0" shapeId="0">
      <text>
        <r>
          <rPr>
            <b/>
            <sz val="9"/>
            <color indexed="81"/>
            <rFont val="Tahoma"/>
            <family val="2"/>
          </rPr>
          <t>Michael lane:</t>
        </r>
        <r>
          <rPr>
            <sz val="9"/>
            <color indexed="81"/>
            <rFont val="Tahoma"/>
            <family val="2"/>
          </rPr>
          <t xml:space="preserve">
Space Type incorrect due to Heat Type Change
</t>
        </r>
      </text>
    </comment>
    <comment ref="N240" authorId="0" shapeId="0">
      <text>
        <r>
          <rPr>
            <b/>
            <sz val="9"/>
            <color indexed="81"/>
            <rFont val="Tahoma"/>
            <family val="2"/>
          </rPr>
          <t>Michael lane:</t>
        </r>
        <r>
          <rPr>
            <sz val="9"/>
            <color indexed="81"/>
            <rFont val="Tahoma"/>
            <family val="2"/>
          </rPr>
          <t xml:space="preserve">
LPA</t>
        </r>
      </text>
    </comment>
    <comment ref="M244" authorId="1" shapeId="0">
      <text>
        <r>
          <rPr>
            <b/>
            <sz val="9"/>
            <color indexed="81"/>
            <rFont val="Tahoma"/>
            <family val="2"/>
          </rPr>
          <t>Michael Lane:</t>
        </r>
        <r>
          <rPr>
            <sz val="9"/>
            <color indexed="81"/>
            <rFont val="Tahoma"/>
            <family val="2"/>
          </rPr>
          <t xml:space="preserve">
Changed Retrofit / TI / NC
</t>
        </r>
      </text>
    </comment>
    <comment ref="N244" authorId="0" shapeId="0">
      <text>
        <r>
          <rPr>
            <b/>
            <sz val="9"/>
            <color indexed="81"/>
            <rFont val="Tahoma"/>
            <family val="2"/>
          </rPr>
          <t>Michael lane:</t>
        </r>
        <r>
          <rPr>
            <sz val="9"/>
            <color indexed="81"/>
            <rFont val="Tahoma"/>
            <family val="2"/>
          </rPr>
          <t xml:space="preserve">
HVAC factor</t>
        </r>
      </text>
    </comment>
    <comment ref="M245" authorId="0" shapeId="0">
      <text>
        <r>
          <rPr>
            <b/>
            <sz val="9"/>
            <color indexed="81"/>
            <rFont val="Tahoma"/>
            <family val="2"/>
          </rPr>
          <t>Michael lane:</t>
        </r>
        <r>
          <rPr>
            <sz val="9"/>
            <color indexed="81"/>
            <rFont val="Tahoma"/>
            <family val="2"/>
          </rPr>
          <t xml:space="preserve">
Space Type incorrect due to Heat Type Change
</t>
        </r>
      </text>
    </comment>
    <comment ref="N245" authorId="0" shapeId="0">
      <text>
        <r>
          <rPr>
            <b/>
            <sz val="9"/>
            <color indexed="81"/>
            <rFont val="Tahoma"/>
            <family val="2"/>
          </rPr>
          <t>Michael lane:</t>
        </r>
        <r>
          <rPr>
            <sz val="9"/>
            <color indexed="81"/>
            <rFont val="Tahoma"/>
            <family val="2"/>
          </rPr>
          <t xml:space="preserve">
LPA</t>
        </r>
      </text>
    </comment>
    <comment ref="M252" authorId="1" shapeId="0">
      <text>
        <r>
          <rPr>
            <b/>
            <sz val="9"/>
            <color indexed="81"/>
            <rFont val="Tahoma"/>
            <family val="2"/>
          </rPr>
          <t>Michael Lane:</t>
        </r>
        <r>
          <rPr>
            <sz val="9"/>
            <color indexed="81"/>
            <rFont val="Tahoma"/>
            <family val="2"/>
          </rPr>
          <t xml:space="preserve">
Changed Retrofit / TI / NC
</t>
        </r>
      </text>
    </comment>
    <comment ref="N252" authorId="0" shapeId="0">
      <text>
        <r>
          <rPr>
            <b/>
            <sz val="9"/>
            <color indexed="81"/>
            <rFont val="Tahoma"/>
            <family val="2"/>
          </rPr>
          <t>Michael lane:</t>
        </r>
        <r>
          <rPr>
            <sz val="9"/>
            <color indexed="81"/>
            <rFont val="Tahoma"/>
            <family val="2"/>
          </rPr>
          <t xml:space="preserve">
HVAC factor</t>
        </r>
      </text>
    </comment>
    <comment ref="M253" authorId="0" shapeId="0">
      <text>
        <r>
          <rPr>
            <b/>
            <sz val="9"/>
            <color indexed="81"/>
            <rFont val="Tahoma"/>
            <family val="2"/>
          </rPr>
          <t>Michael lane:</t>
        </r>
        <r>
          <rPr>
            <sz val="9"/>
            <color indexed="81"/>
            <rFont val="Tahoma"/>
            <family val="2"/>
          </rPr>
          <t xml:space="preserve">
Space Type incorrect due to Heat Type Change
</t>
        </r>
      </text>
    </comment>
    <comment ref="N253" authorId="0" shapeId="0">
      <text>
        <r>
          <rPr>
            <b/>
            <sz val="9"/>
            <color indexed="81"/>
            <rFont val="Tahoma"/>
            <family val="2"/>
          </rPr>
          <t>Michael lane:</t>
        </r>
        <r>
          <rPr>
            <sz val="9"/>
            <color indexed="81"/>
            <rFont val="Tahoma"/>
            <family val="2"/>
          </rPr>
          <t xml:space="preserve">
LPA</t>
        </r>
      </text>
    </comment>
    <comment ref="M257" authorId="1" shapeId="0">
      <text>
        <r>
          <rPr>
            <b/>
            <sz val="9"/>
            <color indexed="81"/>
            <rFont val="Tahoma"/>
            <family val="2"/>
          </rPr>
          <t>Michael Lane:</t>
        </r>
        <r>
          <rPr>
            <sz val="9"/>
            <color indexed="81"/>
            <rFont val="Tahoma"/>
            <family val="2"/>
          </rPr>
          <t xml:space="preserve">
Changed Retrofit / TI / NC
</t>
        </r>
      </text>
    </comment>
    <comment ref="N257" authorId="0" shapeId="0">
      <text>
        <r>
          <rPr>
            <b/>
            <sz val="9"/>
            <color indexed="81"/>
            <rFont val="Tahoma"/>
            <family val="2"/>
          </rPr>
          <t>Michael lane:</t>
        </r>
        <r>
          <rPr>
            <sz val="9"/>
            <color indexed="81"/>
            <rFont val="Tahoma"/>
            <family val="2"/>
          </rPr>
          <t xml:space="preserve">
HVAC factor</t>
        </r>
      </text>
    </comment>
    <comment ref="M258" authorId="0" shapeId="0">
      <text>
        <r>
          <rPr>
            <b/>
            <sz val="9"/>
            <color indexed="81"/>
            <rFont val="Tahoma"/>
            <family val="2"/>
          </rPr>
          <t>Michael lane:</t>
        </r>
        <r>
          <rPr>
            <sz val="9"/>
            <color indexed="81"/>
            <rFont val="Tahoma"/>
            <family val="2"/>
          </rPr>
          <t xml:space="preserve">
Space Type incorrect due to Heat Type Change
</t>
        </r>
      </text>
    </comment>
    <comment ref="N258" authorId="0" shapeId="0">
      <text>
        <r>
          <rPr>
            <b/>
            <sz val="9"/>
            <color indexed="81"/>
            <rFont val="Tahoma"/>
            <family val="2"/>
          </rPr>
          <t>Michael lane:</t>
        </r>
        <r>
          <rPr>
            <sz val="9"/>
            <color indexed="81"/>
            <rFont val="Tahoma"/>
            <family val="2"/>
          </rPr>
          <t xml:space="preserve">
LPA</t>
        </r>
      </text>
    </comment>
    <comment ref="M262" authorId="1" shapeId="0">
      <text>
        <r>
          <rPr>
            <b/>
            <sz val="9"/>
            <color indexed="81"/>
            <rFont val="Tahoma"/>
            <family val="2"/>
          </rPr>
          <t>Michael Lane:</t>
        </r>
        <r>
          <rPr>
            <sz val="9"/>
            <color indexed="81"/>
            <rFont val="Tahoma"/>
            <family val="2"/>
          </rPr>
          <t xml:space="preserve">
Changed Retrofit / TI / NC
</t>
        </r>
      </text>
    </comment>
    <comment ref="N262" authorId="0" shapeId="0">
      <text>
        <r>
          <rPr>
            <b/>
            <sz val="9"/>
            <color indexed="81"/>
            <rFont val="Tahoma"/>
            <family val="2"/>
          </rPr>
          <t>Michael lane:</t>
        </r>
        <r>
          <rPr>
            <sz val="9"/>
            <color indexed="81"/>
            <rFont val="Tahoma"/>
            <family val="2"/>
          </rPr>
          <t xml:space="preserve">
HVAC factor</t>
        </r>
      </text>
    </comment>
    <comment ref="M263" authorId="0" shapeId="0">
      <text>
        <r>
          <rPr>
            <b/>
            <sz val="9"/>
            <color indexed="81"/>
            <rFont val="Tahoma"/>
            <family val="2"/>
          </rPr>
          <t>Michael lane:</t>
        </r>
        <r>
          <rPr>
            <sz val="9"/>
            <color indexed="81"/>
            <rFont val="Tahoma"/>
            <family val="2"/>
          </rPr>
          <t xml:space="preserve">
Space Type incorrect due to Heat Type Change
</t>
        </r>
      </text>
    </comment>
    <comment ref="N263" authorId="0" shapeId="0">
      <text>
        <r>
          <rPr>
            <b/>
            <sz val="9"/>
            <color indexed="81"/>
            <rFont val="Tahoma"/>
            <family val="2"/>
          </rPr>
          <t>Michael lane:</t>
        </r>
        <r>
          <rPr>
            <sz val="9"/>
            <color indexed="81"/>
            <rFont val="Tahoma"/>
            <family val="2"/>
          </rPr>
          <t xml:space="preserve">
LPA</t>
        </r>
      </text>
    </comment>
    <comment ref="M267" authorId="1" shapeId="0">
      <text>
        <r>
          <rPr>
            <b/>
            <sz val="9"/>
            <color indexed="81"/>
            <rFont val="Tahoma"/>
            <family val="2"/>
          </rPr>
          <t>Michael Lane:</t>
        </r>
        <r>
          <rPr>
            <sz val="9"/>
            <color indexed="81"/>
            <rFont val="Tahoma"/>
            <family val="2"/>
          </rPr>
          <t xml:space="preserve">
Changed Retrofit / TI / NC
</t>
        </r>
      </text>
    </comment>
    <comment ref="N267" authorId="0" shapeId="0">
      <text>
        <r>
          <rPr>
            <b/>
            <sz val="9"/>
            <color indexed="81"/>
            <rFont val="Tahoma"/>
            <family val="2"/>
          </rPr>
          <t>Michael lane:</t>
        </r>
        <r>
          <rPr>
            <sz val="9"/>
            <color indexed="81"/>
            <rFont val="Tahoma"/>
            <family val="2"/>
          </rPr>
          <t xml:space="preserve">
HVAC factor</t>
        </r>
      </text>
    </comment>
    <comment ref="M268" authorId="0" shapeId="0">
      <text>
        <r>
          <rPr>
            <b/>
            <sz val="9"/>
            <color indexed="81"/>
            <rFont val="Tahoma"/>
            <family val="2"/>
          </rPr>
          <t>Michael lane:</t>
        </r>
        <r>
          <rPr>
            <sz val="9"/>
            <color indexed="81"/>
            <rFont val="Tahoma"/>
            <family val="2"/>
          </rPr>
          <t xml:space="preserve">
Space Type incorrect due to Heat Type Change
</t>
        </r>
      </text>
    </comment>
    <comment ref="N268" authorId="0" shapeId="0">
      <text>
        <r>
          <rPr>
            <b/>
            <sz val="9"/>
            <color indexed="81"/>
            <rFont val="Tahoma"/>
            <family val="2"/>
          </rPr>
          <t>Michael lane:</t>
        </r>
        <r>
          <rPr>
            <sz val="9"/>
            <color indexed="81"/>
            <rFont val="Tahoma"/>
            <family val="2"/>
          </rPr>
          <t xml:space="preserve">
LPA</t>
        </r>
      </text>
    </comment>
    <comment ref="M272" authorId="1" shapeId="0">
      <text>
        <r>
          <rPr>
            <b/>
            <sz val="9"/>
            <color indexed="81"/>
            <rFont val="Tahoma"/>
            <family val="2"/>
          </rPr>
          <t>Michael Lane:</t>
        </r>
        <r>
          <rPr>
            <sz val="9"/>
            <color indexed="81"/>
            <rFont val="Tahoma"/>
            <family val="2"/>
          </rPr>
          <t xml:space="preserve">
Changed Retrofit / TI / NC
</t>
        </r>
      </text>
    </comment>
    <comment ref="N272" authorId="0" shapeId="0">
      <text>
        <r>
          <rPr>
            <b/>
            <sz val="9"/>
            <color indexed="81"/>
            <rFont val="Tahoma"/>
            <family val="2"/>
          </rPr>
          <t>Michael lane:</t>
        </r>
        <r>
          <rPr>
            <sz val="9"/>
            <color indexed="81"/>
            <rFont val="Tahoma"/>
            <family val="2"/>
          </rPr>
          <t xml:space="preserve">
HVAC factor</t>
        </r>
      </text>
    </comment>
    <comment ref="M273" authorId="0" shapeId="0">
      <text>
        <r>
          <rPr>
            <b/>
            <sz val="9"/>
            <color indexed="81"/>
            <rFont val="Tahoma"/>
            <family val="2"/>
          </rPr>
          <t>Michael lane:</t>
        </r>
        <r>
          <rPr>
            <sz val="9"/>
            <color indexed="81"/>
            <rFont val="Tahoma"/>
            <family val="2"/>
          </rPr>
          <t xml:space="preserve">
Space Type incorrect due to Heat Type Change
</t>
        </r>
      </text>
    </comment>
    <comment ref="N273" authorId="0" shapeId="0">
      <text>
        <r>
          <rPr>
            <b/>
            <sz val="9"/>
            <color indexed="81"/>
            <rFont val="Tahoma"/>
            <family val="2"/>
          </rPr>
          <t>Michael lane:</t>
        </r>
        <r>
          <rPr>
            <sz val="9"/>
            <color indexed="81"/>
            <rFont val="Tahoma"/>
            <family val="2"/>
          </rPr>
          <t xml:space="preserve">
LPA</t>
        </r>
      </text>
    </comment>
    <comment ref="M277" authorId="1" shapeId="0">
      <text>
        <r>
          <rPr>
            <b/>
            <sz val="9"/>
            <color indexed="81"/>
            <rFont val="Tahoma"/>
            <family val="2"/>
          </rPr>
          <t>Michael Lane:</t>
        </r>
        <r>
          <rPr>
            <sz val="9"/>
            <color indexed="81"/>
            <rFont val="Tahoma"/>
            <family val="2"/>
          </rPr>
          <t xml:space="preserve">
Changed Retrofit / TI / NC
</t>
        </r>
      </text>
    </comment>
    <comment ref="N277" authorId="0" shapeId="0">
      <text>
        <r>
          <rPr>
            <b/>
            <sz val="9"/>
            <color indexed="81"/>
            <rFont val="Tahoma"/>
            <family val="2"/>
          </rPr>
          <t>Michael lane:</t>
        </r>
        <r>
          <rPr>
            <sz val="9"/>
            <color indexed="81"/>
            <rFont val="Tahoma"/>
            <family val="2"/>
          </rPr>
          <t xml:space="preserve">
HVAC factor</t>
        </r>
      </text>
    </comment>
    <comment ref="M278" authorId="0" shapeId="0">
      <text>
        <r>
          <rPr>
            <b/>
            <sz val="9"/>
            <color indexed="81"/>
            <rFont val="Tahoma"/>
            <family val="2"/>
          </rPr>
          <t>Michael lane:</t>
        </r>
        <r>
          <rPr>
            <sz val="9"/>
            <color indexed="81"/>
            <rFont val="Tahoma"/>
            <family val="2"/>
          </rPr>
          <t xml:space="preserve">
Space Type incorrect due to Heat Type Change
</t>
        </r>
      </text>
    </comment>
    <comment ref="N278" authorId="0" shapeId="0">
      <text>
        <r>
          <rPr>
            <b/>
            <sz val="9"/>
            <color indexed="81"/>
            <rFont val="Tahoma"/>
            <family val="2"/>
          </rPr>
          <t>Michael lane:</t>
        </r>
        <r>
          <rPr>
            <sz val="9"/>
            <color indexed="81"/>
            <rFont val="Tahoma"/>
            <family val="2"/>
          </rPr>
          <t xml:space="preserve">
LPA</t>
        </r>
      </text>
    </comment>
    <comment ref="M282" authorId="1" shapeId="0">
      <text>
        <r>
          <rPr>
            <b/>
            <sz val="9"/>
            <color indexed="81"/>
            <rFont val="Tahoma"/>
            <family val="2"/>
          </rPr>
          <t>Michael Lane:</t>
        </r>
        <r>
          <rPr>
            <sz val="9"/>
            <color indexed="81"/>
            <rFont val="Tahoma"/>
            <family val="2"/>
          </rPr>
          <t xml:space="preserve">
Changed Retrofit / TI / NC
</t>
        </r>
      </text>
    </comment>
    <comment ref="N282" authorId="0" shapeId="0">
      <text>
        <r>
          <rPr>
            <b/>
            <sz val="9"/>
            <color indexed="81"/>
            <rFont val="Tahoma"/>
            <family val="2"/>
          </rPr>
          <t>Michael lane:</t>
        </r>
        <r>
          <rPr>
            <sz val="9"/>
            <color indexed="81"/>
            <rFont val="Tahoma"/>
            <family val="2"/>
          </rPr>
          <t xml:space="preserve">
HVAC factor</t>
        </r>
      </text>
    </comment>
    <comment ref="M283" authorId="0" shapeId="0">
      <text>
        <r>
          <rPr>
            <b/>
            <sz val="9"/>
            <color indexed="81"/>
            <rFont val="Tahoma"/>
            <family val="2"/>
          </rPr>
          <t>Michael lane:</t>
        </r>
        <r>
          <rPr>
            <sz val="9"/>
            <color indexed="81"/>
            <rFont val="Tahoma"/>
            <family val="2"/>
          </rPr>
          <t xml:space="preserve">
Space Type incorrect due to Heat Type Change
</t>
        </r>
      </text>
    </comment>
    <comment ref="N283" authorId="0" shapeId="0">
      <text>
        <r>
          <rPr>
            <b/>
            <sz val="9"/>
            <color indexed="81"/>
            <rFont val="Tahoma"/>
            <family val="2"/>
          </rPr>
          <t>Michael lane:</t>
        </r>
        <r>
          <rPr>
            <sz val="9"/>
            <color indexed="81"/>
            <rFont val="Tahoma"/>
            <family val="2"/>
          </rPr>
          <t xml:space="preserve">
LPA</t>
        </r>
      </text>
    </comment>
    <comment ref="M287" authorId="1" shapeId="0">
      <text>
        <r>
          <rPr>
            <b/>
            <sz val="9"/>
            <color indexed="81"/>
            <rFont val="Tahoma"/>
            <family val="2"/>
          </rPr>
          <t>Michael Lane:</t>
        </r>
        <r>
          <rPr>
            <sz val="9"/>
            <color indexed="81"/>
            <rFont val="Tahoma"/>
            <family val="2"/>
          </rPr>
          <t xml:space="preserve">
Changed Retrofit / TI / NC
</t>
        </r>
      </text>
    </comment>
    <comment ref="N287" authorId="0" shapeId="0">
      <text>
        <r>
          <rPr>
            <b/>
            <sz val="9"/>
            <color indexed="81"/>
            <rFont val="Tahoma"/>
            <family val="2"/>
          </rPr>
          <t>Michael lane:</t>
        </r>
        <r>
          <rPr>
            <sz val="9"/>
            <color indexed="81"/>
            <rFont val="Tahoma"/>
            <family val="2"/>
          </rPr>
          <t xml:space="preserve">
HVAC factor</t>
        </r>
      </text>
    </comment>
    <comment ref="M288" authorId="0" shapeId="0">
      <text>
        <r>
          <rPr>
            <b/>
            <sz val="9"/>
            <color indexed="81"/>
            <rFont val="Tahoma"/>
            <family val="2"/>
          </rPr>
          <t>Michael lane:</t>
        </r>
        <r>
          <rPr>
            <sz val="9"/>
            <color indexed="81"/>
            <rFont val="Tahoma"/>
            <family val="2"/>
          </rPr>
          <t xml:space="preserve">
Space Type incorrect due to Heat Type Change
</t>
        </r>
      </text>
    </comment>
    <comment ref="N288" authorId="0" shapeId="0">
      <text>
        <r>
          <rPr>
            <b/>
            <sz val="9"/>
            <color indexed="81"/>
            <rFont val="Tahoma"/>
            <family val="2"/>
          </rPr>
          <t>Michael lane:</t>
        </r>
        <r>
          <rPr>
            <sz val="9"/>
            <color indexed="81"/>
            <rFont val="Tahoma"/>
            <family val="2"/>
          </rPr>
          <t xml:space="preserve">
LPA</t>
        </r>
      </text>
    </comment>
    <comment ref="M292" authorId="1" shapeId="0">
      <text>
        <r>
          <rPr>
            <b/>
            <sz val="9"/>
            <color indexed="81"/>
            <rFont val="Tahoma"/>
            <family val="2"/>
          </rPr>
          <t>Michael Lane:</t>
        </r>
        <r>
          <rPr>
            <sz val="9"/>
            <color indexed="81"/>
            <rFont val="Tahoma"/>
            <family val="2"/>
          </rPr>
          <t xml:space="preserve">
Changed Retrofit / TI / NC
</t>
        </r>
      </text>
    </comment>
    <comment ref="N292" authorId="0" shapeId="0">
      <text>
        <r>
          <rPr>
            <b/>
            <sz val="9"/>
            <color indexed="81"/>
            <rFont val="Tahoma"/>
            <family val="2"/>
          </rPr>
          <t>Michael lane:</t>
        </r>
        <r>
          <rPr>
            <sz val="9"/>
            <color indexed="81"/>
            <rFont val="Tahoma"/>
            <family val="2"/>
          </rPr>
          <t xml:space="preserve">
HVAC factor</t>
        </r>
      </text>
    </comment>
    <comment ref="M293" authorId="0" shapeId="0">
      <text>
        <r>
          <rPr>
            <b/>
            <sz val="9"/>
            <color indexed="81"/>
            <rFont val="Tahoma"/>
            <family val="2"/>
          </rPr>
          <t>Michael lane:</t>
        </r>
        <r>
          <rPr>
            <sz val="9"/>
            <color indexed="81"/>
            <rFont val="Tahoma"/>
            <family val="2"/>
          </rPr>
          <t xml:space="preserve">
Space Type incorrect due to Heat Type Change
</t>
        </r>
      </text>
    </comment>
    <comment ref="N293" authorId="0" shapeId="0">
      <text>
        <r>
          <rPr>
            <b/>
            <sz val="9"/>
            <color indexed="81"/>
            <rFont val="Tahoma"/>
            <family val="2"/>
          </rPr>
          <t>Michael lane:</t>
        </r>
        <r>
          <rPr>
            <sz val="9"/>
            <color indexed="81"/>
            <rFont val="Tahoma"/>
            <family val="2"/>
          </rPr>
          <t xml:space="preserve">
LPA</t>
        </r>
      </text>
    </comment>
    <comment ref="M297" authorId="1" shapeId="0">
      <text>
        <r>
          <rPr>
            <b/>
            <sz val="9"/>
            <color indexed="81"/>
            <rFont val="Tahoma"/>
            <family val="2"/>
          </rPr>
          <t>Michael Lane:</t>
        </r>
        <r>
          <rPr>
            <sz val="9"/>
            <color indexed="81"/>
            <rFont val="Tahoma"/>
            <family val="2"/>
          </rPr>
          <t xml:space="preserve">
Changed Retrofit / TI / NC
</t>
        </r>
      </text>
    </comment>
    <comment ref="N297" authorId="0" shapeId="0">
      <text>
        <r>
          <rPr>
            <b/>
            <sz val="9"/>
            <color indexed="81"/>
            <rFont val="Tahoma"/>
            <family val="2"/>
          </rPr>
          <t>Michael lane:</t>
        </r>
        <r>
          <rPr>
            <sz val="9"/>
            <color indexed="81"/>
            <rFont val="Tahoma"/>
            <family val="2"/>
          </rPr>
          <t xml:space="preserve">
HVAC factor</t>
        </r>
      </text>
    </comment>
    <comment ref="M298" authorId="0" shapeId="0">
      <text>
        <r>
          <rPr>
            <b/>
            <sz val="9"/>
            <color indexed="81"/>
            <rFont val="Tahoma"/>
            <family val="2"/>
          </rPr>
          <t>Michael lane:</t>
        </r>
        <r>
          <rPr>
            <sz val="9"/>
            <color indexed="81"/>
            <rFont val="Tahoma"/>
            <family val="2"/>
          </rPr>
          <t xml:space="preserve">
Space Type incorrect due to Heat Type Change
</t>
        </r>
      </text>
    </comment>
    <comment ref="N298" authorId="0" shapeId="0">
      <text>
        <r>
          <rPr>
            <b/>
            <sz val="9"/>
            <color indexed="81"/>
            <rFont val="Tahoma"/>
            <family val="2"/>
          </rPr>
          <t>Michael lane:</t>
        </r>
        <r>
          <rPr>
            <sz val="9"/>
            <color indexed="81"/>
            <rFont val="Tahoma"/>
            <family val="2"/>
          </rPr>
          <t xml:space="preserve">
LPA</t>
        </r>
      </text>
    </comment>
    <comment ref="M302" authorId="1" shapeId="0">
      <text>
        <r>
          <rPr>
            <b/>
            <sz val="9"/>
            <color indexed="81"/>
            <rFont val="Tahoma"/>
            <family val="2"/>
          </rPr>
          <t>Michael Lane:</t>
        </r>
        <r>
          <rPr>
            <sz val="9"/>
            <color indexed="81"/>
            <rFont val="Tahoma"/>
            <family val="2"/>
          </rPr>
          <t xml:space="preserve">
Changed Retrofit / TI / NC
</t>
        </r>
      </text>
    </comment>
    <comment ref="N302" authorId="0" shapeId="0">
      <text>
        <r>
          <rPr>
            <b/>
            <sz val="9"/>
            <color indexed="81"/>
            <rFont val="Tahoma"/>
            <family val="2"/>
          </rPr>
          <t>Michael lane:</t>
        </r>
        <r>
          <rPr>
            <sz val="9"/>
            <color indexed="81"/>
            <rFont val="Tahoma"/>
            <family val="2"/>
          </rPr>
          <t xml:space="preserve">
HVAC factor</t>
        </r>
      </text>
    </comment>
    <comment ref="M303" authorId="0" shapeId="0">
      <text>
        <r>
          <rPr>
            <b/>
            <sz val="9"/>
            <color indexed="81"/>
            <rFont val="Tahoma"/>
            <family val="2"/>
          </rPr>
          <t>Michael lane:</t>
        </r>
        <r>
          <rPr>
            <sz val="9"/>
            <color indexed="81"/>
            <rFont val="Tahoma"/>
            <family val="2"/>
          </rPr>
          <t xml:space="preserve">
Space Type incorrect due to Heat Type Change
</t>
        </r>
      </text>
    </comment>
    <comment ref="N303" authorId="0" shapeId="0">
      <text>
        <r>
          <rPr>
            <b/>
            <sz val="9"/>
            <color indexed="81"/>
            <rFont val="Tahoma"/>
            <family val="2"/>
          </rPr>
          <t>Michael lane:</t>
        </r>
        <r>
          <rPr>
            <sz val="9"/>
            <color indexed="81"/>
            <rFont val="Tahoma"/>
            <family val="2"/>
          </rPr>
          <t xml:space="preserve">
LPA</t>
        </r>
      </text>
    </comment>
    <comment ref="M307" authorId="1" shapeId="0">
      <text>
        <r>
          <rPr>
            <b/>
            <sz val="9"/>
            <color indexed="81"/>
            <rFont val="Tahoma"/>
            <family val="2"/>
          </rPr>
          <t>Michael Lane:</t>
        </r>
        <r>
          <rPr>
            <sz val="9"/>
            <color indexed="81"/>
            <rFont val="Tahoma"/>
            <family val="2"/>
          </rPr>
          <t xml:space="preserve">
Changed Retrofit / TI / NC
</t>
        </r>
      </text>
    </comment>
    <comment ref="N307" authorId="0" shapeId="0">
      <text>
        <r>
          <rPr>
            <b/>
            <sz val="9"/>
            <color indexed="81"/>
            <rFont val="Tahoma"/>
            <family val="2"/>
          </rPr>
          <t>Michael lane:</t>
        </r>
        <r>
          <rPr>
            <sz val="9"/>
            <color indexed="81"/>
            <rFont val="Tahoma"/>
            <family val="2"/>
          </rPr>
          <t xml:space="preserve">
HVAC factor</t>
        </r>
      </text>
    </comment>
    <comment ref="M308" authorId="0" shapeId="0">
      <text>
        <r>
          <rPr>
            <b/>
            <sz val="9"/>
            <color indexed="81"/>
            <rFont val="Tahoma"/>
            <family val="2"/>
          </rPr>
          <t>Michael lane:</t>
        </r>
        <r>
          <rPr>
            <sz val="9"/>
            <color indexed="81"/>
            <rFont val="Tahoma"/>
            <family val="2"/>
          </rPr>
          <t xml:space="preserve">
Space Type incorrect due to Heat Type Change
</t>
        </r>
      </text>
    </comment>
    <comment ref="N308" authorId="0" shapeId="0">
      <text>
        <r>
          <rPr>
            <b/>
            <sz val="9"/>
            <color indexed="81"/>
            <rFont val="Tahoma"/>
            <family val="2"/>
          </rPr>
          <t>Michael lane:</t>
        </r>
        <r>
          <rPr>
            <sz val="9"/>
            <color indexed="81"/>
            <rFont val="Tahoma"/>
            <family val="2"/>
          </rPr>
          <t xml:space="preserve">
LPA</t>
        </r>
      </text>
    </comment>
    <comment ref="M312" authorId="1" shapeId="0">
      <text>
        <r>
          <rPr>
            <b/>
            <sz val="9"/>
            <color indexed="81"/>
            <rFont val="Tahoma"/>
            <family val="2"/>
          </rPr>
          <t>Michael Lane:</t>
        </r>
        <r>
          <rPr>
            <sz val="9"/>
            <color indexed="81"/>
            <rFont val="Tahoma"/>
            <family val="2"/>
          </rPr>
          <t xml:space="preserve">
Changed Retrofit / TI / NC
</t>
        </r>
      </text>
    </comment>
    <comment ref="N312" authorId="0" shapeId="0">
      <text>
        <r>
          <rPr>
            <b/>
            <sz val="9"/>
            <color indexed="81"/>
            <rFont val="Tahoma"/>
            <family val="2"/>
          </rPr>
          <t>Michael lane:</t>
        </r>
        <r>
          <rPr>
            <sz val="9"/>
            <color indexed="81"/>
            <rFont val="Tahoma"/>
            <family val="2"/>
          </rPr>
          <t xml:space="preserve">
HVAC factor</t>
        </r>
      </text>
    </comment>
    <comment ref="M313" authorId="0" shapeId="0">
      <text>
        <r>
          <rPr>
            <b/>
            <sz val="9"/>
            <color indexed="81"/>
            <rFont val="Tahoma"/>
            <family val="2"/>
          </rPr>
          <t>Michael lane:</t>
        </r>
        <r>
          <rPr>
            <sz val="9"/>
            <color indexed="81"/>
            <rFont val="Tahoma"/>
            <family val="2"/>
          </rPr>
          <t xml:space="preserve">
Space Type incorrect due to Heat Type Change
</t>
        </r>
      </text>
    </comment>
    <comment ref="N313" authorId="0" shapeId="0">
      <text>
        <r>
          <rPr>
            <b/>
            <sz val="9"/>
            <color indexed="81"/>
            <rFont val="Tahoma"/>
            <family val="2"/>
          </rPr>
          <t>Michael lane:</t>
        </r>
        <r>
          <rPr>
            <sz val="9"/>
            <color indexed="81"/>
            <rFont val="Tahoma"/>
            <family val="2"/>
          </rPr>
          <t xml:space="preserve">
LPA</t>
        </r>
      </text>
    </comment>
    <comment ref="M317" authorId="1" shapeId="0">
      <text>
        <r>
          <rPr>
            <b/>
            <sz val="9"/>
            <color indexed="81"/>
            <rFont val="Tahoma"/>
            <family val="2"/>
          </rPr>
          <t>Michael Lane:</t>
        </r>
        <r>
          <rPr>
            <sz val="9"/>
            <color indexed="81"/>
            <rFont val="Tahoma"/>
            <family val="2"/>
          </rPr>
          <t xml:space="preserve">
Changed Retrofit / TI / NC
</t>
        </r>
      </text>
    </comment>
    <comment ref="N317" authorId="0" shapeId="0">
      <text>
        <r>
          <rPr>
            <b/>
            <sz val="9"/>
            <color indexed="81"/>
            <rFont val="Tahoma"/>
            <family val="2"/>
          </rPr>
          <t>Michael lane:</t>
        </r>
        <r>
          <rPr>
            <sz val="9"/>
            <color indexed="81"/>
            <rFont val="Tahoma"/>
            <family val="2"/>
          </rPr>
          <t xml:space="preserve">
HVAC factor</t>
        </r>
      </text>
    </comment>
    <comment ref="M318" authorId="0" shapeId="0">
      <text>
        <r>
          <rPr>
            <b/>
            <sz val="9"/>
            <color indexed="81"/>
            <rFont val="Tahoma"/>
            <family val="2"/>
          </rPr>
          <t>Michael lane:</t>
        </r>
        <r>
          <rPr>
            <sz val="9"/>
            <color indexed="81"/>
            <rFont val="Tahoma"/>
            <family val="2"/>
          </rPr>
          <t xml:space="preserve">
Space Type incorrect due to Heat Type Change
</t>
        </r>
      </text>
    </comment>
    <comment ref="N318" authorId="0" shapeId="0">
      <text>
        <r>
          <rPr>
            <b/>
            <sz val="9"/>
            <color indexed="81"/>
            <rFont val="Tahoma"/>
            <family val="2"/>
          </rPr>
          <t>Michael lane:</t>
        </r>
        <r>
          <rPr>
            <sz val="9"/>
            <color indexed="81"/>
            <rFont val="Tahoma"/>
            <family val="2"/>
          </rPr>
          <t xml:space="preserve">
LPA</t>
        </r>
      </text>
    </comment>
    <comment ref="M322" authorId="1" shapeId="0">
      <text>
        <r>
          <rPr>
            <b/>
            <sz val="9"/>
            <color indexed="81"/>
            <rFont val="Tahoma"/>
            <family val="2"/>
          </rPr>
          <t>Michael Lane:</t>
        </r>
        <r>
          <rPr>
            <sz val="9"/>
            <color indexed="81"/>
            <rFont val="Tahoma"/>
            <family val="2"/>
          </rPr>
          <t xml:space="preserve">
Changed Retrofit / TI / NC
</t>
        </r>
      </text>
    </comment>
    <comment ref="N322" authorId="0" shapeId="0">
      <text>
        <r>
          <rPr>
            <b/>
            <sz val="9"/>
            <color indexed="81"/>
            <rFont val="Tahoma"/>
            <family val="2"/>
          </rPr>
          <t>Michael lane:</t>
        </r>
        <r>
          <rPr>
            <sz val="9"/>
            <color indexed="81"/>
            <rFont val="Tahoma"/>
            <family val="2"/>
          </rPr>
          <t xml:space="preserve">
HVAC factor</t>
        </r>
      </text>
    </comment>
    <comment ref="M323" authorId="0" shapeId="0">
      <text>
        <r>
          <rPr>
            <b/>
            <sz val="9"/>
            <color indexed="81"/>
            <rFont val="Tahoma"/>
            <family val="2"/>
          </rPr>
          <t>Michael lane:</t>
        </r>
        <r>
          <rPr>
            <sz val="9"/>
            <color indexed="81"/>
            <rFont val="Tahoma"/>
            <family val="2"/>
          </rPr>
          <t xml:space="preserve">
Space Type incorrect due to Heat Type Change
</t>
        </r>
      </text>
    </comment>
    <comment ref="N323" authorId="0" shapeId="0">
      <text>
        <r>
          <rPr>
            <b/>
            <sz val="9"/>
            <color indexed="81"/>
            <rFont val="Tahoma"/>
            <family val="2"/>
          </rPr>
          <t>Michael lane:</t>
        </r>
        <r>
          <rPr>
            <sz val="9"/>
            <color indexed="81"/>
            <rFont val="Tahoma"/>
            <family val="2"/>
          </rPr>
          <t xml:space="preserve">
LPA</t>
        </r>
      </text>
    </comment>
    <comment ref="M330" authorId="1" shapeId="0">
      <text>
        <r>
          <rPr>
            <b/>
            <sz val="9"/>
            <color indexed="81"/>
            <rFont val="Tahoma"/>
            <family val="2"/>
          </rPr>
          <t>Michael Lane:</t>
        </r>
        <r>
          <rPr>
            <sz val="9"/>
            <color indexed="81"/>
            <rFont val="Tahoma"/>
            <family val="2"/>
          </rPr>
          <t xml:space="preserve">
Changed Retrofit / TI / NC
</t>
        </r>
      </text>
    </comment>
    <comment ref="N330" authorId="0" shapeId="0">
      <text>
        <r>
          <rPr>
            <b/>
            <sz val="9"/>
            <color indexed="81"/>
            <rFont val="Tahoma"/>
            <family val="2"/>
          </rPr>
          <t>Michael lane:</t>
        </r>
        <r>
          <rPr>
            <sz val="9"/>
            <color indexed="81"/>
            <rFont val="Tahoma"/>
            <family val="2"/>
          </rPr>
          <t xml:space="preserve">
HVAC factor</t>
        </r>
      </text>
    </comment>
    <comment ref="M331" authorId="0" shapeId="0">
      <text>
        <r>
          <rPr>
            <b/>
            <sz val="9"/>
            <color indexed="81"/>
            <rFont val="Tahoma"/>
            <family val="2"/>
          </rPr>
          <t>Michael lane:</t>
        </r>
        <r>
          <rPr>
            <sz val="9"/>
            <color indexed="81"/>
            <rFont val="Tahoma"/>
            <family val="2"/>
          </rPr>
          <t xml:space="preserve">
Space Type incorrect due to Heat Type Change
</t>
        </r>
      </text>
    </comment>
    <comment ref="N331" authorId="0" shapeId="0">
      <text>
        <r>
          <rPr>
            <b/>
            <sz val="9"/>
            <color indexed="81"/>
            <rFont val="Tahoma"/>
            <family val="2"/>
          </rPr>
          <t>Michael lane:</t>
        </r>
        <r>
          <rPr>
            <sz val="9"/>
            <color indexed="81"/>
            <rFont val="Tahoma"/>
            <family val="2"/>
          </rPr>
          <t xml:space="preserve">
LPA</t>
        </r>
      </text>
    </comment>
    <comment ref="M335" authorId="1" shapeId="0">
      <text>
        <r>
          <rPr>
            <b/>
            <sz val="9"/>
            <color indexed="81"/>
            <rFont val="Tahoma"/>
            <family val="2"/>
          </rPr>
          <t>Michael Lane:</t>
        </r>
        <r>
          <rPr>
            <sz val="9"/>
            <color indexed="81"/>
            <rFont val="Tahoma"/>
            <family val="2"/>
          </rPr>
          <t xml:space="preserve">
Changed Retrofit / TI / NC
</t>
        </r>
      </text>
    </comment>
    <comment ref="N335" authorId="0" shapeId="0">
      <text>
        <r>
          <rPr>
            <b/>
            <sz val="9"/>
            <color indexed="81"/>
            <rFont val="Tahoma"/>
            <family val="2"/>
          </rPr>
          <t>Michael lane:</t>
        </r>
        <r>
          <rPr>
            <sz val="9"/>
            <color indexed="81"/>
            <rFont val="Tahoma"/>
            <family val="2"/>
          </rPr>
          <t xml:space="preserve">
HVAC factor</t>
        </r>
      </text>
    </comment>
    <comment ref="M336" authorId="0" shapeId="0">
      <text>
        <r>
          <rPr>
            <b/>
            <sz val="9"/>
            <color indexed="81"/>
            <rFont val="Tahoma"/>
            <family val="2"/>
          </rPr>
          <t>Michael lane:</t>
        </r>
        <r>
          <rPr>
            <sz val="9"/>
            <color indexed="81"/>
            <rFont val="Tahoma"/>
            <family val="2"/>
          </rPr>
          <t xml:space="preserve">
Space Type incorrect due to Heat Type Change
</t>
        </r>
      </text>
    </comment>
    <comment ref="N336" authorId="0" shapeId="0">
      <text>
        <r>
          <rPr>
            <b/>
            <sz val="9"/>
            <color indexed="81"/>
            <rFont val="Tahoma"/>
            <family val="2"/>
          </rPr>
          <t>Michael lane:</t>
        </r>
        <r>
          <rPr>
            <sz val="9"/>
            <color indexed="81"/>
            <rFont val="Tahoma"/>
            <family val="2"/>
          </rPr>
          <t xml:space="preserve">
LPA</t>
        </r>
      </text>
    </comment>
    <comment ref="M340" authorId="1" shapeId="0">
      <text>
        <r>
          <rPr>
            <b/>
            <sz val="9"/>
            <color indexed="81"/>
            <rFont val="Tahoma"/>
            <family val="2"/>
          </rPr>
          <t>Michael Lane:</t>
        </r>
        <r>
          <rPr>
            <sz val="9"/>
            <color indexed="81"/>
            <rFont val="Tahoma"/>
            <family val="2"/>
          </rPr>
          <t xml:space="preserve">
Changed Retrofit / TI / NC
</t>
        </r>
      </text>
    </comment>
    <comment ref="N340" authorId="0" shapeId="0">
      <text>
        <r>
          <rPr>
            <b/>
            <sz val="9"/>
            <color indexed="81"/>
            <rFont val="Tahoma"/>
            <family val="2"/>
          </rPr>
          <t>Michael lane:</t>
        </r>
        <r>
          <rPr>
            <sz val="9"/>
            <color indexed="81"/>
            <rFont val="Tahoma"/>
            <family val="2"/>
          </rPr>
          <t xml:space="preserve">
HVAC factor</t>
        </r>
      </text>
    </comment>
    <comment ref="M341" authorId="0" shapeId="0">
      <text>
        <r>
          <rPr>
            <b/>
            <sz val="9"/>
            <color indexed="81"/>
            <rFont val="Tahoma"/>
            <family val="2"/>
          </rPr>
          <t>Michael lane:</t>
        </r>
        <r>
          <rPr>
            <sz val="9"/>
            <color indexed="81"/>
            <rFont val="Tahoma"/>
            <family val="2"/>
          </rPr>
          <t xml:space="preserve">
Space Type incorrect due to Heat Type Change
</t>
        </r>
      </text>
    </comment>
    <comment ref="N341" authorId="0" shapeId="0">
      <text>
        <r>
          <rPr>
            <b/>
            <sz val="9"/>
            <color indexed="81"/>
            <rFont val="Tahoma"/>
            <family val="2"/>
          </rPr>
          <t>Michael lane:</t>
        </r>
        <r>
          <rPr>
            <sz val="9"/>
            <color indexed="81"/>
            <rFont val="Tahoma"/>
            <family val="2"/>
          </rPr>
          <t xml:space="preserve">
LPA</t>
        </r>
      </text>
    </comment>
    <comment ref="M345" authorId="1" shapeId="0">
      <text>
        <r>
          <rPr>
            <b/>
            <sz val="9"/>
            <color indexed="81"/>
            <rFont val="Tahoma"/>
            <family val="2"/>
          </rPr>
          <t>Michael Lane:</t>
        </r>
        <r>
          <rPr>
            <sz val="9"/>
            <color indexed="81"/>
            <rFont val="Tahoma"/>
            <family val="2"/>
          </rPr>
          <t xml:space="preserve">
Changed Retrofit / TI / NC
</t>
        </r>
      </text>
    </comment>
    <comment ref="N345" authorId="0" shapeId="0">
      <text>
        <r>
          <rPr>
            <b/>
            <sz val="9"/>
            <color indexed="81"/>
            <rFont val="Tahoma"/>
            <family val="2"/>
          </rPr>
          <t>Michael lane:</t>
        </r>
        <r>
          <rPr>
            <sz val="9"/>
            <color indexed="81"/>
            <rFont val="Tahoma"/>
            <family val="2"/>
          </rPr>
          <t xml:space="preserve">
HVAC factor</t>
        </r>
      </text>
    </comment>
    <comment ref="M346" authorId="0" shapeId="0">
      <text>
        <r>
          <rPr>
            <b/>
            <sz val="9"/>
            <color indexed="81"/>
            <rFont val="Tahoma"/>
            <family val="2"/>
          </rPr>
          <t>Michael lane:</t>
        </r>
        <r>
          <rPr>
            <sz val="9"/>
            <color indexed="81"/>
            <rFont val="Tahoma"/>
            <family val="2"/>
          </rPr>
          <t xml:space="preserve">
Space Type incorrect due to Heat Type Change
</t>
        </r>
      </text>
    </comment>
    <comment ref="N346" authorId="0" shapeId="0">
      <text>
        <r>
          <rPr>
            <b/>
            <sz val="9"/>
            <color indexed="81"/>
            <rFont val="Tahoma"/>
            <family val="2"/>
          </rPr>
          <t>Michael lane:</t>
        </r>
        <r>
          <rPr>
            <sz val="9"/>
            <color indexed="81"/>
            <rFont val="Tahoma"/>
            <family val="2"/>
          </rPr>
          <t xml:space="preserve">
LPA</t>
        </r>
      </text>
    </comment>
    <comment ref="M350" authorId="1" shapeId="0">
      <text>
        <r>
          <rPr>
            <b/>
            <sz val="9"/>
            <color indexed="81"/>
            <rFont val="Tahoma"/>
            <family val="2"/>
          </rPr>
          <t>Michael Lane:</t>
        </r>
        <r>
          <rPr>
            <sz val="9"/>
            <color indexed="81"/>
            <rFont val="Tahoma"/>
            <family val="2"/>
          </rPr>
          <t xml:space="preserve">
Changed Retrofit / TI / NC
</t>
        </r>
      </text>
    </comment>
    <comment ref="N350" authorId="0" shapeId="0">
      <text>
        <r>
          <rPr>
            <b/>
            <sz val="9"/>
            <color indexed="81"/>
            <rFont val="Tahoma"/>
            <family val="2"/>
          </rPr>
          <t>Michael lane:</t>
        </r>
        <r>
          <rPr>
            <sz val="9"/>
            <color indexed="81"/>
            <rFont val="Tahoma"/>
            <family val="2"/>
          </rPr>
          <t xml:space="preserve">
HVAC factor</t>
        </r>
      </text>
    </comment>
    <comment ref="M351" authorId="0" shapeId="0">
      <text>
        <r>
          <rPr>
            <b/>
            <sz val="9"/>
            <color indexed="81"/>
            <rFont val="Tahoma"/>
            <family val="2"/>
          </rPr>
          <t>Michael lane:</t>
        </r>
        <r>
          <rPr>
            <sz val="9"/>
            <color indexed="81"/>
            <rFont val="Tahoma"/>
            <family val="2"/>
          </rPr>
          <t xml:space="preserve">
Space Type incorrect due to Heat Type Change
</t>
        </r>
      </text>
    </comment>
    <comment ref="N351" authorId="0" shapeId="0">
      <text>
        <r>
          <rPr>
            <b/>
            <sz val="9"/>
            <color indexed="81"/>
            <rFont val="Tahoma"/>
            <family val="2"/>
          </rPr>
          <t>Michael lane:</t>
        </r>
        <r>
          <rPr>
            <sz val="9"/>
            <color indexed="81"/>
            <rFont val="Tahoma"/>
            <family val="2"/>
          </rPr>
          <t xml:space="preserve">
LPA</t>
        </r>
      </text>
    </comment>
    <comment ref="M355" authorId="1" shapeId="0">
      <text>
        <r>
          <rPr>
            <b/>
            <sz val="9"/>
            <color indexed="81"/>
            <rFont val="Tahoma"/>
            <family val="2"/>
          </rPr>
          <t>Michael Lane:</t>
        </r>
        <r>
          <rPr>
            <sz val="9"/>
            <color indexed="81"/>
            <rFont val="Tahoma"/>
            <family val="2"/>
          </rPr>
          <t xml:space="preserve">
Changed Retrofit / TI / NC
</t>
        </r>
      </text>
    </comment>
    <comment ref="N355" authorId="0" shapeId="0">
      <text>
        <r>
          <rPr>
            <b/>
            <sz val="9"/>
            <color indexed="81"/>
            <rFont val="Tahoma"/>
            <family val="2"/>
          </rPr>
          <t>Michael lane:</t>
        </r>
        <r>
          <rPr>
            <sz val="9"/>
            <color indexed="81"/>
            <rFont val="Tahoma"/>
            <family val="2"/>
          </rPr>
          <t xml:space="preserve">
HVAC factor</t>
        </r>
      </text>
    </comment>
    <comment ref="M356" authorId="0" shapeId="0">
      <text>
        <r>
          <rPr>
            <b/>
            <sz val="9"/>
            <color indexed="81"/>
            <rFont val="Tahoma"/>
            <family val="2"/>
          </rPr>
          <t>Michael lane:</t>
        </r>
        <r>
          <rPr>
            <sz val="9"/>
            <color indexed="81"/>
            <rFont val="Tahoma"/>
            <family val="2"/>
          </rPr>
          <t xml:space="preserve">
Space Type incorrect due to Heat Type Change
</t>
        </r>
      </text>
    </comment>
    <comment ref="N356" authorId="0" shapeId="0">
      <text>
        <r>
          <rPr>
            <b/>
            <sz val="9"/>
            <color indexed="81"/>
            <rFont val="Tahoma"/>
            <family val="2"/>
          </rPr>
          <t>Michael lane:</t>
        </r>
        <r>
          <rPr>
            <sz val="9"/>
            <color indexed="81"/>
            <rFont val="Tahoma"/>
            <family val="2"/>
          </rPr>
          <t xml:space="preserve">
LPA</t>
        </r>
      </text>
    </comment>
    <comment ref="M360" authorId="1" shapeId="0">
      <text>
        <r>
          <rPr>
            <b/>
            <sz val="9"/>
            <color indexed="81"/>
            <rFont val="Tahoma"/>
            <family val="2"/>
          </rPr>
          <t>Michael Lane:</t>
        </r>
        <r>
          <rPr>
            <sz val="9"/>
            <color indexed="81"/>
            <rFont val="Tahoma"/>
            <family val="2"/>
          </rPr>
          <t xml:space="preserve">
Changed Retrofit / TI / NC
</t>
        </r>
      </text>
    </comment>
    <comment ref="N360" authorId="0" shapeId="0">
      <text>
        <r>
          <rPr>
            <b/>
            <sz val="9"/>
            <color indexed="81"/>
            <rFont val="Tahoma"/>
            <family val="2"/>
          </rPr>
          <t>Michael lane:</t>
        </r>
        <r>
          <rPr>
            <sz val="9"/>
            <color indexed="81"/>
            <rFont val="Tahoma"/>
            <family val="2"/>
          </rPr>
          <t xml:space="preserve">
HVAC factor</t>
        </r>
      </text>
    </comment>
    <comment ref="M361" authorId="0" shapeId="0">
      <text>
        <r>
          <rPr>
            <b/>
            <sz val="9"/>
            <color indexed="81"/>
            <rFont val="Tahoma"/>
            <family val="2"/>
          </rPr>
          <t>Michael lane:</t>
        </r>
        <r>
          <rPr>
            <sz val="9"/>
            <color indexed="81"/>
            <rFont val="Tahoma"/>
            <family val="2"/>
          </rPr>
          <t xml:space="preserve">
Space Type incorrect due to Heat Type Change
</t>
        </r>
      </text>
    </comment>
    <comment ref="N361" authorId="0" shapeId="0">
      <text>
        <r>
          <rPr>
            <b/>
            <sz val="9"/>
            <color indexed="81"/>
            <rFont val="Tahoma"/>
            <family val="2"/>
          </rPr>
          <t>Michael lane:</t>
        </r>
        <r>
          <rPr>
            <sz val="9"/>
            <color indexed="81"/>
            <rFont val="Tahoma"/>
            <family val="2"/>
          </rPr>
          <t xml:space="preserve">
LPA</t>
        </r>
      </text>
    </comment>
    <comment ref="M365" authorId="1" shapeId="0">
      <text>
        <r>
          <rPr>
            <b/>
            <sz val="9"/>
            <color indexed="81"/>
            <rFont val="Tahoma"/>
            <family val="2"/>
          </rPr>
          <t>Michael Lane:</t>
        </r>
        <r>
          <rPr>
            <sz val="9"/>
            <color indexed="81"/>
            <rFont val="Tahoma"/>
            <family val="2"/>
          </rPr>
          <t xml:space="preserve">
Changed Retrofit / TI / NC
</t>
        </r>
      </text>
    </comment>
    <comment ref="N365" authorId="0" shapeId="0">
      <text>
        <r>
          <rPr>
            <b/>
            <sz val="9"/>
            <color indexed="81"/>
            <rFont val="Tahoma"/>
            <family val="2"/>
          </rPr>
          <t>Michael lane:</t>
        </r>
        <r>
          <rPr>
            <sz val="9"/>
            <color indexed="81"/>
            <rFont val="Tahoma"/>
            <family val="2"/>
          </rPr>
          <t xml:space="preserve">
HVAC factor</t>
        </r>
      </text>
    </comment>
    <comment ref="M366" authorId="0" shapeId="0">
      <text>
        <r>
          <rPr>
            <b/>
            <sz val="9"/>
            <color indexed="81"/>
            <rFont val="Tahoma"/>
            <family val="2"/>
          </rPr>
          <t>Michael lane:</t>
        </r>
        <r>
          <rPr>
            <sz val="9"/>
            <color indexed="81"/>
            <rFont val="Tahoma"/>
            <family val="2"/>
          </rPr>
          <t xml:space="preserve">
Space Type incorrect due to Heat Type Change
</t>
        </r>
      </text>
    </comment>
    <comment ref="N366" authorId="0" shapeId="0">
      <text>
        <r>
          <rPr>
            <b/>
            <sz val="9"/>
            <color indexed="81"/>
            <rFont val="Tahoma"/>
            <family val="2"/>
          </rPr>
          <t>Michael lane:</t>
        </r>
        <r>
          <rPr>
            <sz val="9"/>
            <color indexed="81"/>
            <rFont val="Tahoma"/>
            <family val="2"/>
          </rPr>
          <t xml:space="preserve">
LPA</t>
        </r>
      </text>
    </comment>
    <comment ref="M370" authorId="1" shapeId="0">
      <text>
        <r>
          <rPr>
            <b/>
            <sz val="9"/>
            <color indexed="81"/>
            <rFont val="Tahoma"/>
            <family val="2"/>
          </rPr>
          <t>Michael Lane:</t>
        </r>
        <r>
          <rPr>
            <sz val="9"/>
            <color indexed="81"/>
            <rFont val="Tahoma"/>
            <family val="2"/>
          </rPr>
          <t xml:space="preserve">
Changed Retrofit / TI / NC
</t>
        </r>
      </text>
    </comment>
    <comment ref="N370" authorId="0" shapeId="0">
      <text>
        <r>
          <rPr>
            <b/>
            <sz val="9"/>
            <color indexed="81"/>
            <rFont val="Tahoma"/>
            <family val="2"/>
          </rPr>
          <t>Michael lane:</t>
        </r>
        <r>
          <rPr>
            <sz val="9"/>
            <color indexed="81"/>
            <rFont val="Tahoma"/>
            <family val="2"/>
          </rPr>
          <t xml:space="preserve">
HVAC factor</t>
        </r>
      </text>
    </comment>
    <comment ref="M371" authorId="0" shapeId="0">
      <text>
        <r>
          <rPr>
            <b/>
            <sz val="9"/>
            <color indexed="81"/>
            <rFont val="Tahoma"/>
            <family val="2"/>
          </rPr>
          <t>Michael lane:</t>
        </r>
        <r>
          <rPr>
            <sz val="9"/>
            <color indexed="81"/>
            <rFont val="Tahoma"/>
            <family val="2"/>
          </rPr>
          <t xml:space="preserve">
Space Type incorrect due to Heat Type Change
</t>
        </r>
      </text>
    </comment>
    <comment ref="N371" authorId="0" shapeId="0">
      <text>
        <r>
          <rPr>
            <b/>
            <sz val="9"/>
            <color indexed="81"/>
            <rFont val="Tahoma"/>
            <family val="2"/>
          </rPr>
          <t>Michael lane:</t>
        </r>
        <r>
          <rPr>
            <sz val="9"/>
            <color indexed="81"/>
            <rFont val="Tahoma"/>
            <family val="2"/>
          </rPr>
          <t xml:space="preserve">
LPA</t>
        </r>
      </text>
    </comment>
    <comment ref="M375" authorId="1" shapeId="0">
      <text>
        <r>
          <rPr>
            <b/>
            <sz val="9"/>
            <color indexed="81"/>
            <rFont val="Tahoma"/>
            <family val="2"/>
          </rPr>
          <t>Michael Lane:</t>
        </r>
        <r>
          <rPr>
            <sz val="9"/>
            <color indexed="81"/>
            <rFont val="Tahoma"/>
            <family val="2"/>
          </rPr>
          <t xml:space="preserve">
Changed Retrofit / TI / NC
</t>
        </r>
      </text>
    </comment>
    <comment ref="N375" authorId="0" shapeId="0">
      <text>
        <r>
          <rPr>
            <b/>
            <sz val="9"/>
            <color indexed="81"/>
            <rFont val="Tahoma"/>
            <family val="2"/>
          </rPr>
          <t>Michael lane:</t>
        </r>
        <r>
          <rPr>
            <sz val="9"/>
            <color indexed="81"/>
            <rFont val="Tahoma"/>
            <family val="2"/>
          </rPr>
          <t xml:space="preserve">
HVAC factor</t>
        </r>
      </text>
    </comment>
    <comment ref="M376" authorId="0" shapeId="0">
      <text>
        <r>
          <rPr>
            <b/>
            <sz val="9"/>
            <color indexed="81"/>
            <rFont val="Tahoma"/>
            <family val="2"/>
          </rPr>
          <t>Michael lane:</t>
        </r>
        <r>
          <rPr>
            <sz val="9"/>
            <color indexed="81"/>
            <rFont val="Tahoma"/>
            <family val="2"/>
          </rPr>
          <t xml:space="preserve">
Space Type incorrect due to Heat Type Change
</t>
        </r>
      </text>
    </comment>
    <comment ref="N376" authorId="0" shapeId="0">
      <text>
        <r>
          <rPr>
            <b/>
            <sz val="9"/>
            <color indexed="81"/>
            <rFont val="Tahoma"/>
            <family val="2"/>
          </rPr>
          <t>Michael lane:</t>
        </r>
        <r>
          <rPr>
            <sz val="9"/>
            <color indexed="81"/>
            <rFont val="Tahoma"/>
            <family val="2"/>
          </rPr>
          <t xml:space="preserve">
LPA</t>
        </r>
      </text>
    </comment>
    <comment ref="M380" authorId="1" shapeId="0">
      <text>
        <r>
          <rPr>
            <b/>
            <sz val="9"/>
            <color indexed="81"/>
            <rFont val="Tahoma"/>
            <family val="2"/>
          </rPr>
          <t>Michael Lane:</t>
        </r>
        <r>
          <rPr>
            <sz val="9"/>
            <color indexed="81"/>
            <rFont val="Tahoma"/>
            <family val="2"/>
          </rPr>
          <t xml:space="preserve">
Changed Retrofit / TI / NC
</t>
        </r>
      </text>
    </comment>
    <comment ref="N380" authorId="0" shapeId="0">
      <text>
        <r>
          <rPr>
            <b/>
            <sz val="9"/>
            <color indexed="81"/>
            <rFont val="Tahoma"/>
            <family val="2"/>
          </rPr>
          <t>Michael lane:</t>
        </r>
        <r>
          <rPr>
            <sz val="9"/>
            <color indexed="81"/>
            <rFont val="Tahoma"/>
            <family val="2"/>
          </rPr>
          <t xml:space="preserve">
HVAC factor</t>
        </r>
      </text>
    </comment>
    <comment ref="M381" authorId="0" shapeId="0">
      <text>
        <r>
          <rPr>
            <b/>
            <sz val="9"/>
            <color indexed="81"/>
            <rFont val="Tahoma"/>
            <family val="2"/>
          </rPr>
          <t>Michael lane:</t>
        </r>
        <r>
          <rPr>
            <sz val="9"/>
            <color indexed="81"/>
            <rFont val="Tahoma"/>
            <family val="2"/>
          </rPr>
          <t xml:space="preserve">
Space Type incorrect due to Heat Type Change
</t>
        </r>
      </text>
    </comment>
    <comment ref="N381" authorId="0" shapeId="0">
      <text>
        <r>
          <rPr>
            <b/>
            <sz val="9"/>
            <color indexed="81"/>
            <rFont val="Tahoma"/>
            <family val="2"/>
          </rPr>
          <t>Michael lane:</t>
        </r>
        <r>
          <rPr>
            <sz val="9"/>
            <color indexed="81"/>
            <rFont val="Tahoma"/>
            <family val="2"/>
          </rPr>
          <t xml:space="preserve">
LPA</t>
        </r>
      </text>
    </comment>
    <comment ref="M385" authorId="1" shapeId="0">
      <text>
        <r>
          <rPr>
            <b/>
            <sz val="9"/>
            <color indexed="81"/>
            <rFont val="Tahoma"/>
            <family val="2"/>
          </rPr>
          <t>Michael Lane:</t>
        </r>
        <r>
          <rPr>
            <sz val="9"/>
            <color indexed="81"/>
            <rFont val="Tahoma"/>
            <family val="2"/>
          </rPr>
          <t xml:space="preserve">
Changed Retrofit / TI / NC
</t>
        </r>
      </text>
    </comment>
    <comment ref="N385" authorId="0" shapeId="0">
      <text>
        <r>
          <rPr>
            <b/>
            <sz val="9"/>
            <color indexed="81"/>
            <rFont val="Tahoma"/>
            <family val="2"/>
          </rPr>
          <t>Michael lane:</t>
        </r>
        <r>
          <rPr>
            <sz val="9"/>
            <color indexed="81"/>
            <rFont val="Tahoma"/>
            <family val="2"/>
          </rPr>
          <t xml:space="preserve">
HVAC factor</t>
        </r>
      </text>
    </comment>
    <comment ref="M386" authorId="0" shapeId="0">
      <text>
        <r>
          <rPr>
            <b/>
            <sz val="9"/>
            <color indexed="81"/>
            <rFont val="Tahoma"/>
            <family val="2"/>
          </rPr>
          <t>Michael lane:</t>
        </r>
        <r>
          <rPr>
            <sz val="9"/>
            <color indexed="81"/>
            <rFont val="Tahoma"/>
            <family val="2"/>
          </rPr>
          <t xml:space="preserve">
Space Type incorrect due to Heat Type Change
</t>
        </r>
      </text>
    </comment>
    <comment ref="N386" authorId="0" shapeId="0">
      <text>
        <r>
          <rPr>
            <b/>
            <sz val="9"/>
            <color indexed="81"/>
            <rFont val="Tahoma"/>
            <family val="2"/>
          </rPr>
          <t>Michael lane:</t>
        </r>
        <r>
          <rPr>
            <sz val="9"/>
            <color indexed="81"/>
            <rFont val="Tahoma"/>
            <family val="2"/>
          </rPr>
          <t xml:space="preserve">
LPA</t>
        </r>
      </text>
    </comment>
    <comment ref="M390" authorId="1" shapeId="0">
      <text>
        <r>
          <rPr>
            <b/>
            <sz val="9"/>
            <color indexed="81"/>
            <rFont val="Tahoma"/>
            <family val="2"/>
          </rPr>
          <t>Michael Lane:</t>
        </r>
        <r>
          <rPr>
            <sz val="9"/>
            <color indexed="81"/>
            <rFont val="Tahoma"/>
            <family val="2"/>
          </rPr>
          <t xml:space="preserve">
Changed Retrofit / TI / NC
</t>
        </r>
      </text>
    </comment>
    <comment ref="N390" authorId="0" shapeId="0">
      <text>
        <r>
          <rPr>
            <b/>
            <sz val="9"/>
            <color indexed="81"/>
            <rFont val="Tahoma"/>
            <family val="2"/>
          </rPr>
          <t>Michael lane:</t>
        </r>
        <r>
          <rPr>
            <sz val="9"/>
            <color indexed="81"/>
            <rFont val="Tahoma"/>
            <family val="2"/>
          </rPr>
          <t xml:space="preserve">
HVAC factor</t>
        </r>
      </text>
    </comment>
    <comment ref="M391" authorId="0" shapeId="0">
      <text>
        <r>
          <rPr>
            <b/>
            <sz val="9"/>
            <color indexed="81"/>
            <rFont val="Tahoma"/>
            <family val="2"/>
          </rPr>
          <t>Michael lane:</t>
        </r>
        <r>
          <rPr>
            <sz val="9"/>
            <color indexed="81"/>
            <rFont val="Tahoma"/>
            <family val="2"/>
          </rPr>
          <t xml:space="preserve">
Space Type incorrect due to Heat Type Change
</t>
        </r>
      </text>
    </comment>
    <comment ref="N391" authorId="0" shapeId="0">
      <text>
        <r>
          <rPr>
            <b/>
            <sz val="9"/>
            <color indexed="81"/>
            <rFont val="Tahoma"/>
            <family val="2"/>
          </rPr>
          <t>Michael lane:</t>
        </r>
        <r>
          <rPr>
            <sz val="9"/>
            <color indexed="81"/>
            <rFont val="Tahoma"/>
            <family val="2"/>
          </rPr>
          <t xml:space="preserve">
LPA</t>
        </r>
      </text>
    </comment>
    <comment ref="M395" authorId="1" shapeId="0">
      <text>
        <r>
          <rPr>
            <b/>
            <sz val="9"/>
            <color indexed="81"/>
            <rFont val="Tahoma"/>
            <family val="2"/>
          </rPr>
          <t>Michael Lane:</t>
        </r>
        <r>
          <rPr>
            <sz val="9"/>
            <color indexed="81"/>
            <rFont val="Tahoma"/>
            <family val="2"/>
          </rPr>
          <t xml:space="preserve">
Changed Retrofit / TI / NC
</t>
        </r>
      </text>
    </comment>
    <comment ref="N395" authorId="0" shapeId="0">
      <text>
        <r>
          <rPr>
            <b/>
            <sz val="9"/>
            <color indexed="81"/>
            <rFont val="Tahoma"/>
            <family val="2"/>
          </rPr>
          <t>Michael lane:</t>
        </r>
        <r>
          <rPr>
            <sz val="9"/>
            <color indexed="81"/>
            <rFont val="Tahoma"/>
            <family val="2"/>
          </rPr>
          <t xml:space="preserve">
HVAC factor</t>
        </r>
      </text>
    </comment>
    <comment ref="M396" authorId="0" shapeId="0">
      <text>
        <r>
          <rPr>
            <b/>
            <sz val="9"/>
            <color indexed="81"/>
            <rFont val="Tahoma"/>
            <family val="2"/>
          </rPr>
          <t>Michael lane:</t>
        </r>
        <r>
          <rPr>
            <sz val="9"/>
            <color indexed="81"/>
            <rFont val="Tahoma"/>
            <family val="2"/>
          </rPr>
          <t xml:space="preserve">
Space Type incorrect due to Heat Type Change
</t>
        </r>
      </text>
    </comment>
    <comment ref="N396" authorId="0" shapeId="0">
      <text>
        <r>
          <rPr>
            <b/>
            <sz val="9"/>
            <color indexed="81"/>
            <rFont val="Tahoma"/>
            <family val="2"/>
          </rPr>
          <t>Michael lane:</t>
        </r>
        <r>
          <rPr>
            <sz val="9"/>
            <color indexed="81"/>
            <rFont val="Tahoma"/>
            <family val="2"/>
          </rPr>
          <t xml:space="preserve">
LPA</t>
        </r>
      </text>
    </comment>
    <comment ref="M400" authorId="1" shapeId="0">
      <text>
        <r>
          <rPr>
            <b/>
            <sz val="9"/>
            <color indexed="81"/>
            <rFont val="Tahoma"/>
            <family val="2"/>
          </rPr>
          <t>Michael Lane:</t>
        </r>
        <r>
          <rPr>
            <sz val="9"/>
            <color indexed="81"/>
            <rFont val="Tahoma"/>
            <family val="2"/>
          </rPr>
          <t xml:space="preserve">
Changed Retrofit / TI / NC
</t>
        </r>
      </text>
    </comment>
    <comment ref="N400" authorId="0" shapeId="0">
      <text>
        <r>
          <rPr>
            <b/>
            <sz val="9"/>
            <color indexed="81"/>
            <rFont val="Tahoma"/>
            <family val="2"/>
          </rPr>
          <t>Michael lane:</t>
        </r>
        <r>
          <rPr>
            <sz val="9"/>
            <color indexed="81"/>
            <rFont val="Tahoma"/>
            <family val="2"/>
          </rPr>
          <t xml:space="preserve">
HVAC factor</t>
        </r>
      </text>
    </comment>
    <comment ref="M401" authorId="0" shapeId="0">
      <text>
        <r>
          <rPr>
            <b/>
            <sz val="9"/>
            <color indexed="81"/>
            <rFont val="Tahoma"/>
            <family val="2"/>
          </rPr>
          <t>Michael lane:</t>
        </r>
        <r>
          <rPr>
            <sz val="9"/>
            <color indexed="81"/>
            <rFont val="Tahoma"/>
            <family val="2"/>
          </rPr>
          <t xml:space="preserve">
Space Type incorrect due to Heat Type Change
</t>
        </r>
      </text>
    </comment>
    <comment ref="N401" authorId="0" shapeId="0">
      <text>
        <r>
          <rPr>
            <b/>
            <sz val="9"/>
            <color indexed="81"/>
            <rFont val="Tahoma"/>
            <family val="2"/>
          </rPr>
          <t>Michael lane:</t>
        </r>
        <r>
          <rPr>
            <sz val="9"/>
            <color indexed="81"/>
            <rFont val="Tahoma"/>
            <family val="2"/>
          </rPr>
          <t xml:space="preserve">
LPA</t>
        </r>
      </text>
    </comment>
    <comment ref="M408" authorId="1" shapeId="0">
      <text>
        <r>
          <rPr>
            <b/>
            <sz val="9"/>
            <color indexed="81"/>
            <rFont val="Tahoma"/>
            <family val="2"/>
          </rPr>
          <t>Michael Lane:</t>
        </r>
        <r>
          <rPr>
            <sz val="9"/>
            <color indexed="81"/>
            <rFont val="Tahoma"/>
            <family val="2"/>
          </rPr>
          <t xml:space="preserve">
Changed Retrofit / TI / NC
</t>
        </r>
      </text>
    </comment>
    <comment ref="N408" authorId="0" shapeId="0">
      <text>
        <r>
          <rPr>
            <b/>
            <sz val="9"/>
            <color indexed="81"/>
            <rFont val="Tahoma"/>
            <family val="2"/>
          </rPr>
          <t>Michael lane:</t>
        </r>
        <r>
          <rPr>
            <sz val="9"/>
            <color indexed="81"/>
            <rFont val="Tahoma"/>
            <family val="2"/>
          </rPr>
          <t xml:space="preserve">
HVAC factor</t>
        </r>
      </text>
    </comment>
    <comment ref="M409" authorId="0" shapeId="0">
      <text>
        <r>
          <rPr>
            <b/>
            <sz val="9"/>
            <color indexed="81"/>
            <rFont val="Tahoma"/>
            <family val="2"/>
          </rPr>
          <t>Michael lane:</t>
        </r>
        <r>
          <rPr>
            <sz val="9"/>
            <color indexed="81"/>
            <rFont val="Tahoma"/>
            <family val="2"/>
          </rPr>
          <t xml:space="preserve">
Space Type incorrect due to Heat Type Change
</t>
        </r>
      </text>
    </comment>
    <comment ref="N409" authorId="0" shapeId="0">
      <text>
        <r>
          <rPr>
            <b/>
            <sz val="9"/>
            <color indexed="81"/>
            <rFont val="Tahoma"/>
            <family val="2"/>
          </rPr>
          <t>Michael lane:</t>
        </r>
        <r>
          <rPr>
            <sz val="9"/>
            <color indexed="81"/>
            <rFont val="Tahoma"/>
            <family val="2"/>
          </rPr>
          <t xml:space="preserve">
LPA</t>
        </r>
      </text>
    </comment>
    <comment ref="M413" authorId="1" shapeId="0">
      <text>
        <r>
          <rPr>
            <b/>
            <sz val="9"/>
            <color indexed="81"/>
            <rFont val="Tahoma"/>
            <family val="2"/>
          </rPr>
          <t>Michael Lane:</t>
        </r>
        <r>
          <rPr>
            <sz val="9"/>
            <color indexed="81"/>
            <rFont val="Tahoma"/>
            <family val="2"/>
          </rPr>
          <t xml:space="preserve">
Changed Retrofit / TI / NC
</t>
        </r>
      </text>
    </comment>
    <comment ref="N413" authorId="0" shapeId="0">
      <text>
        <r>
          <rPr>
            <b/>
            <sz val="9"/>
            <color indexed="81"/>
            <rFont val="Tahoma"/>
            <family val="2"/>
          </rPr>
          <t>Michael lane:</t>
        </r>
        <r>
          <rPr>
            <sz val="9"/>
            <color indexed="81"/>
            <rFont val="Tahoma"/>
            <family val="2"/>
          </rPr>
          <t xml:space="preserve">
HVAC factor</t>
        </r>
      </text>
    </comment>
    <comment ref="M414" authorId="0" shapeId="0">
      <text>
        <r>
          <rPr>
            <b/>
            <sz val="9"/>
            <color indexed="81"/>
            <rFont val="Tahoma"/>
            <family val="2"/>
          </rPr>
          <t>Michael lane:</t>
        </r>
        <r>
          <rPr>
            <sz val="9"/>
            <color indexed="81"/>
            <rFont val="Tahoma"/>
            <family val="2"/>
          </rPr>
          <t xml:space="preserve">
Space Type incorrect due to Heat Type Change
</t>
        </r>
      </text>
    </comment>
    <comment ref="N414" authorId="0" shapeId="0">
      <text>
        <r>
          <rPr>
            <b/>
            <sz val="9"/>
            <color indexed="81"/>
            <rFont val="Tahoma"/>
            <family val="2"/>
          </rPr>
          <t>Michael lane:</t>
        </r>
        <r>
          <rPr>
            <sz val="9"/>
            <color indexed="81"/>
            <rFont val="Tahoma"/>
            <family val="2"/>
          </rPr>
          <t xml:space="preserve">
LPA</t>
        </r>
      </text>
    </comment>
    <comment ref="M418" authorId="1" shapeId="0">
      <text>
        <r>
          <rPr>
            <b/>
            <sz val="9"/>
            <color indexed="81"/>
            <rFont val="Tahoma"/>
            <family val="2"/>
          </rPr>
          <t>Michael Lane:</t>
        </r>
        <r>
          <rPr>
            <sz val="9"/>
            <color indexed="81"/>
            <rFont val="Tahoma"/>
            <family val="2"/>
          </rPr>
          <t xml:space="preserve">
Changed Retrofit / TI / NC
</t>
        </r>
      </text>
    </comment>
    <comment ref="N418" authorId="0" shapeId="0">
      <text>
        <r>
          <rPr>
            <b/>
            <sz val="9"/>
            <color indexed="81"/>
            <rFont val="Tahoma"/>
            <family val="2"/>
          </rPr>
          <t>Michael lane:</t>
        </r>
        <r>
          <rPr>
            <sz val="9"/>
            <color indexed="81"/>
            <rFont val="Tahoma"/>
            <family val="2"/>
          </rPr>
          <t xml:space="preserve">
HVAC factor</t>
        </r>
      </text>
    </comment>
    <comment ref="M419" authorId="0" shapeId="0">
      <text>
        <r>
          <rPr>
            <b/>
            <sz val="9"/>
            <color indexed="81"/>
            <rFont val="Tahoma"/>
            <family val="2"/>
          </rPr>
          <t>Michael lane:</t>
        </r>
        <r>
          <rPr>
            <sz val="9"/>
            <color indexed="81"/>
            <rFont val="Tahoma"/>
            <family val="2"/>
          </rPr>
          <t xml:space="preserve">
Space Type incorrect due to Heat Type Change
</t>
        </r>
      </text>
    </comment>
    <comment ref="N419" authorId="0" shapeId="0">
      <text>
        <r>
          <rPr>
            <b/>
            <sz val="9"/>
            <color indexed="81"/>
            <rFont val="Tahoma"/>
            <family val="2"/>
          </rPr>
          <t>Michael lane:</t>
        </r>
        <r>
          <rPr>
            <sz val="9"/>
            <color indexed="81"/>
            <rFont val="Tahoma"/>
            <family val="2"/>
          </rPr>
          <t xml:space="preserve">
LPA</t>
        </r>
      </text>
    </comment>
    <comment ref="M423" authorId="1" shapeId="0">
      <text>
        <r>
          <rPr>
            <b/>
            <sz val="9"/>
            <color indexed="81"/>
            <rFont val="Tahoma"/>
            <family val="2"/>
          </rPr>
          <t>Michael Lane:</t>
        </r>
        <r>
          <rPr>
            <sz val="9"/>
            <color indexed="81"/>
            <rFont val="Tahoma"/>
            <family val="2"/>
          </rPr>
          <t xml:space="preserve">
Changed Retrofit / TI / NC
</t>
        </r>
      </text>
    </comment>
    <comment ref="N423" authorId="0" shapeId="0">
      <text>
        <r>
          <rPr>
            <b/>
            <sz val="9"/>
            <color indexed="81"/>
            <rFont val="Tahoma"/>
            <family val="2"/>
          </rPr>
          <t>Michael lane:</t>
        </r>
        <r>
          <rPr>
            <sz val="9"/>
            <color indexed="81"/>
            <rFont val="Tahoma"/>
            <family val="2"/>
          </rPr>
          <t xml:space="preserve">
HVAC factor</t>
        </r>
      </text>
    </comment>
    <comment ref="M424" authorId="0" shapeId="0">
      <text>
        <r>
          <rPr>
            <b/>
            <sz val="9"/>
            <color indexed="81"/>
            <rFont val="Tahoma"/>
            <family val="2"/>
          </rPr>
          <t>Michael lane:</t>
        </r>
        <r>
          <rPr>
            <sz val="9"/>
            <color indexed="81"/>
            <rFont val="Tahoma"/>
            <family val="2"/>
          </rPr>
          <t xml:space="preserve">
Space Type incorrect due to Heat Type Change
</t>
        </r>
      </text>
    </comment>
    <comment ref="N424" authorId="0" shapeId="0">
      <text>
        <r>
          <rPr>
            <b/>
            <sz val="9"/>
            <color indexed="81"/>
            <rFont val="Tahoma"/>
            <family val="2"/>
          </rPr>
          <t>Michael lane:</t>
        </r>
        <r>
          <rPr>
            <sz val="9"/>
            <color indexed="81"/>
            <rFont val="Tahoma"/>
            <family val="2"/>
          </rPr>
          <t xml:space="preserve">
LPA</t>
        </r>
      </text>
    </comment>
    <comment ref="M428" authorId="1" shapeId="0">
      <text>
        <r>
          <rPr>
            <b/>
            <sz val="9"/>
            <color indexed="81"/>
            <rFont val="Tahoma"/>
            <family val="2"/>
          </rPr>
          <t>Michael Lane:</t>
        </r>
        <r>
          <rPr>
            <sz val="9"/>
            <color indexed="81"/>
            <rFont val="Tahoma"/>
            <family val="2"/>
          </rPr>
          <t xml:space="preserve">
Changed Retrofit / TI / NC
</t>
        </r>
      </text>
    </comment>
    <comment ref="N428" authorId="0" shapeId="0">
      <text>
        <r>
          <rPr>
            <b/>
            <sz val="9"/>
            <color indexed="81"/>
            <rFont val="Tahoma"/>
            <family val="2"/>
          </rPr>
          <t>Michael lane:</t>
        </r>
        <r>
          <rPr>
            <sz val="9"/>
            <color indexed="81"/>
            <rFont val="Tahoma"/>
            <family val="2"/>
          </rPr>
          <t xml:space="preserve">
HVAC factor</t>
        </r>
      </text>
    </comment>
    <comment ref="M429" authorId="0" shapeId="0">
      <text>
        <r>
          <rPr>
            <b/>
            <sz val="9"/>
            <color indexed="81"/>
            <rFont val="Tahoma"/>
            <family val="2"/>
          </rPr>
          <t>Michael lane:</t>
        </r>
        <r>
          <rPr>
            <sz val="9"/>
            <color indexed="81"/>
            <rFont val="Tahoma"/>
            <family val="2"/>
          </rPr>
          <t xml:space="preserve">
Space Type incorrect due to Heat Type Change
</t>
        </r>
      </text>
    </comment>
    <comment ref="N429" authorId="0" shapeId="0">
      <text>
        <r>
          <rPr>
            <b/>
            <sz val="9"/>
            <color indexed="81"/>
            <rFont val="Tahoma"/>
            <family val="2"/>
          </rPr>
          <t>Michael lane:</t>
        </r>
        <r>
          <rPr>
            <sz val="9"/>
            <color indexed="81"/>
            <rFont val="Tahoma"/>
            <family val="2"/>
          </rPr>
          <t xml:space="preserve">
LPA</t>
        </r>
      </text>
    </comment>
    <comment ref="M433" authorId="1" shapeId="0">
      <text>
        <r>
          <rPr>
            <b/>
            <sz val="9"/>
            <color indexed="81"/>
            <rFont val="Tahoma"/>
            <family val="2"/>
          </rPr>
          <t>Michael Lane:</t>
        </r>
        <r>
          <rPr>
            <sz val="9"/>
            <color indexed="81"/>
            <rFont val="Tahoma"/>
            <family val="2"/>
          </rPr>
          <t xml:space="preserve">
Changed Retrofit / TI / NC
</t>
        </r>
      </text>
    </comment>
    <comment ref="N433" authorId="0" shapeId="0">
      <text>
        <r>
          <rPr>
            <b/>
            <sz val="9"/>
            <color indexed="81"/>
            <rFont val="Tahoma"/>
            <family val="2"/>
          </rPr>
          <t>Michael lane:</t>
        </r>
        <r>
          <rPr>
            <sz val="9"/>
            <color indexed="81"/>
            <rFont val="Tahoma"/>
            <family val="2"/>
          </rPr>
          <t xml:space="preserve">
HVAC factor</t>
        </r>
      </text>
    </comment>
    <comment ref="M434" authorId="0" shapeId="0">
      <text>
        <r>
          <rPr>
            <b/>
            <sz val="9"/>
            <color indexed="81"/>
            <rFont val="Tahoma"/>
            <family val="2"/>
          </rPr>
          <t>Michael lane:</t>
        </r>
        <r>
          <rPr>
            <sz val="9"/>
            <color indexed="81"/>
            <rFont val="Tahoma"/>
            <family val="2"/>
          </rPr>
          <t xml:space="preserve">
Space Type incorrect due to Heat Type Change
</t>
        </r>
      </text>
    </comment>
    <comment ref="N434" authorId="0" shapeId="0">
      <text>
        <r>
          <rPr>
            <b/>
            <sz val="9"/>
            <color indexed="81"/>
            <rFont val="Tahoma"/>
            <family val="2"/>
          </rPr>
          <t>Michael lane:</t>
        </r>
        <r>
          <rPr>
            <sz val="9"/>
            <color indexed="81"/>
            <rFont val="Tahoma"/>
            <family val="2"/>
          </rPr>
          <t xml:space="preserve">
LPA</t>
        </r>
      </text>
    </comment>
    <comment ref="M438" authorId="1" shapeId="0">
      <text>
        <r>
          <rPr>
            <b/>
            <sz val="9"/>
            <color indexed="81"/>
            <rFont val="Tahoma"/>
            <family val="2"/>
          </rPr>
          <t>Michael Lane:</t>
        </r>
        <r>
          <rPr>
            <sz val="9"/>
            <color indexed="81"/>
            <rFont val="Tahoma"/>
            <family val="2"/>
          </rPr>
          <t xml:space="preserve">
Changed Retrofit / TI / NC
</t>
        </r>
      </text>
    </comment>
    <comment ref="N438" authorId="0" shapeId="0">
      <text>
        <r>
          <rPr>
            <b/>
            <sz val="9"/>
            <color indexed="81"/>
            <rFont val="Tahoma"/>
            <family val="2"/>
          </rPr>
          <t>Michael lane:</t>
        </r>
        <r>
          <rPr>
            <sz val="9"/>
            <color indexed="81"/>
            <rFont val="Tahoma"/>
            <family val="2"/>
          </rPr>
          <t xml:space="preserve">
HVAC factor</t>
        </r>
      </text>
    </comment>
    <comment ref="M439" authorId="0" shapeId="0">
      <text>
        <r>
          <rPr>
            <b/>
            <sz val="9"/>
            <color indexed="81"/>
            <rFont val="Tahoma"/>
            <family val="2"/>
          </rPr>
          <t>Michael lane:</t>
        </r>
        <r>
          <rPr>
            <sz val="9"/>
            <color indexed="81"/>
            <rFont val="Tahoma"/>
            <family val="2"/>
          </rPr>
          <t xml:space="preserve">
Space Type incorrect due to Heat Type Change
</t>
        </r>
      </text>
    </comment>
    <comment ref="N439" authorId="0" shapeId="0">
      <text>
        <r>
          <rPr>
            <b/>
            <sz val="9"/>
            <color indexed="81"/>
            <rFont val="Tahoma"/>
            <family val="2"/>
          </rPr>
          <t>Michael lane:</t>
        </r>
        <r>
          <rPr>
            <sz val="9"/>
            <color indexed="81"/>
            <rFont val="Tahoma"/>
            <family val="2"/>
          </rPr>
          <t xml:space="preserve">
LPA</t>
        </r>
      </text>
    </comment>
    <comment ref="M443" authorId="1" shapeId="0">
      <text>
        <r>
          <rPr>
            <b/>
            <sz val="9"/>
            <color indexed="81"/>
            <rFont val="Tahoma"/>
            <family val="2"/>
          </rPr>
          <t>Michael Lane:</t>
        </r>
        <r>
          <rPr>
            <sz val="9"/>
            <color indexed="81"/>
            <rFont val="Tahoma"/>
            <family val="2"/>
          </rPr>
          <t xml:space="preserve">
Changed Retrofit / TI / NC
</t>
        </r>
      </text>
    </comment>
    <comment ref="N443" authorId="0" shapeId="0">
      <text>
        <r>
          <rPr>
            <b/>
            <sz val="9"/>
            <color indexed="81"/>
            <rFont val="Tahoma"/>
            <family val="2"/>
          </rPr>
          <t>Michael lane:</t>
        </r>
        <r>
          <rPr>
            <sz val="9"/>
            <color indexed="81"/>
            <rFont val="Tahoma"/>
            <family val="2"/>
          </rPr>
          <t xml:space="preserve">
HVAC factor</t>
        </r>
      </text>
    </comment>
    <comment ref="M444" authorId="0" shapeId="0">
      <text>
        <r>
          <rPr>
            <b/>
            <sz val="9"/>
            <color indexed="81"/>
            <rFont val="Tahoma"/>
            <family val="2"/>
          </rPr>
          <t>Michael lane:</t>
        </r>
        <r>
          <rPr>
            <sz val="9"/>
            <color indexed="81"/>
            <rFont val="Tahoma"/>
            <family val="2"/>
          </rPr>
          <t xml:space="preserve">
Space Type incorrect due to Heat Type Change
</t>
        </r>
      </text>
    </comment>
    <comment ref="N444" authorId="0" shapeId="0">
      <text>
        <r>
          <rPr>
            <b/>
            <sz val="9"/>
            <color indexed="81"/>
            <rFont val="Tahoma"/>
            <family val="2"/>
          </rPr>
          <t>Michael lane:</t>
        </r>
        <r>
          <rPr>
            <sz val="9"/>
            <color indexed="81"/>
            <rFont val="Tahoma"/>
            <family val="2"/>
          </rPr>
          <t xml:space="preserve">
LPA</t>
        </r>
      </text>
    </comment>
    <comment ref="M448" authorId="1" shapeId="0">
      <text>
        <r>
          <rPr>
            <b/>
            <sz val="9"/>
            <color indexed="81"/>
            <rFont val="Tahoma"/>
            <family val="2"/>
          </rPr>
          <t>Michael Lane:</t>
        </r>
        <r>
          <rPr>
            <sz val="9"/>
            <color indexed="81"/>
            <rFont val="Tahoma"/>
            <family val="2"/>
          </rPr>
          <t xml:space="preserve">
Changed Retrofit / TI / NC
</t>
        </r>
      </text>
    </comment>
    <comment ref="N448" authorId="0" shapeId="0">
      <text>
        <r>
          <rPr>
            <b/>
            <sz val="9"/>
            <color indexed="81"/>
            <rFont val="Tahoma"/>
            <family val="2"/>
          </rPr>
          <t>Michael lane:</t>
        </r>
        <r>
          <rPr>
            <sz val="9"/>
            <color indexed="81"/>
            <rFont val="Tahoma"/>
            <family val="2"/>
          </rPr>
          <t xml:space="preserve">
HVAC factor</t>
        </r>
      </text>
    </comment>
    <comment ref="M449" authorId="0" shapeId="0">
      <text>
        <r>
          <rPr>
            <b/>
            <sz val="9"/>
            <color indexed="81"/>
            <rFont val="Tahoma"/>
            <family val="2"/>
          </rPr>
          <t>Michael lane:</t>
        </r>
        <r>
          <rPr>
            <sz val="9"/>
            <color indexed="81"/>
            <rFont val="Tahoma"/>
            <family val="2"/>
          </rPr>
          <t xml:space="preserve">
Space Type incorrect due to Heat Type Change
</t>
        </r>
      </text>
    </comment>
    <comment ref="N449" authorId="0" shapeId="0">
      <text>
        <r>
          <rPr>
            <b/>
            <sz val="9"/>
            <color indexed="81"/>
            <rFont val="Tahoma"/>
            <family val="2"/>
          </rPr>
          <t>Michael lane:</t>
        </r>
        <r>
          <rPr>
            <sz val="9"/>
            <color indexed="81"/>
            <rFont val="Tahoma"/>
            <family val="2"/>
          </rPr>
          <t xml:space="preserve">
LPA</t>
        </r>
      </text>
    </comment>
    <comment ref="M453" authorId="1" shapeId="0">
      <text>
        <r>
          <rPr>
            <b/>
            <sz val="9"/>
            <color indexed="81"/>
            <rFont val="Tahoma"/>
            <family val="2"/>
          </rPr>
          <t>Michael Lane:</t>
        </r>
        <r>
          <rPr>
            <sz val="9"/>
            <color indexed="81"/>
            <rFont val="Tahoma"/>
            <family val="2"/>
          </rPr>
          <t xml:space="preserve">
Changed Retrofit / TI / NC
</t>
        </r>
      </text>
    </comment>
    <comment ref="N453" authorId="0" shapeId="0">
      <text>
        <r>
          <rPr>
            <b/>
            <sz val="9"/>
            <color indexed="81"/>
            <rFont val="Tahoma"/>
            <family val="2"/>
          </rPr>
          <t>Michael lane:</t>
        </r>
        <r>
          <rPr>
            <sz val="9"/>
            <color indexed="81"/>
            <rFont val="Tahoma"/>
            <family val="2"/>
          </rPr>
          <t xml:space="preserve">
HVAC factor</t>
        </r>
      </text>
    </comment>
    <comment ref="M454" authorId="0" shapeId="0">
      <text>
        <r>
          <rPr>
            <b/>
            <sz val="9"/>
            <color indexed="81"/>
            <rFont val="Tahoma"/>
            <family val="2"/>
          </rPr>
          <t>Michael lane:</t>
        </r>
        <r>
          <rPr>
            <sz val="9"/>
            <color indexed="81"/>
            <rFont val="Tahoma"/>
            <family val="2"/>
          </rPr>
          <t xml:space="preserve">
Space Type incorrect due to Heat Type Change
</t>
        </r>
      </text>
    </comment>
    <comment ref="N454" authorId="0" shapeId="0">
      <text>
        <r>
          <rPr>
            <b/>
            <sz val="9"/>
            <color indexed="81"/>
            <rFont val="Tahoma"/>
            <family val="2"/>
          </rPr>
          <t>Michael lane:</t>
        </r>
        <r>
          <rPr>
            <sz val="9"/>
            <color indexed="81"/>
            <rFont val="Tahoma"/>
            <family val="2"/>
          </rPr>
          <t xml:space="preserve">
LPA</t>
        </r>
      </text>
    </comment>
    <comment ref="M458" authorId="1" shapeId="0">
      <text>
        <r>
          <rPr>
            <b/>
            <sz val="9"/>
            <color indexed="81"/>
            <rFont val="Tahoma"/>
            <family val="2"/>
          </rPr>
          <t>Michael Lane:</t>
        </r>
        <r>
          <rPr>
            <sz val="9"/>
            <color indexed="81"/>
            <rFont val="Tahoma"/>
            <family val="2"/>
          </rPr>
          <t xml:space="preserve">
Changed Retrofit / TI / NC
</t>
        </r>
      </text>
    </comment>
    <comment ref="N458" authorId="0" shapeId="0">
      <text>
        <r>
          <rPr>
            <b/>
            <sz val="9"/>
            <color indexed="81"/>
            <rFont val="Tahoma"/>
            <family val="2"/>
          </rPr>
          <t>Michael lane:</t>
        </r>
        <r>
          <rPr>
            <sz val="9"/>
            <color indexed="81"/>
            <rFont val="Tahoma"/>
            <family val="2"/>
          </rPr>
          <t xml:space="preserve">
HVAC factor</t>
        </r>
      </text>
    </comment>
    <comment ref="M459" authorId="0" shapeId="0">
      <text>
        <r>
          <rPr>
            <b/>
            <sz val="9"/>
            <color indexed="81"/>
            <rFont val="Tahoma"/>
            <family val="2"/>
          </rPr>
          <t>Michael lane:</t>
        </r>
        <r>
          <rPr>
            <sz val="9"/>
            <color indexed="81"/>
            <rFont val="Tahoma"/>
            <family val="2"/>
          </rPr>
          <t xml:space="preserve">
Space Type incorrect due to Heat Type Change
</t>
        </r>
      </text>
    </comment>
    <comment ref="N459" authorId="0" shapeId="0">
      <text>
        <r>
          <rPr>
            <b/>
            <sz val="9"/>
            <color indexed="81"/>
            <rFont val="Tahoma"/>
            <family val="2"/>
          </rPr>
          <t>Michael lane:</t>
        </r>
        <r>
          <rPr>
            <sz val="9"/>
            <color indexed="81"/>
            <rFont val="Tahoma"/>
            <family val="2"/>
          </rPr>
          <t xml:space="preserve">
LPA</t>
        </r>
      </text>
    </comment>
    <comment ref="M463" authorId="1" shapeId="0">
      <text>
        <r>
          <rPr>
            <b/>
            <sz val="9"/>
            <color indexed="81"/>
            <rFont val="Tahoma"/>
            <family val="2"/>
          </rPr>
          <t>Michael Lane:</t>
        </r>
        <r>
          <rPr>
            <sz val="9"/>
            <color indexed="81"/>
            <rFont val="Tahoma"/>
            <family val="2"/>
          </rPr>
          <t xml:space="preserve">
Changed Retrofit / TI / NC
</t>
        </r>
      </text>
    </comment>
    <comment ref="N463" authorId="0" shapeId="0">
      <text>
        <r>
          <rPr>
            <b/>
            <sz val="9"/>
            <color indexed="81"/>
            <rFont val="Tahoma"/>
            <family val="2"/>
          </rPr>
          <t>Michael lane:</t>
        </r>
        <r>
          <rPr>
            <sz val="9"/>
            <color indexed="81"/>
            <rFont val="Tahoma"/>
            <family val="2"/>
          </rPr>
          <t xml:space="preserve">
HVAC factor</t>
        </r>
      </text>
    </comment>
    <comment ref="M464" authorId="0" shapeId="0">
      <text>
        <r>
          <rPr>
            <b/>
            <sz val="9"/>
            <color indexed="81"/>
            <rFont val="Tahoma"/>
            <family val="2"/>
          </rPr>
          <t>Michael lane:</t>
        </r>
        <r>
          <rPr>
            <sz val="9"/>
            <color indexed="81"/>
            <rFont val="Tahoma"/>
            <family val="2"/>
          </rPr>
          <t xml:space="preserve">
Space Type incorrect due to Heat Type Change
</t>
        </r>
      </text>
    </comment>
    <comment ref="N464" authorId="0" shapeId="0">
      <text>
        <r>
          <rPr>
            <b/>
            <sz val="9"/>
            <color indexed="81"/>
            <rFont val="Tahoma"/>
            <family val="2"/>
          </rPr>
          <t>Michael lane:</t>
        </r>
        <r>
          <rPr>
            <sz val="9"/>
            <color indexed="81"/>
            <rFont val="Tahoma"/>
            <family val="2"/>
          </rPr>
          <t xml:space="preserve">
LPA</t>
        </r>
      </text>
    </comment>
    <comment ref="M468" authorId="1" shapeId="0">
      <text>
        <r>
          <rPr>
            <b/>
            <sz val="9"/>
            <color indexed="81"/>
            <rFont val="Tahoma"/>
            <family val="2"/>
          </rPr>
          <t>Michael Lane:</t>
        </r>
        <r>
          <rPr>
            <sz val="9"/>
            <color indexed="81"/>
            <rFont val="Tahoma"/>
            <family val="2"/>
          </rPr>
          <t xml:space="preserve">
Changed Retrofit / TI / NC
</t>
        </r>
      </text>
    </comment>
    <comment ref="N468" authorId="0" shapeId="0">
      <text>
        <r>
          <rPr>
            <b/>
            <sz val="9"/>
            <color indexed="81"/>
            <rFont val="Tahoma"/>
            <family val="2"/>
          </rPr>
          <t>Michael lane:</t>
        </r>
        <r>
          <rPr>
            <sz val="9"/>
            <color indexed="81"/>
            <rFont val="Tahoma"/>
            <family val="2"/>
          </rPr>
          <t xml:space="preserve">
HVAC factor</t>
        </r>
      </text>
    </comment>
    <comment ref="M469" authorId="0" shapeId="0">
      <text>
        <r>
          <rPr>
            <b/>
            <sz val="9"/>
            <color indexed="81"/>
            <rFont val="Tahoma"/>
            <family val="2"/>
          </rPr>
          <t>Michael lane:</t>
        </r>
        <r>
          <rPr>
            <sz val="9"/>
            <color indexed="81"/>
            <rFont val="Tahoma"/>
            <family val="2"/>
          </rPr>
          <t xml:space="preserve">
Space Type incorrect due to Heat Type Change
</t>
        </r>
      </text>
    </comment>
    <comment ref="N469" authorId="0" shapeId="0">
      <text>
        <r>
          <rPr>
            <b/>
            <sz val="9"/>
            <color indexed="81"/>
            <rFont val="Tahoma"/>
            <family val="2"/>
          </rPr>
          <t>Michael lane:</t>
        </r>
        <r>
          <rPr>
            <sz val="9"/>
            <color indexed="81"/>
            <rFont val="Tahoma"/>
            <family val="2"/>
          </rPr>
          <t xml:space="preserve">
LPA</t>
        </r>
      </text>
    </comment>
    <comment ref="M473" authorId="1" shapeId="0">
      <text>
        <r>
          <rPr>
            <b/>
            <sz val="9"/>
            <color indexed="81"/>
            <rFont val="Tahoma"/>
            <family val="2"/>
          </rPr>
          <t>Michael Lane:</t>
        </r>
        <r>
          <rPr>
            <sz val="9"/>
            <color indexed="81"/>
            <rFont val="Tahoma"/>
            <family val="2"/>
          </rPr>
          <t xml:space="preserve">
Changed Retrofit / TI / NC
</t>
        </r>
      </text>
    </comment>
    <comment ref="N473" authorId="0" shapeId="0">
      <text>
        <r>
          <rPr>
            <b/>
            <sz val="9"/>
            <color indexed="81"/>
            <rFont val="Tahoma"/>
            <family val="2"/>
          </rPr>
          <t>Michael lane:</t>
        </r>
        <r>
          <rPr>
            <sz val="9"/>
            <color indexed="81"/>
            <rFont val="Tahoma"/>
            <family val="2"/>
          </rPr>
          <t xml:space="preserve">
HVAC factor</t>
        </r>
      </text>
    </comment>
    <comment ref="M474" authorId="0" shapeId="0">
      <text>
        <r>
          <rPr>
            <b/>
            <sz val="9"/>
            <color indexed="81"/>
            <rFont val="Tahoma"/>
            <family val="2"/>
          </rPr>
          <t>Michael lane:</t>
        </r>
        <r>
          <rPr>
            <sz val="9"/>
            <color indexed="81"/>
            <rFont val="Tahoma"/>
            <family val="2"/>
          </rPr>
          <t xml:space="preserve">
Space Type incorrect due to Heat Type Change
</t>
        </r>
      </text>
    </comment>
    <comment ref="N474" authorId="0" shapeId="0">
      <text>
        <r>
          <rPr>
            <b/>
            <sz val="9"/>
            <color indexed="81"/>
            <rFont val="Tahoma"/>
            <family val="2"/>
          </rPr>
          <t>Michael lane:</t>
        </r>
        <r>
          <rPr>
            <sz val="9"/>
            <color indexed="81"/>
            <rFont val="Tahoma"/>
            <family val="2"/>
          </rPr>
          <t xml:space="preserve">
LPA</t>
        </r>
      </text>
    </comment>
    <comment ref="M478" authorId="1" shapeId="0">
      <text>
        <r>
          <rPr>
            <b/>
            <sz val="9"/>
            <color indexed="81"/>
            <rFont val="Tahoma"/>
            <family val="2"/>
          </rPr>
          <t>Michael Lane:</t>
        </r>
        <r>
          <rPr>
            <sz val="9"/>
            <color indexed="81"/>
            <rFont val="Tahoma"/>
            <family val="2"/>
          </rPr>
          <t xml:space="preserve">
Changed Retrofit / TI / NC
</t>
        </r>
      </text>
    </comment>
    <comment ref="N478" authorId="0" shapeId="0">
      <text>
        <r>
          <rPr>
            <b/>
            <sz val="9"/>
            <color indexed="81"/>
            <rFont val="Tahoma"/>
            <family val="2"/>
          </rPr>
          <t>Michael lane:</t>
        </r>
        <r>
          <rPr>
            <sz val="9"/>
            <color indexed="81"/>
            <rFont val="Tahoma"/>
            <family val="2"/>
          </rPr>
          <t xml:space="preserve">
HVAC factor</t>
        </r>
      </text>
    </comment>
    <comment ref="M479" authorId="0" shapeId="0">
      <text>
        <r>
          <rPr>
            <b/>
            <sz val="9"/>
            <color indexed="81"/>
            <rFont val="Tahoma"/>
            <family val="2"/>
          </rPr>
          <t>Michael lane:</t>
        </r>
        <r>
          <rPr>
            <sz val="9"/>
            <color indexed="81"/>
            <rFont val="Tahoma"/>
            <family val="2"/>
          </rPr>
          <t xml:space="preserve">
Space Type incorrect due to Heat Type Change
</t>
        </r>
      </text>
    </comment>
    <comment ref="N479" authorId="0" shapeId="0">
      <text>
        <r>
          <rPr>
            <b/>
            <sz val="9"/>
            <color indexed="81"/>
            <rFont val="Tahoma"/>
            <family val="2"/>
          </rPr>
          <t>Michael lane:</t>
        </r>
        <r>
          <rPr>
            <sz val="9"/>
            <color indexed="81"/>
            <rFont val="Tahoma"/>
            <family val="2"/>
          </rPr>
          <t xml:space="preserve">
LPA</t>
        </r>
      </text>
    </comment>
    <comment ref="M486" authorId="1" shapeId="0">
      <text>
        <r>
          <rPr>
            <b/>
            <sz val="9"/>
            <color indexed="81"/>
            <rFont val="Tahoma"/>
            <family val="2"/>
          </rPr>
          <t>Michael Lane:</t>
        </r>
        <r>
          <rPr>
            <sz val="9"/>
            <color indexed="81"/>
            <rFont val="Tahoma"/>
            <family val="2"/>
          </rPr>
          <t xml:space="preserve">
Changed Retrofit / TI / NC
</t>
        </r>
      </text>
    </comment>
    <comment ref="N486" authorId="0" shapeId="0">
      <text>
        <r>
          <rPr>
            <b/>
            <sz val="9"/>
            <color indexed="81"/>
            <rFont val="Tahoma"/>
            <family val="2"/>
          </rPr>
          <t>Michael lane:</t>
        </r>
        <r>
          <rPr>
            <sz val="9"/>
            <color indexed="81"/>
            <rFont val="Tahoma"/>
            <family val="2"/>
          </rPr>
          <t xml:space="preserve">
HVAC factor</t>
        </r>
      </text>
    </comment>
    <comment ref="M487" authorId="0" shapeId="0">
      <text>
        <r>
          <rPr>
            <b/>
            <sz val="9"/>
            <color indexed="81"/>
            <rFont val="Tahoma"/>
            <family val="2"/>
          </rPr>
          <t>Michael lane:</t>
        </r>
        <r>
          <rPr>
            <sz val="9"/>
            <color indexed="81"/>
            <rFont val="Tahoma"/>
            <family val="2"/>
          </rPr>
          <t xml:space="preserve">
Space Type incorrect due to Heat Type Change
</t>
        </r>
      </text>
    </comment>
    <comment ref="N487" authorId="0" shapeId="0">
      <text>
        <r>
          <rPr>
            <b/>
            <sz val="9"/>
            <color indexed="81"/>
            <rFont val="Tahoma"/>
            <family val="2"/>
          </rPr>
          <t>Michael lane:</t>
        </r>
        <r>
          <rPr>
            <sz val="9"/>
            <color indexed="81"/>
            <rFont val="Tahoma"/>
            <family val="2"/>
          </rPr>
          <t xml:space="preserve">
LPA</t>
        </r>
      </text>
    </comment>
    <comment ref="M491" authorId="1" shapeId="0">
      <text>
        <r>
          <rPr>
            <b/>
            <sz val="9"/>
            <color indexed="81"/>
            <rFont val="Tahoma"/>
            <family val="2"/>
          </rPr>
          <t>Michael Lane:</t>
        </r>
        <r>
          <rPr>
            <sz val="9"/>
            <color indexed="81"/>
            <rFont val="Tahoma"/>
            <family val="2"/>
          </rPr>
          <t xml:space="preserve">
Changed Retrofit / TI / NC
</t>
        </r>
      </text>
    </comment>
    <comment ref="N491" authorId="0" shapeId="0">
      <text>
        <r>
          <rPr>
            <b/>
            <sz val="9"/>
            <color indexed="81"/>
            <rFont val="Tahoma"/>
            <family val="2"/>
          </rPr>
          <t>Michael lane:</t>
        </r>
        <r>
          <rPr>
            <sz val="9"/>
            <color indexed="81"/>
            <rFont val="Tahoma"/>
            <family val="2"/>
          </rPr>
          <t xml:space="preserve">
HVAC factor</t>
        </r>
      </text>
    </comment>
    <comment ref="M492" authorId="0" shapeId="0">
      <text>
        <r>
          <rPr>
            <b/>
            <sz val="9"/>
            <color indexed="81"/>
            <rFont val="Tahoma"/>
            <family val="2"/>
          </rPr>
          <t>Michael lane:</t>
        </r>
        <r>
          <rPr>
            <sz val="9"/>
            <color indexed="81"/>
            <rFont val="Tahoma"/>
            <family val="2"/>
          </rPr>
          <t xml:space="preserve">
Space Type incorrect due to Heat Type Change
</t>
        </r>
      </text>
    </comment>
    <comment ref="N492" authorId="0" shapeId="0">
      <text>
        <r>
          <rPr>
            <b/>
            <sz val="9"/>
            <color indexed="81"/>
            <rFont val="Tahoma"/>
            <family val="2"/>
          </rPr>
          <t>Michael lane:</t>
        </r>
        <r>
          <rPr>
            <sz val="9"/>
            <color indexed="81"/>
            <rFont val="Tahoma"/>
            <family val="2"/>
          </rPr>
          <t xml:space="preserve">
LPA</t>
        </r>
      </text>
    </comment>
    <comment ref="M496" authorId="1" shapeId="0">
      <text>
        <r>
          <rPr>
            <b/>
            <sz val="9"/>
            <color indexed="81"/>
            <rFont val="Tahoma"/>
            <family val="2"/>
          </rPr>
          <t>Michael Lane:</t>
        </r>
        <r>
          <rPr>
            <sz val="9"/>
            <color indexed="81"/>
            <rFont val="Tahoma"/>
            <family val="2"/>
          </rPr>
          <t xml:space="preserve">
Changed Retrofit / TI / NC
</t>
        </r>
      </text>
    </comment>
    <comment ref="N496" authorId="0" shapeId="0">
      <text>
        <r>
          <rPr>
            <b/>
            <sz val="9"/>
            <color indexed="81"/>
            <rFont val="Tahoma"/>
            <family val="2"/>
          </rPr>
          <t>Michael lane:</t>
        </r>
        <r>
          <rPr>
            <sz val="9"/>
            <color indexed="81"/>
            <rFont val="Tahoma"/>
            <family val="2"/>
          </rPr>
          <t xml:space="preserve">
HVAC factor</t>
        </r>
      </text>
    </comment>
    <comment ref="M497" authorId="0" shapeId="0">
      <text>
        <r>
          <rPr>
            <b/>
            <sz val="9"/>
            <color indexed="81"/>
            <rFont val="Tahoma"/>
            <family val="2"/>
          </rPr>
          <t>Michael lane:</t>
        </r>
        <r>
          <rPr>
            <sz val="9"/>
            <color indexed="81"/>
            <rFont val="Tahoma"/>
            <family val="2"/>
          </rPr>
          <t xml:space="preserve">
Space Type incorrect due to Heat Type Change
</t>
        </r>
      </text>
    </comment>
    <comment ref="N497" authorId="0" shapeId="0">
      <text>
        <r>
          <rPr>
            <b/>
            <sz val="9"/>
            <color indexed="81"/>
            <rFont val="Tahoma"/>
            <family val="2"/>
          </rPr>
          <t>Michael lane:</t>
        </r>
        <r>
          <rPr>
            <sz val="9"/>
            <color indexed="81"/>
            <rFont val="Tahoma"/>
            <family val="2"/>
          </rPr>
          <t xml:space="preserve">
LPA</t>
        </r>
      </text>
    </comment>
    <comment ref="M501" authorId="1" shapeId="0">
      <text>
        <r>
          <rPr>
            <b/>
            <sz val="9"/>
            <color indexed="81"/>
            <rFont val="Tahoma"/>
            <family val="2"/>
          </rPr>
          <t>Michael Lane:</t>
        </r>
        <r>
          <rPr>
            <sz val="9"/>
            <color indexed="81"/>
            <rFont val="Tahoma"/>
            <family val="2"/>
          </rPr>
          <t xml:space="preserve">
Changed Retrofit / TI / NC
</t>
        </r>
      </text>
    </comment>
    <comment ref="N501" authorId="0" shapeId="0">
      <text>
        <r>
          <rPr>
            <b/>
            <sz val="9"/>
            <color indexed="81"/>
            <rFont val="Tahoma"/>
            <family val="2"/>
          </rPr>
          <t>Michael lane:</t>
        </r>
        <r>
          <rPr>
            <sz val="9"/>
            <color indexed="81"/>
            <rFont val="Tahoma"/>
            <family val="2"/>
          </rPr>
          <t xml:space="preserve">
HVAC factor</t>
        </r>
      </text>
    </comment>
    <comment ref="M502" authorId="0" shapeId="0">
      <text>
        <r>
          <rPr>
            <b/>
            <sz val="9"/>
            <color indexed="81"/>
            <rFont val="Tahoma"/>
            <family val="2"/>
          </rPr>
          <t>Michael lane:</t>
        </r>
        <r>
          <rPr>
            <sz val="9"/>
            <color indexed="81"/>
            <rFont val="Tahoma"/>
            <family val="2"/>
          </rPr>
          <t xml:space="preserve">
Space Type incorrect due to Heat Type Change
</t>
        </r>
      </text>
    </comment>
    <comment ref="N502" authorId="0" shapeId="0">
      <text>
        <r>
          <rPr>
            <b/>
            <sz val="9"/>
            <color indexed="81"/>
            <rFont val="Tahoma"/>
            <family val="2"/>
          </rPr>
          <t>Michael lane:</t>
        </r>
        <r>
          <rPr>
            <sz val="9"/>
            <color indexed="81"/>
            <rFont val="Tahoma"/>
            <family val="2"/>
          </rPr>
          <t xml:space="preserve">
LPA</t>
        </r>
      </text>
    </comment>
    <comment ref="M506" authorId="1" shapeId="0">
      <text>
        <r>
          <rPr>
            <b/>
            <sz val="9"/>
            <color indexed="81"/>
            <rFont val="Tahoma"/>
            <family val="2"/>
          </rPr>
          <t>Michael Lane:</t>
        </r>
        <r>
          <rPr>
            <sz val="9"/>
            <color indexed="81"/>
            <rFont val="Tahoma"/>
            <family val="2"/>
          </rPr>
          <t xml:space="preserve">
Changed Retrofit / TI / NC
</t>
        </r>
      </text>
    </comment>
    <comment ref="N506" authorId="0" shapeId="0">
      <text>
        <r>
          <rPr>
            <b/>
            <sz val="9"/>
            <color indexed="81"/>
            <rFont val="Tahoma"/>
            <family val="2"/>
          </rPr>
          <t>Michael lane:</t>
        </r>
        <r>
          <rPr>
            <sz val="9"/>
            <color indexed="81"/>
            <rFont val="Tahoma"/>
            <family val="2"/>
          </rPr>
          <t xml:space="preserve">
HVAC factor</t>
        </r>
      </text>
    </comment>
    <comment ref="M507" authorId="0" shapeId="0">
      <text>
        <r>
          <rPr>
            <b/>
            <sz val="9"/>
            <color indexed="81"/>
            <rFont val="Tahoma"/>
            <family val="2"/>
          </rPr>
          <t>Michael lane:</t>
        </r>
        <r>
          <rPr>
            <sz val="9"/>
            <color indexed="81"/>
            <rFont val="Tahoma"/>
            <family val="2"/>
          </rPr>
          <t xml:space="preserve">
Space Type incorrect due to Heat Type Change
</t>
        </r>
      </text>
    </comment>
    <comment ref="N507" authorId="0" shapeId="0">
      <text>
        <r>
          <rPr>
            <b/>
            <sz val="9"/>
            <color indexed="81"/>
            <rFont val="Tahoma"/>
            <family val="2"/>
          </rPr>
          <t>Michael lane:</t>
        </r>
        <r>
          <rPr>
            <sz val="9"/>
            <color indexed="81"/>
            <rFont val="Tahoma"/>
            <family val="2"/>
          </rPr>
          <t xml:space="preserve">
LPA</t>
        </r>
      </text>
    </comment>
    <comment ref="M511" authorId="1" shapeId="0">
      <text>
        <r>
          <rPr>
            <b/>
            <sz val="9"/>
            <color indexed="81"/>
            <rFont val="Tahoma"/>
            <family val="2"/>
          </rPr>
          <t>Michael Lane:</t>
        </r>
        <r>
          <rPr>
            <sz val="9"/>
            <color indexed="81"/>
            <rFont val="Tahoma"/>
            <family val="2"/>
          </rPr>
          <t xml:space="preserve">
Changed Retrofit / TI / NC
</t>
        </r>
      </text>
    </comment>
    <comment ref="N511" authorId="0" shapeId="0">
      <text>
        <r>
          <rPr>
            <b/>
            <sz val="9"/>
            <color indexed="81"/>
            <rFont val="Tahoma"/>
            <family val="2"/>
          </rPr>
          <t>Michael lane:</t>
        </r>
        <r>
          <rPr>
            <sz val="9"/>
            <color indexed="81"/>
            <rFont val="Tahoma"/>
            <family val="2"/>
          </rPr>
          <t xml:space="preserve">
HVAC factor</t>
        </r>
      </text>
    </comment>
    <comment ref="M512" authorId="0" shapeId="0">
      <text>
        <r>
          <rPr>
            <b/>
            <sz val="9"/>
            <color indexed="81"/>
            <rFont val="Tahoma"/>
            <family val="2"/>
          </rPr>
          <t>Michael lane:</t>
        </r>
        <r>
          <rPr>
            <sz val="9"/>
            <color indexed="81"/>
            <rFont val="Tahoma"/>
            <family val="2"/>
          </rPr>
          <t xml:space="preserve">
Space Type incorrect due to Heat Type Change
</t>
        </r>
      </text>
    </comment>
    <comment ref="N512" authorId="0" shapeId="0">
      <text>
        <r>
          <rPr>
            <b/>
            <sz val="9"/>
            <color indexed="81"/>
            <rFont val="Tahoma"/>
            <family val="2"/>
          </rPr>
          <t>Michael lane:</t>
        </r>
        <r>
          <rPr>
            <sz val="9"/>
            <color indexed="81"/>
            <rFont val="Tahoma"/>
            <family val="2"/>
          </rPr>
          <t xml:space="preserve">
LPA</t>
        </r>
      </text>
    </comment>
    <comment ref="M516" authorId="1" shapeId="0">
      <text>
        <r>
          <rPr>
            <b/>
            <sz val="9"/>
            <color indexed="81"/>
            <rFont val="Tahoma"/>
            <family val="2"/>
          </rPr>
          <t>Michael Lane:</t>
        </r>
        <r>
          <rPr>
            <sz val="9"/>
            <color indexed="81"/>
            <rFont val="Tahoma"/>
            <family val="2"/>
          </rPr>
          <t xml:space="preserve">
Changed Retrofit / TI / NC
</t>
        </r>
      </text>
    </comment>
    <comment ref="N516" authorId="0" shapeId="0">
      <text>
        <r>
          <rPr>
            <b/>
            <sz val="9"/>
            <color indexed="81"/>
            <rFont val="Tahoma"/>
            <family val="2"/>
          </rPr>
          <t>Michael lane:</t>
        </r>
        <r>
          <rPr>
            <sz val="9"/>
            <color indexed="81"/>
            <rFont val="Tahoma"/>
            <family val="2"/>
          </rPr>
          <t xml:space="preserve">
HVAC factor</t>
        </r>
      </text>
    </comment>
    <comment ref="M517" authorId="0" shapeId="0">
      <text>
        <r>
          <rPr>
            <b/>
            <sz val="9"/>
            <color indexed="81"/>
            <rFont val="Tahoma"/>
            <family val="2"/>
          </rPr>
          <t>Michael lane:</t>
        </r>
        <r>
          <rPr>
            <sz val="9"/>
            <color indexed="81"/>
            <rFont val="Tahoma"/>
            <family val="2"/>
          </rPr>
          <t xml:space="preserve">
Space Type incorrect due to Heat Type Change
</t>
        </r>
      </text>
    </comment>
    <comment ref="N517" authorId="0" shapeId="0">
      <text>
        <r>
          <rPr>
            <b/>
            <sz val="9"/>
            <color indexed="81"/>
            <rFont val="Tahoma"/>
            <family val="2"/>
          </rPr>
          <t>Michael lane:</t>
        </r>
        <r>
          <rPr>
            <sz val="9"/>
            <color indexed="81"/>
            <rFont val="Tahoma"/>
            <family val="2"/>
          </rPr>
          <t xml:space="preserve">
LPA</t>
        </r>
      </text>
    </comment>
    <comment ref="M521" authorId="1" shapeId="0">
      <text>
        <r>
          <rPr>
            <b/>
            <sz val="9"/>
            <color indexed="81"/>
            <rFont val="Tahoma"/>
            <family val="2"/>
          </rPr>
          <t>Michael Lane:</t>
        </r>
        <r>
          <rPr>
            <sz val="9"/>
            <color indexed="81"/>
            <rFont val="Tahoma"/>
            <family val="2"/>
          </rPr>
          <t xml:space="preserve">
Changed Retrofit / TI / NC
</t>
        </r>
      </text>
    </comment>
    <comment ref="N521" authorId="0" shapeId="0">
      <text>
        <r>
          <rPr>
            <b/>
            <sz val="9"/>
            <color indexed="81"/>
            <rFont val="Tahoma"/>
            <family val="2"/>
          </rPr>
          <t>Michael lane:</t>
        </r>
        <r>
          <rPr>
            <sz val="9"/>
            <color indexed="81"/>
            <rFont val="Tahoma"/>
            <family val="2"/>
          </rPr>
          <t xml:space="preserve">
HVAC factor</t>
        </r>
      </text>
    </comment>
    <comment ref="M522" authorId="0" shapeId="0">
      <text>
        <r>
          <rPr>
            <b/>
            <sz val="9"/>
            <color indexed="81"/>
            <rFont val="Tahoma"/>
            <family val="2"/>
          </rPr>
          <t>Michael lane:</t>
        </r>
        <r>
          <rPr>
            <sz val="9"/>
            <color indexed="81"/>
            <rFont val="Tahoma"/>
            <family val="2"/>
          </rPr>
          <t xml:space="preserve">
Space Type incorrect due to Heat Type Change
</t>
        </r>
      </text>
    </comment>
    <comment ref="N522" authorId="0" shapeId="0">
      <text>
        <r>
          <rPr>
            <b/>
            <sz val="9"/>
            <color indexed="81"/>
            <rFont val="Tahoma"/>
            <family val="2"/>
          </rPr>
          <t>Michael lane:</t>
        </r>
        <r>
          <rPr>
            <sz val="9"/>
            <color indexed="81"/>
            <rFont val="Tahoma"/>
            <family val="2"/>
          </rPr>
          <t xml:space="preserve">
LPA</t>
        </r>
      </text>
    </comment>
    <comment ref="M526" authorId="1" shapeId="0">
      <text>
        <r>
          <rPr>
            <b/>
            <sz val="9"/>
            <color indexed="81"/>
            <rFont val="Tahoma"/>
            <family val="2"/>
          </rPr>
          <t>Michael Lane:</t>
        </r>
        <r>
          <rPr>
            <sz val="9"/>
            <color indexed="81"/>
            <rFont val="Tahoma"/>
            <family val="2"/>
          </rPr>
          <t xml:space="preserve">
Changed Retrofit / TI / NC
</t>
        </r>
      </text>
    </comment>
    <comment ref="N526" authorId="0" shapeId="0">
      <text>
        <r>
          <rPr>
            <b/>
            <sz val="9"/>
            <color indexed="81"/>
            <rFont val="Tahoma"/>
            <family val="2"/>
          </rPr>
          <t>Michael lane:</t>
        </r>
        <r>
          <rPr>
            <sz val="9"/>
            <color indexed="81"/>
            <rFont val="Tahoma"/>
            <family val="2"/>
          </rPr>
          <t xml:space="preserve">
HVAC factor</t>
        </r>
      </text>
    </comment>
    <comment ref="M527" authorId="0" shapeId="0">
      <text>
        <r>
          <rPr>
            <b/>
            <sz val="9"/>
            <color indexed="81"/>
            <rFont val="Tahoma"/>
            <family val="2"/>
          </rPr>
          <t>Michael lane:</t>
        </r>
        <r>
          <rPr>
            <sz val="9"/>
            <color indexed="81"/>
            <rFont val="Tahoma"/>
            <family val="2"/>
          </rPr>
          <t xml:space="preserve">
Space Type incorrect due to Heat Type Change
</t>
        </r>
      </text>
    </comment>
    <comment ref="N527" authorId="0" shapeId="0">
      <text>
        <r>
          <rPr>
            <b/>
            <sz val="9"/>
            <color indexed="81"/>
            <rFont val="Tahoma"/>
            <family val="2"/>
          </rPr>
          <t>Michael lane:</t>
        </r>
        <r>
          <rPr>
            <sz val="9"/>
            <color indexed="81"/>
            <rFont val="Tahoma"/>
            <family val="2"/>
          </rPr>
          <t xml:space="preserve">
LPA</t>
        </r>
      </text>
    </comment>
    <comment ref="M531" authorId="1" shapeId="0">
      <text>
        <r>
          <rPr>
            <b/>
            <sz val="9"/>
            <color indexed="81"/>
            <rFont val="Tahoma"/>
            <family val="2"/>
          </rPr>
          <t>Michael Lane:</t>
        </r>
        <r>
          <rPr>
            <sz val="9"/>
            <color indexed="81"/>
            <rFont val="Tahoma"/>
            <family val="2"/>
          </rPr>
          <t xml:space="preserve">
Changed Retrofit / TI / NC
</t>
        </r>
      </text>
    </comment>
    <comment ref="N531" authorId="0" shapeId="0">
      <text>
        <r>
          <rPr>
            <b/>
            <sz val="9"/>
            <color indexed="81"/>
            <rFont val="Tahoma"/>
            <family val="2"/>
          </rPr>
          <t>Michael lane:</t>
        </r>
        <r>
          <rPr>
            <sz val="9"/>
            <color indexed="81"/>
            <rFont val="Tahoma"/>
            <family val="2"/>
          </rPr>
          <t xml:space="preserve">
HVAC factor</t>
        </r>
      </text>
    </comment>
    <comment ref="M532" authorId="0" shapeId="0">
      <text>
        <r>
          <rPr>
            <b/>
            <sz val="9"/>
            <color indexed="81"/>
            <rFont val="Tahoma"/>
            <family val="2"/>
          </rPr>
          <t>Michael lane:</t>
        </r>
        <r>
          <rPr>
            <sz val="9"/>
            <color indexed="81"/>
            <rFont val="Tahoma"/>
            <family val="2"/>
          </rPr>
          <t xml:space="preserve">
Space Type incorrect due to Heat Type Change
</t>
        </r>
      </text>
    </comment>
    <comment ref="N532" authorId="0" shapeId="0">
      <text>
        <r>
          <rPr>
            <b/>
            <sz val="9"/>
            <color indexed="81"/>
            <rFont val="Tahoma"/>
            <family val="2"/>
          </rPr>
          <t>Michael lane:</t>
        </r>
        <r>
          <rPr>
            <sz val="9"/>
            <color indexed="81"/>
            <rFont val="Tahoma"/>
            <family val="2"/>
          </rPr>
          <t xml:space="preserve">
LPA</t>
        </r>
      </text>
    </comment>
    <comment ref="M536" authorId="1" shapeId="0">
      <text>
        <r>
          <rPr>
            <b/>
            <sz val="9"/>
            <color indexed="81"/>
            <rFont val="Tahoma"/>
            <family val="2"/>
          </rPr>
          <t>Michael Lane:</t>
        </r>
        <r>
          <rPr>
            <sz val="9"/>
            <color indexed="81"/>
            <rFont val="Tahoma"/>
            <family val="2"/>
          </rPr>
          <t xml:space="preserve">
Changed Retrofit / TI / NC
</t>
        </r>
      </text>
    </comment>
    <comment ref="N536" authorId="0" shapeId="0">
      <text>
        <r>
          <rPr>
            <b/>
            <sz val="9"/>
            <color indexed="81"/>
            <rFont val="Tahoma"/>
            <family val="2"/>
          </rPr>
          <t>Michael lane:</t>
        </r>
        <r>
          <rPr>
            <sz val="9"/>
            <color indexed="81"/>
            <rFont val="Tahoma"/>
            <family val="2"/>
          </rPr>
          <t xml:space="preserve">
HVAC factor</t>
        </r>
      </text>
    </comment>
    <comment ref="M537" authorId="0" shapeId="0">
      <text>
        <r>
          <rPr>
            <b/>
            <sz val="9"/>
            <color indexed="81"/>
            <rFont val="Tahoma"/>
            <family val="2"/>
          </rPr>
          <t>Michael lane:</t>
        </r>
        <r>
          <rPr>
            <sz val="9"/>
            <color indexed="81"/>
            <rFont val="Tahoma"/>
            <family val="2"/>
          </rPr>
          <t xml:space="preserve">
Space Type incorrect due to Heat Type Change
</t>
        </r>
      </text>
    </comment>
    <comment ref="N537" authorId="0" shapeId="0">
      <text>
        <r>
          <rPr>
            <b/>
            <sz val="9"/>
            <color indexed="81"/>
            <rFont val="Tahoma"/>
            <family val="2"/>
          </rPr>
          <t>Michael lane:</t>
        </r>
        <r>
          <rPr>
            <sz val="9"/>
            <color indexed="81"/>
            <rFont val="Tahoma"/>
            <family val="2"/>
          </rPr>
          <t xml:space="preserve">
LPA</t>
        </r>
      </text>
    </comment>
    <comment ref="M541" authorId="1" shapeId="0">
      <text>
        <r>
          <rPr>
            <b/>
            <sz val="9"/>
            <color indexed="81"/>
            <rFont val="Tahoma"/>
            <family val="2"/>
          </rPr>
          <t>Michael Lane:</t>
        </r>
        <r>
          <rPr>
            <sz val="9"/>
            <color indexed="81"/>
            <rFont val="Tahoma"/>
            <family val="2"/>
          </rPr>
          <t xml:space="preserve">
Changed Retrofit / TI / NC
</t>
        </r>
      </text>
    </comment>
    <comment ref="N541" authorId="0" shapeId="0">
      <text>
        <r>
          <rPr>
            <b/>
            <sz val="9"/>
            <color indexed="81"/>
            <rFont val="Tahoma"/>
            <family val="2"/>
          </rPr>
          <t>Michael lane:</t>
        </r>
        <r>
          <rPr>
            <sz val="9"/>
            <color indexed="81"/>
            <rFont val="Tahoma"/>
            <family val="2"/>
          </rPr>
          <t xml:space="preserve">
HVAC factor</t>
        </r>
      </text>
    </comment>
    <comment ref="M542" authorId="0" shapeId="0">
      <text>
        <r>
          <rPr>
            <b/>
            <sz val="9"/>
            <color indexed="81"/>
            <rFont val="Tahoma"/>
            <family val="2"/>
          </rPr>
          <t>Michael lane:</t>
        </r>
        <r>
          <rPr>
            <sz val="9"/>
            <color indexed="81"/>
            <rFont val="Tahoma"/>
            <family val="2"/>
          </rPr>
          <t xml:space="preserve">
Space Type incorrect due to Heat Type Change
</t>
        </r>
      </text>
    </comment>
    <comment ref="N542" authorId="0" shapeId="0">
      <text>
        <r>
          <rPr>
            <b/>
            <sz val="9"/>
            <color indexed="81"/>
            <rFont val="Tahoma"/>
            <family val="2"/>
          </rPr>
          <t>Michael lane:</t>
        </r>
        <r>
          <rPr>
            <sz val="9"/>
            <color indexed="81"/>
            <rFont val="Tahoma"/>
            <family val="2"/>
          </rPr>
          <t xml:space="preserve">
LPA</t>
        </r>
      </text>
    </comment>
    <comment ref="M546" authorId="1" shapeId="0">
      <text>
        <r>
          <rPr>
            <b/>
            <sz val="9"/>
            <color indexed="81"/>
            <rFont val="Tahoma"/>
            <family val="2"/>
          </rPr>
          <t>Michael Lane:</t>
        </r>
        <r>
          <rPr>
            <sz val="9"/>
            <color indexed="81"/>
            <rFont val="Tahoma"/>
            <family val="2"/>
          </rPr>
          <t xml:space="preserve">
Changed Retrofit / TI / NC
</t>
        </r>
      </text>
    </comment>
    <comment ref="N546" authorId="0" shapeId="0">
      <text>
        <r>
          <rPr>
            <b/>
            <sz val="9"/>
            <color indexed="81"/>
            <rFont val="Tahoma"/>
            <family val="2"/>
          </rPr>
          <t>Michael lane:</t>
        </r>
        <r>
          <rPr>
            <sz val="9"/>
            <color indexed="81"/>
            <rFont val="Tahoma"/>
            <family val="2"/>
          </rPr>
          <t xml:space="preserve">
HVAC factor</t>
        </r>
      </text>
    </comment>
    <comment ref="M547" authorId="0" shapeId="0">
      <text>
        <r>
          <rPr>
            <b/>
            <sz val="9"/>
            <color indexed="81"/>
            <rFont val="Tahoma"/>
            <family val="2"/>
          </rPr>
          <t>Michael lane:</t>
        </r>
        <r>
          <rPr>
            <sz val="9"/>
            <color indexed="81"/>
            <rFont val="Tahoma"/>
            <family val="2"/>
          </rPr>
          <t xml:space="preserve">
Space Type incorrect due to Heat Type Change
</t>
        </r>
      </text>
    </comment>
    <comment ref="N547" authorId="0" shapeId="0">
      <text>
        <r>
          <rPr>
            <b/>
            <sz val="9"/>
            <color indexed="81"/>
            <rFont val="Tahoma"/>
            <family val="2"/>
          </rPr>
          <t>Michael lane:</t>
        </r>
        <r>
          <rPr>
            <sz val="9"/>
            <color indexed="81"/>
            <rFont val="Tahoma"/>
            <family val="2"/>
          </rPr>
          <t xml:space="preserve">
LPA</t>
        </r>
      </text>
    </comment>
    <comment ref="M551" authorId="1" shapeId="0">
      <text>
        <r>
          <rPr>
            <b/>
            <sz val="9"/>
            <color indexed="81"/>
            <rFont val="Tahoma"/>
            <family val="2"/>
          </rPr>
          <t>Michael Lane:</t>
        </r>
        <r>
          <rPr>
            <sz val="9"/>
            <color indexed="81"/>
            <rFont val="Tahoma"/>
            <family val="2"/>
          </rPr>
          <t xml:space="preserve">
Changed Retrofit / TI / NC
</t>
        </r>
      </text>
    </comment>
    <comment ref="N551" authorId="0" shapeId="0">
      <text>
        <r>
          <rPr>
            <b/>
            <sz val="9"/>
            <color indexed="81"/>
            <rFont val="Tahoma"/>
            <family val="2"/>
          </rPr>
          <t>Michael lane:</t>
        </r>
        <r>
          <rPr>
            <sz val="9"/>
            <color indexed="81"/>
            <rFont val="Tahoma"/>
            <family val="2"/>
          </rPr>
          <t xml:space="preserve">
HVAC factor</t>
        </r>
      </text>
    </comment>
    <comment ref="M552" authorId="0" shapeId="0">
      <text>
        <r>
          <rPr>
            <b/>
            <sz val="9"/>
            <color indexed="81"/>
            <rFont val="Tahoma"/>
            <family val="2"/>
          </rPr>
          <t>Michael lane:</t>
        </r>
        <r>
          <rPr>
            <sz val="9"/>
            <color indexed="81"/>
            <rFont val="Tahoma"/>
            <family val="2"/>
          </rPr>
          <t xml:space="preserve">
Space Type incorrect due to Heat Type Change
</t>
        </r>
      </text>
    </comment>
    <comment ref="N552" authorId="0" shapeId="0">
      <text>
        <r>
          <rPr>
            <b/>
            <sz val="9"/>
            <color indexed="81"/>
            <rFont val="Tahoma"/>
            <family val="2"/>
          </rPr>
          <t>Michael lane:</t>
        </r>
        <r>
          <rPr>
            <sz val="9"/>
            <color indexed="81"/>
            <rFont val="Tahoma"/>
            <family val="2"/>
          </rPr>
          <t xml:space="preserve">
LPA</t>
        </r>
      </text>
    </comment>
    <comment ref="M556" authorId="1" shapeId="0">
      <text>
        <r>
          <rPr>
            <b/>
            <sz val="9"/>
            <color indexed="81"/>
            <rFont val="Tahoma"/>
            <family val="2"/>
          </rPr>
          <t>Michael Lane:</t>
        </r>
        <r>
          <rPr>
            <sz val="9"/>
            <color indexed="81"/>
            <rFont val="Tahoma"/>
            <family val="2"/>
          </rPr>
          <t xml:space="preserve">
Changed Retrofit / TI / NC
</t>
        </r>
      </text>
    </comment>
    <comment ref="N556" authorId="0" shapeId="0">
      <text>
        <r>
          <rPr>
            <b/>
            <sz val="9"/>
            <color indexed="81"/>
            <rFont val="Tahoma"/>
            <family val="2"/>
          </rPr>
          <t>Michael lane:</t>
        </r>
        <r>
          <rPr>
            <sz val="9"/>
            <color indexed="81"/>
            <rFont val="Tahoma"/>
            <family val="2"/>
          </rPr>
          <t xml:space="preserve">
HVAC factor</t>
        </r>
      </text>
    </comment>
    <comment ref="M557" authorId="0" shapeId="0">
      <text>
        <r>
          <rPr>
            <b/>
            <sz val="9"/>
            <color indexed="81"/>
            <rFont val="Tahoma"/>
            <family val="2"/>
          </rPr>
          <t>Michael lane:</t>
        </r>
        <r>
          <rPr>
            <sz val="9"/>
            <color indexed="81"/>
            <rFont val="Tahoma"/>
            <family val="2"/>
          </rPr>
          <t xml:space="preserve">
Space Type incorrect due to Heat Type Change
</t>
        </r>
      </text>
    </comment>
    <comment ref="N557" authorId="0" shapeId="0">
      <text>
        <r>
          <rPr>
            <b/>
            <sz val="9"/>
            <color indexed="81"/>
            <rFont val="Tahoma"/>
            <family val="2"/>
          </rPr>
          <t>Michael lane:</t>
        </r>
        <r>
          <rPr>
            <sz val="9"/>
            <color indexed="81"/>
            <rFont val="Tahoma"/>
            <family val="2"/>
          </rPr>
          <t xml:space="preserve">
LPA</t>
        </r>
      </text>
    </comment>
    <comment ref="M564" authorId="1" shapeId="0">
      <text>
        <r>
          <rPr>
            <b/>
            <sz val="9"/>
            <color indexed="81"/>
            <rFont val="Tahoma"/>
            <family val="2"/>
          </rPr>
          <t>Michael Lane:</t>
        </r>
        <r>
          <rPr>
            <sz val="9"/>
            <color indexed="81"/>
            <rFont val="Tahoma"/>
            <family val="2"/>
          </rPr>
          <t xml:space="preserve">
Changed Retrofit / TI / NC
</t>
        </r>
      </text>
    </comment>
    <comment ref="N564" authorId="0" shapeId="0">
      <text>
        <r>
          <rPr>
            <b/>
            <sz val="9"/>
            <color indexed="81"/>
            <rFont val="Tahoma"/>
            <family val="2"/>
          </rPr>
          <t>Michael lane:</t>
        </r>
        <r>
          <rPr>
            <sz val="9"/>
            <color indexed="81"/>
            <rFont val="Tahoma"/>
            <family val="2"/>
          </rPr>
          <t xml:space="preserve">
HVAC factor</t>
        </r>
      </text>
    </comment>
    <comment ref="M565" authorId="0" shapeId="0">
      <text>
        <r>
          <rPr>
            <b/>
            <sz val="9"/>
            <color indexed="81"/>
            <rFont val="Tahoma"/>
            <family val="2"/>
          </rPr>
          <t>Michael lane:</t>
        </r>
        <r>
          <rPr>
            <sz val="9"/>
            <color indexed="81"/>
            <rFont val="Tahoma"/>
            <family val="2"/>
          </rPr>
          <t xml:space="preserve">
Space Type incorrect due to Heat Type Change
</t>
        </r>
      </text>
    </comment>
    <comment ref="N565" authorId="0" shapeId="0">
      <text>
        <r>
          <rPr>
            <b/>
            <sz val="9"/>
            <color indexed="81"/>
            <rFont val="Tahoma"/>
            <family val="2"/>
          </rPr>
          <t>Michael lane:</t>
        </r>
        <r>
          <rPr>
            <sz val="9"/>
            <color indexed="81"/>
            <rFont val="Tahoma"/>
            <family val="2"/>
          </rPr>
          <t xml:space="preserve">
LPA</t>
        </r>
      </text>
    </comment>
    <comment ref="M569" authorId="1" shapeId="0">
      <text>
        <r>
          <rPr>
            <b/>
            <sz val="9"/>
            <color indexed="81"/>
            <rFont val="Tahoma"/>
            <family val="2"/>
          </rPr>
          <t>Michael Lane:</t>
        </r>
        <r>
          <rPr>
            <sz val="9"/>
            <color indexed="81"/>
            <rFont val="Tahoma"/>
            <family val="2"/>
          </rPr>
          <t xml:space="preserve">
Changed Retrofit / TI / NC
</t>
        </r>
      </text>
    </comment>
    <comment ref="N569" authorId="0" shapeId="0">
      <text>
        <r>
          <rPr>
            <b/>
            <sz val="9"/>
            <color indexed="81"/>
            <rFont val="Tahoma"/>
            <family val="2"/>
          </rPr>
          <t>Michael lane:</t>
        </r>
        <r>
          <rPr>
            <sz val="9"/>
            <color indexed="81"/>
            <rFont val="Tahoma"/>
            <family val="2"/>
          </rPr>
          <t xml:space="preserve">
HVAC factor</t>
        </r>
      </text>
    </comment>
    <comment ref="M570" authorId="0" shapeId="0">
      <text>
        <r>
          <rPr>
            <b/>
            <sz val="9"/>
            <color indexed="81"/>
            <rFont val="Tahoma"/>
            <family val="2"/>
          </rPr>
          <t>Michael lane:</t>
        </r>
        <r>
          <rPr>
            <sz val="9"/>
            <color indexed="81"/>
            <rFont val="Tahoma"/>
            <family val="2"/>
          </rPr>
          <t xml:space="preserve">
Space Type incorrect due to Heat Type Change
</t>
        </r>
      </text>
    </comment>
    <comment ref="N570" authorId="0" shapeId="0">
      <text>
        <r>
          <rPr>
            <b/>
            <sz val="9"/>
            <color indexed="81"/>
            <rFont val="Tahoma"/>
            <family val="2"/>
          </rPr>
          <t>Michael lane:</t>
        </r>
        <r>
          <rPr>
            <sz val="9"/>
            <color indexed="81"/>
            <rFont val="Tahoma"/>
            <family val="2"/>
          </rPr>
          <t xml:space="preserve">
LPA</t>
        </r>
      </text>
    </comment>
    <comment ref="M574" authorId="1" shapeId="0">
      <text>
        <r>
          <rPr>
            <b/>
            <sz val="9"/>
            <color indexed="81"/>
            <rFont val="Tahoma"/>
            <family val="2"/>
          </rPr>
          <t>Michael Lane:</t>
        </r>
        <r>
          <rPr>
            <sz val="9"/>
            <color indexed="81"/>
            <rFont val="Tahoma"/>
            <family val="2"/>
          </rPr>
          <t xml:space="preserve">
Changed Retrofit / TI / NC
</t>
        </r>
      </text>
    </comment>
    <comment ref="N574" authorId="0" shapeId="0">
      <text>
        <r>
          <rPr>
            <b/>
            <sz val="9"/>
            <color indexed="81"/>
            <rFont val="Tahoma"/>
            <family val="2"/>
          </rPr>
          <t>Michael lane:</t>
        </r>
        <r>
          <rPr>
            <sz val="9"/>
            <color indexed="81"/>
            <rFont val="Tahoma"/>
            <family val="2"/>
          </rPr>
          <t xml:space="preserve">
HVAC factor</t>
        </r>
      </text>
    </comment>
    <comment ref="M575" authorId="0" shapeId="0">
      <text>
        <r>
          <rPr>
            <b/>
            <sz val="9"/>
            <color indexed="81"/>
            <rFont val="Tahoma"/>
            <family val="2"/>
          </rPr>
          <t>Michael lane:</t>
        </r>
        <r>
          <rPr>
            <sz val="9"/>
            <color indexed="81"/>
            <rFont val="Tahoma"/>
            <family val="2"/>
          </rPr>
          <t xml:space="preserve">
Space Type incorrect due to Heat Type Change
</t>
        </r>
      </text>
    </comment>
    <comment ref="N575" authorId="0" shapeId="0">
      <text>
        <r>
          <rPr>
            <b/>
            <sz val="9"/>
            <color indexed="81"/>
            <rFont val="Tahoma"/>
            <family val="2"/>
          </rPr>
          <t>Michael lane:</t>
        </r>
        <r>
          <rPr>
            <sz val="9"/>
            <color indexed="81"/>
            <rFont val="Tahoma"/>
            <family val="2"/>
          </rPr>
          <t xml:space="preserve">
LPA</t>
        </r>
      </text>
    </comment>
    <comment ref="M579" authorId="1" shapeId="0">
      <text>
        <r>
          <rPr>
            <b/>
            <sz val="9"/>
            <color indexed="81"/>
            <rFont val="Tahoma"/>
            <family val="2"/>
          </rPr>
          <t>Michael Lane:</t>
        </r>
        <r>
          <rPr>
            <sz val="9"/>
            <color indexed="81"/>
            <rFont val="Tahoma"/>
            <family val="2"/>
          </rPr>
          <t xml:space="preserve">
Changed Retrofit / TI / NC
</t>
        </r>
      </text>
    </comment>
    <comment ref="N579" authorId="0" shapeId="0">
      <text>
        <r>
          <rPr>
            <b/>
            <sz val="9"/>
            <color indexed="81"/>
            <rFont val="Tahoma"/>
            <family val="2"/>
          </rPr>
          <t>Michael lane:</t>
        </r>
        <r>
          <rPr>
            <sz val="9"/>
            <color indexed="81"/>
            <rFont val="Tahoma"/>
            <family val="2"/>
          </rPr>
          <t xml:space="preserve">
HVAC factor</t>
        </r>
      </text>
    </comment>
    <comment ref="M580" authorId="0" shapeId="0">
      <text>
        <r>
          <rPr>
            <b/>
            <sz val="9"/>
            <color indexed="81"/>
            <rFont val="Tahoma"/>
            <family val="2"/>
          </rPr>
          <t>Michael lane:</t>
        </r>
        <r>
          <rPr>
            <sz val="9"/>
            <color indexed="81"/>
            <rFont val="Tahoma"/>
            <family val="2"/>
          </rPr>
          <t xml:space="preserve">
Space Type incorrect due to Heat Type Change
</t>
        </r>
      </text>
    </comment>
    <comment ref="N580" authorId="0" shapeId="0">
      <text>
        <r>
          <rPr>
            <b/>
            <sz val="9"/>
            <color indexed="81"/>
            <rFont val="Tahoma"/>
            <family val="2"/>
          </rPr>
          <t>Michael lane:</t>
        </r>
        <r>
          <rPr>
            <sz val="9"/>
            <color indexed="81"/>
            <rFont val="Tahoma"/>
            <family val="2"/>
          </rPr>
          <t xml:space="preserve">
LPA</t>
        </r>
      </text>
    </comment>
    <comment ref="M584" authorId="1" shapeId="0">
      <text>
        <r>
          <rPr>
            <b/>
            <sz val="9"/>
            <color indexed="81"/>
            <rFont val="Tahoma"/>
            <family val="2"/>
          </rPr>
          <t>Michael Lane:</t>
        </r>
        <r>
          <rPr>
            <sz val="9"/>
            <color indexed="81"/>
            <rFont val="Tahoma"/>
            <family val="2"/>
          </rPr>
          <t xml:space="preserve">
Changed Retrofit / TI / NC
</t>
        </r>
      </text>
    </comment>
    <comment ref="N584" authorId="0" shapeId="0">
      <text>
        <r>
          <rPr>
            <b/>
            <sz val="9"/>
            <color indexed="81"/>
            <rFont val="Tahoma"/>
            <family val="2"/>
          </rPr>
          <t>Michael lane:</t>
        </r>
        <r>
          <rPr>
            <sz val="9"/>
            <color indexed="81"/>
            <rFont val="Tahoma"/>
            <family val="2"/>
          </rPr>
          <t xml:space="preserve">
HVAC factor</t>
        </r>
      </text>
    </comment>
    <comment ref="M585" authorId="0" shapeId="0">
      <text>
        <r>
          <rPr>
            <b/>
            <sz val="9"/>
            <color indexed="81"/>
            <rFont val="Tahoma"/>
            <family val="2"/>
          </rPr>
          <t>Michael lane:</t>
        </r>
        <r>
          <rPr>
            <sz val="9"/>
            <color indexed="81"/>
            <rFont val="Tahoma"/>
            <family val="2"/>
          </rPr>
          <t xml:space="preserve">
Space Type incorrect due to Heat Type Change
</t>
        </r>
      </text>
    </comment>
    <comment ref="N585" authorId="0" shapeId="0">
      <text>
        <r>
          <rPr>
            <b/>
            <sz val="9"/>
            <color indexed="81"/>
            <rFont val="Tahoma"/>
            <family val="2"/>
          </rPr>
          <t>Michael lane:</t>
        </r>
        <r>
          <rPr>
            <sz val="9"/>
            <color indexed="81"/>
            <rFont val="Tahoma"/>
            <family val="2"/>
          </rPr>
          <t xml:space="preserve">
LPA</t>
        </r>
      </text>
    </comment>
    <comment ref="M589" authorId="1" shapeId="0">
      <text>
        <r>
          <rPr>
            <b/>
            <sz val="9"/>
            <color indexed="81"/>
            <rFont val="Tahoma"/>
            <family val="2"/>
          </rPr>
          <t>Michael Lane:</t>
        </r>
        <r>
          <rPr>
            <sz val="9"/>
            <color indexed="81"/>
            <rFont val="Tahoma"/>
            <family val="2"/>
          </rPr>
          <t xml:space="preserve">
Changed Retrofit / TI / NC
</t>
        </r>
      </text>
    </comment>
    <comment ref="N589" authorId="0" shapeId="0">
      <text>
        <r>
          <rPr>
            <b/>
            <sz val="9"/>
            <color indexed="81"/>
            <rFont val="Tahoma"/>
            <family val="2"/>
          </rPr>
          <t>Michael lane:</t>
        </r>
        <r>
          <rPr>
            <sz val="9"/>
            <color indexed="81"/>
            <rFont val="Tahoma"/>
            <family val="2"/>
          </rPr>
          <t xml:space="preserve">
HVAC factor</t>
        </r>
      </text>
    </comment>
    <comment ref="M590" authorId="0" shapeId="0">
      <text>
        <r>
          <rPr>
            <b/>
            <sz val="9"/>
            <color indexed="81"/>
            <rFont val="Tahoma"/>
            <family val="2"/>
          </rPr>
          <t>Michael lane:</t>
        </r>
        <r>
          <rPr>
            <sz val="9"/>
            <color indexed="81"/>
            <rFont val="Tahoma"/>
            <family val="2"/>
          </rPr>
          <t xml:space="preserve">
Space Type incorrect due to Heat Type Change
</t>
        </r>
      </text>
    </comment>
    <comment ref="N590" authorId="0" shapeId="0">
      <text>
        <r>
          <rPr>
            <b/>
            <sz val="9"/>
            <color indexed="81"/>
            <rFont val="Tahoma"/>
            <family val="2"/>
          </rPr>
          <t>Michael lane:</t>
        </r>
        <r>
          <rPr>
            <sz val="9"/>
            <color indexed="81"/>
            <rFont val="Tahoma"/>
            <family val="2"/>
          </rPr>
          <t xml:space="preserve">
LPA</t>
        </r>
      </text>
    </comment>
    <comment ref="M594" authorId="1" shapeId="0">
      <text>
        <r>
          <rPr>
            <b/>
            <sz val="9"/>
            <color indexed="81"/>
            <rFont val="Tahoma"/>
            <family val="2"/>
          </rPr>
          <t>Michael Lane:</t>
        </r>
        <r>
          <rPr>
            <sz val="9"/>
            <color indexed="81"/>
            <rFont val="Tahoma"/>
            <family val="2"/>
          </rPr>
          <t xml:space="preserve">
Changed Retrofit / TI / NC
</t>
        </r>
      </text>
    </comment>
    <comment ref="N594" authorId="0" shapeId="0">
      <text>
        <r>
          <rPr>
            <b/>
            <sz val="9"/>
            <color indexed="81"/>
            <rFont val="Tahoma"/>
            <family val="2"/>
          </rPr>
          <t>Michael lane:</t>
        </r>
        <r>
          <rPr>
            <sz val="9"/>
            <color indexed="81"/>
            <rFont val="Tahoma"/>
            <family val="2"/>
          </rPr>
          <t xml:space="preserve">
HVAC factor</t>
        </r>
      </text>
    </comment>
    <comment ref="M595" authorId="0" shapeId="0">
      <text>
        <r>
          <rPr>
            <b/>
            <sz val="9"/>
            <color indexed="81"/>
            <rFont val="Tahoma"/>
            <family val="2"/>
          </rPr>
          <t>Michael lane:</t>
        </r>
        <r>
          <rPr>
            <sz val="9"/>
            <color indexed="81"/>
            <rFont val="Tahoma"/>
            <family val="2"/>
          </rPr>
          <t xml:space="preserve">
Space Type incorrect due to Heat Type Change
</t>
        </r>
      </text>
    </comment>
    <comment ref="N595" authorId="0" shapeId="0">
      <text>
        <r>
          <rPr>
            <b/>
            <sz val="9"/>
            <color indexed="81"/>
            <rFont val="Tahoma"/>
            <family val="2"/>
          </rPr>
          <t>Michael lane:</t>
        </r>
        <r>
          <rPr>
            <sz val="9"/>
            <color indexed="81"/>
            <rFont val="Tahoma"/>
            <family val="2"/>
          </rPr>
          <t xml:space="preserve">
LPA</t>
        </r>
      </text>
    </comment>
    <comment ref="M599" authorId="1" shapeId="0">
      <text>
        <r>
          <rPr>
            <b/>
            <sz val="9"/>
            <color indexed="81"/>
            <rFont val="Tahoma"/>
            <family val="2"/>
          </rPr>
          <t>Michael Lane:</t>
        </r>
        <r>
          <rPr>
            <sz val="9"/>
            <color indexed="81"/>
            <rFont val="Tahoma"/>
            <family val="2"/>
          </rPr>
          <t xml:space="preserve">
Changed Retrofit / TI / NC
</t>
        </r>
      </text>
    </comment>
    <comment ref="N599" authorId="0" shapeId="0">
      <text>
        <r>
          <rPr>
            <b/>
            <sz val="9"/>
            <color indexed="81"/>
            <rFont val="Tahoma"/>
            <family val="2"/>
          </rPr>
          <t>Michael lane:</t>
        </r>
        <r>
          <rPr>
            <sz val="9"/>
            <color indexed="81"/>
            <rFont val="Tahoma"/>
            <family val="2"/>
          </rPr>
          <t xml:space="preserve">
HVAC factor</t>
        </r>
      </text>
    </comment>
    <comment ref="M600" authorId="0" shapeId="0">
      <text>
        <r>
          <rPr>
            <b/>
            <sz val="9"/>
            <color indexed="81"/>
            <rFont val="Tahoma"/>
            <family val="2"/>
          </rPr>
          <t>Michael lane:</t>
        </r>
        <r>
          <rPr>
            <sz val="9"/>
            <color indexed="81"/>
            <rFont val="Tahoma"/>
            <family val="2"/>
          </rPr>
          <t xml:space="preserve">
Space Type incorrect due to Heat Type Change
</t>
        </r>
      </text>
    </comment>
    <comment ref="N600" authorId="0" shapeId="0">
      <text>
        <r>
          <rPr>
            <b/>
            <sz val="9"/>
            <color indexed="81"/>
            <rFont val="Tahoma"/>
            <family val="2"/>
          </rPr>
          <t>Michael lane:</t>
        </r>
        <r>
          <rPr>
            <sz val="9"/>
            <color indexed="81"/>
            <rFont val="Tahoma"/>
            <family val="2"/>
          </rPr>
          <t xml:space="preserve">
LPA</t>
        </r>
      </text>
    </comment>
    <comment ref="M604" authorId="1" shapeId="0">
      <text>
        <r>
          <rPr>
            <b/>
            <sz val="9"/>
            <color indexed="81"/>
            <rFont val="Tahoma"/>
            <family val="2"/>
          </rPr>
          <t>Michael Lane:</t>
        </r>
        <r>
          <rPr>
            <sz val="9"/>
            <color indexed="81"/>
            <rFont val="Tahoma"/>
            <family val="2"/>
          </rPr>
          <t xml:space="preserve">
Changed Retrofit / TI / NC
</t>
        </r>
      </text>
    </comment>
    <comment ref="N604" authorId="0" shapeId="0">
      <text>
        <r>
          <rPr>
            <b/>
            <sz val="9"/>
            <color indexed="81"/>
            <rFont val="Tahoma"/>
            <family val="2"/>
          </rPr>
          <t>Michael lane:</t>
        </r>
        <r>
          <rPr>
            <sz val="9"/>
            <color indexed="81"/>
            <rFont val="Tahoma"/>
            <family val="2"/>
          </rPr>
          <t xml:space="preserve">
HVAC factor</t>
        </r>
      </text>
    </comment>
    <comment ref="M605" authorId="0" shapeId="0">
      <text>
        <r>
          <rPr>
            <b/>
            <sz val="9"/>
            <color indexed="81"/>
            <rFont val="Tahoma"/>
            <family val="2"/>
          </rPr>
          <t>Michael lane:</t>
        </r>
        <r>
          <rPr>
            <sz val="9"/>
            <color indexed="81"/>
            <rFont val="Tahoma"/>
            <family val="2"/>
          </rPr>
          <t xml:space="preserve">
Space Type incorrect due to Heat Type Change
</t>
        </r>
      </text>
    </comment>
    <comment ref="N605" authorId="0" shapeId="0">
      <text>
        <r>
          <rPr>
            <b/>
            <sz val="9"/>
            <color indexed="81"/>
            <rFont val="Tahoma"/>
            <family val="2"/>
          </rPr>
          <t>Michael lane:</t>
        </r>
        <r>
          <rPr>
            <sz val="9"/>
            <color indexed="81"/>
            <rFont val="Tahoma"/>
            <family val="2"/>
          </rPr>
          <t xml:space="preserve">
LPA</t>
        </r>
      </text>
    </comment>
    <comment ref="M609" authorId="1" shapeId="0">
      <text>
        <r>
          <rPr>
            <b/>
            <sz val="9"/>
            <color indexed="81"/>
            <rFont val="Tahoma"/>
            <family val="2"/>
          </rPr>
          <t>Michael Lane:</t>
        </r>
        <r>
          <rPr>
            <sz val="9"/>
            <color indexed="81"/>
            <rFont val="Tahoma"/>
            <family val="2"/>
          </rPr>
          <t xml:space="preserve">
Changed Retrofit / TI / NC
</t>
        </r>
      </text>
    </comment>
    <comment ref="N609" authorId="0" shapeId="0">
      <text>
        <r>
          <rPr>
            <b/>
            <sz val="9"/>
            <color indexed="81"/>
            <rFont val="Tahoma"/>
            <family val="2"/>
          </rPr>
          <t>Michael lane:</t>
        </r>
        <r>
          <rPr>
            <sz val="9"/>
            <color indexed="81"/>
            <rFont val="Tahoma"/>
            <family val="2"/>
          </rPr>
          <t xml:space="preserve">
HVAC factor</t>
        </r>
      </text>
    </comment>
    <comment ref="M610" authorId="0" shapeId="0">
      <text>
        <r>
          <rPr>
            <b/>
            <sz val="9"/>
            <color indexed="81"/>
            <rFont val="Tahoma"/>
            <family val="2"/>
          </rPr>
          <t>Michael lane:</t>
        </r>
        <r>
          <rPr>
            <sz val="9"/>
            <color indexed="81"/>
            <rFont val="Tahoma"/>
            <family val="2"/>
          </rPr>
          <t xml:space="preserve">
Space Type incorrect due to Heat Type Change
</t>
        </r>
      </text>
    </comment>
    <comment ref="N610" authorId="0" shapeId="0">
      <text>
        <r>
          <rPr>
            <b/>
            <sz val="9"/>
            <color indexed="81"/>
            <rFont val="Tahoma"/>
            <family val="2"/>
          </rPr>
          <t>Michael lane:</t>
        </r>
        <r>
          <rPr>
            <sz val="9"/>
            <color indexed="81"/>
            <rFont val="Tahoma"/>
            <family val="2"/>
          </rPr>
          <t xml:space="preserve">
LPA</t>
        </r>
      </text>
    </comment>
    <comment ref="M614" authorId="1" shapeId="0">
      <text>
        <r>
          <rPr>
            <b/>
            <sz val="9"/>
            <color indexed="81"/>
            <rFont val="Tahoma"/>
            <family val="2"/>
          </rPr>
          <t>Michael Lane:</t>
        </r>
        <r>
          <rPr>
            <sz val="9"/>
            <color indexed="81"/>
            <rFont val="Tahoma"/>
            <family val="2"/>
          </rPr>
          <t xml:space="preserve">
Changed Retrofit / TI / NC
</t>
        </r>
      </text>
    </comment>
    <comment ref="N614" authorId="0" shapeId="0">
      <text>
        <r>
          <rPr>
            <b/>
            <sz val="9"/>
            <color indexed="81"/>
            <rFont val="Tahoma"/>
            <family val="2"/>
          </rPr>
          <t>Michael lane:</t>
        </r>
        <r>
          <rPr>
            <sz val="9"/>
            <color indexed="81"/>
            <rFont val="Tahoma"/>
            <family val="2"/>
          </rPr>
          <t xml:space="preserve">
HVAC factor</t>
        </r>
      </text>
    </comment>
    <comment ref="M615" authorId="0" shapeId="0">
      <text>
        <r>
          <rPr>
            <b/>
            <sz val="9"/>
            <color indexed="81"/>
            <rFont val="Tahoma"/>
            <family val="2"/>
          </rPr>
          <t>Michael lane:</t>
        </r>
        <r>
          <rPr>
            <sz val="9"/>
            <color indexed="81"/>
            <rFont val="Tahoma"/>
            <family val="2"/>
          </rPr>
          <t xml:space="preserve">
Space Type incorrect due to Heat Type Change
</t>
        </r>
      </text>
    </comment>
    <comment ref="N615" authorId="0" shapeId="0">
      <text>
        <r>
          <rPr>
            <b/>
            <sz val="9"/>
            <color indexed="81"/>
            <rFont val="Tahoma"/>
            <family val="2"/>
          </rPr>
          <t>Michael lane:</t>
        </r>
        <r>
          <rPr>
            <sz val="9"/>
            <color indexed="81"/>
            <rFont val="Tahoma"/>
            <family val="2"/>
          </rPr>
          <t xml:space="preserve">
LPA</t>
        </r>
      </text>
    </comment>
    <comment ref="M619" authorId="1" shapeId="0">
      <text>
        <r>
          <rPr>
            <b/>
            <sz val="9"/>
            <color indexed="81"/>
            <rFont val="Tahoma"/>
            <family val="2"/>
          </rPr>
          <t>Michael Lane:</t>
        </r>
        <r>
          <rPr>
            <sz val="9"/>
            <color indexed="81"/>
            <rFont val="Tahoma"/>
            <family val="2"/>
          </rPr>
          <t xml:space="preserve">
Changed Retrofit / TI / NC
</t>
        </r>
      </text>
    </comment>
    <comment ref="N619" authorId="0" shapeId="0">
      <text>
        <r>
          <rPr>
            <b/>
            <sz val="9"/>
            <color indexed="81"/>
            <rFont val="Tahoma"/>
            <family val="2"/>
          </rPr>
          <t>Michael lane:</t>
        </r>
        <r>
          <rPr>
            <sz val="9"/>
            <color indexed="81"/>
            <rFont val="Tahoma"/>
            <family val="2"/>
          </rPr>
          <t xml:space="preserve">
HVAC factor</t>
        </r>
      </text>
    </comment>
    <comment ref="M620" authorId="0" shapeId="0">
      <text>
        <r>
          <rPr>
            <b/>
            <sz val="9"/>
            <color indexed="81"/>
            <rFont val="Tahoma"/>
            <family val="2"/>
          </rPr>
          <t>Michael lane:</t>
        </r>
        <r>
          <rPr>
            <sz val="9"/>
            <color indexed="81"/>
            <rFont val="Tahoma"/>
            <family val="2"/>
          </rPr>
          <t xml:space="preserve">
Space Type incorrect due to Heat Type Change
</t>
        </r>
      </text>
    </comment>
    <comment ref="N620" authorId="0" shapeId="0">
      <text>
        <r>
          <rPr>
            <b/>
            <sz val="9"/>
            <color indexed="81"/>
            <rFont val="Tahoma"/>
            <family val="2"/>
          </rPr>
          <t>Michael lane:</t>
        </r>
        <r>
          <rPr>
            <sz val="9"/>
            <color indexed="81"/>
            <rFont val="Tahoma"/>
            <family val="2"/>
          </rPr>
          <t xml:space="preserve">
LPA</t>
        </r>
      </text>
    </comment>
    <comment ref="M624" authorId="1" shapeId="0">
      <text>
        <r>
          <rPr>
            <b/>
            <sz val="9"/>
            <color indexed="81"/>
            <rFont val="Tahoma"/>
            <family val="2"/>
          </rPr>
          <t>Michael Lane:</t>
        </r>
        <r>
          <rPr>
            <sz val="9"/>
            <color indexed="81"/>
            <rFont val="Tahoma"/>
            <family val="2"/>
          </rPr>
          <t xml:space="preserve">
Changed Retrofit / TI / NC
</t>
        </r>
      </text>
    </comment>
    <comment ref="N624" authorId="0" shapeId="0">
      <text>
        <r>
          <rPr>
            <b/>
            <sz val="9"/>
            <color indexed="81"/>
            <rFont val="Tahoma"/>
            <family val="2"/>
          </rPr>
          <t>Michael lane:</t>
        </r>
        <r>
          <rPr>
            <sz val="9"/>
            <color indexed="81"/>
            <rFont val="Tahoma"/>
            <family val="2"/>
          </rPr>
          <t xml:space="preserve">
HVAC factor</t>
        </r>
      </text>
    </comment>
    <comment ref="M625" authorId="0" shapeId="0">
      <text>
        <r>
          <rPr>
            <b/>
            <sz val="9"/>
            <color indexed="81"/>
            <rFont val="Tahoma"/>
            <family val="2"/>
          </rPr>
          <t>Michael lane:</t>
        </r>
        <r>
          <rPr>
            <sz val="9"/>
            <color indexed="81"/>
            <rFont val="Tahoma"/>
            <family val="2"/>
          </rPr>
          <t xml:space="preserve">
Space Type incorrect due to Heat Type Change
</t>
        </r>
      </text>
    </comment>
    <comment ref="N625" authorId="0" shapeId="0">
      <text>
        <r>
          <rPr>
            <b/>
            <sz val="9"/>
            <color indexed="81"/>
            <rFont val="Tahoma"/>
            <family val="2"/>
          </rPr>
          <t>Michael lane:</t>
        </r>
        <r>
          <rPr>
            <sz val="9"/>
            <color indexed="81"/>
            <rFont val="Tahoma"/>
            <family val="2"/>
          </rPr>
          <t xml:space="preserve">
LPA</t>
        </r>
      </text>
    </comment>
    <comment ref="M629" authorId="1" shapeId="0">
      <text>
        <r>
          <rPr>
            <b/>
            <sz val="9"/>
            <color indexed="81"/>
            <rFont val="Tahoma"/>
            <family val="2"/>
          </rPr>
          <t>Michael Lane:</t>
        </r>
        <r>
          <rPr>
            <sz val="9"/>
            <color indexed="81"/>
            <rFont val="Tahoma"/>
            <family val="2"/>
          </rPr>
          <t xml:space="preserve">
Changed Retrofit / TI / NC
</t>
        </r>
      </text>
    </comment>
    <comment ref="N629" authorId="0" shapeId="0">
      <text>
        <r>
          <rPr>
            <b/>
            <sz val="9"/>
            <color indexed="81"/>
            <rFont val="Tahoma"/>
            <family val="2"/>
          </rPr>
          <t>Michael lane:</t>
        </r>
        <r>
          <rPr>
            <sz val="9"/>
            <color indexed="81"/>
            <rFont val="Tahoma"/>
            <family val="2"/>
          </rPr>
          <t xml:space="preserve">
HVAC factor</t>
        </r>
      </text>
    </comment>
    <comment ref="M630" authorId="0" shapeId="0">
      <text>
        <r>
          <rPr>
            <b/>
            <sz val="9"/>
            <color indexed="81"/>
            <rFont val="Tahoma"/>
            <family val="2"/>
          </rPr>
          <t>Michael lane:</t>
        </r>
        <r>
          <rPr>
            <sz val="9"/>
            <color indexed="81"/>
            <rFont val="Tahoma"/>
            <family val="2"/>
          </rPr>
          <t xml:space="preserve">
Space Type incorrect due to Heat Type Change
</t>
        </r>
      </text>
    </comment>
    <comment ref="N630" authorId="0" shapeId="0">
      <text>
        <r>
          <rPr>
            <b/>
            <sz val="9"/>
            <color indexed="81"/>
            <rFont val="Tahoma"/>
            <family val="2"/>
          </rPr>
          <t>Michael lane:</t>
        </r>
        <r>
          <rPr>
            <sz val="9"/>
            <color indexed="81"/>
            <rFont val="Tahoma"/>
            <family val="2"/>
          </rPr>
          <t xml:space="preserve">
LPA</t>
        </r>
      </text>
    </comment>
    <comment ref="M634" authorId="1" shapeId="0">
      <text>
        <r>
          <rPr>
            <b/>
            <sz val="9"/>
            <color indexed="81"/>
            <rFont val="Tahoma"/>
            <family val="2"/>
          </rPr>
          <t>Michael Lane:</t>
        </r>
        <r>
          <rPr>
            <sz val="9"/>
            <color indexed="81"/>
            <rFont val="Tahoma"/>
            <family val="2"/>
          </rPr>
          <t xml:space="preserve">
Changed Retrofit / TI / NC
</t>
        </r>
      </text>
    </comment>
    <comment ref="N634" authorId="0" shapeId="0">
      <text>
        <r>
          <rPr>
            <b/>
            <sz val="9"/>
            <color indexed="81"/>
            <rFont val="Tahoma"/>
            <family val="2"/>
          </rPr>
          <t>Michael lane:</t>
        </r>
        <r>
          <rPr>
            <sz val="9"/>
            <color indexed="81"/>
            <rFont val="Tahoma"/>
            <family val="2"/>
          </rPr>
          <t xml:space="preserve">
HVAC factor</t>
        </r>
      </text>
    </comment>
    <comment ref="M635" authorId="0" shapeId="0">
      <text>
        <r>
          <rPr>
            <b/>
            <sz val="9"/>
            <color indexed="81"/>
            <rFont val="Tahoma"/>
            <family val="2"/>
          </rPr>
          <t>Michael lane:</t>
        </r>
        <r>
          <rPr>
            <sz val="9"/>
            <color indexed="81"/>
            <rFont val="Tahoma"/>
            <family val="2"/>
          </rPr>
          <t xml:space="preserve">
Space Type incorrect due to Heat Type Change
</t>
        </r>
      </text>
    </comment>
    <comment ref="N635" authorId="0" shapeId="0">
      <text>
        <r>
          <rPr>
            <b/>
            <sz val="9"/>
            <color indexed="81"/>
            <rFont val="Tahoma"/>
            <family val="2"/>
          </rPr>
          <t>Michael lane:</t>
        </r>
        <r>
          <rPr>
            <sz val="9"/>
            <color indexed="81"/>
            <rFont val="Tahoma"/>
            <family val="2"/>
          </rPr>
          <t xml:space="preserve">
LPA</t>
        </r>
      </text>
    </comment>
    <comment ref="M642" authorId="1" shapeId="0">
      <text>
        <r>
          <rPr>
            <b/>
            <sz val="9"/>
            <color indexed="81"/>
            <rFont val="Tahoma"/>
            <family val="2"/>
          </rPr>
          <t>Michael Lane:</t>
        </r>
        <r>
          <rPr>
            <sz val="9"/>
            <color indexed="81"/>
            <rFont val="Tahoma"/>
            <family val="2"/>
          </rPr>
          <t xml:space="preserve">
Changed Retrofit / TI / NC
</t>
        </r>
      </text>
    </comment>
    <comment ref="N642" authorId="0" shapeId="0">
      <text>
        <r>
          <rPr>
            <b/>
            <sz val="9"/>
            <color indexed="81"/>
            <rFont val="Tahoma"/>
            <family val="2"/>
          </rPr>
          <t>Michael lane:</t>
        </r>
        <r>
          <rPr>
            <sz val="9"/>
            <color indexed="81"/>
            <rFont val="Tahoma"/>
            <family val="2"/>
          </rPr>
          <t xml:space="preserve">
HVAC factor</t>
        </r>
      </text>
    </comment>
    <comment ref="M643" authorId="0" shapeId="0">
      <text>
        <r>
          <rPr>
            <b/>
            <sz val="9"/>
            <color indexed="81"/>
            <rFont val="Tahoma"/>
            <family val="2"/>
          </rPr>
          <t>Michael lane:</t>
        </r>
        <r>
          <rPr>
            <sz val="9"/>
            <color indexed="81"/>
            <rFont val="Tahoma"/>
            <family val="2"/>
          </rPr>
          <t xml:space="preserve">
Space Type incorrect due to Heat Type Change
</t>
        </r>
      </text>
    </comment>
    <comment ref="N643" authorId="0" shapeId="0">
      <text>
        <r>
          <rPr>
            <b/>
            <sz val="9"/>
            <color indexed="81"/>
            <rFont val="Tahoma"/>
            <family val="2"/>
          </rPr>
          <t>Michael lane:</t>
        </r>
        <r>
          <rPr>
            <sz val="9"/>
            <color indexed="81"/>
            <rFont val="Tahoma"/>
            <family val="2"/>
          </rPr>
          <t xml:space="preserve">
LPA</t>
        </r>
      </text>
    </comment>
    <comment ref="M647" authorId="1" shapeId="0">
      <text>
        <r>
          <rPr>
            <b/>
            <sz val="9"/>
            <color indexed="81"/>
            <rFont val="Tahoma"/>
            <family val="2"/>
          </rPr>
          <t>Michael Lane:</t>
        </r>
        <r>
          <rPr>
            <sz val="9"/>
            <color indexed="81"/>
            <rFont val="Tahoma"/>
            <family val="2"/>
          </rPr>
          <t xml:space="preserve">
Changed Retrofit / TI / NC
</t>
        </r>
      </text>
    </comment>
    <comment ref="N647" authorId="0" shapeId="0">
      <text>
        <r>
          <rPr>
            <b/>
            <sz val="9"/>
            <color indexed="81"/>
            <rFont val="Tahoma"/>
            <family val="2"/>
          </rPr>
          <t>Michael lane:</t>
        </r>
        <r>
          <rPr>
            <sz val="9"/>
            <color indexed="81"/>
            <rFont val="Tahoma"/>
            <family val="2"/>
          </rPr>
          <t xml:space="preserve">
HVAC factor</t>
        </r>
      </text>
    </comment>
    <comment ref="M648" authorId="0" shapeId="0">
      <text>
        <r>
          <rPr>
            <b/>
            <sz val="9"/>
            <color indexed="81"/>
            <rFont val="Tahoma"/>
            <family val="2"/>
          </rPr>
          <t>Michael lane:</t>
        </r>
        <r>
          <rPr>
            <sz val="9"/>
            <color indexed="81"/>
            <rFont val="Tahoma"/>
            <family val="2"/>
          </rPr>
          <t xml:space="preserve">
Space Type incorrect due to Heat Type Change
</t>
        </r>
      </text>
    </comment>
    <comment ref="N648" authorId="0" shapeId="0">
      <text>
        <r>
          <rPr>
            <b/>
            <sz val="9"/>
            <color indexed="81"/>
            <rFont val="Tahoma"/>
            <family val="2"/>
          </rPr>
          <t>Michael lane:</t>
        </r>
        <r>
          <rPr>
            <sz val="9"/>
            <color indexed="81"/>
            <rFont val="Tahoma"/>
            <family val="2"/>
          </rPr>
          <t xml:space="preserve">
LPA</t>
        </r>
      </text>
    </comment>
    <comment ref="M652" authorId="1" shapeId="0">
      <text>
        <r>
          <rPr>
            <b/>
            <sz val="9"/>
            <color indexed="81"/>
            <rFont val="Tahoma"/>
            <family val="2"/>
          </rPr>
          <t>Michael Lane:</t>
        </r>
        <r>
          <rPr>
            <sz val="9"/>
            <color indexed="81"/>
            <rFont val="Tahoma"/>
            <family val="2"/>
          </rPr>
          <t xml:space="preserve">
Changed Retrofit / TI / NC
</t>
        </r>
      </text>
    </comment>
    <comment ref="N652" authorId="0" shapeId="0">
      <text>
        <r>
          <rPr>
            <b/>
            <sz val="9"/>
            <color indexed="81"/>
            <rFont val="Tahoma"/>
            <family val="2"/>
          </rPr>
          <t>Michael lane:</t>
        </r>
        <r>
          <rPr>
            <sz val="9"/>
            <color indexed="81"/>
            <rFont val="Tahoma"/>
            <family val="2"/>
          </rPr>
          <t xml:space="preserve">
HVAC factor</t>
        </r>
      </text>
    </comment>
    <comment ref="M653" authorId="0" shapeId="0">
      <text>
        <r>
          <rPr>
            <b/>
            <sz val="9"/>
            <color indexed="81"/>
            <rFont val="Tahoma"/>
            <family val="2"/>
          </rPr>
          <t>Michael lane:</t>
        </r>
        <r>
          <rPr>
            <sz val="9"/>
            <color indexed="81"/>
            <rFont val="Tahoma"/>
            <family val="2"/>
          </rPr>
          <t xml:space="preserve">
Space Type incorrect due to Heat Type Change
</t>
        </r>
      </text>
    </comment>
    <comment ref="N653" authorId="0" shapeId="0">
      <text>
        <r>
          <rPr>
            <b/>
            <sz val="9"/>
            <color indexed="81"/>
            <rFont val="Tahoma"/>
            <family val="2"/>
          </rPr>
          <t>Michael lane:</t>
        </r>
        <r>
          <rPr>
            <sz val="9"/>
            <color indexed="81"/>
            <rFont val="Tahoma"/>
            <family val="2"/>
          </rPr>
          <t xml:space="preserve">
LPA</t>
        </r>
      </text>
    </comment>
    <comment ref="M657" authorId="1" shapeId="0">
      <text>
        <r>
          <rPr>
            <b/>
            <sz val="9"/>
            <color indexed="81"/>
            <rFont val="Tahoma"/>
            <family val="2"/>
          </rPr>
          <t>Michael Lane:</t>
        </r>
        <r>
          <rPr>
            <sz val="9"/>
            <color indexed="81"/>
            <rFont val="Tahoma"/>
            <family val="2"/>
          </rPr>
          <t xml:space="preserve">
Changed Retrofit / TI / NC
</t>
        </r>
      </text>
    </comment>
    <comment ref="N657" authorId="0" shapeId="0">
      <text>
        <r>
          <rPr>
            <b/>
            <sz val="9"/>
            <color indexed="81"/>
            <rFont val="Tahoma"/>
            <family val="2"/>
          </rPr>
          <t>Michael lane:</t>
        </r>
        <r>
          <rPr>
            <sz val="9"/>
            <color indexed="81"/>
            <rFont val="Tahoma"/>
            <family val="2"/>
          </rPr>
          <t xml:space="preserve">
HVAC factor</t>
        </r>
      </text>
    </comment>
    <comment ref="M658" authorId="0" shapeId="0">
      <text>
        <r>
          <rPr>
            <b/>
            <sz val="9"/>
            <color indexed="81"/>
            <rFont val="Tahoma"/>
            <family val="2"/>
          </rPr>
          <t>Michael lane:</t>
        </r>
        <r>
          <rPr>
            <sz val="9"/>
            <color indexed="81"/>
            <rFont val="Tahoma"/>
            <family val="2"/>
          </rPr>
          <t xml:space="preserve">
Space Type incorrect due to Heat Type Change
</t>
        </r>
      </text>
    </comment>
    <comment ref="N658" authorId="0" shapeId="0">
      <text>
        <r>
          <rPr>
            <b/>
            <sz val="9"/>
            <color indexed="81"/>
            <rFont val="Tahoma"/>
            <family val="2"/>
          </rPr>
          <t>Michael lane:</t>
        </r>
        <r>
          <rPr>
            <sz val="9"/>
            <color indexed="81"/>
            <rFont val="Tahoma"/>
            <family val="2"/>
          </rPr>
          <t xml:space="preserve">
LPA</t>
        </r>
      </text>
    </comment>
    <comment ref="M662" authorId="1" shapeId="0">
      <text>
        <r>
          <rPr>
            <b/>
            <sz val="9"/>
            <color indexed="81"/>
            <rFont val="Tahoma"/>
            <family val="2"/>
          </rPr>
          <t>Michael Lane:</t>
        </r>
        <r>
          <rPr>
            <sz val="9"/>
            <color indexed="81"/>
            <rFont val="Tahoma"/>
            <family val="2"/>
          </rPr>
          <t xml:space="preserve">
Changed Retrofit / TI / NC
</t>
        </r>
      </text>
    </comment>
    <comment ref="N662" authorId="0" shapeId="0">
      <text>
        <r>
          <rPr>
            <b/>
            <sz val="9"/>
            <color indexed="81"/>
            <rFont val="Tahoma"/>
            <family val="2"/>
          </rPr>
          <t>Michael lane:</t>
        </r>
        <r>
          <rPr>
            <sz val="9"/>
            <color indexed="81"/>
            <rFont val="Tahoma"/>
            <family val="2"/>
          </rPr>
          <t xml:space="preserve">
HVAC factor</t>
        </r>
      </text>
    </comment>
    <comment ref="M663" authorId="0" shapeId="0">
      <text>
        <r>
          <rPr>
            <b/>
            <sz val="9"/>
            <color indexed="81"/>
            <rFont val="Tahoma"/>
            <family val="2"/>
          </rPr>
          <t>Michael lane:</t>
        </r>
        <r>
          <rPr>
            <sz val="9"/>
            <color indexed="81"/>
            <rFont val="Tahoma"/>
            <family val="2"/>
          </rPr>
          <t xml:space="preserve">
Space Type incorrect due to Heat Type Change
</t>
        </r>
      </text>
    </comment>
    <comment ref="N663" authorId="0" shapeId="0">
      <text>
        <r>
          <rPr>
            <b/>
            <sz val="9"/>
            <color indexed="81"/>
            <rFont val="Tahoma"/>
            <family val="2"/>
          </rPr>
          <t>Michael lane:</t>
        </r>
        <r>
          <rPr>
            <sz val="9"/>
            <color indexed="81"/>
            <rFont val="Tahoma"/>
            <family val="2"/>
          </rPr>
          <t xml:space="preserve">
LPA</t>
        </r>
      </text>
    </comment>
    <comment ref="M667" authorId="1" shapeId="0">
      <text>
        <r>
          <rPr>
            <b/>
            <sz val="9"/>
            <color indexed="81"/>
            <rFont val="Tahoma"/>
            <family val="2"/>
          </rPr>
          <t>Michael Lane:</t>
        </r>
        <r>
          <rPr>
            <sz val="9"/>
            <color indexed="81"/>
            <rFont val="Tahoma"/>
            <family val="2"/>
          </rPr>
          <t xml:space="preserve">
Changed Retrofit / TI / NC
</t>
        </r>
      </text>
    </comment>
    <comment ref="N667" authorId="0" shapeId="0">
      <text>
        <r>
          <rPr>
            <b/>
            <sz val="9"/>
            <color indexed="81"/>
            <rFont val="Tahoma"/>
            <family val="2"/>
          </rPr>
          <t>Michael lane:</t>
        </r>
        <r>
          <rPr>
            <sz val="9"/>
            <color indexed="81"/>
            <rFont val="Tahoma"/>
            <family val="2"/>
          </rPr>
          <t xml:space="preserve">
HVAC factor</t>
        </r>
      </text>
    </comment>
    <comment ref="M668" authorId="0" shapeId="0">
      <text>
        <r>
          <rPr>
            <b/>
            <sz val="9"/>
            <color indexed="81"/>
            <rFont val="Tahoma"/>
            <family val="2"/>
          </rPr>
          <t>Michael lane:</t>
        </r>
        <r>
          <rPr>
            <sz val="9"/>
            <color indexed="81"/>
            <rFont val="Tahoma"/>
            <family val="2"/>
          </rPr>
          <t xml:space="preserve">
Space Type incorrect due to Heat Type Change
</t>
        </r>
      </text>
    </comment>
    <comment ref="N668" authorId="0" shapeId="0">
      <text>
        <r>
          <rPr>
            <b/>
            <sz val="9"/>
            <color indexed="81"/>
            <rFont val="Tahoma"/>
            <family val="2"/>
          </rPr>
          <t>Michael lane:</t>
        </r>
        <r>
          <rPr>
            <sz val="9"/>
            <color indexed="81"/>
            <rFont val="Tahoma"/>
            <family val="2"/>
          </rPr>
          <t xml:space="preserve">
LPA</t>
        </r>
      </text>
    </comment>
    <comment ref="M672" authorId="1" shapeId="0">
      <text>
        <r>
          <rPr>
            <b/>
            <sz val="9"/>
            <color indexed="81"/>
            <rFont val="Tahoma"/>
            <family val="2"/>
          </rPr>
          <t>Michael Lane:</t>
        </r>
        <r>
          <rPr>
            <sz val="9"/>
            <color indexed="81"/>
            <rFont val="Tahoma"/>
            <family val="2"/>
          </rPr>
          <t xml:space="preserve">
Changed Retrofit / TI / NC
</t>
        </r>
      </text>
    </comment>
    <comment ref="N672" authorId="0" shapeId="0">
      <text>
        <r>
          <rPr>
            <b/>
            <sz val="9"/>
            <color indexed="81"/>
            <rFont val="Tahoma"/>
            <family val="2"/>
          </rPr>
          <t>Michael lane:</t>
        </r>
        <r>
          <rPr>
            <sz val="9"/>
            <color indexed="81"/>
            <rFont val="Tahoma"/>
            <family val="2"/>
          </rPr>
          <t xml:space="preserve">
HVAC factor</t>
        </r>
      </text>
    </comment>
    <comment ref="M673" authorId="0" shapeId="0">
      <text>
        <r>
          <rPr>
            <b/>
            <sz val="9"/>
            <color indexed="81"/>
            <rFont val="Tahoma"/>
            <family val="2"/>
          </rPr>
          <t>Michael lane:</t>
        </r>
        <r>
          <rPr>
            <sz val="9"/>
            <color indexed="81"/>
            <rFont val="Tahoma"/>
            <family val="2"/>
          </rPr>
          <t xml:space="preserve">
Space Type incorrect due to Heat Type Change
</t>
        </r>
      </text>
    </comment>
    <comment ref="N673" authorId="0" shapeId="0">
      <text>
        <r>
          <rPr>
            <b/>
            <sz val="9"/>
            <color indexed="81"/>
            <rFont val="Tahoma"/>
            <family val="2"/>
          </rPr>
          <t>Michael lane:</t>
        </r>
        <r>
          <rPr>
            <sz val="9"/>
            <color indexed="81"/>
            <rFont val="Tahoma"/>
            <family val="2"/>
          </rPr>
          <t xml:space="preserve">
LPA</t>
        </r>
      </text>
    </comment>
    <comment ref="M677" authorId="1" shapeId="0">
      <text>
        <r>
          <rPr>
            <b/>
            <sz val="9"/>
            <color indexed="81"/>
            <rFont val="Tahoma"/>
            <family val="2"/>
          </rPr>
          <t>Michael Lane:</t>
        </r>
        <r>
          <rPr>
            <sz val="9"/>
            <color indexed="81"/>
            <rFont val="Tahoma"/>
            <family val="2"/>
          </rPr>
          <t xml:space="preserve">
Changed Retrofit / TI / NC
</t>
        </r>
      </text>
    </comment>
    <comment ref="N677" authorId="0" shapeId="0">
      <text>
        <r>
          <rPr>
            <b/>
            <sz val="9"/>
            <color indexed="81"/>
            <rFont val="Tahoma"/>
            <family val="2"/>
          </rPr>
          <t>Michael lane:</t>
        </r>
        <r>
          <rPr>
            <sz val="9"/>
            <color indexed="81"/>
            <rFont val="Tahoma"/>
            <family val="2"/>
          </rPr>
          <t xml:space="preserve">
HVAC factor</t>
        </r>
      </text>
    </comment>
    <comment ref="M678" authorId="0" shapeId="0">
      <text>
        <r>
          <rPr>
            <b/>
            <sz val="9"/>
            <color indexed="81"/>
            <rFont val="Tahoma"/>
            <family val="2"/>
          </rPr>
          <t>Michael lane:</t>
        </r>
        <r>
          <rPr>
            <sz val="9"/>
            <color indexed="81"/>
            <rFont val="Tahoma"/>
            <family val="2"/>
          </rPr>
          <t xml:space="preserve">
Space Type incorrect due to Heat Type Change
</t>
        </r>
      </text>
    </comment>
    <comment ref="N678" authorId="0" shapeId="0">
      <text>
        <r>
          <rPr>
            <b/>
            <sz val="9"/>
            <color indexed="81"/>
            <rFont val="Tahoma"/>
            <family val="2"/>
          </rPr>
          <t>Michael lane:</t>
        </r>
        <r>
          <rPr>
            <sz val="9"/>
            <color indexed="81"/>
            <rFont val="Tahoma"/>
            <family val="2"/>
          </rPr>
          <t xml:space="preserve">
LPA</t>
        </r>
      </text>
    </comment>
    <comment ref="M682" authorId="1" shapeId="0">
      <text>
        <r>
          <rPr>
            <b/>
            <sz val="9"/>
            <color indexed="81"/>
            <rFont val="Tahoma"/>
            <family val="2"/>
          </rPr>
          <t>Michael Lane:</t>
        </r>
        <r>
          <rPr>
            <sz val="9"/>
            <color indexed="81"/>
            <rFont val="Tahoma"/>
            <family val="2"/>
          </rPr>
          <t xml:space="preserve">
Changed Retrofit / TI / NC
</t>
        </r>
      </text>
    </comment>
    <comment ref="N682" authorId="0" shapeId="0">
      <text>
        <r>
          <rPr>
            <b/>
            <sz val="9"/>
            <color indexed="81"/>
            <rFont val="Tahoma"/>
            <family val="2"/>
          </rPr>
          <t>Michael lane:</t>
        </r>
        <r>
          <rPr>
            <sz val="9"/>
            <color indexed="81"/>
            <rFont val="Tahoma"/>
            <family val="2"/>
          </rPr>
          <t xml:space="preserve">
HVAC factor</t>
        </r>
      </text>
    </comment>
    <comment ref="M683" authorId="0" shapeId="0">
      <text>
        <r>
          <rPr>
            <b/>
            <sz val="9"/>
            <color indexed="81"/>
            <rFont val="Tahoma"/>
            <family val="2"/>
          </rPr>
          <t>Michael lane:</t>
        </r>
        <r>
          <rPr>
            <sz val="9"/>
            <color indexed="81"/>
            <rFont val="Tahoma"/>
            <family val="2"/>
          </rPr>
          <t xml:space="preserve">
Space Type incorrect due to Heat Type Change
</t>
        </r>
      </text>
    </comment>
    <comment ref="N683" authorId="0" shapeId="0">
      <text>
        <r>
          <rPr>
            <b/>
            <sz val="9"/>
            <color indexed="81"/>
            <rFont val="Tahoma"/>
            <family val="2"/>
          </rPr>
          <t>Michael lane:</t>
        </r>
        <r>
          <rPr>
            <sz val="9"/>
            <color indexed="81"/>
            <rFont val="Tahoma"/>
            <family val="2"/>
          </rPr>
          <t xml:space="preserve">
LPA</t>
        </r>
      </text>
    </comment>
    <comment ref="M687" authorId="1" shapeId="0">
      <text>
        <r>
          <rPr>
            <b/>
            <sz val="9"/>
            <color indexed="81"/>
            <rFont val="Tahoma"/>
            <family val="2"/>
          </rPr>
          <t>Michael Lane:</t>
        </r>
        <r>
          <rPr>
            <sz val="9"/>
            <color indexed="81"/>
            <rFont val="Tahoma"/>
            <family val="2"/>
          </rPr>
          <t xml:space="preserve">
Changed Retrofit / TI / NC
</t>
        </r>
      </text>
    </comment>
    <comment ref="N687" authorId="0" shapeId="0">
      <text>
        <r>
          <rPr>
            <b/>
            <sz val="9"/>
            <color indexed="81"/>
            <rFont val="Tahoma"/>
            <family val="2"/>
          </rPr>
          <t>Michael lane:</t>
        </r>
        <r>
          <rPr>
            <sz val="9"/>
            <color indexed="81"/>
            <rFont val="Tahoma"/>
            <family val="2"/>
          </rPr>
          <t xml:space="preserve">
HVAC factor</t>
        </r>
      </text>
    </comment>
    <comment ref="M688" authorId="0" shapeId="0">
      <text>
        <r>
          <rPr>
            <b/>
            <sz val="9"/>
            <color indexed="81"/>
            <rFont val="Tahoma"/>
            <family val="2"/>
          </rPr>
          <t>Michael lane:</t>
        </r>
        <r>
          <rPr>
            <sz val="9"/>
            <color indexed="81"/>
            <rFont val="Tahoma"/>
            <family val="2"/>
          </rPr>
          <t xml:space="preserve">
Space Type incorrect due to Heat Type Change
</t>
        </r>
      </text>
    </comment>
    <comment ref="N688" authorId="0" shapeId="0">
      <text>
        <r>
          <rPr>
            <b/>
            <sz val="9"/>
            <color indexed="81"/>
            <rFont val="Tahoma"/>
            <family val="2"/>
          </rPr>
          <t>Michael lane:</t>
        </r>
        <r>
          <rPr>
            <sz val="9"/>
            <color indexed="81"/>
            <rFont val="Tahoma"/>
            <family val="2"/>
          </rPr>
          <t xml:space="preserve">
LPA</t>
        </r>
      </text>
    </comment>
    <comment ref="M692" authorId="1" shapeId="0">
      <text>
        <r>
          <rPr>
            <b/>
            <sz val="9"/>
            <color indexed="81"/>
            <rFont val="Tahoma"/>
            <family val="2"/>
          </rPr>
          <t>Michael Lane:</t>
        </r>
        <r>
          <rPr>
            <sz val="9"/>
            <color indexed="81"/>
            <rFont val="Tahoma"/>
            <family val="2"/>
          </rPr>
          <t xml:space="preserve">
Changed Retrofit / TI / NC
</t>
        </r>
      </text>
    </comment>
    <comment ref="N692" authorId="0" shapeId="0">
      <text>
        <r>
          <rPr>
            <b/>
            <sz val="9"/>
            <color indexed="81"/>
            <rFont val="Tahoma"/>
            <family val="2"/>
          </rPr>
          <t>Michael lane:</t>
        </r>
        <r>
          <rPr>
            <sz val="9"/>
            <color indexed="81"/>
            <rFont val="Tahoma"/>
            <family val="2"/>
          </rPr>
          <t xml:space="preserve">
HVAC factor</t>
        </r>
      </text>
    </comment>
    <comment ref="M693" authorId="0" shapeId="0">
      <text>
        <r>
          <rPr>
            <b/>
            <sz val="9"/>
            <color indexed="81"/>
            <rFont val="Tahoma"/>
            <family val="2"/>
          </rPr>
          <t>Michael lane:</t>
        </r>
        <r>
          <rPr>
            <sz val="9"/>
            <color indexed="81"/>
            <rFont val="Tahoma"/>
            <family val="2"/>
          </rPr>
          <t xml:space="preserve">
Space Type incorrect due to Heat Type Change
</t>
        </r>
      </text>
    </comment>
    <comment ref="N693" authorId="0" shapeId="0">
      <text>
        <r>
          <rPr>
            <b/>
            <sz val="9"/>
            <color indexed="81"/>
            <rFont val="Tahoma"/>
            <family val="2"/>
          </rPr>
          <t>Michael lane:</t>
        </r>
        <r>
          <rPr>
            <sz val="9"/>
            <color indexed="81"/>
            <rFont val="Tahoma"/>
            <family val="2"/>
          </rPr>
          <t xml:space="preserve">
LPA</t>
        </r>
      </text>
    </comment>
    <comment ref="M697" authorId="1" shapeId="0">
      <text>
        <r>
          <rPr>
            <b/>
            <sz val="9"/>
            <color indexed="81"/>
            <rFont val="Tahoma"/>
            <family val="2"/>
          </rPr>
          <t>Michael Lane:</t>
        </r>
        <r>
          <rPr>
            <sz val="9"/>
            <color indexed="81"/>
            <rFont val="Tahoma"/>
            <family val="2"/>
          </rPr>
          <t xml:space="preserve">
Changed Retrofit / TI / NC
</t>
        </r>
      </text>
    </comment>
    <comment ref="N697" authorId="0" shapeId="0">
      <text>
        <r>
          <rPr>
            <b/>
            <sz val="9"/>
            <color indexed="81"/>
            <rFont val="Tahoma"/>
            <family val="2"/>
          </rPr>
          <t>Michael lane:</t>
        </r>
        <r>
          <rPr>
            <sz val="9"/>
            <color indexed="81"/>
            <rFont val="Tahoma"/>
            <family val="2"/>
          </rPr>
          <t xml:space="preserve">
HVAC factor</t>
        </r>
      </text>
    </comment>
    <comment ref="M698" authorId="0" shapeId="0">
      <text>
        <r>
          <rPr>
            <b/>
            <sz val="9"/>
            <color indexed="81"/>
            <rFont val="Tahoma"/>
            <family val="2"/>
          </rPr>
          <t>Michael lane:</t>
        </r>
        <r>
          <rPr>
            <sz val="9"/>
            <color indexed="81"/>
            <rFont val="Tahoma"/>
            <family val="2"/>
          </rPr>
          <t xml:space="preserve">
Space Type incorrect due to Heat Type Change
</t>
        </r>
      </text>
    </comment>
    <comment ref="N698" authorId="0" shapeId="0">
      <text>
        <r>
          <rPr>
            <b/>
            <sz val="9"/>
            <color indexed="81"/>
            <rFont val="Tahoma"/>
            <family val="2"/>
          </rPr>
          <t>Michael lane:</t>
        </r>
        <r>
          <rPr>
            <sz val="9"/>
            <color indexed="81"/>
            <rFont val="Tahoma"/>
            <family val="2"/>
          </rPr>
          <t xml:space="preserve">
LPA</t>
        </r>
      </text>
    </comment>
    <comment ref="M702" authorId="1" shapeId="0">
      <text>
        <r>
          <rPr>
            <b/>
            <sz val="9"/>
            <color indexed="81"/>
            <rFont val="Tahoma"/>
            <family val="2"/>
          </rPr>
          <t>Michael Lane:</t>
        </r>
        <r>
          <rPr>
            <sz val="9"/>
            <color indexed="81"/>
            <rFont val="Tahoma"/>
            <family val="2"/>
          </rPr>
          <t xml:space="preserve">
Changed Retrofit / TI / NC
</t>
        </r>
      </text>
    </comment>
    <comment ref="N702" authorId="0" shapeId="0">
      <text>
        <r>
          <rPr>
            <b/>
            <sz val="9"/>
            <color indexed="81"/>
            <rFont val="Tahoma"/>
            <family val="2"/>
          </rPr>
          <t>Michael lane:</t>
        </r>
        <r>
          <rPr>
            <sz val="9"/>
            <color indexed="81"/>
            <rFont val="Tahoma"/>
            <family val="2"/>
          </rPr>
          <t xml:space="preserve">
HVAC factor</t>
        </r>
      </text>
    </comment>
    <comment ref="M703" authorId="0" shapeId="0">
      <text>
        <r>
          <rPr>
            <b/>
            <sz val="9"/>
            <color indexed="81"/>
            <rFont val="Tahoma"/>
            <family val="2"/>
          </rPr>
          <t>Michael lane:</t>
        </r>
        <r>
          <rPr>
            <sz val="9"/>
            <color indexed="81"/>
            <rFont val="Tahoma"/>
            <family val="2"/>
          </rPr>
          <t xml:space="preserve">
Space Type incorrect due to Heat Type Change
</t>
        </r>
      </text>
    </comment>
    <comment ref="N703" authorId="0" shapeId="0">
      <text>
        <r>
          <rPr>
            <b/>
            <sz val="9"/>
            <color indexed="81"/>
            <rFont val="Tahoma"/>
            <family val="2"/>
          </rPr>
          <t>Michael lane:</t>
        </r>
        <r>
          <rPr>
            <sz val="9"/>
            <color indexed="81"/>
            <rFont val="Tahoma"/>
            <family val="2"/>
          </rPr>
          <t xml:space="preserve">
LPA</t>
        </r>
      </text>
    </comment>
    <comment ref="M707" authorId="1" shapeId="0">
      <text>
        <r>
          <rPr>
            <b/>
            <sz val="9"/>
            <color indexed="81"/>
            <rFont val="Tahoma"/>
            <family val="2"/>
          </rPr>
          <t>Michael Lane:</t>
        </r>
        <r>
          <rPr>
            <sz val="9"/>
            <color indexed="81"/>
            <rFont val="Tahoma"/>
            <family val="2"/>
          </rPr>
          <t xml:space="preserve">
Changed Retrofit / TI / NC
</t>
        </r>
      </text>
    </comment>
    <comment ref="N707" authorId="0" shapeId="0">
      <text>
        <r>
          <rPr>
            <b/>
            <sz val="9"/>
            <color indexed="81"/>
            <rFont val="Tahoma"/>
            <family val="2"/>
          </rPr>
          <t>Michael lane:</t>
        </r>
        <r>
          <rPr>
            <sz val="9"/>
            <color indexed="81"/>
            <rFont val="Tahoma"/>
            <family val="2"/>
          </rPr>
          <t xml:space="preserve">
HVAC factor</t>
        </r>
      </text>
    </comment>
    <comment ref="M708" authorId="0" shapeId="0">
      <text>
        <r>
          <rPr>
            <b/>
            <sz val="9"/>
            <color indexed="81"/>
            <rFont val="Tahoma"/>
            <family val="2"/>
          </rPr>
          <t>Michael lane:</t>
        </r>
        <r>
          <rPr>
            <sz val="9"/>
            <color indexed="81"/>
            <rFont val="Tahoma"/>
            <family val="2"/>
          </rPr>
          <t xml:space="preserve">
Space Type incorrect due to Heat Type Change
</t>
        </r>
      </text>
    </comment>
    <comment ref="N708" authorId="0" shapeId="0">
      <text>
        <r>
          <rPr>
            <b/>
            <sz val="9"/>
            <color indexed="81"/>
            <rFont val="Tahoma"/>
            <family val="2"/>
          </rPr>
          <t>Michael lane:</t>
        </r>
        <r>
          <rPr>
            <sz val="9"/>
            <color indexed="81"/>
            <rFont val="Tahoma"/>
            <family val="2"/>
          </rPr>
          <t xml:space="preserve">
LPA</t>
        </r>
      </text>
    </comment>
    <comment ref="M712" authorId="1" shapeId="0">
      <text>
        <r>
          <rPr>
            <b/>
            <sz val="9"/>
            <color indexed="81"/>
            <rFont val="Tahoma"/>
            <family val="2"/>
          </rPr>
          <t>Michael Lane:</t>
        </r>
        <r>
          <rPr>
            <sz val="9"/>
            <color indexed="81"/>
            <rFont val="Tahoma"/>
            <family val="2"/>
          </rPr>
          <t xml:space="preserve">
Changed Retrofit / TI / NC
</t>
        </r>
      </text>
    </comment>
    <comment ref="N712" authorId="0" shapeId="0">
      <text>
        <r>
          <rPr>
            <b/>
            <sz val="9"/>
            <color indexed="81"/>
            <rFont val="Tahoma"/>
            <family val="2"/>
          </rPr>
          <t>Michael lane:</t>
        </r>
        <r>
          <rPr>
            <sz val="9"/>
            <color indexed="81"/>
            <rFont val="Tahoma"/>
            <family val="2"/>
          </rPr>
          <t xml:space="preserve">
HVAC factor</t>
        </r>
      </text>
    </comment>
    <comment ref="M713" authorId="0" shapeId="0">
      <text>
        <r>
          <rPr>
            <b/>
            <sz val="9"/>
            <color indexed="81"/>
            <rFont val="Tahoma"/>
            <family val="2"/>
          </rPr>
          <t>Michael lane:</t>
        </r>
        <r>
          <rPr>
            <sz val="9"/>
            <color indexed="81"/>
            <rFont val="Tahoma"/>
            <family val="2"/>
          </rPr>
          <t xml:space="preserve">
Space Type incorrect due to Heat Type Change
</t>
        </r>
      </text>
    </comment>
    <comment ref="N713" authorId="0" shapeId="0">
      <text>
        <r>
          <rPr>
            <b/>
            <sz val="9"/>
            <color indexed="81"/>
            <rFont val="Tahoma"/>
            <family val="2"/>
          </rPr>
          <t>Michael lane:</t>
        </r>
        <r>
          <rPr>
            <sz val="9"/>
            <color indexed="81"/>
            <rFont val="Tahoma"/>
            <family val="2"/>
          </rPr>
          <t xml:space="preserve">
LPA</t>
        </r>
      </text>
    </comment>
    <comment ref="M720" authorId="1" shapeId="0">
      <text>
        <r>
          <rPr>
            <b/>
            <sz val="9"/>
            <color indexed="81"/>
            <rFont val="Tahoma"/>
            <family val="2"/>
          </rPr>
          <t>Michael Lane:</t>
        </r>
        <r>
          <rPr>
            <sz val="9"/>
            <color indexed="81"/>
            <rFont val="Tahoma"/>
            <family val="2"/>
          </rPr>
          <t xml:space="preserve">
Changed Retrofit / TI / NC
</t>
        </r>
      </text>
    </comment>
    <comment ref="N720" authorId="0" shapeId="0">
      <text>
        <r>
          <rPr>
            <b/>
            <sz val="9"/>
            <color indexed="81"/>
            <rFont val="Tahoma"/>
            <family val="2"/>
          </rPr>
          <t>Michael lane:</t>
        </r>
        <r>
          <rPr>
            <sz val="9"/>
            <color indexed="81"/>
            <rFont val="Tahoma"/>
            <family val="2"/>
          </rPr>
          <t xml:space="preserve">
HVAC factor</t>
        </r>
      </text>
    </comment>
    <comment ref="M721" authorId="0" shapeId="0">
      <text>
        <r>
          <rPr>
            <b/>
            <sz val="9"/>
            <color indexed="81"/>
            <rFont val="Tahoma"/>
            <family val="2"/>
          </rPr>
          <t>Michael lane:</t>
        </r>
        <r>
          <rPr>
            <sz val="9"/>
            <color indexed="81"/>
            <rFont val="Tahoma"/>
            <family val="2"/>
          </rPr>
          <t xml:space="preserve">
Space Type incorrect due to Heat Type Change
</t>
        </r>
      </text>
    </comment>
    <comment ref="N721" authorId="0" shapeId="0">
      <text>
        <r>
          <rPr>
            <b/>
            <sz val="9"/>
            <color indexed="81"/>
            <rFont val="Tahoma"/>
            <family val="2"/>
          </rPr>
          <t>Michael lane:</t>
        </r>
        <r>
          <rPr>
            <sz val="9"/>
            <color indexed="81"/>
            <rFont val="Tahoma"/>
            <family val="2"/>
          </rPr>
          <t xml:space="preserve">
LPA</t>
        </r>
      </text>
    </comment>
    <comment ref="M725" authorId="1" shapeId="0">
      <text>
        <r>
          <rPr>
            <b/>
            <sz val="9"/>
            <color indexed="81"/>
            <rFont val="Tahoma"/>
            <family val="2"/>
          </rPr>
          <t>Michael Lane:</t>
        </r>
        <r>
          <rPr>
            <sz val="9"/>
            <color indexed="81"/>
            <rFont val="Tahoma"/>
            <family val="2"/>
          </rPr>
          <t xml:space="preserve">
Changed Retrofit / TI / NC
</t>
        </r>
      </text>
    </comment>
    <comment ref="N725" authorId="0" shapeId="0">
      <text>
        <r>
          <rPr>
            <b/>
            <sz val="9"/>
            <color indexed="81"/>
            <rFont val="Tahoma"/>
            <family val="2"/>
          </rPr>
          <t>Michael lane:</t>
        </r>
        <r>
          <rPr>
            <sz val="9"/>
            <color indexed="81"/>
            <rFont val="Tahoma"/>
            <family val="2"/>
          </rPr>
          <t xml:space="preserve">
HVAC factor</t>
        </r>
      </text>
    </comment>
    <comment ref="M726" authorId="0" shapeId="0">
      <text>
        <r>
          <rPr>
            <b/>
            <sz val="9"/>
            <color indexed="81"/>
            <rFont val="Tahoma"/>
            <family val="2"/>
          </rPr>
          <t>Michael lane:</t>
        </r>
        <r>
          <rPr>
            <sz val="9"/>
            <color indexed="81"/>
            <rFont val="Tahoma"/>
            <family val="2"/>
          </rPr>
          <t xml:space="preserve">
Space Type incorrect due to Heat Type Change
</t>
        </r>
      </text>
    </comment>
    <comment ref="N726" authorId="0" shapeId="0">
      <text>
        <r>
          <rPr>
            <b/>
            <sz val="9"/>
            <color indexed="81"/>
            <rFont val="Tahoma"/>
            <family val="2"/>
          </rPr>
          <t>Michael lane:</t>
        </r>
        <r>
          <rPr>
            <sz val="9"/>
            <color indexed="81"/>
            <rFont val="Tahoma"/>
            <family val="2"/>
          </rPr>
          <t xml:space="preserve">
LPA</t>
        </r>
      </text>
    </comment>
    <comment ref="M730" authorId="1" shapeId="0">
      <text>
        <r>
          <rPr>
            <b/>
            <sz val="9"/>
            <color indexed="81"/>
            <rFont val="Tahoma"/>
            <family val="2"/>
          </rPr>
          <t>Michael Lane:</t>
        </r>
        <r>
          <rPr>
            <sz val="9"/>
            <color indexed="81"/>
            <rFont val="Tahoma"/>
            <family val="2"/>
          </rPr>
          <t xml:space="preserve">
Changed Retrofit / TI / NC
</t>
        </r>
      </text>
    </comment>
    <comment ref="N730" authorId="0" shapeId="0">
      <text>
        <r>
          <rPr>
            <b/>
            <sz val="9"/>
            <color indexed="81"/>
            <rFont val="Tahoma"/>
            <family val="2"/>
          </rPr>
          <t>Michael lane:</t>
        </r>
        <r>
          <rPr>
            <sz val="9"/>
            <color indexed="81"/>
            <rFont val="Tahoma"/>
            <family val="2"/>
          </rPr>
          <t xml:space="preserve">
HVAC factor</t>
        </r>
      </text>
    </comment>
    <comment ref="M731" authorId="0" shapeId="0">
      <text>
        <r>
          <rPr>
            <b/>
            <sz val="9"/>
            <color indexed="81"/>
            <rFont val="Tahoma"/>
            <family val="2"/>
          </rPr>
          <t>Michael lane:</t>
        </r>
        <r>
          <rPr>
            <sz val="9"/>
            <color indexed="81"/>
            <rFont val="Tahoma"/>
            <family val="2"/>
          </rPr>
          <t xml:space="preserve">
Space Type incorrect due to Heat Type Change
</t>
        </r>
      </text>
    </comment>
    <comment ref="N731" authorId="0" shapeId="0">
      <text>
        <r>
          <rPr>
            <b/>
            <sz val="9"/>
            <color indexed="81"/>
            <rFont val="Tahoma"/>
            <family val="2"/>
          </rPr>
          <t>Michael lane:</t>
        </r>
        <r>
          <rPr>
            <sz val="9"/>
            <color indexed="81"/>
            <rFont val="Tahoma"/>
            <family val="2"/>
          </rPr>
          <t xml:space="preserve">
LPA</t>
        </r>
      </text>
    </comment>
    <comment ref="M735" authorId="1" shapeId="0">
      <text>
        <r>
          <rPr>
            <b/>
            <sz val="9"/>
            <color indexed="81"/>
            <rFont val="Tahoma"/>
            <family val="2"/>
          </rPr>
          <t>Michael Lane:</t>
        </r>
        <r>
          <rPr>
            <sz val="9"/>
            <color indexed="81"/>
            <rFont val="Tahoma"/>
            <family val="2"/>
          </rPr>
          <t xml:space="preserve">
Changed Retrofit / TI / NC
</t>
        </r>
      </text>
    </comment>
    <comment ref="N735" authorId="0" shapeId="0">
      <text>
        <r>
          <rPr>
            <b/>
            <sz val="9"/>
            <color indexed="81"/>
            <rFont val="Tahoma"/>
            <family val="2"/>
          </rPr>
          <t>Michael lane:</t>
        </r>
        <r>
          <rPr>
            <sz val="9"/>
            <color indexed="81"/>
            <rFont val="Tahoma"/>
            <family val="2"/>
          </rPr>
          <t xml:space="preserve">
HVAC factor</t>
        </r>
      </text>
    </comment>
    <comment ref="M736" authorId="0" shapeId="0">
      <text>
        <r>
          <rPr>
            <b/>
            <sz val="9"/>
            <color indexed="81"/>
            <rFont val="Tahoma"/>
            <family val="2"/>
          </rPr>
          <t>Michael lane:</t>
        </r>
        <r>
          <rPr>
            <sz val="9"/>
            <color indexed="81"/>
            <rFont val="Tahoma"/>
            <family val="2"/>
          </rPr>
          <t xml:space="preserve">
Space Type incorrect due to Heat Type Change
</t>
        </r>
      </text>
    </comment>
    <comment ref="N736" authorId="0" shapeId="0">
      <text>
        <r>
          <rPr>
            <b/>
            <sz val="9"/>
            <color indexed="81"/>
            <rFont val="Tahoma"/>
            <family val="2"/>
          </rPr>
          <t>Michael lane:</t>
        </r>
        <r>
          <rPr>
            <sz val="9"/>
            <color indexed="81"/>
            <rFont val="Tahoma"/>
            <family val="2"/>
          </rPr>
          <t xml:space="preserve">
LPA</t>
        </r>
      </text>
    </comment>
    <comment ref="M740" authorId="1" shapeId="0">
      <text>
        <r>
          <rPr>
            <b/>
            <sz val="9"/>
            <color indexed="81"/>
            <rFont val="Tahoma"/>
            <family val="2"/>
          </rPr>
          <t>Michael Lane:</t>
        </r>
        <r>
          <rPr>
            <sz val="9"/>
            <color indexed="81"/>
            <rFont val="Tahoma"/>
            <family val="2"/>
          </rPr>
          <t xml:space="preserve">
Changed Retrofit / TI / NC
</t>
        </r>
      </text>
    </comment>
    <comment ref="N740" authorId="0" shapeId="0">
      <text>
        <r>
          <rPr>
            <b/>
            <sz val="9"/>
            <color indexed="81"/>
            <rFont val="Tahoma"/>
            <family val="2"/>
          </rPr>
          <t>Michael lane:</t>
        </r>
        <r>
          <rPr>
            <sz val="9"/>
            <color indexed="81"/>
            <rFont val="Tahoma"/>
            <family val="2"/>
          </rPr>
          <t xml:space="preserve">
HVAC factor</t>
        </r>
      </text>
    </comment>
    <comment ref="M741" authorId="0" shapeId="0">
      <text>
        <r>
          <rPr>
            <b/>
            <sz val="9"/>
            <color indexed="81"/>
            <rFont val="Tahoma"/>
            <family val="2"/>
          </rPr>
          <t>Michael lane:</t>
        </r>
        <r>
          <rPr>
            <sz val="9"/>
            <color indexed="81"/>
            <rFont val="Tahoma"/>
            <family val="2"/>
          </rPr>
          <t xml:space="preserve">
Space Type incorrect due to Heat Type Change
</t>
        </r>
      </text>
    </comment>
    <comment ref="N741" authorId="0" shapeId="0">
      <text>
        <r>
          <rPr>
            <b/>
            <sz val="9"/>
            <color indexed="81"/>
            <rFont val="Tahoma"/>
            <family val="2"/>
          </rPr>
          <t>Michael lane:</t>
        </r>
        <r>
          <rPr>
            <sz val="9"/>
            <color indexed="81"/>
            <rFont val="Tahoma"/>
            <family val="2"/>
          </rPr>
          <t xml:space="preserve">
LPA</t>
        </r>
      </text>
    </comment>
    <comment ref="M745" authorId="1" shapeId="0">
      <text>
        <r>
          <rPr>
            <b/>
            <sz val="9"/>
            <color indexed="81"/>
            <rFont val="Tahoma"/>
            <family val="2"/>
          </rPr>
          <t>Michael Lane:</t>
        </r>
        <r>
          <rPr>
            <sz val="9"/>
            <color indexed="81"/>
            <rFont val="Tahoma"/>
            <family val="2"/>
          </rPr>
          <t xml:space="preserve">
Changed Retrofit / TI / NC
</t>
        </r>
      </text>
    </comment>
    <comment ref="N745" authorId="0" shapeId="0">
      <text>
        <r>
          <rPr>
            <b/>
            <sz val="9"/>
            <color indexed="81"/>
            <rFont val="Tahoma"/>
            <family val="2"/>
          </rPr>
          <t>Michael lane:</t>
        </r>
        <r>
          <rPr>
            <sz val="9"/>
            <color indexed="81"/>
            <rFont val="Tahoma"/>
            <family val="2"/>
          </rPr>
          <t xml:space="preserve">
HVAC factor</t>
        </r>
      </text>
    </comment>
    <comment ref="M746" authorId="0" shapeId="0">
      <text>
        <r>
          <rPr>
            <b/>
            <sz val="9"/>
            <color indexed="81"/>
            <rFont val="Tahoma"/>
            <family val="2"/>
          </rPr>
          <t>Michael lane:</t>
        </r>
        <r>
          <rPr>
            <sz val="9"/>
            <color indexed="81"/>
            <rFont val="Tahoma"/>
            <family val="2"/>
          </rPr>
          <t xml:space="preserve">
Space Type incorrect due to Heat Type Change
</t>
        </r>
      </text>
    </comment>
    <comment ref="N746" authorId="0" shapeId="0">
      <text>
        <r>
          <rPr>
            <b/>
            <sz val="9"/>
            <color indexed="81"/>
            <rFont val="Tahoma"/>
            <family val="2"/>
          </rPr>
          <t>Michael lane:</t>
        </r>
        <r>
          <rPr>
            <sz val="9"/>
            <color indexed="81"/>
            <rFont val="Tahoma"/>
            <family val="2"/>
          </rPr>
          <t xml:space="preserve">
LPA</t>
        </r>
      </text>
    </comment>
    <comment ref="M750" authorId="1" shapeId="0">
      <text>
        <r>
          <rPr>
            <b/>
            <sz val="9"/>
            <color indexed="81"/>
            <rFont val="Tahoma"/>
            <family val="2"/>
          </rPr>
          <t>Michael Lane:</t>
        </r>
        <r>
          <rPr>
            <sz val="9"/>
            <color indexed="81"/>
            <rFont val="Tahoma"/>
            <family val="2"/>
          </rPr>
          <t xml:space="preserve">
Changed Retrofit / TI / NC
</t>
        </r>
      </text>
    </comment>
    <comment ref="N750" authorId="0" shapeId="0">
      <text>
        <r>
          <rPr>
            <b/>
            <sz val="9"/>
            <color indexed="81"/>
            <rFont val="Tahoma"/>
            <family val="2"/>
          </rPr>
          <t>Michael lane:</t>
        </r>
        <r>
          <rPr>
            <sz val="9"/>
            <color indexed="81"/>
            <rFont val="Tahoma"/>
            <family val="2"/>
          </rPr>
          <t xml:space="preserve">
HVAC factor</t>
        </r>
      </text>
    </comment>
    <comment ref="M751" authorId="0" shapeId="0">
      <text>
        <r>
          <rPr>
            <b/>
            <sz val="9"/>
            <color indexed="81"/>
            <rFont val="Tahoma"/>
            <family val="2"/>
          </rPr>
          <t>Michael lane:</t>
        </r>
        <r>
          <rPr>
            <sz val="9"/>
            <color indexed="81"/>
            <rFont val="Tahoma"/>
            <family val="2"/>
          </rPr>
          <t xml:space="preserve">
Space Type incorrect due to Heat Type Change
</t>
        </r>
      </text>
    </comment>
    <comment ref="N751" authorId="0" shapeId="0">
      <text>
        <r>
          <rPr>
            <b/>
            <sz val="9"/>
            <color indexed="81"/>
            <rFont val="Tahoma"/>
            <family val="2"/>
          </rPr>
          <t>Michael lane:</t>
        </r>
        <r>
          <rPr>
            <sz val="9"/>
            <color indexed="81"/>
            <rFont val="Tahoma"/>
            <family val="2"/>
          </rPr>
          <t xml:space="preserve">
LPA</t>
        </r>
      </text>
    </comment>
    <comment ref="M755" authorId="1" shapeId="0">
      <text>
        <r>
          <rPr>
            <b/>
            <sz val="9"/>
            <color indexed="81"/>
            <rFont val="Tahoma"/>
            <family val="2"/>
          </rPr>
          <t>Michael Lane:</t>
        </r>
        <r>
          <rPr>
            <sz val="9"/>
            <color indexed="81"/>
            <rFont val="Tahoma"/>
            <family val="2"/>
          </rPr>
          <t xml:space="preserve">
Changed Retrofit / TI / NC
</t>
        </r>
      </text>
    </comment>
    <comment ref="N755" authorId="0" shapeId="0">
      <text>
        <r>
          <rPr>
            <b/>
            <sz val="9"/>
            <color indexed="81"/>
            <rFont val="Tahoma"/>
            <family val="2"/>
          </rPr>
          <t>Michael lane:</t>
        </r>
        <r>
          <rPr>
            <sz val="9"/>
            <color indexed="81"/>
            <rFont val="Tahoma"/>
            <family val="2"/>
          </rPr>
          <t xml:space="preserve">
HVAC factor</t>
        </r>
      </text>
    </comment>
    <comment ref="M756" authorId="0" shapeId="0">
      <text>
        <r>
          <rPr>
            <b/>
            <sz val="9"/>
            <color indexed="81"/>
            <rFont val="Tahoma"/>
            <family val="2"/>
          </rPr>
          <t>Michael lane:</t>
        </r>
        <r>
          <rPr>
            <sz val="9"/>
            <color indexed="81"/>
            <rFont val="Tahoma"/>
            <family val="2"/>
          </rPr>
          <t xml:space="preserve">
Space Type incorrect due to Heat Type Change
</t>
        </r>
      </text>
    </comment>
    <comment ref="N756" authorId="0" shapeId="0">
      <text>
        <r>
          <rPr>
            <b/>
            <sz val="9"/>
            <color indexed="81"/>
            <rFont val="Tahoma"/>
            <family val="2"/>
          </rPr>
          <t>Michael lane:</t>
        </r>
        <r>
          <rPr>
            <sz val="9"/>
            <color indexed="81"/>
            <rFont val="Tahoma"/>
            <family val="2"/>
          </rPr>
          <t xml:space="preserve">
LPA</t>
        </r>
      </text>
    </comment>
    <comment ref="M760" authorId="1" shapeId="0">
      <text>
        <r>
          <rPr>
            <b/>
            <sz val="9"/>
            <color indexed="81"/>
            <rFont val="Tahoma"/>
            <family val="2"/>
          </rPr>
          <t>Michael Lane:</t>
        </r>
        <r>
          <rPr>
            <sz val="9"/>
            <color indexed="81"/>
            <rFont val="Tahoma"/>
            <family val="2"/>
          </rPr>
          <t xml:space="preserve">
Changed Retrofit / TI / NC
</t>
        </r>
      </text>
    </comment>
    <comment ref="N760" authorId="0" shapeId="0">
      <text>
        <r>
          <rPr>
            <b/>
            <sz val="9"/>
            <color indexed="81"/>
            <rFont val="Tahoma"/>
            <family val="2"/>
          </rPr>
          <t>Michael lane:</t>
        </r>
        <r>
          <rPr>
            <sz val="9"/>
            <color indexed="81"/>
            <rFont val="Tahoma"/>
            <family val="2"/>
          </rPr>
          <t xml:space="preserve">
HVAC factor</t>
        </r>
      </text>
    </comment>
    <comment ref="M761" authorId="0" shapeId="0">
      <text>
        <r>
          <rPr>
            <b/>
            <sz val="9"/>
            <color indexed="81"/>
            <rFont val="Tahoma"/>
            <family val="2"/>
          </rPr>
          <t>Michael lane:</t>
        </r>
        <r>
          <rPr>
            <sz val="9"/>
            <color indexed="81"/>
            <rFont val="Tahoma"/>
            <family val="2"/>
          </rPr>
          <t xml:space="preserve">
Space Type incorrect due to Heat Type Change
</t>
        </r>
      </text>
    </comment>
    <comment ref="N761" authorId="0" shapeId="0">
      <text>
        <r>
          <rPr>
            <b/>
            <sz val="9"/>
            <color indexed="81"/>
            <rFont val="Tahoma"/>
            <family val="2"/>
          </rPr>
          <t>Michael lane:</t>
        </r>
        <r>
          <rPr>
            <sz val="9"/>
            <color indexed="81"/>
            <rFont val="Tahoma"/>
            <family val="2"/>
          </rPr>
          <t xml:space="preserve">
LPA</t>
        </r>
      </text>
    </comment>
    <comment ref="M765" authorId="1" shapeId="0">
      <text>
        <r>
          <rPr>
            <b/>
            <sz val="9"/>
            <color indexed="81"/>
            <rFont val="Tahoma"/>
            <family val="2"/>
          </rPr>
          <t>Michael Lane:</t>
        </r>
        <r>
          <rPr>
            <sz val="9"/>
            <color indexed="81"/>
            <rFont val="Tahoma"/>
            <family val="2"/>
          </rPr>
          <t xml:space="preserve">
Changed Retrofit / TI / NC
</t>
        </r>
      </text>
    </comment>
    <comment ref="N765" authorId="0" shapeId="0">
      <text>
        <r>
          <rPr>
            <b/>
            <sz val="9"/>
            <color indexed="81"/>
            <rFont val="Tahoma"/>
            <family val="2"/>
          </rPr>
          <t>Michael lane:</t>
        </r>
        <r>
          <rPr>
            <sz val="9"/>
            <color indexed="81"/>
            <rFont val="Tahoma"/>
            <family val="2"/>
          </rPr>
          <t xml:space="preserve">
HVAC factor</t>
        </r>
      </text>
    </comment>
    <comment ref="M766" authorId="0" shapeId="0">
      <text>
        <r>
          <rPr>
            <b/>
            <sz val="9"/>
            <color indexed="81"/>
            <rFont val="Tahoma"/>
            <family val="2"/>
          </rPr>
          <t>Michael lane:</t>
        </r>
        <r>
          <rPr>
            <sz val="9"/>
            <color indexed="81"/>
            <rFont val="Tahoma"/>
            <family val="2"/>
          </rPr>
          <t xml:space="preserve">
Space Type incorrect due to Heat Type Change
</t>
        </r>
      </text>
    </comment>
    <comment ref="N766" authorId="0" shapeId="0">
      <text>
        <r>
          <rPr>
            <b/>
            <sz val="9"/>
            <color indexed="81"/>
            <rFont val="Tahoma"/>
            <family val="2"/>
          </rPr>
          <t>Michael lane:</t>
        </r>
        <r>
          <rPr>
            <sz val="9"/>
            <color indexed="81"/>
            <rFont val="Tahoma"/>
            <family val="2"/>
          </rPr>
          <t xml:space="preserve">
LPA</t>
        </r>
      </text>
    </comment>
    <comment ref="M770" authorId="1" shapeId="0">
      <text>
        <r>
          <rPr>
            <b/>
            <sz val="9"/>
            <color indexed="81"/>
            <rFont val="Tahoma"/>
            <family val="2"/>
          </rPr>
          <t>Michael Lane:</t>
        </r>
        <r>
          <rPr>
            <sz val="9"/>
            <color indexed="81"/>
            <rFont val="Tahoma"/>
            <family val="2"/>
          </rPr>
          <t xml:space="preserve">
Changed Retrofit / TI / NC
</t>
        </r>
      </text>
    </comment>
    <comment ref="N770" authorId="0" shapeId="0">
      <text>
        <r>
          <rPr>
            <b/>
            <sz val="9"/>
            <color indexed="81"/>
            <rFont val="Tahoma"/>
            <family val="2"/>
          </rPr>
          <t>Michael lane:</t>
        </r>
        <r>
          <rPr>
            <sz val="9"/>
            <color indexed="81"/>
            <rFont val="Tahoma"/>
            <family val="2"/>
          </rPr>
          <t xml:space="preserve">
HVAC factor</t>
        </r>
      </text>
    </comment>
    <comment ref="M771" authorId="0" shapeId="0">
      <text>
        <r>
          <rPr>
            <b/>
            <sz val="9"/>
            <color indexed="81"/>
            <rFont val="Tahoma"/>
            <family val="2"/>
          </rPr>
          <t>Michael lane:</t>
        </r>
        <r>
          <rPr>
            <sz val="9"/>
            <color indexed="81"/>
            <rFont val="Tahoma"/>
            <family val="2"/>
          </rPr>
          <t xml:space="preserve">
Space Type incorrect due to Heat Type Change
</t>
        </r>
      </text>
    </comment>
    <comment ref="N771" authorId="0" shapeId="0">
      <text>
        <r>
          <rPr>
            <b/>
            <sz val="9"/>
            <color indexed="81"/>
            <rFont val="Tahoma"/>
            <family val="2"/>
          </rPr>
          <t>Michael lane:</t>
        </r>
        <r>
          <rPr>
            <sz val="9"/>
            <color indexed="81"/>
            <rFont val="Tahoma"/>
            <family val="2"/>
          </rPr>
          <t xml:space="preserve">
LPA</t>
        </r>
      </text>
    </comment>
    <comment ref="M775" authorId="1" shapeId="0">
      <text>
        <r>
          <rPr>
            <b/>
            <sz val="9"/>
            <color indexed="81"/>
            <rFont val="Tahoma"/>
            <family val="2"/>
          </rPr>
          <t>Michael Lane:</t>
        </r>
        <r>
          <rPr>
            <sz val="9"/>
            <color indexed="81"/>
            <rFont val="Tahoma"/>
            <family val="2"/>
          </rPr>
          <t xml:space="preserve">
Changed Retrofit / TI / NC
</t>
        </r>
      </text>
    </comment>
    <comment ref="N775" authorId="0" shapeId="0">
      <text>
        <r>
          <rPr>
            <b/>
            <sz val="9"/>
            <color indexed="81"/>
            <rFont val="Tahoma"/>
            <family val="2"/>
          </rPr>
          <t>Michael lane:</t>
        </r>
        <r>
          <rPr>
            <sz val="9"/>
            <color indexed="81"/>
            <rFont val="Tahoma"/>
            <family val="2"/>
          </rPr>
          <t xml:space="preserve">
HVAC factor</t>
        </r>
      </text>
    </comment>
    <comment ref="M776" authorId="0" shapeId="0">
      <text>
        <r>
          <rPr>
            <b/>
            <sz val="9"/>
            <color indexed="81"/>
            <rFont val="Tahoma"/>
            <family val="2"/>
          </rPr>
          <t>Michael lane:</t>
        </r>
        <r>
          <rPr>
            <sz val="9"/>
            <color indexed="81"/>
            <rFont val="Tahoma"/>
            <family val="2"/>
          </rPr>
          <t xml:space="preserve">
Space Type incorrect due to Heat Type Change
</t>
        </r>
      </text>
    </comment>
    <comment ref="N776" authorId="0" shapeId="0">
      <text>
        <r>
          <rPr>
            <b/>
            <sz val="9"/>
            <color indexed="81"/>
            <rFont val="Tahoma"/>
            <family val="2"/>
          </rPr>
          <t>Michael lane:</t>
        </r>
        <r>
          <rPr>
            <sz val="9"/>
            <color indexed="81"/>
            <rFont val="Tahoma"/>
            <family val="2"/>
          </rPr>
          <t xml:space="preserve">
LPA</t>
        </r>
      </text>
    </comment>
    <comment ref="M780" authorId="1" shapeId="0">
      <text>
        <r>
          <rPr>
            <b/>
            <sz val="9"/>
            <color indexed="81"/>
            <rFont val="Tahoma"/>
            <family val="2"/>
          </rPr>
          <t>Michael Lane:</t>
        </r>
        <r>
          <rPr>
            <sz val="9"/>
            <color indexed="81"/>
            <rFont val="Tahoma"/>
            <family val="2"/>
          </rPr>
          <t xml:space="preserve">
Changed Retrofit / TI / NC
</t>
        </r>
      </text>
    </comment>
    <comment ref="N780" authorId="0" shapeId="0">
      <text>
        <r>
          <rPr>
            <b/>
            <sz val="9"/>
            <color indexed="81"/>
            <rFont val="Tahoma"/>
            <family val="2"/>
          </rPr>
          <t>Michael lane:</t>
        </r>
        <r>
          <rPr>
            <sz val="9"/>
            <color indexed="81"/>
            <rFont val="Tahoma"/>
            <family val="2"/>
          </rPr>
          <t xml:space="preserve">
HVAC factor</t>
        </r>
      </text>
    </comment>
    <comment ref="M781" authorId="0" shapeId="0">
      <text>
        <r>
          <rPr>
            <b/>
            <sz val="9"/>
            <color indexed="81"/>
            <rFont val="Tahoma"/>
            <family val="2"/>
          </rPr>
          <t>Michael lane:</t>
        </r>
        <r>
          <rPr>
            <sz val="9"/>
            <color indexed="81"/>
            <rFont val="Tahoma"/>
            <family val="2"/>
          </rPr>
          <t xml:space="preserve">
Space Type incorrect due to Heat Type Change
</t>
        </r>
      </text>
    </comment>
    <comment ref="N781" authorId="0" shapeId="0">
      <text>
        <r>
          <rPr>
            <b/>
            <sz val="9"/>
            <color indexed="81"/>
            <rFont val="Tahoma"/>
            <family val="2"/>
          </rPr>
          <t>Michael lane:</t>
        </r>
        <r>
          <rPr>
            <sz val="9"/>
            <color indexed="81"/>
            <rFont val="Tahoma"/>
            <family val="2"/>
          </rPr>
          <t xml:space="preserve">
LPA</t>
        </r>
      </text>
    </comment>
    <comment ref="M785" authorId="1" shapeId="0">
      <text>
        <r>
          <rPr>
            <b/>
            <sz val="9"/>
            <color indexed="81"/>
            <rFont val="Tahoma"/>
            <family val="2"/>
          </rPr>
          <t>Michael Lane:</t>
        </r>
        <r>
          <rPr>
            <sz val="9"/>
            <color indexed="81"/>
            <rFont val="Tahoma"/>
            <family val="2"/>
          </rPr>
          <t xml:space="preserve">
Changed Retrofit / TI / NC
</t>
        </r>
      </text>
    </comment>
    <comment ref="N785" authorId="0" shapeId="0">
      <text>
        <r>
          <rPr>
            <b/>
            <sz val="9"/>
            <color indexed="81"/>
            <rFont val="Tahoma"/>
            <family val="2"/>
          </rPr>
          <t>Michael lane:</t>
        </r>
        <r>
          <rPr>
            <sz val="9"/>
            <color indexed="81"/>
            <rFont val="Tahoma"/>
            <family val="2"/>
          </rPr>
          <t xml:space="preserve">
HVAC factor</t>
        </r>
      </text>
    </comment>
    <comment ref="M786" authorId="0" shapeId="0">
      <text>
        <r>
          <rPr>
            <b/>
            <sz val="9"/>
            <color indexed="81"/>
            <rFont val="Tahoma"/>
            <family val="2"/>
          </rPr>
          <t>Michael lane:</t>
        </r>
        <r>
          <rPr>
            <sz val="9"/>
            <color indexed="81"/>
            <rFont val="Tahoma"/>
            <family val="2"/>
          </rPr>
          <t xml:space="preserve">
Space Type incorrect due to Heat Type Change
</t>
        </r>
      </text>
    </comment>
    <comment ref="N786" authorId="0" shapeId="0">
      <text>
        <r>
          <rPr>
            <b/>
            <sz val="9"/>
            <color indexed="81"/>
            <rFont val="Tahoma"/>
            <family val="2"/>
          </rPr>
          <t>Michael lane:</t>
        </r>
        <r>
          <rPr>
            <sz val="9"/>
            <color indexed="81"/>
            <rFont val="Tahoma"/>
            <family val="2"/>
          </rPr>
          <t xml:space="preserve">
LPA</t>
        </r>
      </text>
    </comment>
    <comment ref="M790" authorId="1" shapeId="0">
      <text>
        <r>
          <rPr>
            <b/>
            <sz val="9"/>
            <color indexed="81"/>
            <rFont val="Tahoma"/>
            <family val="2"/>
          </rPr>
          <t>Michael Lane:</t>
        </r>
        <r>
          <rPr>
            <sz val="9"/>
            <color indexed="81"/>
            <rFont val="Tahoma"/>
            <family val="2"/>
          </rPr>
          <t xml:space="preserve">
Changed Retrofit / TI / NC
</t>
        </r>
      </text>
    </comment>
    <comment ref="N790" authorId="0" shapeId="0">
      <text>
        <r>
          <rPr>
            <b/>
            <sz val="9"/>
            <color indexed="81"/>
            <rFont val="Tahoma"/>
            <family val="2"/>
          </rPr>
          <t>Michael lane:</t>
        </r>
        <r>
          <rPr>
            <sz val="9"/>
            <color indexed="81"/>
            <rFont val="Tahoma"/>
            <family val="2"/>
          </rPr>
          <t xml:space="preserve">
HVAC factor</t>
        </r>
      </text>
    </comment>
    <comment ref="M791" authorId="0" shapeId="0">
      <text>
        <r>
          <rPr>
            <b/>
            <sz val="9"/>
            <color indexed="81"/>
            <rFont val="Tahoma"/>
            <family val="2"/>
          </rPr>
          <t>Michael lane:</t>
        </r>
        <r>
          <rPr>
            <sz val="9"/>
            <color indexed="81"/>
            <rFont val="Tahoma"/>
            <family val="2"/>
          </rPr>
          <t xml:space="preserve">
Space Type incorrect due to Heat Type Change
</t>
        </r>
      </text>
    </comment>
    <comment ref="N791" authorId="0" shapeId="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authors>
    <author>mlane</author>
  </authors>
  <commentList>
    <comment ref="AE123" authorId="0" shapeId="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authors>
    <author>Lane, Michael</author>
  </authors>
  <commentList>
    <comment ref="X2" authorId="0" shapeId="0">
      <text>
        <r>
          <rPr>
            <b/>
            <sz val="9"/>
            <color indexed="81"/>
            <rFont val="Tahoma"/>
            <family val="2"/>
          </rPr>
          <t>Lane, Michael:</t>
        </r>
        <r>
          <rPr>
            <sz val="9"/>
            <color indexed="81"/>
            <rFont val="Tahoma"/>
            <family val="2"/>
          </rPr>
          <t xml:space="preserve">
Daylight is assumed to be 30% for first row next to window
</t>
        </r>
      </text>
    </comment>
    <comment ref="AA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authors>
    <author>tc={3DB3ABC1-0CC4-435A-833F-A5C312F028CE}</author>
    <author>tc={B4EBD651-8A32-4BC0-B501-F5EE063D6F47}</author>
  </authors>
  <commentList>
    <comment ref="J8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fix for negative and zero savings on LLLC and AELC
</t>
        </r>
      </text>
    </comment>
    <comment ref="V8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 for negative and zero savings on LLLC and AELC</t>
        </r>
      </text>
    </comment>
  </commentList>
</comments>
</file>

<file path=xl/comments6.xml><?xml version="1.0" encoding="utf-8"?>
<comments xmlns="http://schemas.openxmlformats.org/spreadsheetml/2006/main">
  <authors>
    <author>Michael Lane</author>
  </authors>
  <commentList>
    <comment ref="BH68"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<sst xmlns="http://schemas.openxmlformats.org/spreadsheetml/2006/main" count="13078" uniqueCount="2859">
  <si>
    <t xml:space="preserve">For more information on this and other PSE Lighting programs and their latest applications please click the following links </t>
  </si>
  <si>
    <t>Business Lighting Incentive Program</t>
  </si>
  <si>
    <t>Multi-Family Lighting Incentive Program</t>
  </si>
  <si>
    <t>Lighting To Go</t>
  </si>
  <si>
    <t>Commercial New Construction</t>
  </si>
  <si>
    <t xml:space="preserve">New Multifamily Construction Incentives </t>
  </si>
  <si>
    <t> </t>
  </si>
  <si>
    <t>Named Communities lighting projects</t>
  </si>
  <si>
    <t xml:space="preserve">The Business Lighting Incentive program is supporting vulnerable and impacted communities with $0.10/kWh higher incentives. </t>
  </si>
  <si>
    <t>Projects must be a PSE Rate Schedule 24 and meet vulnerable and highly impacted definitions. Schools and public facilities in highly impacted areas also qualify.</t>
  </si>
  <si>
    <t>Check with the Business Lighting Team to confirm eligibility! Businesslighting@pse.com</t>
  </si>
  <si>
    <t>Lighting Retrofit projects (existing lighting baseline)</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</si>
  <si>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</si>
  <si>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</si>
  <si>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</si>
  <si>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</si>
  <si>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</si>
  <si>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</si>
  <si>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</si>
  <si>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r>
      <rPr>
        <b/>
        <sz val="12"/>
        <rFont val="Calibri"/>
        <family val="2"/>
        <scheme val="minor"/>
      </rPr>
      <t>PSE Approval:</t>
    </r>
    <r>
      <rPr>
        <sz val="12"/>
        <rFont val="Calibri"/>
        <family val="2"/>
        <scheme val="minor"/>
      </rPr>
      <t xml:space="preserve"> </t>
    </r>
  </si>
  <si>
    <t>Pre-inspection before work is started is not required.  Projects must be submitted no later than 6 months after installation is complete.</t>
  </si>
  <si>
    <t xml:space="preserve">Drawings showing each space and the square footage of each space is required. </t>
  </si>
  <si>
    <t xml:space="preserve">PSE reserves the right to inspect and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</si>
  <si>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</si>
  <si>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</si>
  <si>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Current </t>
    </r>
    <r>
      <rPr>
        <sz val="11"/>
        <color theme="1"/>
        <rFont val="Calibri"/>
        <family val="2"/>
        <scheme val="minor"/>
      </rPr>
      <t>W9 of Payee (or W9 on file with PSE)</t>
    </r>
  </si>
  <si>
    <r>
      <rPr>
        <sz val="11"/>
        <color rgb="FF000000"/>
        <rFont val="Calibri"/>
        <family val="2"/>
      </rPr>
      <t xml:space="preserve">● Cut sheets of </t>
    </r>
    <r>
      <rPr>
        <u/>
        <sz val="11"/>
        <color rgb="FF000000"/>
        <rFont val="Calibri"/>
        <family val="2"/>
      </rPr>
      <t>all</t>
    </r>
    <r>
      <rPr>
        <sz val="11"/>
        <color rgb="FF000000"/>
        <rFont val="Calibri"/>
        <family val="2"/>
      </rPr>
      <t xml:space="preserve"> LED light fixtures and controls</t>
    </r>
  </si>
  <si>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</si>
  <si>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</si>
  <si>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</si>
  <si>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</si>
  <si>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fixture conversion kits, new fixtures, and lighting controls.</t>
  </si>
  <si>
    <t>All wattages will be verified by PSE. PSE will make the final determination of wattage.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</si>
  <si>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</si>
  <si>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</si>
  <si>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t>Do not include them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</si>
  <si>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</si>
  <si>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</si>
  <si>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</si>
  <si>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</si>
  <si>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</si>
  <si>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r>
      <t>Note:</t>
    </r>
    <r>
      <rPr>
        <sz val="11"/>
        <color rgb="FFFF0000"/>
        <rFont val="Calibri"/>
        <family val="2"/>
        <scheme val="minor"/>
      </rPr>
      <t xml:space="preserve"> </t>
    </r>
    <r>
      <rPr>
        <i/>
        <sz val="11"/>
        <color rgb="FFFF0000"/>
        <rFont val="Calibri"/>
        <family val="2"/>
        <scheme val="minor"/>
      </rPr>
      <t xml:space="preserve">When using "plug and play" TLEDs, it is the contractors responsibility to ensure that the Lighting To Go rebate </t>
    </r>
  </si>
  <si>
    <r>
      <t xml:space="preserve">is </t>
    </r>
    <r>
      <rPr>
        <i/>
        <u/>
        <sz val="11"/>
        <color rgb="FFFF0000"/>
        <rFont val="Calibri"/>
        <family val="2"/>
        <scheme val="minor"/>
      </rPr>
      <t>NOT</t>
    </r>
    <r>
      <rPr>
        <i/>
        <sz val="11"/>
        <color rgb="FFFF0000"/>
        <rFont val="Calibri"/>
        <family val="2"/>
        <scheme val="minor"/>
      </rPr>
      <t xml:space="preserve"> received from the distributor at point of sale. The </t>
    </r>
    <r>
      <rPr>
        <i/>
        <u/>
        <sz val="11"/>
        <color rgb="FFFF0000"/>
        <rFont val="Calibri"/>
        <family val="2"/>
        <scheme val="minor"/>
      </rPr>
      <t>Distributor receipt is required</t>
    </r>
    <r>
      <rPr>
        <i/>
        <sz val="11"/>
        <color rgb="FFFF0000"/>
        <rFont val="Calibri"/>
        <family val="2"/>
        <scheme val="minor"/>
      </rPr>
      <t xml:space="preserve"> to be submitted to verify that </t>
    </r>
  </si>
  <si>
    <t xml:space="preserve">the Lighting To Go incentive was not received from the distributor. If the receipt or PSE investigation determines that </t>
  </si>
  <si>
    <t>the Lighting To Go incentive was received, the Custom incentive will be disallowed.</t>
  </si>
  <si>
    <t>HID-LED screw-in lamps (replacing HID lamps)</t>
  </si>
  <si>
    <t>The distributor receipt is required to be submitted to verify that the Lighting To Go incentive was not received from the distributor.</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</si>
  <si>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</si>
  <si>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</si>
  <si>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</si>
  <si>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</si>
  <si>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</si>
  <si>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</si>
  <si>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</si>
  <si>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</si>
  <si>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the existing fixture must be is completely removed and disposed.</t>
  </si>
  <si>
    <t>Fixture &amp; Control bundle</t>
  </si>
  <si>
    <t>All controls must be new and not replacing an existing similar control.</t>
  </si>
  <si>
    <t>Interior: occupancy sensor, daylight sensor, network lighting controls; wall mounted or ceiling mounted.</t>
  </si>
  <si>
    <t>Exterior: occupancy sensors in addition to photocell or astronomical time clock, or network lighting controls.</t>
  </si>
  <si>
    <t>Luminaire Level Lighting Control fixtures, Network Lighting Control fixtures and Advanced Exterior Lighting Control fixtures</t>
  </si>
  <si>
    <r>
      <t xml:space="preserve">Luminaire Level Lighting Control (LLLC) Bonus </t>
    </r>
    <r>
      <rPr>
        <sz val="11"/>
        <color rgb="FF000000"/>
        <rFont val="Calibri"/>
        <family val="2"/>
        <scheme val="minor"/>
      </rPr>
      <t>- PSE will incentivize each LLLC fixture at $100 in daylighted spaces and $50 in non-daylighted spaces.</t>
    </r>
  </si>
  <si>
    <t>The LLLC bonus is available for all daylighted spaces in your facility. LLLC bonus is reduced in non-daylighted spaces.  See LLLC Tab for more information.</t>
  </si>
  <si>
    <t>LLLC fixtures must be approved by PSE to receive the bonus and must meet the following:</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</si>
  <si>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For open office spaces, fixtures must be controlled separately in control zones with floor areas not greater than 600 square feet. The system must have local override switching capability, as required by WSEC. </t>
  </si>
  <si>
    <r>
      <t xml:space="preserve">Network Lighting Control (NLC) Bonus </t>
    </r>
    <r>
      <rPr>
        <sz val="11"/>
        <color rgb="FF000000"/>
        <rFont val="Calibri"/>
        <family val="2"/>
        <scheme val="minor"/>
      </rPr>
      <t>- PSE will incentivize each NLC fixture at $50</t>
    </r>
  </si>
  <si>
    <t>The NLC bonus is available for all spaces in your facility. See LLLC Tab for more information.</t>
  </si>
  <si>
    <t>NLC systems must be approved by PSE to receive the bonus and must meet the following:</t>
  </si>
  <si>
    <t xml:space="preserve">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For open office spaces, fixtures must be controlled separately in control zones with floor areas not greater than 600 square feet. The system must have local override switching capability, as required by the WSEC. </t>
  </si>
  <si>
    <r>
      <rPr>
        <b/>
        <sz val="11"/>
        <color rgb="FF000000"/>
        <rFont val="Calibri"/>
        <family val="2"/>
      </rPr>
      <t xml:space="preserve">Advanced Exterior Lighting Control (AELC) Bonus </t>
    </r>
    <r>
      <rPr>
        <sz val="11"/>
        <color rgb="FF000000"/>
        <rFont val="Calibri"/>
        <family val="2"/>
      </rPr>
      <t>- PSE will incentivize each new AELC fixture at $75. Existing exterior LED fixtures with added AELC will receive $50.</t>
    </r>
  </si>
  <si>
    <t>AELC fixtures must be approved by PSE to receive the bonus and must meet the following:</t>
  </si>
  <si>
    <t xml:space="preserve">AELC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t>
  </si>
  <si>
    <t>Specifications:</t>
  </si>
  <si>
    <r>
      <rPr>
        <b/>
        <i/>
        <sz val="11"/>
        <color rgb="FF2C1126"/>
        <rFont val="Calibri"/>
        <family val="2"/>
        <scheme val="minor"/>
      </rPr>
      <t>LED Fixtures and Lamps:</t>
    </r>
    <r>
      <rPr>
        <i/>
        <sz val="11"/>
        <color rgb="FF2C1126"/>
        <rFont val="Calibri"/>
        <family val="2"/>
        <scheme val="minor"/>
      </rPr>
      <t xml:space="preserve"> </t>
    </r>
  </si>
  <si>
    <t xml:space="preserve">All fixtures and lamps must meet PSE specifications with the following REQUIRED listed on </t>
  </si>
  <si>
    <t>the manufacturers specification sheet:</t>
  </si>
  <si>
    <t>Required</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</si>
  <si>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</si>
  <si>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</si>
  <si>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</si>
  <si>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</si>
  <si>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</si>
  <si>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</si>
  <si>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</si>
  <si>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</si>
  <si>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</si>
  <si>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</si>
  <si>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</si>
  <si>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</si>
  <si>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</si>
  <si>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PSE reserves the option of requiring LM79 or LM80 for any fixture.</t>
  </si>
  <si>
    <t xml:space="preserve">LED Exit Signs: </t>
  </si>
  <si>
    <t xml:space="preserve">Exit signs must be replacing an existing CFL or incandescent exit sign </t>
  </si>
  <si>
    <t xml:space="preserve">and have a minimum of a 5 year warranty. </t>
  </si>
  <si>
    <t>T8 Fluorescent Lamps and ballasts:</t>
  </si>
  <si>
    <t>T12 Fluorescent Lamps and ballasts:</t>
  </si>
  <si>
    <t>Lighting Controls:</t>
  </si>
  <si>
    <t xml:space="preserve"> Defined as commercial grade occupancy sensors, timers, photocells, and dimmers.</t>
  </si>
  <si>
    <t xml:space="preserve">Recycling: </t>
  </si>
  <si>
    <t>The customer is solely responsible for meeting all applicable Washington State recycling requirements, including proper disposal of Linear, Compact Fluorescent and HID lamps and ballasts, and other hazardous waste.</t>
  </si>
  <si>
    <r>
      <rPr>
        <b/>
        <sz val="11"/>
        <color rgb="FF2C1126"/>
        <rFont val="Calibri"/>
        <family val="2"/>
        <scheme val="minor"/>
      </rPr>
      <t>Inspections:</t>
    </r>
    <r>
      <rPr>
        <sz val="11"/>
        <color rgb="FF2C1126"/>
        <rFont val="Calibri"/>
        <family val="2"/>
        <scheme val="minor"/>
      </rPr>
      <t xml:space="preserve"> </t>
    </r>
  </si>
  <si>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</si>
  <si>
    <t>Invoice:</t>
  </si>
  <si>
    <t xml:space="preserve"> 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t>
  </si>
  <si>
    <t>* Any costs not associated with the installations of the fixtures/controls shall be listed separately as PSE cannot  include them in the project cost!</t>
  </si>
  <si>
    <t>LOA:</t>
  </si>
  <si>
    <t>Letter of Authorizations (LOA)  must be signed no more than one year prior to submitting the application.</t>
  </si>
  <si>
    <t>Project Type</t>
  </si>
  <si>
    <t>Project Location Information</t>
  </si>
  <si>
    <t>Project Owner Contact Information</t>
  </si>
  <si>
    <t>LOA Contact Information</t>
  </si>
  <si>
    <t>(LOA - Letter of Authorization)</t>
  </si>
  <si>
    <t>Commercial/Industrial</t>
  </si>
  <si>
    <r>
      <t>Project Name</t>
    </r>
    <r>
      <rPr>
        <b/>
        <sz val="11"/>
        <color rgb="FFFF0000"/>
        <rFont val="Calibri"/>
        <family val="2"/>
        <scheme val="minor"/>
      </rPr>
      <t/>
    </r>
  </si>
  <si>
    <t>Company</t>
  </si>
  <si>
    <t>Only Fill Out if you have a LOA from the Customer. 
Not Typical!</t>
  </si>
  <si>
    <t>RETROFIT</t>
  </si>
  <si>
    <r>
      <t>Business Name</t>
    </r>
    <r>
      <rPr>
        <b/>
        <sz val="11"/>
        <color rgb="FFFF0000"/>
        <rFont val="Calibri"/>
        <family val="2"/>
        <scheme val="minor"/>
      </rPr>
      <t/>
    </r>
  </si>
  <si>
    <t>Name, (first and last)</t>
  </si>
  <si>
    <t>Rate Schedule</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</si>
  <si>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</si>
  <si>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</si>
  <si>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</si>
  <si>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</si>
  <si>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</si>
  <si>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</si>
  <si>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</si>
  <si>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r>
      <t>Contact Address</t>
    </r>
    <r>
      <rPr>
        <i/>
        <sz val="9"/>
        <color rgb="FFFF0000"/>
        <rFont val="Calibri"/>
        <family val="2"/>
        <scheme val="minor"/>
      </rPr>
      <t xml:space="preserve"> (if different than project site)</t>
    </r>
  </si>
  <si>
    <t>Building Type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</si>
  <si>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</si>
  <si>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</si>
  <si>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</si>
  <si>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</si>
  <si>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</si>
  <si>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</si>
  <si>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</si>
  <si>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</si>
  <si>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</si>
  <si>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</si>
  <si>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</si>
  <si>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</si>
  <si>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</si>
  <si>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Enter in the table below the hour that the building is normally first occupied (open)</t>
  </si>
  <si>
    <t>and the time that the building normally becomes unoccupied (closed).</t>
  </si>
  <si>
    <t>Enter hours to the closest half hour in decimal format - Example 8.5; not 8:30</t>
  </si>
  <si>
    <t>Sun</t>
  </si>
  <si>
    <t>Mon</t>
  </si>
  <si>
    <t>Tue</t>
  </si>
  <si>
    <t>Wed</t>
  </si>
  <si>
    <t>Thu</t>
  </si>
  <si>
    <t>Fri</t>
  </si>
  <si>
    <t>Sat</t>
  </si>
  <si>
    <t>Yearly hours of operation</t>
  </si>
  <si>
    <t>Open</t>
  </si>
  <si>
    <t>am</t>
  </si>
  <si>
    <t>Closed</t>
  </si>
  <si>
    <t>pm</t>
  </si>
  <si>
    <t>Enter the number observed holiday days per year that the business is closed</t>
  </si>
  <si>
    <t>Submitting Company Information</t>
  </si>
  <si>
    <t>Lighting Installed by?</t>
  </si>
  <si>
    <t>(Optional) Vendor / Other Information</t>
  </si>
  <si>
    <t>Submitted by?</t>
  </si>
  <si>
    <t>- Choose Submitted By -</t>
  </si>
  <si>
    <t>Submitting Company</t>
  </si>
  <si>
    <t>Installed by?</t>
  </si>
  <si>
    <t>- Choose Installed By -</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</si>
  <si>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</si>
  <si>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</si>
  <si>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</si>
  <si>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</si>
  <si>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</si>
  <si>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</si>
  <si>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</si>
  <si>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</si>
  <si>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Customer</t>
  </si>
  <si>
    <t>Submitting</t>
  </si>
  <si>
    <t>Installing Contractor</t>
  </si>
  <si>
    <t>Customer Auth (Submit)</t>
  </si>
  <si>
    <t>Installer - Company</t>
  </si>
  <si>
    <t>PAYEE  - Company</t>
  </si>
  <si>
    <t>Company Name</t>
  </si>
  <si>
    <t>PAYEE name (first and last)</t>
  </si>
  <si>
    <t>Printed Name</t>
  </si>
  <si>
    <t>Email or Phone Number</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</si>
  <si>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</si>
  <si>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</si>
  <si>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 xml:space="preserve">
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</si>
  <si>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</si>
  <si>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</si>
  <si>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</si>
  <si>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</si>
  <si>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</si>
  <si>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</si>
  <si>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</si>
  <si>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</si>
  <si>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</si>
  <si>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</si>
  <si>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</si>
  <si>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</si>
  <si>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</si>
  <si>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</si>
  <si>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</si>
  <si>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</si>
  <si>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</si>
  <si>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</si>
  <si>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</si>
  <si>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</si>
  <si>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</si>
  <si>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</si>
  <si>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</si>
  <si>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</si>
  <si>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</si>
  <si>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</si>
  <si>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</si>
  <si>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</si>
  <si>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</si>
  <si>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</si>
  <si>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</si>
  <si>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</si>
  <si>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</si>
  <si>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</si>
  <si>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</si>
  <si>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</si>
  <si>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</si>
  <si>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</si>
  <si>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</si>
  <si>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</si>
  <si>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</si>
  <si>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</si>
  <si>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</si>
  <si>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</si>
  <si>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</si>
  <si>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</si>
  <si>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</si>
  <si>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</si>
  <si>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</si>
  <si>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</si>
  <si>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Yes</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</si>
  <si>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</si>
  <si>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</si>
  <si>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</si>
  <si>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</si>
  <si>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</si>
  <si>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</si>
  <si>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</si>
  <si>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</si>
  <si>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</si>
  <si>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</si>
  <si>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</si>
  <si>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</si>
  <si>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</si>
  <si>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</si>
  <si>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</si>
  <si>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</si>
  <si>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</si>
  <si>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</si>
  <si>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</si>
  <si>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</si>
  <si>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</si>
  <si>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</si>
  <si>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</si>
  <si>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</si>
  <si>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</si>
  <si>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</si>
  <si>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</si>
  <si>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</si>
  <si>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</si>
  <si>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</si>
  <si>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</si>
  <si>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</si>
  <si>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</si>
  <si>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</si>
  <si>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</si>
  <si>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</si>
  <si>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</si>
  <si>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</si>
  <si>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</si>
  <si>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</si>
  <si>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</si>
  <si>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</si>
  <si>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</si>
  <si>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</si>
  <si>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</si>
  <si>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</si>
  <si>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</si>
  <si>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</si>
  <si>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</si>
  <si>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</si>
  <si>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</si>
  <si>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</si>
  <si>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</si>
  <si>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</si>
  <si>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</si>
  <si>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</si>
  <si>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</si>
  <si>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</si>
  <si>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</si>
  <si>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</si>
  <si>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</si>
  <si>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</si>
  <si>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</si>
  <si>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</si>
  <si>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</si>
  <si>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</si>
  <si>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</si>
  <si>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</si>
  <si>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</si>
  <si>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</si>
  <si>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</si>
  <si>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</si>
  <si>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</si>
  <si>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</si>
  <si>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</si>
  <si>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</si>
  <si>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</si>
  <si>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</si>
  <si>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</si>
  <si>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</si>
  <si>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</si>
  <si>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</si>
  <si>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</si>
  <si>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</si>
  <si>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</si>
  <si>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</si>
  <si>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</si>
  <si>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</si>
  <si>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</si>
  <si>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</si>
  <si>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</si>
  <si>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</si>
  <si>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</si>
  <si>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</si>
  <si>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Color</t>
  </si>
  <si>
    <t>Exterior</t>
  </si>
  <si>
    <t>Per Line</t>
  </si>
  <si>
    <t>Per Unit</t>
  </si>
  <si>
    <t>/kWh</t>
  </si>
  <si>
    <t>Moderate Income?</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</si>
  <si>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</si>
  <si>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</si>
  <si>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</si>
  <si>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</si>
  <si>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</si>
  <si>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</si>
  <si>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</si>
  <si>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</si>
  <si>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</si>
  <si>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</si>
  <si>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</si>
  <si>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</si>
  <si>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</si>
  <si>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</si>
  <si>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</si>
  <si>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</si>
  <si>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</si>
  <si>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</si>
  <si>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</si>
  <si>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</si>
  <si>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</si>
  <si>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</si>
  <si>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</si>
  <si>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</si>
  <si>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</si>
  <si>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</si>
  <si>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</si>
  <si>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</si>
  <si>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</si>
  <si>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</si>
  <si>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</si>
  <si>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</si>
  <si>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</si>
  <si>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</si>
  <si>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</si>
  <si>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</si>
  <si>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</si>
  <si>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</si>
  <si>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</si>
  <si>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</si>
  <si>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</si>
  <si>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</si>
  <si>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</si>
  <si>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</si>
  <si>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</si>
  <si>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</si>
  <si>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</si>
  <si>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</si>
  <si>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</si>
  <si>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</si>
  <si>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</si>
  <si>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</si>
  <si>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</si>
  <si>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</si>
  <si>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</si>
  <si>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</si>
  <si>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</si>
  <si>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</si>
  <si>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</si>
  <si>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</si>
  <si>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</si>
  <si>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</si>
  <si>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 xml:space="preserve"> Incentive Detail</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</si>
  <si>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</si>
  <si>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</si>
  <si>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</si>
  <si>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</si>
  <si>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</si>
  <si>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</si>
  <si>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</si>
  <si>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</si>
  <si>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</si>
  <si>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</si>
  <si>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</si>
  <si>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</si>
  <si>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</si>
  <si>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</si>
  <si>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</si>
  <si>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</si>
  <si>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bonus total</t>
  </si>
  <si>
    <t>AELC (bonus)</t>
  </si>
  <si>
    <t>Keep</t>
  </si>
  <si>
    <t>LLLC &amp; AELC Controls Only (bonus)</t>
  </si>
  <si>
    <t>Astro</t>
  </si>
  <si>
    <t>Dimming</t>
  </si>
  <si>
    <t>ENLC</t>
  </si>
  <si>
    <t>Installed LPD</t>
  </si>
  <si>
    <t>Allowed LPA</t>
  </si>
  <si>
    <t>hours</t>
  </si>
  <si>
    <t>Savings and Cost</t>
  </si>
  <si>
    <t>Include Measure?</t>
  </si>
  <si>
    <t>Max Incentive</t>
  </si>
  <si>
    <t>Controlled</t>
  </si>
  <si>
    <t>final control</t>
  </si>
  <si>
    <t>Baseline</t>
  </si>
  <si>
    <t>Final Cost</t>
  </si>
  <si>
    <t>NLC/LLLC</t>
  </si>
  <si>
    <t>Annual Hrs:</t>
  </si>
  <si>
    <t>Daylighted?</t>
  </si>
  <si>
    <t>Not Daylighted</t>
  </si>
  <si>
    <t>Side Daylighted (first row only)</t>
  </si>
  <si>
    <t>AC</t>
  </si>
  <si>
    <t>=IF(LEN(Lookup!K5)=4,'Installations'!BB53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</si>
  <si>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</si>
  <si>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</si>
  <si>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</si>
  <si>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</si>
  <si>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</si>
  <si>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</si>
  <si>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</si>
  <si>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</si>
  <si>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</si>
  <si>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</si>
  <si>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</si>
  <si>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</si>
  <si>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</si>
  <si>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</si>
  <si>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</si>
  <si>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</si>
  <si>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</si>
  <si>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</si>
  <si>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</si>
  <si>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</si>
  <si>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</si>
  <si>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</si>
  <si>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</si>
  <si>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</si>
  <si>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Project</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</si>
  <si>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</si>
  <si>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</si>
  <si>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</si>
  <si>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</si>
  <si>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</si>
  <si>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</si>
  <si>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</si>
  <si>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</si>
  <si>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</si>
  <si>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</si>
  <si>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</si>
  <si>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</si>
  <si>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</si>
  <si>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</si>
  <si>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</si>
  <si>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</si>
  <si>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</si>
  <si>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 (Grant):</t>
  </si>
  <si>
    <t>The below PAYEE information is required before PSE can send the Conservation Grant Agreement to the customer and participant for signature and before any work can start on the project.</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</si>
  <si>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</si>
  <si>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</si>
  <si>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</si>
  <si>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Select Payee from dropdown or enter Payee information below</t>
  </si>
  <si>
    <t>Customer Bill Credit (Direct Payment to Customer)</t>
  </si>
  <si>
    <t>PAYEE?</t>
  </si>
  <si>
    <t>- Choose Payee -</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</si>
  <si>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</si>
  <si>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Check payable to - MUST match W9</t>
  </si>
  <si>
    <t>Check payable to</t>
  </si>
  <si>
    <t>Federal Tax ID #</t>
  </si>
  <si>
    <r>
      <t>Address</t>
    </r>
    <r>
      <rPr>
        <i/>
        <sz val="11"/>
        <color rgb="FFFF0000"/>
        <rFont val="Calibri"/>
        <family val="2"/>
        <scheme val="minor"/>
      </rPr>
      <t/>
    </r>
  </si>
  <si>
    <t>PSE CUSTOMER/CONTRACTOR/SUBMITTER ACKNOWLEDGMENT</t>
  </si>
  <si>
    <t xml:space="preserve">By signing at right I acknowledge that I have read and agree to the Term and Conditions of PSE </t>
  </si>
  <si>
    <t>PSE TERMS</t>
  </si>
  <si>
    <t>As Participant I agree to submit for payment or authorize my representative to submit for payment once ALL products are installed and operating.</t>
  </si>
  <si>
    <t xml:space="preserve">I have read and agree to the Term and Conditions of PSE BUSINESS LIGHTING INCENTIVE PROGRAM. I attest that all information provided in this application is accurate and truthful, that I satisfy the terms and conditions, and that I agree to adhere to them. I understand that if I do not adhere to the terms and conditions or have otherwise not complied with the requirements of this program, my application for an incentive may be disqualified and/or the incentive may be reduced. I understand that PSE provides incentives for lighting measures that are designed to save energy in the facility listed on the application.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</si>
  <si>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CONTRACTOR/SUBMITTER</t>
  </si>
  <si>
    <t>CUSTOMER</t>
  </si>
  <si>
    <t>I acknowledge that I have discussed with the customer and we agree to the above PSE terms and conditions for program participation:</t>
  </si>
  <si>
    <t>I acknowledge that I agree to the above PSE terms and conditions for program participation:</t>
  </si>
  <si>
    <t>(Contractor/Submitter may fill in below with customer permission)</t>
  </si>
  <si>
    <t>Customer Printed Name</t>
  </si>
  <si>
    <t>Date Signed (mm/dd/yyyy)</t>
  </si>
  <si>
    <t>Est. Completion Date (mm/dd/yyyy)</t>
  </si>
  <si>
    <t xml:space="preserve">How did you hear about this program? </t>
  </si>
  <si>
    <t>Training and Education</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</si>
  <si>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</si>
  <si>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</si>
  <si>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</si>
  <si>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</si>
  <si>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</si>
  <si>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</si>
  <si>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</si>
  <si>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</si>
  <si>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0"/>
        <rFont val="Calibri"/>
        <family val="2"/>
      </rPr>
      <t>●</t>
    </r>
    <r>
      <rPr>
        <sz val="11"/>
        <color theme="0"/>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</si>
  <si>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</si>
  <si>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</si>
  <si>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</si>
  <si>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0"/>
        <rFont val="Calibri"/>
        <family val="2"/>
      </rPr>
      <t>●</t>
    </r>
    <r>
      <rPr>
        <sz val="11"/>
        <color theme="0"/>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</si>
  <si>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</si>
  <si>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</si>
  <si>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</si>
  <si>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</si>
  <si>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</si>
  <si>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</si>
  <si>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</si>
  <si>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</si>
  <si>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t>TI/NC Interior Savings</t>
  </si>
  <si>
    <t>Estimated Interior PSE Incentive</t>
  </si>
  <si>
    <t>LLLC - daylight</t>
  </si>
  <si>
    <t>Refer to Installations tab for the total interior plus exterior savings and incentive.</t>
  </si>
  <si>
    <t>LLLC - not daylight</t>
  </si>
  <si>
    <t>For TI/NC exterior lighting, use the Installations tab to calculate exterior savings.</t>
  </si>
  <si>
    <t>AILC Saved kWh</t>
  </si>
  <si>
    <t>Interior Incentive based on Energy Code Building Area Method</t>
  </si>
  <si>
    <t>TLED's entered below. Enter total project square footage (SF) in the "Interior SF" cell below and enter the SF of the TLED spaces in the "Enter SF of spaces with TLED" cell(s).</t>
  </si>
  <si>
    <t>Control Factors</t>
  </si>
  <si>
    <t>BEM 25% DL</t>
  </si>
  <si>
    <t>Base Building Type</t>
  </si>
  <si>
    <t>HVAC</t>
  </si>
  <si>
    <t>LPD (allowed)</t>
  </si>
  <si>
    <t>Base Watts
(allowed)</t>
  </si>
  <si>
    <t>Control Factor</t>
  </si>
  <si>
    <t>HOU</t>
  </si>
  <si>
    <t>Base kWh (allowed)</t>
  </si>
  <si>
    <t>Controlled kWh (allowed)</t>
  </si>
  <si>
    <t>Controlled kWh (designed)</t>
  </si>
  <si>
    <t>CFNDL</t>
  </si>
  <si>
    <t>CFDL</t>
  </si>
  <si>
    <t>CFDL (adj)</t>
  </si>
  <si>
    <t>Interior SF</t>
  </si>
  <si>
    <t>Heat Type</t>
  </si>
  <si>
    <t>Designed Watts</t>
  </si>
  <si>
    <t>TLED Adjusted SF</t>
  </si>
  <si>
    <t>Tuning</t>
  </si>
  <si>
    <t>LLLC/NLC</t>
  </si>
  <si>
    <t>LLLC Outside DL</t>
  </si>
  <si>
    <t>Enter SF of spaces with TLED</t>
  </si>
  <si>
    <t>LLLC Inside daylight</t>
  </si>
  <si>
    <t>LLLC outside daylight</t>
  </si>
  <si>
    <t xml:space="preserve">total </t>
  </si>
  <si>
    <t>AILC</t>
  </si>
  <si>
    <t>Designed kWh</t>
  </si>
  <si>
    <t>Non-AILC kWh</t>
  </si>
  <si>
    <t>AILC kWh</t>
  </si>
  <si>
    <t>LLLC/NLC not allowed with TLED</t>
  </si>
  <si>
    <t>% of</t>
  </si>
  <si>
    <t>Allowed</t>
  </si>
  <si>
    <t>Designed</t>
  </si>
  <si>
    <t>Adder</t>
  </si>
  <si>
    <t>Non</t>
  </si>
  <si>
    <t>TLED SF</t>
  </si>
  <si>
    <t>TLED Base</t>
  </si>
  <si>
    <t>TLED New</t>
  </si>
  <si>
    <t>Fixture Error Check</t>
  </si>
  <si>
    <t>Interior Fixtures (select from dropdown)</t>
  </si>
  <si>
    <t>uncontrolled</t>
  </si>
  <si>
    <t>controlled</t>
  </si>
  <si>
    <t>fixtures</t>
  </si>
  <si>
    <t>/NLC</t>
  </si>
  <si>
    <t>out</t>
  </si>
  <si>
    <t>TLED +</t>
  </si>
  <si>
    <t>TLED qty</t>
  </si>
  <si>
    <t>YES/NO</t>
  </si>
  <si>
    <t>Alternate Building Type #1</t>
  </si>
  <si>
    <t>LPD</t>
  </si>
  <si>
    <t>Controlled kWh</t>
  </si>
  <si>
    <t>Okay</t>
  </si>
  <si>
    <t>'Building Area Installations'!$C$1:$AJ$73</t>
  </si>
  <si>
    <t>Note: formula to have cost automatically pulled from the fixtures page to the Installations page, enter everything between the following brackets into the "Cost" cell</t>
  </si>
  <si>
    <t>[=IFERROR(VLOOKUP(INDIRECT("U" &amp; ROW()-1),Fixtures!DM$93:DP$142,4,FALSE),"")]</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</si>
  <si>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</si>
  <si>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</si>
  <si>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</si>
  <si>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</si>
  <si>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</si>
  <si>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</si>
  <si>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</si>
  <si>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</si>
  <si>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</si>
  <si>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</si>
  <si>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</si>
  <si>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</si>
  <si>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</si>
  <si>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</si>
  <si>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</si>
  <si>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</si>
  <si>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</si>
  <si>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</si>
  <si>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</si>
  <si>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</si>
  <si>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</si>
  <si>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</si>
  <si>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</si>
  <si>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</si>
  <si>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</si>
  <si>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</si>
  <si>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</si>
  <si>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</si>
  <si>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</si>
  <si>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</si>
  <si>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</si>
  <si>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</si>
  <si>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</si>
  <si>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</si>
  <si>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</si>
  <si>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</si>
  <si>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</si>
  <si>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</si>
  <si>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</si>
  <si>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</si>
  <si>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</si>
  <si>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</si>
  <si>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</si>
  <si>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</si>
  <si>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</si>
  <si>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</si>
  <si>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</si>
  <si>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</si>
  <si>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</si>
  <si>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</si>
  <si>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</si>
  <si>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Payee</t>
  </si>
  <si>
    <t>Submitted By</t>
  </si>
  <si>
    <t>Contact name</t>
  </si>
  <si>
    <t>Installer Email</t>
  </si>
  <si>
    <t>PAYEE contact, first and last</t>
  </si>
  <si>
    <t>WSEC C406.3 (New Construction)</t>
  </si>
  <si>
    <t>Installer Phone</t>
  </si>
  <si>
    <t>Installer Address</t>
  </si>
  <si>
    <t>Installer City</t>
  </si>
  <si>
    <t>Project Name</t>
  </si>
  <si>
    <t>Installer State</t>
  </si>
  <si>
    <t>Business Name</t>
  </si>
  <si>
    <t>Installer Zip</t>
  </si>
  <si>
    <t>PSE Account #</t>
  </si>
  <si>
    <t>PSE Electric Meter #(s)</t>
  </si>
  <si>
    <t>Lighting Installed By?</t>
  </si>
  <si>
    <t>Project City</t>
  </si>
  <si>
    <t>Installed By</t>
  </si>
  <si>
    <t>Submitter</t>
  </si>
  <si>
    <t>Project Zip</t>
  </si>
  <si>
    <t>Installer Contact name</t>
  </si>
  <si>
    <t>Name</t>
  </si>
  <si>
    <t>Business / Project Company name</t>
  </si>
  <si>
    <t>Date Signed</t>
  </si>
  <si>
    <t>Business / Project Contact</t>
  </si>
  <si>
    <t>Est Install Date</t>
  </si>
  <si>
    <t>Business / Project Email</t>
  </si>
  <si>
    <t>Business / Project Phone</t>
  </si>
  <si>
    <t>Contact Address, if different</t>
  </si>
  <si>
    <t>Business City</t>
  </si>
  <si>
    <t>Business State</t>
  </si>
  <si>
    <t>Business Zip</t>
  </si>
  <si>
    <t>Phone</t>
  </si>
  <si>
    <t>The LLLC bonus is available for all daylighted spaces in your facility. LLLC bonus is reduced in non-daylighted spaces.</t>
  </si>
  <si>
    <t xml:space="preserve">Note on which lights fall within a "daylighted space". Light fixtures that are in one of the daylighted qualified spaces that are not in a daylight zone </t>
  </si>
  <si>
    <t>may be considered LLLC if they are controlled together with the lights in the daylight zone.</t>
  </si>
  <si>
    <t>(daylight zone is - two times the window head height from windows on an exterior wall and one times the fixture mounting height for a top-lighted spaces)</t>
  </si>
  <si>
    <r>
      <t xml:space="preserve">The PSE Bonus for LLLC, NLC and AELC fixtures is intended to cover the cost of the upgrade from a standard LED fixture to the same LED fixture with LLLC/NLC/AELC controls and to help cover the costs associated with the </t>
    </r>
    <r>
      <rPr>
        <u/>
        <sz val="11"/>
        <color theme="1"/>
        <rFont val="Calibri"/>
        <family val="2"/>
        <scheme val="minor"/>
      </rPr>
      <t>startup programing*</t>
    </r>
    <r>
      <rPr>
        <sz val="11"/>
        <color theme="1"/>
        <rFont val="Calibri"/>
        <family val="2"/>
        <scheme val="minor"/>
      </rPr>
      <t xml:space="preserve">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t>
    </r>
    <r>
      <rPr>
        <u/>
        <sz val="11"/>
        <color theme="1"/>
        <rFont val="Calibri"/>
        <family val="2"/>
        <scheme val="minor"/>
      </rPr>
      <t>startup programming*</t>
    </r>
    <r>
      <rPr>
        <sz val="11"/>
        <color theme="1"/>
        <rFont val="Calibri"/>
        <family val="2"/>
        <scheme val="minor"/>
      </rPr>
      <t xml:space="preserve"> can be done by the contractor installing the fixtures, the owner or their representative or a third party. </t>
    </r>
  </si>
  <si>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</si>
  <si>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</si>
  <si>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</si>
  <si>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</si>
  <si>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This project will have two seperate payments.
The first will cover the upgrade in fixtures to new LLLC/NLC/AELC fixtures.
The second will be for the LLLC/NLC/AELC Bonus.</t>
  </si>
  <si>
    <t>3.</t>
  </si>
  <si>
    <r>
      <t xml:space="preserve">After the lighting is installed but before the LLLC/NLC/AELC fixture controls have been </t>
    </r>
    <r>
      <rPr>
        <u/>
        <sz val="11"/>
        <color theme="1"/>
        <rFont val="Calibri"/>
        <family val="2"/>
        <scheme val="minor"/>
      </rPr>
      <t>startup programed*</t>
    </r>
    <r>
      <rPr>
        <sz val="11"/>
        <color theme="1"/>
        <rFont val="Calibri"/>
        <family val="2"/>
        <scheme val="minor"/>
      </rPr>
      <t>, the PM/EME will post inspect the project for LLLC fixture upgrade.</t>
    </r>
    <r>
      <rPr>
        <sz val="11"/>
        <color rgb="FFFF0000"/>
        <rFont val="Calibri"/>
        <family val="2"/>
        <scheme val="minor"/>
      </rPr>
      <t xml:space="preserve"> </t>
    </r>
  </si>
  <si>
    <t>The first payment can be paid after this inspection.</t>
  </si>
  <si>
    <t>4.</t>
  </si>
  <si>
    <r>
      <t xml:space="preserve">After the LLLC/NLC/AELC controls have been </t>
    </r>
    <r>
      <rPr>
        <u/>
        <sz val="11"/>
        <color theme="1"/>
        <rFont val="Calibri"/>
        <family val="2"/>
        <scheme val="minor"/>
      </rPr>
      <t>startup programed*</t>
    </r>
    <r>
      <rPr>
        <sz val="11"/>
        <color theme="1"/>
        <rFont val="Calibri"/>
        <family val="2"/>
        <scheme val="minor"/>
      </rPr>
      <t xml:space="preserve"> and operational for at least 30 days, the PM/EME will post inspect the project for completion of the LLLC/NLC/AELC controls. </t>
    </r>
  </si>
  <si>
    <t>The LLLC/NLC/AELC Bonus will be paid after the inspection.</t>
  </si>
  <si>
    <t xml:space="preserve">* Startup Programing, or Startup Programed is the process to set-up the specified LLLC/NLC AELC controls, the associated embedded lighting control logic and networking capabilities are calibrated, adjusted, programed and assured to operate in accordance with the requirements listed below. </t>
  </si>
  <si>
    <t>REQUIREMENTS</t>
  </si>
  <si>
    <t>Complete the following: Occupancy Sensor, Daylight Sensor, Task Tuning 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</si>
  <si>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</si>
  <si>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</si>
  <si>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</si>
  <si>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</si>
  <si>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</si>
  <si>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</si>
  <si>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</si>
  <si>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Task Tuning</t>
  </si>
  <si>
    <t xml:space="preserve">LLLC/NLC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LLLC/NLC fixtures shall be set to a maximum of 90% of full light output.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</si>
  <si>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High end trim setting (%)</t>
  </si>
  <si>
    <t>Grouping</t>
  </si>
  <si>
    <t>LLLC/NLC fixtures shall have installed wireless networking capabilities to allow multiple luminaires to be grouped to share occupancy and daylight information with all other LLLC luminaires installed in the space.  For open office spaces, fixtures must be controlled separately in control zones with floor areas not greater than 600 square feet.</t>
  </si>
  <si>
    <t>Does grouping meet WSEC?</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</si>
  <si>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</si>
  <si>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</si>
  <si>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</si>
  <si>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</si>
  <si>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</si>
  <si>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</si>
  <si>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</si>
  <si>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</si>
  <si>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</si>
  <si>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Top Daylighted &amp; 
Side Daylighted (first row only)</t>
  </si>
  <si>
    <t>Side Daylighted (typical)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</si>
  <si>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</si>
  <si>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</si>
  <si>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</si>
  <si>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</si>
  <si>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</si>
  <si>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</si>
  <si>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</si>
  <si>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</si>
  <si>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</si>
  <si>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</si>
  <si>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</si>
  <si>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</si>
  <si>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</si>
  <si>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</si>
  <si>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</si>
  <si>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</si>
  <si>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</si>
  <si>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</si>
  <si>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</si>
  <si>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</si>
  <si>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</si>
  <si>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</si>
  <si>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</si>
  <si>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</si>
  <si>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</si>
  <si>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</si>
  <si>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</si>
  <si>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</si>
  <si>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</si>
  <si>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</si>
  <si>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</si>
  <si>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</si>
  <si>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</si>
  <si>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</si>
  <si>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</si>
  <si>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</si>
  <si>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</si>
  <si>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</si>
  <si>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Kitchen</t>
  </si>
  <si>
    <t>Library</t>
  </si>
  <si>
    <t>Lobby</t>
  </si>
  <si>
    <t>Outside of Daylight Zones</t>
  </si>
  <si>
    <t>Lodging (Guest Rooms)</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</si>
  <si>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</si>
  <si>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</si>
  <si>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</si>
  <si>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</si>
  <si>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</si>
  <si>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</si>
  <si>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</si>
  <si>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</si>
  <si>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</si>
  <si>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</si>
  <si>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</si>
  <si>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</si>
  <si>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</si>
  <si>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</si>
  <si>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</si>
  <si>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</si>
  <si>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</si>
  <si>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</si>
  <si>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</si>
  <si>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</si>
  <si>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</si>
  <si>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</si>
  <si>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</si>
  <si>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</si>
  <si>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</si>
  <si>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</si>
  <si>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</si>
  <si>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</si>
  <si>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</si>
  <si>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</si>
  <si>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</si>
  <si>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</si>
  <si>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</si>
  <si>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</si>
  <si>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</si>
  <si>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</si>
  <si>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</si>
  <si>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</si>
  <si>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</si>
  <si>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</si>
  <si>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</si>
  <si>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</si>
  <si>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</si>
  <si>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</si>
  <si>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</si>
  <si>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</si>
  <si>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</si>
  <si>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</si>
  <si>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</si>
  <si>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</si>
  <si>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</si>
  <si>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</si>
  <si>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</si>
  <si>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</si>
  <si>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</si>
  <si>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</si>
  <si>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</si>
  <si>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</si>
  <si>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</si>
  <si>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PM/EME:</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</si>
  <si>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</si>
  <si>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</si>
  <si>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</si>
  <si>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</si>
  <si>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</si>
  <si>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</si>
  <si>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</si>
  <si>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</si>
  <si>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</si>
  <si>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</si>
  <si>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</si>
  <si>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</si>
  <si>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</si>
  <si>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</si>
  <si>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</si>
  <si>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</si>
  <si>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</si>
  <si>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</si>
  <si>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</si>
  <si>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</si>
  <si>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Grant Distribution: (grant will always be sent to the PM/EME and Customer/Participant) unless noted below</t>
  </si>
  <si>
    <t>Customer:</t>
  </si>
  <si>
    <t>Contractor Phone:</t>
  </si>
  <si>
    <t>Customer Contact:</t>
  </si>
  <si>
    <t>ONLY send to PM/EME (PM/EME to distribute)</t>
  </si>
  <si>
    <t>Customer Email:</t>
  </si>
  <si>
    <t>Installed by:</t>
  </si>
  <si>
    <t>ONLY send to Street Lighting Incentive email</t>
  </si>
  <si>
    <t>Customer Phone:</t>
  </si>
  <si>
    <t>Note to EMEs: [Insert brief explanation of the new space here (business name, sq ft, space type, location) and technology implemented (LEDs, LLLCs, controls, etc.)]</t>
  </si>
  <si>
    <t>PM/EME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</si>
  <si>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</si>
  <si>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</si>
  <si>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</si>
  <si>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</si>
  <si>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</si>
  <si>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</si>
  <si>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</si>
  <si>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</si>
  <si>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</si>
  <si>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</si>
  <si>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</si>
  <si>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</si>
  <si>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</si>
  <si>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</si>
  <si>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</si>
  <si>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</si>
  <si>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</si>
  <si>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</si>
  <si>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</si>
  <si>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t>
  </si>
  <si>
    <t>DSMc Project Number:</t>
  </si>
  <si>
    <t>Measure Cost:</t>
  </si>
  <si>
    <t>Cost:</t>
  </si>
  <si>
    <t>Estimated Grant:</t>
  </si>
  <si>
    <t>Grant:</t>
  </si>
  <si>
    <t>Fixtures &amp; Controls Incentive (included above):</t>
  </si>
  <si>
    <t>TLED Incentive (included above):</t>
  </si>
  <si>
    <t>Savings:</t>
  </si>
  <si>
    <t>Baseline:</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</si>
  <si>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</si>
  <si>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</si>
  <si>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</si>
  <si>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</si>
  <si>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</si>
  <si>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</si>
  <si>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</si>
  <si>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Named community status has been confirmed (contact BLi Team)</t>
  </si>
  <si>
    <t>Is this a Named Communities project? Include documentation in QC packet!</t>
  </si>
  <si>
    <t>DSM Form 3 / Lighting Workbook Job Aid</t>
  </si>
  <si>
    <r>
      <rPr>
        <sz val="11"/>
        <color rgb="FF000000"/>
        <rFont val="Calibri"/>
        <family val="2"/>
        <scheme val="minor"/>
      </rPr>
      <t xml:space="preserve">The following is the information is from the Lighting Application formatted to look like DSM Form 3 (Grant QC Review). 
Use this to review what is reported in DSM. 
</t>
    </r>
    <r>
      <rPr>
        <b/>
        <sz val="11"/>
        <color rgb="FF000000"/>
        <rFont val="Calibri"/>
        <family val="2"/>
        <scheme val="minor"/>
      </rPr>
      <t>QC Reviewer - Check if the information in the YELLOW cells below matches what is in DSM (the YELLOW cells are the only cells that the PM/EME can edit in DSM Form 2)</t>
    </r>
    <r>
      <rPr>
        <sz val="11"/>
        <color rgb="FF000000"/>
        <rFont val="Calibri"/>
        <family val="2"/>
        <scheme val="minor"/>
      </rPr>
      <t xml:space="preserve">. DSM should match these cells except when a Customer/Contractor/Partner/Payee lookup in DSMc has been performed.
</t>
    </r>
  </si>
  <si>
    <t>PSE Representative and Email Information</t>
  </si>
  <si>
    <t>PM/EME Name:</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</si>
  <si>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</si>
  <si>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</si>
  <si>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</si>
  <si>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</si>
  <si>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</si>
  <si>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</si>
  <si>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</si>
  <si>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</si>
  <si>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</si>
  <si>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</si>
  <si>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</si>
  <si>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</si>
  <si>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</si>
  <si>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</si>
  <si>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</si>
  <si>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</si>
  <si>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</si>
  <si>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</si>
  <si>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</si>
  <si>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</si>
  <si>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rPr>
        <b/>
        <sz val="11"/>
        <color rgb="FFFFFFFF"/>
        <rFont val="Calibri"/>
        <family val="2"/>
      </rPr>
      <t xml:space="preserve">Partner Information (may all be different after Customer lookup is done in DSMc) </t>
    </r>
    <r>
      <rPr>
        <b/>
        <i/>
        <sz val="11"/>
        <color rgb="FFFFFFFF"/>
        <rFont val="Calibri"/>
        <family val="2"/>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</si>
  <si>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</si>
  <si>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</si>
  <si>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</si>
  <si>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</si>
  <si>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</si>
  <si>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</si>
  <si>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</si>
  <si>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</si>
  <si>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</si>
  <si>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</si>
  <si>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</si>
  <si>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</si>
  <si>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</si>
  <si>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</si>
  <si>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</si>
  <si>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</si>
  <si>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</si>
  <si>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</si>
  <si>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</si>
  <si>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</si>
  <si>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</si>
  <si>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</si>
  <si>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</si>
  <si>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How did you hear about the program:</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</si>
  <si>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</si>
  <si>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</si>
  <si>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</si>
  <si>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</si>
  <si>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</si>
  <si>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</si>
  <si>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</si>
  <si>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</si>
  <si>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</si>
  <si>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</si>
  <si>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</si>
  <si>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</si>
  <si>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</si>
  <si>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</si>
  <si>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</si>
  <si>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</si>
  <si>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r>
      <rPr>
        <sz val="11"/>
        <color rgb="FF000000"/>
        <rFont val="Calibri"/>
        <family val="2"/>
      </rPr>
      <t xml:space="preserve">The following is the information is from the Lighting Application formatted to look like DSM Form 2 (Project Analysis). 
Use this to review what is reported in DSM. 
</t>
    </r>
    <r>
      <rPr>
        <b/>
        <sz val="11"/>
        <color rgb="FF000000"/>
        <rFont val="Calibri"/>
        <family val="2"/>
      </rPr>
      <t>Information below should not be revised on this page or in the Applicaion</t>
    </r>
    <r>
      <rPr>
        <sz val="11"/>
        <color rgb="FF000000"/>
        <rFont val="Calibri"/>
        <family val="2"/>
      </rPr>
      <t xml:space="preserve"> to reflect DSMc. Information here is reported from other pages of the Application. DSMc is a mirror of hte Application except where SAP changes the Customer/Contractor/Partner/Payee information.
Check if the information in the YELLOW cells below matches what is in DSM (the YELLOW cells are the only cells that the PM/EME can edit in DSM Form 2). DSM should match these cells except when a Customer/Contractor/Partner/Payee lookup in DSMc has been performed.
</t>
    </r>
  </si>
  <si>
    <t>The supervisor is listed in this section to leverage a lookup based on project zip code so a notification can be sent (email) and the supervisor can then select the project owner in Form 2.</t>
  </si>
  <si>
    <t>Supervisor/Program Manager:</t>
  </si>
  <si>
    <t>Scope of Work and Savings Analysis Overview</t>
  </si>
  <si>
    <t>Don't use the &lt; or &gt; symbols in the "EME Payment Comments" or the Payment Request template will not work. Thank you.</t>
  </si>
  <si>
    <t>Are you revising an existing grant?: *</t>
  </si>
  <si>
    <t>Cause of Revision:</t>
  </si>
  <si>
    <t>Enter in DSM if revised Grant</t>
  </si>
  <si>
    <t>Customer Participant:</t>
  </si>
  <si>
    <t>Contractor Participant:</t>
  </si>
  <si>
    <t>Background Information (Essential to Understanding Context of Project):</t>
  </si>
  <si>
    <t>Project Specification for Grant Agreement:</t>
  </si>
  <si>
    <t>Baseline Assumptions:</t>
  </si>
  <si>
    <t>Proposed Assumptions:</t>
  </si>
  <si>
    <t>Energy Analysis Methodology:</t>
  </si>
  <si>
    <t>Washington State Energy Code:</t>
  </si>
  <si>
    <t>Verification Plan for Grant Attachment:</t>
  </si>
  <si>
    <t>Operating Hours Rationale:</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</si>
  <si>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</si>
  <si>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</si>
  <si>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</si>
  <si>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</si>
  <si>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</si>
  <si>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</si>
  <si>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</si>
  <si>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</si>
  <si>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</si>
  <si>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</si>
  <si>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</si>
  <si>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</si>
  <si>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</si>
  <si>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</si>
  <si>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</si>
  <si>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</si>
  <si>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</si>
  <si>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</si>
  <si>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</si>
  <si>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</si>
  <si>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</si>
  <si>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</si>
  <si>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</si>
  <si>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</si>
  <si>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r>
      <rPr>
        <sz val="9"/>
        <color rgb="FF000000"/>
        <rFont val="Calibri"/>
        <family val="2"/>
        <scheme val="minor"/>
      </rPr>
      <t xml:space="preserve">Grant Type: </t>
    </r>
    <r>
      <rPr>
        <sz val="9"/>
        <color rgb="FFED7D31"/>
        <rFont val="Calibri"/>
        <family val="2"/>
        <scheme val="minor"/>
      </rPr>
      <t>*</t>
    </r>
  </si>
  <si>
    <r>
      <rPr>
        <sz val="9"/>
        <color rgb="FF000000"/>
        <rFont val="Calibri"/>
        <family val="2"/>
        <scheme val="minor"/>
      </rPr>
      <t xml:space="preserve">(Consumption Report) Annual kWh: </t>
    </r>
    <r>
      <rPr>
        <sz val="9"/>
        <color rgb="FFFFC000"/>
        <rFont val="Calibri"/>
        <family val="2"/>
        <scheme val="minor"/>
      </rPr>
      <t>*</t>
    </r>
  </si>
  <si>
    <t>Peak kW Demand:</t>
  </si>
  <si>
    <t>Facility or Affected Area sf:</t>
  </si>
  <si>
    <r>
      <rPr>
        <sz val="9"/>
        <color rgb="FF000000"/>
        <rFont val="Calibri"/>
        <family val="2"/>
        <scheme val="minor"/>
      </rPr>
      <t xml:space="preserve">Primary Contact  Person: </t>
    </r>
    <r>
      <rPr>
        <sz val="9"/>
        <color rgb="FFFFC000"/>
        <rFont val="Calibri"/>
        <family val="2"/>
        <scheme val="minor"/>
      </rPr>
      <t>*</t>
    </r>
  </si>
  <si>
    <r>
      <rPr>
        <sz val="9"/>
        <color rgb="FF000000"/>
        <rFont val="Calibri"/>
        <family val="2"/>
        <scheme val="minor"/>
      </rPr>
      <t xml:space="preserve">Primary Customer Contact Email: </t>
    </r>
    <r>
      <rPr>
        <sz val="9"/>
        <color rgb="FFFFC000"/>
        <rFont val="Calibri"/>
        <family val="2"/>
        <scheme val="minor"/>
      </rPr>
      <t>*</t>
    </r>
  </si>
  <si>
    <t>Secondary Contact (if different):</t>
  </si>
  <si>
    <t>Secondary Contact Email (if different):</t>
  </si>
  <si>
    <t>Secondary Contact Phone (if different):</t>
  </si>
  <si>
    <r>
      <rPr>
        <sz val="9"/>
        <color rgb="FF000000"/>
        <rFont val="Calibri"/>
        <family val="2"/>
      </rPr>
      <t xml:space="preserve">Project Service Address: </t>
    </r>
    <r>
      <rPr>
        <sz val="9"/>
        <color rgb="FFFFC000"/>
        <rFont val="Calibri"/>
        <family val="2"/>
      </rPr>
      <t>*</t>
    </r>
  </si>
  <si>
    <r>
      <rPr>
        <sz val="9"/>
        <color rgb="FF000000"/>
        <rFont val="Calibri"/>
        <family val="2"/>
        <scheme val="minor"/>
      </rPr>
      <t xml:space="preserve">Project City: </t>
    </r>
    <r>
      <rPr>
        <sz val="9"/>
        <color rgb="FFFFC000"/>
        <rFont val="Calibri"/>
        <family val="2"/>
        <scheme val="minor"/>
      </rPr>
      <t>*</t>
    </r>
  </si>
  <si>
    <r>
      <rPr>
        <sz val="9"/>
        <color rgb="FF000000"/>
        <rFont val="Calibri"/>
        <family val="2"/>
        <scheme val="minor"/>
      </rPr>
      <t xml:space="preserve">Project State: </t>
    </r>
    <r>
      <rPr>
        <sz val="9"/>
        <color rgb="FFFFC000"/>
        <rFont val="Calibri"/>
        <family val="2"/>
        <scheme val="minor"/>
      </rPr>
      <t>*</t>
    </r>
  </si>
  <si>
    <r>
      <rPr>
        <sz val="9"/>
        <color rgb="FF000000"/>
        <rFont val="Calibri"/>
        <family val="2"/>
        <scheme val="minor"/>
      </rPr>
      <t xml:space="preserve">Project Zip: </t>
    </r>
    <r>
      <rPr>
        <sz val="9"/>
        <color rgb="FFFFC000"/>
        <rFont val="Calibri"/>
        <family val="2"/>
        <scheme val="minor"/>
      </rPr>
      <t>*</t>
    </r>
  </si>
  <si>
    <r>
      <rPr>
        <sz val="9"/>
        <color rgb="FF000000"/>
        <rFont val="Calibri"/>
        <family val="2"/>
        <scheme val="minor"/>
      </rPr>
      <t xml:space="preserve">Contractor Email: </t>
    </r>
    <r>
      <rPr>
        <sz val="9"/>
        <color rgb="FFFFC000"/>
        <rFont val="Calibri"/>
        <family val="2"/>
        <scheme val="minor"/>
      </rPr>
      <t>*</t>
    </r>
  </si>
  <si>
    <t>Installing Contractor Business Name (if different):</t>
  </si>
  <si>
    <t>Installing Contractor Full Name (if different):</t>
  </si>
  <si>
    <t>Installing Contractor Business Phone (if different):</t>
  </si>
  <si>
    <t>Installing Contractor Email (if different):</t>
  </si>
  <si>
    <r>
      <rPr>
        <sz val="9"/>
        <color rgb="FF000000"/>
        <rFont val="Calibri"/>
        <family val="2"/>
        <scheme val="minor"/>
      </rPr>
      <t xml:space="preserve">Project Name: </t>
    </r>
    <r>
      <rPr>
        <sz val="9"/>
        <color rgb="FFFFC000"/>
        <rFont val="Calibri"/>
        <family val="2"/>
        <scheme val="minor"/>
      </rPr>
      <t>*</t>
    </r>
  </si>
  <si>
    <r>
      <rPr>
        <sz val="9"/>
        <color rgb="FF000000"/>
        <rFont val="Calibri"/>
        <family val="2"/>
        <scheme val="minor"/>
      </rPr>
      <t xml:space="preserve">Project Folder on H:  </t>
    </r>
    <r>
      <rPr>
        <sz val="9"/>
        <color rgb="FFFFC000"/>
        <rFont val="Calibri"/>
        <family val="2"/>
        <scheme val="minor"/>
      </rPr>
      <t>*</t>
    </r>
  </si>
  <si>
    <t>Short Project Description:</t>
  </si>
  <si>
    <r>
      <rPr>
        <sz val="9"/>
        <color rgb="FF000000"/>
        <rFont val="Calibri"/>
        <family val="2"/>
        <scheme val="minor"/>
      </rPr>
      <t xml:space="preserve">PSE Business Type: </t>
    </r>
    <r>
      <rPr>
        <sz val="9"/>
        <color rgb="FFFFC000"/>
        <rFont val="Calibri"/>
        <family val="2"/>
        <scheme val="minor"/>
      </rPr>
      <t>*</t>
    </r>
  </si>
  <si>
    <t>PSE Meter Number:</t>
  </si>
  <si>
    <t>Have you been working with a PSE EME/PM? If so, who?:</t>
  </si>
  <si>
    <t>Authorization to release Energy Use &amp; Billing Information:</t>
  </si>
  <si>
    <t>Customer Section</t>
  </si>
  <si>
    <t>Customer Lookup:</t>
  </si>
  <si>
    <t>Submitting Application Contractor</t>
  </si>
  <si>
    <t>This lookup is intended to capture the contractor that is our main point of contact. For projects that are funneled through an entity that is not the installer, such as a distributor or third party consultant firm, they should be logged in this section.</t>
  </si>
  <si>
    <t>Contractor Lookup:</t>
  </si>
  <si>
    <t>Primary Contact First Name:</t>
  </si>
  <si>
    <t>Primary Contact Last Name:</t>
  </si>
  <si>
    <t>Contact Phone Number:</t>
  </si>
  <si>
    <t>Contact Email:</t>
  </si>
  <si>
    <t>Partner Number:</t>
  </si>
  <si>
    <t>CPI Incentive:</t>
  </si>
  <si>
    <t>Note: for 2024 the CPI is for "BLi Partners". Please enter in DSMc.</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</si>
  <si>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</si>
  <si>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</si>
  <si>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</si>
  <si>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</si>
  <si>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</si>
  <si>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</si>
  <si>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</si>
  <si>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</si>
  <si>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</si>
  <si>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</si>
  <si>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</si>
  <si>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</si>
  <si>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</si>
  <si>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</si>
  <si>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 xml:space="preserve">The following is the information is from the Lighting Application formatted to look like DSM Form 1 (Application). 
It will be automatically entered into DSMc through the BLi upload. CA may modify or add additiojnal information.
</t>
  </si>
  <si>
    <t>Customer Information</t>
  </si>
  <si>
    <t>The account and contact information below is based on your online profile. You can provide project specific information in the next screen (project site info, contact info, etc)</t>
  </si>
  <si>
    <r>
      <rPr>
        <sz val="9"/>
        <color rgb="FF000000"/>
        <rFont val="Calibri"/>
        <family val="2"/>
      </rPr>
      <t>PSE Account Number:</t>
    </r>
    <r>
      <rPr>
        <sz val="10"/>
        <color rgb="FFED7D31"/>
        <rFont val="Calibri"/>
        <family val="2"/>
      </rPr>
      <t xml:space="preserve"> *</t>
    </r>
  </si>
  <si>
    <r>
      <rPr>
        <sz val="9"/>
        <color rgb="FF000000"/>
        <rFont val="Calibri"/>
        <family val="2"/>
        <scheme val="minor"/>
      </rPr>
      <t xml:space="preserve">Business Name: </t>
    </r>
    <r>
      <rPr>
        <sz val="9"/>
        <color rgb="FFED7D31"/>
        <rFont val="Calibri"/>
        <family val="2"/>
        <scheme val="minor"/>
      </rPr>
      <t>*</t>
    </r>
  </si>
  <si>
    <r>
      <rPr>
        <sz val="9"/>
        <color rgb="FF000000"/>
        <rFont val="Calibri"/>
        <family val="2"/>
        <scheme val="minor"/>
      </rPr>
      <t xml:space="preserve">Service Address 1: </t>
    </r>
    <r>
      <rPr>
        <sz val="9"/>
        <color rgb="FFED7D31"/>
        <rFont val="Calibri"/>
        <family val="2"/>
        <scheme val="minor"/>
      </rPr>
      <t>*</t>
    </r>
  </si>
  <si>
    <r>
      <rPr>
        <sz val="9"/>
        <color rgb="FF000000"/>
        <rFont val="Calibri"/>
        <family val="2"/>
        <scheme val="minor"/>
      </rPr>
      <t xml:space="preserve">Service City: </t>
    </r>
    <r>
      <rPr>
        <sz val="9"/>
        <color rgb="FFED7D31"/>
        <rFont val="Calibri"/>
        <family val="2"/>
        <scheme val="minor"/>
      </rPr>
      <t>*</t>
    </r>
  </si>
  <si>
    <r>
      <rPr>
        <sz val="9"/>
        <color rgb="FF000000"/>
        <rFont val="Calibri"/>
        <family val="2"/>
        <scheme val="minor"/>
      </rPr>
      <t xml:space="preserve">Service State: </t>
    </r>
    <r>
      <rPr>
        <sz val="9"/>
        <color rgb="FFED7D31"/>
        <rFont val="Calibri"/>
        <family val="2"/>
        <scheme val="minor"/>
      </rPr>
      <t>*</t>
    </r>
  </si>
  <si>
    <r>
      <rPr>
        <sz val="9"/>
        <color rgb="FF000000"/>
        <rFont val="Calibri"/>
        <family val="2"/>
        <scheme val="minor"/>
      </rPr>
      <t xml:space="preserve">Service Zip: </t>
    </r>
    <r>
      <rPr>
        <sz val="9"/>
        <color rgb="FFED7D31"/>
        <rFont val="Calibri"/>
        <family val="2"/>
        <scheme val="minor"/>
      </rPr>
      <t>*</t>
    </r>
  </si>
  <si>
    <t>Contractor Information</t>
  </si>
  <si>
    <t>The pre-populated information below is taken from your online profile in the Trade Ally portal.</t>
  </si>
  <si>
    <t>Submitting Application 
Contractor Lookup:</t>
  </si>
  <si>
    <t>At the bottom, attach project details, equipment specifications, calculations and/or simulations based on standard engineering practices used to estimate energy savings, demand savings and cost estimates. Business Lighting customers, please attach your Lighting Workbook.
A completed W-9 form is required for the business that will ultimately receive the incentive payment. If you need to complete a W-9, click the link for the W-9 form</t>
  </si>
  <si>
    <t>Primary Customer Contact  Person:</t>
  </si>
  <si>
    <t>Secondary Phone(if different):</t>
  </si>
  <si>
    <t>Tell us about your project:</t>
  </si>
  <si>
    <t>Estimated Cost:</t>
  </si>
  <si>
    <t>Estimated Energy Savings:</t>
  </si>
  <si>
    <t>Estimated Start Date:</t>
  </si>
  <si>
    <t>How did you hear about the program?</t>
  </si>
  <si>
    <t>Payee Information</t>
  </si>
  <si>
    <t>Electric Load Type</t>
  </si>
  <si>
    <t>Library Measure Life kWh:</t>
  </si>
  <si>
    <t>Savings % of base:</t>
  </si>
  <si>
    <t>Program Type:</t>
  </si>
  <si>
    <t>Grant Type?</t>
  </si>
  <si>
    <t>Lighting Hour Rationale (be specific):</t>
  </si>
  <si>
    <t>New Fixture/Lamp Usage:</t>
  </si>
  <si>
    <t>Total Facility Usage is calculated from Billing History (include Consumption History in QC packet)</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</si>
  <si>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</si>
  <si>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</si>
  <si>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</si>
  <si>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</si>
  <si>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Partner Section (may all be different after Customer lookup is done in DSMc) </t>
    </r>
    <r>
      <rPr>
        <b/>
        <i/>
        <sz val="11"/>
        <color theme="0"/>
        <rFont val="Calibri"/>
        <family val="2"/>
        <scheme val="minor"/>
      </rPr>
      <t>[pulled from the "(Optional) Vendor / Other Information" section of the Project Tab]</t>
    </r>
  </si>
  <si>
    <r>
      <t xml:space="preserve">Project Information </t>
    </r>
    <r>
      <rPr>
        <b/>
        <i/>
        <sz val="11"/>
        <color theme="0"/>
        <rFont val="Calibri"/>
        <family val="2"/>
        <scheme val="minor"/>
      </rPr>
      <t>(may all be different after Customer lookup is done in DSMc)</t>
    </r>
  </si>
  <si>
    <t>Custom Measure</t>
  </si>
  <si>
    <t>DSM Form 2 (LLLC Performance) / Lighting Workbook Job Aid</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</si>
  <si>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</si>
  <si>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r>
      <t xml:space="preserve">Are you revising an existing grant?: </t>
    </r>
    <r>
      <rPr>
        <sz val="11"/>
        <color theme="7" tint="-0.249977111117893"/>
        <rFont val="Calibri"/>
        <family val="2"/>
        <scheme val="minor"/>
      </rPr>
      <t>*</t>
    </r>
  </si>
  <si>
    <t>Enter cause in DSM if revised Grant</t>
  </si>
  <si>
    <t>Lighting Workbook</t>
  </si>
  <si>
    <t>generally not required</t>
  </si>
  <si>
    <t>LLLC Requirements/Verification page</t>
  </si>
  <si>
    <t>CSY Grant Number:</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</si>
  <si>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</si>
  <si>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</si>
  <si>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t>Primary Contact  Person:</t>
  </si>
  <si>
    <t>Project Service Address:</t>
  </si>
  <si>
    <r>
      <t xml:space="preserve">Payment Choice: </t>
    </r>
    <r>
      <rPr>
        <sz val="11"/>
        <color theme="7" tint="-0.249977111117893"/>
        <rFont val="Calibri"/>
        <family val="2"/>
        <scheme val="minor"/>
      </rPr>
      <t>*</t>
    </r>
  </si>
  <si>
    <t>Business Name: *</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</si>
  <si>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</si>
  <si>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</si>
  <si>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</si>
  <si>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</si>
  <si>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</si>
  <si>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</si>
  <si>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</si>
  <si>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</si>
  <si>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</si>
  <si>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</si>
  <si>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</si>
  <si>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</si>
  <si>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</si>
  <si>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</si>
  <si>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</si>
  <si>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</si>
  <si>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</si>
  <si>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</si>
  <si>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</si>
  <si>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</si>
  <si>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</si>
  <si>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</si>
  <si>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</si>
  <si>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</si>
  <si>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</si>
  <si>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</si>
  <si>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</si>
  <si>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</si>
  <si>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</si>
  <si>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</si>
  <si>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</si>
  <si>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</si>
  <si>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</si>
  <si>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</si>
  <si>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</si>
  <si>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</si>
  <si>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</si>
  <si>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</si>
  <si>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</si>
  <si>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</si>
  <si>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</si>
  <si>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</si>
  <si>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</si>
  <si>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</si>
  <si>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</si>
  <si>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</si>
  <si>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</si>
  <si>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</si>
  <si>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</si>
  <si>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</si>
  <si>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</si>
  <si>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</si>
  <si>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</si>
  <si>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</si>
  <si>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</si>
  <si>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</si>
  <si>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</si>
  <si>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</si>
  <si>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</si>
  <si>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</si>
  <si>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</si>
  <si>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</si>
  <si>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</si>
  <si>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</si>
  <si>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</si>
  <si>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How did you hear about this program?</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</si>
  <si>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</si>
  <si>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</si>
  <si>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</si>
  <si>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</si>
  <si>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</si>
  <si>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</si>
  <si>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</si>
  <si>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</si>
  <si>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</si>
  <si>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</si>
  <si>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</si>
  <si>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</si>
  <si>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</si>
  <si>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</si>
  <si>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</si>
  <si>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</si>
  <si>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</si>
  <si>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</si>
  <si>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</si>
  <si>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</si>
  <si>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</si>
  <si>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</si>
  <si>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</si>
  <si>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</si>
  <si>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</si>
  <si>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</si>
  <si>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</si>
  <si>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</si>
  <si>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</si>
  <si>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</si>
  <si>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</si>
  <si>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</si>
  <si>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</si>
  <si>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</si>
  <si>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</si>
  <si>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</si>
  <si>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Baseline Assumptions</t>
  </si>
  <si>
    <t>Proposed Assumptions</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</si>
  <si>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</si>
  <si>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</si>
  <si>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</si>
  <si>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</si>
  <si>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</si>
  <si>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</si>
  <si>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</si>
  <si>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</si>
  <si>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</si>
  <si>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</si>
  <si>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</si>
  <si>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</si>
  <si>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</si>
  <si>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</si>
  <si>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</si>
  <si>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</si>
  <si>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</si>
  <si>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</si>
  <si>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</si>
  <si>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</si>
  <si>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</si>
  <si>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</si>
  <si>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</si>
  <si>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</si>
  <si>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</si>
  <si>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</si>
  <si>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</si>
  <si>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</si>
  <si>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</si>
  <si>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</si>
  <si>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</si>
  <si>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</si>
  <si>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</si>
  <si>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</si>
  <si>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</si>
  <si>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</si>
  <si>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</si>
  <si>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</si>
  <si>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</si>
  <si>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</si>
  <si>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</si>
  <si>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</si>
  <si>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</si>
  <si>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</si>
  <si>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</si>
  <si>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</si>
  <si>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</si>
  <si>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</si>
  <si>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</si>
  <si>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</si>
  <si>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</si>
  <si>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</si>
  <si>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</si>
  <si>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</si>
  <si>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</si>
  <si>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</si>
  <si>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</si>
  <si>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</si>
  <si>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</si>
  <si>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</si>
  <si>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</si>
  <si>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</si>
  <si>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</si>
  <si>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</si>
  <si>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</si>
  <si>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</si>
  <si>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</si>
  <si>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</si>
  <si>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</si>
  <si>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</si>
  <si>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</si>
  <si>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</si>
  <si>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</si>
  <si>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</si>
  <si>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</si>
  <si>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</si>
  <si>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</si>
  <si>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</si>
  <si>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</si>
  <si>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</si>
  <si>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</si>
  <si>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</si>
  <si>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</si>
  <si>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</si>
  <si>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</si>
  <si>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</si>
  <si>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</si>
  <si>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</si>
  <si>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</si>
  <si>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</si>
  <si>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</si>
  <si>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Background</t>
  </si>
  <si>
    <t>Project Specs</t>
  </si>
  <si>
    <t>Verification Plan</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</si>
  <si>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</si>
  <si>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</si>
  <si>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</si>
  <si>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</si>
  <si>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</si>
  <si>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</si>
  <si>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</si>
  <si>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</si>
  <si>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</si>
  <si>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</si>
  <si>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</si>
  <si>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</si>
  <si>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</si>
  <si>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</si>
  <si>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</si>
  <si>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</si>
  <si>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</si>
  <si>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</si>
  <si>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</si>
  <si>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</si>
  <si>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</si>
  <si>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</si>
  <si>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</si>
  <si>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</si>
  <si>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</si>
  <si>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</si>
  <si>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</si>
  <si>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</si>
  <si>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</si>
  <si>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</si>
  <si>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</si>
  <si>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</si>
  <si>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</si>
  <si>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</si>
  <si>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</si>
  <si>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</si>
  <si>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</si>
  <si>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</si>
  <si>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</si>
  <si>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</si>
  <si>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</si>
  <si>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</si>
  <si>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</si>
  <si>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</si>
  <si>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</si>
  <si>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</si>
  <si>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</si>
  <si>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</si>
  <si>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</si>
  <si>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</si>
  <si>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</si>
  <si>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</si>
  <si>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</si>
  <si>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</si>
  <si>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</si>
  <si>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</si>
  <si>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</si>
  <si>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</si>
  <si>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</si>
  <si>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</si>
  <si>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</si>
  <si>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</si>
  <si>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</si>
  <si>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</si>
  <si>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</si>
  <si>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</si>
  <si>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</si>
  <si>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</si>
  <si>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</si>
  <si>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</si>
  <si>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</si>
  <si>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</si>
  <si>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</si>
  <si>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</si>
  <si>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</si>
  <si>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</si>
  <si>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</si>
  <si>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</si>
  <si>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</si>
  <si>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</si>
  <si>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</si>
  <si>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</si>
  <si>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</si>
  <si>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</si>
  <si>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</si>
  <si>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</si>
  <si>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</si>
  <si>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</si>
  <si>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</si>
  <si>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</si>
  <si>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</si>
  <si>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</si>
  <si>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</si>
  <si>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</si>
  <si>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EME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</si>
  <si>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</si>
  <si>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</si>
  <si>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</si>
  <si>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</si>
  <si>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</si>
  <si>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</si>
  <si>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</si>
  <si>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</si>
  <si>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</si>
  <si>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</si>
  <si>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</si>
  <si>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</si>
  <si>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</si>
  <si>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</si>
  <si>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</si>
  <si>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</si>
  <si>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</si>
  <si>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</si>
  <si>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</si>
  <si>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</si>
  <si>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</si>
  <si>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</si>
  <si>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</si>
  <si>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</si>
  <si>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Lighting</t>
  </si>
  <si>
    <t>Lighting - Performance - Custom</t>
  </si>
  <si>
    <t>DATA2024</t>
  </si>
  <si>
    <t>Business Lighting 2024</t>
  </si>
  <si>
    <t>2024 STANDARD</t>
  </si>
  <si>
    <t>Yearly Hours</t>
  </si>
  <si>
    <t>Project Owner</t>
  </si>
  <si>
    <t>Signature</t>
  </si>
  <si>
    <t>LOA</t>
  </si>
  <si>
    <t xml:space="preserve">Rate Schedule </t>
  </si>
  <si>
    <t>PSE Account</t>
  </si>
  <si>
    <t>Electric Meter</t>
  </si>
  <si>
    <t>City 2</t>
  </si>
  <si>
    <t>State 2</t>
  </si>
  <si>
    <t>Zip 2</t>
  </si>
  <si>
    <t>Payee Company</t>
  </si>
  <si>
    <t>Check Payable</t>
  </si>
  <si>
    <t>SF</t>
  </si>
  <si>
    <t>Lighting - Custom</t>
  </si>
  <si>
    <t>LLLC?</t>
  </si>
  <si>
    <t>Grant for Fixtures</t>
  </si>
  <si>
    <t>Estimated Completion Date</t>
  </si>
  <si>
    <t>Lighting - Base - Custom</t>
  </si>
  <si>
    <t>Autofund</t>
  </si>
  <si>
    <t>Grant for LLLC</t>
  </si>
  <si>
    <t>Installations</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</si>
  <si>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</si>
  <si>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</si>
  <si>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</si>
  <si>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</si>
  <si>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</si>
  <si>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</si>
  <si>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</si>
  <si>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</si>
  <si>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</si>
  <si>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</si>
  <si>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</si>
  <si>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</si>
  <si>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</si>
  <si>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</si>
  <si>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</si>
  <si>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</si>
  <si>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</si>
  <si>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</si>
  <si>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</si>
  <si>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</si>
  <si>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</si>
  <si>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</si>
  <si>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</si>
  <si>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</si>
  <si>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</si>
  <si>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</si>
  <si>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</si>
  <si>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</si>
  <si>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</si>
  <si>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</si>
  <si>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</si>
  <si>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</si>
  <si>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</si>
  <si>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</si>
  <si>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ONLY send to EME (EME to distribute)</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</si>
  <si>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</si>
  <si>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</si>
  <si>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</si>
  <si>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</si>
  <si>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Project Information:</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</si>
  <si>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</si>
  <si>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</si>
  <si>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</si>
  <si>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</si>
  <si>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</si>
  <si>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</si>
  <si>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</si>
  <si>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</si>
  <si>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</si>
  <si>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</si>
  <si>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</si>
  <si>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</si>
  <si>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</si>
  <si>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</si>
  <si>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</si>
  <si>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</si>
  <si>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</si>
  <si>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</si>
  <si>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</si>
  <si>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</si>
  <si>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</si>
  <si>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</si>
  <si>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</si>
  <si>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</si>
  <si>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</si>
  <si>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</si>
  <si>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</si>
  <si>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</si>
  <si>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kWh saved</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</si>
  <si>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</si>
  <si>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</si>
  <si>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</si>
  <si>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</si>
  <si>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</si>
  <si>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</si>
  <si>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</si>
  <si>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</si>
  <si>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</si>
  <si>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</si>
  <si>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Space Information</t>
  </si>
  <si>
    <t>Lighting Fixture / Lamp</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</si>
  <si>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</si>
  <si>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</si>
  <si>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</si>
  <si>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</si>
  <si>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</si>
  <si>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</si>
  <si>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</si>
  <si>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</si>
  <si>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</si>
  <si>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</si>
  <si>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</si>
  <si>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</si>
  <si>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</si>
  <si>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</si>
  <si>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</si>
  <si>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</si>
  <si>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</si>
  <si>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</si>
  <si>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</si>
  <si>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</si>
  <si>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</si>
  <si>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</si>
  <si>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</si>
  <si>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</si>
  <si>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</si>
  <si>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</si>
  <si>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</si>
  <si>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</si>
  <si>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</si>
  <si>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</si>
  <si>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</si>
  <si>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</si>
  <si>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</si>
  <si>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</si>
  <si>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</si>
  <si>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</si>
  <si>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</si>
  <si>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</si>
  <si>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Fixture (select from dropdown)</t>
  </si>
  <si>
    <t>LLLC Daylight</t>
  </si>
  <si>
    <t>LLLC no Daylight</t>
  </si>
  <si>
    <t>Alt Building Type #1</t>
  </si>
  <si>
    <t>Project Analysis (2)</t>
  </si>
  <si>
    <t>Grant QC Review (3)</t>
  </si>
  <si>
    <t>Payment Request (6)</t>
  </si>
  <si>
    <t>Grant Agreement (4)</t>
  </si>
  <si>
    <t>CPI Incentive</t>
  </si>
  <si>
    <t>Primary Customer Contact Name</t>
  </si>
  <si>
    <t xml:space="preserve">Payment QC Assigned Date </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</si>
  <si>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</si>
  <si>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</si>
  <si>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</si>
  <si>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</si>
  <si>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</si>
  <si>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</si>
  <si>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</si>
  <si>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</si>
  <si>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</si>
  <si>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</si>
  <si>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</si>
  <si>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</si>
  <si>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</si>
  <si>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</si>
  <si>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</si>
  <si>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</si>
  <si>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</si>
  <si>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</si>
  <si>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</si>
  <si>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&lt;&lt; Basic is Not used</t>
  </si>
  <si>
    <t>BI</t>
  </si>
  <si>
    <t>&lt;&lt; Baindbridge IS Not used</t>
  </si>
  <si>
    <t>NEI</t>
  </si>
  <si>
    <t>TI</t>
  </si>
  <si>
    <t>New Construction</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</si>
  <si>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</si>
  <si>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</si>
  <si>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</si>
  <si>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</si>
  <si>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</si>
  <si>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</si>
  <si>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</si>
  <si>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</si>
  <si>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</si>
  <si>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</si>
  <si>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</si>
  <si>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</si>
  <si>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</si>
  <si>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</si>
  <si>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</si>
  <si>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</si>
  <si>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</si>
  <si>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</si>
  <si>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</si>
  <si>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</si>
  <si>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</si>
  <si>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</si>
  <si>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</si>
  <si>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Orig J82</t>
  </si>
  <si>
    <t>=IF(__Retrofit_TI_NC=0,SUM(J52:J76),SUM(J52:J76)+J96)</t>
  </si>
  <si>
    <t>LLLC Savings</t>
  </si>
  <si>
    <t>Orig T84</t>
  </si>
  <si>
    <t>=Installations!CD909+U99</t>
  </si>
  <si>
    <t>See T84</t>
  </si>
  <si>
    <t>LLLC Baseline</t>
  </si>
  <si>
    <t>Final controled Baseline</t>
  </si>
  <si>
    <t>New uncontrolled kWh</t>
  </si>
  <si>
    <t>New BASE controlled kWh</t>
  </si>
  <si>
    <t>Retro</t>
  </si>
  <si>
    <t>TI &amp; NC BASE</t>
  </si>
  <si>
    <t>TI &amp; NC ALT</t>
  </si>
  <si>
    <t>TLED saved</t>
  </si>
  <si>
    <t>Building Area</t>
  </si>
  <si>
    <t>Sum</t>
  </si>
  <si>
    <t>TLED Total</t>
  </si>
  <si>
    <t>NEI x-intercept</t>
  </si>
  <si>
    <t>NEI FAC</t>
  </si>
  <si>
    <t>= ((FAC/TRC Threshold) * ((1+ Discount Rate) / (1+ Admin Rate))) + NEI PV</t>
  </si>
  <si>
    <t>NEI TRC</t>
  </si>
  <si>
    <t>= FAC + NEI PV</t>
  </si>
  <si>
    <t>= NEI FAC / (((1+ Admin %) * sub total cost ) / (1 + Discount Rate))</t>
  </si>
  <si>
    <t>85% NEI FAC</t>
  </si>
  <si>
    <t>= (Downslope * (Subtotal)) - (Downslope * NEI x-intercept)</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</si>
  <si>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</si>
  <si>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</si>
  <si>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</si>
  <si>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</si>
  <si>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</si>
  <si>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</si>
  <si>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</si>
  <si>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</si>
  <si>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</si>
  <si>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</si>
  <si>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</si>
  <si>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</si>
  <si>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</si>
  <si>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</si>
  <si>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</si>
  <si>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</si>
  <si>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</si>
  <si>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</si>
  <si>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</si>
  <si>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</si>
  <si>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</si>
  <si>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</si>
  <si>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</si>
  <si>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</si>
  <si>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</si>
  <si>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</si>
  <si>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</si>
  <si>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</si>
  <si>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</si>
  <si>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</si>
  <si>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</si>
  <si>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</si>
  <si>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</si>
  <si>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</si>
  <si>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</si>
  <si>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</si>
  <si>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</si>
  <si>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</si>
  <si>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</si>
  <si>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</si>
  <si>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</si>
  <si>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</si>
  <si>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</si>
  <si>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</si>
  <si>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</si>
  <si>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</si>
  <si>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</si>
  <si>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</si>
  <si>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</si>
  <si>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</si>
  <si>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</si>
  <si>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</si>
  <si>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</si>
  <si>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</si>
  <si>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</si>
  <si>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</si>
  <si>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</si>
  <si>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</si>
  <si>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</si>
  <si>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</si>
  <si>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</si>
  <si>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</si>
  <si>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</si>
  <si>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</si>
  <si>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</si>
  <si>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</si>
  <si>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</si>
  <si>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</si>
  <si>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</si>
  <si>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</si>
  <si>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</si>
  <si>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</si>
  <si>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</si>
  <si>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</si>
  <si>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</si>
  <si>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</si>
  <si>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</si>
  <si>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</si>
  <si>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</si>
  <si>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</si>
  <si>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</si>
  <si>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</si>
  <si>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</si>
  <si>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</si>
  <si>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</si>
  <si>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</si>
  <si>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</si>
  <si>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</si>
  <si>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</si>
  <si>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</si>
  <si>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</si>
  <si>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</si>
  <si>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</si>
  <si>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</si>
  <si>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</si>
  <si>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</si>
  <si>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</si>
  <si>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</si>
  <si>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</si>
  <si>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</si>
  <si>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</si>
  <si>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</si>
  <si>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</si>
  <si>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</si>
  <si>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</si>
  <si>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</si>
  <si>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</si>
  <si>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40W PLL Twin Tube 1-Lamp</t>
  </si>
  <si>
    <t>Source: ICN2TTP40SC cutsheet</t>
  </si>
  <si>
    <t>40W PLL Twin Tube 2-Lamp</t>
  </si>
  <si>
    <t>40W PLL Twin Tube 3-Lamp</t>
  </si>
  <si>
    <t>Source: ICN3TTP40SC cutsheet</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</si>
  <si>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</si>
  <si>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</si>
  <si>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</si>
  <si>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</si>
  <si>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</si>
  <si>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</si>
  <si>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</si>
  <si>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</si>
  <si>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</si>
  <si>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</si>
  <si>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</si>
  <si>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</si>
  <si>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</si>
  <si>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</si>
  <si>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</si>
  <si>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</si>
  <si>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</si>
  <si>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</si>
  <si>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</si>
  <si>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</si>
  <si>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</si>
  <si>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</si>
  <si>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</si>
  <si>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</si>
  <si>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</si>
  <si>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</si>
  <si>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</si>
  <si>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</si>
  <si>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</si>
  <si>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</si>
  <si>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</si>
  <si>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</si>
  <si>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</si>
  <si>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</si>
  <si>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</si>
  <si>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</si>
  <si>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</si>
  <si>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</si>
  <si>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</si>
  <si>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</si>
  <si>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</si>
  <si>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</si>
  <si>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</si>
  <si>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</si>
  <si>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</si>
  <si>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</si>
  <si>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</si>
  <si>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</si>
  <si>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</si>
  <si>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</si>
  <si>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</si>
  <si>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</si>
  <si>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</si>
  <si>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</si>
  <si>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</si>
  <si>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</si>
  <si>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</si>
  <si>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</si>
  <si>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</si>
  <si>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</si>
  <si>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</si>
  <si>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</si>
  <si>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</si>
  <si>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</si>
  <si>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</si>
  <si>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</si>
  <si>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</si>
  <si>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</si>
  <si>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</si>
  <si>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</si>
  <si>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</si>
  <si>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</si>
  <si>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</si>
  <si>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</si>
  <si>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</si>
  <si>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</si>
  <si>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</si>
  <si>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</si>
  <si>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</si>
  <si>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</si>
  <si>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</si>
  <si>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</si>
  <si>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</si>
  <si>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</si>
  <si>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</si>
  <si>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</si>
  <si>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</si>
  <si>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</si>
  <si>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</si>
  <si>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</si>
  <si>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</si>
  <si>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</si>
  <si>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</si>
  <si>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</si>
  <si>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</si>
  <si>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</si>
  <si>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</si>
  <si>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</si>
  <si>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</si>
  <si>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</si>
  <si>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</si>
  <si>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</si>
  <si>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</si>
  <si>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</si>
  <si>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</si>
  <si>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</si>
  <si>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</si>
  <si>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Named</t>
  </si>
  <si>
    <t>lookup column</t>
  </si>
  <si>
    <t>BLi Standard</t>
  </si>
  <si>
    <t>BLi Named</t>
  </si>
  <si>
    <t>MF Standard</t>
  </si>
  <si>
    <t>MF
Named</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</si>
  <si>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</si>
  <si>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</si>
  <si>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</si>
  <si>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</si>
  <si>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</si>
  <si>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</si>
  <si>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</si>
  <si>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</si>
  <si>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</si>
  <si>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</si>
  <si>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</si>
  <si>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BLi?</t>
  </si>
  <si>
    <t>Lookup_Fixture_Existing</t>
  </si>
  <si>
    <t>Lookup_Fixture_Defined_Name_Existing</t>
  </si>
  <si>
    <t>Space Heating Type</t>
  </si>
  <si>
    <t>_Heat_Type</t>
  </si>
  <si>
    <t>Interaction Factor</t>
  </si>
  <si>
    <t>Interior/Exterior</t>
  </si>
  <si>
    <t>Lookup_Type</t>
  </si>
  <si>
    <t>Short</t>
  </si>
  <si>
    <t>Column1</t>
  </si>
  <si>
    <t>INTERIOR LIGHTING POWER ALLOWANCES:</t>
  </si>
  <si>
    <t>_Lookup_Fixture_Type</t>
  </si>
  <si>
    <t>Control_Types</t>
  </si>
  <si>
    <t>Lookup_Rates</t>
  </si>
  <si>
    <t>Rate (11-01-17)</t>
  </si>
  <si>
    <t>Demand (11-01-17)</t>
  </si>
  <si>
    <t>2022-2023 Avoided Costs</t>
  </si>
  <si>
    <t>Lookup_Installer</t>
  </si>
  <si>
    <t>Table_Building_Type</t>
  </si>
  <si>
    <t>Lighting Specialist / EME</t>
  </si>
  <si>
    <t xml:space="preserve">Commercial 
Lighting </t>
  </si>
  <si>
    <t>2024/2025</t>
  </si>
  <si>
    <t>2022/2023</t>
  </si>
  <si>
    <t>BI 2022</t>
  </si>
  <si>
    <t>2019 BI</t>
  </si>
  <si>
    <t>CBSA</t>
  </si>
  <si>
    <r>
      <rPr>
        <sz val="11"/>
        <color theme="1"/>
        <rFont val="Calibri"/>
        <family val="2"/>
      </rPr>
      <t>─</t>
    </r>
    <r>
      <rPr>
        <sz val="11"/>
        <color theme="1"/>
        <rFont val="Calibri"/>
        <family val="2"/>
        <scheme val="minor"/>
      </rPr>
      <t xml:space="preserve"> STANDARD </t>
    </r>
  </si>
  <si>
    <t>Component</t>
  </si>
  <si>
    <t>LED Fixture (not TLED)</t>
  </si>
  <si>
    <t>Custom_Fixtures</t>
  </si>
  <si>
    <t>Gas</t>
  </si>
  <si>
    <t>Gas / Propane Heat</t>
  </si>
  <si>
    <t>Lookup_Interior</t>
  </si>
  <si>
    <t>- Choose Interior Area -</t>
  </si>
  <si>
    <t>Controls_Interior_Basic</t>
  </si>
  <si>
    <t>BUILDING AREA METHOD</t>
  </si>
  <si>
    <t>Controls_Interior_LLLC</t>
  </si>
  <si>
    <t>Complete</t>
  </si>
  <si>
    <t>Sch 8</t>
  </si>
  <si>
    <t>Lookup_Building_Type</t>
  </si>
  <si>
    <t>Allen Ma</t>
  </si>
  <si>
    <t>Automotive Repair</t>
  </si>
  <si>
    <t>V24-02</t>
  </si>
  <si>
    <t>Version</t>
  </si>
  <si>
    <t>Kit</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</si>
  <si>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</si>
  <si>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</si>
  <si>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</si>
  <si>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</si>
  <si>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</si>
  <si>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</si>
  <si>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</si>
  <si>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</si>
  <si>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</si>
  <si>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</si>
  <si>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</si>
  <si>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</si>
  <si>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</si>
  <si>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</si>
  <si>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</si>
  <si>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</si>
  <si>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</si>
  <si>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</si>
  <si>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</si>
  <si>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</si>
  <si>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</si>
  <si>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</si>
  <si>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</si>
  <si>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[assume 24/7]</t>
  </si>
  <si>
    <t>Signed</t>
  </si>
  <si>
    <t>Control Adder</t>
  </si>
  <si>
    <t>06 Strip/Industrial</t>
  </si>
  <si>
    <t>Refrigerated Space</t>
  </si>
  <si>
    <t>Refrig Space</t>
  </si>
  <si>
    <t>Convention center</t>
  </si>
  <si>
    <t>Assembly Worship</t>
  </si>
  <si>
    <t>Controls_Exterior_Basic</t>
  </si>
  <si>
    <t>CHECK wattage reduction!</t>
  </si>
  <si>
    <t>Sch 12 - Primary</t>
  </si>
  <si>
    <t>Grocery</t>
  </si>
  <si>
    <t>Beth Robinweiler</t>
  </si>
  <si>
    <t>Hospital</t>
  </si>
  <si>
    <t>Today</t>
  </si>
  <si>
    <t>CFL-LED</t>
  </si>
  <si>
    <t>07 Cooler Case</t>
  </si>
  <si>
    <t>Lookup_Exterior_Areas</t>
  </si>
  <si>
    <t>Computer Rooms</t>
  </si>
  <si>
    <t>Court house</t>
  </si>
  <si>
    <t>Controls_Removed</t>
  </si>
  <si>
    <t>Not Included</t>
  </si>
  <si>
    <t>Sch 12 - Secondary</t>
  </si>
  <si>
    <t>Chao Chen</t>
  </si>
  <si>
    <t>Industrial Plant with One Shift</t>
  </si>
  <si>
    <t>BPA 2015*</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</si>
  <si>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</si>
  <si>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</si>
  <si>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</si>
  <si>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</si>
  <si>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</si>
  <si>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</si>
  <si>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</si>
  <si>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</si>
  <si>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</si>
  <si>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Sch 24</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</si>
  <si>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</si>
  <si>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</si>
  <si>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</si>
  <si>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</si>
  <si>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</si>
  <si>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</si>
  <si>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</si>
  <si>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</si>
  <si>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</si>
  <si>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</si>
  <si>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</si>
  <si>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</si>
  <si>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</si>
  <si>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</si>
  <si>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</si>
  <si>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</si>
  <si>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</si>
  <si>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Controls Only</t>
  </si>
  <si>
    <t>REVISE CONTROL TYPE! Control Type incorrect for chosen Space Type</t>
  </si>
  <si>
    <t xml:space="preserve">Sch 25 (&gt;20,000 kWh/mo) </t>
  </si>
  <si>
    <t>Multi-Family</t>
  </si>
  <si>
    <t>David Montgomery</t>
  </si>
  <si>
    <t>Exist_T8_32WHighPerf</t>
  </si>
  <si>
    <t>Dormitory</t>
  </si>
  <si>
    <t>University</t>
  </si>
  <si>
    <t>TLED Controls</t>
  </si>
  <si>
    <t>LLLC (outside Daylight)</t>
  </si>
  <si>
    <t>REVISE FIXTURE! Fixture not created</t>
  </si>
  <si>
    <t>Sch 26 - Primary</t>
  </si>
  <si>
    <t>Office</t>
  </si>
  <si>
    <t>Diane Manzini</t>
  </si>
  <si>
    <t>Lodging</t>
  </si>
  <si>
    <t>IF(B9&lt;0,"Expired","Active")</t>
  </si>
  <si>
    <t>Exist_T8_28W</t>
  </si>
  <si>
    <t>Exercise center</t>
  </si>
  <si>
    <t>NLC (othside Daylight)</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</si>
  <si>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</si>
  <si>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</si>
  <si>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</si>
  <si>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</si>
  <si>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</si>
  <si>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</si>
  <si>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</si>
  <si>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</si>
  <si>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</si>
  <si>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</si>
  <si>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Ellis Bouw</t>
  </si>
  <si>
    <t>Office &lt;20,000 sf</t>
  </si>
  <si>
    <t>14 Street Light</t>
  </si>
  <si>
    <t xml:space="preserve">Sch 29 (&gt;20,000 kWh/mo) </t>
  </si>
  <si>
    <t>Restaurant / Food Service</t>
  </si>
  <si>
    <t>Eva Urbatsch</t>
  </si>
  <si>
    <t>Office &gt;100,000 sf</t>
  </si>
  <si>
    <t>CBSA**</t>
  </si>
  <si>
    <t>Info line</t>
  </si>
  <si>
    <t>Exist_T8_4ft_Mag</t>
  </si>
  <si>
    <t>Health care clinic</t>
  </si>
  <si>
    <t>Medical Office</t>
  </si>
  <si>
    <t>Ext. Occupancy Sensor</t>
  </si>
  <si>
    <t>No Incentive. TLED to TLED savings less than 5 watts/lamp.</t>
  </si>
  <si>
    <t>Sch 31</t>
  </si>
  <si>
    <t>Grace Baldus</t>
  </si>
  <si>
    <t>Office 20,000 to 100,000 sf</t>
  </si>
  <si>
    <t>Exist_Exit</t>
  </si>
  <si>
    <t>16 Other Exterior</t>
  </si>
  <si>
    <t>Sch 40-HV</t>
  </si>
  <si>
    <t>School (K-12)</t>
  </si>
  <si>
    <t>Graham Murphy</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</si>
  <si>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</si>
  <si>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</si>
  <si>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</si>
  <si>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</si>
  <si>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Occupancy based</t>
  </si>
  <si>
    <t>Sch 40-Primary</t>
  </si>
  <si>
    <t>Ian Pearson Tachibana</t>
  </si>
  <si>
    <t>CBSA***</t>
  </si>
  <si>
    <t>Exist_T8_3ft</t>
  </si>
  <si>
    <t>CFL-LED Retrofit module</t>
  </si>
  <si>
    <t>Hotel</t>
  </si>
  <si>
    <t>AELC Time based</t>
  </si>
  <si>
    <t>Sch 40-Secondary</t>
  </si>
  <si>
    <t>James Roe</t>
  </si>
  <si>
    <t>Restaurant</t>
  </si>
  <si>
    <t>Exist_T8_5ft</t>
  </si>
  <si>
    <t>HID-LED Retrofit module</t>
  </si>
  <si>
    <t>Lookup_Heat_Type</t>
  </si>
  <si>
    <t>Lookup_Type_New</t>
  </si>
  <si>
    <t>AELC on Existing</t>
  </si>
  <si>
    <t>Sch 43</t>
  </si>
  <si>
    <t>Payee Lookup</t>
  </si>
  <si>
    <t>Jason Hyatt</t>
  </si>
  <si>
    <t>Retail 5,000 to 50,000 sf</t>
  </si>
  <si>
    <t>CBSA****</t>
  </si>
  <si>
    <t>Exist_T8_Slimline</t>
  </si>
  <si>
    <t>Manufacturing facility</t>
  </si>
  <si>
    <t>Industrial Manufacturing</t>
  </si>
  <si>
    <t>Interior_LLLC</t>
  </si>
  <si>
    <t>Sch 46</t>
  </si>
  <si>
    <t>Building Type </t>
  </si>
  <si>
    <t>Annual HOU</t>
  </si>
  <si>
    <t>Jeff Petersen</t>
  </si>
  <si>
    <t>Retail Anchor Store &gt;50,000 sf Multistory</t>
  </si>
  <si>
    <t>Exist_T8_HO</t>
  </si>
  <si>
    <t>Motel</t>
  </si>
  <si>
    <t>Sch 49</t>
  </si>
  <si>
    <t>Assembly </t>
  </si>
  <si>
    <t>2,700 </t>
  </si>
  <si>
    <t>Jeff Zhang</t>
  </si>
  <si>
    <t>Retail Big Box &gt;50,000 sf One-Story</t>
  </si>
  <si>
    <t>AELC</t>
  </si>
  <si>
    <t>Exist_T5</t>
  </si>
  <si>
    <t>Motion picture theater</t>
  </si>
  <si>
    <t>Sch 5x</t>
  </si>
  <si>
    <t>Automotive Repair </t>
  </si>
  <si>
    <t>3,100 </t>
  </si>
  <si>
    <t>Karla Petersen</t>
  </si>
  <si>
    <t>Retail Boutique &lt;5,000 sf</t>
  </si>
  <si>
    <t>Exist_T5_HO</t>
  </si>
  <si>
    <t>Multifamily</t>
  </si>
  <si>
    <t>Multi-Family Housing</t>
  </si>
  <si>
    <t>College or University </t>
  </si>
  <si>
    <t>2,100 </t>
  </si>
  <si>
    <t>Kyle Aaron Barber</t>
  </si>
  <si>
    <t>Retail Mini Mart</t>
  </si>
  <si>
    <t>LTO OC/DL</t>
  </si>
  <si>
    <t>Exist_T12</t>
  </si>
  <si>
    <t>Museum</t>
  </si>
  <si>
    <t>Exterior 24 Hour Operation </t>
  </si>
  <si>
    <t>8,766 </t>
  </si>
  <si>
    <t>Max Rennie</t>
  </si>
  <si>
    <t>Retail Supermarket</t>
  </si>
  <si>
    <t>Exist_T12_Slimline</t>
  </si>
  <si>
    <t>NC Gas</t>
  </si>
  <si>
    <t>NC Gas / Propane Heat</t>
  </si>
  <si>
    <t>Lookup_Interior_New</t>
  </si>
  <si>
    <t>Exterior (Photo Sensor Controlled) </t>
  </si>
  <si>
    <t>4,200 </t>
  </si>
  <si>
    <t>Michael Lane</t>
  </si>
  <si>
    <t>School K-12</t>
  </si>
  <si>
    <t>BLi Named Community</t>
  </si>
  <si>
    <t>Exist_T12_HO</t>
  </si>
  <si>
    <t>NC Electric Heat</t>
  </si>
  <si>
    <t>Parking garage</t>
  </si>
  <si>
    <t>Hospital </t>
  </si>
  <si>
    <t>Peter Lillesve</t>
  </si>
  <si>
    <t>Street &amp; Area Lighting (Photo Sensor Controlled)</t>
  </si>
  <si>
    <t>[assume 12 hrs/day]</t>
  </si>
  <si>
    <t>MF Named Community</t>
  </si>
  <si>
    <t>Exist_MH</t>
  </si>
  <si>
    <t>BLi</t>
  </si>
  <si>
    <t>NC Non Heated</t>
  </si>
  <si>
    <t>Green</t>
  </si>
  <si>
    <t>- Choose CPI -</t>
  </si>
  <si>
    <t>Industrial Plant with One Shift </t>
  </si>
  <si>
    <t>5,500 </t>
  </si>
  <si>
    <t>Qun Yu</t>
  </si>
  <si>
    <t>Exist_HPS</t>
  </si>
  <si>
    <t>Program</t>
  </si>
  <si>
    <t>NC Refrig Space</t>
  </si>
  <si>
    <t>Penitentiary</t>
  </si>
  <si>
    <t>Yellow</t>
  </si>
  <si>
    <t>Industrial Plant with Three Shifts </t>
  </si>
  <si>
    <t>7,000 </t>
  </si>
  <si>
    <t>Rich Perlot</t>
  </si>
  <si>
    <t>Exist_Mercury_Vapor</t>
  </si>
  <si>
    <t>NC Horticultural</t>
  </si>
  <si>
    <t>Performing arts theater</t>
  </si>
  <si>
    <t>Exterior Hours exceed PSE default of 4200? Justification Required!</t>
  </si>
  <si>
    <t>Industrial Plant with Two Shifts </t>
  </si>
  <si>
    <t>Robert Dunn</t>
  </si>
  <si>
    <t>*Combined Manufacturing, Ind w/ 1 shift, Ind w/ 2 shifts</t>
  </si>
  <si>
    <t>Exist_HalogenA</t>
  </si>
  <si>
    <t>TENANT IMPROVEMENT</t>
  </si>
  <si>
    <t>TI Gas</t>
  </si>
  <si>
    <t>TI Gas / Propane Heat</t>
  </si>
  <si>
    <t>Police station</t>
  </si>
  <si>
    <t>Installed LPD exceeds LPA for the space/area - Revise!</t>
  </si>
  <si>
    <t>Library </t>
  </si>
  <si>
    <t>3,000 </t>
  </si>
  <si>
    <t>Steve Ottenbreit</t>
  </si>
  <si>
    <t>** Combined Office 20,000 to 100,000 sf with Office &gt;100,000 sf</t>
  </si>
  <si>
    <t>Projects must be completed by 12/31/2021</t>
  </si>
  <si>
    <t>Exist_HalogenPAR</t>
  </si>
  <si>
    <t>NEW CONSTRUCTION</t>
  </si>
  <si>
    <t>TI Electric Heat</t>
  </si>
  <si>
    <t>Post office</t>
  </si>
  <si>
    <t>Exterior kWh doesn't save 5% over code, no funding - Revise!</t>
  </si>
  <si>
    <t>Red</t>
  </si>
  <si>
    <t>Lodging </t>
  </si>
  <si>
    <t>3,500 </t>
  </si>
  <si>
    <t>Taylor Johnson</t>
  </si>
  <si>
    <t>*** Used Space Type "Indoor Parking Garage" across all building types</t>
  </si>
  <si>
    <t>Halogen MR/AR111</t>
  </si>
  <si>
    <t>Exist_HalogenMR</t>
  </si>
  <si>
    <t>TI Non Heated</t>
  </si>
  <si>
    <t>- Choose Exterior Area -</t>
  </si>
  <si>
    <t>Religious building</t>
  </si>
  <si>
    <t>Primary Sidelit</t>
  </si>
  <si>
    <t>Interior kWh doesn't save 5% over code, no funding - Revise!</t>
  </si>
  <si>
    <t>Manufacturing </t>
  </si>
  <si>
    <t>Taylor Pitts</t>
  </si>
  <si>
    <t>**** Big Box only included Electronics/appliances, Hardware, Home Improvement, and Warehouse Club building types.  Other building types larger than 50,000 sf were included in Retail 5,000 to 50,000 sf.</t>
  </si>
  <si>
    <t>Exist_Incan</t>
  </si>
  <si>
    <t>TI Refrig Space</t>
  </si>
  <si>
    <t>Secondary Sidelit</t>
  </si>
  <si>
    <t>New Control does not meet Code Requirement for the space - Revise!</t>
  </si>
  <si>
    <t>Office &lt;20,000 sf </t>
  </si>
  <si>
    <t>2,600 </t>
  </si>
  <si>
    <t>Thomas Anderson</t>
  </si>
  <si>
    <t>Exist_CFL</t>
  </si>
  <si>
    <t>TI Horticultural</t>
  </si>
  <si>
    <t>School</t>
  </si>
  <si>
    <t>School K12</t>
  </si>
  <si>
    <t>Control quantity is greater than fixture quantity - Revise quantity</t>
  </si>
  <si>
    <t>Office &gt;100,000 sf </t>
  </si>
  <si>
    <t>3,300 </t>
  </si>
  <si>
    <t>Tom Anderson</t>
  </si>
  <si>
    <t>Exist_Induction</t>
  </si>
  <si>
    <t>Stairway</t>
  </si>
  <si>
    <t>REVISE! Control Qty must match Fixture Qty for LLLC/NLC Control</t>
  </si>
  <si>
    <t>Office 20,000 to 100,000 sf </t>
  </si>
  <si>
    <t>Tyson Schmitt</t>
  </si>
  <si>
    <t>data from RTF "NonResidentialLighting_CSFandHOU_v2_1.xlsx"</t>
  </si>
  <si>
    <t>PoleServices</t>
  </si>
  <si>
    <t>NC Exterior</t>
  </si>
  <si>
    <t>Lookup_Exterior_New</t>
  </si>
  <si>
    <t>Pedestrian tunnel</t>
  </si>
  <si>
    <t>Sports arena</t>
  </si>
  <si>
    <t>Other Health, Nursing, Medical Clinic </t>
  </si>
  <si>
    <t>4,300 </t>
  </si>
  <si>
    <t>TI Exterior</t>
  </si>
  <si>
    <t>Entry canopy</t>
  </si>
  <si>
    <t>Street Lighting</t>
  </si>
  <si>
    <t>Daylight controls selected but no daylight in space - Revise control</t>
  </si>
  <si>
    <t>Parking Garage </t>
  </si>
  <si>
    <t>6,300 </t>
  </si>
  <si>
    <t>Town hall</t>
  </si>
  <si>
    <t>_Control_Match</t>
  </si>
  <si>
    <t>Incorrect Control for selected SPACE type - Revise!</t>
  </si>
  <si>
    <t>Restaurant </t>
  </si>
  <si>
    <t>4,900 </t>
  </si>
  <si>
    <t>Commercial and Industrial projects, Lighting Only Tenant Improvements projects &amp; Lighting Only New Construction projects</t>
  </si>
  <si>
    <t>Lookup_Fixture_Type_Exist</t>
  </si>
  <si>
    <t>Lookup_Fixture_Type_Defined_Name_Exist</t>
  </si>
  <si>
    <t>Transportation</t>
  </si>
  <si>
    <t>Interior - Switch / Breaker</t>
  </si>
  <si>
    <t>Retail 5,000 to 50,000 sf </t>
  </si>
  <si>
    <t>3,900 </t>
  </si>
  <si>
    <t>businesslighting@pse.com</t>
  </si>
  <si>
    <t>Lookup_Fixture_Fluorescent</t>
  </si>
  <si>
    <t>Building Facades</t>
  </si>
  <si>
    <t>Interior - Timer / Time Switch</t>
  </si>
  <si>
    <t>Retail Anchor Store &gt;50,000 sf Multistory </t>
  </si>
  <si>
    <t>4,400 </t>
  </si>
  <si>
    <t>Lookup_Fixture_HID</t>
  </si>
  <si>
    <t>Workshop</t>
  </si>
  <si>
    <t>Interior - Occupancy Sensor</t>
  </si>
  <si>
    <t>REVISE New Fixture! Fixture edited not created</t>
  </si>
  <si>
    <t>Retail Big Box &gt;50,000 sf One-Story </t>
  </si>
  <si>
    <t>6,000 </t>
  </si>
  <si>
    <t>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</si>
  <si>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</si>
  <si>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Interior - Interior Daylight Dimming</t>
  </si>
  <si>
    <t>REVISE Existing Fixture! Fixture not created or has been edited!</t>
  </si>
  <si>
    <t>Retail Boutique &lt;5,000 sf </t>
  </si>
  <si>
    <t>2,500 </t>
  </si>
  <si>
    <t>Lookup_Fixture_Induction</t>
  </si>
  <si>
    <t>Exterior &amp; Interior</t>
  </si>
  <si>
    <t>Interior - Daylight + Occupancy</t>
  </si>
  <si>
    <t>Retail Mini Mart </t>
  </si>
  <si>
    <t>7,200 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</si>
  <si>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</si>
  <si>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</si>
  <si>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NLC</t>
  </si>
  <si>
    <t>REVISE SPACE TYPE! Project Type Changed</t>
  </si>
  <si>
    <t>Retail Supermarket </t>
  </si>
  <si>
    <t>6,800 </t>
  </si>
  <si>
    <t>Lookup_Existing_TLED</t>
  </si>
  <si>
    <t>Interior - Interior LLLC</t>
  </si>
  <si>
    <t>ERROR! Use "Building Area Installations" for Interior spaces</t>
  </si>
  <si>
    <t>School K-12 </t>
  </si>
  <si>
    <t>NO Existing Fixture</t>
  </si>
  <si>
    <t>Lookup_No_Existing</t>
  </si>
  <si>
    <t>Controls_Interior_No_Daylight</t>
  </si>
  <si>
    <t>Interior - LLLC (Occ + Tune + no Day)</t>
  </si>
  <si>
    <t>Street &amp; Area Lighting (Photo Sensor Controlled) </t>
  </si>
  <si>
    <t>Interior - NLC (Occ + Tune + no Day)</t>
  </si>
  <si>
    <t>White</t>
  </si>
  <si>
    <t>Warehouse </t>
  </si>
  <si>
    <t>Fixture_Type_N</t>
  </si>
  <si>
    <t>Fixture_Type_Defined_Name_New</t>
  </si>
  <si>
    <t>Exterior - Exterior Photo Control</t>
  </si>
  <si>
    <t>Other </t>
  </si>
  <si>
    <t>3,800 </t>
  </si>
  <si>
    <t>LED</t>
  </si>
  <si>
    <t>Fixture_Custom</t>
  </si>
  <si>
    <t>Exterior - Astronomical Time Switch</t>
  </si>
  <si>
    <t>Fixture_Removed</t>
  </si>
  <si>
    <t>Exterior - Ext. Occupancy Sensor</t>
  </si>
  <si>
    <t>Incorrect Control for selected HEAT type - Revise!</t>
  </si>
  <si>
    <t>MULTI-FAMILY LIGHTING INCENTIVE PROGRAM</t>
  </si>
  <si>
    <t>Fixture_Exit</t>
  </si>
  <si>
    <t>Exterior - Exterior Dimming</t>
  </si>
  <si>
    <t>TLED's are not approved for New Construction, revise fixture!</t>
  </si>
  <si>
    <t>Multi-Family Lighting</t>
  </si>
  <si>
    <t>Exterior - Exterior NLC Occupancy based</t>
  </si>
  <si>
    <t>REVISE SPACE TYPE! Space Type incorrect for chosen Project Type</t>
  </si>
  <si>
    <t>Muli-Family lighting projects</t>
  </si>
  <si>
    <t>Defined Name Existing</t>
  </si>
  <si>
    <t>Exterior - Exterior NLC Time based</t>
  </si>
  <si>
    <t>multifamilyretrofit@pse.com</t>
  </si>
  <si>
    <t>Custom_LED</t>
  </si>
  <si>
    <t>Interior - Removed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</si>
  <si>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</si>
  <si>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</si>
  <si>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</si>
  <si>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</si>
  <si>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</si>
  <si>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Lookup_Fixture_Fluorescent_Defined_Name_Existing</t>
  </si>
  <si>
    <t>T8_32WHighPerf</t>
  </si>
  <si>
    <t>T8_RW</t>
  </si>
  <si>
    <t>T8_RW25</t>
  </si>
  <si>
    <t>T_5</t>
  </si>
  <si>
    <t>T5_HO</t>
  </si>
  <si>
    <t>Hardwired_CFL</t>
  </si>
  <si>
    <t>Occupancy Sensor + Tuning</t>
  </si>
  <si>
    <t>T8_2ft</t>
  </si>
  <si>
    <t>Top Daylight</t>
  </si>
  <si>
    <t>T8_3ft</t>
  </si>
  <si>
    <t>Top Daylight + Occupancy</t>
  </si>
  <si>
    <t>T8_5ft</t>
  </si>
  <si>
    <t>Top Daylight + Occupancy + Tuning</t>
  </si>
  <si>
    <t>T8_Slimline</t>
  </si>
  <si>
    <t>Side Daylight</t>
  </si>
  <si>
    <t>T8_HO</t>
  </si>
  <si>
    <t>Side Daylight + Occupancy</t>
  </si>
  <si>
    <t>T12_Slimline</t>
  </si>
  <si>
    <t>Side Daylight + Occupancy + Tuning</t>
  </si>
  <si>
    <t>T12_HO</t>
  </si>
  <si>
    <t>MH</t>
  </si>
  <si>
    <t>HPS</t>
  </si>
  <si>
    <t>Mercury_Vapor</t>
  </si>
  <si>
    <t>Exterior NLC Occupancy based</t>
  </si>
  <si>
    <t>Exterior NLC Time based</t>
  </si>
  <si>
    <t>Fixture_Incandescent</t>
  </si>
  <si>
    <t>HalogenA</t>
  </si>
  <si>
    <t>HalogenPAR</t>
  </si>
  <si>
    <t>HalogenMR</t>
  </si>
  <si>
    <t>Incan</t>
  </si>
  <si>
    <t>Fixture_Induction</t>
  </si>
  <si>
    <t>NEEDED?</t>
  </si>
  <si>
    <t>Space-by-Space areas</t>
  </si>
  <si>
    <t>2015</t>
  </si>
  <si>
    <t>2018</t>
  </si>
  <si>
    <t>Height</t>
  </si>
  <si>
    <t>Column2</t>
  </si>
  <si>
    <t>Key</t>
  </si>
  <si>
    <t>Column3</t>
  </si>
  <si>
    <t>Column4</t>
  </si>
  <si>
    <t xml:space="preserve"> LPD (w/ft2)</t>
  </si>
  <si>
    <t>Daylight percent</t>
  </si>
  <si>
    <t>ASHRAE 90.1</t>
  </si>
  <si>
    <t>Atrium: 20 to 40 ft in height</t>
  </si>
  <si>
    <t>PSE Building Type</t>
  </si>
  <si>
    <t>PSE BAM Assumed</t>
  </si>
  <si>
    <t>PSE LLLC/NLC</t>
  </si>
  <si>
    <t>Annual Interior Building Operating Hours </t>
  </si>
  <si>
    <t>Before Midnight Operating Hours (BMOH) </t>
  </si>
  <si>
    <t>After Midnight Operating Hours (AMOH) </t>
  </si>
  <si>
    <t>Atrium: above 40 ft in height</t>
  </si>
  <si>
    <t>0.03+0.02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</si>
  <si>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</si>
  <si>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</si>
  <si>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</si>
  <si>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</si>
  <si>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</si>
  <si>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</si>
  <si>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</si>
  <si>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</si>
  <si>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</si>
  <si>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</si>
  <si>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</si>
  <si>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</si>
  <si>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</si>
  <si>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</si>
  <si>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</si>
  <si>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</si>
  <si>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</si>
  <si>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</si>
  <si>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</si>
  <si>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</si>
  <si>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</si>
  <si>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</si>
  <si>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</si>
  <si>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</si>
  <si>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</si>
  <si>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</si>
  <si>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</si>
  <si>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</si>
  <si>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</si>
  <si>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</si>
  <si>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</si>
  <si>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</si>
  <si>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</si>
  <si>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</si>
  <si>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</si>
  <si>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</si>
  <si>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</si>
  <si>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</si>
  <si>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Hotel 24/7 areas</t>
  </si>
  <si>
    <t>3,585 </t>
  </si>
  <si>
    <t>1,300 </t>
  </si>
  <si>
    <t>Computer room</t>
  </si>
  <si>
    <t>Manufacturing Facility </t>
  </si>
  <si>
    <t>Conference/meeting/multipurpose</t>
  </si>
  <si>
    <t>Manufacturing (typ)</t>
  </si>
  <si>
    <t>Motel </t>
  </si>
  <si>
    <t>Convention center: Exhibit space</t>
  </si>
  <si>
    <t>Manufacturing (2 shifts)</t>
  </si>
  <si>
    <t>Motion Picture Theater </t>
  </si>
  <si>
    <t>Copy/print room</t>
  </si>
  <si>
    <t>Manufacturing (3 shifts)</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</si>
  <si>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</si>
  <si>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</si>
  <si>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</si>
  <si>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</si>
  <si>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</si>
  <si>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</si>
  <si>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</si>
  <si>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</si>
  <si>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</si>
  <si>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</si>
  <si>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</si>
  <si>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</si>
  <si>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</si>
  <si>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</si>
  <si>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</si>
  <si>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</si>
  <si>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</si>
  <si>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</si>
  <si>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</si>
  <si>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</si>
  <si>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</si>
  <si>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</si>
  <si>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</si>
  <si>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</si>
  <si>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</si>
  <si>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</si>
  <si>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</si>
  <si>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</si>
  <si>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School/University</t>
  </si>
  <si>
    <t>Transportation </t>
  </si>
  <si>
    <t>Facility for the visually impaired: Chapel</t>
  </si>
  <si>
    <t>2,837 </t>
  </si>
  <si>
    <t>Facility for the visually impaired: Recreation room</t>
  </si>
  <si>
    <t>Workshop </t>
  </si>
  <si>
    <t>Fire stations: Engine rooms</t>
  </si>
  <si>
    <t>Fire stations: Sleeping quarters</t>
  </si>
  <si>
    <t>Warehouse (typ)</t>
  </si>
  <si>
    <t>Food preparation</t>
  </si>
  <si>
    <t>Warehouse (2 shifts)</t>
  </si>
  <si>
    <t>Guest room</t>
  </si>
  <si>
    <t>Warehouse (3 shifts)</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</si>
  <si>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</si>
  <si>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</si>
  <si>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</si>
  <si>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</si>
  <si>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</si>
  <si>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</si>
  <si>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</si>
  <si>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</si>
  <si>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</si>
  <si>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</si>
  <si>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</si>
  <si>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Warehouse (2 shift)</t>
  </si>
  <si>
    <t>Health care facility: Physical therapy</t>
  </si>
  <si>
    <t>Warehouse (3 shift)</t>
  </si>
  <si>
    <t>Health care facility: Recovery</t>
  </si>
  <si>
    <t>Manufacturing facility (typ)</t>
  </si>
  <si>
    <t>Laboratory for classrooms</t>
  </si>
  <si>
    <t>Manufacturing facility (2 shifts)</t>
  </si>
  <si>
    <t>Laboratory for medical/industrial/research</t>
  </si>
  <si>
    <t>Manufacturing facility (3 shifts)</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</si>
  <si>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</si>
  <si>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</si>
  <si>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</si>
  <si>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</si>
  <si>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</si>
  <si>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</si>
  <si>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</si>
  <si>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</si>
  <si>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</si>
  <si>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</si>
  <si>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</si>
  <si>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</si>
  <si>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</si>
  <si>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</si>
  <si>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</si>
  <si>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</si>
  <si>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</si>
  <si>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</si>
  <si>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</si>
  <si>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</si>
  <si>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</si>
  <si>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</si>
  <si>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</si>
  <si>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</si>
  <si>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 &lt;250 SF</t>
  </si>
  <si>
    <t>Office: Enclosed &gt;250 SF</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</si>
  <si>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</si>
  <si>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</si>
  <si>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</si>
  <si>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</si>
  <si>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</si>
  <si>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</si>
  <si>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</si>
  <si>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</si>
  <si>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</si>
  <si>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</si>
  <si>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</si>
  <si>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</si>
  <si>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</si>
  <si>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</si>
  <si>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</si>
  <si>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</si>
  <si>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</si>
  <si>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</si>
  <si>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</si>
  <si>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 &lt;50 SF</t>
  </si>
  <si>
    <t>Storage room &gt;50 SF</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</si>
  <si>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</si>
  <si>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</si>
  <si>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</si>
  <si>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</si>
  <si>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</si>
  <si>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</si>
  <si>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</si>
  <si>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</si>
  <si>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Space-by-Space areas (Zone 3 assumed)</t>
  </si>
  <si>
    <t>Column5</t>
  </si>
  <si>
    <t>Base Site Allowance</t>
  </si>
  <si>
    <t>Parking areas and drives</t>
  </si>
  <si>
    <t>Walkways and ramps less than 10 feet wide (per linearfFoot)</t>
  </si>
  <si>
    <t>Walkways and ramps 10 feet wide or greater, plaza areas special feature areas</t>
  </si>
  <si>
    <t>Dining areas</t>
  </si>
  <si>
    <t>Landscaping</t>
  </si>
  <si>
    <t>Pedestrian and vehicular entrances and exists  (linear foot of opening)</t>
  </si>
  <si>
    <t>Loading docks</t>
  </si>
  <si>
    <t>Sales Canopies - Free-standing and attached</t>
  </si>
  <si>
    <t>Outdoor Sales - Open areas (including vehicle sales lots)</t>
  </si>
  <si>
    <t>Outdoor Sales - Street frontage for vehicle sales (per linear foot)</t>
  </si>
  <si>
    <t>NC</t>
  </si>
  <si>
    <t>INTERIOR LIGHTING POWER ALLOWANCES: BUILDING AREA METHOD</t>
  </si>
  <si>
    <t>2018 LPA</t>
  </si>
  <si>
    <t>2015 LPA</t>
  </si>
  <si>
    <t>School/university</t>
  </si>
  <si>
    <t>Space/Area</t>
  </si>
  <si>
    <t>Int/Ext</t>
  </si>
  <si>
    <t>2019</t>
  </si>
  <si>
    <t>Control Group</t>
  </si>
  <si>
    <t>Control Space</t>
  </si>
  <si>
    <t>Control2</t>
  </si>
  <si>
    <t>TI SF/Linear Ft</t>
  </si>
  <si>
    <t>NC SF/Linear Ft</t>
  </si>
  <si>
    <t>Interior Atrium: 20 to 40 ft in height</t>
  </si>
  <si>
    <t>Area (sf):</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</si>
  <si>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</si>
  <si>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</si>
  <si>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</si>
  <si>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</si>
  <si>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</si>
  <si>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</si>
  <si>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</si>
  <si>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</si>
  <si>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</si>
  <si>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</si>
  <si>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</si>
  <si>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</si>
  <si>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</si>
  <si>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</si>
  <si>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</si>
  <si>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</si>
  <si>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</si>
  <si>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</si>
  <si>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</si>
  <si>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</si>
  <si>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</si>
  <si>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</si>
  <si>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</si>
  <si>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</si>
  <si>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</si>
  <si>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</si>
  <si>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</si>
  <si>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</si>
  <si>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</si>
  <si>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</si>
  <si>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</si>
  <si>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</si>
  <si>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</si>
  <si>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</si>
  <si>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</si>
  <si>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</si>
  <si>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</si>
  <si>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</si>
  <si>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</si>
  <si>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</si>
  <si>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</si>
  <si>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</si>
  <si>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</si>
  <si>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</si>
  <si>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</si>
  <si>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</si>
  <si>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</si>
  <si>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</si>
  <si>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</si>
  <si>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</si>
  <si>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</si>
  <si>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</si>
  <si>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</si>
  <si>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</si>
  <si>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</si>
  <si>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</si>
  <si>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</si>
  <si>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</si>
  <si>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</si>
  <si>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</si>
  <si>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</si>
  <si>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</si>
  <si>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</si>
  <si>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</si>
  <si>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</si>
  <si>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</si>
  <si>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</si>
  <si>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</si>
  <si>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</si>
  <si>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</si>
  <si>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</si>
  <si>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</si>
  <si>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</si>
  <si>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</si>
  <si>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</si>
  <si>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</si>
  <si>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</si>
  <si>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</si>
  <si>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</si>
  <si>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</si>
  <si>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</si>
  <si>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</si>
  <si>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</si>
  <si>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</si>
  <si>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</si>
  <si>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</si>
  <si>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</si>
  <si>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</si>
  <si>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</si>
  <si>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</si>
  <si>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</si>
  <si>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</si>
  <si>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</si>
  <si>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</si>
  <si>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</si>
  <si>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</si>
  <si>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</si>
  <si>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</si>
  <si>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</si>
  <si>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</si>
  <si>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</si>
  <si>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</si>
  <si>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</si>
  <si>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</si>
  <si>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</si>
  <si>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</si>
  <si>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</si>
  <si>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</si>
  <si>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</si>
  <si>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</si>
  <si>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</si>
  <si>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</si>
  <si>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</si>
  <si>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</si>
  <si>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</si>
  <si>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</si>
  <si>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</si>
  <si>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</si>
  <si>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</si>
  <si>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</si>
  <si>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</si>
  <si>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</si>
  <si>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</si>
  <si>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</si>
  <si>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</si>
  <si>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</si>
  <si>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</si>
  <si>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</si>
  <si>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</si>
  <si>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</si>
  <si>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</si>
  <si>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</si>
  <si>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</si>
  <si>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</si>
  <si>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</si>
  <si>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Walkways and ramps less than 10 feet wide</t>
  </si>
  <si>
    <t>Exterior Walkways and ramps less than 10 feet wide</t>
  </si>
  <si>
    <t>Linear ft:</t>
  </si>
  <si>
    <t>Exterior Walkways and ramps 10 feet wide or greater, plaza areas special feature areas</t>
  </si>
  <si>
    <t>Exterior Dining</t>
  </si>
  <si>
    <t>Exterior Stairways</t>
  </si>
  <si>
    <t>Exterior Pedestrian tunnels</t>
  </si>
  <si>
    <t>Exterior Landscaping</t>
  </si>
  <si>
    <t>Pedestrian and vehicular entrances and exists</t>
  </si>
  <si>
    <t>Exterior Pedestrian and vehicular entrances and exists</t>
  </si>
  <si>
    <t>Exterior Entry canopies</t>
  </si>
  <si>
    <t>Exterior Loading docks</t>
  </si>
  <si>
    <t>Exterior Sales Canopies - Free-standing and attached</t>
  </si>
  <si>
    <t>Exterior Outdoor Sales - Open areas (including vehicle sales lots)</t>
  </si>
  <si>
    <t>Outdoor Sales - Street frontage for vehicle sales</t>
  </si>
  <si>
    <t>Exterior Outdoor Sales - Street frontage for vehicle sales</t>
  </si>
  <si>
    <t>Building facades (Wall area SF)</t>
  </si>
  <si>
    <t>Exterior Building facades</t>
  </si>
  <si>
    <t>Exterior Parking and drives</t>
  </si>
  <si>
    <t>Exterior Walkways and Plaza</t>
  </si>
  <si>
    <t>Exterior Sales Canopies</t>
  </si>
  <si>
    <t>Exterior Outdoor Sales</t>
  </si>
  <si>
    <t>Exterior Other Exterior Area</t>
  </si>
  <si>
    <t>Exterior Street</t>
  </si>
  <si>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</si>
  <si>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</si>
  <si>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</si>
  <si>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</si>
  <si>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</si>
  <si>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</si>
  <si>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</si>
  <si>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</si>
  <si>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</si>
  <si>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</si>
  <si>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</si>
  <si>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</si>
  <si>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</si>
  <si>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</si>
  <si>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**Do not use BL Wk Grant QC Review page (follow normal custom grant DSMc procedure)</t>
  </si>
  <si>
    <t>DSMc Form 2</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</si>
  <si>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</si>
  <si>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</si>
  <si>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</si>
  <si>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</si>
  <si>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</si>
  <si>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Measure Life = 15 years</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</si>
  <si>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</si>
  <si>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</si>
  <si>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</si>
  <si>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</si>
  <si>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</si>
  <si>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2024 Changes</t>
  </si>
  <si>
    <t>Exterior Only TI/NC Fix</t>
  </si>
  <si>
    <t>Building Area Installation Tab</t>
  </si>
  <si>
    <t>Cells W43-W52, AC39 &amp; AE39: added IFERROR to formula</t>
  </si>
  <si>
    <t xml:space="preserve"> C406.3 savings reduction</t>
  </si>
  <si>
    <t>Call AC39: Changed =IFERROR(ROUND(S39*W39*X39*L35*AB39/1000,0),0)</t>
  </si>
  <si>
    <t>(added *L35)</t>
  </si>
  <si>
    <t>Cell AE39: =IFERROR(ROUND((S39*X39*W39*L35*AB39/1000)*(1-AA39),0),0)</t>
  </si>
  <si>
    <r>
      <t xml:space="preserve">Cell AC58:  </t>
    </r>
    <r>
      <rPr>
        <b/>
        <sz val="11"/>
        <color theme="1"/>
        <rFont val="Calibri"/>
        <family val="2"/>
        <scheme val="minor"/>
      </rPr>
      <t>=</t>
    </r>
    <r>
      <rPr>
        <sz val="11"/>
        <color theme="1"/>
        <rFont val="Calibri"/>
        <family val="2"/>
        <scheme val="minor"/>
      </rPr>
      <t>IFERROR(ROUND(S58*W58*X58*L35*AB58/1000,0),0)</t>
    </r>
  </si>
  <si>
    <t>Cell AE58: =IFERROR((S58*X58*W58*L35*AB58/1000)*(1-AA58),0)</t>
  </si>
  <si>
    <t>Clarified Interior vs Exterior Savings</t>
  </si>
  <si>
    <t>Installations Tab: Added above savings summary =IFERROR(IF(__Retrofit_TI_NC=0,"","Interior + Exterior Savings and Incentive"),"")</t>
  </si>
  <si>
    <t>Building Installations Tab: Added "TI/NC Interior Savings" above savings summary</t>
  </si>
  <si>
    <t>Terms Page</t>
  </si>
  <si>
    <t xml:space="preserve">Updated lookup of incentive to display trailing 0 </t>
  </si>
  <si>
    <t>IF(LEN(Lookup!B4)=4,CONCATENATE("Incentivized at $",Lookup!B4,"/kWh up to 70% of the installed cost for retrofit projects and up to 100% of the installed costs for tenant improvement and new construction projects."),CONCATENATE("Incentivized at $",Lookup!B4,"0/kWh up to 70% of the installed cost for retrofit projects and up to 100% of the installed costs for tenant improvement and new construction projects."))</t>
  </si>
  <si>
    <t>LLLC incentive update to $100</t>
  </si>
  <si>
    <t>Added LOA date requirements (max 1 year)</t>
  </si>
  <si>
    <t>Added 90% high end trim max for LLLC</t>
  </si>
  <si>
    <t>Added LLLC timeout per WSEC</t>
  </si>
  <si>
    <t>Added 100% cap for TI/NC</t>
  </si>
  <si>
    <t>Added grouping recommendation per WSEC for LLLC &amp; NLC</t>
  </si>
  <si>
    <t>Removed CPI</t>
  </si>
  <si>
    <t>Project Tab</t>
  </si>
  <si>
    <t>Install Tab</t>
  </si>
  <si>
    <r>
      <rPr>
        <b/>
        <sz val="11"/>
        <color rgb="FF000000"/>
        <rFont val="Calibri"/>
        <family val="2"/>
        <scheme val="minor"/>
      </rPr>
      <t>TI/NC SF vs Linear Feet:</t>
    </r>
    <r>
      <rPr>
        <sz val="11"/>
        <color rgb="FF000000"/>
        <rFont val="Calibri"/>
        <family val="2"/>
        <scheme val="minor"/>
      </rPr>
      <t xml:space="preserve"> In cell P49 and other cells that say "Area (SF)" changed to formula so it notates if it is Lineat ft insteaf: =IF(__Retrofit_TI_NC=1,VLOOKUP(G49,'Space Table'!$B$3:$N$163,13,FALSE),
IF(__Retrofit_TI_NC=2,VLOOKUP(G49,'Space Table'!$B$3:$N$163,14,FALSE),"Area (sf):"))</t>
    </r>
  </si>
  <si>
    <t>Added if statement so headers to Install table says "Exterior Space Information" and "Exterior Fixture/Lamp" for TI/NC project</t>
  </si>
  <si>
    <t>Fixed formulas in submitting company info towards top left so they fill in when submitting company is contractor or vendor</t>
  </si>
  <si>
    <t>Revised cost summary conditional formatting so it does not show if it is Nc or TI</t>
  </si>
  <si>
    <t>Deleted formulas in H28 &amp; H30 that appear to not be used and were cutting off text</t>
  </si>
  <si>
    <t>Building Area Installations</t>
  </si>
  <si>
    <t>Added more lines per building type</t>
  </si>
  <si>
    <t>Customer Authorization Tab</t>
  </si>
  <si>
    <t>Added payee info lookup formulas back in</t>
  </si>
  <si>
    <t>LLLc &amp; AELC Tab</t>
  </si>
  <si>
    <t>Changed LLLC/AELC review to at ;east 30 days instead of 45 days. This change matches the Attachment C in the grant.</t>
  </si>
  <si>
    <t>Grant QC Review Tab</t>
  </si>
  <si>
    <t>Updated Cell M30 to pull from correct date cell on customer authorization tab</t>
  </si>
  <si>
    <t>Changed Cell U579 so date matches Install Date towrds top of tab (Cell M30) (instead of customer authorization tab date)</t>
  </si>
  <si>
    <t>For TI: Changed unused check box to "Incentive estimate is less than expected invoice total"</t>
  </si>
  <si>
    <t>WSEC B_A_M Tab</t>
  </si>
  <si>
    <t>Changed back to 2015 (TI)/2018 (NC)</t>
  </si>
  <si>
    <t>WSEC Tab</t>
  </si>
  <si>
    <r>
      <rPr>
        <sz val="11"/>
        <color rgb="FF000000"/>
        <rFont val="Calibri"/>
        <family val="2"/>
      </rPr>
      <t xml:space="preserve">Changed back to 2015(TI)/2018(NC). </t>
    </r>
    <r>
      <rPr>
        <sz val="11"/>
        <color rgb="FFFF0000"/>
        <rFont val="Calibri"/>
        <family val="2"/>
      </rPr>
      <t>Do we keep interior space by space LPAs in workbook?</t>
    </r>
  </si>
  <si>
    <t xml:space="preserve"> Do we keep interior space by space LPAs in workbook?</t>
  </si>
  <si>
    <t>Exterior: Added note of "per Linear Foot" in space name for spaces where linear foot is used instead of SF</t>
  </si>
  <si>
    <t xml:space="preserve">Do we need WSEC and Space tab? </t>
  </si>
  <si>
    <t>Is column AN needed?</t>
  </si>
  <si>
    <t>Space Tab</t>
  </si>
  <si>
    <t>Exterior: Added note of "Wall Area SF" in space name for building facades</t>
  </si>
  <si>
    <t>Do we need WSEC and Space tab? Looks like only space tab is in use.</t>
  </si>
  <si>
    <t>Added columns at end to notate if code uses Area (SF) or Linear Ft for LPA</t>
  </si>
  <si>
    <t>Lookup Tab</t>
  </si>
  <si>
    <t>Updated 2024 incentives J2:J10</t>
  </si>
  <si>
    <t>New fixture incentive update to $0.30/kWh</t>
  </si>
  <si>
    <t>New Kit incentive update to $0.30/kWh</t>
  </si>
  <si>
    <t>2023 Changes</t>
  </si>
  <si>
    <t>V23-5</t>
  </si>
  <si>
    <t>Grant QC</t>
  </si>
  <si>
    <t>Changed cell L74 to "=Autofund!J78" to correctly reflect Fixture savings</t>
  </si>
  <si>
    <t>AB40</t>
  </si>
  <si>
    <t>=IF(AB39&gt;Installations!IP14,ROUND(Installations!IP14/AB39,3),1)</t>
  </si>
  <si>
    <t>AB39 is HOU, Installations!IP14 is default 3200 daylight hours</t>
  </si>
  <si>
    <t>if HOU is greater than default then default hours / HOU to get percent of HOU that are daylighted</t>
  </si>
  <si>
    <t>V2-1 changes</t>
  </si>
  <si>
    <t>Terms</t>
  </si>
  <si>
    <t>Updated LLLC definition</t>
  </si>
  <si>
    <t>Update ENLC</t>
  </si>
  <si>
    <t>Added CPI</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</si>
  <si>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</si>
  <si>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</si>
  <si>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</si>
  <si>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</si>
  <si>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</si>
  <si>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</si>
  <si>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</si>
  <si>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</si>
  <si>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</si>
  <si>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</si>
  <si>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</si>
  <si>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</si>
  <si>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</si>
  <si>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</si>
  <si>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</si>
  <si>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</si>
  <si>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</si>
  <si>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</si>
  <si>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</si>
  <si>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</si>
  <si>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Lookup</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</si>
  <si>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</si>
  <si>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</si>
  <si>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</si>
  <si>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</si>
  <si>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</si>
  <si>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</si>
  <si>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</si>
  <si>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</si>
  <si>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</si>
  <si>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</si>
  <si>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</si>
  <si>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</si>
  <si>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</si>
  <si>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</si>
  <si>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</si>
  <si>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</si>
  <si>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</si>
  <si>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r>
      <t xml:space="preserve">NLC Bonus </t>
    </r>
    <r>
      <rPr>
        <sz val="11"/>
        <color rgb="FF000000"/>
        <rFont val="Calibri"/>
        <family val="2"/>
        <scheme val="minor"/>
      </rPr>
      <t>- PSE will incentivize each NLC fixture at $50</t>
    </r>
  </si>
  <si>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</si>
  <si>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</si>
  <si>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</si>
  <si>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</si>
  <si>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</si>
  <si>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</si>
  <si>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</si>
  <si>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r>
      <t xml:space="preserve">AELC Bonus </t>
    </r>
    <r>
      <rPr>
        <sz val="11"/>
        <color rgb="FF000000"/>
        <rFont val="Calibri"/>
        <family val="2"/>
        <scheme val="minor"/>
      </rPr>
      <t>-  PSE will incentivize each AELC fixture at $75</t>
    </r>
  </si>
  <si>
    <t>Changed rage to not select "Hort"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</si>
</sst>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0.0\ &quot;yrs&quot;"/>
    <numFmt numFmtId="173" formatCode="0.0%"/>
    <numFmt numFmtId="174" formatCode="#,##0.0"/>
    <numFmt numFmtId="175" formatCode="m/d/yy;@"/>
    <numFmt numFmtId="176" formatCode="#,##0\ &quot;kWh/yr&quot;"/>
    <numFmt numFmtId="177" formatCode="[$-409]h:mm\ AM/PM;@"/>
    <numFmt numFmtId="178" formatCode="##.##\ &quot; (¢/kWh)&quot;"/>
    <numFmt numFmtId="179" formatCode="&quot;$&quot;#,##0.00000_);[Red]\(&quot;$&quot;#,##0.00000\)"/>
    <numFmt numFmtId="180" formatCode="&quot;$&quot;#,##0\ &quot;Incentive&quot;"/>
    <numFmt numFmtId="181" formatCode="#,##0\ &quot;kWh Saved&quot;"/>
    <numFmt numFmtId="182" formatCode="##.\9\ &quot; (¢/kWh)&quot;"/>
    <numFmt numFmtId="183" formatCode="0.00000000%"/>
    <numFmt numFmtId="184" formatCode="&quot;Grant % =&quot;\ 0%"/>
  </numFmts>
  <fonts count="189">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b/>
      <sz val="15"/>
      <color theme="0" tint="-0.249977111117893"/>
      <name val="Calibri"/>
      <family val="2"/>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
      <sz val="14"/>
      <color indexed="8"/>
      <name val="Segoe Script"/>
      <family val="4"/>
    </font>
    <font>
      <b/>
      <sz val="10"/>
      <name val="Calibri"/>
      <family val="2"/>
      <scheme val="minor"/>
    </font>
    <font>
      <sz val="12"/>
      <color theme="0"/>
      <name val="Calibri"/>
      <family val="2"/>
      <scheme val="minor"/>
    </font>
    <font>
      <sz val="10"/>
      <color rgb="FF000000"/>
      <name val="Segoe UI"/>
      <family val="2"/>
    </font>
    <font>
      <u/>
      <sz val="10"/>
      <color theme="1"/>
      <name val="Calibri"/>
      <family val="2"/>
      <scheme val="minor"/>
    </font>
    <font>
      <sz val="6"/>
      <name val="Calibri"/>
      <family val="2"/>
      <scheme val="minor"/>
    </font>
    <font>
      <u/>
      <sz val="11"/>
      <color theme="0"/>
      <name val="Calibri"/>
      <family val="2"/>
      <scheme val="minor"/>
    </font>
    <font>
      <sz val="11"/>
      <color theme="0"/>
      <name val="Calibri"/>
      <family val="2"/>
    </font>
    <font>
      <b/>
      <sz val="20"/>
      <color theme="1"/>
      <name val="Calibri"/>
      <family val="2"/>
      <scheme val="minor"/>
    </font>
    <font>
      <sz val="20"/>
      <color theme="1"/>
      <name val="Calibri"/>
      <family val="2"/>
      <scheme val="minor"/>
    </font>
    <font>
      <sz val="10"/>
      <color theme="5" tint="-0.249977111117893"/>
      <name val="Calibri"/>
      <family val="2"/>
      <scheme val="minor"/>
    </font>
    <font>
      <b/>
      <sz val="15"/>
      <color rgb="FF2C1126"/>
      <name val="Calibri"/>
      <family val="2"/>
    </font>
    <font>
      <b/>
      <sz val="14"/>
      <color rgb="FF2C1126"/>
      <name val="Calibri"/>
      <family val="2"/>
      <scheme val="minor"/>
    </font>
    <font>
      <sz val="11"/>
      <color rgb="FF000000"/>
      <name val="Calibri"/>
      <family val="2"/>
    </font>
    <font>
      <sz val="11"/>
      <color rgb="FFFF0000"/>
      <name val="Calibri"/>
      <family val="2"/>
    </font>
    <font>
      <b/>
      <sz val="11"/>
      <color rgb="FF000000"/>
      <name val="Calibri"/>
      <family val="2"/>
    </font>
    <font>
      <sz val="11"/>
      <color rgb="FFC52E11"/>
      <name val="Calibri"/>
      <family val="2"/>
      <scheme val="minor"/>
    </font>
    <font>
      <b/>
      <sz val="11"/>
      <color rgb="FFC52E11"/>
      <name val="Calibri"/>
      <family val="2"/>
      <scheme val="minor"/>
    </font>
    <font>
      <i/>
      <sz val="11"/>
      <color rgb="FF2C1126"/>
      <name val="Calibri"/>
      <family val="2"/>
      <scheme val="minor"/>
    </font>
    <font>
      <sz val="11"/>
      <color rgb="FF006671"/>
      <name val="Calibri"/>
      <family val="2"/>
      <scheme val="minor"/>
    </font>
    <font>
      <b/>
      <sz val="11"/>
      <color rgb="FF006671"/>
      <name val="Calibri"/>
      <family val="2"/>
      <scheme val="minor"/>
    </font>
    <font>
      <b/>
      <i/>
      <sz val="11"/>
      <color rgb="FF2C1126"/>
      <name val="Calibri"/>
      <family val="2"/>
      <scheme val="minor"/>
    </font>
    <font>
      <sz val="11"/>
      <color rgb="FF668B53"/>
      <name val="Calibri"/>
      <family val="2"/>
      <scheme val="minor"/>
    </font>
    <font>
      <sz val="11"/>
      <color rgb="FF2C1126"/>
      <name val="Calibri"/>
      <family val="2"/>
      <scheme val="minor"/>
    </font>
    <font>
      <b/>
      <sz val="12"/>
      <color rgb="FF2C1126"/>
      <name val="Calibri"/>
      <family val="2"/>
      <scheme val="minor"/>
    </font>
    <font>
      <b/>
      <sz val="11"/>
      <color rgb="FF2C1126"/>
      <name val="Calibri"/>
      <family val="2"/>
      <scheme val="minor"/>
    </font>
    <font>
      <sz val="7"/>
      <color theme="1"/>
      <name val="Calibri"/>
      <family val="2"/>
      <scheme val="minor"/>
    </font>
    <font>
      <b/>
      <sz val="11"/>
      <color theme="0" tint="-4.9989318521683403E-2"/>
      <name val="Calibri"/>
      <family val="2"/>
      <scheme val="minor"/>
    </font>
    <font>
      <sz val="9"/>
      <color theme="0" tint="-4.9989318521683403E-2"/>
      <name val="Calibri"/>
      <family val="2"/>
      <scheme val="minor"/>
    </font>
    <font>
      <i/>
      <sz val="9"/>
      <color theme="0" tint="-4.9989318521683403E-2"/>
      <name val="Calibri"/>
      <family val="2"/>
      <scheme val="minor"/>
    </font>
    <font>
      <i/>
      <sz val="11"/>
      <color theme="0" tint="-4.9989318521683403E-2"/>
      <name val="Calibri"/>
      <family val="2"/>
      <scheme val="minor"/>
    </font>
    <font>
      <b/>
      <i/>
      <sz val="11"/>
      <name val="Calibri"/>
      <family val="2"/>
      <scheme val="minor"/>
    </font>
    <font>
      <b/>
      <u/>
      <sz val="12"/>
      <color rgb="FF000000"/>
      <name val="Calibri"/>
      <family val="2"/>
    </font>
    <font>
      <sz val="12"/>
      <name val="Calibri"/>
      <family val="2"/>
    </font>
    <font>
      <sz val="9"/>
      <color rgb="FF000000"/>
      <name val="Calibri"/>
      <family val="2"/>
    </font>
    <font>
      <sz val="10"/>
      <color rgb="FFED7D31"/>
      <name val="Calibri"/>
      <family val="2"/>
    </font>
    <font>
      <sz val="9"/>
      <color theme="1"/>
      <name val="Calibri"/>
      <family val="2"/>
    </font>
    <font>
      <sz val="9"/>
      <color rgb="FF000000"/>
      <name val="Calibri"/>
      <family val="2"/>
      <scheme val="minor"/>
    </font>
    <font>
      <sz val="9"/>
      <color rgb="FFED7D31"/>
      <name val="Calibri"/>
      <family val="2"/>
      <scheme val="minor"/>
    </font>
    <font>
      <b/>
      <sz val="9"/>
      <name val="Calibri"/>
      <family val="2"/>
      <scheme val="minor"/>
    </font>
    <font>
      <b/>
      <sz val="11"/>
      <color theme="5"/>
      <name val="Calibri"/>
      <family val="2"/>
      <scheme val="minor"/>
    </font>
    <font>
      <sz val="9"/>
      <color rgb="FFFFC000"/>
      <name val="Calibri"/>
      <family val="2"/>
      <scheme val="minor"/>
    </font>
    <font>
      <sz val="9"/>
      <color rgb="FFFFC000"/>
      <name val="Calibri"/>
      <family val="2"/>
    </font>
    <font>
      <sz val="9"/>
      <name val="Calibri"/>
      <family val="2"/>
    </font>
    <font>
      <b/>
      <sz val="11"/>
      <color rgb="FFFFFFFF"/>
      <name val="Calibri"/>
      <family val="2"/>
    </font>
    <font>
      <b/>
      <i/>
      <sz val="11"/>
      <color rgb="FFFFFFFF"/>
      <name val="Calibri"/>
      <family val="2"/>
    </font>
    <font>
      <u/>
      <sz val="11"/>
      <color rgb="FF000000"/>
      <name val="Calibri"/>
      <family val="2"/>
    </font>
  </fonts>
  <fills count="8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theme="0"/>
        <bgColor theme="4" tint="0.79998168889431442"/>
      </patternFill>
    </fill>
    <fill>
      <patternFill patternType="solid">
        <fgColor theme="3" tint="0.79998168889431442"/>
        <bgColor indexed="64"/>
      </patternFill>
    </fill>
    <fill>
      <patternFill patternType="solid">
        <fgColor rgb="FF2C1126"/>
        <bgColor indexed="64"/>
      </patternFill>
    </fill>
    <fill>
      <patternFill patternType="solid">
        <fgColor rgb="FFA49AA3"/>
        <bgColor indexed="64"/>
      </patternFill>
    </fill>
    <fill>
      <patternFill patternType="solid">
        <fgColor rgb="FFE7E6E6"/>
        <bgColor rgb="FF000000"/>
      </patternFill>
    </fill>
  </fills>
  <borders count="311">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2C1126"/>
      </left>
      <right/>
      <top style="thick">
        <color rgb="FF2C1126"/>
      </top>
      <bottom/>
      <diagonal/>
    </border>
    <border>
      <left/>
      <right/>
      <top style="thick">
        <color rgb="FF2C1126"/>
      </top>
      <bottom/>
      <diagonal/>
    </border>
    <border>
      <left style="thin">
        <color rgb="FF2C1126"/>
      </left>
      <right/>
      <top/>
      <bottom/>
      <diagonal/>
    </border>
    <border>
      <left style="thin">
        <color rgb="FF2C1126"/>
      </left>
      <right/>
      <top/>
      <bottom style="thin">
        <color rgb="FF2C1126"/>
      </bottom>
      <diagonal/>
    </border>
    <border>
      <left/>
      <right/>
      <top/>
      <bottom style="thin">
        <color rgb="FF2C1126"/>
      </bottom>
      <diagonal/>
    </border>
    <border>
      <left/>
      <right style="thin">
        <color rgb="FF2C1126"/>
      </right>
      <top style="thick">
        <color rgb="FF2C1126"/>
      </top>
      <bottom/>
      <diagonal/>
    </border>
    <border>
      <left/>
      <right style="thin">
        <color rgb="FF2C1126"/>
      </right>
      <top/>
      <bottom/>
      <diagonal/>
    </border>
    <border>
      <left/>
      <right style="thin">
        <color rgb="FF2C1126"/>
      </right>
      <top/>
      <bottom style="thin">
        <color rgb="FF2C1126"/>
      </bottom>
      <diagonal/>
    </border>
    <border>
      <left style="medium">
        <color rgb="FF2C1126"/>
      </left>
      <right/>
      <top style="medium">
        <color rgb="FF2C1126"/>
      </top>
      <bottom/>
      <diagonal/>
    </border>
    <border>
      <left/>
      <right/>
      <top style="medium">
        <color rgb="FF2C1126"/>
      </top>
      <bottom/>
      <diagonal/>
    </border>
    <border>
      <left/>
      <right style="medium">
        <color rgb="FF2C1126"/>
      </right>
      <top style="medium">
        <color rgb="FF2C1126"/>
      </top>
      <bottom/>
      <diagonal/>
    </border>
    <border>
      <left style="medium">
        <color rgb="FF2C1126"/>
      </left>
      <right/>
      <top/>
      <bottom style="medium">
        <color rgb="FF2C1126"/>
      </bottom>
      <diagonal/>
    </border>
    <border>
      <left/>
      <right/>
      <top/>
      <bottom style="medium">
        <color rgb="FF2C1126"/>
      </bottom>
      <diagonal/>
    </border>
    <border>
      <left/>
      <right style="medium">
        <color rgb="FF2C1126"/>
      </right>
      <top/>
      <bottom style="medium">
        <color rgb="FF2C1126"/>
      </bottom>
      <diagonal/>
    </border>
    <border>
      <left style="hair">
        <color indexed="64"/>
      </left>
      <right style="hair">
        <color indexed="64"/>
      </right>
      <top style="thin">
        <color indexed="64"/>
      </top>
      <bottom style="medium">
        <color rgb="FF000000"/>
      </bottom>
      <diagonal/>
    </border>
    <border>
      <left style="hair">
        <color indexed="64"/>
      </left>
      <right style="double">
        <color indexed="64"/>
      </right>
      <top style="thin">
        <color indexed="64"/>
      </top>
      <bottom style="medium">
        <color rgb="FF000000"/>
      </bottom>
      <diagonal/>
    </border>
    <border>
      <left style="double">
        <color indexed="64"/>
      </left>
      <right style="hair">
        <color indexed="64"/>
      </right>
      <top style="thin">
        <color indexed="64"/>
      </top>
      <bottom style="medium">
        <color rgb="FF000000"/>
      </bottom>
      <diagonal/>
    </border>
    <border>
      <left style="hair">
        <color indexed="64"/>
      </left>
      <right style="hair">
        <color indexed="64"/>
      </right>
      <top/>
      <bottom style="medium">
        <color rgb="FF000000"/>
      </bottom>
      <diagonal/>
    </border>
    <border>
      <left style="hair">
        <color indexed="64"/>
      </left>
      <right style="double">
        <color indexed="64"/>
      </right>
      <top/>
      <bottom style="medium">
        <color rgb="FF000000"/>
      </bottom>
      <diagonal/>
    </border>
    <border>
      <left style="double">
        <color auto="1"/>
      </left>
      <right style="double">
        <color auto="1"/>
      </right>
      <top style="double">
        <color indexed="64"/>
      </top>
      <bottom style="medium">
        <color rgb="FF000000"/>
      </bottom>
      <diagonal/>
    </border>
    <border>
      <left/>
      <right/>
      <top/>
      <bottom style="medium">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808080"/>
      </left>
      <right/>
      <top style="thin">
        <color rgb="FF808080"/>
      </top>
      <bottom/>
      <diagonal/>
    </border>
    <border>
      <left/>
      <right/>
      <top style="thin">
        <color rgb="FF808080"/>
      </top>
      <bottom/>
      <diagonal/>
    </border>
    <border>
      <left/>
      <right style="thick">
        <color indexed="64"/>
      </right>
      <top style="thin">
        <color rgb="FF808080"/>
      </top>
      <bottom/>
      <diagonal/>
    </border>
    <border>
      <left style="thin">
        <color rgb="FF808080"/>
      </left>
      <right/>
      <top/>
      <bottom/>
      <diagonal/>
    </border>
    <border>
      <left style="thin">
        <color rgb="FF808080"/>
      </left>
      <right/>
      <top/>
      <bottom style="thick">
        <color indexed="64"/>
      </bottom>
      <diagonal/>
    </border>
  </borders>
  <cellStyleXfs count="55">
    <xf numFmtId="0" fontId="0" fillId="0" borderId="0"/>
    <xf numFmtId="0" fontId="13" fillId="0" borderId="0" applyNumberFormat="0" applyFill="0" applyBorder="0" applyAlignment="0" applyProtection="0"/>
    <xf numFmtId="9" fontId="2" fillId="0" borderId="0" applyFont="0" applyFill="0" applyBorder="0" applyAlignment="0" applyProtection="0"/>
    <xf numFmtId="0" fontId="6" fillId="14" borderId="0" applyNumberFormat="0" applyBorder="0" applyAlignment="0" applyProtection="0"/>
    <xf numFmtId="0" fontId="43" fillId="0" borderId="50" applyNumberFormat="0" applyFill="0" applyAlignment="0" applyProtection="0"/>
    <xf numFmtId="0" fontId="45" fillId="0" borderId="0"/>
    <xf numFmtId="0" fontId="42" fillId="0" borderId="0"/>
    <xf numFmtId="0" fontId="18"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0" fontId="42" fillId="0" borderId="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0" borderId="0" applyNumberFormat="0" applyBorder="0" applyAlignment="0" applyProtection="0"/>
    <xf numFmtId="0" fontId="91" fillId="33" borderId="0" applyNumberFormat="0" applyBorder="0" applyAlignment="0" applyProtection="0"/>
    <xf numFmtId="0" fontId="91" fillId="36" borderId="0" applyNumberFormat="0" applyBorder="0" applyAlignment="0" applyProtection="0"/>
    <xf numFmtId="0" fontId="92" fillId="37"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2" fillId="44" borderId="0" applyNumberFormat="0" applyBorder="0" applyAlignment="0" applyProtection="0"/>
    <xf numFmtId="0" fontId="93" fillId="28" borderId="0" applyNumberFormat="0" applyBorder="0" applyAlignment="0" applyProtection="0"/>
    <xf numFmtId="0" fontId="94" fillId="45" borderId="114" applyNumberFormat="0" applyAlignment="0" applyProtection="0"/>
    <xf numFmtId="0" fontId="95" fillId="46" borderId="115" applyNumberFormat="0" applyAlignment="0" applyProtection="0"/>
    <xf numFmtId="43" fontId="42" fillId="0" borderId="0" applyFont="0" applyFill="0" applyBorder="0" applyAlignment="0" applyProtection="0"/>
    <xf numFmtId="0" fontId="96" fillId="0" borderId="0" applyNumberFormat="0" applyFill="0" applyBorder="0" applyAlignment="0" applyProtection="0"/>
    <xf numFmtId="0" fontId="97" fillId="29" borderId="0" applyNumberFormat="0" applyBorder="0" applyAlignment="0" applyProtection="0"/>
    <xf numFmtId="0" fontId="98" fillId="0" borderId="116" applyNumberFormat="0" applyFill="0" applyAlignment="0" applyProtection="0"/>
    <xf numFmtId="0" fontId="99" fillId="0" borderId="117" applyNumberFormat="0" applyFill="0" applyAlignment="0" applyProtection="0"/>
    <xf numFmtId="0" fontId="99" fillId="0" borderId="0" applyNumberFormat="0" applyFill="0" applyBorder="0" applyAlignment="0" applyProtection="0"/>
    <xf numFmtId="0" fontId="100" fillId="32" borderId="114" applyNumberFormat="0" applyAlignment="0" applyProtection="0"/>
    <xf numFmtId="0" fontId="101" fillId="0" borderId="118" applyNumberFormat="0" applyFill="0" applyAlignment="0" applyProtection="0"/>
    <xf numFmtId="0" fontId="102" fillId="47" borderId="0" applyNumberFormat="0" applyBorder="0" applyAlignment="0" applyProtection="0"/>
    <xf numFmtId="0" fontId="42" fillId="48" borderId="119" applyNumberFormat="0" applyFont="0" applyAlignment="0" applyProtection="0"/>
    <xf numFmtId="0" fontId="103" fillId="45" borderId="120" applyNumberFormat="0" applyAlignment="0" applyProtection="0"/>
    <xf numFmtId="0" fontId="104" fillId="0" borderId="0" applyNumberFormat="0" applyFill="0" applyBorder="0" applyAlignment="0" applyProtection="0"/>
    <xf numFmtId="0" fontId="105" fillId="0" borderId="121" applyNumberFormat="0" applyFill="0" applyAlignment="0" applyProtection="0"/>
    <xf numFmtId="0" fontId="106" fillId="0" borderId="0" applyNumberFormat="0" applyFill="0" applyBorder="0" applyAlignment="0" applyProtection="0"/>
    <xf numFmtId="43" fontId="2" fillId="0" borderId="0" applyFont="0" applyFill="0" applyBorder="0" applyAlignment="0" applyProtection="0"/>
    <xf numFmtId="0" fontId="42" fillId="0" borderId="0"/>
  </cellStyleXfs>
  <cellXfs count="2680">
    <xf numFmtId="0" fontId="0" fillId="0" borderId="0" xfId="0"/>
    <xf numFmtId="0" fontId="0" fillId="2" borderId="0" xfId="0" applyFill="1"/>
    <xf numFmtId="0" fontId="5" fillId="0" borderId="0" xfId="0" applyFont="1"/>
    <xf numFmtId="0" fontId="2" fillId="0" borderId="0" xfId="0" applyFont="1"/>
    <xf numFmtId="0" fontId="7" fillId="0" borderId="0" xfId="0" applyFont="1"/>
    <xf numFmtId="0" fontId="6" fillId="0" borderId="0" xfId="0" applyFont="1" applyAlignment="1">
      <alignment vertical="center"/>
    </xf>
    <xf numFmtId="0" fontId="8" fillId="0" borderId="0" xfId="0" applyFont="1" applyAlignment="1">
      <alignment horizontal="left" vertical="center"/>
    </xf>
    <xf numFmtId="0" fontId="9" fillId="0" borderId="0" xfId="0" applyFont="1" applyAlignment="1">
      <alignment vertical="center"/>
    </xf>
    <xf numFmtId="0" fontId="13" fillId="0" borderId="0" xfId="1"/>
    <xf numFmtId="0" fontId="0" fillId="3" borderId="0" xfId="0" applyFill="1"/>
    <xf numFmtId="0" fontId="17" fillId="0" borderId="0" xfId="0" applyFont="1"/>
    <xf numFmtId="0" fontId="17" fillId="3" borderId="0" xfId="0" applyFont="1" applyFill="1"/>
    <xf numFmtId="0" fontId="0" fillId="0" borderId="0" xfId="0" applyAlignment="1">
      <alignment horizontal="center"/>
    </xf>
    <xf numFmtId="0" fontId="22" fillId="0" borderId="0" xfId="0" applyFont="1"/>
    <xf numFmtId="0" fontId="0" fillId="0" borderId="0" xfId="0" applyAlignment="1">
      <alignment horizontal="left" indent="1"/>
    </xf>
    <xf numFmtId="0" fontId="4" fillId="0" borderId="0" xfId="0" applyFont="1" applyAlignment="1">
      <alignment horizontal="center"/>
    </xf>
    <xf numFmtId="0" fontId="10" fillId="0" borderId="0" xfId="0" applyFont="1" applyAlignment="1">
      <alignment vertical="center"/>
    </xf>
    <xf numFmtId="0" fontId="12" fillId="0" borderId="0" xfId="0" applyFont="1" applyAlignment="1">
      <alignment vertical="center"/>
    </xf>
    <xf numFmtId="0" fontId="14" fillId="0" borderId="0" xfId="0" applyFont="1"/>
    <xf numFmtId="0" fontId="12" fillId="0" borderId="0" xfId="0" applyFont="1" applyAlignment="1">
      <alignment vertical="top"/>
    </xf>
    <xf numFmtId="0" fontId="3" fillId="5" borderId="4" xfId="0" applyFont="1" applyFill="1" applyBorder="1"/>
    <xf numFmtId="0" fontId="3"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3" fillId="5" borderId="8" xfId="0" applyFont="1" applyFill="1" applyBorder="1"/>
    <xf numFmtId="0" fontId="0" fillId="6" borderId="6" xfId="0" applyFill="1" applyBorder="1"/>
    <xf numFmtId="0" fontId="0" fillId="6" borderId="7" xfId="0" applyFill="1" applyBorder="1"/>
    <xf numFmtId="0" fontId="0" fillId="0" borderId="0" xfId="0" quotePrefix="1"/>
    <xf numFmtId="0" fontId="17"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3" fillId="5" borderId="5" xfId="0" applyFont="1" applyFill="1" applyBorder="1" applyAlignment="1">
      <alignment horizontal="center"/>
    </xf>
    <xf numFmtId="0" fontId="15" fillId="0" borderId="0" xfId="0" applyFont="1"/>
    <xf numFmtId="0" fontId="18"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2" fillId="0" borderId="0" xfId="0" applyFont="1" applyAlignment="1">
      <alignment horizontal="center" vertical="top"/>
    </xf>
    <xf numFmtId="0" fontId="24" fillId="0" borderId="0" xfId="0" applyFont="1"/>
    <xf numFmtId="0" fontId="18" fillId="3" borderId="0" xfId="0" applyFont="1" applyFill="1"/>
    <xf numFmtId="0" fontId="25" fillId="0" borderId="0" xfId="0" applyFont="1" applyAlignment="1">
      <alignment vertical="center"/>
    </xf>
    <xf numFmtId="0" fontId="19" fillId="3" borderId="0" xfId="0" applyFont="1" applyFill="1" applyAlignment="1">
      <alignment horizontal="right"/>
    </xf>
    <xf numFmtId="0" fontId="0" fillId="0" borderId="0" xfId="0" applyProtection="1">
      <protection locked="0"/>
    </xf>
    <xf numFmtId="0" fontId="13" fillId="0" borderId="0" xfId="1" applyProtection="1"/>
    <xf numFmtId="0" fontId="4" fillId="0" borderId="0" xfId="0" applyFont="1"/>
    <xf numFmtId="0" fontId="0" fillId="0" borderId="12" xfId="0" applyBorder="1"/>
    <xf numFmtId="0" fontId="0" fillId="0" borderId="13" xfId="0" applyBorder="1"/>
    <xf numFmtId="0" fontId="19" fillId="0" borderId="14" xfId="0" applyFont="1" applyBorder="1" applyAlignment="1">
      <alignment horizontal="right" indent="1"/>
    </xf>
    <xf numFmtId="0" fontId="0" fillId="0" borderId="16" xfId="0" applyBorder="1"/>
    <xf numFmtId="0" fontId="19" fillId="0" borderId="17" xfId="0" applyFont="1" applyBorder="1" applyAlignment="1">
      <alignment horizontal="right" indent="1"/>
    </xf>
    <xf numFmtId="0" fontId="30" fillId="0" borderId="0" xfId="0" applyFont="1"/>
    <xf numFmtId="0" fontId="3" fillId="5" borderId="24" xfId="0" applyFont="1" applyFill="1" applyBorder="1" applyAlignment="1">
      <alignment horizontal="center" vertical="center" wrapText="1"/>
    </xf>
    <xf numFmtId="0" fontId="22" fillId="0" borderId="0" xfId="0" applyFont="1" applyAlignment="1">
      <alignment horizontal="center" vertical="center" wrapText="1"/>
    </xf>
    <xf numFmtId="0" fontId="3" fillId="5" borderId="25" xfId="0" applyFont="1" applyFill="1" applyBorder="1" applyAlignment="1">
      <alignment horizontal="center" vertical="center" wrapText="1"/>
    </xf>
    <xf numFmtId="0" fontId="3" fillId="5" borderId="31" xfId="0" applyFont="1" applyFill="1" applyBorder="1" applyAlignment="1">
      <alignment horizontal="center" vertical="center" wrapText="1"/>
    </xf>
    <xf numFmtId="9" fontId="0" fillId="0" borderId="0" xfId="0" applyNumberFormat="1" applyAlignment="1">
      <alignment horizontal="center"/>
    </xf>
    <xf numFmtId="0" fontId="17" fillId="0" borderId="0" xfId="0" applyFont="1" applyAlignment="1">
      <alignment vertical="center" wrapText="1"/>
    </xf>
    <xf numFmtId="0" fontId="17" fillId="0" borderId="0" xfId="2" applyNumberFormat="1" applyFont="1" applyFill="1" applyBorder="1" applyAlignment="1">
      <alignment horizontal="center" vertical="center" wrapText="1"/>
    </xf>
    <xf numFmtId="9" fontId="17"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4" fillId="0" borderId="0" xfId="0" applyFont="1" applyAlignment="1">
      <alignment vertical="center" wrapText="1"/>
    </xf>
    <xf numFmtId="0" fontId="3" fillId="8" borderId="25" xfId="0" applyFont="1" applyFill="1" applyBorder="1" applyAlignment="1">
      <alignment vertical="center" wrapText="1"/>
    </xf>
    <xf numFmtId="0" fontId="3" fillId="8" borderId="9" xfId="0" applyFont="1" applyFill="1" applyBorder="1" applyAlignment="1">
      <alignment horizontal="center" vertical="center" wrapText="1"/>
    </xf>
    <xf numFmtId="0" fontId="3" fillId="5" borderId="8" xfId="0" applyFont="1" applyFill="1" applyBorder="1" applyAlignment="1">
      <alignment horizontal="center"/>
    </xf>
    <xf numFmtId="0" fontId="0" fillId="10" borderId="0" xfId="0" applyFill="1"/>
    <xf numFmtId="0" fontId="34" fillId="12" borderId="0" xfId="0" applyFont="1" applyFill="1"/>
    <xf numFmtId="0" fontId="34" fillId="11" borderId="33" xfId="0" applyFont="1" applyFill="1" applyBorder="1"/>
    <xf numFmtId="0" fontId="18" fillId="9" borderId="0" xfId="0" applyFont="1" applyFill="1"/>
    <xf numFmtId="0" fontId="34" fillId="10" borderId="33" xfId="0" applyFont="1" applyFill="1" applyBorder="1"/>
    <xf numFmtId="0" fontId="34" fillId="9" borderId="36" xfId="0" applyFont="1" applyFill="1" applyBorder="1"/>
    <xf numFmtId="0" fontId="18" fillId="9" borderId="33" xfId="0" applyFont="1" applyFill="1" applyBorder="1"/>
    <xf numFmtId="0" fontId="18"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8" fillId="7" borderId="0" xfId="0" applyFont="1" applyFill="1"/>
    <xf numFmtId="0" fontId="0" fillId="7" borderId="0" xfId="0" applyFill="1"/>
    <xf numFmtId="0" fontId="15" fillId="7" borderId="37" xfId="0" applyFont="1" applyFill="1" applyBorder="1"/>
    <xf numFmtId="0" fontId="18" fillId="0" borderId="0" xfId="0" applyFont="1" applyAlignment="1">
      <alignment horizontal="center"/>
    </xf>
    <xf numFmtId="0" fontId="11"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7" fillId="0" borderId="0" xfId="0" applyFont="1" applyAlignment="1">
      <alignment textRotation="90"/>
    </xf>
    <xf numFmtId="0" fontId="0" fillId="0" borderId="41" xfId="0" applyBorder="1"/>
    <xf numFmtId="0" fontId="0" fillId="0" borderId="0" xfId="0" applyAlignment="1">
      <alignment horizontal="left"/>
    </xf>
    <xf numFmtId="0" fontId="5" fillId="0" borderId="0" xfId="0" applyFont="1" applyAlignment="1">
      <alignment horizontal="right" wrapText="1" indent="1"/>
    </xf>
    <xf numFmtId="0" fontId="5" fillId="0" borderId="0" xfId="0" applyFont="1" applyAlignment="1">
      <alignment horizontal="left"/>
    </xf>
    <xf numFmtId="165" fontId="0" fillId="0" borderId="0" xfId="0" applyNumberFormat="1" applyAlignment="1">
      <alignment horizontal="center"/>
    </xf>
    <xf numFmtId="0" fontId="5"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7" fillId="0" borderId="0" xfId="0" applyNumberFormat="1" applyFont="1"/>
    <xf numFmtId="167" fontId="32" fillId="0" borderId="0" xfId="0" applyNumberFormat="1" applyFont="1"/>
    <xf numFmtId="0" fontId="15" fillId="0" borderId="0" xfId="0" applyFont="1" applyAlignment="1">
      <alignment horizontal="center"/>
    </xf>
    <xf numFmtId="0" fontId="3"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8" fillId="0" borderId="0" xfId="0" applyFont="1" applyAlignment="1">
      <alignment horizontal="center" vertical="center"/>
    </xf>
    <xf numFmtId="0" fontId="15"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5" fillId="0" borderId="0" xfId="0" applyFont="1" applyAlignment="1">
      <alignment vertical="center"/>
    </xf>
    <xf numFmtId="0" fontId="5" fillId="0" borderId="0" xfId="0" applyFont="1" applyAlignment="1">
      <alignment horizontal="center" wrapText="1"/>
    </xf>
    <xf numFmtId="0" fontId="5" fillId="0" borderId="41" xfId="0" applyFont="1" applyBorder="1" applyAlignment="1">
      <alignment wrapText="1"/>
    </xf>
    <xf numFmtId="0" fontId="5"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4" fillId="0" borderId="0" xfId="0" applyFont="1" applyAlignment="1">
      <alignment horizontal="left"/>
    </xf>
    <xf numFmtId="0" fontId="17" fillId="6" borderId="4" xfId="0" applyFont="1" applyFill="1" applyBorder="1"/>
    <xf numFmtId="0" fontId="17" fillId="6" borderId="8" xfId="0" applyFont="1" applyFill="1" applyBorder="1" applyAlignment="1">
      <alignment horizontal="center"/>
    </xf>
    <xf numFmtId="0" fontId="17" fillId="6" borderId="5" xfId="0" applyFont="1" applyFill="1" applyBorder="1" applyAlignment="1">
      <alignment horizontal="center"/>
    </xf>
    <xf numFmtId="0" fontId="17" fillId="0" borderId="4" xfId="0" applyFont="1" applyBorder="1"/>
    <xf numFmtId="0" fontId="17" fillId="0" borderId="8" xfId="0" applyFont="1" applyBorder="1" applyAlignment="1">
      <alignment horizontal="center"/>
    </xf>
    <xf numFmtId="0" fontId="17" fillId="0" borderId="5" xfId="0" applyFont="1" applyBorder="1" applyAlignment="1">
      <alignment horizontal="center"/>
    </xf>
    <xf numFmtId="0" fontId="17" fillId="6" borderId="7" xfId="0" applyFont="1" applyFill="1" applyBorder="1"/>
    <xf numFmtId="0" fontId="17" fillId="6" borderId="32" xfId="0" applyFont="1" applyFill="1" applyBorder="1" applyAlignment="1">
      <alignment horizontal="center"/>
    </xf>
    <xf numFmtId="0" fontId="17" fillId="6" borderId="6" xfId="0" applyFont="1" applyFill="1" applyBorder="1" applyAlignment="1">
      <alignment horizontal="center"/>
    </xf>
    <xf numFmtId="3" fontId="0" fillId="0" borderId="0" xfId="0" applyNumberFormat="1" applyAlignment="1">
      <alignment horizontal="center"/>
    </xf>
    <xf numFmtId="0" fontId="40" fillId="0" borderId="0" xfId="0" applyFont="1" applyAlignment="1">
      <alignment horizontal="right"/>
    </xf>
    <xf numFmtId="10" fontId="41" fillId="0" borderId="0" xfId="0" applyNumberFormat="1" applyFont="1" applyAlignment="1">
      <alignment horizontal="center" wrapText="1"/>
    </xf>
    <xf numFmtId="9" fontId="41" fillId="0" borderId="0" xfId="0" applyNumberFormat="1" applyFont="1" applyAlignment="1">
      <alignment horizontal="center"/>
    </xf>
    <xf numFmtId="0" fontId="41" fillId="0" borderId="0" xfId="0" applyFont="1" applyAlignment="1">
      <alignment horizontal="center"/>
    </xf>
    <xf numFmtId="0" fontId="5" fillId="2" borderId="29" xfId="0" applyFont="1" applyFill="1" applyBorder="1" applyAlignment="1">
      <alignment horizontal="center" wrapText="1"/>
    </xf>
    <xf numFmtId="0" fontId="18" fillId="10" borderId="0" xfId="0" applyFont="1" applyFill="1" applyAlignment="1">
      <alignment horizontal="center" vertical="center"/>
    </xf>
    <xf numFmtId="0" fontId="5" fillId="0" borderId="0" xfId="0" applyFont="1" applyAlignment="1">
      <alignment horizontal="right"/>
    </xf>
    <xf numFmtId="0" fontId="0" fillId="0" borderId="49" xfId="0" applyBorder="1" applyAlignment="1">
      <alignment horizontal="left" indent="1"/>
    </xf>
    <xf numFmtId="0" fontId="50" fillId="0" borderId="0" xfId="0" applyFont="1" applyAlignment="1">
      <alignment horizontal="center"/>
    </xf>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right" indent="1"/>
    </xf>
    <xf numFmtId="0" fontId="45" fillId="3" borderId="0" xfId="0" applyFont="1" applyFill="1" applyAlignment="1">
      <alignment horizontal="right"/>
    </xf>
    <xf numFmtId="0" fontId="3" fillId="5" borderId="69" xfId="0" applyFont="1" applyFill="1" applyBorder="1"/>
    <xf numFmtId="0" fontId="0" fillId="6" borderId="70" xfId="0" applyFill="1" applyBorder="1"/>
    <xf numFmtId="0" fontId="52" fillId="0" borderId="0" xfId="0" applyFont="1"/>
    <xf numFmtId="0" fontId="54" fillId="3" borderId="0" xfId="0" applyFont="1" applyFill="1" applyAlignment="1">
      <alignment horizontal="left" vertical="center"/>
    </xf>
    <xf numFmtId="0" fontId="55" fillId="3" borderId="0" xfId="0" applyFont="1" applyFill="1" applyAlignment="1">
      <alignment horizontal="left" vertical="center"/>
    </xf>
    <xf numFmtId="0" fontId="56" fillId="0" borderId="0" xfId="0" applyFont="1" applyAlignment="1">
      <alignment horizontal="left" indent="1"/>
    </xf>
    <xf numFmtId="0" fontId="0" fillId="0" borderId="0" xfId="0" applyAlignment="1">
      <alignment vertical="top"/>
    </xf>
    <xf numFmtId="0" fontId="58" fillId="0" borderId="0" xfId="0" applyFont="1" applyAlignment="1">
      <alignment vertical="top"/>
    </xf>
    <xf numFmtId="0" fontId="59" fillId="0" borderId="0" xfId="0" applyFont="1"/>
    <xf numFmtId="0" fontId="59" fillId="0" borderId="0" xfId="0" applyFont="1" applyAlignment="1">
      <alignment horizontal="left" vertical="top"/>
    </xf>
    <xf numFmtId="0" fontId="12" fillId="0" borderId="0" xfId="0" applyFont="1"/>
    <xf numFmtId="0" fontId="5" fillId="0" borderId="0" xfId="0" applyFont="1" applyAlignment="1">
      <alignment horizontal="left" vertical="top"/>
    </xf>
    <xf numFmtId="0" fontId="12" fillId="0" borderId="0" xfId="0" applyFont="1" applyAlignment="1">
      <alignment horizontal="left" vertical="top"/>
    </xf>
    <xf numFmtId="0" fontId="5" fillId="0" borderId="0" xfId="0" applyFont="1" applyAlignment="1">
      <alignment vertical="top"/>
    </xf>
    <xf numFmtId="0" fontId="61" fillId="0" borderId="0" xfId="0" applyFont="1" applyAlignment="1">
      <alignment horizontal="left" vertical="center"/>
    </xf>
    <xf numFmtId="0" fontId="60" fillId="0" borderId="0" xfId="0" applyFont="1" applyAlignment="1">
      <alignment horizontal="left" vertical="center"/>
    </xf>
    <xf numFmtId="0" fontId="52" fillId="0" borderId="0" xfId="0" applyFont="1" applyAlignment="1">
      <alignment horizontal="left" vertical="top" wrapText="1" indent="3"/>
    </xf>
    <xf numFmtId="0" fontId="0" fillId="0" borderId="0" xfId="0" applyAlignment="1">
      <alignment horizontal="left" indent="2"/>
    </xf>
    <xf numFmtId="0" fontId="63" fillId="0" borderId="0" xfId="0" applyFont="1"/>
    <xf numFmtId="0" fontId="0" fillId="0" borderId="0" xfId="0" applyAlignment="1">
      <alignment horizontal="left" indent="4"/>
    </xf>
    <xf numFmtId="0" fontId="0" fillId="0" borderId="0" xfId="0" applyAlignment="1">
      <alignment vertical="top" wrapText="1"/>
    </xf>
    <xf numFmtId="0" fontId="5" fillId="0" borderId="0" xfId="0" applyFont="1" applyAlignment="1">
      <alignment vertical="top" wrapText="1"/>
    </xf>
    <xf numFmtId="0" fontId="0" fillId="3" borderId="71" xfId="0" applyFill="1" applyBorder="1"/>
    <xf numFmtId="0" fontId="0" fillId="3" borderId="72" xfId="0" applyFill="1" applyBorder="1"/>
    <xf numFmtId="0" fontId="0" fillId="3" borderId="73" xfId="0" applyFill="1" applyBorder="1"/>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12" fillId="0" borderId="0" xfId="0" applyFont="1" applyAlignment="1">
      <alignment horizontal="left" vertical="center"/>
    </xf>
    <xf numFmtId="0" fontId="5" fillId="0" borderId="0" xfId="0" applyFont="1" applyAlignment="1">
      <alignment horizontal="right" indent="1"/>
    </xf>
    <xf numFmtId="0" fontId="22" fillId="0" borderId="0" xfId="0" applyFont="1" applyAlignment="1">
      <alignment horizontal="right" indent="1"/>
    </xf>
    <xf numFmtId="0" fontId="35" fillId="0" borderId="0" xfId="0" applyFont="1" applyAlignment="1">
      <alignment horizontal="right" indent="1"/>
    </xf>
    <xf numFmtId="0" fontId="35" fillId="0" borderId="0" xfId="0" applyFont="1"/>
    <xf numFmtId="0" fontId="18" fillId="0" borderId="23" xfId="0" applyFont="1" applyBorder="1"/>
    <xf numFmtId="170" fontId="0" fillId="0" borderId="0" xfId="0" applyNumberFormat="1" applyAlignment="1">
      <alignment horizontal="left"/>
    </xf>
    <xf numFmtId="0" fontId="45" fillId="0" borderId="0" xfId="0" applyFont="1" applyAlignment="1">
      <alignment horizontal="right" indent="1"/>
    </xf>
    <xf numFmtId="0" fontId="45" fillId="0" borderId="0" xfId="0" applyFont="1" applyAlignment="1">
      <alignment horizontal="left" indent="1" shrinkToFit="1"/>
    </xf>
    <xf numFmtId="0" fontId="64" fillId="0" borderId="0" xfId="0" applyFont="1" applyAlignment="1">
      <alignment horizontal="left" indent="1" shrinkToFit="1"/>
    </xf>
    <xf numFmtId="0" fontId="12" fillId="0" borderId="0" xfId="0" applyFont="1" applyAlignment="1">
      <alignment horizontal="right" indent="1"/>
    </xf>
    <xf numFmtId="0" fontId="45" fillId="0" borderId="0" xfId="0" applyFont="1" applyAlignment="1">
      <alignment horizontal="left" shrinkToFit="1"/>
    </xf>
    <xf numFmtId="0" fontId="45"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2" fontId="17" fillId="0" borderId="0" xfId="0" applyNumberFormat="1" applyFont="1" applyAlignment="1">
      <alignment vertical="center"/>
    </xf>
    <xf numFmtId="0" fontId="52" fillId="0" borderId="0" xfId="0" applyFont="1" applyAlignment="1">
      <alignment horizontal="right" vertical="top" indent="1"/>
    </xf>
    <xf numFmtId="172" fontId="17" fillId="0" borderId="0" xfId="0" applyNumberFormat="1" applyFont="1" applyAlignment="1">
      <alignment vertical="center" wrapText="1"/>
    </xf>
    <xf numFmtId="166" fontId="0" fillId="17" borderId="0" xfId="0" applyNumberFormat="1" applyFill="1" applyAlignment="1">
      <alignment horizontal="center" vertical="top" shrinkToFit="1"/>
    </xf>
    <xf numFmtId="0" fontId="45" fillId="0" borderId="0" xfId="0" applyFont="1" applyAlignment="1">
      <alignment horizontal="right"/>
    </xf>
    <xf numFmtId="0" fontId="12" fillId="0" borderId="0" xfId="0" applyFont="1" applyAlignment="1">
      <alignment horizontal="right"/>
    </xf>
    <xf numFmtId="0" fontId="6" fillId="15" borderId="0" xfId="0" applyFont="1" applyFill="1"/>
    <xf numFmtId="0" fontId="0" fillId="0" borderId="0" xfId="0" applyAlignment="1" applyProtection="1">
      <alignment vertical="top" wrapText="1"/>
      <protection locked="0"/>
    </xf>
    <xf numFmtId="0" fontId="13" fillId="0" borderId="0" xfId="0" applyFont="1"/>
    <xf numFmtId="0" fontId="6" fillId="0" borderId="0" xfId="0" applyFont="1" applyProtection="1">
      <protection locked="0"/>
    </xf>
    <xf numFmtId="0" fontId="65" fillId="0" borderId="0" xfId="0" applyFont="1"/>
    <xf numFmtId="0" fontId="18" fillId="0" borderId="2" xfId="0" applyFont="1" applyBorder="1"/>
    <xf numFmtId="0" fontId="0" fillId="0" borderId="0" xfId="0" quotePrefix="1" applyAlignment="1">
      <alignment horizontal="right"/>
    </xf>
    <xf numFmtId="0" fontId="0" fillId="0" borderId="0" xfId="0" quotePrefix="1" applyAlignment="1">
      <alignment horizontal="right" vertical="top" wrapText="1"/>
    </xf>
    <xf numFmtId="0" fontId="52" fillId="0" borderId="0" xfId="0" applyFont="1" applyAlignment="1">
      <alignment vertical="top"/>
    </xf>
    <xf numFmtId="0" fontId="0" fillId="0" borderId="79" xfId="0" applyBorder="1" applyAlignment="1">
      <alignment horizontal="center" vertical="center"/>
    </xf>
    <xf numFmtId="0" fontId="0" fillId="0" borderId="0" xfId="0" applyAlignment="1">
      <alignment vertical="center"/>
    </xf>
    <xf numFmtId="0" fontId="18" fillId="0" borderId="0" xfId="0" applyFont="1" applyAlignment="1">
      <alignment horizontal="left" vertical="center"/>
    </xf>
    <xf numFmtId="0" fontId="16" fillId="0" borderId="0" xfId="0" applyFont="1" applyAlignment="1">
      <alignment horizontal="right" vertical="center"/>
    </xf>
    <xf numFmtId="165" fontId="18" fillId="0" borderId="0" xfId="0" applyNumberFormat="1" applyFont="1" applyAlignment="1">
      <alignment horizontal="center" vertical="center"/>
    </xf>
    <xf numFmtId="3" fontId="18" fillId="0" borderId="0" xfId="0" applyNumberFormat="1" applyFont="1" applyAlignment="1">
      <alignment horizontal="center" vertical="center"/>
    </xf>
    <xf numFmtId="4" fontId="18" fillId="0" borderId="0" xfId="0" applyNumberFormat="1" applyFont="1" applyAlignment="1">
      <alignment horizontal="center" vertical="center"/>
    </xf>
    <xf numFmtId="9" fontId="18" fillId="0" borderId="0" xfId="0" applyNumberFormat="1" applyFont="1" applyAlignment="1">
      <alignment horizontal="center" vertical="center"/>
    </xf>
    <xf numFmtId="0" fontId="18" fillId="0" borderId="0" xfId="0" applyFont="1" applyAlignment="1">
      <alignment horizontal="left" vertical="center" wrapText="1"/>
    </xf>
    <xf numFmtId="0" fontId="6" fillId="0" borderId="11" xfId="0" applyFont="1" applyBorder="1"/>
    <xf numFmtId="0" fontId="0" fillId="0" borderId="10" xfId="0" applyBorder="1" applyAlignment="1">
      <alignment horizontal="center"/>
    </xf>
    <xf numFmtId="0" fontId="4" fillId="5" borderId="4" xfId="0" applyFont="1" applyFill="1" applyBorder="1"/>
    <xf numFmtId="0" fontId="18" fillId="3" borderId="1" xfId="0" applyFont="1" applyFill="1" applyBorder="1"/>
    <xf numFmtId="0" fontId="69" fillId="3" borderId="1" xfId="0" applyFont="1" applyFill="1" applyBorder="1"/>
    <xf numFmtId="0" fontId="70" fillId="3" borderId="0" xfId="0" applyFont="1" applyFill="1"/>
    <xf numFmtId="0" fontId="19" fillId="3" borderId="0" xfId="0" applyFont="1" applyFill="1"/>
    <xf numFmtId="0" fontId="19" fillId="0" borderId="14" xfId="0" applyFont="1" applyBorder="1" applyAlignment="1">
      <alignment horizontal="right" vertical="center" indent="1"/>
    </xf>
    <xf numFmtId="0" fontId="19"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8" fillId="0" borderId="0" xfId="0" applyFont="1" applyAlignment="1">
      <alignment horizontal="right" indent="1"/>
    </xf>
    <xf numFmtId="0" fontId="17"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9" fillId="0" borderId="14" xfId="0" applyFont="1" applyBorder="1" applyAlignment="1">
      <alignment horizontal="right" vertical="center"/>
    </xf>
    <xf numFmtId="0" fontId="0" fillId="0" borderId="16" xfId="0" applyBorder="1" applyAlignment="1">
      <alignment vertical="center"/>
    </xf>
    <xf numFmtId="0" fontId="18" fillId="0" borderId="18" xfId="0" applyFont="1" applyBorder="1" applyAlignment="1">
      <alignment horizontal="center" vertical="center"/>
    </xf>
    <xf numFmtId="0" fontId="7" fillId="3" borderId="0" xfId="0" applyFont="1" applyFill="1"/>
    <xf numFmtId="0" fontId="0" fillId="6" borderId="0" xfId="0" applyFill="1"/>
    <xf numFmtId="0" fontId="45" fillId="0" borderId="0" xfId="5"/>
    <xf numFmtId="1" fontId="0" fillId="0" borderId="0" xfId="0" applyNumberFormat="1"/>
    <xf numFmtId="3" fontId="0" fillId="0" borderId="0" xfId="0" applyNumberFormat="1"/>
    <xf numFmtId="0" fontId="5"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2" fillId="11" borderId="0" xfId="0" applyFont="1" applyFill="1"/>
    <xf numFmtId="0" fontId="52" fillId="9" borderId="0" xfId="0" applyFont="1" applyFill="1"/>
    <xf numFmtId="0" fontId="52" fillId="10" borderId="0" xfId="0" applyFont="1" applyFill="1"/>
    <xf numFmtId="0" fontId="52" fillId="9" borderId="33" xfId="0" applyFont="1" applyFill="1" applyBorder="1"/>
    <xf numFmtId="0" fontId="0" fillId="0" borderId="33" xfId="0" applyBorder="1" applyAlignment="1">
      <alignment horizontal="left"/>
    </xf>
    <xf numFmtId="0" fontId="52" fillId="10" borderId="33" xfId="0" applyFont="1" applyFill="1" applyBorder="1"/>
    <xf numFmtId="0" fontId="52" fillId="11" borderId="33" xfId="0" applyFont="1" applyFill="1" applyBorder="1"/>
    <xf numFmtId="0" fontId="52" fillId="12" borderId="0" xfId="0" applyFont="1" applyFill="1"/>
    <xf numFmtId="0" fontId="34" fillId="12" borderId="33" xfId="0" applyFont="1" applyFill="1" applyBorder="1"/>
    <xf numFmtId="0" fontId="52" fillId="12" borderId="33" xfId="0" applyFont="1" applyFill="1" applyBorder="1"/>
    <xf numFmtId="0" fontId="0" fillId="2" borderId="33" xfId="0" applyFill="1" applyBorder="1"/>
    <xf numFmtId="0" fontId="52" fillId="2" borderId="33" xfId="0" applyFont="1" applyFill="1" applyBorder="1"/>
    <xf numFmtId="0" fontId="52"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5" fillId="0" borderId="0" xfId="0" applyFont="1" applyAlignment="1">
      <alignment horizontal="center"/>
    </xf>
    <xf numFmtId="0" fontId="0" fillId="0" borderId="0" xfId="0" applyAlignment="1">
      <alignment horizontal="center" vertical="top"/>
    </xf>
    <xf numFmtId="0" fontId="34" fillId="0" borderId="0" xfId="0" applyFont="1" applyAlignment="1">
      <alignment horizontal="center" vertical="top"/>
    </xf>
    <xf numFmtId="0" fontId="75" fillId="0" borderId="0" xfId="0" applyFont="1" applyAlignment="1">
      <alignment horizontal="center" vertical="top"/>
    </xf>
    <xf numFmtId="0" fontId="75" fillId="0" borderId="0" xfId="0" applyFont="1" applyAlignment="1">
      <alignment vertical="top"/>
    </xf>
    <xf numFmtId="0" fontId="75" fillId="0" borderId="0" xfId="0" applyFont="1" applyAlignment="1">
      <alignment vertical="top" wrapText="1"/>
    </xf>
    <xf numFmtId="0" fontId="75" fillId="0" borderId="0" xfId="0" applyFont="1" applyAlignment="1">
      <alignment horizontal="left" vertical="top"/>
    </xf>
    <xf numFmtId="0" fontId="76" fillId="0" borderId="0" xfId="0" applyFont="1" applyAlignment="1">
      <alignment horizontal="right" indent="1"/>
    </xf>
    <xf numFmtId="0" fontId="76" fillId="0" borderId="0" xfId="0" applyFont="1"/>
    <xf numFmtId="0" fontId="77" fillId="0" borderId="0" xfId="0" applyFont="1" applyAlignment="1" applyProtection="1">
      <alignment vertical="top"/>
      <protection hidden="1"/>
    </xf>
    <xf numFmtId="0" fontId="76" fillId="0" borderId="0" xfId="0" applyFont="1" applyAlignment="1">
      <alignment horizontal="left"/>
    </xf>
    <xf numFmtId="0" fontId="77" fillId="0" borderId="0" xfId="0" applyFont="1" applyAlignment="1" applyProtection="1">
      <alignment vertical="top" wrapText="1"/>
      <protection hidden="1"/>
    </xf>
    <xf numFmtId="0" fontId="57" fillId="0" borderId="0" xfId="0" applyFont="1"/>
    <xf numFmtId="0" fontId="57" fillId="0" borderId="0" xfId="0" applyFont="1" applyAlignment="1" applyProtection="1">
      <alignment horizontal="left"/>
      <protection hidden="1"/>
    </xf>
    <xf numFmtId="0" fontId="57" fillId="0" borderId="0" xfId="0" applyFont="1" applyAlignment="1" applyProtection="1">
      <alignment horizontal="left" indent="1"/>
      <protection hidden="1"/>
    </xf>
    <xf numFmtId="0" fontId="78" fillId="0" borderId="0" xfId="0" applyFont="1" applyAlignment="1" applyProtection="1">
      <alignment horizontal="left" vertical="top"/>
      <protection hidden="1"/>
    </xf>
    <xf numFmtId="170" fontId="76" fillId="3" borderId="11" xfId="0" applyNumberFormat="1" applyFont="1" applyFill="1" applyBorder="1" applyAlignment="1">
      <alignment horizontal="left"/>
    </xf>
    <xf numFmtId="170" fontId="76" fillId="0" borderId="0" xfId="0" applyNumberFormat="1" applyFont="1"/>
    <xf numFmtId="0" fontId="5" fillId="0" borderId="0" xfId="0" applyFont="1" applyAlignment="1">
      <alignment horizontal="center" vertical="top"/>
    </xf>
    <xf numFmtId="0" fontId="77" fillId="0" borderId="0" xfId="0" applyFont="1" applyAlignment="1" applyProtection="1">
      <alignment wrapText="1"/>
      <protection hidden="1"/>
    </xf>
    <xf numFmtId="0" fontId="22" fillId="0" borderId="0" xfId="0" applyFont="1" applyAlignment="1" applyProtection="1">
      <alignment wrapText="1"/>
      <protection hidden="1"/>
    </xf>
    <xf numFmtId="0" fontId="57" fillId="0" borderId="0" xfId="0" applyFont="1" applyAlignment="1">
      <alignment horizontal="left"/>
    </xf>
    <xf numFmtId="0" fontId="76" fillId="0" borderId="0" xfId="0" applyFont="1" applyAlignment="1">
      <alignment horizontal="right"/>
    </xf>
    <xf numFmtId="0" fontId="76" fillId="0" borderId="0" xfId="0" applyFont="1" applyAlignment="1">
      <alignment horizontal="right" vertical="top" wrapText="1"/>
    </xf>
    <xf numFmtId="0" fontId="76" fillId="0" borderId="0" xfId="0" applyFont="1" applyAlignment="1">
      <alignment horizontal="right" vertical="top" indent="1"/>
    </xf>
    <xf numFmtId="0" fontId="76" fillId="0" borderId="0" xfId="0" applyFont="1" applyAlignment="1">
      <alignment horizontal="center" vertical="top" wrapText="1"/>
    </xf>
    <xf numFmtId="0" fontId="76" fillId="0" borderId="0" xfId="0" applyFont="1" applyAlignment="1">
      <alignment horizontal="left" vertical="top" indent="1"/>
    </xf>
    <xf numFmtId="0" fontId="76" fillId="0" borderId="0" xfId="0" applyFont="1" applyAlignment="1">
      <alignment horizontal="left" vertical="top" indent="2"/>
    </xf>
    <xf numFmtId="9" fontId="76" fillId="3" borderId="11" xfId="0" applyNumberFormat="1" applyFont="1" applyFill="1" applyBorder="1" applyAlignment="1">
      <alignment horizontal="center"/>
    </xf>
    <xf numFmtId="0" fontId="0" fillId="0" borderId="0" xfId="0" applyAlignment="1">
      <alignment horizontal="left" vertical="top"/>
    </xf>
    <xf numFmtId="0" fontId="52" fillId="0" borderId="0" xfId="0" applyFont="1" applyAlignment="1">
      <alignment horizontal="right"/>
    </xf>
    <xf numFmtId="0" fontId="55" fillId="0" borderId="0" xfId="0" applyFont="1" applyAlignment="1">
      <alignment vertical="top" wrapText="1"/>
    </xf>
    <xf numFmtId="0" fontId="79" fillId="0" borderId="0" xfId="0" applyFont="1"/>
    <xf numFmtId="0" fontId="80" fillId="0" borderId="0" xfId="0" applyFont="1" applyAlignment="1">
      <alignment horizontal="center" vertical="top"/>
    </xf>
    <xf numFmtId="0" fontId="76" fillId="0" borderId="0" xfId="0" applyFont="1" applyAlignment="1">
      <alignment horizontal="right" vertical="top"/>
    </xf>
    <xf numFmtId="2" fontId="76" fillId="3" borderId="11" xfId="0" applyNumberFormat="1" applyFont="1" applyFill="1" applyBorder="1" applyAlignment="1">
      <alignment horizontal="left" indent="1"/>
    </xf>
    <xf numFmtId="1" fontId="76" fillId="3" borderId="11" xfId="0" applyNumberFormat="1" applyFont="1" applyFill="1" applyBorder="1" applyAlignment="1">
      <alignment horizontal="left" indent="1"/>
    </xf>
    <xf numFmtId="9" fontId="76" fillId="3" borderId="11" xfId="0" applyNumberFormat="1" applyFont="1" applyFill="1" applyBorder="1" applyAlignment="1">
      <alignment horizontal="left" indent="1"/>
    </xf>
    <xf numFmtId="0" fontId="0" fillId="0" borderId="93" xfId="0" applyBorder="1"/>
    <xf numFmtId="0" fontId="81" fillId="0" borderId="93" xfId="0" applyFont="1" applyBorder="1" applyAlignment="1">
      <alignment horizontal="left" indent="1"/>
    </xf>
    <xf numFmtId="0" fontId="81" fillId="0" borderId="94" xfId="0" applyFont="1" applyBorder="1"/>
    <xf numFmtId="0" fontId="17" fillId="0" borderId="0" xfId="0" applyFont="1" applyAlignment="1">
      <alignment horizontal="right" indent="1"/>
    </xf>
    <xf numFmtId="0" fontId="82" fillId="0" borderId="0" xfId="0" applyFont="1" applyAlignment="1">
      <alignment horizontal="right" indent="1"/>
    </xf>
    <xf numFmtId="0" fontId="82" fillId="0" borderId="0" xfId="0" applyFont="1" applyAlignment="1">
      <alignment horizontal="center"/>
    </xf>
    <xf numFmtId="0" fontId="83" fillId="0" borderId="0" xfId="0" applyFont="1" applyAlignment="1">
      <alignment horizontal="right" indent="1"/>
    </xf>
    <xf numFmtId="0" fontId="84" fillId="0" borderId="0" xfId="0" applyFont="1" applyAlignment="1">
      <alignment vertical="top" wrapText="1"/>
    </xf>
    <xf numFmtId="0" fontId="83" fillId="0" borderId="0" xfId="0" applyFont="1" applyAlignment="1">
      <alignment horizontal="left" vertical="top"/>
    </xf>
    <xf numFmtId="0" fontId="83" fillId="0" borderId="0" xfId="0" applyFont="1"/>
    <xf numFmtId="166" fontId="0" fillId="0" borderId="0" xfId="0" applyNumberFormat="1" applyAlignment="1">
      <alignment horizontal="left" vertical="top"/>
    </xf>
    <xf numFmtId="0" fontId="82" fillId="0" borderId="0" xfId="0" applyFont="1"/>
    <xf numFmtId="0" fontId="19" fillId="0" borderId="0" xfId="0" applyFont="1" applyAlignment="1">
      <alignment horizontal="right" indent="1"/>
    </xf>
    <xf numFmtId="0" fontId="81" fillId="0" borderId="0" xfId="0" applyFont="1"/>
    <xf numFmtId="0" fontId="17" fillId="0" borderId="0" xfId="0" applyFont="1" applyAlignment="1">
      <alignment horizontal="center"/>
    </xf>
    <xf numFmtId="175" fontId="17"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2" fillId="0" borderId="0" xfId="0" applyNumberFormat="1" applyFont="1" applyAlignment="1">
      <alignment horizontal="left"/>
    </xf>
    <xf numFmtId="0" fontId="82" fillId="0" borderId="0" xfId="0" applyFont="1" applyAlignment="1">
      <alignment horizontal="left" vertical="top" wrapText="1"/>
    </xf>
    <xf numFmtId="170" fontId="83" fillId="0" borderId="0" xfId="0" applyNumberFormat="1" applyFont="1" applyAlignment="1">
      <alignment horizontal="left"/>
    </xf>
    <xf numFmtId="0" fontId="83" fillId="0" borderId="0" xfId="0" applyFont="1" applyAlignment="1">
      <alignment horizontal="left"/>
    </xf>
    <xf numFmtId="0" fontId="82"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4" fillId="0" borderId="0" xfId="0" applyFont="1" applyAlignment="1">
      <alignment horizontal="right" indent="1"/>
    </xf>
    <xf numFmtId="4" fontId="0" fillId="0" borderId="0" xfId="0" applyNumberFormat="1" applyAlignment="1">
      <alignment horizontal="left"/>
    </xf>
    <xf numFmtId="10" fontId="17" fillId="0" borderId="0" xfId="0" applyNumberFormat="1" applyFont="1" applyAlignment="1">
      <alignment horizontal="left"/>
    </xf>
    <xf numFmtId="9" fontId="82"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5" fillId="0" borderId="0" xfId="0" applyFont="1" applyAlignment="1">
      <alignment horizontal="right" indent="1"/>
    </xf>
    <xf numFmtId="0" fontId="36" fillId="0" borderId="0" xfId="0" applyFont="1" applyAlignment="1">
      <alignment vertical="center"/>
    </xf>
    <xf numFmtId="3" fontId="18" fillId="0" borderId="0" xfId="0" applyNumberFormat="1" applyFont="1" applyAlignment="1">
      <alignment horizontal="center"/>
    </xf>
    <xf numFmtId="3" fontId="76" fillId="0" borderId="0" xfId="0" applyNumberFormat="1" applyFont="1"/>
    <xf numFmtId="3" fontId="75" fillId="0" borderId="0" xfId="0" applyNumberFormat="1" applyFont="1" applyAlignment="1">
      <alignment horizontal="center" vertical="top"/>
    </xf>
    <xf numFmtId="0" fontId="34" fillId="0" borderId="0" xfId="0" applyFont="1" applyAlignment="1">
      <alignment vertical="top"/>
    </xf>
    <xf numFmtId="0" fontId="0" fillId="0" borderId="0" xfId="0" applyAlignment="1" applyProtection="1">
      <alignment horizontal="center" vertical="center"/>
      <protection locked="0"/>
    </xf>
    <xf numFmtId="0" fontId="18" fillId="0" borderId="18" xfId="0" applyFont="1" applyBorder="1" applyAlignment="1">
      <alignment horizontal="center"/>
    </xf>
    <xf numFmtId="0" fontId="15" fillId="3" borderId="46" xfId="0" applyFont="1" applyFill="1" applyBorder="1" applyAlignment="1">
      <alignment horizontal="center"/>
    </xf>
    <xf numFmtId="0" fontId="5" fillId="0" borderId="0" xfId="0" applyFont="1" applyAlignment="1">
      <alignment wrapText="1"/>
    </xf>
    <xf numFmtId="9" fontId="0" fillId="0" borderId="0" xfId="0" applyNumberFormat="1" applyAlignment="1">
      <alignment horizontal="left"/>
    </xf>
    <xf numFmtId="0" fontId="10" fillId="0" borderId="82" xfId="0" applyFont="1" applyBorder="1" applyAlignment="1">
      <alignment vertical="top"/>
    </xf>
    <xf numFmtId="0" fontId="6" fillId="0" borderId="0" xfId="0" applyFont="1"/>
    <xf numFmtId="0" fontId="45" fillId="4" borderId="57" xfId="0" applyFont="1" applyFill="1" applyBorder="1" applyAlignment="1" applyProtection="1">
      <alignment horizontal="left"/>
      <protection locked="0"/>
    </xf>
    <xf numFmtId="0" fontId="45" fillId="4" borderId="57" xfId="0" applyFont="1" applyFill="1" applyBorder="1" applyAlignment="1" applyProtection="1">
      <alignment horizontal="left" indent="1"/>
      <protection locked="0"/>
    </xf>
    <xf numFmtId="0" fontId="5" fillId="2" borderId="29" xfId="0" applyFont="1" applyFill="1" applyBorder="1" applyAlignment="1">
      <alignment vertical="center" wrapText="1"/>
    </xf>
    <xf numFmtId="0" fontId="5" fillId="2" borderId="0" xfId="0" applyFont="1" applyFill="1" applyAlignment="1">
      <alignment vertical="center" wrapText="1"/>
    </xf>
    <xf numFmtId="0" fontId="5" fillId="2" borderId="44" xfId="0" applyFont="1" applyFill="1" applyBorder="1" applyAlignment="1">
      <alignment vertical="center" wrapText="1"/>
    </xf>
    <xf numFmtId="0" fontId="17" fillId="6" borderId="48" xfId="0" applyFont="1" applyFill="1" applyBorder="1" applyAlignment="1">
      <alignment vertical="center" wrapText="1"/>
    </xf>
    <xf numFmtId="9" fontId="17" fillId="6" borderId="106" xfId="2" applyFont="1" applyFill="1" applyBorder="1" applyAlignment="1">
      <alignment horizontal="center" vertical="center" wrapText="1"/>
    </xf>
    <xf numFmtId="9" fontId="17" fillId="6" borderId="106" xfId="0" applyNumberFormat="1" applyFont="1" applyFill="1" applyBorder="1" applyAlignment="1">
      <alignment horizontal="center" vertical="center" wrapText="1"/>
    </xf>
    <xf numFmtId="9" fontId="0" fillId="6" borderId="106" xfId="2" applyFont="1" applyFill="1" applyBorder="1" applyAlignment="1">
      <alignment horizontal="center" vertical="center"/>
    </xf>
    <xf numFmtId="9" fontId="0" fillId="6" borderId="106" xfId="0" applyNumberFormat="1" applyFill="1" applyBorder="1" applyAlignment="1">
      <alignment horizontal="center"/>
    </xf>
    <xf numFmtId="9" fontId="0" fillId="6" borderId="47" xfId="0" applyNumberFormat="1" applyFill="1" applyBorder="1" applyAlignment="1">
      <alignment horizontal="center"/>
    </xf>
    <xf numFmtId="0" fontId="3" fillId="5" borderId="25" xfId="0" applyFont="1" applyFill="1" applyBorder="1" applyAlignment="1">
      <alignment vertical="center" wrapText="1"/>
    </xf>
    <xf numFmtId="0" fontId="3" fillId="5" borderId="9" xfId="0" applyFont="1" applyFill="1" applyBorder="1" applyAlignment="1">
      <alignment horizontal="center" vertical="center" wrapText="1"/>
    </xf>
    <xf numFmtId="9" fontId="17" fillId="6" borderId="48" xfId="0" applyNumberFormat="1" applyFont="1" applyFill="1" applyBorder="1" applyAlignment="1">
      <alignment horizontal="center" vertical="center" wrapText="1"/>
    </xf>
    <xf numFmtId="0" fontId="17" fillId="0" borderId="28" xfId="0" applyFont="1" applyBorder="1" applyAlignment="1">
      <alignment vertical="center" wrapText="1"/>
    </xf>
    <xf numFmtId="0" fontId="17" fillId="0" borderId="29" xfId="0" applyFont="1" applyBorder="1" applyAlignment="1">
      <alignment horizontal="center" vertical="center" wrapText="1"/>
    </xf>
    <xf numFmtId="9" fontId="17"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8"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8" fillId="0" borderId="16" xfId="0" applyFont="1" applyBorder="1" applyAlignment="1">
      <alignment horizontal="left" vertical="center"/>
    </xf>
    <xf numFmtId="0" fontId="0" fillId="0" borderId="17" xfId="0" applyBorder="1" applyAlignment="1">
      <alignment vertical="center"/>
    </xf>
    <xf numFmtId="0" fontId="0" fillId="6" borderId="107" xfId="0" applyFill="1" applyBorder="1"/>
    <xf numFmtId="0" fontId="0" fillId="6" borderId="108" xfId="0" applyFill="1" applyBorder="1" applyAlignment="1">
      <alignment horizontal="center"/>
    </xf>
    <xf numFmtId="0" fontId="5" fillId="2" borderId="0" xfId="0" applyFont="1" applyFill="1" applyAlignment="1">
      <alignment wrapText="1"/>
    </xf>
    <xf numFmtId="0" fontId="34" fillId="0" borderId="0" xfId="0" applyFont="1"/>
    <xf numFmtId="9" fontId="6" fillId="25" borderId="0" xfId="0" applyNumberFormat="1" applyFont="1" applyFill="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18" fontId="6" fillId="0" borderId="0" xfId="0" applyNumberFormat="1" applyFont="1"/>
    <xf numFmtId="9" fontId="6" fillId="0" borderId="0" xfId="0" applyNumberFormat="1" applyFont="1"/>
    <xf numFmtId="22" fontId="6" fillId="0" borderId="0" xfId="0" applyNumberFormat="1" applyFont="1"/>
    <xf numFmtId="0" fontId="17" fillId="0" borderId="0" xfId="1" applyFont="1" applyBorder="1" applyAlignment="1">
      <alignment horizontal="center"/>
    </xf>
    <xf numFmtId="0" fontId="18" fillId="0" borderId="0" xfId="0" applyFont="1" applyAlignment="1">
      <alignment horizontal="center" vertical="center"/>
    </xf>
    <xf numFmtId="0" fontId="24" fillId="0" borderId="0" xfId="0" applyFont="1" applyAlignment="1">
      <alignment horizontal="center" vertical="center"/>
    </xf>
    <xf numFmtId="165" fontId="24" fillId="0" borderId="18" xfId="0" applyNumberFormat="1" applyFont="1" applyBorder="1" applyAlignment="1" applyProtection="1">
      <alignment horizontal="center" vertical="center"/>
      <protection locked="0"/>
    </xf>
    <xf numFmtId="165" fontId="24" fillId="0" borderId="79" xfId="0" applyNumberFormat="1" applyFont="1" applyBorder="1" applyAlignment="1">
      <alignment horizontal="center" vertical="center"/>
    </xf>
    <xf numFmtId="165" fontId="24" fillId="0" borderId="18" xfId="0" applyNumberFormat="1" applyFont="1" applyBorder="1" applyAlignment="1">
      <alignment horizontal="center" vertical="center"/>
    </xf>
    <xf numFmtId="0" fontId="89" fillId="0" borderId="0" xfId="0" applyFont="1" applyAlignment="1">
      <alignment vertical="center"/>
    </xf>
    <xf numFmtId="0" fontId="74" fillId="0" borderId="23" xfId="0" applyFont="1" applyBorder="1"/>
    <xf numFmtId="0" fontId="78" fillId="0" borderId="0" xfId="0" applyFont="1" applyAlignment="1">
      <alignment wrapText="1"/>
    </xf>
    <xf numFmtId="0" fontId="0" fillId="0" borderId="19" xfId="0" applyBorder="1"/>
    <xf numFmtId="0" fontId="90" fillId="0" borderId="0" xfId="0" applyFont="1" applyAlignment="1">
      <alignment vertical="center"/>
    </xf>
    <xf numFmtId="9" fontId="85" fillId="0" borderId="0" xfId="0" applyNumberFormat="1" applyFont="1" applyAlignment="1">
      <alignment horizontal="left" vertical="center"/>
    </xf>
    <xf numFmtId="0" fontId="107" fillId="0" borderId="0" xfId="0" applyFont="1"/>
    <xf numFmtId="0" fontId="107" fillId="0" borderId="0" xfId="0" applyFont="1" applyAlignment="1">
      <alignment horizontal="left"/>
    </xf>
    <xf numFmtId="0" fontId="107" fillId="0" borderId="0" xfId="0" applyFont="1" applyAlignment="1">
      <alignment horizontal="right" indent="1"/>
    </xf>
    <xf numFmtId="0" fontId="107" fillId="0" borderId="0" xfId="0" applyFont="1" applyAlignment="1">
      <alignment horizontal="right"/>
    </xf>
    <xf numFmtId="170" fontId="107" fillId="0" borderId="0" xfId="0" applyNumberFormat="1" applyFont="1" applyAlignment="1">
      <alignment horizontal="left"/>
    </xf>
    <xf numFmtId="0" fontId="107" fillId="0" borderId="23" xfId="0" applyFont="1" applyBorder="1"/>
    <xf numFmtId="0" fontId="107" fillId="0" borderId="0" xfId="0" applyFont="1" applyAlignment="1">
      <alignment horizontal="left" vertical="top"/>
    </xf>
    <xf numFmtId="0" fontId="108" fillId="0" borderId="0" xfId="0" applyFont="1" applyAlignment="1">
      <alignment horizontal="right" indent="1"/>
    </xf>
    <xf numFmtId="0" fontId="24" fillId="0" borderId="0" xfId="0" applyFont="1" applyAlignment="1">
      <alignment vertical="top" wrapText="1"/>
    </xf>
    <xf numFmtId="0" fontId="3" fillId="21" borderId="0" xfId="0" applyFont="1" applyFill="1"/>
    <xf numFmtId="175" fontId="107" fillId="0" borderId="0" xfId="0" applyNumberFormat="1" applyFont="1" applyAlignment="1">
      <alignment horizontal="left"/>
    </xf>
    <xf numFmtId="0" fontId="0" fillId="0" borderId="23" xfId="0" applyBorder="1" applyAlignment="1">
      <alignment horizontal="left"/>
    </xf>
    <xf numFmtId="0" fontId="22" fillId="49" borderId="42" xfId="0" applyFont="1" applyFill="1" applyBorder="1" applyAlignment="1">
      <alignment wrapText="1"/>
    </xf>
    <xf numFmtId="0" fontId="22" fillId="49" borderId="43" xfId="0" applyFont="1" applyFill="1" applyBorder="1" applyAlignment="1">
      <alignment wrapText="1"/>
    </xf>
    <xf numFmtId="0" fontId="22" fillId="49" borderId="43" xfId="0" applyFont="1" applyFill="1" applyBorder="1" applyAlignment="1">
      <alignment horizontal="center"/>
    </xf>
    <xf numFmtId="0" fontId="22" fillId="49" borderId="122" xfId="0" applyFont="1" applyFill="1" applyBorder="1" applyAlignment="1">
      <alignment horizontal="center" wrapText="1"/>
    </xf>
    <xf numFmtId="0" fontId="52" fillId="17" borderId="25" xfId="0" applyFont="1" applyFill="1" applyBorder="1"/>
    <xf numFmtId="0" fontId="52" fillId="17" borderId="80" xfId="0" applyFont="1" applyFill="1" applyBorder="1"/>
    <xf numFmtId="0" fontId="52" fillId="17" borderId="24" xfId="0" applyFont="1" applyFill="1" applyBorder="1"/>
    <xf numFmtId="0" fontId="52" fillId="17" borderId="28" xfId="0" applyFont="1" applyFill="1" applyBorder="1"/>
    <xf numFmtId="0" fontId="52" fillId="17" borderId="0" xfId="0" applyFont="1" applyFill="1"/>
    <xf numFmtId="0" fontId="52" fillId="17" borderId="81" xfId="0" applyFont="1" applyFill="1" applyBorder="1"/>
    <xf numFmtId="0" fontId="0" fillId="0" borderId="0" xfId="0" applyAlignment="1">
      <alignment horizontal="left" vertical="top" wrapText="1" indent="1"/>
    </xf>
    <xf numFmtId="0" fontId="23" fillId="0" borderId="0" xfId="0" applyFont="1" applyAlignment="1">
      <alignment horizontal="left" vertical="center"/>
    </xf>
    <xf numFmtId="0" fontId="25" fillId="0" borderId="0" xfId="0" applyFont="1" applyAlignment="1">
      <alignment horizontal="center" vertical="center"/>
    </xf>
    <xf numFmtId="0" fontId="13" fillId="0" borderId="0" xfId="1" applyFill="1" applyAlignment="1">
      <alignment horizontal="left"/>
    </xf>
    <xf numFmtId="0" fontId="10"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left" vertical="top" wrapText="1"/>
    </xf>
    <xf numFmtId="0" fontId="16" fillId="3" borderId="0" xfId="0" applyFont="1" applyFill="1" applyAlignment="1">
      <alignment horizontal="center" wrapText="1"/>
    </xf>
    <xf numFmtId="0" fontId="15" fillId="3" borderId="0" xfId="0" applyFont="1" applyFill="1" applyAlignment="1">
      <alignment horizontal="center" wrapText="1"/>
    </xf>
    <xf numFmtId="0" fontId="18" fillId="3" borderId="0" xfId="0" applyFont="1" applyFill="1" applyAlignment="1">
      <alignment horizontal="left" vertical="top" wrapText="1"/>
    </xf>
    <xf numFmtId="0" fontId="11" fillId="0" borderId="0" xfId="0" applyFont="1" applyAlignment="1">
      <alignment horizontal="center" vertical="center"/>
    </xf>
    <xf numFmtId="0" fontId="32" fillId="0" borderId="0" xfId="0" applyFont="1" applyAlignment="1">
      <alignment horizontal="center" vertical="center"/>
    </xf>
    <xf numFmtId="0" fontId="12" fillId="0" borderId="0" xfId="0" applyFont="1" applyAlignment="1">
      <alignment horizontal="center" vertical="center"/>
    </xf>
    <xf numFmtId="0" fontId="18" fillId="0" borderId="0" xfId="0" applyFont="1" applyAlignment="1">
      <alignment horizontal="center" vertical="center" wrapText="1"/>
    </xf>
    <xf numFmtId="0" fontId="3" fillId="15" borderId="0" xfId="0" applyFont="1" applyFill="1" applyAlignment="1">
      <alignment horizontal="left" vertical="center"/>
    </xf>
    <xf numFmtId="0" fontId="22" fillId="0" borderId="0" xfId="0" applyFont="1" applyAlignment="1">
      <alignment horizontal="center"/>
    </xf>
    <xf numFmtId="0" fontId="45" fillId="0" borderId="0" xfId="0" applyFont="1" applyAlignment="1">
      <alignment horizontal="right" vertical="top" indent="1"/>
    </xf>
    <xf numFmtId="0" fontId="76" fillId="3" borderId="11" xfId="0" applyFont="1" applyFill="1" applyBorder="1" applyAlignment="1">
      <alignment horizontal="left"/>
    </xf>
    <xf numFmtId="0" fontId="84" fillId="0" borderId="0" xfId="0" applyFont="1" applyAlignment="1">
      <alignment horizontal="right" vertical="top" wrapText="1" indent="1"/>
    </xf>
    <xf numFmtId="169" fontId="76" fillId="3" borderId="11" xfId="0" applyNumberFormat="1" applyFont="1" applyFill="1" applyBorder="1" applyAlignment="1">
      <alignment horizontal="left"/>
    </xf>
    <xf numFmtId="0" fontId="76" fillId="0" borderId="0" xfId="0" applyFont="1" applyAlignment="1">
      <alignment horizontal="center" vertical="top"/>
    </xf>
    <xf numFmtId="165" fontId="76" fillId="7" borderId="11" xfId="0" applyNumberFormat="1" applyFont="1" applyFill="1" applyBorder="1" applyAlignment="1">
      <alignment horizontal="left"/>
    </xf>
    <xf numFmtId="3" fontId="76" fillId="7" borderId="11" xfId="0" applyNumberFormat="1" applyFont="1" applyFill="1" applyBorder="1" applyAlignment="1">
      <alignment horizontal="left"/>
    </xf>
    <xf numFmtId="0" fontId="107" fillId="0" borderId="0" xfId="0" applyFont="1" applyAlignment="1">
      <alignment horizontal="left" vertical="top" wrapText="1"/>
    </xf>
    <xf numFmtId="0" fontId="17" fillId="3" borderId="0" xfId="0" applyFont="1" applyFill="1" applyAlignment="1">
      <alignment horizontal="right" indent="1"/>
    </xf>
    <xf numFmtId="2" fontId="0" fillId="0" borderId="0" xfId="0" applyNumberFormat="1" applyAlignment="1">
      <alignment horizontal="left"/>
    </xf>
    <xf numFmtId="0" fontId="18" fillId="10" borderId="109" xfId="0" applyFont="1" applyFill="1" applyBorder="1"/>
    <xf numFmtId="0" fontId="18" fillId="10" borderId="2" xfId="0" applyFont="1" applyFill="1" applyBorder="1"/>
    <xf numFmtId="0" fontId="3"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6" fillId="0" borderId="0" xfId="0" applyFont="1" applyAlignment="1">
      <alignment vertical="center" wrapText="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lignment vertical="center"/>
    </xf>
    <xf numFmtId="0" fontId="24" fillId="0" borderId="128" xfId="0" applyFont="1" applyBorder="1" applyAlignment="1">
      <alignment horizontal="center" vertical="center" wrapText="1"/>
    </xf>
    <xf numFmtId="0" fontId="3" fillId="51" borderId="133" xfId="0" applyFont="1" applyFill="1" applyBorder="1"/>
    <xf numFmtId="0" fontId="3" fillId="51" borderId="134" xfId="0" applyFont="1" applyFill="1" applyBorder="1"/>
    <xf numFmtId="0" fontId="18" fillId="12" borderId="0" xfId="0" applyFont="1" applyFill="1"/>
    <xf numFmtId="0" fontId="74" fillId="0" borderId="0" xfId="0" applyFont="1"/>
    <xf numFmtId="0" fontId="35" fillId="0" borderId="0" xfId="0" applyFont="1" applyAlignment="1">
      <alignment horizontal="center" textRotation="90" wrapText="1"/>
    </xf>
    <xf numFmtId="168" fontId="18" fillId="3" borderId="0" xfId="0" applyNumberFormat="1" applyFont="1" applyFill="1" applyAlignment="1">
      <alignment horizontal="center" vertical="center" wrapText="1"/>
    </xf>
    <xf numFmtId="0" fontId="18" fillId="3" borderId="0" xfId="0" applyFont="1" applyFill="1" applyAlignment="1">
      <alignment horizontal="center" vertical="center" wrapText="1"/>
    </xf>
    <xf numFmtId="0" fontId="111" fillId="0" borderId="0" xfId="0" applyFont="1" applyAlignment="1">
      <alignment horizontal="center" vertical="center" wrapText="1"/>
    </xf>
    <xf numFmtId="169" fontId="0" fillId="0" borderId="0" xfId="0" applyNumberFormat="1" applyAlignment="1">
      <alignment horizontal="left"/>
    </xf>
    <xf numFmtId="0" fontId="18" fillId="0" borderId="23" xfId="0" applyFont="1" applyBorder="1" applyAlignment="1">
      <alignment horizontal="left" vertical="center" wrapText="1"/>
    </xf>
    <xf numFmtId="0" fontId="18" fillId="52" borderId="0" xfId="0" applyFont="1" applyFill="1" applyAlignment="1">
      <alignment horizontal="center"/>
    </xf>
    <xf numFmtId="0" fontId="0" fillId="3" borderId="25" xfId="0" applyFill="1" applyBorder="1"/>
    <xf numFmtId="0" fontId="0" fillId="3" borderId="80" xfId="0" applyFill="1" applyBorder="1"/>
    <xf numFmtId="0" fontId="0" fillId="3" borderId="24" xfId="0" applyFill="1" applyBorder="1"/>
    <xf numFmtId="0" fontId="0" fillId="3" borderId="28" xfId="0" applyFill="1" applyBorder="1"/>
    <xf numFmtId="0" fontId="4" fillId="3" borderId="0" xfId="0" applyFont="1" applyFill="1"/>
    <xf numFmtId="0" fontId="0" fillId="3" borderId="81" xfId="0" applyFill="1" applyBorder="1"/>
    <xf numFmtId="3" fontId="0" fillId="3" borderId="0" xfId="0" applyNumberFormat="1" applyFill="1" applyAlignment="1">
      <alignment horizontal="center"/>
    </xf>
    <xf numFmtId="0" fontId="0" fillId="3" borderId="81" xfId="0" applyFill="1" applyBorder="1" applyAlignment="1">
      <alignment horizontal="center"/>
    </xf>
    <xf numFmtId="9" fontId="0" fillId="3" borderId="81" xfId="2" applyFont="1" applyFill="1" applyBorder="1" applyAlignment="1">
      <alignment horizontal="center"/>
    </xf>
    <xf numFmtId="9" fontId="0" fillId="3" borderId="81" xfId="0" applyNumberFormat="1" applyFill="1" applyBorder="1" applyAlignment="1">
      <alignment horizontal="center"/>
    </xf>
    <xf numFmtId="0" fontId="0" fillId="3" borderId="27" xfId="0" applyFill="1" applyBorder="1"/>
    <xf numFmtId="0" fontId="0" fillId="3" borderId="82" xfId="0" applyFill="1" applyBorder="1" applyAlignment="1">
      <alignment horizontal="right"/>
    </xf>
    <xf numFmtId="165" fontId="0" fillId="3" borderId="82" xfId="0" applyNumberFormat="1" applyFill="1" applyBorder="1" applyAlignment="1">
      <alignment horizontal="center"/>
    </xf>
    <xf numFmtId="0" fontId="0" fillId="3" borderId="26" xfId="0" applyFill="1" applyBorder="1"/>
    <xf numFmtId="0" fontId="29" fillId="0" borderId="0" xfId="0" applyFont="1" applyAlignment="1">
      <alignment horizontal="center" textRotation="90" wrapText="1"/>
    </xf>
    <xf numFmtId="0" fontId="0" fillId="53" borderId="0" xfId="0" quotePrefix="1" applyFill="1"/>
    <xf numFmtId="165" fontId="24" fillId="0" borderId="74" xfId="0" applyNumberFormat="1" applyFont="1" applyBorder="1" applyAlignment="1">
      <alignment horizontal="center" vertical="center"/>
    </xf>
    <xf numFmtId="0" fontId="90" fillId="0" borderId="0" xfId="0" applyFont="1" applyAlignment="1">
      <alignment horizontal="center" vertical="center"/>
    </xf>
    <xf numFmtId="0" fontId="110" fillId="0" borderId="0" xfId="0" applyFont="1" applyAlignment="1">
      <alignment horizontal="center" vertical="center"/>
    </xf>
    <xf numFmtId="0" fontId="16" fillId="0" borderId="0" xfId="0" applyFont="1" applyAlignment="1">
      <alignment horizontal="center" vertical="center" wrapText="1"/>
    </xf>
    <xf numFmtId="0" fontId="110" fillId="0" borderId="0" xfId="0" applyFont="1" applyAlignment="1">
      <alignment vertical="center"/>
    </xf>
    <xf numFmtId="0" fontId="30" fillId="0" borderId="0" xfId="0" applyFont="1" applyAlignment="1">
      <alignment wrapText="1"/>
    </xf>
    <xf numFmtId="8" fontId="0" fillId="0" borderId="0" xfId="0" applyNumberFormat="1"/>
    <xf numFmtId="0" fontId="61" fillId="0" borderId="0" xfId="0" applyFont="1" applyAlignment="1">
      <alignment horizontal="right" indent="1"/>
    </xf>
    <xf numFmtId="0" fontId="62" fillId="0" borderId="0" xfId="0" applyFont="1"/>
    <xf numFmtId="0" fontId="62" fillId="0" borderId="0" xfId="0" quotePrefix="1" applyFont="1"/>
    <xf numFmtId="0" fontId="4" fillId="0" borderId="0" xfId="0" quotePrefix="1" applyFont="1"/>
    <xf numFmtId="0" fontId="61" fillId="0" borderId="0" xfId="0" applyFont="1" applyAlignment="1">
      <alignment horizontal="right" wrapText="1" indent="1"/>
    </xf>
    <xf numFmtId="6" fontId="0" fillId="0" borderId="0" xfId="0" applyNumberFormat="1" applyAlignment="1">
      <alignment horizontal="center"/>
    </xf>
    <xf numFmtId="0" fontId="61" fillId="3" borderId="0" xfId="0" applyFont="1" applyFill="1" applyAlignment="1">
      <alignment horizontal="right" indent="1"/>
    </xf>
    <xf numFmtId="0" fontId="62" fillId="3" borderId="0" xfId="0" applyFont="1" applyFill="1"/>
    <xf numFmtId="0" fontId="62" fillId="3" borderId="0" xfId="0" quotePrefix="1" applyFont="1" applyFill="1"/>
    <xf numFmtId="0" fontId="0" fillId="3" borderId="82" xfId="0" applyFill="1" applyBorder="1"/>
    <xf numFmtId="0" fontId="34" fillId="0" borderId="0" xfId="0" applyFont="1" applyAlignment="1">
      <alignment horizontal="center"/>
    </xf>
    <xf numFmtId="0" fontId="37" fillId="0" borderId="0" xfId="0" applyFont="1"/>
    <xf numFmtId="0" fontId="34" fillId="9" borderId="135" xfId="0" applyFont="1" applyFill="1" applyBorder="1"/>
    <xf numFmtId="0" fontId="15" fillId="9" borderId="10" xfId="0" applyFont="1" applyFill="1" applyBorder="1"/>
    <xf numFmtId="0" fontId="18" fillId="10" borderId="0" xfId="0" applyFont="1" applyFill="1"/>
    <xf numFmtId="0" fontId="15" fillId="9" borderId="23" xfId="0" applyFont="1" applyFill="1" applyBorder="1"/>
    <xf numFmtId="0" fontId="15" fillId="9" borderId="23" xfId="0" applyFont="1" applyFill="1" applyBorder="1" applyAlignment="1">
      <alignment horizontal="center"/>
    </xf>
    <xf numFmtId="0" fontId="15" fillId="10" borderId="136" xfId="0" applyFont="1" applyFill="1" applyBorder="1"/>
    <xf numFmtId="0" fontId="18" fillId="10" borderId="23" xfId="0" applyFont="1" applyFill="1" applyBorder="1"/>
    <xf numFmtId="0" fontId="15" fillId="10" borderId="3" xfId="0" applyFont="1" applyFill="1" applyBorder="1" applyAlignment="1">
      <alignment horizontal="center"/>
    </xf>
    <xf numFmtId="0" fontId="18" fillId="9" borderId="0" xfId="0" applyFont="1" applyFill="1" applyAlignment="1">
      <alignment horizontal="center"/>
    </xf>
    <xf numFmtId="0" fontId="34" fillId="10" borderId="0" xfId="0" applyFont="1" applyFill="1"/>
    <xf numFmtId="0" fontId="15" fillId="10" borderId="23" xfId="0" applyFont="1" applyFill="1" applyBorder="1" applyAlignment="1">
      <alignment horizontal="center"/>
    </xf>
    <xf numFmtId="0" fontId="18" fillId="0" borderId="41" xfId="0" applyFont="1" applyBorder="1"/>
    <xf numFmtId="0" fontId="18" fillId="0" borderId="49" xfId="0" applyFont="1" applyBorder="1"/>
    <xf numFmtId="0" fontId="34" fillId="12" borderId="29" xfId="0" applyFont="1" applyFill="1" applyBorder="1"/>
    <xf numFmtId="0" fontId="15" fillId="12" borderId="138" xfId="0" applyFont="1" applyFill="1" applyBorder="1" applyAlignment="1">
      <alignment horizontal="center"/>
    </xf>
    <xf numFmtId="0" fontId="15" fillId="12" borderId="139" xfId="0" applyFont="1" applyFill="1" applyBorder="1" applyAlignment="1">
      <alignment horizontal="center"/>
    </xf>
    <xf numFmtId="0" fontId="15" fillId="12" borderId="23" xfId="0" applyFont="1" applyFill="1" applyBorder="1" applyAlignment="1">
      <alignment horizontal="center"/>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0" fontId="3" fillId="51" borderId="130" xfId="0" applyFont="1" applyFill="1" applyBorder="1"/>
    <xf numFmtId="0" fontId="18" fillId="0" borderId="0" xfId="0" quotePrefix="1" applyFont="1"/>
    <xf numFmtId="0" fontId="0" fillId="0" borderId="131" xfId="0" applyBorder="1"/>
    <xf numFmtId="0" fontId="0" fillId="0" borderId="132" xfId="0" applyBorder="1" applyAlignment="1">
      <alignment horizontal="center"/>
    </xf>
    <xf numFmtId="0" fontId="0" fillId="0" borderId="130" xfId="0" applyBorder="1"/>
    <xf numFmtId="0" fontId="3" fillId="8" borderId="31" xfId="0" applyFont="1" applyFill="1" applyBorder="1" applyAlignment="1">
      <alignment horizontal="center" vertical="center" wrapText="1"/>
    </xf>
    <xf numFmtId="0" fontId="113" fillId="8" borderId="31" xfId="0" applyFont="1" applyFill="1" applyBorder="1" applyAlignment="1">
      <alignment horizontal="center" vertical="center" wrapText="1"/>
    </xf>
    <xf numFmtId="0" fontId="52" fillId="0" borderId="0" xfId="0" applyFont="1" applyAlignment="1">
      <alignment horizontal="center"/>
    </xf>
    <xf numFmtId="0" fontId="32" fillId="0" borderId="0" xfId="0" applyFont="1"/>
    <xf numFmtId="0" fontId="115" fillId="0" borderId="0" xfId="0" applyFont="1" applyAlignment="1">
      <alignment horizontal="center" textRotation="90" wrapText="1"/>
    </xf>
    <xf numFmtId="1" fontId="65" fillId="0" borderId="0" xfId="0" applyNumberFormat="1" applyFont="1" applyAlignment="1">
      <alignment horizontal="center"/>
    </xf>
    <xf numFmtId="165" fontId="65" fillId="0" borderId="0" xfId="0" applyNumberFormat="1" applyFont="1" applyAlignment="1">
      <alignment horizontal="center"/>
    </xf>
    <xf numFmtId="0" fontId="116" fillId="0" borderId="0" xfId="0" applyFont="1" applyAlignment="1">
      <alignment horizontal="center"/>
    </xf>
    <xf numFmtId="0" fontId="4" fillId="7" borderId="0" xfId="0" applyFont="1" applyFill="1"/>
    <xf numFmtId="0" fontId="0" fillId="0" borderId="0" xfId="0" applyAlignment="1">
      <alignment horizontal="center" vertical="center"/>
    </xf>
    <xf numFmtId="0" fontId="25" fillId="0" borderId="0" xfId="0" applyFont="1"/>
    <xf numFmtId="0" fontId="117" fillId="0" borderId="0" xfId="0" applyFont="1"/>
    <xf numFmtId="0" fontId="25" fillId="0" borderId="0" xfId="0" applyFont="1" applyAlignment="1">
      <alignment horizontal="center"/>
    </xf>
    <xf numFmtId="0" fontId="117" fillId="0" borderId="0" xfId="0" applyFont="1" applyAlignment="1">
      <alignment horizontal="center"/>
    </xf>
    <xf numFmtId="166" fontId="25" fillId="0" borderId="0" xfId="0" applyNumberFormat="1" applyFont="1" applyAlignment="1">
      <alignment horizontal="center"/>
    </xf>
    <xf numFmtId="0" fontId="118" fillId="0" borderId="0" xfId="0" applyFont="1" applyAlignment="1">
      <alignment vertical="center"/>
    </xf>
    <xf numFmtId="0" fontId="119" fillId="0" borderId="0" xfId="0" applyFont="1" applyAlignment="1">
      <alignment vertical="center"/>
    </xf>
    <xf numFmtId="0" fontId="25" fillId="0" borderId="33" xfId="0" applyFont="1" applyBorder="1"/>
    <xf numFmtId="0" fontId="23" fillId="0" borderId="0" xfId="0" applyFont="1" applyAlignment="1">
      <alignment horizontal="center" vertical="center"/>
    </xf>
    <xf numFmtId="0" fontId="23" fillId="0" borderId="33" xfId="0" applyFont="1" applyBorder="1" applyAlignment="1">
      <alignment horizontal="center" vertical="center"/>
    </xf>
    <xf numFmtId="0" fontId="23" fillId="0" borderId="35" xfId="0" applyFont="1" applyBorder="1" applyAlignment="1">
      <alignment horizontal="center" vertical="center"/>
    </xf>
    <xf numFmtId="0" fontId="25" fillId="0" borderId="35" xfId="0" applyFont="1" applyBorder="1"/>
    <xf numFmtId="0" fontId="25" fillId="0" borderId="33" xfId="0" applyFont="1" applyBorder="1" applyAlignment="1">
      <alignment horizontal="center"/>
    </xf>
    <xf numFmtId="0" fontId="25" fillId="0" borderId="35" xfId="0" applyFont="1" applyBorder="1" applyAlignment="1">
      <alignment horizontal="center"/>
    </xf>
    <xf numFmtId="0" fontId="25" fillId="0" borderId="112" xfId="0" applyFont="1" applyBorder="1"/>
    <xf numFmtId="0" fontId="25" fillId="0" borderId="92" xfId="0" applyFont="1" applyBorder="1"/>
    <xf numFmtId="0" fontId="0" fillId="6" borderId="70" xfId="0" quotePrefix="1" applyFill="1" applyBorder="1"/>
    <xf numFmtId="0" fontId="15" fillId="3" borderId="3" xfId="0" applyFont="1" applyFill="1" applyBorder="1" applyAlignment="1">
      <alignment horizontal="center" wrapText="1"/>
    </xf>
    <xf numFmtId="0" fontId="15" fillId="3" borderId="23" xfId="0" applyFont="1" applyFill="1" applyBorder="1" applyAlignment="1">
      <alignment horizontal="center" wrapText="1"/>
    </xf>
    <xf numFmtId="0" fontId="0" fillId="6" borderId="69" xfId="0" quotePrefix="1" applyFill="1" applyBorder="1"/>
    <xf numFmtId="0" fontId="18" fillId="4" borderId="13" xfId="0" applyFont="1" applyFill="1" applyBorder="1" applyAlignment="1">
      <alignment horizontal="center"/>
    </xf>
    <xf numFmtId="0" fontId="18" fillId="4" borderId="16" xfId="0" applyFont="1" applyFill="1" applyBorder="1" applyAlignment="1">
      <alignment horizontal="center"/>
    </xf>
    <xf numFmtId="0" fontId="0" fillId="53" borderId="0" xfId="0" applyFill="1"/>
    <xf numFmtId="0" fontId="17" fillId="3" borderId="0" xfId="0" applyFont="1" applyFill="1" applyAlignment="1">
      <alignment wrapText="1"/>
    </xf>
    <xf numFmtId="0" fontId="29" fillId="0" borderId="0" xfId="0" applyFont="1" applyAlignment="1">
      <alignment textRotation="90" wrapText="1"/>
    </xf>
    <xf numFmtId="0" fontId="118" fillId="53" borderId="0" xfId="0" applyFont="1" applyFill="1" applyAlignment="1">
      <alignment vertical="center"/>
    </xf>
    <xf numFmtId="0" fontId="7" fillId="53" borderId="0" xfId="0" applyFont="1" applyFill="1"/>
    <xf numFmtId="0" fontId="18" fillId="0" borderId="0" xfId="0" applyFont="1" applyAlignment="1">
      <alignment vertical="center" wrapText="1"/>
    </xf>
    <xf numFmtId="0" fontId="13" fillId="0" borderId="0" xfId="1" applyBorder="1" applyAlignment="1">
      <alignment horizontal="left" indent="1"/>
    </xf>
    <xf numFmtId="0" fontId="0" fillId="0" borderId="0" xfId="0" applyAlignment="1" applyProtection="1">
      <alignment vertical="center"/>
      <protection locked="0"/>
    </xf>
    <xf numFmtId="0" fontId="4" fillId="3" borderId="0" xfId="0" applyFont="1" applyFill="1" applyAlignment="1">
      <alignment horizontal="center"/>
    </xf>
    <xf numFmtId="0" fontId="34" fillId="60" borderId="29" xfId="0" applyFont="1" applyFill="1" applyBorder="1"/>
    <xf numFmtId="0" fontId="0" fillId="60" borderId="0" xfId="0" applyFill="1"/>
    <xf numFmtId="0" fontId="18" fillId="60" borderId="29" xfId="0" applyFont="1" applyFill="1" applyBorder="1"/>
    <xf numFmtId="0" fontId="18" fillId="60" borderId="109" xfId="0" applyFont="1" applyFill="1" applyBorder="1"/>
    <xf numFmtId="0" fontId="18" fillId="60" borderId="0" xfId="0" applyFont="1" applyFill="1"/>
    <xf numFmtId="0" fontId="18" fillId="60" borderId="2" xfId="0" applyFont="1" applyFill="1" applyBorder="1"/>
    <xf numFmtId="0" fontId="15" fillId="60" borderId="0" xfId="0" applyFont="1" applyFill="1" applyAlignment="1">
      <alignment horizontal="center"/>
    </xf>
    <xf numFmtId="0" fontId="15" fillId="60" borderId="10" xfId="0" applyFont="1" applyFill="1" applyBorder="1" applyAlignment="1">
      <alignment horizontal="center"/>
    </xf>
    <xf numFmtId="0" fontId="15" fillId="60" borderId="136" xfId="0" applyFont="1" applyFill="1" applyBorder="1"/>
    <xf numFmtId="0" fontId="15" fillId="60" borderId="23" xfId="0" applyFont="1" applyFill="1" applyBorder="1"/>
    <xf numFmtId="0" fontId="15" fillId="60" borderId="3" xfId="0" applyFont="1" applyFill="1" applyBorder="1" applyAlignment="1">
      <alignment horizontal="center"/>
    </xf>
    <xf numFmtId="0" fontId="15" fillId="60" borderId="23" xfId="0" applyFont="1" applyFill="1" applyBorder="1" applyAlignment="1">
      <alignment horizontal="center"/>
    </xf>
    <xf numFmtId="0" fontId="84" fillId="0" borderId="0" xfId="0" applyFont="1" applyAlignment="1">
      <alignment horizontal="center" vertical="center"/>
    </xf>
    <xf numFmtId="3" fontId="5" fillId="3" borderId="2" xfId="0" applyNumberFormat="1" applyFont="1" applyFill="1" applyBorder="1" applyAlignment="1">
      <alignment horizontal="center"/>
    </xf>
    <xf numFmtId="165" fontId="5" fillId="3" borderId="2" xfId="0" applyNumberFormat="1" applyFont="1" applyFill="1" applyBorder="1" applyAlignment="1">
      <alignment horizontal="center"/>
    </xf>
    <xf numFmtId="4" fontId="5" fillId="3" borderId="2" xfId="0" applyNumberFormat="1" applyFont="1" applyFill="1" applyBorder="1" applyAlignment="1">
      <alignment horizontal="center"/>
    </xf>
    <xf numFmtId="0" fontId="24" fillId="0" borderId="2" xfId="0" applyFont="1" applyBorder="1"/>
    <xf numFmtId="0" fontId="114" fillId="10" borderId="148" xfId="0" applyFont="1" applyFill="1" applyBorder="1" applyAlignment="1">
      <alignment horizontal="center"/>
    </xf>
    <xf numFmtId="0" fontId="24" fillId="58" borderId="163" xfId="0" applyFont="1" applyFill="1" applyBorder="1" applyAlignment="1">
      <alignment horizontal="center" vertical="center"/>
    </xf>
    <xf numFmtId="0" fontId="18" fillId="58" borderId="163" xfId="0" applyFont="1" applyFill="1" applyBorder="1" applyAlignment="1">
      <alignment vertical="center"/>
    </xf>
    <xf numFmtId="0" fontId="114" fillId="10" borderId="82" xfId="0" applyFont="1" applyFill="1" applyBorder="1" applyAlignment="1">
      <alignment horizontal="right" vertical="center" wrapText="1"/>
    </xf>
    <xf numFmtId="0" fontId="24" fillId="0" borderId="174" xfId="0" applyFont="1" applyBorder="1" applyAlignment="1" applyProtection="1">
      <alignment horizontal="center" vertical="center"/>
      <protection locked="0"/>
    </xf>
    <xf numFmtId="0" fontId="24" fillId="0" borderId="126" xfId="0" applyFont="1" applyBorder="1" applyAlignment="1" applyProtection="1">
      <alignment horizontal="center" vertical="center"/>
      <protection locked="0"/>
    </xf>
    <xf numFmtId="3" fontId="24" fillId="0" borderId="126" xfId="0" applyNumberFormat="1" applyFont="1" applyBorder="1" applyAlignment="1" applyProtection="1">
      <alignment horizontal="center" vertical="center" wrapText="1"/>
      <protection locked="0"/>
    </xf>
    <xf numFmtId="0" fontId="24" fillId="0" borderId="39" xfId="0" applyFont="1" applyBorder="1" applyAlignment="1" applyProtection="1">
      <alignment horizontal="center" vertical="center"/>
      <protection locked="0"/>
    </xf>
    <xf numFmtId="9" fontId="5" fillId="2" borderId="0" xfId="0" applyNumberFormat="1" applyFont="1" applyFill="1" applyAlignment="1">
      <alignment horizontal="center" vertical="center" wrapText="1"/>
    </xf>
    <xf numFmtId="0" fontId="15" fillId="10" borderId="169" xfId="0" applyFont="1" applyFill="1" applyBorder="1" applyAlignment="1">
      <alignment horizontal="center"/>
    </xf>
    <xf numFmtId="0" fontId="15" fillId="60" borderId="169" xfId="0" applyFont="1" applyFill="1" applyBorder="1" applyAlignment="1">
      <alignment horizontal="center"/>
    </xf>
    <xf numFmtId="0" fontId="15" fillId="12" borderId="183" xfId="0" applyFont="1" applyFill="1" applyBorder="1" applyAlignment="1">
      <alignment horizontal="center"/>
    </xf>
    <xf numFmtId="0" fontId="5" fillId="2" borderId="0" xfId="0" applyFont="1" applyFill="1" applyAlignment="1">
      <alignment horizontal="center"/>
    </xf>
    <xf numFmtId="0" fontId="25" fillId="0" borderId="23" xfId="0" applyFont="1" applyBorder="1"/>
    <xf numFmtId="0" fontId="118" fillId="0" borderId="185" xfId="0" applyFont="1" applyBorder="1" applyAlignment="1">
      <alignment horizontal="center" vertical="center"/>
    </xf>
    <xf numFmtId="0" fontId="118" fillId="0" borderId="186" xfId="0" applyFont="1" applyBorder="1" applyAlignment="1">
      <alignment horizontal="center" vertical="center"/>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3" fillId="0" borderId="0" xfId="0" applyFont="1" applyAlignment="1">
      <alignment vertical="center"/>
    </xf>
    <xf numFmtId="0" fontId="15" fillId="0" borderId="0" xfId="0" applyFont="1" applyAlignment="1">
      <alignment horizontal="center" vertical="center"/>
    </xf>
    <xf numFmtId="0" fontId="0" fillId="0" borderId="191" xfId="0" applyBorder="1"/>
    <xf numFmtId="0" fontId="75" fillId="0" borderId="23" xfId="0" applyFont="1" applyBorder="1" applyAlignment="1">
      <alignment vertical="top"/>
    </xf>
    <xf numFmtId="0" fontId="76" fillId="0" borderId="23" xfId="0" applyFont="1" applyBorder="1"/>
    <xf numFmtId="0" fontId="75" fillId="0" borderId="23" xfId="0" applyFont="1" applyBorder="1" applyAlignment="1">
      <alignment horizontal="center" vertical="top"/>
    </xf>
    <xf numFmtId="0" fontId="75" fillId="0" borderId="0" xfId="0" applyFont="1" applyAlignment="1">
      <alignment horizontal="right" indent="1"/>
    </xf>
    <xf numFmtId="0" fontId="75" fillId="0" borderId="23" xfId="0" applyFont="1" applyBorder="1"/>
    <xf numFmtId="0" fontId="32" fillId="0" borderId="0" xfId="0" applyFont="1" applyAlignment="1">
      <alignment vertical="top"/>
    </xf>
    <xf numFmtId="178" fontId="76" fillId="3" borderId="11" xfId="0" applyNumberFormat="1" applyFont="1" applyFill="1" applyBorder="1" applyAlignment="1">
      <alignment horizontal="left" indent="1"/>
    </xf>
    <xf numFmtId="169" fontId="45" fillId="3" borderId="191" xfId="0" applyNumberFormat="1" applyFont="1" applyFill="1" applyBorder="1" applyAlignment="1">
      <alignment horizontal="left" shrinkToFit="1"/>
    </xf>
    <xf numFmtId="164" fontId="0" fillId="4" borderId="193" xfId="0" applyNumberFormat="1" applyFill="1" applyBorder="1" applyAlignment="1" applyProtection="1">
      <alignment horizontal="center"/>
      <protection locked="0"/>
    </xf>
    <xf numFmtId="169" fontId="45" fillId="3" borderId="191" xfId="0" applyNumberFormat="1" applyFont="1" applyFill="1" applyBorder="1" applyAlignment="1">
      <alignment horizontal="left" indent="1" shrinkToFit="1"/>
    </xf>
    <xf numFmtId="0" fontId="0" fillId="0" borderId="192" xfId="0" applyBorder="1"/>
    <xf numFmtId="0" fontId="18" fillId="0" borderId="196" xfId="0" applyFont="1" applyBorder="1" applyAlignment="1">
      <alignment horizontal="left" vertical="center"/>
    </xf>
    <xf numFmtId="0" fontId="0" fillId="0" borderId="197" xfId="0" applyBorder="1"/>
    <xf numFmtId="0" fontId="18" fillId="0" borderId="198" xfId="0" applyFont="1" applyBorder="1" applyAlignment="1">
      <alignment horizontal="right" vertical="center"/>
    </xf>
    <xf numFmtId="0" fontId="19" fillId="0" borderId="198" xfId="0" applyFont="1" applyBorder="1" applyAlignment="1">
      <alignment horizontal="right" vertical="center" indent="1"/>
    </xf>
    <xf numFmtId="0" fontId="25" fillId="0" borderId="193" xfId="0" applyFont="1" applyBorder="1" applyAlignment="1">
      <alignment vertical="center"/>
    </xf>
    <xf numFmtId="0" fontId="0" fillId="0" borderId="199" xfId="0" applyBorder="1" applyAlignment="1" applyProtection="1">
      <alignment horizontal="center" vertical="center"/>
      <protection locked="0"/>
    </xf>
    <xf numFmtId="0" fontId="18" fillId="0" borderId="197" xfId="0" applyFont="1" applyBorder="1" applyAlignment="1">
      <alignment horizontal="left" vertical="center"/>
    </xf>
    <xf numFmtId="0" fontId="0" fillId="0" borderId="197" xfId="0" applyBorder="1" applyAlignment="1">
      <alignment vertical="center"/>
    </xf>
    <xf numFmtId="0" fontId="0" fillId="0" borderId="198" xfId="0" applyBorder="1" applyAlignment="1">
      <alignment vertical="center"/>
    </xf>
    <xf numFmtId="0" fontId="118" fillId="0" borderId="193" xfId="0" applyFont="1" applyBorder="1" applyAlignment="1">
      <alignment horizontal="center" vertical="center"/>
    </xf>
    <xf numFmtId="0" fontId="25" fillId="0" borderId="193" xfId="0" applyFont="1" applyBorder="1" applyAlignment="1">
      <alignment horizontal="center" vertical="center"/>
    </xf>
    <xf numFmtId="0" fontId="18" fillId="0" borderId="194" xfId="0" applyFont="1" applyBorder="1" applyAlignment="1">
      <alignment horizontal="left" vertical="center"/>
    </xf>
    <xf numFmtId="0" fontId="0" fillId="0" borderId="193" xfId="0" applyBorder="1" applyAlignment="1">
      <alignment horizontal="center"/>
    </xf>
    <xf numFmtId="0" fontId="5" fillId="2" borderId="194" xfId="0" applyFont="1" applyFill="1" applyBorder="1"/>
    <xf numFmtId="0" fontId="0" fillId="2" borderId="200" xfId="0" applyFill="1" applyBorder="1"/>
    <xf numFmtId="0" fontId="0" fillId="2" borderId="195" xfId="0" applyFill="1" applyBorder="1"/>
    <xf numFmtId="0" fontId="25" fillId="0" borderId="193" xfId="0" applyFont="1" applyBorder="1"/>
    <xf numFmtId="0" fontId="25" fillId="0" borderId="193" xfId="0" applyFont="1" applyBorder="1" applyAlignment="1">
      <alignment horizontal="center"/>
    </xf>
    <xf numFmtId="0" fontId="25" fillId="0" borderId="193" xfId="0" applyFont="1" applyBorder="1" applyAlignment="1">
      <alignment horizontal="left"/>
    </xf>
    <xf numFmtId="0" fontId="0" fillId="0" borderId="195" xfId="0" applyBorder="1"/>
    <xf numFmtId="0" fontId="25" fillId="0" borderId="194" xfId="0" applyFont="1" applyBorder="1"/>
    <xf numFmtId="0" fontId="25" fillId="0" borderId="200" xfId="0" applyFont="1" applyBorder="1"/>
    <xf numFmtId="0" fontId="25" fillId="0" borderId="200" xfId="0" applyFont="1" applyBorder="1" applyAlignment="1">
      <alignment horizontal="center"/>
    </xf>
    <xf numFmtId="0" fontId="25" fillId="0" borderId="195" xfId="0" applyFont="1" applyBorder="1"/>
    <xf numFmtId="165" fontId="25" fillId="0" borderId="193" xfId="0" applyNumberFormat="1" applyFont="1" applyBorder="1" applyAlignment="1">
      <alignment horizontal="center"/>
    </xf>
    <xf numFmtId="0" fontId="0" fillId="0" borderId="193" xfId="0" applyBorder="1"/>
    <xf numFmtId="0" fontId="0" fillId="0" borderId="194" xfId="0" applyBorder="1"/>
    <xf numFmtId="0" fontId="0" fillId="0" borderId="200" xfId="0" applyBorder="1"/>
    <xf numFmtId="0" fontId="19" fillId="0" borderId="195" xfId="0" applyFont="1" applyBorder="1" applyAlignment="1">
      <alignment horizontal="right" indent="1"/>
    </xf>
    <xf numFmtId="0" fontId="0" fillId="0" borderId="198" xfId="0" applyBorder="1"/>
    <xf numFmtId="0" fontId="19" fillId="0" borderId="198" xfId="0" applyFont="1" applyBorder="1" applyAlignment="1">
      <alignment horizontal="right" indent="1"/>
    </xf>
    <xf numFmtId="0" fontId="18" fillId="4" borderId="197" xfId="0" applyFont="1" applyFill="1" applyBorder="1" applyAlignment="1">
      <alignment horizontal="center"/>
    </xf>
    <xf numFmtId="0" fontId="15" fillId="0" borderId="193" xfId="0" applyFont="1" applyBorder="1" applyAlignment="1">
      <alignment horizontal="center"/>
    </xf>
    <xf numFmtId="3" fontId="0" fillId="59" borderId="200" xfId="0" applyNumberFormat="1" applyFill="1" applyBorder="1"/>
    <xf numFmtId="165" fontId="0" fillId="0" borderId="200" xfId="0" applyNumberFormat="1" applyBorder="1" applyAlignment="1">
      <alignment horizontal="center"/>
    </xf>
    <xf numFmtId="3" fontId="75" fillId="59" borderId="200" xfId="0" applyNumberFormat="1" applyFont="1" applyFill="1" applyBorder="1"/>
    <xf numFmtId="0" fontId="18" fillId="59" borderId="193" xfId="0" applyFont="1" applyFill="1" applyBorder="1"/>
    <xf numFmtId="0" fontId="18" fillId="59" borderId="193" xfId="0" applyFont="1" applyFill="1" applyBorder="1" applyAlignment="1">
      <alignment horizontal="left"/>
    </xf>
    <xf numFmtId="4" fontId="0" fillId="59" borderId="200" xfId="0" applyNumberFormat="1" applyFill="1" applyBorder="1"/>
    <xf numFmtId="166" fontId="0" fillId="0" borderId="200" xfId="0" applyNumberFormat="1" applyBorder="1" applyAlignment="1">
      <alignment horizontal="center"/>
    </xf>
    <xf numFmtId="0" fontId="15" fillId="0" borderId="193" xfId="0" applyFont="1" applyBorder="1"/>
    <xf numFmtId="0" fontId="18" fillId="0" borderId="200" xfId="0" applyFont="1" applyBorder="1" applyAlignment="1">
      <alignment horizontal="center" vertical="center" wrapText="1"/>
    </xf>
    <xf numFmtId="0" fontId="18" fillId="0" borderId="200" xfId="0" applyFont="1" applyBorder="1" applyAlignment="1">
      <alignment horizontal="center" vertical="center"/>
    </xf>
    <xf numFmtId="0" fontId="18" fillId="0" borderId="200" xfId="0" applyFont="1" applyBorder="1" applyAlignment="1">
      <alignment vertical="center"/>
    </xf>
    <xf numFmtId="165" fontId="18" fillId="0" borderId="200" xfId="0" applyNumberFormat="1" applyFont="1" applyBorder="1" applyAlignment="1">
      <alignment horizontal="center" vertical="center"/>
    </xf>
    <xf numFmtId="9" fontId="18" fillId="0" borderId="200" xfId="0" applyNumberFormat="1" applyFont="1" applyBorder="1" applyAlignment="1">
      <alignment horizontal="center" vertical="center"/>
    </xf>
    <xf numFmtId="3" fontId="18" fillId="0" borderId="200" xfId="0" applyNumberFormat="1" applyFont="1" applyBorder="1" applyAlignment="1">
      <alignment horizontal="center" vertical="center"/>
    </xf>
    <xf numFmtId="0" fontId="18" fillId="0" borderId="191" xfId="0" applyFont="1" applyBorder="1" applyAlignment="1">
      <alignment horizontal="center" vertical="center"/>
    </xf>
    <xf numFmtId="168" fontId="18" fillId="0" borderId="200" xfId="0" applyNumberFormat="1" applyFont="1" applyBorder="1" applyAlignment="1">
      <alignment horizontal="center" vertical="center"/>
    </xf>
    <xf numFmtId="1" fontId="18" fillId="0" borderId="200" xfId="0" applyNumberFormat="1" applyFont="1" applyBorder="1" applyAlignment="1">
      <alignment horizontal="center" vertical="center"/>
    </xf>
    <xf numFmtId="10" fontId="18" fillId="0" borderId="200" xfId="0" applyNumberFormat="1" applyFont="1" applyBorder="1" applyAlignment="1">
      <alignment horizontal="center" vertical="center"/>
    </xf>
    <xf numFmtId="0" fontId="18" fillId="50" borderId="193" xfId="0" applyFont="1" applyFill="1" applyBorder="1" applyAlignment="1">
      <alignment vertical="center"/>
    </xf>
    <xf numFmtId="0" fontId="18" fillId="0" borderId="193" xfId="0" applyFont="1" applyBorder="1" applyAlignment="1">
      <alignment horizontal="center" vertical="center"/>
    </xf>
    <xf numFmtId="0" fontId="18" fillId="0" borderId="200" xfId="0" applyFont="1" applyBorder="1" applyAlignment="1">
      <alignment horizontal="left" vertical="center" wrapText="1"/>
    </xf>
    <xf numFmtId="0" fontId="18" fillId="0" borderId="191" xfId="0" applyFont="1" applyBorder="1" applyAlignment="1">
      <alignment horizontal="left" vertical="center" wrapText="1"/>
    </xf>
    <xf numFmtId="0" fontId="15" fillId="0" borderId="191" xfId="0" applyFont="1" applyBorder="1" applyAlignment="1">
      <alignment horizontal="center" vertical="center"/>
    </xf>
    <xf numFmtId="0" fontId="18" fillId="0" borderId="193" xfId="0" applyFont="1" applyBorder="1"/>
    <xf numFmtId="0" fontId="18" fillId="0" borderId="193" xfId="0" applyFont="1" applyBorder="1" applyAlignment="1">
      <alignment vertical="center"/>
    </xf>
    <xf numFmtId="3" fontId="18" fillId="0" borderId="193" xfId="0" applyNumberFormat="1" applyFont="1" applyBorder="1" applyAlignment="1">
      <alignment horizontal="center" vertical="center"/>
    </xf>
    <xf numFmtId="3" fontId="18" fillId="7" borderId="193"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4" fontId="18" fillId="0" borderId="193" xfId="0" applyNumberFormat="1" applyFont="1" applyBorder="1" applyAlignment="1">
      <alignment horizontal="center" vertical="center"/>
    </xf>
    <xf numFmtId="3" fontId="35" fillId="0" borderId="193" xfId="0" applyNumberFormat="1" applyFont="1" applyBorder="1" applyAlignment="1">
      <alignment horizontal="center" vertical="center"/>
    </xf>
    <xf numFmtId="3" fontId="35" fillId="7" borderId="193" xfId="0" applyNumberFormat="1" applyFont="1" applyFill="1" applyBorder="1" applyAlignment="1">
      <alignment horizontal="center" vertical="center"/>
    </xf>
    <xf numFmtId="165" fontId="35" fillId="0" borderId="193" xfId="0" applyNumberFormat="1" applyFont="1" applyBorder="1" applyAlignment="1">
      <alignment horizontal="center" vertical="center"/>
    </xf>
    <xf numFmtId="4" fontId="35" fillId="0" borderId="193" xfId="0" applyNumberFormat="1" applyFont="1" applyBorder="1" applyAlignment="1">
      <alignment horizontal="center" vertical="center"/>
    </xf>
    <xf numFmtId="0" fontId="18" fillId="0" borderId="194" xfId="0" applyFont="1" applyBorder="1"/>
    <xf numFmtId="0" fontId="18" fillId="0" borderId="200" xfId="0" applyFont="1" applyBorder="1"/>
    <xf numFmtId="0" fontId="18" fillId="0" borderId="195" xfId="0" applyFont="1" applyBorder="1" applyAlignment="1">
      <alignment horizontal="right"/>
    </xf>
    <xf numFmtId="3" fontId="18" fillId="0" borderId="193" xfId="0" applyNumberFormat="1" applyFont="1" applyBorder="1" applyAlignment="1">
      <alignment horizontal="center"/>
    </xf>
    <xf numFmtId="172" fontId="17" fillId="0" borderId="191" xfId="0" applyNumberFormat="1" applyFont="1" applyBorder="1" applyAlignment="1">
      <alignment vertical="center"/>
    </xf>
    <xf numFmtId="0" fontId="0" fillId="4" borderId="193" xfId="0" applyFill="1" applyBorder="1" applyProtection="1">
      <protection locked="0"/>
    </xf>
    <xf numFmtId="169" fontId="45" fillId="0" borderId="191" xfId="0" applyNumberFormat="1" applyFont="1" applyBorder="1" applyAlignment="1">
      <alignment horizontal="left" indent="1" shrinkToFit="1"/>
    </xf>
    <xf numFmtId="0" fontId="18" fillId="0" borderId="193" xfId="0" applyFont="1" applyBorder="1" applyAlignment="1">
      <alignment horizontal="center"/>
    </xf>
    <xf numFmtId="0" fontId="4" fillId="2" borderId="192" xfId="0" applyFont="1" applyFill="1" applyBorder="1"/>
    <xf numFmtId="0" fontId="5" fillId="2" borderId="191" xfId="0" applyFont="1" applyFill="1" applyBorder="1" applyAlignment="1">
      <alignment vertical="center"/>
    </xf>
    <xf numFmtId="0" fontId="5" fillId="2" borderId="191" xfId="0" applyFont="1" applyFill="1" applyBorder="1" applyAlignment="1">
      <alignment vertical="center" wrapText="1"/>
    </xf>
    <xf numFmtId="0" fontId="17" fillId="6" borderId="204" xfId="0" applyFont="1" applyFill="1" applyBorder="1" applyAlignment="1">
      <alignment vertical="center" wrapText="1"/>
    </xf>
    <xf numFmtId="9" fontId="17" fillId="6" borderId="192" xfId="2" applyFont="1" applyFill="1" applyBorder="1" applyAlignment="1">
      <alignment horizontal="center" vertical="center" wrapText="1"/>
    </xf>
    <xf numFmtId="9" fontId="17" fillId="6" borderId="192" xfId="0" applyNumberFormat="1" applyFont="1" applyFill="1" applyBorder="1" applyAlignment="1">
      <alignment horizontal="center" vertical="center" wrapText="1"/>
    </xf>
    <xf numFmtId="9" fontId="0" fillId="6" borderId="192" xfId="2" applyFont="1" applyFill="1" applyBorder="1" applyAlignment="1">
      <alignment horizontal="center" vertical="center"/>
    </xf>
    <xf numFmtId="9" fontId="0" fillId="6" borderId="192" xfId="0" applyNumberFormat="1" applyFill="1" applyBorder="1" applyAlignment="1">
      <alignment horizontal="center"/>
    </xf>
    <xf numFmtId="9" fontId="0" fillId="6" borderId="205" xfId="0" applyNumberFormat="1" applyFill="1" applyBorder="1" applyAlignment="1">
      <alignment horizontal="center"/>
    </xf>
    <xf numFmtId="9" fontId="17" fillId="6" borderId="204" xfId="0" applyNumberFormat="1" applyFont="1" applyFill="1" applyBorder="1" applyAlignment="1">
      <alignment horizontal="center" vertical="center" wrapText="1"/>
    </xf>
    <xf numFmtId="0" fontId="17" fillId="0" borderId="204" xfId="0" applyFont="1" applyBorder="1" applyAlignment="1">
      <alignment vertical="center" wrapText="1"/>
    </xf>
    <xf numFmtId="9" fontId="17" fillId="0" borderId="192" xfId="2" applyFont="1" applyBorder="1" applyAlignment="1">
      <alignment horizontal="center" vertical="center" wrapText="1"/>
    </xf>
    <xf numFmtId="9" fontId="17" fillId="0" borderId="192" xfId="0" applyNumberFormat="1" applyFont="1" applyBorder="1" applyAlignment="1">
      <alignment horizontal="center" vertical="center" wrapText="1"/>
    </xf>
    <xf numFmtId="9" fontId="0" fillId="0" borderId="192" xfId="2" applyFont="1" applyBorder="1" applyAlignment="1">
      <alignment horizontal="center" vertical="center"/>
    </xf>
    <xf numFmtId="9" fontId="0" fillId="0" borderId="192" xfId="0" applyNumberFormat="1" applyBorder="1" applyAlignment="1">
      <alignment horizontal="center"/>
    </xf>
    <xf numFmtId="9" fontId="17" fillId="0" borderId="204" xfId="0" applyNumberFormat="1" applyFont="1" applyBorder="1" applyAlignment="1">
      <alignment horizontal="center" vertical="center" wrapText="1"/>
    </xf>
    <xf numFmtId="9" fontId="0" fillId="0" borderId="205" xfId="0" applyNumberFormat="1" applyBorder="1" applyAlignment="1">
      <alignment horizontal="center"/>
    </xf>
    <xf numFmtId="0" fontId="17" fillId="6" borderId="207" xfId="0" applyFont="1" applyFill="1" applyBorder="1" applyAlignment="1">
      <alignment vertical="center" wrapText="1"/>
    </xf>
    <xf numFmtId="9" fontId="17" fillId="6" borderId="181" xfId="2" applyFont="1" applyFill="1" applyBorder="1" applyAlignment="1">
      <alignment horizontal="center" vertical="center" wrapText="1"/>
    </xf>
    <xf numFmtId="9" fontId="17" fillId="6" borderId="181" xfId="0" applyNumberFormat="1" applyFont="1" applyFill="1" applyBorder="1" applyAlignment="1">
      <alignment horizontal="center" vertical="center" wrapText="1"/>
    </xf>
    <xf numFmtId="9" fontId="0" fillId="6" borderId="181" xfId="2" applyFont="1" applyFill="1" applyBorder="1" applyAlignment="1">
      <alignment horizontal="center" vertical="center"/>
    </xf>
    <xf numFmtId="9" fontId="0" fillId="6" borderId="181" xfId="0" applyNumberFormat="1" applyFill="1" applyBorder="1" applyAlignment="1">
      <alignment horizontal="center"/>
    </xf>
    <xf numFmtId="9" fontId="0" fillId="6" borderId="208" xfId="0" applyNumberFormat="1" applyFill="1" applyBorder="1" applyAlignment="1">
      <alignment horizontal="center"/>
    </xf>
    <xf numFmtId="9" fontId="17" fillId="6" borderId="207" xfId="0" applyNumberFormat="1" applyFont="1" applyFill="1" applyBorder="1" applyAlignment="1">
      <alignment horizontal="center" vertical="center" wrapText="1"/>
    </xf>
    <xf numFmtId="9" fontId="0" fillId="6" borderId="209" xfId="0" applyNumberFormat="1" applyFill="1" applyBorder="1" applyAlignment="1">
      <alignment horizontal="center"/>
    </xf>
    <xf numFmtId="0" fontId="17" fillId="6" borderId="192" xfId="0" applyFont="1" applyFill="1" applyBorder="1" applyAlignment="1">
      <alignment horizontal="center" vertical="center" wrapText="1"/>
    </xf>
    <xf numFmtId="0" fontId="17" fillId="0" borderId="192" xfId="0" applyFont="1" applyBorder="1" applyAlignment="1">
      <alignment horizontal="center" vertical="center" wrapText="1"/>
    </xf>
    <xf numFmtId="0" fontId="0" fillId="0" borderId="192" xfId="0" applyBorder="1" applyAlignment="1">
      <alignment horizontal="center"/>
    </xf>
    <xf numFmtId="177" fontId="0" fillId="0" borderId="193" xfId="0" applyNumberFormat="1" applyBorder="1" applyAlignment="1">
      <alignment horizontal="center"/>
    </xf>
    <xf numFmtId="177" fontId="0" fillId="0" borderId="194" xfId="0" applyNumberFormat="1" applyBorder="1" applyAlignment="1">
      <alignment horizontal="center"/>
    </xf>
    <xf numFmtId="2" fontId="0" fillId="0" borderId="193" xfId="0" applyNumberFormat="1" applyBorder="1" applyAlignment="1">
      <alignment horizontal="center"/>
    </xf>
    <xf numFmtId="177" fontId="0" fillId="4" borderId="193" xfId="0" applyNumberFormat="1" applyFill="1" applyBorder="1" applyAlignment="1" applyProtection="1">
      <alignment horizontal="center"/>
      <protection locked="0"/>
    </xf>
    <xf numFmtId="9" fontId="0" fillId="4" borderId="193" xfId="0" applyNumberFormat="1" applyFill="1" applyBorder="1" applyAlignment="1" applyProtection="1">
      <alignment horizontal="center"/>
      <protection locked="0"/>
    </xf>
    <xf numFmtId="9" fontId="0" fillId="0" borderId="193" xfId="0" applyNumberFormat="1" applyBorder="1" applyAlignment="1">
      <alignment horizontal="center"/>
    </xf>
    <xf numFmtId="0" fontId="0" fillId="4" borderId="193" xfId="0" applyFill="1" applyBorder="1" applyAlignment="1" applyProtection="1">
      <alignment horizontal="center"/>
      <protection locked="0"/>
    </xf>
    <xf numFmtId="0" fontId="75" fillId="0" borderId="191" xfId="0" applyFont="1" applyBorder="1" applyAlignment="1">
      <alignment vertical="top" wrapText="1"/>
    </xf>
    <xf numFmtId="0" fontId="76" fillId="0" borderId="191" xfId="0" applyFont="1" applyBorder="1"/>
    <xf numFmtId="0" fontId="75" fillId="0" borderId="191" xfId="0" applyFont="1" applyBorder="1" applyAlignment="1">
      <alignment vertical="top"/>
    </xf>
    <xf numFmtId="0" fontId="57" fillId="4" borderId="193" xfId="0" applyFont="1" applyFill="1" applyBorder="1" applyAlignment="1" applyProtection="1">
      <alignment horizontal="center"/>
      <protection locked="0"/>
    </xf>
    <xf numFmtId="14" fontId="0" fillId="4" borderId="193" xfId="0" applyNumberFormat="1" applyFill="1" applyBorder="1" applyAlignment="1" applyProtection="1">
      <alignment horizontal="center"/>
      <protection locked="0"/>
    </xf>
    <xf numFmtId="0" fontId="76" fillId="4" borderId="193" xfId="0" applyFont="1" applyFill="1" applyBorder="1" applyAlignment="1" applyProtection="1">
      <alignment horizontal="center" vertical="top" wrapText="1"/>
      <protection locked="0"/>
    </xf>
    <xf numFmtId="0" fontId="75" fillId="0" borderId="191" xfId="0" applyFont="1" applyBorder="1" applyAlignment="1">
      <alignment horizontal="center" vertical="top"/>
    </xf>
    <xf numFmtId="0" fontId="18" fillId="0" borderId="191" xfId="0" applyFont="1" applyBorder="1"/>
    <xf numFmtId="0" fontId="5" fillId="0" borderId="193" xfId="0" applyFont="1" applyBorder="1" applyAlignment="1">
      <alignment horizontal="center"/>
    </xf>
    <xf numFmtId="0" fontId="0" fillId="2" borderId="193" xfId="0" applyFill="1" applyBorder="1" applyAlignment="1">
      <alignment horizontal="left"/>
    </xf>
    <xf numFmtId="170" fontId="0" fillId="2" borderId="193" xfId="0" applyNumberFormat="1" applyFill="1" applyBorder="1" applyAlignment="1">
      <alignment horizontal="left"/>
    </xf>
    <xf numFmtId="14" fontId="0" fillId="2" borderId="193" xfId="0" applyNumberFormat="1" applyFill="1" applyBorder="1" applyAlignment="1">
      <alignment horizontal="left"/>
    </xf>
    <xf numFmtId="3" fontId="0" fillId="2" borderId="193" xfId="0" applyNumberFormat="1" applyFill="1" applyBorder="1" applyAlignment="1">
      <alignment horizontal="left"/>
    </xf>
    <xf numFmtId="164" fontId="0" fillId="0" borderId="193" xfId="0" applyNumberFormat="1" applyBorder="1" applyAlignment="1" applyProtection="1">
      <alignment horizontal="center"/>
      <protection locked="0"/>
    </xf>
    <xf numFmtId="165" fontId="0" fillId="2" borderId="193" xfId="0" applyNumberFormat="1" applyFill="1" applyBorder="1" applyAlignment="1">
      <alignment horizontal="center"/>
    </xf>
    <xf numFmtId="0" fontId="0" fillId="2" borderId="193" xfId="0" applyFill="1" applyBorder="1" applyAlignment="1">
      <alignment horizontal="center"/>
    </xf>
    <xf numFmtId="165" fontId="0" fillId="2" borderId="193" xfId="0" applyNumberFormat="1" applyFill="1" applyBorder="1" applyAlignment="1">
      <alignment horizontal="left"/>
    </xf>
    <xf numFmtId="166" fontId="0" fillId="2" borderId="193" xfId="0" applyNumberFormat="1" applyFill="1" applyBorder="1" applyAlignment="1">
      <alignment horizontal="center"/>
    </xf>
    <xf numFmtId="166" fontId="0" fillId="2" borderId="193" xfId="0" applyNumberFormat="1" applyFill="1" applyBorder="1" applyAlignment="1">
      <alignment horizontal="left"/>
    </xf>
    <xf numFmtId="0" fontId="0" fillId="2" borderId="193" xfId="0" applyFill="1" applyBorder="1"/>
    <xf numFmtId="0" fontId="0" fillId="12" borderId="193" xfId="0" applyFill="1" applyBorder="1"/>
    <xf numFmtId="0" fontId="0" fillId="12" borderId="193" xfId="0" applyFill="1" applyBorder="1" applyAlignment="1">
      <alignment horizontal="left"/>
    </xf>
    <xf numFmtId="0" fontId="0" fillId="12" borderId="193" xfId="0" applyFill="1" applyBorder="1" applyAlignment="1">
      <alignment horizontal="center"/>
    </xf>
    <xf numFmtId="166" fontId="0" fillId="12" borderId="193" xfId="0" applyNumberFormat="1" applyFill="1" applyBorder="1" applyAlignment="1">
      <alignment horizontal="center"/>
    </xf>
    <xf numFmtId="0" fontId="0" fillId="3" borderId="193" xfId="0" applyFill="1" applyBorder="1"/>
    <xf numFmtId="165" fontId="0" fillId="3" borderId="193" xfId="0" applyNumberFormat="1" applyFill="1" applyBorder="1" applyAlignment="1">
      <alignment horizontal="center"/>
    </xf>
    <xf numFmtId="1" fontId="0" fillId="3" borderId="193" xfId="0" applyNumberFormat="1" applyFill="1" applyBorder="1" applyAlignment="1">
      <alignment horizontal="center"/>
    </xf>
    <xf numFmtId="2" fontId="0" fillId="3" borderId="193" xfId="0" applyNumberFormat="1" applyFill="1" applyBorder="1" applyAlignment="1">
      <alignment horizontal="center"/>
    </xf>
    <xf numFmtId="9" fontId="0" fillId="3" borderId="193" xfId="0" applyNumberFormat="1" applyFill="1" applyBorder="1" applyAlignment="1">
      <alignment horizontal="center"/>
    </xf>
    <xf numFmtId="0" fontId="0" fillId="3" borderId="193" xfId="0" applyFill="1" applyBorder="1" applyAlignment="1">
      <alignment horizontal="center"/>
    </xf>
    <xf numFmtId="10" fontId="0" fillId="3" borderId="193" xfId="0" applyNumberFormat="1" applyFill="1" applyBorder="1" applyAlignment="1">
      <alignment horizontal="center"/>
    </xf>
    <xf numFmtId="3" fontId="0" fillId="2" borderId="193" xfId="53" applyNumberFormat="1" applyFont="1" applyFill="1" applyBorder="1" applyAlignment="1">
      <alignment horizontal="center"/>
    </xf>
    <xf numFmtId="9" fontId="0" fillId="2" borderId="193" xfId="0" applyNumberFormat="1" applyFill="1" applyBorder="1" applyAlignment="1">
      <alignment horizontal="center"/>
    </xf>
    <xf numFmtId="0" fontId="0" fillId="3" borderId="201" xfId="0" applyFill="1" applyBorder="1"/>
    <xf numFmtId="165" fontId="0" fillId="3" borderId="201" xfId="0" applyNumberFormat="1" applyFill="1" applyBorder="1" applyAlignment="1">
      <alignment horizontal="center"/>
    </xf>
    <xf numFmtId="0" fontId="0" fillId="3" borderId="201" xfId="0" applyFill="1" applyBorder="1" applyAlignment="1">
      <alignment horizontal="center"/>
    </xf>
    <xf numFmtId="3" fontId="0" fillId="3" borderId="201" xfId="53" applyNumberFormat="1" applyFont="1" applyFill="1" applyBorder="1" applyAlignment="1">
      <alignment horizontal="center"/>
    </xf>
    <xf numFmtId="9" fontId="0" fillId="3" borderId="201" xfId="0" applyNumberFormat="1" applyFill="1" applyBorder="1" applyAlignment="1">
      <alignment horizontal="center"/>
    </xf>
    <xf numFmtId="166" fontId="0" fillId="3" borderId="201" xfId="0" applyNumberFormat="1" applyFill="1" applyBorder="1" applyAlignment="1">
      <alignment horizontal="center"/>
    </xf>
    <xf numFmtId="0" fontId="6" fillId="57" borderId="210" xfId="0" applyFont="1" applyFill="1" applyBorder="1"/>
    <xf numFmtId="165" fontId="6" fillId="57" borderId="211" xfId="0" applyNumberFormat="1" applyFont="1" applyFill="1" applyBorder="1" applyAlignment="1">
      <alignment horizontal="center"/>
    </xf>
    <xf numFmtId="0" fontId="6" fillId="57" borderId="211" xfId="0" applyFont="1" applyFill="1" applyBorder="1" applyAlignment="1">
      <alignment horizontal="center"/>
    </xf>
    <xf numFmtId="3" fontId="6" fillId="57" borderId="211" xfId="53" applyNumberFormat="1" applyFont="1" applyFill="1" applyBorder="1" applyAlignment="1">
      <alignment horizontal="center"/>
    </xf>
    <xf numFmtId="9" fontId="6" fillId="57" borderId="211" xfId="0" applyNumberFormat="1" applyFont="1" applyFill="1" applyBorder="1" applyAlignment="1">
      <alignment horizontal="center"/>
    </xf>
    <xf numFmtId="166" fontId="6" fillId="57" borderId="211" xfId="0" applyNumberFormat="1" applyFont="1" applyFill="1" applyBorder="1" applyAlignment="1">
      <alignment horizontal="center"/>
    </xf>
    <xf numFmtId="165" fontId="6" fillId="57" borderId="212" xfId="0" applyNumberFormat="1" applyFont="1" applyFill="1" applyBorder="1" applyAlignment="1">
      <alignment horizontal="center"/>
    </xf>
    <xf numFmtId="0" fontId="0" fillId="9" borderId="193" xfId="0" applyFill="1" applyBorder="1"/>
    <xf numFmtId="165" fontId="0" fillId="9" borderId="193" xfId="0" applyNumberFormat="1" applyFill="1" applyBorder="1" applyAlignment="1">
      <alignment horizontal="center"/>
    </xf>
    <xf numFmtId="0" fontId="0" fillId="9" borderId="193" xfId="0" applyFill="1" applyBorder="1" applyAlignment="1">
      <alignment horizontal="center"/>
    </xf>
    <xf numFmtId="3" fontId="0" fillId="9" borderId="193" xfId="0" applyNumberFormat="1" applyFill="1" applyBorder="1" applyAlignment="1">
      <alignment horizontal="center"/>
    </xf>
    <xf numFmtId="164" fontId="0" fillId="9" borderId="193" xfId="0" applyNumberFormat="1" applyFill="1" applyBorder="1" applyAlignment="1">
      <alignment horizontal="center"/>
    </xf>
    <xf numFmtId="9" fontId="0" fillId="9" borderId="193" xfId="0" applyNumberFormat="1" applyFill="1" applyBorder="1" applyAlignment="1">
      <alignment horizontal="center"/>
    </xf>
    <xf numFmtId="168" fontId="0" fillId="9" borderId="193" xfId="0" applyNumberFormat="1" applyFill="1" applyBorder="1" applyAlignment="1">
      <alignment horizontal="center"/>
    </xf>
    <xf numFmtId="2" fontId="0" fillId="9" borderId="193" xfId="0" applyNumberFormat="1" applyFill="1" applyBorder="1" applyAlignment="1">
      <alignment horizontal="center"/>
    </xf>
    <xf numFmtId="10" fontId="0" fillId="9" borderId="193" xfId="0" applyNumberFormat="1" applyFill="1" applyBorder="1" applyAlignment="1">
      <alignment horizontal="center"/>
    </xf>
    <xf numFmtId="166" fontId="0" fillId="9" borderId="193" xfId="0" applyNumberFormat="1" applyFill="1" applyBorder="1" applyAlignment="1">
      <alignment horizontal="center"/>
    </xf>
    <xf numFmtId="0" fontId="0" fillId="54" borderId="193" xfId="0" applyFill="1" applyBorder="1"/>
    <xf numFmtId="165" fontId="0" fillId="54" borderId="193" xfId="0" applyNumberFormat="1" applyFill="1" applyBorder="1" applyAlignment="1">
      <alignment horizontal="center"/>
    </xf>
    <xf numFmtId="166" fontId="0" fillId="54" borderId="193" xfId="0" applyNumberFormat="1" applyFill="1" applyBorder="1" applyAlignment="1">
      <alignment horizontal="center"/>
    </xf>
    <xf numFmtId="0" fontId="0" fillId="54" borderId="193" xfId="0" applyFill="1" applyBorder="1" applyAlignment="1">
      <alignment horizontal="center"/>
    </xf>
    <xf numFmtId="3" fontId="0" fillId="54" borderId="193" xfId="0" applyNumberFormat="1" applyFill="1" applyBorder="1" applyAlignment="1">
      <alignment horizontal="center"/>
    </xf>
    <xf numFmtId="9" fontId="0" fillId="54" borderId="193" xfId="0" applyNumberFormat="1" applyFill="1" applyBorder="1" applyAlignment="1">
      <alignment horizontal="center"/>
    </xf>
    <xf numFmtId="0" fontId="0" fillId="54" borderId="193" xfId="0" quotePrefix="1" applyFill="1" applyBorder="1"/>
    <xf numFmtId="0" fontId="0" fillId="9" borderId="193" xfId="0" quotePrefix="1" applyFill="1" applyBorder="1"/>
    <xf numFmtId="0" fontId="6" fillId="56" borderId="193" xfId="0" applyFont="1" applyFill="1" applyBorder="1"/>
    <xf numFmtId="165" fontId="6" fillId="56" borderId="193" xfId="0" applyNumberFormat="1" applyFont="1" applyFill="1" applyBorder="1" applyAlignment="1">
      <alignment horizontal="center"/>
    </xf>
    <xf numFmtId="0" fontId="6" fillId="56" borderId="193" xfId="0" applyFont="1" applyFill="1" applyBorder="1" applyAlignment="1">
      <alignment horizontal="center"/>
    </xf>
    <xf numFmtId="3" fontId="6" fillId="56" borderId="193" xfId="0" applyNumberFormat="1" applyFont="1" applyFill="1" applyBorder="1" applyAlignment="1">
      <alignment horizontal="center"/>
    </xf>
    <xf numFmtId="9" fontId="6" fillId="56" borderId="193" xfId="0" applyNumberFormat="1" applyFont="1" applyFill="1" applyBorder="1" applyAlignment="1">
      <alignment horizontal="center"/>
    </xf>
    <xf numFmtId="164" fontId="6" fillId="56" borderId="193" xfId="0" applyNumberFormat="1" applyFont="1" applyFill="1" applyBorder="1" applyAlignment="1">
      <alignment horizontal="center"/>
    </xf>
    <xf numFmtId="166" fontId="6" fillId="56" borderId="193" xfId="0" applyNumberFormat="1" applyFont="1" applyFill="1" applyBorder="1" applyAlignment="1">
      <alignment horizontal="center"/>
    </xf>
    <xf numFmtId="0" fontId="0" fillId="22" borderId="193" xfId="0" applyFill="1" applyBorder="1"/>
    <xf numFmtId="165" fontId="0" fillId="22" borderId="193" xfId="0" applyNumberFormat="1" applyFill="1" applyBorder="1" applyAlignment="1">
      <alignment horizontal="center"/>
    </xf>
    <xf numFmtId="0" fontId="0" fillId="22" borderId="193" xfId="0" applyFill="1" applyBorder="1" applyAlignment="1">
      <alignment horizontal="center"/>
    </xf>
    <xf numFmtId="3" fontId="0" fillId="22" borderId="193" xfId="0" applyNumberFormat="1" applyFill="1" applyBorder="1" applyAlignment="1">
      <alignment horizontal="center"/>
    </xf>
    <xf numFmtId="164" fontId="0" fillId="22" borderId="193" xfId="0" applyNumberFormat="1" applyFill="1" applyBorder="1" applyAlignment="1">
      <alignment horizontal="center"/>
    </xf>
    <xf numFmtId="9" fontId="0" fillId="22" borderId="193" xfId="0" applyNumberFormat="1" applyFill="1" applyBorder="1" applyAlignment="1">
      <alignment horizontal="center"/>
    </xf>
    <xf numFmtId="168" fontId="0" fillId="22" borderId="193" xfId="0" applyNumberFormat="1" applyFill="1" applyBorder="1" applyAlignment="1">
      <alignment horizontal="center"/>
    </xf>
    <xf numFmtId="2" fontId="0" fillId="22" borderId="193" xfId="0" applyNumberFormat="1" applyFill="1" applyBorder="1" applyAlignment="1">
      <alignment horizontal="center"/>
    </xf>
    <xf numFmtId="10" fontId="0" fillId="22" borderId="193" xfId="0" applyNumberFormat="1" applyFill="1" applyBorder="1" applyAlignment="1">
      <alignment horizontal="center"/>
    </xf>
    <xf numFmtId="166" fontId="0" fillId="22" borderId="193" xfId="0" applyNumberFormat="1" applyFill="1" applyBorder="1" applyAlignment="1">
      <alignment horizontal="center"/>
    </xf>
    <xf numFmtId="0" fontId="0" fillId="49" borderId="193" xfId="0" applyFill="1" applyBorder="1"/>
    <xf numFmtId="165" fontId="0" fillId="49" borderId="193" xfId="0" applyNumberFormat="1" applyFill="1" applyBorder="1" applyAlignment="1">
      <alignment horizontal="center"/>
    </xf>
    <xf numFmtId="166" fontId="0" fillId="49" borderId="193" xfId="0" applyNumberFormat="1" applyFill="1" applyBorder="1" applyAlignment="1">
      <alignment horizontal="center"/>
    </xf>
    <xf numFmtId="0" fontId="0" fillId="49" borderId="193" xfId="0" applyFill="1" applyBorder="1" applyAlignment="1">
      <alignment horizontal="center"/>
    </xf>
    <xf numFmtId="3" fontId="0" fillId="49" borderId="193" xfId="0" applyNumberFormat="1" applyFill="1" applyBorder="1" applyAlignment="1">
      <alignment horizontal="center"/>
    </xf>
    <xf numFmtId="9" fontId="0" fillId="49" borderId="193" xfId="0" applyNumberFormat="1" applyFill="1" applyBorder="1" applyAlignment="1">
      <alignment horizontal="center"/>
    </xf>
    <xf numFmtId="0" fontId="0" fillId="49" borderId="193" xfId="0" quotePrefix="1" applyFill="1" applyBorder="1"/>
    <xf numFmtId="0" fontId="0" fillId="22" borderId="193" xfId="0" quotePrefix="1" applyFill="1" applyBorder="1"/>
    <xf numFmtId="0" fontId="6" fillId="25" borderId="193" xfId="0" applyFont="1" applyFill="1" applyBorder="1"/>
    <xf numFmtId="165" fontId="6" fillId="25" borderId="193" xfId="0" applyNumberFormat="1" applyFont="1" applyFill="1" applyBorder="1" applyAlignment="1">
      <alignment horizontal="center"/>
    </xf>
    <xf numFmtId="0" fontId="6" fillId="25" borderId="193" xfId="0" applyFont="1" applyFill="1" applyBorder="1" applyAlignment="1">
      <alignment horizontal="center"/>
    </xf>
    <xf numFmtId="3" fontId="6" fillId="25" borderId="193" xfId="0" applyNumberFormat="1" applyFont="1" applyFill="1" applyBorder="1" applyAlignment="1">
      <alignment horizontal="center"/>
    </xf>
    <xf numFmtId="9" fontId="6" fillId="25" borderId="193" xfId="0" applyNumberFormat="1" applyFont="1" applyFill="1" applyBorder="1" applyAlignment="1">
      <alignment horizontal="center"/>
    </xf>
    <xf numFmtId="164" fontId="6" fillId="25" borderId="193" xfId="0" applyNumberFormat="1" applyFont="1" applyFill="1" applyBorder="1" applyAlignment="1">
      <alignment horizontal="center"/>
    </xf>
    <xf numFmtId="166" fontId="6" fillId="25" borderId="193" xfId="0" applyNumberFormat="1" applyFont="1" applyFill="1" applyBorder="1" applyAlignment="1">
      <alignment horizontal="center"/>
    </xf>
    <xf numFmtId="165" fontId="0" fillId="12" borderId="193" xfId="0" applyNumberFormat="1" applyFill="1" applyBorder="1" applyAlignment="1">
      <alignment horizontal="center"/>
    </xf>
    <xf numFmtId="3" fontId="0" fillId="12" borderId="193" xfId="0" applyNumberFormat="1" applyFill="1" applyBorder="1" applyAlignment="1">
      <alignment horizontal="center"/>
    </xf>
    <xf numFmtId="164" fontId="0" fillId="12" borderId="193" xfId="0" applyNumberFormat="1" applyFill="1" applyBorder="1" applyAlignment="1">
      <alignment horizontal="center"/>
    </xf>
    <xf numFmtId="9" fontId="0" fillId="12" borderId="193" xfId="0" applyNumberFormat="1" applyFill="1" applyBorder="1" applyAlignment="1">
      <alignment horizontal="center"/>
    </xf>
    <xf numFmtId="168" fontId="0" fillId="12" borderId="193" xfId="0" applyNumberFormat="1" applyFill="1" applyBorder="1" applyAlignment="1">
      <alignment horizontal="center"/>
    </xf>
    <xf numFmtId="2" fontId="0" fillId="12" borderId="193" xfId="0" applyNumberFormat="1" applyFill="1" applyBorder="1" applyAlignment="1">
      <alignment horizontal="center"/>
    </xf>
    <xf numFmtId="10" fontId="0" fillId="12" borderId="193" xfId="0" applyNumberFormat="1" applyFill="1" applyBorder="1" applyAlignment="1">
      <alignment horizontal="center"/>
    </xf>
    <xf numFmtId="0" fontId="0" fillId="7" borderId="193" xfId="0" applyFill="1" applyBorder="1"/>
    <xf numFmtId="165" fontId="0" fillId="7" borderId="193" xfId="0" applyNumberFormat="1" applyFill="1" applyBorder="1" applyAlignment="1">
      <alignment horizontal="center"/>
    </xf>
    <xf numFmtId="166" fontId="0" fillId="7" borderId="193" xfId="0" applyNumberFormat="1" applyFill="1" applyBorder="1" applyAlignment="1">
      <alignment horizontal="center"/>
    </xf>
    <xf numFmtId="0" fontId="0" fillId="7" borderId="193" xfId="0" applyFill="1" applyBorder="1" applyAlignment="1">
      <alignment horizontal="center"/>
    </xf>
    <xf numFmtId="3" fontId="0" fillId="7" borderId="193" xfId="0" applyNumberFormat="1" applyFill="1" applyBorder="1" applyAlignment="1">
      <alignment horizontal="center"/>
    </xf>
    <xf numFmtId="9" fontId="0" fillId="7" borderId="193" xfId="0" applyNumberFormat="1" applyFill="1" applyBorder="1" applyAlignment="1">
      <alignment horizontal="center"/>
    </xf>
    <xf numFmtId="0" fontId="0" fillId="7" borderId="193" xfId="0" quotePrefix="1" applyFill="1" applyBorder="1"/>
    <xf numFmtId="0" fontId="0" fillId="12" borderId="193" xfId="0" quotePrefix="1" applyFill="1" applyBorder="1"/>
    <xf numFmtId="0" fontId="6" fillId="26" borderId="193" xfId="0" applyFont="1" applyFill="1" applyBorder="1"/>
    <xf numFmtId="165" fontId="6" fillId="26" borderId="193" xfId="0" applyNumberFormat="1" applyFont="1" applyFill="1" applyBorder="1" applyAlignment="1">
      <alignment horizontal="center"/>
    </xf>
    <xf numFmtId="0" fontId="6" fillId="26" borderId="193" xfId="0" applyFont="1" applyFill="1" applyBorder="1" applyAlignment="1">
      <alignment horizontal="center"/>
    </xf>
    <xf numFmtId="3" fontId="6" fillId="26" borderId="193" xfId="0" applyNumberFormat="1" applyFont="1" applyFill="1" applyBorder="1" applyAlignment="1">
      <alignment horizontal="center"/>
    </xf>
    <xf numFmtId="9" fontId="6" fillId="26" borderId="193" xfId="0" applyNumberFormat="1" applyFont="1" applyFill="1" applyBorder="1" applyAlignment="1">
      <alignment horizontal="center"/>
    </xf>
    <xf numFmtId="164" fontId="6" fillId="26" borderId="193" xfId="0" applyNumberFormat="1" applyFont="1" applyFill="1" applyBorder="1" applyAlignment="1">
      <alignment horizontal="center"/>
    </xf>
    <xf numFmtId="166" fontId="6" fillId="26" borderId="193" xfId="0" applyNumberFormat="1" applyFont="1" applyFill="1" applyBorder="1" applyAlignment="1">
      <alignment horizontal="center"/>
    </xf>
    <xf numFmtId="0" fontId="0" fillId="11" borderId="193" xfId="0" applyFill="1" applyBorder="1"/>
    <xf numFmtId="165" fontId="0" fillId="11" borderId="193" xfId="0" applyNumberFormat="1" applyFill="1" applyBorder="1" applyAlignment="1">
      <alignment horizontal="center"/>
    </xf>
    <xf numFmtId="0" fontId="0" fillId="11" borderId="193" xfId="0" applyFill="1" applyBorder="1" applyAlignment="1">
      <alignment horizontal="center"/>
    </xf>
    <xf numFmtId="3" fontId="0" fillId="11" borderId="193" xfId="0" applyNumberFormat="1" applyFill="1" applyBorder="1" applyAlignment="1">
      <alignment horizontal="center"/>
    </xf>
    <xf numFmtId="164" fontId="0" fillId="11" borderId="193" xfId="0" applyNumberFormat="1" applyFill="1" applyBorder="1" applyAlignment="1">
      <alignment horizontal="center"/>
    </xf>
    <xf numFmtId="9" fontId="0" fillId="11" borderId="193" xfId="0" applyNumberFormat="1" applyFill="1" applyBorder="1" applyAlignment="1">
      <alignment horizontal="center"/>
    </xf>
    <xf numFmtId="168" fontId="0" fillId="11" borderId="193" xfId="0" applyNumberFormat="1" applyFill="1" applyBorder="1" applyAlignment="1">
      <alignment horizontal="center"/>
    </xf>
    <xf numFmtId="2" fontId="0" fillId="11" borderId="193" xfId="0" applyNumberFormat="1" applyFill="1" applyBorder="1" applyAlignment="1">
      <alignment horizontal="center"/>
    </xf>
    <xf numFmtId="10" fontId="0" fillId="11" borderId="193" xfId="0" applyNumberFormat="1" applyFill="1" applyBorder="1" applyAlignment="1">
      <alignment horizontal="center"/>
    </xf>
    <xf numFmtId="166" fontId="0" fillId="11" borderId="193" xfId="0" applyNumberFormat="1" applyFill="1" applyBorder="1" applyAlignment="1">
      <alignment horizontal="center"/>
    </xf>
    <xf numFmtId="0" fontId="0" fillId="50" borderId="193" xfId="0" applyFill="1" applyBorder="1"/>
    <xf numFmtId="165" fontId="0" fillId="50" borderId="193" xfId="0" applyNumberFormat="1" applyFill="1" applyBorder="1" applyAlignment="1">
      <alignment horizontal="center"/>
    </xf>
    <xf numFmtId="166" fontId="0" fillId="50" borderId="193" xfId="0" applyNumberFormat="1" applyFill="1" applyBorder="1" applyAlignment="1">
      <alignment horizontal="center"/>
    </xf>
    <xf numFmtId="0" fontId="0" fillId="50" borderId="193" xfId="0" applyFill="1" applyBorder="1" applyAlignment="1">
      <alignment horizontal="center"/>
    </xf>
    <xf numFmtId="3" fontId="0" fillId="50" borderId="193" xfId="0" applyNumberFormat="1" applyFill="1" applyBorder="1" applyAlignment="1">
      <alignment horizontal="center"/>
    </xf>
    <xf numFmtId="9" fontId="0" fillId="50" borderId="193" xfId="0" applyNumberFormat="1" applyFill="1" applyBorder="1" applyAlignment="1">
      <alignment horizontal="center"/>
    </xf>
    <xf numFmtId="0" fontId="0" fillId="50" borderId="193" xfId="0" quotePrefix="1" applyFill="1" applyBorder="1"/>
    <xf numFmtId="0" fontId="0" fillId="11" borderId="193" xfId="0" quotePrefix="1" applyFill="1" applyBorder="1"/>
    <xf numFmtId="0" fontId="6" fillId="55" borderId="193" xfId="0" applyFont="1" applyFill="1" applyBorder="1"/>
    <xf numFmtId="165" fontId="6" fillId="55" borderId="193" xfId="0" applyNumberFormat="1" applyFont="1" applyFill="1" applyBorder="1" applyAlignment="1">
      <alignment horizontal="center"/>
    </xf>
    <xf numFmtId="0" fontId="6" fillId="55" borderId="193" xfId="0" applyFont="1" applyFill="1" applyBorder="1" applyAlignment="1">
      <alignment horizontal="center"/>
    </xf>
    <xf numFmtId="3" fontId="6" fillId="55" borderId="193" xfId="0" applyNumberFormat="1" applyFont="1" applyFill="1" applyBorder="1" applyAlignment="1">
      <alignment horizontal="center"/>
    </xf>
    <xf numFmtId="9" fontId="6" fillId="55" borderId="193" xfId="0" applyNumberFormat="1" applyFont="1" applyFill="1" applyBorder="1" applyAlignment="1">
      <alignment horizontal="center"/>
    </xf>
    <xf numFmtId="164" fontId="6" fillId="55" borderId="193" xfId="0" applyNumberFormat="1" applyFont="1" applyFill="1" applyBorder="1" applyAlignment="1">
      <alignment horizontal="center"/>
    </xf>
    <xf numFmtId="166" fontId="6" fillId="55" borderId="193" xfId="0" applyNumberFormat="1" applyFont="1" applyFill="1" applyBorder="1" applyAlignment="1">
      <alignment horizontal="center"/>
    </xf>
    <xf numFmtId="0" fontId="5" fillId="2" borderId="193" xfId="0" applyFont="1" applyFill="1" applyBorder="1" applyAlignment="1">
      <alignment horizontal="center" wrapText="1"/>
    </xf>
    <xf numFmtId="10" fontId="42" fillId="0" borderId="201" xfId="0" applyNumberFormat="1" applyFont="1" applyBorder="1" applyAlignment="1">
      <alignment horizontal="center" wrapText="1"/>
    </xf>
    <xf numFmtId="168" fontId="0" fillId="0" borderId="193" xfId="0" applyNumberFormat="1" applyBorder="1" applyAlignment="1">
      <alignment horizontal="center"/>
    </xf>
    <xf numFmtId="9" fontId="42" fillId="0" borderId="193" xfId="0" applyNumberFormat="1" applyFont="1" applyBorder="1" applyAlignment="1">
      <alignment horizontal="center"/>
    </xf>
    <xf numFmtId="179" fontId="62" fillId="3" borderId="193" xfId="0" applyNumberFormat="1" applyFont="1" applyFill="1" applyBorder="1" applyAlignment="1">
      <alignment horizontal="center"/>
    </xf>
    <xf numFmtId="0" fontId="0" fillId="4" borderId="193" xfId="0" applyFill="1" applyBorder="1"/>
    <xf numFmtId="166" fontId="0" fillId="4" borderId="193" xfId="0" applyNumberFormat="1" applyFill="1" applyBorder="1" applyAlignment="1">
      <alignment horizontal="center"/>
    </xf>
    <xf numFmtId="0" fontId="0" fillId="4" borderId="193" xfId="0" applyFill="1" applyBorder="1" applyAlignment="1">
      <alignment horizontal="center"/>
    </xf>
    <xf numFmtId="6" fontId="62" fillId="3" borderId="193" xfId="0" applyNumberFormat="1" applyFont="1" applyFill="1" applyBorder="1" applyAlignment="1">
      <alignment horizontal="center"/>
    </xf>
    <xf numFmtId="166" fontId="0" fillId="0" borderId="193" xfId="0" applyNumberFormat="1" applyBorder="1" applyAlignment="1">
      <alignment horizontal="center"/>
    </xf>
    <xf numFmtId="0" fontId="0" fillId="0" borderId="194" xfId="0" applyBorder="1" applyAlignment="1">
      <alignment horizontal="left" indent="1"/>
    </xf>
    <xf numFmtId="0" fontId="0" fillId="0" borderId="193" xfId="0" applyBorder="1" applyAlignment="1">
      <alignment horizontal="left" indent="1"/>
    </xf>
    <xf numFmtId="0" fontId="5" fillId="2" borderId="193" xfId="0" applyFont="1" applyFill="1" applyBorder="1" applyAlignment="1">
      <alignment wrapText="1"/>
    </xf>
    <xf numFmtId="0" fontId="5" fillId="7" borderId="193" xfId="0" applyFont="1" applyFill="1" applyBorder="1" applyAlignment="1">
      <alignment horizontal="center" wrapText="1"/>
    </xf>
    <xf numFmtId="3" fontId="0" fillId="0" borderId="193" xfId="0" applyNumberFormat="1" applyBorder="1" applyAlignment="1">
      <alignment horizontal="center"/>
    </xf>
    <xf numFmtId="165" fontId="0" fillId="0" borderId="193" xfId="0" applyNumberFormat="1" applyBorder="1" applyAlignment="1">
      <alignment horizontal="center"/>
    </xf>
    <xf numFmtId="10" fontId="0" fillId="0" borderId="193" xfId="0" applyNumberFormat="1" applyBorder="1" applyAlignment="1">
      <alignment horizontal="center"/>
    </xf>
    <xf numFmtId="164" fontId="0" fillId="0" borderId="193" xfId="0" applyNumberFormat="1" applyBorder="1" applyAlignment="1">
      <alignment horizontal="center"/>
    </xf>
    <xf numFmtId="3" fontId="0" fillId="4" borderId="193" xfId="0" applyNumberFormat="1" applyFill="1" applyBorder="1" applyAlignment="1">
      <alignment horizontal="center"/>
    </xf>
    <xf numFmtId="165" fontId="0" fillId="4" borderId="193" xfId="0" applyNumberFormat="1" applyFill="1" applyBorder="1" applyAlignment="1">
      <alignment horizontal="center"/>
    </xf>
    <xf numFmtId="168" fontId="0" fillId="4" borderId="193" xfId="0" applyNumberFormat="1" applyFill="1" applyBorder="1" applyAlignment="1">
      <alignment horizontal="center"/>
    </xf>
    <xf numFmtId="179" fontId="62" fillId="0" borderId="193" xfId="0" applyNumberFormat="1" applyFont="1" applyBorder="1" applyAlignment="1">
      <alignment horizontal="center"/>
    </xf>
    <xf numFmtId="6" fontId="62" fillId="0" borderId="193" xfId="0" applyNumberFormat="1" applyFont="1" applyBorder="1" applyAlignment="1">
      <alignment horizontal="center"/>
    </xf>
    <xf numFmtId="0" fontId="62" fillId="0" borderId="193" xfId="0" quotePrefix="1" applyFont="1" applyBorder="1" applyAlignment="1">
      <alignment horizontal="center"/>
    </xf>
    <xf numFmtId="0" fontId="3" fillId="5" borderId="201" xfId="0" applyFont="1" applyFill="1" applyBorder="1" applyAlignment="1">
      <alignment horizontal="center"/>
    </xf>
    <xf numFmtId="0" fontId="22" fillId="0" borderId="213" xfId="0" applyFont="1" applyBorder="1" applyAlignment="1">
      <alignment vertical="center" wrapText="1"/>
    </xf>
    <xf numFmtId="0" fontId="17" fillId="0" borderId="193" xfId="0" applyFont="1" applyBorder="1" applyAlignment="1">
      <alignment vertical="center"/>
    </xf>
    <xf numFmtId="0" fontId="17" fillId="0" borderId="193" xfId="0" applyFont="1" applyBorder="1" applyAlignment="1">
      <alignment horizontal="center" vertical="center"/>
    </xf>
    <xf numFmtId="3" fontId="22" fillId="0" borderId="202" xfId="0" applyNumberFormat="1" applyFont="1" applyBorder="1" applyAlignment="1">
      <alignment horizontal="center" vertical="center"/>
    </xf>
    <xf numFmtId="0" fontId="3" fillId="5" borderId="192" xfId="0" applyFont="1" applyFill="1" applyBorder="1"/>
    <xf numFmtId="0" fontId="22" fillId="22" borderId="213" xfId="0" applyFont="1" applyFill="1" applyBorder="1" applyAlignment="1">
      <alignment vertical="center" wrapText="1"/>
    </xf>
    <xf numFmtId="0" fontId="17" fillId="22" borderId="193" xfId="0" applyFont="1" applyFill="1" applyBorder="1" applyAlignment="1">
      <alignment vertical="center"/>
    </xf>
    <xf numFmtId="0" fontId="17" fillId="22" borderId="193" xfId="0" applyFont="1" applyFill="1" applyBorder="1" applyAlignment="1">
      <alignment horizontal="center" vertical="center"/>
    </xf>
    <xf numFmtId="3" fontId="22" fillId="22" borderId="202" xfId="0" applyNumberFormat="1" applyFont="1" applyFill="1" applyBorder="1" applyAlignment="1">
      <alignment horizontal="center" vertical="center"/>
    </xf>
    <xf numFmtId="0" fontId="0" fillId="0" borderId="194" xfId="0" applyBorder="1" applyAlignment="1">
      <alignment horizontal="center"/>
    </xf>
    <xf numFmtId="0" fontId="0" fillId="0" borderId="200" xfId="0" applyBorder="1" applyAlignment="1">
      <alignment horizontal="center"/>
    </xf>
    <xf numFmtId="2" fontId="0" fillId="0" borderId="195" xfId="0" applyNumberFormat="1" applyBorder="1" applyAlignment="1">
      <alignment horizontal="center"/>
    </xf>
    <xf numFmtId="0" fontId="0" fillId="22" borderId="194" xfId="0" applyFill="1" applyBorder="1"/>
    <xf numFmtId="0" fontId="0" fillId="22" borderId="200" xfId="0" applyFill="1" applyBorder="1" applyAlignment="1">
      <alignment horizontal="center"/>
    </xf>
    <xf numFmtId="2" fontId="0" fillId="22" borderId="195" xfId="0" applyNumberFormat="1" applyFill="1" applyBorder="1" applyAlignment="1">
      <alignment horizontal="center"/>
    </xf>
    <xf numFmtId="0" fontId="57" fillId="3" borderId="193" xfId="0" applyFont="1" applyFill="1" applyBorder="1" applyAlignment="1">
      <alignment horizontal="center"/>
    </xf>
    <xf numFmtId="14" fontId="0" fillId="3" borderId="193" xfId="0" applyNumberFormat="1" applyFill="1" applyBorder="1" applyAlignment="1">
      <alignment horizontal="center"/>
    </xf>
    <xf numFmtId="0" fontId="76" fillId="3" borderId="193" xfId="0" applyFont="1" applyFill="1" applyBorder="1" applyAlignment="1" applyProtection="1">
      <alignment horizontal="center" vertical="top" wrapText="1"/>
      <protection locked="0"/>
    </xf>
    <xf numFmtId="0" fontId="76" fillId="3" borderId="193" xfId="0" applyFont="1" applyFill="1" applyBorder="1" applyAlignment="1">
      <alignment horizontal="center" vertical="top" wrapText="1"/>
    </xf>
    <xf numFmtId="165" fontId="76" fillId="12" borderId="11" xfId="0" applyNumberFormat="1" applyFont="1" applyFill="1" applyBorder="1" applyAlignment="1">
      <alignment horizontal="left"/>
    </xf>
    <xf numFmtId="3" fontId="76" fillId="12" borderId="11" xfId="0" applyNumberFormat="1" applyFont="1" applyFill="1" applyBorder="1" applyAlignment="1">
      <alignment horizontal="left"/>
    </xf>
    <xf numFmtId="166" fontId="79" fillId="12" borderId="11" xfId="0" applyNumberFormat="1" applyFont="1" applyFill="1" applyBorder="1" applyAlignment="1">
      <alignment horizontal="left" indent="1"/>
    </xf>
    <xf numFmtId="165" fontId="79" fillId="12" borderId="11" xfId="0" applyNumberFormat="1" applyFont="1" applyFill="1" applyBorder="1" applyAlignment="1">
      <alignment horizontal="left" indent="1"/>
    </xf>
    <xf numFmtId="165" fontId="79" fillId="7" borderId="11" xfId="0" applyNumberFormat="1" applyFont="1" applyFill="1" applyBorder="1" applyAlignment="1">
      <alignment horizontal="left" indent="1"/>
    </xf>
    <xf numFmtId="0" fontId="75" fillId="0" borderId="0" xfId="0" applyFont="1" applyAlignment="1">
      <alignment horizontal="right"/>
    </xf>
    <xf numFmtId="0" fontId="75" fillId="0" borderId="0" xfId="0" applyFont="1" applyAlignment="1">
      <alignment horizontal="right" vertical="top"/>
    </xf>
    <xf numFmtId="0" fontId="75" fillId="0" borderId="0" xfId="0" applyFont="1"/>
    <xf numFmtId="0" fontId="123" fillId="0" borderId="0" xfId="0" applyFont="1" applyAlignment="1">
      <alignment horizontal="right"/>
    </xf>
    <xf numFmtId="0" fontId="123" fillId="0" borderId="0" xfId="0" applyFont="1"/>
    <xf numFmtId="0" fontId="18" fillId="0" borderId="29" xfId="0" applyFont="1" applyBorder="1"/>
    <xf numFmtId="0" fontId="124" fillId="0" borderId="0" xfId="0" applyFont="1" applyAlignment="1">
      <alignment horizontal="right" indent="1"/>
    </xf>
    <xf numFmtId="0" fontId="124" fillId="0" borderId="0" xfId="0" applyFont="1" applyAlignment="1">
      <alignment horizontal="left" vertical="top"/>
    </xf>
    <xf numFmtId="0" fontId="124" fillId="0" borderId="0" xfId="0" applyFont="1"/>
    <xf numFmtId="0" fontId="18" fillId="0" borderId="0" xfId="0" applyFont="1" applyAlignment="1">
      <alignment horizontal="left" vertical="top"/>
    </xf>
    <xf numFmtId="3" fontId="24" fillId="2" borderId="184" xfId="0" applyNumberFormat="1" applyFont="1" applyFill="1" applyBorder="1" applyAlignment="1">
      <alignment horizontal="center" vertical="center"/>
    </xf>
    <xf numFmtId="4" fontId="24" fillId="2" borderId="189" xfId="0" applyNumberFormat="1" applyFont="1" applyFill="1" applyBorder="1" applyAlignment="1">
      <alignment horizontal="center" vertical="center"/>
    </xf>
    <xf numFmtId="3" fontId="24" fillId="2" borderId="149" xfId="0" applyNumberFormat="1" applyFont="1" applyFill="1" applyBorder="1" applyAlignment="1">
      <alignment horizontal="center" vertical="center"/>
    </xf>
    <xf numFmtId="4" fontId="24" fillId="2" borderId="150" xfId="0" applyNumberFormat="1" applyFont="1" applyFill="1" applyBorder="1" applyAlignment="1">
      <alignment horizontal="center" vertical="center"/>
    </xf>
    <xf numFmtId="0" fontId="114" fillId="60" borderId="145" xfId="0" applyFont="1" applyFill="1" applyBorder="1" applyAlignment="1">
      <alignment horizontal="center"/>
    </xf>
    <xf numFmtId="0" fontId="114" fillId="60" borderId="166" xfId="0" applyFont="1" applyFill="1" applyBorder="1" applyAlignment="1">
      <alignment horizontal="center" vertical="center"/>
    </xf>
    <xf numFmtId="0" fontId="24" fillId="2" borderId="218" xfId="0" applyFont="1" applyFill="1" applyBorder="1" applyAlignment="1">
      <alignment horizontal="center" vertical="center"/>
    </xf>
    <xf numFmtId="0" fontId="125" fillId="0" borderId="0" xfId="0" applyFont="1" applyAlignment="1">
      <alignment horizontal="center"/>
    </xf>
    <xf numFmtId="0" fontId="124" fillId="0" borderId="29" xfId="0" applyFont="1" applyBorder="1" applyAlignment="1">
      <alignment wrapText="1"/>
    </xf>
    <xf numFmtId="0" fontId="124" fillId="0" borderId="0" xfId="0" applyFont="1" applyAlignment="1">
      <alignment wrapText="1"/>
    </xf>
    <xf numFmtId="14" fontId="51" fillId="0" borderId="0" xfId="0" applyNumberFormat="1" applyFont="1"/>
    <xf numFmtId="0" fontId="108" fillId="0" borderId="0" xfId="0" applyFont="1" applyAlignment="1">
      <alignment wrapText="1"/>
    </xf>
    <xf numFmtId="0" fontId="85" fillId="0" borderId="0" xfId="0" applyFont="1"/>
    <xf numFmtId="0" fontId="85" fillId="0" borderId="0" xfId="0" applyFont="1" applyAlignment="1">
      <alignment horizontal="right" indent="1"/>
    </xf>
    <xf numFmtId="0" fontId="85" fillId="0" borderId="0" xfId="0" applyFont="1" applyAlignment="1">
      <alignment wrapText="1"/>
    </xf>
    <xf numFmtId="0" fontId="24" fillId="0" borderId="0" xfId="0" applyFont="1" applyAlignment="1">
      <alignment horizontal="left" vertical="top"/>
    </xf>
    <xf numFmtId="0" fontId="24" fillId="0" borderId="0" xfId="0" applyFont="1" applyAlignment="1">
      <alignment vertical="top"/>
    </xf>
    <xf numFmtId="0" fontId="126" fillId="0" borderId="0" xfId="0" applyFont="1"/>
    <xf numFmtId="0" fontId="85" fillId="0" borderId="0" xfId="0" applyFont="1" applyAlignment="1">
      <alignment horizontal="left" vertical="top"/>
    </xf>
    <xf numFmtId="0" fontId="85" fillId="0" borderId="0" xfId="0" applyFont="1" applyAlignment="1">
      <alignment vertical="top" wrapText="1"/>
    </xf>
    <xf numFmtId="0" fontId="85" fillId="0" borderId="0" xfId="0" applyFont="1" applyAlignment="1">
      <alignment vertical="top"/>
    </xf>
    <xf numFmtId="170" fontId="85" fillId="0" borderId="0" xfId="0" applyNumberFormat="1" applyFont="1" applyAlignment="1">
      <alignment horizontal="left"/>
    </xf>
    <xf numFmtId="0" fontId="85" fillId="0" borderId="29" xfId="0" applyFont="1" applyBorder="1"/>
    <xf numFmtId="170" fontId="24" fillId="0" borderId="0" xfId="0" applyNumberFormat="1" applyFont="1" applyAlignment="1">
      <alignment horizontal="left"/>
    </xf>
    <xf numFmtId="0" fontId="24" fillId="0" borderId="0" xfId="0" applyFont="1" applyAlignment="1">
      <alignment horizontal="left"/>
    </xf>
    <xf numFmtId="0" fontId="127" fillId="0" borderId="0" xfId="0" applyFont="1" applyAlignment="1">
      <alignment horizontal="left"/>
    </xf>
    <xf numFmtId="49" fontId="76" fillId="3" borderId="11" xfId="0" applyNumberFormat="1" applyFont="1" applyFill="1" applyBorder="1" applyAlignment="1">
      <alignment horizontal="left"/>
    </xf>
    <xf numFmtId="182" fontId="76" fillId="3" borderId="11" xfId="0" applyNumberFormat="1" applyFont="1" applyFill="1" applyBorder="1" applyAlignment="1">
      <alignment horizontal="left" indent="1"/>
    </xf>
    <xf numFmtId="164" fontId="24" fillId="2" borderId="219" xfId="0" applyNumberFormat="1" applyFont="1" applyFill="1" applyBorder="1" applyAlignment="1">
      <alignment horizontal="center" vertical="center"/>
    </xf>
    <xf numFmtId="0" fontId="0" fillId="0" borderId="32" xfId="0" applyBorder="1"/>
    <xf numFmtId="0" fontId="80" fillId="0" borderId="0" xfId="0" applyFont="1" applyAlignment="1">
      <alignment horizontal="center"/>
    </xf>
    <xf numFmtId="0" fontId="80" fillId="0" borderId="0" xfId="0" applyFont="1"/>
    <xf numFmtId="0" fontId="3"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28" fillId="62" borderId="232" xfId="0" applyFont="1" applyFill="1" applyBorder="1"/>
    <xf numFmtId="0" fontId="129" fillId="63" borderId="233" xfId="0" applyFont="1" applyFill="1" applyBorder="1"/>
    <xf numFmtId="0" fontId="131" fillId="0" borderId="233" xfId="0" applyFont="1" applyBorder="1"/>
    <xf numFmtId="0" fontId="132" fillId="0" borderId="206" xfId="0" applyFont="1" applyBorder="1" applyAlignment="1">
      <alignment wrapText="1"/>
    </xf>
    <xf numFmtId="0" fontId="133" fillId="0" borderId="0" xfId="0" applyFont="1"/>
    <xf numFmtId="0" fontId="0" fillId="0" borderId="0" xfId="0" applyAlignment="1">
      <alignment wrapText="1"/>
    </xf>
    <xf numFmtId="0" fontId="132" fillId="64" borderId="206" xfId="0" applyFont="1" applyFill="1" applyBorder="1" applyAlignment="1">
      <alignment wrapText="1"/>
    </xf>
    <xf numFmtId="0" fontId="132" fillId="0" borderId="233" xfId="0" applyFont="1" applyBorder="1"/>
    <xf numFmtId="0" fontId="45" fillId="0" borderId="0" xfId="0" applyFont="1" applyAlignment="1">
      <alignment vertical="top"/>
    </xf>
    <xf numFmtId="0" fontId="45" fillId="0" borderId="0" xfId="0" applyFont="1" applyAlignment="1">
      <alignment horizontal="right" vertical="top"/>
    </xf>
    <xf numFmtId="0" fontId="107" fillId="17" borderId="57" xfId="0" applyFont="1" applyFill="1" applyBorder="1" applyAlignment="1">
      <alignment horizontal="left" indent="1"/>
    </xf>
    <xf numFmtId="0" fontId="108" fillId="0" borderId="0" xfId="0" applyFont="1" applyAlignment="1">
      <alignment horizontal="right"/>
    </xf>
    <xf numFmtId="0" fontId="107" fillId="17" borderId="0" xfId="0" applyFont="1" applyFill="1"/>
    <xf numFmtId="0" fontId="107" fillId="17" borderId="0" xfId="0" applyFont="1" applyFill="1" applyAlignment="1">
      <alignment horizontal="left" vertical="top" indent="1"/>
    </xf>
    <xf numFmtId="0" fontId="108" fillId="17" borderId="0" xfId="0" applyFont="1" applyFill="1" applyAlignment="1">
      <alignment horizontal="right" indent="1"/>
    </xf>
    <xf numFmtId="0" fontId="107" fillId="17" borderId="235" xfId="0" applyFont="1" applyFill="1" applyBorder="1" applyAlignment="1">
      <alignment horizontal="center"/>
    </xf>
    <xf numFmtId="0" fontId="0" fillId="0" borderId="220" xfId="0" applyBorder="1"/>
    <xf numFmtId="0" fontId="0" fillId="0" borderId="221" xfId="0" applyBorder="1"/>
    <xf numFmtId="0" fontId="0" fillId="0" borderId="222" xfId="0" applyBorder="1"/>
    <xf numFmtId="0" fontId="17" fillId="0" borderId="223" xfId="0" applyFont="1" applyBorder="1"/>
    <xf numFmtId="0" fontId="0" fillId="0" borderId="224" xfId="0" applyBorder="1"/>
    <xf numFmtId="0" fontId="0" fillId="0" borderId="223" xfId="0" applyBorder="1"/>
    <xf numFmtId="0" fontId="108" fillId="0" borderId="0" xfId="0" applyFont="1" applyAlignment="1">
      <alignment horizontal="right" vertical="center"/>
    </xf>
    <xf numFmtId="0" fontId="107" fillId="17" borderId="0" xfId="0" applyFont="1" applyFill="1" applyAlignment="1">
      <alignment horizontal="left" indent="1"/>
    </xf>
    <xf numFmtId="0" fontId="0" fillId="0" borderId="225" xfId="0" applyBorder="1"/>
    <xf numFmtId="0" fontId="0" fillId="0" borderId="226" xfId="0" applyBorder="1"/>
    <xf numFmtId="0" fontId="0" fillId="0" borderId="227" xfId="0" applyBorder="1"/>
    <xf numFmtId="0" fontId="17" fillId="0" borderId="224" xfId="0" applyFont="1" applyBorder="1"/>
    <xf numFmtId="0" fontId="24" fillId="0" borderId="40" xfId="0" applyFont="1" applyBorder="1" applyAlignment="1">
      <alignment vertical="center"/>
    </xf>
    <xf numFmtId="4" fontId="24" fillId="2" borderId="80" xfId="0" applyNumberFormat="1" applyFont="1" applyFill="1" applyBorder="1" applyAlignment="1">
      <alignment horizontal="center" vertical="center"/>
    </xf>
    <xf numFmtId="4" fontId="24" fillId="2" borderId="82" xfId="0" applyNumberFormat="1" applyFont="1" applyFill="1" applyBorder="1" applyAlignment="1">
      <alignment horizontal="center" vertical="center"/>
    </xf>
    <xf numFmtId="0" fontId="15" fillId="10" borderId="0" xfId="0" applyFont="1" applyFill="1" applyAlignment="1">
      <alignment horizontal="center"/>
    </xf>
    <xf numFmtId="0" fontId="24" fillId="0" borderId="37" xfId="0" applyFont="1" applyBorder="1" applyAlignment="1">
      <alignment horizontal="left" vertical="center"/>
    </xf>
    <xf numFmtId="166" fontId="0" fillId="3" borderId="193" xfId="0" applyNumberFormat="1" applyFill="1" applyBorder="1" applyAlignment="1">
      <alignment horizontal="center"/>
    </xf>
    <xf numFmtId="164" fontId="0" fillId="3" borderId="193" xfId="0" applyNumberFormat="1" applyFill="1" applyBorder="1" applyAlignment="1">
      <alignment horizontal="center"/>
    </xf>
    <xf numFmtId="0" fontId="126" fillId="65" borderId="0" xfId="0" applyFont="1" applyFill="1"/>
    <xf numFmtId="0" fontId="0" fillId="0" borderId="201" xfId="0" applyBorder="1" applyAlignment="1">
      <alignment horizontal="center" vertical="top"/>
    </xf>
    <xf numFmtId="0" fontId="0" fillId="6" borderId="201" xfId="0" applyFill="1" applyBorder="1" applyAlignment="1">
      <alignment horizontal="center" vertical="top"/>
    </xf>
    <xf numFmtId="173" fontId="18" fillId="0" borderId="0" xfId="0" applyNumberFormat="1" applyFont="1" applyAlignment="1">
      <alignment vertical="center"/>
    </xf>
    <xf numFmtId="0" fontId="52" fillId="65" borderId="193" xfId="0" applyFont="1" applyFill="1" applyBorder="1" applyAlignment="1">
      <alignment horizontal="center"/>
    </xf>
    <xf numFmtId="0" fontId="45" fillId="4" borderId="57" xfId="0" applyFont="1" applyFill="1" applyBorder="1" applyProtection="1">
      <protection locked="0"/>
    </xf>
    <xf numFmtId="0" fontId="82" fillId="0" borderId="244" xfId="0" applyFont="1" applyBorder="1" applyAlignment="1">
      <alignment horizontal="center" vertical="center"/>
    </xf>
    <xf numFmtId="0" fontId="82" fillId="0" borderId="244" xfId="0" applyFont="1" applyBorder="1" applyAlignment="1" applyProtection="1">
      <alignment horizontal="center" vertical="center"/>
      <protection locked="0"/>
    </xf>
    <xf numFmtId="2" fontId="0" fillId="54" borderId="193" xfId="0" applyNumberFormat="1" applyFill="1" applyBorder="1" applyAlignment="1">
      <alignment horizontal="center"/>
    </xf>
    <xf numFmtId="2" fontId="0" fillId="49" borderId="193" xfId="0" applyNumberFormat="1" applyFill="1" applyBorder="1" applyAlignment="1">
      <alignment horizontal="center"/>
    </xf>
    <xf numFmtId="2" fontId="0" fillId="7" borderId="193" xfId="0" applyNumberFormat="1" applyFill="1" applyBorder="1" applyAlignment="1">
      <alignment horizontal="center"/>
    </xf>
    <xf numFmtId="183" fontId="0" fillId="0" borderId="0" xfId="0" applyNumberFormat="1"/>
    <xf numFmtId="2" fontId="0" fillId="0" borderId="0" xfId="0" applyNumberFormat="1"/>
    <xf numFmtId="0" fontId="5" fillId="0" borderId="0" xfId="0" applyFont="1" applyAlignment="1">
      <alignment horizontal="center" vertical="center" wrapText="1"/>
    </xf>
    <xf numFmtId="9" fontId="0" fillId="6" borderId="245" xfId="0" applyNumberFormat="1" applyFill="1" applyBorder="1" applyAlignment="1">
      <alignment horizontal="center"/>
    </xf>
    <xf numFmtId="9" fontId="0" fillId="0" borderId="245" xfId="0" applyNumberFormat="1" applyBorder="1" applyAlignment="1">
      <alignment horizontal="center"/>
    </xf>
    <xf numFmtId="0" fontId="5" fillId="2" borderId="246" xfId="0" applyFont="1" applyFill="1" applyBorder="1" applyAlignment="1">
      <alignment vertical="center" wrapText="1"/>
    </xf>
    <xf numFmtId="9" fontId="5" fillId="2" borderId="106" xfId="0" applyNumberFormat="1" applyFont="1" applyFill="1" applyBorder="1" applyAlignment="1">
      <alignment horizontal="center" vertical="center" wrapText="1"/>
    </xf>
    <xf numFmtId="0" fontId="3" fillId="5" borderId="246" xfId="0" applyFont="1" applyFill="1" applyBorder="1" applyAlignment="1">
      <alignment horizontal="center" vertical="center" wrapText="1"/>
    </xf>
    <xf numFmtId="9" fontId="0" fillId="6" borderId="201" xfId="0" applyNumberFormat="1" applyFill="1" applyBorder="1" applyAlignment="1">
      <alignment horizontal="center"/>
    </xf>
    <xf numFmtId="9" fontId="0" fillId="0" borderId="201" xfId="0" applyNumberFormat="1" applyBorder="1" applyAlignment="1">
      <alignment horizontal="center"/>
    </xf>
    <xf numFmtId="9" fontId="0" fillId="6" borderId="247" xfId="0" applyNumberFormat="1" applyFill="1" applyBorder="1" applyAlignment="1">
      <alignment horizontal="center"/>
    </xf>
    <xf numFmtId="9" fontId="0" fillId="0" borderId="202" xfId="0" applyNumberFormat="1" applyBorder="1" applyAlignment="1">
      <alignment horizontal="center"/>
    </xf>
    <xf numFmtId="4" fontId="75" fillId="59" borderId="23" xfId="0" applyNumberFormat="1" applyFont="1" applyFill="1" applyBorder="1"/>
    <xf numFmtId="165" fontId="75" fillId="0" borderId="0" xfId="0" applyNumberFormat="1" applyFont="1" applyAlignment="1">
      <alignment horizontal="center"/>
    </xf>
    <xf numFmtId="4" fontId="75" fillId="0" borderId="0" xfId="0" applyNumberFormat="1" applyFont="1" applyAlignment="1">
      <alignment horizontal="center"/>
    </xf>
    <xf numFmtId="0" fontId="24" fillId="0" borderId="0" xfId="0" applyFont="1" applyAlignment="1">
      <alignment horizontal="center" vertical="center" wrapText="1"/>
    </xf>
    <xf numFmtId="0" fontId="25" fillId="0" borderId="0" xfId="0" applyFont="1" applyAlignment="1">
      <alignment horizontal="left" indent="1"/>
    </xf>
    <xf numFmtId="0" fontId="25" fillId="0" borderId="0" xfId="0" applyFont="1" applyAlignment="1">
      <alignment horizontal="left"/>
    </xf>
    <xf numFmtId="0" fontId="46" fillId="0" borderId="0" xfId="0" applyFont="1" applyAlignment="1">
      <alignment vertical="center" wrapText="1"/>
    </xf>
    <xf numFmtId="0" fontId="15" fillId="0" borderId="0" xfId="0" applyFont="1" applyAlignment="1">
      <alignment horizontal="right"/>
    </xf>
    <xf numFmtId="0" fontId="18" fillId="0" borderId="0" xfId="0" applyFont="1" applyAlignment="1">
      <alignment horizontal="left"/>
    </xf>
    <xf numFmtId="173" fontId="0" fillId="6" borderId="251" xfId="0" applyNumberFormat="1" applyFill="1" applyBorder="1" applyAlignment="1">
      <alignment horizontal="center"/>
    </xf>
    <xf numFmtId="9" fontId="0" fillId="67" borderId="203" xfId="0" applyNumberFormat="1" applyFill="1" applyBorder="1" applyAlignment="1">
      <alignment horizontal="center"/>
    </xf>
    <xf numFmtId="9" fontId="0" fillId="0" borderId="203" xfId="0" applyNumberFormat="1" applyBorder="1" applyAlignment="1">
      <alignment horizontal="center"/>
    </xf>
    <xf numFmtId="9" fontId="0" fillId="0" borderId="250" xfId="0" applyNumberFormat="1" applyBorder="1" applyAlignment="1">
      <alignment horizontal="center"/>
    </xf>
    <xf numFmtId="0" fontId="22" fillId="66" borderId="248" xfId="0" applyFont="1" applyFill="1" applyBorder="1" applyAlignment="1">
      <alignment horizontal="center" vertical="center" wrapText="1"/>
    </xf>
    <xf numFmtId="173" fontId="0" fillId="0" borderId="204" xfId="0" applyNumberFormat="1" applyBorder="1" applyAlignment="1">
      <alignment horizontal="center"/>
    </xf>
    <xf numFmtId="173" fontId="0" fillId="0" borderId="207" xfId="0" applyNumberFormat="1" applyBorder="1" applyAlignment="1">
      <alignment horizontal="center"/>
    </xf>
    <xf numFmtId="9" fontId="0" fillId="0" borderId="181" xfId="0" applyNumberFormat="1" applyBorder="1" applyAlignment="1">
      <alignment horizontal="center"/>
    </xf>
    <xf numFmtId="9" fontId="0" fillId="0" borderId="208" xfId="0" applyNumberFormat="1" applyBorder="1" applyAlignment="1">
      <alignment horizontal="center"/>
    </xf>
    <xf numFmtId="173" fontId="0" fillId="68" borderId="204" xfId="0" applyNumberFormat="1" applyFill="1" applyBorder="1" applyAlignment="1">
      <alignment horizontal="center"/>
    </xf>
    <xf numFmtId="9" fontId="0" fillId="68" borderId="192" xfId="0" applyNumberFormat="1" applyFill="1" applyBorder="1" applyAlignment="1">
      <alignment horizontal="center"/>
    </xf>
    <xf numFmtId="9" fontId="0" fillId="68" borderId="205" xfId="0" applyNumberFormat="1" applyFill="1" applyBorder="1" applyAlignment="1">
      <alignment horizontal="center"/>
    </xf>
    <xf numFmtId="0" fontId="22" fillId="69" borderId="25" xfId="0" applyFont="1" applyFill="1" applyBorder="1" applyAlignment="1">
      <alignment horizontal="center" vertical="center" wrapText="1"/>
    </xf>
    <xf numFmtId="0" fontId="22" fillId="69" borderId="9" xfId="0" applyFont="1" applyFill="1" applyBorder="1" applyAlignment="1">
      <alignment horizontal="center" vertical="center" wrapText="1"/>
    </xf>
    <xf numFmtId="0" fontId="22" fillId="69" borderId="31" xfId="0" applyFont="1" applyFill="1" applyBorder="1" applyAlignment="1">
      <alignment horizontal="center" vertical="center" wrapText="1"/>
    </xf>
    <xf numFmtId="9" fontId="0" fillId="0" borderId="204" xfId="0" applyNumberFormat="1" applyBorder="1" applyAlignment="1">
      <alignment horizontal="center"/>
    </xf>
    <xf numFmtId="9" fontId="0" fillId="0" borderId="207" xfId="0" applyNumberFormat="1" applyBorder="1" applyAlignment="1">
      <alignment horizontal="center"/>
    </xf>
    <xf numFmtId="0" fontId="3" fillId="5" borderId="4" xfId="0" applyFont="1" applyFill="1" applyBorder="1" applyAlignment="1">
      <alignment horizontal="left" wrapText="1"/>
    </xf>
    <xf numFmtId="9" fontId="0" fillId="6" borderId="204" xfId="0" applyNumberFormat="1" applyFill="1" applyBorder="1" applyAlignment="1">
      <alignment horizontal="center"/>
    </xf>
    <xf numFmtId="0" fontId="22" fillId="51" borderId="248" xfId="0" applyFont="1" applyFill="1" applyBorder="1" applyAlignment="1">
      <alignment horizontal="center" vertical="center" wrapText="1"/>
    </xf>
    <xf numFmtId="9" fontId="17" fillId="74" borderId="203" xfId="2" applyFont="1" applyFill="1" applyBorder="1" applyAlignment="1">
      <alignment horizontal="center" vertical="center" wrapText="1"/>
    </xf>
    <xf numFmtId="9" fontId="17" fillId="0" borderId="203" xfId="2" applyFont="1" applyBorder="1" applyAlignment="1">
      <alignment horizontal="center" vertical="center" wrapText="1"/>
    </xf>
    <xf numFmtId="9" fontId="17" fillId="0" borderId="250" xfId="2" applyFont="1" applyBorder="1" applyAlignment="1">
      <alignment horizontal="center" vertical="center" wrapText="1"/>
    </xf>
    <xf numFmtId="0" fontId="22" fillId="73" borderId="248" xfId="0" applyFont="1" applyFill="1" applyBorder="1" applyAlignment="1">
      <alignment horizontal="center" vertical="center" wrapText="1"/>
    </xf>
    <xf numFmtId="9" fontId="17" fillId="72" borderId="203" xfId="2" applyFont="1" applyFill="1" applyBorder="1" applyAlignment="1">
      <alignment horizontal="center" vertical="center" wrapText="1"/>
    </xf>
    <xf numFmtId="0" fontId="65" fillId="0" borderId="0" xfId="0" applyFont="1" applyAlignment="1">
      <alignment horizontal="center" vertical="center"/>
    </xf>
    <xf numFmtId="0" fontId="65" fillId="0" borderId="0" xfId="0" applyFont="1" applyAlignment="1">
      <alignment vertical="center"/>
    </xf>
    <xf numFmtId="0" fontId="65" fillId="0" borderId="0" xfId="0" applyFont="1" applyAlignment="1">
      <alignment horizontal="left" vertical="center"/>
    </xf>
    <xf numFmtId="0" fontId="0" fillId="74" borderId="132" xfId="0" applyFill="1" applyBorder="1" applyAlignment="1">
      <alignment horizontal="center"/>
    </xf>
    <xf numFmtId="0" fontId="0" fillId="74" borderId="130" xfId="0" applyFill="1" applyBorder="1"/>
    <xf numFmtId="0" fontId="65" fillId="0" borderId="0" xfId="0" applyFont="1" applyAlignment="1">
      <alignment horizontal="center"/>
    </xf>
    <xf numFmtId="0" fontId="3" fillId="51" borderId="131" xfId="0" applyFont="1" applyFill="1" applyBorder="1"/>
    <xf numFmtId="0" fontId="3" fillId="51" borderId="252" xfId="0" applyFont="1" applyFill="1" applyBorder="1"/>
    <xf numFmtId="0" fontId="65" fillId="0" borderId="200" xfId="0" applyFont="1" applyBorder="1" applyAlignment="1">
      <alignment vertical="center" wrapText="1"/>
    </xf>
    <xf numFmtId="9" fontId="4" fillId="0" borderId="0" xfId="0" applyNumberFormat="1" applyFont="1" applyAlignment="1">
      <alignment horizontal="center"/>
    </xf>
    <xf numFmtId="0" fontId="65" fillId="0" borderId="193" xfId="0" applyFont="1" applyBorder="1" applyAlignment="1">
      <alignment horizontal="center" vertical="center"/>
    </xf>
    <xf numFmtId="9" fontId="0" fillId="0" borderId="191" xfId="0" applyNumberFormat="1" applyBorder="1" applyAlignment="1">
      <alignment horizontal="center"/>
    </xf>
    <xf numFmtId="9" fontId="0" fillId="0" borderId="180" xfId="0" applyNumberFormat="1" applyBorder="1" applyAlignment="1">
      <alignment horizontal="center"/>
    </xf>
    <xf numFmtId="0" fontId="3" fillId="5" borderId="44" xfId="0" applyFont="1" applyFill="1" applyBorder="1" applyAlignment="1">
      <alignment horizontal="center" vertical="center" wrapText="1"/>
    </xf>
    <xf numFmtId="9" fontId="0" fillId="6" borderId="191" xfId="0" applyNumberFormat="1" applyFill="1" applyBorder="1" applyAlignment="1">
      <alignment horizontal="center"/>
    </xf>
    <xf numFmtId="9" fontId="5" fillId="2" borderId="248" xfId="0" applyNumberFormat="1" applyFont="1" applyFill="1" applyBorder="1" applyAlignment="1">
      <alignment horizontal="center" vertical="center" wrapText="1"/>
    </xf>
    <xf numFmtId="9" fontId="5" fillId="2" borderId="249" xfId="0" applyNumberFormat="1" applyFont="1" applyFill="1" applyBorder="1" applyAlignment="1">
      <alignment horizontal="center" vertical="center" wrapText="1"/>
    </xf>
    <xf numFmtId="0" fontId="22" fillId="70" borderId="233" xfId="0" applyFont="1" applyFill="1" applyBorder="1" applyAlignment="1">
      <alignment horizontal="center" vertical="center" wrapText="1"/>
    </xf>
    <xf numFmtId="9" fontId="0" fillId="71" borderId="203" xfId="0" applyNumberFormat="1" applyFill="1" applyBorder="1" applyAlignment="1">
      <alignment horizontal="center"/>
    </xf>
    <xf numFmtId="0" fontId="22" fillId="70" borderId="248" xfId="0" applyFont="1" applyFill="1" applyBorder="1" applyAlignment="1">
      <alignment horizontal="center" vertical="center" wrapText="1"/>
    </xf>
    <xf numFmtId="0" fontId="17" fillId="0" borderId="0" xfId="2" applyNumberFormat="1" applyFont="1" applyFill="1" applyBorder="1" applyAlignment="1">
      <alignment horizontal="center" wrapText="1"/>
    </xf>
    <xf numFmtId="0" fontId="5" fillId="0" borderId="0" xfId="0" applyFont="1" applyAlignment="1">
      <alignment horizontal="left" vertical="center"/>
    </xf>
    <xf numFmtId="4" fontId="75" fillId="59" borderId="200" xfId="0" applyNumberFormat="1" applyFont="1" applyFill="1" applyBorder="1" applyAlignment="1">
      <alignment vertical="center"/>
    </xf>
    <xf numFmtId="0" fontId="0" fillId="0" borderId="201" xfId="0" applyBorder="1" applyAlignment="1">
      <alignment horizontal="left" vertical="top"/>
    </xf>
    <xf numFmtId="0" fontId="0" fillId="6" borderId="201" xfId="0" applyFill="1" applyBorder="1" applyAlignment="1">
      <alignment horizontal="left" vertical="top"/>
    </xf>
    <xf numFmtId="173" fontId="0" fillId="0" borderId="0" xfId="0" applyNumberFormat="1"/>
    <xf numFmtId="173" fontId="0" fillId="0" borderId="0" xfId="0" applyNumberFormat="1" applyAlignment="1">
      <alignment horizontal="center"/>
    </xf>
    <xf numFmtId="0" fontId="25" fillId="0" borderId="0" xfId="0" applyFont="1" applyAlignment="1">
      <alignment horizontal="right"/>
    </xf>
    <xf numFmtId="165" fontId="25" fillId="0" borderId="0" xfId="0" applyNumberFormat="1" applyFont="1" applyAlignment="1">
      <alignment horizontal="left"/>
    </xf>
    <xf numFmtId="0" fontId="12" fillId="0" borderId="0" xfId="0" applyFont="1" applyAlignment="1">
      <alignment vertical="center" wrapText="1"/>
    </xf>
    <xf numFmtId="180" fontId="25" fillId="0" borderId="193" xfId="0" applyNumberFormat="1" applyFont="1" applyBorder="1" applyAlignment="1">
      <alignment horizontal="center"/>
    </xf>
    <xf numFmtId="181" fontId="25" fillId="0" borderId="193" xfId="0" quotePrefix="1" applyNumberFormat="1" applyFont="1" applyBorder="1" applyAlignment="1">
      <alignment horizontal="center"/>
    </xf>
    <xf numFmtId="184" fontId="23" fillId="0" borderId="193" xfId="2" applyNumberFormat="1" applyFont="1" applyBorder="1" applyAlignment="1">
      <alignment horizontal="center"/>
    </xf>
    <xf numFmtId="4" fontId="75" fillId="59" borderId="0" xfId="0" applyNumberFormat="1" applyFont="1" applyFill="1"/>
    <xf numFmtId="0" fontId="19" fillId="0" borderId="0" xfId="0" applyFont="1" applyAlignment="1">
      <alignment horizontal="right"/>
    </xf>
    <xf numFmtId="0" fontId="18" fillId="0" borderId="44" xfId="0" applyFont="1" applyBorder="1"/>
    <xf numFmtId="0" fontId="18" fillId="0" borderId="0" xfId="0" applyFont="1" applyAlignment="1">
      <alignment horizontal="left" indent="1"/>
    </xf>
    <xf numFmtId="0" fontId="19" fillId="0" borderId="0" xfId="0" applyFont="1"/>
    <xf numFmtId="2" fontId="19" fillId="3" borderId="254" xfId="0" applyNumberFormat="1" applyFont="1" applyFill="1" applyBorder="1" applyAlignment="1">
      <alignment horizontal="center"/>
    </xf>
    <xf numFmtId="9" fontId="19" fillId="3" borderId="255" xfId="0" applyNumberFormat="1" applyFont="1" applyFill="1" applyBorder="1" applyAlignment="1">
      <alignment horizontal="center"/>
    </xf>
    <xf numFmtId="0" fontId="19" fillId="3" borderId="255" xfId="0" applyFont="1" applyFill="1" applyBorder="1" applyAlignment="1">
      <alignment horizontal="center"/>
    </xf>
    <xf numFmtId="0" fontId="16" fillId="0" borderId="0" xfId="0" applyFont="1"/>
    <xf numFmtId="184" fontId="23" fillId="0" borderId="0" xfId="2" applyNumberFormat="1" applyFont="1" applyFill="1" applyBorder="1" applyAlignment="1">
      <alignment horizontal="center"/>
    </xf>
    <xf numFmtId="4" fontId="78" fillId="0" borderId="0" xfId="0" applyNumberFormat="1" applyFont="1" applyAlignment="1">
      <alignment horizontal="center"/>
    </xf>
    <xf numFmtId="4" fontId="78" fillId="0" borderId="0" xfId="0" applyNumberFormat="1" applyFont="1"/>
    <xf numFmtId="0" fontId="46" fillId="0" borderId="0" xfId="0" applyFont="1" applyAlignment="1">
      <alignment horizontal="left" indent="1"/>
    </xf>
    <xf numFmtId="3" fontId="4" fillId="0" borderId="0" xfId="0" applyNumberFormat="1" applyFont="1"/>
    <xf numFmtId="0" fontId="18" fillId="0" borderId="0" xfId="0" applyFont="1" applyAlignment="1">
      <alignment horizontal="right"/>
    </xf>
    <xf numFmtId="0" fontId="18" fillId="4" borderId="193" xfId="0" applyFont="1" applyFill="1" applyBorder="1" applyAlignment="1" applyProtection="1">
      <alignment horizontal="center"/>
      <protection locked="0"/>
    </xf>
    <xf numFmtId="0" fontId="18" fillId="0" borderId="10" xfId="0" applyFont="1" applyBorder="1"/>
    <xf numFmtId="0" fontId="18" fillId="17" borderId="0" xfId="0" applyFont="1" applyFill="1"/>
    <xf numFmtId="169" fontId="17" fillId="17" borderId="0" xfId="0" applyNumberFormat="1" applyFont="1" applyFill="1" applyAlignment="1">
      <alignment horizontal="right"/>
    </xf>
    <xf numFmtId="0" fontId="0" fillId="17" borderId="0" xfId="0" applyFill="1"/>
    <xf numFmtId="0" fontId="116" fillId="0" borderId="0" xfId="0" applyFont="1" applyAlignment="1">
      <alignment vertical="center" wrapText="1"/>
    </xf>
    <xf numFmtId="0" fontId="35" fillId="0" borderId="0" xfId="0" applyFont="1" applyAlignment="1">
      <alignment horizontal="left" indent="1"/>
    </xf>
    <xf numFmtId="165" fontId="18" fillId="0" borderId="0" xfId="0" applyNumberFormat="1" applyFont="1" applyAlignment="1">
      <alignment horizontal="center"/>
    </xf>
    <xf numFmtId="0" fontId="19" fillId="0" borderId="0" xfId="0" applyFont="1" applyAlignment="1">
      <alignment horizontal="left"/>
    </xf>
    <xf numFmtId="3" fontId="5" fillId="0" borderId="0" xfId="0" applyNumberFormat="1" applyFont="1" applyAlignment="1">
      <alignment horizontal="left" indent="1"/>
    </xf>
    <xf numFmtId="3" fontId="18" fillId="0" borderId="0" xfId="0" applyNumberFormat="1" applyFont="1"/>
    <xf numFmtId="0" fontId="13" fillId="0" borderId="0" xfId="1" applyAlignment="1" applyProtection="1"/>
    <xf numFmtId="0" fontId="5" fillId="0" borderId="191" xfId="0" applyFont="1" applyBorder="1" applyAlignment="1">
      <alignment horizontal="center" vertical="top"/>
    </xf>
    <xf numFmtId="3" fontId="0" fillId="0" borderId="259" xfId="0" applyNumberFormat="1" applyBorder="1" applyAlignment="1">
      <alignment horizontal="center"/>
    </xf>
    <xf numFmtId="3" fontId="0" fillId="4" borderId="259" xfId="0" applyNumberFormat="1" applyFill="1" applyBorder="1" applyAlignment="1">
      <alignment horizontal="center"/>
    </xf>
    <xf numFmtId="9" fontId="18" fillId="0" borderId="0" xfId="0" applyNumberFormat="1" applyFont="1" applyAlignment="1">
      <alignment horizontal="center"/>
    </xf>
    <xf numFmtId="0" fontId="25" fillId="0" borderId="0" xfId="0" applyFont="1" applyAlignment="1">
      <alignment wrapText="1"/>
    </xf>
    <xf numFmtId="0" fontId="18" fillId="3" borderId="193" xfId="0" applyFont="1" applyFill="1" applyBorder="1" applyAlignment="1">
      <alignment horizontal="center"/>
    </xf>
    <xf numFmtId="0" fontId="137" fillId="0" borderId="0" xfId="0" applyFont="1"/>
    <xf numFmtId="0" fontId="119" fillId="0" borderId="0" xfId="0" applyFont="1" applyAlignment="1">
      <alignment wrapText="1"/>
    </xf>
    <xf numFmtId="173" fontId="0" fillId="0" borderId="0" xfId="2" applyNumberFormat="1" applyFont="1" applyAlignment="1">
      <alignment horizontal="center"/>
    </xf>
    <xf numFmtId="9" fontId="0" fillId="0" borderId="0" xfId="2" applyFont="1" applyAlignment="1">
      <alignment horizontal="center"/>
    </xf>
    <xf numFmtId="9" fontId="18" fillId="0" borderId="0" xfId="2" applyFont="1" applyAlignment="1">
      <alignment horizontal="center"/>
    </xf>
    <xf numFmtId="173" fontId="18" fillId="0" borderId="0" xfId="2" applyNumberFormat="1" applyFont="1" applyAlignment="1">
      <alignment horizontal="center"/>
    </xf>
    <xf numFmtId="0" fontId="119" fillId="0" borderId="0" xfId="0" applyFont="1" applyAlignment="1">
      <alignment horizontal="center"/>
    </xf>
    <xf numFmtId="9" fontId="74" fillId="0" borderId="0" xfId="2" applyFont="1" applyAlignment="1">
      <alignment horizontal="center"/>
    </xf>
    <xf numFmtId="0" fontId="139" fillId="0" borderId="0" xfId="0" applyFont="1" applyAlignment="1">
      <alignment horizontal="right"/>
    </xf>
    <xf numFmtId="0" fontId="18" fillId="50" borderId="193" xfId="0" applyFont="1" applyFill="1" applyBorder="1" applyAlignment="1">
      <alignment horizontal="center" vertical="center"/>
    </xf>
    <xf numFmtId="0" fontId="52" fillId="0" borderId="0" xfId="0" applyFont="1" applyAlignment="1">
      <alignment horizontal="center" wrapText="1"/>
    </xf>
    <xf numFmtId="0" fontId="18" fillId="0" borderId="261" xfId="0" applyFont="1" applyBorder="1"/>
    <xf numFmtId="0" fontId="19" fillId="0" borderId="261" xfId="0" applyFont="1" applyBorder="1" applyAlignment="1">
      <alignment horizontal="left"/>
    </xf>
    <xf numFmtId="3" fontId="5" fillId="0" borderId="261" xfId="0" applyNumberFormat="1" applyFont="1" applyBorder="1" applyAlignment="1">
      <alignment horizontal="left" indent="1"/>
    </xf>
    <xf numFmtId="3" fontId="18" fillId="0" borderId="261" xfId="0" applyNumberFormat="1" applyFont="1" applyBorder="1"/>
    <xf numFmtId="0" fontId="18" fillId="0" borderId="261" xfId="0" applyFont="1" applyBorder="1" applyAlignment="1">
      <alignment horizontal="center"/>
    </xf>
    <xf numFmtId="0" fontId="25" fillId="0" borderId="261" xfId="0" applyFont="1" applyBorder="1"/>
    <xf numFmtId="0" fontId="25" fillId="0" borderId="261" xfId="0" applyFont="1" applyBorder="1" applyAlignment="1">
      <alignment wrapText="1"/>
    </xf>
    <xf numFmtId="0" fontId="18" fillId="0" borderId="262" xfId="0" applyFont="1" applyBorder="1"/>
    <xf numFmtId="0" fontId="24" fillId="58" borderId="265" xfId="0" applyFont="1" applyFill="1" applyBorder="1" applyAlignment="1">
      <alignment horizontal="center" vertical="center"/>
    </xf>
    <xf numFmtId="0" fontId="18" fillId="58" borderId="265" xfId="0" applyFont="1" applyFill="1" applyBorder="1" applyAlignment="1">
      <alignment vertical="center"/>
    </xf>
    <xf numFmtId="0" fontId="114" fillId="10" borderId="0" xfId="0" applyFont="1" applyFill="1" applyAlignment="1">
      <alignment horizontal="right" vertical="center" wrapText="1"/>
    </xf>
    <xf numFmtId="3" fontId="24" fillId="2" borderId="269" xfId="0" applyNumberFormat="1" applyFont="1" applyFill="1" applyBorder="1" applyAlignment="1">
      <alignment horizontal="center" vertical="center"/>
    </xf>
    <xf numFmtId="4" fontId="24" fillId="2" borderId="270" xfId="0" applyNumberFormat="1" applyFont="1" applyFill="1" applyBorder="1" applyAlignment="1">
      <alignment horizontal="center" vertical="center"/>
    </xf>
    <xf numFmtId="4" fontId="24" fillId="2" borderId="0" xfId="0" applyNumberFormat="1" applyFont="1" applyFill="1" applyAlignment="1">
      <alignment horizontal="center" vertical="center"/>
    </xf>
    <xf numFmtId="0" fontId="114" fillId="60" borderId="267" xfId="0" applyFont="1" applyFill="1" applyBorder="1" applyAlignment="1">
      <alignment horizontal="center" vertical="center"/>
    </xf>
    <xf numFmtId="0" fontId="15" fillId="0" borderId="109" xfId="0" applyFont="1" applyBorder="1" applyAlignment="1">
      <alignment horizontal="center"/>
    </xf>
    <xf numFmtId="0" fontId="136" fillId="0" borderId="109" xfId="0" applyFont="1" applyBorder="1" applyAlignment="1">
      <alignment horizontal="center"/>
    </xf>
    <xf numFmtId="3" fontId="18" fillId="0" borderId="0" xfId="0" applyNumberFormat="1" applyFont="1" applyAlignment="1">
      <alignment horizontal="left"/>
    </xf>
    <xf numFmtId="4" fontId="18" fillId="0" borderId="0" xfId="0" applyNumberFormat="1" applyFont="1" applyAlignment="1">
      <alignment horizontal="center"/>
    </xf>
    <xf numFmtId="9" fontId="19" fillId="0" borderId="0" xfId="0" applyNumberFormat="1" applyFont="1" applyAlignment="1">
      <alignment horizontal="center"/>
    </xf>
    <xf numFmtId="0" fontId="5" fillId="2" borderId="253" xfId="0" applyFont="1" applyFill="1" applyBorder="1" applyAlignment="1">
      <alignment vertical="center" wrapText="1"/>
    </xf>
    <xf numFmtId="0" fontId="0" fillId="0" borderId="253" xfId="0" applyBorder="1"/>
    <xf numFmtId="0" fontId="22" fillId="0" borderId="0" xfId="0" applyFont="1" applyAlignment="1">
      <alignment vertical="top" wrapText="1"/>
    </xf>
    <xf numFmtId="173" fontId="18" fillId="0" borderId="0" xfId="0" applyNumberFormat="1" applyFont="1" applyAlignment="1">
      <alignment horizontal="center"/>
    </xf>
    <xf numFmtId="0" fontId="74" fillId="0" borderId="0" xfId="0" applyFont="1" applyAlignment="1">
      <alignment horizontal="center"/>
    </xf>
    <xf numFmtId="0" fontId="18" fillId="2" borderId="192" xfId="0" applyFont="1" applyFill="1" applyBorder="1"/>
    <xf numFmtId="165" fontId="18" fillId="0" borderId="193" xfId="0" applyNumberFormat="1" applyFont="1" applyBorder="1" applyAlignment="1">
      <alignment horizontal="center" shrinkToFit="1"/>
    </xf>
    <xf numFmtId="0" fontId="18" fillId="0" borderId="0" xfId="0" applyFont="1" applyAlignment="1">
      <alignment wrapText="1"/>
    </xf>
    <xf numFmtId="173" fontId="18" fillId="0" borderId="0" xfId="0" applyNumberFormat="1" applyFont="1"/>
    <xf numFmtId="0" fontId="35" fillId="0" borderId="0" xfId="0" applyFont="1" applyAlignment="1">
      <alignment horizontal="right"/>
    </xf>
    <xf numFmtId="0" fontId="136" fillId="0" borderId="0" xfId="0" applyFont="1"/>
    <xf numFmtId="0" fontId="139" fillId="0" borderId="0" xfId="0" applyFont="1"/>
    <xf numFmtId="0" fontId="25" fillId="0" borderId="191" xfId="0" applyFont="1" applyBorder="1"/>
    <xf numFmtId="0" fontId="25" fillId="0" borderId="191" xfId="0" applyFont="1" applyBorder="1" applyAlignment="1">
      <alignment wrapText="1"/>
    </xf>
    <xf numFmtId="0" fontId="35" fillId="0" borderId="0" xfId="0" applyFont="1" applyAlignment="1">
      <alignment horizontal="center"/>
    </xf>
    <xf numFmtId="166" fontId="18" fillId="0" borderId="0" xfId="2" applyNumberFormat="1" applyFont="1" applyAlignment="1">
      <alignment horizontal="center"/>
    </xf>
    <xf numFmtId="166" fontId="18" fillId="0" borderId="193" xfId="0" applyNumberFormat="1" applyFont="1" applyBorder="1" applyAlignment="1">
      <alignment horizontal="center"/>
    </xf>
    <xf numFmtId="9" fontId="140" fillId="0" borderId="0" xfId="0" applyNumberFormat="1" applyFont="1" applyAlignment="1">
      <alignment horizontal="center"/>
    </xf>
    <xf numFmtId="0" fontId="0" fillId="6" borderId="69" xfId="0" applyFill="1" applyBorder="1"/>
    <xf numFmtId="0" fontId="0" fillId="0" borderId="69" xfId="0" applyBorder="1"/>
    <xf numFmtId="0" fontId="57" fillId="3" borderId="0" xfId="0" applyFont="1" applyFill="1" applyAlignment="1">
      <alignment horizontal="left" vertical="center"/>
    </xf>
    <xf numFmtId="2" fontId="0" fillId="0" borderId="32" xfId="0" applyNumberFormat="1" applyBorder="1" applyAlignment="1">
      <alignment horizontal="center"/>
    </xf>
    <xf numFmtId="173" fontId="0" fillId="0" borderId="32" xfId="0" applyNumberFormat="1" applyBorder="1" applyAlignment="1">
      <alignment horizontal="center"/>
    </xf>
    <xf numFmtId="173" fontId="0" fillId="0" borderId="6" xfId="2" applyNumberFormat="1" applyFont="1" applyBorder="1" applyAlignment="1">
      <alignment horizontal="center"/>
    </xf>
    <xf numFmtId="3" fontId="85" fillId="0" borderId="0" xfId="0" applyNumberFormat="1" applyFont="1" applyProtection="1">
      <protection locked="0"/>
    </xf>
    <xf numFmtId="3" fontId="85" fillId="0" borderId="0" xfId="0" applyNumberFormat="1" applyFont="1" applyAlignment="1" applyProtection="1">
      <alignment horizontal="center"/>
      <protection locked="0"/>
    </xf>
    <xf numFmtId="0" fontId="0" fillId="2" borderId="192" xfId="0" applyFill="1" applyBorder="1"/>
    <xf numFmtId="0" fontId="0" fillId="2" borderId="253" xfId="0" applyFill="1" applyBorder="1"/>
    <xf numFmtId="0" fontId="0" fillId="2" borderId="29" xfId="0" applyFill="1" applyBorder="1"/>
    <xf numFmtId="0" fontId="0" fillId="2" borderId="44" xfId="0" applyFill="1" applyBorder="1"/>
    <xf numFmtId="0" fontId="0" fillId="2" borderId="0" xfId="0" applyFill="1" applyAlignment="1">
      <alignment vertical="top" wrapText="1"/>
    </xf>
    <xf numFmtId="0" fontId="0" fillId="2" borderId="44" xfId="0" applyFill="1" applyBorder="1" applyAlignment="1">
      <alignment vertical="top" wrapText="1"/>
    </xf>
    <xf numFmtId="0" fontId="78" fillId="2" borderId="253" xfId="0" applyFont="1" applyFill="1" applyBorder="1" applyAlignment="1">
      <alignment wrapText="1"/>
    </xf>
    <xf numFmtId="0" fontId="78" fillId="2" borderId="0" xfId="0" applyFont="1" applyFill="1" applyAlignment="1">
      <alignment wrapText="1"/>
    </xf>
    <xf numFmtId="0" fontId="78" fillId="2" borderId="44" xfId="0" applyFont="1" applyFill="1" applyBorder="1" applyAlignment="1">
      <alignment wrapText="1"/>
    </xf>
    <xf numFmtId="0" fontId="0" fillId="2" borderId="29" xfId="0" applyFill="1" applyBorder="1" applyAlignment="1">
      <alignment vertical="top" wrapText="1"/>
    </xf>
    <xf numFmtId="0" fontId="0" fillId="2" borderId="11" xfId="0" applyFill="1" applyBorder="1" applyAlignment="1">
      <alignment vertical="top" wrapText="1"/>
    </xf>
    <xf numFmtId="0" fontId="0" fillId="2" borderId="44" xfId="0" applyFill="1" applyBorder="1" applyAlignment="1">
      <alignment horizontal="center"/>
    </xf>
    <xf numFmtId="0" fontId="0" fillId="2" borderId="11" xfId="0" applyFill="1" applyBorder="1"/>
    <xf numFmtId="0" fontId="45" fillId="2" borderId="0" xfId="0" applyFont="1" applyFill="1" applyAlignment="1">
      <alignment horizontal="right" indent="1"/>
    </xf>
    <xf numFmtId="0" fontId="0" fillId="2" borderId="10" xfId="0" applyFill="1" applyBorder="1" applyAlignment="1">
      <alignment vertical="top" wrapText="1"/>
    </xf>
    <xf numFmtId="0" fontId="0" fillId="2" borderId="23" xfId="0" applyFill="1" applyBorder="1" applyAlignment="1">
      <alignment vertical="top" wrapText="1"/>
    </xf>
    <xf numFmtId="0" fontId="0" fillId="2" borderId="23" xfId="0" applyFill="1" applyBorder="1"/>
    <xf numFmtId="0" fontId="4" fillId="2" borderId="0" xfId="0" applyFont="1" applyFill="1" applyAlignment="1">
      <alignment horizontal="right" indent="1"/>
    </xf>
    <xf numFmtId="0" fontId="136" fillId="0" borderId="0" xfId="0" applyFont="1" applyAlignment="1">
      <alignment horizontal="center"/>
    </xf>
    <xf numFmtId="9" fontId="140" fillId="0" borderId="0" xfId="0" applyNumberFormat="1" applyFont="1" applyAlignment="1">
      <alignment horizontal="right"/>
    </xf>
    <xf numFmtId="173" fontId="19" fillId="3" borderId="255" xfId="0" applyNumberFormat="1" applyFont="1" applyFill="1" applyBorder="1" applyAlignment="1">
      <alignment horizontal="center"/>
    </xf>
    <xf numFmtId="173" fontId="140" fillId="0" borderId="0" xfId="0" applyNumberFormat="1" applyFont="1" applyAlignment="1">
      <alignment horizontal="right"/>
    </xf>
    <xf numFmtId="3" fontId="18" fillId="0" borderId="0" xfId="2" applyNumberFormat="1" applyFont="1" applyAlignment="1">
      <alignment horizontal="center"/>
    </xf>
    <xf numFmtId="0" fontId="143" fillId="0" borderId="0" xfId="0" applyFont="1"/>
    <xf numFmtId="0" fontId="68" fillId="0" borderId="0" xfId="0" applyFont="1" applyAlignment="1">
      <alignment horizontal="right"/>
    </xf>
    <xf numFmtId="0" fontId="68" fillId="0" borderId="0" xfId="0" applyFont="1"/>
    <xf numFmtId="0" fontId="144" fillId="0" borderId="0" xfId="0" applyFont="1"/>
    <xf numFmtId="3" fontId="3" fillId="0" borderId="0" xfId="0" applyNumberFormat="1" applyFont="1" applyAlignment="1">
      <alignment horizontal="center" vertical="top"/>
    </xf>
    <xf numFmtId="3" fontId="6" fillId="0" borderId="0" xfId="0" applyNumberFormat="1" applyFont="1"/>
    <xf numFmtId="0" fontId="145" fillId="0" borderId="0" xfId="0" applyFont="1" applyAlignment="1">
      <alignment horizontal="left" vertical="center" indent="4"/>
    </xf>
    <xf numFmtId="0" fontId="146" fillId="0" borderId="0" xfId="0" applyFont="1"/>
    <xf numFmtId="173" fontId="18" fillId="0" borderId="0" xfId="2" applyNumberFormat="1" applyFont="1" applyAlignment="1">
      <alignment horizontal="left"/>
    </xf>
    <xf numFmtId="0" fontId="6" fillId="0" borderId="0" xfId="0" applyFont="1" applyAlignment="1">
      <alignment horizontal="left" indent="1"/>
    </xf>
    <xf numFmtId="0" fontId="6" fillId="0" borderId="0" xfId="0" quotePrefix="1" applyFont="1" applyAlignment="1">
      <alignment horizontal="left" indent="2"/>
    </xf>
    <xf numFmtId="0" fontId="148" fillId="0" borderId="0" xfId="0" applyFont="1"/>
    <xf numFmtId="0" fontId="5" fillId="2" borderId="191" xfId="0" applyFont="1" applyFill="1" applyBorder="1"/>
    <xf numFmtId="0" fontId="0" fillId="2" borderId="191" xfId="0" applyFill="1" applyBorder="1"/>
    <xf numFmtId="0" fontId="78" fillId="2" borderId="191" xfId="0" applyFont="1" applyFill="1" applyBorder="1" applyAlignment="1">
      <alignment wrapText="1"/>
    </xf>
    <xf numFmtId="0" fontId="4" fillId="3" borderId="0" xfId="0" applyFont="1" applyFill="1" applyAlignment="1">
      <alignment horizontal="left"/>
    </xf>
    <xf numFmtId="0" fontId="150" fillId="7" borderId="0" xfId="0" applyFont="1" applyFill="1"/>
    <xf numFmtId="0" fontId="151" fillId="7" borderId="0" xfId="0" applyFont="1" applyFill="1"/>
    <xf numFmtId="0" fontId="0" fillId="6" borderId="32" xfId="0" applyFill="1" applyBorder="1" applyAlignment="1">
      <alignment horizontal="center"/>
    </xf>
    <xf numFmtId="0" fontId="0" fillId="6" borderId="4" xfId="0" applyFill="1" applyBorder="1" applyAlignment="1">
      <alignment wrapText="1"/>
    </xf>
    <xf numFmtId="0" fontId="0" fillId="19" borderId="0" xfId="0" applyFill="1"/>
    <xf numFmtId="0" fontId="0" fillId="22" borderId="4" xfId="0" applyFill="1" applyBorder="1"/>
    <xf numFmtId="0" fontId="0" fillId="17" borderId="7" xfId="0" applyFill="1" applyBorder="1"/>
    <xf numFmtId="0" fontId="0" fillId="6" borderId="5" xfId="0" applyFill="1" applyBorder="1" applyAlignment="1">
      <alignment horizontal="left"/>
    </xf>
    <xf numFmtId="0" fontId="0" fillId="6" borderId="8" xfId="0" applyFill="1" applyBorder="1" applyAlignment="1">
      <alignment horizontal="left"/>
    </xf>
    <xf numFmtId="0" fontId="0" fillId="75" borderId="5" xfId="0" applyFill="1" applyBorder="1"/>
    <xf numFmtId="0" fontId="0" fillId="75" borderId="8" xfId="0" applyFill="1" applyBorder="1" applyAlignment="1">
      <alignment horizontal="center"/>
    </xf>
    <xf numFmtId="0" fontId="0" fillId="75" borderId="8" xfId="0" applyFill="1" applyBorder="1"/>
    <xf numFmtId="0" fontId="0" fillId="17" borderId="8" xfId="0" applyFill="1" applyBorder="1"/>
    <xf numFmtId="0" fontId="0" fillId="0" borderId="5" xfId="0" applyBorder="1" applyAlignment="1">
      <alignment horizontal="right"/>
    </xf>
    <xf numFmtId="0" fontId="0" fillId="6" borderId="5" xfId="0" applyFill="1" applyBorder="1" applyAlignment="1">
      <alignment horizontal="right"/>
    </xf>
    <xf numFmtId="0" fontId="0" fillId="75" borderId="4" xfId="0" applyFill="1" applyBorder="1"/>
    <xf numFmtId="0" fontId="0" fillId="17" borderId="8" xfId="0" applyFill="1" applyBorder="1" applyAlignment="1">
      <alignment horizontal="center"/>
    </xf>
    <xf numFmtId="0" fontId="0" fillId="17" borderId="5" xfId="0" applyFill="1" applyBorder="1" applyAlignment="1">
      <alignment horizontal="center"/>
    </xf>
    <xf numFmtId="0" fontId="0" fillId="17" borderId="32" xfId="0" applyFill="1" applyBorder="1" applyAlignment="1">
      <alignment horizontal="center"/>
    </xf>
    <xf numFmtId="0" fontId="0" fillId="17" borderId="6" xfId="0" applyFill="1" applyBorder="1" applyAlignment="1">
      <alignment horizontal="center"/>
    </xf>
    <xf numFmtId="0" fontId="0" fillId="17" borderId="32" xfId="0" applyFill="1" applyBorder="1"/>
    <xf numFmtId="0" fontId="0" fillId="22" borderId="8" xfId="0" applyFill="1" applyBorder="1" applyAlignment="1">
      <alignment horizontal="center"/>
    </xf>
    <xf numFmtId="0" fontId="0" fillId="22" borderId="32" xfId="0" applyFill="1" applyBorder="1" applyAlignment="1">
      <alignment horizontal="center"/>
    </xf>
    <xf numFmtId="0" fontId="0" fillId="22" borderId="6" xfId="0" applyFill="1" applyBorder="1" applyAlignment="1">
      <alignment horizontal="center"/>
    </xf>
    <xf numFmtId="0" fontId="0" fillId="22" borderId="8" xfId="0" applyFill="1" applyBorder="1"/>
    <xf numFmtId="0" fontId="0" fillId="22" borderId="0" xfId="0" applyFill="1"/>
    <xf numFmtId="0" fontId="0" fillId="22" borderId="7" xfId="0" applyFill="1" applyBorder="1"/>
    <xf numFmtId="0" fontId="0" fillId="22" borderId="32" xfId="0" applyFill="1" applyBorder="1"/>
    <xf numFmtId="0" fontId="55" fillId="3" borderId="0" xfId="0" applyFont="1" applyFill="1"/>
    <xf numFmtId="0" fontId="0" fillId="0" borderId="0" xfId="0" applyAlignment="1">
      <alignment horizontal="left" wrapText="1"/>
    </xf>
    <xf numFmtId="0" fontId="0" fillId="3" borderId="276" xfId="0" applyFill="1" applyBorder="1"/>
    <xf numFmtId="0" fontId="0" fillId="3" borderId="277" xfId="0" applyFill="1" applyBorder="1"/>
    <xf numFmtId="0" fontId="0" fillId="3" borderId="278" xfId="0" applyFill="1" applyBorder="1"/>
    <xf numFmtId="0" fontId="45" fillId="3" borderId="278" xfId="0" applyFont="1" applyFill="1" applyBorder="1" applyAlignment="1">
      <alignment horizontal="right"/>
    </xf>
    <xf numFmtId="0" fontId="0" fillId="0" borderId="276" xfId="0" applyBorder="1"/>
    <xf numFmtId="0" fontId="6" fillId="0" borderId="276" xfId="0" applyFont="1" applyBorder="1" applyAlignment="1">
      <alignment horizontal="center"/>
    </xf>
    <xf numFmtId="0" fontId="136" fillId="0" borderId="21" xfId="0" applyFont="1" applyBorder="1"/>
    <xf numFmtId="0" fontId="136" fillId="0" borderId="21" xfId="0" applyFont="1" applyBorder="1" applyAlignment="1">
      <alignment horizontal="center"/>
    </xf>
    <xf numFmtId="0" fontId="136" fillId="0" borderId="21" xfId="0" applyFont="1" applyBorder="1" applyAlignment="1">
      <alignment horizontal="center" textRotation="90"/>
    </xf>
    <xf numFmtId="0" fontId="136" fillId="0" borderId="0" xfId="0" applyFont="1" applyAlignment="1">
      <alignment horizontal="center" textRotation="90"/>
    </xf>
    <xf numFmtId="0" fontId="136" fillId="0" borderId="0" xfId="0" applyFont="1" applyAlignment="1">
      <alignment textRotation="90" wrapText="1"/>
    </xf>
    <xf numFmtId="0" fontId="136" fillId="0" borderId="0" xfId="0" applyFont="1" applyAlignment="1">
      <alignment horizontal="center" textRotation="90" wrapText="1"/>
    </xf>
    <xf numFmtId="0" fontId="136" fillId="0" borderId="0" xfId="0" applyFont="1" applyAlignment="1">
      <alignment horizontal="left" indent="1"/>
    </xf>
    <xf numFmtId="0" fontId="17" fillId="0" borderId="74" xfId="0" applyFont="1" applyBorder="1" applyAlignment="1">
      <alignment horizontal="center" vertical="center"/>
    </xf>
    <xf numFmtId="0" fontId="17" fillId="0" borderId="0" xfId="0" applyFont="1" applyAlignment="1">
      <alignment horizontal="center" vertical="center"/>
    </xf>
    <xf numFmtId="165" fontId="85" fillId="0" borderId="0" xfId="0" applyNumberFormat="1"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wrapText="1"/>
    </xf>
    <xf numFmtId="0" fontId="136" fillId="0" borderId="22" xfId="0" applyFont="1" applyBorder="1" applyAlignment="1">
      <alignment horizontal="center"/>
    </xf>
    <xf numFmtId="0" fontId="136" fillId="0" borderId="113" xfId="0" applyFont="1" applyBorder="1" applyAlignment="1">
      <alignment horizontal="center" wrapText="1"/>
    </xf>
    <xf numFmtId="0" fontId="17" fillId="0" borderId="79" xfId="0" applyFont="1" applyBorder="1" applyAlignment="1">
      <alignment horizontal="center" vertical="center"/>
    </xf>
    <xf numFmtId="165" fontId="85" fillId="0" borderId="79" xfId="0" applyNumberFormat="1" applyFont="1" applyBorder="1" applyAlignment="1">
      <alignment horizontal="center" vertical="center"/>
    </xf>
    <xf numFmtId="165" fontId="85" fillId="0" borderId="74" xfId="0" applyNumberFormat="1" applyFont="1" applyBorder="1" applyAlignment="1">
      <alignment horizontal="center" vertical="center"/>
    </xf>
    <xf numFmtId="0" fontId="24" fillId="17" borderId="0" xfId="0" applyFont="1" applyFill="1" applyAlignment="1">
      <alignment vertical="top" wrapText="1"/>
    </xf>
    <xf numFmtId="0" fontId="18" fillId="17" borderId="0" xfId="0" applyFont="1" applyFill="1" applyAlignment="1">
      <alignment vertical="top" wrapText="1"/>
    </xf>
    <xf numFmtId="0" fontId="45" fillId="17" borderId="0" xfId="0" applyFont="1" applyFill="1" applyAlignment="1">
      <alignment horizontal="right" vertical="center" indent="1"/>
    </xf>
    <xf numFmtId="0" fontId="6" fillId="17" borderId="0" xfId="0" applyFont="1" applyFill="1"/>
    <xf numFmtId="0" fontId="0" fillId="17" borderId="0" xfId="0" applyFill="1" applyAlignment="1">
      <alignment horizontal="center"/>
    </xf>
    <xf numFmtId="0" fontId="0" fillId="76" borderId="0" xfId="0" applyFill="1"/>
    <xf numFmtId="0" fontId="0" fillId="76" borderId="0" xfId="0" applyFill="1" applyAlignment="1">
      <alignment horizontal="center"/>
    </xf>
    <xf numFmtId="0" fontId="0" fillId="76" borderId="4" xfId="0" applyFill="1" applyBorder="1"/>
    <xf numFmtId="0" fontId="0" fillId="4" borderId="11" xfId="0" applyFill="1" applyBorder="1" applyAlignment="1" applyProtection="1">
      <alignment horizontal="center"/>
      <protection locked="0"/>
    </xf>
    <xf numFmtId="0" fontId="0" fillId="2" borderId="11" xfId="0" applyFill="1" applyBorder="1" applyAlignment="1">
      <alignment horizontal="center"/>
    </xf>
    <xf numFmtId="0" fontId="45" fillId="3" borderId="140" xfId="0" applyFont="1" applyFill="1" applyBorder="1" applyAlignment="1">
      <alignment horizontal="right" vertical="center" indent="1"/>
    </xf>
    <xf numFmtId="0" fontId="159" fillId="0" borderId="0" xfId="0" applyFont="1" applyAlignment="1">
      <alignment horizontal="left" vertical="center"/>
    </xf>
    <xf numFmtId="0" fontId="158" fillId="0" borderId="0" xfId="0" applyFont="1"/>
    <xf numFmtId="0" fontId="161" fillId="0" borderId="0" xfId="0" applyFont="1"/>
    <xf numFmtId="0" fontId="161" fillId="0" borderId="0" xfId="0" applyFont="1" applyAlignment="1">
      <alignment vertical="top"/>
    </xf>
    <xf numFmtId="0" fontId="162" fillId="0" borderId="0" xfId="0" applyFont="1" applyAlignment="1">
      <alignment vertical="top"/>
    </xf>
    <xf numFmtId="0" fontId="161" fillId="0" borderId="0" xfId="0" applyFont="1" applyAlignment="1">
      <alignment vertical="top" wrapText="1"/>
    </xf>
    <xf numFmtId="0" fontId="162" fillId="0" borderId="0" xfId="0" applyFont="1" applyAlignment="1">
      <alignment vertical="top" wrapText="1"/>
    </xf>
    <xf numFmtId="0" fontId="45" fillId="3" borderId="0" xfId="0" applyFont="1" applyFill="1" applyAlignment="1">
      <alignment horizontal="right" indent="1"/>
    </xf>
    <xf numFmtId="0" fontId="45" fillId="3" borderId="0" xfId="0" applyFont="1" applyFill="1" applyAlignment="1">
      <alignment horizontal="right" vertical="center"/>
    </xf>
    <xf numFmtId="169" fontId="45" fillId="3" borderId="0" xfId="0" applyNumberFormat="1" applyFont="1" applyFill="1" applyAlignment="1">
      <alignment horizontal="left" shrinkToFit="1"/>
    </xf>
    <xf numFmtId="0" fontId="0" fillId="3" borderId="280" xfId="0" applyFill="1" applyBorder="1"/>
    <xf numFmtId="0" fontId="0" fillId="3" borderId="281" xfId="0" applyFill="1" applyBorder="1"/>
    <xf numFmtId="0" fontId="45" fillId="3" borderId="0" xfId="0" applyFont="1" applyFill="1"/>
    <xf numFmtId="169" fontId="45" fillId="3" borderId="0" xfId="0" applyNumberFormat="1" applyFont="1" applyFill="1" applyAlignment="1">
      <alignment horizontal="left" indent="1" shrinkToFit="1"/>
    </xf>
    <xf numFmtId="0" fontId="0" fillId="3" borderId="0" xfId="0" applyFill="1" applyAlignment="1">
      <alignment vertical="center"/>
    </xf>
    <xf numFmtId="0" fontId="45" fillId="3" borderId="0" xfId="0" applyFont="1" applyFill="1" applyAlignment="1">
      <alignment horizontal="right" vertical="center" indent="1"/>
    </xf>
    <xf numFmtId="0" fontId="18" fillId="3" borderId="0" xfId="0" applyFont="1" applyFill="1" applyAlignment="1">
      <alignment horizontal="right"/>
    </xf>
    <xf numFmtId="0" fontId="0" fillId="3" borderId="0" xfId="0" applyFill="1" applyAlignment="1">
      <alignment horizontal="left" indent="1"/>
    </xf>
    <xf numFmtId="0" fontId="50" fillId="3" borderId="0" xfId="0" applyFont="1" applyFill="1" applyAlignment="1">
      <alignment horizontal="center"/>
    </xf>
    <xf numFmtId="0" fontId="17" fillId="3" borderId="278" xfId="0" applyFont="1" applyFill="1" applyBorder="1"/>
    <xf numFmtId="0" fontId="51" fillId="3" borderId="278" xfId="0" applyFont="1" applyFill="1" applyBorder="1" applyAlignment="1">
      <alignment horizontal="center"/>
    </xf>
    <xf numFmtId="0" fontId="65" fillId="3" borderId="0" xfId="0" applyFont="1" applyFill="1" applyAlignment="1">
      <alignment vertical="top" wrapText="1"/>
    </xf>
    <xf numFmtId="0" fontId="120" fillId="3" borderId="0" xfId="0" applyFont="1" applyFill="1" applyAlignment="1">
      <alignment horizontal="right" vertical="center"/>
    </xf>
    <xf numFmtId="0" fontId="17" fillId="3" borderId="0" xfId="0" applyFont="1" applyFill="1" applyAlignment="1">
      <alignment horizontal="left" vertical="top" indent="1"/>
    </xf>
    <xf numFmtId="0" fontId="120" fillId="3" borderId="0" xfId="0" applyFont="1" applyFill="1" applyAlignment="1">
      <alignment horizontal="right" indent="1"/>
    </xf>
    <xf numFmtId="0" fontId="17" fillId="3" borderId="276" xfId="0" applyFont="1" applyFill="1" applyBorder="1"/>
    <xf numFmtId="0" fontId="45" fillId="4" borderId="0" xfId="0" applyFont="1" applyFill="1" applyAlignment="1" applyProtection="1">
      <alignment horizontal="left" indent="1"/>
      <protection locked="0"/>
    </xf>
    <xf numFmtId="0" fontId="45" fillId="3" borderId="0" xfId="0" applyFont="1" applyFill="1" applyAlignment="1">
      <alignment shrinkToFit="1"/>
    </xf>
    <xf numFmtId="0" fontId="45" fillId="3" borderId="0" xfId="0" applyFont="1" applyFill="1" applyAlignment="1">
      <alignment horizontal="left" indent="1" shrinkToFit="1"/>
    </xf>
    <xf numFmtId="0" fontId="45" fillId="3" borderId="0" xfId="0" applyFont="1" applyFill="1" applyAlignment="1">
      <alignment horizontal="left" shrinkToFit="1"/>
    </xf>
    <xf numFmtId="0" fontId="158" fillId="3" borderId="280" xfId="0" applyFont="1" applyFill="1" applyBorder="1"/>
    <xf numFmtId="0" fontId="158" fillId="3" borderId="276" xfId="0" applyFont="1" applyFill="1" applyBorder="1"/>
    <xf numFmtId="0" fontId="164" fillId="0" borderId="0" xfId="0" applyFont="1" applyAlignment="1">
      <alignment vertical="top" wrapText="1"/>
    </xf>
    <xf numFmtId="0" fontId="155" fillId="0" borderId="0" xfId="0" applyFont="1"/>
    <xf numFmtId="0" fontId="56" fillId="0" borderId="0" xfId="0" applyFont="1"/>
    <xf numFmtId="3" fontId="4" fillId="0" borderId="0" xfId="0" applyNumberFormat="1" applyFont="1" applyAlignment="1">
      <alignment horizontal="center"/>
    </xf>
    <xf numFmtId="0" fontId="0" fillId="0" borderId="0" xfId="0" applyAlignment="1">
      <alignment horizontal="center" wrapText="1"/>
    </xf>
    <xf numFmtId="0" fontId="165" fillId="0" borderId="0" xfId="0" applyFont="1"/>
    <xf numFmtId="0" fontId="166" fillId="0" borderId="0" xfId="0" applyFont="1" applyAlignment="1">
      <alignment horizontal="left" vertical="center"/>
    </xf>
    <xf numFmtId="0" fontId="46" fillId="0" borderId="0" xfId="0" applyFont="1" applyAlignment="1">
      <alignment horizontal="left" vertical="top"/>
    </xf>
    <xf numFmtId="0" fontId="160" fillId="0" borderId="0" xfId="0" applyFont="1" applyAlignment="1">
      <alignment horizontal="left" vertical="top" wrapText="1" indent="3"/>
    </xf>
    <xf numFmtId="0" fontId="167" fillId="0" borderId="0" xfId="0" applyFont="1"/>
    <xf numFmtId="0" fontId="160" fillId="0" borderId="0" xfId="0" applyFont="1"/>
    <xf numFmtId="0" fontId="163" fillId="0" borderId="0" xfId="0" applyFont="1" applyAlignment="1">
      <alignment vertical="top"/>
    </xf>
    <xf numFmtId="0" fontId="167" fillId="0" borderId="0" xfId="0" applyFont="1" applyAlignment="1">
      <alignment vertical="top"/>
    </xf>
    <xf numFmtId="0" fontId="165" fillId="0" borderId="0" xfId="0" applyFont="1" applyAlignment="1">
      <alignment vertical="top"/>
    </xf>
    <xf numFmtId="0" fontId="3" fillId="77" borderId="0" xfId="0" applyFont="1" applyFill="1" applyAlignment="1">
      <alignment horizontal="left" vertical="center"/>
    </xf>
    <xf numFmtId="0" fontId="6" fillId="77" borderId="0" xfId="0" applyFont="1" applyFill="1"/>
    <xf numFmtId="0" fontId="154" fillId="0" borderId="82" xfId="0" applyFont="1" applyBorder="1" applyAlignment="1">
      <alignment vertical="top"/>
    </xf>
    <xf numFmtId="165" fontId="75" fillId="0" borderId="0" xfId="0" applyNumberFormat="1" applyFont="1" applyAlignment="1">
      <alignment horizontal="left"/>
    </xf>
    <xf numFmtId="0" fontId="168" fillId="9" borderId="29" xfId="0" applyFont="1" applyFill="1" applyBorder="1"/>
    <xf numFmtId="0" fontId="17" fillId="0" borderId="0" xfId="0" applyFont="1" applyAlignment="1">
      <alignment vertical="center"/>
    </xf>
    <xf numFmtId="0" fontId="4" fillId="0" borderId="0" xfId="0" applyFont="1" applyAlignment="1">
      <alignment vertical="top"/>
    </xf>
    <xf numFmtId="2" fontId="42" fillId="0" borderId="193" xfId="0" applyNumberFormat="1" applyFont="1" applyBorder="1" applyAlignment="1">
      <alignment horizontal="center"/>
    </xf>
    <xf numFmtId="2" fontId="42" fillId="0" borderId="49" xfId="0" applyNumberFormat="1" applyFont="1" applyBorder="1" applyAlignment="1">
      <alignment horizontal="center"/>
    </xf>
    <xf numFmtId="166" fontId="18" fillId="0" borderId="0" xfId="0" applyNumberFormat="1" applyFont="1" applyAlignment="1">
      <alignment vertical="center"/>
    </xf>
    <xf numFmtId="0" fontId="17" fillId="22" borderId="5" xfId="0" applyFont="1" applyFill="1" applyBorder="1" applyAlignment="1">
      <alignment horizontal="center"/>
    </xf>
    <xf numFmtId="0" fontId="4" fillId="0" borderId="0" xfId="0" applyFont="1" applyAlignment="1">
      <alignment vertical="top" wrapText="1"/>
    </xf>
    <xf numFmtId="0" fontId="4" fillId="17" borderId="0" xfId="0" applyFont="1" applyFill="1"/>
    <xf numFmtId="0" fontId="135" fillId="17" borderId="0" xfId="0" applyFont="1" applyFill="1" applyAlignment="1">
      <alignment horizontal="right" vertical="center"/>
    </xf>
    <xf numFmtId="0" fontId="4" fillId="17" borderId="0" xfId="0" applyFont="1" applyFill="1" applyAlignment="1">
      <alignment horizontal="right" indent="1"/>
    </xf>
    <xf numFmtId="0" fontId="4" fillId="17" borderId="0" xfId="0" applyFont="1" applyFill="1" applyAlignment="1">
      <alignment horizontal="left" vertical="top" indent="1"/>
    </xf>
    <xf numFmtId="0" fontId="4" fillId="17" borderId="0" xfId="0" applyFont="1" applyFill="1" applyAlignment="1">
      <alignment horizontal="left"/>
    </xf>
    <xf numFmtId="0" fontId="135" fillId="17" borderId="0" xfId="0" applyFont="1" applyFill="1" applyAlignment="1">
      <alignment horizontal="right" indent="1"/>
    </xf>
    <xf numFmtId="0" fontId="4" fillId="0" borderId="0" xfId="0" applyFont="1" applyAlignment="1">
      <alignment horizontal="right" indent="1"/>
    </xf>
    <xf numFmtId="0" fontId="51" fillId="0" borderId="0" xfId="0" applyFont="1"/>
    <xf numFmtId="0" fontId="169" fillId="0" borderId="0" xfId="0" applyFont="1"/>
    <xf numFmtId="0" fontId="51" fillId="0" borderId="0" xfId="0" applyFont="1" applyAlignment="1">
      <alignment vertical="top" wrapText="1"/>
    </xf>
    <xf numFmtId="0" fontId="170" fillId="0" borderId="0" xfId="0" applyFont="1" applyAlignment="1">
      <alignment horizontal="right"/>
    </xf>
    <xf numFmtId="0" fontId="170" fillId="0" borderId="0" xfId="0" applyFont="1" applyAlignment="1">
      <alignment horizontal="right" vertical="center"/>
    </xf>
    <xf numFmtId="169" fontId="51" fillId="0" borderId="0" xfId="0" applyNumberFormat="1" applyFont="1"/>
    <xf numFmtId="0" fontId="170" fillId="0" borderId="0" xfId="0" applyFont="1"/>
    <xf numFmtId="0" fontId="51" fillId="0" borderId="0" xfId="0" applyFont="1" applyAlignment="1">
      <alignment horizontal="center"/>
    </xf>
    <xf numFmtId="0" fontId="51" fillId="0" borderId="0" xfId="0" applyFont="1" applyAlignment="1">
      <alignment vertical="top"/>
    </xf>
    <xf numFmtId="0" fontId="171" fillId="0" borderId="0" xfId="0" applyFont="1" applyAlignment="1">
      <alignment horizontal="right" indent="1"/>
    </xf>
    <xf numFmtId="0" fontId="172" fillId="0" borderId="0" xfId="0" applyFont="1" applyAlignment="1">
      <alignment horizontal="right" indent="1"/>
    </xf>
    <xf numFmtId="0" fontId="51" fillId="0" borderId="0" xfId="0" applyFont="1" applyAlignment="1">
      <alignment horizontal="left"/>
    </xf>
    <xf numFmtId="171" fontId="51" fillId="0" borderId="0" xfId="0" applyNumberFormat="1" applyFont="1" applyAlignment="1">
      <alignment horizontal="left"/>
    </xf>
    <xf numFmtId="0" fontId="32" fillId="0" borderId="0" xfId="0" applyFont="1" applyAlignment="1">
      <alignment horizontal="center"/>
    </xf>
    <xf numFmtId="0" fontId="0" fillId="0" borderId="0" xfId="0" applyAlignment="1" applyProtection="1">
      <alignment horizontal="center"/>
      <protection locked="0"/>
    </xf>
    <xf numFmtId="0" fontId="4" fillId="0" borderId="0" xfId="0" applyFont="1" applyAlignment="1">
      <alignment horizontal="center" vertical="top"/>
    </xf>
    <xf numFmtId="0" fontId="48" fillId="0" borderId="0" xfId="0" applyFont="1" applyAlignment="1">
      <alignment horizontal="right" vertical="top" indent="1"/>
    </xf>
    <xf numFmtId="0" fontId="123" fillId="0" borderId="0" xfId="0" applyFont="1" applyAlignment="1">
      <alignment horizontal="center"/>
    </xf>
    <xf numFmtId="0" fontId="173" fillId="0" borderId="0" xfId="0" applyFont="1" applyAlignment="1">
      <alignment horizontal="center"/>
    </xf>
    <xf numFmtId="14" fontId="0" fillId="0" borderId="0" xfId="0" applyNumberFormat="1"/>
    <xf numFmtId="0" fontId="136" fillId="0" borderId="0" xfId="0" applyFont="1" applyAlignment="1">
      <alignment horizontal="left" vertical="center" indent="1"/>
    </xf>
    <xf numFmtId="0" fontId="136" fillId="0" borderId="0" xfId="0" applyFont="1" applyAlignment="1">
      <alignment horizontal="center" vertical="center" textRotation="90" wrapText="1"/>
    </xf>
    <xf numFmtId="0" fontId="85" fillId="0" borderId="0" xfId="0" applyFont="1" applyAlignment="1">
      <alignment horizontal="right"/>
    </xf>
    <xf numFmtId="0" fontId="85" fillId="0" borderId="0" xfId="0" applyFont="1" applyAlignment="1">
      <alignment horizontal="right" vertical="top" wrapText="1"/>
    </xf>
    <xf numFmtId="0" fontId="0" fillId="0" borderId="297" xfId="0" applyBorder="1"/>
    <xf numFmtId="0" fontId="0" fillId="0" borderId="299" xfId="0" applyBorder="1"/>
    <xf numFmtId="0" fontId="0" fillId="0" borderId="300" xfId="0" applyBorder="1"/>
    <xf numFmtId="0" fontId="0" fillId="0" borderId="301" xfId="0" applyBorder="1"/>
    <xf numFmtId="0" fontId="0" fillId="0" borderId="302" xfId="0" applyBorder="1"/>
    <xf numFmtId="0" fontId="0" fillId="0" borderId="303" xfId="0" applyBorder="1"/>
    <xf numFmtId="0" fontId="0" fillId="0" borderId="304" xfId="0" applyBorder="1"/>
    <xf numFmtId="0" fontId="76" fillId="7" borderId="303" xfId="0" applyFont="1" applyFill="1" applyBorder="1" applyAlignment="1">
      <alignment horizontal="left"/>
    </xf>
    <xf numFmtId="165" fontId="0" fillId="0" borderId="193" xfId="0" applyNumberFormat="1" applyBorder="1" applyAlignment="1">
      <alignment horizontal="center" vertical="center"/>
    </xf>
    <xf numFmtId="0" fontId="0" fillId="65" borderId="193" xfId="0" applyFill="1" applyBorder="1" applyAlignment="1">
      <alignment horizontal="center"/>
    </xf>
    <xf numFmtId="0" fontId="155" fillId="79" borderId="306" xfId="0" applyFont="1" applyFill="1" applyBorder="1"/>
    <xf numFmtId="0" fontId="155" fillId="79" borderId="307" xfId="0" applyFont="1" applyFill="1" applyBorder="1"/>
    <xf numFmtId="0" fontId="155" fillId="79" borderId="308" xfId="0" applyFont="1" applyFill="1" applyBorder="1"/>
    <xf numFmtId="0" fontId="155" fillId="79" borderId="309" xfId="0" applyFont="1" applyFill="1" applyBorder="1"/>
    <xf numFmtId="0" fontId="155" fillId="79" borderId="75" xfId="0" applyFont="1" applyFill="1" applyBorder="1"/>
    <xf numFmtId="0" fontId="155" fillId="79" borderId="310" xfId="0" applyFont="1" applyFill="1" applyBorder="1"/>
    <xf numFmtId="0" fontId="155" fillId="79" borderId="77" xfId="0" applyFont="1" applyFill="1" applyBorder="1"/>
    <xf numFmtId="0" fontId="155" fillId="79" borderId="78" xfId="0" applyFont="1" applyFill="1" applyBorder="1"/>
    <xf numFmtId="178" fontId="23" fillId="0" borderId="193" xfId="2" applyNumberFormat="1" applyFont="1" applyBorder="1" applyAlignment="1">
      <alignment horizontal="center"/>
    </xf>
    <xf numFmtId="0" fontId="1" fillId="0" borderId="131" xfId="0" applyFont="1" applyBorder="1"/>
    <xf numFmtId="0" fontId="1" fillId="0" borderId="132" xfId="0" applyFont="1" applyBorder="1" applyAlignment="1">
      <alignment horizontal="center"/>
    </xf>
    <xf numFmtId="0" fontId="1" fillId="0" borderId="0" xfId="0" applyFont="1"/>
    <xf numFmtId="0" fontId="1" fillId="0" borderId="0" xfId="0" applyFont="1" applyAlignment="1">
      <alignment horizontal="center"/>
    </xf>
    <xf numFmtId="0" fontId="1" fillId="53" borderId="0" xfId="0" applyFont="1" applyFill="1"/>
    <xf numFmtId="165" fontId="1"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xf numFmtId="9" fontId="1" fillId="0" borderId="0" xfId="2" applyFont="1" applyAlignment="1">
      <alignment horizontal="center"/>
    </xf>
    <xf numFmtId="0" fontId="1" fillId="0" borderId="0" xfId="0" quotePrefix="1" applyFont="1"/>
    <xf numFmtId="1" fontId="1" fillId="0" borderId="193" xfId="0" applyNumberFormat="1" applyFont="1" applyBorder="1" applyAlignment="1">
      <alignment horizontal="center"/>
    </xf>
    <xf numFmtId="0" fontId="1" fillId="0" borderId="193" xfId="0" applyFont="1" applyBorder="1" applyAlignment="1">
      <alignment horizontal="center"/>
    </xf>
    <xf numFmtId="9" fontId="1" fillId="0" borderId="193" xfId="2" applyFont="1" applyBorder="1" applyAlignment="1">
      <alignment horizontal="center"/>
    </xf>
    <xf numFmtId="0" fontId="1" fillId="0" borderId="193" xfId="0" applyFont="1" applyBorder="1"/>
    <xf numFmtId="165" fontId="1" fillId="0" borderId="0" xfId="0" applyNumberFormat="1" applyFont="1" applyAlignment="1">
      <alignment horizontal="center" vertical="center"/>
    </xf>
    <xf numFmtId="3" fontId="1" fillId="0" borderId="0" xfId="0" applyNumberFormat="1" applyFont="1"/>
    <xf numFmtId="165" fontId="1" fillId="0" borderId="0" xfId="0" applyNumberFormat="1" applyFont="1"/>
    <xf numFmtId="166" fontId="1" fillId="0" borderId="0" xfId="0" applyNumberFormat="1" applyFont="1" applyAlignment="1">
      <alignment horizontal="center" vertical="center"/>
    </xf>
    <xf numFmtId="0" fontId="1" fillId="0" borderId="0" xfId="0" applyFont="1" applyAlignment="1">
      <alignment vertical="center"/>
    </xf>
    <xf numFmtId="4" fontId="1" fillId="0" borderId="0" xfId="0" applyNumberFormat="1" applyFont="1" applyAlignment="1">
      <alignment horizontal="right"/>
    </xf>
    <xf numFmtId="3" fontId="1" fillId="0" borderId="0" xfId="0" applyNumberFormat="1" applyFont="1" applyAlignment="1">
      <alignment horizontal="center"/>
    </xf>
    <xf numFmtId="165" fontId="1" fillId="0" borderId="0" xfId="0" applyNumberFormat="1" applyFont="1" applyAlignment="1">
      <alignment horizontal="center"/>
    </xf>
    <xf numFmtId="168" fontId="1" fillId="0" borderId="0" xfId="0" applyNumberFormat="1" applyFont="1" applyAlignment="1">
      <alignment horizontal="right"/>
    </xf>
    <xf numFmtId="165" fontId="1" fillId="0" borderId="193" xfId="0" applyNumberFormat="1" applyFont="1" applyBorder="1" applyAlignment="1">
      <alignment horizontal="center" vertical="center"/>
    </xf>
    <xf numFmtId="0" fontId="1" fillId="0" borderId="0" xfId="0" applyFont="1" applyAlignment="1">
      <alignment horizontal="right"/>
    </xf>
    <xf numFmtId="0" fontId="1" fillId="4" borderId="193" xfId="0" applyFont="1" applyFill="1" applyBorder="1" applyProtection="1">
      <protection locked="0"/>
    </xf>
    <xf numFmtId="0" fontId="1" fillId="65" borderId="193" xfId="0" applyFont="1" applyFill="1" applyBorder="1" applyAlignment="1">
      <alignment horizontal="center"/>
    </xf>
    <xf numFmtId="0" fontId="1" fillId="0" borderId="41" xfId="0" applyFont="1" applyBorder="1"/>
    <xf numFmtId="0" fontId="1" fillId="0" borderId="0" xfId="0" applyFont="1" applyAlignment="1">
      <alignment horizontal="center" vertical="center"/>
    </xf>
    <xf numFmtId="0" fontId="1" fillId="0" borderId="41" xfId="0" applyFont="1" applyBorder="1" applyAlignment="1">
      <alignment horizontal="center"/>
    </xf>
    <xf numFmtId="173" fontId="1" fillId="0" borderId="0" xfId="2" applyNumberFormat="1" applyFont="1" applyAlignment="1">
      <alignment horizontal="center"/>
    </xf>
    <xf numFmtId="0" fontId="1" fillId="0" borderId="130" xfId="0" applyFont="1" applyBorder="1"/>
    <xf numFmtId="0" fontId="3" fillId="0" borderId="0" xfId="0" applyFont="1" applyAlignment="1">
      <alignment horizontal="left"/>
    </xf>
    <xf numFmtId="0" fontId="5" fillId="0" borderId="0" xfId="0" applyFont="1" applyAlignment="1">
      <alignment horizontal="center" vertical="top" wrapText="1"/>
    </xf>
    <xf numFmtId="0" fontId="85" fillId="0" borderId="0" xfId="0" applyFont="1" applyAlignment="1">
      <alignment wrapText="1" indent="1"/>
    </xf>
    <xf numFmtId="0" fontId="157" fillId="0" borderId="0" xfId="0" applyFont="1" applyAlignment="1">
      <alignment horizontal="center" vertical="top" wrapText="1"/>
    </xf>
    <xf numFmtId="0" fontId="157" fillId="0" borderId="0" xfId="0" applyFont="1" applyAlignment="1">
      <alignment horizontal="center" vertical="top"/>
    </xf>
    <xf numFmtId="0" fontId="25" fillId="9" borderId="0" xfId="0" applyFont="1" applyFill="1" applyAlignment="1">
      <alignment horizontal="center"/>
    </xf>
    <xf numFmtId="0" fontId="155" fillId="0" borderId="0" xfId="0" applyFont="1" applyAlignment="1">
      <alignment horizontal="left" indent="1"/>
    </xf>
    <xf numFmtId="0" fontId="0" fillId="0" borderId="0" xfId="0" applyAlignment="1">
      <alignment horizontal="left" vertical="top" wrapText="1"/>
    </xf>
    <xf numFmtId="0" fontId="30" fillId="0" borderId="0" xfId="0" applyFont="1" applyAlignment="1">
      <alignment horizontal="center" wrapText="1"/>
    </xf>
    <xf numFmtId="0" fontId="30" fillId="0" borderId="0" xfId="0" applyFont="1" applyAlignment="1">
      <alignment horizontal="center"/>
    </xf>
    <xf numFmtId="0" fontId="0" fillId="0" borderId="0" xfId="0" applyAlignment="1"/>
    <xf numFmtId="0" fontId="1" fillId="0" borderId="0" xfId="0" applyFont="1" applyAlignment="1">
      <alignment horizontal="center"/>
    </xf>
    <xf numFmtId="0" fontId="154" fillId="0" borderId="0" xfId="0" applyFont="1" applyAlignment="1">
      <alignment horizontal="center" vertical="center"/>
    </xf>
    <xf numFmtId="0" fontId="90" fillId="0" borderId="0" xfId="0" applyFont="1" applyAlignment="1">
      <alignment horizontal="center" vertical="center"/>
    </xf>
    <xf numFmtId="0" fontId="32"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lignment horizontal="center"/>
    </xf>
    <xf numFmtId="0" fontId="13" fillId="0" borderId="0" xfId="1" applyFill="1" applyBorder="1" applyAlignment="1">
      <alignment horizontal="left"/>
    </xf>
    <xf numFmtId="0" fontId="13" fillId="0" borderId="0" xfId="1" applyFill="1" applyAlignment="1">
      <alignment horizontal="left"/>
    </xf>
    <xf numFmtId="0" fontId="17" fillId="0" borderId="0" xfId="0" applyFont="1" applyAlignment="1">
      <alignment horizontal="left" vertical="top" wrapText="1"/>
    </xf>
    <xf numFmtId="0" fontId="13" fillId="0" borderId="0" xfId="1" applyAlignment="1">
      <alignment horizontal="left"/>
    </xf>
    <xf numFmtId="0" fontId="174" fillId="79" borderId="0" xfId="0" applyFont="1" applyFill="1" applyAlignment="1"/>
    <xf numFmtId="0" fontId="175" fillId="79" borderId="0" xfId="0" applyFont="1" applyFill="1" applyAlignment="1"/>
    <xf numFmtId="0" fontId="32" fillId="0" borderId="0" xfId="0" applyFont="1" applyAlignment="1">
      <alignment horizontal="center"/>
    </xf>
    <xf numFmtId="0" fontId="62" fillId="0" borderId="192" xfId="0" applyFont="1" applyBorder="1" applyAlignment="1">
      <alignment horizontal="left" vertical="top" wrapText="1"/>
    </xf>
    <xf numFmtId="0" fontId="62" fillId="0" borderId="191" xfId="0" applyFont="1" applyBorder="1" applyAlignment="1">
      <alignment horizontal="left" vertical="top" wrapText="1"/>
    </xf>
    <xf numFmtId="0" fontId="62" fillId="0" borderId="253" xfId="0" applyFont="1" applyBorder="1" applyAlignment="1">
      <alignment horizontal="left" vertical="top" wrapText="1"/>
    </xf>
    <xf numFmtId="0" fontId="62" fillId="0" borderId="29" xfId="0" applyFont="1" applyBorder="1" applyAlignment="1">
      <alignment horizontal="left" vertical="top" wrapText="1"/>
    </xf>
    <xf numFmtId="0" fontId="62" fillId="0" borderId="0" xfId="0" applyFont="1" applyAlignment="1">
      <alignment horizontal="left" vertical="top" wrapText="1"/>
    </xf>
    <xf numFmtId="0" fontId="62" fillId="0" borderId="44" xfId="0" applyFont="1" applyBorder="1" applyAlignment="1">
      <alignment horizontal="left" vertical="top" wrapText="1"/>
    </xf>
    <xf numFmtId="0" fontId="62" fillId="0" borderId="10" xfId="0" applyFont="1" applyBorder="1" applyAlignment="1">
      <alignment horizontal="left" vertical="top" wrapText="1"/>
    </xf>
    <xf numFmtId="0" fontId="62" fillId="0" borderId="23" xfId="0" applyFont="1" applyBorder="1" applyAlignment="1">
      <alignment horizontal="left" vertical="top" wrapText="1"/>
    </xf>
    <xf numFmtId="0" fontId="62" fillId="0" borderId="11" xfId="0" applyFont="1" applyBorder="1" applyAlignment="1">
      <alignment horizontal="left" vertical="top" wrapText="1"/>
    </xf>
    <xf numFmtId="0" fontId="157" fillId="0" borderId="0" xfId="0" applyFont="1" applyAlignment="1">
      <alignment horizontal="left" vertical="center"/>
    </xf>
    <xf numFmtId="0" fontId="7" fillId="0" borderId="0" xfId="0" applyFont="1" applyAlignment="1">
      <alignment horizontal="left" vertical="top" wrapText="1"/>
    </xf>
    <xf numFmtId="0" fontId="0" fillId="3" borderId="0" xfId="0" applyFill="1" applyAlignment="1">
      <alignment horizontal="left" wrapText="1"/>
    </xf>
    <xf numFmtId="164" fontId="0" fillId="4" borderId="194" xfId="0" applyNumberFormat="1" applyFill="1" applyBorder="1" applyAlignment="1" applyProtection="1">
      <alignment horizontal="center"/>
      <protection locked="0"/>
    </xf>
    <xf numFmtId="164" fontId="0" fillId="4" borderId="195" xfId="0" applyNumberForma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13" fillId="4" borderId="51" xfId="1" applyFill="1" applyBorder="1" applyAlignment="1" applyProtection="1">
      <alignment horizontal="left" shrinkToFit="1"/>
      <protection locked="0"/>
    </xf>
    <xf numFmtId="0" fontId="13" fillId="4" borderId="52" xfId="1" applyFill="1" applyBorder="1" applyAlignment="1" applyProtection="1">
      <alignment horizontal="left" shrinkToFit="1"/>
      <protection locked="0"/>
    </xf>
    <xf numFmtId="0" fontId="13" fillId="4" borderId="53" xfId="1" applyFill="1" applyBorder="1" applyAlignment="1" applyProtection="1">
      <alignment horizontal="left" shrinkToFit="1"/>
      <protection locked="0"/>
    </xf>
    <xf numFmtId="169" fontId="45" fillId="4" borderId="51" xfId="0" applyNumberFormat="1" applyFont="1" applyFill="1" applyBorder="1" applyAlignment="1" applyProtection="1">
      <alignment horizontal="left" vertical="center" shrinkToFit="1"/>
      <protection locked="0"/>
    </xf>
    <xf numFmtId="169" fontId="45" fillId="4" borderId="52" xfId="0" applyNumberFormat="1" applyFont="1" applyFill="1" applyBorder="1" applyAlignment="1" applyProtection="1">
      <alignment horizontal="left" vertical="center" shrinkToFit="1"/>
      <protection locked="0"/>
    </xf>
    <xf numFmtId="169" fontId="45" fillId="4" borderId="53" xfId="0" applyNumberFormat="1" applyFont="1" applyFill="1" applyBorder="1" applyAlignment="1" applyProtection="1">
      <alignment horizontal="left" vertical="center" shrinkToFit="1"/>
      <protection locked="0"/>
    </xf>
    <xf numFmtId="0" fontId="163" fillId="3" borderId="0" xfId="0" applyFont="1" applyFill="1" applyAlignment="1">
      <alignment horizontal="center" wrapText="1"/>
    </xf>
    <xf numFmtId="169" fontId="45" fillId="4" borderId="51" xfId="0" applyNumberFormat="1" applyFont="1" applyFill="1" applyBorder="1" applyAlignment="1" applyProtection="1">
      <alignment horizontal="left" shrinkToFit="1"/>
      <protection locked="0"/>
    </xf>
    <xf numFmtId="0" fontId="45" fillId="4" borderId="52" xfId="0" applyFont="1" applyFill="1" applyBorder="1" applyAlignment="1" applyProtection="1">
      <alignment horizontal="left" shrinkToFit="1"/>
      <protection locked="0"/>
    </xf>
    <xf numFmtId="0" fontId="45" fillId="4" borderId="53" xfId="0" applyFont="1" applyFill="1" applyBorder="1" applyAlignment="1" applyProtection="1">
      <alignment horizontal="left" shrinkToFit="1"/>
      <protection locked="0"/>
    </xf>
    <xf numFmtId="0" fontId="153" fillId="3" borderId="274" xfId="4" applyFont="1" applyFill="1" applyBorder="1" applyAlignment="1">
      <alignment horizontal="center" vertical="center"/>
    </xf>
    <xf numFmtId="0" fontId="153" fillId="3" borderId="275" xfId="4" applyFont="1" applyFill="1" applyBorder="1" applyAlignment="1">
      <alignment horizontal="center" vertical="center"/>
    </xf>
    <xf numFmtId="0" fontId="153" fillId="3" borderId="279" xfId="4" applyFont="1" applyFill="1" applyBorder="1" applyAlignment="1">
      <alignment horizontal="center" vertical="center"/>
    </xf>
    <xf numFmtId="169" fontId="45" fillId="4" borderId="54" xfId="0" applyNumberFormat="1" applyFont="1" applyFill="1" applyBorder="1" applyAlignment="1" applyProtection="1">
      <alignment horizontal="left" vertical="top" wrapText="1" shrinkToFit="1"/>
      <protection locked="0"/>
    </xf>
    <xf numFmtId="169" fontId="45" fillId="4" borderId="55" xfId="0" applyNumberFormat="1" applyFont="1" applyFill="1" applyBorder="1" applyAlignment="1" applyProtection="1">
      <alignment horizontal="left" vertical="top" wrapText="1" shrinkToFit="1"/>
      <protection locked="0"/>
    </xf>
    <xf numFmtId="169" fontId="45" fillId="4" borderId="0" xfId="0" applyNumberFormat="1" applyFont="1" applyFill="1" applyAlignment="1" applyProtection="1">
      <alignment horizontal="left" vertical="top" wrapText="1" shrinkToFit="1"/>
      <protection locked="0"/>
    </xf>
    <xf numFmtId="169" fontId="45" fillId="4" borderId="44" xfId="0" applyNumberFormat="1" applyFont="1" applyFill="1" applyBorder="1" applyAlignment="1" applyProtection="1">
      <alignment horizontal="left" vertical="top" wrapText="1" shrinkToFit="1"/>
      <protection locked="0"/>
    </xf>
    <xf numFmtId="169" fontId="45" fillId="4" borderId="23" xfId="0" applyNumberFormat="1" applyFont="1" applyFill="1" applyBorder="1" applyAlignment="1" applyProtection="1">
      <alignment horizontal="left" vertical="top" wrapText="1" shrinkToFit="1"/>
      <protection locked="0"/>
    </xf>
    <xf numFmtId="169" fontId="45" fillId="4" borderId="11" xfId="0" applyNumberFormat="1" applyFont="1" applyFill="1" applyBorder="1" applyAlignment="1" applyProtection="1">
      <alignment horizontal="left" vertical="top" wrapText="1" shrinkToFit="1"/>
      <protection locked="0"/>
    </xf>
    <xf numFmtId="49" fontId="45" fillId="4" borderId="52" xfId="0" applyNumberFormat="1" applyFont="1" applyFill="1" applyBorder="1" applyAlignment="1" applyProtection="1">
      <alignment horizontal="left" vertical="center" shrinkToFit="1"/>
      <protection locked="0"/>
    </xf>
    <xf numFmtId="49" fontId="45" fillId="4" borderId="53" xfId="0" applyNumberFormat="1" applyFont="1" applyFill="1" applyBorder="1" applyAlignment="1" applyProtection="1">
      <alignment horizontal="left" vertical="center" shrinkToFit="1"/>
      <protection locked="0"/>
    </xf>
    <xf numFmtId="0" fontId="0" fillId="2" borderId="23" xfId="0" applyFill="1" applyBorder="1" applyAlignment="1">
      <alignment horizontal="center"/>
    </xf>
    <xf numFmtId="0" fontId="0" fillId="2" borderId="11" xfId="0" applyFill="1" applyBorder="1" applyAlignment="1">
      <alignment horizontal="center"/>
    </xf>
    <xf numFmtId="0" fontId="160" fillId="3" borderId="0" xfId="0" applyFont="1" applyFill="1" applyAlignment="1">
      <alignment horizontal="center" vertical="top"/>
    </xf>
    <xf numFmtId="0" fontId="45" fillId="4" borderId="51" xfId="0" applyFont="1" applyFill="1" applyBorder="1" applyAlignment="1" applyProtection="1">
      <alignment horizontal="left" shrinkToFit="1"/>
      <protection locked="0"/>
    </xf>
    <xf numFmtId="169" fontId="45" fillId="4" borderId="52" xfId="0" applyNumberFormat="1" applyFont="1" applyFill="1" applyBorder="1" applyAlignment="1" applyProtection="1">
      <alignment horizontal="left" shrinkToFit="1"/>
      <protection locked="0"/>
    </xf>
    <xf numFmtId="169" fontId="45" fillId="4" borderId="53" xfId="0" applyNumberFormat="1" applyFont="1" applyFill="1" applyBorder="1" applyAlignment="1" applyProtection="1">
      <alignment horizontal="left" shrinkToFit="1"/>
      <protection locked="0"/>
    </xf>
    <xf numFmtId="170" fontId="45" fillId="4" borderId="52" xfId="0" applyNumberFormat="1" applyFont="1" applyFill="1" applyBorder="1" applyAlignment="1" applyProtection="1">
      <alignment horizontal="left" shrinkToFit="1"/>
      <protection locked="0"/>
    </xf>
    <xf numFmtId="170" fontId="45" fillId="4" borderId="53" xfId="0" applyNumberFormat="1" applyFont="1" applyFill="1" applyBorder="1" applyAlignment="1" applyProtection="1">
      <alignment horizontal="left" shrinkToFit="1"/>
      <protection locked="0"/>
    </xf>
    <xf numFmtId="171" fontId="45" fillId="4" borderId="57" xfId="0" applyNumberFormat="1" applyFont="1" applyFill="1" applyBorder="1" applyAlignment="1" applyProtection="1">
      <alignment horizontal="left" shrinkToFit="1"/>
      <protection locked="0"/>
    </xf>
    <xf numFmtId="171" fontId="45" fillId="4" borderId="58" xfId="0" applyNumberFormat="1" applyFont="1" applyFill="1" applyBorder="1" applyAlignment="1" applyProtection="1">
      <alignment horizontal="left" shrinkToFit="1"/>
      <protection locked="0"/>
    </xf>
    <xf numFmtId="0" fontId="107" fillId="17" borderId="236" xfId="0" applyFont="1" applyFill="1" applyBorder="1" applyAlignment="1">
      <alignment horizontal="left" shrinkToFit="1"/>
    </xf>
    <xf numFmtId="0" fontId="107" fillId="17" borderId="235" xfId="0" applyFont="1" applyFill="1" applyBorder="1" applyAlignment="1">
      <alignment horizontal="left" shrinkToFit="1"/>
    </xf>
    <xf numFmtId="169" fontId="107" fillId="17" borderId="236" xfId="0" applyNumberFormat="1" applyFont="1" applyFill="1" applyBorder="1" applyAlignment="1">
      <alignment horizontal="left" shrinkToFit="1"/>
    </xf>
    <xf numFmtId="171" fontId="45" fillId="4" borderId="57" xfId="0" applyNumberFormat="1" applyFont="1" applyFill="1" applyBorder="1" applyAlignment="1" applyProtection="1">
      <alignment horizontal="left" indent="1" shrinkToFit="1"/>
      <protection locked="0"/>
    </xf>
    <xf numFmtId="171" fontId="45" fillId="4" borderId="58" xfId="0" applyNumberFormat="1" applyFont="1" applyFill="1" applyBorder="1" applyAlignment="1" applyProtection="1">
      <alignment horizontal="left" indent="1" shrinkToFit="1"/>
      <protection locked="0"/>
    </xf>
    <xf numFmtId="0" fontId="45" fillId="4" borderId="56" xfId="0" applyFont="1" applyFill="1" applyBorder="1" applyAlignment="1" applyProtection="1">
      <alignment horizontal="left" shrinkToFit="1"/>
      <protection locked="0"/>
    </xf>
    <xf numFmtId="0" fontId="45" fillId="4" borderId="23" xfId="0" applyFont="1" applyFill="1" applyBorder="1" applyAlignment="1" applyProtection="1">
      <alignment horizontal="left" shrinkToFit="1"/>
      <protection locked="0"/>
    </xf>
    <xf numFmtId="0" fontId="45" fillId="4" borderId="11" xfId="0" applyFont="1" applyFill="1" applyBorder="1" applyAlignment="1" applyProtection="1">
      <alignment horizontal="left" shrinkToFit="1"/>
      <protection locked="0"/>
    </xf>
    <xf numFmtId="0" fontId="13" fillId="4" borderId="56" xfId="1" applyFill="1" applyBorder="1" applyAlignment="1" applyProtection="1">
      <alignment horizontal="left" shrinkToFit="1"/>
      <protection locked="0"/>
    </xf>
    <xf numFmtId="0" fontId="13" fillId="4" borderId="23" xfId="1" applyFill="1" applyBorder="1" applyAlignment="1" applyProtection="1">
      <alignment horizontal="left" shrinkToFit="1"/>
      <protection locked="0"/>
    </xf>
    <xf numFmtId="0" fontId="13" fillId="4" borderId="11" xfId="1" applyFill="1" applyBorder="1" applyAlignment="1" applyProtection="1">
      <alignment horizontal="left" shrinkToFit="1"/>
      <protection locked="0"/>
    </xf>
    <xf numFmtId="169" fontId="45" fillId="4" borderId="56" xfId="0" applyNumberFormat="1" applyFont="1" applyFill="1" applyBorder="1" applyAlignment="1" applyProtection="1">
      <alignment horizontal="left" shrinkToFit="1"/>
      <protection locked="0"/>
    </xf>
    <xf numFmtId="169" fontId="45" fillId="4" borderId="23" xfId="0" applyNumberFormat="1" applyFont="1" applyFill="1" applyBorder="1" applyAlignment="1" applyProtection="1">
      <alignment horizontal="left" shrinkToFit="1"/>
      <protection locked="0"/>
    </xf>
    <xf numFmtId="169" fontId="45" fillId="4" borderId="11" xfId="0" applyNumberFormat="1" applyFont="1" applyFill="1" applyBorder="1" applyAlignment="1" applyProtection="1">
      <alignment horizontal="left" shrinkToFit="1"/>
      <protection locked="0"/>
    </xf>
    <xf numFmtId="0" fontId="134" fillId="0" borderId="0" xfId="4" applyFont="1" applyFill="1" applyBorder="1" applyAlignment="1">
      <alignment horizontal="center" vertical="center"/>
    </xf>
    <xf numFmtId="171" fontId="107" fillId="17" borderId="237" xfId="0" applyNumberFormat="1" applyFont="1" applyFill="1" applyBorder="1" applyAlignment="1">
      <alignment horizontal="left" indent="1" shrinkToFit="1"/>
    </xf>
    <xf numFmtId="171" fontId="107" fillId="17" borderId="238" xfId="0" applyNumberFormat="1" applyFont="1" applyFill="1" applyBorder="1" applyAlignment="1">
      <alignment horizontal="left" indent="1" shrinkToFit="1"/>
    </xf>
    <xf numFmtId="0" fontId="65" fillId="3" borderId="0" xfId="0" applyFont="1" applyFill="1" applyAlignment="1">
      <alignment horizontal="center" vertical="top" wrapText="1"/>
    </xf>
    <xf numFmtId="178" fontId="0" fillId="2" borderId="23" xfId="0" applyNumberFormat="1" applyFill="1" applyBorder="1" applyAlignment="1">
      <alignment horizontal="center"/>
    </xf>
    <xf numFmtId="178"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0" fontId="0" fillId="2" borderId="194" xfId="0" applyFill="1" applyBorder="1" applyAlignment="1">
      <alignment horizontal="center"/>
    </xf>
    <xf numFmtId="0" fontId="0" fillId="2" borderId="195" xfId="0" applyFill="1" applyBorder="1" applyAlignment="1">
      <alignment horizontal="center"/>
    </xf>
    <xf numFmtId="0" fontId="0" fillId="3" borderId="0" xfId="0" applyFill="1" applyAlignment="1">
      <alignment horizontal="center" wrapText="1"/>
    </xf>
    <xf numFmtId="169" fontId="107" fillId="17" borderId="235" xfId="0" applyNumberFormat="1" applyFont="1" applyFill="1" applyBorder="1" applyAlignment="1">
      <alignment horizontal="left" shrinkToFit="1"/>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45" fillId="3" borderId="0" xfId="0" applyFont="1" applyFill="1" applyAlignment="1">
      <alignment horizontal="right" indent="1"/>
    </xf>
    <xf numFmtId="0" fontId="45" fillId="3" borderId="140" xfId="0" applyFont="1" applyFill="1" applyBorder="1" applyAlignment="1">
      <alignment horizontal="right" indent="1"/>
    </xf>
    <xf numFmtId="0" fontId="0" fillId="3" borderId="0" xfId="0" applyFill="1" applyAlignment="1"/>
    <xf numFmtId="0" fontId="120" fillId="3" borderId="0" xfId="0" applyFont="1" applyFill="1" applyAlignment="1">
      <alignment horizontal="right"/>
    </xf>
    <xf numFmtId="171" fontId="4" fillId="17" borderId="0" xfId="0" applyNumberFormat="1" applyFont="1" applyFill="1" applyAlignment="1">
      <alignment horizontal="left" shrinkToFit="1"/>
    </xf>
    <xf numFmtId="169" fontId="45" fillId="17" borderId="0" xfId="0" applyNumberFormat="1" applyFont="1" applyFill="1" applyAlignment="1">
      <alignment horizontal="center" shrinkToFit="1"/>
    </xf>
    <xf numFmtId="0" fontId="51" fillId="3" borderId="278" xfId="0" applyFont="1" applyFill="1" applyBorder="1" applyAlignment="1">
      <alignment horizontal="center"/>
    </xf>
    <xf numFmtId="0" fontId="4" fillId="17" borderId="0" xfId="0" applyFont="1" applyFill="1" applyAlignment="1">
      <alignment horizontal="left" shrinkToFit="1"/>
    </xf>
    <xf numFmtId="169" fontId="45" fillId="4" borderId="23" xfId="0" applyNumberFormat="1" applyFont="1" applyFill="1" applyBorder="1" applyAlignment="1" applyProtection="1">
      <alignment horizontal="center" shrinkToFit="1"/>
      <protection locked="0"/>
    </xf>
    <xf numFmtId="169" fontId="45" fillId="4" borderId="11" xfId="0" applyNumberFormat="1" applyFont="1" applyFill="1" applyBorder="1" applyAlignment="1" applyProtection="1">
      <alignment horizontal="center" shrinkToFit="1"/>
      <protection locked="0"/>
    </xf>
    <xf numFmtId="0" fontId="135" fillId="17" borderId="0" xfId="0" applyFont="1" applyFill="1" applyAlignment="1">
      <alignment horizontal="center" vertical="top" wrapText="1"/>
    </xf>
    <xf numFmtId="0" fontId="24" fillId="17" borderId="0" xfId="0" applyFont="1" applyFill="1" applyAlignment="1">
      <alignment horizontal="center" vertical="center" wrapText="1"/>
    </xf>
    <xf numFmtId="0" fontId="17" fillId="4" borderId="64" xfId="0" applyFont="1" applyFill="1" applyBorder="1" applyAlignment="1" applyProtection="1">
      <alignment horizontal="left" vertical="top" wrapText="1"/>
      <protection locked="0"/>
    </xf>
    <xf numFmtId="0" fontId="17" fillId="4" borderId="65" xfId="0" applyFont="1" applyFill="1" applyBorder="1" applyAlignment="1" applyProtection="1">
      <alignment horizontal="left" vertical="top" wrapText="1"/>
      <protection locked="0"/>
    </xf>
    <xf numFmtId="0" fontId="17" fillId="4" borderId="66" xfId="0" applyFont="1" applyFill="1" applyBorder="1" applyAlignment="1" applyProtection="1">
      <alignment horizontal="left" vertical="top" wrapText="1"/>
      <protection locked="0"/>
    </xf>
    <xf numFmtId="0" fontId="17" fillId="4" borderId="67" xfId="0" applyFont="1" applyFill="1" applyBorder="1" applyAlignment="1" applyProtection="1">
      <alignment horizontal="left" vertical="top" wrapText="1"/>
      <protection locked="0"/>
    </xf>
    <xf numFmtId="0" fontId="17" fillId="4" borderId="0" xfId="0" applyFont="1" applyFill="1" applyAlignment="1" applyProtection="1">
      <alignment horizontal="left" vertical="top" wrapText="1"/>
      <protection locked="0"/>
    </xf>
    <xf numFmtId="0" fontId="17" fillId="4" borderId="44" xfId="0" applyFont="1" applyFill="1" applyBorder="1" applyAlignment="1" applyProtection="1">
      <alignment horizontal="left" vertical="top" wrapText="1"/>
      <protection locked="0"/>
    </xf>
    <xf numFmtId="0" fontId="17" fillId="4" borderId="68" xfId="0" applyFont="1" applyFill="1" applyBorder="1" applyAlignment="1" applyProtection="1">
      <alignment horizontal="left" vertical="top" wrapText="1"/>
      <protection locked="0"/>
    </xf>
    <xf numFmtId="0" fontId="17" fillId="4" borderId="23" xfId="0" applyFont="1" applyFill="1" applyBorder="1" applyAlignment="1" applyProtection="1">
      <alignment horizontal="left" vertical="top" wrapText="1"/>
      <protection locked="0"/>
    </xf>
    <xf numFmtId="0" fontId="17" fillId="4" borderId="11" xfId="0" applyFont="1" applyFill="1" applyBorder="1" applyAlignment="1" applyProtection="1">
      <alignment horizontal="left" vertical="top" wrapText="1"/>
      <protection locked="0"/>
    </xf>
    <xf numFmtId="169" fontId="45" fillId="4" borderId="56" xfId="0" applyNumberFormat="1" applyFont="1" applyFill="1" applyBorder="1" applyAlignment="1" applyProtection="1">
      <alignment horizontal="center" shrinkToFit="1"/>
      <protection locked="0"/>
    </xf>
    <xf numFmtId="166" fontId="35" fillId="17" borderId="0" xfId="0" applyNumberFormat="1" applyFont="1" applyFill="1" applyAlignment="1">
      <alignment horizontal="center" vertical="center" wrapText="1"/>
    </xf>
    <xf numFmtId="0" fontId="18" fillId="17" borderId="0" xfId="0" applyFont="1" applyFill="1" applyAlignment="1">
      <alignment horizontal="center" vertical="center" wrapText="1"/>
    </xf>
    <xf numFmtId="0" fontId="44" fillId="17" borderId="0" xfId="4" applyFont="1" applyFill="1" applyBorder="1" applyAlignment="1">
      <alignment horizontal="center" vertical="center"/>
    </xf>
    <xf numFmtId="0" fontId="45" fillId="3" borderId="0" xfId="0" applyFont="1" applyFill="1" applyAlignment="1">
      <alignment horizontal="right" vertical="center" indent="1"/>
    </xf>
    <xf numFmtId="0" fontId="45" fillId="3" borderId="140" xfId="0" applyFont="1" applyFill="1" applyBorder="1" applyAlignment="1">
      <alignment horizontal="right" vertical="center" indent="1"/>
    </xf>
    <xf numFmtId="0" fontId="65" fillId="3" borderId="0" xfId="0" applyFont="1" applyFill="1" applyAlignment="1">
      <alignment horizontal="center" vertical="top"/>
    </xf>
    <xf numFmtId="0" fontId="18" fillId="0" borderId="12" xfId="0" applyFont="1" applyBorder="1" applyAlignment="1">
      <alignment horizontal="center" vertical="center"/>
    </xf>
    <xf numFmtId="0" fontId="18" fillId="0" borderId="14" xfId="0" applyFont="1" applyBorder="1" applyAlignment="1">
      <alignment horizontal="center" vertical="center"/>
    </xf>
    <xf numFmtId="0" fontId="18" fillId="0" borderId="12" xfId="0" applyFont="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7" fillId="3" borderId="0" xfId="0" applyFont="1" applyFill="1" applyAlignment="1">
      <alignment horizontal="center" wrapText="1"/>
    </xf>
    <xf numFmtId="0" fontId="136" fillId="0" borderId="21" xfId="0" applyFont="1" applyBorder="1" applyAlignment="1">
      <alignment horizontal="center" wrapText="1"/>
    </xf>
    <xf numFmtId="0" fontId="136" fillId="0" borderId="91" xfId="0" applyFont="1" applyBorder="1" applyAlignment="1">
      <alignment horizontal="center" wrapText="1"/>
    </xf>
    <xf numFmtId="0" fontId="34" fillId="0" borderId="0" xfId="0" applyFont="1" applyAlignment="1">
      <alignment horizontal="center" vertical="top" wrapText="1"/>
    </xf>
    <xf numFmtId="0" fontId="16" fillId="3" borderId="0" xfId="0" applyFont="1" applyFill="1" applyAlignment="1">
      <alignment horizontal="center" wrapText="1"/>
    </xf>
    <xf numFmtId="0" fontId="15" fillId="3" borderId="0" xfId="0" applyFont="1" applyFill="1" applyAlignment="1">
      <alignment horizontal="center" wrapText="1"/>
    </xf>
    <xf numFmtId="0" fontId="0" fillId="0" borderId="74" xfId="0" applyBorder="1" applyAlignment="1">
      <alignment horizontal="left" vertical="top" wrapText="1"/>
    </xf>
    <xf numFmtId="0" fontId="0" fillId="0" borderId="74" xfId="0" applyBorder="1" applyAlignment="1">
      <alignment horizontal="left" vertical="center" wrapText="1"/>
    </xf>
    <xf numFmtId="0" fontId="0" fillId="0" borderId="0" xfId="0" applyAlignment="1">
      <alignment horizontal="left" vertical="center" wrapText="1"/>
    </xf>
    <xf numFmtId="0" fontId="12" fillId="0" borderId="0" xfId="0" applyFont="1" applyAlignment="1">
      <alignment horizontal="center" vertical="center"/>
    </xf>
    <xf numFmtId="0" fontId="112" fillId="0" borderId="0" xfId="0" applyFont="1" applyAlignment="1">
      <alignment horizontal="center" vertical="center"/>
    </xf>
    <xf numFmtId="0" fontId="0" fillId="0" borderId="86" xfId="0" applyBorder="1" applyAlignment="1">
      <alignment horizontal="left" vertical="center" wrapText="1"/>
    </xf>
    <xf numFmtId="0" fontId="0" fillId="0" borderId="87" xfId="0" applyBorder="1" applyAlignment="1">
      <alignment horizontal="left" vertical="center" wrapText="1"/>
    </xf>
    <xf numFmtId="0" fontId="46" fillId="3" borderId="0" xfId="0" applyFont="1" applyFill="1" applyAlignment="1">
      <alignment horizontal="center" textRotation="90" wrapText="1"/>
    </xf>
    <xf numFmtId="0" fontId="15" fillId="3" borderId="0" xfId="0" applyFont="1" applyFill="1" applyAlignment="1">
      <alignment horizontal="center" textRotation="90" wrapText="1"/>
    </xf>
    <xf numFmtId="0" fontId="18" fillId="0" borderId="12"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0" fontId="18" fillId="0" borderId="14" xfId="0" applyFont="1" applyBorder="1" applyAlignment="1" applyProtection="1">
      <alignment horizontal="left" vertical="center"/>
      <protection locked="0"/>
    </xf>
    <xf numFmtId="0" fontId="18" fillId="0" borderId="196" xfId="0" applyFont="1" applyBorder="1" applyAlignment="1" applyProtection="1">
      <alignment horizontal="left" vertical="center" wrapText="1"/>
      <protection locked="0"/>
    </xf>
    <xf numFmtId="0" fontId="18" fillId="0" borderId="197" xfId="0" applyFont="1" applyBorder="1" applyAlignment="1" applyProtection="1">
      <alignment horizontal="left" vertical="center" wrapText="1"/>
      <protection locked="0"/>
    </xf>
    <xf numFmtId="0" fontId="18" fillId="0" borderId="198" xfId="0" applyFont="1" applyBorder="1" applyAlignment="1" applyProtection="1">
      <alignment horizontal="left" vertical="center" wrapText="1"/>
      <protection locked="0"/>
    </xf>
    <xf numFmtId="0" fontId="18" fillId="0" borderId="196" xfId="0" applyFont="1" applyBorder="1" applyAlignment="1" applyProtection="1">
      <alignment horizontal="center" vertical="center"/>
      <protection locked="0"/>
    </xf>
    <xf numFmtId="0" fontId="18" fillId="0" borderId="197" xfId="0" applyFont="1" applyBorder="1" applyAlignment="1" applyProtection="1">
      <alignment horizontal="center" vertical="center"/>
      <protection locked="0"/>
    </xf>
    <xf numFmtId="0" fontId="18" fillId="0" borderId="15" xfId="0" applyFont="1" applyBorder="1" applyAlignment="1">
      <alignment horizontal="center"/>
    </xf>
    <xf numFmtId="0" fontId="18" fillId="0" borderId="17" xfId="0" applyFont="1" applyBorder="1" applyAlignment="1">
      <alignment horizontal="center"/>
    </xf>
    <xf numFmtId="0" fontId="18" fillId="4" borderId="15" xfId="0" applyFont="1" applyFill="1" applyBorder="1" applyAlignment="1">
      <alignment horizontal="center"/>
    </xf>
    <xf numFmtId="0" fontId="18" fillId="4" borderId="17" xfId="0" applyFont="1" applyFill="1" applyBorder="1" applyAlignment="1">
      <alignment horizontal="center"/>
    </xf>
    <xf numFmtId="0" fontId="18" fillId="0" borderId="196" xfId="0" applyFont="1" applyBorder="1" applyAlignment="1">
      <alignment horizontal="center"/>
    </xf>
    <xf numFmtId="0" fontId="18" fillId="0" borderId="198" xfId="0" applyFont="1" applyBorder="1" applyAlignment="1">
      <alignment horizontal="center"/>
    </xf>
    <xf numFmtId="0" fontId="18" fillId="4" borderId="18" xfId="0" applyFont="1" applyFill="1" applyBorder="1" applyAlignment="1"/>
    <xf numFmtId="0" fontId="18" fillId="4" borderId="12" xfId="0" applyFont="1" applyFill="1" applyBorder="1" applyAlignment="1">
      <alignment horizontal="center"/>
    </xf>
    <xf numFmtId="0" fontId="18" fillId="4" borderId="14" xfId="0" applyFont="1" applyFill="1" applyBorder="1" applyAlignment="1">
      <alignment horizontal="center"/>
    </xf>
    <xf numFmtId="0" fontId="18" fillId="4" borderId="12" xfId="0" applyFont="1" applyFill="1" applyBorder="1" applyAlignment="1">
      <alignment horizontal="left"/>
    </xf>
    <xf numFmtId="0" fontId="18" fillId="4" borderId="13" xfId="0" applyFont="1" applyFill="1" applyBorder="1" applyAlignment="1">
      <alignment horizontal="left"/>
    </xf>
    <xf numFmtId="0" fontId="18" fillId="4" borderId="14" xfId="0" applyFont="1" applyFill="1" applyBorder="1" applyAlignment="1">
      <alignment horizontal="left"/>
    </xf>
    <xf numFmtId="0" fontId="18" fillId="0" borderId="12" xfId="0" applyFont="1" applyBorder="1" applyAlignment="1">
      <alignment horizontal="center"/>
    </xf>
    <xf numFmtId="0" fontId="18" fillId="0" borderId="14" xfId="0" applyFont="1" applyBorder="1" applyAlignment="1">
      <alignment horizontal="center"/>
    </xf>
    <xf numFmtId="0" fontId="18" fillId="4" borderId="196" xfId="0" applyFont="1" applyFill="1" applyBorder="1" applyAlignment="1">
      <alignment horizontal="left"/>
    </xf>
    <xf numFmtId="0" fontId="18" fillId="4" borderId="197" xfId="0" applyFont="1" applyFill="1" applyBorder="1" applyAlignment="1">
      <alignment horizontal="left"/>
    </xf>
    <xf numFmtId="0" fontId="18" fillId="4" borderId="198" xfId="0" applyFont="1" applyFill="1" applyBorder="1" applyAlignment="1">
      <alignment horizontal="left"/>
    </xf>
    <xf numFmtId="0" fontId="18" fillId="4" borderId="199" xfId="0" applyFont="1" applyFill="1" applyBorder="1" applyAlignment="1"/>
    <xf numFmtId="0" fontId="18" fillId="4" borderId="196" xfId="0" applyFont="1" applyFill="1" applyBorder="1" applyAlignment="1">
      <alignment horizontal="center"/>
    </xf>
    <xf numFmtId="0" fontId="18" fillId="4" borderId="198" xfId="0" applyFont="1" applyFill="1" applyBorder="1" applyAlignment="1">
      <alignment horizontal="center"/>
    </xf>
    <xf numFmtId="0" fontId="18" fillId="3" borderId="0" xfId="0" applyFont="1" applyFill="1" applyAlignment="1">
      <alignment horizontal="left" vertical="top" wrapText="1"/>
    </xf>
    <xf numFmtId="0" fontId="0" fillId="0" borderId="0" xfId="0" applyAlignment="1">
      <alignment horizontal="left"/>
    </xf>
    <xf numFmtId="0" fontId="15" fillId="3" borderId="3" xfId="0" applyFont="1" applyFill="1" applyBorder="1" applyAlignment="1">
      <alignment horizontal="left" wrapText="1"/>
    </xf>
    <xf numFmtId="0" fontId="16" fillId="3" borderId="0" xfId="0" applyFont="1" applyFill="1" applyAlignment="1">
      <alignment horizontal="center"/>
    </xf>
    <xf numFmtId="0" fontId="18" fillId="4" borderId="12" xfId="0" applyFont="1" applyFill="1" applyBorder="1" applyAlignment="1">
      <alignment horizontal="left" vertical="center"/>
    </xf>
    <xf numFmtId="0" fontId="18" fillId="4" borderId="13" xfId="0" applyFont="1" applyFill="1" applyBorder="1" applyAlignment="1">
      <alignment horizontal="left" vertical="center"/>
    </xf>
    <xf numFmtId="0" fontId="18" fillId="4" borderId="14" xfId="0" applyFont="1" applyFill="1" applyBorder="1" applyAlignment="1">
      <alignment horizontal="left" vertical="center"/>
    </xf>
    <xf numFmtId="0" fontId="19" fillId="4" borderId="12" xfId="0" applyFont="1" applyFill="1" applyBorder="1" applyAlignment="1">
      <alignment horizontal="left" vertical="center" wrapText="1"/>
    </xf>
    <xf numFmtId="0" fontId="19" fillId="4" borderId="13" xfId="0" applyFont="1" applyFill="1" applyBorder="1" applyAlignment="1">
      <alignment horizontal="left" vertical="center" wrapText="1"/>
    </xf>
    <xf numFmtId="0" fontId="19" fillId="4" borderId="14" xfId="0" applyFont="1" applyFill="1" applyBorder="1" applyAlignment="1">
      <alignment horizontal="left" vertical="center" wrapText="1"/>
    </xf>
    <xf numFmtId="0" fontId="18" fillId="4" borderId="18" xfId="0" applyFont="1" applyFill="1" applyBorder="1" applyAlignment="1">
      <alignment horizontal="left" vertical="center" wrapText="1"/>
    </xf>
    <xf numFmtId="0" fontId="15" fillId="3" borderId="46" xfId="0" applyFont="1" applyFill="1" applyBorder="1" applyAlignment="1">
      <alignment horizontal="left" wrapText="1"/>
    </xf>
    <xf numFmtId="0" fontId="15" fillId="3" borderId="46" xfId="0" applyFont="1" applyFill="1" applyBorder="1" applyAlignment="1">
      <alignment horizontal="center" wrapText="1"/>
    </xf>
    <xf numFmtId="0" fontId="15" fillId="3" borderId="3" xfId="0" applyFont="1" applyFill="1" applyBorder="1" applyAlignment="1">
      <alignment horizontal="center" wrapText="1"/>
    </xf>
    <xf numFmtId="0" fontId="18" fillId="0" borderId="196" xfId="0" applyFont="1" applyBorder="1" applyAlignment="1">
      <alignment horizontal="left" vertical="center" wrapText="1"/>
    </xf>
    <xf numFmtId="0" fontId="18" fillId="0" borderId="197" xfId="0" applyFont="1" applyBorder="1" applyAlignment="1">
      <alignment horizontal="left" vertical="center" wrapText="1"/>
    </xf>
    <xf numFmtId="0" fontId="18" fillId="0" borderId="198" xfId="0" applyFont="1" applyBorder="1" applyAlignment="1">
      <alignment horizontal="left" vertical="center" wrapText="1"/>
    </xf>
    <xf numFmtId="0" fontId="15" fillId="3" borderId="23" xfId="0" applyFont="1" applyFill="1" applyBorder="1" applyAlignment="1">
      <alignment horizontal="center" wrapText="1"/>
    </xf>
    <xf numFmtId="0" fontId="18" fillId="0" borderId="196" xfId="0" applyFont="1" applyBorder="1" applyAlignment="1" applyProtection="1">
      <alignment horizontal="left" vertical="center"/>
      <protection locked="0"/>
    </xf>
    <xf numFmtId="0" fontId="18" fillId="0" borderId="197" xfId="0" applyFont="1" applyBorder="1" applyAlignment="1" applyProtection="1">
      <alignment horizontal="left" vertical="center"/>
      <protection locked="0"/>
    </xf>
    <xf numFmtId="0" fontId="18" fillId="0" borderId="198" xfId="0" applyFont="1" applyBorder="1" applyAlignment="1" applyProtection="1">
      <alignment horizontal="left" vertical="center"/>
      <protection locked="0"/>
    </xf>
    <xf numFmtId="0" fontId="18" fillId="4" borderId="18" xfId="0" applyFont="1" applyFill="1" applyBorder="1" applyAlignment="1" applyProtection="1">
      <alignment horizontal="left" vertical="center" wrapText="1"/>
      <protection locked="0"/>
    </xf>
    <xf numFmtId="0" fontId="19" fillId="4" borderId="12" xfId="0" applyFont="1" applyFill="1" applyBorder="1" applyAlignment="1" applyProtection="1">
      <alignment horizontal="left" vertical="center" wrapText="1"/>
      <protection locked="0"/>
    </xf>
    <xf numFmtId="0" fontId="19" fillId="4" borderId="13" xfId="0" applyFont="1" applyFill="1" applyBorder="1" applyAlignment="1" applyProtection="1">
      <alignment horizontal="left" vertical="center" wrapText="1"/>
      <protection locked="0"/>
    </xf>
    <xf numFmtId="0" fontId="19" fillId="4" borderId="14" xfId="0" applyFont="1" applyFill="1" applyBorder="1" applyAlignment="1" applyProtection="1">
      <alignment horizontal="left" vertical="center" wrapText="1"/>
      <protection locked="0"/>
    </xf>
    <xf numFmtId="0" fontId="19" fillId="4" borderId="12" xfId="0" applyFont="1" applyFill="1" applyBorder="1" applyAlignment="1" applyProtection="1">
      <alignment horizontal="left" vertical="center"/>
      <protection locked="0"/>
    </xf>
    <xf numFmtId="0" fontId="19" fillId="4" borderId="13" xfId="0" applyFont="1" applyFill="1" applyBorder="1" applyAlignment="1" applyProtection="1">
      <alignment horizontal="left" vertical="center"/>
      <protection locked="0"/>
    </xf>
    <xf numFmtId="0" fontId="19" fillId="4" borderId="14" xfId="0" applyFont="1" applyFill="1" applyBorder="1" applyAlignment="1" applyProtection="1">
      <alignment horizontal="left" vertical="center"/>
      <protection locked="0"/>
    </xf>
    <xf numFmtId="0" fontId="18" fillId="0" borderId="12" xfId="0" applyFont="1" applyBorder="1" applyAlignment="1" applyProtection="1">
      <alignment horizontal="left" vertical="center" wrapText="1"/>
      <protection locked="0"/>
    </xf>
    <xf numFmtId="0" fontId="18" fillId="0" borderId="13" xfId="0" applyFont="1" applyBorder="1" applyAlignment="1" applyProtection="1">
      <alignment horizontal="left" vertical="center" wrapText="1"/>
      <protection locked="0"/>
    </xf>
    <xf numFmtId="0" fontId="18" fillId="0" borderId="14" xfId="0" applyFont="1" applyBorder="1" applyAlignment="1" applyProtection="1">
      <alignment horizontal="left" vertical="center" wrapText="1"/>
      <protection locked="0"/>
    </xf>
    <xf numFmtId="0" fontId="18" fillId="4" borderId="15" xfId="0" applyFont="1" applyFill="1" applyBorder="1" applyAlignment="1">
      <alignment horizontal="left"/>
    </xf>
    <xf numFmtId="0" fontId="18" fillId="4" borderId="16" xfId="0" applyFont="1" applyFill="1" applyBorder="1" applyAlignment="1">
      <alignment horizontal="left"/>
    </xf>
    <xf numFmtId="0" fontId="18" fillId="4" borderId="17" xfId="0" applyFont="1" applyFill="1" applyBorder="1" applyAlignment="1">
      <alignment horizontal="left"/>
    </xf>
    <xf numFmtId="0" fontId="18" fillId="4" borderId="19" xfId="0" applyFont="1" applyFill="1" applyBorder="1" applyAlignment="1"/>
    <xf numFmtId="0" fontId="15" fillId="3" borderId="37" xfId="0" applyFont="1" applyFill="1" applyBorder="1" applyAlignment="1">
      <alignment horizontal="center" wrapText="1"/>
    </xf>
    <xf numFmtId="0" fontId="16" fillId="3" borderId="37" xfId="0" applyFont="1" applyFill="1" applyBorder="1" applyAlignment="1">
      <alignment horizontal="center" wrapText="1"/>
    </xf>
    <xf numFmtId="0" fontId="16" fillId="3" borderId="37" xfId="0" applyFont="1" applyFill="1" applyBorder="1" applyAlignment="1">
      <alignment horizont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86"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15" fillId="3" borderId="3" xfId="0" applyFont="1" applyFill="1" applyBorder="1" applyAlignment="1">
      <alignment horizontal="left"/>
    </xf>
    <xf numFmtId="0" fontId="18" fillId="0" borderId="196" xfId="0" applyFont="1" applyBorder="1" applyAlignment="1">
      <alignment horizontal="left" vertical="center"/>
    </xf>
    <xf numFmtId="0" fontId="18" fillId="0" borderId="197" xfId="0" applyFont="1" applyBorder="1" applyAlignment="1">
      <alignment horizontal="left" vertical="center"/>
    </xf>
    <xf numFmtId="0" fontId="18" fillId="0" borderId="198" xfId="0" applyFont="1" applyBorder="1" applyAlignment="1">
      <alignment horizontal="left" vertical="center"/>
    </xf>
    <xf numFmtId="0" fontId="18" fillId="0" borderId="196" xfId="0" applyFont="1" applyBorder="1" applyAlignment="1">
      <alignment horizontal="center" vertical="center"/>
    </xf>
    <xf numFmtId="0" fontId="18" fillId="0" borderId="197" xfId="0" applyFont="1" applyBorder="1" applyAlignment="1">
      <alignment horizontal="center" vertical="center"/>
    </xf>
    <xf numFmtId="0" fontId="16" fillId="3" borderId="23" xfId="0" applyFont="1" applyFill="1" applyBorder="1" applyAlignment="1">
      <alignment horizontal="center" wrapText="1"/>
    </xf>
    <xf numFmtId="0" fontId="31" fillId="0" borderId="0" xfId="0" applyFont="1" applyAlignment="1">
      <alignment horizontal="center" vertical="center"/>
    </xf>
    <xf numFmtId="0" fontId="18" fillId="0" borderId="13" xfId="0" applyFont="1" applyBorder="1" applyAlignment="1" applyProtection="1">
      <alignment horizontal="center" vertical="center"/>
      <protection locked="0"/>
    </xf>
    <xf numFmtId="0" fontId="16" fillId="3" borderId="0" xfId="0" applyFont="1" applyFill="1" applyAlignment="1">
      <alignment horizontal="center" textRotation="90" wrapText="1"/>
    </xf>
    <xf numFmtId="0" fontId="17" fillId="0" borderId="86" xfId="0" applyFont="1" applyBorder="1" applyAlignment="1">
      <alignment horizontal="left" vertical="center" wrapText="1"/>
    </xf>
    <xf numFmtId="0" fontId="17" fillId="0" borderId="87" xfId="0" applyFont="1" applyBorder="1" applyAlignment="1">
      <alignment horizontal="left" vertical="center" wrapText="1"/>
    </xf>
    <xf numFmtId="0" fontId="17" fillId="0" borderId="88" xfId="0" applyFont="1" applyBorder="1" applyAlignment="1">
      <alignment horizontal="left" vertical="center" wrapText="1"/>
    </xf>
    <xf numFmtId="0" fontId="17" fillId="0" borderId="86" xfId="0" applyFont="1" applyBorder="1" applyAlignment="1">
      <alignment horizontal="center" vertical="center"/>
    </xf>
    <xf numFmtId="0" fontId="17" fillId="0" borderId="88" xfId="0" applyFont="1" applyBorder="1" applyAlignment="1">
      <alignment horizontal="center" vertical="center"/>
    </xf>
    <xf numFmtId="0" fontId="17" fillId="0" borderId="74" xfId="0" applyFont="1" applyBorder="1" applyAlignment="1">
      <alignment horizontal="left" vertical="center" wrapText="1"/>
    </xf>
    <xf numFmtId="0" fontId="17" fillId="0" borderId="0" xfId="0" applyFont="1" applyAlignment="1">
      <alignment horizontal="left" vertical="center" wrapText="1"/>
    </xf>
    <xf numFmtId="0" fontId="51" fillId="3" borderId="123" xfId="0" applyFont="1" applyFill="1" applyBorder="1" applyAlignment="1" applyProtection="1">
      <alignment horizontal="center" vertical="center"/>
      <protection locked="0"/>
    </xf>
    <xf numFmtId="0" fontId="51" fillId="3" borderId="124" xfId="0" applyFont="1" applyFill="1" applyBorder="1" applyAlignment="1" applyProtection="1">
      <alignment horizontal="center" vertical="center"/>
      <protection locked="0"/>
    </xf>
    <xf numFmtId="0" fontId="22" fillId="0" borderId="86" xfId="0" applyFont="1" applyBorder="1" applyAlignment="1">
      <alignment horizontal="center" vertical="center"/>
    </xf>
    <xf numFmtId="0" fontId="22" fillId="0" borderId="88" xfId="0" applyFont="1" applyBorder="1" applyAlignment="1">
      <alignment horizontal="center" vertical="center"/>
    </xf>
    <xf numFmtId="0" fontId="22" fillId="0" borderId="86" xfId="0" applyFont="1" applyBorder="1" applyAlignment="1">
      <alignment horizontal="left" vertical="center" wrapText="1"/>
    </xf>
    <xf numFmtId="0" fontId="22" fillId="0" borderId="87" xfId="0" applyFont="1" applyBorder="1" applyAlignment="1">
      <alignment horizontal="left" vertical="center" wrapText="1"/>
    </xf>
    <xf numFmtId="0" fontId="22" fillId="0" borderId="88" xfId="0" applyFont="1" applyBorder="1" applyAlignment="1">
      <alignment horizontal="left" vertical="center" wrapText="1"/>
    </xf>
    <xf numFmtId="0" fontId="0" fillId="0" borderId="0" xfId="0" applyAlignment="1">
      <alignment horizontal="center" wrapText="1"/>
    </xf>
    <xf numFmtId="0" fontId="0" fillId="0" borderId="102" xfId="0" applyBorder="1" applyAlignment="1">
      <alignment horizontal="center" wrapText="1"/>
    </xf>
    <xf numFmtId="0" fontId="136" fillId="0" borderId="0" xfId="0" applyFont="1" applyAlignment="1">
      <alignment horizontal="left" vertical="center" wrapText="1"/>
    </xf>
    <xf numFmtId="0" fontId="65" fillId="0" borderId="193" xfId="0" applyFont="1" applyBorder="1" applyAlignment="1">
      <alignment horizontal="center" vertical="center"/>
    </xf>
    <xf numFmtId="0" fontId="46" fillId="0" borderId="0" xfId="0" applyFont="1" applyAlignment="1">
      <alignment horizontal="center" vertical="center" wrapText="1"/>
    </xf>
    <xf numFmtId="0" fontId="111" fillId="9" borderId="0" xfId="0" applyFont="1" applyFill="1" applyAlignment="1">
      <alignment horizontal="right"/>
    </xf>
    <xf numFmtId="180" fontId="30" fillId="0" borderId="0" xfId="0" applyNumberFormat="1" applyFont="1" applyAlignment="1">
      <alignment horizontal="left" wrapText="1"/>
    </xf>
    <xf numFmtId="0" fontId="30" fillId="0" borderId="0" xfId="0" applyFont="1" applyAlignment="1">
      <alignment horizontal="left" wrapText="1"/>
    </xf>
    <xf numFmtId="181" fontId="0" fillId="0" borderId="0" xfId="0" applyNumberFormat="1" applyAlignment="1">
      <alignment horizontal="left"/>
    </xf>
    <xf numFmtId="0" fontId="1" fillId="0" borderId="0" xfId="0" applyFont="1" applyAlignment="1">
      <alignment horizontal="left"/>
    </xf>
    <xf numFmtId="184" fontId="1" fillId="0" borderId="0" xfId="0" applyNumberFormat="1" applyFont="1" applyAlignment="1">
      <alignment horizontal="left"/>
    </xf>
    <xf numFmtId="0" fontId="65" fillId="0" borderId="193" xfId="0" applyFont="1" applyBorder="1" applyAlignment="1">
      <alignment horizontal="center" vertical="center" wrapText="1"/>
    </xf>
    <xf numFmtId="173" fontId="65" fillId="0" borderId="0" xfId="0" applyNumberFormat="1" applyFont="1" applyAlignment="1">
      <alignment horizontal="center" vertical="center"/>
    </xf>
    <xf numFmtId="0" fontId="65" fillId="0" borderId="193" xfId="0" applyFont="1" applyBorder="1" applyAlignment="1">
      <alignment horizontal="left" vertical="center" wrapText="1"/>
    </xf>
    <xf numFmtId="9" fontId="65" fillId="0" borderId="193" xfId="0" applyNumberFormat="1" applyFont="1" applyBorder="1" applyAlignment="1">
      <alignment horizontal="center" vertical="center"/>
    </xf>
    <xf numFmtId="0" fontId="65" fillId="0" borderId="201" xfId="0" applyFont="1" applyBorder="1" applyAlignment="1">
      <alignment horizontal="center" vertical="center"/>
    </xf>
    <xf numFmtId="0" fontId="65" fillId="0" borderId="49" xfId="0" applyFont="1" applyBorder="1" applyAlignment="1">
      <alignment horizontal="center" vertical="center"/>
    </xf>
    <xf numFmtId="0" fontId="18" fillId="0" borderId="193" xfId="0" applyFont="1" applyBorder="1" applyAlignment="1">
      <alignment horizontal="center" vertical="center"/>
    </xf>
    <xf numFmtId="173" fontId="18" fillId="0" borderId="202" xfId="0" applyNumberFormat="1" applyFont="1" applyBorder="1" applyAlignment="1">
      <alignment horizontal="center" vertical="center"/>
    </xf>
    <xf numFmtId="9" fontId="18" fillId="0" borderId="202" xfId="0" applyNumberFormat="1" applyFont="1" applyBorder="1" applyAlignment="1">
      <alignment horizontal="center" vertical="center"/>
    </xf>
    <xf numFmtId="0" fontId="18" fillId="0" borderId="202" xfId="0" applyFont="1" applyBorder="1" applyAlignment="1">
      <alignment horizontal="center" vertical="center"/>
    </xf>
    <xf numFmtId="0" fontId="18" fillId="0" borderId="44" xfId="0" applyFont="1" applyBorder="1" applyAlignment="1">
      <alignment horizontal="center" vertical="center"/>
    </xf>
    <xf numFmtId="3" fontId="18" fillId="0" borderId="193" xfId="0" applyNumberFormat="1" applyFont="1" applyBorder="1" applyAlignment="1">
      <alignment horizontal="center" vertical="center"/>
    </xf>
    <xf numFmtId="3" fontId="18" fillId="0" borderId="201" xfId="0" applyNumberFormat="1" applyFont="1" applyBorder="1" applyAlignment="1">
      <alignment horizontal="center" vertical="center"/>
    </xf>
    <xf numFmtId="0" fontId="18" fillId="0" borderId="41" xfId="0" applyFont="1" applyBorder="1" applyAlignment="1">
      <alignment horizontal="center" vertical="center"/>
    </xf>
    <xf numFmtId="0" fontId="18" fillId="0" borderId="49" xfId="0" applyFont="1" applyBorder="1" applyAlignment="1">
      <alignment horizontal="center" vertical="center"/>
    </xf>
    <xf numFmtId="0" fontId="18" fillId="0" borderId="201" xfId="0" applyFont="1" applyBorder="1" applyAlignment="1">
      <alignment horizontal="center" vertical="center"/>
    </xf>
    <xf numFmtId="0" fontId="18" fillId="0" borderId="253" xfId="0" applyFont="1" applyBorder="1" applyAlignment="1">
      <alignment horizontal="center" vertical="center"/>
    </xf>
    <xf numFmtId="0" fontId="18" fillId="0" borderId="11" xfId="0" applyFont="1" applyBorder="1" applyAlignment="1">
      <alignment horizontal="center" vertical="center"/>
    </xf>
    <xf numFmtId="0" fontId="18" fillId="10" borderId="193" xfId="0" applyFont="1" applyFill="1" applyBorder="1" applyAlignment="1">
      <alignment horizontal="center" vertical="center" wrapText="1"/>
    </xf>
    <xf numFmtId="9" fontId="18" fillId="0" borderId="28" xfId="0" applyNumberFormat="1" applyFont="1" applyBorder="1" applyAlignment="1">
      <alignment horizontal="center" vertical="center"/>
    </xf>
    <xf numFmtId="0" fontId="18" fillId="0" borderId="193" xfId="0" applyFont="1" applyBorder="1" applyAlignment="1">
      <alignment horizontal="center" vertical="center" wrapText="1"/>
    </xf>
    <xf numFmtId="0" fontId="0" fillId="59" borderId="194" xfId="0" applyFill="1" applyBorder="1" applyAlignment="1">
      <alignment horizontal="left"/>
    </xf>
    <xf numFmtId="0" fontId="0" fillId="59" borderId="200" xfId="0" applyFill="1" applyBorder="1" applyAlignment="1">
      <alignment horizontal="left"/>
    </xf>
    <xf numFmtId="0" fontId="0" fillId="59" borderId="195" xfId="0" applyFill="1" applyBorder="1" applyAlignment="1">
      <alignment horizontal="left"/>
    </xf>
    <xf numFmtId="0" fontId="18" fillId="10" borderId="201" xfId="0" applyFont="1" applyFill="1" applyBorder="1" applyAlignment="1">
      <alignment horizontal="center" vertical="center"/>
    </xf>
    <xf numFmtId="0" fontId="18" fillId="10" borderId="49" xfId="0" applyFont="1" applyFill="1" applyBorder="1" applyAlignment="1">
      <alignment horizontal="center" vertical="center"/>
    </xf>
    <xf numFmtId="168" fontId="24" fillId="2" borderId="159" xfId="0" applyNumberFormat="1" applyFont="1" applyFill="1" applyBorder="1" applyAlignment="1">
      <alignment horizontal="center" vertical="center" wrapText="1"/>
    </xf>
    <xf numFmtId="168" fontId="24" fillId="2" borderId="161" xfId="0" applyNumberFormat="1" applyFont="1" applyFill="1" applyBorder="1" applyAlignment="1">
      <alignment horizontal="center" vertical="center" wrapText="1"/>
    </xf>
    <xf numFmtId="0" fontId="24" fillId="2" borderId="173" xfId="0" applyFont="1" applyFill="1" applyBorder="1" applyAlignment="1">
      <alignment horizontal="center" vertical="center" wrapText="1"/>
    </xf>
    <xf numFmtId="3" fontId="18" fillId="19" borderId="193" xfId="0" applyNumberFormat="1" applyFont="1" applyFill="1" applyBorder="1" applyAlignment="1">
      <alignment horizontal="center" vertical="center"/>
    </xf>
    <xf numFmtId="3" fontId="18" fillId="7" borderId="193" xfId="0" applyNumberFormat="1" applyFont="1" applyFill="1" applyBorder="1" applyAlignment="1">
      <alignment horizontal="center" vertical="center"/>
    </xf>
    <xf numFmtId="0" fontId="18" fillId="7" borderId="193" xfId="0" applyFont="1" applyFill="1" applyBorder="1" applyAlignment="1">
      <alignment horizontal="center" vertical="center"/>
    </xf>
    <xf numFmtId="3" fontId="65" fillId="10" borderId="201" xfId="0" applyNumberFormat="1" applyFont="1" applyFill="1" applyBorder="1" applyAlignment="1">
      <alignment horizontal="center" vertical="center"/>
    </xf>
    <xf numFmtId="3" fontId="65" fillId="10" borderId="49" xfId="0" applyNumberFormat="1" applyFont="1" applyFill="1" applyBorder="1" applyAlignment="1">
      <alignment horizontal="center" vertical="center"/>
    </xf>
    <xf numFmtId="3" fontId="18" fillId="10" borderId="193" xfId="0" applyNumberFormat="1" applyFont="1" applyFill="1" applyBorder="1" applyAlignment="1">
      <alignment horizontal="center" vertical="center"/>
    </xf>
    <xf numFmtId="0" fontId="65" fillId="7" borderId="201" xfId="0" applyFont="1" applyFill="1" applyBorder="1" applyAlignment="1">
      <alignment horizontal="center" vertical="center"/>
    </xf>
    <xf numFmtId="0" fontId="65" fillId="7" borderId="49" xfId="0" applyFont="1" applyFill="1" applyBorder="1" applyAlignment="1">
      <alignment horizontal="center" vertical="center"/>
    </xf>
    <xf numFmtId="0" fontId="18" fillId="10" borderId="193" xfId="0" applyFont="1" applyFill="1" applyBorder="1" applyAlignment="1">
      <alignment horizontal="center" vertical="center"/>
    </xf>
    <xf numFmtId="0" fontId="65" fillId="19" borderId="193" xfId="0" applyFont="1" applyFill="1" applyBorder="1" applyAlignment="1">
      <alignment horizontal="center" vertical="center"/>
    </xf>
    <xf numFmtId="3" fontId="18" fillId="7" borderId="201" xfId="0" applyNumberFormat="1" applyFont="1" applyFill="1" applyBorder="1" applyAlignment="1">
      <alignment horizontal="center" vertical="center"/>
    </xf>
    <xf numFmtId="3" fontId="18" fillId="7" borderId="49" xfId="0" applyNumberFormat="1" applyFont="1" applyFill="1" applyBorder="1" applyAlignment="1">
      <alignment horizontal="center" vertical="center"/>
    </xf>
    <xf numFmtId="0" fontId="18" fillId="7" borderId="41" xfId="0" applyFont="1" applyFill="1" applyBorder="1" applyAlignment="1">
      <alignment horizontal="center" vertical="center"/>
    </xf>
    <xf numFmtId="0" fontId="18" fillId="7" borderId="49" xfId="0" applyFont="1" applyFill="1" applyBorder="1" applyAlignment="1">
      <alignment horizontal="center" vertical="center"/>
    </xf>
    <xf numFmtId="0" fontId="18" fillId="0" borderId="41" xfId="0" applyFont="1" applyBorder="1" applyAlignment="1">
      <alignment horizontal="center" vertical="center" textRotation="90" wrapText="1"/>
    </xf>
    <xf numFmtId="0" fontId="12" fillId="0" borderId="0" xfId="0" applyFont="1" applyAlignment="1">
      <alignment horizontal="center" vertical="top" wrapText="1"/>
    </xf>
    <xf numFmtId="0" fontId="24" fillId="0" borderId="239" xfId="0" applyFont="1" applyBorder="1" applyAlignment="1" applyProtection="1">
      <alignment horizontal="left" vertical="center"/>
      <protection locked="0"/>
    </xf>
    <xf numFmtId="0" fontId="24" fillId="0" borderId="240" xfId="0" applyFont="1" applyBorder="1" applyAlignment="1" applyProtection="1">
      <alignment horizontal="left" vertical="center"/>
      <protection locked="0"/>
    </xf>
    <xf numFmtId="0" fontId="24" fillId="0" borderId="241" xfId="0" applyFont="1" applyBorder="1" applyAlignment="1" applyProtection="1">
      <alignment horizontal="left" vertical="center"/>
      <protection locked="0"/>
    </xf>
    <xf numFmtId="9" fontId="24" fillId="2" borderId="3" xfId="0" applyNumberFormat="1" applyFont="1" applyFill="1" applyBorder="1" applyAlignment="1">
      <alignment horizontal="center" vertical="center"/>
    </xf>
    <xf numFmtId="9" fontId="24" fillId="2" borderId="184" xfId="0" applyNumberFormat="1" applyFont="1" applyFill="1" applyBorder="1" applyAlignment="1">
      <alignment horizontal="center" vertical="center"/>
    </xf>
    <xf numFmtId="3" fontId="24" fillId="2" borderId="175" xfId="0" applyNumberFormat="1" applyFont="1" applyFill="1" applyBorder="1" applyAlignment="1">
      <alignment horizontal="center" vertical="center"/>
    </xf>
    <xf numFmtId="3" fontId="24" fillId="2" borderId="189" xfId="0" applyNumberFormat="1" applyFont="1" applyFill="1" applyBorder="1" applyAlignment="1">
      <alignment horizontal="center" vertical="center"/>
    </xf>
    <xf numFmtId="3" fontId="24" fillId="2" borderId="177" xfId="0" applyNumberFormat="1" applyFont="1" applyFill="1" applyBorder="1" applyAlignment="1">
      <alignment horizontal="center" vertical="center"/>
    </xf>
    <xf numFmtId="3" fontId="24" fillId="2" borderId="190" xfId="0" applyNumberFormat="1" applyFont="1" applyFill="1" applyBorder="1" applyAlignment="1">
      <alignment horizontal="center" vertical="center"/>
    </xf>
    <xf numFmtId="0" fontId="15" fillId="0" borderId="0" xfId="0" applyFont="1" applyAlignment="1">
      <alignment horizontal="center"/>
    </xf>
    <xf numFmtId="0" fontId="111" fillId="0" borderId="0" xfId="0" applyFont="1" applyAlignment="1">
      <alignment horizontal="center" vertical="center" wrapText="1"/>
    </xf>
    <xf numFmtId="0" fontId="24" fillId="0" borderId="157" xfId="0" applyFont="1" applyBorder="1" applyAlignment="1" applyProtection="1">
      <alignment horizontal="center" vertical="center"/>
      <protection locked="0"/>
    </xf>
    <xf numFmtId="0" fontId="24" fillId="0" borderId="34" xfId="0" applyFont="1" applyBorder="1" applyAlignment="1" applyProtection="1">
      <alignment horizontal="center" vertical="center"/>
      <protection locked="0"/>
    </xf>
    <xf numFmtId="0" fontId="24" fillId="0" borderId="171" xfId="0" applyFont="1" applyBorder="1" applyAlignment="1" applyProtection="1">
      <alignment horizontal="center" vertical="center"/>
      <protection locked="0"/>
    </xf>
    <xf numFmtId="0" fontId="114" fillId="9" borderId="160" xfId="0" applyFont="1" applyFill="1" applyBorder="1" applyAlignment="1">
      <alignment horizontal="right" vertical="center" wrapText="1"/>
    </xf>
    <xf numFmtId="0" fontId="114" fillId="9" borderId="128" xfId="0" applyFont="1" applyFill="1" applyBorder="1" applyAlignment="1">
      <alignment horizontal="right" vertical="center" wrapText="1"/>
    </xf>
    <xf numFmtId="0" fontId="24" fillId="0" borderId="128" xfId="0" applyFont="1" applyBorder="1" applyAlignment="1" applyProtection="1">
      <alignment horizontal="left" vertical="center"/>
      <protection locked="0"/>
    </xf>
    <xf numFmtId="0" fontId="114" fillId="9" borderId="128" xfId="0" applyFont="1" applyFill="1" applyBorder="1" applyAlignment="1">
      <alignment horizontal="right" vertical="center"/>
    </xf>
    <xf numFmtId="0" fontId="24" fillId="0" borderId="146" xfId="0" applyFont="1" applyBorder="1" applyAlignment="1" applyProtection="1">
      <alignment horizontal="left" vertical="center"/>
      <protection locked="0"/>
    </xf>
    <xf numFmtId="0" fontId="24" fillId="0" borderId="147" xfId="0" applyFont="1" applyBorder="1" applyAlignment="1" applyProtection="1">
      <alignment horizontal="left" vertical="center"/>
      <protection locked="0"/>
    </xf>
    <xf numFmtId="0" fontId="114" fillId="10" borderId="146" xfId="0" applyFont="1" applyFill="1" applyBorder="1" applyAlignment="1">
      <alignment horizontal="left"/>
    </xf>
    <xf numFmtId="0" fontId="114" fillId="10" borderId="147" xfId="0" applyFont="1" applyFill="1" applyBorder="1" applyAlignment="1">
      <alignment horizontal="left"/>
    </xf>
    <xf numFmtId="0" fontId="114" fillId="60" borderId="151" xfId="0" applyFont="1" applyFill="1" applyBorder="1" applyAlignment="1">
      <alignment horizontal="left"/>
    </xf>
    <xf numFmtId="9" fontId="24" fillId="2" borderId="149" xfId="0" applyNumberFormat="1" applyFont="1" applyFill="1" applyBorder="1" applyAlignment="1">
      <alignment horizontal="center" vertical="center"/>
    </xf>
    <xf numFmtId="9" fontId="24" fillId="2" borderId="142" xfId="0" applyNumberFormat="1" applyFont="1" applyFill="1" applyBorder="1" applyAlignment="1">
      <alignment horizontal="center" vertical="center"/>
    </xf>
    <xf numFmtId="2" fontId="24" fillId="0" borderId="129" xfId="0" applyNumberFormat="1" applyFont="1" applyBorder="1" applyAlignment="1">
      <alignment horizontal="center" vertical="center"/>
    </xf>
    <xf numFmtId="2" fontId="24" fillId="0" borderId="36" xfId="0" applyNumberFormat="1" applyFont="1" applyBorder="1" applyAlignment="1">
      <alignment horizontal="center" vertical="center"/>
    </xf>
    <xf numFmtId="2" fontId="24" fillId="0" borderId="38" xfId="0" applyNumberFormat="1" applyFont="1" applyBorder="1" applyAlignment="1">
      <alignment horizontal="center" vertical="center"/>
    </xf>
    <xf numFmtId="0" fontId="24" fillId="0" borderId="158" xfId="0" applyFont="1" applyBorder="1" applyAlignment="1">
      <alignment horizontal="center" vertical="center"/>
    </xf>
    <xf numFmtId="0" fontId="24" fillId="0" borderId="36" xfId="0" applyFont="1" applyBorder="1" applyAlignment="1">
      <alignment horizontal="center" vertical="center"/>
    </xf>
    <xf numFmtId="0" fontId="24" fillId="0" borderId="172" xfId="0" applyFont="1" applyBorder="1" applyAlignment="1">
      <alignment horizontal="center" vertical="center"/>
    </xf>
    <xf numFmtId="0" fontId="24" fillId="2" borderId="266" xfId="0" applyFont="1" applyFill="1" applyBorder="1" applyAlignment="1">
      <alignment horizontal="center" vertical="center"/>
    </xf>
    <xf numFmtId="0" fontId="24" fillId="2" borderId="261" xfId="0" applyFont="1" applyFill="1" applyBorder="1" applyAlignment="1">
      <alignment horizontal="center" vertical="center"/>
    </xf>
    <xf numFmtId="166" fontId="24" fillId="0" borderId="164" xfId="0" applyNumberFormat="1" applyFont="1" applyBorder="1" applyAlignment="1" applyProtection="1">
      <alignment horizontal="left" vertical="center"/>
      <protection locked="0"/>
    </xf>
    <xf numFmtId="166" fontId="24" fillId="0" borderId="165" xfId="0" applyNumberFormat="1" applyFont="1" applyBorder="1" applyAlignment="1" applyProtection="1">
      <alignment horizontal="left" vertical="center"/>
      <protection locked="0"/>
    </xf>
    <xf numFmtId="166" fontId="24" fillId="0" borderId="243" xfId="0" applyNumberFormat="1" applyFont="1" applyBorder="1" applyAlignment="1" applyProtection="1">
      <alignment horizontal="left" vertical="center"/>
      <protection locked="0"/>
    </xf>
    <xf numFmtId="166" fontId="24" fillId="17" borderId="265" xfId="0" applyNumberFormat="1" applyFont="1" applyFill="1" applyBorder="1" applyAlignment="1" applyProtection="1">
      <alignment horizontal="left" vertical="center"/>
      <protection locked="0"/>
    </xf>
    <xf numFmtId="0" fontId="24" fillId="0" borderId="126" xfId="0" applyFont="1" applyBorder="1" applyAlignment="1" applyProtection="1">
      <alignment horizontal="left" vertical="center"/>
      <protection locked="0"/>
    </xf>
    <xf numFmtId="0" fontId="24" fillId="0" borderId="125" xfId="0" applyFont="1" applyBorder="1" applyAlignment="1" applyProtection="1">
      <alignment horizontal="left" vertical="center"/>
      <protection locked="0"/>
    </xf>
    <xf numFmtId="0" fontId="24" fillId="0" borderId="127" xfId="0" applyFont="1" applyBorder="1" applyAlignment="1" applyProtection="1">
      <alignment horizontal="left" vertical="center"/>
      <protection locked="0"/>
    </xf>
    <xf numFmtId="0" fontId="16" fillId="17" borderId="178" xfId="0" applyFont="1" applyFill="1" applyBorder="1" applyAlignment="1">
      <alignment horizontal="center" vertical="center"/>
    </xf>
    <xf numFmtId="0" fontId="16" fillId="17" borderId="268" xfId="0" applyFont="1" applyFill="1" applyBorder="1" applyAlignment="1">
      <alignment horizontal="center" vertical="center"/>
    </xf>
    <xf numFmtId="0" fontId="24" fillId="0" borderId="215" xfId="0" applyFont="1" applyBorder="1" applyAlignment="1" applyProtection="1">
      <alignment horizontal="left" vertical="center"/>
      <protection locked="0"/>
    </xf>
    <xf numFmtId="0" fontId="24" fillId="0" borderId="37" xfId="0" applyFont="1" applyBorder="1" applyAlignment="1" applyProtection="1">
      <alignment horizontal="left" vertical="center"/>
      <protection locked="0"/>
    </xf>
    <xf numFmtId="0" fontId="24" fillId="0" borderId="216" xfId="0" applyFont="1" applyBorder="1" applyAlignment="1" applyProtection="1">
      <alignment horizontal="left" vertical="center"/>
      <protection locked="0"/>
    </xf>
    <xf numFmtId="0" fontId="15" fillId="12" borderId="136" xfId="0" applyFont="1" applyFill="1" applyBorder="1" applyAlignment="1">
      <alignment horizontal="center"/>
    </xf>
    <xf numFmtId="0" fontId="15" fillId="12" borderId="137" xfId="0" applyFont="1" applyFill="1" applyBorder="1" applyAlignment="1">
      <alignment horizontal="center"/>
    </xf>
    <xf numFmtId="166" fontId="24" fillId="17" borderId="163" xfId="0" applyNumberFormat="1" applyFont="1" applyFill="1" applyBorder="1" applyAlignment="1" applyProtection="1">
      <alignment horizontal="left" vertical="center"/>
      <protection locked="0"/>
    </xf>
    <xf numFmtId="0" fontId="114" fillId="9" borderId="162" xfId="0" applyFont="1" applyFill="1" applyBorder="1" applyAlignment="1">
      <alignment horizontal="right" vertical="center" wrapText="1"/>
    </xf>
    <xf numFmtId="0" fontId="114" fillId="9" borderId="163" xfId="0" applyFont="1" applyFill="1" applyBorder="1" applyAlignment="1">
      <alignment horizontal="right" vertical="center" wrapText="1"/>
    </xf>
    <xf numFmtId="0" fontId="111" fillId="0" borderId="263" xfId="0" applyFont="1" applyBorder="1" applyAlignment="1">
      <alignment horizontal="center" vertical="center" wrapText="1"/>
    </xf>
    <xf numFmtId="3" fontId="24" fillId="2" borderId="150" xfId="0" applyNumberFormat="1" applyFont="1" applyFill="1" applyBorder="1" applyAlignment="1">
      <alignment horizontal="center" vertical="center"/>
    </xf>
    <xf numFmtId="3" fontId="24" fillId="2" borderId="143" xfId="0" applyNumberFormat="1" applyFont="1" applyFill="1" applyBorder="1" applyAlignment="1">
      <alignment horizontal="center" vertical="center"/>
    </xf>
    <xf numFmtId="3" fontId="24" fillId="2" borderId="152" xfId="0" applyNumberFormat="1" applyFont="1" applyFill="1" applyBorder="1" applyAlignment="1">
      <alignment horizontal="center" vertical="center"/>
    </xf>
    <xf numFmtId="3" fontId="24" fillId="2" borderId="141" xfId="0" applyNumberFormat="1" applyFont="1" applyFill="1" applyBorder="1" applyAlignment="1">
      <alignment horizontal="center" vertical="center"/>
    </xf>
    <xf numFmtId="3" fontId="24" fillId="2" borderId="153" xfId="0" applyNumberFormat="1" applyFont="1" applyFill="1" applyBorder="1" applyAlignment="1">
      <alignment horizontal="center" vertical="center"/>
    </xf>
    <xf numFmtId="3" fontId="24" fillId="2" borderId="154" xfId="0" applyNumberFormat="1" applyFont="1" applyFill="1" applyBorder="1" applyAlignment="1">
      <alignment horizontal="center" vertical="center"/>
    </xf>
    <xf numFmtId="3" fontId="24" fillId="2" borderId="109" xfId="0" applyNumberFormat="1" applyFont="1" applyFill="1" applyBorder="1" applyAlignment="1">
      <alignment horizontal="center" vertical="center"/>
    </xf>
    <xf numFmtId="3" fontId="24" fillId="2" borderId="110" xfId="0" applyNumberFormat="1" applyFont="1" applyFill="1" applyBorder="1" applyAlignment="1">
      <alignment horizontal="center" vertical="center"/>
    </xf>
    <xf numFmtId="3" fontId="24" fillId="2" borderId="167" xfId="0" applyNumberFormat="1" applyFont="1" applyFill="1" applyBorder="1" applyAlignment="1">
      <alignment horizontal="center" vertical="center"/>
    </xf>
    <xf numFmtId="3" fontId="24" fillId="2" borderId="168" xfId="0" applyNumberFormat="1" applyFont="1" applyFill="1" applyBorder="1" applyAlignment="1">
      <alignment horizontal="center" vertical="center"/>
    </xf>
    <xf numFmtId="0" fontId="24" fillId="0" borderId="164" xfId="0" applyFont="1" applyBorder="1" applyAlignment="1" applyProtection="1">
      <alignment horizontal="left" vertical="center"/>
      <protection locked="0"/>
    </xf>
    <xf numFmtId="0" fontId="24" fillId="0" borderId="165" xfId="0" applyFont="1" applyBorder="1" applyAlignment="1" applyProtection="1">
      <alignment horizontal="left" vertical="center"/>
      <protection locked="0"/>
    </xf>
    <xf numFmtId="0" fontId="24" fillId="0" borderId="166" xfId="0" applyFont="1" applyBorder="1" applyAlignment="1" applyProtection="1">
      <alignment horizontal="left" vertical="center"/>
      <protection locked="0"/>
    </xf>
    <xf numFmtId="0" fontId="24" fillId="0" borderId="176" xfId="0" applyFont="1" applyBorder="1" applyAlignment="1" applyProtection="1">
      <alignment horizontal="left" vertical="center"/>
      <protection locked="0"/>
    </xf>
    <xf numFmtId="0" fontId="16" fillId="17" borderId="214" xfId="0" applyFont="1" applyFill="1" applyBorder="1" applyAlignment="1">
      <alignment horizontal="center" vertical="center"/>
    </xf>
    <xf numFmtId="0" fontId="24" fillId="2" borderId="164" xfId="0" applyFont="1" applyFill="1" applyBorder="1" applyAlignment="1">
      <alignment horizontal="center" vertical="center"/>
    </xf>
    <xf numFmtId="0" fontId="24" fillId="2" borderId="165" xfId="0" applyFont="1" applyFill="1" applyBorder="1" applyAlignment="1">
      <alignment horizontal="center" vertical="center"/>
    </xf>
    <xf numFmtId="0" fontId="16" fillId="17" borderId="179" xfId="0" applyFont="1" applyFill="1" applyBorder="1" applyAlignment="1">
      <alignment horizontal="center" vertical="center"/>
    </xf>
    <xf numFmtId="0" fontId="16" fillId="17" borderId="188" xfId="0" applyFont="1" applyFill="1" applyBorder="1" applyAlignment="1">
      <alignment horizontal="center" vertical="center"/>
    </xf>
    <xf numFmtId="165" fontId="24" fillId="2" borderId="155" xfId="0" applyNumberFormat="1" applyFont="1" applyFill="1" applyBorder="1" applyAlignment="1">
      <alignment horizontal="center" vertical="center"/>
    </xf>
    <xf numFmtId="165" fontId="24" fillId="2" borderId="156"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111" xfId="0" applyNumberFormat="1" applyFont="1" applyFill="1" applyBorder="1" applyAlignment="1">
      <alignment horizontal="center" vertical="center"/>
    </xf>
    <xf numFmtId="165" fontId="24" fillId="2" borderId="169" xfId="0" applyNumberFormat="1" applyFont="1" applyFill="1" applyBorder="1" applyAlignment="1">
      <alignment horizontal="center" vertical="center"/>
    </xf>
    <xf numFmtId="165" fontId="24" fillId="2" borderId="170" xfId="0" applyNumberFormat="1" applyFont="1" applyFill="1" applyBorder="1" applyAlignment="1">
      <alignment horizontal="center" vertical="center"/>
    </xf>
    <xf numFmtId="0" fontId="114" fillId="9" borderId="144" xfId="0" applyFont="1" applyFill="1" applyBorder="1" applyAlignment="1">
      <alignment horizontal="right" vertical="center" wrapText="1"/>
    </xf>
    <xf numFmtId="0" fontId="114" fillId="9" borderId="145" xfId="0" applyFont="1" applyFill="1" applyBorder="1" applyAlignment="1">
      <alignment horizontal="right" vertical="center" wrapText="1"/>
    </xf>
    <xf numFmtId="0" fontId="24" fillId="0" borderId="242" xfId="0" applyFont="1" applyBorder="1" applyAlignment="1" applyProtection="1">
      <alignment horizontal="left" vertical="center"/>
      <protection locked="0"/>
    </xf>
    <xf numFmtId="0" fontId="24" fillId="0" borderId="20" xfId="0" applyFont="1" applyBorder="1" applyAlignment="1" applyProtection="1">
      <alignment horizontal="left" vertical="center"/>
      <protection locked="0"/>
    </xf>
    <xf numFmtId="0" fontId="24" fillId="0" borderId="217" xfId="0" applyFont="1" applyBorder="1" applyAlignment="1" applyProtection="1">
      <alignment horizontal="left" vertical="center"/>
      <protection locked="0"/>
    </xf>
    <xf numFmtId="0" fontId="18" fillId="7" borderId="187" xfId="0" applyFont="1" applyFill="1" applyBorder="1" applyAlignment="1">
      <alignment horizontal="center" vertical="center"/>
    </xf>
    <xf numFmtId="0" fontId="18" fillId="7" borderId="128" xfId="0" applyFont="1" applyFill="1" applyBorder="1" applyAlignment="1">
      <alignment horizontal="center" vertical="center"/>
    </xf>
    <xf numFmtId="0" fontId="18" fillId="7" borderId="40" xfId="0" applyFont="1" applyFill="1" applyBorder="1" applyAlignment="1">
      <alignment horizontal="center" vertical="center"/>
    </xf>
    <xf numFmtId="165" fontId="18" fillId="10" borderId="193" xfId="0" applyNumberFormat="1" applyFont="1" applyFill="1" applyBorder="1" applyAlignment="1">
      <alignment horizontal="center" vertical="center"/>
    </xf>
    <xf numFmtId="0" fontId="18" fillId="7" borderId="201" xfId="0" applyFont="1" applyFill="1" applyBorder="1" applyAlignment="1">
      <alignment horizontal="center" vertical="center" wrapText="1"/>
    </xf>
    <xf numFmtId="0" fontId="18" fillId="7" borderId="49" xfId="0" applyFont="1" applyFill="1" applyBorder="1" applyAlignment="1">
      <alignment horizontal="center" vertical="center" wrapText="1"/>
    </xf>
    <xf numFmtId="0" fontId="24" fillId="10" borderId="201" xfId="0" applyFont="1" applyFill="1" applyBorder="1" applyAlignment="1">
      <alignment horizontal="center" vertical="center" wrapText="1"/>
    </xf>
    <xf numFmtId="0" fontId="24" fillId="10" borderId="49" xfId="0" applyFont="1" applyFill="1" applyBorder="1" applyAlignment="1">
      <alignment horizontal="center" vertical="center" wrapText="1"/>
    </xf>
    <xf numFmtId="165" fontId="18" fillId="10" borderId="201" xfId="0" applyNumberFormat="1" applyFont="1" applyFill="1" applyBorder="1" applyAlignment="1">
      <alignment horizontal="center" vertical="center"/>
    </xf>
    <xf numFmtId="165" fontId="18" fillId="10" borderId="49" xfId="0" applyNumberFormat="1" applyFont="1" applyFill="1" applyBorder="1" applyAlignment="1">
      <alignment horizontal="center" vertical="center"/>
    </xf>
    <xf numFmtId="3" fontId="18" fillId="10" borderId="201" xfId="0" applyNumberFormat="1" applyFont="1" applyFill="1" applyBorder="1" applyAlignment="1">
      <alignment horizontal="center" vertical="center"/>
    </xf>
    <xf numFmtId="3" fontId="18" fillId="10" borderId="49" xfId="0" applyNumberFormat="1" applyFont="1" applyFill="1" applyBorder="1" applyAlignment="1">
      <alignment horizontal="center" vertical="center"/>
    </xf>
    <xf numFmtId="0" fontId="18" fillId="10" borderId="41" xfId="0" applyFont="1" applyFill="1" applyBorder="1" applyAlignment="1">
      <alignment horizontal="center" vertical="center"/>
    </xf>
    <xf numFmtId="10" fontId="18" fillId="10" borderId="193" xfId="0" applyNumberFormat="1" applyFont="1" applyFill="1" applyBorder="1" applyAlignment="1">
      <alignment horizontal="center" vertical="center"/>
    </xf>
    <xf numFmtId="3" fontId="18" fillId="10" borderId="41" xfId="0" applyNumberFormat="1" applyFont="1" applyFill="1" applyBorder="1" applyAlignment="1">
      <alignment horizontal="center" vertical="center"/>
    </xf>
    <xf numFmtId="4" fontId="18" fillId="10" borderId="201" xfId="0" applyNumberFormat="1" applyFont="1" applyFill="1" applyBorder="1" applyAlignment="1">
      <alignment horizontal="center" vertical="center"/>
    </xf>
    <xf numFmtId="4" fontId="18" fillId="10" borderId="41" xfId="0" applyNumberFormat="1" applyFont="1" applyFill="1" applyBorder="1" applyAlignment="1">
      <alignment horizontal="center" vertical="center"/>
    </xf>
    <xf numFmtId="4" fontId="18" fillId="10" borderId="49" xfId="0" applyNumberFormat="1" applyFont="1" applyFill="1" applyBorder="1" applyAlignment="1">
      <alignment horizontal="center" vertical="center"/>
    </xf>
    <xf numFmtId="0" fontId="18" fillId="0" borderId="201" xfId="0" applyFont="1" applyBorder="1" applyAlignment="1">
      <alignment horizontal="center" vertical="center" wrapText="1"/>
    </xf>
    <xf numFmtId="0" fontId="18" fillId="0" borderId="49" xfId="0" applyFont="1" applyBorder="1" applyAlignment="1">
      <alignment horizontal="center" vertical="center" wrapText="1"/>
    </xf>
    <xf numFmtId="0" fontId="65" fillId="0" borderId="201" xfId="0" applyFont="1" applyBorder="1" applyAlignment="1">
      <alignment horizontal="center" vertical="center" wrapText="1"/>
    </xf>
    <xf numFmtId="0" fontId="65" fillId="0" borderId="49" xfId="0" applyFont="1" applyBorder="1" applyAlignment="1">
      <alignment horizontal="center" vertical="center" wrapText="1"/>
    </xf>
    <xf numFmtId="0" fontId="18" fillId="7" borderId="45" xfId="0" applyFont="1" applyFill="1" applyBorder="1" applyAlignment="1">
      <alignment horizontal="center" vertical="center"/>
    </xf>
    <xf numFmtId="0" fontId="18" fillId="7" borderId="2" xfId="0" applyFont="1" applyFill="1" applyBorder="1" applyAlignment="1">
      <alignment horizontal="center" vertical="center"/>
    </xf>
    <xf numFmtId="0" fontId="18" fillId="7" borderId="46" xfId="0" applyFont="1" applyFill="1" applyBorder="1" applyAlignment="1">
      <alignment horizontal="center" vertical="center"/>
    </xf>
    <xf numFmtId="0" fontId="18" fillId="7" borderId="201" xfId="0" applyFont="1" applyFill="1" applyBorder="1" applyAlignment="1">
      <alignment horizontal="center" vertical="center"/>
    </xf>
    <xf numFmtId="0" fontId="65" fillId="10" borderId="201" xfId="0" applyFont="1" applyFill="1" applyBorder="1" applyAlignment="1">
      <alignment horizontal="center" vertical="center" wrapText="1"/>
    </xf>
    <xf numFmtId="0" fontId="65" fillId="10" borderId="49" xfId="0" applyFont="1" applyFill="1" applyBorder="1" applyAlignment="1">
      <alignment horizontal="center" vertical="center" wrapText="1"/>
    </xf>
    <xf numFmtId="0" fontId="18" fillId="50" borderId="193" xfId="0" applyFont="1" applyFill="1" applyBorder="1" applyAlignment="1">
      <alignment horizontal="center" vertical="center"/>
    </xf>
    <xf numFmtId="0" fontId="15" fillId="0" borderId="23" xfId="0" applyFont="1" applyBorder="1" applyAlignment="1">
      <alignment horizontal="center"/>
    </xf>
    <xf numFmtId="168" fontId="18" fillId="10" borderId="193" xfId="0" applyNumberFormat="1" applyFont="1" applyFill="1" applyBorder="1" applyAlignment="1">
      <alignment horizontal="center" vertical="center"/>
    </xf>
    <xf numFmtId="0" fontId="65" fillId="7" borderId="41" xfId="0" applyFont="1" applyFill="1" applyBorder="1" applyAlignment="1">
      <alignment horizontal="center" vertical="center"/>
    </xf>
    <xf numFmtId="165" fontId="18" fillId="10" borderId="41" xfId="0" applyNumberFormat="1" applyFont="1" applyFill="1" applyBorder="1" applyAlignment="1">
      <alignment horizontal="center" vertical="center"/>
    </xf>
    <xf numFmtId="9" fontId="65" fillId="10" borderId="201" xfId="0" applyNumberFormat="1" applyFont="1" applyFill="1" applyBorder="1" applyAlignment="1">
      <alignment horizontal="center" vertical="center"/>
    </xf>
    <xf numFmtId="9" fontId="65" fillId="10" borderId="49" xfId="0" applyNumberFormat="1" applyFont="1" applyFill="1" applyBorder="1" applyAlignment="1">
      <alignment horizontal="center" vertical="center"/>
    </xf>
    <xf numFmtId="1" fontId="18" fillId="10" borderId="193" xfId="0" applyNumberFormat="1" applyFont="1" applyFill="1" applyBorder="1" applyAlignment="1">
      <alignment horizontal="center" vertical="center"/>
    </xf>
    <xf numFmtId="3" fontId="18" fillId="0" borderId="181" xfId="0" applyNumberFormat="1" applyFont="1" applyBorder="1" applyAlignment="1">
      <alignment horizontal="center" vertical="center"/>
    </xf>
    <xf numFmtId="3" fontId="18" fillId="0" borderId="182" xfId="0" applyNumberFormat="1" applyFont="1" applyBorder="1" applyAlignment="1">
      <alignment horizontal="center" vertical="center"/>
    </xf>
    <xf numFmtId="165" fontId="18" fillId="0" borderId="181" xfId="0" applyNumberFormat="1" applyFont="1" applyBorder="1" applyAlignment="1">
      <alignment horizontal="center" vertical="center"/>
    </xf>
    <xf numFmtId="165" fontId="18" fillId="0" borderId="180" xfId="0" applyNumberFormat="1" applyFont="1" applyBorder="1" applyAlignment="1">
      <alignment horizontal="center" vertical="center"/>
    </xf>
    <xf numFmtId="165" fontId="18" fillId="0" borderId="182" xfId="0" applyNumberFormat="1" applyFont="1" applyBorder="1" applyAlignment="1">
      <alignment horizontal="center" vertical="center"/>
    </xf>
    <xf numFmtId="0" fontId="24" fillId="0" borderId="193" xfId="0" applyFont="1" applyBorder="1" applyAlignment="1">
      <alignment horizontal="left" vertical="center" wrapText="1"/>
    </xf>
    <xf numFmtId="0" fontId="24" fillId="0" borderId="29" xfId="0" applyFont="1" applyBorder="1" applyAlignment="1">
      <alignment horizontal="center" vertical="center"/>
    </xf>
    <xf numFmtId="0" fontId="24" fillId="0" borderId="0" xfId="0" applyFont="1" applyAlignment="1">
      <alignment horizontal="center" vertical="center"/>
    </xf>
    <xf numFmtId="0" fontId="111" fillId="0" borderId="191" xfId="0" applyFont="1" applyBorder="1" applyAlignment="1">
      <alignment horizontal="center" vertical="center" wrapText="1"/>
    </xf>
    <xf numFmtId="0" fontId="122" fillId="2" borderId="2" xfId="0" applyFont="1" applyFill="1" applyBorder="1" applyAlignment="1">
      <alignment horizontal="center" wrapText="1"/>
    </xf>
    <xf numFmtId="0" fontId="15" fillId="0" borderId="0" xfId="0" applyFont="1" applyAlignment="1">
      <alignment horizontal="center" wrapText="1"/>
    </xf>
    <xf numFmtId="0" fontId="15" fillId="0" borderId="23" xfId="0" applyFont="1" applyBorder="1" applyAlignment="1">
      <alignment horizontal="center" wrapText="1"/>
    </xf>
    <xf numFmtId="0" fontId="0" fillId="23" borderId="193" xfId="0" applyFill="1" applyBorder="1" applyAlignment="1">
      <alignment horizontal="left"/>
    </xf>
    <xf numFmtId="169" fontId="0" fillId="23" borderId="193" xfId="0" applyNumberFormat="1" applyFill="1" applyBorder="1" applyAlignment="1">
      <alignment horizontal="left"/>
    </xf>
    <xf numFmtId="0" fontId="24" fillId="58" borderId="41" xfId="0" applyFont="1" applyFill="1" applyBorder="1" applyAlignment="1">
      <alignment horizontal="center" vertical="center" wrapText="1"/>
    </xf>
    <xf numFmtId="0" fontId="24" fillId="58" borderId="49" xfId="0" applyFont="1" applyFill="1" applyBorder="1" applyAlignment="1">
      <alignment horizontal="center" vertical="center" wrapText="1"/>
    </xf>
    <xf numFmtId="3" fontId="0" fillId="59" borderId="194" xfId="0" applyNumberFormat="1" applyFill="1" applyBorder="1" applyAlignment="1">
      <alignment horizontal="center"/>
    </xf>
    <xf numFmtId="3" fontId="0" fillId="59" borderId="195" xfId="0" applyNumberFormat="1" applyFill="1" applyBorder="1" applyAlignment="1">
      <alignment horizontal="center"/>
    </xf>
    <xf numFmtId="3" fontId="75" fillId="59" borderId="194" xfId="0" applyNumberFormat="1" applyFont="1" applyFill="1" applyBorder="1" applyAlignment="1">
      <alignment horizontal="center"/>
    </xf>
    <xf numFmtId="3" fontId="75" fillId="59" borderId="195" xfId="0" applyNumberFormat="1" applyFont="1" applyFill="1" applyBorder="1" applyAlignment="1">
      <alignment horizontal="center"/>
    </xf>
    <xf numFmtId="4" fontId="0" fillId="59" borderId="194" xfId="0" applyNumberFormat="1" applyFill="1" applyBorder="1" applyAlignment="1">
      <alignment horizontal="center"/>
    </xf>
    <xf numFmtId="4" fontId="0" fillId="59" borderId="195" xfId="0" applyNumberFormat="1" applyFill="1" applyBorder="1" applyAlignment="1">
      <alignment horizontal="center"/>
    </xf>
    <xf numFmtId="4" fontId="75" fillId="59" borderId="194" xfId="0" applyNumberFormat="1" applyFont="1" applyFill="1" applyBorder="1" applyAlignment="1">
      <alignment horizontal="center" vertical="center"/>
    </xf>
    <xf numFmtId="4" fontId="75" fillId="59" borderId="195" xfId="0" applyNumberFormat="1" applyFont="1" applyFill="1" applyBorder="1" applyAlignment="1">
      <alignment horizontal="center" vertical="center"/>
    </xf>
    <xf numFmtId="3" fontId="65" fillId="7" borderId="193" xfId="0" applyNumberFormat="1" applyFont="1" applyFill="1" applyBorder="1" applyAlignment="1">
      <alignment horizontal="center" vertical="center"/>
    </xf>
    <xf numFmtId="165" fontId="0" fillId="4" borderId="193" xfId="0" applyNumberFormat="1" applyFill="1" applyBorder="1" applyAlignment="1" applyProtection="1">
      <alignment horizontal="center"/>
      <protection locked="0"/>
    </xf>
    <xf numFmtId="0" fontId="15" fillId="9" borderId="23" xfId="0" applyFont="1" applyFill="1" applyBorder="1" applyAlignment="1">
      <alignment horizontal="center"/>
    </xf>
    <xf numFmtId="0" fontId="15" fillId="12" borderId="23" xfId="0" applyFont="1" applyFill="1" applyBorder="1" applyAlignment="1">
      <alignment horizontal="center"/>
    </xf>
    <xf numFmtId="0" fontId="12" fillId="0" borderId="0" xfId="0" applyFont="1" applyAlignment="1">
      <alignment horizontal="center" vertical="center" wrapText="1"/>
    </xf>
    <xf numFmtId="165" fontId="0" fillId="12" borderId="194" xfId="0" applyNumberFormat="1" applyFill="1" applyBorder="1" applyAlignment="1">
      <alignment horizontal="center"/>
    </xf>
    <xf numFmtId="165" fontId="0" fillId="12" borderId="195" xfId="0" applyNumberFormat="1" applyFill="1" applyBorder="1" applyAlignment="1">
      <alignment horizontal="center"/>
    </xf>
    <xf numFmtId="0" fontId="24" fillId="58" borderId="201" xfId="0" applyFont="1" applyFill="1" applyBorder="1" applyAlignment="1">
      <alignment horizontal="center" vertical="center" wrapText="1"/>
    </xf>
    <xf numFmtId="0" fontId="152" fillId="0" borderId="0" xfId="0" applyFont="1" applyAlignment="1">
      <alignment horizontal="center"/>
    </xf>
    <xf numFmtId="0" fontId="0" fillId="59" borderId="193" xfId="0" applyFill="1" applyBorder="1" applyAlignment="1">
      <alignment horizontal="left"/>
    </xf>
    <xf numFmtId="2" fontId="35" fillId="0" borderId="201" xfId="0" applyNumberFormat="1" applyFont="1" applyBorder="1" applyAlignment="1">
      <alignment horizontal="center" vertical="center" textRotation="90" wrapText="1"/>
    </xf>
    <xf numFmtId="2" fontId="35" fillId="0" borderId="41" xfId="0" applyNumberFormat="1" applyFont="1" applyBorder="1" applyAlignment="1">
      <alignment horizontal="center" vertical="center" textRotation="90" wrapText="1"/>
    </xf>
    <xf numFmtId="2" fontId="35" fillId="0" borderId="49" xfId="0" applyNumberFormat="1" applyFont="1" applyBorder="1" applyAlignment="1">
      <alignment horizontal="center" vertical="center" textRotation="90" wrapText="1"/>
    </xf>
    <xf numFmtId="0" fontId="18" fillId="0" borderId="0" xfId="0" applyFont="1" applyAlignment="1" applyProtection="1">
      <alignment horizontal="center"/>
      <protection locked="0"/>
    </xf>
    <xf numFmtId="0" fontId="18" fillId="0" borderId="0" xfId="0" applyFont="1" applyAlignment="1">
      <alignment horizontal="center"/>
    </xf>
    <xf numFmtId="0" fontId="18" fillId="12" borderId="109" xfId="0" applyFont="1" applyFill="1" applyBorder="1" applyAlignment="1">
      <alignment horizontal="center"/>
    </xf>
    <xf numFmtId="0" fontId="18" fillId="12" borderId="110" xfId="0" applyFont="1" applyFill="1" applyBorder="1" applyAlignment="1">
      <alignment horizontal="center"/>
    </xf>
    <xf numFmtId="10" fontId="0" fillId="4" borderId="193" xfId="0" applyNumberFormat="1" applyFill="1" applyBorder="1" applyAlignment="1" applyProtection="1">
      <alignment horizontal="center"/>
      <protection locked="0"/>
    </xf>
    <xf numFmtId="165" fontId="75" fillId="12" borderId="194" xfId="0" applyNumberFormat="1" applyFont="1" applyFill="1" applyBorder="1" applyAlignment="1">
      <alignment horizontal="center" vertical="center"/>
    </xf>
    <xf numFmtId="165" fontId="75" fillId="12" borderId="195" xfId="0" applyNumberFormat="1" applyFont="1" applyFill="1" applyBorder="1" applyAlignment="1">
      <alignment horizontal="center" vertical="center"/>
    </xf>
    <xf numFmtId="165" fontId="0" fillId="12" borderId="193" xfId="0" applyNumberFormat="1" applyFill="1" applyBorder="1" applyAlignment="1">
      <alignment horizontal="center"/>
    </xf>
    <xf numFmtId="165" fontId="75" fillId="13" borderId="192" xfId="0" applyNumberFormat="1" applyFont="1" applyFill="1" applyBorder="1" applyAlignment="1">
      <alignment horizontal="center" vertical="center"/>
    </xf>
    <xf numFmtId="0" fontId="75" fillId="13" borderId="253" xfId="0" applyFont="1" applyFill="1" applyBorder="1" applyAlignment="1">
      <alignment horizontal="center" vertical="center"/>
    </xf>
    <xf numFmtId="165" fontId="75" fillId="13" borderId="29" xfId="0" applyNumberFormat="1" applyFont="1" applyFill="1" applyBorder="1" applyAlignment="1">
      <alignment horizontal="center" vertical="center"/>
    </xf>
    <xf numFmtId="0" fontId="75" fillId="13" borderId="44" xfId="0" applyFont="1" applyFill="1" applyBorder="1" applyAlignment="1">
      <alignment horizontal="center" vertical="center"/>
    </xf>
    <xf numFmtId="0" fontId="75" fillId="13" borderId="10" xfId="0" applyFont="1" applyFill="1" applyBorder="1" applyAlignment="1">
      <alignment horizontal="center" vertical="center"/>
    </xf>
    <xf numFmtId="0" fontId="75" fillId="13" borderId="11" xfId="0" applyFont="1" applyFill="1" applyBorder="1" applyAlignment="1">
      <alignment horizontal="center" vertical="center"/>
    </xf>
    <xf numFmtId="0" fontId="35" fillId="0" borderId="0" xfId="0" applyFont="1" applyAlignment="1">
      <alignment horizontal="center" vertical="center" wrapText="1"/>
    </xf>
    <xf numFmtId="0" fontId="122" fillId="2" borderId="2" xfId="0" applyFont="1" applyFill="1" applyBorder="1" applyAlignment="1">
      <alignment horizontal="left"/>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165" fontId="18" fillId="0" borderId="0" xfId="0" applyNumberFormat="1" applyFont="1" applyAlignment="1">
      <alignment horizontal="center"/>
    </xf>
    <xf numFmtId="0" fontId="122" fillId="2" borderId="2" xfId="0" applyFont="1" applyFill="1" applyBorder="1" applyAlignment="1">
      <alignment horizontal="center"/>
    </xf>
    <xf numFmtId="166" fontId="18" fillId="10" borderId="193"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9" fontId="24" fillId="2" borderId="269" xfId="0" applyNumberFormat="1" applyFont="1" applyFill="1" applyBorder="1" applyAlignment="1">
      <alignment horizontal="center" vertical="center"/>
    </xf>
    <xf numFmtId="3" fontId="24" fillId="2" borderId="270" xfId="0" applyNumberFormat="1" applyFont="1" applyFill="1" applyBorder="1" applyAlignment="1">
      <alignment horizontal="center" vertical="center"/>
    </xf>
    <xf numFmtId="3" fontId="24" fillId="2" borderId="271" xfId="0" applyNumberFormat="1" applyFont="1" applyFill="1" applyBorder="1" applyAlignment="1">
      <alignment horizontal="center" vertical="center"/>
    </xf>
    <xf numFmtId="0" fontId="114" fillId="9" borderId="264" xfId="0" applyFont="1" applyFill="1" applyBorder="1" applyAlignment="1">
      <alignment horizontal="right" vertical="center" wrapText="1"/>
    </xf>
    <xf numFmtId="0" fontId="114" fillId="9" borderId="265" xfId="0" applyFont="1" applyFill="1" applyBorder="1" applyAlignment="1">
      <alignment horizontal="right" vertical="center" wrapText="1"/>
    </xf>
    <xf numFmtId="0" fontId="24" fillId="0" borderId="266" xfId="0" applyFont="1" applyBorder="1" applyAlignment="1" applyProtection="1">
      <alignment horizontal="left" vertical="center"/>
      <protection locked="0"/>
    </xf>
    <xf numFmtId="0" fontId="24" fillId="0" borderId="261" xfId="0" applyFont="1" applyBorder="1" applyAlignment="1" applyProtection="1">
      <alignment horizontal="left" vertical="center"/>
      <protection locked="0"/>
    </xf>
    <xf numFmtId="0" fontId="24" fillId="0" borderId="267" xfId="0" applyFont="1" applyBorder="1" applyAlignment="1" applyProtection="1">
      <alignment horizontal="left" vertical="center"/>
      <protection locked="0"/>
    </xf>
    <xf numFmtId="0" fontId="24" fillId="0" borderId="129" xfId="0" applyFont="1" applyBorder="1" applyAlignment="1" applyProtection="1">
      <alignment horizontal="center" vertical="center"/>
      <protection locked="0"/>
    </xf>
    <xf numFmtId="0" fontId="121" fillId="2" borderId="41" xfId="0" applyFont="1" applyFill="1" applyBorder="1" applyAlignment="1">
      <alignment horizontal="center" wrapText="1"/>
    </xf>
    <xf numFmtId="0" fontId="121" fillId="2" borderId="49" xfId="0" applyFont="1" applyFill="1" applyBorder="1" applyAlignment="1">
      <alignment horizontal="center" wrapText="1"/>
    </xf>
    <xf numFmtId="0" fontId="6" fillId="15" borderId="23" xfId="0" applyFont="1" applyFill="1" applyBorder="1" applyAlignment="1">
      <alignment horizontal="center"/>
    </xf>
    <xf numFmtId="0" fontId="6" fillId="15" borderId="11" xfId="0" applyFont="1" applyFill="1" applyBorder="1" applyAlignment="1">
      <alignment horizontal="center"/>
    </xf>
    <xf numFmtId="0" fontId="18" fillId="0" borderId="0" xfId="0" applyFont="1" applyAlignment="1">
      <alignment horizontal="left" vertical="top" wrapText="1"/>
    </xf>
    <xf numFmtId="0" fontId="121" fillId="2" borderId="41" xfId="0" applyFont="1" applyFill="1" applyBorder="1" applyAlignment="1">
      <alignment horizontal="center"/>
    </xf>
    <xf numFmtId="0" fontId="121" fillId="2" borderId="49" xfId="0" applyFont="1" applyFill="1" applyBorder="1" applyAlignment="1">
      <alignment horizontal="center"/>
    </xf>
    <xf numFmtId="0" fontId="121" fillId="13" borderId="41" xfId="0" applyFont="1" applyFill="1" applyBorder="1" applyAlignment="1">
      <alignment horizontal="center" wrapText="1"/>
    </xf>
    <xf numFmtId="0" fontId="121" fillId="13" borderId="49" xfId="0" applyFont="1" applyFill="1" applyBorder="1" applyAlignment="1">
      <alignment horizontal="center" wrapText="1"/>
    </xf>
    <xf numFmtId="165" fontId="24" fillId="2" borderId="291" xfId="0" applyNumberFormat="1" applyFont="1" applyFill="1" applyBorder="1" applyAlignment="1">
      <alignment horizontal="center" vertical="center"/>
    </xf>
    <xf numFmtId="165" fontId="24" fillId="2" borderId="292" xfId="0" applyNumberFormat="1" applyFont="1" applyFill="1" applyBorder="1" applyAlignment="1">
      <alignment horizontal="center" vertical="center"/>
    </xf>
    <xf numFmtId="0" fontId="24" fillId="0" borderId="293" xfId="0" applyFont="1" applyBorder="1" applyAlignment="1" applyProtection="1">
      <alignment horizontal="center" vertical="center"/>
      <protection locked="0"/>
    </xf>
    <xf numFmtId="0" fontId="111" fillId="0" borderId="82" xfId="0" applyFont="1" applyBorder="1" applyAlignment="1">
      <alignment horizontal="center" vertical="center" wrapText="1"/>
    </xf>
    <xf numFmtId="9" fontId="24" fillId="2" borderId="288" xfId="0" applyNumberFormat="1" applyFont="1" applyFill="1" applyBorder="1" applyAlignment="1">
      <alignment horizontal="center" vertical="center"/>
    </xf>
    <xf numFmtId="3" fontId="24" fillId="2" borderId="289" xfId="0" applyNumberFormat="1" applyFont="1" applyFill="1" applyBorder="1" applyAlignment="1">
      <alignment horizontal="center" vertical="center"/>
    </xf>
    <xf numFmtId="3" fontId="24" fillId="2" borderId="290" xfId="0" applyNumberFormat="1" applyFont="1" applyFill="1" applyBorder="1" applyAlignment="1">
      <alignment horizontal="center" vertical="center"/>
    </xf>
    <xf numFmtId="0" fontId="12" fillId="0" borderId="0" xfId="0" applyFont="1" applyAlignment="1">
      <alignment horizontal="center"/>
    </xf>
    <xf numFmtId="0" fontId="65" fillId="0" borderId="0" xfId="0" applyFont="1" applyAlignment="1">
      <alignment horizontal="center" vertical="center" wrapText="1"/>
    </xf>
    <xf numFmtId="0" fontId="18" fillId="0" borderId="0" xfId="0" applyFont="1" applyAlignment="1">
      <alignment horizontal="center" vertical="center"/>
    </xf>
    <xf numFmtId="0" fontId="115" fillId="0" borderId="0" xfId="0" applyFont="1" applyAlignment="1">
      <alignment horizontal="center"/>
    </xf>
    <xf numFmtId="0" fontId="80" fillId="0" borderId="0" xfId="0" applyFont="1" applyAlignment="1">
      <alignment horizontal="center"/>
    </xf>
    <xf numFmtId="0" fontId="80" fillId="0" borderId="23" xfId="0" applyFont="1" applyBorder="1" applyAlignment="1">
      <alignment horizontal="center"/>
    </xf>
    <xf numFmtId="0" fontId="52"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193" xfId="0" applyNumberFormat="1" applyBorder="1" applyAlignment="1">
      <alignment horizontal="left"/>
    </xf>
    <xf numFmtId="0" fontId="0" fillId="0" borderId="193" xfId="0" applyBorder="1" applyAlignment="1">
      <alignment horizontal="left"/>
    </xf>
    <xf numFmtId="0" fontId="0" fillId="0" borderId="194" xfId="0" applyBorder="1" applyAlignment="1">
      <alignment horizontal="left"/>
    </xf>
    <xf numFmtId="0" fontId="0" fillId="0" borderId="200" xfId="0" applyBorder="1" applyAlignment="1">
      <alignment horizontal="left"/>
    </xf>
    <xf numFmtId="0" fontId="0" fillId="0" borderId="195"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5" fontId="22" fillId="16" borderId="0" xfId="0" applyNumberFormat="1" applyFont="1" applyFill="1" applyAlignment="1">
      <alignment horizontal="center" vertical="center" shrinkToFit="1"/>
    </xf>
    <xf numFmtId="165" fontId="22" fillId="16" borderId="44" xfId="0" applyNumberFormat="1" applyFont="1" applyFill="1" applyBorder="1" applyAlignment="1">
      <alignment horizontal="center" vertical="center" shrinkToFit="1"/>
    </xf>
    <xf numFmtId="165" fontId="22" fillId="16" borderId="23" xfId="0" applyNumberFormat="1" applyFont="1" applyFill="1" applyBorder="1" applyAlignment="1">
      <alignment horizontal="center" vertical="center" shrinkToFit="1"/>
    </xf>
    <xf numFmtId="165" fontId="22" fillId="16" borderId="11" xfId="0" applyNumberFormat="1" applyFont="1" applyFill="1" applyBorder="1" applyAlignment="1">
      <alignment horizontal="center" vertical="center" shrinkToFit="1"/>
    </xf>
    <xf numFmtId="0" fontId="35" fillId="0" borderId="0" xfId="0" applyFont="1" applyAlignment="1">
      <alignment horizontal="right" vertical="center" wrapText="1" indent="1"/>
    </xf>
    <xf numFmtId="165" fontId="17" fillId="0" borderId="23" xfId="0" applyNumberFormat="1" applyFont="1" applyBorder="1" applyAlignment="1">
      <alignment horizontal="center" vertical="center"/>
    </xf>
    <xf numFmtId="165" fontId="17"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6" fillId="0" borderId="0" xfId="0" applyFont="1" applyAlignment="1" applyProtection="1">
      <alignment horizontal="center"/>
      <protection locked="0"/>
    </xf>
    <xf numFmtId="0" fontId="3" fillId="77" borderId="0" xfId="0" applyFont="1" applyFill="1" applyAlignment="1">
      <alignment horizontal="left" vertical="center"/>
    </xf>
    <xf numFmtId="173" fontId="0" fillId="0" borderId="23" xfId="0" applyNumberFormat="1" applyBorder="1" applyAlignment="1">
      <alignment horizontal="center" vertical="top"/>
    </xf>
    <xf numFmtId="173" fontId="0" fillId="0" borderId="11" xfId="0" applyNumberFormat="1" applyBorder="1" applyAlignment="1">
      <alignment horizontal="center" vertical="top"/>
    </xf>
    <xf numFmtId="172" fontId="17" fillId="0" borderId="23" xfId="0" applyNumberFormat="1" applyFont="1" applyBorder="1" applyAlignment="1">
      <alignment horizontal="center" vertical="center"/>
    </xf>
    <xf numFmtId="172" fontId="17" fillId="0" borderId="11" xfId="0" applyNumberFormat="1" applyFont="1" applyBorder="1" applyAlignment="1">
      <alignment horizontal="center" vertical="center"/>
    </xf>
    <xf numFmtId="169" fontId="0" fillId="0" borderId="194" xfId="0" applyNumberFormat="1" applyBorder="1" applyAlignment="1">
      <alignment horizontal="left"/>
    </xf>
    <xf numFmtId="169" fontId="0" fillId="0" borderId="200" xfId="0" applyNumberFormat="1" applyBorder="1" applyAlignment="1">
      <alignment horizontal="left"/>
    </xf>
    <xf numFmtId="169" fontId="0" fillId="0" borderId="195" xfId="0" applyNumberFormat="1" applyBorder="1" applyAlignment="1">
      <alignment horizontal="left"/>
    </xf>
    <xf numFmtId="172" fontId="17" fillId="0" borderId="23" xfId="0" applyNumberFormat="1" applyFont="1" applyBorder="1" applyAlignment="1">
      <alignment horizontal="center" vertical="center" wrapText="1"/>
    </xf>
    <xf numFmtId="172" fontId="17"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5" fillId="19" borderId="23" xfId="0" applyFont="1" applyFill="1" applyBorder="1" applyAlignment="1" applyProtection="1">
      <alignment horizontal="left" vertical="top" indent="1" shrinkToFit="1"/>
      <protection locked="0"/>
    </xf>
    <xf numFmtId="0" fontId="45" fillId="19" borderId="11" xfId="0" applyFont="1" applyFill="1" applyBorder="1" applyAlignment="1" applyProtection="1">
      <alignment horizontal="left" vertical="top" indent="1" shrinkToFit="1"/>
      <protection locked="0"/>
    </xf>
    <xf numFmtId="0" fontId="0" fillId="0" borderId="0" xfId="0" applyAlignment="1">
      <alignment horizontal="center" vertical="top" wrapText="1"/>
    </xf>
    <xf numFmtId="0" fontId="45" fillId="4" borderId="23" xfId="0" applyFont="1" applyFill="1" applyBorder="1" applyAlignment="1" applyProtection="1">
      <alignment horizontal="left" vertical="top" indent="1" shrinkToFit="1"/>
      <protection locked="0"/>
    </xf>
    <xf numFmtId="0" fontId="45" fillId="4" borderId="11" xfId="0" applyFont="1" applyFill="1" applyBorder="1" applyAlignment="1" applyProtection="1">
      <alignment horizontal="left" vertical="top" indent="1" shrinkToFit="1"/>
      <protection locked="0"/>
    </xf>
    <xf numFmtId="171" fontId="45" fillId="4" borderId="23" xfId="0" applyNumberFormat="1" applyFont="1" applyFill="1" applyBorder="1" applyAlignment="1" applyProtection="1">
      <alignment horizontal="left" vertical="top" indent="1" shrinkToFit="1"/>
      <protection locked="0"/>
    </xf>
    <xf numFmtId="171" fontId="45" fillId="4" borderId="11" xfId="0" applyNumberFormat="1" applyFont="1" applyFill="1" applyBorder="1" applyAlignment="1" applyProtection="1">
      <alignment horizontal="left" vertical="top" indent="1" shrinkToFit="1"/>
      <protection locked="0"/>
    </xf>
    <xf numFmtId="165" fontId="5" fillId="0" borderId="0" xfId="0" applyNumberFormat="1" applyFont="1" applyAlignment="1">
      <alignment horizontal="center"/>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165" fontId="22" fillId="0" borderId="0" xfId="0" applyNumberFormat="1" applyFont="1" applyAlignment="1">
      <alignment horizontal="center" vertical="top"/>
    </xf>
    <xf numFmtId="0" fontId="4" fillId="0" borderId="0" xfId="0" applyFont="1" applyAlignment="1" applyProtection="1">
      <alignment horizontal="left" vertical="top" wrapText="1"/>
      <protection locked="0"/>
    </xf>
    <xf numFmtId="0" fontId="8" fillId="0" borderId="0" xfId="0" applyFont="1" applyAlignment="1">
      <alignment horizontal="center"/>
    </xf>
    <xf numFmtId="0" fontId="45" fillId="4" borderId="23" xfId="0" applyFont="1" applyFill="1" applyBorder="1" applyAlignment="1" applyProtection="1">
      <alignment horizontal="left" vertical="top" shrinkToFit="1"/>
      <protection locked="0"/>
    </xf>
    <xf numFmtId="0" fontId="45" fillId="4" borderId="11" xfId="0" applyFont="1" applyFill="1" applyBorder="1" applyAlignment="1" applyProtection="1">
      <alignment horizontal="left" vertical="top" shrinkToFit="1"/>
      <protection locked="0"/>
    </xf>
    <xf numFmtId="0" fontId="45" fillId="4" borderId="0" xfId="0" applyFont="1" applyFill="1" applyAlignment="1">
      <alignment horizontal="left" indent="1" shrinkToFit="1"/>
    </xf>
    <xf numFmtId="0" fontId="45" fillId="4" borderId="44" xfId="0" applyFont="1" applyFill="1" applyBorder="1" applyAlignment="1">
      <alignment horizontal="left" indent="1" shrinkToFit="1"/>
    </xf>
    <xf numFmtId="0" fontId="45" fillId="4" borderId="23" xfId="0" applyFont="1" applyFill="1" applyBorder="1" applyAlignment="1">
      <alignment horizontal="left" indent="1" shrinkToFit="1"/>
    </xf>
    <xf numFmtId="0" fontId="45" fillId="4" borderId="11" xfId="0" applyFont="1" applyFill="1" applyBorder="1" applyAlignment="1">
      <alignment horizontal="left" indent="1" shrinkToFit="1"/>
    </xf>
    <xf numFmtId="14" fontId="45" fillId="4" borderId="23" xfId="0" applyNumberFormat="1" applyFont="1" applyFill="1" applyBorder="1" applyAlignment="1" applyProtection="1">
      <alignment horizontal="left" vertical="top" shrinkToFit="1"/>
      <protection locked="0"/>
    </xf>
    <xf numFmtId="14" fontId="45" fillId="4" borderId="11" xfId="0" applyNumberFormat="1" applyFont="1" applyFill="1" applyBorder="1" applyAlignment="1" applyProtection="1">
      <alignment horizontal="left" vertical="top" shrinkToFit="1"/>
      <protection locked="0"/>
    </xf>
    <xf numFmtId="0" fontId="142" fillId="17" borderId="0" xfId="0" applyFont="1" applyFill="1" applyAlignment="1">
      <alignment horizontal="left" indent="1" shrinkToFit="1"/>
    </xf>
    <xf numFmtId="0" fontId="142" fillId="17" borderId="44" xfId="0" applyFont="1" applyFill="1" applyBorder="1" applyAlignment="1">
      <alignment horizontal="left" indent="1" shrinkToFit="1"/>
    </xf>
    <xf numFmtId="0" fontId="142" fillId="17" borderId="23" xfId="0" applyFont="1" applyFill="1" applyBorder="1" applyAlignment="1">
      <alignment horizontal="left" indent="1" shrinkToFit="1"/>
    </xf>
    <xf numFmtId="0" fontId="142" fillId="17" borderId="11" xfId="0" applyFont="1" applyFill="1" applyBorder="1" applyAlignment="1">
      <alignment horizontal="left" indent="1" shrinkToFit="1"/>
    </xf>
    <xf numFmtId="0" fontId="0" fillId="2" borderId="0" xfId="0" applyFill="1" applyAlignment="1">
      <alignment horizontal="left" vertical="top" wrapText="1"/>
    </xf>
    <xf numFmtId="0" fontId="46" fillId="0" borderId="0" xfId="0" applyFont="1" applyAlignment="1">
      <alignment horizontal="center"/>
    </xf>
    <xf numFmtId="3" fontId="85" fillId="0" borderId="0" xfId="0" applyNumberFormat="1" applyFont="1" applyAlignment="1" applyProtection="1">
      <alignment horizontal="center"/>
      <protection locked="0"/>
    </xf>
    <xf numFmtId="0" fontId="147" fillId="4" borderId="193" xfId="0" applyFont="1" applyFill="1" applyBorder="1" applyAlignment="1" applyProtection="1">
      <alignment horizontal="left" vertical="top"/>
      <protection locked="0"/>
    </xf>
    <xf numFmtId="3" fontId="25" fillId="3" borderId="193" xfId="0" applyNumberFormat="1" applyFont="1" applyFill="1" applyBorder="1" applyAlignment="1">
      <alignment horizontal="center"/>
    </xf>
    <xf numFmtId="3" fontId="19" fillId="3" borderId="193" xfId="0" applyNumberFormat="1" applyFont="1" applyFill="1" applyBorder="1" applyAlignment="1">
      <alignment horizontal="center"/>
    </xf>
    <xf numFmtId="0" fontId="18" fillId="0" borderId="29" xfId="0" applyFont="1" applyBorder="1" applyAlignment="1">
      <alignment horizontal="left" indent="1"/>
    </xf>
    <xf numFmtId="0" fontId="18" fillId="0" borderId="0" xfId="0" applyFont="1" applyAlignment="1">
      <alignment horizontal="left" indent="1"/>
    </xf>
    <xf numFmtId="0" fontId="116" fillId="0" borderId="23" xfId="0" applyFont="1" applyBorder="1" applyAlignment="1">
      <alignment vertical="center" wrapText="1"/>
    </xf>
    <xf numFmtId="0" fontId="147" fillId="4" borderId="193" xfId="0" applyFont="1" applyFill="1" applyBorder="1" applyAlignment="1" applyProtection="1">
      <alignment horizontal="left" vertical="top" wrapText="1"/>
      <protection locked="0"/>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109" xfId="0" applyFont="1" applyBorder="1" applyAlignment="1">
      <alignment horizontal="center" wrapText="1"/>
    </xf>
    <xf numFmtId="0" fontId="15" fillId="0" borderId="110" xfId="0" applyFont="1" applyBorder="1" applyAlignment="1">
      <alignment horizontal="center" wrapText="1"/>
    </xf>
    <xf numFmtId="0" fontId="15" fillId="0" borderId="136" xfId="0" applyFont="1" applyBorder="1" applyAlignment="1">
      <alignment horizontal="center" wrapText="1"/>
    </xf>
    <xf numFmtId="0" fontId="15" fillId="0" borderId="137" xfId="0" applyFont="1" applyBorder="1" applyAlignment="1">
      <alignment horizontal="center" wrapText="1"/>
    </xf>
    <xf numFmtId="3" fontId="19" fillId="3" borderId="257" xfId="0" applyNumberFormat="1" applyFont="1" applyFill="1" applyBorder="1" applyAlignment="1">
      <alignment horizontal="center"/>
    </xf>
    <xf numFmtId="3" fontId="19" fillId="3" borderId="258" xfId="0" applyNumberFormat="1" applyFont="1" applyFill="1" applyBorder="1" applyAlignment="1">
      <alignment horizontal="center"/>
    </xf>
    <xf numFmtId="3" fontId="74" fillId="0" borderId="0" xfId="0" applyNumberFormat="1" applyFont="1" applyAlignment="1">
      <alignment horizontal="center"/>
    </xf>
    <xf numFmtId="0" fontId="74" fillId="0" borderId="0" xfId="0" applyFont="1" applyAlignment="1">
      <alignment horizontal="center"/>
    </xf>
    <xf numFmtId="0" fontId="136" fillId="0" borderId="136" xfId="0" applyFont="1" applyBorder="1" applyAlignment="1">
      <alignment horizontal="center"/>
    </xf>
    <xf numFmtId="0" fontId="136" fillId="0" borderId="137" xfId="0" applyFont="1" applyBorder="1" applyAlignment="1">
      <alignment horizontal="center"/>
    </xf>
    <xf numFmtId="3" fontId="25" fillId="3" borderId="194" xfId="0" applyNumberFormat="1" applyFont="1" applyFill="1" applyBorder="1" applyAlignment="1">
      <alignment horizontal="center"/>
    </xf>
    <xf numFmtId="3" fontId="25" fillId="3" borderId="195" xfId="0" applyNumberFormat="1" applyFont="1" applyFill="1" applyBorder="1" applyAlignment="1">
      <alignment horizontal="center"/>
    </xf>
    <xf numFmtId="0" fontId="111" fillId="0" borderId="2" xfId="0" applyFont="1" applyBorder="1" applyAlignment="1">
      <alignment horizontal="center" wrapText="1"/>
    </xf>
    <xf numFmtId="0" fontId="111" fillId="0" borderId="3" xfId="0" applyFont="1" applyBorder="1" applyAlignment="1">
      <alignment horizontal="center" wrapText="1"/>
    </xf>
    <xf numFmtId="0" fontId="119" fillId="0" borderId="191" xfId="0" applyFont="1" applyBorder="1" applyAlignment="1">
      <alignment horizontal="center"/>
    </xf>
    <xf numFmtId="0" fontId="119" fillId="0" borderId="260" xfId="0" applyFont="1" applyBorder="1" applyAlignment="1">
      <alignment horizontal="center"/>
    </xf>
    <xf numFmtId="0" fontId="15" fillId="0" borderId="109" xfId="0" applyFont="1" applyBorder="1" applyAlignment="1">
      <alignment horizontal="center"/>
    </xf>
    <xf numFmtId="0" fontId="15" fillId="0" borderId="110" xfId="0" applyFont="1" applyBorder="1" applyAlignment="1">
      <alignment horizontal="center"/>
    </xf>
    <xf numFmtId="0" fontId="115" fillId="0" borderId="0" xfId="0" applyFont="1" applyAlignment="1">
      <alignment horizontal="center" wrapText="1"/>
    </xf>
    <xf numFmtId="0" fontId="116" fillId="0" borderId="0" xfId="0" applyFont="1" applyAlignment="1">
      <alignment horizontal="center" wrapText="1"/>
    </xf>
    <xf numFmtId="0" fontId="136" fillId="0" borderId="109" xfId="0" applyFont="1" applyBorder="1" applyAlignment="1">
      <alignment horizontal="center"/>
    </xf>
    <xf numFmtId="0" fontId="136" fillId="0" borderId="110" xfId="0" applyFont="1" applyBorder="1" applyAlignment="1">
      <alignment horizontal="center"/>
    </xf>
    <xf numFmtId="0" fontId="136" fillId="0" borderId="23" xfId="0" applyFont="1" applyBorder="1" applyAlignment="1">
      <alignment horizontal="center"/>
    </xf>
    <xf numFmtId="0" fontId="18" fillId="4" borderId="194" xfId="0" applyFont="1" applyFill="1" applyBorder="1" applyAlignment="1" applyProtection="1">
      <alignment horizontal="left"/>
      <protection locked="0"/>
    </xf>
    <xf numFmtId="0" fontId="18" fillId="4" borderId="200" xfId="0" applyFont="1" applyFill="1" applyBorder="1" applyAlignment="1" applyProtection="1">
      <alignment horizontal="left"/>
      <protection locked="0"/>
    </xf>
    <xf numFmtId="0" fontId="18" fillId="4" borderId="258" xfId="0" applyFont="1" applyFill="1" applyBorder="1" applyAlignment="1" applyProtection="1">
      <alignment horizontal="left"/>
      <protection locked="0"/>
    </xf>
    <xf numFmtId="3" fontId="19" fillId="4" borderId="257" xfId="0" applyNumberFormat="1" applyFont="1" applyFill="1" applyBorder="1" applyAlignment="1" applyProtection="1">
      <alignment horizontal="center"/>
      <protection locked="0"/>
    </xf>
    <xf numFmtId="3" fontId="19" fillId="4" borderId="258" xfId="0" applyNumberFormat="1" applyFont="1" applyFill="1" applyBorder="1" applyAlignment="1" applyProtection="1">
      <alignment horizontal="center"/>
      <protection locked="0"/>
    </xf>
    <xf numFmtId="0" fontId="25" fillId="4" borderId="257" xfId="0" applyFont="1" applyFill="1" applyBorder="1" applyAlignment="1" applyProtection="1">
      <alignment horizontal="center" vertical="center"/>
      <protection locked="0"/>
    </xf>
    <xf numFmtId="0" fontId="25" fillId="4" borderId="200" xfId="0" applyFont="1" applyFill="1" applyBorder="1" applyAlignment="1" applyProtection="1">
      <alignment horizontal="center" vertical="center"/>
      <protection locked="0"/>
    </xf>
    <xf numFmtId="0" fontId="25" fillId="4" borderId="195" xfId="0" applyFont="1" applyFill="1" applyBorder="1" applyAlignment="1" applyProtection="1">
      <alignment horizontal="center" vertical="center"/>
      <protection locked="0"/>
    </xf>
    <xf numFmtId="0" fontId="15" fillId="0" borderId="136" xfId="0" applyFont="1" applyBorder="1" applyAlignment="1">
      <alignment horizontal="center"/>
    </xf>
    <xf numFmtId="0" fontId="15" fillId="0" borderId="137"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3" fontId="19" fillId="3" borderId="255" xfId="0" applyNumberFormat="1" applyFont="1" applyFill="1" applyBorder="1" applyAlignment="1">
      <alignment horizontal="center"/>
    </xf>
    <xf numFmtId="3" fontId="19" fillId="3" borderId="256" xfId="0" applyNumberFormat="1" applyFont="1" applyFill="1" applyBorder="1" applyAlignment="1">
      <alignment horizontal="center"/>
    </xf>
    <xf numFmtId="0" fontId="136" fillId="0" borderId="0" xfId="0" applyFont="1" applyAlignment="1">
      <alignment horizontal="center"/>
    </xf>
    <xf numFmtId="0" fontId="19" fillId="3" borderId="254" xfId="0" applyFont="1" applyFill="1" applyBorder="1" applyAlignment="1">
      <alignment horizontal="left"/>
    </xf>
    <xf numFmtId="0" fontId="19" fillId="3" borderId="255" xfId="0" applyFont="1" applyFill="1" applyBorder="1" applyAlignment="1">
      <alignment horizontal="left"/>
    </xf>
    <xf numFmtId="0" fontId="25" fillId="4" borderId="255" xfId="0" applyFont="1" applyFill="1" applyBorder="1" applyAlignment="1" applyProtection="1">
      <alignment horizontal="center" vertical="center"/>
      <protection locked="0"/>
    </xf>
    <xf numFmtId="0" fontId="74" fillId="0" borderId="191" xfId="0" applyFont="1" applyBorder="1" applyAlignment="1">
      <alignment horizontal="center"/>
    </xf>
    <xf numFmtId="3" fontId="18" fillId="0" borderId="0" xfId="0" applyNumberFormat="1" applyFont="1" applyAlignment="1">
      <alignment horizontal="center"/>
    </xf>
    <xf numFmtId="0" fontId="25" fillId="0" borderId="0" xfId="0" applyFont="1" applyAlignment="1">
      <alignment horizontal="center"/>
    </xf>
    <xf numFmtId="3" fontId="35" fillId="0" borderId="191" xfId="0" applyNumberFormat="1" applyFont="1" applyBorder="1" applyAlignment="1">
      <alignment horizontal="center"/>
    </xf>
    <xf numFmtId="0" fontId="35" fillId="0" borderId="191" xfId="0" applyFont="1" applyBorder="1" applyAlignment="1">
      <alignment horizontal="center"/>
    </xf>
    <xf numFmtId="3" fontId="18" fillId="59" borderId="194" xfId="0" applyNumberFormat="1" applyFont="1" applyFill="1" applyBorder="1" applyAlignment="1">
      <alignment horizontal="center"/>
    </xf>
    <xf numFmtId="3" fontId="18" fillId="59" borderId="195" xfId="0" applyNumberFormat="1" applyFont="1" applyFill="1" applyBorder="1" applyAlignment="1">
      <alignment horizontal="center"/>
    </xf>
    <xf numFmtId="0" fontId="125" fillId="0" borderId="0" xfId="0" applyFont="1" applyAlignment="1">
      <alignment horizontal="center"/>
    </xf>
    <xf numFmtId="0" fontId="24" fillId="58" borderId="192" xfId="0" applyFont="1" applyFill="1" applyBorder="1" applyAlignment="1">
      <alignment horizontal="center" vertical="center" wrapText="1"/>
    </xf>
    <xf numFmtId="0" fontId="24" fillId="58" borderId="191" xfId="0" applyFont="1" applyFill="1" applyBorder="1" applyAlignment="1">
      <alignment horizontal="center" vertical="center" wrapText="1"/>
    </xf>
    <xf numFmtId="0" fontId="24" fillId="58" borderId="253" xfId="0" applyFont="1" applyFill="1" applyBorder="1" applyAlignment="1">
      <alignment horizontal="center" vertical="center" wrapText="1"/>
    </xf>
    <xf numFmtId="0" fontId="24" fillId="58" borderId="29" xfId="0" applyFont="1" applyFill="1" applyBorder="1" applyAlignment="1">
      <alignment horizontal="center" vertical="center" wrapText="1"/>
    </xf>
    <xf numFmtId="0" fontId="24" fillId="58" borderId="0" xfId="0" applyFont="1" applyFill="1" applyAlignment="1">
      <alignment horizontal="center" vertical="center" wrapText="1"/>
    </xf>
    <xf numFmtId="0" fontId="24" fillId="58" borderId="44" xfId="0" applyFont="1" applyFill="1" applyBorder="1" applyAlignment="1">
      <alignment horizontal="center" vertical="center" wrapText="1"/>
    </xf>
    <xf numFmtId="0" fontId="24" fillId="58" borderId="10" xfId="0" applyFont="1" applyFill="1" applyBorder="1" applyAlignment="1">
      <alignment horizontal="center" vertical="center" wrapText="1"/>
    </xf>
    <xf numFmtId="0" fontId="24" fillId="58" borderId="23" xfId="0" applyFont="1" applyFill="1" applyBorder="1" applyAlignment="1">
      <alignment horizontal="center" vertical="center" wrapText="1"/>
    </xf>
    <xf numFmtId="0" fontId="24" fillId="58" borderId="11" xfId="0" applyFont="1" applyFill="1" applyBorder="1" applyAlignment="1">
      <alignment horizontal="center" vertical="center" wrapText="1"/>
    </xf>
    <xf numFmtId="0" fontId="35" fillId="2" borderId="191" xfId="0" applyFont="1" applyFill="1" applyBorder="1" applyAlignment="1">
      <alignment horizontal="center"/>
    </xf>
    <xf numFmtId="0" fontId="35" fillId="2" borderId="253" xfId="0" applyFont="1" applyFill="1" applyBorder="1" applyAlignment="1">
      <alignment horizontal="center"/>
    </xf>
    <xf numFmtId="4" fontId="35" fillId="59" borderId="194" xfId="0" applyNumberFormat="1" applyFont="1" applyFill="1" applyBorder="1" applyAlignment="1">
      <alignment horizontal="center" vertical="center"/>
    </xf>
    <xf numFmtId="4" fontId="35" fillId="59" borderId="195" xfId="0" applyNumberFormat="1" applyFont="1" applyFill="1" applyBorder="1" applyAlignment="1">
      <alignment horizontal="center" vertical="center"/>
    </xf>
    <xf numFmtId="4" fontId="18" fillId="59" borderId="194" xfId="0" applyNumberFormat="1" applyFont="1" applyFill="1" applyBorder="1" applyAlignment="1">
      <alignment horizontal="center"/>
    </xf>
    <xf numFmtId="4" fontId="18" fillId="59" borderId="195" xfId="0" applyNumberFormat="1" applyFont="1" applyFill="1" applyBorder="1" applyAlignment="1">
      <alignment horizontal="center"/>
    </xf>
    <xf numFmtId="0" fontId="116" fillId="0" borderId="0" xfId="0" applyFont="1" applyAlignment="1">
      <alignment horizontal="center" vertical="top" wrapText="1"/>
    </xf>
    <xf numFmtId="0" fontId="116" fillId="0" borderId="23" xfId="0" applyFont="1" applyBorder="1" applyAlignment="1">
      <alignment horizontal="center" vertical="top" wrapText="1"/>
    </xf>
    <xf numFmtId="0" fontId="13" fillId="0" borderId="0" xfId="1" applyAlignment="1" applyProtection="1">
      <alignment horizontal="center"/>
      <protection locked="0"/>
    </xf>
    <xf numFmtId="165" fontId="12" fillId="0" borderId="0" xfId="0" applyNumberFormat="1" applyFont="1" applyAlignment="1">
      <alignment horizontal="center"/>
    </xf>
    <xf numFmtId="0" fontId="121" fillId="0" borderId="0" xfId="0" applyFont="1" applyAlignment="1">
      <alignment horizontal="center" vertical="center" wrapText="1"/>
    </xf>
    <xf numFmtId="0" fontId="19" fillId="3" borderId="194" xfId="0" applyFont="1" applyFill="1" applyBorder="1" applyAlignment="1">
      <alignment horizontal="center"/>
    </xf>
    <xf numFmtId="0" fontId="19" fillId="3" borderId="200" xfId="0" applyFont="1" applyFill="1" applyBorder="1" applyAlignment="1">
      <alignment horizontal="center"/>
    </xf>
    <xf numFmtId="0" fontId="19" fillId="3" borderId="195" xfId="0" applyFont="1" applyFill="1" applyBorder="1" applyAlignment="1">
      <alignment horizontal="center"/>
    </xf>
    <xf numFmtId="0" fontId="141" fillId="0" borderId="29" xfId="0" applyFont="1" applyBorder="1" applyAlignment="1">
      <alignment horizontal="center"/>
    </xf>
    <xf numFmtId="0" fontId="141" fillId="0" borderId="0" xfId="0" applyFont="1" applyAlignment="1">
      <alignment horizontal="center"/>
    </xf>
    <xf numFmtId="3" fontId="19" fillId="3" borderId="195" xfId="0" applyNumberFormat="1" applyFont="1" applyFill="1" applyBorder="1" applyAlignment="1">
      <alignment horizontal="center"/>
    </xf>
    <xf numFmtId="0" fontId="35" fillId="0" borderId="23" xfId="0" applyFont="1" applyBorder="1" applyAlignment="1">
      <alignment horizontal="center"/>
    </xf>
    <xf numFmtId="0" fontId="18" fillId="4" borderId="194" xfId="0" applyFont="1" applyFill="1" applyBorder="1" applyAlignment="1">
      <alignment horizontal="left"/>
    </xf>
    <xf numFmtId="0" fontId="18" fillId="4" borderId="200" xfId="0" applyFont="1" applyFill="1" applyBorder="1" applyAlignment="1">
      <alignment horizontal="left"/>
    </xf>
    <xf numFmtId="0" fontId="18" fillId="4" borderId="195" xfId="0" applyFont="1" applyFill="1" applyBorder="1" applyAlignment="1">
      <alignment horizontal="left"/>
    </xf>
    <xf numFmtId="0" fontId="19" fillId="4" borderId="193" xfId="0" applyFont="1" applyFill="1" applyBorder="1" applyAlignment="1">
      <alignment horizontal="left" vertical="center" wrapText="1"/>
    </xf>
    <xf numFmtId="0" fontId="18" fillId="4" borderId="193" xfId="0" applyFont="1" applyFill="1" applyBorder="1" applyAlignment="1">
      <alignment horizontal="left" vertical="center" wrapText="1"/>
    </xf>
    <xf numFmtId="0" fontId="18" fillId="4" borderId="193" xfId="0" applyFont="1" applyFill="1" applyBorder="1" applyAlignment="1">
      <alignment horizontal="left" vertical="center"/>
    </xf>
    <xf numFmtId="0" fontId="71" fillId="17" borderId="83" xfId="0" applyFont="1" applyFill="1" applyBorder="1" applyAlignment="1">
      <alignment horizontal="center" wrapText="1"/>
    </xf>
    <xf numFmtId="0" fontId="71" fillId="17" borderId="84" xfId="0" applyFont="1" applyFill="1" applyBorder="1" applyAlignment="1">
      <alignment horizontal="center"/>
    </xf>
    <xf numFmtId="0" fontId="71" fillId="17" borderId="59" xfId="0" applyFont="1" applyFill="1" applyBorder="1" applyAlignment="1">
      <alignment horizontal="center"/>
    </xf>
    <xf numFmtId="0" fontId="71" fillId="17" borderId="60" xfId="0" applyFont="1" applyFill="1" applyBorder="1" applyAlignment="1">
      <alignment horizontal="center"/>
    </xf>
    <xf numFmtId="0" fontId="71" fillId="17" borderId="61" xfId="0" applyFont="1" applyFill="1" applyBorder="1" applyAlignment="1">
      <alignment horizontal="center"/>
    </xf>
    <xf numFmtId="0" fontId="71" fillId="17" borderId="63" xfId="0" applyFont="1" applyFill="1" applyBorder="1" applyAlignment="1">
      <alignment horizontal="center"/>
    </xf>
    <xf numFmtId="0" fontId="3" fillId="18" borderId="83" xfId="0" applyFont="1" applyFill="1" applyBorder="1" applyAlignment="1">
      <alignment horizontal="center" vertical="center" wrapText="1"/>
    </xf>
    <xf numFmtId="0" fontId="3" fillId="18" borderId="85" xfId="0" applyFont="1" applyFill="1" applyBorder="1" applyAlignment="1">
      <alignment horizontal="center" vertical="center" wrapText="1"/>
    </xf>
    <xf numFmtId="0" fontId="3" fillId="18" borderId="84" xfId="0" applyFont="1" applyFill="1" applyBorder="1" applyAlignment="1">
      <alignment horizontal="center" vertical="center" wrapText="1"/>
    </xf>
    <xf numFmtId="0" fontId="3" fillId="18" borderId="59" xfId="0" applyFont="1" applyFill="1" applyBorder="1" applyAlignment="1">
      <alignment horizontal="center" vertical="center" wrapText="1"/>
    </xf>
    <xf numFmtId="0" fontId="3" fillId="18" borderId="0" xfId="0" applyFont="1" applyFill="1" applyAlignment="1">
      <alignment horizontal="center" vertical="center" wrapText="1"/>
    </xf>
    <xf numFmtId="0" fontId="3" fillId="18" borderId="60" xfId="0" applyFont="1" applyFill="1" applyBorder="1" applyAlignment="1">
      <alignment horizontal="center" vertical="center" wrapText="1"/>
    </xf>
    <xf numFmtId="0" fontId="3" fillId="18" borderId="61" xfId="0" applyFont="1" applyFill="1" applyBorder="1" applyAlignment="1">
      <alignment horizontal="center" vertical="center" wrapText="1"/>
    </xf>
    <xf numFmtId="0" fontId="3" fillId="18" borderId="62" xfId="0" applyFont="1" applyFill="1" applyBorder="1" applyAlignment="1">
      <alignment horizontal="center" vertical="center" wrapText="1"/>
    </xf>
    <xf numFmtId="0" fontId="3" fillId="18" borderId="63" xfId="0" applyFont="1" applyFill="1" applyBorder="1" applyAlignment="1">
      <alignment horizontal="center" vertical="center" wrapText="1"/>
    </xf>
    <xf numFmtId="0" fontId="18" fillId="0" borderId="193" xfId="0" applyFont="1" applyBorder="1" applyAlignment="1">
      <alignment horizontal="center"/>
    </xf>
    <xf numFmtId="0" fontId="18" fillId="0" borderId="194" xfId="0" applyFont="1" applyBorder="1" applyAlignment="1">
      <alignment horizontal="center"/>
    </xf>
    <xf numFmtId="0" fontId="18" fillId="0" borderId="195" xfId="0" applyFont="1" applyBorder="1" applyAlignment="1">
      <alignment horizontal="center"/>
    </xf>
    <xf numFmtId="0" fontId="66" fillId="17" borderId="83" xfId="0" applyFont="1" applyFill="1" applyBorder="1" applyAlignment="1">
      <alignment horizontal="center" vertical="center" wrapText="1"/>
    </xf>
    <xf numFmtId="0" fontId="3" fillId="17" borderId="84" xfId="0" applyFont="1" applyFill="1" applyBorder="1" applyAlignment="1">
      <alignment horizontal="center" vertical="center" wrapText="1"/>
    </xf>
    <xf numFmtId="0" fontId="3" fillId="17" borderId="59" xfId="0" applyFont="1" applyFill="1" applyBorder="1" applyAlignment="1">
      <alignment horizontal="center" vertical="center" wrapText="1"/>
    </xf>
    <xf numFmtId="0" fontId="3" fillId="17" borderId="60" xfId="0" applyFont="1" applyFill="1" applyBorder="1" applyAlignment="1">
      <alignment horizontal="center" vertical="center" wrapText="1"/>
    </xf>
    <xf numFmtId="0" fontId="3" fillId="17" borderId="61" xfId="0" applyFont="1" applyFill="1" applyBorder="1" applyAlignment="1">
      <alignment horizontal="center" vertical="center" wrapText="1"/>
    </xf>
    <xf numFmtId="0" fontId="3" fillId="17" borderId="63" xfId="0" applyFont="1" applyFill="1" applyBorder="1" applyAlignment="1">
      <alignment horizontal="center" vertical="center" wrapText="1"/>
    </xf>
    <xf numFmtId="0" fontId="15" fillId="3" borderId="2" xfId="0" applyFont="1" applyFill="1" applyBorder="1" applyAlignment="1">
      <alignment horizontal="left" wrapText="1"/>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5" fillId="3" borderId="3" xfId="0" applyFont="1" applyFill="1" applyBorder="1" applyAlignment="1">
      <alignment horizontal="center"/>
    </xf>
    <xf numFmtId="0" fontId="18" fillId="4" borderId="194" xfId="0" applyFont="1" applyFill="1" applyBorder="1" applyAlignment="1"/>
    <xf numFmtId="0" fontId="18" fillId="4" borderId="200" xfId="0" applyFont="1" applyFill="1" applyBorder="1" applyAlignment="1"/>
    <xf numFmtId="0" fontId="18" fillId="4" borderId="195" xfId="0" applyFont="1" applyFill="1" applyBorder="1" applyAlignment="1"/>
    <xf numFmtId="0" fontId="18" fillId="4" borderId="194" xfId="0" applyFont="1" applyFill="1" applyBorder="1" applyAlignment="1">
      <alignment horizontal="center"/>
    </xf>
    <xf numFmtId="0" fontId="18" fillId="4" borderId="195" xfId="0" applyFont="1" applyFill="1" applyBorder="1" applyAlignment="1">
      <alignment horizontal="center"/>
    </xf>
    <xf numFmtId="0" fontId="15" fillId="3" borderId="2" xfId="0" applyFont="1" applyFill="1" applyBorder="1" applyAlignment="1">
      <alignment horizontal="left"/>
    </xf>
    <xf numFmtId="0" fontId="13" fillId="0" borderId="29" xfId="1" applyBorder="1" applyAlignment="1">
      <alignment horizontal="left" indent="1"/>
    </xf>
    <xf numFmtId="0" fontId="13" fillId="0" borderId="0" xfId="1" applyBorder="1" applyAlignment="1">
      <alignment horizontal="left" indent="1"/>
    </xf>
    <xf numFmtId="0" fontId="13" fillId="0" borderId="0" xfId="1" applyAlignment="1">
      <alignment horizontal="left" indent="1"/>
    </xf>
    <xf numFmtId="0" fontId="0" fillId="0" borderId="201" xfId="0" applyBorder="1" applyAlignment="1">
      <alignment horizontal="left"/>
    </xf>
    <xf numFmtId="0" fontId="154" fillId="0" borderId="82" xfId="0" applyFont="1" applyBorder="1" applyAlignment="1">
      <alignment horizontal="left" vertical="top"/>
    </xf>
    <xf numFmtId="0" fontId="154" fillId="0" borderId="294" xfId="0" applyFont="1" applyBorder="1" applyAlignment="1">
      <alignment horizontal="left" vertical="top"/>
    </xf>
    <xf numFmtId="0" fontId="0" fillId="0" borderId="295" xfId="0" applyBorder="1" applyAlignment="1">
      <alignment horizontal="left"/>
    </xf>
    <xf numFmtId="0" fontId="0" fillId="0" borderId="296" xfId="0" applyBorder="1" applyAlignment="1">
      <alignment horizontal="left"/>
    </xf>
    <xf numFmtId="0" fontId="0" fillId="0" borderId="49" xfId="0" applyBorder="1" applyAlignment="1">
      <alignment horizontal="left"/>
    </xf>
    <xf numFmtId="0" fontId="0" fillId="0" borderId="201"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xf>
    <xf numFmtId="0" fontId="0" fillId="0" borderId="29" xfId="0" applyBorder="1" applyAlignment="1">
      <alignment horizontal="left" vertical="top" wrapText="1" indent="1"/>
    </xf>
    <xf numFmtId="0" fontId="0" fillId="0" borderId="0" xfId="0" applyAlignment="1">
      <alignment horizontal="left" vertical="top" wrapText="1" indent="1"/>
    </xf>
    <xf numFmtId="0" fontId="4" fillId="0" borderId="0" xfId="0" applyFont="1" applyAlignment="1">
      <alignment horizontal="left" vertical="top"/>
    </xf>
    <xf numFmtId="0" fontId="0" fillId="0" borderId="192" xfId="0" applyBorder="1" applyAlignment="1" applyProtection="1">
      <alignment horizontal="left" vertical="top" wrapText="1"/>
      <protection locked="0"/>
    </xf>
    <xf numFmtId="0" fontId="0" fillId="0" borderId="191" xfId="0" applyBorder="1" applyAlignment="1" applyProtection="1">
      <alignment horizontal="left" vertical="top" wrapText="1"/>
      <protection locked="0"/>
    </xf>
    <xf numFmtId="0" fontId="0" fillId="0" borderId="253"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1" xfId="0" applyNumberFormat="1" applyBorder="1" applyAlignment="1" applyProtection="1">
      <alignment horizontal="center" vertical="center"/>
      <protection locked="0"/>
    </xf>
    <xf numFmtId="0" fontId="52" fillId="0" borderId="0" xfId="0" applyFont="1" applyAlignment="1">
      <alignment horizontal="left" vertical="top" wrapText="1"/>
    </xf>
    <xf numFmtId="0" fontId="0" fillId="0" borderId="0" xfId="0" applyAlignment="1">
      <alignment horizontal="left" vertical="top"/>
    </xf>
    <xf numFmtId="0" fontId="5" fillId="2" borderId="248" xfId="0" applyFont="1" applyFill="1" applyBorder="1" applyAlignment="1">
      <alignment horizontal="center" vertical="center" wrapText="1"/>
    </xf>
    <xf numFmtId="0" fontId="5" fillId="2" borderId="249" xfId="0" applyFont="1" applyFill="1" applyBorder="1" applyAlignment="1">
      <alignment horizontal="center" vertical="center" wrapText="1"/>
    </xf>
    <xf numFmtId="177" fontId="0" fillId="0" borderId="193" xfId="0" applyNumberFormat="1" applyBorder="1" applyAlignment="1">
      <alignment horizontal="center"/>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0" fillId="2" borderId="193" xfId="0" applyFill="1" applyBorder="1" applyAlignment="1">
      <alignment horizontal="center"/>
    </xf>
    <xf numFmtId="0" fontId="0" fillId="0" borderId="193" xfId="0" applyBorder="1" applyAlignment="1">
      <alignment horizontal="center"/>
    </xf>
    <xf numFmtId="164" fontId="0" fillId="0" borderId="193" xfId="0" applyNumberFormat="1" applyBorder="1" applyAlignment="1">
      <alignment horizontal="center"/>
    </xf>
    <xf numFmtId="0" fontId="6" fillId="24" borderId="23" xfId="0" applyFont="1" applyFill="1" applyBorder="1" applyAlignment="1">
      <alignment horizontal="center"/>
    </xf>
    <xf numFmtId="0" fontId="6" fillId="25" borderId="23" xfId="0" applyFont="1" applyFill="1" applyBorder="1" applyAlignment="1">
      <alignment horizontal="center"/>
    </xf>
    <xf numFmtId="0" fontId="3" fillId="26" borderId="0" xfId="0" applyFont="1" applyFill="1" applyAlignment="1">
      <alignment horizontal="center" vertical="center"/>
    </xf>
    <xf numFmtId="0" fontId="3" fillId="26" borderId="23" xfId="0" applyFont="1" applyFill="1" applyBorder="1" applyAlignment="1">
      <alignment horizontal="center" vertical="center"/>
    </xf>
    <xf numFmtId="0" fontId="0" fillId="2" borderId="200" xfId="0" applyFill="1" applyBorder="1" applyAlignment="1">
      <alignment horizontal="center"/>
    </xf>
    <xf numFmtId="0" fontId="5" fillId="2" borderId="80" xfId="0" applyFont="1" applyFill="1" applyBorder="1" applyAlignment="1">
      <alignment horizontal="center" vertical="center" wrapText="1"/>
    </xf>
    <xf numFmtId="0" fontId="5" fillId="2" borderId="82" xfId="0" applyFont="1" applyFill="1" applyBorder="1" applyAlignment="1">
      <alignment horizontal="center" vertical="center" wrapText="1"/>
    </xf>
    <xf numFmtId="9" fontId="5" fillId="2" borderId="248" xfId="0" applyNumberFormat="1" applyFont="1" applyFill="1" applyBorder="1" applyAlignment="1">
      <alignment horizontal="center" vertical="center" wrapText="1"/>
    </xf>
    <xf numFmtId="9" fontId="5" fillId="2" borderId="249" xfId="0" applyNumberFormat="1" applyFont="1" applyFill="1" applyBorder="1" applyAlignment="1">
      <alignment horizontal="center" vertical="center" wrapText="1"/>
    </xf>
    <xf numFmtId="0" fontId="0" fillId="4" borderId="192" xfId="0" applyFill="1" applyBorder="1" applyAlignment="1">
      <alignment horizontal="left" vertical="top" wrapText="1"/>
    </xf>
    <xf numFmtId="0" fontId="0" fillId="4" borderId="191" xfId="0" applyFill="1" applyBorder="1" applyAlignment="1">
      <alignment horizontal="left" vertical="top" wrapText="1"/>
    </xf>
    <xf numFmtId="0" fontId="0" fillId="4" borderId="253"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85" fillId="0" borderId="0" xfId="0" applyFont="1" applyAlignment="1">
      <alignment horizontal="right"/>
    </xf>
    <xf numFmtId="0" fontId="85" fillId="0" borderId="44" xfId="0" applyFont="1" applyBorder="1" applyAlignment="1">
      <alignment horizontal="right"/>
    </xf>
    <xf numFmtId="170" fontId="17" fillId="4" borderId="194" xfId="0" applyNumberFormat="1" applyFont="1" applyFill="1" applyBorder="1" applyAlignment="1">
      <alignment horizontal="left"/>
    </xf>
    <xf numFmtId="0" fontId="17" fillId="4" borderId="200" xfId="0" applyFont="1" applyFill="1" applyBorder="1" applyAlignment="1">
      <alignment horizontal="left"/>
    </xf>
    <xf numFmtId="0" fontId="17" fillId="4" borderId="195" xfId="0" applyFont="1" applyFill="1" applyBorder="1" applyAlignment="1">
      <alignment horizontal="left"/>
    </xf>
    <xf numFmtId="3" fontId="17" fillId="4" borderId="194" xfId="0" applyNumberFormat="1" applyFont="1" applyFill="1" applyBorder="1" applyAlignment="1">
      <alignment horizontal="left"/>
    </xf>
    <xf numFmtId="0" fontId="3" fillId="20" borderId="0" xfId="0" applyFont="1" applyFill="1" applyAlignment="1">
      <alignment horizontal="left"/>
    </xf>
    <xf numFmtId="0" fontId="85" fillId="0" borderId="99" xfId="0" applyFont="1" applyBorder="1" applyAlignment="1">
      <alignment horizontal="right"/>
    </xf>
    <xf numFmtId="0" fontId="62" fillId="3" borderId="95" xfId="0" applyFont="1" applyFill="1" applyBorder="1" applyAlignment="1">
      <alignment horizontal="left"/>
    </xf>
    <xf numFmtId="0" fontId="62" fillId="3" borderId="97" xfId="0" applyFont="1" applyFill="1" applyBorder="1" applyAlignment="1">
      <alignment horizontal="left"/>
    </xf>
    <xf numFmtId="9" fontId="62" fillId="3" borderId="95" xfId="2" applyFont="1" applyFill="1" applyBorder="1" applyAlignment="1">
      <alignment horizontal="left"/>
    </xf>
    <xf numFmtId="9" fontId="62" fillId="3" borderId="97" xfId="2" applyFont="1" applyFill="1" applyBorder="1" applyAlignment="1">
      <alignment horizontal="left"/>
    </xf>
    <xf numFmtId="0" fontId="85" fillId="0" borderId="29" xfId="0" applyFont="1" applyBorder="1" applyAlignment="1">
      <alignment horizontal="right" vertical="top" wrapText="1"/>
    </xf>
    <xf numFmtId="0" fontId="85" fillId="0" borderId="0" xfId="0" applyFont="1" applyAlignment="1">
      <alignment horizontal="right" vertical="top" wrapText="1"/>
    </xf>
    <xf numFmtId="0" fontId="85" fillId="0" borderId="0" xfId="0" applyFont="1" applyAlignment="1">
      <alignment horizontal="right" vertical="top"/>
    </xf>
    <xf numFmtId="0" fontId="85" fillId="0" borderId="44" xfId="0" applyFont="1" applyBorder="1" applyAlignment="1">
      <alignment horizontal="right" vertical="top"/>
    </xf>
    <xf numFmtId="0" fontId="185" fillId="0" borderId="0" xfId="0" applyFont="1" applyAlignment="1">
      <alignment horizontal="right"/>
    </xf>
    <xf numFmtId="0" fontId="3" fillId="61" borderId="0" xfId="0" applyFont="1" applyFill="1" applyAlignment="1">
      <alignment horizontal="left"/>
    </xf>
    <xf numFmtId="0" fontId="62" fillId="3" borderId="96" xfId="0" applyFont="1" applyFill="1" applyBorder="1" applyAlignment="1">
      <alignment horizontal="left"/>
    </xf>
    <xf numFmtId="3" fontId="17" fillId="4" borderId="200" xfId="0" applyNumberFormat="1" applyFont="1" applyFill="1" applyBorder="1" applyAlignment="1">
      <alignment horizontal="left"/>
    </xf>
    <xf numFmtId="3" fontId="17" fillId="4" borderId="195" xfId="0" applyNumberFormat="1" applyFont="1" applyFill="1" applyBorder="1" applyAlignment="1">
      <alignment horizontal="left"/>
    </xf>
    <xf numFmtId="165" fontId="17" fillId="4" borderId="194" xfId="0" applyNumberFormat="1" applyFont="1" applyFill="1" applyBorder="1" applyAlignment="1">
      <alignment horizontal="left"/>
    </xf>
    <xf numFmtId="165" fontId="17" fillId="4" borderId="200" xfId="0" applyNumberFormat="1" applyFont="1" applyFill="1" applyBorder="1" applyAlignment="1">
      <alignment horizontal="left"/>
    </xf>
    <xf numFmtId="165" fontId="17" fillId="4" borderId="195" xfId="0" applyNumberFormat="1" applyFont="1" applyFill="1" applyBorder="1" applyAlignment="1">
      <alignment horizontal="left"/>
    </xf>
    <xf numFmtId="0" fontId="17" fillId="4" borderId="194" xfId="0" applyFont="1" applyFill="1" applyBorder="1" applyAlignment="1">
      <alignment horizontal="left"/>
    </xf>
    <xf numFmtId="0" fontId="24" fillId="0" borderId="0" xfId="0" applyFont="1" applyAlignment="1">
      <alignment horizontal="right"/>
    </xf>
    <xf numFmtId="0" fontId="24" fillId="0" borderId="44" xfId="0" applyFont="1" applyBorder="1" applyAlignment="1">
      <alignment horizontal="right"/>
    </xf>
    <xf numFmtId="14" fontId="62" fillId="3" borderId="194" xfId="0" applyNumberFormat="1" applyFont="1" applyFill="1" applyBorder="1" applyAlignment="1">
      <alignment horizontal="left"/>
    </xf>
    <xf numFmtId="14" fontId="62" fillId="3" borderId="195" xfId="0" applyNumberFormat="1" applyFont="1" applyFill="1" applyBorder="1" applyAlignment="1">
      <alignment horizontal="left"/>
    </xf>
    <xf numFmtId="0" fontId="62" fillId="3" borderId="194" xfId="0" applyFont="1" applyFill="1" applyBorder="1" applyAlignment="1">
      <alignment horizontal="left"/>
    </xf>
    <xf numFmtId="0" fontId="62" fillId="3" borderId="200" xfId="0" applyFont="1" applyFill="1" applyBorder="1" applyAlignment="1">
      <alignment horizontal="left"/>
    </xf>
    <xf numFmtId="0" fontId="62" fillId="3" borderId="195" xfId="0" applyFont="1" applyFill="1" applyBorder="1" applyAlignment="1">
      <alignment horizontal="left"/>
    </xf>
    <xf numFmtId="14" fontId="17" fillId="4" borderId="194" xfId="0" applyNumberFormat="1" applyFont="1" applyFill="1" applyBorder="1" applyAlignment="1">
      <alignment horizontal="left"/>
    </xf>
    <xf numFmtId="14" fontId="17" fillId="4" borderId="200" xfId="0" applyNumberFormat="1" applyFont="1" applyFill="1" applyBorder="1" applyAlignment="1">
      <alignment horizontal="left"/>
    </xf>
    <xf numFmtId="14" fontId="17" fillId="4" borderId="195" xfId="0" applyNumberFormat="1" applyFont="1" applyFill="1" applyBorder="1" applyAlignment="1">
      <alignment horizontal="left"/>
    </xf>
    <xf numFmtId="3" fontId="107" fillId="3" borderId="95" xfId="0" applyNumberFormat="1" applyFont="1" applyFill="1" applyBorder="1" applyAlignment="1">
      <alignment horizontal="left"/>
    </xf>
    <xf numFmtId="0" fontId="107" fillId="3" borderId="97" xfId="0" applyFont="1" applyFill="1" applyBorder="1" applyAlignment="1">
      <alignment horizontal="left"/>
    </xf>
    <xf numFmtId="10" fontId="62" fillId="3" borderId="194" xfId="0" applyNumberFormat="1" applyFont="1" applyFill="1" applyBorder="1" applyAlignment="1">
      <alignment horizontal="left"/>
    </xf>
    <xf numFmtId="10" fontId="62" fillId="3" borderId="200" xfId="0" applyNumberFormat="1" applyFont="1" applyFill="1" applyBorder="1" applyAlignment="1">
      <alignment horizontal="left"/>
    </xf>
    <xf numFmtId="10" fontId="62" fillId="3" borderId="195" xfId="0" applyNumberFormat="1" applyFont="1" applyFill="1" applyBorder="1" applyAlignment="1">
      <alignment horizontal="left"/>
    </xf>
    <xf numFmtId="166" fontId="62" fillId="3" borderId="194" xfId="0" applyNumberFormat="1" applyFont="1" applyFill="1" applyBorder="1" applyAlignment="1">
      <alignment horizontal="left"/>
    </xf>
    <xf numFmtId="166" fontId="62" fillId="3" borderId="200" xfId="0" applyNumberFormat="1" applyFont="1" applyFill="1" applyBorder="1" applyAlignment="1">
      <alignment horizontal="left"/>
    </xf>
    <xf numFmtId="166" fontId="62" fillId="3" borderId="195" xfId="0" applyNumberFormat="1" applyFont="1" applyFill="1" applyBorder="1" applyAlignment="1">
      <alignment horizontal="left"/>
    </xf>
    <xf numFmtId="3" fontId="62" fillId="3" borderId="194" xfId="53" applyNumberFormat="1" applyFont="1" applyFill="1" applyBorder="1" applyAlignment="1">
      <alignment horizontal="left"/>
    </xf>
    <xf numFmtId="3" fontId="62" fillId="3" borderId="200" xfId="53" applyNumberFormat="1" applyFont="1" applyFill="1" applyBorder="1" applyAlignment="1">
      <alignment horizontal="left"/>
    </xf>
    <xf numFmtId="3" fontId="62" fillId="3" borderId="195" xfId="53" applyNumberFormat="1" applyFont="1" applyFill="1" applyBorder="1" applyAlignment="1">
      <alignment horizontal="left"/>
    </xf>
    <xf numFmtId="0" fontId="24" fillId="0" borderId="0" xfId="0" applyFont="1" applyAlignment="1">
      <alignment horizontal="right" vertical="top" wrapText="1"/>
    </xf>
    <xf numFmtId="3" fontId="62" fillId="3" borderId="272" xfId="53" applyNumberFormat="1" applyFont="1" applyFill="1" applyBorder="1" applyAlignment="1">
      <alignment horizontal="left"/>
    </xf>
    <xf numFmtId="3" fontId="62" fillId="3" borderId="305" xfId="53" applyNumberFormat="1" applyFont="1" applyFill="1" applyBorder="1" applyAlignment="1">
      <alignment horizontal="left"/>
    </xf>
    <xf numFmtId="3" fontId="62" fillId="3" borderId="273" xfId="53" applyNumberFormat="1" applyFont="1" applyFill="1" applyBorder="1" applyAlignment="1">
      <alignment horizontal="left"/>
    </xf>
    <xf numFmtId="0" fontId="24" fillId="0" borderId="99" xfId="0" applyFont="1" applyBorder="1" applyAlignment="1">
      <alignment horizontal="right"/>
    </xf>
    <xf numFmtId="0" fontId="31" fillId="78" borderId="282" xfId="0" applyFont="1" applyFill="1" applyBorder="1" applyAlignment="1">
      <alignment horizontal="center" vertical="top"/>
    </xf>
    <xf numFmtId="0" fontId="32" fillId="78" borderId="283" xfId="0" applyFont="1" applyFill="1" applyBorder="1" applyAlignment="1">
      <alignment horizontal="center" vertical="top"/>
    </xf>
    <xf numFmtId="0" fontId="32" fillId="78" borderId="284" xfId="0" applyFont="1" applyFill="1" applyBorder="1" applyAlignment="1">
      <alignment horizontal="center" vertical="top"/>
    </xf>
    <xf numFmtId="0" fontId="32" fillId="78" borderId="285" xfId="0" applyFont="1" applyFill="1" applyBorder="1" applyAlignment="1">
      <alignment horizontal="center" vertical="top"/>
    </xf>
    <xf numFmtId="0" fontId="32" fillId="78" borderId="286" xfId="0" applyFont="1" applyFill="1" applyBorder="1" applyAlignment="1">
      <alignment horizontal="center" vertical="top"/>
    </xf>
    <xf numFmtId="0" fontId="32" fillId="78" borderId="287" xfId="0" applyFont="1" applyFill="1" applyBorder="1" applyAlignment="1">
      <alignment horizontal="center" vertical="top"/>
    </xf>
    <xf numFmtId="0" fontId="76" fillId="4" borderId="23" xfId="0" applyFont="1" applyFill="1" applyBorder="1" applyAlignment="1" applyProtection="1">
      <alignment horizontal="left"/>
      <protection locked="0"/>
    </xf>
    <xf numFmtId="0" fontId="76" fillId="4" borderId="11" xfId="0" applyFont="1" applyFill="1" applyBorder="1" applyAlignment="1" applyProtection="1">
      <alignment horizontal="left"/>
      <protection locked="0"/>
    </xf>
    <xf numFmtId="0" fontId="57" fillId="4" borderId="23" xfId="0" applyFont="1" applyFill="1" applyBorder="1" applyAlignment="1" applyProtection="1">
      <alignment horizontal="left"/>
      <protection locked="0"/>
    </xf>
    <xf numFmtId="0" fontId="57" fillId="4" borderId="11" xfId="0" applyFont="1" applyFill="1" applyBorder="1" applyAlignment="1" applyProtection="1">
      <alignment horizontal="left"/>
      <protection locked="0"/>
    </xf>
    <xf numFmtId="175" fontId="76" fillId="4" borderId="23" xfId="0" applyNumberFormat="1" applyFont="1" applyFill="1" applyBorder="1" applyAlignment="1" applyProtection="1">
      <alignment horizontal="left"/>
      <protection locked="0"/>
    </xf>
    <xf numFmtId="175" fontId="76" fillId="4" borderId="11" xfId="0" applyNumberFormat="1" applyFont="1" applyFill="1" applyBorder="1" applyAlignment="1" applyProtection="1">
      <alignment horizontal="left"/>
      <protection locked="0"/>
    </xf>
    <xf numFmtId="175" fontId="76" fillId="3" borderId="23" xfId="0" applyNumberFormat="1" applyFont="1" applyFill="1" applyBorder="1" applyAlignment="1" applyProtection="1">
      <alignment horizontal="left" shrinkToFit="1"/>
      <protection locked="0"/>
    </xf>
    <xf numFmtId="175" fontId="76" fillId="3" borderId="11" xfId="0" applyNumberFormat="1" applyFont="1" applyFill="1" applyBorder="1" applyAlignment="1" applyProtection="1">
      <alignment horizontal="left" shrinkToFit="1"/>
      <protection locked="0"/>
    </xf>
    <xf numFmtId="1" fontId="62" fillId="3" borderId="95" xfId="0" applyNumberFormat="1" applyFont="1" applyFill="1" applyBorder="1" applyAlignment="1">
      <alignment horizontal="left"/>
    </xf>
    <xf numFmtId="0" fontId="17" fillId="3" borderId="194" xfId="0" applyFont="1" applyFill="1" applyBorder="1" applyAlignment="1">
      <alignment horizontal="left"/>
    </xf>
    <xf numFmtId="0" fontId="17" fillId="3" borderId="200" xfId="0" applyFont="1" applyFill="1" applyBorder="1" applyAlignment="1">
      <alignment horizontal="left"/>
    </xf>
    <xf numFmtId="0" fontId="17" fillId="3" borderId="195" xfId="0" applyFont="1" applyFill="1" applyBorder="1" applyAlignment="1">
      <alignment horizontal="left"/>
    </xf>
    <xf numFmtId="0" fontId="107" fillId="3" borderId="95" xfId="0" applyFont="1" applyFill="1" applyBorder="1" applyAlignment="1">
      <alignment horizontal="left"/>
    </xf>
    <xf numFmtId="0" fontId="107" fillId="3" borderId="96" xfId="0" applyFont="1" applyFill="1" applyBorder="1" applyAlignment="1">
      <alignment horizontal="left"/>
    </xf>
    <xf numFmtId="0" fontId="107" fillId="0" borderId="95" xfId="0" applyFont="1" applyBorder="1" applyAlignment="1">
      <alignment horizontal="left"/>
    </xf>
    <xf numFmtId="0" fontId="107" fillId="0" borderId="97" xfId="0" applyFont="1" applyBorder="1" applyAlignment="1">
      <alignment horizontal="left"/>
    </xf>
    <xf numFmtId="0" fontId="107" fillId="0" borderId="96" xfId="0" applyFont="1" applyBorder="1" applyAlignment="1">
      <alignment horizontal="left"/>
    </xf>
    <xf numFmtId="10" fontId="107" fillId="0" borderId="95" xfId="0" applyNumberFormat="1" applyFont="1" applyBorder="1" applyAlignment="1">
      <alignment horizontal="left"/>
    </xf>
    <xf numFmtId="10" fontId="107" fillId="0" borderId="96" xfId="0" applyNumberFormat="1" applyFont="1" applyBorder="1" applyAlignment="1">
      <alignment horizontal="left"/>
    </xf>
    <xf numFmtId="10" fontId="107" fillId="0" borderId="97" xfId="0" applyNumberFormat="1" applyFont="1" applyBorder="1" applyAlignment="1">
      <alignment horizontal="left"/>
    </xf>
    <xf numFmtId="0" fontId="62" fillId="0" borderId="95" xfId="0" applyFont="1" applyBorder="1" applyAlignment="1">
      <alignment horizontal="left"/>
    </xf>
    <xf numFmtId="0" fontId="62" fillId="0" borderId="96" xfId="0" applyFont="1" applyBorder="1" applyAlignment="1">
      <alignment horizontal="left"/>
    </xf>
    <xf numFmtId="0" fontId="62" fillId="0" borderId="97" xfId="0" applyFont="1" applyBorder="1" applyAlignment="1">
      <alignment horizontal="left"/>
    </xf>
    <xf numFmtId="165" fontId="17" fillId="3" borderId="194" xfId="0" applyNumberFormat="1" applyFont="1" applyFill="1" applyBorder="1" applyAlignment="1">
      <alignment horizontal="left"/>
    </xf>
    <xf numFmtId="165" fontId="17" fillId="3" borderId="200" xfId="0" applyNumberFormat="1" applyFont="1" applyFill="1" applyBorder="1" applyAlignment="1">
      <alignment horizontal="left"/>
    </xf>
    <xf numFmtId="165" fontId="17" fillId="3" borderId="195" xfId="0" applyNumberFormat="1" applyFont="1" applyFill="1" applyBorder="1" applyAlignment="1">
      <alignment horizontal="left"/>
    </xf>
    <xf numFmtId="0" fontId="85" fillId="0" borderId="23" xfId="0" applyFont="1" applyBorder="1" applyAlignment="1">
      <alignment horizontal="right" vertical="top" wrapText="1"/>
    </xf>
    <xf numFmtId="3" fontId="17" fillId="3" borderId="194" xfId="0" applyNumberFormat="1" applyFont="1" applyFill="1" applyBorder="1" applyAlignment="1">
      <alignment horizontal="left"/>
    </xf>
    <xf numFmtId="175" fontId="62" fillId="3" borderId="95" xfId="0" applyNumberFormat="1" applyFont="1" applyFill="1" applyBorder="1" applyAlignment="1">
      <alignment horizontal="left"/>
    </xf>
    <xf numFmtId="0" fontId="62" fillId="3" borderId="95" xfId="0" applyFont="1" applyFill="1" applyBorder="1" applyAlignment="1" applyProtection="1">
      <alignment horizontal="left"/>
      <protection locked="0"/>
    </xf>
    <xf numFmtId="0" fontId="62" fillId="3" borderId="97" xfId="0" applyFont="1" applyFill="1" applyBorder="1" applyAlignment="1" applyProtection="1">
      <alignment horizontal="left"/>
      <protection locked="0"/>
    </xf>
    <xf numFmtId="0" fontId="85" fillId="0" borderId="224" xfId="0" applyFont="1" applyBorder="1" applyAlignment="1">
      <alignment horizontal="right"/>
    </xf>
    <xf numFmtId="0" fontId="62" fillId="3" borderId="228" xfId="0" applyFont="1" applyFill="1" applyBorder="1" applyAlignment="1">
      <alignment horizontal="left"/>
    </xf>
    <xf numFmtId="0" fontId="62" fillId="3" borderId="229" xfId="0" applyFont="1" applyFill="1" applyBorder="1" applyAlignment="1">
      <alignment horizontal="left"/>
    </xf>
    <xf numFmtId="0" fontId="62" fillId="3" borderId="230" xfId="0" applyFont="1" applyFill="1" applyBorder="1" applyAlignment="1">
      <alignment horizontal="left"/>
    </xf>
    <xf numFmtId="0" fontId="62" fillId="3" borderId="96" xfId="0" applyFont="1" applyFill="1" applyBorder="1" applyAlignment="1" applyProtection="1">
      <alignment horizontal="left"/>
      <protection locked="0"/>
    </xf>
    <xf numFmtId="0" fontId="62" fillId="4" borderId="95" xfId="0" applyFont="1" applyFill="1" applyBorder="1" applyAlignment="1">
      <alignment horizontal="left"/>
    </xf>
    <xf numFmtId="0" fontId="62" fillId="4" borderId="96" xfId="0" applyFont="1" applyFill="1" applyBorder="1" applyAlignment="1">
      <alignment horizontal="left"/>
    </xf>
    <xf numFmtId="0" fontId="62" fillId="4" borderId="97" xfId="0" applyFont="1" applyFill="1" applyBorder="1" applyAlignment="1">
      <alignment horizontal="left"/>
    </xf>
    <xf numFmtId="169" fontId="17" fillId="4" borderId="194" xfId="0" applyNumberFormat="1" applyFont="1" applyFill="1" applyBorder="1" applyAlignment="1">
      <alignment horizontal="left"/>
    </xf>
    <xf numFmtId="169" fontId="17" fillId="4" borderId="195" xfId="0" applyNumberFormat="1" applyFont="1" applyFill="1" applyBorder="1" applyAlignment="1">
      <alignment horizontal="left"/>
    </xf>
    <xf numFmtId="1" fontId="17" fillId="4" borderId="194" xfId="0" applyNumberFormat="1" applyFont="1" applyFill="1" applyBorder="1" applyAlignment="1">
      <alignment horizontal="left"/>
    </xf>
    <xf numFmtId="170" fontId="62" fillId="3" borderId="95" xfId="0" applyNumberFormat="1" applyFont="1" applyFill="1" applyBorder="1" applyAlignment="1">
      <alignment horizontal="left"/>
    </xf>
    <xf numFmtId="170" fontId="62" fillId="3" borderId="96" xfId="0" applyNumberFormat="1" applyFont="1" applyFill="1" applyBorder="1" applyAlignment="1">
      <alignment horizontal="left"/>
    </xf>
    <xf numFmtId="170" fontId="62" fillId="3" borderId="97" xfId="0" applyNumberFormat="1" applyFont="1" applyFill="1" applyBorder="1" applyAlignment="1">
      <alignment horizontal="left"/>
    </xf>
    <xf numFmtId="0" fontId="62" fillId="3" borderId="103" xfId="0" applyFont="1" applyFill="1" applyBorder="1" applyAlignment="1">
      <alignment horizontal="left"/>
    </xf>
    <xf numFmtId="0" fontId="62" fillId="3" borderId="104" xfId="0" applyFont="1" applyFill="1" applyBorder="1" applyAlignment="1">
      <alignment horizontal="left"/>
    </xf>
    <xf numFmtId="0" fontId="62" fillId="3" borderId="105" xfId="0" applyFont="1" applyFill="1" applyBorder="1" applyAlignment="1">
      <alignment horizontal="left"/>
    </xf>
    <xf numFmtId="0" fontId="0" fillId="4" borderId="194" xfId="0" applyFill="1" applyBorder="1" applyAlignment="1">
      <alignment horizontal="left"/>
    </xf>
    <xf numFmtId="0" fontId="0" fillId="4" borderId="200" xfId="0" applyFill="1" applyBorder="1" applyAlignment="1">
      <alignment horizontal="left"/>
    </xf>
    <xf numFmtId="0" fontId="0" fillId="4" borderId="195" xfId="0" applyFill="1" applyBorder="1" applyAlignment="1">
      <alignment horizontal="left"/>
    </xf>
    <xf numFmtId="0" fontId="62" fillId="3" borderId="272" xfId="0" applyFont="1" applyFill="1" applyBorder="1" applyAlignment="1">
      <alignment horizontal="left"/>
    </xf>
    <xf numFmtId="0" fontId="62" fillId="3" borderId="305" xfId="0" applyFont="1" applyFill="1" applyBorder="1" applyAlignment="1">
      <alignment horizontal="left"/>
    </xf>
    <xf numFmtId="0" fontId="62" fillId="3" borderId="273" xfId="0" applyFont="1" applyFill="1" applyBorder="1" applyAlignment="1">
      <alignment horizontal="left"/>
    </xf>
    <xf numFmtId="169" fontId="0" fillId="3" borderId="194" xfId="0" applyNumberFormat="1" applyFill="1" applyBorder="1" applyAlignment="1">
      <alignment horizontal="left"/>
    </xf>
    <xf numFmtId="169" fontId="0" fillId="3" borderId="200" xfId="0" applyNumberFormat="1" applyFill="1" applyBorder="1" applyAlignment="1">
      <alignment horizontal="left"/>
    </xf>
    <xf numFmtId="169" fontId="0" fillId="3" borderId="195" xfId="0" applyNumberFormat="1" applyFill="1" applyBorder="1" applyAlignment="1">
      <alignment horizontal="left"/>
    </xf>
    <xf numFmtId="0" fontId="62" fillId="0" borderId="297" xfId="0" applyFont="1" applyBorder="1" applyAlignment="1">
      <alignment horizontal="left" vertical="center"/>
    </xf>
    <xf numFmtId="0" fontId="62" fillId="0" borderId="298" xfId="0" applyFont="1" applyBorder="1" applyAlignment="1">
      <alignment horizontal="left" vertical="center"/>
    </xf>
    <xf numFmtId="0" fontId="62" fillId="0" borderId="299" xfId="0" applyFont="1" applyBorder="1" applyAlignment="1">
      <alignment horizontal="left" vertical="center"/>
    </xf>
    <xf numFmtId="0" fontId="62" fillId="0" borderId="302" xfId="0" applyFont="1" applyBorder="1" applyAlignment="1">
      <alignment horizontal="left" vertical="center"/>
    </xf>
    <xf numFmtId="0" fontId="62" fillId="0" borderId="303" xfId="0" applyFont="1" applyBorder="1" applyAlignment="1">
      <alignment horizontal="left" vertical="center"/>
    </xf>
    <xf numFmtId="0" fontId="62" fillId="0" borderId="304" xfId="0" applyFont="1" applyBorder="1" applyAlignment="1">
      <alignment horizontal="left" vertical="center"/>
    </xf>
    <xf numFmtId="0" fontId="121" fillId="0" borderId="0" xfId="0" applyFont="1" applyAlignment="1">
      <alignment horizontal="right" wrapText="1"/>
    </xf>
    <xf numFmtId="0" fontId="85" fillId="0" borderId="231" xfId="0" applyFont="1" applyBorder="1" applyAlignment="1">
      <alignment horizontal="right"/>
    </xf>
    <xf numFmtId="0" fontId="0" fillId="3" borderId="194" xfId="0" applyFill="1" applyBorder="1" applyAlignment="1">
      <alignment horizontal="left"/>
    </xf>
    <xf numFmtId="0" fontId="0" fillId="3" borderId="200" xfId="0" applyFill="1" applyBorder="1" applyAlignment="1">
      <alignment horizontal="left"/>
    </xf>
    <xf numFmtId="0" fontId="0" fillId="3" borderId="195" xfId="0" applyFill="1" applyBorder="1" applyAlignment="1">
      <alignment horizontal="left"/>
    </xf>
    <xf numFmtId="0" fontId="178" fillId="0" borderId="0" xfId="0" applyFont="1" applyAlignment="1">
      <alignment horizontal="right"/>
    </xf>
    <xf numFmtId="0" fontId="181" fillId="0" borderId="0" xfId="0" applyFont="1" applyAlignment="1">
      <alignment horizontal="right"/>
    </xf>
    <xf numFmtId="0" fontId="181" fillId="0" borderId="99" xfId="0" applyFont="1" applyBorder="1" applyAlignment="1">
      <alignment horizontal="right"/>
    </xf>
    <xf numFmtId="0" fontId="0" fillId="0" borderId="0" xfId="0" applyAlignment="1">
      <alignment horizontal="right"/>
    </xf>
    <xf numFmtId="0" fontId="0" fillId="0" borderId="44" xfId="0" applyBorder="1" applyAlignment="1">
      <alignment horizontal="right"/>
    </xf>
    <xf numFmtId="170" fontId="17" fillId="3" borderId="194" xfId="0" applyNumberFormat="1" applyFont="1" applyFill="1" applyBorder="1" applyAlignment="1">
      <alignment horizontal="left"/>
    </xf>
    <xf numFmtId="170" fontId="17" fillId="3" borderId="200" xfId="0" applyNumberFormat="1" applyFont="1" applyFill="1" applyBorder="1" applyAlignment="1">
      <alignment horizontal="left"/>
    </xf>
    <xf numFmtId="170" fontId="17" fillId="3" borderId="195" xfId="0" applyNumberFormat="1" applyFont="1" applyFill="1" applyBorder="1" applyAlignment="1">
      <alignment horizontal="left"/>
    </xf>
    <xf numFmtId="0" fontId="85" fillId="0" borderId="301" xfId="0" applyFont="1" applyBorder="1" applyAlignment="1">
      <alignment horizontal="right"/>
    </xf>
    <xf numFmtId="165" fontId="62" fillId="3" borderId="194" xfId="0" applyNumberFormat="1" applyFont="1" applyFill="1" applyBorder="1" applyAlignment="1">
      <alignment horizontal="left"/>
    </xf>
    <xf numFmtId="165" fontId="62" fillId="3" borderId="200" xfId="0" applyNumberFormat="1" applyFont="1" applyFill="1" applyBorder="1" applyAlignment="1">
      <alignment horizontal="left"/>
    </xf>
    <xf numFmtId="165" fontId="62" fillId="3" borderId="195" xfId="0" applyNumberFormat="1" applyFont="1" applyFill="1" applyBorder="1" applyAlignment="1">
      <alignment horizontal="left"/>
    </xf>
    <xf numFmtId="10" fontId="62" fillId="3" borderId="103" xfId="0" applyNumberFormat="1" applyFont="1" applyFill="1" applyBorder="1" applyAlignment="1">
      <alignment horizontal="left"/>
    </xf>
    <xf numFmtId="10" fontId="62" fillId="3" borderId="104" xfId="0" applyNumberFormat="1" applyFont="1" applyFill="1" applyBorder="1" applyAlignment="1">
      <alignment horizontal="left"/>
    </xf>
    <xf numFmtId="10" fontId="62" fillId="3" borderId="105" xfId="0" applyNumberFormat="1" applyFont="1" applyFill="1" applyBorder="1" applyAlignment="1">
      <alignment horizontal="left"/>
    </xf>
    <xf numFmtId="10" fontId="62" fillId="3" borderId="95" xfId="0" applyNumberFormat="1" applyFont="1" applyFill="1" applyBorder="1" applyAlignment="1">
      <alignment horizontal="left"/>
    </xf>
    <xf numFmtId="10" fontId="62" fillId="3" borderId="97" xfId="0" applyNumberFormat="1" applyFont="1" applyFill="1" applyBorder="1" applyAlignment="1">
      <alignment horizontal="left"/>
    </xf>
    <xf numFmtId="3" fontId="0" fillId="4" borderId="194" xfId="0" applyNumberFormat="1" applyFill="1" applyBorder="1" applyAlignment="1">
      <alignment horizontal="left"/>
    </xf>
    <xf numFmtId="169" fontId="0" fillId="4" borderId="194" xfId="0" applyNumberFormat="1" applyFill="1" applyBorder="1" applyAlignment="1">
      <alignment horizontal="left"/>
    </xf>
    <xf numFmtId="169" fontId="0" fillId="4" borderId="195" xfId="0" applyNumberFormat="1" applyFill="1" applyBorder="1" applyAlignment="1">
      <alignment horizontal="left"/>
    </xf>
    <xf numFmtId="0" fontId="85" fillId="0" borderId="0" xfId="0" applyFont="1" applyAlignment="1">
      <alignment horizontal="right" vertical="top" wrapText="1" indent="1"/>
    </xf>
    <xf numFmtId="0" fontId="76" fillId="4" borderId="0" xfId="0" applyFont="1" applyFill="1" applyAlignment="1" applyProtection="1">
      <alignment horizontal="center"/>
      <protection locked="0"/>
    </xf>
    <xf numFmtId="0" fontId="76" fillId="4" borderId="44" xfId="0" applyFont="1" applyFill="1" applyBorder="1" applyAlignment="1" applyProtection="1">
      <alignment horizontal="center"/>
      <protection locked="0"/>
    </xf>
    <xf numFmtId="0" fontId="76" fillId="4" borderId="23" xfId="0" applyFont="1" applyFill="1" applyBorder="1" applyAlignment="1" applyProtection="1">
      <alignment horizontal="center"/>
      <protection locked="0"/>
    </xf>
    <xf numFmtId="0" fontId="76" fillId="4" borderId="11" xfId="0" applyFont="1" applyFill="1" applyBorder="1" applyAlignment="1" applyProtection="1">
      <alignment horizontal="center"/>
      <protection locked="0"/>
    </xf>
    <xf numFmtId="0" fontId="76" fillId="0" borderId="0" xfId="0" applyFont="1" applyAlignment="1">
      <alignment horizontal="center" vertical="top"/>
    </xf>
    <xf numFmtId="0" fontId="76" fillId="0" borderId="191" xfId="0" applyFont="1" applyBorder="1" applyAlignment="1">
      <alignment horizontal="center" vertical="top"/>
    </xf>
    <xf numFmtId="0" fontId="81" fillId="0" borderId="94" xfId="0" applyFont="1" applyBorder="1" applyAlignment="1">
      <alignment horizontal="left"/>
    </xf>
    <xf numFmtId="0" fontId="62" fillId="2" borderId="25" xfId="0" applyFont="1" applyFill="1" applyBorder="1" applyAlignment="1">
      <alignment horizontal="center" vertical="top" wrapText="1"/>
    </xf>
    <xf numFmtId="0" fontId="0" fillId="2" borderId="80"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1" xfId="0" applyFill="1" applyBorder="1" applyAlignment="1">
      <alignment horizontal="center" vertical="top" wrapText="1"/>
    </xf>
    <xf numFmtId="0" fontId="0" fillId="2" borderId="27" xfId="0" applyFill="1" applyBorder="1" applyAlignment="1">
      <alignment horizontal="center" vertical="top" wrapText="1"/>
    </xf>
    <xf numFmtId="0" fontId="0" fillId="2" borderId="82" xfId="0" applyFill="1" applyBorder="1" applyAlignment="1">
      <alignment horizontal="center" vertical="top" wrapText="1"/>
    </xf>
    <xf numFmtId="0" fontId="0" fillId="2" borderId="26" xfId="0" applyFill="1" applyBorder="1" applyAlignment="1">
      <alignment horizontal="center" vertical="top" wrapText="1"/>
    </xf>
    <xf numFmtId="2" fontId="76" fillId="3" borderId="23" xfId="0" applyNumberFormat="1" applyFont="1" applyFill="1" applyBorder="1" applyAlignment="1">
      <alignment horizontal="left"/>
    </xf>
    <xf numFmtId="2" fontId="76" fillId="3" borderId="11" xfId="0" applyNumberFormat="1" applyFont="1" applyFill="1" applyBorder="1" applyAlignment="1">
      <alignment horizontal="left"/>
    </xf>
    <xf numFmtId="0" fontId="76" fillId="4" borderId="192" xfId="0" applyFont="1" applyFill="1" applyBorder="1" applyAlignment="1" applyProtection="1">
      <alignment horizontal="left" vertical="top" wrapText="1"/>
      <protection locked="0"/>
    </xf>
    <xf numFmtId="0" fontId="76" fillId="4" borderId="191" xfId="0" applyFont="1" applyFill="1" applyBorder="1" applyAlignment="1" applyProtection="1">
      <alignment horizontal="left" vertical="top" wrapText="1"/>
      <protection locked="0"/>
    </xf>
    <xf numFmtId="0" fontId="76" fillId="4" borderId="253" xfId="0" applyFont="1" applyFill="1" applyBorder="1" applyAlignment="1" applyProtection="1">
      <alignment horizontal="left" vertical="top" wrapText="1"/>
      <protection locked="0"/>
    </xf>
    <xf numFmtId="0" fontId="76" fillId="4" borderId="29" xfId="0" applyFont="1" applyFill="1" applyBorder="1" applyAlignment="1" applyProtection="1">
      <alignment horizontal="left" vertical="top" wrapText="1"/>
      <protection locked="0"/>
    </xf>
    <xf numFmtId="0" fontId="76" fillId="4" borderId="0" xfId="0" applyFont="1" applyFill="1" applyAlignment="1" applyProtection="1">
      <alignment horizontal="left" vertical="top" wrapText="1"/>
      <protection locked="0"/>
    </xf>
    <xf numFmtId="0" fontId="76" fillId="4" borderId="44" xfId="0" applyFont="1" applyFill="1" applyBorder="1" applyAlignment="1" applyProtection="1">
      <alignment horizontal="left" vertical="top" wrapText="1"/>
      <protection locked="0"/>
    </xf>
    <xf numFmtId="0" fontId="76" fillId="4" borderId="10" xfId="0" applyFont="1" applyFill="1" applyBorder="1" applyAlignment="1" applyProtection="1">
      <alignment horizontal="left" vertical="top" wrapText="1"/>
      <protection locked="0"/>
    </xf>
    <xf numFmtId="0" fontId="76" fillId="4" borderId="23" xfId="0" applyFont="1" applyFill="1" applyBorder="1" applyAlignment="1" applyProtection="1">
      <alignment horizontal="left" vertical="top" wrapText="1"/>
      <protection locked="0"/>
    </xf>
    <xf numFmtId="0" fontId="76" fillId="4" borderId="11" xfId="0" applyFont="1" applyFill="1" applyBorder="1" applyAlignment="1" applyProtection="1">
      <alignment horizontal="left" vertical="top" wrapText="1"/>
      <protection locked="0"/>
    </xf>
    <xf numFmtId="169" fontId="17" fillId="3" borderId="194" xfId="0" applyNumberFormat="1" applyFont="1" applyFill="1" applyBorder="1" applyAlignment="1">
      <alignment horizontal="left"/>
    </xf>
    <xf numFmtId="169" fontId="17" fillId="3" borderId="200" xfId="0" applyNumberFormat="1" applyFont="1" applyFill="1" applyBorder="1" applyAlignment="1">
      <alignment horizontal="left"/>
    </xf>
    <xf numFmtId="169" fontId="17" fillId="3" borderId="195" xfId="0" applyNumberFormat="1" applyFont="1" applyFill="1" applyBorder="1" applyAlignment="1">
      <alignment horizontal="left"/>
    </xf>
    <xf numFmtId="169" fontId="17" fillId="4" borderId="200" xfId="0" applyNumberFormat="1" applyFont="1" applyFill="1" applyBorder="1" applyAlignment="1">
      <alignment horizontal="left"/>
    </xf>
    <xf numFmtId="176" fontId="76" fillId="4" borderId="23" xfId="0" applyNumberFormat="1" applyFont="1" applyFill="1" applyBorder="1" applyAlignment="1" applyProtection="1">
      <alignment horizontal="left"/>
      <protection locked="0"/>
    </xf>
    <xf numFmtId="176" fontId="76" fillId="4" borderId="11" xfId="0" applyNumberFormat="1" applyFont="1" applyFill="1" applyBorder="1" applyAlignment="1" applyProtection="1">
      <alignment horizontal="left"/>
      <protection locked="0"/>
    </xf>
    <xf numFmtId="0" fontId="77" fillId="0" borderId="0" xfId="0" applyFont="1" applyAlignment="1" applyProtection="1">
      <alignment horizontal="left" wrapText="1"/>
      <protection hidden="1"/>
    </xf>
    <xf numFmtId="0" fontId="76" fillId="3" borderId="23" xfId="0" applyFont="1" applyFill="1" applyBorder="1" applyAlignment="1">
      <alignment horizontal="left"/>
    </xf>
    <xf numFmtId="0" fontId="76" fillId="3" borderId="11" xfId="0" applyFont="1" applyFill="1" applyBorder="1" applyAlignment="1">
      <alignment horizontal="left"/>
    </xf>
    <xf numFmtId="169" fontId="76" fillId="3" borderId="23" xfId="0" applyNumberFormat="1" applyFont="1" applyFill="1" applyBorder="1" applyAlignment="1">
      <alignment horizontal="left"/>
    </xf>
    <xf numFmtId="169" fontId="76" fillId="3" borderId="11" xfId="0" applyNumberFormat="1" applyFont="1" applyFill="1" applyBorder="1" applyAlignment="1">
      <alignment horizontal="left"/>
    </xf>
    <xf numFmtId="3" fontId="76" fillId="3" borderId="23" xfId="0" applyNumberFormat="1" applyFont="1" applyFill="1" applyBorder="1" applyAlignment="1">
      <alignment horizontal="left"/>
    </xf>
    <xf numFmtId="3" fontId="76" fillId="3" borderId="11" xfId="0" applyNumberFormat="1" applyFont="1" applyFill="1" applyBorder="1" applyAlignment="1">
      <alignment horizontal="left"/>
    </xf>
    <xf numFmtId="3" fontId="68" fillId="0" borderId="0" xfId="0" applyNumberFormat="1" applyFont="1" applyAlignment="1">
      <alignment horizontal="left" indent="1"/>
    </xf>
    <xf numFmtId="165" fontId="76" fillId="12" borderId="23" xfId="0" applyNumberFormat="1" applyFont="1" applyFill="1" applyBorder="1" applyAlignment="1">
      <alignment horizontal="left"/>
    </xf>
    <xf numFmtId="165" fontId="76" fillId="12" borderId="11" xfId="0" applyNumberFormat="1" applyFont="1" applyFill="1" applyBorder="1" applyAlignment="1">
      <alignment horizontal="left"/>
    </xf>
    <xf numFmtId="3" fontId="76" fillId="12" borderId="23" xfId="0" applyNumberFormat="1" applyFont="1" applyFill="1" applyBorder="1" applyAlignment="1">
      <alignment horizontal="left"/>
    </xf>
    <xf numFmtId="3" fontId="76" fillId="12" borderId="11" xfId="0" applyNumberFormat="1" applyFont="1" applyFill="1" applyBorder="1" applyAlignment="1">
      <alignment horizontal="left"/>
    </xf>
    <xf numFmtId="170" fontId="0" fillId="4" borderId="194" xfId="0" applyNumberFormat="1" applyFill="1" applyBorder="1" applyAlignment="1">
      <alignment horizontal="left"/>
    </xf>
    <xf numFmtId="170" fontId="0" fillId="4" borderId="200" xfId="0" applyNumberFormat="1" applyFill="1" applyBorder="1" applyAlignment="1">
      <alignment horizontal="left"/>
    </xf>
    <xf numFmtId="170" fontId="0" fillId="4" borderId="195" xfId="0" applyNumberFormat="1" applyFill="1" applyBorder="1" applyAlignment="1">
      <alignment horizontal="left"/>
    </xf>
    <xf numFmtId="0" fontId="0" fillId="4" borderId="272" xfId="0" applyFill="1" applyBorder="1" applyAlignment="1" applyProtection="1">
      <alignment horizontal="center"/>
      <protection locked="0"/>
    </xf>
    <xf numFmtId="0" fontId="0" fillId="4" borderId="273" xfId="0" applyFill="1" applyBorder="1" applyAlignment="1" applyProtection="1">
      <alignment horizontal="center"/>
      <protection locked="0"/>
    </xf>
    <xf numFmtId="169" fontId="62" fillId="3" borderId="95" xfId="0" applyNumberFormat="1" applyFont="1" applyFill="1" applyBorder="1" applyAlignment="1">
      <alignment horizontal="left"/>
    </xf>
    <xf numFmtId="3" fontId="62" fillId="3" borderId="95" xfId="0" applyNumberFormat="1" applyFont="1" applyFill="1" applyBorder="1" applyAlignment="1">
      <alignment horizontal="left"/>
    </xf>
    <xf numFmtId="0" fontId="186" fillId="20" borderId="0" xfId="0" applyFont="1" applyFill="1" applyAlignment="1">
      <alignment horizontal="left"/>
    </xf>
    <xf numFmtId="0" fontId="155" fillId="2" borderId="25" xfId="0" applyFont="1" applyFill="1" applyBorder="1" applyAlignment="1">
      <alignment horizontal="center" vertical="top" wrapText="1"/>
    </xf>
    <xf numFmtId="3" fontId="62" fillId="3" borderId="194" xfId="0" applyNumberFormat="1" applyFont="1" applyFill="1" applyBorder="1" applyAlignment="1">
      <alignment horizontal="left"/>
    </xf>
    <xf numFmtId="3" fontId="62" fillId="3" borderId="200" xfId="0" applyNumberFormat="1" applyFont="1" applyFill="1" applyBorder="1" applyAlignment="1">
      <alignment horizontal="left"/>
    </xf>
    <xf numFmtId="3" fontId="62" fillId="3" borderId="195" xfId="0" applyNumberFormat="1" applyFont="1" applyFill="1" applyBorder="1" applyAlignment="1">
      <alignment horizontal="left"/>
    </xf>
    <xf numFmtId="0" fontId="85" fillId="0" borderId="99" xfId="0" applyFont="1" applyBorder="1" applyAlignment="1">
      <alignment horizontal="right" vertical="top" wrapText="1"/>
    </xf>
    <xf numFmtId="170" fontId="18" fillId="4" borderId="192" xfId="0" applyNumberFormat="1" applyFont="1" applyFill="1" applyBorder="1" applyAlignment="1">
      <alignment horizontal="left" vertical="top" wrapText="1"/>
    </xf>
    <xf numFmtId="170" fontId="18" fillId="4" borderId="191" xfId="0" applyNumberFormat="1" applyFont="1" applyFill="1" applyBorder="1" applyAlignment="1">
      <alignment horizontal="left" vertical="top" wrapText="1"/>
    </xf>
    <xf numFmtId="170" fontId="18" fillId="4" borderId="253" xfId="0" applyNumberFormat="1" applyFont="1" applyFill="1" applyBorder="1" applyAlignment="1">
      <alignment horizontal="left" vertical="top" wrapText="1"/>
    </xf>
    <xf numFmtId="170" fontId="18" fillId="4" borderId="29" xfId="0" applyNumberFormat="1" applyFont="1" applyFill="1" applyBorder="1" applyAlignment="1">
      <alignment horizontal="left" vertical="top" wrapText="1"/>
    </xf>
    <xf numFmtId="170" fontId="18" fillId="4" borderId="0" xfId="0" applyNumberFormat="1" applyFont="1" applyFill="1" applyAlignment="1">
      <alignment horizontal="left" vertical="top" wrapText="1"/>
    </xf>
    <xf numFmtId="170" fontId="18" fillId="4" borderId="44" xfId="0" applyNumberFormat="1" applyFont="1" applyFill="1" applyBorder="1" applyAlignment="1">
      <alignment horizontal="left" vertical="top" wrapText="1"/>
    </xf>
    <xf numFmtId="170" fontId="18" fillId="4" borderId="10" xfId="0" applyNumberFormat="1" applyFont="1" applyFill="1" applyBorder="1" applyAlignment="1">
      <alignment horizontal="left" vertical="top" wrapText="1"/>
    </xf>
    <xf numFmtId="170" fontId="18" fillId="4" borderId="23" xfId="0" applyNumberFormat="1" applyFont="1" applyFill="1" applyBorder="1" applyAlignment="1">
      <alignment horizontal="left" vertical="top" wrapText="1"/>
    </xf>
    <xf numFmtId="170" fontId="18" fillId="4" borderId="11" xfId="0" applyNumberFormat="1" applyFont="1" applyFill="1" applyBorder="1" applyAlignment="1">
      <alignment horizontal="left" vertical="top" wrapText="1"/>
    </xf>
    <xf numFmtId="170" fontId="85" fillId="4" borderId="192" xfId="0" applyNumberFormat="1" applyFont="1" applyFill="1" applyBorder="1" applyAlignment="1">
      <alignment horizontal="left" vertical="top" wrapText="1"/>
    </xf>
    <xf numFmtId="170" fontId="85" fillId="4" borderId="253" xfId="0" applyNumberFormat="1" applyFont="1" applyFill="1" applyBorder="1" applyAlignment="1">
      <alignment horizontal="left" vertical="top" wrapText="1"/>
    </xf>
    <xf numFmtId="170" fontId="85" fillId="4" borderId="29" xfId="0" applyNumberFormat="1" applyFont="1" applyFill="1" applyBorder="1" applyAlignment="1">
      <alignment horizontal="left" vertical="top" wrapText="1"/>
    </xf>
    <xf numFmtId="170" fontId="85" fillId="4" borderId="44" xfId="0" applyNumberFormat="1" applyFont="1" applyFill="1" applyBorder="1" applyAlignment="1">
      <alignment horizontal="left" vertical="top" wrapText="1"/>
    </xf>
    <xf numFmtId="170" fontId="85" fillId="4" borderId="10" xfId="0" applyNumberFormat="1" applyFont="1" applyFill="1" applyBorder="1" applyAlignment="1">
      <alignment horizontal="left" vertical="top" wrapText="1"/>
    </xf>
    <xf numFmtId="170" fontId="85" fillId="4" borderId="11" xfId="0" applyNumberFormat="1" applyFont="1" applyFill="1" applyBorder="1" applyAlignment="1">
      <alignment horizontal="left" vertical="top" wrapText="1"/>
    </xf>
    <xf numFmtId="170" fontId="24" fillId="4" borderId="192" xfId="0" applyNumberFormat="1" applyFont="1" applyFill="1" applyBorder="1" applyAlignment="1">
      <alignment horizontal="left" vertical="top" wrapText="1"/>
    </xf>
    <xf numFmtId="170" fontId="24" fillId="4" borderId="191" xfId="0" applyNumberFormat="1" applyFont="1" applyFill="1" applyBorder="1" applyAlignment="1">
      <alignment horizontal="left" vertical="top" wrapText="1"/>
    </xf>
    <xf numFmtId="170" fontId="24" fillId="4" borderId="253" xfId="0" applyNumberFormat="1" applyFont="1" applyFill="1" applyBorder="1" applyAlignment="1">
      <alignment horizontal="left" vertical="top" wrapText="1"/>
    </xf>
    <xf numFmtId="170" fontId="24" fillId="4" borderId="29" xfId="0" applyNumberFormat="1" applyFont="1" applyFill="1" applyBorder="1" applyAlignment="1">
      <alignment horizontal="left" vertical="top" wrapText="1"/>
    </xf>
    <xf numFmtId="170" fontId="24" fillId="4" borderId="0" xfId="0" applyNumberFormat="1" applyFont="1" applyFill="1" applyAlignment="1">
      <alignment horizontal="left" vertical="top" wrapText="1"/>
    </xf>
    <xf numFmtId="170" fontId="24" fillId="4" borderId="44" xfId="0" applyNumberFormat="1" applyFont="1" applyFill="1" applyBorder="1" applyAlignment="1">
      <alignment horizontal="left" vertical="top" wrapText="1"/>
    </xf>
    <xf numFmtId="170" fontId="24" fillId="4" borderId="10" xfId="0" applyNumberFormat="1" applyFont="1" applyFill="1" applyBorder="1" applyAlignment="1">
      <alignment horizontal="left" vertical="top" wrapText="1"/>
    </xf>
    <xf numFmtId="170" fontId="24" fillId="4" borderId="23" xfId="0" applyNumberFormat="1" applyFont="1" applyFill="1" applyBorder="1" applyAlignment="1">
      <alignment horizontal="left" vertical="top" wrapText="1"/>
    </xf>
    <xf numFmtId="170" fontId="24" fillId="4" borderId="11" xfId="0" applyNumberFormat="1" applyFont="1" applyFill="1" applyBorder="1" applyAlignment="1">
      <alignment horizontal="left" vertical="top" wrapText="1"/>
    </xf>
    <xf numFmtId="0" fontId="85" fillId="0" borderId="44" xfId="0" applyFont="1" applyBorder="1" applyAlignment="1">
      <alignment horizontal="right" vertical="top" wrapText="1"/>
    </xf>
    <xf numFmtId="174" fontId="17" fillId="4" borderId="194" xfId="0" applyNumberFormat="1" applyFont="1" applyFill="1" applyBorder="1" applyAlignment="1">
      <alignment horizontal="left"/>
    </xf>
    <xf numFmtId="174" fontId="17" fillId="4" borderId="200" xfId="0" applyNumberFormat="1" applyFont="1" applyFill="1" applyBorder="1" applyAlignment="1">
      <alignment horizontal="left"/>
    </xf>
    <xf numFmtId="174" fontId="17" fillId="4" borderId="195" xfId="0" applyNumberFormat="1" applyFont="1" applyFill="1" applyBorder="1" applyAlignment="1">
      <alignment horizontal="left"/>
    </xf>
    <xf numFmtId="165" fontId="62" fillId="3" borderId="95" xfId="0" applyNumberFormat="1" applyFont="1" applyFill="1" applyBorder="1" applyAlignment="1">
      <alignment horizontal="left"/>
    </xf>
    <xf numFmtId="165" fontId="62" fillId="3" borderId="96" xfId="0" applyNumberFormat="1" applyFont="1" applyFill="1" applyBorder="1" applyAlignment="1">
      <alignment horizontal="left"/>
    </xf>
    <xf numFmtId="165" fontId="62" fillId="3" borderId="97" xfId="0" applyNumberFormat="1" applyFont="1" applyFill="1" applyBorder="1" applyAlignment="1">
      <alignment horizontal="left"/>
    </xf>
    <xf numFmtId="0" fontId="85" fillId="0" borderId="0" xfId="0" applyFont="1" applyAlignment="1">
      <alignment horizontal="right" vertical="center"/>
    </xf>
    <xf numFmtId="0" fontId="85" fillId="0" borderId="44" xfId="0" applyFont="1" applyBorder="1" applyAlignment="1">
      <alignment horizontal="right" vertical="center"/>
    </xf>
    <xf numFmtId="10" fontId="62" fillId="3" borderId="96" xfId="0" applyNumberFormat="1" applyFont="1" applyFill="1" applyBorder="1" applyAlignment="1">
      <alignment horizontal="left"/>
    </xf>
    <xf numFmtId="169" fontId="0" fillId="4" borderId="200" xfId="0" applyNumberFormat="1" applyFill="1" applyBorder="1" applyAlignment="1">
      <alignment horizontal="left"/>
    </xf>
    <xf numFmtId="169" fontId="62" fillId="3" borderId="96" xfId="0" applyNumberFormat="1" applyFont="1" applyFill="1" applyBorder="1" applyAlignment="1">
      <alignment horizontal="left"/>
    </xf>
    <xf numFmtId="169" fontId="62" fillId="3" borderId="97" xfId="0" applyNumberFormat="1" applyFont="1" applyFill="1" applyBorder="1" applyAlignment="1">
      <alignment horizontal="left"/>
    </xf>
    <xf numFmtId="165" fontId="0" fillId="3" borderId="194" xfId="0" applyNumberFormat="1" applyFill="1" applyBorder="1" applyAlignment="1">
      <alignment horizontal="left"/>
    </xf>
    <xf numFmtId="165" fontId="0" fillId="3" borderId="200" xfId="0" applyNumberFormat="1" applyFill="1" applyBorder="1" applyAlignment="1">
      <alignment horizontal="left"/>
    </xf>
    <xf numFmtId="165" fontId="0" fillId="3" borderId="195" xfId="0" applyNumberFormat="1" applyFill="1" applyBorder="1" applyAlignment="1">
      <alignment horizontal="left"/>
    </xf>
    <xf numFmtId="1" fontId="0" fillId="4" borderId="194" xfId="0" applyNumberFormat="1" applyFill="1" applyBorder="1" applyAlignment="1">
      <alignment horizontal="left"/>
    </xf>
    <xf numFmtId="3" fontId="0" fillId="3" borderId="194" xfId="0" applyNumberFormat="1" applyFill="1" applyBorder="1" applyAlignment="1">
      <alignment horizontal="left"/>
    </xf>
    <xf numFmtId="3" fontId="0" fillId="3" borderId="200" xfId="0" applyNumberFormat="1" applyFill="1" applyBorder="1" applyAlignment="1">
      <alignment horizontal="left"/>
    </xf>
    <xf numFmtId="3" fontId="0" fillId="3" borderId="195" xfId="0" applyNumberFormat="1" applyFill="1" applyBorder="1" applyAlignment="1">
      <alignment horizontal="left"/>
    </xf>
    <xf numFmtId="0" fontId="62" fillId="0" borderId="297" xfId="0" applyFont="1" applyBorder="1" applyAlignment="1">
      <alignment horizontal="left" vertical="center" wrapText="1"/>
    </xf>
    <xf numFmtId="0" fontId="62" fillId="0" borderId="298" xfId="0" applyFont="1" applyBorder="1" applyAlignment="1">
      <alignment horizontal="left" vertical="center" wrapText="1"/>
    </xf>
    <xf numFmtId="0" fontId="62" fillId="0" borderId="299" xfId="0" applyFont="1" applyBorder="1" applyAlignment="1">
      <alignment horizontal="left" vertical="center" wrapText="1"/>
    </xf>
    <xf numFmtId="0" fontId="62" fillId="0" borderId="300" xfId="0" applyFont="1" applyBorder="1" applyAlignment="1">
      <alignment horizontal="left" vertical="center" wrapText="1"/>
    </xf>
    <xf numFmtId="0" fontId="62" fillId="0" borderId="0" xfId="0" applyFont="1" applyAlignment="1">
      <alignment horizontal="left" vertical="center" wrapText="1"/>
    </xf>
    <xf numFmtId="0" fontId="62" fillId="0" borderId="301" xfId="0" applyFont="1" applyBorder="1" applyAlignment="1">
      <alignment horizontal="left" vertical="center" wrapText="1"/>
    </xf>
    <xf numFmtId="0" fontId="62" fillId="0" borderId="302" xfId="0" applyFont="1" applyBorder="1" applyAlignment="1">
      <alignment horizontal="left" vertical="center" wrapText="1"/>
    </xf>
    <xf numFmtId="0" fontId="62" fillId="0" borderId="303" xfId="0" applyFont="1" applyBorder="1" applyAlignment="1">
      <alignment horizontal="left" vertical="center" wrapText="1"/>
    </xf>
    <xf numFmtId="0" fontId="62" fillId="0" borderId="304" xfId="0" applyFont="1" applyBorder="1" applyAlignment="1">
      <alignment horizontal="left" vertical="center" wrapText="1"/>
    </xf>
    <xf numFmtId="0" fontId="62" fillId="3" borderId="71" xfId="0" applyFont="1" applyFill="1" applyBorder="1" applyAlignment="1">
      <alignment horizontal="left" vertical="top" wrapText="1"/>
    </xf>
    <xf numFmtId="0" fontId="62" fillId="3" borderId="98" xfId="0" applyFont="1" applyFill="1" applyBorder="1" applyAlignment="1">
      <alignment horizontal="left" vertical="top" wrapText="1"/>
    </xf>
    <xf numFmtId="0" fontId="62" fillId="3" borderId="74" xfId="0" applyFont="1" applyFill="1" applyBorder="1" applyAlignment="1">
      <alignment horizontal="left" vertical="top" wrapText="1"/>
    </xf>
    <xf numFmtId="0" fontId="62" fillId="3" borderId="99" xfId="0" applyFont="1" applyFill="1" applyBorder="1" applyAlignment="1">
      <alignment horizontal="left" vertical="top" wrapText="1"/>
    </xf>
    <xf numFmtId="0" fontId="62" fillId="3" borderId="100" xfId="0" applyFont="1" applyFill="1" applyBorder="1" applyAlignment="1">
      <alignment horizontal="left" vertical="top" wrapText="1"/>
    </xf>
    <xf numFmtId="0" fontId="62" fillId="3" borderId="101" xfId="0" applyFont="1" applyFill="1" applyBorder="1" applyAlignment="1">
      <alignment horizontal="left" vertical="top" wrapText="1"/>
    </xf>
    <xf numFmtId="0" fontId="3" fillId="20" borderId="298" xfId="0" applyFont="1" applyFill="1" applyBorder="1" applyAlignment="1">
      <alignment horizontal="left"/>
    </xf>
    <xf numFmtId="165" fontId="0" fillId="4" borderId="194" xfId="0" applyNumberFormat="1" applyFill="1" applyBorder="1" applyAlignment="1">
      <alignment horizontal="left"/>
    </xf>
    <xf numFmtId="165" fontId="0" fillId="4" borderId="195" xfId="0" applyNumberFormat="1" applyFill="1" applyBorder="1" applyAlignment="1">
      <alignment horizontal="left"/>
    </xf>
    <xf numFmtId="0" fontId="62" fillId="0" borderId="0" xfId="0" applyFont="1" applyAlignment="1">
      <alignment horizontal="left" vertical="center"/>
    </xf>
    <xf numFmtId="0" fontId="62" fillId="0" borderId="301" xfId="0" applyFont="1" applyBorder="1" applyAlignment="1">
      <alignment horizontal="left" vertical="center"/>
    </xf>
    <xf numFmtId="3" fontId="17" fillId="3" borderId="195" xfId="0" applyNumberFormat="1" applyFont="1" applyFill="1" applyBorder="1" applyAlignment="1">
      <alignment horizontal="left"/>
    </xf>
    <xf numFmtId="0" fontId="107" fillId="0" borderId="0" xfId="0" applyFont="1" applyAlignment="1">
      <alignment horizontal="left"/>
    </xf>
    <xf numFmtId="14" fontId="62" fillId="0" borderId="95" xfId="0" applyNumberFormat="1" applyFont="1" applyBorder="1" applyAlignment="1">
      <alignment horizontal="left"/>
    </xf>
    <xf numFmtId="14" fontId="62" fillId="0" borderId="97" xfId="0" applyNumberFormat="1" applyFont="1" applyBorder="1" applyAlignment="1">
      <alignment horizontal="left"/>
    </xf>
    <xf numFmtId="3" fontId="17" fillId="3" borderId="194" xfId="53" applyNumberFormat="1" applyFont="1" applyFill="1" applyBorder="1" applyAlignment="1">
      <alignment horizontal="left"/>
    </xf>
    <xf numFmtId="3" fontId="17" fillId="3" borderId="200" xfId="53" applyNumberFormat="1" applyFont="1" applyFill="1" applyBorder="1" applyAlignment="1">
      <alignment horizontal="left"/>
    </xf>
    <xf numFmtId="3" fontId="17" fillId="3" borderId="195" xfId="53" applyNumberFormat="1" applyFont="1" applyFill="1" applyBorder="1" applyAlignment="1">
      <alignment horizontal="left"/>
    </xf>
    <xf numFmtId="0" fontId="107" fillId="3" borderId="272" xfId="0" applyFont="1" applyFill="1" applyBorder="1" applyAlignment="1">
      <alignment horizontal="left"/>
    </xf>
    <xf numFmtId="0" fontId="107" fillId="3" borderId="305" xfId="0" applyFont="1" applyFill="1" applyBorder="1" applyAlignment="1">
      <alignment horizontal="left"/>
    </xf>
    <xf numFmtId="0" fontId="107" fillId="3" borderId="273" xfId="0" applyFont="1" applyFill="1" applyBorder="1" applyAlignment="1">
      <alignment horizontal="left"/>
    </xf>
    <xf numFmtId="1" fontId="62" fillId="3" borderId="194" xfId="0" applyNumberFormat="1" applyFont="1" applyFill="1" applyBorder="1" applyAlignment="1">
      <alignment horizontal="left"/>
    </xf>
    <xf numFmtId="1" fontId="62" fillId="3" borderId="195" xfId="0" applyNumberFormat="1" applyFont="1" applyFill="1" applyBorder="1" applyAlignment="1">
      <alignment horizontal="left"/>
    </xf>
    <xf numFmtId="0" fontId="24" fillId="0" borderId="0" xfId="0" applyFont="1" applyAlignment="1">
      <alignment horizontal="right" wrapText="1" indent="1"/>
    </xf>
    <xf numFmtId="1" fontId="17" fillId="3" borderId="194" xfId="0" applyNumberFormat="1" applyFont="1" applyFill="1" applyBorder="1" applyAlignment="1">
      <alignment horizontal="left"/>
    </xf>
    <xf numFmtId="0" fontId="107" fillId="0" borderId="272" xfId="0" applyFont="1" applyBorder="1" applyAlignment="1">
      <alignment horizontal="left"/>
    </xf>
    <xf numFmtId="0" fontId="107" fillId="0" borderId="305" xfId="0" applyFont="1" applyBorder="1" applyAlignment="1">
      <alignment horizontal="left"/>
    </xf>
    <xf numFmtId="0" fontId="107" fillId="0" borderId="273" xfId="0" applyFont="1" applyBorder="1" applyAlignment="1">
      <alignment horizontal="left"/>
    </xf>
    <xf numFmtId="0" fontId="121" fillId="0" borderId="0" xfId="0" applyFont="1" applyAlignment="1">
      <alignment horizontal="right"/>
    </xf>
    <xf numFmtId="0" fontId="121" fillId="0" borderId="99" xfId="0" applyFont="1" applyBorder="1" applyAlignment="1">
      <alignment horizontal="right"/>
    </xf>
    <xf numFmtId="0" fontId="81" fillId="0" borderId="82" xfId="0" applyFont="1" applyBorder="1" applyAlignment="1">
      <alignment horizontal="left"/>
    </xf>
    <xf numFmtId="0" fontId="0" fillId="2" borderId="25" xfId="0" applyFill="1" applyBorder="1" applyAlignment="1">
      <alignment horizontal="center" vertical="top" wrapText="1"/>
    </xf>
    <xf numFmtId="0" fontId="0" fillId="3" borderId="298" xfId="0" applyFill="1" applyBorder="1" applyAlignment="1">
      <alignment horizontal="left" vertical="top" wrapText="1"/>
    </xf>
    <xf numFmtId="0" fontId="0" fillId="3" borderId="299" xfId="0" applyFill="1" applyBorder="1" applyAlignment="1">
      <alignment horizontal="left" vertical="top" wrapText="1"/>
    </xf>
    <xf numFmtId="0" fontId="0" fillId="3" borderId="300" xfId="0" applyFill="1" applyBorder="1" applyAlignment="1">
      <alignment horizontal="left" vertical="top" wrapText="1"/>
    </xf>
    <xf numFmtId="0" fontId="0" fillId="3" borderId="0" xfId="0" applyFill="1" applyAlignment="1">
      <alignment horizontal="left" vertical="top" wrapText="1"/>
    </xf>
    <xf numFmtId="0" fontId="0" fillId="3" borderId="301" xfId="0" applyFill="1" applyBorder="1" applyAlignment="1">
      <alignment horizontal="left" vertical="top" wrapText="1"/>
    </xf>
    <xf numFmtId="0" fontId="0" fillId="3" borderId="302" xfId="0" applyFill="1" applyBorder="1" applyAlignment="1">
      <alignment horizontal="left" vertical="top" wrapText="1"/>
    </xf>
    <xf numFmtId="0" fontId="0" fillId="3" borderId="303" xfId="0" applyFill="1" applyBorder="1" applyAlignment="1">
      <alignment horizontal="left" vertical="top" wrapText="1"/>
    </xf>
    <xf numFmtId="0" fontId="0" fillId="3" borderId="304" xfId="0" applyFill="1" applyBorder="1" applyAlignment="1">
      <alignment horizontal="left" vertical="top" wrapText="1"/>
    </xf>
    <xf numFmtId="0" fontId="62" fillId="3" borderId="220" xfId="0" applyFont="1" applyFill="1" applyBorder="1" applyAlignment="1">
      <alignment horizontal="left" vertical="top" wrapText="1"/>
    </xf>
    <xf numFmtId="0" fontId="62" fillId="3" borderId="221" xfId="0" applyFont="1" applyFill="1" applyBorder="1" applyAlignment="1">
      <alignment horizontal="left" vertical="top" wrapText="1"/>
    </xf>
    <xf numFmtId="0" fontId="62" fillId="3" borderId="222" xfId="0" applyFont="1" applyFill="1" applyBorder="1" applyAlignment="1">
      <alignment horizontal="left" vertical="top" wrapText="1"/>
    </xf>
    <xf numFmtId="0" fontId="62" fillId="3" borderId="223" xfId="0" applyFont="1" applyFill="1" applyBorder="1" applyAlignment="1">
      <alignment horizontal="left" vertical="top" wrapText="1"/>
    </xf>
    <xf numFmtId="0" fontId="62" fillId="3" borderId="0" xfId="0" applyFont="1" applyFill="1" applyAlignment="1">
      <alignment horizontal="left" vertical="top" wrapText="1"/>
    </xf>
    <xf numFmtId="0" fontId="62" fillId="3" borderId="224" xfId="0" applyFont="1" applyFill="1" applyBorder="1" applyAlignment="1">
      <alignment horizontal="left" vertical="top" wrapText="1"/>
    </xf>
    <xf numFmtId="0" fontId="62" fillId="3" borderId="225" xfId="0" applyFont="1" applyFill="1" applyBorder="1" applyAlignment="1">
      <alignment horizontal="left" vertical="top" wrapText="1"/>
    </xf>
    <xf numFmtId="0" fontId="62" fillId="3" borderId="226" xfId="0" applyFont="1" applyFill="1" applyBorder="1" applyAlignment="1">
      <alignment horizontal="left" vertical="top" wrapText="1"/>
    </xf>
    <xf numFmtId="0" fontId="62" fillId="3" borderId="227" xfId="0" applyFont="1" applyFill="1" applyBorder="1" applyAlignment="1">
      <alignment horizontal="left" vertical="top" wrapText="1"/>
    </xf>
    <xf numFmtId="0" fontId="76" fillId="0" borderId="0" xfId="0" applyFont="1" applyAlignment="1">
      <alignment horizontal="center" textRotation="90"/>
    </xf>
    <xf numFmtId="0" fontId="182" fillId="0" borderId="297" xfId="0" applyFont="1" applyBorder="1" applyAlignment="1">
      <alignment horizontal="left" vertical="center"/>
    </xf>
    <xf numFmtId="0" fontId="182" fillId="0" borderId="298" xfId="0" applyFont="1" applyBorder="1" applyAlignment="1">
      <alignment horizontal="left" vertical="center"/>
    </xf>
    <xf numFmtId="0" fontId="182" fillId="0" borderId="299" xfId="0" applyFont="1" applyBorder="1" applyAlignment="1">
      <alignment horizontal="left" vertical="center"/>
    </xf>
    <xf numFmtId="0" fontId="182" fillId="0" borderId="302" xfId="0" applyFont="1" applyBorder="1" applyAlignment="1">
      <alignment horizontal="left" vertical="center"/>
    </xf>
    <xf numFmtId="0" fontId="182" fillId="0" borderId="303" xfId="0" applyFont="1" applyBorder="1" applyAlignment="1">
      <alignment horizontal="left" vertical="center"/>
    </xf>
    <xf numFmtId="0" fontId="182" fillId="0" borderId="304" xfId="0" applyFont="1" applyBorder="1" applyAlignment="1">
      <alignment horizontal="left" vertical="center"/>
    </xf>
    <xf numFmtId="14" fontId="17" fillId="4" borderId="272" xfId="0" applyNumberFormat="1" applyFont="1" applyFill="1" applyBorder="1" applyAlignment="1">
      <alignment horizontal="left" vertical="top"/>
    </xf>
    <xf numFmtId="14" fontId="17" fillId="4" borderId="305" xfId="0" applyNumberFormat="1" applyFont="1" applyFill="1" applyBorder="1" applyAlignment="1">
      <alignment horizontal="left" vertical="top"/>
    </xf>
    <xf numFmtId="14" fontId="17" fillId="4" borderId="273" xfId="0" applyNumberFormat="1" applyFont="1" applyFill="1" applyBorder="1" applyAlignment="1">
      <alignment horizontal="left" vertical="top"/>
    </xf>
    <xf numFmtId="3" fontId="17" fillId="4" borderId="272" xfId="0" applyNumberFormat="1" applyFont="1" applyFill="1" applyBorder="1" applyAlignment="1">
      <alignment horizontal="left"/>
    </xf>
    <xf numFmtId="3" fontId="17" fillId="4" borderId="305" xfId="0" applyNumberFormat="1" applyFont="1" applyFill="1" applyBorder="1" applyAlignment="1">
      <alignment horizontal="left"/>
    </xf>
    <xf numFmtId="3" fontId="17" fillId="4" borderId="273" xfId="0" applyNumberFormat="1" applyFont="1" applyFill="1" applyBorder="1" applyAlignment="1">
      <alignment horizontal="left"/>
    </xf>
    <xf numFmtId="14" fontId="17" fillId="4" borderId="272" xfId="0" applyNumberFormat="1" applyFont="1" applyFill="1" applyBorder="1" applyAlignment="1">
      <alignment horizontal="left"/>
    </xf>
    <xf numFmtId="14" fontId="17" fillId="4" borderId="305" xfId="0" applyNumberFormat="1" applyFont="1" applyFill="1" applyBorder="1" applyAlignment="1">
      <alignment horizontal="left"/>
    </xf>
    <xf numFmtId="14" fontId="17" fillId="4" borderId="273" xfId="0" applyNumberFormat="1" applyFont="1" applyFill="1" applyBorder="1" applyAlignment="1">
      <alignment horizontal="left"/>
    </xf>
    <xf numFmtId="3" fontId="17" fillId="4" borderId="194" xfId="53" applyNumberFormat="1" applyFont="1" applyFill="1" applyBorder="1" applyAlignment="1">
      <alignment horizontal="left"/>
    </xf>
    <xf numFmtId="3" fontId="17" fillId="4" borderId="200" xfId="53" applyNumberFormat="1" applyFont="1" applyFill="1" applyBorder="1" applyAlignment="1">
      <alignment horizontal="left"/>
    </xf>
    <xf numFmtId="3" fontId="17" fillId="4" borderId="195" xfId="53" applyNumberFormat="1" applyFont="1" applyFill="1" applyBorder="1" applyAlignment="1">
      <alignment horizontal="left"/>
    </xf>
    <xf numFmtId="166" fontId="0" fillId="4" borderId="194" xfId="0" applyNumberFormat="1" applyFill="1" applyBorder="1" applyAlignment="1">
      <alignment horizontal="left"/>
    </xf>
    <xf numFmtId="166" fontId="0" fillId="4" borderId="200" xfId="0" applyNumberFormat="1" applyFill="1" applyBorder="1" applyAlignment="1">
      <alignment horizontal="left"/>
    </xf>
    <xf numFmtId="166" fontId="0" fillId="4" borderId="195" xfId="0" applyNumberFormat="1" applyFill="1" applyBorder="1" applyAlignment="1">
      <alignment horizontal="left"/>
    </xf>
    <xf numFmtId="10" fontId="0" fillId="4" borderId="194" xfId="0" applyNumberFormat="1" applyFill="1" applyBorder="1" applyAlignment="1">
      <alignment horizontal="left"/>
    </xf>
    <xf numFmtId="10" fontId="0" fillId="4" borderId="195" xfId="0" applyNumberFormat="1" applyFill="1" applyBorder="1" applyAlignment="1">
      <alignment horizontal="left"/>
    </xf>
    <xf numFmtId="14" fontId="0" fillId="4" borderId="194" xfId="0" applyNumberFormat="1" applyFill="1" applyBorder="1" applyAlignment="1">
      <alignment horizontal="left"/>
    </xf>
    <xf numFmtId="14" fontId="0" fillId="4" borderId="195" xfId="0" applyNumberFormat="1" applyFill="1" applyBorder="1" applyAlignment="1">
      <alignment horizontal="left"/>
    </xf>
    <xf numFmtId="0" fontId="107" fillId="0" borderId="220" xfId="0" applyFont="1" applyBorder="1" applyAlignment="1">
      <alignment horizontal="left" vertical="top" wrapText="1"/>
    </xf>
    <xf numFmtId="0" fontId="107" fillId="0" borderId="221" xfId="0" applyFont="1" applyBorder="1" applyAlignment="1">
      <alignment horizontal="left" vertical="top" wrapText="1"/>
    </xf>
    <xf numFmtId="0" fontId="107" fillId="0" borderId="222" xfId="0" applyFont="1" applyBorder="1" applyAlignment="1">
      <alignment horizontal="left" vertical="top" wrapText="1"/>
    </xf>
    <xf numFmtId="0" fontId="107" fillId="0" borderId="223" xfId="0" applyFont="1" applyBorder="1" applyAlignment="1">
      <alignment horizontal="left" vertical="top" wrapText="1"/>
    </xf>
    <xf numFmtId="0" fontId="107" fillId="0" borderId="0" xfId="0" applyFont="1" applyAlignment="1">
      <alignment horizontal="left" vertical="top" wrapText="1"/>
    </xf>
    <xf numFmtId="0" fontId="107" fillId="0" borderId="224" xfId="0" applyFont="1" applyBorder="1" applyAlignment="1">
      <alignment horizontal="left" vertical="top" wrapText="1"/>
    </xf>
    <xf numFmtId="0" fontId="107" fillId="0" borderId="225" xfId="0" applyFont="1" applyBorder="1" applyAlignment="1">
      <alignment horizontal="left" vertical="top" wrapText="1"/>
    </xf>
    <xf numFmtId="0" fontId="107" fillId="0" borderId="226" xfId="0" applyFont="1" applyBorder="1" applyAlignment="1">
      <alignment horizontal="left" vertical="top" wrapText="1"/>
    </xf>
    <xf numFmtId="0" fontId="107" fillId="0" borderId="227" xfId="0" applyFont="1" applyBorder="1" applyAlignment="1">
      <alignment horizontal="left" vertical="top" wrapText="1"/>
    </xf>
    <xf numFmtId="10" fontId="0" fillId="4" borderId="200" xfId="0" applyNumberFormat="1" applyFill="1" applyBorder="1" applyAlignment="1">
      <alignment horizontal="left"/>
    </xf>
    <xf numFmtId="166" fontId="17" fillId="4" borderId="194" xfId="0" applyNumberFormat="1" applyFont="1" applyFill="1" applyBorder="1" applyAlignment="1">
      <alignment horizontal="left"/>
    </xf>
    <xf numFmtId="166" fontId="17" fillId="4" borderId="195" xfId="0" applyNumberFormat="1" applyFont="1" applyFill="1" applyBorder="1" applyAlignment="1">
      <alignment horizontal="left"/>
    </xf>
    <xf numFmtId="0" fontId="107" fillId="0" borderId="103" xfId="0" applyFont="1" applyBorder="1" applyAlignment="1">
      <alignment horizontal="left"/>
    </xf>
    <xf numFmtId="0" fontId="107" fillId="0" borderId="104" xfId="0" applyFont="1" applyBorder="1" applyAlignment="1">
      <alignment horizontal="left"/>
    </xf>
    <xf numFmtId="0" fontId="107" fillId="0" borderId="105" xfId="0" applyFont="1" applyBorder="1" applyAlignment="1">
      <alignment horizontal="left"/>
    </xf>
    <xf numFmtId="1" fontId="17" fillId="4" borderId="195" xfId="0" applyNumberFormat="1" applyFont="1" applyFill="1" applyBorder="1" applyAlignment="1">
      <alignment horizontal="left"/>
    </xf>
    <xf numFmtId="0" fontId="85" fillId="0" borderId="0" xfId="0" applyFont="1" applyAlignment="1">
      <alignment horizontal="right" wrapText="1" indent="1"/>
    </xf>
    <xf numFmtId="0" fontId="85" fillId="0" borderId="29" xfId="0" applyFont="1" applyBorder="1" applyAlignment="1">
      <alignment horizontal="right"/>
    </xf>
    <xf numFmtId="0" fontId="24" fillId="0" borderId="231" xfId="0" applyFont="1" applyBorder="1" applyAlignment="1">
      <alignment horizontal="right"/>
    </xf>
    <xf numFmtId="170" fontId="17" fillId="4" borderId="200" xfId="0" applyNumberFormat="1" applyFont="1" applyFill="1" applyBorder="1" applyAlignment="1">
      <alignment horizontal="left"/>
    </xf>
    <xf numFmtId="170" fontId="17" fillId="4" borderId="195" xfId="0" applyNumberFormat="1" applyFont="1" applyFill="1" applyBorder="1" applyAlignment="1">
      <alignment horizontal="left"/>
    </xf>
    <xf numFmtId="176" fontId="76" fillId="3" borderId="23" xfId="0" applyNumberFormat="1" applyFont="1" applyFill="1" applyBorder="1" applyAlignment="1">
      <alignment horizontal="left"/>
    </xf>
    <xf numFmtId="176" fontId="76" fillId="3" borderId="11" xfId="0" applyNumberFormat="1" applyFont="1" applyFill="1" applyBorder="1" applyAlignment="1">
      <alignment horizontal="left"/>
    </xf>
    <xf numFmtId="0" fontId="57" fillId="3" borderId="23" xfId="0" applyFont="1" applyFill="1" applyBorder="1" applyAlignment="1">
      <alignment horizontal="left"/>
    </xf>
    <xf numFmtId="0" fontId="57" fillId="3" borderId="11" xfId="0" applyFont="1" applyFill="1" applyBorder="1" applyAlignment="1">
      <alignment horizontal="left"/>
    </xf>
    <xf numFmtId="175" fontId="76" fillId="3" borderId="23" xfId="0" applyNumberFormat="1" applyFont="1" applyFill="1" applyBorder="1" applyAlignment="1">
      <alignment horizontal="left"/>
    </xf>
    <xf numFmtId="175" fontId="76" fillId="3" borderId="11" xfId="0" applyNumberFormat="1" applyFont="1" applyFill="1" applyBorder="1" applyAlignment="1">
      <alignment horizontal="left"/>
    </xf>
    <xf numFmtId="0" fontId="76" fillId="3" borderId="192" xfId="0" applyFont="1" applyFill="1" applyBorder="1" applyAlignment="1">
      <alignment horizontal="left" vertical="top" wrapText="1"/>
    </xf>
    <xf numFmtId="0" fontId="76" fillId="3" borderId="191" xfId="0" applyFont="1" applyFill="1" applyBorder="1" applyAlignment="1">
      <alignment horizontal="left" vertical="top" wrapText="1"/>
    </xf>
    <xf numFmtId="0" fontId="76" fillId="3" borderId="253" xfId="0" applyFont="1" applyFill="1" applyBorder="1" applyAlignment="1">
      <alignment horizontal="left" vertical="top" wrapText="1"/>
    </xf>
    <xf numFmtId="0" fontId="76" fillId="3" borderId="29" xfId="0" applyFont="1" applyFill="1" applyBorder="1" applyAlignment="1">
      <alignment horizontal="left" vertical="top" wrapText="1"/>
    </xf>
    <xf numFmtId="0" fontId="76" fillId="3" borderId="0" xfId="0" applyFont="1" applyFill="1" applyAlignment="1">
      <alignment horizontal="left" vertical="top" wrapText="1"/>
    </xf>
    <xf numFmtId="0" fontId="76" fillId="3" borderId="44" xfId="0" applyFont="1" applyFill="1" applyBorder="1" applyAlignment="1">
      <alignment horizontal="left" vertical="top" wrapText="1"/>
    </xf>
    <xf numFmtId="0" fontId="76" fillId="3" borderId="10" xfId="0" applyFont="1" applyFill="1" applyBorder="1" applyAlignment="1">
      <alignment horizontal="left" vertical="top" wrapText="1"/>
    </xf>
    <xf numFmtId="0" fontId="76" fillId="3" borderId="23" xfId="0" applyFont="1" applyFill="1" applyBorder="1" applyAlignment="1">
      <alignment horizontal="left" vertical="top" wrapText="1"/>
    </xf>
    <xf numFmtId="0" fontId="76" fillId="3" borderId="11" xfId="0" applyFont="1" applyFill="1" applyBorder="1" applyAlignment="1">
      <alignment horizontal="left" vertical="top" wrapText="1"/>
    </xf>
    <xf numFmtId="0" fontId="76" fillId="7" borderId="23" xfId="0" applyFont="1" applyFill="1" applyBorder="1" applyAlignment="1">
      <alignment horizontal="left"/>
    </xf>
    <xf numFmtId="0" fontId="76" fillId="7" borderId="11" xfId="0" applyFont="1" applyFill="1" applyBorder="1" applyAlignment="1">
      <alignment horizontal="left"/>
    </xf>
    <xf numFmtId="165" fontId="76" fillId="7" borderId="23" xfId="0" applyNumberFormat="1" applyFont="1" applyFill="1" applyBorder="1" applyAlignment="1">
      <alignment horizontal="left"/>
    </xf>
    <xf numFmtId="165" fontId="76" fillId="7" borderId="11" xfId="0" applyNumberFormat="1" applyFont="1" applyFill="1" applyBorder="1" applyAlignment="1">
      <alignment horizontal="left"/>
    </xf>
    <xf numFmtId="3" fontId="79" fillId="3" borderId="23" xfId="0" applyNumberFormat="1" applyFont="1" applyFill="1" applyBorder="1" applyAlignment="1">
      <alignment horizontal="left" indent="1"/>
    </xf>
    <xf numFmtId="3" fontId="79" fillId="3" borderId="11" xfId="0" applyNumberFormat="1" applyFont="1" applyFill="1" applyBorder="1" applyAlignment="1">
      <alignment horizontal="left" indent="1"/>
    </xf>
    <xf numFmtId="0" fontId="3" fillId="21" borderId="0" xfId="0" applyFont="1" applyFill="1" applyAlignment="1">
      <alignment horizontal="left"/>
    </xf>
    <xf numFmtId="0" fontId="3" fillId="21" borderId="0" xfId="0" applyFont="1" applyFill="1" applyAlignment="1">
      <alignment horizontal="right"/>
    </xf>
    <xf numFmtId="3" fontId="76" fillId="7" borderId="23" xfId="0" applyNumberFormat="1" applyFont="1" applyFill="1" applyBorder="1" applyAlignment="1">
      <alignment horizontal="left"/>
    </xf>
    <xf numFmtId="3" fontId="76" fillId="7" borderId="11" xfId="0" applyNumberFormat="1" applyFont="1" applyFill="1" applyBorder="1" applyAlignment="1">
      <alignment horizontal="left"/>
    </xf>
    <xf numFmtId="0" fontId="76" fillId="4" borderId="0" xfId="0" applyFont="1" applyFill="1" applyAlignment="1">
      <alignment horizontal="center"/>
    </xf>
    <xf numFmtId="0" fontId="76" fillId="4" borderId="44" xfId="0" applyFont="1" applyFill="1" applyBorder="1" applyAlignment="1">
      <alignment horizontal="center"/>
    </xf>
    <xf numFmtId="0" fontId="76" fillId="4" borderId="23" xfId="0" applyFont="1" applyFill="1" applyBorder="1" applyAlignment="1">
      <alignment horizontal="center"/>
    </xf>
    <xf numFmtId="0" fontId="76" fillId="4" borderId="11" xfId="0" applyFont="1" applyFill="1" applyBorder="1" applyAlignment="1">
      <alignment horizontal="center"/>
    </xf>
    <xf numFmtId="1" fontId="107" fillId="0" borderId="95" xfId="0" applyNumberFormat="1" applyFont="1" applyBorder="1" applyAlignment="1">
      <alignment horizontal="left"/>
    </xf>
    <xf numFmtId="0" fontId="83" fillId="0" borderId="95" xfId="0" applyFont="1" applyBorder="1" applyAlignment="1">
      <alignment horizontal="left"/>
    </xf>
    <xf numFmtId="0" fontId="83" fillId="0" borderId="97" xfId="0" applyFont="1" applyBorder="1" applyAlignment="1">
      <alignment horizontal="left"/>
    </xf>
    <xf numFmtId="169" fontId="107" fillId="0" borderId="95" xfId="0" applyNumberFormat="1" applyFont="1" applyBorder="1" applyAlignment="1">
      <alignment horizontal="left"/>
    </xf>
    <xf numFmtId="3" fontId="17" fillId="2" borderId="194" xfId="0" applyNumberFormat="1" applyFont="1" applyFill="1" applyBorder="1" applyAlignment="1">
      <alignment horizontal="left"/>
    </xf>
    <xf numFmtId="0" fontId="17" fillId="2" borderId="200" xfId="0" applyFont="1" applyFill="1" applyBorder="1" applyAlignment="1">
      <alignment horizontal="left"/>
    </xf>
    <xf numFmtId="0" fontId="17" fillId="2" borderId="195" xfId="0" applyFont="1" applyFill="1" applyBorder="1" applyAlignment="1">
      <alignment horizontal="left"/>
    </xf>
    <xf numFmtId="0" fontId="84" fillId="0" borderId="0" xfId="0" applyFont="1" applyAlignment="1">
      <alignment horizontal="right" vertical="top" wrapText="1" indent="1"/>
    </xf>
    <xf numFmtId="0" fontId="0" fillId="0" borderId="0" xfId="0" applyAlignment="1">
      <alignment horizontal="right" vertical="top" wrapText="1" indent="1"/>
    </xf>
    <xf numFmtId="0" fontId="17" fillId="2" borderId="194" xfId="0" applyFont="1" applyFill="1" applyBorder="1" applyAlignment="1">
      <alignment horizontal="left"/>
    </xf>
    <xf numFmtId="0" fontId="107" fillId="0" borderId="71" xfId="0" applyFont="1" applyBorder="1" applyAlignment="1">
      <alignment horizontal="left" vertical="top" wrapText="1"/>
    </xf>
    <xf numFmtId="0" fontId="107" fillId="0" borderId="98" xfId="0" applyFont="1" applyBorder="1" applyAlignment="1">
      <alignment horizontal="left" vertical="top" wrapText="1"/>
    </xf>
    <xf numFmtId="0" fontId="107" fillId="0" borderId="74" xfId="0" applyFont="1" applyBorder="1" applyAlignment="1">
      <alignment horizontal="left" vertical="top" wrapText="1"/>
    </xf>
    <xf numFmtId="0" fontId="107" fillId="0" borderId="99" xfId="0" applyFont="1" applyBorder="1" applyAlignment="1">
      <alignment horizontal="left" vertical="top" wrapText="1"/>
    </xf>
    <xf numFmtId="0" fontId="107" fillId="0" borderId="100" xfId="0" applyFont="1" applyBorder="1" applyAlignment="1">
      <alignment horizontal="left" vertical="top" wrapText="1"/>
    </xf>
    <xf numFmtId="0" fontId="107" fillId="0" borderId="101" xfId="0" applyFont="1" applyBorder="1" applyAlignment="1">
      <alignment horizontal="left" vertical="top" wrapText="1"/>
    </xf>
    <xf numFmtId="0" fontId="108" fillId="0" borderId="0" xfId="0" applyFont="1" applyAlignment="1">
      <alignment horizontal="right" wrapText="1" indent="1"/>
    </xf>
    <xf numFmtId="0" fontId="108" fillId="0" borderId="23" xfId="0" applyFont="1" applyBorder="1" applyAlignment="1">
      <alignment horizontal="right" wrapText="1" indent="1"/>
    </xf>
    <xf numFmtId="0" fontId="17" fillId="0" borderId="0" xfId="0" applyFont="1" applyAlignment="1">
      <alignment horizontal="right" vertical="top" wrapText="1" indent="1"/>
    </xf>
    <xf numFmtId="170" fontId="0" fillId="2" borderId="192" xfId="0" applyNumberFormat="1" applyFill="1" applyBorder="1" applyAlignment="1">
      <alignment horizontal="left" vertical="top" wrapText="1"/>
    </xf>
    <xf numFmtId="170" fontId="0" fillId="2" borderId="191" xfId="0" applyNumberFormat="1" applyFill="1" applyBorder="1" applyAlignment="1">
      <alignment horizontal="left" vertical="top" wrapText="1"/>
    </xf>
    <xf numFmtId="170" fontId="0" fillId="2" borderId="253"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7" fillId="2" borderId="192" xfId="0" applyNumberFormat="1" applyFont="1" applyFill="1" applyBorder="1" applyAlignment="1">
      <alignment horizontal="left" vertical="top" wrapText="1"/>
    </xf>
    <xf numFmtId="170" fontId="17" fillId="2" borderId="253" xfId="0" applyNumberFormat="1" applyFont="1" applyFill="1" applyBorder="1" applyAlignment="1">
      <alignment horizontal="left" vertical="top" wrapText="1"/>
    </xf>
    <xf numFmtId="170" fontId="17" fillId="2" borderId="29" xfId="0" applyNumberFormat="1" applyFont="1" applyFill="1" applyBorder="1" applyAlignment="1">
      <alignment horizontal="left" vertical="top" wrapText="1"/>
    </xf>
    <xf numFmtId="170" fontId="17" fillId="2" borderId="44" xfId="0" applyNumberFormat="1" applyFont="1" applyFill="1" applyBorder="1" applyAlignment="1">
      <alignment horizontal="left" vertical="top" wrapText="1"/>
    </xf>
    <xf numFmtId="170" fontId="17" fillId="2" borderId="10" xfId="0" applyNumberFormat="1" applyFont="1" applyFill="1" applyBorder="1" applyAlignment="1">
      <alignment horizontal="left" vertical="top" wrapText="1"/>
    </xf>
    <xf numFmtId="170" fontId="17" fillId="2" borderId="11" xfId="0" applyNumberFormat="1" applyFont="1" applyFill="1" applyBorder="1" applyAlignment="1">
      <alignment horizontal="left" vertical="top" wrapText="1"/>
    </xf>
    <xf numFmtId="0" fontId="107" fillId="0" borderId="0" xfId="0" applyFont="1" applyAlignment="1">
      <alignment horizontal="right" vertical="top" wrapText="1" indent="1"/>
    </xf>
    <xf numFmtId="0" fontId="107" fillId="0" borderId="72" xfId="0" applyFont="1" applyBorder="1" applyAlignment="1">
      <alignment horizontal="left" vertical="top" wrapText="1"/>
    </xf>
    <xf numFmtId="0" fontId="107" fillId="0" borderId="102" xfId="0" applyFont="1" applyBorder="1" applyAlignment="1">
      <alignment horizontal="left" vertical="top" wrapText="1"/>
    </xf>
    <xf numFmtId="14" fontId="17" fillId="2" borderId="194" xfId="0" applyNumberFormat="1" applyFont="1" applyFill="1" applyBorder="1" applyAlignment="1">
      <alignment horizontal="left"/>
    </xf>
    <xf numFmtId="14" fontId="17" fillId="2" borderId="200" xfId="0" applyNumberFormat="1" applyFont="1" applyFill="1" applyBorder="1" applyAlignment="1">
      <alignment horizontal="left"/>
    </xf>
    <xf numFmtId="14" fontId="17" fillId="2" borderId="195" xfId="0" applyNumberFormat="1" applyFont="1" applyFill="1" applyBorder="1" applyAlignment="1">
      <alignment horizontal="left"/>
    </xf>
    <xf numFmtId="166" fontId="17" fillId="2" borderId="194" xfId="0" applyNumberFormat="1" applyFont="1" applyFill="1" applyBorder="1" applyAlignment="1">
      <alignment horizontal="left"/>
    </xf>
    <xf numFmtId="166" fontId="17" fillId="2" borderId="200" xfId="0" applyNumberFormat="1" applyFont="1" applyFill="1" applyBorder="1" applyAlignment="1">
      <alignment horizontal="left"/>
    </xf>
    <xf numFmtId="166" fontId="17" fillId="2" borderId="195" xfId="0" applyNumberFormat="1" applyFont="1" applyFill="1" applyBorder="1" applyAlignment="1">
      <alignment horizontal="left"/>
    </xf>
    <xf numFmtId="174" fontId="17" fillId="2" borderId="194" xfId="0" applyNumberFormat="1" applyFont="1" applyFill="1" applyBorder="1" applyAlignment="1">
      <alignment horizontal="left"/>
    </xf>
    <xf numFmtId="174" fontId="17" fillId="2" borderId="200" xfId="0" applyNumberFormat="1" applyFont="1" applyFill="1" applyBorder="1" applyAlignment="1">
      <alignment horizontal="left"/>
    </xf>
    <xf numFmtId="174" fontId="17" fillId="2" borderId="195" xfId="0" applyNumberFormat="1" applyFont="1" applyFill="1" applyBorder="1" applyAlignment="1">
      <alignment horizontal="left"/>
    </xf>
    <xf numFmtId="10" fontId="17" fillId="2" borderId="194" xfId="0" applyNumberFormat="1" applyFont="1" applyFill="1" applyBorder="1" applyAlignment="1">
      <alignment horizontal="left"/>
    </xf>
    <xf numFmtId="10" fontId="17" fillId="2" borderId="195" xfId="0" applyNumberFormat="1" applyFont="1" applyFill="1" applyBorder="1" applyAlignment="1">
      <alignment horizontal="left"/>
    </xf>
    <xf numFmtId="10" fontId="17" fillId="2" borderId="200" xfId="0" applyNumberFormat="1" applyFont="1" applyFill="1" applyBorder="1" applyAlignment="1">
      <alignment horizontal="left"/>
    </xf>
    <xf numFmtId="3" fontId="17" fillId="2" borderId="200" xfId="0" applyNumberFormat="1" applyFont="1" applyFill="1" applyBorder="1" applyAlignment="1">
      <alignment horizontal="left"/>
    </xf>
    <xf numFmtId="3" fontId="17" fillId="2" borderId="195" xfId="0" applyNumberFormat="1" applyFont="1" applyFill="1" applyBorder="1" applyAlignment="1">
      <alignment horizontal="left"/>
    </xf>
    <xf numFmtId="0" fontId="17" fillId="0" borderId="95" xfId="0" applyFont="1" applyBorder="1" applyAlignment="1">
      <alignment horizontal="left"/>
    </xf>
    <xf numFmtId="0" fontId="17" fillId="0" borderId="96" xfId="0" applyFont="1" applyBorder="1" applyAlignment="1">
      <alignment horizontal="left"/>
    </xf>
    <xf numFmtId="0" fontId="17" fillId="0" borderId="97" xfId="0" applyFont="1" applyBorder="1" applyAlignment="1">
      <alignment horizontal="left"/>
    </xf>
    <xf numFmtId="0" fontId="83" fillId="0" borderId="96" xfId="0" applyFont="1" applyBorder="1" applyAlignment="1">
      <alignment horizontal="left"/>
    </xf>
    <xf numFmtId="169" fontId="17" fillId="2" borderId="194" xfId="0" applyNumberFormat="1" applyFont="1" applyFill="1" applyBorder="1" applyAlignment="1">
      <alignment horizontal="left"/>
    </xf>
    <xf numFmtId="169" fontId="17" fillId="2" borderId="195" xfId="0" applyNumberFormat="1" applyFont="1" applyFill="1" applyBorder="1" applyAlignment="1">
      <alignment horizontal="left"/>
    </xf>
    <xf numFmtId="170" fontId="17" fillId="2" borderId="194" xfId="0" applyNumberFormat="1" applyFont="1" applyFill="1" applyBorder="1" applyAlignment="1">
      <alignment horizontal="left"/>
    </xf>
    <xf numFmtId="170" fontId="17" fillId="2" borderId="200" xfId="0" applyNumberFormat="1" applyFont="1" applyFill="1" applyBorder="1" applyAlignment="1">
      <alignment horizontal="left"/>
    </xf>
    <xf numFmtId="170" fontId="17" fillId="2" borderId="195" xfId="0" applyNumberFormat="1" applyFont="1" applyFill="1" applyBorder="1" applyAlignment="1">
      <alignment horizontal="left"/>
    </xf>
    <xf numFmtId="1" fontId="17" fillId="2" borderId="194" xfId="0" applyNumberFormat="1" applyFont="1" applyFill="1" applyBorder="1" applyAlignment="1">
      <alignment horizontal="left"/>
    </xf>
    <xf numFmtId="0" fontId="0" fillId="2" borderId="192" xfId="0" applyFill="1" applyBorder="1" applyAlignment="1">
      <alignment horizontal="left" vertical="top" wrapText="1"/>
    </xf>
    <xf numFmtId="0" fontId="0" fillId="2" borderId="191" xfId="0" applyFill="1" applyBorder="1" applyAlignment="1">
      <alignment horizontal="left" vertical="top" wrapText="1"/>
    </xf>
    <xf numFmtId="0" fontId="0" fillId="2" borderId="253" xfId="0" applyFill="1" applyBorder="1" applyAlignment="1">
      <alignment horizontal="left" vertical="top" wrapText="1"/>
    </xf>
    <xf numFmtId="0" fontId="0" fillId="2" borderId="29" xfId="0" applyFill="1" applyBorder="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165" fontId="0" fillId="4" borderId="200" xfId="0" applyNumberFormat="1" applyFill="1" applyBorder="1" applyAlignment="1">
      <alignment horizontal="left"/>
    </xf>
    <xf numFmtId="0" fontId="34" fillId="0" borderId="0" xfId="0" applyFont="1" applyAlignment="1" applyProtection="1">
      <alignment horizontal="center" vertical="top"/>
      <protection locked="0"/>
    </xf>
    <xf numFmtId="0" fontId="5" fillId="0" borderId="0" xfId="0" applyFont="1" applyAlignment="1" applyProtection="1">
      <alignment horizontal="center" vertical="top" wrapText="1"/>
      <protection locked="0"/>
    </xf>
    <xf numFmtId="0" fontId="0" fillId="0" borderId="93" xfId="0" applyBorder="1" applyAlignment="1" applyProtection="1">
      <alignment horizontal="center"/>
      <protection locked="0"/>
    </xf>
    <xf numFmtId="3" fontId="0" fillId="4" borderId="200" xfId="0" applyNumberFormat="1" applyFill="1" applyBorder="1" applyAlignment="1">
      <alignment horizontal="left"/>
    </xf>
    <xf numFmtId="3" fontId="0" fillId="4" borderId="195" xfId="0" applyNumberFormat="1" applyFill="1" applyBorder="1" applyAlignment="1">
      <alignment horizontal="left"/>
    </xf>
    <xf numFmtId="0" fontId="0" fillId="2" borderId="194" xfId="0" applyFill="1" applyBorder="1" applyAlignment="1">
      <alignment horizontal="left"/>
    </xf>
    <xf numFmtId="0" fontId="0" fillId="2" borderId="200" xfId="0" applyFill="1" applyBorder="1" applyAlignment="1">
      <alignment horizontal="left"/>
    </xf>
    <xf numFmtId="0" fontId="0" fillId="2" borderId="195" xfId="0" applyFill="1" applyBorder="1" applyAlignment="1">
      <alignment horizontal="left"/>
    </xf>
    <xf numFmtId="169" fontId="0" fillId="2" borderId="194" xfId="0" applyNumberFormat="1" applyFill="1" applyBorder="1" applyAlignment="1">
      <alignment horizontal="left"/>
    </xf>
    <xf numFmtId="169" fontId="0" fillId="2" borderId="200" xfId="0" applyNumberFormat="1" applyFill="1" applyBorder="1" applyAlignment="1">
      <alignment horizontal="left"/>
    </xf>
    <xf numFmtId="169" fontId="0" fillId="2" borderId="195" xfId="0" applyNumberFormat="1" applyFill="1" applyBorder="1" applyAlignment="1">
      <alignment horizontal="left"/>
    </xf>
    <xf numFmtId="0" fontId="24" fillId="0" borderId="29" xfId="0" applyFont="1" applyBorder="1" applyAlignment="1">
      <alignment horizontal="right" wrapText="1" indent="1"/>
    </xf>
    <xf numFmtId="0" fontId="18" fillId="0" borderId="0" xfId="0" applyFont="1" applyAlignment="1">
      <alignment horizontal="right" wrapText="1" indent="1"/>
    </xf>
    <xf numFmtId="166" fontId="0" fillId="2" borderId="194" xfId="0" applyNumberFormat="1" applyFill="1" applyBorder="1" applyAlignment="1">
      <alignment horizontal="left"/>
    </xf>
    <xf numFmtId="166" fontId="0" fillId="2" borderId="195" xfId="0" applyNumberFormat="1" applyFill="1" applyBorder="1" applyAlignment="1">
      <alignment horizontal="left"/>
    </xf>
    <xf numFmtId="0" fontId="109" fillId="0" borderId="0" xfId="0" applyFont="1" applyAlignment="1">
      <alignment horizontal="right" wrapText="1" indent="1"/>
    </xf>
    <xf numFmtId="0" fontId="109" fillId="0" borderId="23" xfId="0" applyFont="1" applyBorder="1" applyAlignment="1">
      <alignment horizontal="right" wrapText="1" indent="1"/>
    </xf>
    <xf numFmtId="0" fontId="109" fillId="0" borderId="29" xfId="0" applyFont="1" applyBorder="1" applyAlignment="1">
      <alignment horizontal="right" wrapText="1" indent="1"/>
    </xf>
    <xf numFmtId="169" fontId="17" fillId="2" borderId="200" xfId="0" applyNumberFormat="1" applyFont="1" applyFill="1" applyBorder="1" applyAlignment="1">
      <alignment horizontal="left"/>
    </xf>
    <xf numFmtId="0" fontId="0" fillId="0" borderId="193" xfId="0" applyBorder="1" applyAlignment="1">
      <alignment horizontal="center" vertical="center"/>
    </xf>
    <xf numFmtId="0" fontId="0" fillId="0" borderId="194" xfId="0" applyBorder="1" applyAlignment="1">
      <alignment horizontal="center" vertical="center"/>
    </xf>
    <xf numFmtId="0" fontId="0" fillId="11" borderId="201"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1"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1"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1"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3" fillId="5" borderId="192" xfId="0" applyFont="1" applyFill="1" applyBorder="1" applyAlignment="1">
      <alignment horizontal="center"/>
    </xf>
    <xf numFmtId="0" fontId="3" fillId="5" borderId="191" xfId="0" applyFont="1" applyFill="1" applyBorder="1" applyAlignment="1">
      <alignment horizontal="center"/>
    </xf>
    <xf numFmtId="0" fontId="3" fillId="5" borderId="253" xfId="0" applyFont="1" applyFill="1" applyBorder="1" applyAlignment="1">
      <alignment horizontal="center"/>
    </xf>
    <xf numFmtId="42" fontId="6" fillId="14" borderId="193" xfId="3" applyNumberFormat="1" applyBorder="1" applyAlignment="1">
      <alignment horizontal="left"/>
    </xf>
    <xf numFmtId="0" fontId="0" fillId="4" borderId="194" xfId="0" applyFill="1" applyBorder="1" applyAlignment="1" applyProtection="1">
      <alignment horizontal="center"/>
      <protection locked="0"/>
    </xf>
    <xf numFmtId="0" fontId="0" fillId="4" borderId="195" xfId="0" applyFill="1" applyBorder="1" applyAlignment="1" applyProtection="1">
      <alignment horizontal="center"/>
      <protection locked="0"/>
    </xf>
    <xf numFmtId="0" fontId="52" fillId="17" borderId="28" xfId="0" applyFont="1" applyFill="1" applyBorder="1" applyAlignment="1">
      <alignment horizontal="left" vertical="center" wrapText="1"/>
    </xf>
    <xf numFmtId="0" fontId="52" fillId="17" borderId="0" xfId="0" applyFont="1" applyFill="1" applyAlignment="1">
      <alignment horizontal="left" vertical="center" wrapText="1"/>
    </xf>
    <xf numFmtId="0" fontId="52" fillId="17" borderId="81" xfId="0" applyFont="1" applyFill="1" applyBorder="1" applyAlignment="1">
      <alignment horizontal="left" vertical="center" wrapText="1"/>
    </xf>
    <xf numFmtId="0" fontId="52" fillId="17" borderId="27" xfId="0" applyFont="1" applyFill="1" applyBorder="1" applyAlignment="1">
      <alignment horizontal="left" vertical="center" wrapText="1"/>
    </xf>
    <xf numFmtId="0" fontId="52" fillId="17" borderId="82" xfId="0" applyFont="1" applyFill="1" applyBorder="1" applyAlignment="1">
      <alignment horizontal="left" vertical="center" wrapText="1"/>
    </xf>
    <xf numFmtId="0" fontId="52" fillId="17" borderId="26" xfId="0" applyFont="1" applyFill="1" applyBorder="1" applyAlignment="1">
      <alignment horizontal="left" vertical="center" wrapText="1"/>
    </xf>
    <xf numFmtId="14" fontId="0" fillId="2" borderId="193" xfId="0" applyNumberFormat="1" applyFill="1" applyBorder="1" applyAlignment="1">
      <alignment horizontal="center"/>
    </xf>
    <xf numFmtId="0" fontId="0" fillId="0" borderId="194" xfId="0" applyBorder="1" applyAlignment="1">
      <alignment horizontal="center"/>
    </xf>
    <xf numFmtId="0" fontId="0" fillId="0" borderId="195" xfId="0" applyBorder="1" applyAlignment="1">
      <alignment horizontal="center"/>
    </xf>
    <xf numFmtId="0" fontId="0" fillId="4" borderId="193" xfId="0" applyFill="1" applyBorder="1" applyAlignment="1" applyProtection="1">
      <alignment horizontal="center"/>
      <protection locked="0"/>
    </xf>
    <xf numFmtId="14" fontId="0" fillId="4" borderId="193" xfId="0" applyNumberFormat="1" applyFill="1" applyBorder="1" applyAlignment="1">
      <alignment horizontal="center"/>
    </xf>
    <xf numFmtId="0" fontId="132" fillId="64" borderId="203" xfId="0" applyFont="1" applyFill="1" applyBorder="1" applyAlignment="1">
      <alignment wrapText="1"/>
    </xf>
    <xf numFmtId="0" fontId="132" fillId="64" borderId="233" xfId="0" applyFont="1" applyFill="1" applyBorder="1" applyAlignment="1">
      <alignment wrapText="1"/>
    </xf>
    <xf numFmtId="0" fontId="132" fillId="64" borderId="234" xfId="0" applyFont="1" applyFill="1" applyBorder="1" applyAlignment="1">
      <alignment wrapText="1"/>
    </xf>
    <xf numFmtId="0" fontId="62" fillId="0" borderId="0" xfId="0" applyFont="1" applyAlignment="1">
      <alignment horizontal="left" wrapText="1"/>
    </xf>
    <xf numFmtId="0" fontId="0" fillId="0" borderId="0" xfId="0" applyAlignment="1">
      <alignment horizontal="left" wrapText="1"/>
    </xf>
  </cellXfs>
  <cellStyles count="55">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14" xfId="54"/>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3144">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numFmt numFmtId="173"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tint="-0.249977111117893"/>
      </font>
      <fill>
        <patternFill patternType="solid">
          <bgColor theme="0" tint="-4.9989318521683403E-2"/>
        </patternFill>
      </fill>
    </dxf>
    <dxf>
      <font>
        <color theme="0" tint="-0.249977111117893"/>
      </font>
      <fill>
        <patternFill patternType="solid">
          <bgColor theme="0" tint="-4.9989318521683403E-2"/>
        </patternFill>
      </fill>
    </dxf>
    <dxf>
      <font>
        <color theme="0" tint="-0.14996795556505021"/>
      </font>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bottom style="thin">
          <color rgb="FF000000"/>
        </bottom>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theme="0"/>
      </font>
      <fill>
        <patternFill>
          <bgColor theme="0"/>
        </patternFill>
      </fill>
      <border>
        <left/>
        <right/>
        <top/>
        <bottom/>
        <vertical/>
        <horizontal/>
      </border>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lor rgb="FF9C0006"/>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strike/>
        <color rgb="FF9C0006"/>
      </font>
      <fill>
        <patternFill>
          <bgColor rgb="FFFFCCCC"/>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CCC"/>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CCC"/>
        </patternFill>
      </fill>
    </dxf>
    <dxf>
      <font>
        <strike/>
        <color rgb="FF9C0006"/>
      </font>
      <fill>
        <patternFill>
          <bgColor rgb="FFFFCCCC"/>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b val="0"/>
        <i val="0"/>
        <color theme="0"/>
      </font>
      <fill>
        <patternFill>
          <bgColor rgb="FFFF0000"/>
        </patternFill>
      </fill>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b val="0"/>
        <i val="0"/>
        <color theme="0"/>
      </font>
      <fill>
        <patternFill>
          <bgColor rgb="FFFF0000"/>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ont>
        <b val="0"/>
        <i val="0"/>
        <color theme="0"/>
      </font>
      <fill>
        <patternFill>
          <bgColor rgb="FFFF0000"/>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rgb="FFFFFF00"/>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solid">
          <bgColor theme="0"/>
        </patternFill>
      </fill>
      <border>
        <left/>
        <right/>
        <top/>
        <bottom/>
      </border>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tint="-0.34998626667073579"/>
      </font>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ill>
        <patternFill>
          <bgColor theme="0" tint="-0.14996795556505021"/>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
      <font>
        <color theme="0" tint="-4.9989318521683403E-2"/>
      </font>
    </dxf>
    <dxf>
      <font>
        <color theme="0"/>
      </font>
    </dxf>
  </dxfs>
  <tableStyles count="0" defaultTableStyle="TableStyleMedium2" defaultPivotStyle="PivotStyleLight16"/>
  <colors>
    <mruColors>
      <color rgb="FFFFFFCC"/>
      <color rgb="FF2C1126"/>
      <color rgb="FFA49AA3"/>
      <color rgb="FFA593AB"/>
      <color rgb="FF897391"/>
      <color rgb="FFE45D48"/>
      <color rgb="FFFFFFFF"/>
      <color rgb="FF000000"/>
      <color rgb="FFF8F8F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Terms_2_Approval"/><Relationship Id="rId3" Type="http://schemas.openxmlformats.org/officeDocument/2006/relationships/hyperlink" Target="#_Fixture_1_Top"/><Relationship Id="rId7" Type="http://schemas.openxmlformats.org/officeDocument/2006/relationships/hyperlink" Target="#_Project_1_Top"/><Relationship Id="rId12" Type="http://schemas.openxmlformats.org/officeDocument/2006/relationships/hyperlink" Target="#_Terms_7_Inspections"/><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_Terms_8_Invoice"/><Relationship Id="rId5" Type="http://schemas.openxmlformats.org/officeDocument/2006/relationships/hyperlink" Target="#'Grant QC Review'!A18"/><Relationship Id="rId15" Type="http://schemas.openxmlformats.org/officeDocument/2006/relationships/hyperlink" Target="#_Terms_5_Incentives"/><Relationship Id="rId10" Type="http://schemas.openxmlformats.org/officeDocument/2006/relationships/hyperlink" Target="#_Terms_6_Specifications"/><Relationship Id="rId4" Type="http://schemas.openxmlformats.org/officeDocument/2006/relationships/hyperlink" Target="#Signature_Top"/><Relationship Id="rId9" Type="http://schemas.openxmlformats.org/officeDocument/2006/relationships/hyperlink" Target="#_Terms_4_Customers"/><Relationship Id="rId14" Type="http://schemas.openxmlformats.org/officeDocument/2006/relationships/hyperlink" Target="#_Terms_3_Submittals"/></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hyperlink" Target="#_Project_1_Top"/><Relationship Id="rId3" Type="http://schemas.openxmlformats.org/officeDocument/2006/relationships/hyperlink" Target="#'Grant QC Review'!B470"/><Relationship Id="rId7" Type="http://schemas.openxmlformats.org/officeDocument/2006/relationships/image" Target="../media/image6.jpeg"/><Relationship Id="rId12" Type="http://schemas.openxmlformats.org/officeDocument/2006/relationships/hyperlink" Target="#_Terms_1_Top"/><Relationship Id="rId2" Type="http://schemas.openxmlformats.org/officeDocument/2006/relationships/hyperlink" Target="#_QC_Form3"/><Relationship Id="rId1" Type="http://schemas.openxmlformats.org/officeDocument/2006/relationships/hyperlink" Target="#_QC_Top"/><Relationship Id="rId6" Type="http://schemas.openxmlformats.org/officeDocument/2006/relationships/hyperlink" Target="#_QC_Form2"/><Relationship Id="rId11" Type="http://schemas.openxmlformats.org/officeDocument/2006/relationships/hyperlink" Target="#'LLLC &amp; AELC'!A1"/><Relationship Id="rId5" Type="http://schemas.openxmlformats.org/officeDocument/2006/relationships/hyperlink" Target="#_QC_Grant"/><Relationship Id="rId10" Type="http://schemas.openxmlformats.org/officeDocument/2006/relationships/hyperlink" Target="#Signature_Top"/><Relationship Id="rId4" Type="http://schemas.openxmlformats.org/officeDocument/2006/relationships/hyperlink" Target="#_QC_Project"/><Relationship Id="rId9" Type="http://schemas.openxmlformats.org/officeDocument/2006/relationships/hyperlink" Target="#_Fixture_1_Top"/><Relationship Id="rId14" Type="http://schemas.openxmlformats.org/officeDocument/2006/relationships/hyperlink" Target="#_Install_Top"/></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Project!V22"/><Relationship Id="rId13" Type="http://schemas.openxmlformats.org/officeDocument/2006/relationships/hyperlink" Target="#'LLLC &amp; AELC'!A1"/><Relationship Id="rId3" Type="http://schemas.openxmlformats.org/officeDocument/2006/relationships/hyperlink" Target="#Project!AK22"/><Relationship Id="rId7" Type="http://schemas.openxmlformats.org/officeDocument/2006/relationships/hyperlink" Target="#Project!H24"/><Relationship Id="rId12" Type="http://schemas.openxmlformats.org/officeDocument/2006/relationships/hyperlink" Target="#'Grant QC Review'!A18"/><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Project!H59"/><Relationship Id="rId11" Type="http://schemas.openxmlformats.org/officeDocument/2006/relationships/hyperlink" Target="#Signature_Top"/><Relationship Id="rId5" Type="http://schemas.openxmlformats.org/officeDocument/2006/relationships/hyperlink" Target="#Project!U59"/><Relationship Id="rId15" Type="http://schemas.openxmlformats.org/officeDocument/2006/relationships/hyperlink" Target="#_Install_Top"/><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Project!E49"/><Relationship Id="rId14" Type="http://schemas.openxmlformats.org/officeDocument/2006/relationships/hyperlink" Target="#_Terms_1_Top"/></Relationships>
</file>

<file path=xl/drawings/_rels/drawing3.xml.rels><?xml version="1.0" encoding="UTF-8" standalone="yes"?>
<Relationships xmlns="http://schemas.openxmlformats.org/package/2006/relationships"><Relationship Id="rId8" Type="http://schemas.openxmlformats.org/officeDocument/2006/relationships/hyperlink" Target="#'LLLC &amp; AELC'!A1"/><Relationship Id="rId13" Type="http://schemas.openxmlformats.org/officeDocument/2006/relationships/hyperlink" Target="#_Fixture_3_10"/><Relationship Id="rId18" Type="http://schemas.openxmlformats.org/officeDocument/2006/relationships/hyperlink" Target="#_Fixture_6_N10"/><Relationship Id="rId3" Type="http://schemas.openxmlformats.org/officeDocument/2006/relationships/image" Target="../media/image1.jpeg"/><Relationship Id="rId21" Type="http://schemas.openxmlformats.org/officeDocument/2006/relationships/hyperlink" Target="#_Fixture_6_N40"/><Relationship Id="rId7" Type="http://schemas.openxmlformats.org/officeDocument/2006/relationships/hyperlink" Target="#'Grant QC Review'!A18"/><Relationship Id="rId12" Type="http://schemas.openxmlformats.org/officeDocument/2006/relationships/hyperlink" Target="#_Fixture_3_01"/><Relationship Id="rId17" Type="http://schemas.openxmlformats.org/officeDocument/2006/relationships/hyperlink" Target="#_Fixture_6_N01"/><Relationship Id="rId2" Type="http://schemas.openxmlformats.org/officeDocument/2006/relationships/hyperlink" Target="#_Fixture_2_Existing"/><Relationship Id="rId16" Type="http://schemas.openxmlformats.org/officeDocument/2006/relationships/hyperlink" Target="#_Fixture_4_Help"/><Relationship Id="rId20" Type="http://schemas.openxmlformats.org/officeDocument/2006/relationships/hyperlink" Target="#_Fixture_6_N3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Install_Top"/><Relationship Id="rId5" Type="http://schemas.openxmlformats.org/officeDocument/2006/relationships/hyperlink" Target="#_Fixture_1_Top"/><Relationship Id="rId15" Type="http://schemas.openxmlformats.org/officeDocument/2006/relationships/hyperlink" Target="#_Fixture_3_30"/><Relationship Id="rId10" Type="http://schemas.openxmlformats.org/officeDocument/2006/relationships/hyperlink" Target="#_Project_1_Top"/><Relationship Id="rId19" Type="http://schemas.openxmlformats.org/officeDocument/2006/relationships/hyperlink" Target="#_Fixture_6_N20"/><Relationship Id="rId4" Type="http://schemas.openxmlformats.org/officeDocument/2006/relationships/hyperlink" Target="#_Fixture_5_New"/><Relationship Id="rId9" Type="http://schemas.openxmlformats.org/officeDocument/2006/relationships/hyperlink" Target="#_Terms_1_Top"/><Relationship Id="rId14" Type="http://schemas.openxmlformats.org/officeDocument/2006/relationships/hyperlink" Target="#_Fixture_3_20"/><Relationship Id="rId22" Type="http://schemas.openxmlformats.org/officeDocument/2006/relationships/hyperlink" Target="#_Fixture_7_Help"/></Relationships>
</file>

<file path=xl/drawings/_rels/drawing4.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Install_10"/><Relationship Id="rId18" Type="http://schemas.openxmlformats.org/officeDocument/2006/relationships/hyperlink" Target="#Installations!E20"/><Relationship Id="rId3" Type="http://schemas.openxmlformats.org/officeDocument/2006/relationships/hyperlink" Target="#Install_Top"/><Relationship Id="rId21" Type="http://schemas.openxmlformats.org/officeDocument/2006/relationships/hyperlink" Target="#Installations!G40"/><Relationship Id="rId7" Type="http://schemas.openxmlformats.org/officeDocument/2006/relationships/hyperlink" Target="#'LLLC &amp; AELC'!A1"/><Relationship Id="rId12" Type="http://schemas.openxmlformats.org/officeDocument/2006/relationships/hyperlink" Target="#_Install_2_Supplemental_Info"/><Relationship Id="rId17" Type="http://schemas.openxmlformats.org/officeDocument/2006/relationships/hyperlink" Target="#_Install_40"/><Relationship Id="rId25" Type="http://schemas.openxmlformats.org/officeDocument/2006/relationships/hyperlink" Target="#_Install_100"/><Relationship Id="rId2" Type="http://schemas.openxmlformats.org/officeDocument/2006/relationships/hyperlink" Target="#_Install_Top"/><Relationship Id="rId16" Type="http://schemas.openxmlformats.org/officeDocument/2006/relationships/hyperlink" Target="#_Install_41"/><Relationship Id="rId20" Type="http://schemas.openxmlformats.org/officeDocument/2006/relationships/hyperlink" Target="#_Install_01"/><Relationship Id="rId1" Type="http://schemas.openxmlformats.org/officeDocument/2006/relationships/image" Target="../media/image1.jpeg"/><Relationship Id="rId6" Type="http://schemas.openxmlformats.org/officeDocument/2006/relationships/hyperlink" Target="#'Grant QC Review'!A18"/><Relationship Id="rId11" Type="http://schemas.openxmlformats.org/officeDocument/2006/relationships/hyperlink" Target="#_Install_85"/><Relationship Id="rId24" Type="http://schemas.openxmlformats.org/officeDocument/2006/relationships/image" Target="../media/image4.emf"/><Relationship Id="rId5" Type="http://schemas.openxmlformats.org/officeDocument/2006/relationships/hyperlink" Target="#Signature_Top"/><Relationship Id="rId15" Type="http://schemas.openxmlformats.org/officeDocument/2006/relationships/hyperlink" Target="#_Install_25"/><Relationship Id="rId23" Type="http://schemas.openxmlformats.org/officeDocument/2006/relationships/hyperlink" Target="#_New_Install_Top"/><Relationship Id="rId10" Type="http://schemas.openxmlformats.org/officeDocument/2006/relationships/hyperlink" Target="#_Install_70"/><Relationship Id="rId19" Type="http://schemas.openxmlformats.org/officeDocument/2006/relationships/hyperlink" Target="#_Install_55"/><Relationship Id="rId4" Type="http://schemas.openxmlformats.org/officeDocument/2006/relationships/hyperlink" Target="#_Fixture_1_Top"/><Relationship Id="rId9" Type="http://schemas.openxmlformats.org/officeDocument/2006/relationships/hyperlink" Target="#_Project_1_Top"/><Relationship Id="rId14" Type="http://schemas.openxmlformats.org/officeDocument/2006/relationships/hyperlink" Target="#_Install_11"/><Relationship Id="rId22"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Customer Authorization'!AD95"/><Relationship Id="rId3" Type="http://schemas.openxmlformats.org/officeDocument/2006/relationships/hyperlink" Target="#Signature!B132"/><Relationship Id="rId7" Type="http://schemas.openxmlformats.org/officeDocument/2006/relationships/hyperlink" Target="#_Terms_1_Top"/><Relationship Id="rId12" Type="http://schemas.openxmlformats.org/officeDocument/2006/relationships/hyperlink" Target="#'Customer Authorization'!Z54"/><Relationship Id="rId2" Type="http://schemas.openxmlformats.org/officeDocument/2006/relationships/hyperlink" Target="#'Grant QC Review'!A18"/><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Customer Authorization'!E47"/><Relationship Id="rId5" Type="http://schemas.openxmlformats.org/officeDocument/2006/relationships/hyperlink" Target="#_Fixture_1_Top"/><Relationship Id="rId10" Type="http://schemas.openxmlformats.org/officeDocument/2006/relationships/hyperlink" Target="#'Customer Authorization'!K95"/><Relationship Id="rId4" Type="http://schemas.openxmlformats.org/officeDocument/2006/relationships/hyperlink" Target="#Signature_Top"/><Relationship Id="rId9" Type="http://schemas.openxmlformats.org/officeDocument/2006/relationships/hyperlink" Target="#_Install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LLLC_Bouns"/><Relationship Id="rId3" Type="http://schemas.openxmlformats.org/officeDocument/2006/relationships/hyperlink" Target="#Fixtures!A24"/><Relationship Id="rId7" Type="http://schemas.openxmlformats.org/officeDocument/2006/relationships/hyperlink" Target="#_Project_1_Top"/><Relationship Id="rId12" Type="http://schemas.openxmlformats.org/officeDocument/2006/relationships/hyperlink" Target="#_LLLC_Data_Monitoring"/><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Terms_1_Top"/><Relationship Id="rId11" Type="http://schemas.openxmlformats.org/officeDocument/2006/relationships/hyperlink" Target="#_LLLC_Task_Tuning"/><Relationship Id="rId5" Type="http://schemas.openxmlformats.org/officeDocument/2006/relationships/hyperlink" Target="#'Grant QC Review'!A18"/><Relationship Id="rId15" Type="http://schemas.openxmlformats.org/officeDocument/2006/relationships/hyperlink" Target="#_LLLC_Daylight_Sensor"/><Relationship Id="rId10" Type="http://schemas.openxmlformats.org/officeDocument/2006/relationships/hyperlink" Target="#_LLLC_Occupancy_Sensor"/><Relationship Id="rId4" Type="http://schemas.openxmlformats.org/officeDocument/2006/relationships/hyperlink" Target="#Signature_Top"/><Relationship Id="rId9" Type="http://schemas.openxmlformats.org/officeDocument/2006/relationships/hyperlink" Target="#'LLLC &amp; Ext. NLC'!_LLLC_Top"/><Relationship Id="rId14" Type="http://schemas.openxmlformats.org/officeDocument/2006/relationships/hyperlink" Target="#_LLLC_Process"/></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541290" y="0"/>
          <a:ext cx="1979767" cy="2051170"/>
          <a:chOff x="373063" y="0"/>
          <a:chExt cx="1976437" cy="2024063"/>
        </a:xfrm>
        <a:solidFill>
          <a:srgbClr val="2C1126"/>
        </a:solidFill>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a:grpFill/>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a:grpFill/>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a:grpFill/>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94115" y="0"/>
          <a:ext cx="1984756" cy="2051170"/>
          <a:chOff x="373063" y="0"/>
          <a:chExt cx="1976437" cy="2024063"/>
        </a:xfrm>
        <a:solidFill>
          <a:srgbClr val="2C1126"/>
        </a:solidFill>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a:grpFill/>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a:grpFill/>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a:grpFill/>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a:grpFill/>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a:grpFill/>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a:grpFill/>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a:grpFill/>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hlinkClick xmlns:r="http://schemas.openxmlformats.org/officeDocument/2006/relationships" r:id="rId5" tooltip="PSE Use page"/>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6"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7"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8"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9"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10"/>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1"/>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2"/>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3" tooltip="What is the PSE Approval process?"/>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4"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5"/>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3B000000}"/>
            </a:ext>
          </a:extLst>
        </xdr:cNvPr>
        <xdr:cNvGrpSpPr/>
      </xdr:nvGrpSpPr>
      <xdr:grpSpPr>
        <a:xfrm>
          <a:off x="3498491" y="1744453"/>
          <a:ext cx="4917056" cy="249208"/>
          <a:chOff x="3467100" y="1733550"/>
          <a:chExt cx="4953000" cy="247651"/>
        </a:xfrm>
        <a:solidFill>
          <a:srgbClr val="2C1126">
            <a:alpha val="14902"/>
          </a:srgbClr>
        </a:solidFill>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105834</xdr:colOff>
      <xdr:row>0</xdr:row>
      <xdr:rowOff>0</xdr:rowOff>
    </xdr:from>
    <xdr:to>
      <xdr:col>22</xdr:col>
      <xdr:colOff>25022</xdr:colOff>
      <xdr:row>16</xdr:row>
      <xdr:rowOff>122768</xdr:rowOff>
    </xdr:to>
    <xdr:grpSp>
      <xdr:nvGrpSpPr>
        <xdr:cNvPr id="126" name="Group 125">
          <a:extLst>
            <a:ext uri="{FF2B5EF4-FFF2-40B4-BE49-F238E27FC236}">
              <a16:creationId xmlns:a16="http://schemas.microsoft.com/office/drawing/2014/main" id="{00000000-0008-0000-0B00-00007E000000}"/>
            </a:ext>
          </a:extLst>
        </xdr:cNvPr>
        <xdr:cNvGrpSpPr/>
      </xdr:nvGrpSpPr>
      <xdr:grpSpPr>
        <a:xfrm>
          <a:off x="10294588" y="0"/>
          <a:ext cx="2037453" cy="2049334"/>
          <a:chOff x="373063" y="0"/>
          <a:chExt cx="1976437" cy="2024063"/>
        </a:xfrm>
      </xdr:grpSpPr>
      <xdr:sp macro="" textlink="">
        <xdr:nvSpPr>
          <xdr:cNvPr id="135" name="Rectangle 134">
            <a:extLst>
              <a:ext uri="{FF2B5EF4-FFF2-40B4-BE49-F238E27FC236}">
                <a16:creationId xmlns:a16="http://schemas.microsoft.com/office/drawing/2014/main" id="{00000000-0008-0000-0B00-000087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B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B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B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B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B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B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B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B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B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B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B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B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B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B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B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B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B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B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B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B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B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B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B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B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B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B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B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B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B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B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B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B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B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B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B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21</xdr:col>
      <xdr:colOff>163564</xdr:colOff>
      <xdr:row>0</xdr:row>
      <xdr:rowOff>59697</xdr:rowOff>
    </xdr:from>
    <xdr:to>
      <xdr:col>21</xdr:col>
      <xdr:colOff>2077727</xdr:colOff>
      <xdr:row>2</xdr:row>
      <xdr:rowOff>9192</xdr:rowOff>
    </xdr:to>
    <xdr:sp macro="" textlink="">
      <xdr:nvSpPr>
        <xdr:cNvPr id="127" name="TextBox 126" title="Page Navigation">
          <a:hlinkClick xmlns:r="http://schemas.openxmlformats.org/officeDocument/2006/relationships" r:id="rId1" tooltip="Go To top of page"/>
          <a:extLst>
            <a:ext uri="{FF2B5EF4-FFF2-40B4-BE49-F238E27FC236}">
              <a16:creationId xmlns:a16="http://schemas.microsoft.com/office/drawing/2014/main" id="{00000000-0008-0000-0B00-00007F000000}"/>
            </a:ext>
          </a:extLst>
        </xdr:cNvPr>
        <xdr:cNvSpPr txBox="1"/>
      </xdr:nvSpPr>
      <xdr:spPr>
        <a:xfrm>
          <a:off x="10308228" y="59697"/>
          <a:ext cx="1914163" cy="191035"/>
        </a:xfrm>
        <a:prstGeom prst="rect">
          <a:avLst/>
        </a:prstGeom>
        <a:solidFill>
          <a:srgbClr val="2C1126">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163564</xdr:colOff>
      <xdr:row>7</xdr:row>
      <xdr:rowOff>25051</xdr:rowOff>
    </xdr:from>
    <xdr:to>
      <xdr:col>21</xdr:col>
      <xdr:colOff>2077728</xdr:colOff>
      <xdr:row>8</xdr:row>
      <xdr:rowOff>36766</xdr:rowOff>
    </xdr:to>
    <xdr:sp macro="" textlink="">
      <xdr:nvSpPr>
        <xdr:cNvPr id="128" name="TextBox 127" title="Page Navigation">
          <a:hlinkClick xmlns:r="http://schemas.openxmlformats.org/officeDocument/2006/relationships" r:id="rId2" tooltip="Go To the Fixture page to enter existing and new fixtures"/>
          <a:extLst>
            <a:ext uri="{FF2B5EF4-FFF2-40B4-BE49-F238E27FC236}">
              <a16:creationId xmlns:a16="http://schemas.microsoft.com/office/drawing/2014/main" id="{00000000-0008-0000-0B00-000080000000}"/>
            </a:ext>
          </a:extLst>
        </xdr:cNvPr>
        <xdr:cNvSpPr txBox="1"/>
      </xdr:nvSpPr>
      <xdr:spPr>
        <a:xfrm>
          <a:off x="10308228" y="810055"/>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clientData fPrintsWithSheet="0"/>
  </xdr:twoCellAnchor>
  <xdr:twoCellAnchor>
    <xdr:from>
      <xdr:col>21</xdr:col>
      <xdr:colOff>165432</xdr:colOff>
      <xdr:row>11</xdr:row>
      <xdr:rowOff>43434</xdr:rowOff>
    </xdr:from>
    <xdr:to>
      <xdr:col>21</xdr:col>
      <xdr:colOff>2077727</xdr:colOff>
      <xdr:row>12</xdr:row>
      <xdr:rowOff>55149</xdr:rowOff>
    </xdr:to>
    <xdr:sp macro="" textlink="">
      <xdr:nvSpPr>
        <xdr:cNvPr id="129" name="TextBox 128" title="Page Navigation">
          <a:hlinkClick xmlns:r="http://schemas.openxmlformats.org/officeDocument/2006/relationships" r:id="rId3"/>
          <a:extLst>
            <a:ext uri="{FF2B5EF4-FFF2-40B4-BE49-F238E27FC236}">
              <a16:creationId xmlns:a16="http://schemas.microsoft.com/office/drawing/2014/main" id="{00000000-0008-0000-0B00-000081000000}"/>
            </a:ext>
          </a:extLst>
        </xdr:cNvPr>
        <xdr:cNvSpPr txBox="1"/>
      </xdr:nvSpPr>
      <xdr:spPr>
        <a:xfrm>
          <a:off x="10310096" y="1311517"/>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15</xdr:row>
      <xdr:rowOff>61819</xdr:rowOff>
    </xdr:from>
    <xdr:to>
      <xdr:col>21</xdr:col>
      <xdr:colOff>2077728</xdr:colOff>
      <xdr:row>16</xdr:row>
      <xdr:rowOff>64907</xdr:rowOff>
    </xdr:to>
    <xdr:sp macro="" textlink="">
      <xdr:nvSpPr>
        <xdr:cNvPr id="130" name="TextBox 129" title="Page Navigation">
          <a:extLst>
            <a:ext uri="{FF2B5EF4-FFF2-40B4-BE49-F238E27FC236}">
              <a16:creationId xmlns:a16="http://schemas.microsoft.com/office/drawing/2014/main" id="{00000000-0008-0000-0B00-000082000000}"/>
            </a:ext>
          </a:extLst>
        </xdr:cNvPr>
        <xdr:cNvSpPr txBox="1"/>
      </xdr:nvSpPr>
      <xdr:spPr>
        <a:xfrm>
          <a:off x="10308228" y="1812981"/>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165432</xdr:colOff>
      <xdr:row>13</xdr:row>
      <xdr:rowOff>52626</xdr:rowOff>
    </xdr:from>
    <xdr:to>
      <xdr:col>21</xdr:col>
      <xdr:colOff>2077727</xdr:colOff>
      <xdr:row>15</xdr:row>
      <xdr:rowOff>3957</xdr:rowOff>
    </xdr:to>
    <xdr:sp macro="" textlink="">
      <xdr:nvSpPr>
        <xdr:cNvPr id="131" name="TextBox 130" title="Page Navigation">
          <a:extLst>
            <a:ext uri="{FF2B5EF4-FFF2-40B4-BE49-F238E27FC236}">
              <a16:creationId xmlns:a16="http://schemas.microsoft.com/office/drawing/2014/main" id="{00000000-0008-0000-0B00-000083000000}"/>
            </a:ext>
          </a:extLst>
        </xdr:cNvPr>
        <xdr:cNvSpPr txBox="1"/>
      </xdr:nvSpPr>
      <xdr:spPr>
        <a:xfrm>
          <a:off x="10310096" y="1562249"/>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3</xdr:row>
      <xdr:rowOff>6668</xdr:rowOff>
    </xdr:from>
    <xdr:to>
      <xdr:col>21</xdr:col>
      <xdr:colOff>2077728</xdr:colOff>
      <xdr:row>4</xdr:row>
      <xdr:rowOff>18384</xdr:rowOff>
    </xdr:to>
    <xdr:sp macro="" textlink="">
      <xdr:nvSpPr>
        <xdr:cNvPr id="132" name="TextBox 131" title="Page Navigation">
          <a:hlinkClick xmlns:r="http://schemas.openxmlformats.org/officeDocument/2006/relationships" r:id="rId4" tooltip="Go To the Terms page"/>
          <a:extLst>
            <a:ext uri="{FF2B5EF4-FFF2-40B4-BE49-F238E27FC236}">
              <a16:creationId xmlns:a16="http://schemas.microsoft.com/office/drawing/2014/main" id="{00000000-0008-0000-0B00-000084000000}"/>
            </a:ext>
          </a:extLst>
        </xdr:cNvPr>
        <xdr:cNvSpPr txBox="1"/>
      </xdr:nvSpPr>
      <xdr:spPr>
        <a:xfrm>
          <a:off x="10308228" y="308593"/>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5</xdr:row>
      <xdr:rowOff>15860</xdr:rowOff>
    </xdr:from>
    <xdr:to>
      <xdr:col>21</xdr:col>
      <xdr:colOff>2077728</xdr:colOff>
      <xdr:row>6</xdr:row>
      <xdr:rowOff>27575</xdr:rowOff>
    </xdr:to>
    <xdr:sp macro="" textlink="">
      <xdr:nvSpPr>
        <xdr:cNvPr id="133" name="TextBox 132" title="Page Navigation">
          <a:hlinkClick xmlns:r="http://schemas.openxmlformats.org/officeDocument/2006/relationships" r:id="rId5" tooltip="Go To the Project information page"/>
          <a:extLst>
            <a:ext uri="{FF2B5EF4-FFF2-40B4-BE49-F238E27FC236}">
              <a16:creationId xmlns:a16="http://schemas.microsoft.com/office/drawing/2014/main" id="{00000000-0008-0000-0B00-000085000000}"/>
            </a:ext>
          </a:extLst>
        </xdr:cNvPr>
        <xdr:cNvSpPr txBox="1"/>
      </xdr:nvSpPr>
      <xdr:spPr>
        <a:xfrm>
          <a:off x="10308228" y="559324"/>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clientData fPrintsWithSheet="0"/>
  </xdr:twoCellAnchor>
  <xdr:twoCellAnchor>
    <xdr:from>
      <xdr:col>21</xdr:col>
      <xdr:colOff>165432</xdr:colOff>
      <xdr:row>9</xdr:row>
      <xdr:rowOff>36080</xdr:rowOff>
    </xdr:from>
    <xdr:to>
      <xdr:col>21</xdr:col>
      <xdr:colOff>2077727</xdr:colOff>
      <xdr:row>10</xdr:row>
      <xdr:rowOff>45958</xdr:rowOff>
    </xdr:to>
    <xdr:sp macro="" textlink="">
      <xdr:nvSpPr>
        <xdr:cNvPr id="134" name="TextBox 133" title="Page Navigation">
          <a:hlinkClick xmlns:r="http://schemas.openxmlformats.org/officeDocument/2006/relationships" r:id="rId6" tooltip="Go To the Installations page to enter the installed/new lighting"/>
          <a:extLst>
            <a:ext uri="{FF2B5EF4-FFF2-40B4-BE49-F238E27FC236}">
              <a16:creationId xmlns:a16="http://schemas.microsoft.com/office/drawing/2014/main" id="{00000000-0008-0000-0B00-000086000000}"/>
            </a:ext>
          </a:extLst>
        </xdr:cNvPr>
        <xdr:cNvSpPr txBox="1"/>
      </xdr:nvSpPr>
      <xdr:spPr>
        <a:xfrm>
          <a:off x="10310096" y="1062623"/>
          <a:ext cx="1912295" cy="19103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clientData fPrintsWithSheet="0"/>
  </xdr:twoCellAnchor>
  <xdr:oneCellAnchor>
    <xdr:from>
      <xdr:col>2</xdr:col>
      <xdr:colOff>31749</xdr:colOff>
      <xdr:row>120</xdr:row>
      <xdr:rowOff>42333</xdr:rowOff>
    </xdr:from>
    <xdr:ext cx="518582" cy="516189"/>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280</xdr:row>
      <xdr:rowOff>42333</xdr:rowOff>
    </xdr:from>
    <xdr:ext cx="518582" cy="516189"/>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B00-00004D000000}"/>
            </a:ext>
          </a:extLst>
        </xdr:cNvPr>
        <xdr:cNvGrpSpPr/>
      </xdr:nvGrpSpPr>
      <xdr:grpSpPr>
        <a:xfrm>
          <a:off x="287547" y="0"/>
          <a:ext cx="2049035" cy="2049334"/>
          <a:chOff x="373063" y="0"/>
          <a:chExt cx="1976437" cy="2024063"/>
        </a:xfrm>
        <a:solidFill>
          <a:srgbClr val="2C1126"/>
        </a:solidFill>
      </xdr:grpSpPr>
      <xdr:sp macro="" textlink="">
        <xdr:nvSpPr>
          <xdr:cNvPr id="86" name="Rectangle 85">
            <a:extLst>
              <a:ext uri="{FF2B5EF4-FFF2-40B4-BE49-F238E27FC236}">
                <a16:creationId xmlns:a16="http://schemas.microsoft.com/office/drawing/2014/main" id="{00000000-0008-0000-0B00-00005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B00-000057000000}"/>
              </a:ext>
            </a:extLst>
          </xdr:cNvPr>
          <xdr:cNvGrpSpPr/>
        </xdr:nvGrpSpPr>
        <xdr:grpSpPr>
          <a:xfrm>
            <a:off x="428625" y="301625"/>
            <a:ext cx="1861754" cy="188857"/>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B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B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B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B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B00-000058000000}"/>
              </a:ext>
            </a:extLst>
          </xdr:cNvPr>
          <xdr:cNvGrpSpPr/>
        </xdr:nvGrpSpPr>
        <xdr:grpSpPr>
          <a:xfrm>
            <a:off x="428625" y="547689"/>
            <a:ext cx="1861754" cy="190499"/>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B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B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B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B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B00-000059000000}"/>
              </a:ext>
            </a:extLst>
          </xdr:cNvPr>
          <xdr:cNvGrpSpPr/>
        </xdr:nvGrpSpPr>
        <xdr:grpSpPr>
          <a:xfrm>
            <a:off x="428625" y="793751"/>
            <a:ext cx="1861754" cy="190499"/>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B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B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B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B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B00-00005A000000}"/>
              </a:ext>
            </a:extLst>
          </xdr:cNvPr>
          <xdr:cNvGrpSpPr/>
        </xdr:nvGrpSpPr>
        <xdr:grpSpPr>
          <a:xfrm>
            <a:off x="428625" y="1041728"/>
            <a:ext cx="1861754" cy="186942"/>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B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B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B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B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B00-00005B000000}"/>
              </a:ext>
            </a:extLst>
          </xdr:cNvPr>
          <xdr:cNvGrpSpPr/>
        </xdr:nvGrpSpPr>
        <xdr:grpSpPr>
          <a:xfrm>
            <a:off x="428625" y="1285876"/>
            <a:ext cx="1861754" cy="188857"/>
            <a:chOff x="426983" y="303815"/>
            <a:chExt cx="1847521" cy="188857"/>
          </a:xfrm>
          <a:grpFill/>
        </xdr:grpSpPr>
        <xdr:cxnSp macro="">
          <xdr:nvCxnSpPr>
            <xdr:cNvPr id="102" name="Straight Connector 101">
              <a:extLst>
                <a:ext uri="{FF2B5EF4-FFF2-40B4-BE49-F238E27FC236}">
                  <a16:creationId xmlns:a16="http://schemas.microsoft.com/office/drawing/2014/main" id="{00000000-0008-0000-0B00-00006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B00-00006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B00-00006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B00-00006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B00-00005C000000}"/>
              </a:ext>
            </a:extLst>
          </xdr:cNvPr>
          <xdr:cNvGrpSpPr/>
        </xdr:nvGrpSpPr>
        <xdr:grpSpPr>
          <a:xfrm>
            <a:off x="428625" y="1531938"/>
            <a:ext cx="1861754" cy="188857"/>
            <a:chOff x="426983" y="303815"/>
            <a:chExt cx="1847521" cy="188857"/>
          </a:xfrm>
          <a:grpFill/>
        </xdr:grpSpPr>
        <xdr:cxnSp macro="">
          <xdr:nvCxnSpPr>
            <xdr:cNvPr id="98" name="Straight Connector 97">
              <a:extLst>
                <a:ext uri="{FF2B5EF4-FFF2-40B4-BE49-F238E27FC236}">
                  <a16:creationId xmlns:a16="http://schemas.microsoft.com/office/drawing/2014/main" id="{00000000-0008-0000-0B00-00006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B00-00006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B00-00006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B00-00006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B00-00005D000000}"/>
              </a:ext>
            </a:extLst>
          </xdr:cNvPr>
          <xdr:cNvGrpSpPr/>
        </xdr:nvGrpSpPr>
        <xdr:grpSpPr>
          <a:xfrm>
            <a:off x="428625" y="1778001"/>
            <a:ext cx="1861754" cy="190499"/>
            <a:chOff x="426983" y="303815"/>
            <a:chExt cx="1847521" cy="188857"/>
          </a:xfrm>
          <a:grpFill/>
        </xdr:grpSpPr>
        <xdr:cxnSp macro="">
          <xdr:nvCxnSpPr>
            <xdr:cNvPr id="94" name="Straight Connector 93">
              <a:extLst>
                <a:ext uri="{FF2B5EF4-FFF2-40B4-BE49-F238E27FC236}">
                  <a16:creationId xmlns:a16="http://schemas.microsoft.com/office/drawing/2014/main" id="{00000000-0008-0000-0B00-00005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B00-00005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B00-00006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B00-00006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1" tooltip="Go To top of page"/>
          <a:extLst>
            <a:ext uri="{FF2B5EF4-FFF2-40B4-BE49-F238E27FC236}">
              <a16:creationId xmlns:a16="http://schemas.microsoft.com/office/drawing/2014/main" id="{00000000-0008-0000-0B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9" tooltip="Go To the Fixture page to enter existing and new fixtures"/>
          <a:extLst>
            <a:ext uri="{FF2B5EF4-FFF2-40B4-BE49-F238E27FC236}">
              <a16:creationId xmlns:a16="http://schemas.microsoft.com/office/drawing/2014/main" id="{00000000-0008-0000-0B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10" tooltip="Go To the Signature page to select the Payee"/>
          <a:extLst>
            <a:ext uri="{FF2B5EF4-FFF2-40B4-BE49-F238E27FC236}">
              <a16:creationId xmlns:a16="http://schemas.microsoft.com/office/drawing/2014/main" id="{00000000-0008-0000-0B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1" tooltip="PSE Use page"/>
          <a:extLst>
            <a:ext uri="{FF2B5EF4-FFF2-40B4-BE49-F238E27FC236}">
              <a16:creationId xmlns:a16="http://schemas.microsoft.com/office/drawing/2014/main" id="{00000000-0008-0000-0B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11" tooltip="Go To Advanced Controls page"/>
          <a:extLst>
            <a:ext uri="{FF2B5EF4-FFF2-40B4-BE49-F238E27FC236}">
              <a16:creationId xmlns:a16="http://schemas.microsoft.com/office/drawing/2014/main" id="{00000000-0008-0000-0B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12" tooltip="Go To the Terms page"/>
          <a:extLst>
            <a:ext uri="{FF2B5EF4-FFF2-40B4-BE49-F238E27FC236}">
              <a16:creationId xmlns:a16="http://schemas.microsoft.com/office/drawing/2014/main" id="{00000000-0008-0000-0B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13" tooltip="Go To the Project information page"/>
          <a:extLst>
            <a:ext uri="{FF2B5EF4-FFF2-40B4-BE49-F238E27FC236}">
              <a16:creationId xmlns:a16="http://schemas.microsoft.com/office/drawing/2014/main" id="{00000000-0008-0000-0B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B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xdr:col>
      <xdr:colOff>31749</xdr:colOff>
      <xdr:row>539</xdr:row>
      <xdr:rowOff>42333</xdr:rowOff>
    </xdr:from>
    <xdr:ext cx="518582" cy="516189"/>
    <xdr:pic>
      <xdr:nvPicPr>
        <xdr:cNvPr id="171" name="Picture 170">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B00-0000AF000000}"/>
            </a:ext>
          </a:extLst>
        </xdr:cNvPr>
        <xdr:cNvGrpSpPr/>
      </xdr:nvGrpSpPr>
      <xdr:grpSpPr>
        <a:xfrm>
          <a:off x="23080453" y="1016000"/>
          <a:ext cx="5220218" cy="244296"/>
          <a:chOff x="3467100" y="1733550"/>
          <a:chExt cx="4953000" cy="247651"/>
        </a:xfrm>
      </xdr:grpSpPr>
      <xdr:sp macro="" textlink="">
        <xdr:nvSpPr>
          <xdr:cNvPr id="176" name="Rectangle 175">
            <a:extLst>
              <a:ext uri="{FF2B5EF4-FFF2-40B4-BE49-F238E27FC236}">
                <a16:creationId xmlns:a16="http://schemas.microsoft.com/office/drawing/2014/main" id="{00000000-0008-0000-0B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B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276225" y="0"/>
          <a:ext cx="1962830" cy="2075393"/>
          <a:chOff x="373063" y="0"/>
          <a:chExt cx="1976437" cy="2024063"/>
        </a:xfrm>
        <a:solidFill>
          <a:srgbClr val="2C1126"/>
        </a:solidFill>
      </xdr:grpSpPr>
      <xdr:sp macro="" textlink="">
        <xdr:nvSpPr>
          <xdr:cNvPr id="33" name="Rectangle 32">
            <a:extLst>
              <a:ext uri="{FF2B5EF4-FFF2-40B4-BE49-F238E27FC236}">
                <a16:creationId xmlns:a16="http://schemas.microsoft.com/office/drawing/2014/main" id="{00000000-0008-0000-0C00-000021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C00-000022000000}"/>
              </a:ext>
            </a:extLst>
          </xdr:cNvPr>
          <xdr:cNvGrpSpPr/>
        </xdr:nvGrpSpPr>
        <xdr:grpSpPr>
          <a:xfrm>
            <a:off x="428625" y="301625"/>
            <a:ext cx="1861754" cy="188857"/>
            <a:chOff x="426983" y="303815"/>
            <a:chExt cx="1847521" cy="188857"/>
          </a:xfrm>
          <a:grpFill/>
        </xdr:grpSpPr>
        <xdr:cxnSp macro="">
          <xdr:nvCxnSpPr>
            <xdr:cNvPr id="65" name="Straight Connector 64">
              <a:extLst>
                <a:ext uri="{FF2B5EF4-FFF2-40B4-BE49-F238E27FC236}">
                  <a16:creationId xmlns:a16="http://schemas.microsoft.com/office/drawing/2014/main" id="{00000000-0008-0000-0C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C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C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C00-000023000000}"/>
              </a:ext>
            </a:extLst>
          </xdr:cNvPr>
          <xdr:cNvGrpSpPr/>
        </xdr:nvGrpSpPr>
        <xdr:grpSpPr>
          <a:xfrm>
            <a:off x="428625" y="547689"/>
            <a:ext cx="1861754" cy="190499"/>
            <a:chOff x="426983" y="303815"/>
            <a:chExt cx="1847521" cy="188857"/>
          </a:xfrm>
          <a:grpFill/>
        </xdr:grpSpPr>
        <xdr:cxnSp macro="">
          <xdr:nvCxnSpPr>
            <xdr:cNvPr id="61" name="Straight Connector 60">
              <a:extLst>
                <a:ext uri="{FF2B5EF4-FFF2-40B4-BE49-F238E27FC236}">
                  <a16:creationId xmlns:a16="http://schemas.microsoft.com/office/drawing/2014/main" id="{00000000-0008-0000-0C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C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C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C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C00-000024000000}"/>
              </a:ext>
            </a:extLst>
          </xdr:cNvPr>
          <xdr:cNvGrpSpPr/>
        </xdr:nvGrpSpPr>
        <xdr:grpSpPr>
          <a:xfrm>
            <a:off x="428625" y="793751"/>
            <a:ext cx="1861754" cy="190499"/>
            <a:chOff x="426983" y="303815"/>
            <a:chExt cx="1847521" cy="188857"/>
          </a:xfrm>
          <a:grpFill/>
        </xdr:grpSpPr>
        <xdr:cxnSp macro="">
          <xdr:nvCxnSpPr>
            <xdr:cNvPr id="57" name="Straight Connector 56">
              <a:extLst>
                <a:ext uri="{FF2B5EF4-FFF2-40B4-BE49-F238E27FC236}">
                  <a16:creationId xmlns:a16="http://schemas.microsoft.com/office/drawing/2014/main" id="{00000000-0008-0000-0C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C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C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C00-000025000000}"/>
              </a:ext>
            </a:extLst>
          </xdr:cNvPr>
          <xdr:cNvGrpSpPr/>
        </xdr:nvGrpSpPr>
        <xdr:grpSpPr>
          <a:xfrm>
            <a:off x="428625" y="1041728"/>
            <a:ext cx="1861754" cy="186942"/>
            <a:chOff x="426983" y="303815"/>
            <a:chExt cx="1847521" cy="188857"/>
          </a:xfrm>
          <a:grpFill/>
        </xdr:grpSpPr>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C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C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C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C00-000026000000}"/>
              </a:ext>
            </a:extLst>
          </xdr:cNvPr>
          <xdr:cNvGrpSpPr/>
        </xdr:nvGrpSpPr>
        <xdr:grpSpPr>
          <a:xfrm>
            <a:off x="428625" y="1285876"/>
            <a:ext cx="1861754" cy="188857"/>
            <a:chOff x="426983" y="303815"/>
            <a:chExt cx="1847521" cy="188857"/>
          </a:xfrm>
          <a:grpFill/>
        </xdr:grpSpPr>
        <xdr:cxnSp macro="">
          <xdr:nvCxnSpPr>
            <xdr:cNvPr id="49" name="Straight Connector 48">
              <a:extLst>
                <a:ext uri="{FF2B5EF4-FFF2-40B4-BE49-F238E27FC236}">
                  <a16:creationId xmlns:a16="http://schemas.microsoft.com/office/drawing/2014/main" id="{00000000-0008-0000-0C00-00003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C00-00003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C00-00003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C00-000027000000}"/>
              </a:ext>
            </a:extLst>
          </xdr:cNvPr>
          <xdr:cNvGrpSpPr/>
        </xdr:nvGrpSpPr>
        <xdr:grpSpPr>
          <a:xfrm>
            <a:off x="428625" y="1531938"/>
            <a:ext cx="1861754" cy="188857"/>
            <a:chOff x="426983" y="303815"/>
            <a:chExt cx="1847521" cy="188857"/>
          </a:xfrm>
          <a:grpFill/>
        </xdr:grpSpPr>
        <xdr:cxnSp macro="">
          <xdr:nvCxnSpPr>
            <xdr:cNvPr id="45" name="Straight Connector 44">
              <a:extLst>
                <a:ext uri="{FF2B5EF4-FFF2-40B4-BE49-F238E27FC236}">
                  <a16:creationId xmlns:a16="http://schemas.microsoft.com/office/drawing/2014/main" id="{00000000-0008-0000-0C00-00002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C00-00002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C00-00002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C00-00003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C00-000028000000}"/>
              </a:ext>
            </a:extLst>
          </xdr:cNvPr>
          <xdr:cNvGrpSpPr/>
        </xdr:nvGrpSpPr>
        <xdr:grpSpPr>
          <a:xfrm>
            <a:off x="428625" y="1778001"/>
            <a:ext cx="1861754" cy="190499"/>
            <a:chOff x="426983" y="303815"/>
            <a:chExt cx="1847521" cy="188857"/>
          </a:xfrm>
          <a:grpFill/>
        </xdr:grpSpPr>
        <xdr:cxnSp macro="">
          <xdr:nvCxnSpPr>
            <xdr:cNvPr id="41" name="Straight Connector 40">
              <a:extLst>
                <a:ext uri="{FF2B5EF4-FFF2-40B4-BE49-F238E27FC236}">
                  <a16:creationId xmlns:a16="http://schemas.microsoft.com/office/drawing/2014/main" id="{00000000-0008-0000-0C00-00002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C00-00002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C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C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C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C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C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C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3543300" y="1762125"/>
          <a:ext cx="4951603" cy="252683"/>
          <a:chOff x="3467100" y="1733550"/>
          <a:chExt cx="4953000" cy="247651"/>
        </a:xfrm>
        <a:solidFill>
          <a:srgbClr val="2C1126">
            <a:alpha val="20000"/>
          </a:srgbClr>
        </a:solidFill>
      </xdr:grpSpPr>
      <xdr:sp macro="" textlink="">
        <xdr:nvSpPr>
          <xdr:cNvPr id="78" name="Rectangle 77">
            <a:extLst>
              <a:ext uri="{FF2B5EF4-FFF2-40B4-BE49-F238E27FC236}">
                <a16:creationId xmlns:a16="http://schemas.microsoft.com/office/drawing/2014/main" id="{00000000-0008-0000-0C00-00004E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C00-00004F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9782175" y="0"/>
          <a:ext cx="1967063" cy="2075393"/>
          <a:chOff x="382134" y="0"/>
          <a:chExt cx="1972355" cy="2038350"/>
        </a:xfrm>
      </xdr:grpSpPr>
      <xdr:grpSp>
        <xdr:nvGrpSpPr>
          <xdr:cNvPr id="81" name="Group 80">
            <a:extLst>
              <a:ext uri="{FF2B5EF4-FFF2-40B4-BE49-F238E27FC236}">
                <a16:creationId xmlns:a16="http://schemas.microsoft.com/office/drawing/2014/main" id="{00000000-0008-0000-0C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C00-00005A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C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C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C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C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C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C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C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C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C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C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C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C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C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C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C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C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16</xdr:row>
      <xdr:rowOff>58615</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536981" y="0"/>
          <a:ext cx="1993660" cy="2052275"/>
          <a:chOff x="373063" y="0"/>
          <a:chExt cx="1976437" cy="2024063"/>
        </a:xfrm>
        <a:solidFill>
          <a:srgbClr val="2C1126"/>
        </a:solidFill>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a:grpFill/>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a:grpFill/>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a:grpFill/>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a:grpFill/>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a:grpFill/>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a:grpFill/>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a:grpFill/>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37</xdr:col>
      <xdr:colOff>62302</xdr:colOff>
      <xdr:row>7</xdr:row>
      <xdr:rowOff>0</xdr:rowOff>
    </xdr:from>
    <xdr:ext cx="1854679" cy="200025"/>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 uri="{147F2762-F138-4A5C-976F-8EAC2B608ADB}">
              <a16:predDERef xmlns:a16="http://schemas.microsoft.com/office/drawing/2014/main" pred="{00000000-0008-0000-0100-000029000000}"/>
            </a:ext>
          </a:extLst>
        </xdr:cNvPr>
        <xdr:cNvSpPr txBox="1"/>
      </xdr:nvSpPr>
      <xdr:spPr>
        <a:xfrm>
          <a:off x="9498641" y="824302"/>
          <a:ext cx="1854679" cy="20002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37</xdr:col>
      <xdr:colOff>62302</xdr:colOff>
      <xdr:row>11</xdr:row>
      <xdr:rowOff>0</xdr:rowOff>
    </xdr:from>
    <xdr:ext cx="1854679"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 uri="{147F2762-F138-4A5C-976F-8EAC2B608ADB}">
              <a16:predDERef xmlns:a16="http://schemas.microsoft.com/office/drawing/2014/main" pred="{00000000-0008-0000-0100-00002A000000}"/>
            </a:ext>
          </a:extLst>
        </xdr:cNvPr>
        <xdr:cNvSpPr txBox="1"/>
      </xdr:nvSpPr>
      <xdr:spPr>
        <a:xfrm>
          <a:off x="9498641" y="1332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0</xdr:rowOff>
    </xdr:from>
    <xdr:ext cx="1854679" cy="190500"/>
    <xdr:sp macro="" textlink="">
      <xdr:nvSpPr>
        <xdr:cNvPr id="2"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02000000}"/>
            </a:ext>
            <a:ext uri="{147F2762-F138-4A5C-976F-8EAC2B608ADB}">
              <a16:predDERef xmlns:a16="http://schemas.microsoft.com/office/drawing/2014/main" pred="{00000000-0008-0000-0100-00002B000000}"/>
            </a:ext>
          </a:extLst>
        </xdr:cNvPr>
        <xdr:cNvSpPr txBox="1"/>
      </xdr:nvSpPr>
      <xdr:spPr>
        <a:xfrm>
          <a:off x="9498642" y="184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indent="0"/>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latin typeface="+mn-lt"/>
              <a:ea typeface="+mn-lt"/>
              <a:cs typeface="+mn-lt"/>
            </a:rPr>
            <a:t> Contractor Info</a:t>
          </a:r>
        </a:p>
      </xdr:txBody>
    </xdr:sp>
    <xdr:clientData fPrintsWithSheet="0"/>
  </xdr:oneCellAnchor>
  <xdr:oneCellAnchor>
    <xdr:from>
      <xdr:col>38</xdr:col>
      <xdr:colOff>0</xdr:colOff>
      <xdr:row>13</xdr:row>
      <xdr:rowOff>0</xdr:rowOff>
    </xdr:from>
    <xdr:ext cx="1854679"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 uri="{147F2762-F138-4A5C-976F-8EAC2B608ADB}">
              <a16:predDERef xmlns:a16="http://schemas.microsoft.com/office/drawing/2014/main" pred="{00000000-0008-0000-0100-00002C000000}"/>
            </a:ext>
          </a:extLst>
        </xdr:cNvPr>
        <xdr:cNvSpPr txBox="1"/>
      </xdr:nvSpPr>
      <xdr:spPr>
        <a:xfrm>
          <a:off x="9498642" y="158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37</xdr:col>
      <xdr:colOff>62302</xdr:colOff>
      <xdr:row>3</xdr:row>
      <xdr:rowOff>0</xdr:rowOff>
    </xdr:from>
    <xdr:ext cx="1854679"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 uri="{147F2762-F138-4A5C-976F-8EAC2B608ADB}">
              <a16:predDERef xmlns:a16="http://schemas.microsoft.com/office/drawing/2014/main" pred="{00000000-0008-0000-0100-00002D000000}"/>
            </a:ext>
          </a:extLst>
        </xdr:cNvPr>
        <xdr:cNvSpPr txBox="1"/>
      </xdr:nvSpPr>
      <xdr:spPr>
        <a:xfrm>
          <a:off x="9498641" y="31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5</xdr:row>
      <xdr:rowOff>0</xdr:rowOff>
    </xdr:from>
    <xdr:ext cx="1854679"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 uri="{147F2762-F138-4A5C-976F-8EAC2B608ADB}">
              <a16:predDERef xmlns:a16="http://schemas.microsoft.com/office/drawing/2014/main" pred="{00000000-0008-0000-0100-00002E000000}"/>
            </a:ext>
          </a:extLst>
        </xdr:cNvPr>
        <xdr:cNvSpPr txBox="1"/>
      </xdr:nvSpPr>
      <xdr:spPr>
        <a:xfrm>
          <a:off x="9498642" y="57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37</xdr:col>
      <xdr:colOff>62302</xdr:colOff>
      <xdr:row>9</xdr:row>
      <xdr:rowOff>0</xdr:rowOff>
    </xdr:from>
    <xdr:ext cx="1854679"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 uri="{147F2762-F138-4A5C-976F-8EAC2B608ADB}">
              <a16:predDERef xmlns:a16="http://schemas.microsoft.com/office/drawing/2014/main" pred="{00000000-0008-0000-0100-00002F000000}"/>
            </a:ext>
          </a:extLst>
        </xdr:cNvPr>
        <xdr:cNvSpPr txBox="1"/>
      </xdr:nvSpPr>
      <xdr:spPr>
        <a:xfrm>
          <a:off x="9498641" y="1078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498491" y="1744453"/>
          <a:ext cx="4936825" cy="254240"/>
          <a:chOff x="3467100" y="1733550"/>
          <a:chExt cx="4953000" cy="247651"/>
        </a:xfrm>
        <a:solidFill>
          <a:srgbClr val="2C1126">
            <a:alpha val="14902"/>
          </a:srgbClr>
        </a:solidFill>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effectLst/>
                <a:latin typeface="+mn-lt"/>
                <a:ea typeface="+mn-ea"/>
                <a:cs typeface="+mn-cs"/>
              </a:rPr>
              <a:t>Project / Owner / Contractor Information</a:t>
            </a:r>
            <a:endParaRPr lang="en-US" sz="1400" b="1">
              <a:solidFill>
                <a:srgbClr val="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92981" y="0"/>
          <a:ext cx="1984756" cy="2051170"/>
          <a:chOff x="373063" y="0"/>
          <a:chExt cx="1976437" cy="2024063"/>
        </a:xfrm>
        <a:solidFill>
          <a:srgbClr val="2C1126"/>
        </a:solidFill>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a:grpFill/>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a:grpFill/>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a:grpFill/>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a:grpFill/>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a:grpFill/>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a:grpFill/>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a:grpFill/>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hlinkClick xmlns:r="http://schemas.openxmlformats.org/officeDocument/2006/relationships" r:id="rId12" tooltip="PSE Use page"/>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3"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4"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sp macro="" textlink="">
      <xdr:nvSpPr>
        <xdr:cNvPr id="154" name="Rectangle 153">
          <a:extLst>
            <a:ext uri="{FF2B5EF4-FFF2-40B4-BE49-F238E27FC236}">
              <a16:creationId xmlns:a16="http://schemas.microsoft.com/office/drawing/2014/main" id="{00000000-0008-0000-0200-00009A000000}"/>
            </a:ext>
          </a:extLst>
        </xdr:cNvPr>
        <xdr:cNvSpPr/>
      </xdr:nvSpPr>
      <xdr:spPr>
        <a:xfrm>
          <a:off x="9972136" y="0"/>
          <a:ext cx="1975449" cy="206171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27</xdr:col>
      <xdr:colOff>55534</xdr:colOff>
      <xdr:row>2</xdr:row>
      <xdr:rowOff>57070</xdr:rowOff>
    </xdr:from>
    <xdr:to>
      <xdr:col>33</xdr:col>
      <xdr:colOff>1293</xdr:colOff>
      <xdr:row>3</xdr:row>
      <xdr:rowOff>189055</xdr:rowOff>
    </xdr:to>
    <xdr:grpSp>
      <xdr:nvGrpSpPr>
        <xdr:cNvPr id="155" name="Group 154">
          <a:extLst>
            <a:ext uri="{FF2B5EF4-FFF2-40B4-BE49-F238E27FC236}">
              <a16:creationId xmlns:a16="http://schemas.microsoft.com/office/drawing/2014/main" id="{00000000-0008-0000-0200-00009B000000}"/>
            </a:ext>
          </a:extLst>
        </xdr:cNvPr>
        <xdr:cNvGrpSpPr/>
      </xdr:nvGrpSpPr>
      <xdr:grpSpPr>
        <a:xfrm>
          <a:off x="10090931" y="306278"/>
          <a:ext cx="1872324" cy="189494"/>
          <a:chOff x="426983" y="303815"/>
          <a:chExt cx="1847521" cy="188857"/>
        </a:xfrm>
        <a:solidFill>
          <a:srgbClr val="2C1126"/>
        </a:solidFill>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4</xdr:row>
      <xdr:rowOff>57545</xdr:rowOff>
    </xdr:from>
    <xdr:to>
      <xdr:col>33</xdr:col>
      <xdr:colOff>1293</xdr:colOff>
      <xdr:row>6</xdr:row>
      <xdr:rowOff>1422</xdr:rowOff>
    </xdr:to>
    <xdr:grpSp>
      <xdr:nvGrpSpPr>
        <xdr:cNvPr id="156" name="Group 155">
          <a:extLst>
            <a:ext uri="{FF2B5EF4-FFF2-40B4-BE49-F238E27FC236}">
              <a16:creationId xmlns:a16="http://schemas.microsoft.com/office/drawing/2014/main" id="{00000000-0008-0000-0200-00009C000000}"/>
            </a:ext>
          </a:extLst>
        </xdr:cNvPr>
        <xdr:cNvGrpSpPr/>
      </xdr:nvGrpSpPr>
      <xdr:grpSpPr>
        <a:xfrm>
          <a:off x="10090931" y="555961"/>
          <a:ext cx="1872324" cy="193083"/>
          <a:chOff x="426983" y="303815"/>
          <a:chExt cx="1847521" cy="188857"/>
        </a:xfrm>
        <a:solidFill>
          <a:srgbClr val="2C1126"/>
        </a:solidFill>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6</xdr:row>
      <xdr:rowOff>58018</xdr:rowOff>
    </xdr:from>
    <xdr:to>
      <xdr:col>33</xdr:col>
      <xdr:colOff>1293</xdr:colOff>
      <xdr:row>8</xdr:row>
      <xdr:rowOff>1895</xdr:rowOff>
    </xdr:to>
    <xdr:grpSp>
      <xdr:nvGrpSpPr>
        <xdr:cNvPr id="157" name="Group 156">
          <a:extLst>
            <a:ext uri="{FF2B5EF4-FFF2-40B4-BE49-F238E27FC236}">
              <a16:creationId xmlns:a16="http://schemas.microsoft.com/office/drawing/2014/main" id="{00000000-0008-0000-0200-00009D000000}"/>
            </a:ext>
          </a:extLst>
        </xdr:cNvPr>
        <xdr:cNvGrpSpPr/>
      </xdr:nvGrpSpPr>
      <xdr:grpSpPr>
        <a:xfrm>
          <a:off x="10090931" y="805640"/>
          <a:ext cx="1872324" cy="193085"/>
          <a:chOff x="426983" y="303815"/>
          <a:chExt cx="1847521" cy="188857"/>
        </a:xfrm>
        <a:solidFill>
          <a:srgbClr val="2C1126"/>
        </a:solidFill>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9</xdr:row>
      <xdr:rowOff>56</xdr:rowOff>
    </xdr:from>
    <xdr:to>
      <xdr:col>33</xdr:col>
      <xdr:colOff>1293</xdr:colOff>
      <xdr:row>10</xdr:row>
      <xdr:rowOff>694</xdr:rowOff>
    </xdr:to>
    <xdr:grpSp>
      <xdr:nvGrpSpPr>
        <xdr:cNvPr id="158" name="Group 157">
          <a:extLst>
            <a:ext uri="{FF2B5EF4-FFF2-40B4-BE49-F238E27FC236}">
              <a16:creationId xmlns:a16="http://schemas.microsoft.com/office/drawing/2014/main" id="{00000000-0008-0000-0200-00009E000000}"/>
            </a:ext>
          </a:extLst>
        </xdr:cNvPr>
        <xdr:cNvGrpSpPr/>
      </xdr:nvGrpSpPr>
      <xdr:grpSpPr>
        <a:xfrm>
          <a:off x="10090931" y="1054396"/>
          <a:ext cx="1872324" cy="192336"/>
          <a:chOff x="426983" y="303815"/>
          <a:chExt cx="1847521" cy="188857"/>
        </a:xfrm>
        <a:solidFill>
          <a:srgbClr val="2C1126"/>
        </a:solidFill>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10</xdr:row>
      <xdr:rowOff>58965</xdr:rowOff>
    </xdr:from>
    <xdr:to>
      <xdr:col>33</xdr:col>
      <xdr:colOff>1293</xdr:colOff>
      <xdr:row>12</xdr:row>
      <xdr:rowOff>1169</xdr:rowOff>
    </xdr:to>
    <xdr:grpSp>
      <xdr:nvGrpSpPr>
        <xdr:cNvPr id="159" name="Group 158">
          <a:extLst>
            <a:ext uri="{FF2B5EF4-FFF2-40B4-BE49-F238E27FC236}">
              <a16:creationId xmlns:a16="http://schemas.microsoft.com/office/drawing/2014/main" id="{00000000-0008-0000-0200-00009F000000}"/>
            </a:ext>
          </a:extLst>
        </xdr:cNvPr>
        <xdr:cNvGrpSpPr/>
      </xdr:nvGrpSpPr>
      <xdr:grpSpPr>
        <a:xfrm>
          <a:off x="10090931" y="1305003"/>
          <a:ext cx="1872324" cy="191412"/>
          <a:chOff x="426983" y="303815"/>
          <a:chExt cx="1847521" cy="188857"/>
        </a:xfrm>
        <a:solidFill>
          <a:srgbClr val="2C1126"/>
        </a:solidFill>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12</xdr:row>
      <xdr:rowOff>59438</xdr:rowOff>
    </xdr:from>
    <xdr:to>
      <xdr:col>33</xdr:col>
      <xdr:colOff>1293</xdr:colOff>
      <xdr:row>14</xdr:row>
      <xdr:rowOff>1642</xdr:rowOff>
    </xdr:to>
    <xdr:grpSp>
      <xdr:nvGrpSpPr>
        <xdr:cNvPr id="160" name="Group 159">
          <a:extLst>
            <a:ext uri="{FF2B5EF4-FFF2-40B4-BE49-F238E27FC236}">
              <a16:creationId xmlns:a16="http://schemas.microsoft.com/office/drawing/2014/main" id="{00000000-0008-0000-0200-0000A0000000}"/>
            </a:ext>
          </a:extLst>
        </xdr:cNvPr>
        <xdr:cNvGrpSpPr/>
      </xdr:nvGrpSpPr>
      <xdr:grpSpPr>
        <a:xfrm>
          <a:off x="10090931" y="1554684"/>
          <a:ext cx="1872324" cy="191411"/>
          <a:chOff x="426983" y="303815"/>
          <a:chExt cx="1847521" cy="188857"/>
        </a:xfrm>
        <a:solidFill>
          <a:srgbClr val="2C1126"/>
        </a:solidFill>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14</xdr:row>
      <xdr:rowOff>59912</xdr:rowOff>
    </xdr:from>
    <xdr:to>
      <xdr:col>33</xdr:col>
      <xdr:colOff>1293</xdr:colOff>
      <xdr:row>16</xdr:row>
      <xdr:rowOff>3789</xdr:rowOff>
    </xdr:to>
    <xdr:grpSp>
      <xdr:nvGrpSpPr>
        <xdr:cNvPr id="161" name="Group 160">
          <a:extLst>
            <a:ext uri="{FF2B5EF4-FFF2-40B4-BE49-F238E27FC236}">
              <a16:creationId xmlns:a16="http://schemas.microsoft.com/office/drawing/2014/main" id="{00000000-0008-0000-0200-0000A1000000}"/>
            </a:ext>
          </a:extLst>
        </xdr:cNvPr>
        <xdr:cNvGrpSpPr/>
      </xdr:nvGrpSpPr>
      <xdr:grpSpPr>
        <a:xfrm>
          <a:off x="10090931" y="1804365"/>
          <a:ext cx="1872324" cy="193084"/>
          <a:chOff x="426983" y="303815"/>
          <a:chExt cx="1847521" cy="188857"/>
        </a:xfrm>
        <a:solidFill>
          <a:srgbClr val="2C1126"/>
        </a:solidFill>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21736" y="0"/>
          <a:ext cx="2156604" cy="2051170"/>
          <a:chOff x="373063" y="0"/>
          <a:chExt cx="1976437" cy="2024063"/>
        </a:xfrm>
        <a:solidFill>
          <a:srgbClr val="2C1126"/>
        </a:solidFill>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a:grpFill/>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a:grpFill/>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a:grpFill/>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a:grpFill/>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a:grpFill/>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a:grpFill/>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a:grpFill/>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hlinkClick xmlns:r="http://schemas.openxmlformats.org/officeDocument/2006/relationships" r:id="rId7" tooltip="PSE Use page"/>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8"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9"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10"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1"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228" name="Group 227">
          <a:extLst>
            <a:ext uri="{FF2B5EF4-FFF2-40B4-BE49-F238E27FC236}">
              <a16:creationId xmlns:a16="http://schemas.microsoft.com/office/drawing/2014/main" id="{00000000-0008-0000-0200-0000E4000000}"/>
            </a:ext>
          </a:extLst>
        </xdr:cNvPr>
        <xdr:cNvGrpSpPr/>
      </xdr:nvGrpSpPr>
      <xdr:grpSpPr>
        <a:xfrm>
          <a:off x="21105962" y="0"/>
          <a:ext cx="2042838" cy="2051170"/>
          <a:chOff x="373063" y="0"/>
          <a:chExt cx="1976437" cy="2024063"/>
        </a:xfrm>
        <a:solidFill>
          <a:srgbClr val="2C1126"/>
        </a:solidFill>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a:grpFill/>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a:grpFill/>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a:grpFill/>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a:grpFill/>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a:grpFill/>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a:grpFill/>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a:grpFill/>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63</xdr:col>
      <xdr:colOff>58518</xdr:colOff>
      <xdr:row>2</xdr:row>
      <xdr:rowOff>58128</xdr:rowOff>
    </xdr:from>
    <xdr:to>
      <xdr:col>68</xdr:col>
      <xdr:colOff>19414</xdr:colOff>
      <xdr:row>4</xdr:row>
      <xdr:rowOff>645</xdr:rowOff>
    </xdr:to>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21029333" y="308294"/>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63</xdr:col>
      <xdr:colOff>58518</xdr:colOff>
      <xdr:row>4</xdr:row>
      <xdr:rowOff>58450</xdr:rowOff>
    </xdr:from>
    <xdr:to>
      <xdr:col>68</xdr:col>
      <xdr:colOff>19414</xdr:colOff>
      <xdr:row>6</xdr:row>
      <xdr:rowOff>967</xdr:rowOff>
    </xdr:to>
    <xdr:sp macro="" textlink="">
      <xdr:nvSpPr>
        <xdr:cNvPr id="265" name="Rectangle 264">
          <a:extLst>
            <a:ext uri="{FF2B5EF4-FFF2-40B4-BE49-F238E27FC236}">
              <a16:creationId xmlns:a16="http://schemas.microsoft.com/office/drawing/2014/main" id="{00000000-0008-0000-0200-000009010000}"/>
            </a:ext>
          </a:extLst>
        </xdr:cNvPr>
        <xdr:cNvSpPr/>
      </xdr:nvSpPr>
      <xdr:spPr>
        <a:xfrm>
          <a:off x="21029333" y="558782"/>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63</xdr:col>
      <xdr:colOff>58519</xdr:colOff>
      <xdr:row>6</xdr:row>
      <xdr:rowOff>58773</xdr:rowOff>
    </xdr:from>
    <xdr:to>
      <xdr:col>68</xdr:col>
      <xdr:colOff>19414</xdr:colOff>
      <xdr:row>8</xdr:row>
      <xdr:rowOff>1290</xdr:rowOff>
    </xdr:to>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21029334" y="809271"/>
          <a:ext cx="1901838"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clientData fPrintsWithSheet="0"/>
  </xdr:twoCellAnchor>
  <xdr:twoCellAnchor>
    <xdr:from>
      <xdr:col>63</xdr:col>
      <xdr:colOff>58518</xdr:colOff>
      <xdr:row>9</xdr:row>
      <xdr:rowOff>3527</xdr:rowOff>
    </xdr:from>
    <xdr:to>
      <xdr:col>68</xdr:col>
      <xdr:colOff>19414</xdr:colOff>
      <xdr:row>10</xdr:row>
      <xdr:rowOff>1613</xdr:rowOff>
    </xdr:to>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21029333" y="1064576"/>
          <a:ext cx="1901839" cy="187867"/>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clientData fPrintsWithSheet="0"/>
  </xdr:twoCellAnchor>
  <xdr:twoCellAnchor>
    <xdr:from>
      <xdr:col>63</xdr:col>
      <xdr:colOff>58518</xdr:colOff>
      <xdr:row>10</xdr:row>
      <xdr:rowOff>59418</xdr:rowOff>
    </xdr:from>
    <xdr:to>
      <xdr:col>68</xdr:col>
      <xdr:colOff>19414</xdr:colOff>
      <xdr:row>12</xdr:row>
      <xdr:rowOff>1935</xdr:rowOff>
    </xdr:to>
    <xdr:sp macro="" textlink="">
      <xdr:nvSpPr>
        <xdr:cNvPr id="268" name="Rectangle 267">
          <a:extLst>
            <a:ext uri="{FF2B5EF4-FFF2-40B4-BE49-F238E27FC236}">
              <a16:creationId xmlns:a16="http://schemas.microsoft.com/office/drawing/2014/main" id="{00000000-0008-0000-0200-00000C010000}"/>
            </a:ext>
          </a:extLst>
        </xdr:cNvPr>
        <xdr:cNvSpPr/>
      </xdr:nvSpPr>
      <xdr:spPr>
        <a:xfrm>
          <a:off x="21029333" y="1310248"/>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12</xdr:row>
      <xdr:rowOff>59740</xdr:rowOff>
    </xdr:from>
    <xdr:to>
      <xdr:col>68</xdr:col>
      <xdr:colOff>19414</xdr:colOff>
      <xdr:row>14</xdr:row>
      <xdr:rowOff>2257</xdr:rowOff>
    </xdr:to>
    <xdr:sp macro="" textlink="">
      <xdr:nvSpPr>
        <xdr:cNvPr id="269" name="Rectangle 268">
          <a:extLst>
            <a:ext uri="{FF2B5EF4-FFF2-40B4-BE49-F238E27FC236}">
              <a16:creationId xmlns:a16="http://schemas.microsoft.com/office/drawing/2014/main" id="{00000000-0008-0000-0200-00000D010000}"/>
            </a:ext>
          </a:extLst>
        </xdr:cNvPr>
        <xdr:cNvSpPr/>
      </xdr:nvSpPr>
      <xdr:spPr>
        <a:xfrm>
          <a:off x="21029333" y="1560736"/>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14</xdr:row>
      <xdr:rowOff>60063</xdr:rowOff>
    </xdr:from>
    <xdr:to>
      <xdr:col>68</xdr:col>
      <xdr:colOff>19414</xdr:colOff>
      <xdr:row>16</xdr:row>
      <xdr:rowOff>2580</xdr:rowOff>
    </xdr:to>
    <xdr:sp macro="" textlink="">
      <xdr:nvSpPr>
        <xdr:cNvPr id="270" name="Rectangle 269">
          <a:extLst>
            <a:ext uri="{FF2B5EF4-FFF2-40B4-BE49-F238E27FC236}">
              <a16:creationId xmlns:a16="http://schemas.microsoft.com/office/drawing/2014/main" id="{00000000-0008-0000-0200-00000E010000}"/>
            </a:ext>
          </a:extLst>
        </xdr:cNvPr>
        <xdr:cNvSpPr/>
      </xdr:nvSpPr>
      <xdr:spPr>
        <a:xfrm>
          <a:off x="21029333" y="1811225"/>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61713</xdr:colOff>
      <xdr:row>1</xdr:row>
      <xdr:rowOff>0</xdr:rowOff>
    </xdr:from>
    <xdr:to>
      <xdr:col>68</xdr:col>
      <xdr:colOff>16220</xdr:colOff>
      <xdr:row>2</xdr:row>
      <xdr:rowOff>0</xdr:rowOff>
    </xdr:to>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21032528" y="60385"/>
          <a:ext cx="189545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2211279" y="0"/>
          <a:ext cx="2045174" cy="2051170"/>
          <a:chOff x="15993341" y="0"/>
          <a:chExt cx="1982932" cy="2069523"/>
        </a:xfrm>
        <a:solidFill>
          <a:srgbClr val="2C1126"/>
        </a:solidFill>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a:grpFill/>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a:grpFill/>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a:grpFill/>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a:grpFill/>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a:grpFill/>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a:grpFill/>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a:grpFill/>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a:grpFill/>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a:grpFill/>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2"/>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rgbClr val="2C1126">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3"/>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4"/>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5"/>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6"/>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13</xdr:row>
      <xdr:rowOff>190499</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699773" y="1743253"/>
          <a:ext cx="5175670" cy="255440"/>
          <a:chOff x="3467100" y="1733549"/>
          <a:chExt cx="4953000" cy="247652"/>
        </a:xfrm>
        <a:solidFill>
          <a:srgbClr val="2C1126">
            <a:alpha val="14902"/>
          </a:srgbClr>
        </a:solidFill>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49"/>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effectLst/>
                <a:latin typeface="+mn-lt"/>
                <a:ea typeface="+mn-ea"/>
                <a:cs typeface="+mn-cs"/>
              </a:rPr>
              <a:t>FIXTURE LIST</a:t>
            </a:r>
            <a:endParaRPr lang="en-US" sz="1400" b="1">
              <a:solidFill>
                <a:srgbClr val="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4959094" y="1552754"/>
          <a:ext cx="5386717" cy="254241"/>
          <a:chOff x="3467100" y="1733550"/>
          <a:chExt cx="4953000" cy="247651"/>
        </a:xfrm>
        <a:solidFill>
          <a:srgbClr val="2C1126">
            <a:alpha val="14902"/>
          </a:srgbClr>
        </a:solidFill>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4" name="Group 323">
          <a:extLst>
            <a:ext uri="{FF2B5EF4-FFF2-40B4-BE49-F238E27FC236}">
              <a16:creationId xmlns:a16="http://schemas.microsoft.com/office/drawing/2014/main" id="{00000000-0008-0000-0200-000044010000}"/>
            </a:ext>
          </a:extLst>
        </xdr:cNvPr>
        <xdr:cNvGrpSpPr/>
      </xdr:nvGrpSpPr>
      <xdr:grpSpPr>
        <a:xfrm>
          <a:off x="37400302" y="0"/>
          <a:ext cx="2042838" cy="205117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115</xdr:col>
      <xdr:colOff>58518</xdr:colOff>
      <xdr:row>2</xdr:row>
      <xdr:rowOff>58128</xdr:rowOff>
    </xdr:from>
    <xdr:to>
      <xdr:col>120</xdr:col>
      <xdr:colOff>19414</xdr:colOff>
      <xdr:row>4</xdr:row>
      <xdr:rowOff>645</xdr:rowOff>
    </xdr:to>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37143476" y="308294"/>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115</xdr:col>
      <xdr:colOff>58518</xdr:colOff>
      <xdr:row>4</xdr:row>
      <xdr:rowOff>58450</xdr:rowOff>
    </xdr:from>
    <xdr:to>
      <xdr:col>120</xdr:col>
      <xdr:colOff>19414</xdr:colOff>
      <xdr:row>6</xdr:row>
      <xdr:rowOff>967</xdr:rowOff>
    </xdr:to>
    <xdr:sp macro="" textlink="">
      <xdr:nvSpPr>
        <xdr:cNvPr id="326" name="Rectangle 325">
          <a:extLst>
            <a:ext uri="{FF2B5EF4-FFF2-40B4-BE49-F238E27FC236}">
              <a16:creationId xmlns:a16="http://schemas.microsoft.com/office/drawing/2014/main" id="{00000000-0008-0000-0200-000046010000}"/>
            </a:ext>
          </a:extLst>
        </xdr:cNvPr>
        <xdr:cNvSpPr/>
      </xdr:nvSpPr>
      <xdr:spPr>
        <a:xfrm>
          <a:off x="37143476" y="558782"/>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115</xdr:col>
      <xdr:colOff>58519</xdr:colOff>
      <xdr:row>6</xdr:row>
      <xdr:rowOff>58773</xdr:rowOff>
    </xdr:from>
    <xdr:to>
      <xdr:col>120</xdr:col>
      <xdr:colOff>19414</xdr:colOff>
      <xdr:row>8</xdr:row>
      <xdr:rowOff>1290</xdr:rowOff>
    </xdr:to>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37143477" y="809271"/>
          <a:ext cx="1901839"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clientData fPrintsWithSheet="0"/>
  </xdr:twoCellAnchor>
  <xdr:twoCellAnchor>
    <xdr:from>
      <xdr:col>115</xdr:col>
      <xdr:colOff>58518</xdr:colOff>
      <xdr:row>9</xdr:row>
      <xdr:rowOff>3527</xdr:rowOff>
    </xdr:from>
    <xdr:to>
      <xdr:col>120</xdr:col>
      <xdr:colOff>19414</xdr:colOff>
      <xdr:row>10</xdr:row>
      <xdr:rowOff>1613</xdr:rowOff>
    </xdr:to>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37143476" y="1064576"/>
          <a:ext cx="1901840" cy="18786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clientData fPrintsWithSheet="0"/>
  </xdr:twoCellAnchor>
  <xdr:twoCellAnchor>
    <xdr:from>
      <xdr:col>115</xdr:col>
      <xdr:colOff>58518</xdr:colOff>
      <xdr:row>10</xdr:row>
      <xdr:rowOff>59418</xdr:rowOff>
    </xdr:from>
    <xdr:to>
      <xdr:col>120</xdr:col>
      <xdr:colOff>19414</xdr:colOff>
      <xdr:row>12</xdr:row>
      <xdr:rowOff>1935</xdr:rowOff>
    </xdr:to>
    <xdr:sp macro="" textlink="">
      <xdr:nvSpPr>
        <xdr:cNvPr id="329" name="Rectangle 328">
          <a:extLst>
            <a:ext uri="{FF2B5EF4-FFF2-40B4-BE49-F238E27FC236}">
              <a16:creationId xmlns:a16="http://schemas.microsoft.com/office/drawing/2014/main" id="{00000000-0008-0000-0200-000049010000}"/>
            </a:ext>
          </a:extLst>
        </xdr:cNvPr>
        <xdr:cNvSpPr/>
      </xdr:nvSpPr>
      <xdr:spPr>
        <a:xfrm>
          <a:off x="37143476" y="1310248"/>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12</xdr:row>
      <xdr:rowOff>59740</xdr:rowOff>
    </xdr:from>
    <xdr:to>
      <xdr:col>120</xdr:col>
      <xdr:colOff>19414</xdr:colOff>
      <xdr:row>14</xdr:row>
      <xdr:rowOff>2257</xdr:rowOff>
    </xdr:to>
    <xdr:sp macro="" textlink="">
      <xdr:nvSpPr>
        <xdr:cNvPr id="330" name="Rectangle 329">
          <a:extLst>
            <a:ext uri="{FF2B5EF4-FFF2-40B4-BE49-F238E27FC236}">
              <a16:creationId xmlns:a16="http://schemas.microsoft.com/office/drawing/2014/main" id="{00000000-0008-0000-0200-00004A010000}"/>
            </a:ext>
          </a:extLst>
        </xdr:cNvPr>
        <xdr:cNvSpPr/>
      </xdr:nvSpPr>
      <xdr:spPr>
        <a:xfrm>
          <a:off x="37143476" y="1560736"/>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14</xdr:row>
      <xdr:rowOff>60063</xdr:rowOff>
    </xdr:from>
    <xdr:to>
      <xdr:col>120</xdr:col>
      <xdr:colOff>19414</xdr:colOff>
      <xdr:row>16</xdr:row>
      <xdr:rowOff>2580</xdr:rowOff>
    </xdr:to>
    <xdr:sp macro="" textlink="">
      <xdr:nvSpPr>
        <xdr:cNvPr id="331" name="Rectangle 330">
          <a:extLst>
            <a:ext uri="{FF2B5EF4-FFF2-40B4-BE49-F238E27FC236}">
              <a16:creationId xmlns:a16="http://schemas.microsoft.com/office/drawing/2014/main" id="{00000000-0008-0000-0200-00004B010000}"/>
            </a:ext>
          </a:extLst>
        </xdr:cNvPr>
        <xdr:cNvSpPr/>
      </xdr:nvSpPr>
      <xdr:spPr>
        <a:xfrm>
          <a:off x="37143476" y="1811225"/>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61713</xdr:colOff>
      <xdr:row>1</xdr:row>
      <xdr:rowOff>0</xdr:rowOff>
    </xdr:from>
    <xdr:to>
      <xdr:col>120</xdr:col>
      <xdr:colOff>16220</xdr:colOff>
      <xdr:row>2</xdr:row>
      <xdr:rowOff>0</xdr:rowOff>
    </xdr:to>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37146671" y="60385"/>
          <a:ext cx="1895451" cy="18978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41253434" y="1552754"/>
          <a:ext cx="5099169" cy="254241"/>
          <a:chOff x="3467100" y="1733550"/>
          <a:chExt cx="4953000" cy="247651"/>
        </a:xfrm>
        <a:solidFill>
          <a:srgbClr val="2C1126">
            <a:alpha val="14902"/>
          </a:srgbClr>
        </a:solidFill>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grp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21" name="Group 420">
          <a:extLst>
            <a:ext uri="{FF2B5EF4-FFF2-40B4-BE49-F238E27FC236}">
              <a16:creationId xmlns:a16="http://schemas.microsoft.com/office/drawing/2014/main" id="{00000000-0008-0000-0200-0000A5010000}"/>
            </a:ext>
          </a:extLst>
        </xdr:cNvPr>
        <xdr:cNvGrpSpPr/>
      </xdr:nvGrpSpPr>
      <xdr:grpSpPr>
        <a:xfrm>
          <a:off x="49341183" y="0"/>
          <a:ext cx="2024326" cy="2051170"/>
          <a:chOff x="373063" y="0"/>
          <a:chExt cx="1976437" cy="2024063"/>
        </a:xfrm>
        <a:solidFill>
          <a:srgbClr val="2C1126"/>
        </a:solidFill>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a:grpFill/>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a:grpFill/>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a:grpFill/>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a:grpFill/>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a:grpFill/>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a:grpFill/>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a:grpFill/>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149</xdr:col>
      <xdr:colOff>85075</xdr:colOff>
      <xdr:row>2</xdr:row>
      <xdr:rowOff>58128</xdr:rowOff>
    </xdr:from>
    <xdr:to>
      <xdr:col>154</xdr:col>
      <xdr:colOff>312705</xdr:colOff>
      <xdr:row>4</xdr:row>
      <xdr:rowOff>645</xdr:rowOff>
    </xdr:to>
    <xdr:sp macro="" textlink="">
      <xdr:nvSpPr>
        <xdr:cNvPr id="422" name="Rectangle 421">
          <a:hlinkClick xmlns:r="http://schemas.openxmlformats.org/officeDocument/2006/relationships" r:id="rId17"/>
          <a:extLst>
            <a:ext uri="{FF2B5EF4-FFF2-40B4-BE49-F238E27FC236}">
              <a16:creationId xmlns:a16="http://schemas.microsoft.com/office/drawing/2014/main" id="{00000000-0008-0000-0200-0000A6010000}"/>
            </a:ext>
          </a:extLst>
        </xdr:cNvPr>
        <xdr:cNvSpPr/>
      </xdr:nvSpPr>
      <xdr:spPr>
        <a:xfrm>
          <a:off x="48979596" y="308294"/>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149</xdr:col>
      <xdr:colOff>85075</xdr:colOff>
      <xdr:row>4</xdr:row>
      <xdr:rowOff>58450</xdr:rowOff>
    </xdr:from>
    <xdr:to>
      <xdr:col>154</xdr:col>
      <xdr:colOff>312705</xdr:colOff>
      <xdr:row>6</xdr:row>
      <xdr:rowOff>967</xdr:rowOff>
    </xdr:to>
    <xdr:sp macro="" textlink="">
      <xdr:nvSpPr>
        <xdr:cNvPr id="423" name="Rectangle 422">
          <a:hlinkClick xmlns:r="http://schemas.openxmlformats.org/officeDocument/2006/relationships" r:id="rId18"/>
          <a:extLst>
            <a:ext uri="{FF2B5EF4-FFF2-40B4-BE49-F238E27FC236}">
              <a16:creationId xmlns:a16="http://schemas.microsoft.com/office/drawing/2014/main" id="{00000000-0008-0000-0200-0000A7010000}"/>
            </a:ext>
          </a:extLst>
        </xdr:cNvPr>
        <xdr:cNvSpPr/>
      </xdr:nvSpPr>
      <xdr:spPr>
        <a:xfrm>
          <a:off x="48979596" y="558782"/>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149</xdr:col>
      <xdr:colOff>85076</xdr:colOff>
      <xdr:row>6</xdr:row>
      <xdr:rowOff>58773</xdr:rowOff>
    </xdr:from>
    <xdr:to>
      <xdr:col>154</xdr:col>
      <xdr:colOff>312705</xdr:colOff>
      <xdr:row>8</xdr:row>
      <xdr:rowOff>1290</xdr:rowOff>
    </xdr:to>
    <xdr:sp macro="" textlink="">
      <xdr:nvSpPr>
        <xdr:cNvPr id="424" name="Rectangle 423">
          <a:hlinkClick xmlns:r="http://schemas.openxmlformats.org/officeDocument/2006/relationships" r:id="rId19"/>
          <a:extLst>
            <a:ext uri="{FF2B5EF4-FFF2-40B4-BE49-F238E27FC236}">
              <a16:creationId xmlns:a16="http://schemas.microsoft.com/office/drawing/2014/main" id="{00000000-0008-0000-0200-0000A8010000}"/>
            </a:ext>
          </a:extLst>
        </xdr:cNvPr>
        <xdr:cNvSpPr/>
      </xdr:nvSpPr>
      <xdr:spPr>
        <a:xfrm>
          <a:off x="48979597" y="809271"/>
          <a:ext cx="1892527" cy="192683"/>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149</xdr:col>
      <xdr:colOff>85075</xdr:colOff>
      <xdr:row>9</xdr:row>
      <xdr:rowOff>3527</xdr:rowOff>
    </xdr:from>
    <xdr:to>
      <xdr:col>154</xdr:col>
      <xdr:colOff>312705</xdr:colOff>
      <xdr:row>10</xdr:row>
      <xdr:rowOff>1613</xdr:rowOff>
    </xdr:to>
    <xdr:sp macro="" textlink="">
      <xdr:nvSpPr>
        <xdr:cNvPr id="425" name="Rectangle 424">
          <a:hlinkClick xmlns:r="http://schemas.openxmlformats.org/officeDocument/2006/relationships" r:id="rId20"/>
          <a:extLst>
            <a:ext uri="{FF2B5EF4-FFF2-40B4-BE49-F238E27FC236}">
              <a16:creationId xmlns:a16="http://schemas.microsoft.com/office/drawing/2014/main" id="{00000000-0008-0000-0200-0000A9010000}"/>
            </a:ext>
          </a:extLst>
        </xdr:cNvPr>
        <xdr:cNvSpPr/>
      </xdr:nvSpPr>
      <xdr:spPr>
        <a:xfrm>
          <a:off x="48979596" y="1064576"/>
          <a:ext cx="1892528" cy="187867"/>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149</xdr:col>
      <xdr:colOff>85075</xdr:colOff>
      <xdr:row>10</xdr:row>
      <xdr:rowOff>59418</xdr:rowOff>
    </xdr:from>
    <xdr:to>
      <xdr:col>154</xdr:col>
      <xdr:colOff>312705</xdr:colOff>
      <xdr:row>12</xdr:row>
      <xdr:rowOff>1935</xdr:rowOff>
    </xdr:to>
    <xdr:sp macro="" textlink="">
      <xdr:nvSpPr>
        <xdr:cNvPr id="426" name="Rectangle 425">
          <a:hlinkClick xmlns:r="http://schemas.openxmlformats.org/officeDocument/2006/relationships" r:id="rId21"/>
          <a:extLst>
            <a:ext uri="{FF2B5EF4-FFF2-40B4-BE49-F238E27FC236}">
              <a16:creationId xmlns:a16="http://schemas.microsoft.com/office/drawing/2014/main" id="{00000000-0008-0000-0200-0000AA010000}"/>
            </a:ext>
          </a:extLst>
        </xdr:cNvPr>
        <xdr:cNvSpPr/>
      </xdr:nvSpPr>
      <xdr:spPr>
        <a:xfrm>
          <a:off x="48979596" y="1310248"/>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clientData fPrintsWithSheet="0"/>
  </xdr:twoCellAnchor>
  <xdr:twoCellAnchor>
    <xdr:from>
      <xdr:col>149</xdr:col>
      <xdr:colOff>85075</xdr:colOff>
      <xdr:row>12</xdr:row>
      <xdr:rowOff>59740</xdr:rowOff>
    </xdr:from>
    <xdr:to>
      <xdr:col>154</xdr:col>
      <xdr:colOff>312705</xdr:colOff>
      <xdr:row>14</xdr:row>
      <xdr:rowOff>2257</xdr:rowOff>
    </xdr:to>
    <xdr:sp macro="" textlink="">
      <xdr:nvSpPr>
        <xdr:cNvPr id="427" name="Rectangle 426">
          <a:extLst>
            <a:ext uri="{FF2B5EF4-FFF2-40B4-BE49-F238E27FC236}">
              <a16:creationId xmlns:a16="http://schemas.microsoft.com/office/drawing/2014/main" id="{00000000-0008-0000-0200-0000AB010000}"/>
            </a:ext>
          </a:extLst>
        </xdr:cNvPr>
        <xdr:cNvSpPr/>
      </xdr:nvSpPr>
      <xdr:spPr>
        <a:xfrm>
          <a:off x="48979596" y="1560736"/>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149</xdr:col>
      <xdr:colOff>85075</xdr:colOff>
      <xdr:row>14</xdr:row>
      <xdr:rowOff>60063</xdr:rowOff>
    </xdr:from>
    <xdr:to>
      <xdr:col>154</xdr:col>
      <xdr:colOff>312705</xdr:colOff>
      <xdr:row>16</xdr:row>
      <xdr:rowOff>2580</xdr:rowOff>
    </xdr:to>
    <xdr:sp macro="" textlink="">
      <xdr:nvSpPr>
        <xdr:cNvPr id="428" name="Rectangle 427">
          <a:hlinkClick xmlns:r="http://schemas.openxmlformats.org/officeDocument/2006/relationships" r:id="rId22"/>
          <a:extLst>
            <a:ext uri="{FF2B5EF4-FFF2-40B4-BE49-F238E27FC236}">
              <a16:creationId xmlns:a16="http://schemas.microsoft.com/office/drawing/2014/main" id="{00000000-0008-0000-0200-0000AC010000}"/>
            </a:ext>
          </a:extLst>
        </xdr:cNvPr>
        <xdr:cNvSpPr/>
      </xdr:nvSpPr>
      <xdr:spPr>
        <a:xfrm>
          <a:off x="48979596" y="1811225"/>
          <a:ext cx="1892528" cy="192683"/>
        </a:xfrm>
        <a:prstGeom prst="rect">
          <a:avLst/>
        </a:prstGeom>
        <a:solidFill>
          <a:schemeClr val="bg1">
            <a:alpha val="69804"/>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clientData fPrintsWithSheet="0"/>
  </xdr:twoCellAnchor>
  <xdr:twoCellAnchor>
    <xdr:from>
      <xdr:col>149</xdr:col>
      <xdr:colOff>88254</xdr:colOff>
      <xdr:row>1</xdr:row>
      <xdr:rowOff>0</xdr:rowOff>
    </xdr:from>
    <xdr:to>
      <xdr:col>154</xdr:col>
      <xdr:colOff>309526</xdr:colOff>
      <xdr:row>2</xdr:row>
      <xdr:rowOff>0</xdr:rowOff>
    </xdr:to>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48982775" y="60385"/>
          <a:ext cx="188617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312993" y="3201359"/>
          <a:ext cx="2760453" cy="383395"/>
          <a:chOff x="9499934" y="65130947"/>
          <a:chExt cx="2600325" cy="352425"/>
        </a:xfrm>
        <a:solidFill>
          <a:srgbClr val="2C1126"/>
        </a:solidFill>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a:grpFill/>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6115170" y="3201359"/>
          <a:ext cx="2675295" cy="383395"/>
          <a:chOff x="9499934" y="65130947"/>
          <a:chExt cx="2600325" cy="352425"/>
        </a:xfrm>
        <a:solidFill>
          <a:srgbClr val="2C1126"/>
        </a:solidFill>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a:grpFill/>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274493</xdr:colOff>
      <xdr:row>0</xdr:row>
      <xdr:rowOff>19050</xdr:rowOff>
    </xdr:from>
    <xdr:to>
      <xdr:col>97</xdr:col>
      <xdr:colOff>361950</xdr:colOff>
      <xdr:row>17</xdr:row>
      <xdr:rowOff>19050</xdr:rowOff>
    </xdr:to>
    <xdr:grpSp>
      <xdr:nvGrpSpPr>
        <xdr:cNvPr id="371" name="Group 370">
          <a:extLst>
            <a:ext uri="{FF2B5EF4-FFF2-40B4-BE49-F238E27FC236}">
              <a16:creationId xmlns:a16="http://schemas.microsoft.com/office/drawing/2014/main" id="{00000000-0008-0000-0200-000073010000}"/>
            </a:ext>
          </a:extLst>
        </xdr:cNvPr>
        <xdr:cNvGrpSpPr/>
      </xdr:nvGrpSpPr>
      <xdr:grpSpPr>
        <a:xfrm>
          <a:off x="32192229" y="19050"/>
          <a:ext cx="2052362" cy="2051170"/>
          <a:chOff x="373063" y="0"/>
          <a:chExt cx="1976437" cy="2024063"/>
        </a:xfrm>
        <a:solidFill>
          <a:srgbClr val="2C1126"/>
        </a:solidFill>
      </xdr:grpSpPr>
      <xdr:sp macro="" textlink="">
        <xdr:nvSpPr>
          <xdr:cNvPr id="379" name="Rectangle 378">
            <a:extLst>
              <a:ext uri="{FF2B5EF4-FFF2-40B4-BE49-F238E27FC236}">
                <a16:creationId xmlns:a16="http://schemas.microsoft.com/office/drawing/2014/main" id="{00000000-0008-0000-0200-00007B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0" name="Group 379">
            <a:extLst>
              <a:ext uri="{FF2B5EF4-FFF2-40B4-BE49-F238E27FC236}">
                <a16:creationId xmlns:a16="http://schemas.microsoft.com/office/drawing/2014/main" id="{00000000-0008-0000-0200-00007C010000}"/>
              </a:ext>
            </a:extLst>
          </xdr:cNvPr>
          <xdr:cNvGrpSpPr/>
        </xdr:nvGrpSpPr>
        <xdr:grpSpPr>
          <a:xfrm>
            <a:off x="428625" y="301625"/>
            <a:ext cx="1861754" cy="188857"/>
            <a:chOff x="426983" y="303815"/>
            <a:chExt cx="1847521" cy="188857"/>
          </a:xfrm>
          <a:grpFill/>
        </xdr:grpSpPr>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1" name="Group 380">
            <a:extLst>
              <a:ext uri="{FF2B5EF4-FFF2-40B4-BE49-F238E27FC236}">
                <a16:creationId xmlns:a16="http://schemas.microsoft.com/office/drawing/2014/main" id="{00000000-0008-0000-0200-00007D010000}"/>
              </a:ext>
            </a:extLst>
          </xdr:cNvPr>
          <xdr:cNvGrpSpPr/>
        </xdr:nvGrpSpPr>
        <xdr:grpSpPr>
          <a:xfrm>
            <a:off x="428625" y="547689"/>
            <a:ext cx="1861754" cy="190499"/>
            <a:chOff x="426983" y="303815"/>
            <a:chExt cx="1847521" cy="188857"/>
          </a:xfrm>
          <a:grpFill/>
        </xdr:grpSpPr>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2" name="Group 381">
            <a:extLst>
              <a:ext uri="{FF2B5EF4-FFF2-40B4-BE49-F238E27FC236}">
                <a16:creationId xmlns:a16="http://schemas.microsoft.com/office/drawing/2014/main" id="{00000000-0008-0000-0200-00007E010000}"/>
              </a:ext>
            </a:extLst>
          </xdr:cNvPr>
          <xdr:cNvGrpSpPr/>
        </xdr:nvGrpSpPr>
        <xdr:grpSpPr>
          <a:xfrm>
            <a:off x="428625" y="793751"/>
            <a:ext cx="1861754" cy="190499"/>
            <a:chOff x="426983" y="303815"/>
            <a:chExt cx="1847521" cy="188857"/>
          </a:xfrm>
          <a:grpFill/>
        </xdr:grpSpPr>
        <xdr:cxnSp macro="">
          <xdr:nvCxnSpPr>
            <xdr:cNvPr id="403" name="Straight Connector 402">
              <a:extLst>
                <a:ext uri="{FF2B5EF4-FFF2-40B4-BE49-F238E27FC236}">
                  <a16:creationId xmlns:a16="http://schemas.microsoft.com/office/drawing/2014/main" id="{00000000-0008-0000-0200-00009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3" name="Group 382">
            <a:extLst>
              <a:ext uri="{FF2B5EF4-FFF2-40B4-BE49-F238E27FC236}">
                <a16:creationId xmlns:a16="http://schemas.microsoft.com/office/drawing/2014/main" id="{00000000-0008-0000-0200-00007F010000}"/>
              </a:ext>
            </a:extLst>
          </xdr:cNvPr>
          <xdr:cNvGrpSpPr/>
        </xdr:nvGrpSpPr>
        <xdr:grpSpPr>
          <a:xfrm>
            <a:off x="428625" y="1041728"/>
            <a:ext cx="1861754" cy="186942"/>
            <a:chOff x="426983" y="303815"/>
            <a:chExt cx="1847521" cy="188857"/>
          </a:xfrm>
          <a:grpFill/>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0" name="Straight Connector 399">
              <a:extLst>
                <a:ext uri="{FF2B5EF4-FFF2-40B4-BE49-F238E27FC236}">
                  <a16:creationId xmlns:a16="http://schemas.microsoft.com/office/drawing/2014/main" id="{00000000-0008-0000-0200-00009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4" name="Group 383">
            <a:extLst>
              <a:ext uri="{FF2B5EF4-FFF2-40B4-BE49-F238E27FC236}">
                <a16:creationId xmlns:a16="http://schemas.microsoft.com/office/drawing/2014/main" id="{00000000-0008-0000-0200-000080010000}"/>
              </a:ext>
            </a:extLst>
          </xdr:cNvPr>
          <xdr:cNvGrpSpPr/>
        </xdr:nvGrpSpPr>
        <xdr:grpSpPr>
          <a:xfrm>
            <a:off x="428625" y="1285876"/>
            <a:ext cx="1861754" cy="188857"/>
            <a:chOff x="426983" y="303815"/>
            <a:chExt cx="1847521" cy="188857"/>
          </a:xfrm>
          <a:grpFill/>
        </xdr:grpSpPr>
        <xdr:cxnSp macro="">
          <xdr:nvCxnSpPr>
            <xdr:cNvPr id="395" name="Straight Connector 394">
              <a:extLst>
                <a:ext uri="{FF2B5EF4-FFF2-40B4-BE49-F238E27FC236}">
                  <a16:creationId xmlns:a16="http://schemas.microsoft.com/office/drawing/2014/main" id="{00000000-0008-0000-0200-00008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6" name="Straight Connector 395">
              <a:extLst>
                <a:ext uri="{FF2B5EF4-FFF2-40B4-BE49-F238E27FC236}">
                  <a16:creationId xmlns:a16="http://schemas.microsoft.com/office/drawing/2014/main" id="{00000000-0008-0000-0200-00008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7" name="Straight Connector 396">
              <a:extLst>
                <a:ext uri="{FF2B5EF4-FFF2-40B4-BE49-F238E27FC236}">
                  <a16:creationId xmlns:a16="http://schemas.microsoft.com/office/drawing/2014/main" id="{00000000-0008-0000-0200-00008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8" name="Straight Connector 397">
              <a:extLst>
                <a:ext uri="{FF2B5EF4-FFF2-40B4-BE49-F238E27FC236}">
                  <a16:creationId xmlns:a16="http://schemas.microsoft.com/office/drawing/2014/main" id="{00000000-0008-0000-0200-00008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5" name="Group 384">
            <a:extLst>
              <a:ext uri="{FF2B5EF4-FFF2-40B4-BE49-F238E27FC236}">
                <a16:creationId xmlns:a16="http://schemas.microsoft.com/office/drawing/2014/main" id="{00000000-0008-0000-0200-000081010000}"/>
              </a:ext>
            </a:extLst>
          </xdr:cNvPr>
          <xdr:cNvGrpSpPr/>
        </xdr:nvGrpSpPr>
        <xdr:grpSpPr>
          <a:xfrm>
            <a:off x="428625" y="1531938"/>
            <a:ext cx="1861754" cy="188857"/>
            <a:chOff x="426983" y="303815"/>
            <a:chExt cx="1847521" cy="188857"/>
          </a:xfrm>
          <a:grpFill/>
        </xdr:grpSpPr>
        <xdr:cxnSp macro="">
          <xdr:nvCxnSpPr>
            <xdr:cNvPr id="391" name="Straight Connector 390">
              <a:extLst>
                <a:ext uri="{FF2B5EF4-FFF2-40B4-BE49-F238E27FC236}">
                  <a16:creationId xmlns:a16="http://schemas.microsoft.com/office/drawing/2014/main" id="{00000000-0008-0000-0200-00008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2" name="Straight Connector 391">
              <a:extLst>
                <a:ext uri="{FF2B5EF4-FFF2-40B4-BE49-F238E27FC236}">
                  <a16:creationId xmlns:a16="http://schemas.microsoft.com/office/drawing/2014/main" id="{00000000-0008-0000-0200-00008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3" name="Straight Connector 392">
              <a:extLst>
                <a:ext uri="{FF2B5EF4-FFF2-40B4-BE49-F238E27FC236}">
                  <a16:creationId xmlns:a16="http://schemas.microsoft.com/office/drawing/2014/main" id="{00000000-0008-0000-0200-00008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200-00008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6" name="Group 385">
            <a:extLst>
              <a:ext uri="{FF2B5EF4-FFF2-40B4-BE49-F238E27FC236}">
                <a16:creationId xmlns:a16="http://schemas.microsoft.com/office/drawing/2014/main" id="{00000000-0008-0000-0200-000082010000}"/>
              </a:ext>
            </a:extLst>
          </xdr:cNvPr>
          <xdr:cNvGrpSpPr/>
        </xdr:nvGrpSpPr>
        <xdr:grpSpPr>
          <a:xfrm>
            <a:off x="428625" y="1778001"/>
            <a:ext cx="1861754" cy="190499"/>
            <a:chOff x="426983" y="303815"/>
            <a:chExt cx="1847521" cy="188857"/>
          </a:xfrm>
          <a:grpFill/>
        </xdr:grpSpPr>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333287</xdr:colOff>
      <xdr:row>3</xdr:row>
      <xdr:rowOff>16793</xdr:rowOff>
    </xdr:from>
    <xdr:to>
      <xdr:col>97</xdr:col>
      <xdr:colOff>303156</xdr:colOff>
      <xdr:row>4</xdr:row>
      <xdr:rowOff>19695</xdr:rowOff>
    </xdr:to>
    <xdr:sp macro="" textlink="">
      <xdr:nvSpPr>
        <xdr:cNvPr id="372" name="Rectangle 371">
          <a:hlinkClick xmlns:r="http://schemas.openxmlformats.org/officeDocument/2006/relationships" r:id="rId12"/>
          <a:extLst>
            <a:ext uri="{FF2B5EF4-FFF2-40B4-BE49-F238E27FC236}">
              <a16:creationId xmlns:a16="http://schemas.microsoft.com/office/drawing/2014/main" id="{00000000-0008-0000-0200-000074010000}"/>
            </a:ext>
          </a:extLst>
        </xdr:cNvPr>
        <xdr:cNvSpPr/>
      </xdr:nvSpPr>
      <xdr:spPr>
        <a:xfrm>
          <a:off x="32000857" y="327344"/>
          <a:ext cx="1910812" cy="192683"/>
        </a:xfrm>
        <a:prstGeom prst="rect">
          <a:avLst/>
        </a:prstGeom>
        <a:solidFill>
          <a:srgbClr val="FFFFFF">
            <a:alpha val="2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92</xdr:col>
      <xdr:colOff>333287</xdr:colOff>
      <xdr:row>5</xdr:row>
      <xdr:rowOff>17115</xdr:rowOff>
    </xdr:from>
    <xdr:to>
      <xdr:col>97</xdr:col>
      <xdr:colOff>303156</xdr:colOff>
      <xdr:row>6</xdr:row>
      <xdr:rowOff>20017</xdr:rowOff>
    </xdr:to>
    <xdr:sp macro="" textlink="">
      <xdr:nvSpPr>
        <xdr:cNvPr id="373" name="Rectangle 372">
          <a:hlinkClick xmlns:r="http://schemas.openxmlformats.org/officeDocument/2006/relationships" r:id="rId13"/>
          <a:extLst>
            <a:ext uri="{FF2B5EF4-FFF2-40B4-BE49-F238E27FC236}">
              <a16:creationId xmlns:a16="http://schemas.microsoft.com/office/drawing/2014/main" id="{00000000-0008-0000-0200-000075010000}"/>
            </a:ext>
          </a:extLst>
        </xdr:cNvPr>
        <xdr:cNvSpPr/>
      </xdr:nvSpPr>
      <xdr:spPr>
        <a:xfrm>
          <a:off x="32000857" y="577832"/>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92</xdr:col>
      <xdr:colOff>333288</xdr:colOff>
      <xdr:row>7</xdr:row>
      <xdr:rowOff>17438</xdr:rowOff>
    </xdr:from>
    <xdr:to>
      <xdr:col>97</xdr:col>
      <xdr:colOff>303156</xdr:colOff>
      <xdr:row>8</xdr:row>
      <xdr:rowOff>20340</xdr:rowOff>
    </xdr:to>
    <xdr:sp macro="" textlink="">
      <xdr:nvSpPr>
        <xdr:cNvPr id="374" name="Rectangle 373">
          <a:hlinkClick xmlns:r="http://schemas.openxmlformats.org/officeDocument/2006/relationships" r:id="rId14"/>
          <a:extLst>
            <a:ext uri="{FF2B5EF4-FFF2-40B4-BE49-F238E27FC236}">
              <a16:creationId xmlns:a16="http://schemas.microsoft.com/office/drawing/2014/main" id="{00000000-0008-0000-0200-000076010000}"/>
            </a:ext>
          </a:extLst>
        </xdr:cNvPr>
        <xdr:cNvSpPr/>
      </xdr:nvSpPr>
      <xdr:spPr>
        <a:xfrm>
          <a:off x="32000858" y="828321"/>
          <a:ext cx="1910811"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92</xdr:col>
      <xdr:colOff>333287</xdr:colOff>
      <xdr:row>9</xdr:row>
      <xdr:rowOff>22577</xdr:rowOff>
    </xdr:from>
    <xdr:to>
      <xdr:col>97</xdr:col>
      <xdr:colOff>303156</xdr:colOff>
      <xdr:row>10</xdr:row>
      <xdr:rowOff>20663</xdr:rowOff>
    </xdr:to>
    <xdr:sp macro="" textlink="">
      <xdr:nvSpPr>
        <xdr:cNvPr id="375" name="Rectangle 374">
          <a:hlinkClick xmlns:r="http://schemas.openxmlformats.org/officeDocument/2006/relationships" r:id="rId15"/>
          <a:extLst>
            <a:ext uri="{FF2B5EF4-FFF2-40B4-BE49-F238E27FC236}">
              <a16:creationId xmlns:a16="http://schemas.microsoft.com/office/drawing/2014/main" id="{00000000-0008-0000-0200-000077010000}"/>
            </a:ext>
          </a:extLst>
        </xdr:cNvPr>
        <xdr:cNvSpPr/>
      </xdr:nvSpPr>
      <xdr:spPr>
        <a:xfrm>
          <a:off x="32000857" y="1083626"/>
          <a:ext cx="1910812" cy="187867"/>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92</xdr:col>
      <xdr:colOff>333287</xdr:colOff>
      <xdr:row>11</xdr:row>
      <xdr:rowOff>18083</xdr:rowOff>
    </xdr:from>
    <xdr:to>
      <xdr:col>97</xdr:col>
      <xdr:colOff>303156</xdr:colOff>
      <xdr:row>12</xdr:row>
      <xdr:rowOff>20985</xdr:rowOff>
    </xdr:to>
    <xdr:sp macro="" textlink="">
      <xdr:nvSpPr>
        <xdr:cNvPr id="376" name="Rectangle 375">
          <a:extLst>
            <a:ext uri="{FF2B5EF4-FFF2-40B4-BE49-F238E27FC236}">
              <a16:creationId xmlns:a16="http://schemas.microsoft.com/office/drawing/2014/main" id="{00000000-0008-0000-0200-000078010000}"/>
            </a:ext>
          </a:extLst>
        </xdr:cNvPr>
        <xdr:cNvSpPr/>
      </xdr:nvSpPr>
      <xdr:spPr>
        <a:xfrm>
          <a:off x="32000857" y="1329298"/>
          <a:ext cx="1910812" cy="192683"/>
        </a:xfrm>
        <a:prstGeom prst="rect">
          <a:avLst/>
        </a:prstGeom>
        <a:solidFill>
          <a:srgbClr val="EAEAEA">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13</xdr:row>
      <xdr:rowOff>18405</xdr:rowOff>
    </xdr:from>
    <xdr:to>
      <xdr:col>97</xdr:col>
      <xdr:colOff>303156</xdr:colOff>
      <xdr:row>14</xdr:row>
      <xdr:rowOff>21307</xdr:rowOff>
    </xdr:to>
    <xdr:sp macro="" textlink="">
      <xdr:nvSpPr>
        <xdr:cNvPr id="377" name="Rectangle 376">
          <a:extLst>
            <a:ext uri="{FF2B5EF4-FFF2-40B4-BE49-F238E27FC236}">
              <a16:creationId xmlns:a16="http://schemas.microsoft.com/office/drawing/2014/main" id="{00000000-0008-0000-0200-000079010000}"/>
            </a:ext>
          </a:extLst>
        </xdr:cNvPr>
        <xdr:cNvSpPr/>
      </xdr:nvSpPr>
      <xdr:spPr>
        <a:xfrm>
          <a:off x="32000857" y="1579786"/>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15</xdr:row>
      <xdr:rowOff>18728</xdr:rowOff>
    </xdr:from>
    <xdr:to>
      <xdr:col>97</xdr:col>
      <xdr:colOff>303156</xdr:colOff>
      <xdr:row>16</xdr:row>
      <xdr:rowOff>21630</xdr:rowOff>
    </xdr:to>
    <xdr:sp macro="" textlink="">
      <xdr:nvSpPr>
        <xdr:cNvPr id="378" name="Rectangle 377">
          <a:hlinkClick xmlns:r="http://schemas.openxmlformats.org/officeDocument/2006/relationships" r:id="rId16"/>
          <a:extLst>
            <a:ext uri="{FF2B5EF4-FFF2-40B4-BE49-F238E27FC236}">
              <a16:creationId xmlns:a16="http://schemas.microsoft.com/office/drawing/2014/main" id="{00000000-0008-0000-0200-00007A010000}"/>
            </a:ext>
          </a:extLst>
        </xdr:cNvPr>
        <xdr:cNvSpPr/>
      </xdr:nvSpPr>
      <xdr:spPr>
        <a:xfrm>
          <a:off x="32000857" y="1830275"/>
          <a:ext cx="1910812" cy="192683"/>
        </a:xfrm>
        <a:prstGeom prst="rect">
          <a:avLst/>
        </a:prstGeom>
        <a:solidFill>
          <a:srgbClr val="F8F8F8">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b="0">
            <a:solidFill>
              <a:srgbClr val="FF0000"/>
            </a:solidFill>
          </a:endParaRPr>
        </a:p>
      </xdr:txBody>
    </xdr:sp>
    <xdr:clientData fPrintsWithSheet="0"/>
  </xdr:twoCellAnchor>
  <xdr:twoCellAnchor>
    <xdr:from>
      <xdr:col>92</xdr:col>
      <xdr:colOff>336497</xdr:colOff>
      <xdr:row>1</xdr:row>
      <xdr:rowOff>19050</xdr:rowOff>
    </xdr:from>
    <xdr:to>
      <xdr:col>97</xdr:col>
      <xdr:colOff>299946</xdr:colOff>
      <xdr:row>2</xdr:row>
      <xdr:rowOff>19050</xdr:rowOff>
    </xdr:to>
    <xdr:sp macro="" textlink="">
      <xdr:nvSpPr>
        <xdr:cNvPr id="370" name="TextBox 369" title="Page Navigation">
          <a:hlinkClick xmlns:r="http://schemas.openxmlformats.org/officeDocument/2006/relationships" r:id="rId2"/>
          <a:extLst>
            <a:ext uri="{FF2B5EF4-FFF2-40B4-BE49-F238E27FC236}">
              <a16:creationId xmlns:a16="http://schemas.microsoft.com/office/drawing/2014/main" id="{00000000-0008-0000-0200-000072010000}"/>
            </a:ext>
          </a:extLst>
        </xdr:cNvPr>
        <xdr:cNvSpPr txBox="1"/>
      </xdr:nvSpPr>
      <xdr:spPr>
        <a:xfrm>
          <a:off x="32004067" y="79435"/>
          <a:ext cx="1904392"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88853" y="0"/>
          <a:ext cx="2004830" cy="2061713"/>
          <a:chOff x="373063" y="0"/>
          <a:chExt cx="1976437" cy="2024063"/>
        </a:xfrm>
        <a:solidFill>
          <a:srgbClr val="2C1126"/>
        </a:solidFill>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a:grpFill/>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a:grpFill/>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a:grpFill/>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a:grpFill/>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a:grpFill/>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a:grpFill/>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a:grpFill/>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hlinkClick xmlns:r="http://schemas.openxmlformats.org/officeDocument/2006/relationships" r:id="rId6" tooltip="PSE Only - Grant QC page"/>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7"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8"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9"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970143" y="1751162"/>
          <a:ext cx="5607170" cy="310551"/>
          <a:chOff x="3467100" y="1733550"/>
          <a:chExt cx="4953000" cy="247651"/>
        </a:xfrm>
        <a:solidFill>
          <a:srgbClr val="2C1126">
            <a:alpha val="14902"/>
          </a:srgbClr>
        </a:solidFill>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2C1126"/>
                </a:solidFill>
                <a:effectLst/>
                <a:latin typeface="+mn-lt"/>
                <a:ea typeface="+mn-ea"/>
                <a:cs typeface="+mn-cs"/>
              </a:rPr>
              <a:t>Grant Attachment C - Lighting Installations</a:t>
            </a:r>
            <a:endParaRPr lang="en-US" sz="1400" b="1">
              <a:solidFill>
                <a:srgbClr val="2C1126"/>
              </a:solidFill>
            </a:endParaRPr>
          </a:p>
        </xdr:txBody>
      </xdr:sp>
    </xdr:grpSp>
    <xdr:clientData/>
  </xdr:twoCellAnchor>
  <xdr:twoCellAnchor>
    <xdr:from>
      <xdr:col>42</xdr:col>
      <xdr:colOff>0</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941615" y="0"/>
          <a:ext cx="1737022" cy="2063145"/>
        </a:xfrm>
        <a:prstGeom prst="rect">
          <a:avLst/>
        </a:prstGeom>
        <a:solidFill>
          <a:srgbClr val="2C1126"/>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10" tooltip="Line 71"/>
          <a:extLst>
            <a:ext uri="{FF2B5EF4-FFF2-40B4-BE49-F238E27FC236}">
              <a16:creationId xmlns:a16="http://schemas.microsoft.com/office/drawing/2014/main" id="{00000000-0008-0000-0300-000027010000}"/>
            </a:ext>
          </a:extLst>
        </xdr:cNvPr>
        <xdr:cNvGrpSpPr/>
      </xdr:nvGrpSpPr>
      <xdr:grpSpPr>
        <a:xfrm>
          <a:off x="16842328" y="1063617"/>
          <a:ext cx="773056" cy="186513"/>
          <a:chOff x="16093707" y="1047838"/>
          <a:chExt cx="762965" cy="189900"/>
        </a:xfrm>
      </xdr:grpSpPr>
      <xdr:sp macro="" textlink="">
        <xdr:nvSpPr>
          <xdr:cNvPr id="30" name="TextBox 29" title="Terms and Conditions">
            <a:hlinkClick xmlns:r="http://schemas.openxmlformats.org/officeDocument/2006/relationships" r:id="rId10"/>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#70</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3564</xdr:colOff>
      <xdr:row>11</xdr:row>
      <xdr:rowOff>2285</xdr:rowOff>
    </xdr:from>
    <xdr:to>
      <xdr:col>49</xdr:col>
      <xdr:colOff>250</xdr:colOff>
      <xdr:row>12</xdr:row>
      <xdr:rowOff>93</xdr:rowOff>
    </xdr:to>
    <xdr:grpSp>
      <xdr:nvGrpSpPr>
        <xdr:cNvPr id="297" name="Group 296">
          <a:hlinkClick xmlns:r="http://schemas.openxmlformats.org/officeDocument/2006/relationships" r:id="rId11" tooltip="Line 86"/>
          <a:extLst>
            <a:ext uri="{FF2B5EF4-FFF2-40B4-BE49-F238E27FC236}">
              <a16:creationId xmlns:a16="http://schemas.microsoft.com/office/drawing/2014/main" id="{00000000-0008-0000-0300-000029010000}"/>
            </a:ext>
          </a:extLst>
        </xdr:cNvPr>
        <xdr:cNvGrpSpPr/>
      </xdr:nvGrpSpPr>
      <xdr:grpSpPr>
        <a:xfrm>
          <a:off x="16842326" y="1313500"/>
          <a:ext cx="773064" cy="187589"/>
          <a:chOff x="16093707" y="1295386"/>
          <a:chExt cx="762973"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#85</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2C1126"/>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6004225" y="1813264"/>
          <a:ext cx="161116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6004225" y="1063617"/>
          <a:ext cx="765867" cy="186512"/>
          <a:chOff x="15272838" y="1047838"/>
          <a:chExt cx="762965" cy="189899"/>
        </a:xfrm>
      </xdr:grpSpPr>
      <xdr:sp macro="" textlink="">
        <xdr:nvSpPr>
          <xdr:cNvPr id="20" name="TextBox 19" title="Terms and Conditions">
            <a:hlinkClick xmlns:r="http://schemas.openxmlformats.org/officeDocument/2006/relationships" r:id="rId13"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#10</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6004225" y="1314267"/>
          <a:ext cx="765867" cy="185744"/>
          <a:chOff x="15272838" y="1296167"/>
          <a:chExt cx="762965" cy="189117"/>
        </a:xfrm>
      </xdr:grpSpPr>
      <xdr:sp macro="" textlink="">
        <xdr:nvSpPr>
          <xdr:cNvPr id="25" name="TextBox 24" title="Terms and Conditions">
            <a:hlinkClick xmlns:r="http://schemas.openxmlformats.org/officeDocument/2006/relationships" r:id="rId15"/>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#25</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6" tooltip="Line 41"/>
          <a:extLst>
            <a:ext uri="{FF2B5EF4-FFF2-40B4-BE49-F238E27FC236}">
              <a16:creationId xmlns:a16="http://schemas.microsoft.com/office/drawing/2014/main" id="{00000000-0008-0000-0300-00002A010000}"/>
            </a:ext>
          </a:extLst>
        </xdr:cNvPr>
        <xdr:cNvGrpSpPr/>
      </xdr:nvGrpSpPr>
      <xdr:grpSpPr>
        <a:xfrm>
          <a:off x="16004225" y="1563381"/>
          <a:ext cx="765867" cy="186512"/>
          <a:chOff x="15272838" y="1542933"/>
          <a:chExt cx="762965" cy="189899"/>
        </a:xfrm>
      </xdr:grpSpPr>
      <xdr:sp macro="" textlink="">
        <xdr:nvSpPr>
          <xdr:cNvPr id="28" name="TextBox 27" title="Terms and Conditions">
            <a:hlinkClick xmlns:r="http://schemas.openxmlformats.org/officeDocument/2006/relationships" r:id="rId17"/>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#40</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8" tooltip="Labor &amp; Misc"/>
          <a:extLst>
            <a:ext uri="{FF2B5EF4-FFF2-40B4-BE49-F238E27FC236}">
              <a16:creationId xmlns:a16="http://schemas.microsoft.com/office/drawing/2014/main" id="{00000000-0008-0000-0300-000013000000}"/>
            </a:ext>
          </a:extLst>
        </xdr:cNvPr>
        <xdr:cNvGrpSpPr/>
      </xdr:nvGrpSpPr>
      <xdr:grpSpPr>
        <a:xfrm>
          <a:off x="16004225" y="313971"/>
          <a:ext cx="1611160" cy="186512"/>
          <a:chOff x="15272838" y="305196"/>
          <a:chExt cx="1583834" cy="189899"/>
        </a:xfrm>
      </xdr:grpSpPr>
      <xdr:sp macro="" textlink="">
        <xdr:nvSpPr>
          <xdr:cNvPr id="23" name="TextBox 22" title="Terms and Conditions">
            <a:hlinkClick xmlns:r="http://schemas.openxmlformats.org/officeDocument/2006/relationships" r:id="rId18"/>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19" tooltip="Line 56"/>
          <a:extLst>
            <a:ext uri="{FF2B5EF4-FFF2-40B4-BE49-F238E27FC236}">
              <a16:creationId xmlns:a16="http://schemas.microsoft.com/office/drawing/2014/main" id="{00000000-0008-0000-0300-000023010000}"/>
            </a:ext>
          </a:extLst>
        </xdr:cNvPr>
        <xdr:cNvGrpSpPr/>
      </xdr:nvGrpSpPr>
      <xdr:grpSpPr>
        <a:xfrm>
          <a:off x="16842328" y="813734"/>
          <a:ext cx="773056" cy="186512"/>
          <a:chOff x="16093707" y="800290"/>
          <a:chExt cx="762965" cy="189899"/>
        </a:xfrm>
      </xdr:grpSpPr>
      <xdr:sp macro="" textlink="">
        <xdr:nvSpPr>
          <xdr:cNvPr id="29" name="TextBox 28" title="Terms and Conditions">
            <a:hlinkClick xmlns:r="http://schemas.openxmlformats.org/officeDocument/2006/relationships" r:id="rId19"/>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#55</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0" tooltip="Line 1"/>
          <a:extLst>
            <a:ext uri="{FF2B5EF4-FFF2-40B4-BE49-F238E27FC236}">
              <a16:creationId xmlns:a16="http://schemas.microsoft.com/office/drawing/2014/main" id="{00000000-0008-0000-0300-000005000000}"/>
            </a:ext>
          </a:extLst>
        </xdr:cNvPr>
        <xdr:cNvGrpSpPr/>
      </xdr:nvGrpSpPr>
      <xdr:grpSpPr>
        <a:xfrm>
          <a:off x="16002000" y="814871"/>
          <a:ext cx="765867" cy="185793"/>
          <a:chOff x="15989300" y="829488"/>
          <a:chExt cx="777728" cy="186512"/>
        </a:xfrm>
      </xdr:grpSpPr>
      <xdr:sp macro="" textlink="">
        <xdr:nvSpPr>
          <xdr:cNvPr id="125" name="TextBox 124" title="Terms and Conditions">
            <a:hlinkClick xmlns:r="http://schemas.openxmlformats.org/officeDocument/2006/relationships" r:id="rId21"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138</xdr:col>
      <xdr:colOff>0</xdr:colOff>
      <xdr:row>9</xdr:row>
      <xdr:rowOff>-1</xdr:rowOff>
    </xdr:from>
    <xdr:to>
      <xdr:col>149</xdr:col>
      <xdr:colOff>466963</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2"/>
        <a:stretch>
          <a:fillRect/>
        </a:stretch>
      </xdr:blipFill>
      <xdr:spPr>
        <a:xfrm>
          <a:off x="72473344" y="1119187"/>
          <a:ext cx="6518978" cy="2738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23</xdr:col>
          <xdr:colOff>301925</xdr:colOff>
          <xdr:row>37</xdr:row>
          <xdr:rowOff>183311</xdr:rowOff>
        </xdr:to>
        <xdr:pic>
          <xdr:nvPicPr>
            <xdr:cNvPr id="118" name="Picture 117">
              <a:hlinkClick xmlns:r="http://schemas.openxmlformats.org/officeDocument/2006/relationships" r:id="rId23"/>
              <a:extLst>
                <a:ext uri="{FF2B5EF4-FFF2-40B4-BE49-F238E27FC236}">
                  <a16:creationId xmlns:a16="http://schemas.microsoft.com/office/drawing/2014/main" id="{00000000-0008-0000-0300-000076000000}"/>
                </a:ext>
              </a:extLst>
            </xdr:cNvPr>
            <xdr:cNvPicPr>
              <a:picLocks noChangeAspect="1" noChangeArrowheads="1"/>
              <a:extLst>
                <a:ext uri="{84589F7E-364E-4C9E-8A38-B11213B215E9}">
                  <a14:cameraTool cellRange="$C$804:$W$804" spid="_x0000_s94067"/>
                </a:ext>
              </a:extLst>
            </xdr:cNvPicPr>
          </xdr:nvPicPr>
          <xdr:blipFill>
            <a:blip xmlns:r="http://schemas.openxmlformats.org/officeDocument/2006/relationships" r:embed="rId24"/>
            <a:srcRect/>
            <a:stretch>
              <a:fillRect/>
            </a:stretch>
          </xdr:blipFill>
          <xdr:spPr bwMode="auto">
            <a:xfrm>
              <a:off x="1466490" y="4302425"/>
              <a:ext cx="6901133" cy="18331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46</xdr:col>
      <xdr:colOff>10782</xdr:colOff>
      <xdr:row>12</xdr:row>
      <xdr:rowOff>53915</xdr:rowOff>
    </xdr:from>
    <xdr:to>
      <xdr:col>49</xdr:col>
      <xdr:colOff>7468</xdr:colOff>
      <xdr:row>13</xdr:row>
      <xdr:rowOff>181120</xdr:rowOff>
    </xdr:to>
    <xdr:grpSp>
      <xdr:nvGrpSpPr>
        <xdr:cNvPr id="117" name="Group 116">
          <a:hlinkClick xmlns:r="http://schemas.openxmlformats.org/officeDocument/2006/relationships" r:id="rId25" tooltip="Line 86"/>
          <a:extLst>
            <a:ext uri="{FF2B5EF4-FFF2-40B4-BE49-F238E27FC236}">
              <a16:creationId xmlns:a16="http://schemas.microsoft.com/office/drawing/2014/main" id="{00000000-0008-0000-0300-000075000000}"/>
            </a:ext>
          </a:extLst>
        </xdr:cNvPr>
        <xdr:cNvGrpSpPr/>
      </xdr:nvGrpSpPr>
      <xdr:grpSpPr>
        <a:xfrm>
          <a:off x="16849544" y="1554911"/>
          <a:ext cx="773064" cy="187590"/>
          <a:chOff x="16093707" y="1295386"/>
          <a:chExt cx="762973" cy="189898"/>
        </a:xfrm>
      </xdr:grpSpPr>
      <xdr:sp macro="" textlink="">
        <xdr:nvSpPr>
          <xdr:cNvPr id="119" name="TextBox 118" title="Terms and Conditions">
            <a:hlinkClick xmlns:r="http://schemas.openxmlformats.org/officeDocument/2006/relationships" r:id="rId25"/>
            <a:extLst>
              <a:ext uri="{FF2B5EF4-FFF2-40B4-BE49-F238E27FC236}">
                <a16:creationId xmlns:a16="http://schemas.microsoft.com/office/drawing/2014/main" id="{00000000-0008-0000-0300-000077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#100</a:t>
            </a:r>
            <a:endParaRPr lang="en-US" sz="1100">
              <a:solidFill>
                <a:schemeClr val="bg1"/>
              </a:solidFill>
            </a:endParaRPr>
          </a:p>
        </xdr:txBody>
      </xdr:sp>
      <xdr:cxnSp macro="">
        <xdr:nvCxnSpPr>
          <xdr:cNvPr id="120" name="Straight Connector 119">
            <a:extLst>
              <a:ext uri="{FF2B5EF4-FFF2-40B4-BE49-F238E27FC236}">
                <a16:creationId xmlns:a16="http://schemas.microsoft.com/office/drawing/2014/main" id="{00000000-0008-0000-0300-00007800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300-00007900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300-00007A00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300-00007B00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2"/>
          <a:extLst>
            <a:ext uri="{FF2B5EF4-FFF2-40B4-BE49-F238E27FC236}">
              <a16:creationId xmlns:a16="http://schemas.microsoft.com/office/drawing/2014/main" id="{00000000-0008-0000-04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191</xdr:row>
      <xdr:rowOff>0</xdr:rowOff>
    </xdr:from>
    <xdr:to>
      <xdr:col>27</xdr:col>
      <xdr:colOff>53408</xdr:colOff>
      <xdr:row>192</xdr:row>
      <xdr:rowOff>1</xdr:rowOff>
    </xdr:to>
    <xdr:sp macro="" textlink="">
      <xdr:nvSpPr>
        <xdr:cNvPr id="19" name="TextBox 18" title="Page Navigation">
          <a:hlinkClick xmlns:r="http://schemas.openxmlformats.org/officeDocument/2006/relationships" r:id="rId3"/>
          <a:extLst>
            <a:ext uri="{FF2B5EF4-FFF2-40B4-BE49-F238E27FC236}">
              <a16:creationId xmlns:a16="http://schemas.microsoft.com/office/drawing/2014/main" id="{00000000-0008-0000-04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sp macro="" textlink="">
      <xdr:nvSpPr>
        <xdr:cNvPr id="45" name="Rectangle 44">
          <a:extLst>
            <a:ext uri="{FF2B5EF4-FFF2-40B4-BE49-F238E27FC236}">
              <a16:creationId xmlns:a16="http://schemas.microsoft.com/office/drawing/2014/main" id="{00000000-0008-0000-0400-00002D000000}"/>
            </a:ext>
          </a:extLst>
        </xdr:cNvPr>
        <xdr:cNvSpPr/>
      </xdr:nvSpPr>
      <xdr:spPr>
        <a:xfrm>
          <a:off x="368584" y="0"/>
          <a:ext cx="1969914" cy="2023286"/>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55379</xdr:colOff>
      <xdr:row>2</xdr:row>
      <xdr:rowOff>58401</xdr:rowOff>
    </xdr:from>
    <xdr:to>
      <xdr:col>7</xdr:col>
      <xdr:colOff>366077</xdr:colOff>
      <xdr:row>4</xdr:row>
      <xdr:rowOff>4078</xdr:rowOff>
    </xdr:to>
    <xdr:grpSp>
      <xdr:nvGrpSpPr>
        <xdr:cNvPr id="46" name="Group 45">
          <a:extLst>
            <a:ext uri="{FF2B5EF4-FFF2-40B4-BE49-F238E27FC236}">
              <a16:creationId xmlns:a16="http://schemas.microsoft.com/office/drawing/2014/main" id="{00000000-0008-0000-0400-00002E000000}"/>
            </a:ext>
          </a:extLst>
        </xdr:cNvPr>
        <xdr:cNvGrpSpPr/>
      </xdr:nvGrpSpPr>
      <xdr:grpSpPr>
        <a:xfrm>
          <a:off x="429190" y="298023"/>
          <a:ext cx="1873038" cy="185301"/>
          <a:chOff x="426983" y="303815"/>
          <a:chExt cx="1847521" cy="188857"/>
        </a:xfrm>
        <a:solidFill>
          <a:srgbClr val="2C1126"/>
        </a:solidFill>
      </xdr:grpSpPr>
      <xdr:cxnSp macro="">
        <xdr:nvCxnSpPr>
          <xdr:cNvPr id="77" name="Straight Connector 76">
            <a:extLst>
              <a:ext uri="{FF2B5EF4-FFF2-40B4-BE49-F238E27FC236}">
                <a16:creationId xmlns:a16="http://schemas.microsoft.com/office/drawing/2014/main" id="{00000000-0008-0000-0400-00004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400-00004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400-00005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4</xdr:row>
      <xdr:rowOff>61263</xdr:rowOff>
    </xdr:from>
    <xdr:to>
      <xdr:col>7</xdr:col>
      <xdr:colOff>366077</xdr:colOff>
      <xdr:row>6</xdr:row>
      <xdr:rowOff>739</xdr:rowOff>
    </xdr:to>
    <xdr:grpSp>
      <xdr:nvGrpSpPr>
        <xdr:cNvPr id="47" name="Group 46">
          <a:extLst>
            <a:ext uri="{FF2B5EF4-FFF2-40B4-BE49-F238E27FC236}">
              <a16:creationId xmlns:a16="http://schemas.microsoft.com/office/drawing/2014/main" id="{00000000-0008-0000-0400-00002F000000}"/>
            </a:ext>
          </a:extLst>
        </xdr:cNvPr>
        <xdr:cNvGrpSpPr/>
      </xdr:nvGrpSpPr>
      <xdr:grpSpPr>
        <a:xfrm>
          <a:off x="429190" y="540509"/>
          <a:ext cx="1873038" cy="188683"/>
          <a:chOff x="426983" y="303815"/>
          <a:chExt cx="1847521" cy="188857"/>
        </a:xfrm>
        <a:solidFill>
          <a:srgbClr val="2C1126"/>
        </a:solidFill>
      </xdr:grpSpPr>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6</xdr:row>
      <xdr:rowOff>56280</xdr:rowOff>
    </xdr:from>
    <xdr:to>
      <xdr:col>7</xdr:col>
      <xdr:colOff>366077</xdr:colOff>
      <xdr:row>8</xdr:row>
      <xdr:rowOff>3597</xdr:rowOff>
    </xdr:to>
    <xdr:grpSp>
      <xdr:nvGrpSpPr>
        <xdr:cNvPr id="48" name="Group 47">
          <a:extLst>
            <a:ext uri="{FF2B5EF4-FFF2-40B4-BE49-F238E27FC236}">
              <a16:creationId xmlns:a16="http://schemas.microsoft.com/office/drawing/2014/main" id="{00000000-0008-0000-0400-000030000000}"/>
            </a:ext>
          </a:extLst>
        </xdr:cNvPr>
        <xdr:cNvGrpSpPr/>
      </xdr:nvGrpSpPr>
      <xdr:grpSpPr>
        <a:xfrm>
          <a:off x="429190" y="784733"/>
          <a:ext cx="1873038" cy="186940"/>
          <a:chOff x="426983" y="303815"/>
          <a:chExt cx="1847521" cy="188857"/>
        </a:xfrm>
        <a:solidFill>
          <a:srgbClr val="2C1126"/>
        </a:solidFill>
      </xdr:grpSpPr>
      <xdr:cxnSp macro="">
        <xdr:nvCxnSpPr>
          <xdr:cNvPr id="69" name="Straight Connector 68">
            <a:extLst>
              <a:ext uri="{FF2B5EF4-FFF2-40B4-BE49-F238E27FC236}">
                <a16:creationId xmlns:a16="http://schemas.microsoft.com/office/drawing/2014/main" id="{00000000-0008-0000-0400-00004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400-00004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8</xdr:row>
      <xdr:rowOff>61053</xdr:rowOff>
    </xdr:from>
    <xdr:to>
      <xdr:col>7</xdr:col>
      <xdr:colOff>366077</xdr:colOff>
      <xdr:row>10</xdr:row>
      <xdr:rowOff>4815</xdr:rowOff>
    </xdr:to>
    <xdr:grpSp>
      <xdr:nvGrpSpPr>
        <xdr:cNvPr id="49" name="Group 48">
          <a:extLst>
            <a:ext uri="{FF2B5EF4-FFF2-40B4-BE49-F238E27FC236}">
              <a16:creationId xmlns:a16="http://schemas.microsoft.com/office/drawing/2014/main" id="{00000000-0008-0000-0400-000031000000}"/>
            </a:ext>
          </a:extLst>
        </xdr:cNvPr>
        <xdr:cNvGrpSpPr/>
      </xdr:nvGrpSpPr>
      <xdr:grpSpPr>
        <a:xfrm>
          <a:off x="429190" y="1029129"/>
          <a:ext cx="1873038" cy="183384"/>
          <a:chOff x="426983" y="303815"/>
          <a:chExt cx="1847521" cy="188857"/>
        </a:xfrm>
        <a:solidFill>
          <a:srgbClr val="2C1126"/>
        </a:solidFill>
      </xdr:grpSpPr>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4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10</xdr:row>
      <xdr:rowOff>61999</xdr:rowOff>
    </xdr:from>
    <xdr:to>
      <xdr:col>7</xdr:col>
      <xdr:colOff>366077</xdr:colOff>
      <xdr:row>12</xdr:row>
      <xdr:rowOff>7676</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429190" y="1269697"/>
          <a:ext cx="1873038" cy="185300"/>
          <a:chOff x="426983" y="303815"/>
          <a:chExt cx="1847521" cy="188857"/>
        </a:xfrm>
        <a:solidFill>
          <a:srgbClr val="2C1126"/>
        </a:solidFill>
      </xdr:grpSpPr>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13</xdr:row>
      <xdr:rowOff>2122</xdr:rowOff>
    </xdr:from>
    <xdr:to>
      <xdr:col>7</xdr:col>
      <xdr:colOff>366077</xdr:colOff>
      <xdr:row>14</xdr:row>
      <xdr:rowOff>10537</xdr:rowOff>
    </xdr:to>
    <xdr:grpSp>
      <xdr:nvGrpSpPr>
        <xdr:cNvPr id="51" name="Group 50">
          <a:extLst>
            <a:ext uri="{FF2B5EF4-FFF2-40B4-BE49-F238E27FC236}">
              <a16:creationId xmlns:a16="http://schemas.microsoft.com/office/drawing/2014/main" id="{00000000-0008-0000-0400-000033000000}"/>
            </a:ext>
          </a:extLst>
        </xdr:cNvPr>
        <xdr:cNvGrpSpPr/>
      </xdr:nvGrpSpPr>
      <xdr:grpSpPr>
        <a:xfrm>
          <a:off x="429190" y="1506952"/>
          <a:ext cx="1873038" cy="190528"/>
          <a:chOff x="426983" y="303815"/>
          <a:chExt cx="1847521" cy="188857"/>
        </a:xfrm>
        <a:solidFill>
          <a:srgbClr val="2C1126"/>
        </a:solidFill>
      </xdr:grpSpPr>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15</xdr:row>
      <xdr:rowOff>4982</xdr:rowOff>
    </xdr:from>
    <xdr:to>
      <xdr:col>7</xdr:col>
      <xdr:colOff>366077</xdr:colOff>
      <xdr:row>16</xdr:row>
      <xdr:rowOff>7195</xdr:rowOff>
    </xdr:to>
    <xdr:grpSp>
      <xdr:nvGrpSpPr>
        <xdr:cNvPr id="52" name="Group 51">
          <a:extLst>
            <a:ext uri="{FF2B5EF4-FFF2-40B4-BE49-F238E27FC236}">
              <a16:creationId xmlns:a16="http://schemas.microsoft.com/office/drawing/2014/main" id="{00000000-0008-0000-0400-000034000000}"/>
            </a:ext>
          </a:extLst>
        </xdr:cNvPr>
        <xdr:cNvGrpSpPr/>
      </xdr:nvGrpSpPr>
      <xdr:grpSpPr>
        <a:xfrm>
          <a:off x="429190" y="1749435"/>
          <a:ext cx="1873038" cy="193911"/>
          <a:chOff x="426983" y="303815"/>
          <a:chExt cx="1847521" cy="188857"/>
        </a:xfrm>
        <a:solidFill>
          <a:srgbClr val="2C1126"/>
        </a:solidFill>
      </xdr:grpSpPr>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4" tooltip="Go to TOP of page"/>
          <a:extLst>
            <a:ext uri="{FF2B5EF4-FFF2-40B4-BE49-F238E27FC236}">
              <a16:creationId xmlns:a16="http://schemas.microsoft.com/office/drawing/2014/main" id="{00000000-0008-0000-04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5"/>
          <a:extLst>
            <a:ext uri="{FF2B5EF4-FFF2-40B4-BE49-F238E27FC236}">
              <a16:creationId xmlns:a16="http://schemas.microsoft.com/office/drawing/2014/main" id="{00000000-0008-0000-04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4"/>
          <a:extLst>
            <a:ext uri="{FF2B5EF4-FFF2-40B4-BE49-F238E27FC236}">
              <a16:creationId xmlns:a16="http://schemas.microsoft.com/office/drawing/2014/main" id="{00000000-0008-0000-04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fPrintsWithSheet="0"/>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hlinkClick xmlns:r="http://schemas.openxmlformats.org/officeDocument/2006/relationships" r:id="rId2"/>
          <a:extLst>
            <a:ext uri="{FF2B5EF4-FFF2-40B4-BE49-F238E27FC236}">
              <a16:creationId xmlns:a16="http://schemas.microsoft.com/office/drawing/2014/main" id="{00000000-0008-0000-04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6"/>
          <a:extLst>
            <a:ext uri="{FF2B5EF4-FFF2-40B4-BE49-F238E27FC236}">
              <a16:creationId xmlns:a16="http://schemas.microsoft.com/office/drawing/2014/main" id="{00000000-0008-0000-04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7"/>
          <a:extLst>
            <a:ext uri="{FF2B5EF4-FFF2-40B4-BE49-F238E27FC236}">
              <a16:creationId xmlns:a16="http://schemas.microsoft.com/office/drawing/2014/main" id="{00000000-0008-0000-04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8"/>
          <a:extLst>
            <a:ext uri="{FF2B5EF4-FFF2-40B4-BE49-F238E27FC236}">
              <a16:creationId xmlns:a16="http://schemas.microsoft.com/office/drawing/2014/main" id="{00000000-0008-0000-04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9"/>
          <a:extLst>
            <a:ext uri="{FF2B5EF4-FFF2-40B4-BE49-F238E27FC236}">
              <a16:creationId xmlns:a16="http://schemas.microsoft.com/office/drawing/2014/main" id="{00000000-0008-0000-04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31</xdr:col>
      <xdr:colOff>267431</xdr:colOff>
      <xdr:row>0</xdr:row>
      <xdr:rowOff>0</xdr:rowOff>
    </xdr:from>
    <xdr:to>
      <xdr:col>38</xdr:col>
      <xdr:colOff>0</xdr:colOff>
      <xdr:row>17</xdr:row>
      <xdr:rowOff>0</xdr:rowOff>
    </xdr:to>
    <xdr:sp macro="" textlink="">
      <xdr:nvSpPr>
        <xdr:cNvPr id="91" name="Rectangle 90">
          <a:extLst>
            <a:ext uri="{FF2B5EF4-FFF2-40B4-BE49-F238E27FC236}">
              <a16:creationId xmlns:a16="http://schemas.microsoft.com/office/drawing/2014/main" id="{00000000-0008-0000-0400-00005B000000}"/>
            </a:ext>
          </a:extLst>
        </xdr:cNvPr>
        <xdr:cNvSpPr/>
      </xdr:nvSpPr>
      <xdr:spPr>
        <a:xfrm>
          <a:off x="10658340" y="0"/>
          <a:ext cx="1944068" cy="2023286"/>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31</xdr:col>
      <xdr:colOff>322083</xdr:colOff>
      <xdr:row>2</xdr:row>
      <xdr:rowOff>58402</xdr:rowOff>
    </xdr:from>
    <xdr:to>
      <xdr:col>37</xdr:col>
      <xdr:colOff>310430</xdr:colOff>
      <xdr:row>4</xdr:row>
      <xdr:rowOff>4079</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0855894" y="298024"/>
          <a:ext cx="1857404" cy="185301"/>
          <a:chOff x="426983" y="303815"/>
          <a:chExt cx="1847521" cy="188857"/>
        </a:xfrm>
        <a:solidFill>
          <a:srgbClr val="2C1126"/>
        </a:solidFill>
      </xdr:grpSpPr>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4</xdr:row>
      <xdr:rowOff>61264</xdr:rowOff>
    </xdr:from>
    <xdr:to>
      <xdr:col>37</xdr:col>
      <xdr:colOff>310430</xdr:colOff>
      <xdr:row>6</xdr:row>
      <xdr:rowOff>740</xdr:rowOff>
    </xdr:to>
    <xdr:grpSp>
      <xdr:nvGrpSpPr>
        <xdr:cNvPr id="93" name="Group 92">
          <a:extLst>
            <a:ext uri="{FF2B5EF4-FFF2-40B4-BE49-F238E27FC236}">
              <a16:creationId xmlns:a16="http://schemas.microsoft.com/office/drawing/2014/main" id="{00000000-0008-0000-0400-00005D000000}"/>
            </a:ext>
          </a:extLst>
        </xdr:cNvPr>
        <xdr:cNvGrpSpPr/>
      </xdr:nvGrpSpPr>
      <xdr:grpSpPr>
        <a:xfrm>
          <a:off x="10855894" y="540510"/>
          <a:ext cx="1857404" cy="188683"/>
          <a:chOff x="426983" y="303815"/>
          <a:chExt cx="1847521" cy="188857"/>
        </a:xfrm>
        <a:solidFill>
          <a:srgbClr val="2C1126"/>
        </a:solidFill>
      </xdr:grpSpPr>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6</xdr:row>
      <xdr:rowOff>56281</xdr:rowOff>
    </xdr:from>
    <xdr:to>
      <xdr:col>37</xdr:col>
      <xdr:colOff>310430</xdr:colOff>
      <xdr:row>8</xdr:row>
      <xdr:rowOff>3598</xdr:rowOff>
    </xdr:to>
    <xdr:grpSp>
      <xdr:nvGrpSpPr>
        <xdr:cNvPr id="94" name="Group 93">
          <a:extLst>
            <a:ext uri="{FF2B5EF4-FFF2-40B4-BE49-F238E27FC236}">
              <a16:creationId xmlns:a16="http://schemas.microsoft.com/office/drawing/2014/main" id="{00000000-0008-0000-0400-00005E000000}"/>
            </a:ext>
          </a:extLst>
        </xdr:cNvPr>
        <xdr:cNvGrpSpPr/>
      </xdr:nvGrpSpPr>
      <xdr:grpSpPr>
        <a:xfrm>
          <a:off x="10855894" y="784734"/>
          <a:ext cx="1857404" cy="186940"/>
          <a:chOff x="426983" y="303815"/>
          <a:chExt cx="1847521" cy="188857"/>
        </a:xfrm>
        <a:solidFill>
          <a:srgbClr val="2C1126"/>
        </a:solidFill>
      </xdr:grpSpPr>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4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4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8</xdr:row>
      <xdr:rowOff>61054</xdr:rowOff>
    </xdr:from>
    <xdr:to>
      <xdr:col>37</xdr:col>
      <xdr:colOff>310430</xdr:colOff>
      <xdr:row>10</xdr:row>
      <xdr:rowOff>4816</xdr:rowOff>
    </xdr:to>
    <xdr:grpSp>
      <xdr:nvGrpSpPr>
        <xdr:cNvPr id="95" name="Group 94">
          <a:extLst>
            <a:ext uri="{FF2B5EF4-FFF2-40B4-BE49-F238E27FC236}">
              <a16:creationId xmlns:a16="http://schemas.microsoft.com/office/drawing/2014/main" id="{00000000-0008-0000-0400-00005F000000}"/>
            </a:ext>
          </a:extLst>
        </xdr:cNvPr>
        <xdr:cNvGrpSpPr/>
      </xdr:nvGrpSpPr>
      <xdr:grpSpPr>
        <a:xfrm>
          <a:off x="10855894" y="1029130"/>
          <a:ext cx="1857404" cy="183384"/>
          <a:chOff x="426983" y="303815"/>
          <a:chExt cx="1847521" cy="188857"/>
        </a:xfrm>
        <a:solidFill>
          <a:srgbClr val="2C1126"/>
        </a:solidFill>
      </xdr:grpSpPr>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4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10</xdr:row>
      <xdr:rowOff>62000</xdr:rowOff>
    </xdr:from>
    <xdr:to>
      <xdr:col>37</xdr:col>
      <xdr:colOff>310430</xdr:colOff>
      <xdr:row>12</xdr:row>
      <xdr:rowOff>7677</xdr:rowOff>
    </xdr:to>
    <xdr:grpSp>
      <xdr:nvGrpSpPr>
        <xdr:cNvPr id="96" name="Group 95">
          <a:extLst>
            <a:ext uri="{FF2B5EF4-FFF2-40B4-BE49-F238E27FC236}">
              <a16:creationId xmlns:a16="http://schemas.microsoft.com/office/drawing/2014/main" id="{00000000-0008-0000-0400-000060000000}"/>
            </a:ext>
          </a:extLst>
        </xdr:cNvPr>
        <xdr:cNvGrpSpPr/>
      </xdr:nvGrpSpPr>
      <xdr:grpSpPr>
        <a:xfrm>
          <a:off x="10855894" y="1269698"/>
          <a:ext cx="1857404" cy="185300"/>
          <a:chOff x="426983" y="303815"/>
          <a:chExt cx="1847521" cy="188857"/>
        </a:xfrm>
        <a:solidFill>
          <a:srgbClr val="2C1126"/>
        </a:solidFill>
      </xdr:grpSpPr>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13</xdr:row>
      <xdr:rowOff>2123</xdr:rowOff>
    </xdr:from>
    <xdr:to>
      <xdr:col>37</xdr:col>
      <xdr:colOff>310430</xdr:colOff>
      <xdr:row>14</xdr:row>
      <xdr:rowOff>10538</xdr:rowOff>
    </xdr:to>
    <xdr:grpSp>
      <xdr:nvGrpSpPr>
        <xdr:cNvPr id="97" name="Group 96">
          <a:extLst>
            <a:ext uri="{FF2B5EF4-FFF2-40B4-BE49-F238E27FC236}">
              <a16:creationId xmlns:a16="http://schemas.microsoft.com/office/drawing/2014/main" id="{00000000-0008-0000-0400-000061000000}"/>
            </a:ext>
          </a:extLst>
        </xdr:cNvPr>
        <xdr:cNvGrpSpPr/>
      </xdr:nvGrpSpPr>
      <xdr:grpSpPr>
        <a:xfrm>
          <a:off x="10855894" y="1506953"/>
          <a:ext cx="1857404" cy="190528"/>
          <a:chOff x="426983" y="303815"/>
          <a:chExt cx="1847521" cy="188857"/>
        </a:xfrm>
        <a:solidFill>
          <a:srgbClr val="2C1126"/>
        </a:solidFill>
      </xdr:grpSpPr>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15</xdr:row>
      <xdr:rowOff>4983</xdr:rowOff>
    </xdr:from>
    <xdr:to>
      <xdr:col>37</xdr:col>
      <xdr:colOff>310430</xdr:colOff>
      <xdr:row>16</xdr:row>
      <xdr:rowOff>7196</xdr:rowOff>
    </xdr:to>
    <xdr:grpSp>
      <xdr:nvGrpSpPr>
        <xdr:cNvPr id="98" name="Group 97">
          <a:extLst>
            <a:ext uri="{FF2B5EF4-FFF2-40B4-BE49-F238E27FC236}">
              <a16:creationId xmlns:a16="http://schemas.microsoft.com/office/drawing/2014/main" id="{00000000-0008-0000-0400-000062000000}"/>
            </a:ext>
          </a:extLst>
        </xdr:cNvPr>
        <xdr:cNvGrpSpPr/>
      </xdr:nvGrpSpPr>
      <xdr:grpSpPr>
        <a:xfrm>
          <a:off x="10855894" y="1749436"/>
          <a:ext cx="1857404" cy="193911"/>
          <a:chOff x="426983" y="303815"/>
          <a:chExt cx="1847521" cy="188857"/>
        </a:xfrm>
        <a:solidFill>
          <a:srgbClr val="2C1126"/>
        </a:solidFill>
      </xdr:grpSpPr>
      <xdr:cxnSp macro="">
        <xdr:nvCxnSpPr>
          <xdr:cNvPr id="99" name="Straight Connector 98">
            <a:extLst>
              <a:ext uri="{FF2B5EF4-FFF2-40B4-BE49-F238E27FC236}">
                <a16:creationId xmlns:a16="http://schemas.microsoft.com/office/drawing/2014/main" id="{00000000-0008-0000-04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4" tooltip="Go to TOP of page"/>
          <a:extLst>
            <a:ext uri="{FF2B5EF4-FFF2-40B4-BE49-F238E27FC236}">
              <a16:creationId xmlns:a16="http://schemas.microsoft.com/office/drawing/2014/main" id="{00000000-0008-0000-04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extLst>
            <a:ext uri="{FF2B5EF4-FFF2-40B4-BE49-F238E27FC236}">
              <a16:creationId xmlns:a16="http://schemas.microsoft.com/office/drawing/2014/main" id="{00000000-0008-0000-04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endParaRPr lang="en-US">
            <a:solidFill>
              <a:schemeClr val="bg1"/>
            </a:solidFill>
            <a:effectLst/>
          </a:endParaRPr>
        </a:p>
      </xdr:txBody>
    </xdr:sp>
    <xdr:clientData fPrintsWithSheet="0"/>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0"/>
          <a:extLst>
            <a:ext uri="{FF2B5EF4-FFF2-40B4-BE49-F238E27FC236}">
              <a16:creationId xmlns:a16="http://schemas.microsoft.com/office/drawing/2014/main" id="{00000000-0008-0000-04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Submitter Signature</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4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4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1"/>
          <a:extLst>
            <a:ext uri="{FF2B5EF4-FFF2-40B4-BE49-F238E27FC236}">
              <a16:creationId xmlns:a16="http://schemas.microsoft.com/office/drawing/2014/main" id="{00000000-0008-0000-04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fPrintsWithSheet="0"/>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2"/>
          <a:extLst>
            <a:ext uri="{FF2B5EF4-FFF2-40B4-BE49-F238E27FC236}">
              <a16:creationId xmlns:a16="http://schemas.microsoft.com/office/drawing/2014/main" id="{00000000-0008-0000-04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fPrintsWithSheet="0"/>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3"/>
          <a:extLst>
            <a:ext uri="{FF2B5EF4-FFF2-40B4-BE49-F238E27FC236}">
              <a16:creationId xmlns:a16="http://schemas.microsoft.com/office/drawing/2014/main" id="{00000000-0008-0000-04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fPrintsWithSheet="0"/>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400-000080000000}"/>
            </a:ext>
          </a:extLst>
        </xdr:cNvPr>
        <xdr:cNvGrpSpPr/>
      </xdr:nvGrpSpPr>
      <xdr:grpSpPr>
        <a:xfrm>
          <a:off x="3805208" y="1748945"/>
          <a:ext cx="5003140" cy="254240"/>
          <a:chOff x="3467100" y="1733550"/>
          <a:chExt cx="4953000" cy="247651"/>
        </a:xfrm>
        <a:solidFill>
          <a:srgbClr val="2C1126">
            <a:alpha val="20000"/>
          </a:srgbClr>
        </a:solidFill>
      </xdr:grpSpPr>
      <xdr:sp macro="" textlink="">
        <xdr:nvSpPr>
          <xdr:cNvPr id="129" name="Rectangle 128">
            <a:extLst>
              <a:ext uri="{FF2B5EF4-FFF2-40B4-BE49-F238E27FC236}">
                <a16:creationId xmlns:a16="http://schemas.microsoft.com/office/drawing/2014/main" id="{00000000-0008-0000-0400-00008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400-000082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500-000005000000}"/>
            </a:ext>
          </a:extLst>
        </xdr:cNvPr>
        <xdr:cNvGrpSpPr/>
      </xdr:nvGrpSpPr>
      <xdr:grpSpPr>
        <a:xfrm>
          <a:off x="1343025" y="0"/>
          <a:ext cx="2051377" cy="2000250"/>
          <a:chOff x="373063" y="0"/>
          <a:chExt cx="1976437" cy="2024063"/>
        </a:xfrm>
        <a:solidFill>
          <a:srgbClr val="2C1126"/>
        </a:solidFill>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500-000007000000}"/>
              </a:ext>
            </a:extLst>
          </xdr:cNvPr>
          <xdr:cNvGrpSpPr/>
        </xdr:nvGrpSpPr>
        <xdr:grpSpPr>
          <a:xfrm>
            <a:off x="428625" y="301625"/>
            <a:ext cx="1861754" cy="188857"/>
            <a:chOff x="426983" y="303815"/>
            <a:chExt cx="1847521" cy="188857"/>
          </a:xfrm>
          <a:grpFill/>
        </xdr:grpSpPr>
        <xdr:cxnSp macro="">
          <xdr:nvCxnSpPr>
            <xdr:cNvPr id="38" name="Straight Connector 37">
              <a:extLst>
                <a:ext uri="{FF2B5EF4-FFF2-40B4-BE49-F238E27FC236}">
                  <a16:creationId xmlns:a16="http://schemas.microsoft.com/office/drawing/2014/main" id="{00000000-0008-0000-0500-00002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500-00002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500-000008000000}"/>
              </a:ext>
            </a:extLst>
          </xdr:cNvPr>
          <xdr:cNvGrpSpPr/>
        </xdr:nvGrpSpPr>
        <xdr:grpSpPr>
          <a:xfrm>
            <a:off x="428625" y="547689"/>
            <a:ext cx="1861754" cy="190499"/>
            <a:chOff x="426983" y="303815"/>
            <a:chExt cx="1847521" cy="188857"/>
          </a:xfrm>
          <a:grpFill/>
        </xdr:grpSpPr>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500-00002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500-00002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500-000009000000}"/>
              </a:ext>
            </a:extLst>
          </xdr:cNvPr>
          <xdr:cNvGrpSpPr/>
        </xdr:nvGrpSpPr>
        <xdr:grpSpPr>
          <a:xfrm>
            <a:off x="428625" y="793751"/>
            <a:ext cx="1861754" cy="190499"/>
            <a:chOff x="426983" y="303815"/>
            <a:chExt cx="1847521" cy="188857"/>
          </a:xfrm>
          <a:grpFill/>
        </xdr:grpSpPr>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500-00001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500-00002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500-00002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500-00000A000000}"/>
              </a:ext>
            </a:extLst>
          </xdr:cNvPr>
          <xdr:cNvGrpSpPr/>
        </xdr:nvGrpSpPr>
        <xdr:grpSpPr>
          <a:xfrm>
            <a:off x="428625" y="1041728"/>
            <a:ext cx="1861754" cy="186942"/>
            <a:chOff x="426983" y="303815"/>
            <a:chExt cx="1847521" cy="188857"/>
          </a:xfrm>
          <a:grpFill/>
        </xdr:grpSpPr>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500-00001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500-00001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500-00000B000000}"/>
              </a:ext>
            </a:extLst>
          </xdr:cNvPr>
          <xdr:cNvGrpSpPr/>
        </xdr:nvGrpSpPr>
        <xdr:grpSpPr>
          <a:xfrm>
            <a:off x="428625" y="1285876"/>
            <a:ext cx="1861754" cy="188857"/>
            <a:chOff x="426983" y="303815"/>
            <a:chExt cx="1847521" cy="188857"/>
          </a:xfrm>
          <a:grpFill/>
        </xdr:grpSpPr>
        <xdr:cxnSp macro="">
          <xdr:nvCxnSpPr>
            <xdr:cNvPr id="22" name="Straight Connector 21">
              <a:extLst>
                <a:ext uri="{FF2B5EF4-FFF2-40B4-BE49-F238E27FC236}">
                  <a16:creationId xmlns:a16="http://schemas.microsoft.com/office/drawing/2014/main" id="{00000000-0008-0000-0500-00001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500-00001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500-00001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500-00000C000000}"/>
              </a:ext>
            </a:extLst>
          </xdr:cNvPr>
          <xdr:cNvGrpSpPr/>
        </xdr:nvGrpSpPr>
        <xdr:grpSpPr>
          <a:xfrm>
            <a:off x="428625" y="1531938"/>
            <a:ext cx="1861754" cy="188857"/>
            <a:chOff x="426983" y="303815"/>
            <a:chExt cx="1847521" cy="188857"/>
          </a:xfrm>
          <a:grpFill/>
        </xdr:grpSpPr>
        <xdr:cxnSp macro="">
          <xdr:nvCxnSpPr>
            <xdr:cNvPr id="18" name="Straight Connector 17">
              <a:extLst>
                <a:ext uri="{FF2B5EF4-FFF2-40B4-BE49-F238E27FC236}">
                  <a16:creationId xmlns:a16="http://schemas.microsoft.com/office/drawing/2014/main" id="{00000000-0008-0000-0500-00001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500-00001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500-00001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500-00001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500-00000D000000}"/>
              </a:ext>
            </a:extLst>
          </xdr:cNvPr>
          <xdr:cNvGrpSpPr/>
        </xdr:nvGrpSpPr>
        <xdr:grpSpPr>
          <a:xfrm>
            <a:off x="428625" y="1778001"/>
            <a:ext cx="1861754" cy="190499"/>
            <a:chOff x="426983" y="303815"/>
            <a:chExt cx="1847521" cy="188857"/>
          </a:xfrm>
          <a:grpFill/>
        </xdr:grpSpPr>
        <xdr:cxnSp macro="">
          <xdr:nvCxnSpPr>
            <xdr:cNvPr id="14" name="Straight Connector 13">
              <a:extLst>
                <a:ext uri="{FF2B5EF4-FFF2-40B4-BE49-F238E27FC236}">
                  <a16:creationId xmlns:a16="http://schemas.microsoft.com/office/drawing/2014/main" id="{00000000-0008-0000-0500-00000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500-00001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5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5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5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5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5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5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5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5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500-000032000000}"/>
            </a:ext>
          </a:extLst>
        </xdr:cNvPr>
        <xdr:cNvGrpSpPr/>
      </xdr:nvGrpSpPr>
      <xdr:grpSpPr>
        <a:xfrm>
          <a:off x="6098516" y="1704975"/>
          <a:ext cx="4772025" cy="295275"/>
          <a:chOff x="3467100" y="1733550"/>
          <a:chExt cx="4953000" cy="247651"/>
        </a:xfrm>
        <a:solidFill>
          <a:srgbClr val="2C1126">
            <a:alpha val="20000"/>
          </a:srgbClr>
        </a:solidFill>
      </xdr:grpSpPr>
      <xdr:sp macro="" textlink="">
        <xdr:nvSpPr>
          <xdr:cNvPr id="51" name="Rectangle 50">
            <a:extLst>
              <a:ext uri="{FF2B5EF4-FFF2-40B4-BE49-F238E27FC236}">
                <a16:creationId xmlns:a16="http://schemas.microsoft.com/office/drawing/2014/main" id="{00000000-0008-0000-0500-000033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52" name="Rectangle 51">
            <a:extLst>
              <a:ext uri="{FF2B5EF4-FFF2-40B4-BE49-F238E27FC236}">
                <a16:creationId xmlns:a16="http://schemas.microsoft.com/office/drawing/2014/main" id="{00000000-0008-0000-0500-000034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Interior Building Area Installations</a:t>
            </a:r>
            <a:endParaRPr lang="en-US" sz="14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7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7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7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7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7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7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7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7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7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7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7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469660" y="0"/>
          <a:ext cx="1994822" cy="2022176"/>
          <a:chOff x="373063" y="0"/>
          <a:chExt cx="1976437" cy="2024063"/>
        </a:xfrm>
        <a:solidFill>
          <a:srgbClr val="2C1126"/>
        </a:solidFill>
      </xdr:grpSpPr>
      <xdr:sp macro="" textlink="">
        <xdr:nvSpPr>
          <xdr:cNvPr id="31" name="Rectangle 30">
            <a:extLst>
              <a:ext uri="{FF2B5EF4-FFF2-40B4-BE49-F238E27FC236}">
                <a16:creationId xmlns:a16="http://schemas.microsoft.com/office/drawing/2014/main" id="{00000000-0008-0000-0800-00001F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800-000020000000}"/>
              </a:ext>
            </a:extLst>
          </xdr:cNvPr>
          <xdr:cNvGrpSpPr/>
        </xdr:nvGrpSpPr>
        <xdr:grpSpPr>
          <a:xfrm>
            <a:off x="428625" y="301625"/>
            <a:ext cx="1861754" cy="188857"/>
            <a:chOff x="426983" y="303815"/>
            <a:chExt cx="1847521" cy="188857"/>
          </a:xfrm>
          <a:grpFill/>
        </xdr:grpSpPr>
        <xdr:cxnSp macro="">
          <xdr:nvCxnSpPr>
            <xdr:cNvPr id="63" name="Straight Connector 62">
              <a:extLst>
                <a:ext uri="{FF2B5EF4-FFF2-40B4-BE49-F238E27FC236}">
                  <a16:creationId xmlns:a16="http://schemas.microsoft.com/office/drawing/2014/main" id="{00000000-0008-0000-0800-00003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800-00004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800-00004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800-00004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800-000021000000}"/>
              </a:ext>
            </a:extLst>
          </xdr:cNvPr>
          <xdr:cNvGrpSpPr/>
        </xdr:nvGrpSpPr>
        <xdr:grpSpPr>
          <a:xfrm>
            <a:off x="428625" y="547689"/>
            <a:ext cx="1861754" cy="190499"/>
            <a:chOff x="426983" y="303815"/>
            <a:chExt cx="1847521" cy="188857"/>
          </a:xfrm>
          <a:grpFill/>
        </xdr:grpSpPr>
        <xdr:cxnSp macro="">
          <xdr:nvCxnSpPr>
            <xdr:cNvPr id="59" name="Straight Connector 58">
              <a:extLst>
                <a:ext uri="{FF2B5EF4-FFF2-40B4-BE49-F238E27FC236}">
                  <a16:creationId xmlns:a16="http://schemas.microsoft.com/office/drawing/2014/main" id="{00000000-0008-0000-0800-00003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800-00003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800-00003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800-00003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800-000022000000}"/>
              </a:ext>
            </a:extLst>
          </xdr:cNvPr>
          <xdr:cNvGrpSpPr/>
        </xdr:nvGrpSpPr>
        <xdr:grpSpPr>
          <a:xfrm>
            <a:off x="428625" y="793751"/>
            <a:ext cx="1861754" cy="190499"/>
            <a:chOff x="426983" y="303815"/>
            <a:chExt cx="1847521" cy="188857"/>
          </a:xfrm>
          <a:grpFill/>
        </xdr:grpSpPr>
        <xdr:cxnSp macro="">
          <xdr:nvCxnSpPr>
            <xdr:cNvPr id="55" name="Straight Connector 54">
              <a:extLst>
                <a:ext uri="{FF2B5EF4-FFF2-40B4-BE49-F238E27FC236}">
                  <a16:creationId xmlns:a16="http://schemas.microsoft.com/office/drawing/2014/main" id="{00000000-0008-0000-0800-00003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800-00003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800-00003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800-00003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800-000023000000}"/>
              </a:ext>
            </a:extLst>
          </xdr:cNvPr>
          <xdr:cNvGrpSpPr/>
        </xdr:nvGrpSpPr>
        <xdr:grpSpPr>
          <a:xfrm>
            <a:off x="428625" y="1041728"/>
            <a:ext cx="1861754" cy="186942"/>
            <a:chOff x="426983" y="303815"/>
            <a:chExt cx="1847521" cy="188857"/>
          </a:xfrm>
          <a:grpFill/>
        </xdr:grpSpPr>
        <xdr:cxnSp macro="">
          <xdr:nvCxnSpPr>
            <xdr:cNvPr id="51" name="Straight Connector 50">
              <a:extLst>
                <a:ext uri="{FF2B5EF4-FFF2-40B4-BE49-F238E27FC236}">
                  <a16:creationId xmlns:a16="http://schemas.microsoft.com/office/drawing/2014/main" id="{00000000-0008-0000-0800-00003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800-00003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800-00003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800-00003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800-000024000000}"/>
              </a:ext>
            </a:extLst>
          </xdr:cNvPr>
          <xdr:cNvGrpSpPr/>
        </xdr:nvGrpSpPr>
        <xdr:grpSpPr>
          <a:xfrm>
            <a:off x="428625" y="1285876"/>
            <a:ext cx="1861754" cy="188857"/>
            <a:chOff x="426983" y="303815"/>
            <a:chExt cx="1847521" cy="188857"/>
          </a:xfrm>
          <a:grpFill/>
        </xdr:grpSpPr>
        <xdr:cxnSp macro="">
          <xdr:nvCxnSpPr>
            <xdr:cNvPr id="47" name="Straight Connector 46">
              <a:extLst>
                <a:ext uri="{FF2B5EF4-FFF2-40B4-BE49-F238E27FC236}">
                  <a16:creationId xmlns:a16="http://schemas.microsoft.com/office/drawing/2014/main" id="{00000000-0008-0000-0800-00002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800-00003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800-00003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800-00003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800-000025000000}"/>
              </a:ext>
            </a:extLst>
          </xdr:cNvPr>
          <xdr:cNvGrpSpPr/>
        </xdr:nvGrpSpPr>
        <xdr:grpSpPr>
          <a:xfrm>
            <a:off x="428625" y="1531938"/>
            <a:ext cx="1861754" cy="188857"/>
            <a:chOff x="426983" y="303815"/>
            <a:chExt cx="1847521" cy="188857"/>
          </a:xfrm>
          <a:grpFill/>
        </xdr:grpSpPr>
        <xdr:cxnSp macro="">
          <xdr:nvCxnSpPr>
            <xdr:cNvPr id="43" name="Straight Connector 42">
              <a:extLst>
                <a:ext uri="{FF2B5EF4-FFF2-40B4-BE49-F238E27FC236}">
                  <a16:creationId xmlns:a16="http://schemas.microsoft.com/office/drawing/2014/main" id="{00000000-0008-0000-0800-00002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800-00002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800-00002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800-00002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800-000026000000}"/>
              </a:ext>
            </a:extLst>
          </xdr:cNvPr>
          <xdr:cNvGrpSpPr/>
        </xdr:nvGrpSpPr>
        <xdr:grpSpPr>
          <a:xfrm>
            <a:off x="428625" y="1778001"/>
            <a:ext cx="1861754" cy="190499"/>
            <a:chOff x="426983" y="303815"/>
            <a:chExt cx="1847521" cy="188857"/>
          </a:xfrm>
          <a:grpFill/>
        </xdr:grpSpPr>
        <xdr:cxnSp macro="">
          <xdr:nvCxnSpPr>
            <xdr:cNvPr id="39" name="Straight Connector 38">
              <a:extLst>
                <a:ext uri="{FF2B5EF4-FFF2-40B4-BE49-F238E27FC236}">
                  <a16:creationId xmlns:a16="http://schemas.microsoft.com/office/drawing/2014/main" id="{00000000-0008-0000-0800-00002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800-00002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800-00002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800-00002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8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8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8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8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8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8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8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8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3162540" y="1696468"/>
          <a:ext cx="5921854" cy="244656"/>
          <a:chOff x="3467100" y="1733550"/>
          <a:chExt cx="4953000" cy="247651"/>
        </a:xfrm>
        <a:solidFill>
          <a:srgbClr val="2C1126">
            <a:alpha val="20000"/>
          </a:srgbClr>
        </a:solidFill>
      </xdr:grpSpPr>
      <xdr:sp macro="" textlink="">
        <xdr:nvSpPr>
          <xdr:cNvPr id="76" name="Rectangle 75">
            <a:extLst>
              <a:ext uri="{FF2B5EF4-FFF2-40B4-BE49-F238E27FC236}">
                <a16:creationId xmlns:a16="http://schemas.microsoft.com/office/drawing/2014/main" id="{00000000-0008-0000-0800-00004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800-00004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33</xdr:row>
      <xdr:rowOff>176388</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16278" y="3238500"/>
          <a:ext cx="12192000" cy="1643944"/>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$100 per fixture in daylighted spaces and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Recommended lumainare grouping is per WSEC. The system must have local override switching capability, as required by WSEC.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900-000045000000}"/>
            </a:ext>
          </a:extLst>
        </xdr:cNvPr>
        <xdr:cNvSpPr/>
      </xdr:nvSpPr>
      <xdr:spPr>
        <a:xfrm>
          <a:off x="371475" y="0"/>
          <a:ext cx="2011715" cy="2038350"/>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900-000046000000}"/>
            </a:ext>
          </a:extLst>
        </xdr:cNvPr>
        <xdr:cNvGrpSpPr/>
      </xdr:nvGrpSpPr>
      <xdr:grpSpPr>
        <a:xfrm>
          <a:off x="430545" y="295726"/>
          <a:ext cx="1906666" cy="181924"/>
          <a:chOff x="426983" y="303815"/>
          <a:chExt cx="1847521" cy="188857"/>
        </a:xfrm>
      </xdr:grpSpPr>
      <xdr:cxnSp macro="">
        <xdr:nvCxnSpPr>
          <xdr:cNvPr id="101" name="Straight Connector 100">
            <a:extLst>
              <a:ext uri="{FF2B5EF4-FFF2-40B4-BE49-F238E27FC236}">
                <a16:creationId xmlns:a16="http://schemas.microsoft.com/office/drawing/2014/main" id="{00000000-0008-0000-09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9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9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900-000047000000}"/>
            </a:ext>
          </a:extLst>
        </xdr:cNvPr>
        <xdr:cNvGrpSpPr/>
      </xdr:nvGrpSpPr>
      <xdr:grpSpPr>
        <a:xfrm>
          <a:off x="430545" y="535501"/>
          <a:ext cx="1906666" cy="183816"/>
          <a:chOff x="426983" y="303815"/>
          <a:chExt cx="1847521" cy="188857"/>
        </a:xfrm>
      </xdr:grpSpPr>
      <xdr:cxnSp macro="">
        <xdr:nvCxnSpPr>
          <xdr:cNvPr id="97" name="Straight Connector 96">
            <a:extLst>
              <a:ext uri="{FF2B5EF4-FFF2-40B4-BE49-F238E27FC236}">
                <a16:creationId xmlns:a16="http://schemas.microsoft.com/office/drawing/2014/main" id="{00000000-0008-0000-09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9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9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900-000048000000}"/>
            </a:ext>
          </a:extLst>
        </xdr:cNvPr>
        <xdr:cNvGrpSpPr/>
      </xdr:nvGrpSpPr>
      <xdr:grpSpPr>
        <a:xfrm>
          <a:off x="430545" y="775272"/>
          <a:ext cx="1906666" cy="193342"/>
          <a:chOff x="426983" y="303815"/>
          <a:chExt cx="1847521" cy="188857"/>
        </a:xfrm>
      </xdr:grpSpPr>
      <xdr:cxnSp macro="">
        <xdr:nvCxnSpPr>
          <xdr:cNvPr id="93" name="Straight Connector 92">
            <a:extLst>
              <a:ext uri="{FF2B5EF4-FFF2-40B4-BE49-F238E27FC236}">
                <a16:creationId xmlns:a16="http://schemas.microsoft.com/office/drawing/2014/main" id="{00000000-0008-0000-09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9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9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9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430545" y="1026856"/>
          <a:ext cx="1906666" cy="189400"/>
          <a:chOff x="426983" y="303815"/>
          <a:chExt cx="1847521" cy="188857"/>
        </a:xfrm>
      </xdr:grpSpPr>
      <xdr:cxnSp macro="">
        <xdr:nvCxnSpPr>
          <xdr:cNvPr id="89" name="Straight Connector 88">
            <a:extLst>
              <a:ext uri="{FF2B5EF4-FFF2-40B4-BE49-F238E27FC236}">
                <a16:creationId xmlns:a16="http://schemas.microsoft.com/office/drawing/2014/main" id="{00000000-0008-0000-09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9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9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9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900-00004A000000}"/>
            </a:ext>
          </a:extLst>
        </xdr:cNvPr>
        <xdr:cNvGrpSpPr/>
      </xdr:nvGrpSpPr>
      <xdr:grpSpPr>
        <a:xfrm>
          <a:off x="430545" y="1274224"/>
          <a:ext cx="1906666" cy="191329"/>
          <a:chOff x="426983" y="303815"/>
          <a:chExt cx="1847521" cy="188857"/>
        </a:xfrm>
      </xdr:grpSpPr>
      <xdr:cxnSp macro="">
        <xdr:nvCxnSpPr>
          <xdr:cNvPr id="85" name="Straight Connector 84">
            <a:extLst>
              <a:ext uri="{FF2B5EF4-FFF2-40B4-BE49-F238E27FC236}">
                <a16:creationId xmlns:a16="http://schemas.microsoft.com/office/drawing/2014/main" id="{00000000-0008-0000-09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9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9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9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430545" y="1523522"/>
          <a:ext cx="1906666" cy="191328"/>
          <a:chOff x="426983" y="303815"/>
          <a:chExt cx="1847521" cy="188857"/>
        </a:xfrm>
      </xdr:grpSpPr>
      <xdr:cxnSp macro="">
        <xdr:nvCxnSpPr>
          <xdr:cNvPr id="81" name="Straight Connector 80">
            <a:extLst>
              <a:ext uri="{FF2B5EF4-FFF2-40B4-BE49-F238E27FC236}">
                <a16:creationId xmlns:a16="http://schemas.microsoft.com/office/drawing/2014/main" id="{00000000-0008-0000-09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9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9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9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900-00004C000000}"/>
            </a:ext>
          </a:extLst>
        </xdr:cNvPr>
        <xdr:cNvGrpSpPr/>
      </xdr:nvGrpSpPr>
      <xdr:grpSpPr>
        <a:xfrm>
          <a:off x="430545" y="1772819"/>
          <a:ext cx="1906666" cy="183457"/>
          <a:chOff x="426983" y="303815"/>
          <a:chExt cx="1847521" cy="188857"/>
        </a:xfrm>
      </xdr:grpSpPr>
      <xdr:cxnSp macro="">
        <xdr:nvCxnSpPr>
          <xdr:cNvPr id="77" name="Straight Connector 76">
            <a:extLst>
              <a:ext uri="{FF2B5EF4-FFF2-40B4-BE49-F238E27FC236}">
                <a16:creationId xmlns:a16="http://schemas.microsoft.com/office/drawing/2014/main" id="{00000000-0008-0000-09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9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9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9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9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9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9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hlinkClick xmlns:r="http://schemas.openxmlformats.org/officeDocument/2006/relationships" r:id="rId5"/>
          <a:extLst>
            <a:ext uri="{FF2B5EF4-FFF2-40B4-BE49-F238E27FC236}">
              <a16:creationId xmlns:a16="http://schemas.microsoft.com/office/drawing/2014/main" id="{00000000-0008-0000-09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9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6"/>
          <a:extLst>
            <a:ext uri="{FF2B5EF4-FFF2-40B4-BE49-F238E27FC236}">
              <a16:creationId xmlns:a16="http://schemas.microsoft.com/office/drawing/2014/main" id="{00000000-0008-0000-09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7"/>
          <a:extLst>
            <a:ext uri="{FF2B5EF4-FFF2-40B4-BE49-F238E27FC236}">
              <a16:creationId xmlns:a16="http://schemas.microsoft.com/office/drawing/2014/main" id="{00000000-0008-0000-09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8"/>
          <a:extLst>
            <a:ext uri="{FF2B5EF4-FFF2-40B4-BE49-F238E27FC236}">
              <a16:creationId xmlns:a16="http://schemas.microsoft.com/office/drawing/2014/main" id="{00000000-0008-0000-09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900-000074000000}"/>
            </a:ext>
          </a:extLst>
        </xdr:cNvPr>
        <xdr:cNvGrpSpPr/>
      </xdr:nvGrpSpPr>
      <xdr:grpSpPr>
        <a:xfrm>
          <a:off x="3393057" y="1677359"/>
          <a:ext cx="5990506" cy="244655"/>
          <a:chOff x="3467100" y="1733550"/>
          <a:chExt cx="4953000" cy="247651"/>
        </a:xfrm>
        <a:solidFill>
          <a:srgbClr val="2C1126">
            <a:alpha val="20000"/>
          </a:srgbClr>
        </a:solidFill>
      </xdr:grpSpPr>
      <xdr:sp macro="" textlink="">
        <xdr:nvSpPr>
          <xdr:cNvPr id="117" name="Rectangle 116">
            <a:extLst>
              <a:ext uri="{FF2B5EF4-FFF2-40B4-BE49-F238E27FC236}">
                <a16:creationId xmlns:a16="http://schemas.microsoft.com/office/drawing/2014/main" id="{00000000-0008-0000-0900-000075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900-000076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NLC &amp; AELC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0745238" y="0"/>
          <a:ext cx="1993102" cy="2012591"/>
          <a:chOff x="12996333" y="0"/>
          <a:chExt cx="1972734" cy="1996017"/>
        </a:xfrm>
      </xdr:grpSpPr>
      <xdr:grpSp>
        <xdr:nvGrpSpPr>
          <xdr:cNvPr id="128" name="Group 127">
            <a:extLst>
              <a:ext uri="{FF2B5EF4-FFF2-40B4-BE49-F238E27FC236}">
                <a16:creationId xmlns:a16="http://schemas.microsoft.com/office/drawing/2014/main" id="{00000000-0008-0000-09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900-000081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9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9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9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9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9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9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9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9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9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9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9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9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9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9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9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9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9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9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9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9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9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9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9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9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9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9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9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9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9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9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9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9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9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9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9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9"/>
            <a:extLst>
              <a:ext uri="{FF2B5EF4-FFF2-40B4-BE49-F238E27FC236}">
                <a16:creationId xmlns:a16="http://schemas.microsoft.com/office/drawing/2014/main" id="{00000000-0008-0000-0900-0000A5000000}"/>
              </a:ext>
            </a:extLst>
          </xdr:cNvPr>
          <xdr:cNvSpPr txBox="1"/>
        </xdr:nvSpPr>
        <xdr:spPr>
          <a:xfrm>
            <a:off x="13053484" y="57149"/>
            <a:ext cx="1905000" cy="190501"/>
          </a:xfrm>
          <a:prstGeom prst="rect">
            <a:avLst/>
          </a:prstGeom>
          <a:solidFill>
            <a:srgbClr val="2C1126">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10"/>
            <a:extLst>
              <a:ext uri="{FF2B5EF4-FFF2-40B4-BE49-F238E27FC236}">
                <a16:creationId xmlns:a16="http://schemas.microsoft.com/office/drawing/2014/main" id="{00000000-0008-0000-09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1"/>
            <a:extLst>
              <a:ext uri="{FF2B5EF4-FFF2-40B4-BE49-F238E27FC236}">
                <a16:creationId xmlns:a16="http://schemas.microsoft.com/office/drawing/2014/main" id="{00000000-0008-0000-09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9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2"/>
            <a:extLst>
              <a:ext uri="{FF2B5EF4-FFF2-40B4-BE49-F238E27FC236}">
                <a16:creationId xmlns:a16="http://schemas.microsoft.com/office/drawing/2014/main" id="{00000000-0008-0000-09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3"/>
            <a:extLst>
              <a:ext uri="{FF2B5EF4-FFF2-40B4-BE49-F238E27FC236}">
                <a16:creationId xmlns:a16="http://schemas.microsoft.com/office/drawing/2014/main" id="{00000000-0008-0000-09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4"/>
            <a:extLst>
              <a:ext uri="{FF2B5EF4-FFF2-40B4-BE49-F238E27FC236}">
                <a16:creationId xmlns:a16="http://schemas.microsoft.com/office/drawing/2014/main" id="{00000000-0008-0000-09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5"/>
            <a:extLst>
              <a:ext uri="{FF2B5EF4-FFF2-40B4-BE49-F238E27FC236}">
                <a16:creationId xmlns:a16="http://schemas.microsoft.com/office/drawing/2014/main" id="{00000000-0008-0000-09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45</xdr:row>
      <xdr:rowOff>169335</xdr:rowOff>
    </xdr:from>
    <xdr:to>
      <xdr:col>34</xdr:col>
      <xdr:colOff>0</xdr:colOff>
      <xdr:row>51</xdr:row>
      <xdr:rowOff>112944</xdr:rowOff>
    </xdr:to>
    <xdr:sp macro="" textlink="">
      <xdr:nvSpPr>
        <xdr:cNvPr id="114" name="TextBox 113">
          <a:extLst>
            <a:ext uri="{FF2B5EF4-FFF2-40B4-BE49-F238E27FC236}">
              <a16:creationId xmlns:a16="http://schemas.microsoft.com/office/drawing/2014/main" id="{00000000-0008-0000-0900-000072000000}"/>
            </a:ext>
          </a:extLst>
        </xdr:cNvPr>
        <xdr:cNvSpPr txBox="1"/>
      </xdr:nvSpPr>
      <xdr:spPr>
        <a:xfrm>
          <a:off x="416278" y="7076724"/>
          <a:ext cx="12192000" cy="1255942"/>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twoCellAnchor>
    <xdr:from>
      <xdr:col>2</xdr:col>
      <xdr:colOff>0</xdr:colOff>
      <xdr:row>35</xdr:row>
      <xdr:rowOff>91716</xdr:rowOff>
    </xdr:from>
    <xdr:to>
      <xdr:col>34</xdr:col>
      <xdr:colOff>0</xdr:colOff>
      <xdr:row>44</xdr:row>
      <xdr:rowOff>70549</xdr:rowOff>
    </xdr:to>
    <xdr:sp macro="" textlink="">
      <xdr:nvSpPr>
        <xdr:cNvPr id="113" name="TextBox 112">
          <a:extLst>
            <a:ext uri="{FF2B5EF4-FFF2-40B4-BE49-F238E27FC236}">
              <a16:creationId xmlns:a16="http://schemas.microsoft.com/office/drawing/2014/main" id="{00000000-0008-0000-0900-000071000000}"/>
            </a:ext>
            <a:ext uri="{147F2762-F138-4A5C-976F-8EAC2B608ADB}">
              <a16:predDERef xmlns:a16="http://schemas.microsoft.com/office/drawing/2014/main" pred="{00000000-0008-0000-0900-000072000000}"/>
            </a:ext>
          </a:extLst>
        </xdr:cNvPr>
        <xdr:cNvSpPr txBox="1"/>
      </xdr:nvSpPr>
      <xdr:spPr>
        <a:xfrm>
          <a:off x="416278" y="5898438"/>
          <a:ext cx="12192000" cy="1629833"/>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b="1">
              <a:solidFill>
                <a:schemeClr val="dk1"/>
              </a:solidFill>
              <a:latin typeface="+mn-lt"/>
              <a:ea typeface="+mn-lt"/>
              <a:cs typeface="+mn-lt"/>
            </a:rPr>
            <a:t>NLC Bonus - </a:t>
          </a:r>
          <a:r>
            <a:rPr lang="en-US" sz="1100" b="0">
              <a:solidFill>
                <a:schemeClr val="dk1"/>
              </a:solidFill>
              <a:latin typeface="+mn-lt"/>
              <a:ea typeface="+mn-lt"/>
              <a:cs typeface="+mn-lt"/>
            </a:rPr>
            <a:t>for each Network Lighting Control (NLC) fixture PSE will incentivize $50 per fixture. </a:t>
          </a:r>
        </a:p>
        <a:p>
          <a:pPr marL="0" indent="0"/>
          <a:endParaRPr lang="en-US" sz="1100" b="0">
            <a:solidFill>
              <a:schemeClr val="dk1"/>
            </a:solidFill>
            <a:latin typeface="+mn-lt"/>
            <a:ea typeface="+mn-lt"/>
            <a:cs typeface="+mn-lt"/>
          </a:endParaRPr>
        </a:p>
        <a:p>
          <a:pPr marL="0" indent="0"/>
          <a:r>
            <a:rPr lang="en-US" sz="1100" b="0">
              <a:solidFill>
                <a:schemeClr val="dk1"/>
              </a:solidFill>
              <a:latin typeface="+mn-lt"/>
              <a:ea typeface="+mn-lt"/>
              <a:cs typeface="+mn-lt"/>
            </a:rPr>
            <a:t>NLC fixtures must meet the following.</a:t>
          </a:r>
        </a:p>
        <a:p>
          <a:pPr marL="0" indent="0"/>
          <a:r>
            <a:rPr lang="en-US" sz="1100" b="0">
              <a:solidFill>
                <a:schemeClr val="dk1"/>
              </a:solidFill>
              <a:latin typeface="+mn-lt"/>
              <a:ea typeface="+mn-lt"/>
              <a:cs typeface="+mn-lt"/>
            </a:rPr>
            <a:t>A lighting system where interior LED luminaire</a:t>
          </a:r>
          <a:r>
            <a:rPr lang="en-US" sz="1100" b="0" i="0" u="none" strike="noStrike">
              <a:solidFill>
                <a:schemeClr val="dk1"/>
              </a:solidFill>
              <a:latin typeface="Calibri" panose="020F0502020204030204" pitchFamily="34" charset="0"/>
              <a:cs typeface="Calibri" panose="020F0502020204030204" pitchFamily="34" charset="0"/>
            </a:rPr>
            <a:t>s</a:t>
          </a:r>
          <a:r>
            <a:rPr lang="en-US" sz="1100" b="0">
              <a:solidFill>
                <a:schemeClr val="dk1"/>
              </a:solidFill>
              <a:latin typeface="+mn-lt"/>
              <a:ea typeface="+mn-lt"/>
              <a:cs typeface="+mn-lt"/>
            </a:rPr>
            <a:t>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Recommended lumainare grouping is per WSEC. The system must have local override switching capability, as required by the WSEC.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sheetDataSet>
  </externalBook>
</externalLink>
</file>

<file path=xl/persons/person.xml><?xml version="1.0" encoding="utf-8"?>
<personList xmlns="http://schemas.microsoft.com/office/spreadsheetml/2018/threadedcomments" xmlns:x="http://schemas.openxmlformats.org/spreadsheetml/2006/main">
  <person displayName="Lane, Michael" id="{72ACEFC5-C0A8-4C0B-8FA0-0A3F83AD20B8}" userId="S::michael.lane@pse.com::e29f0eef-d9db-4692-bc5e-5a8363ae1966" providerId="AD"/>
</personList>
</file>

<file path=xl/tables/table1.xml><?xml version="1.0" encoding="utf-8"?>
<table xmlns="http://schemas.openxmlformats.org/spreadsheetml/2006/main" id="2" name="Table_Building_Type" displayName="Table_Building_Type" ref="BT3:BU18" totalsRowShown="0" headerRowBorderDxfId="43" tableBorderDxfId="42" totalsRowBorderDxfId="41">
  <autoFilter ref="BT3:BU18"/>
  <tableColumns count="2">
    <tableColumn id="1" name="Lookup_Building_Type" dataDxfId="40"/>
    <tableColumn id="2" name="Hrs" dataDxfId="39"/>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Z19:AE38" totalsRowShown="0" headerRowDxfId="38" dataDxfId="37" tableBorderDxfId="36">
  <autoFilter ref="Z19:AE38"/>
  <tableColumns count="6">
    <tableColumn id="1" name="Space Heating Type" dataDxfId="35"/>
    <tableColumn id="2" name="Lookup_Heat_Type" dataDxfId="34"/>
    <tableColumn id="3" name="Interaction Factor" dataDxfId="33"/>
    <tableColumn id="4" name="Interior/Exterior" dataDxfId="32"/>
    <tableColumn id="5" name="Lookup_Type_New" dataDxfId="31"/>
    <tableColumn id="6" name="Short" dataDxfId="30"/>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BB2:BE20" totalsRowShown="0" headerRowDxfId="29" dataDxfId="27" headerRowBorderDxfId="28" tableBorderDxfId="26" totalsRowBorderDxfId="25">
  <autoFilter ref="BB2:BE20"/>
  <tableColumns count="4">
    <tableColumn id="1" name="Control Type" dataDxfId="24"/>
    <tableColumn id="2" name="Number" dataDxfId="23"/>
    <tableColumn id="3" name="Basic" dataDxfId="22"/>
    <tableColumn id="4" name="LLLC" dataDxfId="21"/>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BB30:BC35" totalsRowShown="0">
  <autoFilter ref="BB30:BC35"/>
  <tableColumns count="2">
    <tableColumn id="1" name="Daylighted"/>
    <tableColumn id="2" name="Code" dataDxfId="20"/>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BB38:BB55" totalsRowShown="0">
  <autoFilter ref="BB38:BB55"/>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Y3:AG43" totalsRowShown="0">
  <autoFilter ref="Y3:AG43"/>
  <tableColumns count="9">
    <tableColumn id="1" name="Building Area Type"/>
    <tableColumn id="2" name="2015" dataDxfId="19"/>
    <tableColumn id="3" name="2018" dataDxfId="18"/>
    <tableColumn id="4" name="PSE Building Type"/>
    <tableColumn id="5" name="HOU" dataDxfId="17"/>
    <tableColumn id="6" name="CFNDL" dataDxfId="16"/>
    <tableColumn id="7" name="CFDL" dataDxfId="15"/>
    <tableColumn id="9" name="PSE BAM Assumed" dataDxfId="14">
      <calculatedColumnFormula>ROUND((Table_LPA_Building_Area[[#This Row],[CFNDL]]*(1-AF$2))+(Table_LPA_Building_Area[[#This Row],[CFDL]]*AF$2),3)</calculatedColumnFormula>
    </tableColumn>
    <tableColumn id="8" name="PSE LLLC/NLC" dataDxfId="13">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7" totalsRowShown="0" headerRowDxfId="12" dataDxfId="11">
  <autoFilter ref="B2:M137"/>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ables/table8.xml><?xml version="1.0" encoding="utf-8"?>
<table xmlns="http://schemas.openxmlformats.org/spreadsheetml/2006/main" id="5" name="Table5" displayName="Table5" ref="AQ3:AT36" totalsRowShown="0">
  <autoFilter ref="AQ3:AT36"/>
  <tableColumns count="4">
    <tableColumn id="1" name="Building Type "/>
    <tableColumn id="2" name="Annual Interior Building Operating Hours "/>
    <tableColumn id="3" name="Before Midnight Operating Hours (BMOH) "/>
    <tableColumn id="4"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84" dT="2023-11-01T21:55:07.49" personId="{72ACEFC5-C0A8-4C0B-8FA0-0A3F83AD20B8}" id="{3DB3ABC1-0CC4-435A-833F-A5C312F028CE}">
    <text xml:space="preserve">fix for negative and zero savings on LLLC and AELC
</text>
  </threadedComment>
  <threadedComment ref="V84" dT="2023-11-01T21:55:27.33" personId="{72ACEFC5-C0A8-4C0B-8FA0-0A3F83AD20B8}" id="{B4EBD651-8A32-4BC0-B501-F5EE063D6F47}">
    <text>fix for negative and zero savings on LLLC and AELC</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pse.com/rebates/multifamily-retrofit" TargetMode="External"/><Relationship Id="rId7" Type="http://schemas.openxmlformats.org/officeDocument/2006/relationships/hyperlink" Target="https://www.pse.com/en/rebates/new-construction-grants" TargetMode="External"/><Relationship Id="rId2" Type="http://schemas.openxmlformats.org/officeDocument/2006/relationships/hyperlink" Target="https://www.pse.com/lightingtogo" TargetMode="External"/><Relationship Id="rId1" Type="http://schemas.openxmlformats.org/officeDocument/2006/relationships/hyperlink" Target="https://pse.com/businesslighting" TargetMode="External"/><Relationship Id="rId6" Type="http://schemas.openxmlformats.org/officeDocument/2006/relationships/hyperlink" Target="https://www.pse.com/en/business-incentives/commercial-new-construction-programs/commercial-new-construction-incentives" TargetMode="External"/><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7.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file:///C:\Downloads\Customer%20Authorization!K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212"/>
  <sheetViews>
    <sheetView showGridLines="0" showRowColHeaders="0" zoomScale="90" zoomScaleNormal="90" workbookViewId="0">
      <pane ySplit="17" topLeftCell="A35" activePane="bottomLeft" state="frozen"/>
      <selection pane="bottomLeft" activeCell="B57" sqref="B57"/>
    </sheetView>
  </sheetViews>
  <sheetFormatPr defaultRowHeight="14.3"/>
  <cols>
    <col min="1" max="1" width="5.625" customWidth="1"/>
    <col min="2" max="2" width="0.875" customWidth="1"/>
    <col min="3" max="7" width="5.375" customWidth="1"/>
    <col min="8" max="8" width="0.875" customWidth="1"/>
    <col min="9" max="12" width="5.375" customWidth="1"/>
    <col min="13" max="13" width="1.375" customWidth="1"/>
    <col min="14" max="14" width="2.375" customWidth="1"/>
    <col min="15" max="15" width="1.375" customWidth="1"/>
    <col min="16" max="21" width="5.375" customWidth="1"/>
    <col min="22" max="22" width="1.375" customWidth="1"/>
    <col min="23" max="25" width="5.375" customWidth="1"/>
    <col min="26" max="26" width="1.375" customWidth="1"/>
    <col min="27" max="27" width="2.375" customWidth="1"/>
    <col min="28" max="28" width="1.375" customWidth="1"/>
    <col min="29" max="32" width="5.375" customWidth="1"/>
    <col min="33" max="33" width="0.875" customWidth="1"/>
    <col min="34" max="38" width="5.375" customWidth="1"/>
    <col min="39" max="39" width="0.875" customWidth="1"/>
    <col min="40" max="41" width="5.375" customWidth="1"/>
  </cols>
  <sheetData>
    <row r="1" spans="2:40" ht="5.0999999999999996" customHeight="1"/>
    <row r="2" spans="2:40" ht="14.95" customHeight="1">
      <c r="B2" s="1396"/>
      <c r="C2" s="1434"/>
      <c r="D2" s="1435"/>
      <c r="E2" s="1435"/>
      <c r="F2" s="1435"/>
      <c r="G2" s="1435"/>
      <c r="H2" s="1396"/>
      <c r="AG2" s="1396"/>
      <c r="AH2" s="1434"/>
      <c r="AI2" s="1435"/>
      <c r="AJ2" s="1435"/>
      <c r="AK2" s="1435"/>
      <c r="AL2" s="1435"/>
      <c r="AM2" s="1396"/>
    </row>
    <row r="3" spans="2:40" ht="5.0999999999999996" customHeight="1">
      <c r="B3" s="1396"/>
      <c r="C3" s="1396"/>
      <c r="D3" s="1396"/>
      <c r="E3" s="1396"/>
      <c r="F3" s="1396"/>
      <c r="G3" s="1396"/>
      <c r="H3" s="1396"/>
      <c r="AG3" s="1396"/>
      <c r="AH3" s="1396"/>
      <c r="AI3" s="1396"/>
      <c r="AJ3" s="1396"/>
      <c r="AK3" s="1396"/>
      <c r="AL3" s="1396"/>
      <c r="AM3" s="1396"/>
    </row>
    <row r="4" spans="2:40" ht="14.95" customHeight="1">
      <c r="B4" s="1396"/>
      <c r="C4" s="1436"/>
      <c r="D4" s="1436"/>
      <c r="E4" s="1436"/>
      <c r="F4" s="1436"/>
      <c r="G4" s="1436"/>
      <c r="H4" s="1396"/>
      <c r="AG4" s="1396"/>
      <c r="AH4" s="1436"/>
      <c r="AI4" s="1436"/>
      <c r="AJ4" s="1436"/>
      <c r="AK4" s="1436"/>
      <c r="AL4" s="1436"/>
      <c r="AM4" s="1396"/>
    </row>
    <row r="5" spans="2:40" ht="5.0999999999999996" customHeight="1">
      <c r="B5" s="1396"/>
      <c r="C5" s="1396"/>
      <c r="D5" s="1396"/>
      <c r="E5" s="1396"/>
      <c r="F5" s="1396"/>
      <c r="G5" s="1396"/>
      <c r="H5" s="1396"/>
      <c r="AG5" s="1396"/>
      <c r="AH5" s="1396"/>
      <c r="AI5" s="1396"/>
      <c r="AJ5" s="1396"/>
      <c r="AK5" s="1396"/>
      <c r="AL5" s="1396"/>
      <c r="AM5" s="1396"/>
    </row>
    <row r="6" spans="2:40" ht="14.95" customHeight="1">
      <c r="B6" s="1396"/>
      <c r="C6" s="1437"/>
      <c r="D6" s="1437"/>
      <c r="E6" s="1437"/>
      <c r="F6" s="1437"/>
      <c r="G6" s="1437"/>
      <c r="H6" s="1396"/>
      <c r="AG6" s="1396"/>
      <c r="AH6" s="1437"/>
      <c r="AI6" s="1437"/>
      <c r="AJ6" s="1437"/>
      <c r="AK6" s="1437"/>
      <c r="AL6" s="1437"/>
      <c r="AM6" s="1396"/>
    </row>
    <row r="7" spans="2:40" ht="5.0999999999999996" customHeight="1">
      <c r="B7" s="1396"/>
      <c r="C7" s="1396"/>
      <c r="D7" s="1396"/>
      <c r="E7" s="1396"/>
      <c r="F7" s="1396"/>
      <c r="G7" s="1396"/>
      <c r="H7" s="1396"/>
      <c r="J7" s="1438" t="str">
        <f>Lookup!$B$19</f>
        <v>BUSINESS LIGHTING INCENTIVE PROGRAM</v>
      </c>
      <c r="K7" s="1438"/>
      <c r="L7" s="1438"/>
      <c r="M7" s="1438"/>
      <c r="N7" s="1438"/>
      <c r="O7" s="1438"/>
      <c r="P7" s="1438"/>
      <c r="Q7" s="1438"/>
      <c r="R7" s="1438"/>
      <c r="S7" s="1438"/>
      <c r="T7" s="1438"/>
      <c r="U7" s="1438"/>
      <c r="V7" s="1438"/>
      <c r="W7" s="1438"/>
      <c r="X7" s="1438"/>
      <c r="Y7" s="1438"/>
      <c r="Z7" s="1438"/>
      <c r="AA7" s="1438"/>
      <c r="AB7" s="1438"/>
      <c r="AC7" s="1438"/>
      <c r="AD7" s="1438"/>
      <c r="AE7" s="1438"/>
      <c r="AG7" s="1396"/>
      <c r="AH7" s="1396"/>
      <c r="AI7" s="1396"/>
      <c r="AJ7" s="1396"/>
      <c r="AK7" s="1396"/>
      <c r="AL7" s="1396"/>
      <c r="AM7" s="1396"/>
    </row>
    <row r="8" spans="2:40" ht="14.95" customHeight="1">
      <c r="B8" s="1396"/>
      <c r="C8" s="1437"/>
      <c r="D8" s="1437"/>
      <c r="E8" s="1437"/>
      <c r="F8" s="1437"/>
      <c r="G8" s="1437"/>
      <c r="H8" s="1396"/>
      <c r="J8" s="1438"/>
      <c r="K8" s="1438"/>
      <c r="L8" s="1438"/>
      <c r="M8" s="1438"/>
      <c r="N8" s="1438"/>
      <c r="O8" s="1438"/>
      <c r="P8" s="1438"/>
      <c r="Q8" s="1438"/>
      <c r="R8" s="1438"/>
      <c r="S8" s="1438"/>
      <c r="T8" s="1438"/>
      <c r="U8" s="1438"/>
      <c r="V8" s="1438"/>
      <c r="W8" s="1438"/>
      <c r="X8" s="1438"/>
      <c r="Y8" s="1438"/>
      <c r="Z8" s="1438"/>
      <c r="AA8" s="1438"/>
      <c r="AB8" s="1438"/>
      <c r="AC8" s="1438"/>
      <c r="AD8" s="1438"/>
      <c r="AE8" s="1438"/>
      <c r="AF8" s="428"/>
      <c r="AG8" s="1396"/>
      <c r="AH8" s="1437"/>
      <c r="AI8" s="1437"/>
      <c r="AJ8" s="1437"/>
      <c r="AK8" s="1437"/>
      <c r="AL8" s="1437"/>
      <c r="AM8" s="1396"/>
      <c r="AN8" s="16"/>
    </row>
    <row r="9" spans="2:40" ht="5.0999999999999996" customHeight="1">
      <c r="B9" s="1396"/>
      <c r="C9" s="1396"/>
      <c r="D9" s="1396"/>
      <c r="E9" s="1396"/>
      <c r="F9" s="1396"/>
      <c r="G9" s="428"/>
      <c r="H9" s="428"/>
      <c r="J9" s="1439" t="str">
        <f>Lookup!$B$20</f>
        <v>Business Lighting ─ STANDARD V24-02 ─ Valid through 06/30/2024</v>
      </c>
      <c r="K9" s="1439"/>
      <c r="L9" s="1439"/>
      <c r="M9" s="1439"/>
      <c r="N9" s="1439"/>
      <c r="O9" s="1439"/>
      <c r="P9" s="1439"/>
      <c r="Q9" s="1439"/>
      <c r="R9" s="1439"/>
      <c r="S9" s="1439"/>
      <c r="T9" s="1439"/>
      <c r="U9" s="1439"/>
      <c r="V9" s="1439"/>
      <c r="W9" s="1439"/>
      <c r="X9" s="1439"/>
      <c r="Y9" s="1439"/>
      <c r="Z9" s="1439"/>
      <c r="AA9" s="1439"/>
      <c r="AB9" s="1439"/>
      <c r="AC9" s="1439"/>
      <c r="AD9" s="1439"/>
      <c r="AE9" s="1439"/>
      <c r="AF9" s="428"/>
      <c r="AG9" s="1396"/>
      <c r="AH9" s="1396"/>
      <c r="AI9" s="1396"/>
      <c r="AJ9" s="1396"/>
      <c r="AK9" s="1396"/>
      <c r="AL9" s="428"/>
      <c r="AM9" s="428"/>
    </row>
    <row r="10" spans="2:40" ht="14.95" customHeight="1">
      <c r="B10" s="1396"/>
      <c r="C10" s="1437"/>
      <c r="D10" s="1437"/>
      <c r="E10" s="1437"/>
      <c r="F10" s="1437"/>
      <c r="G10" s="1437"/>
      <c r="H10" s="1396"/>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490"/>
      <c r="AG10" s="1396"/>
      <c r="AH10" s="1437"/>
      <c r="AI10" s="1437"/>
      <c r="AJ10" s="1437"/>
      <c r="AK10" s="1437"/>
      <c r="AL10" s="1437"/>
      <c r="AM10" s="1396"/>
      <c r="AN10" s="87"/>
    </row>
    <row r="11" spans="2:40" ht="5.0999999999999996" customHeight="1">
      <c r="B11" s="1396"/>
      <c r="C11" s="1396"/>
      <c r="D11" s="1396"/>
      <c r="E11" s="1396"/>
      <c r="F11" s="1396"/>
      <c r="G11" s="435"/>
      <c r="H11" s="435"/>
      <c r="J11" s="1449" t="str">
        <f>CONCATENATE("This is a ",Lookup!B16," lighting project")</f>
        <v>This is a RETROFIT lighting project</v>
      </c>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490"/>
      <c r="AG11" s="1396"/>
      <c r="AH11" s="1396"/>
      <c r="AI11" s="1396"/>
      <c r="AJ11" s="1396"/>
      <c r="AK11" s="1396"/>
      <c r="AL11" s="435"/>
      <c r="AM11" s="435"/>
    </row>
    <row r="12" spans="2:40" ht="14.95" customHeight="1">
      <c r="B12" s="1396"/>
      <c r="C12" s="1437"/>
      <c r="D12" s="1437"/>
      <c r="E12" s="1437"/>
      <c r="F12" s="1437"/>
      <c r="G12" s="1437"/>
      <c r="H12" s="16"/>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491"/>
      <c r="AG12" s="1396"/>
      <c r="AH12" s="1437"/>
      <c r="AI12" s="1437"/>
      <c r="AJ12" s="1437"/>
      <c r="AK12" s="1437"/>
      <c r="AL12" s="1437"/>
      <c r="AM12" s="16"/>
    </row>
    <row r="13" spans="2:40" ht="5.0999999999999996" customHeight="1">
      <c r="B13" s="1396"/>
      <c r="C13" s="1396"/>
      <c r="D13" s="1396"/>
      <c r="E13" s="1396"/>
      <c r="F13" s="1396"/>
      <c r="G13" s="16"/>
      <c r="H13" s="16"/>
      <c r="J13" s="1440" t="str">
        <f>Project!K13</f>
        <v>PSE Approval is required before the retrofit is started!</v>
      </c>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396"/>
      <c r="AG13" s="1396"/>
      <c r="AH13" s="1396"/>
      <c r="AI13" s="1396"/>
      <c r="AJ13" s="1396"/>
      <c r="AK13" s="1396"/>
      <c r="AL13" s="16"/>
      <c r="AM13" s="16"/>
    </row>
    <row r="14" spans="2:40" ht="14.95" customHeight="1">
      <c r="B14" s="1396"/>
      <c r="C14" s="1437"/>
      <c r="D14" s="1437"/>
      <c r="E14" s="1437"/>
      <c r="F14" s="1437"/>
      <c r="G14" s="1437"/>
      <c r="H14" s="1396"/>
      <c r="J14" s="1440"/>
      <c r="K14" s="1440"/>
      <c r="L14" s="1440"/>
      <c r="M14" s="1440"/>
      <c r="N14" s="1440"/>
      <c r="O14" s="1440"/>
      <c r="P14" s="1440"/>
      <c r="Q14" s="1440"/>
      <c r="R14" s="1440"/>
      <c r="S14" s="1440"/>
      <c r="T14" s="1440"/>
      <c r="U14" s="1440"/>
      <c r="V14" s="1440"/>
      <c r="W14" s="1440"/>
      <c r="X14" s="1440"/>
      <c r="Y14" s="1440"/>
      <c r="Z14" s="1440"/>
      <c r="AA14" s="1440"/>
      <c r="AB14" s="1440"/>
      <c r="AC14" s="1440"/>
      <c r="AD14" s="1440"/>
      <c r="AE14" s="1440"/>
      <c r="AF14" s="429"/>
      <c r="AG14" s="1396"/>
      <c r="AH14" s="1437"/>
      <c r="AI14" s="1437"/>
      <c r="AJ14" s="1437"/>
      <c r="AK14" s="1437"/>
      <c r="AL14" s="1437"/>
      <c r="AM14" s="1396"/>
      <c r="AN14" s="88"/>
    </row>
    <row r="15" spans="2:40" ht="5.0999999999999996" customHeight="1">
      <c r="B15" s="1396"/>
      <c r="C15" s="1396"/>
      <c r="D15" s="1396"/>
      <c r="E15" s="1396"/>
      <c r="F15" s="1396"/>
      <c r="G15" s="1396"/>
      <c r="H15" s="1396"/>
      <c r="AF15" s="429"/>
      <c r="AG15" s="1396"/>
      <c r="AH15" s="1396"/>
      <c r="AI15" s="1396"/>
      <c r="AJ15" s="1396"/>
      <c r="AK15" s="1396"/>
      <c r="AL15" s="1396"/>
      <c r="AM15" s="1396"/>
    </row>
    <row r="16" spans="2:40" ht="14.95" customHeight="1">
      <c r="B16" s="1396"/>
      <c r="C16" s="1437"/>
      <c r="D16" s="1437"/>
      <c r="E16" s="1437"/>
      <c r="F16" s="1437"/>
      <c r="G16" s="1437"/>
      <c r="H16" s="1396"/>
      <c r="AF16" s="430"/>
      <c r="AG16" s="1396"/>
      <c r="AH16" s="1437"/>
      <c r="AI16" s="1437"/>
      <c r="AJ16" s="1437"/>
      <c r="AK16" s="1437"/>
      <c r="AL16" s="1437"/>
      <c r="AM16" s="1396"/>
    </row>
    <row r="17" spans="1:39" ht="5.0999999999999996" customHeight="1">
      <c r="B17" s="1396"/>
      <c r="C17" s="1396"/>
      <c r="D17" s="1396"/>
      <c r="E17" s="1396"/>
      <c r="F17" s="1396"/>
      <c r="G17" s="1396"/>
      <c r="H17" s="1396"/>
      <c r="AG17" s="1396"/>
      <c r="AH17" s="1396"/>
      <c r="AI17" s="1396"/>
      <c r="AJ17" s="1396"/>
      <c r="AK17" s="1396"/>
      <c r="AL17" s="1396"/>
      <c r="AM17" s="1396"/>
    </row>
    <row r="18" spans="1:39" ht="2.0499999999999998" customHeight="1">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c r="AL18" s="1441"/>
      <c r="AM18" s="1441"/>
    </row>
    <row r="19" spans="1:39" ht="14.95" customHeight="1"/>
    <row r="20" spans="1:39">
      <c r="B20" t="str">
        <f>CONCATENATE("This PSE application covers lighting retrofits to existing " &amp;  Lookup!B23 &amp;".")</f>
        <v>This PSE application covers lighting retrofits to existing Commercial and Industrial projects, Lighting Only Tenant Improvements projects &amp; Lighting Only New Construction projects.</v>
      </c>
    </row>
    <row r="22" spans="1:39">
      <c r="B22" s="143" t="s">
        <v>0</v>
      </c>
    </row>
    <row r="23" spans="1:39">
      <c r="B23" s="1443" t="s">
        <v>1</v>
      </c>
      <c r="C23" s="1443"/>
      <c r="D23" s="1443"/>
      <c r="E23" s="1443"/>
      <c r="F23" s="1443"/>
      <c r="G23" s="1443"/>
      <c r="H23" s="1443"/>
      <c r="I23" s="1443"/>
      <c r="J23" s="151" t="str">
        <f>IF(J7="MULTI-FAMILY LIGHTING INCENTIVE PROGRAM","","&lt;--  Click this link to find the latest version of the Business Lighting Application (Excel)")</f>
        <v>&lt;--  Click this link to find the latest version of the Business Lighting Application (Excel)</v>
      </c>
    </row>
    <row r="24" spans="1:39">
      <c r="B24" s="1443" t="s">
        <v>2</v>
      </c>
      <c r="C24" s="1443"/>
      <c r="D24" s="1443"/>
      <c r="E24" s="1443"/>
      <c r="F24" s="1443"/>
      <c r="G24" s="1443"/>
      <c r="H24" s="1443"/>
      <c r="I24" s="1443"/>
      <c r="J24" s="1443"/>
    </row>
    <row r="25" spans="1:39" ht="14.95" customHeight="1">
      <c r="B25" s="1443" t="s">
        <v>3</v>
      </c>
      <c r="C25" s="1443"/>
      <c r="D25" s="1443"/>
      <c r="E25" s="1443"/>
      <c r="F25" s="1443"/>
      <c r="G25" s="1443"/>
      <c r="H25" s="1443"/>
      <c r="I25" s="1443"/>
      <c r="P25" s="88"/>
      <c r="Q25" s="88"/>
      <c r="R25" s="88"/>
      <c r="S25" s="88"/>
      <c r="T25" s="88"/>
      <c r="U25" s="88"/>
      <c r="V25" s="88"/>
      <c r="W25" s="88"/>
      <c r="X25" s="88"/>
      <c r="Y25" s="88"/>
      <c r="Z25" s="88"/>
      <c r="AA25" s="88"/>
      <c r="AB25" s="88"/>
      <c r="AC25" s="88"/>
      <c r="AD25" s="88"/>
      <c r="AE25" s="88"/>
      <c r="AF25" s="88"/>
      <c r="AG25" s="88"/>
      <c r="AH25" s="88"/>
      <c r="AI25" s="88"/>
      <c r="AJ25" s="88"/>
      <c r="AK25" s="88"/>
    </row>
    <row r="26" spans="1:39" ht="14.95" customHeight="1">
      <c r="B26" s="1444" t="s">
        <v>4</v>
      </c>
      <c r="C26" s="1444"/>
      <c r="D26" s="1444"/>
      <c r="E26" s="1444"/>
      <c r="F26" s="1444"/>
      <c r="G26" s="1444"/>
      <c r="H26" s="1444"/>
      <c r="I26" s="1444"/>
      <c r="P26" s="88"/>
      <c r="Q26" s="88"/>
      <c r="R26" s="88"/>
      <c r="S26" s="88"/>
      <c r="T26" s="88"/>
      <c r="U26" s="88"/>
      <c r="V26" s="88"/>
      <c r="W26" s="88"/>
      <c r="X26" s="88"/>
      <c r="Y26" s="88"/>
      <c r="Z26" s="88"/>
      <c r="AA26" s="88"/>
      <c r="AB26" s="88"/>
      <c r="AC26" s="88"/>
      <c r="AD26" s="88"/>
      <c r="AE26" s="88"/>
      <c r="AF26" s="88"/>
      <c r="AG26" s="88"/>
      <c r="AH26" s="88"/>
      <c r="AI26" s="88"/>
      <c r="AJ26" s="88"/>
      <c r="AK26" s="88"/>
    </row>
    <row r="27" spans="1:39">
      <c r="B27" s="1446" t="s">
        <v>5</v>
      </c>
      <c r="C27" s="1446"/>
      <c r="D27" s="1446"/>
      <c r="E27" s="1446"/>
      <c r="F27" s="1446"/>
      <c r="G27" s="1446"/>
      <c r="H27" s="1446"/>
      <c r="I27" s="1446"/>
      <c r="J27" s="1446"/>
    </row>
    <row r="28" spans="1:39">
      <c r="A28" s="1442"/>
    </row>
    <row r="29" spans="1:39" ht="2.25" customHeight="1">
      <c r="A29" s="1442"/>
      <c r="B29" s="1385" t="s">
        <v>6</v>
      </c>
      <c r="C29" s="1386" t="s">
        <v>6</v>
      </c>
      <c r="D29" s="1386" t="s">
        <v>6</v>
      </c>
      <c r="E29" s="1386" t="s">
        <v>6</v>
      </c>
      <c r="F29" s="1386" t="s">
        <v>6</v>
      </c>
      <c r="G29" s="1386" t="s">
        <v>6</v>
      </c>
      <c r="H29" s="1386" t="s">
        <v>6</v>
      </c>
      <c r="I29" s="1386" t="s">
        <v>6</v>
      </c>
      <c r="J29" s="1386" t="s">
        <v>6</v>
      </c>
      <c r="K29" s="1386" t="s">
        <v>6</v>
      </c>
      <c r="L29" s="1386" t="s">
        <v>6</v>
      </c>
      <c r="M29" s="1386" t="s">
        <v>6</v>
      </c>
      <c r="N29" s="1386" t="s">
        <v>6</v>
      </c>
      <c r="O29" s="1386" t="s">
        <v>6</v>
      </c>
      <c r="P29" s="1386" t="s">
        <v>6</v>
      </c>
      <c r="Q29" s="1386" t="s">
        <v>6</v>
      </c>
      <c r="R29" s="1386" t="s">
        <v>6</v>
      </c>
      <c r="S29" s="1386" t="s">
        <v>6</v>
      </c>
      <c r="T29" s="1386" t="s">
        <v>6</v>
      </c>
      <c r="U29" s="1386" t="s">
        <v>6</v>
      </c>
      <c r="V29" s="1386" t="s">
        <v>6</v>
      </c>
      <c r="W29" s="1386" t="s">
        <v>6</v>
      </c>
      <c r="X29" s="1386" t="s">
        <v>6</v>
      </c>
      <c r="Y29" s="1386" t="s">
        <v>6</v>
      </c>
      <c r="Z29" s="1386" t="s">
        <v>6</v>
      </c>
      <c r="AA29" s="1386" t="s">
        <v>6</v>
      </c>
      <c r="AB29" s="1386" t="s">
        <v>6</v>
      </c>
      <c r="AC29" s="1386" t="s">
        <v>6</v>
      </c>
      <c r="AD29" s="1386" t="s">
        <v>6</v>
      </c>
      <c r="AE29" s="1386" t="s">
        <v>6</v>
      </c>
      <c r="AF29" s="1386" t="s">
        <v>6</v>
      </c>
      <c r="AG29" s="1386" t="s">
        <v>6</v>
      </c>
      <c r="AH29" s="1386" t="s">
        <v>6</v>
      </c>
      <c r="AI29" s="1386" t="s">
        <v>6</v>
      </c>
      <c r="AJ29" s="1386" t="s">
        <v>6</v>
      </c>
      <c r="AK29" s="1386" t="s">
        <v>6</v>
      </c>
      <c r="AL29" s="1386" t="s">
        <v>6</v>
      </c>
      <c r="AM29" s="1387" t="s">
        <v>6</v>
      </c>
    </row>
    <row r="30" spans="1:39" ht="16.3">
      <c r="A30" s="1442"/>
      <c r="B30" s="1388" t="s">
        <v>6</v>
      </c>
      <c r="C30" s="1447" t="s">
        <v>7</v>
      </c>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389" t="s">
        <v>6</v>
      </c>
    </row>
    <row r="31" spans="1:39" ht="16.3">
      <c r="A31" s="1442"/>
      <c r="B31" s="1388" t="s">
        <v>6</v>
      </c>
      <c r="C31" s="1448" t="s">
        <v>8</v>
      </c>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8"/>
      <c r="AH31" s="1448"/>
      <c r="AI31" s="1448"/>
      <c r="AJ31" s="1448"/>
      <c r="AK31" s="1448"/>
      <c r="AL31" s="1448"/>
      <c r="AM31" s="1389" t="s">
        <v>6</v>
      </c>
    </row>
    <row r="32" spans="1:39" ht="16.3">
      <c r="A32" s="1442"/>
      <c r="B32" s="1388" t="s">
        <v>6</v>
      </c>
      <c r="C32" s="1448" t="s">
        <v>9</v>
      </c>
      <c r="D32" s="1448"/>
      <c r="E32" s="1448"/>
      <c r="F32" s="1448"/>
      <c r="G32" s="1448"/>
      <c r="H32" s="1448"/>
      <c r="I32" s="1448"/>
      <c r="J32" s="1448"/>
      <c r="K32" s="1448"/>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1448"/>
      <c r="AH32" s="1448"/>
      <c r="AI32" s="1448"/>
      <c r="AJ32" s="1448"/>
      <c r="AK32" s="1448"/>
      <c r="AL32" s="1448"/>
      <c r="AM32" s="1389" t="s">
        <v>6</v>
      </c>
    </row>
    <row r="33" spans="1:39" ht="16.3">
      <c r="A33" s="1442"/>
      <c r="B33" s="1388" t="s">
        <v>6</v>
      </c>
      <c r="C33" s="1448" t="s">
        <v>10</v>
      </c>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48"/>
      <c r="Z33" s="1448"/>
      <c r="AA33" s="1448"/>
      <c r="AB33" s="1448"/>
      <c r="AC33" s="1448"/>
      <c r="AD33" s="1448"/>
      <c r="AE33" s="1448"/>
      <c r="AF33" s="1448"/>
      <c r="AG33" s="1448"/>
      <c r="AH33" s="1448"/>
      <c r="AI33" s="1448"/>
      <c r="AJ33" s="1448"/>
      <c r="AK33" s="1448"/>
      <c r="AL33" s="1448"/>
      <c r="AM33" s="1389" t="s">
        <v>6</v>
      </c>
    </row>
    <row r="34" spans="1:39" ht="2.25" customHeight="1">
      <c r="A34" s="1442"/>
      <c r="B34" s="1390" t="s">
        <v>6</v>
      </c>
      <c r="C34" s="1391" t="s">
        <v>6</v>
      </c>
      <c r="D34" s="1391" t="s">
        <v>6</v>
      </c>
      <c r="E34" s="1391" t="s">
        <v>6</v>
      </c>
      <c r="F34" s="1391" t="s">
        <v>6</v>
      </c>
      <c r="G34" s="1391" t="s">
        <v>6</v>
      </c>
      <c r="H34" s="1391" t="s">
        <v>6</v>
      </c>
      <c r="I34" s="1391" t="s">
        <v>6</v>
      </c>
      <c r="J34" s="1391" t="s">
        <v>6</v>
      </c>
      <c r="K34" s="1391" t="s">
        <v>6</v>
      </c>
      <c r="L34" s="1391" t="s">
        <v>6</v>
      </c>
      <c r="M34" s="1391" t="s">
        <v>6</v>
      </c>
      <c r="N34" s="1391" t="s">
        <v>6</v>
      </c>
      <c r="O34" s="1391" t="s">
        <v>6</v>
      </c>
      <c r="P34" s="1391" t="s">
        <v>6</v>
      </c>
      <c r="Q34" s="1391" t="s">
        <v>6</v>
      </c>
      <c r="R34" s="1391" t="s">
        <v>6</v>
      </c>
      <c r="S34" s="1391" t="s">
        <v>6</v>
      </c>
      <c r="T34" s="1391" t="s">
        <v>6</v>
      </c>
      <c r="U34" s="1391" t="s">
        <v>6</v>
      </c>
      <c r="V34" s="1391" t="s">
        <v>6</v>
      </c>
      <c r="W34" s="1391" t="s">
        <v>6</v>
      </c>
      <c r="X34" s="1391" t="s">
        <v>6</v>
      </c>
      <c r="Y34" s="1391" t="s">
        <v>6</v>
      </c>
      <c r="Z34" s="1391" t="s">
        <v>6</v>
      </c>
      <c r="AA34" s="1391" t="s">
        <v>6</v>
      </c>
      <c r="AB34" s="1391" t="s">
        <v>6</v>
      </c>
      <c r="AC34" s="1391" t="s">
        <v>6</v>
      </c>
      <c r="AD34" s="1391" t="s">
        <v>6</v>
      </c>
      <c r="AE34" s="1391" t="s">
        <v>6</v>
      </c>
      <c r="AF34" s="1391" t="s">
        <v>6</v>
      </c>
      <c r="AG34" s="1391" t="s">
        <v>6</v>
      </c>
      <c r="AH34" s="1391" t="s">
        <v>6</v>
      </c>
      <c r="AI34" s="1391" t="s">
        <v>6</v>
      </c>
      <c r="AJ34" s="1391" t="s">
        <v>6</v>
      </c>
      <c r="AK34" s="1391" t="s">
        <v>6</v>
      </c>
      <c r="AL34" s="1391" t="s">
        <v>6</v>
      </c>
      <c r="AM34" s="1392" t="s">
        <v>6</v>
      </c>
    </row>
    <row r="35" spans="1:39">
      <c r="A35" s="1442"/>
    </row>
    <row r="36" spans="1:39" ht="5.0999999999999996" customHeight="1">
      <c r="A36" s="1442"/>
      <c r="B36" s="163"/>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5"/>
    </row>
    <row r="37" spans="1:39" ht="16.3">
      <c r="A37" s="1442"/>
      <c r="B37" s="166"/>
      <c r="C37" s="144" t="s">
        <v>11</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67"/>
    </row>
    <row r="38" spans="1:39" ht="16.3">
      <c r="A38" s="1442"/>
      <c r="B38" s="166"/>
      <c r="C38" s="145" t="s">
        <v>12</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67"/>
    </row>
    <row r="39" spans="1:39" ht="16.3">
      <c r="A39" s="1442"/>
      <c r="B39" s="166"/>
      <c r="C39" s="145" t="s">
        <v>13</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67"/>
    </row>
    <row r="40" spans="1:39" ht="5.0999999999999996" customHeight="1">
      <c r="A40" s="1442"/>
      <c r="B40" s="166"/>
      <c r="C40" s="145"/>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67"/>
    </row>
    <row r="41" spans="1:39" ht="16.3">
      <c r="A41" s="1442"/>
      <c r="B41" s="166"/>
      <c r="C41" s="145"/>
      <c r="D41" s="9" t="s">
        <v>14</v>
      </c>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67"/>
    </row>
    <row r="42" spans="1:39" ht="16.3">
      <c r="A42" s="1442"/>
      <c r="B42" s="166"/>
      <c r="C42" s="145"/>
      <c r="D42" s="9"/>
      <c r="E42" s="9" t="s">
        <v>15</v>
      </c>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67"/>
    </row>
    <row r="43" spans="1:39" ht="16.3">
      <c r="A43" s="1442"/>
      <c r="B43" s="166"/>
      <c r="C43" s="145"/>
      <c r="D43" s="9"/>
      <c r="E43" s="9" t="s">
        <v>16</v>
      </c>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167"/>
    </row>
    <row r="44" spans="1:39" ht="16.3">
      <c r="A44" s="1442"/>
      <c r="B44" s="166"/>
      <c r="C44" s="145"/>
      <c r="D44" s="9"/>
      <c r="E44" s="9" t="s">
        <v>17</v>
      </c>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167"/>
    </row>
    <row r="45" spans="1:39" ht="16.3">
      <c r="A45" s="1442"/>
      <c r="B45" s="166"/>
      <c r="C45" s="145"/>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167"/>
    </row>
    <row r="46" spans="1:39" ht="16.3">
      <c r="A46" s="1442"/>
      <c r="B46" s="166"/>
      <c r="C46" s="144" t="s">
        <v>18</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167"/>
    </row>
    <row r="47" spans="1:39" ht="16.3">
      <c r="A47" s="1442"/>
      <c r="B47" s="166"/>
      <c r="C47" s="1177" t="s">
        <v>19</v>
      </c>
      <c r="D47" s="9"/>
      <c r="E47" s="9"/>
      <c r="F47" s="1250" t="s">
        <v>20</v>
      </c>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167"/>
    </row>
    <row r="48" spans="1:39" ht="16.3">
      <c r="A48" s="1442"/>
      <c r="B48" s="166"/>
      <c r="C48" s="145" t="s">
        <v>21</v>
      </c>
      <c r="D48" s="9"/>
      <c r="E48" s="9"/>
      <c r="F48" s="1250"/>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167"/>
    </row>
    <row r="49" spans="1:39" ht="16.3">
      <c r="A49" s="1442"/>
      <c r="B49" s="166"/>
      <c r="C49" s="145" t="s">
        <v>22</v>
      </c>
      <c r="D49" s="9"/>
      <c r="E49" s="9"/>
      <c r="F49" s="1221"/>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167"/>
    </row>
    <row r="50" spans="1:39" ht="5.0999999999999996" customHeight="1" thickBot="1">
      <c r="A50" s="1442"/>
      <c r="B50" s="168"/>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70"/>
    </row>
    <row r="51" spans="1:39" ht="14.95" thickTop="1"/>
    <row r="52" spans="1:39" ht="16.3">
      <c r="A52" s="1442"/>
      <c r="B52" s="1324" t="str">
        <f>CONCATENATE("Submit the following documents to " &amp; Lookup!B24 &amp;":")</f>
        <v>Submit the following documents to businesslighting@pse.com:</v>
      </c>
      <c r="C52" s="1323"/>
    </row>
    <row r="53" spans="1:39">
      <c r="A53" s="1442"/>
      <c r="B53" s="14" t="s">
        <v>23</v>
      </c>
    </row>
    <row r="54" spans="1:39">
      <c r="A54" s="1442"/>
      <c r="B54" s="14" t="s">
        <v>24</v>
      </c>
    </row>
    <row r="55" spans="1:39">
      <c r="A55" s="1442"/>
      <c r="B55" s="14" t="s">
        <v>25</v>
      </c>
    </row>
    <row r="56" spans="1:39">
      <c r="A56" s="1442"/>
      <c r="B56" s="1432" t="s">
        <v>26</v>
      </c>
    </row>
    <row r="57" spans="1:39">
      <c r="A57" s="1442"/>
      <c r="B57" s="146" t="s">
        <v>27</v>
      </c>
    </row>
    <row r="58" spans="1:39">
      <c r="A58" s="1442"/>
    </row>
    <row r="59" spans="1:39" ht="16.3">
      <c r="A59" s="1442"/>
      <c r="B59" s="1324" t="s">
        <v>28</v>
      </c>
      <c r="C59" s="1288"/>
    </row>
    <row r="60" spans="1:39" ht="14.95" customHeight="1">
      <c r="A60" s="1442"/>
      <c r="B60" s="1445" t="str">
        <f>Lookup!B26</f>
        <v>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row>
    <row r="61" spans="1:39" ht="14.95" customHeight="1">
      <c r="A61" s="1442"/>
      <c r="B61" s="144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445"/>
      <c r="AM61" s="1445"/>
    </row>
    <row r="62" spans="1:39" ht="14.95" customHeight="1">
      <c r="A62" s="1442"/>
      <c r="B62" s="1445"/>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1445"/>
      <c r="AL62" s="1445"/>
      <c r="AM62" s="1445"/>
    </row>
    <row r="63" spans="1:39">
      <c r="A63" s="1442"/>
      <c r="B63" s="1445"/>
      <c r="C63" s="1445"/>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1445"/>
      <c r="AL63" s="1445"/>
      <c r="AM63" s="1445"/>
    </row>
    <row r="64" spans="1:39" ht="14.95" customHeight="1">
      <c r="B64" s="1445"/>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row>
    <row r="65" spans="1:21" ht="16.3">
      <c r="A65" s="1442"/>
      <c r="B65" s="1324" t="s">
        <v>29</v>
      </c>
      <c r="C65" s="1288"/>
    </row>
    <row r="66" spans="1:21">
      <c r="A66" s="1442"/>
      <c r="B66" s="147" t="s">
        <v>30</v>
      </c>
    </row>
    <row r="67" spans="1:21">
      <c r="A67" s="1442"/>
      <c r="B67" s="147" t="s">
        <v>31</v>
      </c>
    </row>
    <row r="68" spans="1:21">
      <c r="A68" s="1442"/>
      <c r="B68" s="431"/>
    </row>
    <row r="69" spans="1:21">
      <c r="A69" s="1442"/>
      <c r="B69" s="147" t="s">
        <v>32</v>
      </c>
    </row>
    <row r="70" spans="1:21">
      <c r="A70" s="1442"/>
    </row>
    <row r="71" spans="1:21">
      <c r="A71" s="1442"/>
      <c r="B71" s="148" t="s">
        <v>33</v>
      </c>
      <c r="C71" s="148"/>
      <c r="D71" s="148"/>
      <c r="E71" s="148"/>
      <c r="F71" s="148"/>
      <c r="G71" s="148"/>
      <c r="H71" s="148"/>
      <c r="I71" s="148"/>
      <c r="J71" s="148"/>
      <c r="K71" s="148"/>
      <c r="L71" s="148"/>
      <c r="M71" s="148"/>
      <c r="N71" s="148"/>
      <c r="O71" s="148"/>
      <c r="P71" s="148"/>
      <c r="Q71" s="148"/>
      <c r="R71" s="148"/>
      <c r="S71" s="148"/>
      <c r="T71" s="148"/>
      <c r="U71" s="148"/>
    </row>
    <row r="72" spans="1:21">
      <c r="A72" s="1442"/>
      <c r="B72" s="148"/>
      <c r="C72" s="148"/>
      <c r="D72" s="148"/>
      <c r="E72" s="148"/>
      <c r="F72" s="148"/>
      <c r="G72" s="148"/>
      <c r="H72" s="148"/>
      <c r="I72" s="148"/>
      <c r="J72" s="148"/>
      <c r="K72" s="148"/>
      <c r="L72" s="148"/>
      <c r="M72" s="148"/>
      <c r="N72" s="148"/>
      <c r="O72" s="148"/>
      <c r="P72" s="148"/>
      <c r="Q72" s="148"/>
      <c r="R72" s="148"/>
      <c r="S72" s="148"/>
      <c r="T72" s="148"/>
      <c r="U72" s="148"/>
    </row>
    <row r="73" spans="1:21">
      <c r="A73" s="1442"/>
      <c r="C73" s="293" t="s">
        <v>34</v>
      </c>
    </row>
    <row r="74" spans="1:21">
      <c r="A74" s="1442"/>
      <c r="C74" s="293" t="str">
        <f>CONCATENATE("are NOT incentivized through the ",Lookup!B22," Program. ")</f>
        <v xml:space="preserve">are NOT incentivized through the Business Lighting Program. </v>
      </c>
    </row>
    <row r="75" spans="1:21">
      <c r="A75" s="1442"/>
      <c r="C75" s="1325" t="s">
        <v>35</v>
      </c>
    </row>
    <row r="76" spans="1:21">
      <c r="A76" s="1442"/>
      <c r="C76" s="431"/>
    </row>
    <row r="77" spans="1:21">
      <c r="A77" s="1442"/>
      <c r="C77" s="293" t="s">
        <v>36</v>
      </c>
    </row>
    <row r="78" spans="1:21">
      <c r="A78" s="1442"/>
      <c r="C78" s="293" t="str">
        <f>CONCATENATE("- replacing fluorescent lamps, are incentivized at the current Lighting To Go $",Lookup!K2,"/lamp regardless if the fixture they are installed in is new, existing or retrofitted.")</f>
        <v>- replacing fluorescent lamps, are incentivized at the current Lighting To Go $4/lamp regardless if the fixture they are installed in is new, existing or retrofitted.</v>
      </c>
    </row>
    <row r="79" spans="1:21">
      <c r="A79" s="1442"/>
      <c r="C79" s="293"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80" spans="1:21">
      <c r="A80" s="1442"/>
      <c r="C80" s="293"/>
    </row>
    <row r="81" spans="1:4">
      <c r="A81" s="1442"/>
      <c r="C81" s="149" t="s">
        <v>37</v>
      </c>
    </row>
    <row r="82" spans="1:4">
      <c r="A82" s="1442"/>
      <c r="C82" s="149" t="s">
        <v>38</v>
      </c>
    </row>
    <row r="83" spans="1:4">
      <c r="A83" s="1442"/>
      <c r="C83" s="150" t="s">
        <v>39</v>
      </c>
    </row>
    <row r="84" spans="1:4">
      <c r="A84" s="1442"/>
      <c r="C84" s="293"/>
    </row>
    <row r="85" spans="1:4">
      <c r="A85" s="1442"/>
      <c r="C85" s="151" t="s">
        <v>40</v>
      </c>
    </row>
    <row r="86" spans="1:4">
      <c r="A86" s="1442"/>
    </row>
    <row r="87" spans="1:4">
      <c r="A87" s="1442"/>
      <c r="C87" s="147" t="s">
        <v>41</v>
      </c>
      <c r="D87" s="50"/>
    </row>
    <row r="88" spans="1:4">
      <c r="A88" s="1442"/>
      <c r="C88" s="19" t="s">
        <v>42</v>
      </c>
    </row>
    <row r="89" spans="1:4">
      <c r="A89" s="1442"/>
      <c r="C89" s="19" t="s">
        <v>43</v>
      </c>
    </row>
    <row r="90" spans="1:4">
      <c r="A90" s="1442"/>
      <c r="C90" s="19" t="s">
        <v>44</v>
      </c>
    </row>
    <row r="91" spans="1:4">
      <c r="A91" s="1442"/>
    </row>
    <row r="92" spans="1:4">
      <c r="A92" s="1442"/>
      <c r="C92" s="152" t="s">
        <v>45</v>
      </c>
    </row>
    <row r="93" spans="1:4">
      <c r="A93" s="1442"/>
      <c r="C93" s="293" t="str">
        <f>IF(LEN(Lookup!K8)=4,
CONCATENATE("Incentivized at $",Lookup!K8,"/kWh up to 70% of the installed cost for retrofit projects and up to 100% for tenant improvement and new construction."),
CONCATENATE("Incentivized at $",Lookup!K8,"0/kWh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94" spans="1:4">
      <c r="A94" s="1442"/>
      <c r="C94" s="153" t="s">
        <v>46</v>
      </c>
    </row>
    <row r="95" spans="1:4">
      <c r="A95" s="1442"/>
      <c r="C95" s="153" t="s">
        <v>47</v>
      </c>
    </row>
    <row r="96" spans="1:4">
      <c r="A96" s="1442"/>
      <c r="C96" s="293"/>
    </row>
    <row r="97" spans="1:3">
      <c r="A97" s="1442"/>
      <c r="C97" s="152" t="s">
        <v>48</v>
      </c>
    </row>
    <row r="98" spans="1:3">
      <c r="A98" s="1442"/>
      <c r="C98" s="293" t="str">
        <f>IF(LEN(Lookup!K7)=4,
CONCATENATE("Incentivized at $",Lookup!K7,"/kWh up to 70% of the installed cost for retrofit projects and up to 100% for tenant improvement and new construction."),
CONCATENATE("Incentivized at $",Lookup!K7,"0/kWh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99" spans="1:3">
      <c r="A99" s="1442"/>
      <c r="C99" s="153" t="s">
        <v>46</v>
      </c>
    </row>
    <row r="100" spans="1:3">
      <c r="A100" s="1442"/>
      <c r="C100" s="153" t="s">
        <v>47</v>
      </c>
    </row>
    <row r="101" spans="1:3">
      <c r="A101" s="1442"/>
      <c r="C101" s="293"/>
    </row>
    <row r="102" spans="1:3">
      <c r="A102" s="1442"/>
      <c r="C102" s="152" t="s">
        <v>49</v>
      </c>
    </row>
    <row r="103" spans="1:3">
      <c r="A103" s="1442"/>
      <c r="C103" s="293" t="str">
        <f>IF(LEN(Lookup!K3)=4,
CONCATENATE("Incentivized at $",Lookup!K3,"/kWh up to 70% of the installed cost for retrofit projects and up to 100% for tenant improvement and new construction."),
CONCATENATE("Incentivized at $",Lookup!K3,"0/kWh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104" spans="1:3">
      <c r="A104" s="1442"/>
      <c r="C104" s="153" t="s">
        <v>50</v>
      </c>
    </row>
    <row r="105" spans="1:3">
      <c r="A105" s="1442"/>
      <c r="C105" s="293"/>
    </row>
    <row r="106" spans="1:3">
      <c r="A106" s="1442"/>
      <c r="C106" s="152" t="s">
        <v>51</v>
      </c>
    </row>
    <row r="107" spans="1:3">
      <c r="A107" s="1442"/>
      <c r="C107" s="293" t="str">
        <f>IF(LEN(Lookup!K4)=4,
CONCATENATE("Incentivized at $",Lookup!K4,"/kWh up to 70% of the installed cost for retrofit projects and up to 100% for tenant improvement and new construction."),
CONCATENATE("Incentivized at $",Lookup!K4,"0/kWh up to 70% of the installed cost for retrofit projects and up to 100% for tenant improvement and new construction."))</f>
        <v>Incentivized at $0.30/kWh up to 70% of the installed cost for retrofit projects and up to 100% for tenant improvement and new construction.</v>
      </c>
    </row>
    <row r="108" spans="1:3">
      <c r="A108" s="1442"/>
      <c r="C108" s="153" t="s">
        <v>52</v>
      </c>
    </row>
    <row r="109" spans="1:3">
      <c r="A109" s="1442"/>
      <c r="C109" s="293"/>
    </row>
    <row r="110" spans="1:3">
      <c r="A110" s="1442"/>
      <c r="C110" s="152" t="s">
        <v>53</v>
      </c>
    </row>
    <row r="111" spans="1:3">
      <c r="A111" s="1442"/>
      <c r="C111" s="293" t="str">
        <f>IF(LEN(Lookup!K5)=4,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f>
        <v>Incentivized at $0.30/kWh up to 70% of the installed cost for retrofit projects and up to 100% for tenant improvement and new construction.</v>
      </c>
    </row>
    <row r="112" spans="1:3">
      <c r="A112" s="1442"/>
      <c r="C112" s="153" t="s">
        <v>54</v>
      </c>
    </row>
    <row r="113" spans="1:3">
      <c r="A113" s="1442"/>
      <c r="C113" s="153" t="s">
        <v>55</v>
      </c>
    </row>
    <row r="114" spans="1:3">
      <c r="A114" s="1442"/>
    </row>
    <row r="115" spans="1:3">
      <c r="A115" s="1442"/>
      <c r="C115" s="2" t="s">
        <v>56</v>
      </c>
    </row>
    <row r="116" spans="1:3">
      <c r="A116" s="1442"/>
      <c r="C116" t="str">
        <f>CONCATENATE("An additional $",Lookup!K6,"0/kWh will be incentivized for each measure that includes an upgraded lighting control.")</f>
        <v>An additional $0.20/kWh will be incentivized for each measure that includes an upgraded lighting control.</v>
      </c>
    </row>
    <row r="117" spans="1:3">
      <c r="A117" s="1442"/>
      <c r="C117" t="s">
        <v>57</v>
      </c>
    </row>
    <row r="118" spans="1:3">
      <c r="A118" s="1442"/>
      <c r="C118" s="153" t="s">
        <v>58</v>
      </c>
    </row>
    <row r="119" spans="1:3">
      <c r="A119" s="1442"/>
      <c r="C119" s="153" t="s">
        <v>59</v>
      </c>
    </row>
    <row r="120" spans="1:3">
      <c r="A120" s="1442"/>
    </row>
    <row r="121" spans="1:3">
      <c r="A121" s="1442"/>
      <c r="C121" s="154" t="s">
        <v>60</v>
      </c>
    </row>
    <row r="122" spans="1:3">
      <c r="A122" s="1442"/>
      <c r="C122" s="147" t="str">
        <f>IF(LEN(Lookup!K5+Lookup!K6)=4,
CONCATENATE("Incentivized at $",Lookup!K5+Lookup!K6,"/kWh up to 70% of the installed cost for retrofit projects and up to 100% of the installed costs for tenant improvement and new construction projects."),
CONCATENATE("Incentivized at $",Lookup!K5+Lookup!K6,"0/kWh up to 70% of the installed cost for retrofit projects and up to 100% of the installed costs for tenant improvement and new construction projects."))</f>
        <v>Incentivized at $0.50/kWh up to 70% of the installed cost for retrofit projects and up to 100% of the installed costs for tenant improvement and new construction projects.</v>
      </c>
    </row>
    <row r="123" spans="1:3">
      <c r="A123" s="1442"/>
    </row>
    <row r="124" spans="1:3">
      <c r="A124" s="1442"/>
      <c r="C124" s="155" t="s">
        <v>61</v>
      </c>
    </row>
    <row r="125" spans="1:3">
      <c r="A125" s="1442"/>
      <c r="C125" s="153" t="s">
        <v>62</v>
      </c>
    </row>
    <row r="126" spans="1:3">
      <c r="A126" s="1442"/>
      <c r="C126" s="153" t="str">
        <f>CONCATENATE("All LLLC projects must be pre-inspected, contact "&amp;Lookup!B24&amp;" for more information. ")</f>
        <v xml:space="preserve">All LLLC projects must be pre-inspected, contact businesslighting@pse.com for more information. </v>
      </c>
    </row>
    <row r="127" spans="1:3">
      <c r="A127" s="1442"/>
      <c r="C127" s="1286"/>
    </row>
    <row r="128" spans="1:3">
      <c r="A128" s="1442"/>
      <c r="C128" s="171" t="s">
        <v>63</v>
      </c>
    </row>
    <row r="129" spans="1:39">
      <c r="A129" s="1442"/>
      <c r="C129" s="156"/>
    </row>
    <row r="130" spans="1:39" ht="14.95" customHeight="1">
      <c r="A130" s="1442"/>
      <c r="D130" s="1450" t="s">
        <v>64</v>
      </c>
      <c r="E130" s="1451"/>
      <c r="F130" s="1451"/>
      <c r="G130" s="1451"/>
      <c r="H130" s="1451"/>
      <c r="I130" s="1451"/>
      <c r="J130" s="1451"/>
      <c r="K130" s="1451"/>
      <c r="L130" s="1451"/>
      <c r="M130" s="1451"/>
      <c r="N130" s="1451"/>
      <c r="O130" s="1451"/>
      <c r="P130" s="1451"/>
      <c r="Q130" s="1451"/>
      <c r="R130" s="1451"/>
      <c r="S130" s="1451"/>
      <c r="T130" s="1451"/>
      <c r="U130" s="1451"/>
      <c r="V130" s="1451"/>
      <c r="W130" s="1451"/>
      <c r="X130" s="1451"/>
      <c r="Y130" s="1451"/>
      <c r="Z130" s="1451"/>
      <c r="AA130" s="1451"/>
      <c r="AB130" s="1451"/>
      <c r="AC130" s="1451"/>
      <c r="AD130" s="1451"/>
      <c r="AE130" s="1451"/>
      <c r="AF130" s="1451"/>
      <c r="AG130" s="1451"/>
      <c r="AH130" s="1451"/>
      <c r="AI130" s="1451"/>
      <c r="AJ130" s="1451"/>
      <c r="AK130" s="1451"/>
      <c r="AL130" s="1451"/>
      <c r="AM130" s="1452"/>
    </row>
    <row r="131" spans="1:39">
      <c r="A131" s="1442"/>
      <c r="D131" s="1453"/>
      <c r="E131" s="1454"/>
      <c r="F131" s="1454"/>
      <c r="G131" s="1454"/>
      <c r="H131" s="1454"/>
      <c r="I131" s="1454"/>
      <c r="J131" s="1454"/>
      <c r="K131" s="1454"/>
      <c r="L131" s="1454"/>
      <c r="M131" s="1454"/>
      <c r="N131" s="1454"/>
      <c r="O131" s="1454"/>
      <c r="P131" s="1454"/>
      <c r="Q131" s="1454"/>
      <c r="R131" s="1454"/>
      <c r="S131" s="1454"/>
      <c r="T131" s="1454"/>
      <c r="U131" s="1454"/>
      <c r="V131" s="1454"/>
      <c r="W131" s="1454"/>
      <c r="X131" s="1454"/>
      <c r="Y131" s="1454"/>
      <c r="Z131" s="1454"/>
      <c r="AA131" s="1454"/>
      <c r="AB131" s="1454"/>
      <c r="AC131" s="1454"/>
      <c r="AD131" s="1454"/>
      <c r="AE131" s="1454"/>
      <c r="AF131" s="1454"/>
      <c r="AG131" s="1454"/>
      <c r="AH131" s="1454"/>
      <c r="AI131" s="1454"/>
      <c r="AJ131" s="1454"/>
      <c r="AK131" s="1454"/>
      <c r="AL131" s="1454"/>
      <c r="AM131" s="1455"/>
    </row>
    <row r="132" spans="1:39">
      <c r="A132" s="1442"/>
      <c r="D132" s="1453"/>
      <c r="E132" s="1454"/>
      <c r="F132" s="1454"/>
      <c r="G132" s="1454"/>
      <c r="H132" s="1454"/>
      <c r="I132" s="1454"/>
      <c r="J132" s="1454"/>
      <c r="K132" s="1454"/>
      <c r="L132" s="1454"/>
      <c r="M132" s="1454"/>
      <c r="N132" s="1454"/>
      <c r="O132" s="1454"/>
      <c r="P132" s="1454"/>
      <c r="Q132" s="1454"/>
      <c r="R132" s="1454"/>
      <c r="S132" s="1454"/>
      <c r="T132" s="1454"/>
      <c r="U132" s="1454"/>
      <c r="V132" s="1454"/>
      <c r="W132" s="1454"/>
      <c r="X132" s="1454"/>
      <c r="Y132" s="1454"/>
      <c r="Z132" s="1454"/>
      <c r="AA132" s="1454"/>
      <c r="AB132" s="1454"/>
      <c r="AC132" s="1454"/>
      <c r="AD132" s="1454"/>
      <c r="AE132" s="1454"/>
      <c r="AF132" s="1454"/>
      <c r="AG132" s="1454"/>
      <c r="AH132" s="1454"/>
      <c r="AI132" s="1454"/>
      <c r="AJ132" s="1454"/>
      <c r="AK132" s="1454"/>
      <c r="AL132" s="1454"/>
      <c r="AM132" s="1455"/>
    </row>
    <row r="133" spans="1:39">
      <c r="A133" s="1442"/>
      <c r="D133" s="1453"/>
      <c r="E133" s="1454"/>
      <c r="F133" s="1454"/>
      <c r="G133" s="1454"/>
      <c r="H133" s="1454"/>
      <c r="I133" s="1454"/>
      <c r="J133" s="1454"/>
      <c r="K133" s="1454"/>
      <c r="L133" s="1454"/>
      <c r="M133" s="1454"/>
      <c r="N133" s="1454"/>
      <c r="O133" s="1454"/>
      <c r="P133" s="1454"/>
      <c r="Q133" s="1454"/>
      <c r="R133" s="1454"/>
      <c r="S133" s="1454"/>
      <c r="T133" s="1454"/>
      <c r="U133" s="1454"/>
      <c r="V133" s="1454"/>
      <c r="W133" s="1454"/>
      <c r="X133" s="1454"/>
      <c r="Y133" s="1454"/>
      <c r="Z133" s="1454"/>
      <c r="AA133" s="1454"/>
      <c r="AB133" s="1454"/>
      <c r="AC133" s="1454"/>
      <c r="AD133" s="1454"/>
      <c r="AE133" s="1454"/>
      <c r="AF133" s="1454"/>
      <c r="AG133" s="1454"/>
      <c r="AH133" s="1454"/>
      <c r="AI133" s="1454"/>
      <c r="AJ133" s="1454"/>
      <c r="AK133" s="1454"/>
      <c r="AL133" s="1454"/>
      <c r="AM133" s="1455"/>
    </row>
    <row r="134" spans="1:39">
      <c r="A134" s="1442"/>
      <c r="D134" s="1453"/>
      <c r="E134" s="1454"/>
      <c r="F134" s="1454"/>
      <c r="G134" s="1454"/>
      <c r="H134" s="1454"/>
      <c r="I134" s="1454"/>
      <c r="J134" s="1454"/>
      <c r="K134" s="1454"/>
      <c r="L134" s="1454"/>
      <c r="M134" s="1454"/>
      <c r="N134" s="1454"/>
      <c r="O134" s="1454"/>
      <c r="P134" s="1454"/>
      <c r="Q134" s="1454"/>
      <c r="R134" s="1454"/>
      <c r="S134" s="1454"/>
      <c r="T134" s="1454"/>
      <c r="U134" s="1454"/>
      <c r="V134" s="1454"/>
      <c r="W134" s="1454"/>
      <c r="X134" s="1454"/>
      <c r="Y134" s="1454"/>
      <c r="Z134" s="1454"/>
      <c r="AA134" s="1454"/>
      <c r="AB134" s="1454"/>
      <c r="AC134" s="1454"/>
      <c r="AD134" s="1454"/>
      <c r="AE134" s="1454"/>
      <c r="AF134" s="1454"/>
      <c r="AG134" s="1454"/>
      <c r="AH134" s="1454"/>
      <c r="AI134" s="1454"/>
      <c r="AJ134" s="1454"/>
      <c r="AK134" s="1454"/>
      <c r="AL134" s="1454"/>
      <c r="AM134" s="1455"/>
    </row>
    <row r="135" spans="1:39">
      <c r="A135" s="1442"/>
      <c r="D135" s="1456"/>
      <c r="E135" s="1457"/>
      <c r="F135" s="1457"/>
      <c r="G135" s="1457"/>
      <c r="H135" s="1457"/>
      <c r="I135" s="1457"/>
      <c r="J135" s="1457"/>
      <c r="K135" s="1457"/>
      <c r="L135" s="1457"/>
      <c r="M135" s="1457"/>
      <c r="N135" s="1457"/>
      <c r="O135" s="1457"/>
      <c r="P135" s="1457"/>
      <c r="Q135" s="1457"/>
      <c r="R135" s="1457"/>
      <c r="S135" s="1457"/>
      <c r="T135" s="1457"/>
      <c r="U135" s="1457"/>
      <c r="V135" s="1457"/>
      <c r="W135" s="1457"/>
      <c r="X135" s="1457"/>
      <c r="Y135" s="1457"/>
      <c r="Z135" s="1457"/>
      <c r="AA135" s="1457"/>
      <c r="AB135" s="1457"/>
      <c r="AC135" s="1457"/>
      <c r="AD135" s="1457"/>
      <c r="AE135" s="1457"/>
      <c r="AF135" s="1457"/>
      <c r="AG135" s="1457"/>
      <c r="AH135" s="1457"/>
      <c r="AI135" s="1457"/>
      <c r="AJ135" s="1457"/>
      <c r="AK135" s="1457"/>
      <c r="AL135" s="1457"/>
      <c r="AM135" s="1458"/>
    </row>
    <row r="136" spans="1:39">
      <c r="A136" s="1442"/>
    </row>
    <row r="137" spans="1:39">
      <c r="A137" s="1442"/>
      <c r="C137" s="155" t="s">
        <v>65</v>
      </c>
    </row>
    <row r="138" spans="1:39">
      <c r="A138" s="1442"/>
      <c r="C138" s="153" t="s">
        <v>66</v>
      </c>
    </row>
    <row r="139" spans="1:39">
      <c r="A139" s="1442"/>
      <c r="C139" s="153" t="str">
        <f>CONCATENATE("All NLC projects must be pre-inspected, contact "&amp;Lookup!B24&amp;" for more information. ")</f>
        <v xml:space="preserve">All NLC projects must be pre-inspected, contact businesslighting@pse.com for more information. </v>
      </c>
    </row>
    <row r="140" spans="1:39">
      <c r="A140" s="1442"/>
      <c r="C140" s="1286"/>
    </row>
    <row r="141" spans="1:39">
      <c r="A141" s="1442"/>
      <c r="C141" s="171" t="s">
        <v>67</v>
      </c>
    </row>
    <row r="142" spans="1:39">
      <c r="A142" s="1442"/>
      <c r="C142" s="156"/>
    </row>
    <row r="143" spans="1:39" ht="14.95" customHeight="1">
      <c r="A143" s="1442"/>
      <c r="D143" s="1450" t="s">
        <v>68</v>
      </c>
      <c r="E143" s="1451"/>
      <c r="F143" s="1451"/>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c r="AJ143" s="1451"/>
      <c r="AK143" s="1451"/>
      <c r="AL143" s="1451"/>
      <c r="AM143" s="1452"/>
    </row>
    <row r="144" spans="1:39">
      <c r="A144" s="1442"/>
      <c r="D144" s="1453"/>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c r="AA144" s="1454"/>
      <c r="AB144" s="1454"/>
      <c r="AC144" s="1454"/>
      <c r="AD144" s="1454"/>
      <c r="AE144" s="1454"/>
      <c r="AF144" s="1454"/>
      <c r="AG144" s="1454"/>
      <c r="AH144" s="1454"/>
      <c r="AI144" s="1454"/>
      <c r="AJ144" s="1454"/>
      <c r="AK144" s="1454"/>
      <c r="AL144" s="1454"/>
      <c r="AM144" s="1455"/>
    </row>
    <row r="145" spans="1:39">
      <c r="A145" s="1442"/>
      <c r="D145" s="1453"/>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c r="AA145" s="1454"/>
      <c r="AB145" s="1454"/>
      <c r="AC145" s="1454"/>
      <c r="AD145" s="1454"/>
      <c r="AE145" s="1454"/>
      <c r="AF145" s="1454"/>
      <c r="AG145" s="1454"/>
      <c r="AH145" s="1454"/>
      <c r="AI145" s="1454"/>
      <c r="AJ145" s="1454"/>
      <c r="AK145" s="1454"/>
      <c r="AL145" s="1454"/>
      <c r="AM145" s="1455"/>
    </row>
    <row r="146" spans="1:39">
      <c r="A146" s="1442"/>
      <c r="D146" s="1453"/>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c r="AA146" s="1454"/>
      <c r="AB146" s="1454"/>
      <c r="AC146" s="1454"/>
      <c r="AD146" s="1454"/>
      <c r="AE146" s="1454"/>
      <c r="AF146" s="1454"/>
      <c r="AG146" s="1454"/>
      <c r="AH146" s="1454"/>
      <c r="AI146" s="1454"/>
      <c r="AJ146" s="1454"/>
      <c r="AK146" s="1454"/>
      <c r="AL146" s="1454"/>
      <c r="AM146" s="1455"/>
    </row>
    <row r="147" spans="1:39">
      <c r="A147" s="1442"/>
      <c r="D147" s="1453"/>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c r="AA147" s="1454"/>
      <c r="AB147" s="1454"/>
      <c r="AC147" s="1454"/>
      <c r="AD147" s="1454"/>
      <c r="AE147" s="1454"/>
      <c r="AF147" s="1454"/>
      <c r="AG147" s="1454"/>
      <c r="AH147" s="1454"/>
      <c r="AI147" s="1454"/>
      <c r="AJ147" s="1454"/>
      <c r="AK147" s="1454"/>
      <c r="AL147" s="1454"/>
      <c r="AM147" s="1455"/>
    </row>
    <row r="148" spans="1:39">
      <c r="A148" s="1442"/>
      <c r="D148" s="1453"/>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c r="AA148" s="1454"/>
      <c r="AB148" s="1454"/>
      <c r="AC148" s="1454"/>
      <c r="AD148" s="1454"/>
      <c r="AE148" s="1454"/>
      <c r="AF148" s="1454"/>
      <c r="AG148" s="1454"/>
      <c r="AH148" s="1454"/>
      <c r="AI148" s="1454"/>
      <c r="AJ148" s="1454"/>
      <c r="AK148" s="1454"/>
      <c r="AL148" s="1454"/>
      <c r="AM148" s="1455"/>
    </row>
    <row r="149" spans="1:39">
      <c r="A149" s="1442"/>
      <c r="D149" s="1456"/>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c r="AJ149" s="1457"/>
      <c r="AK149" s="1457"/>
      <c r="AL149" s="1457"/>
      <c r="AM149" s="1458"/>
    </row>
    <row r="150" spans="1:39">
      <c r="A150" s="1442"/>
    </row>
    <row r="151" spans="1:39">
      <c r="A151" s="1442"/>
      <c r="C151" s="1459" t="s">
        <v>69</v>
      </c>
      <c r="D151" s="1459"/>
      <c r="E151" s="1459"/>
      <c r="F151" s="1459"/>
      <c r="G151" s="1459"/>
      <c r="H151" s="1459"/>
      <c r="I151" s="1459"/>
      <c r="J151" s="1459"/>
      <c r="K151" s="1459"/>
      <c r="L151" s="1459"/>
      <c r="M151" s="1459"/>
      <c r="N151" s="1459"/>
      <c r="O151" s="1459"/>
      <c r="P151" s="1459"/>
      <c r="Q151" s="1459"/>
      <c r="R151" s="1459"/>
      <c r="S151" s="1459"/>
      <c r="T151" s="1459"/>
      <c r="U151" s="1459"/>
      <c r="V151" s="1459"/>
      <c r="W151" s="1459"/>
      <c r="X151" s="1459"/>
      <c r="Y151" s="1459"/>
      <c r="Z151" s="1459"/>
      <c r="AA151" s="1459"/>
      <c r="AB151" s="1459"/>
      <c r="AC151" s="1459"/>
      <c r="AD151" s="1459"/>
      <c r="AE151" s="1459"/>
      <c r="AF151" s="1459"/>
      <c r="AG151" s="1459"/>
      <c r="AH151" s="1459"/>
      <c r="AI151" s="1459"/>
      <c r="AJ151" s="1459"/>
      <c r="AK151" s="1459"/>
      <c r="AL151" s="1459"/>
    </row>
    <row r="152" spans="1:39">
      <c r="A152" s="1442"/>
      <c r="C152" s="171" t="s">
        <v>70</v>
      </c>
    </row>
    <row r="153" spans="1:39">
      <c r="A153" s="1442"/>
      <c r="C153" s="156"/>
    </row>
    <row r="154" spans="1:39" ht="14.95" customHeight="1">
      <c r="A154" s="1442"/>
      <c r="D154" s="1450" t="s">
        <v>71</v>
      </c>
      <c r="E154" s="1451"/>
      <c r="F154" s="1451"/>
      <c r="G154" s="1451"/>
      <c r="H154" s="1451"/>
      <c r="I154" s="1451"/>
      <c r="J154" s="1451"/>
      <c r="K154" s="1451"/>
      <c r="L154" s="1451"/>
      <c r="M154" s="1451"/>
      <c r="N154" s="1451"/>
      <c r="O154" s="1451"/>
      <c r="P154" s="1451"/>
      <c r="Q154" s="1451"/>
      <c r="R154" s="1451"/>
      <c r="S154" s="1451"/>
      <c r="T154" s="1451"/>
      <c r="U154" s="1451"/>
      <c r="V154" s="1451"/>
      <c r="W154" s="1451"/>
      <c r="X154" s="1451"/>
      <c r="Y154" s="1451"/>
      <c r="Z154" s="1451"/>
      <c r="AA154" s="1451"/>
      <c r="AB154" s="1451"/>
      <c r="AC154" s="1451"/>
      <c r="AD154" s="1451"/>
      <c r="AE154" s="1451"/>
      <c r="AF154" s="1451"/>
      <c r="AG154" s="1451"/>
      <c r="AH154" s="1451"/>
      <c r="AI154" s="1451"/>
      <c r="AJ154" s="1451"/>
      <c r="AK154" s="1451"/>
      <c r="AL154" s="1451"/>
      <c r="AM154" s="1452"/>
    </row>
    <row r="155" spans="1:39">
      <c r="A155" s="1442"/>
      <c r="D155" s="1453"/>
      <c r="E155" s="1454"/>
      <c r="F155" s="1454"/>
      <c r="G155" s="1454"/>
      <c r="H155" s="1454"/>
      <c r="I155" s="1454"/>
      <c r="J155" s="1454"/>
      <c r="K155" s="1454"/>
      <c r="L155" s="1454"/>
      <c r="M155" s="1454"/>
      <c r="N155" s="1454"/>
      <c r="O155" s="1454"/>
      <c r="P155" s="1454"/>
      <c r="Q155" s="1454"/>
      <c r="R155" s="1454"/>
      <c r="S155" s="1454"/>
      <c r="T155" s="1454"/>
      <c r="U155" s="1454"/>
      <c r="V155" s="1454"/>
      <c r="W155" s="1454"/>
      <c r="X155" s="1454"/>
      <c r="Y155" s="1454"/>
      <c r="Z155" s="1454"/>
      <c r="AA155" s="1454"/>
      <c r="AB155" s="1454"/>
      <c r="AC155" s="1454"/>
      <c r="AD155" s="1454"/>
      <c r="AE155" s="1454"/>
      <c r="AF155" s="1454"/>
      <c r="AG155" s="1454"/>
      <c r="AH155" s="1454"/>
      <c r="AI155" s="1454"/>
      <c r="AJ155" s="1454"/>
      <c r="AK155" s="1454"/>
      <c r="AL155" s="1454"/>
      <c r="AM155" s="1455"/>
    </row>
    <row r="156" spans="1:39">
      <c r="A156" s="1442"/>
      <c r="D156" s="1453"/>
      <c r="E156" s="1454"/>
      <c r="F156" s="1454"/>
      <c r="G156" s="1454"/>
      <c r="H156" s="1454"/>
      <c r="I156" s="1454"/>
      <c r="J156" s="1454"/>
      <c r="K156" s="1454"/>
      <c r="L156" s="1454"/>
      <c r="M156" s="1454"/>
      <c r="N156" s="1454"/>
      <c r="O156" s="1454"/>
      <c r="P156" s="1454"/>
      <c r="Q156" s="1454"/>
      <c r="R156" s="1454"/>
      <c r="S156" s="1454"/>
      <c r="T156" s="1454"/>
      <c r="U156" s="1454"/>
      <c r="V156" s="1454"/>
      <c r="W156" s="1454"/>
      <c r="X156" s="1454"/>
      <c r="Y156" s="1454"/>
      <c r="Z156" s="1454"/>
      <c r="AA156" s="1454"/>
      <c r="AB156" s="1454"/>
      <c r="AC156" s="1454"/>
      <c r="AD156" s="1454"/>
      <c r="AE156" s="1454"/>
      <c r="AF156" s="1454"/>
      <c r="AG156" s="1454"/>
      <c r="AH156" s="1454"/>
      <c r="AI156" s="1454"/>
      <c r="AJ156" s="1454"/>
      <c r="AK156" s="1454"/>
      <c r="AL156" s="1454"/>
      <c r="AM156" s="1455"/>
    </row>
    <row r="157" spans="1:39">
      <c r="A157" s="1442"/>
      <c r="D157" s="1456"/>
      <c r="E157" s="1457"/>
      <c r="F157" s="1457"/>
      <c r="G157" s="1457"/>
      <c r="H157" s="1457"/>
      <c r="I157" s="1457"/>
      <c r="J157" s="1457"/>
      <c r="K157" s="1457"/>
      <c r="L157" s="1457"/>
      <c r="M157" s="1457"/>
      <c r="N157" s="1457"/>
      <c r="O157" s="1457"/>
      <c r="P157" s="1457"/>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457"/>
      <c r="AM157" s="1458"/>
    </row>
    <row r="158" spans="1:39">
      <c r="A158" s="1442"/>
    </row>
    <row r="159" spans="1:39">
      <c r="A159" s="1442"/>
      <c r="B159" s="1327" t="s">
        <v>72</v>
      </c>
      <c r="C159" s="1326"/>
      <c r="D159" s="157"/>
    </row>
    <row r="160" spans="1:39">
      <c r="A160" s="1442"/>
      <c r="C160" s="1328" t="s">
        <v>73</v>
      </c>
      <c r="D160" s="147"/>
      <c r="G160" t="s">
        <v>74</v>
      </c>
    </row>
    <row r="161" spans="1:4">
      <c r="A161" s="1442"/>
      <c r="C161" t="s">
        <v>75</v>
      </c>
      <c r="D161" s="147"/>
    </row>
    <row r="162" spans="1:4">
      <c r="A162" s="1442"/>
      <c r="D162" s="147"/>
    </row>
    <row r="163" spans="1:4">
      <c r="A163" s="1442"/>
      <c r="C163" s="147" t="s">
        <v>76</v>
      </c>
    </row>
    <row r="164" spans="1:4" hidden="1">
      <c r="A164" s="1442"/>
      <c r="C164" s="158" t="s">
        <v>77</v>
      </c>
      <c r="D164" s="147"/>
    </row>
    <row r="165" spans="1:4" hidden="1">
      <c r="A165" s="1442"/>
      <c r="C165" s="94" t="s">
        <v>78</v>
      </c>
      <c r="D165" s="158"/>
    </row>
    <row r="166" spans="1:4">
      <c r="A166" s="1442"/>
      <c r="C166" s="158" t="s">
        <v>79</v>
      </c>
      <c r="D166" s="159"/>
    </row>
    <row r="167" spans="1:4">
      <c r="A167" s="1442"/>
      <c r="C167" s="158" t="s">
        <v>80</v>
      </c>
    </row>
    <row r="168" spans="1:4">
      <c r="A168" s="1442"/>
      <c r="C168" s="158" t="s">
        <v>81</v>
      </c>
      <c r="D168" s="158"/>
    </row>
    <row r="169" spans="1:4">
      <c r="A169" s="1442"/>
      <c r="C169" s="158" t="s">
        <v>82</v>
      </c>
      <c r="D169" s="158"/>
    </row>
    <row r="170" spans="1:4">
      <c r="A170" s="1442"/>
      <c r="C170" s="158"/>
      <c r="D170" s="158"/>
    </row>
    <row r="171" spans="1:4">
      <c r="A171" s="1442"/>
      <c r="C171" s="92" t="s">
        <v>83</v>
      </c>
      <c r="D171" s="158"/>
    </row>
    <row r="172" spans="1:4">
      <c r="A172" s="1442"/>
      <c r="C172" s="158" t="s">
        <v>84</v>
      </c>
      <c r="D172" s="158"/>
    </row>
    <row r="173" spans="1:4">
      <c r="A173" s="1442"/>
      <c r="C173" s="158" t="s">
        <v>85</v>
      </c>
      <c r="D173" s="158"/>
    </row>
    <row r="174" spans="1:4">
      <c r="A174" s="1442"/>
      <c r="C174" s="158" t="s">
        <v>86</v>
      </c>
      <c r="D174" s="158"/>
    </row>
    <row r="175" spans="1:4">
      <c r="A175" s="1442"/>
      <c r="C175" s="158" t="s">
        <v>87</v>
      </c>
      <c r="D175" s="158"/>
    </row>
    <row r="176" spans="1:4">
      <c r="A176" s="1442"/>
      <c r="C176" s="158" t="s">
        <v>88</v>
      </c>
      <c r="D176" s="158"/>
    </row>
    <row r="177" spans="1:37">
      <c r="A177" s="1442"/>
      <c r="C177" s="158" t="s">
        <v>89</v>
      </c>
      <c r="D177" s="158"/>
    </row>
    <row r="178" spans="1:37">
      <c r="A178" s="1442"/>
      <c r="C178" s="160"/>
      <c r="D178" s="158"/>
    </row>
    <row r="179" spans="1:37">
      <c r="A179" s="1442"/>
      <c r="C179" s="92" t="s">
        <v>90</v>
      </c>
      <c r="D179" s="158"/>
    </row>
    <row r="180" spans="1:37">
      <c r="A180" s="1442"/>
      <c r="D180" s="158"/>
    </row>
    <row r="181" spans="1:37">
      <c r="A181" s="1442"/>
      <c r="C181" s="1329" t="s">
        <v>91</v>
      </c>
      <c r="D181" s="147"/>
      <c r="F181" t="s">
        <v>92</v>
      </c>
    </row>
    <row r="182" spans="1:37">
      <c r="A182" s="1442"/>
      <c r="C182" s="147" t="s">
        <v>93</v>
      </c>
      <c r="D182" s="147"/>
    </row>
    <row r="183" spans="1:37">
      <c r="A183" s="1442"/>
      <c r="C183" s="147"/>
      <c r="D183" s="147"/>
    </row>
    <row r="184" spans="1:37">
      <c r="A184" s="1442"/>
      <c r="C184" s="1329" t="s">
        <v>94</v>
      </c>
      <c r="D184" s="147"/>
    </row>
    <row r="185" spans="1:37">
      <c r="A185" s="1442"/>
      <c r="C185" s="19" t="str">
        <f>CONCATENATE("New T8 fixtures are NOT incentivized through the ",Lookup!B22," Incentive program.")</f>
        <v>New T8 fixtures are NOT incentivized through the Business Lighting Incentive program.</v>
      </c>
      <c r="D185" s="147"/>
    </row>
    <row r="186" spans="1:37">
      <c r="A186" s="1442"/>
      <c r="C186" s="147"/>
      <c r="D186" s="147"/>
    </row>
    <row r="187" spans="1:37">
      <c r="A187" s="1442"/>
      <c r="C187" s="1329" t="s">
        <v>95</v>
      </c>
      <c r="D187" s="147"/>
    </row>
    <row r="188" spans="1:37">
      <c r="A188" s="1442"/>
      <c r="C188" s="19" t="str">
        <f>CONCATENATE("New T12 fixtures are NOT incentivized through the ",Lookup!B22," Incentive program.")</f>
        <v>New T12 fixtures are NOT incentivized through the Business Lighting Incentive program.</v>
      </c>
      <c r="D188" s="147"/>
    </row>
    <row r="189" spans="1:37">
      <c r="A189" s="1442"/>
      <c r="C189" s="147"/>
      <c r="D189" s="147"/>
    </row>
    <row r="190" spans="1:37">
      <c r="A190" s="1442"/>
      <c r="B190" s="1288"/>
      <c r="C190" s="1329" t="s">
        <v>96</v>
      </c>
      <c r="D190" s="147"/>
      <c r="F190" t="s">
        <v>97</v>
      </c>
    </row>
    <row r="191" spans="1:37">
      <c r="B191" s="1288"/>
      <c r="C191" s="1289"/>
      <c r="D191" s="147"/>
    </row>
    <row r="192" spans="1:37" ht="14.95" customHeight="1">
      <c r="B192" s="1330" t="s">
        <v>98</v>
      </c>
      <c r="C192" s="1318"/>
      <c r="D192" s="161"/>
      <c r="E192" s="1433" t="s">
        <v>99</v>
      </c>
      <c r="F192" s="1433"/>
      <c r="G192" s="1433"/>
      <c r="H192" s="1433"/>
      <c r="I192" s="1433"/>
      <c r="J192" s="1433"/>
      <c r="K192" s="1433"/>
      <c r="L192" s="1433"/>
      <c r="M192" s="1433"/>
      <c r="N192" s="1433"/>
      <c r="O192" s="1433"/>
      <c r="P192" s="1433"/>
      <c r="Q192" s="1433"/>
      <c r="R192" s="1433"/>
      <c r="S192" s="1433"/>
      <c r="T192" s="1433"/>
      <c r="U192" s="1433"/>
      <c r="V192" s="1433"/>
      <c r="W192" s="1433"/>
      <c r="X192" s="1433"/>
      <c r="Y192" s="1433"/>
      <c r="Z192" s="1433"/>
      <c r="AA192" s="1433"/>
      <c r="AB192" s="1433"/>
      <c r="AC192" s="1433"/>
      <c r="AD192" s="1433"/>
      <c r="AE192" s="1433"/>
      <c r="AF192" s="1433"/>
      <c r="AG192" s="1433"/>
      <c r="AH192" s="1433"/>
      <c r="AI192" s="1433"/>
      <c r="AJ192" s="1433"/>
      <c r="AK192" s="1433"/>
    </row>
    <row r="193" spans="1:37">
      <c r="B193" s="1291"/>
      <c r="C193" s="1291"/>
      <c r="D193" s="161"/>
      <c r="E193" s="1433"/>
      <c r="F193" s="1433"/>
      <c r="G193" s="1433"/>
      <c r="H193" s="1433"/>
      <c r="I193" s="1433"/>
      <c r="J193" s="1433"/>
      <c r="K193" s="1433"/>
      <c r="L193" s="1433"/>
      <c r="M193" s="1433"/>
      <c r="N193" s="1433"/>
      <c r="O193" s="1433"/>
      <c r="P193" s="1433"/>
      <c r="Q193" s="1433"/>
      <c r="R193" s="1433"/>
      <c r="S193" s="1433"/>
      <c r="T193" s="1433"/>
      <c r="U193" s="1433"/>
      <c r="V193" s="1433"/>
      <c r="W193" s="1433"/>
      <c r="X193" s="1433"/>
      <c r="Y193" s="1433"/>
      <c r="Z193" s="1433"/>
      <c r="AA193" s="1433"/>
      <c r="AB193" s="1433"/>
      <c r="AC193" s="1433"/>
      <c r="AD193" s="1433"/>
      <c r="AE193" s="1433"/>
      <c r="AF193" s="1433"/>
      <c r="AG193" s="1433"/>
      <c r="AH193" s="1433"/>
      <c r="AI193" s="1433"/>
      <c r="AJ193" s="1433"/>
      <c r="AK193" s="1433"/>
    </row>
    <row r="194" spans="1:37">
      <c r="A194" s="1442"/>
      <c r="B194" s="1291"/>
      <c r="C194" s="1291"/>
      <c r="D194" s="161"/>
      <c r="E194" s="161"/>
      <c r="F194" s="161"/>
      <c r="G194" s="161"/>
      <c r="H194" s="161"/>
      <c r="I194" s="161"/>
      <c r="J194" s="161"/>
      <c r="K194" s="161"/>
      <c r="L194" s="161"/>
      <c r="M194" s="161"/>
      <c r="N194" s="161"/>
      <c r="O194" s="161"/>
      <c r="P194" s="161"/>
      <c r="Q194" s="161"/>
      <c r="R194" s="161"/>
      <c r="S194" s="161"/>
      <c r="T194" s="161"/>
      <c r="U194" s="161"/>
      <c r="V194" s="161"/>
    </row>
    <row r="195" spans="1:37" ht="14.95" customHeight="1">
      <c r="A195" s="1442"/>
      <c r="B195" s="1331" t="s">
        <v>100</v>
      </c>
      <c r="C195" s="1289"/>
      <c r="D195" s="147"/>
      <c r="E195" s="1433" t="s">
        <v>101</v>
      </c>
      <c r="F195" s="1433"/>
      <c r="G195" s="1433"/>
      <c r="H195" s="1433"/>
      <c r="I195" s="1433"/>
      <c r="J195" s="1433"/>
      <c r="K195" s="1433"/>
      <c r="L195" s="1433"/>
      <c r="M195" s="1433"/>
      <c r="N195" s="1433"/>
      <c r="O195" s="1433"/>
      <c r="P195" s="1433"/>
      <c r="Q195" s="1433"/>
      <c r="R195" s="1433"/>
      <c r="S195" s="1433"/>
      <c r="T195" s="1433"/>
      <c r="U195" s="1433"/>
      <c r="V195" s="1433"/>
      <c r="W195" s="1433"/>
      <c r="X195" s="1433"/>
      <c r="Y195" s="1433"/>
      <c r="Z195" s="1433"/>
      <c r="AA195" s="1433"/>
      <c r="AB195" s="1433"/>
      <c r="AC195" s="1433"/>
      <c r="AD195" s="1433"/>
      <c r="AE195" s="1433"/>
      <c r="AF195" s="1433"/>
      <c r="AG195" s="1433"/>
      <c r="AH195" s="1433"/>
      <c r="AI195" s="1433"/>
      <c r="AJ195" s="1433"/>
      <c r="AK195" s="1433"/>
    </row>
    <row r="196" spans="1:37">
      <c r="A196" s="1442"/>
      <c r="B196" s="1289"/>
      <c r="C196" s="1289"/>
      <c r="D196" s="147"/>
      <c r="E196" s="1433"/>
      <c r="F196" s="1433"/>
      <c r="G196" s="1433"/>
      <c r="H196" s="1433"/>
      <c r="I196" s="1433"/>
      <c r="J196" s="1433"/>
      <c r="K196" s="1433"/>
      <c r="L196" s="1433"/>
      <c r="M196" s="1433"/>
      <c r="N196" s="1433"/>
      <c r="O196" s="1433"/>
      <c r="P196" s="1433"/>
      <c r="Q196" s="1433"/>
      <c r="R196" s="1433"/>
      <c r="S196" s="1433"/>
      <c r="T196" s="1433"/>
      <c r="U196" s="1433"/>
      <c r="V196" s="1433"/>
      <c r="W196" s="1433"/>
      <c r="X196" s="1433"/>
      <c r="Y196" s="1433"/>
      <c r="Z196" s="1433"/>
      <c r="AA196" s="1433"/>
      <c r="AB196" s="1433"/>
      <c r="AC196" s="1433"/>
      <c r="AD196" s="1433"/>
      <c r="AE196" s="1433"/>
      <c r="AF196" s="1433"/>
      <c r="AG196" s="1433"/>
      <c r="AH196" s="1433"/>
      <c r="AI196" s="1433"/>
      <c r="AJ196" s="1433"/>
      <c r="AK196" s="1433"/>
    </row>
    <row r="197" spans="1:37">
      <c r="A197" s="1442"/>
      <c r="B197" s="1289"/>
      <c r="C197" s="1289"/>
      <c r="D197" s="147"/>
      <c r="E197" s="1433"/>
      <c r="F197" s="1433"/>
      <c r="G197" s="1433"/>
      <c r="H197" s="1433"/>
      <c r="I197" s="1433"/>
      <c r="J197" s="1433"/>
      <c r="K197" s="1433"/>
      <c r="L197" s="1433"/>
      <c r="M197" s="1433"/>
      <c r="N197" s="1433"/>
      <c r="O197" s="1433"/>
      <c r="P197" s="1433"/>
      <c r="Q197" s="1433"/>
      <c r="R197" s="1433"/>
      <c r="S197" s="1433"/>
      <c r="T197" s="1433"/>
      <c r="U197" s="1433"/>
      <c r="V197" s="1433"/>
      <c r="W197" s="1433"/>
      <c r="X197" s="1433"/>
      <c r="Y197" s="1433"/>
      <c r="Z197" s="1433"/>
      <c r="AA197" s="1433"/>
      <c r="AB197" s="1433"/>
      <c r="AC197" s="1433"/>
      <c r="AD197" s="1433"/>
      <c r="AE197" s="1433"/>
      <c r="AF197" s="1433"/>
      <c r="AG197" s="1433"/>
      <c r="AH197" s="1433"/>
      <c r="AI197" s="1433"/>
      <c r="AJ197" s="1433"/>
      <c r="AK197" s="1433"/>
    </row>
    <row r="198" spans="1:37">
      <c r="A198" s="1442"/>
      <c r="B198" s="1291"/>
      <c r="C198" s="129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row>
    <row r="199" spans="1:37" ht="14.95" customHeight="1">
      <c r="A199" s="1442"/>
      <c r="B199" s="1330" t="s">
        <v>102</v>
      </c>
      <c r="C199" s="1290"/>
      <c r="D199" s="154"/>
      <c r="E199" s="1433" t="s">
        <v>103</v>
      </c>
      <c r="F199" s="1433"/>
      <c r="G199" s="1433"/>
      <c r="H199" s="1433"/>
      <c r="I199" s="1433"/>
      <c r="J199" s="1433"/>
      <c r="K199" s="1433"/>
      <c r="L199" s="1433"/>
      <c r="M199" s="1433"/>
      <c r="N199" s="1433"/>
      <c r="O199" s="1433"/>
      <c r="P199" s="1433"/>
      <c r="Q199" s="1433"/>
      <c r="R199" s="1433"/>
      <c r="S199" s="1433"/>
      <c r="T199" s="1433"/>
      <c r="U199" s="1433"/>
      <c r="V199" s="1433"/>
      <c r="W199" s="1433"/>
      <c r="X199" s="1433"/>
      <c r="Y199" s="1433"/>
      <c r="Z199" s="1433"/>
      <c r="AA199" s="1433"/>
      <c r="AB199" s="1433"/>
      <c r="AC199" s="1433"/>
      <c r="AD199" s="1433"/>
      <c r="AE199" s="1433"/>
      <c r="AF199" s="1433"/>
      <c r="AG199" s="1433"/>
      <c r="AH199" s="1433"/>
      <c r="AI199" s="1433"/>
      <c r="AJ199" s="1433"/>
      <c r="AK199" s="1433"/>
    </row>
    <row r="200" spans="1:37">
      <c r="A200" s="1442"/>
      <c r="B200" s="1290"/>
      <c r="C200" s="1290"/>
      <c r="D200" s="154"/>
      <c r="E200" s="1433"/>
      <c r="F200" s="1433"/>
      <c r="G200" s="1433"/>
      <c r="H200" s="1433"/>
      <c r="I200" s="1433"/>
      <c r="J200" s="1433"/>
      <c r="K200" s="1433"/>
      <c r="L200" s="1433"/>
      <c r="M200" s="1433"/>
      <c r="N200" s="1433"/>
      <c r="O200" s="1433"/>
      <c r="P200" s="1433"/>
      <c r="Q200" s="1433"/>
      <c r="R200" s="1433"/>
      <c r="S200" s="1433"/>
      <c r="T200" s="1433"/>
      <c r="U200" s="1433"/>
      <c r="V200" s="1433"/>
      <c r="W200" s="1433"/>
      <c r="X200" s="1433"/>
      <c r="Y200" s="1433"/>
      <c r="Z200" s="1433"/>
      <c r="AA200" s="1433"/>
      <c r="AB200" s="1433"/>
      <c r="AC200" s="1433"/>
      <c r="AD200" s="1433"/>
      <c r="AE200" s="1433"/>
      <c r="AF200" s="1433"/>
      <c r="AG200" s="1433"/>
      <c r="AH200" s="1433"/>
      <c r="AI200" s="1433"/>
      <c r="AJ200" s="1433"/>
      <c r="AK200" s="1433"/>
    </row>
    <row r="201" spans="1:37">
      <c r="A201" s="1442"/>
      <c r="B201" s="1290"/>
      <c r="C201" s="1290"/>
      <c r="D201" s="154"/>
      <c r="E201" s="154" t="s">
        <v>104</v>
      </c>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row>
    <row r="202" spans="1:37">
      <c r="A202" s="1442"/>
      <c r="B202" s="1292"/>
      <c r="C202" s="129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row>
    <row r="203" spans="1:37" ht="14.95" customHeight="1">
      <c r="A203" s="12"/>
      <c r="B203" s="1330" t="s">
        <v>105</v>
      </c>
      <c r="C203" s="1290"/>
      <c r="D203" s="154"/>
      <c r="E203" s="1433" t="s">
        <v>106</v>
      </c>
      <c r="F203" s="1433"/>
      <c r="G203" s="1433"/>
      <c r="H203" s="1433"/>
      <c r="I203" s="1433"/>
      <c r="J203" s="1433"/>
      <c r="K203" s="1433"/>
      <c r="L203" s="1433"/>
      <c r="M203" s="1433"/>
      <c r="N203" s="1433"/>
      <c r="O203" s="1433"/>
      <c r="P203" s="1433"/>
      <c r="Q203" s="1433"/>
      <c r="R203" s="1433"/>
      <c r="S203" s="1433"/>
      <c r="T203" s="1433"/>
      <c r="U203" s="1433"/>
      <c r="V203" s="1433"/>
      <c r="W203" s="1433"/>
      <c r="X203" s="1433"/>
      <c r="Y203" s="1433"/>
      <c r="Z203" s="1433"/>
      <c r="AA203" s="1433"/>
      <c r="AB203" s="1433"/>
      <c r="AC203" s="1433"/>
      <c r="AD203" s="1433"/>
      <c r="AE203" s="1433"/>
      <c r="AF203" s="1433"/>
      <c r="AG203" s="1433"/>
      <c r="AH203" s="1433"/>
      <c r="AI203" s="1433"/>
      <c r="AJ203" s="1433"/>
      <c r="AK203" s="1433"/>
    </row>
    <row r="204" spans="1:37">
      <c r="A204" s="1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row>
    <row r="205" spans="1:37" ht="14.3" customHeight="1">
      <c r="B205" s="1460"/>
      <c r="C205" s="1460"/>
      <c r="D205" s="1460"/>
      <c r="E205" s="1460"/>
      <c r="F205" s="1460"/>
      <c r="G205" s="1460"/>
      <c r="H205" s="1460"/>
      <c r="I205" s="1460"/>
      <c r="J205" s="1433"/>
      <c r="K205" s="1433"/>
      <c r="L205" s="1433"/>
      <c r="M205" s="1433"/>
      <c r="N205" s="1433"/>
      <c r="O205" s="1433"/>
      <c r="P205" s="1433"/>
      <c r="Q205" s="1433"/>
      <c r="R205" s="1433"/>
      <c r="S205" s="1433"/>
      <c r="T205" s="1433"/>
      <c r="U205" s="1433"/>
      <c r="V205" s="1433"/>
      <c r="W205" s="1433"/>
      <c r="X205" s="1433"/>
      <c r="Y205" s="1433"/>
      <c r="Z205" s="1433"/>
      <c r="AA205" s="1433"/>
      <c r="AB205" s="1433"/>
      <c r="AC205" s="1433"/>
      <c r="AD205" s="1433"/>
      <c r="AE205" s="1433"/>
      <c r="AF205" s="1433"/>
      <c r="AG205" s="1433"/>
      <c r="AH205" s="1433"/>
      <c r="AI205" s="1433"/>
      <c r="AJ205" s="1433"/>
      <c r="AK205" s="1433"/>
    </row>
    <row r="206" spans="1:37" ht="14.3" customHeight="1">
      <c r="C206" s="161"/>
      <c r="D206" s="161"/>
      <c r="E206" s="1433"/>
      <c r="F206" s="1433"/>
      <c r="G206" s="1433"/>
      <c r="H206" s="1433"/>
      <c r="I206" s="1433"/>
      <c r="J206" s="1433"/>
      <c r="K206" s="1433"/>
      <c r="L206" s="1433"/>
      <c r="M206" s="1433"/>
      <c r="N206" s="1433"/>
      <c r="O206" s="1433"/>
      <c r="P206" s="1433"/>
      <c r="Q206" s="1433"/>
      <c r="R206" s="1433"/>
      <c r="S206" s="1433"/>
      <c r="T206" s="1433"/>
      <c r="U206" s="1433"/>
      <c r="V206" s="1433"/>
      <c r="W206" s="1433"/>
      <c r="X206" s="1433"/>
      <c r="Y206" s="1433"/>
      <c r="Z206" s="1433"/>
      <c r="AA206" s="1433"/>
      <c r="AB206" s="1433"/>
      <c r="AC206" s="1433"/>
      <c r="AD206" s="1433"/>
      <c r="AE206" s="1433"/>
      <c r="AF206" s="1433"/>
      <c r="AG206" s="1433"/>
      <c r="AH206" s="1433"/>
      <c r="AI206" s="1433"/>
      <c r="AJ206" s="1433"/>
      <c r="AK206" s="1433"/>
    </row>
    <row r="207" spans="1:37">
      <c r="B207" s="161"/>
      <c r="C207" s="161"/>
      <c r="D207" s="161"/>
      <c r="E207" s="1433"/>
      <c r="F207" s="1433"/>
      <c r="G207" s="1433"/>
      <c r="H207" s="1433"/>
      <c r="I207" s="1433"/>
      <c r="J207" s="1433"/>
      <c r="K207" s="1433"/>
      <c r="L207" s="1433"/>
      <c r="M207" s="1433"/>
      <c r="N207" s="1433"/>
      <c r="O207" s="1433"/>
      <c r="P207" s="1433"/>
      <c r="Q207" s="1433"/>
      <c r="R207" s="1433"/>
      <c r="S207" s="1433"/>
      <c r="T207" s="1433"/>
      <c r="U207" s="1433"/>
      <c r="V207" s="1433"/>
      <c r="W207" s="1433"/>
      <c r="X207" s="1433"/>
      <c r="Y207" s="1433"/>
      <c r="Z207" s="1433"/>
      <c r="AA207" s="1433"/>
      <c r="AB207" s="1433"/>
      <c r="AC207" s="1433"/>
      <c r="AD207" s="1433"/>
      <c r="AE207" s="1433"/>
      <c r="AF207" s="1433"/>
      <c r="AG207" s="1433"/>
      <c r="AH207" s="1433"/>
      <c r="AI207" s="1433"/>
      <c r="AJ207" s="1433"/>
      <c r="AK207" s="1433"/>
    </row>
    <row r="208" spans="1:37">
      <c r="B208" s="161"/>
      <c r="C208" s="161"/>
      <c r="D208" s="161"/>
      <c r="E208" s="1433"/>
      <c r="F208" s="1433"/>
      <c r="G208" s="1433"/>
      <c r="H208" s="1433"/>
      <c r="I208" s="1433"/>
      <c r="J208" s="1433"/>
      <c r="K208" s="1433"/>
      <c r="L208" s="1433"/>
      <c r="M208" s="1433"/>
      <c r="N208" s="1433"/>
      <c r="O208" s="1433"/>
      <c r="P208" s="1433"/>
      <c r="Q208" s="1433"/>
      <c r="R208" s="1433"/>
      <c r="S208" s="1433"/>
      <c r="T208" s="1433"/>
      <c r="U208" s="1433"/>
      <c r="V208" s="1433"/>
      <c r="W208" s="1433"/>
      <c r="X208" s="1433"/>
      <c r="Y208" s="1433"/>
      <c r="Z208" s="1433"/>
      <c r="AA208" s="1433"/>
      <c r="AB208" s="1433"/>
      <c r="AC208" s="1433"/>
      <c r="AD208" s="1433"/>
      <c r="AE208" s="1433"/>
      <c r="AF208" s="1433"/>
      <c r="AG208" s="1433"/>
      <c r="AH208" s="1433"/>
      <c r="AI208" s="1433"/>
      <c r="AJ208" s="1433"/>
      <c r="AK208" s="1433"/>
    </row>
    <row r="209" spans="2:37">
      <c r="B209" s="161"/>
      <c r="C209" s="161"/>
      <c r="D209" s="161"/>
      <c r="E209" s="1433"/>
      <c r="F209" s="1433"/>
      <c r="G209" s="1433"/>
      <c r="H209" s="1433"/>
      <c r="I209" s="1433"/>
      <c r="J209" s="1433"/>
      <c r="K209" s="1433"/>
      <c r="L209" s="1433"/>
      <c r="M209" s="1433"/>
      <c r="N209" s="1433"/>
      <c r="O209" s="1433"/>
      <c r="P209" s="1433"/>
      <c r="Q209" s="1433"/>
      <c r="R209" s="1433"/>
      <c r="S209" s="1433"/>
      <c r="T209" s="1433"/>
      <c r="U209" s="1433"/>
      <c r="V209" s="1433"/>
      <c r="W209" s="1433"/>
      <c r="X209" s="1433"/>
      <c r="Y209" s="1433"/>
      <c r="Z209" s="1433"/>
      <c r="AA209" s="1433"/>
      <c r="AB209" s="1433"/>
      <c r="AC209" s="1433"/>
      <c r="AD209" s="1433"/>
      <c r="AE209" s="1433"/>
      <c r="AF209" s="1433"/>
      <c r="AG209" s="1433"/>
      <c r="AH209" s="1433"/>
      <c r="AI209" s="1433"/>
      <c r="AJ209" s="1433"/>
      <c r="AK209" s="1433"/>
    </row>
    <row r="210" spans="2:37">
      <c r="B210" s="161"/>
      <c r="C210" s="161"/>
      <c r="D210" s="161"/>
      <c r="E210" s="1433"/>
      <c r="F210" s="1433"/>
      <c r="G210" s="1433"/>
      <c r="H210" s="1433"/>
      <c r="I210" s="1433"/>
      <c r="J210" s="1433"/>
      <c r="K210" s="1433"/>
      <c r="L210" s="1433"/>
      <c r="M210" s="1433"/>
      <c r="N210" s="1433"/>
      <c r="O210" s="1433"/>
      <c r="P210" s="1433"/>
      <c r="Q210" s="1433"/>
      <c r="R210" s="1433"/>
      <c r="S210" s="1433"/>
      <c r="T210" s="1433"/>
      <c r="U210" s="1433"/>
      <c r="V210" s="1433"/>
      <c r="W210" s="1433"/>
      <c r="X210" s="1433"/>
      <c r="Y210" s="1433"/>
      <c r="Z210" s="1433"/>
      <c r="AA210" s="1433"/>
      <c r="AB210" s="1433"/>
      <c r="AC210" s="1433"/>
      <c r="AD210" s="1433"/>
      <c r="AE210" s="1433"/>
      <c r="AF210" s="1433"/>
      <c r="AG210" s="1433"/>
      <c r="AH210" s="1433"/>
      <c r="AI210" s="1433"/>
      <c r="AJ210" s="1433"/>
      <c r="AK210" s="1433"/>
    </row>
    <row r="211" spans="2:37">
      <c r="B211" s="161"/>
      <c r="C211" s="161"/>
      <c r="D211" s="161"/>
      <c r="E211" s="1433"/>
      <c r="F211" s="1433"/>
      <c r="G211" s="1433"/>
      <c r="H211" s="1433"/>
      <c r="I211" s="1433"/>
      <c r="J211" s="1433"/>
      <c r="K211" s="1433"/>
      <c r="L211" s="1433"/>
      <c r="M211" s="1433"/>
      <c r="N211" s="1433"/>
      <c r="O211" s="1433"/>
      <c r="P211" s="1433"/>
      <c r="Q211" s="1433"/>
      <c r="R211" s="1433"/>
      <c r="S211" s="1433"/>
      <c r="T211" s="1433"/>
      <c r="U211" s="1433"/>
      <c r="V211" s="1433"/>
      <c r="W211" s="1433"/>
      <c r="X211" s="1433"/>
      <c r="Y211" s="1433"/>
      <c r="Z211" s="1433"/>
      <c r="AA211" s="1433"/>
      <c r="AB211" s="1433"/>
      <c r="AC211" s="1433"/>
      <c r="AD211" s="1433"/>
      <c r="AE211" s="1433"/>
      <c r="AF211" s="1433"/>
      <c r="AG211" s="1433"/>
      <c r="AH211" s="1433"/>
      <c r="AI211" s="1433"/>
      <c r="AJ211" s="1433"/>
      <c r="AK211" s="1433"/>
    </row>
    <row r="212" spans="2:37">
      <c r="B212" s="161"/>
      <c r="C212" s="161"/>
      <c r="D212" s="161"/>
      <c r="E212" s="1433"/>
      <c r="F212" s="1433"/>
      <c r="G212" s="1433"/>
      <c r="H212" s="1433"/>
      <c r="I212" s="1433"/>
      <c r="J212" s="1433"/>
      <c r="K212" s="1433"/>
      <c r="L212" s="1433"/>
      <c r="M212" s="1433"/>
      <c r="N212" s="1433"/>
      <c r="O212" s="1433"/>
      <c r="P212" s="1433"/>
      <c r="Q212" s="1433"/>
      <c r="R212" s="1433"/>
      <c r="S212" s="1433"/>
      <c r="T212" s="1433"/>
      <c r="U212" s="1433"/>
      <c r="V212" s="1433"/>
      <c r="W212" s="1433"/>
      <c r="X212" s="1433"/>
      <c r="Y212" s="1433"/>
      <c r="Z212" s="1433"/>
      <c r="AA212" s="1433"/>
      <c r="AB212" s="1433"/>
      <c r="AC212" s="1433"/>
      <c r="AD212" s="1433"/>
      <c r="AE212" s="1433"/>
      <c r="AF212" s="1433"/>
      <c r="AG212" s="1433"/>
      <c r="AH212" s="1433"/>
      <c r="AI212" s="1433"/>
      <c r="AJ212" s="1433"/>
      <c r="AK212" s="1433"/>
    </row>
  </sheetData>
  <sheetProtection algorithmName="SHA-512" hashValue="+v4wF2cSH3qO5wUsI8APpYVZLv7jsH6D8DXjdf7ppC64GEnecc9NSCHrjUoLKXdWR0N4bStuasQivIhMEVsjcA==" saltValue="1EfcYah2pFgkUAOMw+v+/w==" spinCount="100000" sheet="1" objects="1" scenarios="1"/>
  <mergeCells count="49">
    <mergeCell ref="E192:AK193"/>
    <mergeCell ref="E195:AK197"/>
    <mergeCell ref="B205:I205"/>
    <mergeCell ref="J205:AK205"/>
    <mergeCell ref="A194:A197"/>
    <mergeCell ref="A198:A202"/>
    <mergeCell ref="E199:AK200"/>
    <mergeCell ref="E203:AK203"/>
    <mergeCell ref="D130:AM135"/>
    <mergeCell ref="D154:AM157"/>
    <mergeCell ref="A159:A190"/>
    <mergeCell ref="A65:A158"/>
    <mergeCell ref="D143:AM149"/>
    <mergeCell ref="C151:AL151"/>
    <mergeCell ref="AH16:AL16"/>
    <mergeCell ref="J11:AE12"/>
    <mergeCell ref="C12:G12"/>
    <mergeCell ref="C16:G16"/>
    <mergeCell ref="C14:G14"/>
    <mergeCell ref="A18:AM18"/>
    <mergeCell ref="A58:A63"/>
    <mergeCell ref="B23:I23"/>
    <mergeCell ref="B24:J24"/>
    <mergeCell ref="B25:I25"/>
    <mergeCell ref="B26:I26"/>
    <mergeCell ref="A28:A50"/>
    <mergeCell ref="A52:A57"/>
    <mergeCell ref="B60:AM64"/>
    <mergeCell ref="B27:J27"/>
    <mergeCell ref="C30:AL30"/>
    <mergeCell ref="C31:AL31"/>
    <mergeCell ref="C32:AL32"/>
    <mergeCell ref="C33:AL33"/>
    <mergeCell ref="E206:AK212"/>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conditionalFormatting sqref="B205:AK205 E206">
    <cfRule type="expression" dxfId="13143" priority="1">
      <formula>__BLi?=FALSE</formula>
    </cfRule>
  </conditionalFormatting>
  <hyperlinks>
    <hyperlink ref="B23:I23" r:id="rId1" display="Business Lighting Incentive Program"/>
    <hyperlink ref="B25:I25" r:id="rId2" display="Lighting To Go"/>
    <hyperlink ref="B24:I24" r:id="rId3" display="Multi-Family Lighting Incentive Program"/>
    <hyperlink ref="B26" r:id="rId4" display="New Construction Grants"/>
    <hyperlink ref="B27" r:id="rId5"/>
    <hyperlink ref="B26:I26" r:id="rId6" display="Commercial New Construction"/>
    <hyperlink ref="B27:J27" r:id="rId7" display="New Multifamily Construction Incentives "/>
  </hyperlinks>
  <pageMargins left="0.7" right="0.7" top="0.75" bottom="0.75" header="0.3" footer="0.3"/>
  <pageSetup scale="53" fitToHeight="0" orientation="portrait" horizontalDpi="1200" verticalDpi="1200" r:id="rId8"/>
  <drawing r:id="rId9"/>
  <extLst>
    <ext xmlns:x14="http://schemas.microsoft.com/office/spreadsheetml/2009/9/main" uri="{78C0D931-6437-407d-A8EE-F0AAD7539E65}">
      <x14:conditionalFormattings>
        <x14:conditionalFormatting xmlns:xm="http://schemas.microsoft.com/office/excel/2006/main">
          <x14:cfRule type="expression" priority="126779" id="{21BB0F67-C6A9-4E10-B600-D0B4FF37F20B}">
            <xm:f>Lookup!$E$2=FALSE</xm:f>
            <x14:dxf>
              <font>
                <color theme="0" tint="-4.9989318521683403E-2"/>
              </font>
            </x14:dxf>
          </x14:cfRule>
          <xm:sqref>C46:AL49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67"/>
  <sheetViews>
    <sheetView showGridLines="0" showRowColHeaders="0" zoomScale="90" zoomScaleNormal="90" workbookViewId="0">
      <pane ySplit="18" topLeftCell="A19" activePane="bottomLeft" state="frozen"/>
      <selection pane="bottomLeft" activeCell="A19" sqref="A19:AJ19"/>
    </sheetView>
  </sheetViews>
  <sheetFormatPr defaultRowHeight="14.3"/>
  <cols>
    <col min="1" max="1" width="5.375" customWidth="1"/>
    <col min="2" max="2" width="0.375" customWidth="1"/>
    <col min="3" max="39" width="5.375" customWidth="1"/>
  </cols>
  <sheetData>
    <row r="1" spans="9:31" ht="5.0999999999999996" customHeight="1"/>
    <row r="3" spans="9:31" ht="5.0999999999999996" customHeight="1"/>
    <row r="5" spans="9:31" ht="5.0999999999999996" customHeight="1"/>
    <row r="7" spans="9:31" ht="5.0999999999999996" customHeight="1">
      <c r="I7" s="1438" t="s">
        <v>640</v>
      </c>
      <c r="J7" s="1438"/>
      <c r="K7" s="1438"/>
      <c r="L7" s="1438"/>
      <c r="M7" s="1438"/>
      <c r="N7" s="1438"/>
      <c r="O7" s="1438"/>
      <c r="P7" s="1438"/>
      <c r="Q7" s="1438"/>
      <c r="R7" s="1438"/>
      <c r="S7" s="1438"/>
      <c r="T7" s="1438"/>
      <c r="U7" s="1438"/>
      <c r="V7" s="1438"/>
      <c r="W7" s="1438"/>
      <c r="X7" s="1438"/>
      <c r="Y7" s="1438"/>
      <c r="Z7" s="1438"/>
      <c r="AA7" s="1438"/>
      <c r="AB7" s="1438"/>
      <c r="AC7" s="16"/>
    </row>
    <row r="8" spans="9:31" ht="14.45" customHeight="1">
      <c r="I8" s="1438"/>
      <c r="J8" s="1438"/>
      <c r="K8" s="1438"/>
      <c r="L8" s="1438"/>
      <c r="M8" s="1438"/>
      <c r="N8" s="1438"/>
      <c r="O8" s="1438"/>
      <c r="P8" s="1438"/>
      <c r="Q8" s="1438"/>
      <c r="R8" s="1438"/>
      <c r="S8" s="1438"/>
      <c r="T8" s="1438"/>
      <c r="U8" s="1438"/>
      <c r="V8" s="1438"/>
      <c r="W8" s="1438"/>
      <c r="X8" s="1438"/>
      <c r="Y8" s="1438"/>
      <c r="Z8" s="1438"/>
      <c r="AA8" s="1438"/>
      <c r="AB8" s="1438"/>
      <c r="AC8" s="16"/>
      <c r="AD8" s="16"/>
      <c r="AE8" s="16"/>
    </row>
    <row r="9" spans="9:31" ht="5.0999999999999996" customHeight="1">
      <c r="I9" s="1439" t="str">
        <f>Lookup!$B$20</f>
        <v>Business Lighting ─ STANDARD V24-02 ─ Valid through 06/30/2024</v>
      </c>
      <c r="J9" s="1439"/>
      <c r="K9" s="1439"/>
      <c r="L9" s="1439"/>
      <c r="M9" s="1439"/>
      <c r="N9" s="1439"/>
      <c r="O9" s="1439"/>
      <c r="P9" s="1439"/>
      <c r="Q9" s="1439"/>
      <c r="R9" s="1439"/>
      <c r="S9" s="1439"/>
      <c r="T9" s="1439"/>
      <c r="U9" s="1439"/>
      <c r="V9" s="1439"/>
      <c r="W9" s="1439"/>
      <c r="X9" s="1439"/>
      <c r="Y9" s="1439"/>
      <c r="Z9" s="1439"/>
      <c r="AA9" s="1439"/>
      <c r="AB9" s="1439"/>
      <c r="AC9" s="400"/>
      <c r="AD9" s="16"/>
    </row>
    <row r="10" spans="9:31" ht="14.45" customHeight="1">
      <c r="I10" s="1439"/>
      <c r="J10" s="1439"/>
      <c r="K10" s="1439"/>
      <c r="L10" s="1439"/>
      <c r="M10" s="1439"/>
      <c r="N10" s="1439"/>
      <c r="O10" s="1439"/>
      <c r="P10" s="1439"/>
      <c r="Q10" s="1439"/>
      <c r="R10" s="1439"/>
      <c r="S10" s="1439"/>
      <c r="T10" s="1439"/>
      <c r="U10" s="1439"/>
      <c r="V10" s="1439"/>
      <c r="W10" s="1439"/>
      <c r="X10" s="1439"/>
      <c r="Y10" s="1439"/>
      <c r="Z10" s="1439"/>
      <c r="AA10" s="1439"/>
      <c r="AB10" s="1439"/>
      <c r="AC10" s="400"/>
      <c r="AD10" s="87"/>
      <c r="AE10" s="87"/>
    </row>
    <row r="11" spans="9:31" ht="5.0999999999999996" customHeight="1">
      <c r="I11" s="1449" t="s">
        <v>641</v>
      </c>
      <c r="J11" s="1449"/>
      <c r="K11" s="1449"/>
      <c r="L11" s="1449"/>
      <c r="M11" s="1449"/>
      <c r="N11" s="1449"/>
      <c r="O11" s="1449"/>
      <c r="P11" s="1449"/>
      <c r="Q11" s="1449"/>
      <c r="R11" s="1449"/>
      <c r="S11" s="1449"/>
      <c r="T11" s="1449"/>
      <c r="U11" s="1449"/>
      <c r="V11" s="1449"/>
      <c r="W11" s="1449"/>
      <c r="X11" s="1449"/>
      <c r="Y11" s="1449"/>
      <c r="Z11" s="1449"/>
      <c r="AA11" s="1449"/>
      <c r="AB11" s="1449"/>
      <c r="AC11" s="535"/>
      <c r="AD11" s="87"/>
    </row>
    <row r="12" spans="9:31" ht="14.45" customHeight="1">
      <c r="I12" s="1449"/>
      <c r="J12" s="1449"/>
      <c r="K12" s="1449"/>
      <c r="L12" s="1449"/>
      <c r="M12" s="1449"/>
      <c r="N12" s="1449"/>
      <c r="O12" s="1449"/>
      <c r="P12" s="1449"/>
      <c r="Q12" s="1449"/>
      <c r="R12" s="1449"/>
      <c r="S12" s="1449"/>
      <c r="T12" s="1449"/>
      <c r="U12" s="1449"/>
      <c r="V12" s="1449"/>
      <c r="W12" s="1449"/>
      <c r="X12" s="1449"/>
      <c r="Y12" s="1449"/>
      <c r="Z12" s="1449"/>
      <c r="AA12" s="1449"/>
      <c r="AB12" s="1449"/>
      <c r="AC12" s="535"/>
      <c r="AD12" s="16"/>
    </row>
    <row r="13" spans="9:31" ht="5.0999999999999996" customHeight="1">
      <c r="I13" s="1930" t="s">
        <v>642</v>
      </c>
      <c r="J13" s="1930"/>
      <c r="K13" s="1930"/>
      <c r="L13" s="1930"/>
      <c r="M13" s="1930"/>
      <c r="N13" s="1930"/>
      <c r="O13" s="1930"/>
      <c r="P13" s="1930"/>
      <c r="Q13" s="1930"/>
      <c r="R13" s="1930"/>
      <c r="S13" s="1930"/>
      <c r="T13" s="1930"/>
      <c r="U13" s="1930"/>
      <c r="V13" s="1930"/>
      <c r="W13" s="1930"/>
      <c r="X13" s="1930"/>
      <c r="Y13" s="1930"/>
      <c r="Z13" s="1930"/>
      <c r="AA13" s="1930"/>
      <c r="AB13" s="1930"/>
      <c r="AC13" s="202"/>
      <c r="AD13" s="1396"/>
    </row>
    <row r="14" spans="9:31" ht="14.45" customHeight="1">
      <c r="I14" s="1930"/>
      <c r="J14" s="1930"/>
      <c r="K14" s="1930"/>
      <c r="L14" s="1930"/>
      <c r="M14" s="1930"/>
      <c r="N14" s="1930"/>
      <c r="O14" s="1930"/>
      <c r="P14" s="1930"/>
      <c r="Q14" s="1930"/>
      <c r="R14" s="1930"/>
      <c r="S14" s="1930"/>
      <c r="T14" s="1930"/>
      <c r="U14" s="1930"/>
      <c r="V14" s="1930"/>
      <c r="W14" s="1930"/>
      <c r="X14" s="1930"/>
      <c r="Y14" s="1930"/>
      <c r="Z14" s="1930"/>
      <c r="AA14" s="1930"/>
      <c r="AB14" s="1930"/>
      <c r="AC14" s="202"/>
      <c r="AD14" s="88"/>
      <c r="AE14" s="88"/>
    </row>
    <row r="15" spans="9:31" ht="5.0999999999999996" customHeight="1">
      <c r="I15" s="88"/>
      <c r="J15" s="88"/>
      <c r="K15" s="88"/>
      <c r="L15" s="88"/>
      <c r="M15" s="88"/>
      <c r="N15" s="88"/>
      <c r="O15" s="88"/>
      <c r="P15" s="88"/>
      <c r="Q15" s="88"/>
      <c r="R15" s="88"/>
      <c r="S15" s="88"/>
      <c r="T15" s="88"/>
      <c r="U15" s="88"/>
      <c r="V15" s="88"/>
      <c r="W15" s="88"/>
      <c r="X15" s="88"/>
      <c r="Y15" s="88"/>
      <c r="Z15" s="88"/>
      <c r="AA15" s="88"/>
      <c r="AB15" s="88"/>
      <c r="AC15" s="88"/>
      <c r="AD15" s="88"/>
    </row>
    <row r="16" spans="9:31">
      <c r="I16" s="151"/>
      <c r="J16" s="151"/>
      <c r="K16" s="151"/>
      <c r="L16" s="151"/>
      <c r="M16" s="151"/>
      <c r="N16" s="151"/>
      <c r="O16" s="151"/>
      <c r="P16" s="151"/>
      <c r="Q16" s="151"/>
      <c r="R16" s="151"/>
      <c r="S16" s="151"/>
      <c r="T16" s="151"/>
      <c r="U16" s="151"/>
      <c r="V16" s="151"/>
      <c r="W16" s="151"/>
      <c r="X16" s="151"/>
      <c r="Y16" s="151"/>
      <c r="Z16" s="151"/>
      <c r="AA16" s="151"/>
      <c r="AB16" s="151"/>
      <c r="AC16" s="151"/>
      <c r="AD16" s="151"/>
    </row>
    <row r="17" spans="1:38" ht="5.0999999999999996" customHeight="1"/>
    <row r="18" spans="1:38" ht="5.0999999999999996" customHeight="1"/>
    <row r="19" spans="1:38" ht="2.4" customHeight="1">
      <c r="A19" s="1950"/>
      <c r="B19" s="1950"/>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197"/>
      <c r="AL19" s="197"/>
    </row>
    <row r="20" spans="1:38">
      <c r="B20" s="48"/>
      <c r="C20" s="1433" t="str">
        <f>CONCATENATE("Luminaire Level Lighting Control (LLLC) fixtures, Network Lighting Controls (NLC) fixtures and Advanced Exterior Lighting Control (AELC) fixtures - are incentivized at $",Lookup!K5+Lookup!K6,"/kWh up to 70% of the installed cost plus Bonus. ")</f>
        <v xml:space="preserve">Luminaire Level Lighting Control (LLLC) fixtures, Network Lighting Controls (NLC) fixtures and Advanced Exterior Lighting Control (AELC) fixtures - are incentivized at $0.5/kWh up to 70% of the installed cost plus Bonus. </v>
      </c>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row>
    <row r="21" spans="1:38">
      <c r="B21" s="48"/>
      <c r="C21" s="2144" t="s">
        <v>681</v>
      </c>
      <c r="D21" s="2144"/>
      <c r="E21" s="2144"/>
      <c r="F21" s="2144"/>
      <c r="G21" s="2144"/>
      <c r="H21" s="2144"/>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row>
    <row r="22" spans="1:38">
      <c r="B22" s="48"/>
      <c r="C22" s="2132" t="s">
        <v>682</v>
      </c>
      <c r="D22" s="2132"/>
      <c r="E22" s="2132"/>
      <c r="F22" s="2132"/>
      <c r="G22" s="2132"/>
      <c r="H22" s="2132"/>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row>
    <row r="23" spans="1:38">
      <c r="B23" s="48"/>
      <c r="C23" s="2132" t="s">
        <v>683</v>
      </c>
      <c r="D23" s="2132"/>
      <c r="E23" s="2132"/>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row>
    <row r="24" spans="1:38">
      <c r="B24" s="48"/>
      <c r="C24" s="2132" t="s">
        <v>684</v>
      </c>
      <c r="D24" s="2132"/>
      <c r="E24" s="2132"/>
      <c r="F24" s="2132"/>
      <c r="G24" s="2132"/>
      <c r="H24" s="2132"/>
      <c r="I24" s="2132"/>
      <c r="J24" s="2132"/>
      <c r="K24" s="2132"/>
      <c r="L24" s="213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row>
    <row r="25" spans="1:38">
      <c r="B25" s="48"/>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row>
    <row r="26" spans="1:38">
      <c r="A26" s="48"/>
      <c r="B26" s="1441"/>
    </row>
    <row r="27" spans="1:38">
      <c r="B27" s="1441"/>
    </row>
    <row r="28" spans="1:38">
      <c r="B28" s="1441"/>
    </row>
    <row r="29" spans="1:38">
      <c r="B29" s="1441"/>
    </row>
    <row r="30" spans="1:38">
      <c r="B30" s="1441"/>
    </row>
    <row r="31" spans="1:38">
      <c r="B31" s="1441"/>
    </row>
    <row r="32" spans="1:38">
      <c r="B32" s="1441"/>
    </row>
    <row r="33" spans="2:2">
      <c r="B33" s="1441"/>
    </row>
    <row r="34" spans="2:2">
      <c r="B34" s="1441"/>
    </row>
    <row r="35" spans="2:2">
      <c r="B35" s="1441"/>
    </row>
    <row r="36" spans="2:2">
      <c r="B36" s="1441"/>
    </row>
    <row r="37" spans="2:2">
      <c r="B37" s="1441"/>
    </row>
    <row r="38" spans="2:2">
      <c r="B38" s="1441"/>
    </row>
    <row r="39" spans="2:2">
      <c r="B39" s="1441"/>
    </row>
    <row r="40" spans="2:2">
      <c r="B40" s="1441"/>
    </row>
    <row r="41" spans="2:2">
      <c r="B41" s="1441"/>
    </row>
    <row r="42" spans="2:2">
      <c r="B42" s="1441"/>
    </row>
    <row r="43" spans="2:2">
      <c r="B43" s="1441"/>
    </row>
    <row r="44" spans="2:2">
      <c r="B44" s="1441"/>
    </row>
    <row r="45" spans="2:2">
      <c r="B45" s="1441"/>
    </row>
    <row r="46" spans="2:2" ht="17.149999999999999" customHeight="1">
      <c r="B46" s="1441"/>
    </row>
    <row r="47" spans="2:2" ht="17.149999999999999" customHeight="1">
      <c r="B47" s="1441"/>
    </row>
    <row r="48" spans="2:2" ht="17.149999999999999" customHeight="1">
      <c r="B48" s="1441"/>
    </row>
    <row r="49" spans="1:34" ht="17.149999999999999" customHeight="1">
      <c r="B49" s="1441"/>
    </row>
    <row r="50" spans="1:34" ht="17.149999999999999" customHeight="1">
      <c r="B50" s="1441"/>
    </row>
    <row r="51" spans="1:34" ht="17.149999999999999" customHeight="1">
      <c r="B51" s="1441"/>
    </row>
    <row r="52" spans="1:34" ht="17.149999999999999" customHeight="1">
      <c r="B52" s="1441"/>
    </row>
    <row r="53" spans="1:34" ht="17.149999999999999" customHeight="1">
      <c r="B53" s="1441"/>
    </row>
    <row r="54" spans="1:34" ht="14.95" customHeight="1">
      <c r="B54" s="1441"/>
      <c r="C54" s="1433" t="s">
        <v>685</v>
      </c>
      <c r="D54" s="1433"/>
      <c r="E54" s="1433"/>
      <c r="F54" s="1433"/>
      <c r="G54" s="1433"/>
      <c r="H54" s="1433"/>
      <c r="I54" s="1433"/>
      <c r="J54" s="1433"/>
      <c r="K54" s="1433"/>
      <c r="L54" s="1433"/>
      <c r="M54" s="1433"/>
      <c r="N54" s="1433"/>
      <c r="O54" s="1433"/>
      <c r="P54" s="1433"/>
      <c r="Q54" s="1433"/>
      <c r="R54" s="1433"/>
      <c r="S54" s="1433"/>
      <c r="T54" s="1433"/>
      <c r="U54" s="1433"/>
      <c r="V54" s="1433"/>
      <c r="W54" s="1433"/>
      <c r="X54" s="1433"/>
      <c r="Y54" s="1433"/>
      <c r="Z54" s="1433"/>
      <c r="AA54" s="1433"/>
      <c r="AB54" s="1433"/>
      <c r="AC54" s="1433"/>
      <c r="AD54" s="1433"/>
      <c r="AE54" s="1433"/>
      <c r="AF54" s="1433"/>
      <c r="AG54" s="1433"/>
      <c r="AH54" s="1433"/>
    </row>
    <row r="55" spans="1:34">
      <c r="B55" s="1441"/>
      <c r="C55" s="1433"/>
      <c r="D55" s="1433"/>
      <c r="E55" s="1433"/>
      <c r="F55" s="1433"/>
      <c r="G55" s="1433"/>
      <c r="H55" s="1433"/>
      <c r="I55" s="1433"/>
      <c r="J55" s="1433"/>
      <c r="K55" s="1433"/>
      <c r="L55" s="1433"/>
      <c r="M55" s="1433"/>
      <c r="N55" s="1433"/>
      <c r="O55" s="1433"/>
      <c r="P55" s="1433"/>
      <c r="Q55" s="1433"/>
      <c r="R55" s="1433"/>
      <c r="S55" s="1433"/>
      <c r="T55" s="1433"/>
      <c r="U55" s="1433"/>
      <c r="V55" s="1433"/>
      <c r="W55" s="1433"/>
      <c r="X55" s="1433"/>
      <c r="Y55" s="1433"/>
      <c r="Z55" s="1433"/>
      <c r="AA55" s="1433"/>
      <c r="AB55" s="1433"/>
      <c r="AC55" s="1433"/>
      <c r="AD55" s="1433"/>
      <c r="AE55" s="1433"/>
      <c r="AF55" s="1433"/>
      <c r="AG55" s="1433"/>
      <c r="AH55" s="1433"/>
    </row>
    <row r="56" spans="1:34">
      <c r="B56" s="1441"/>
      <c r="C56" s="1433"/>
      <c r="D56" s="1433"/>
      <c r="E56" s="1433"/>
      <c r="F56" s="1433"/>
      <c r="G56" s="1433"/>
      <c r="H56" s="1433"/>
      <c r="I56" s="1433"/>
      <c r="J56" s="1433"/>
      <c r="K56" s="1433"/>
      <c r="L56" s="1433"/>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row>
    <row r="57" spans="1:34">
      <c r="B57" s="1441"/>
      <c r="C57" s="1433"/>
      <c r="D57" s="1433"/>
      <c r="E57" s="1433"/>
      <c r="F57" s="1433"/>
      <c r="G57" s="1433"/>
      <c r="H57" s="1433"/>
      <c r="I57" s="1433"/>
      <c r="J57" s="1433"/>
      <c r="K57" s="1433"/>
      <c r="L57" s="1433"/>
      <c r="M57" s="1433"/>
      <c r="N57" s="1433"/>
      <c r="O57" s="1433"/>
      <c r="P57" s="1433"/>
      <c r="Q57" s="1433"/>
      <c r="R57" s="1433"/>
      <c r="S57" s="1433"/>
      <c r="T57" s="1433"/>
      <c r="U57" s="1433"/>
      <c r="V57" s="1433"/>
      <c r="W57" s="1433"/>
      <c r="X57" s="1433"/>
      <c r="Y57" s="1433"/>
      <c r="Z57" s="1433"/>
      <c r="AA57" s="1433"/>
      <c r="AB57" s="1433"/>
      <c r="AC57" s="1433"/>
      <c r="AD57" s="1433"/>
      <c r="AE57" s="1433"/>
      <c r="AF57" s="1433"/>
      <c r="AG57" s="1433"/>
      <c r="AH57" s="1433"/>
    </row>
    <row r="58" spans="1:34">
      <c r="B58" s="1441"/>
      <c r="C58" s="1433"/>
      <c r="D58" s="1433"/>
      <c r="E58" s="1433"/>
      <c r="F58" s="1433"/>
      <c r="G58" s="1433"/>
      <c r="H58" s="1433"/>
      <c r="I58" s="1433"/>
      <c r="J58" s="1433"/>
      <c r="K58" s="1433"/>
      <c r="L58" s="1433"/>
      <c r="M58" s="1433"/>
      <c r="N58" s="1433"/>
      <c r="O58" s="1433"/>
      <c r="P58" s="1433"/>
      <c r="Q58" s="1433"/>
      <c r="R58" s="1433"/>
      <c r="S58" s="1433"/>
      <c r="T58" s="1433"/>
      <c r="U58" s="1433"/>
      <c r="V58" s="1433"/>
      <c r="W58" s="1433"/>
      <c r="X58" s="1433"/>
      <c r="Y58" s="1433"/>
      <c r="Z58" s="1433"/>
      <c r="AA58" s="1433"/>
      <c r="AB58" s="1433"/>
      <c r="AC58" s="1433"/>
      <c r="AD58" s="1433"/>
      <c r="AE58" s="1433"/>
      <c r="AF58" s="1433"/>
      <c r="AG58" s="1433"/>
      <c r="AH58" s="1433"/>
    </row>
    <row r="59" spans="1:34">
      <c r="B59" s="1441"/>
      <c r="C59" s="1433"/>
      <c r="D59" s="1433"/>
      <c r="E59" s="1433"/>
      <c r="F59" s="1433"/>
      <c r="G59" s="1433"/>
      <c r="H59" s="1433"/>
      <c r="I59" s="1433"/>
      <c r="J59" s="1433"/>
      <c r="K59" s="1433"/>
      <c r="L59" s="1433"/>
      <c r="M59" s="1433"/>
      <c r="N59" s="1433"/>
      <c r="O59" s="1433"/>
      <c r="P59" s="1433"/>
      <c r="Q59" s="1433"/>
      <c r="R59" s="1433"/>
      <c r="S59" s="1433"/>
      <c r="T59" s="1433"/>
      <c r="U59" s="1433"/>
      <c r="V59" s="1433"/>
      <c r="W59" s="1433"/>
      <c r="X59" s="1433"/>
      <c r="Y59" s="1433"/>
      <c r="Z59" s="1433"/>
      <c r="AA59" s="1433"/>
      <c r="AB59" s="1433"/>
      <c r="AC59" s="1433"/>
      <c r="AD59" s="1433"/>
      <c r="AE59" s="1433"/>
      <c r="AF59" s="1433"/>
      <c r="AG59" s="1433"/>
      <c r="AH59" s="1433"/>
    </row>
    <row r="60" spans="1:34" ht="19.55" customHeight="1">
      <c r="B60" s="1441"/>
      <c r="C60" s="1433"/>
      <c r="D60" s="1433"/>
      <c r="E60" s="1433"/>
      <c r="F60" s="1433"/>
      <c r="G60" s="1433"/>
      <c r="H60" s="1433"/>
      <c r="I60" s="1433"/>
      <c r="J60" s="1433"/>
      <c r="K60" s="1433"/>
      <c r="L60" s="1433"/>
      <c r="M60" s="1433"/>
      <c r="N60" s="1433"/>
      <c r="O60" s="1433"/>
      <c r="P60" s="1433"/>
      <c r="Q60" s="1433"/>
      <c r="R60" s="1433"/>
      <c r="S60" s="1433"/>
      <c r="T60" s="1433"/>
      <c r="U60" s="1433"/>
      <c r="V60" s="1433"/>
      <c r="W60" s="1433"/>
      <c r="X60" s="1433"/>
      <c r="Y60" s="1433"/>
      <c r="Z60" s="1433"/>
      <c r="AA60" s="1433"/>
      <c r="AB60" s="1433"/>
      <c r="AC60" s="1433"/>
      <c r="AD60" s="1433"/>
      <c r="AE60" s="1433"/>
      <c r="AF60" s="1433"/>
      <c r="AG60" s="1433"/>
      <c r="AH60" s="1433"/>
    </row>
    <row r="61" spans="1:34">
      <c r="A61" s="48"/>
      <c r="B61" s="1442"/>
      <c r="C61" s="1332" t="s">
        <v>686</v>
      </c>
      <c r="D61" s="1332"/>
      <c r="E61" s="1332"/>
      <c r="F61" s="1332"/>
      <c r="G61" s="1332"/>
      <c r="H61" s="1332"/>
      <c r="I61" s="1332"/>
      <c r="J61" s="1332"/>
      <c r="K61" s="1332"/>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2"/>
      <c r="AH61" s="1332"/>
    </row>
    <row r="62" spans="1:34" ht="14.95" customHeight="1">
      <c r="B62" s="1442"/>
      <c r="C62" s="200" t="s">
        <v>687</v>
      </c>
      <c r="D62" s="147" t="s">
        <v>688</v>
      </c>
      <c r="E62" s="147"/>
      <c r="F62" s="147"/>
      <c r="G62" s="147"/>
      <c r="H62" s="147"/>
      <c r="I62" s="147"/>
      <c r="J62" s="147"/>
      <c r="K62" s="147"/>
      <c r="L62" s="147"/>
      <c r="M62" s="147"/>
      <c r="N62" s="147"/>
      <c r="O62" s="147"/>
      <c r="P62" s="147"/>
      <c r="Q62" s="147"/>
      <c r="R62" s="147"/>
      <c r="S62" s="147"/>
      <c r="T62" s="147"/>
      <c r="U62" s="147"/>
      <c r="V62" s="147"/>
    </row>
    <row r="63" spans="1:34" ht="14.95" customHeight="1">
      <c r="B63" s="1442"/>
      <c r="C63" s="201" t="s">
        <v>689</v>
      </c>
      <c r="D63" s="1433" t="s">
        <v>690</v>
      </c>
      <c r="E63" s="1433"/>
      <c r="F63" s="1433"/>
      <c r="G63" s="1433"/>
      <c r="H63" s="1433"/>
      <c r="I63" s="1433"/>
      <c r="J63" s="1433"/>
      <c r="K63" s="1433"/>
      <c r="L63" s="1433"/>
      <c r="M63" s="1433"/>
      <c r="N63" s="1433"/>
      <c r="O63" s="1433"/>
      <c r="P63" s="1433"/>
      <c r="Q63" s="1433"/>
      <c r="R63" s="1433"/>
      <c r="S63" s="1433"/>
      <c r="T63" s="1433"/>
      <c r="U63" s="1433"/>
      <c r="V63" s="1433"/>
      <c r="W63" s="1433"/>
      <c r="X63" s="1433"/>
      <c r="Y63" s="1433"/>
      <c r="Z63" s="1433"/>
      <c r="AA63" s="1433"/>
      <c r="AB63" s="1433"/>
      <c r="AC63" s="1433"/>
      <c r="AD63" s="1433"/>
      <c r="AE63" s="1433"/>
      <c r="AF63" s="1433"/>
      <c r="AG63" s="1433"/>
      <c r="AH63" s="1433"/>
    </row>
    <row r="64" spans="1:34">
      <c r="B64" s="1442"/>
      <c r="C64" s="187"/>
      <c r="D64" s="1433"/>
      <c r="E64" s="1433"/>
      <c r="F64" s="1433"/>
      <c r="G64" s="1433"/>
      <c r="H64" s="1433"/>
      <c r="I64" s="1433"/>
      <c r="J64" s="1433"/>
      <c r="K64" s="1433"/>
      <c r="L64" s="1433"/>
      <c r="M64" s="1433"/>
      <c r="N64" s="1433"/>
      <c r="O64" s="1433"/>
      <c r="P64" s="1433"/>
      <c r="Q64" s="1433"/>
      <c r="R64" s="1433"/>
      <c r="S64" s="1433"/>
      <c r="T64" s="1433"/>
      <c r="U64" s="1433"/>
      <c r="V64" s="1433"/>
      <c r="W64" s="1433"/>
      <c r="X64" s="1433"/>
      <c r="Y64" s="1433"/>
      <c r="Z64" s="1433"/>
      <c r="AA64" s="1433"/>
      <c r="AB64" s="1433"/>
      <c r="AC64" s="1433"/>
      <c r="AD64" s="1433"/>
      <c r="AE64" s="1433"/>
      <c r="AF64" s="1433"/>
      <c r="AG64" s="1433"/>
      <c r="AH64" s="1433"/>
    </row>
    <row r="65" spans="2:34">
      <c r="B65" s="1442"/>
      <c r="C65" s="187"/>
      <c r="D65" s="1433"/>
      <c r="E65" s="1433"/>
      <c r="F65" s="1433"/>
      <c r="G65" s="1433"/>
      <c r="H65" s="1433"/>
      <c r="I65" s="1433"/>
      <c r="J65" s="1433"/>
      <c r="K65" s="1433"/>
      <c r="L65" s="1433"/>
      <c r="M65" s="1433"/>
      <c r="N65" s="1433"/>
      <c r="O65" s="1433"/>
      <c r="P65" s="1433"/>
      <c r="Q65" s="1433"/>
      <c r="R65" s="1433"/>
      <c r="S65" s="1433"/>
      <c r="T65" s="1433"/>
      <c r="U65" s="1433"/>
      <c r="V65" s="1433"/>
      <c r="W65" s="1433"/>
      <c r="X65" s="1433"/>
      <c r="Y65" s="1433"/>
      <c r="Z65" s="1433"/>
      <c r="AA65" s="1433"/>
      <c r="AB65" s="1433"/>
      <c r="AC65" s="1433"/>
      <c r="AD65" s="1433"/>
      <c r="AE65" s="1433"/>
      <c r="AF65" s="1433"/>
      <c r="AG65" s="1433"/>
      <c r="AH65" s="1433"/>
    </row>
    <row r="66" spans="2:34" ht="14.95" customHeight="1">
      <c r="B66" s="1442"/>
      <c r="C66" s="200" t="s">
        <v>691</v>
      </c>
      <c r="D66" s="147" t="s">
        <v>692</v>
      </c>
      <c r="E66" s="147"/>
      <c r="F66" s="147"/>
      <c r="G66" s="147"/>
      <c r="H66" s="147"/>
      <c r="I66" s="147"/>
      <c r="J66" s="147"/>
      <c r="K66" s="147"/>
      <c r="L66" s="147"/>
      <c r="M66" s="147"/>
      <c r="N66" s="147"/>
      <c r="O66" s="147"/>
      <c r="P66" s="147"/>
      <c r="Q66" s="147"/>
      <c r="R66" s="147"/>
      <c r="S66" s="147"/>
      <c r="T66" s="147"/>
      <c r="U66" s="147"/>
      <c r="V66" s="147"/>
    </row>
    <row r="67" spans="2:34" ht="14.95" customHeight="1">
      <c r="B67" s="1442"/>
      <c r="C67" s="200"/>
      <c r="D67" s="147" t="s">
        <v>693</v>
      </c>
      <c r="E67" s="147"/>
      <c r="F67" s="147"/>
      <c r="G67" s="147"/>
      <c r="H67" s="147"/>
      <c r="I67" s="147"/>
      <c r="J67" s="147"/>
      <c r="K67" s="147"/>
      <c r="L67" s="147"/>
      <c r="M67" s="147"/>
      <c r="N67" s="147"/>
      <c r="O67" s="147"/>
      <c r="P67" s="147"/>
      <c r="Q67" s="147"/>
      <c r="R67" s="147"/>
      <c r="S67" s="147"/>
      <c r="T67" s="147"/>
      <c r="U67" s="147"/>
      <c r="V67" s="147"/>
    </row>
    <row r="68" spans="2:34" ht="14.3" customHeight="1">
      <c r="B68" s="1442"/>
      <c r="C68" s="200" t="s">
        <v>694</v>
      </c>
      <c r="D68" s="147" t="s">
        <v>695</v>
      </c>
      <c r="E68" s="147"/>
      <c r="F68" s="147"/>
      <c r="G68" s="147"/>
      <c r="H68" s="147"/>
      <c r="I68" s="147"/>
      <c r="J68" s="147"/>
      <c r="K68" s="147"/>
      <c r="L68" s="147"/>
      <c r="M68" s="147"/>
      <c r="N68" s="147"/>
      <c r="O68" s="147"/>
      <c r="P68" s="147"/>
      <c r="Q68" s="147"/>
      <c r="R68" s="147"/>
      <c r="S68" s="147"/>
      <c r="T68" s="147"/>
      <c r="U68" s="147"/>
      <c r="V68" s="147"/>
    </row>
    <row r="69" spans="2:34" ht="14.3" customHeight="1">
      <c r="B69" s="1442"/>
      <c r="C69" s="200"/>
      <c r="D69" s="147" t="s">
        <v>696</v>
      </c>
      <c r="E69" s="147"/>
      <c r="F69" s="147"/>
      <c r="G69" s="147"/>
      <c r="H69" s="147"/>
      <c r="I69" s="147"/>
      <c r="J69" s="147"/>
      <c r="K69" s="147"/>
      <c r="L69" s="147"/>
      <c r="M69" s="147"/>
      <c r="N69" s="147"/>
      <c r="O69" s="147"/>
      <c r="P69" s="147"/>
      <c r="Q69" s="147"/>
      <c r="R69" s="147"/>
      <c r="S69" s="147"/>
      <c r="T69" s="147"/>
      <c r="U69" s="147"/>
      <c r="V69" s="147"/>
    </row>
    <row r="70" spans="2:34">
      <c r="B70" s="1442"/>
      <c r="C70" s="187"/>
    </row>
    <row r="71" spans="2:34" ht="14.95" customHeight="1">
      <c r="B71" s="1442"/>
      <c r="C71" s="2143" t="s">
        <v>697</v>
      </c>
      <c r="D71" s="2143"/>
      <c r="E71" s="2143"/>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2143"/>
      <c r="AB71" s="2143"/>
      <c r="AC71" s="2143"/>
      <c r="AD71" s="2143"/>
      <c r="AE71" s="2143"/>
      <c r="AF71" s="2143"/>
      <c r="AG71" s="2143"/>
      <c r="AH71" s="2143"/>
    </row>
    <row r="72" spans="2:34">
      <c r="B72" s="1442"/>
      <c r="C72" s="2143"/>
      <c r="D72" s="2143"/>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2143"/>
      <c r="AB72" s="2143"/>
      <c r="AC72" s="2143"/>
      <c r="AD72" s="2143"/>
      <c r="AE72" s="2143"/>
      <c r="AF72" s="2143"/>
      <c r="AG72" s="2143"/>
      <c r="AH72" s="2143"/>
    </row>
    <row r="73" spans="2:34">
      <c r="B73" s="1442"/>
      <c r="D73" s="161"/>
      <c r="E73" s="161"/>
      <c r="F73" s="161"/>
      <c r="G73" s="161"/>
      <c r="H73" s="161"/>
      <c r="I73" s="161"/>
      <c r="J73" s="161"/>
      <c r="K73" s="161"/>
      <c r="L73" s="161"/>
      <c r="M73" s="161"/>
      <c r="N73" s="161"/>
      <c r="O73" s="161"/>
      <c r="P73" s="161"/>
      <c r="Q73" s="161"/>
      <c r="R73" s="161"/>
      <c r="S73" s="161"/>
      <c r="T73" s="161"/>
      <c r="U73" s="161"/>
      <c r="V73" s="161"/>
    </row>
    <row r="74" spans="2:34">
      <c r="B74" s="1442"/>
      <c r="C74" s="1332" t="s">
        <v>698</v>
      </c>
      <c r="D74" s="1332"/>
      <c r="E74" s="1332"/>
      <c r="F74" s="1332"/>
      <c r="G74" s="1332"/>
      <c r="H74" s="1332"/>
      <c r="I74" s="1332"/>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2"/>
      <c r="AF74" s="1332"/>
      <c r="AG74" s="1332"/>
      <c r="AH74" s="1332"/>
    </row>
    <row r="75" spans="2:34">
      <c r="B75" s="1442"/>
      <c r="C75" s="202" t="s">
        <v>699</v>
      </c>
      <c r="D75" s="161"/>
      <c r="E75" s="161"/>
      <c r="F75" s="161"/>
      <c r="G75" s="161"/>
      <c r="H75" s="161"/>
      <c r="I75" s="161"/>
      <c r="J75" s="161"/>
      <c r="K75" s="161"/>
      <c r="L75" s="161"/>
      <c r="M75" s="161"/>
      <c r="N75" s="161"/>
      <c r="O75" s="161"/>
      <c r="P75" s="161"/>
      <c r="Q75" s="161"/>
      <c r="R75" s="161"/>
      <c r="S75" s="161"/>
      <c r="T75" s="161"/>
      <c r="U75" s="161"/>
      <c r="V75" s="161"/>
    </row>
    <row r="76" spans="2:34">
      <c r="B76" s="1442"/>
      <c r="C76" s="161"/>
      <c r="D76" s="161"/>
      <c r="E76" s="161"/>
      <c r="F76" s="161"/>
      <c r="G76" s="161"/>
      <c r="H76" s="161"/>
      <c r="I76" s="161"/>
      <c r="J76" s="161"/>
      <c r="K76" s="161"/>
      <c r="L76" s="161"/>
      <c r="M76" s="161"/>
      <c r="N76" s="161"/>
      <c r="O76" s="161"/>
      <c r="P76" s="161"/>
      <c r="Q76" s="161"/>
      <c r="R76" s="161"/>
      <c r="S76" s="161"/>
      <c r="T76" s="161"/>
      <c r="U76" s="161"/>
      <c r="V76" s="161"/>
    </row>
    <row r="77" spans="2:34">
      <c r="B77" s="1442"/>
      <c r="C77" s="161"/>
      <c r="D77" s="161"/>
      <c r="E77" s="161"/>
      <c r="F77" s="161"/>
      <c r="G77" s="161"/>
      <c r="H77" s="161"/>
      <c r="I77" s="161"/>
      <c r="J77" s="161"/>
      <c r="K77" s="161"/>
      <c r="L77" s="161"/>
      <c r="M77" s="161"/>
      <c r="N77" s="161"/>
      <c r="O77" s="161"/>
      <c r="P77" s="161"/>
      <c r="Q77" s="161"/>
      <c r="R77" s="161"/>
      <c r="S77" s="161"/>
      <c r="T77" s="161"/>
      <c r="U77" s="161"/>
      <c r="V77" s="161"/>
    </row>
    <row r="78" spans="2:34" ht="14.3" customHeight="1">
      <c r="B78" s="1442"/>
      <c r="C78" s="2" t="s">
        <v>700</v>
      </c>
      <c r="G78" s="2129" t="s">
        <v>701</v>
      </c>
      <c r="H78" s="1433"/>
      <c r="I78" s="1433"/>
      <c r="J78" s="1433"/>
      <c r="K78" s="1433"/>
      <c r="L78" s="1433"/>
      <c r="M78" s="1433"/>
      <c r="N78" s="1433"/>
      <c r="O78" s="1433"/>
      <c r="P78" s="1433"/>
      <c r="Q78" s="1433"/>
      <c r="R78" s="1433"/>
      <c r="S78" s="1433"/>
      <c r="T78" s="1433"/>
      <c r="U78" s="1433"/>
      <c r="V78" s="1433"/>
      <c r="W78" s="1433"/>
      <c r="X78" s="1433"/>
      <c r="Y78" s="1433"/>
      <c r="Z78" s="1433"/>
      <c r="AA78" s="1433"/>
      <c r="AB78" s="1433"/>
      <c r="AC78" s="1433"/>
      <c r="AD78" s="1433"/>
      <c r="AE78" s="1433"/>
      <c r="AF78" s="1433"/>
      <c r="AG78" s="1433"/>
      <c r="AH78" s="1433"/>
    </row>
    <row r="79" spans="2:34" ht="14.95" customHeight="1">
      <c r="B79" s="1442"/>
      <c r="C79" s="2127">
        <v>10</v>
      </c>
      <c r="D79" s="2130" t="s">
        <v>702</v>
      </c>
      <c r="E79" s="2131"/>
      <c r="F79" s="2131"/>
      <c r="G79" s="2129"/>
      <c r="H79" s="1433"/>
      <c r="I79" s="1433"/>
      <c r="J79" s="1433"/>
      <c r="K79" s="1433"/>
      <c r="L79" s="1433"/>
      <c r="M79" s="1433"/>
      <c r="N79" s="1433"/>
      <c r="O79" s="1433"/>
      <c r="P79" s="1433"/>
      <c r="Q79" s="1433"/>
      <c r="R79" s="1433"/>
      <c r="S79" s="1433"/>
      <c r="T79" s="1433"/>
      <c r="U79" s="1433"/>
      <c r="V79" s="1433"/>
      <c r="W79" s="1433"/>
      <c r="X79" s="1433"/>
      <c r="Y79" s="1433"/>
      <c r="Z79" s="1433"/>
      <c r="AA79" s="1433"/>
      <c r="AB79" s="1433"/>
      <c r="AC79" s="1433"/>
      <c r="AD79" s="1433"/>
      <c r="AE79" s="1433"/>
      <c r="AF79" s="1433"/>
      <c r="AG79" s="1433"/>
      <c r="AH79" s="1433"/>
    </row>
    <row r="80" spans="2:34" ht="14.95" customHeight="1">
      <c r="B80" s="1442"/>
      <c r="C80" s="2128"/>
      <c r="D80" s="2130"/>
      <c r="E80" s="2131"/>
      <c r="F80" s="2131"/>
      <c r="G80" s="2129"/>
      <c r="H80" s="1433"/>
      <c r="I80" s="1433"/>
      <c r="J80" s="1433"/>
      <c r="K80" s="1433"/>
      <c r="L80" s="1433"/>
      <c r="M80" s="1433"/>
      <c r="N80" s="1433"/>
      <c r="O80" s="1433"/>
      <c r="P80" s="1433"/>
      <c r="Q80" s="1433"/>
      <c r="R80" s="1433"/>
      <c r="S80" s="1433"/>
      <c r="T80" s="1433"/>
      <c r="U80" s="1433"/>
      <c r="V80" s="1433"/>
      <c r="W80" s="1433"/>
      <c r="X80" s="1433"/>
      <c r="Y80" s="1433"/>
      <c r="Z80" s="1433"/>
      <c r="AA80" s="1433"/>
      <c r="AB80" s="1433"/>
      <c r="AC80" s="1433"/>
      <c r="AD80" s="1433"/>
      <c r="AE80" s="1433"/>
      <c r="AF80" s="1433"/>
      <c r="AG80" s="1433"/>
      <c r="AH80" s="1433"/>
    </row>
    <row r="81" spans="2:34" ht="14.95" customHeight="1">
      <c r="B81" s="1442"/>
      <c r="C81" s="610"/>
      <c r="D81" s="2131"/>
      <c r="E81" s="2131"/>
      <c r="F81" s="2131"/>
      <c r="G81" s="2129"/>
      <c r="H81" s="1433"/>
      <c r="I81" s="1433"/>
      <c r="J81" s="1433"/>
      <c r="K81" s="1433"/>
      <c r="L81" s="1433"/>
      <c r="M81" s="1433"/>
      <c r="N81" s="1433"/>
      <c r="O81" s="1433"/>
      <c r="P81" s="1433"/>
      <c r="Q81" s="1433"/>
      <c r="R81" s="1433"/>
      <c r="S81" s="1433"/>
      <c r="T81" s="1433"/>
      <c r="U81" s="1433"/>
      <c r="V81" s="1433"/>
      <c r="W81" s="1433"/>
      <c r="X81" s="1433"/>
      <c r="Y81" s="1433"/>
      <c r="Z81" s="1433"/>
      <c r="AA81" s="1433"/>
      <c r="AB81" s="1433"/>
      <c r="AC81" s="1433"/>
      <c r="AD81" s="1433"/>
      <c r="AE81" s="1433"/>
      <c r="AF81" s="1433"/>
      <c r="AG81" s="1433"/>
      <c r="AH81" s="1433"/>
    </row>
    <row r="82" spans="2:34" ht="14.95" customHeight="1">
      <c r="B82" s="1442"/>
      <c r="D82" s="2131"/>
      <c r="E82" s="2131"/>
      <c r="F82" s="2131"/>
      <c r="G82" s="2129"/>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row>
    <row r="83" spans="2:34" ht="14.95" customHeight="1">
      <c r="B83" s="1442"/>
      <c r="D83" s="2131"/>
      <c r="E83" s="2131"/>
      <c r="F83" s="2131"/>
      <c r="G83" s="2129"/>
      <c r="H83" s="1433"/>
      <c r="I83" s="1433"/>
      <c r="J83" s="1433"/>
      <c r="K83" s="1433"/>
      <c r="L83" s="1433"/>
      <c r="M83" s="1433"/>
      <c r="N83" s="1433"/>
      <c r="O83" s="1433"/>
      <c r="P83" s="1433"/>
      <c r="Q83" s="1433"/>
      <c r="R83" s="1433"/>
      <c r="S83" s="1433"/>
      <c r="T83" s="1433"/>
      <c r="U83" s="1433"/>
      <c r="V83" s="1433"/>
      <c r="W83" s="1433"/>
      <c r="X83" s="1433"/>
      <c r="Y83" s="1433"/>
      <c r="Z83" s="1433"/>
      <c r="AA83" s="1433"/>
      <c r="AB83" s="1433"/>
      <c r="AC83" s="1433"/>
      <c r="AD83" s="1433"/>
      <c r="AE83" s="1433"/>
      <c r="AF83" s="1433"/>
      <c r="AG83" s="1433"/>
      <c r="AH83" s="1433"/>
    </row>
    <row r="84" spans="2:34">
      <c r="B84" s="1442"/>
      <c r="D84" s="2131"/>
      <c r="E84" s="2131"/>
      <c r="F84" s="2131"/>
      <c r="G84" s="2129"/>
      <c r="H84" s="1433"/>
      <c r="I84" s="1433"/>
      <c r="J84" s="1433"/>
      <c r="K84" s="1433"/>
      <c r="L84" s="1433"/>
      <c r="M84" s="1433"/>
      <c r="N84" s="1433"/>
      <c r="O84" s="1433"/>
      <c r="P84" s="1433"/>
      <c r="Q84" s="1433"/>
      <c r="R84" s="1433"/>
      <c r="S84" s="1433"/>
      <c r="T84" s="1433"/>
      <c r="U84" s="1433"/>
      <c r="V84" s="1433"/>
      <c r="W84" s="1433"/>
      <c r="X84" s="1433"/>
      <c r="Y84" s="1433"/>
      <c r="Z84" s="1433"/>
      <c r="AA84" s="1433"/>
      <c r="AB84" s="1433"/>
      <c r="AC84" s="1433"/>
      <c r="AD84" s="1433"/>
      <c r="AE84" s="1433"/>
      <c r="AF84" s="1433"/>
      <c r="AG84" s="1433"/>
      <c r="AH84" s="1433"/>
    </row>
    <row r="85" spans="2:34">
      <c r="B85" s="1442"/>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row>
    <row r="86" spans="2:34">
      <c r="B86" s="1442"/>
      <c r="D86" t="s">
        <v>703</v>
      </c>
      <c r="G86" s="161"/>
      <c r="H86" s="161"/>
      <c r="I86" s="161"/>
      <c r="J86" s="161"/>
      <c r="K86" s="161"/>
      <c r="L86" s="161"/>
      <c r="M86" s="161"/>
      <c r="N86" s="161"/>
      <c r="O86" s="161"/>
      <c r="P86" s="161"/>
      <c r="Q86" s="161"/>
      <c r="R86" s="161"/>
      <c r="S86" s="161"/>
      <c r="T86" s="161"/>
      <c r="U86" s="161"/>
      <c r="V86" s="161"/>
      <c r="W86" s="161"/>
      <c r="X86" s="161"/>
      <c r="Y86" s="424"/>
      <c r="Z86" s="424"/>
      <c r="AA86" s="424"/>
      <c r="AB86" s="424"/>
      <c r="AC86" s="424"/>
      <c r="AD86" s="424"/>
      <c r="AE86" s="424"/>
      <c r="AF86" s="424"/>
      <c r="AG86" s="424"/>
    </row>
    <row r="87" spans="2:34">
      <c r="B87" s="1442"/>
      <c r="D87" s="2133"/>
      <c r="E87" s="2134"/>
      <c r="F87" s="2134"/>
      <c r="G87" s="2134"/>
      <c r="H87" s="2134"/>
      <c r="I87" s="2134"/>
      <c r="J87" s="2134"/>
      <c r="K87" s="2134"/>
      <c r="L87" s="2134"/>
      <c r="M87" s="2134"/>
      <c r="N87" s="2134"/>
      <c r="O87" s="2134"/>
      <c r="P87" s="2134"/>
      <c r="Q87" s="2134"/>
      <c r="R87" s="2134"/>
      <c r="S87" s="2134"/>
      <c r="T87" s="2134"/>
      <c r="U87" s="2134"/>
      <c r="V87" s="2134"/>
      <c r="W87" s="2134"/>
      <c r="X87" s="2134"/>
      <c r="Y87" s="2134"/>
      <c r="Z87" s="2134"/>
      <c r="AA87" s="2134"/>
      <c r="AB87" s="2134"/>
      <c r="AC87" s="2134"/>
      <c r="AD87" s="2134"/>
      <c r="AE87" s="2134"/>
      <c r="AF87" s="2134"/>
      <c r="AG87" s="2134"/>
      <c r="AH87" s="2135"/>
    </row>
    <row r="88" spans="2:34">
      <c r="B88" s="1442"/>
      <c r="D88" s="2136"/>
      <c r="E88" s="2137"/>
      <c r="F88" s="2137"/>
      <c r="G88" s="2137"/>
      <c r="H88" s="2137"/>
      <c r="I88" s="2137"/>
      <c r="J88" s="2137"/>
      <c r="K88" s="2137"/>
      <c r="L88" s="2137"/>
      <c r="M88" s="2137"/>
      <c r="N88" s="2137"/>
      <c r="O88" s="2137"/>
      <c r="P88" s="2137"/>
      <c r="Q88" s="2137"/>
      <c r="R88" s="2137"/>
      <c r="S88" s="2137"/>
      <c r="T88" s="2137"/>
      <c r="U88" s="2137"/>
      <c r="V88" s="2137"/>
      <c r="W88" s="2137"/>
      <c r="X88" s="2137"/>
      <c r="Y88" s="2137"/>
      <c r="Z88" s="2137"/>
      <c r="AA88" s="2137"/>
      <c r="AB88" s="2137"/>
      <c r="AC88" s="2137"/>
      <c r="AD88" s="2137"/>
      <c r="AE88" s="2137"/>
      <c r="AF88" s="2137"/>
      <c r="AG88" s="2137"/>
      <c r="AH88" s="2138"/>
    </row>
    <row r="89" spans="2:34">
      <c r="B89" s="1442"/>
      <c r="D89" s="2136"/>
      <c r="E89" s="2137"/>
      <c r="F89" s="2137"/>
      <c r="G89" s="2137"/>
      <c r="H89" s="2137"/>
      <c r="I89" s="2137"/>
      <c r="J89" s="2137"/>
      <c r="K89" s="2137"/>
      <c r="L89" s="2137"/>
      <c r="M89" s="2137"/>
      <c r="N89" s="2137"/>
      <c r="O89" s="2137"/>
      <c r="P89" s="2137"/>
      <c r="Q89" s="2137"/>
      <c r="R89" s="2137"/>
      <c r="S89" s="2137"/>
      <c r="T89" s="2137"/>
      <c r="U89" s="2137"/>
      <c r="V89" s="2137"/>
      <c r="W89" s="2137"/>
      <c r="X89" s="2137"/>
      <c r="Y89" s="2137"/>
      <c r="Z89" s="2137"/>
      <c r="AA89" s="2137"/>
      <c r="AB89" s="2137"/>
      <c r="AC89" s="2137"/>
      <c r="AD89" s="2137"/>
      <c r="AE89" s="2137"/>
      <c r="AF89" s="2137"/>
      <c r="AG89" s="2137"/>
      <c r="AH89" s="2138"/>
    </row>
    <row r="90" spans="2:34">
      <c r="B90" s="1442"/>
      <c r="D90" s="2136"/>
      <c r="E90" s="2137"/>
      <c r="F90" s="2137"/>
      <c r="G90" s="2137"/>
      <c r="H90" s="2137"/>
      <c r="I90" s="2137"/>
      <c r="J90" s="2137"/>
      <c r="K90" s="2137"/>
      <c r="L90" s="2137"/>
      <c r="M90" s="2137"/>
      <c r="N90" s="2137"/>
      <c r="O90" s="2137"/>
      <c r="P90" s="2137"/>
      <c r="Q90" s="2137"/>
      <c r="R90" s="2137"/>
      <c r="S90" s="2137"/>
      <c r="T90" s="2137"/>
      <c r="U90" s="2137"/>
      <c r="V90" s="2137"/>
      <c r="W90" s="2137"/>
      <c r="X90" s="2137"/>
      <c r="Y90" s="2137"/>
      <c r="Z90" s="2137"/>
      <c r="AA90" s="2137"/>
      <c r="AB90" s="2137"/>
      <c r="AC90" s="2137"/>
      <c r="AD90" s="2137"/>
      <c r="AE90" s="2137"/>
      <c r="AF90" s="2137"/>
      <c r="AG90" s="2137"/>
      <c r="AH90" s="2138"/>
    </row>
    <row r="91" spans="2:34">
      <c r="B91" s="1442"/>
      <c r="D91" s="2136"/>
      <c r="E91" s="2137"/>
      <c r="F91" s="2137"/>
      <c r="G91" s="2137"/>
      <c r="H91" s="2137"/>
      <c r="I91" s="2137"/>
      <c r="J91" s="2137"/>
      <c r="K91" s="2137"/>
      <c r="L91" s="2137"/>
      <c r="M91" s="2137"/>
      <c r="N91" s="2137"/>
      <c r="O91" s="2137"/>
      <c r="P91" s="2137"/>
      <c r="Q91" s="2137"/>
      <c r="R91" s="2137"/>
      <c r="S91" s="2137"/>
      <c r="T91" s="2137"/>
      <c r="U91" s="2137"/>
      <c r="V91" s="2137"/>
      <c r="W91" s="2137"/>
      <c r="X91" s="2137"/>
      <c r="Y91" s="2137"/>
      <c r="Z91" s="2137"/>
      <c r="AA91" s="2137"/>
      <c r="AB91" s="2137"/>
      <c r="AC91" s="2137"/>
      <c r="AD91" s="2137"/>
      <c r="AE91" s="2137"/>
      <c r="AF91" s="2137"/>
      <c r="AG91" s="2137"/>
      <c r="AH91" s="2138"/>
    </row>
    <row r="92" spans="2:34">
      <c r="B92" s="1442"/>
      <c r="D92" s="2139"/>
      <c r="E92" s="2140"/>
      <c r="F92" s="2140"/>
      <c r="G92" s="2140"/>
      <c r="H92" s="2140"/>
      <c r="I92" s="2140"/>
      <c r="J92" s="2140"/>
      <c r="K92" s="2140"/>
      <c r="L92" s="2140"/>
      <c r="M92" s="2140"/>
      <c r="N92" s="2140"/>
      <c r="O92" s="2140"/>
      <c r="P92" s="2140"/>
      <c r="Q92" s="2140"/>
      <c r="R92" s="2140"/>
      <c r="S92" s="2140"/>
      <c r="T92" s="2140"/>
      <c r="U92" s="2140"/>
      <c r="V92" s="2140"/>
      <c r="W92" s="2140"/>
      <c r="X92" s="2140"/>
      <c r="Y92" s="2140"/>
      <c r="Z92" s="2140"/>
      <c r="AA92" s="2140"/>
      <c r="AB92" s="2140"/>
      <c r="AC92" s="2140"/>
      <c r="AD92" s="2140"/>
      <c r="AE92" s="2140"/>
      <c r="AF92" s="2140"/>
      <c r="AG92" s="2140"/>
      <c r="AH92" s="2141"/>
    </row>
    <row r="93" spans="2:34">
      <c r="B93" s="1442"/>
      <c r="D93" s="161"/>
      <c r="E93" s="161"/>
      <c r="F93" s="161"/>
      <c r="G93" s="161"/>
      <c r="H93" s="161"/>
      <c r="I93" s="161"/>
      <c r="J93" s="161"/>
      <c r="K93" s="161"/>
      <c r="L93" s="161"/>
      <c r="M93" s="161"/>
      <c r="N93" s="161"/>
      <c r="O93" s="161"/>
      <c r="P93" s="161"/>
      <c r="Q93" s="161"/>
      <c r="R93" s="161"/>
      <c r="S93" s="161"/>
      <c r="T93" s="161"/>
      <c r="U93" s="161"/>
      <c r="V93" s="161"/>
      <c r="W93" s="161"/>
      <c r="X93" s="161"/>
      <c r="Y93" s="424"/>
      <c r="Z93" s="424"/>
      <c r="AA93" s="424"/>
      <c r="AB93" s="424"/>
      <c r="AC93" s="424"/>
      <c r="AD93" s="424"/>
      <c r="AE93" s="424"/>
      <c r="AF93" s="424"/>
      <c r="AG93" s="424"/>
    </row>
    <row r="94" spans="2:34">
      <c r="D94" s="161"/>
      <c r="E94" s="161"/>
      <c r="F94" s="161"/>
      <c r="G94" s="161"/>
      <c r="H94" s="161"/>
      <c r="I94" s="161"/>
      <c r="J94" s="161"/>
      <c r="K94" s="161"/>
      <c r="L94" s="161"/>
      <c r="M94" s="161"/>
      <c r="N94" s="161"/>
      <c r="O94" s="161"/>
      <c r="P94" s="161"/>
      <c r="Q94" s="161"/>
      <c r="R94" s="161"/>
      <c r="S94" s="161"/>
      <c r="T94" s="161"/>
      <c r="U94" s="161"/>
      <c r="V94" s="161"/>
      <c r="W94" s="161"/>
      <c r="X94" s="161"/>
      <c r="Y94" s="424"/>
      <c r="Z94" s="424"/>
      <c r="AA94" s="424"/>
      <c r="AB94" s="424"/>
      <c r="AC94" s="424"/>
      <c r="AD94" s="424"/>
      <c r="AE94" s="424"/>
      <c r="AF94" s="424"/>
      <c r="AG94" s="424"/>
    </row>
    <row r="95" spans="2:34" ht="14.3" customHeight="1">
      <c r="B95" s="1441"/>
      <c r="C95" s="2" t="s">
        <v>704</v>
      </c>
      <c r="G95" s="2129" t="s">
        <v>705</v>
      </c>
      <c r="H95" s="1433"/>
      <c r="I95" s="1433"/>
      <c r="J95" s="1433"/>
      <c r="K95" s="1433"/>
      <c r="L95" s="1433"/>
      <c r="M95" s="1433"/>
      <c r="N95" s="1433"/>
      <c r="O95" s="1433"/>
      <c r="P95" s="1433"/>
      <c r="Q95" s="1433"/>
      <c r="R95" s="1433"/>
      <c r="S95" s="1433"/>
      <c r="T95" s="1433"/>
      <c r="U95" s="1433"/>
      <c r="V95" s="1433"/>
      <c r="W95" s="1433"/>
      <c r="X95" s="1433"/>
      <c r="Y95" s="1433"/>
      <c r="Z95" s="1433"/>
      <c r="AA95" s="1433"/>
      <c r="AB95" s="1433"/>
      <c r="AC95" s="1433"/>
      <c r="AD95" s="1433"/>
      <c r="AE95" s="1433"/>
      <c r="AF95" s="1433"/>
      <c r="AG95" s="1433"/>
      <c r="AH95" s="1433"/>
    </row>
    <row r="96" spans="2:34" ht="14.95" customHeight="1">
      <c r="B96" s="1441"/>
      <c r="C96" s="2127" t="s">
        <v>237</v>
      </c>
      <c r="D96" s="2130" t="s">
        <v>706</v>
      </c>
      <c r="E96" s="2131"/>
      <c r="F96" s="2131"/>
      <c r="G96" s="2129"/>
      <c r="H96" s="1433"/>
      <c r="I96" s="1433"/>
      <c r="J96" s="1433"/>
      <c r="K96" s="1433"/>
      <c r="L96" s="1433"/>
      <c r="M96" s="1433"/>
      <c r="N96" s="1433"/>
      <c r="O96" s="1433"/>
      <c r="P96" s="1433"/>
      <c r="Q96" s="1433"/>
      <c r="R96" s="1433"/>
      <c r="S96" s="1433"/>
      <c r="T96" s="1433"/>
      <c r="U96" s="1433"/>
      <c r="V96" s="1433"/>
      <c r="W96" s="1433"/>
      <c r="X96" s="1433"/>
      <c r="Y96" s="1433"/>
      <c r="Z96" s="1433"/>
      <c r="AA96" s="1433"/>
      <c r="AB96" s="1433"/>
      <c r="AC96" s="1433"/>
      <c r="AD96" s="1433"/>
      <c r="AE96" s="1433"/>
      <c r="AF96" s="1433"/>
      <c r="AG96" s="1433"/>
      <c r="AH96" s="1433"/>
    </row>
    <row r="97" spans="2:37" ht="14.95" customHeight="1">
      <c r="B97" s="1441"/>
      <c r="C97" s="2128"/>
      <c r="D97" s="2130"/>
      <c r="E97" s="2131"/>
      <c r="F97" s="2131"/>
      <c r="G97" s="2129"/>
      <c r="H97" s="1433"/>
      <c r="I97" s="1433"/>
      <c r="J97" s="1433"/>
      <c r="K97" s="1433"/>
      <c r="L97" s="1433"/>
      <c r="M97" s="1433"/>
      <c r="N97" s="1433"/>
      <c r="O97" s="1433"/>
      <c r="P97" s="1433"/>
      <c r="Q97" s="1433"/>
      <c r="R97" s="1433"/>
      <c r="S97" s="1433"/>
      <c r="T97" s="1433"/>
      <c r="U97" s="1433"/>
      <c r="V97" s="1433"/>
      <c r="W97" s="1433"/>
      <c r="X97" s="1433"/>
      <c r="Y97" s="1433"/>
      <c r="Z97" s="1433"/>
      <c r="AA97" s="1433"/>
      <c r="AB97" s="1433"/>
      <c r="AC97" s="1433"/>
      <c r="AD97" s="1433"/>
      <c r="AE97" s="1433"/>
      <c r="AF97" s="1433"/>
      <c r="AG97" s="1433"/>
      <c r="AH97" s="1433"/>
    </row>
    <row r="98" spans="2:37" ht="14.95" customHeight="1">
      <c r="B98" s="1441"/>
      <c r="C98" s="571"/>
      <c r="D98" s="2131"/>
      <c r="E98" s="2131"/>
      <c r="F98" s="2131"/>
      <c r="G98" s="2129"/>
      <c r="H98" s="1433"/>
      <c r="I98" s="1433"/>
      <c r="J98" s="1433"/>
      <c r="K98" s="1433"/>
      <c r="L98" s="1433"/>
      <c r="M98" s="1433"/>
      <c r="N98" s="1433"/>
      <c r="O98" s="1433"/>
      <c r="P98" s="1433"/>
      <c r="Q98" s="1433"/>
      <c r="R98" s="1433"/>
      <c r="S98" s="1433"/>
      <c r="T98" s="1433"/>
      <c r="U98" s="1433"/>
      <c r="V98" s="1433"/>
      <c r="W98" s="1433"/>
      <c r="X98" s="1433"/>
      <c r="Y98" s="1433"/>
      <c r="Z98" s="1433"/>
      <c r="AA98" s="1433"/>
      <c r="AB98" s="1433"/>
      <c r="AC98" s="1433"/>
      <c r="AD98" s="1433"/>
      <c r="AE98" s="1433"/>
      <c r="AF98" s="1433"/>
      <c r="AG98" s="1433"/>
      <c r="AH98" s="1433"/>
    </row>
    <row r="99" spans="2:37">
      <c r="B99" s="1441"/>
      <c r="C99" s="571"/>
      <c r="D99" s="2131"/>
      <c r="E99" s="2131"/>
      <c r="F99" s="2131"/>
      <c r="G99" s="2129"/>
      <c r="H99" s="1433"/>
      <c r="I99" s="1433"/>
      <c r="J99" s="1433"/>
      <c r="K99" s="1433"/>
      <c r="L99" s="1433"/>
      <c r="M99" s="1433"/>
      <c r="N99" s="1433"/>
      <c r="O99" s="1433"/>
      <c r="P99" s="1433"/>
      <c r="Q99" s="1433"/>
      <c r="R99" s="1433"/>
      <c r="S99" s="1433"/>
      <c r="T99" s="1433"/>
      <c r="U99" s="1433"/>
      <c r="V99" s="1433"/>
      <c r="W99" s="1433"/>
      <c r="X99" s="1433"/>
      <c r="Y99" s="1433"/>
      <c r="Z99" s="1433"/>
      <c r="AA99" s="1433"/>
      <c r="AB99" s="1433"/>
      <c r="AC99" s="1433"/>
      <c r="AD99" s="1433"/>
      <c r="AE99" s="1433"/>
      <c r="AF99" s="1433"/>
      <c r="AG99" s="1433"/>
      <c r="AH99" s="1433"/>
    </row>
    <row r="100" spans="2:37">
      <c r="B100" s="1441"/>
      <c r="C100" s="341"/>
      <c r="D100" s="424"/>
      <c r="E100" s="424"/>
      <c r="F100" s="424"/>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row>
    <row r="101" spans="2:37">
      <c r="B101" s="1441"/>
      <c r="D101" t="s">
        <v>703</v>
      </c>
      <c r="G101" s="161"/>
      <c r="H101" s="161"/>
      <c r="I101" s="161"/>
      <c r="J101" s="161"/>
      <c r="K101" s="161"/>
      <c r="L101" s="161"/>
      <c r="M101" s="161"/>
      <c r="N101" s="161"/>
      <c r="O101" s="161"/>
      <c r="P101" s="161"/>
      <c r="Q101" s="161"/>
      <c r="R101" s="161"/>
      <c r="S101" s="161"/>
      <c r="T101" s="161"/>
      <c r="U101" s="161"/>
      <c r="V101" s="161"/>
      <c r="W101" s="161"/>
      <c r="X101" s="161"/>
      <c r="Y101" s="424"/>
      <c r="Z101" s="424"/>
      <c r="AA101" s="424"/>
      <c r="AB101" s="424"/>
      <c r="AC101" s="424"/>
      <c r="AD101" s="424"/>
      <c r="AE101" s="424"/>
      <c r="AF101" s="424"/>
      <c r="AG101" s="424"/>
    </row>
    <row r="102" spans="2:37">
      <c r="B102" s="1441"/>
      <c r="D102" s="2133"/>
      <c r="E102" s="2134"/>
      <c r="F102" s="2134"/>
      <c r="G102" s="2134"/>
      <c r="H102" s="2134"/>
      <c r="I102" s="2134"/>
      <c r="J102" s="2134"/>
      <c r="K102" s="2134"/>
      <c r="L102" s="2134"/>
      <c r="M102" s="2134"/>
      <c r="N102" s="2134"/>
      <c r="O102" s="2134"/>
      <c r="P102" s="2134"/>
      <c r="Q102" s="2134"/>
      <c r="R102" s="2134"/>
      <c r="S102" s="2134"/>
      <c r="T102" s="2134"/>
      <c r="U102" s="2134"/>
      <c r="V102" s="2134"/>
      <c r="W102" s="2134"/>
      <c r="X102" s="2134"/>
      <c r="Y102" s="2134"/>
      <c r="Z102" s="2134"/>
      <c r="AA102" s="2134"/>
      <c r="AB102" s="2134"/>
      <c r="AC102" s="2134"/>
      <c r="AD102" s="2134"/>
      <c r="AE102" s="2134"/>
      <c r="AF102" s="2134"/>
      <c r="AG102" s="2134"/>
      <c r="AH102" s="2135"/>
    </row>
    <row r="103" spans="2:37">
      <c r="B103" s="1441"/>
      <c r="D103" s="2136"/>
      <c r="E103" s="2137"/>
      <c r="F103" s="2137"/>
      <c r="G103" s="2137"/>
      <c r="H103" s="2137"/>
      <c r="I103" s="2137"/>
      <c r="J103" s="2137"/>
      <c r="K103" s="2137"/>
      <c r="L103" s="2137"/>
      <c r="M103" s="2137"/>
      <c r="N103" s="2137"/>
      <c r="O103" s="2137"/>
      <c r="P103" s="2137"/>
      <c r="Q103" s="2137"/>
      <c r="R103" s="2137"/>
      <c r="S103" s="2137"/>
      <c r="T103" s="2137"/>
      <c r="U103" s="2137"/>
      <c r="V103" s="2137"/>
      <c r="W103" s="2137"/>
      <c r="X103" s="2137"/>
      <c r="Y103" s="2137"/>
      <c r="Z103" s="2137"/>
      <c r="AA103" s="2137"/>
      <c r="AB103" s="2137"/>
      <c r="AC103" s="2137"/>
      <c r="AD103" s="2137"/>
      <c r="AE103" s="2137"/>
      <c r="AF103" s="2137"/>
      <c r="AG103" s="2137"/>
      <c r="AH103" s="2138"/>
    </row>
    <row r="104" spans="2:37">
      <c r="B104" s="1441"/>
      <c r="D104" s="2136"/>
      <c r="E104" s="2137"/>
      <c r="F104" s="2137"/>
      <c r="G104" s="2137"/>
      <c r="H104" s="2137"/>
      <c r="I104" s="2137"/>
      <c r="J104" s="2137"/>
      <c r="K104" s="2137"/>
      <c r="L104" s="2137"/>
      <c r="M104" s="2137"/>
      <c r="N104" s="2137"/>
      <c r="O104" s="2137"/>
      <c r="P104" s="2137"/>
      <c r="Q104" s="2137"/>
      <c r="R104" s="2137"/>
      <c r="S104" s="2137"/>
      <c r="T104" s="2137"/>
      <c r="U104" s="2137"/>
      <c r="V104" s="2137"/>
      <c r="W104" s="2137"/>
      <c r="X104" s="2137"/>
      <c r="Y104" s="2137"/>
      <c r="Z104" s="2137"/>
      <c r="AA104" s="2137"/>
      <c r="AB104" s="2137"/>
      <c r="AC104" s="2137"/>
      <c r="AD104" s="2137"/>
      <c r="AE104" s="2137"/>
      <c r="AF104" s="2137"/>
      <c r="AG104" s="2137"/>
      <c r="AH104" s="2138"/>
    </row>
    <row r="105" spans="2:37">
      <c r="B105" s="1441"/>
      <c r="D105" s="2136"/>
      <c r="E105" s="2137"/>
      <c r="F105" s="2137"/>
      <c r="G105" s="2137"/>
      <c r="H105" s="2137"/>
      <c r="I105" s="2137"/>
      <c r="J105" s="2137"/>
      <c r="K105" s="2137"/>
      <c r="L105" s="2137"/>
      <c r="M105" s="2137"/>
      <c r="N105" s="2137"/>
      <c r="O105" s="2137"/>
      <c r="P105" s="2137"/>
      <c r="Q105" s="2137"/>
      <c r="R105" s="2137"/>
      <c r="S105" s="2137"/>
      <c r="T105" s="2137"/>
      <c r="U105" s="2137"/>
      <c r="V105" s="2137"/>
      <c r="W105" s="2137"/>
      <c r="X105" s="2137"/>
      <c r="Y105" s="2137"/>
      <c r="Z105" s="2137"/>
      <c r="AA105" s="2137"/>
      <c r="AB105" s="2137"/>
      <c r="AC105" s="2137"/>
      <c r="AD105" s="2137"/>
      <c r="AE105" s="2137"/>
      <c r="AF105" s="2137"/>
      <c r="AG105" s="2137"/>
      <c r="AH105" s="2138"/>
    </row>
    <row r="106" spans="2:37">
      <c r="B106" s="1441"/>
      <c r="D106" s="2136"/>
      <c r="E106" s="2137"/>
      <c r="F106" s="2137"/>
      <c r="G106" s="2137"/>
      <c r="H106" s="2137"/>
      <c r="I106" s="2137"/>
      <c r="J106" s="2137"/>
      <c r="K106" s="2137"/>
      <c r="L106" s="2137"/>
      <c r="M106" s="2137"/>
      <c r="N106" s="2137"/>
      <c r="O106" s="2137"/>
      <c r="P106" s="2137"/>
      <c r="Q106" s="2137"/>
      <c r="R106" s="2137"/>
      <c r="S106" s="2137"/>
      <c r="T106" s="2137"/>
      <c r="U106" s="2137"/>
      <c r="V106" s="2137"/>
      <c r="W106" s="2137"/>
      <c r="X106" s="2137"/>
      <c r="Y106" s="2137"/>
      <c r="Z106" s="2137"/>
      <c r="AA106" s="2137"/>
      <c r="AB106" s="2137"/>
      <c r="AC106" s="2137"/>
      <c r="AD106" s="2137"/>
      <c r="AE106" s="2137"/>
      <c r="AF106" s="2137"/>
      <c r="AG106" s="2137"/>
      <c r="AH106" s="2138"/>
    </row>
    <row r="107" spans="2:37">
      <c r="B107" s="1441"/>
      <c r="D107" s="2139"/>
      <c r="E107" s="2140"/>
      <c r="F107" s="2140"/>
      <c r="G107" s="2140"/>
      <c r="H107" s="2140"/>
      <c r="I107" s="2140"/>
      <c r="J107" s="2140"/>
      <c r="K107" s="2140"/>
      <c r="L107" s="2140"/>
      <c r="M107" s="2140"/>
      <c r="N107" s="2140"/>
      <c r="O107" s="2140"/>
      <c r="P107" s="2140"/>
      <c r="Q107" s="2140"/>
      <c r="R107" s="2140"/>
      <c r="S107" s="2140"/>
      <c r="T107" s="2140"/>
      <c r="U107" s="2140"/>
      <c r="V107" s="2140"/>
      <c r="W107" s="2140"/>
      <c r="X107" s="2140"/>
      <c r="Y107" s="2140"/>
      <c r="Z107" s="2140"/>
      <c r="AA107" s="2140"/>
      <c r="AB107" s="2140"/>
      <c r="AC107" s="2140"/>
      <c r="AD107" s="2140"/>
      <c r="AE107" s="2140"/>
      <c r="AF107" s="2140"/>
      <c r="AG107" s="2140"/>
      <c r="AH107" s="2141"/>
    </row>
    <row r="108" spans="2:37">
      <c r="B108" s="144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424"/>
      <c r="Z108" s="424"/>
      <c r="AA108" s="424"/>
      <c r="AB108" s="424"/>
      <c r="AC108" s="424"/>
      <c r="AD108" s="424"/>
      <c r="AE108" s="424"/>
      <c r="AF108" s="424"/>
      <c r="AG108" s="424"/>
    </row>
    <row r="109" spans="2:37">
      <c r="B109" s="1441"/>
      <c r="G109" s="161"/>
      <c r="H109" s="161"/>
      <c r="I109" s="161"/>
      <c r="J109" s="161"/>
      <c r="K109" s="161"/>
      <c r="L109" s="161"/>
      <c r="M109" s="161"/>
      <c r="N109" s="161"/>
      <c r="O109" s="161"/>
      <c r="P109" s="161"/>
      <c r="Q109" s="161"/>
      <c r="R109" s="161"/>
      <c r="S109" s="161"/>
      <c r="T109" s="161"/>
      <c r="U109" s="161"/>
      <c r="V109" s="161"/>
      <c r="W109" s="161"/>
      <c r="X109" s="161"/>
      <c r="Y109" s="424"/>
      <c r="Z109" s="424"/>
      <c r="AA109" s="424"/>
      <c r="AB109" s="424"/>
      <c r="AC109" s="424"/>
      <c r="AD109" s="424"/>
      <c r="AE109" s="424"/>
      <c r="AF109" s="424"/>
      <c r="AG109" s="424"/>
    </row>
    <row r="110" spans="2:37" ht="14.3" customHeight="1">
      <c r="B110" s="1441"/>
      <c r="C110" s="2" t="s">
        <v>707</v>
      </c>
      <c r="G110" s="2129" t="s">
        <v>708</v>
      </c>
      <c r="H110" s="1433"/>
      <c r="I110" s="1433"/>
      <c r="J110" s="1433"/>
      <c r="K110" s="1433"/>
      <c r="L110" s="1433"/>
      <c r="M110" s="1433"/>
      <c r="N110" s="1433"/>
      <c r="O110" s="1433"/>
      <c r="P110" s="1433"/>
      <c r="Q110" s="1433"/>
      <c r="R110" s="1433"/>
      <c r="S110" s="1433"/>
      <c r="T110" s="1433"/>
      <c r="U110" s="1433"/>
      <c r="V110" s="1433"/>
      <c r="W110" s="1433"/>
      <c r="X110" s="1433"/>
      <c r="Y110" s="1433"/>
      <c r="Z110" s="1433"/>
      <c r="AA110" s="1433"/>
      <c r="AB110" s="1433"/>
      <c r="AC110" s="1433"/>
      <c r="AD110" s="1433"/>
      <c r="AE110" s="1433"/>
      <c r="AF110" s="1433"/>
      <c r="AG110" s="1433"/>
      <c r="AH110" s="1433"/>
    </row>
    <row r="111" spans="2:37" ht="14.95" customHeight="1">
      <c r="B111" s="1441"/>
      <c r="C111" s="2142">
        <v>0.9</v>
      </c>
      <c r="D111" s="2130" t="s">
        <v>709</v>
      </c>
      <c r="E111" s="2131"/>
      <c r="F111" s="2131"/>
      <c r="G111" s="2129"/>
      <c r="H111" s="1433"/>
      <c r="I111" s="1433"/>
      <c r="J111" s="1433"/>
      <c r="K111" s="1433"/>
      <c r="L111" s="1433"/>
      <c r="M111" s="1433"/>
      <c r="N111" s="1433"/>
      <c r="O111" s="1433"/>
      <c r="P111" s="1433"/>
      <c r="Q111" s="1433"/>
      <c r="R111" s="1433"/>
      <c r="S111" s="1433"/>
      <c r="T111" s="1433"/>
      <c r="U111" s="1433"/>
      <c r="V111" s="1433"/>
      <c r="W111" s="1433"/>
      <c r="X111" s="1433"/>
      <c r="Y111" s="1433"/>
      <c r="Z111" s="1433"/>
      <c r="AA111" s="1433"/>
      <c r="AB111" s="1433"/>
      <c r="AC111" s="1433"/>
      <c r="AD111" s="1433"/>
      <c r="AE111" s="1433"/>
      <c r="AF111" s="1433"/>
      <c r="AG111" s="1433"/>
      <c r="AH111" s="1433"/>
      <c r="AI111" s="161"/>
      <c r="AJ111" s="161"/>
      <c r="AK111" s="161"/>
    </row>
    <row r="112" spans="2:37">
      <c r="B112" s="1441"/>
      <c r="C112" s="2128"/>
      <c r="D112" s="2130"/>
      <c r="E112" s="2131"/>
      <c r="F112" s="2131"/>
      <c r="G112" s="2129"/>
      <c r="H112" s="1433"/>
      <c r="I112" s="1433"/>
      <c r="J112" s="1433"/>
      <c r="K112" s="1433"/>
      <c r="L112" s="1433"/>
      <c r="M112" s="1433"/>
      <c r="N112" s="1433"/>
      <c r="O112" s="1433"/>
      <c r="P112" s="1433"/>
      <c r="Q112" s="1433"/>
      <c r="R112" s="1433"/>
      <c r="S112" s="1433"/>
      <c r="T112" s="1433"/>
      <c r="U112" s="1433"/>
      <c r="V112" s="1433"/>
      <c r="W112" s="1433"/>
      <c r="X112" s="1433"/>
      <c r="Y112" s="1433"/>
      <c r="Z112" s="1433"/>
      <c r="AA112" s="1433"/>
      <c r="AB112" s="1433"/>
      <c r="AC112" s="1433"/>
      <c r="AD112" s="1433"/>
      <c r="AE112" s="1433"/>
      <c r="AF112" s="1433"/>
      <c r="AG112" s="1433"/>
      <c r="AH112" s="1433"/>
    </row>
    <row r="113" spans="2:34">
      <c r="B113" s="1441"/>
      <c r="G113" s="2129"/>
      <c r="H113" s="1433"/>
      <c r="I113" s="1433"/>
      <c r="J113" s="1433"/>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433"/>
      <c r="AE113" s="1433"/>
      <c r="AF113" s="1433"/>
      <c r="AG113" s="1433"/>
      <c r="AH113" s="1433"/>
    </row>
    <row r="114" spans="2:34">
      <c r="B114" s="1441"/>
      <c r="G114" s="2129"/>
      <c r="H114" s="1433"/>
      <c r="I114" s="1433"/>
      <c r="J114" s="1433"/>
      <c r="K114" s="1433"/>
      <c r="L114" s="1433"/>
      <c r="M114" s="1433"/>
      <c r="N114" s="1433"/>
      <c r="O114" s="1433"/>
      <c r="P114" s="1433"/>
      <c r="Q114" s="1433"/>
      <c r="R114" s="1433"/>
      <c r="S114" s="1433"/>
      <c r="T114" s="1433"/>
      <c r="U114" s="1433"/>
      <c r="V114" s="1433"/>
      <c r="W114" s="1433"/>
      <c r="X114" s="1433"/>
      <c r="Y114" s="1433"/>
      <c r="Z114" s="1433"/>
      <c r="AA114" s="1433"/>
      <c r="AB114" s="1433"/>
      <c r="AC114" s="1433"/>
      <c r="AD114" s="1433"/>
      <c r="AE114" s="1433"/>
      <c r="AF114" s="1433"/>
      <c r="AG114" s="1433"/>
      <c r="AH114" s="1433"/>
    </row>
    <row r="115" spans="2:34" ht="16.5" customHeight="1">
      <c r="B115" s="1441"/>
      <c r="G115" s="2129"/>
      <c r="H115" s="1433"/>
      <c r="I115" s="1433"/>
      <c r="J115" s="1433"/>
      <c r="K115" s="1433"/>
      <c r="L115" s="1433"/>
      <c r="M115" s="1433"/>
      <c r="N115" s="1433"/>
      <c r="O115" s="1433"/>
      <c r="P115" s="1433"/>
      <c r="Q115" s="1433"/>
      <c r="R115" s="1433"/>
      <c r="S115" s="1433"/>
      <c r="T115" s="1433"/>
      <c r="U115" s="1433"/>
      <c r="V115" s="1433"/>
      <c r="W115" s="1433"/>
      <c r="X115" s="1433"/>
      <c r="Y115" s="1433"/>
      <c r="Z115" s="1433"/>
      <c r="AA115" s="1433"/>
      <c r="AB115" s="1433"/>
      <c r="AC115" s="1433"/>
      <c r="AD115" s="1433"/>
      <c r="AE115" s="1433"/>
      <c r="AF115" s="1433"/>
      <c r="AG115" s="1433"/>
      <c r="AH115" s="1433"/>
    </row>
    <row r="116" spans="2:34">
      <c r="B116" s="1441"/>
      <c r="D116" t="s">
        <v>703</v>
      </c>
      <c r="G116" s="161"/>
      <c r="H116" s="161"/>
      <c r="I116" s="161"/>
      <c r="J116" s="161"/>
      <c r="K116" s="161"/>
      <c r="L116" s="161"/>
      <c r="M116" s="161"/>
      <c r="N116" s="161"/>
      <c r="O116" s="161"/>
      <c r="P116" s="161"/>
      <c r="Q116" s="161"/>
      <c r="R116" s="161"/>
      <c r="S116" s="161"/>
      <c r="T116" s="161"/>
      <c r="U116" s="161"/>
      <c r="V116" s="161"/>
      <c r="W116" s="161"/>
      <c r="X116" s="161"/>
      <c r="Y116" s="424"/>
    </row>
    <row r="117" spans="2:34">
      <c r="B117" s="1441"/>
      <c r="D117" s="2133"/>
      <c r="E117" s="2134"/>
      <c r="F117" s="2134"/>
      <c r="G117" s="2134"/>
      <c r="H117" s="2134"/>
      <c r="I117" s="2134"/>
      <c r="J117" s="2134"/>
      <c r="K117" s="2134"/>
      <c r="L117" s="2134"/>
      <c r="M117" s="2134"/>
      <c r="N117" s="2134"/>
      <c r="O117" s="2134"/>
      <c r="P117" s="2134"/>
      <c r="Q117" s="2134"/>
      <c r="R117" s="2134"/>
      <c r="S117" s="2134"/>
      <c r="T117" s="2134"/>
      <c r="U117" s="2134"/>
      <c r="V117" s="2134"/>
      <c r="W117" s="2134"/>
      <c r="X117" s="2134"/>
      <c r="Y117" s="2134"/>
      <c r="Z117" s="2134"/>
      <c r="AA117" s="2134"/>
      <c r="AB117" s="2134"/>
      <c r="AC117" s="2134"/>
      <c r="AD117" s="2134"/>
      <c r="AE117" s="2134"/>
      <c r="AF117" s="2134"/>
      <c r="AG117" s="2134"/>
      <c r="AH117" s="2135"/>
    </row>
    <row r="118" spans="2:34">
      <c r="B118" s="1441"/>
      <c r="D118" s="2136"/>
      <c r="E118" s="2137"/>
      <c r="F118" s="2137"/>
      <c r="G118" s="2137"/>
      <c r="H118" s="2137"/>
      <c r="I118" s="2137"/>
      <c r="J118" s="2137"/>
      <c r="K118" s="2137"/>
      <c r="L118" s="2137"/>
      <c r="M118" s="2137"/>
      <c r="N118" s="2137"/>
      <c r="O118" s="2137"/>
      <c r="P118" s="2137"/>
      <c r="Q118" s="2137"/>
      <c r="R118" s="2137"/>
      <c r="S118" s="2137"/>
      <c r="T118" s="2137"/>
      <c r="U118" s="2137"/>
      <c r="V118" s="2137"/>
      <c r="W118" s="2137"/>
      <c r="X118" s="2137"/>
      <c r="Y118" s="2137"/>
      <c r="Z118" s="2137"/>
      <c r="AA118" s="2137"/>
      <c r="AB118" s="2137"/>
      <c r="AC118" s="2137"/>
      <c r="AD118" s="2137"/>
      <c r="AE118" s="2137"/>
      <c r="AF118" s="2137"/>
      <c r="AG118" s="2137"/>
      <c r="AH118" s="2138"/>
    </row>
    <row r="119" spans="2:34">
      <c r="B119" s="1441"/>
      <c r="D119" s="2136"/>
      <c r="E119" s="2137"/>
      <c r="F119" s="2137"/>
      <c r="G119" s="2137"/>
      <c r="H119" s="2137"/>
      <c r="I119" s="2137"/>
      <c r="J119" s="2137"/>
      <c r="K119" s="2137"/>
      <c r="L119" s="2137"/>
      <c r="M119" s="2137"/>
      <c r="N119" s="2137"/>
      <c r="O119" s="2137"/>
      <c r="P119" s="2137"/>
      <c r="Q119" s="2137"/>
      <c r="R119" s="2137"/>
      <c r="S119" s="2137"/>
      <c r="T119" s="2137"/>
      <c r="U119" s="2137"/>
      <c r="V119" s="2137"/>
      <c r="W119" s="2137"/>
      <c r="X119" s="2137"/>
      <c r="Y119" s="2137"/>
      <c r="Z119" s="2137"/>
      <c r="AA119" s="2137"/>
      <c r="AB119" s="2137"/>
      <c r="AC119" s="2137"/>
      <c r="AD119" s="2137"/>
      <c r="AE119" s="2137"/>
      <c r="AF119" s="2137"/>
      <c r="AG119" s="2137"/>
      <c r="AH119" s="2138"/>
    </row>
    <row r="120" spans="2:34">
      <c r="B120" s="1441"/>
      <c r="D120" s="2136"/>
      <c r="E120" s="2137"/>
      <c r="F120" s="2137"/>
      <c r="G120" s="2137"/>
      <c r="H120" s="2137"/>
      <c r="I120" s="2137"/>
      <c r="J120" s="2137"/>
      <c r="K120" s="2137"/>
      <c r="L120" s="2137"/>
      <c r="M120" s="2137"/>
      <c r="N120" s="2137"/>
      <c r="O120" s="2137"/>
      <c r="P120" s="2137"/>
      <c r="Q120" s="2137"/>
      <c r="R120" s="2137"/>
      <c r="S120" s="2137"/>
      <c r="T120" s="2137"/>
      <c r="U120" s="2137"/>
      <c r="V120" s="2137"/>
      <c r="W120" s="2137"/>
      <c r="X120" s="2137"/>
      <c r="Y120" s="2137"/>
      <c r="Z120" s="2137"/>
      <c r="AA120" s="2137"/>
      <c r="AB120" s="2137"/>
      <c r="AC120" s="2137"/>
      <c r="AD120" s="2137"/>
      <c r="AE120" s="2137"/>
      <c r="AF120" s="2137"/>
      <c r="AG120" s="2137"/>
      <c r="AH120" s="2138"/>
    </row>
    <row r="121" spans="2:34">
      <c r="B121" s="1441"/>
      <c r="D121" s="2136"/>
      <c r="E121" s="2137"/>
      <c r="F121" s="2137"/>
      <c r="G121" s="2137"/>
      <c r="H121" s="2137"/>
      <c r="I121" s="2137"/>
      <c r="J121" s="2137"/>
      <c r="K121" s="2137"/>
      <c r="L121" s="2137"/>
      <c r="M121" s="2137"/>
      <c r="N121" s="2137"/>
      <c r="O121" s="2137"/>
      <c r="P121" s="2137"/>
      <c r="Q121" s="2137"/>
      <c r="R121" s="2137"/>
      <c r="S121" s="2137"/>
      <c r="T121" s="2137"/>
      <c r="U121" s="2137"/>
      <c r="V121" s="2137"/>
      <c r="W121" s="2137"/>
      <c r="X121" s="2137"/>
      <c r="Y121" s="2137"/>
      <c r="Z121" s="2137"/>
      <c r="AA121" s="2137"/>
      <c r="AB121" s="2137"/>
      <c r="AC121" s="2137"/>
      <c r="AD121" s="2137"/>
      <c r="AE121" s="2137"/>
      <c r="AF121" s="2137"/>
      <c r="AG121" s="2137"/>
      <c r="AH121" s="2138"/>
    </row>
    <row r="122" spans="2:34">
      <c r="B122" s="1441"/>
      <c r="D122" s="2139"/>
      <c r="E122" s="2140"/>
      <c r="F122" s="2140"/>
      <c r="G122" s="2140"/>
      <c r="H122" s="2140"/>
      <c r="I122" s="2140"/>
      <c r="J122" s="2140"/>
      <c r="K122" s="2140"/>
      <c r="L122" s="2140"/>
      <c r="M122" s="2140"/>
      <c r="N122" s="2140"/>
      <c r="O122" s="2140"/>
      <c r="P122" s="2140"/>
      <c r="Q122" s="2140"/>
      <c r="R122" s="2140"/>
      <c r="S122" s="2140"/>
      <c r="T122" s="2140"/>
      <c r="U122" s="2140"/>
      <c r="V122" s="2140"/>
      <c r="W122" s="2140"/>
      <c r="X122" s="2140"/>
      <c r="Y122" s="2140"/>
      <c r="Z122" s="2140"/>
      <c r="AA122" s="2140"/>
      <c r="AB122" s="2140"/>
      <c r="AC122" s="2140"/>
      <c r="AD122" s="2140"/>
      <c r="AE122" s="2140"/>
      <c r="AF122" s="2140"/>
      <c r="AG122" s="2140"/>
      <c r="AH122" s="2141"/>
    </row>
    <row r="123" spans="2:34">
      <c r="B123" s="144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424"/>
      <c r="Z123" s="424"/>
      <c r="AA123" s="424"/>
      <c r="AB123" s="424"/>
      <c r="AC123" s="424"/>
      <c r="AD123" s="424"/>
      <c r="AE123" s="424"/>
      <c r="AF123" s="424"/>
      <c r="AG123" s="424"/>
    </row>
    <row r="125" spans="2:34" ht="14.3" customHeight="1">
      <c r="C125" s="2" t="s">
        <v>710</v>
      </c>
      <c r="G125" s="2129" t="s">
        <v>711</v>
      </c>
      <c r="H125" s="1433"/>
      <c r="I125" s="1433"/>
      <c r="J125" s="1433"/>
      <c r="K125" s="1433"/>
      <c r="L125" s="1433"/>
      <c r="M125" s="1433"/>
      <c r="N125" s="1433"/>
      <c r="O125" s="1433"/>
      <c r="P125" s="1433"/>
      <c r="Q125" s="1433"/>
      <c r="R125" s="1433"/>
      <c r="S125" s="1433"/>
      <c r="T125" s="1433"/>
      <c r="U125" s="1433"/>
      <c r="V125" s="1433"/>
      <c r="W125" s="1433"/>
      <c r="X125" s="1433"/>
      <c r="Y125" s="1433"/>
      <c r="Z125" s="1433"/>
      <c r="AA125" s="1433"/>
      <c r="AB125" s="1433"/>
      <c r="AC125" s="1433"/>
      <c r="AD125" s="1433"/>
      <c r="AE125" s="1433"/>
      <c r="AF125" s="1433"/>
      <c r="AG125" s="1433"/>
      <c r="AH125" s="1433"/>
    </row>
    <row r="126" spans="2:34" ht="14.95" customHeight="1">
      <c r="C126" s="2127" t="s">
        <v>237</v>
      </c>
      <c r="D126" s="2131" t="s">
        <v>712</v>
      </c>
      <c r="E126" s="2131"/>
      <c r="F126" s="2131"/>
      <c r="G126" s="2129"/>
      <c r="H126" s="1433"/>
      <c r="I126" s="1433"/>
      <c r="J126" s="1433"/>
      <c r="K126" s="1433"/>
      <c r="L126" s="1433"/>
      <c r="M126" s="1433"/>
      <c r="N126" s="1433"/>
      <c r="O126" s="1433"/>
      <c r="P126" s="1433"/>
      <c r="Q126" s="1433"/>
      <c r="R126" s="1433"/>
      <c r="S126" s="1433"/>
      <c r="T126" s="1433"/>
      <c r="U126" s="1433"/>
      <c r="V126" s="1433"/>
      <c r="W126" s="1433"/>
      <c r="X126" s="1433"/>
      <c r="Y126" s="1433"/>
      <c r="Z126" s="1433"/>
      <c r="AA126" s="1433"/>
      <c r="AB126" s="1433"/>
      <c r="AC126" s="1433"/>
      <c r="AD126" s="1433"/>
      <c r="AE126" s="1433"/>
      <c r="AF126" s="1433"/>
      <c r="AG126" s="1433"/>
      <c r="AH126" s="1433"/>
    </row>
    <row r="127" spans="2:34">
      <c r="C127" s="2128"/>
      <c r="D127" s="2131"/>
      <c r="E127" s="2131"/>
      <c r="F127" s="2131"/>
      <c r="G127" s="2129"/>
      <c r="H127" s="1433"/>
      <c r="I127" s="1433"/>
      <c r="J127" s="1433"/>
      <c r="K127" s="1433"/>
      <c r="L127" s="1433"/>
      <c r="M127" s="1433"/>
      <c r="N127" s="1433"/>
      <c r="O127" s="1433"/>
      <c r="P127" s="1433"/>
      <c r="Q127" s="1433"/>
      <c r="R127" s="1433"/>
      <c r="S127" s="1433"/>
      <c r="T127" s="1433"/>
      <c r="U127" s="1433"/>
      <c r="V127" s="1433"/>
      <c r="W127" s="1433"/>
      <c r="X127" s="1433"/>
      <c r="Y127" s="1433"/>
      <c r="Z127" s="1433"/>
      <c r="AA127" s="1433"/>
      <c r="AB127" s="1433"/>
      <c r="AC127" s="1433"/>
      <c r="AD127" s="1433"/>
      <c r="AE127" s="1433"/>
      <c r="AF127" s="1433"/>
      <c r="AG127" s="1433"/>
      <c r="AH127" s="1433"/>
    </row>
    <row r="128" spans="2:34">
      <c r="D128" s="2131"/>
      <c r="E128" s="2131"/>
      <c r="F128" s="2131"/>
      <c r="W128" s="161"/>
      <c r="X128" s="161"/>
      <c r="Y128" s="161"/>
    </row>
    <row r="129" spans="2:37">
      <c r="D129" s="424"/>
      <c r="E129" s="424"/>
      <c r="F129" s="424"/>
      <c r="W129" s="161"/>
      <c r="X129" s="161"/>
      <c r="Y129" s="161"/>
    </row>
    <row r="130" spans="2:37">
      <c r="D130" t="s">
        <v>703</v>
      </c>
      <c r="G130" s="161"/>
      <c r="H130" s="161"/>
      <c r="I130" s="161"/>
      <c r="J130" s="161"/>
      <c r="K130" s="161"/>
      <c r="L130" s="161"/>
      <c r="M130" s="161"/>
      <c r="N130" s="161"/>
      <c r="O130" s="161"/>
      <c r="P130" s="161"/>
      <c r="Q130" s="161"/>
      <c r="R130" s="161"/>
      <c r="S130" s="161"/>
      <c r="T130" s="161"/>
      <c r="U130" s="161"/>
      <c r="V130" s="161"/>
      <c r="W130" s="161"/>
      <c r="X130" s="161"/>
      <c r="Y130" s="424"/>
      <c r="Z130" s="424"/>
      <c r="AA130" s="424"/>
      <c r="AB130" s="424"/>
      <c r="AC130" s="424"/>
      <c r="AD130" s="424"/>
      <c r="AE130" s="424"/>
      <c r="AF130" s="424"/>
      <c r="AG130" s="424"/>
    </row>
    <row r="131" spans="2:37">
      <c r="D131" s="2133"/>
      <c r="E131" s="2134"/>
      <c r="F131" s="2134"/>
      <c r="G131" s="2134"/>
      <c r="H131" s="2134"/>
      <c r="I131" s="2134"/>
      <c r="J131" s="2134"/>
      <c r="K131" s="2134"/>
      <c r="L131" s="2134"/>
      <c r="M131" s="2134"/>
      <c r="N131" s="2134"/>
      <c r="O131" s="2134"/>
      <c r="P131" s="2134"/>
      <c r="Q131" s="2134"/>
      <c r="R131" s="2134"/>
      <c r="S131" s="2134"/>
      <c r="T131" s="2134"/>
      <c r="U131" s="2134"/>
      <c r="V131" s="2134"/>
      <c r="W131" s="2134"/>
      <c r="X131" s="2134"/>
      <c r="Y131" s="2134"/>
      <c r="Z131" s="2134"/>
      <c r="AA131" s="2134"/>
      <c r="AB131" s="2134"/>
      <c r="AC131" s="2134"/>
      <c r="AD131" s="2134"/>
      <c r="AE131" s="2134"/>
      <c r="AF131" s="2134"/>
      <c r="AG131" s="2134"/>
      <c r="AH131" s="2135"/>
    </row>
    <row r="132" spans="2:37">
      <c r="D132" s="2136"/>
      <c r="E132" s="2137"/>
      <c r="F132" s="2137"/>
      <c r="G132" s="2137"/>
      <c r="H132" s="2137"/>
      <c r="I132" s="2137"/>
      <c r="J132" s="2137"/>
      <c r="K132" s="2137"/>
      <c r="L132" s="2137"/>
      <c r="M132" s="2137"/>
      <c r="N132" s="2137"/>
      <c r="O132" s="2137"/>
      <c r="P132" s="2137"/>
      <c r="Q132" s="2137"/>
      <c r="R132" s="2137"/>
      <c r="S132" s="2137"/>
      <c r="T132" s="2137"/>
      <c r="U132" s="2137"/>
      <c r="V132" s="2137"/>
      <c r="W132" s="2137"/>
      <c r="X132" s="2137"/>
      <c r="Y132" s="2137"/>
      <c r="Z132" s="2137"/>
      <c r="AA132" s="2137"/>
      <c r="AB132" s="2137"/>
      <c r="AC132" s="2137"/>
      <c r="AD132" s="2137"/>
      <c r="AE132" s="2137"/>
      <c r="AF132" s="2137"/>
      <c r="AG132" s="2137"/>
      <c r="AH132" s="2138"/>
    </row>
    <row r="133" spans="2:37">
      <c r="D133" s="2136"/>
      <c r="E133" s="2137"/>
      <c r="F133" s="2137"/>
      <c r="G133" s="2137"/>
      <c r="H133" s="2137"/>
      <c r="I133" s="2137"/>
      <c r="J133" s="2137"/>
      <c r="K133" s="2137"/>
      <c r="L133" s="2137"/>
      <c r="M133" s="2137"/>
      <c r="N133" s="2137"/>
      <c r="O133" s="2137"/>
      <c r="P133" s="2137"/>
      <c r="Q133" s="2137"/>
      <c r="R133" s="2137"/>
      <c r="S133" s="2137"/>
      <c r="T133" s="2137"/>
      <c r="U133" s="2137"/>
      <c r="V133" s="2137"/>
      <c r="W133" s="2137"/>
      <c r="X133" s="2137"/>
      <c r="Y133" s="2137"/>
      <c r="Z133" s="2137"/>
      <c r="AA133" s="2137"/>
      <c r="AB133" s="2137"/>
      <c r="AC133" s="2137"/>
      <c r="AD133" s="2137"/>
      <c r="AE133" s="2137"/>
      <c r="AF133" s="2137"/>
      <c r="AG133" s="2137"/>
      <c r="AH133" s="2138"/>
    </row>
    <row r="134" spans="2:37">
      <c r="D134" s="2136"/>
      <c r="E134" s="2137"/>
      <c r="F134" s="2137"/>
      <c r="G134" s="2137"/>
      <c r="H134" s="2137"/>
      <c r="I134" s="2137"/>
      <c r="J134" s="2137"/>
      <c r="K134" s="2137"/>
      <c r="L134" s="2137"/>
      <c r="M134" s="2137"/>
      <c r="N134" s="2137"/>
      <c r="O134" s="2137"/>
      <c r="P134" s="2137"/>
      <c r="Q134" s="2137"/>
      <c r="R134" s="2137"/>
      <c r="S134" s="2137"/>
      <c r="T134" s="2137"/>
      <c r="U134" s="2137"/>
      <c r="V134" s="2137"/>
      <c r="W134" s="2137"/>
      <c r="X134" s="2137"/>
      <c r="Y134" s="2137"/>
      <c r="Z134" s="2137"/>
      <c r="AA134" s="2137"/>
      <c r="AB134" s="2137"/>
      <c r="AC134" s="2137"/>
      <c r="AD134" s="2137"/>
      <c r="AE134" s="2137"/>
      <c r="AF134" s="2137"/>
      <c r="AG134" s="2137"/>
      <c r="AH134" s="2138"/>
    </row>
    <row r="135" spans="2:37">
      <c r="D135" s="2136"/>
      <c r="E135" s="2137"/>
      <c r="F135" s="2137"/>
      <c r="G135" s="2137"/>
      <c r="H135" s="2137"/>
      <c r="I135" s="2137"/>
      <c r="J135" s="2137"/>
      <c r="K135" s="2137"/>
      <c r="L135" s="2137"/>
      <c r="M135" s="2137"/>
      <c r="N135" s="2137"/>
      <c r="O135" s="2137"/>
      <c r="P135" s="2137"/>
      <c r="Q135" s="2137"/>
      <c r="R135" s="2137"/>
      <c r="S135" s="2137"/>
      <c r="T135" s="2137"/>
      <c r="U135" s="2137"/>
      <c r="V135" s="2137"/>
      <c r="W135" s="2137"/>
      <c r="X135" s="2137"/>
      <c r="Y135" s="2137"/>
      <c r="Z135" s="2137"/>
      <c r="AA135" s="2137"/>
      <c r="AB135" s="2137"/>
      <c r="AC135" s="2137"/>
      <c r="AD135" s="2137"/>
      <c r="AE135" s="2137"/>
      <c r="AF135" s="2137"/>
      <c r="AG135" s="2137"/>
      <c r="AH135" s="2138"/>
    </row>
    <row r="136" spans="2:37">
      <c r="D136" s="2139"/>
      <c r="E136" s="2140"/>
      <c r="F136" s="2140"/>
      <c r="G136" s="2140"/>
      <c r="H136" s="2140"/>
      <c r="I136" s="2140"/>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c r="AG136" s="2140"/>
      <c r="AH136" s="2141"/>
    </row>
    <row r="137" spans="2:37">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424"/>
      <c r="Z137" s="424"/>
      <c r="AA137" s="424"/>
      <c r="AB137" s="424"/>
      <c r="AC137" s="424"/>
      <c r="AD137" s="424"/>
      <c r="AE137" s="424"/>
      <c r="AF137" s="424"/>
      <c r="AG137" s="424"/>
    </row>
    <row r="138" spans="2:37">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row>
    <row r="139" spans="2:37" ht="14.3" customHeight="1">
      <c r="B139" s="1441"/>
      <c r="C139" s="2" t="s">
        <v>713</v>
      </c>
      <c r="G139" s="2129" t="s">
        <v>714</v>
      </c>
      <c r="H139" s="1433"/>
      <c r="I139" s="1433"/>
      <c r="J139" s="1433"/>
      <c r="K139" s="1433"/>
      <c r="L139" s="1433"/>
      <c r="M139" s="1433"/>
      <c r="N139" s="1433"/>
      <c r="O139" s="1433"/>
      <c r="P139" s="1433"/>
      <c r="Q139" s="1433"/>
      <c r="R139" s="1433"/>
      <c r="S139" s="1433"/>
      <c r="T139" s="1433"/>
      <c r="U139" s="1433"/>
      <c r="V139" s="1433"/>
      <c r="W139" s="1433"/>
      <c r="X139" s="1433"/>
      <c r="Y139" s="1433"/>
      <c r="Z139" s="1433"/>
      <c r="AA139" s="1433"/>
      <c r="AB139" s="1433"/>
      <c r="AC139" s="1433"/>
      <c r="AD139" s="1433"/>
      <c r="AE139" s="1433"/>
      <c r="AF139" s="1433"/>
      <c r="AG139" s="1433"/>
      <c r="AH139" s="1433"/>
    </row>
    <row r="140" spans="2:37" ht="14.95" customHeight="1">
      <c r="B140" s="1441"/>
      <c r="C140" s="2127"/>
      <c r="D140" s="2131" t="s">
        <v>715</v>
      </c>
      <c r="E140" s="2131"/>
      <c r="F140" s="2131"/>
      <c r="G140" s="2129"/>
      <c r="H140" s="1433"/>
      <c r="I140" s="1433"/>
      <c r="J140" s="1433"/>
      <c r="K140" s="1433"/>
      <c r="L140" s="1433"/>
      <c r="M140" s="1433"/>
      <c r="N140" s="1433"/>
      <c r="O140" s="1433"/>
      <c r="P140" s="1433"/>
      <c r="Q140" s="1433"/>
      <c r="R140" s="1433"/>
      <c r="S140" s="1433"/>
      <c r="T140" s="1433"/>
      <c r="U140" s="1433"/>
      <c r="V140" s="1433"/>
      <c r="W140" s="1433"/>
      <c r="X140" s="1433"/>
      <c r="Y140" s="1433"/>
      <c r="Z140" s="1433"/>
      <c r="AA140" s="1433"/>
      <c r="AB140" s="1433"/>
      <c r="AC140" s="1433"/>
      <c r="AD140" s="1433"/>
      <c r="AE140" s="1433"/>
      <c r="AF140" s="1433"/>
      <c r="AG140" s="1433"/>
      <c r="AH140" s="1433"/>
    </row>
    <row r="141" spans="2:37">
      <c r="B141" s="1441"/>
      <c r="C141" s="2128"/>
      <c r="D141" s="2131"/>
      <c r="E141" s="2131"/>
      <c r="F141" s="2131"/>
      <c r="G141" s="2129"/>
      <c r="H141" s="1433"/>
      <c r="I141" s="1433"/>
      <c r="J141" s="1433"/>
      <c r="K141" s="1433"/>
      <c r="L141" s="1433"/>
      <c r="M141" s="1433"/>
      <c r="N141" s="1433"/>
      <c r="O141" s="1433"/>
      <c r="P141" s="1433"/>
      <c r="Q141" s="1433"/>
      <c r="R141" s="1433"/>
      <c r="S141" s="1433"/>
      <c r="T141" s="1433"/>
      <c r="U141" s="1433"/>
      <c r="V141" s="1433"/>
      <c r="W141" s="1433"/>
      <c r="X141" s="1433"/>
      <c r="Y141" s="1433"/>
      <c r="Z141" s="1433"/>
      <c r="AA141" s="1433"/>
      <c r="AB141" s="1433"/>
      <c r="AC141" s="1433"/>
      <c r="AD141" s="1433"/>
      <c r="AE141" s="1433"/>
      <c r="AF141" s="1433"/>
      <c r="AG141" s="1433"/>
      <c r="AH141" s="1433"/>
    </row>
    <row r="142" spans="2:37">
      <c r="B142" s="1441"/>
      <c r="D142" s="2131"/>
      <c r="E142" s="2131"/>
      <c r="F142" s="2131"/>
      <c r="W142" s="161"/>
      <c r="X142" s="161"/>
      <c r="Y142" s="161"/>
    </row>
    <row r="143" spans="2:37">
      <c r="B143" s="1441"/>
      <c r="D143" s="424"/>
      <c r="E143" s="424"/>
      <c r="F143" s="424"/>
      <c r="W143" s="161"/>
      <c r="X143" s="161"/>
      <c r="Y143" s="161"/>
    </row>
    <row r="144" spans="2:37">
      <c r="B144" s="1441"/>
      <c r="D144" t="s">
        <v>703</v>
      </c>
      <c r="G144" s="161"/>
      <c r="H144" s="161"/>
      <c r="I144" s="161"/>
      <c r="J144" s="161"/>
      <c r="K144" s="161"/>
      <c r="L144" s="161"/>
      <c r="M144" s="161"/>
      <c r="N144" s="161"/>
      <c r="O144" s="161"/>
      <c r="P144" s="161"/>
      <c r="Q144" s="161"/>
      <c r="R144" s="161"/>
      <c r="S144" s="161"/>
      <c r="T144" s="161"/>
      <c r="U144" s="161"/>
      <c r="V144" s="161"/>
      <c r="W144" s="161"/>
      <c r="X144" s="161"/>
      <c r="Y144" s="424"/>
      <c r="Z144" s="424"/>
      <c r="AA144" s="424"/>
      <c r="AB144" s="424"/>
      <c r="AC144" s="424"/>
      <c r="AD144" s="424"/>
      <c r="AE144" s="424"/>
      <c r="AF144" s="424"/>
      <c r="AG144" s="424"/>
    </row>
    <row r="145" spans="2:37">
      <c r="B145" s="1441"/>
      <c r="D145" s="2133"/>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c r="AH145" s="2135"/>
    </row>
    <row r="146" spans="2:37">
      <c r="B146" s="1441"/>
      <c r="D146" s="2136"/>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8"/>
    </row>
    <row r="147" spans="2:37">
      <c r="B147" s="1441"/>
      <c r="D147" s="2136"/>
      <c r="E147" s="2137"/>
      <c r="F147" s="2137"/>
      <c r="G147" s="2137"/>
      <c r="H147" s="2137"/>
      <c r="I147" s="2137"/>
      <c r="J147" s="2137"/>
      <c r="K147" s="2137"/>
      <c r="L147" s="2137"/>
      <c r="M147" s="2137"/>
      <c r="N147" s="2137"/>
      <c r="O147" s="2137"/>
      <c r="P147" s="2137"/>
      <c r="Q147" s="2137"/>
      <c r="R147" s="2137"/>
      <c r="S147" s="2137"/>
      <c r="T147" s="2137"/>
      <c r="U147" s="2137"/>
      <c r="V147" s="2137"/>
      <c r="W147" s="2137"/>
      <c r="X147" s="2137"/>
      <c r="Y147" s="2137"/>
      <c r="Z147" s="2137"/>
      <c r="AA147" s="2137"/>
      <c r="AB147" s="2137"/>
      <c r="AC147" s="2137"/>
      <c r="AD147" s="2137"/>
      <c r="AE147" s="2137"/>
      <c r="AF147" s="2137"/>
      <c r="AG147" s="2137"/>
      <c r="AH147" s="2138"/>
    </row>
    <row r="148" spans="2:37">
      <c r="B148" s="1441"/>
      <c r="D148" s="2136"/>
      <c r="E148" s="2137"/>
      <c r="F148" s="2137"/>
      <c r="G148" s="2137"/>
      <c r="H148" s="2137"/>
      <c r="I148" s="2137"/>
      <c r="J148" s="2137"/>
      <c r="K148" s="2137"/>
      <c r="L148" s="2137"/>
      <c r="M148" s="2137"/>
      <c r="N148" s="2137"/>
      <c r="O148" s="2137"/>
      <c r="P148" s="2137"/>
      <c r="Q148" s="2137"/>
      <c r="R148" s="2137"/>
      <c r="S148" s="2137"/>
      <c r="T148" s="2137"/>
      <c r="U148" s="2137"/>
      <c r="V148" s="2137"/>
      <c r="W148" s="2137"/>
      <c r="X148" s="2137"/>
      <c r="Y148" s="2137"/>
      <c r="Z148" s="2137"/>
      <c r="AA148" s="2137"/>
      <c r="AB148" s="2137"/>
      <c r="AC148" s="2137"/>
      <c r="AD148" s="2137"/>
      <c r="AE148" s="2137"/>
      <c r="AF148" s="2137"/>
      <c r="AG148" s="2137"/>
      <c r="AH148" s="2138"/>
    </row>
    <row r="149" spans="2:37">
      <c r="B149" s="1441"/>
      <c r="D149" s="2136"/>
      <c r="E149" s="2137"/>
      <c r="F149" s="2137"/>
      <c r="G149" s="2137"/>
      <c r="H149" s="2137"/>
      <c r="I149" s="2137"/>
      <c r="J149" s="2137"/>
      <c r="K149" s="2137"/>
      <c r="L149" s="2137"/>
      <c r="M149" s="2137"/>
      <c r="N149" s="2137"/>
      <c r="O149" s="2137"/>
      <c r="P149" s="2137"/>
      <c r="Q149" s="2137"/>
      <c r="R149" s="2137"/>
      <c r="S149" s="2137"/>
      <c r="T149" s="2137"/>
      <c r="U149" s="2137"/>
      <c r="V149" s="2137"/>
      <c r="W149" s="2137"/>
      <c r="X149" s="2137"/>
      <c r="Y149" s="2137"/>
      <c r="Z149" s="2137"/>
      <c r="AA149" s="2137"/>
      <c r="AB149" s="2137"/>
      <c r="AC149" s="2137"/>
      <c r="AD149" s="2137"/>
      <c r="AE149" s="2137"/>
      <c r="AF149" s="2137"/>
      <c r="AG149" s="2137"/>
      <c r="AH149" s="2138"/>
    </row>
    <row r="150" spans="2:37">
      <c r="B150" s="1441"/>
      <c r="D150" s="2139"/>
      <c r="E150" s="2140"/>
      <c r="F150" s="2140"/>
      <c r="G150" s="2140"/>
      <c r="H150" s="2140"/>
      <c r="I150" s="2140"/>
      <c r="J150" s="2140"/>
      <c r="K150" s="2140"/>
      <c r="L150" s="2140"/>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1"/>
    </row>
    <row r="151" spans="2:37">
      <c r="B151" s="144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424"/>
      <c r="Z151" s="424"/>
      <c r="AA151" s="424"/>
      <c r="AB151" s="424"/>
      <c r="AC151" s="424"/>
      <c r="AD151" s="424"/>
      <c r="AE151" s="424"/>
      <c r="AF151" s="424"/>
      <c r="AG151" s="424"/>
    </row>
    <row r="152" spans="2:37">
      <c r="B152" s="144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row>
    <row r="153" spans="2:37" ht="14.3" customHeight="1">
      <c r="B153" s="1441"/>
      <c r="C153" s="2" t="s">
        <v>716</v>
      </c>
      <c r="G153" s="2129" t="s">
        <v>717</v>
      </c>
      <c r="H153" s="1433"/>
      <c r="I153" s="1433"/>
      <c r="J153" s="1433"/>
      <c r="K153" s="1433"/>
      <c r="L153" s="1433"/>
      <c r="M153" s="1433"/>
      <c r="N153" s="1433"/>
      <c r="O153" s="1433"/>
      <c r="P153" s="1433"/>
      <c r="Q153" s="1433"/>
      <c r="R153" s="1433"/>
      <c r="S153" s="1433"/>
      <c r="T153" s="1433"/>
      <c r="U153" s="1433"/>
      <c r="V153" s="1433"/>
      <c r="W153" s="1433"/>
      <c r="X153" s="1433"/>
      <c r="Y153" s="1433"/>
      <c r="Z153" s="1433"/>
      <c r="AA153" s="1433"/>
      <c r="AB153" s="1433"/>
      <c r="AC153" s="1433"/>
      <c r="AD153" s="1433"/>
      <c r="AE153" s="1433"/>
      <c r="AF153" s="1433"/>
      <c r="AG153" s="1433"/>
      <c r="AH153" s="1433"/>
    </row>
    <row r="154" spans="2:37" ht="14.95" customHeight="1">
      <c r="B154" s="1441"/>
      <c r="C154" s="2127"/>
      <c r="D154" s="2131" t="s">
        <v>718</v>
      </c>
      <c r="E154" s="2131"/>
      <c r="F154" s="2131"/>
      <c r="G154" s="2129"/>
      <c r="H154" s="1433"/>
      <c r="I154" s="1433"/>
      <c r="J154" s="1433"/>
      <c r="K154" s="1433"/>
      <c r="L154" s="1433"/>
      <c r="M154" s="1433"/>
      <c r="N154" s="1433"/>
      <c r="O154" s="1433"/>
      <c r="P154" s="1433"/>
      <c r="Q154" s="1433"/>
      <c r="R154" s="1433"/>
      <c r="S154" s="1433"/>
      <c r="T154" s="1433"/>
      <c r="U154" s="1433"/>
      <c r="V154" s="1433"/>
      <c r="W154" s="1433"/>
      <c r="X154" s="1433"/>
      <c r="Y154" s="1433"/>
      <c r="Z154" s="1433"/>
      <c r="AA154" s="1433"/>
      <c r="AB154" s="1433"/>
      <c r="AC154" s="1433"/>
      <c r="AD154" s="1433"/>
      <c r="AE154" s="1433"/>
      <c r="AF154" s="1433"/>
      <c r="AG154" s="1433"/>
      <c r="AH154" s="1433"/>
    </row>
    <row r="155" spans="2:37">
      <c r="B155" s="1441"/>
      <c r="C155" s="2128"/>
      <c r="D155" s="2131"/>
      <c r="E155" s="2131"/>
      <c r="F155" s="2131"/>
      <c r="G155" s="2129"/>
      <c r="H155" s="1433"/>
      <c r="I155" s="1433"/>
      <c r="J155" s="1433"/>
      <c r="K155" s="1433"/>
      <c r="L155" s="1433"/>
      <c r="M155" s="1433"/>
      <c r="N155" s="1433"/>
      <c r="O155" s="1433"/>
      <c r="P155" s="1433"/>
      <c r="Q155" s="1433"/>
      <c r="R155" s="1433"/>
      <c r="S155" s="1433"/>
      <c r="T155" s="1433"/>
      <c r="U155" s="1433"/>
      <c r="V155" s="1433"/>
      <c r="W155" s="1433"/>
      <c r="X155" s="1433"/>
      <c r="Y155" s="1433"/>
      <c r="Z155" s="1433"/>
      <c r="AA155" s="1433"/>
      <c r="AB155" s="1433"/>
      <c r="AC155" s="1433"/>
      <c r="AD155" s="1433"/>
      <c r="AE155" s="1433"/>
      <c r="AF155" s="1433"/>
      <c r="AG155" s="1433"/>
      <c r="AH155" s="1433"/>
    </row>
    <row r="156" spans="2:37">
      <c r="B156" s="1441"/>
      <c r="D156" s="2131"/>
      <c r="E156" s="2131"/>
      <c r="F156" s="2131"/>
      <c r="G156" s="2129"/>
      <c r="H156" s="1433"/>
      <c r="I156" s="1433"/>
      <c r="J156" s="1433"/>
      <c r="K156" s="1433"/>
      <c r="L156" s="1433"/>
      <c r="M156" s="1433"/>
      <c r="N156" s="1433"/>
      <c r="O156" s="1433"/>
      <c r="P156" s="1433"/>
      <c r="Q156" s="1433"/>
      <c r="R156" s="1433"/>
      <c r="S156" s="1433"/>
      <c r="T156" s="1433"/>
      <c r="U156" s="1433"/>
      <c r="V156" s="1433"/>
      <c r="W156" s="1433"/>
      <c r="X156" s="1433"/>
      <c r="Y156" s="1433"/>
      <c r="Z156" s="1433"/>
      <c r="AA156" s="1433"/>
      <c r="AB156" s="1433"/>
      <c r="AC156" s="1433"/>
      <c r="AD156" s="1433"/>
      <c r="AE156" s="1433"/>
      <c r="AF156" s="1433"/>
      <c r="AG156" s="1433"/>
      <c r="AH156" s="1433"/>
    </row>
    <row r="157" spans="2:37">
      <c r="B157" s="1441"/>
      <c r="D157" s="2131"/>
      <c r="E157" s="2131"/>
      <c r="F157" s="2131"/>
      <c r="W157" s="161"/>
      <c r="X157" s="161"/>
      <c r="Y157" s="161"/>
    </row>
    <row r="158" spans="2:37">
      <c r="B158" s="1441"/>
      <c r="D158" s="424"/>
      <c r="E158" s="424"/>
      <c r="F158" s="424"/>
      <c r="W158" s="161"/>
      <c r="X158" s="161"/>
      <c r="Y158" s="161"/>
    </row>
    <row r="159" spans="2:37">
      <c r="B159" s="1441"/>
      <c r="D159" t="s">
        <v>703</v>
      </c>
      <c r="G159" s="161"/>
      <c r="H159" s="161"/>
      <c r="I159" s="161"/>
      <c r="J159" s="161"/>
      <c r="K159" s="161"/>
      <c r="L159" s="161"/>
      <c r="M159" s="161"/>
      <c r="N159" s="161"/>
      <c r="O159" s="161"/>
      <c r="P159" s="161"/>
      <c r="Q159" s="161"/>
      <c r="R159" s="161"/>
      <c r="S159" s="161"/>
      <c r="T159" s="161"/>
      <c r="U159" s="161"/>
      <c r="V159" s="161"/>
      <c r="W159" s="161"/>
      <c r="X159" s="161"/>
      <c r="Y159" s="424"/>
      <c r="Z159" s="424"/>
      <c r="AA159" s="424"/>
      <c r="AB159" s="424"/>
      <c r="AC159" s="424"/>
      <c r="AD159" s="424"/>
      <c r="AE159" s="424"/>
      <c r="AF159" s="424"/>
      <c r="AG159" s="424"/>
    </row>
    <row r="160" spans="2:37">
      <c r="B160" s="1441"/>
      <c r="D160" s="2133"/>
      <c r="E160" s="2134"/>
      <c r="F160" s="2134"/>
      <c r="G160" s="2134"/>
      <c r="H160" s="2134"/>
      <c r="I160" s="2134"/>
      <c r="J160" s="2134"/>
      <c r="K160" s="2134"/>
      <c r="L160" s="2134"/>
      <c r="M160" s="2134"/>
      <c r="N160" s="2134"/>
      <c r="O160" s="2134"/>
      <c r="P160" s="2134"/>
      <c r="Q160" s="2134"/>
      <c r="R160" s="2134"/>
      <c r="S160" s="2134"/>
      <c r="T160" s="2134"/>
      <c r="U160" s="2134"/>
      <c r="V160" s="2134"/>
      <c r="W160" s="2134"/>
      <c r="X160" s="2134"/>
      <c r="Y160" s="2134"/>
      <c r="Z160" s="2134"/>
      <c r="AA160" s="2134"/>
      <c r="AB160" s="2134"/>
      <c r="AC160" s="2134"/>
      <c r="AD160" s="2134"/>
      <c r="AE160" s="2134"/>
      <c r="AF160" s="2134"/>
      <c r="AG160" s="2134"/>
      <c r="AH160" s="2135"/>
    </row>
    <row r="161" spans="2:34">
      <c r="B161" s="1441"/>
      <c r="D161" s="2136"/>
      <c r="E161" s="2137"/>
      <c r="F161" s="2137"/>
      <c r="G161" s="2137"/>
      <c r="H161" s="2137"/>
      <c r="I161" s="2137"/>
      <c r="J161" s="2137"/>
      <c r="K161" s="2137"/>
      <c r="L161" s="2137"/>
      <c r="M161" s="2137"/>
      <c r="N161" s="2137"/>
      <c r="O161" s="2137"/>
      <c r="P161" s="2137"/>
      <c r="Q161" s="2137"/>
      <c r="R161" s="2137"/>
      <c r="S161" s="2137"/>
      <c r="T161" s="2137"/>
      <c r="U161" s="2137"/>
      <c r="V161" s="2137"/>
      <c r="W161" s="2137"/>
      <c r="X161" s="2137"/>
      <c r="Y161" s="2137"/>
      <c r="Z161" s="2137"/>
      <c r="AA161" s="2137"/>
      <c r="AB161" s="2137"/>
      <c r="AC161" s="2137"/>
      <c r="AD161" s="2137"/>
      <c r="AE161" s="2137"/>
      <c r="AF161" s="2137"/>
      <c r="AG161" s="2137"/>
      <c r="AH161" s="2138"/>
    </row>
    <row r="162" spans="2:34">
      <c r="B162" s="1441"/>
      <c r="D162" s="2136"/>
      <c r="E162" s="2137"/>
      <c r="F162" s="2137"/>
      <c r="G162" s="2137"/>
      <c r="H162" s="2137"/>
      <c r="I162" s="2137"/>
      <c r="J162" s="2137"/>
      <c r="K162" s="2137"/>
      <c r="L162" s="2137"/>
      <c r="M162" s="2137"/>
      <c r="N162" s="2137"/>
      <c r="O162" s="2137"/>
      <c r="P162" s="2137"/>
      <c r="Q162" s="2137"/>
      <c r="R162" s="2137"/>
      <c r="S162" s="2137"/>
      <c r="T162" s="2137"/>
      <c r="U162" s="2137"/>
      <c r="V162" s="2137"/>
      <c r="W162" s="2137"/>
      <c r="X162" s="2137"/>
      <c r="Y162" s="2137"/>
      <c r="Z162" s="2137"/>
      <c r="AA162" s="2137"/>
      <c r="AB162" s="2137"/>
      <c r="AC162" s="2137"/>
      <c r="AD162" s="2137"/>
      <c r="AE162" s="2137"/>
      <c r="AF162" s="2137"/>
      <c r="AG162" s="2137"/>
      <c r="AH162" s="2138"/>
    </row>
    <row r="163" spans="2:34">
      <c r="B163" s="1441"/>
      <c r="D163" s="2136"/>
      <c r="E163" s="2137"/>
      <c r="F163" s="2137"/>
      <c r="G163" s="2137"/>
      <c r="H163" s="2137"/>
      <c r="I163" s="2137"/>
      <c r="J163" s="2137"/>
      <c r="K163" s="2137"/>
      <c r="L163" s="2137"/>
      <c r="M163" s="2137"/>
      <c r="N163" s="2137"/>
      <c r="O163" s="2137"/>
      <c r="P163" s="2137"/>
      <c r="Q163" s="2137"/>
      <c r="R163" s="2137"/>
      <c r="S163" s="2137"/>
      <c r="T163" s="2137"/>
      <c r="U163" s="2137"/>
      <c r="V163" s="2137"/>
      <c r="W163" s="2137"/>
      <c r="X163" s="2137"/>
      <c r="Y163" s="2137"/>
      <c r="Z163" s="2137"/>
      <c r="AA163" s="2137"/>
      <c r="AB163" s="2137"/>
      <c r="AC163" s="2137"/>
      <c r="AD163" s="2137"/>
      <c r="AE163" s="2137"/>
      <c r="AF163" s="2137"/>
      <c r="AG163" s="2137"/>
      <c r="AH163" s="2138"/>
    </row>
    <row r="164" spans="2:34">
      <c r="B164" s="1441"/>
      <c r="D164" s="2136"/>
      <c r="E164" s="2137"/>
      <c r="F164" s="2137"/>
      <c r="G164" s="2137"/>
      <c r="H164" s="2137"/>
      <c r="I164" s="2137"/>
      <c r="J164" s="2137"/>
      <c r="K164" s="2137"/>
      <c r="L164" s="2137"/>
      <c r="M164" s="2137"/>
      <c r="N164" s="2137"/>
      <c r="O164" s="2137"/>
      <c r="P164" s="2137"/>
      <c r="Q164" s="2137"/>
      <c r="R164" s="2137"/>
      <c r="S164" s="2137"/>
      <c r="T164" s="2137"/>
      <c r="U164" s="2137"/>
      <c r="V164" s="2137"/>
      <c r="W164" s="2137"/>
      <c r="X164" s="2137"/>
      <c r="Y164" s="2137"/>
      <c r="Z164" s="2137"/>
      <c r="AA164" s="2137"/>
      <c r="AB164" s="2137"/>
      <c r="AC164" s="2137"/>
      <c r="AD164" s="2137"/>
      <c r="AE164" s="2137"/>
      <c r="AF164" s="2137"/>
      <c r="AG164" s="2137"/>
      <c r="AH164" s="2138"/>
    </row>
    <row r="165" spans="2:34">
      <c r="B165" s="1441"/>
      <c r="D165" s="2139"/>
      <c r="E165" s="2140"/>
      <c r="F165" s="2140"/>
      <c r="G165" s="2140"/>
      <c r="H165" s="2140"/>
      <c r="I165" s="2140"/>
      <c r="J165" s="2140"/>
      <c r="K165" s="2140"/>
      <c r="L165" s="2140"/>
      <c r="M165" s="2140"/>
      <c r="N165" s="2140"/>
      <c r="O165" s="2140"/>
      <c r="P165" s="2140"/>
      <c r="Q165" s="2140"/>
      <c r="R165" s="2140"/>
      <c r="S165" s="2140"/>
      <c r="T165" s="2140"/>
      <c r="U165" s="2140"/>
      <c r="V165" s="2140"/>
      <c r="W165" s="2140"/>
      <c r="X165" s="2140"/>
      <c r="Y165" s="2140"/>
      <c r="Z165" s="2140"/>
      <c r="AA165" s="2140"/>
      <c r="AB165" s="2140"/>
      <c r="AC165" s="2140"/>
      <c r="AD165" s="2140"/>
      <c r="AE165" s="2140"/>
      <c r="AF165" s="2140"/>
      <c r="AG165" s="2140"/>
      <c r="AH165" s="2141"/>
    </row>
    <row r="166" spans="2:34">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424"/>
      <c r="Z166" s="424"/>
      <c r="AA166" s="424"/>
      <c r="AB166" s="424"/>
      <c r="AC166" s="424"/>
      <c r="AD166" s="424"/>
      <c r="AE166" s="424"/>
      <c r="AF166" s="424"/>
      <c r="AG166" s="424"/>
    </row>
    <row r="167" spans="2:34">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row>
  </sheetData>
  <sheetProtection algorithmName="SHA-512" hashValue="h+yK20ST8a/ixDOKXvuHBqXeFqs6oqlXGcuVqtV0vxpHc9d6jkXIdYG6MpuWUg5lr5HIRr0wOByMFCAs3sfi2A==" saltValue="ILeuqo+YYMJ5pVj7Tvpgng==" spinCount="100000" sheet="1" selectLockedCells="1"/>
  <mergeCells count="43">
    <mergeCell ref="D131:AH136"/>
    <mergeCell ref="I7:AB8"/>
    <mergeCell ref="I9:AB10"/>
    <mergeCell ref="I11:AB12"/>
    <mergeCell ref="I13:AB14"/>
    <mergeCell ref="D102:AH107"/>
    <mergeCell ref="A19:AJ19"/>
    <mergeCell ref="D79:F84"/>
    <mergeCell ref="D63:AH65"/>
    <mergeCell ref="C71:AH72"/>
    <mergeCell ref="G78:AH84"/>
    <mergeCell ref="D87:AH92"/>
    <mergeCell ref="C20:AI20"/>
    <mergeCell ref="C21:AI21"/>
    <mergeCell ref="C22:AI22"/>
    <mergeCell ref="C23:AI23"/>
    <mergeCell ref="C24:AI24"/>
    <mergeCell ref="B139:B165"/>
    <mergeCell ref="G110:AH115"/>
    <mergeCell ref="D117:AH122"/>
    <mergeCell ref="C111:C112"/>
    <mergeCell ref="D111:F112"/>
    <mergeCell ref="D160:AH165"/>
    <mergeCell ref="C140:C141"/>
    <mergeCell ref="D140:F142"/>
    <mergeCell ref="C154:C155"/>
    <mergeCell ref="D154:F157"/>
    <mergeCell ref="G139:AH141"/>
    <mergeCell ref="D145:AH150"/>
    <mergeCell ref="G153:AH156"/>
    <mergeCell ref="B109:B123"/>
    <mergeCell ref="G125:AH127"/>
    <mergeCell ref="C126:C127"/>
    <mergeCell ref="G95:AH99"/>
    <mergeCell ref="C79:C80"/>
    <mergeCell ref="C96:C97"/>
    <mergeCell ref="D96:F99"/>
    <mergeCell ref="D126:F128"/>
    <mergeCell ref="B26:B60"/>
    <mergeCell ref="B61:B73"/>
    <mergeCell ref="B74:B93"/>
    <mergeCell ref="B95:B108"/>
    <mergeCell ref="C54:AH60"/>
  </mergeCells>
  <pageMargins left="0.25" right="0.25" top="0.75" bottom="0.75" header="0.3" footer="0.3"/>
  <pageSetup scale="53" fitToHeight="0" orientation="portrait" r:id="rId1"/>
  <rowBreaks count="1" manualBreakCount="1">
    <brk id="93"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70C0"/>
    <pageSetUpPr fitToPage="1"/>
  </sheetPr>
  <dimension ref="A1:AW97"/>
  <sheetViews>
    <sheetView showGridLines="0" showRowColHeaders="0" zoomScale="90" zoomScaleNormal="90" workbookViewId="0"/>
  </sheetViews>
  <sheetFormatPr defaultRowHeight="14.3"/>
  <cols>
    <col min="1" max="1" width="2.875" customWidth="1"/>
    <col min="3" max="3" width="23.875" bestFit="1" customWidth="1"/>
    <col min="6" max="6" width="26" hidden="1" customWidth="1"/>
    <col min="7" max="7" width="17" style="12" hidden="1" customWidth="1"/>
    <col min="8" max="9" width="17.875" hidden="1" customWidth="1"/>
    <col min="10" max="10" width="20.125" hidden="1" customWidth="1"/>
    <col min="11" max="17" width="19.375" hidden="1" customWidth="1"/>
    <col min="18" max="18" width="23.875" bestFit="1" customWidth="1"/>
    <col min="19" max="19" width="10.625" style="12" customWidth="1"/>
    <col min="20" max="29" width="10.625" customWidth="1"/>
    <col min="30" max="32" width="9.125" customWidth="1"/>
    <col min="33" max="33" width="23.625" bestFit="1" customWidth="1"/>
    <col min="34" max="34" width="10.75" style="12" customWidth="1"/>
    <col min="35" max="35" width="19.875" customWidth="1"/>
    <col min="36" max="36" width="24.375" bestFit="1" customWidth="1"/>
    <col min="39" max="39" width="24.375" bestFit="1" customWidth="1"/>
    <col min="40" max="40" width="3" bestFit="1" customWidth="1"/>
    <col min="42" max="44" width="10.625" customWidth="1"/>
    <col min="45" max="45" width="2.625" customWidth="1"/>
    <col min="46" max="48" width="10.625" customWidth="1"/>
  </cols>
  <sheetData>
    <row r="1" spans="1:48" ht="14.95" thickBot="1">
      <c r="A1" s="48"/>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4.95" customHeight="1">
      <c r="F2" s="696" t="s">
        <v>719</v>
      </c>
      <c r="G2" s="697" t="s">
        <v>720</v>
      </c>
      <c r="H2" s="698"/>
      <c r="I2" s="698"/>
      <c r="J2" s="698"/>
      <c r="K2" s="698"/>
      <c r="L2" s="698"/>
      <c r="M2" s="1019"/>
      <c r="N2" s="1157"/>
      <c r="O2" s="1016"/>
      <c r="P2" s="2148" t="s">
        <v>721</v>
      </c>
      <c r="Q2" s="2149"/>
      <c r="S2" s="2145"/>
      <c r="T2" s="2145"/>
      <c r="U2" s="2145"/>
      <c r="V2" s="2162">
        <f>M3</f>
        <v>0.1</v>
      </c>
      <c r="W2" s="1075"/>
      <c r="X2" s="2160" t="s">
        <v>722</v>
      </c>
      <c r="Y2" s="2160"/>
      <c r="Z2" s="2149"/>
      <c r="AA2" s="2148" t="s">
        <v>723</v>
      </c>
      <c r="AB2" s="2160"/>
      <c r="AC2" s="2149"/>
      <c r="AJ2" t="s">
        <v>724</v>
      </c>
      <c r="AK2">
        <v>0</v>
      </c>
      <c r="AP2" s="2148" t="s">
        <v>725</v>
      </c>
      <c r="AQ2" s="2160"/>
      <c r="AR2" s="2149"/>
      <c r="AT2" s="2148" t="s">
        <v>726</v>
      </c>
      <c r="AU2" s="2160"/>
      <c r="AV2" s="2149"/>
    </row>
    <row r="3" spans="1:48" ht="14.95" thickBot="1">
      <c r="F3" s="350"/>
      <c r="G3" s="351"/>
      <c r="H3" s="351"/>
      <c r="I3" s="351"/>
      <c r="J3" s="598">
        <v>0.3</v>
      </c>
      <c r="K3" s="351"/>
      <c r="L3" s="351"/>
      <c r="M3" s="1020">
        <v>0.1</v>
      </c>
      <c r="N3" s="352"/>
      <c r="O3" s="1016"/>
      <c r="P3" s="2150"/>
      <c r="Q3" s="2151"/>
      <c r="S3" s="2146"/>
      <c r="T3" s="2146"/>
      <c r="U3" s="2146"/>
      <c r="V3" s="2163"/>
      <c r="W3" s="1076"/>
      <c r="X3" s="2161"/>
      <c r="Y3" s="2161"/>
      <c r="Z3" s="2151"/>
      <c r="AA3" s="2150"/>
      <c r="AB3" s="2161"/>
      <c r="AC3" s="2151"/>
      <c r="AJ3" t="s">
        <v>727</v>
      </c>
      <c r="AK3">
        <v>1</v>
      </c>
      <c r="AP3" s="2150"/>
      <c r="AQ3" s="2161"/>
      <c r="AR3" s="2151"/>
      <c r="AT3" s="2150"/>
      <c r="AU3" s="2161"/>
      <c r="AV3" s="2151"/>
    </row>
    <row r="4" spans="1:48" ht="52.5" customHeight="1">
      <c r="C4" s="2" t="s">
        <v>290</v>
      </c>
      <c r="D4" s="2" t="s">
        <v>385</v>
      </c>
      <c r="F4" s="359" t="s">
        <v>728</v>
      </c>
      <c r="G4" s="360" t="s">
        <v>729</v>
      </c>
      <c r="H4" s="360" t="s">
        <v>730</v>
      </c>
      <c r="I4" s="360" t="s">
        <v>731</v>
      </c>
      <c r="J4" s="360" t="s">
        <v>732</v>
      </c>
      <c r="K4" s="360" t="s">
        <v>733</v>
      </c>
      <c r="L4" s="360" t="s">
        <v>461</v>
      </c>
      <c r="M4" s="1021" t="s">
        <v>734</v>
      </c>
      <c r="N4" s="57" t="s">
        <v>735</v>
      </c>
      <c r="O4" s="58"/>
      <c r="P4" s="59" t="s">
        <v>736</v>
      </c>
      <c r="Q4" s="60" t="s">
        <v>737</v>
      </c>
      <c r="S4" s="1054" t="s">
        <v>738</v>
      </c>
      <c r="T4" s="1058" t="s">
        <v>730</v>
      </c>
      <c r="U4" s="1039" t="s">
        <v>739</v>
      </c>
      <c r="V4" s="1079" t="s">
        <v>740</v>
      </c>
      <c r="W4" s="1077" t="s">
        <v>741</v>
      </c>
      <c r="X4" s="1073" t="s">
        <v>365</v>
      </c>
      <c r="Y4" s="1021" t="s">
        <v>742</v>
      </c>
      <c r="Z4" s="60" t="s">
        <v>743</v>
      </c>
      <c r="AA4" s="59" t="s">
        <v>365</v>
      </c>
      <c r="AB4" s="360" t="s">
        <v>742</v>
      </c>
      <c r="AC4" s="60" t="s">
        <v>743</v>
      </c>
      <c r="AJ4" t="s">
        <v>700</v>
      </c>
      <c r="AK4">
        <v>2</v>
      </c>
      <c r="AP4" s="1047" t="s">
        <v>365</v>
      </c>
      <c r="AQ4" s="1048" t="s">
        <v>742</v>
      </c>
      <c r="AR4" s="1049" t="s">
        <v>743</v>
      </c>
      <c r="AT4" s="1047" t="s">
        <v>365</v>
      </c>
      <c r="AU4" s="1048" t="s">
        <v>742</v>
      </c>
      <c r="AV4" s="1049" t="s">
        <v>743</v>
      </c>
    </row>
    <row r="5" spans="1:48">
      <c r="C5" t="s">
        <v>744</v>
      </c>
      <c r="D5" t="s">
        <v>237</v>
      </c>
      <c r="F5" s="699" t="s">
        <v>744</v>
      </c>
      <c r="G5" s="700">
        <f>0</f>
        <v>0</v>
      </c>
      <c r="H5" s="700">
        <f>I5*0.5</f>
        <v>0.125</v>
      </c>
      <c r="I5" s="701">
        <f>U5</f>
        <v>0.25</v>
      </c>
      <c r="J5" s="702">
        <f>J$3</f>
        <v>0.3</v>
      </c>
      <c r="K5" s="703">
        <f t="shared" ref="K5:K32" si="0">ROUND(((1-I5)*J5)+I5,2)</f>
        <v>0.48</v>
      </c>
      <c r="L5" s="703">
        <f>IF(D5="Yes",'Control Savings'!$K5*1.1,0)</f>
        <v>0.52800000000000002</v>
      </c>
      <c r="M5" s="1022">
        <f>0</f>
        <v>0</v>
      </c>
      <c r="N5" s="1017">
        <f>IF($D5="Yes",ROUND(((1-$M5)*$J5)+$M5,2),0)</f>
        <v>0.3</v>
      </c>
      <c r="O5" s="61"/>
      <c r="P5" s="705">
        <f t="shared" ref="P5:P32" si="1">($K5*0.33)+($I5*0.67)</f>
        <v>0.32590000000000002</v>
      </c>
      <c r="Q5" s="704">
        <f t="shared" ref="Q5:Q32" si="2">($K5*0.25)+($I5*0.75)</f>
        <v>0.3075</v>
      </c>
      <c r="R5" s="187" t="str">
        <f t="shared" ref="R5:R31" si="3">F5</f>
        <v>Assembly</v>
      </c>
      <c r="S5" s="1055">
        <f>0</f>
        <v>0</v>
      </c>
      <c r="T5" s="1059">
        <f>U5*0.5</f>
        <v>0.125</v>
      </c>
      <c r="U5" s="1036">
        <v>0.25</v>
      </c>
      <c r="V5" s="1078">
        <f>ROUND(((1-$U5)*$M$3)+$U5,2)</f>
        <v>0.33</v>
      </c>
      <c r="W5" s="1078">
        <f>V5</f>
        <v>0.33</v>
      </c>
      <c r="X5" s="1074">
        <f>J$3</f>
        <v>0.3</v>
      </c>
      <c r="Y5" s="703">
        <f>ROUND(((1-$U5)*X5)+$U5,2)</f>
        <v>0.48</v>
      </c>
      <c r="Z5" s="704">
        <f>ROUND(((1-$V5)*X5)+$V5,2)</f>
        <v>0.53</v>
      </c>
      <c r="AA5" s="1053">
        <f t="shared" ref="AA5:AA32" si="4">(X5+(X5/2)+0)/3</f>
        <v>0.15</v>
      </c>
      <c r="AB5" s="703">
        <f>ROUND(((1-$U5)*AA5)+$U5,2)</f>
        <v>0.36</v>
      </c>
      <c r="AC5" s="704">
        <f>ROUND(((1-$V5)*AA5)+$V5,2)</f>
        <v>0.43</v>
      </c>
      <c r="AG5" s="1052" t="s">
        <v>347</v>
      </c>
      <c r="AH5" s="36" t="s">
        <v>328</v>
      </c>
      <c r="AJ5" t="s">
        <v>730</v>
      </c>
      <c r="AK5">
        <v>3</v>
      </c>
      <c r="AP5" s="1044">
        <f t="shared" ref="AP5:AP32" si="5">(X5+(X5/2))/2</f>
        <v>0.22499999999999998</v>
      </c>
      <c r="AQ5" s="1045">
        <f t="shared" ref="AQ5:AQ32" si="6">ROUND(((1-$U5)*AP5)+$U5,2)</f>
        <v>0.42</v>
      </c>
      <c r="AR5" s="1046">
        <f t="shared" ref="AR5:AR32" si="7">ROUND(((1-$V5)*AP5)+$V5,2)</f>
        <v>0.48</v>
      </c>
      <c r="AT5" s="1044">
        <f t="shared" ref="AT5:AT32" si="8">(X5+(X5/2)+0+0)/4</f>
        <v>0.11249999999999999</v>
      </c>
      <c r="AU5" s="1045">
        <f t="shared" ref="AU5:AU32" si="9">ROUND(((1-$U5)*AT5)+$U5,2)</f>
        <v>0.33</v>
      </c>
      <c r="AV5" s="1046">
        <f t="shared" ref="AV5:AV32" si="10">ROUND(((1-$V5)*AT5)+$V5,2)</f>
        <v>0.41</v>
      </c>
    </row>
    <row r="6" spans="1:48">
      <c r="C6" t="s">
        <v>745</v>
      </c>
      <c r="D6" t="s">
        <v>237</v>
      </c>
      <c r="F6" s="706" t="s">
        <v>745</v>
      </c>
      <c r="G6" s="707">
        <f>0</f>
        <v>0</v>
      </c>
      <c r="H6" s="707">
        <f t="shared" ref="H6:H32" si="11">I6*0.5</f>
        <v>0.125</v>
      </c>
      <c r="I6" s="708">
        <f t="shared" ref="I6:I32" si="12">U6</f>
        <v>0.25</v>
      </c>
      <c r="J6" s="709">
        <f t="shared" ref="J6:J32" si="13">J$3</f>
        <v>0.3</v>
      </c>
      <c r="K6" s="710">
        <f t="shared" si="0"/>
        <v>0.48</v>
      </c>
      <c r="L6" s="710">
        <f>IF(D6="Yes",'Control Savings'!$K6*1.1,0)</f>
        <v>0.52800000000000002</v>
      </c>
      <c r="M6" s="729">
        <f>0</f>
        <v>0</v>
      </c>
      <c r="N6" s="1025">
        <f>IF($D6="Yes",ROUND(((1-$M6)*$J6)+$M6,2),0)</f>
        <v>0.3</v>
      </c>
      <c r="O6" s="61"/>
      <c r="P6" s="711">
        <f t="shared" si="1"/>
        <v>0.32590000000000002</v>
      </c>
      <c r="Q6" s="712">
        <f t="shared" si="2"/>
        <v>0.3075</v>
      </c>
      <c r="R6" s="187" t="str">
        <f t="shared" si="3"/>
        <v>Break Room</v>
      </c>
      <c r="S6" s="1056">
        <f>0</f>
        <v>0</v>
      </c>
      <c r="T6" s="1056">
        <f t="shared" ref="T6:T32" si="14">U6*0.5</f>
        <v>0.125</v>
      </c>
      <c r="U6" s="1037">
        <v>0.25</v>
      </c>
      <c r="V6" s="1037">
        <f t="shared" ref="V6:V32" si="15">ROUND(((1-$U6)*$M$3)+$U6,2)</f>
        <v>0.33</v>
      </c>
      <c r="W6" s="1037">
        <f>V6</f>
        <v>0.33</v>
      </c>
      <c r="X6" s="1071">
        <f t="shared" ref="X6:X32" si="16">J$3</f>
        <v>0.3</v>
      </c>
      <c r="Y6" s="710">
        <f t="shared" ref="Y6:Y32" si="17">ROUND(((1-$U6)*X6)+$U6,2)</f>
        <v>0.48</v>
      </c>
      <c r="Z6" s="712">
        <f t="shared" ref="Z6:Z32" si="18">ROUND(((1-$V6)*X6)+$V6,2)</f>
        <v>0.53</v>
      </c>
      <c r="AA6" s="1050">
        <f t="shared" si="4"/>
        <v>0.15</v>
      </c>
      <c r="AB6" s="710">
        <f t="shared" ref="AB6:AB32" si="19">ROUND(((1-$U6)*AA6)+$U6,2)</f>
        <v>0.36</v>
      </c>
      <c r="AC6" s="712">
        <f t="shared" ref="AC6:AC32" si="20">ROUND(((1-$V6)*AA6)+$V6,2)</f>
        <v>0.43</v>
      </c>
      <c r="AG6" s="25" t="s">
        <v>727</v>
      </c>
      <c r="AH6" s="34">
        <v>2</v>
      </c>
      <c r="AJ6" t="s">
        <v>746</v>
      </c>
      <c r="AK6">
        <v>4</v>
      </c>
      <c r="AP6" s="1040">
        <f t="shared" si="5"/>
        <v>0.22499999999999998</v>
      </c>
      <c r="AQ6" s="710">
        <f t="shared" si="6"/>
        <v>0.42</v>
      </c>
      <c r="AR6" s="712">
        <f t="shared" si="7"/>
        <v>0.48</v>
      </c>
      <c r="AT6" s="1040">
        <f t="shared" si="8"/>
        <v>0.11249999999999999</v>
      </c>
      <c r="AU6" s="710">
        <f t="shared" si="9"/>
        <v>0.33</v>
      </c>
      <c r="AV6" s="712">
        <f t="shared" si="10"/>
        <v>0.41</v>
      </c>
    </row>
    <row r="7" spans="1:48">
      <c r="C7" t="s">
        <v>747</v>
      </c>
      <c r="D7" t="s">
        <v>237</v>
      </c>
      <c r="F7" s="699" t="s">
        <v>747</v>
      </c>
      <c r="G7" s="700">
        <f>0</f>
        <v>0</v>
      </c>
      <c r="H7" s="700">
        <f t="shared" si="11"/>
        <v>7.4999999999999997E-2</v>
      </c>
      <c r="I7" s="701">
        <f t="shared" si="12"/>
        <v>0.15</v>
      </c>
      <c r="J7" s="702">
        <f t="shared" si="13"/>
        <v>0.3</v>
      </c>
      <c r="K7" s="703">
        <f>ROUND(((1-I7)*J7)+I7,2)</f>
        <v>0.41</v>
      </c>
      <c r="L7" s="703">
        <f>IF($D7="Yes",ROUND(((1-$M7)*$J7)+$M7,2),0)</f>
        <v>0.47</v>
      </c>
      <c r="M7" s="1022">
        <f>ROUND(((1-I7)*M$3)+I7,2)</f>
        <v>0.24</v>
      </c>
      <c r="N7" s="1017">
        <f>IF($D7="Yes",ROUND(((1-$M7)*$J7)+$M7,2),0)</f>
        <v>0.47</v>
      </c>
      <c r="O7" s="61"/>
      <c r="P7" s="705">
        <f t="shared" si="1"/>
        <v>0.23580000000000001</v>
      </c>
      <c r="Q7" s="704">
        <f t="shared" si="2"/>
        <v>0.21499999999999997</v>
      </c>
      <c r="R7" s="187" t="str">
        <f t="shared" si="3"/>
        <v>Classroom</v>
      </c>
      <c r="S7" s="1055">
        <f>0</f>
        <v>0</v>
      </c>
      <c r="T7" s="1059">
        <f t="shared" si="14"/>
        <v>7.4999999999999997E-2</v>
      </c>
      <c r="U7" s="1036">
        <v>0.15</v>
      </c>
      <c r="V7" s="1078">
        <f>ROUND(((1-$U7)*$V$2)+$U7,2)</f>
        <v>0.24</v>
      </c>
      <c r="W7" s="1078">
        <f t="shared" ref="W7:W32" si="21">V7</f>
        <v>0.24</v>
      </c>
      <c r="X7" s="1074">
        <f t="shared" si="16"/>
        <v>0.3</v>
      </c>
      <c r="Y7" s="703">
        <f t="shared" si="17"/>
        <v>0.41</v>
      </c>
      <c r="Z7" s="704">
        <f t="shared" si="18"/>
        <v>0.47</v>
      </c>
      <c r="AA7" s="1053">
        <f t="shared" si="4"/>
        <v>0.15</v>
      </c>
      <c r="AB7" s="703">
        <f t="shared" si="19"/>
        <v>0.28000000000000003</v>
      </c>
      <c r="AC7" s="704">
        <f t="shared" si="20"/>
        <v>0.35</v>
      </c>
      <c r="AG7" s="22" t="s">
        <v>730</v>
      </c>
      <c r="AH7" s="33">
        <v>3</v>
      </c>
      <c r="AJ7" t="s">
        <v>748</v>
      </c>
      <c r="AK7">
        <v>5</v>
      </c>
      <c r="AP7" s="1044">
        <f t="shared" si="5"/>
        <v>0.22499999999999998</v>
      </c>
      <c r="AQ7" s="1045">
        <f t="shared" si="6"/>
        <v>0.34</v>
      </c>
      <c r="AR7" s="1046">
        <f t="shared" si="7"/>
        <v>0.41</v>
      </c>
      <c r="AT7" s="1044">
        <f t="shared" si="8"/>
        <v>0.11249999999999999</v>
      </c>
      <c r="AU7" s="1045">
        <f t="shared" si="9"/>
        <v>0.25</v>
      </c>
      <c r="AV7" s="1046">
        <f t="shared" si="10"/>
        <v>0.33</v>
      </c>
    </row>
    <row r="8" spans="1:48">
      <c r="C8" t="s">
        <v>749</v>
      </c>
      <c r="D8" t="s">
        <v>237</v>
      </c>
      <c r="F8" s="706" t="s">
        <v>749</v>
      </c>
      <c r="G8" s="707">
        <f>0</f>
        <v>0</v>
      </c>
      <c r="H8" s="707">
        <f t="shared" si="11"/>
        <v>0.125</v>
      </c>
      <c r="I8" s="708">
        <f t="shared" si="12"/>
        <v>0.25</v>
      </c>
      <c r="J8" s="709">
        <f t="shared" si="13"/>
        <v>0.3</v>
      </c>
      <c r="K8" s="710">
        <f t="shared" si="0"/>
        <v>0.48</v>
      </c>
      <c r="L8" s="710">
        <f>IF(D8="Yes",'Control Savings'!$K8*1.1,0)</f>
        <v>0.52800000000000002</v>
      </c>
      <c r="M8" s="1023">
        <f>0</f>
        <v>0</v>
      </c>
      <c r="N8" s="1018">
        <f t="shared" ref="N8:N32" si="22">IF($D8="Yes",ROUND(((1-$M8)*$J8)+$M8,2),0)</f>
        <v>0.3</v>
      </c>
      <c r="O8" s="61"/>
      <c r="P8" s="711">
        <f t="shared" si="1"/>
        <v>0.32590000000000002</v>
      </c>
      <c r="Q8" s="712">
        <f t="shared" si="2"/>
        <v>0.3075</v>
      </c>
      <c r="R8" s="187" t="str">
        <f t="shared" si="3"/>
        <v>Computer Room</v>
      </c>
      <c r="S8" s="1056">
        <f>0</f>
        <v>0</v>
      </c>
      <c r="T8" s="1056">
        <f t="shared" si="14"/>
        <v>0.125</v>
      </c>
      <c r="U8" s="1037">
        <v>0.25</v>
      </c>
      <c r="V8" s="1037">
        <f t="shared" si="15"/>
        <v>0.33</v>
      </c>
      <c r="W8" s="1037">
        <f t="shared" si="21"/>
        <v>0.33</v>
      </c>
      <c r="X8" s="1071">
        <f t="shared" si="16"/>
        <v>0.3</v>
      </c>
      <c r="Y8" s="710">
        <f t="shared" si="17"/>
        <v>0.48</v>
      </c>
      <c r="Z8" s="712">
        <f t="shared" si="18"/>
        <v>0.53</v>
      </c>
      <c r="AA8" s="1050">
        <f t="shared" si="4"/>
        <v>0.15</v>
      </c>
      <c r="AB8" s="710">
        <f t="shared" si="19"/>
        <v>0.36</v>
      </c>
      <c r="AC8" s="712">
        <f t="shared" si="20"/>
        <v>0.43</v>
      </c>
      <c r="AG8" s="25" t="s">
        <v>700</v>
      </c>
      <c r="AH8" s="34">
        <v>4</v>
      </c>
      <c r="AJ8" t="s">
        <v>750</v>
      </c>
      <c r="AK8">
        <v>6</v>
      </c>
      <c r="AP8" s="1040">
        <f t="shared" si="5"/>
        <v>0.22499999999999998</v>
      </c>
      <c r="AQ8" s="710">
        <f t="shared" si="6"/>
        <v>0.42</v>
      </c>
      <c r="AR8" s="712">
        <f t="shared" si="7"/>
        <v>0.48</v>
      </c>
      <c r="AT8" s="1040">
        <f t="shared" si="8"/>
        <v>0.11249999999999999</v>
      </c>
      <c r="AU8" s="710">
        <f t="shared" si="9"/>
        <v>0.33</v>
      </c>
      <c r="AV8" s="712">
        <f t="shared" si="10"/>
        <v>0.41</v>
      </c>
    </row>
    <row r="9" spans="1:48">
      <c r="C9" t="s">
        <v>751</v>
      </c>
      <c r="D9" t="s">
        <v>237</v>
      </c>
      <c r="F9" s="699" t="s">
        <v>751</v>
      </c>
      <c r="G9" s="700">
        <f>0</f>
        <v>0</v>
      </c>
      <c r="H9" s="700">
        <f t="shared" si="11"/>
        <v>0.125</v>
      </c>
      <c r="I9" s="701">
        <f t="shared" si="12"/>
        <v>0.25</v>
      </c>
      <c r="J9" s="702">
        <f t="shared" si="13"/>
        <v>0.3</v>
      </c>
      <c r="K9" s="703">
        <f t="shared" si="0"/>
        <v>0.48</v>
      </c>
      <c r="L9" s="703">
        <f>IF(D9="Yes",ROUND(((1-M9)*J9)+M9,2),0)</f>
        <v>0.53</v>
      </c>
      <c r="M9" s="1022">
        <f>ROUND(((1-I9)*M$3)+I9,2)</f>
        <v>0.33</v>
      </c>
      <c r="N9" s="1017">
        <f t="shared" si="22"/>
        <v>0.53</v>
      </c>
      <c r="O9" s="61"/>
      <c r="P9" s="705">
        <f t="shared" si="1"/>
        <v>0.32590000000000002</v>
      </c>
      <c r="Q9" s="704">
        <f t="shared" si="2"/>
        <v>0.3075</v>
      </c>
      <c r="R9" s="187" t="str">
        <f t="shared" si="3"/>
        <v>Conference Room</v>
      </c>
      <c r="S9" s="1055">
        <f>0</f>
        <v>0</v>
      </c>
      <c r="T9" s="1059">
        <f t="shared" si="14"/>
        <v>0.125</v>
      </c>
      <c r="U9" s="1036">
        <v>0.25</v>
      </c>
      <c r="V9" s="1078">
        <f t="shared" si="15"/>
        <v>0.33</v>
      </c>
      <c r="W9" s="1078">
        <f t="shared" si="21"/>
        <v>0.33</v>
      </c>
      <c r="X9" s="1074">
        <f t="shared" si="16"/>
        <v>0.3</v>
      </c>
      <c r="Y9" s="703">
        <f t="shared" si="17"/>
        <v>0.48</v>
      </c>
      <c r="Z9" s="704">
        <f t="shared" si="18"/>
        <v>0.53</v>
      </c>
      <c r="AA9" s="1053">
        <f t="shared" si="4"/>
        <v>0.15</v>
      </c>
      <c r="AB9" s="703">
        <f t="shared" si="19"/>
        <v>0.36</v>
      </c>
      <c r="AC9" s="704">
        <f t="shared" si="20"/>
        <v>0.43</v>
      </c>
      <c r="AG9" s="22" t="s">
        <v>746</v>
      </c>
      <c r="AH9" s="33">
        <v>5</v>
      </c>
      <c r="AJ9" t="s">
        <v>752</v>
      </c>
      <c r="AK9">
        <v>7</v>
      </c>
      <c r="AP9" s="1044">
        <f t="shared" si="5"/>
        <v>0.22499999999999998</v>
      </c>
      <c r="AQ9" s="1045">
        <f t="shared" si="6"/>
        <v>0.42</v>
      </c>
      <c r="AR9" s="1046">
        <f t="shared" si="7"/>
        <v>0.48</v>
      </c>
      <c r="AT9" s="1044">
        <f t="shared" si="8"/>
        <v>0.11249999999999999</v>
      </c>
      <c r="AU9" s="1045">
        <f t="shared" si="9"/>
        <v>0.33</v>
      </c>
      <c r="AV9" s="1046">
        <f t="shared" si="10"/>
        <v>0.41</v>
      </c>
    </row>
    <row r="10" spans="1:48">
      <c r="C10" t="s">
        <v>753</v>
      </c>
      <c r="D10" t="s">
        <v>237</v>
      </c>
      <c r="F10" s="706" t="s">
        <v>753</v>
      </c>
      <c r="G10" s="707">
        <f>0</f>
        <v>0</v>
      </c>
      <c r="H10" s="707">
        <f t="shared" si="11"/>
        <v>7.4999999999999997E-2</v>
      </c>
      <c r="I10" s="708">
        <f t="shared" si="12"/>
        <v>0.15</v>
      </c>
      <c r="J10" s="709">
        <f t="shared" si="13"/>
        <v>0.3</v>
      </c>
      <c r="K10" s="710">
        <f t="shared" si="0"/>
        <v>0.41</v>
      </c>
      <c r="L10" s="710">
        <f>IF(D10="Yes",'Control Savings'!$K10*1.1,0)</f>
        <v>0.45100000000000001</v>
      </c>
      <c r="M10" s="1023">
        <f>0</f>
        <v>0</v>
      </c>
      <c r="N10" s="1018">
        <f t="shared" si="22"/>
        <v>0.3</v>
      </c>
      <c r="O10" s="61"/>
      <c r="P10" s="711">
        <f t="shared" si="1"/>
        <v>0.23580000000000001</v>
      </c>
      <c r="Q10" s="712">
        <f t="shared" si="2"/>
        <v>0.21499999999999997</v>
      </c>
      <c r="R10" s="187" t="str">
        <f t="shared" si="3"/>
        <v>Dining</v>
      </c>
      <c r="S10" s="1056">
        <f>0</f>
        <v>0</v>
      </c>
      <c r="T10" s="1056">
        <f t="shared" si="14"/>
        <v>7.4999999999999997E-2</v>
      </c>
      <c r="U10" s="1037">
        <v>0.15</v>
      </c>
      <c r="V10" s="1037">
        <f t="shared" si="15"/>
        <v>0.24</v>
      </c>
      <c r="W10" s="1037">
        <f t="shared" si="21"/>
        <v>0.24</v>
      </c>
      <c r="X10" s="1071">
        <f t="shared" si="16"/>
        <v>0.3</v>
      </c>
      <c r="Y10" s="710">
        <f t="shared" si="17"/>
        <v>0.41</v>
      </c>
      <c r="Z10" s="712">
        <f t="shared" si="18"/>
        <v>0.47</v>
      </c>
      <c r="AA10" s="1050">
        <f t="shared" si="4"/>
        <v>0.15</v>
      </c>
      <c r="AB10" s="710">
        <f t="shared" si="19"/>
        <v>0.28000000000000003</v>
      </c>
      <c r="AC10" s="712">
        <f t="shared" si="20"/>
        <v>0.35</v>
      </c>
      <c r="AG10" s="25" t="s">
        <v>748</v>
      </c>
      <c r="AH10" s="34">
        <v>6</v>
      </c>
      <c r="AJ10" t="s">
        <v>754</v>
      </c>
      <c r="AK10">
        <v>8</v>
      </c>
      <c r="AP10" s="1040">
        <f t="shared" si="5"/>
        <v>0.22499999999999998</v>
      </c>
      <c r="AQ10" s="710">
        <f t="shared" si="6"/>
        <v>0.34</v>
      </c>
      <c r="AR10" s="712">
        <f t="shared" si="7"/>
        <v>0.41</v>
      </c>
      <c r="AT10" s="1040">
        <f t="shared" si="8"/>
        <v>0.11249999999999999</v>
      </c>
      <c r="AU10" s="710">
        <f t="shared" si="9"/>
        <v>0.25</v>
      </c>
      <c r="AV10" s="712">
        <f t="shared" si="10"/>
        <v>0.33</v>
      </c>
    </row>
    <row r="11" spans="1:48">
      <c r="C11" t="s">
        <v>755</v>
      </c>
      <c r="D11" t="s">
        <v>237</v>
      </c>
      <c r="F11" s="699" t="s">
        <v>755</v>
      </c>
      <c r="G11" s="700">
        <f>0</f>
        <v>0</v>
      </c>
      <c r="H11" s="700">
        <f t="shared" si="11"/>
        <v>0.125</v>
      </c>
      <c r="I11" s="701">
        <f t="shared" si="12"/>
        <v>0.25</v>
      </c>
      <c r="J11" s="702">
        <f t="shared" si="13"/>
        <v>0.3</v>
      </c>
      <c r="K11" s="703">
        <f t="shared" si="0"/>
        <v>0.48</v>
      </c>
      <c r="L11" s="703">
        <f>IF(D11="Yes",'Control Savings'!$K11*1.1,0)</f>
        <v>0.52800000000000002</v>
      </c>
      <c r="M11" s="1022">
        <f>0</f>
        <v>0</v>
      </c>
      <c r="N11" s="1017">
        <f t="shared" si="22"/>
        <v>0.3</v>
      </c>
      <c r="O11" s="61"/>
      <c r="P11" s="705">
        <f t="shared" si="1"/>
        <v>0.32590000000000002</v>
      </c>
      <c r="Q11" s="704">
        <f t="shared" si="2"/>
        <v>0.3075</v>
      </c>
      <c r="R11" s="187" t="str">
        <f t="shared" si="3"/>
        <v>Gymnasium</v>
      </c>
      <c r="S11" s="1055">
        <f>0</f>
        <v>0</v>
      </c>
      <c r="T11" s="1059">
        <f t="shared" si="14"/>
        <v>0.125</v>
      </c>
      <c r="U11" s="1036">
        <v>0.25</v>
      </c>
      <c r="V11" s="1078">
        <f t="shared" si="15"/>
        <v>0.33</v>
      </c>
      <c r="W11" s="1078">
        <f t="shared" si="21"/>
        <v>0.33</v>
      </c>
      <c r="X11" s="1074">
        <f t="shared" si="16"/>
        <v>0.3</v>
      </c>
      <c r="Y11" s="703">
        <f t="shared" si="17"/>
        <v>0.48</v>
      </c>
      <c r="Z11" s="704">
        <f t="shared" si="18"/>
        <v>0.53</v>
      </c>
      <c r="AA11" s="1053">
        <f t="shared" si="4"/>
        <v>0.15</v>
      </c>
      <c r="AB11" s="703">
        <f t="shared" si="19"/>
        <v>0.36</v>
      </c>
      <c r="AC11" s="704">
        <f t="shared" si="20"/>
        <v>0.43</v>
      </c>
      <c r="AG11" s="22" t="s">
        <v>735</v>
      </c>
      <c r="AH11" s="33">
        <v>9</v>
      </c>
      <c r="AJ11" t="s">
        <v>461</v>
      </c>
      <c r="AK11">
        <v>9</v>
      </c>
      <c r="AP11" s="1044">
        <f t="shared" si="5"/>
        <v>0.22499999999999998</v>
      </c>
      <c r="AQ11" s="1045">
        <f t="shared" si="6"/>
        <v>0.42</v>
      </c>
      <c r="AR11" s="1046">
        <f t="shared" si="7"/>
        <v>0.48</v>
      </c>
      <c r="AT11" s="1044">
        <f t="shared" si="8"/>
        <v>0.11249999999999999</v>
      </c>
      <c r="AU11" s="1045">
        <f t="shared" si="9"/>
        <v>0.33</v>
      </c>
      <c r="AV11" s="1046">
        <f t="shared" si="10"/>
        <v>0.41</v>
      </c>
    </row>
    <row r="12" spans="1:48">
      <c r="C12" t="s">
        <v>756</v>
      </c>
      <c r="D12" t="s">
        <v>237</v>
      </c>
      <c r="F12" s="706" t="s">
        <v>757</v>
      </c>
      <c r="G12" s="707">
        <f>0</f>
        <v>0</v>
      </c>
      <c r="H12" s="707">
        <f t="shared" si="11"/>
        <v>0.125</v>
      </c>
      <c r="I12" s="708">
        <f t="shared" si="12"/>
        <v>0.25</v>
      </c>
      <c r="J12" s="709">
        <f t="shared" si="13"/>
        <v>0.3</v>
      </c>
      <c r="K12" s="710">
        <f t="shared" si="0"/>
        <v>0.48</v>
      </c>
      <c r="L12" s="710">
        <f>IF(D12="Yes",'Control Savings'!$K12*1.1,0)</f>
        <v>0.52800000000000002</v>
      </c>
      <c r="M12" s="1023">
        <v>0.3</v>
      </c>
      <c r="N12" s="1018">
        <f t="shared" si="22"/>
        <v>0.51</v>
      </c>
      <c r="O12" s="61"/>
      <c r="P12" s="711">
        <f t="shared" si="1"/>
        <v>0.32590000000000002</v>
      </c>
      <c r="Q12" s="712">
        <f t="shared" si="2"/>
        <v>0.3075</v>
      </c>
      <c r="R12" s="187" t="str">
        <f t="shared" si="3"/>
        <v>Gymnasium (Daylighted)</v>
      </c>
      <c r="S12" s="1056">
        <f>0</f>
        <v>0</v>
      </c>
      <c r="T12" s="1056">
        <f t="shared" si="14"/>
        <v>0.125</v>
      </c>
      <c r="U12" s="1037">
        <v>0.25</v>
      </c>
      <c r="V12" s="1037">
        <f t="shared" si="15"/>
        <v>0.33</v>
      </c>
      <c r="W12" s="1037">
        <f t="shared" si="21"/>
        <v>0.33</v>
      </c>
      <c r="X12" s="1071">
        <f t="shared" si="16"/>
        <v>0.3</v>
      </c>
      <c r="Y12" s="710">
        <f t="shared" si="17"/>
        <v>0.48</v>
      </c>
      <c r="Z12" s="712">
        <f t="shared" si="18"/>
        <v>0.53</v>
      </c>
      <c r="AA12" s="1050">
        <f t="shared" si="4"/>
        <v>0.15</v>
      </c>
      <c r="AB12" s="710">
        <f t="shared" si="19"/>
        <v>0.36</v>
      </c>
      <c r="AC12" s="712">
        <f t="shared" si="20"/>
        <v>0.43</v>
      </c>
      <c r="AG12" s="30" t="s">
        <v>461</v>
      </c>
      <c r="AH12" s="35">
        <v>7</v>
      </c>
      <c r="AJ12" t="s">
        <v>758</v>
      </c>
      <c r="AK12">
        <v>10</v>
      </c>
      <c r="AP12" s="1040">
        <f t="shared" si="5"/>
        <v>0.22499999999999998</v>
      </c>
      <c r="AQ12" s="710">
        <f t="shared" si="6"/>
        <v>0.42</v>
      </c>
      <c r="AR12" s="712">
        <f t="shared" si="7"/>
        <v>0.48</v>
      </c>
      <c r="AT12" s="1040">
        <f t="shared" si="8"/>
        <v>0.11249999999999999</v>
      </c>
      <c r="AU12" s="710">
        <f t="shared" si="9"/>
        <v>0.33</v>
      </c>
      <c r="AV12" s="712">
        <f t="shared" si="10"/>
        <v>0.41</v>
      </c>
    </row>
    <row r="13" spans="1:48">
      <c r="C13" t="s">
        <v>759</v>
      </c>
      <c r="D13" t="s">
        <v>237</v>
      </c>
      <c r="F13" s="706" t="s">
        <v>759</v>
      </c>
      <c r="G13" s="707">
        <f>0</f>
        <v>0</v>
      </c>
      <c r="H13" s="707">
        <f t="shared" si="11"/>
        <v>0.3</v>
      </c>
      <c r="I13" s="708">
        <f t="shared" si="12"/>
        <v>0.6</v>
      </c>
      <c r="J13" s="709">
        <f t="shared" si="13"/>
        <v>0.3</v>
      </c>
      <c r="K13" s="710">
        <f t="shared" si="0"/>
        <v>0.72</v>
      </c>
      <c r="L13" s="710">
        <f>IF(D13="Yes",'Control Savings'!$K13*1.1,0)</f>
        <v>0.79200000000000004</v>
      </c>
      <c r="M13" s="1023">
        <f>0</f>
        <v>0</v>
      </c>
      <c r="N13" s="1018">
        <f t="shared" si="22"/>
        <v>0.3</v>
      </c>
      <c r="O13" s="61"/>
      <c r="P13" s="711">
        <f t="shared" si="1"/>
        <v>0.63960000000000006</v>
      </c>
      <c r="Q13" s="712">
        <f t="shared" si="2"/>
        <v>0.62999999999999989</v>
      </c>
      <c r="R13" s="187" t="str">
        <f t="shared" si="3"/>
        <v>Hallway</v>
      </c>
      <c r="S13" s="1055">
        <f>0</f>
        <v>0</v>
      </c>
      <c r="T13" s="1059">
        <f t="shared" si="14"/>
        <v>0.3</v>
      </c>
      <c r="U13" s="1036">
        <v>0.6</v>
      </c>
      <c r="V13" s="1078">
        <f t="shared" si="15"/>
        <v>0.64</v>
      </c>
      <c r="W13" s="1078">
        <f t="shared" si="21"/>
        <v>0.64</v>
      </c>
      <c r="X13" s="1074">
        <f t="shared" si="16"/>
        <v>0.3</v>
      </c>
      <c r="Y13" s="703">
        <f t="shared" si="17"/>
        <v>0.72</v>
      </c>
      <c r="Z13" s="704">
        <f t="shared" si="18"/>
        <v>0.75</v>
      </c>
      <c r="AA13" s="1053">
        <f t="shared" si="4"/>
        <v>0.15</v>
      </c>
      <c r="AB13" s="703">
        <f t="shared" si="19"/>
        <v>0.66</v>
      </c>
      <c r="AC13" s="704">
        <f t="shared" si="20"/>
        <v>0.69</v>
      </c>
      <c r="AP13" s="1044">
        <f t="shared" si="5"/>
        <v>0.22499999999999998</v>
      </c>
      <c r="AQ13" s="1045">
        <f t="shared" si="6"/>
        <v>0.69</v>
      </c>
      <c r="AR13" s="1046">
        <f t="shared" si="7"/>
        <v>0.72</v>
      </c>
      <c r="AT13" s="1044">
        <f t="shared" si="8"/>
        <v>0.11249999999999999</v>
      </c>
      <c r="AU13" s="1045">
        <f t="shared" si="9"/>
        <v>0.65</v>
      </c>
      <c r="AV13" s="1046">
        <f t="shared" si="10"/>
        <v>0.68</v>
      </c>
    </row>
    <row r="14" spans="1:48">
      <c r="C14" t="s">
        <v>760</v>
      </c>
      <c r="D14" t="s">
        <v>237</v>
      </c>
      <c r="F14" s="699" t="s">
        <v>760</v>
      </c>
      <c r="G14" s="700">
        <f>0</f>
        <v>0</v>
      </c>
      <c r="H14" s="700">
        <f t="shared" si="11"/>
        <v>0.125</v>
      </c>
      <c r="I14" s="701">
        <f t="shared" si="12"/>
        <v>0.25</v>
      </c>
      <c r="J14" s="702">
        <f t="shared" si="13"/>
        <v>0.3</v>
      </c>
      <c r="K14" s="703">
        <f t="shared" si="0"/>
        <v>0.48</v>
      </c>
      <c r="L14" s="703">
        <f>IF(D14="Yes",'Control Savings'!$K14*1.1,0)</f>
        <v>0.52800000000000002</v>
      </c>
      <c r="M14" s="1022">
        <f>0</f>
        <v>0</v>
      </c>
      <c r="N14" s="1017">
        <f t="shared" si="22"/>
        <v>0.3</v>
      </c>
      <c r="O14" s="61"/>
      <c r="P14" s="705">
        <f t="shared" si="1"/>
        <v>0.32590000000000002</v>
      </c>
      <c r="Q14" s="704">
        <f t="shared" si="2"/>
        <v>0.3075</v>
      </c>
      <c r="R14" s="187" t="str">
        <f t="shared" si="3"/>
        <v>Hospital Room</v>
      </c>
      <c r="S14" s="1056">
        <f>0</f>
        <v>0</v>
      </c>
      <c r="T14" s="1056">
        <f t="shared" si="14"/>
        <v>0.125</v>
      </c>
      <c r="U14" s="1037">
        <v>0.25</v>
      </c>
      <c r="V14" s="1037">
        <f t="shared" si="15"/>
        <v>0.33</v>
      </c>
      <c r="W14" s="1037">
        <f t="shared" si="21"/>
        <v>0.33</v>
      </c>
      <c r="X14" s="1071">
        <f t="shared" si="16"/>
        <v>0.3</v>
      </c>
      <c r="Y14" s="710">
        <f t="shared" si="17"/>
        <v>0.48</v>
      </c>
      <c r="Z14" s="712">
        <f t="shared" si="18"/>
        <v>0.53</v>
      </c>
      <c r="AA14" s="1050">
        <f t="shared" si="4"/>
        <v>0.15</v>
      </c>
      <c r="AB14" s="710">
        <f t="shared" si="19"/>
        <v>0.36</v>
      </c>
      <c r="AC14" s="712">
        <f t="shared" si="20"/>
        <v>0.43</v>
      </c>
      <c r="AG14" s="20" t="s">
        <v>365</v>
      </c>
      <c r="AH14" s="36" t="s">
        <v>328</v>
      </c>
      <c r="AP14" s="1040">
        <f t="shared" si="5"/>
        <v>0.22499999999999998</v>
      </c>
      <c r="AQ14" s="710">
        <f t="shared" si="6"/>
        <v>0.42</v>
      </c>
      <c r="AR14" s="712">
        <f t="shared" si="7"/>
        <v>0.48</v>
      </c>
      <c r="AT14" s="1040">
        <f t="shared" si="8"/>
        <v>0.11249999999999999</v>
      </c>
      <c r="AU14" s="710">
        <f t="shared" si="9"/>
        <v>0.33</v>
      </c>
      <c r="AV14" s="712">
        <f t="shared" si="10"/>
        <v>0.41</v>
      </c>
    </row>
    <row r="15" spans="1:48">
      <c r="C15" t="s">
        <v>761</v>
      </c>
      <c r="D15" t="s">
        <v>237</v>
      </c>
      <c r="F15" s="706" t="s">
        <v>761</v>
      </c>
      <c r="G15" s="707">
        <f>0</f>
        <v>0</v>
      </c>
      <c r="H15" s="707">
        <f t="shared" si="11"/>
        <v>0.125</v>
      </c>
      <c r="I15" s="708">
        <f t="shared" si="12"/>
        <v>0.25</v>
      </c>
      <c r="J15" s="709">
        <f t="shared" si="13"/>
        <v>0.3</v>
      </c>
      <c r="K15" s="710">
        <f t="shared" si="0"/>
        <v>0.48</v>
      </c>
      <c r="L15" s="710">
        <f>IF(D15="Yes",'Control Savings'!$K15*1.1,0)</f>
        <v>0.52800000000000002</v>
      </c>
      <c r="M15" s="1023">
        <f>0</f>
        <v>0</v>
      </c>
      <c r="N15" s="1018">
        <f t="shared" si="22"/>
        <v>0.3</v>
      </c>
      <c r="O15" s="61"/>
      <c r="P15" s="711">
        <f t="shared" si="1"/>
        <v>0.32590000000000002</v>
      </c>
      <c r="Q15" s="712">
        <f t="shared" si="2"/>
        <v>0.3075</v>
      </c>
      <c r="R15" s="187" t="str">
        <f t="shared" si="3"/>
        <v>Industrial</v>
      </c>
      <c r="S15" s="1055">
        <f>0</f>
        <v>0</v>
      </c>
      <c r="T15" s="1059">
        <f t="shared" si="14"/>
        <v>0.125</v>
      </c>
      <c r="U15" s="1036">
        <v>0.25</v>
      </c>
      <c r="V15" s="1078">
        <f t="shared" si="15"/>
        <v>0.33</v>
      </c>
      <c r="W15" s="1078">
        <f t="shared" si="21"/>
        <v>0.33</v>
      </c>
      <c r="X15" s="1074">
        <f t="shared" si="16"/>
        <v>0.3</v>
      </c>
      <c r="Y15" s="703">
        <f t="shared" si="17"/>
        <v>0.48</v>
      </c>
      <c r="Z15" s="704">
        <f t="shared" si="18"/>
        <v>0.53</v>
      </c>
      <c r="AA15" s="1053">
        <f t="shared" si="4"/>
        <v>0.15</v>
      </c>
      <c r="AB15" s="703">
        <f t="shared" si="19"/>
        <v>0.36</v>
      </c>
      <c r="AC15" s="704">
        <f t="shared" si="20"/>
        <v>0.43</v>
      </c>
      <c r="AG15" s="25" t="s">
        <v>437</v>
      </c>
      <c r="AH15" s="34">
        <v>0</v>
      </c>
      <c r="AP15" s="1044">
        <f t="shared" si="5"/>
        <v>0.22499999999999998</v>
      </c>
      <c r="AQ15" s="1045">
        <f t="shared" si="6"/>
        <v>0.42</v>
      </c>
      <c r="AR15" s="1046">
        <f t="shared" si="7"/>
        <v>0.48</v>
      </c>
      <c r="AT15" s="1044">
        <f t="shared" si="8"/>
        <v>0.11249999999999999</v>
      </c>
      <c r="AU15" s="1045">
        <f t="shared" si="9"/>
        <v>0.33</v>
      </c>
      <c r="AV15" s="1046">
        <f t="shared" si="10"/>
        <v>0.41</v>
      </c>
    </row>
    <row r="16" spans="1:48">
      <c r="C16" t="s">
        <v>762</v>
      </c>
      <c r="D16" t="s">
        <v>237</v>
      </c>
      <c r="F16" s="699" t="s">
        <v>762</v>
      </c>
      <c r="G16" s="700">
        <f>0</f>
        <v>0</v>
      </c>
      <c r="H16" s="700">
        <f t="shared" si="11"/>
        <v>0.125</v>
      </c>
      <c r="I16" s="701">
        <f t="shared" si="12"/>
        <v>0.25</v>
      </c>
      <c r="J16" s="702">
        <f t="shared" si="13"/>
        <v>0.3</v>
      </c>
      <c r="K16" s="703">
        <f t="shared" si="0"/>
        <v>0.48</v>
      </c>
      <c r="L16" s="703">
        <f>IF(D16="Yes",'Control Savings'!$K16*1.1,0)</f>
        <v>0.52800000000000002</v>
      </c>
      <c r="M16" s="1022">
        <f>0</f>
        <v>0</v>
      </c>
      <c r="N16" s="1017">
        <f t="shared" si="22"/>
        <v>0.3</v>
      </c>
      <c r="O16" s="61"/>
      <c r="P16" s="705">
        <f t="shared" si="1"/>
        <v>0.32590000000000002</v>
      </c>
      <c r="Q16" s="704">
        <f t="shared" si="2"/>
        <v>0.3075</v>
      </c>
      <c r="R16" s="187" t="str">
        <f t="shared" si="3"/>
        <v>Kitchen</v>
      </c>
      <c r="S16" s="1056">
        <f>0</f>
        <v>0</v>
      </c>
      <c r="T16" s="1056">
        <f t="shared" si="14"/>
        <v>0.125</v>
      </c>
      <c r="U16" s="1037">
        <v>0.25</v>
      </c>
      <c r="V16" s="1037">
        <f t="shared" si="15"/>
        <v>0.33</v>
      </c>
      <c r="W16" s="1037">
        <f t="shared" si="21"/>
        <v>0.33</v>
      </c>
      <c r="X16" s="1071">
        <f t="shared" si="16"/>
        <v>0.3</v>
      </c>
      <c r="Y16" s="710">
        <f t="shared" si="17"/>
        <v>0.48</v>
      </c>
      <c r="Z16" s="712">
        <f t="shared" si="18"/>
        <v>0.53</v>
      </c>
      <c r="AA16" s="1050">
        <f t="shared" si="4"/>
        <v>0.15</v>
      </c>
      <c r="AB16" s="710">
        <f t="shared" si="19"/>
        <v>0.36</v>
      </c>
      <c r="AC16" s="712">
        <f t="shared" si="20"/>
        <v>0.43</v>
      </c>
      <c r="AG16" s="22" t="s">
        <v>351</v>
      </c>
      <c r="AH16" s="33">
        <v>1</v>
      </c>
      <c r="AP16" s="1040">
        <f t="shared" si="5"/>
        <v>0.22499999999999998</v>
      </c>
      <c r="AQ16" s="710">
        <f t="shared" si="6"/>
        <v>0.42</v>
      </c>
      <c r="AR16" s="712">
        <f t="shared" si="7"/>
        <v>0.48</v>
      </c>
      <c r="AT16" s="1040">
        <f t="shared" si="8"/>
        <v>0.11249999999999999</v>
      </c>
      <c r="AU16" s="710">
        <f t="shared" si="9"/>
        <v>0.33</v>
      </c>
      <c r="AV16" s="712">
        <f t="shared" si="10"/>
        <v>0.41</v>
      </c>
    </row>
    <row r="17" spans="3:48">
      <c r="C17" t="s">
        <v>763</v>
      </c>
      <c r="D17" t="s">
        <v>237</v>
      </c>
      <c r="F17" s="706" t="s">
        <v>763</v>
      </c>
      <c r="G17" s="707">
        <f>0</f>
        <v>0</v>
      </c>
      <c r="H17" s="707">
        <f t="shared" si="11"/>
        <v>0.125</v>
      </c>
      <c r="I17" s="708">
        <f t="shared" si="12"/>
        <v>0.25</v>
      </c>
      <c r="J17" s="709">
        <f t="shared" si="13"/>
        <v>0.3</v>
      </c>
      <c r="K17" s="710">
        <f t="shared" si="0"/>
        <v>0.48</v>
      </c>
      <c r="L17" s="710">
        <f>IF(D17="Yes",'Control Savings'!$K17*1.1,0)</f>
        <v>0.52800000000000002</v>
      </c>
      <c r="M17" s="1023">
        <f>0</f>
        <v>0</v>
      </c>
      <c r="N17" s="1018">
        <f t="shared" si="22"/>
        <v>0.3</v>
      </c>
      <c r="O17" s="61"/>
      <c r="P17" s="711">
        <f t="shared" si="1"/>
        <v>0.32590000000000002</v>
      </c>
      <c r="Q17" s="712">
        <f t="shared" si="2"/>
        <v>0.3075</v>
      </c>
      <c r="R17" s="187" t="str">
        <f t="shared" si="3"/>
        <v>Library</v>
      </c>
      <c r="S17" s="1055">
        <f>0</f>
        <v>0</v>
      </c>
      <c r="T17" s="1059">
        <f t="shared" si="14"/>
        <v>0.125</v>
      </c>
      <c r="U17" s="1036">
        <v>0.25</v>
      </c>
      <c r="V17" s="1078">
        <f t="shared" si="15"/>
        <v>0.33</v>
      </c>
      <c r="W17" s="1078">
        <f t="shared" si="21"/>
        <v>0.33</v>
      </c>
      <c r="X17" s="1074">
        <f t="shared" si="16"/>
        <v>0.3</v>
      </c>
      <c r="Y17" s="703">
        <f t="shared" si="17"/>
        <v>0.48</v>
      </c>
      <c r="Z17" s="704">
        <f t="shared" si="18"/>
        <v>0.53</v>
      </c>
      <c r="AA17" s="1053">
        <f t="shared" si="4"/>
        <v>0.15</v>
      </c>
      <c r="AB17" s="703">
        <f t="shared" si="19"/>
        <v>0.36</v>
      </c>
      <c r="AC17" s="704">
        <f t="shared" si="20"/>
        <v>0.43</v>
      </c>
      <c r="AG17" s="25" t="s">
        <v>352</v>
      </c>
      <c r="AH17" s="34">
        <v>2</v>
      </c>
      <c r="AP17" s="1044">
        <f t="shared" si="5"/>
        <v>0.22499999999999998</v>
      </c>
      <c r="AQ17" s="1045">
        <f t="shared" si="6"/>
        <v>0.42</v>
      </c>
      <c r="AR17" s="1046">
        <f t="shared" si="7"/>
        <v>0.48</v>
      </c>
      <c r="AT17" s="1044">
        <f t="shared" si="8"/>
        <v>0.11249999999999999</v>
      </c>
      <c r="AU17" s="1045">
        <f t="shared" si="9"/>
        <v>0.33</v>
      </c>
      <c r="AV17" s="1046">
        <f t="shared" si="10"/>
        <v>0.41</v>
      </c>
    </row>
    <row r="18" spans="3:48">
      <c r="C18" t="s">
        <v>764</v>
      </c>
      <c r="D18" t="s">
        <v>237</v>
      </c>
      <c r="F18" s="699" t="s">
        <v>764</v>
      </c>
      <c r="G18" s="700">
        <f>0</f>
        <v>0</v>
      </c>
      <c r="H18" s="700">
        <f t="shared" si="11"/>
        <v>0.125</v>
      </c>
      <c r="I18" s="701">
        <f t="shared" si="12"/>
        <v>0.25</v>
      </c>
      <c r="J18" s="702">
        <f t="shared" si="13"/>
        <v>0.3</v>
      </c>
      <c r="K18" s="703">
        <f t="shared" si="0"/>
        <v>0.48</v>
      </c>
      <c r="L18" s="703">
        <f>IF(D18="Yes",'Control Savings'!$K18*1.1,0)</f>
        <v>0.52800000000000002</v>
      </c>
      <c r="M18" s="1022">
        <f>0</f>
        <v>0</v>
      </c>
      <c r="N18" s="1017">
        <f t="shared" si="22"/>
        <v>0.3</v>
      </c>
      <c r="O18" s="61"/>
      <c r="P18" s="705">
        <f t="shared" si="1"/>
        <v>0.32590000000000002</v>
      </c>
      <c r="Q18" s="704">
        <f t="shared" si="2"/>
        <v>0.3075</v>
      </c>
      <c r="R18" s="187" t="str">
        <f t="shared" si="3"/>
        <v>Lobby</v>
      </c>
      <c r="S18" s="1056">
        <f>0</f>
        <v>0</v>
      </c>
      <c r="T18" s="1056">
        <f t="shared" si="14"/>
        <v>0.125</v>
      </c>
      <c r="U18" s="1037">
        <v>0.25</v>
      </c>
      <c r="V18" s="1037">
        <f t="shared" si="15"/>
        <v>0.33</v>
      </c>
      <c r="W18" s="1037">
        <f t="shared" si="21"/>
        <v>0.33</v>
      </c>
      <c r="X18" s="1071">
        <f t="shared" si="16"/>
        <v>0.3</v>
      </c>
      <c r="Y18" s="710">
        <f t="shared" si="17"/>
        <v>0.48</v>
      </c>
      <c r="Z18" s="712">
        <f t="shared" si="18"/>
        <v>0.53</v>
      </c>
      <c r="AA18" s="1050">
        <f t="shared" si="4"/>
        <v>0.15</v>
      </c>
      <c r="AB18" s="710">
        <f t="shared" si="19"/>
        <v>0.36</v>
      </c>
      <c r="AC18" s="712">
        <f t="shared" si="20"/>
        <v>0.43</v>
      </c>
      <c r="AG18" s="22" t="s">
        <v>765</v>
      </c>
      <c r="AH18" s="33">
        <v>3</v>
      </c>
      <c r="AP18" s="1040">
        <f t="shared" si="5"/>
        <v>0.22499999999999998</v>
      </c>
      <c r="AQ18" s="710">
        <f t="shared" si="6"/>
        <v>0.42</v>
      </c>
      <c r="AR18" s="712">
        <f t="shared" si="7"/>
        <v>0.48</v>
      </c>
      <c r="AT18" s="1040">
        <f t="shared" si="8"/>
        <v>0.11249999999999999</v>
      </c>
      <c r="AU18" s="710">
        <f t="shared" si="9"/>
        <v>0.33</v>
      </c>
      <c r="AV18" s="712">
        <f t="shared" si="10"/>
        <v>0.41</v>
      </c>
    </row>
    <row r="19" spans="3:48">
      <c r="C19" t="s">
        <v>766</v>
      </c>
      <c r="D19" t="s">
        <v>237</v>
      </c>
      <c r="F19" s="706" t="s">
        <v>766</v>
      </c>
      <c r="G19" s="707">
        <f>0</f>
        <v>0</v>
      </c>
      <c r="H19" s="707">
        <f t="shared" si="11"/>
        <v>0.125</v>
      </c>
      <c r="I19" s="708">
        <f t="shared" si="12"/>
        <v>0.25</v>
      </c>
      <c r="J19" s="709">
        <f t="shared" si="13"/>
        <v>0.3</v>
      </c>
      <c r="K19" s="710">
        <f t="shared" si="0"/>
        <v>0.48</v>
      </c>
      <c r="L19" s="710">
        <f>IF(D19="Yes",'Control Savings'!$K19*1.1,0)</f>
        <v>0.52800000000000002</v>
      </c>
      <c r="M19" s="1023">
        <f>0</f>
        <v>0</v>
      </c>
      <c r="N19" s="1018">
        <f t="shared" si="22"/>
        <v>0.3</v>
      </c>
      <c r="O19" s="61"/>
      <c r="P19" s="711">
        <f t="shared" si="1"/>
        <v>0.32590000000000002</v>
      </c>
      <c r="Q19" s="712">
        <f t="shared" si="2"/>
        <v>0.3075</v>
      </c>
      <c r="R19" s="187" t="str">
        <f t="shared" si="3"/>
        <v>Lodging (Guest Rooms)</v>
      </c>
      <c r="S19" s="1055">
        <f>0</f>
        <v>0</v>
      </c>
      <c r="T19" s="1059">
        <f t="shared" si="14"/>
        <v>0.125</v>
      </c>
      <c r="U19" s="1036">
        <v>0.25</v>
      </c>
      <c r="V19" s="1078">
        <f t="shared" si="15"/>
        <v>0.33</v>
      </c>
      <c r="W19" s="1078">
        <f t="shared" si="21"/>
        <v>0.33</v>
      </c>
      <c r="X19" s="1074">
        <f t="shared" si="16"/>
        <v>0.3</v>
      </c>
      <c r="Y19" s="703">
        <f t="shared" si="17"/>
        <v>0.48</v>
      </c>
      <c r="Z19" s="704">
        <f t="shared" si="18"/>
        <v>0.53</v>
      </c>
      <c r="AA19" s="1053">
        <f t="shared" si="4"/>
        <v>0.15</v>
      </c>
      <c r="AB19" s="703">
        <f t="shared" si="19"/>
        <v>0.36</v>
      </c>
      <c r="AC19" s="704">
        <f t="shared" si="20"/>
        <v>0.43</v>
      </c>
      <c r="AG19" t="s">
        <v>438</v>
      </c>
      <c r="AH19" s="12">
        <v>1</v>
      </c>
      <c r="AP19" s="1044">
        <f t="shared" si="5"/>
        <v>0.22499999999999998</v>
      </c>
      <c r="AQ19" s="1045">
        <f t="shared" si="6"/>
        <v>0.42</v>
      </c>
      <c r="AR19" s="1046">
        <f t="shared" si="7"/>
        <v>0.48</v>
      </c>
      <c r="AT19" s="1044">
        <f t="shared" si="8"/>
        <v>0.11249999999999999</v>
      </c>
      <c r="AU19" s="1045">
        <f t="shared" si="9"/>
        <v>0.33</v>
      </c>
      <c r="AV19" s="1046">
        <f t="shared" si="10"/>
        <v>0.41</v>
      </c>
    </row>
    <row r="20" spans="3:48">
      <c r="C20" t="s">
        <v>767</v>
      </c>
      <c r="D20" t="s">
        <v>237</v>
      </c>
      <c r="F20" s="699" t="s">
        <v>767</v>
      </c>
      <c r="G20" s="700">
        <f>0</f>
        <v>0</v>
      </c>
      <c r="H20" s="700">
        <f t="shared" si="11"/>
        <v>7.4999999999999997E-2</v>
      </c>
      <c r="I20" s="701">
        <f t="shared" si="12"/>
        <v>0.15</v>
      </c>
      <c r="J20" s="702">
        <f t="shared" si="13"/>
        <v>0.3</v>
      </c>
      <c r="K20" s="703">
        <f t="shared" si="0"/>
        <v>0.41</v>
      </c>
      <c r="L20" s="703">
        <f>IF(D20="Yes",ROUND(((1-M20)*J20)+M20,2),0)</f>
        <v>0.47</v>
      </c>
      <c r="M20" s="1022">
        <f>ROUND(((1-I20)*M$3)+I20,2)</f>
        <v>0.24</v>
      </c>
      <c r="N20" s="1017">
        <f t="shared" si="22"/>
        <v>0.47</v>
      </c>
      <c r="O20" s="61"/>
      <c r="P20" s="705">
        <f t="shared" si="1"/>
        <v>0.23580000000000001</v>
      </c>
      <c r="Q20" s="704">
        <f t="shared" si="2"/>
        <v>0.21499999999999997</v>
      </c>
      <c r="R20" s="187" t="str">
        <f t="shared" si="3"/>
        <v>Open Office</v>
      </c>
      <c r="S20" s="1056">
        <f>0</f>
        <v>0</v>
      </c>
      <c r="T20" s="1056">
        <f t="shared" si="14"/>
        <v>7.4999999999999997E-2</v>
      </c>
      <c r="U20" s="1037">
        <v>0.15</v>
      </c>
      <c r="V20" s="1037">
        <f t="shared" si="15"/>
        <v>0.24</v>
      </c>
      <c r="W20" s="1037">
        <f t="shared" si="21"/>
        <v>0.24</v>
      </c>
      <c r="X20" s="1071">
        <f t="shared" si="16"/>
        <v>0.3</v>
      </c>
      <c r="Y20" s="710">
        <f t="shared" si="17"/>
        <v>0.41</v>
      </c>
      <c r="Z20" s="712">
        <f t="shared" si="18"/>
        <v>0.47</v>
      </c>
      <c r="AA20" s="1050">
        <f t="shared" si="4"/>
        <v>0.15</v>
      </c>
      <c r="AB20" s="710">
        <f t="shared" si="19"/>
        <v>0.28000000000000003</v>
      </c>
      <c r="AC20" s="712">
        <f t="shared" si="20"/>
        <v>0.35</v>
      </c>
      <c r="AP20" s="1040">
        <f t="shared" si="5"/>
        <v>0.22499999999999998</v>
      </c>
      <c r="AQ20" s="710">
        <f t="shared" si="6"/>
        <v>0.34</v>
      </c>
      <c r="AR20" s="712">
        <f t="shared" si="7"/>
        <v>0.41</v>
      </c>
      <c r="AT20" s="1040">
        <f t="shared" si="8"/>
        <v>0.11249999999999999</v>
      </c>
      <c r="AU20" s="710">
        <f t="shared" si="9"/>
        <v>0.25</v>
      </c>
      <c r="AV20" s="712">
        <f t="shared" si="10"/>
        <v>0.33</v>
      </c>
    </row>
    <row r="21" spans="3:48">
      <c r="C21" t="s">
        <v>768</v>
      </c>
      <c r="D21" t="s">
        <v>237</v>
      </c>
      <c r="F21" s="706" t="s">
        <v>768</v>
      </c>
      <c r="G21" s="707">
        <f>0</f>
        <v>0</v>
      </c>
      <c r="H21" s="707">
        <f t="shared" si="11"/>
        <v>0.125</v>
      </c>
      <c r="I21" s="708">
        <f t="shared" si="12"/>
        <v>0.25</v>
      </c>
      <c r="J21" s="709">
        <f t="shared" si="13"/>
        <v>0.3</v>
      </c>
      <c r="K21" s="710">
        <f t="shared" si="0"/>
        <v>0.48</v>
      </c>
      <c r="L21" s="710">
        <f>IF(D21="Yes",'Control Savings'!$K21*1.1,0)</f>
        <v>0.52800000000000002</v>
      </c>
      <c r="M21" s="1023">
        <f>0</f>
        <v>0</v>
      </c>
      <c r="N21" s="1018">
        <f t="shared" si="22"/>
        <v>0.3</v>
      </c>
      <c r="O21" s="61"/>
      <c r="P21" s="711">
        <f t="shared" si="1"/>
        <v>0.32590000000000002</v>
      </c>
      <c r="Q21" s="712">
        <f t="shared" si="2"/>
        <v>0.3075</v>
      </c>
      <c r="R21" s="187" t="str">
        <f t="shared" si="3"/>
        <v>Other</v>
      </c>
      <c r="S21" s="1055">
        <f>0</f>
        <v>0</v>
      </c>
      <c r="T21" s="1059">
        <f t="shared" si="14"/>
        <v>0.125</v>
      </c>
      <c r="U21" s="1036">
        <v>0.25</v>
      </c>
      <c r="V21" s="1078">
        <f t="shared" si="15"/>
        <v>0.33</v>
      </c>
      <c r="W21" s="1078">
        <f t="shared" si="21"/>
        <v>0.33</v>
      </c>
      <c r="X21" s="1074">
        <f t="shared" si="16"/>
        <v>0.3</v>
      </c>
      <c r="Y21" s="703">
        <f t="shared" si="17"/>
        <v>0.48</v>
      </c>
      <c r="Z21" s="704">
        <f t="shared" si="18"/>
        <v>0.53</v>
      </c>
      <c r="AA21" s="1053">
        <f t="shared" si="4"/>
        <v>0.15</v>
      </c>
      <c r="AB21" s="703">
        <f t="shared" si="19"/>
        <v>0.36</v>
      </c>
      <c r="AC21" s="704">
        <f t="shared" si="20"/>
        <v>0.43</v>
      </c>
      <c r="AP21" s="1044">
        <f t="shared" si="5"/>
        <v>0.22499999999999998</v>
      </c>
      <c r="AQ21" s="1045">
        <f t="shared" si="6"/>
        <v>0.42</v>
      </c>
      <c r="AR21" s="1046">
        <f t="shared" si="7"/>
        <v>0.48</v>
      </c>
      <c r="AT21" s="1044">
        <f t="shared" si="8"/>
        <v>0.11249999999999999</v>
      </c>
      <c r="AU21" s="1045">
        <f t="shared" si="9"/>
        <v>0.33</v>
      </c>
      <c r="AV21" s="1046">
        <f t="shared" si="10"/>
        <v>0.41</v>
      </c>
    </row>
    <row r="22" spans="3:48">
      <c r="C22" t="s">
        <v>769</v>
      </c>
      <c r="D22" t="s">
        <v>237</v>
      </c>
      <c r="F22" s="699" t="s">
        <v>769</v>
      </c>
      <c r="G22" s="700">
        <f>0</f>
        <v>0</v>
      </c>
      <c r="H22" s="700">
        <f t="shared" si="11"/>
        <v>0.125</v>
      </c>
      <c r="I22" s="701">
        <f t="shared" si="12"/>
        <v>0.25</v>
      </c>
      <c r="J22" s="702">
        <f t="shared" si="13"/>
        <v>0.3</v>
      </c>
      <c r="K22" s="703">
        <f t="shared" si="0"/>
        <v>0.48</v>
      </c>
      <c r="L22" s="703">
        <f>IF(D22="Yes",'Control Savings'!$K22*1.1,0)</f>
        <v>0.52800000000000002</v>
      </c>
      <c r="M22" s="1022">
        <f>0</f>
        <v>0</v>
      </c>
      <c r="N22" s="1017">
        <f t="shared" si="22"/>
        <v>0.3</v>
      </c>
      <c r="O22" s="61"/>
      <c r="P22" s="705">
        <f t="shared" si="1"/>
        <v>0.32590000000000002</v>
      </c>
      <c r="Q22" s="704">
        <f t="shared" si="2"/>
        <v>0.3075</v>
      </c>
      <c r="R22" s="187" t="str">
        <f t="shared" si="3"/>
        <v>Parking Garage</v>
      </c>
      <c r="S22" s="1056">
        <f>0</f>
        <v>0</v>
      </c>
      <c r="T22" s="1056">
        <f t="shared" si="14"/>
        <v>0.125</v>
      </c>
      <c r="U22" s="1037">
        <v>0.25</v>
      </c>
      <c r="V22" s="1037">
        <f t="shared" si="15"/>
        <v>0.33</v>
      </c>
      <c r="W22" s="1037">
        <f t="shared" si="21"/>
        <v>0.33</v>
      </c>
      <c r="X22" s="1071">
        <f t="shared" si="16"/>
        <v>0.3</v>
      </c>
      <c r="Y22" s="710">
        <f t="shared" si="17"/>
        <v>0.48</v>
      </c>
      <c r="Z22" s="712">
        <f t="shared" si="18"/>
        <v>0.53</v>
      </c>
      <c r="AA22" s="1050">
        <f t="shared" si="4"/>
        <v>0.15</v>
      </c>
      <c r="AB22" s="710">
        <f t="shared" si="19"/>
        <v>0.36</v>
      </c>
      <c r="AC22" s="712">
        <f t="shared" si="20"/>
        <v>0.43</v>
      </c>
      <c r="AP22" s="1040">
        <f t="shared" si="5"/>
        <v>0.22499999999999998</v>
      </c>
      <c r="AQ22" s="710">
        <f t="shared" si="6"/>
        <v>0.42</v>
      </c>
      <c r="AR22" s="712">
        <f t="shared" si="7"/>
        <v>0.48</v>
      </c>
      <c r="AT22" s="1040">
        <f t="shared" si="8"/>
        <v>0.11249999999999999</v>
      </c>
      <c r="AU22" s="710">
        <f t="shared" si="9"/>
        <v>0.33</v>
      </c>
      <c r="AV22" s="712">
        <f t="shared" si="10"/>
        <v>0.41</v>
      </c>
    </row>
    <row r="23" spans="3:48">
      <c r="C23" t="s">
        <v>770</v>
      </c>
      <c r="D23" t="s">
        <v>237</v>
      </c>
      <c r="F23" s="706" t="s">
        <v>770</v>
      </c>
      <c r="G23" s="707">
        <f>0</f>
        <v>0</v>
      </c>
      <c r="H23" s="707">
        <f t="shared" si="11"/>
        <v>7.4999999999999997E-2</v>
      </c>
      <c r="I23" s="708">
        <f t="shared" si="12"/>
        <v>0.15</v>
      </c>
      <c r="J23" s="709">
        <f t="shared" si="13"/>
        <v>0.3</v>
      </c>
      <c r="K23" s="710">
        <f t="shared" si="0"/>
        <v>0.41</v>
      </c>
      <c r="L23" s="710">
        <f>IF(D23="Yes",ROUND(((1-M23)*J23)+M23,2),0)</f>
        <v>0.47</v>
      </c>
      <c r="M23" s="1023">
        <f>ROUND(((1-I23)*M$3)+I23,2)</f>
        <v>0.24</v>
      </c>
      <c r="N23" s="1018">
        <f t="shared" si="22"/>
        <v>0.47</v>
      </c>
      <c r="O23" s="61"/>
      <c r="P23" s="711">
        <f t="shared" si="1"/>
        <v>0.23580000000000001</v>
      </c>
      <c r="Q23" s="712">
        <f t="shared" si="2"/>
        <v>0.21499999999999997</v>
      </c>
      <c r="R23" s="187" t="str">
        <f t="shared" si="3"/>
        <v>Private Office</v>
      </c>
      <c r="S23" s="1055">
        <f>0</f>
        <v>0</v>
      </c>
      <c r="T23" s="1059">
        <f t="shared" si="14"/>
        <v>7.4999999999999997E-2</v>
      </c>
      <c r="U23" s="1036">
        <v>0.15</v>
      </c>
      <c r="V23" s="1078">
        <f t="shared" si="15"/>
        <v>0.24</v>
      </c>
      <c r="W23" s="1078">
        <f t="shared" si="21"/>
        <v>0.24</v>
      </c>
      <c r="X23" s="1074">
        <f t="shared" si="16"/>
        <v>0.3</v>
      </c>
      <c r="Y23" s="703">
        <f t="shared" si="17"/>
        <v>0.41</v>
      </c>
      <c r="Z23" s="704">
        <f t="shared" si="18"/>
        <v>0.47</v>
      </c>
      <c r="AA23" s="1053">
        <f t="shared" si="4"/>
        <v>0.15</v>
      </c>
      <c r="AB23" s="703">
        <f t="shared" si="19"/>
        <v>0.28000000000000003</v>
      </c>
      <c r="AC23" s="704">
        <f t="shared" si="20"/>
        <v>0.35</v>
      </c>
      <c r="AP23" s="1044">
        <f t="shared" si="5"/>
        <v>0.22499999999999998</v>
      </c>
      <c r="AQ23" s="1045">
        <f t="shared" si="6"/>
        <v>0.34</v>
      </c>
      <c r="AR23" s="1046">
        <f t="shared" si="7"/>
        <v>0.41</v>
      </c>
      <c r="AT23" s="1044">
        <f t="shared" si="8"/>
        <v>0.11249999999999999</v>
      </c>
      <c r="AU23" s="1045">
        <f t="shared" si="9"/>
        <v>0.25</v>
      </c>
      <c r="AV23" s="1046">
        <f t="shared" si="10"/>
        <v>0.33</v>
      </c>
    </row>
    <row r="24" spans="3:48">
      <c r="C24" t="s">
        <v>771</v>
      </c>
      <c r="D24" t="s">
        <v>237</v>
      </c>
      <c r="F24" s="699" t="s">
        <v>771</v>
      </c>
      <c r="G24" s="700">
        <f>0</f>
        <v>0</v>
      </c>
      <c r="H24" s="700">
        <f t="shared" si="11"/>
        <v>0.125</v>
      </c>
      <c r="I24" s="701">
        <f t="shared" si="12"/>
        <v>0.25</v>
      </c>
      <c r="J24" s="702">
        <f t="shared" si="13"/>
        <v>0.3</v>
      </c>
      <c r="K24" s="703">
        <f t="shared" si="0"/>
        <v>0.48</v>
      </c>
      <c r="L24" s="703">
        <f>IF(D24="Yes",'Control Savings'!$K24*1.1,0)</f>
        <v>0.52800000000000002</v>
      </c>
      <c r="M24" s="1022">
        <f>0</f>
        <v>0</v>
      </c>
      <c r="N24" s="1017">
        <f t="shared" si="22"/>
        <v>0.3</v>
      </c>
      <c r="O24" s="61"/>
      <c r="P24" s="705">
        <f t="shared" si="1"/>
        <v>0.32590000000000002</v>
      </c>
      <c r="Q24" s="704">
        <f t="shared" si="2"/>
        <v>0.3075</v>
      </c>
      <c r="R24" s="187" t="str">
        <f t="shared" si="3"/>
        <v>Process</v>
      </c>
      <c r="S24" s="1056">
        <f>0</f>
        <v>0</v>
      </c>
      <c r="T24" s="1056">
        <f t="shared" si="14"/>
        <v>0.125</v>
      </c>
      <c r="U24" s="1037">
        <v>0.25</v>
      </c>
      <c r="V24" s="1037">
        <f t="shared" si="15"/>
        <v>0.33</v>
      </c>
      <c r="W24" s="1037">
        <f t="shared" si="21"/>
        <v>0.33</v>
      </c>
      <c r="X24" s="1071">
        <f t="shared" si="16"/>
        <v>0.3</v>
      </c>
      <c r="Y24" s="710">
        <f t="shared" si="17"/>
        <v>0.48</v>
      </c>
      <c r="Z24" s="712">
        <f t="shared" si="18"/>
        <v>0.53</v>
      </c>
      <c r="AA24" s="1050">
        <f t="shared" si="4"/>
        <v>0.15</v>
      </c>
      <c r="AB24" s="710">
        <f t="shared" si="19"/>
        <v>0.36</v>
      </c>
      <c r="AC24" s="712">
        <f t="shared" si="20"/>
        <v>0.43</v>
      </c>
      <c r="AP24" s="1040">
        <f t="shared" si="5"/>
        <v>0.22499999999999998</v>
      </c>
      <c r="AQ24" s="710">
        <f t="shared" si="6"/>
        <v>0.42</v>
      </c>
      <c r="AR24" s="712">
        <f t="shared" si="7"/>
        <v>0.48</v>
      </c>
      <c r="AT24" s="1040">
        <f t="shared" si="8"/>
        <v>0.11249999999999999</v>
      </c>
      <c r="AU24" s="710">
        <f t="shared" si="9"/>
        <v>0.33</v>
      </c>
      <c r="AV24" s="712">
        <f t="shared" si="10"/>
        <v>0.41</v>
      </c>
    </row>
    <row r="25" spans="3:48">
      <c r="C25" t="s">
        <v>772</v>
      </c>
      <c r="D25" t="s">
        <v>237</v>
      </c>
      <c r="F25" s="706" t="s">
        <v>772</v>
      </c>
      <c r="G25" s="707">
        <f>0</f>
        <v>0</v>
      </c>
      <c r="H25" s="707">
        <f t="shared" si="11"/>
        <v>0.125</v>
      </c>
      <c r="I25" s="708">
        <f t="shared" si="12"/>
        <v>0.25</v>
      </c>
      <c r="J25" s="709">
        <f t="shared" si="13"/>
        <v>0.3</v>
      </c>
      <c r="K25" s="710">
        <f t="shared" si="0"/>
        <v>0.48</v>
      </c>
      <c r="L25" s="710">
        <f>IF(D25="Yes",'Control Savings'!$K25*1.1,0)</f>
        <v>0.52800000000000002</v>
      </c>
      <c r="M25" s="1023">
        <f>0</f>
        <v>0</v>
      </c>
      <c r="N25" s="1018">
        <f t="shared" si="22"/>
        <v>0.3</v>
      </c>
      <c r="O25" s="61"/>
      <c r="P25" s="711">
        <f t="shared" si="1"/>
        <v>0.32590000000000002</v>
      </c>
      <c r="Q25" s="712">
        <f t="shared" si="2"/>
        <v>0.3075</v>
      </c>
      <c r="R25" s="187" t="str">
        <f t="shared" si="3"/>
        <v>Public Assembly</v>
      </c>
      <c r="S25" s="1055">
        <f>0</f>
        <v>0</v>
      </c>
      <c r="T25" s="1059">
        <f t="shared" si="14"/>
        <v>0.125</v>
      </c>
      <c r="U25" s="1036">
        <v>0.25</v>
      </c>
      <c r="V25" s="1078">
        <f t="shared" si="15"/>
        <v>0.33</v>
      </c>
      <c r="W25" s="1078">
        <f t="shared" si="21"/>
        <v>0.33</v>
      </c>
      <c r="X25" s="1074">
        <f t="shared" si="16"/>
        <v>0.3</v>
      </c>
      <c r="Y25" s="703">
        <f t="shared" si="17"/>
        <v>0.48</v>
      </c>
      <c r="Z25" s="704">
        <f t="shared" si="18"/>
        <v>0.53</v>
      </c>
      <c r="AA25" s="1053">
        <f t="shared" si="4"/>
        <v>0.15</v>
      </c>
      <c r="AB25" s="703">
        <f t="shared" si="19"/>
        <v>0.36</v>
      </c>
      <c r="AC25" s="704">
        <f t="shared" si="20"/>
        <v>0.43</v>
      </c>
      <c r="AP25" s="1044">
        <f t="shared" si="5"/>
        <v>0.22499999999999998</v>
      </c>
      <c r="AQ25" s="1045">
        <f t="shared" si="6"/>
        <v>0.42</v>
      </c>
      <c r="AR25" s="1046">
        <f t="shared" si="7"/>
        <v>0.48</v>
      </c>
      <c r="AT25" s="1044">
        <f t="shared" si="8"/>
        <v>0.11249999999999999</v>
      </c>
      <c r="AU25" s="1045">
        <f t="shared" si="9"/>
        <v>0.33</v>
      </c>
      <c r="AV25" s="1046">
        <f t="shared" si="10"/>
        <v>0.41</v>
      </c>
    </row>
    <row r="26" spans="3:48">
      <c r="C26" t="s">
        <v>773</v>
      </c>
      <c r="D26" t="s">
        <v>237</v>
      </c>
      <c r="F26" s="699" t="s">
        <v>773</v>
      </c>
      <c r="G26" s="700">
        <f>0</f>
        <v>0</v>
      </c>
      <c r="H26" s="700">
        <f t="shared" si="11"/>
        <v>0.25</v>
      </c>
      <c r="I26" s="701">
        <f t="shared" si="12"/>
        <v>0.5</v>
      </c>
      <c r="J26" s="702">
        <f t="shared" si="13"/>
        <v>0.3</v>
      </c>
      <c r="K26" s="703">
        <f t="shared" si="0"/>
        <v>0.65</v>
      </c>
      <c r="L26" s="703">
        <f>IF(D26="Yes",'Control Savings'!$K26*1.1,0)</f>
        <v>0.71500000000000008</v>
      </c>
      <c r="M26" s="1022">
        <f>0</f>
        <v>0</v>
      </c>
      <c r="N26" s="1017">
        <f t="shared" si="22"/>
        <v>0.3</v>
      </c>
      <c r="O26" s="61"/>
      <c r="P26" s="705">
        <f t="shared" si="1"/>
        <v>0.5495000000000001</v>
      </c>
      <c r="Q26" s="704">
        <f t="shared" si="2"/>
        <v>0.53749999999999998</v>
      </c>
      <c r="R26" s="187" t="str">
        <f t="shared" si="3"/>
        <v>Restroom</v>
      </c>
      <c r="S26" s="1056">
        <f>0</f>
        <v>0</v>
      </c>
      <c r="T26" s="1056">
        <f t="shared" si="14"/>
        <v>0.25</v>
      </c>
      <c r="U26" s="1037">
        <v>0.5</v>
      </c>
      <c r="V26" s="1037">
        <f t="shared" si="15"/>
        <v>0.55000000000000004</v>
      </c>
      <c r="W26" s="1037">
        <f t="shared" si="21"/>
        <v>0.55000000000000004</v>
      </c>
      <c r="X26" s="1071">
        <f t="shared" si="16"/>
        <v>0.3</v>
      </c>
      <c r="Y26" s="710">
        <f t="shared" si="17"/>
        <v>0.65</v>
      </c>
      <c r="Z26" s="712">
        <f t="shared" si="18"/>
        <v>0.69</v>
      </c>
      <c r="AA26" s="1050">
        <f t="shared" si="4"/>
        <v>0.15</v>
      </c>
      <c r="AB26" s="710">
        <f t="shared" si="19"/>
        <v>0.57999999999999996</v>
      </c>
      <c r="AC26" s="712">
        <f t="shared" si="20"/>
        <v>0.62</v>
      </c>
      <c r="AP26" s="1040">
        <f t="shared" si="5"/>
        <v>0.22499999999999998</v>
      </c>
      <c r="AQ26" s="710">
        <f t="shared" si="6"/>
        <v>0.61</v>
      </c>
      <c r="AR26" s="712">
        <f t="shared" si="7"/>
        <v>0.65</v>
      </c>
      <c r="AT26" s="1040">
        <f t="shared" si="8"/>
        <v>0.11249999999999999</v>
      </c>
      <c r="AU26" s="710">
        <f t="shared" si="9"/>
        <v>0.56000000000000005</v>
      </c>
      <c r="AV26" s="712">
        <f t="shared" si="10"/>
        <v>0.6</v>
      </c>
    </row>
    <row r="27" spans="3:48">
      <c r="C27" t="s">
        <v>774</v>
      </c>
      <c r="D27" t="s">
        <v>237</v>
      </c>
      <c r="F27" s="706" t="s">
        <v>774</v>
      </c>
      <c r="G27" s="707">
        <f>0</f>
        <v>0</v>
      </c>
      <c r="H27" s="707">
        <f t="shared" si="11"/>
        <v>0.125</v>
      </c>
      <c r="I27" s="708">
        <f t="shared" si="12"/>
        <v>0.25</v>
      </c>
      <c r="J27" s="709">
        <f t="shared" si="13"/>
        <v>0.3</v>
      </c>
      <c r="K27" s="710">
        <f t="shared" si="0"/>
        <v>0.48</v>
      </c>
      <c r="L27" s="710">
        <f>IF(D27="Yes",'Control Savings'!$K27*1.1,0)</f>
        <v>0.52800000000000002</v>
      </c>
      <c r="M27" s="1023">
        <f>0</f>
        <v>0</v>
      </c>
      <c r="N27" s="1018">
        <f t="shared" si="22"/>
        <v>0.3</v>
      </c>
      <c r="O27" s="61"/>
      <c r="P27" s="711">
        <f t="shared" si="1"/>
        <v>0.32590000000000002</v>
      </c>
      <c r="Q27" s="712">
        <f t="shared" si="2"/>
        <v>0.3075</v>
      </c>
      <c r="R27" s="187" t="str">
        <f t="shared" si="3"/>
        <v>Retail</v>
      </c>
      <c r="S27" s="1055">
        <f>0</f>
        <v>0</v>
      </c>
      <c r="T27" s="1059">
        <f t="shared" si="14"/>
        <v>0.125</v>
      </c>
      <c r="U27" s="1036">
        <v>0.25</v>
      </c>
      <c r="V27" s="1078">
        <f t="shared" si="15"/>
        <v>0.33</v>
      </c>
      <c r="W27" s="1078">
        <f t="shared" si="21"/>
        <v>0.33</v>
      </c>
      <c r="X27" s="1074">
        <f t="shared" si="16"/>
        <v>0.3</v>
      </c>
      <c r="Y27" s="703">
        <f t="shared" si="17"/>
        <v>0.48</v>
      </c>
      <c r="Z27" s="704">
        <f t="shared" si="18"/>
        <v>0.53</v>
      </c>
      <c r="AA27" s="1053">
        <f t="shared" si="4"/>
        <v>0.15</v>
      </c>
      <c r="AB27" s="703">
        <f t="shared" si="19"/>
        <v>0.36</v>
      </c>
      <c r="AC27" s="704">
        <f t="shared" si="20"/>
        <v>0.43</v>
      </c>
      <c r="AP27" s="1044">
        <f t="shared" si="5"/>
        <v>0.22499999999999998</v>
      </c>
      <c r="AQ27" s="1045">
        <f t="shared" si="6"/>
        <v>0.42</v>
      </c>
      <c r="AR27" s="1046">
        <f t="shared" si="7"/>
        <v>0.48</v>
      </c>
      <c r="AT27" s="1044">
        <f t="shared" si="8"/>
        <v>0.11249999999999999</v>
      </c>
      <c r="AU27" s="1045">
        <f t="shared" si="9"/>
        <v>0.33</v>
      </c>
      <c r="AV27" s="1046">
        <f t="shared" si="10"/>
        <v>0.41</v>
      </c>
    </row>
    <row r="28" spans="3:48">
      <c r="C28" t="s">
        <v>775</v>
      </c>
      <c r="D28" t="s">
        <v>237</v>
      </c>
      <c r="F28" s="699" t="s">
        <v>775</v>
      </c>
      <c r="G28" s="700">
        <f>0</f>
        <v>0</v>
      </c>
      <c r="H28" s="700">
        <f t="shared" si="11"/>
        <v>0.32</v>
      </c>
      <c r="I28" s="701">
        <f t="shared" si="12"/>
        <v>0.64</v>
      </c>
      <c r="J28" s="702">
        <f t="shared" si="13"/>
        <v>0.3</v>
      </c>
      <c r="K28" s="703">
        <f t="shared" si="0"/>
        <v>0.75</v>
      </c>
      <c r="L28" s="703">
        <f>IF(D28="Yes",'Control Savings'!$K28*1.1,0)</f>
        <v>0.82500000000000007</v>
      </c>
      <c r="M28" s="1022">
        <f>0</f>
        <v>0</v>
      </c>
      <c r="N28" s="1017">
        <f t="shared" si="22"/>
        <v>0.3</v>
      </c>
      <c r="O28" s="61"/>
      <c r="P28" s="705">
        <f t="shared" si="1"/>
        <v>0.67630000000000001</v>
      </c>
      <c r="Q28" s="704">
        <f t="shared" si="2"/>
        <v>0.66749999999999998</v>
      </c>
      <c r="R28" s="187" t="str">
        <f t="shared" si="3"/>
        <v>Stairs</v>
      </c>
      <c r="S28" s="1056">
        <f>0</f>
        <v>0</v>
      </c>
      <c r="T28" s="1056">
        <f t="shared" si="14"/>
        <v>0.32</v>
      </c>
      <c r="U28" s="1037">
        <v>0.64</v>
      </c>
      <c r="V28" s="1037">
        <f t="shared" si="15"/>
        <v>0.68</v>
      </c>
      <c r="W28" s="1037">
        <f t="shared" si="21"/>
        <v>0.68</v>
      </c>
      <c r="X28" s="1071">
        <f t="shared" si="16"/>
        <v>0.3</v>
      </c>
      <c r="Y28" s="710">
        <f t="shared" si="17"/>
        <v>0.75</v>
      </c>
      <c r="Z28" s="712">
        <f t="shared" si="18"/>
        <v>0.78</v>
      </c>
      <c r="AA28" s="1050">
        <f t="shared" si="4"/>
        <v>0.15</v>
      </c>
      <c r="AB28" s="710">
        <f t="shared" si="19"/>
        <v>0.69</v>
      </c>
      <c r="AC28" s="712">
        <f t="shared" si="20"/>
        <v>0.73</v>
      </c>
      <c r="AP28" s="1040">
        <f t="shared" si="5"/>
        <v>0.22499999999999998</v>
      </c>
      <c r="AQ28" s="710">
        <f t="shared" si="6"/>
        <v>0.72</v>
      </c>
      <c r="AR28" s="712">
        <f t="shared" si="7"/>
        <v>0.75</v>
      </c>
      <c r="AT28" s="1040">
        <f t="shared" si="8"/>
        <v>0.11249999999999999</v>
      </c>
      <c r="AU28" s="710">
        <f t="shared" si="9"/>
        <v>0.68</v>
      </c>
      <c r="AV28" s="712">
        <f t="shared" si="10"/>
        <v>0.72</v>
      </c>
    </row>
    <row r="29" spans="3:48">
      <c r="C29" t="s">
        <v>776</v>
      </c>
      <c r="D29" t="s">
        <v>237</v>
      </c>
      <c r="F29" s="706" t="s">
        <v>776</v>
      </c>
      <c r="G29" s="707">
        <f>0</f>
        <v>0</v>
      </c>
      <c r="H29" s="707">
        <f t="shared" si="11"/>
        <v>0.25</v>
      </c>
      <c r="I29" s="708">
        <f t="shared" si="12"/>
        <v>0.5</v>
      </c>
      <c r="J29" s="709">
        <f t="shared" si="13"/>
        <v>0.3</v>
      </c>
      <c r="K29" s="710">
        <f t="shared" si="0"/>
        <v>0.65</v>
      </c>
      <c r="L29" s="710">
        <f>IF(D29="Yes",'Control Savings'!$K29*1.1,0)</f>
        <v>0.71500000000000008</v>
      </c>
      <c r="M29" s="1023">
        <f>0</f>
        <v>0</v>
      </c>
      <c r="N29" s="1018">
        <f t="shared" si="22"/>
        <v>0.3</v>
      </c>
      <c r="O29" s="61"/>
      <c r="P29" s="711">
        <f t="shared" si="1"/>
        <v>0.5495000000000001</v>
      </c>
      <c r="Q29" s="712">
        <f t="shared" si="2"/>
        <v>0.53749999999999998</v>
      </c>
      <c r="R29" s="187" t="str">
        <f t="shared" si="3"/>
        <v>Storage</v>
      </c>
      <c r="S29" s="1055">
        <f>0</f>
        <v>0</v>
      </c>
      <c r="T29" s="1059">
        <f t="shared" si="14"/>
        <v>0.25</v>
      </c>
      <c r="U29" s="1036">
        <v>0.5</v>
      </c>
      <c r="V29" s="1078">
        <f t="shared" si="15"/>
        <v>0.55000000000000004</v>
      </c>
      <c r="W29" s="1078">
        <f t="shared" si="21"/>
        <v>0.55000000000000004</v>
      </c>
      <c r="X29" s="1074">
        <f t="shared" si="16"/>
        <v>0.3</v>
      </c>
      <c r="Y29" s="703">
        <f t="shared" si="17"/>
        <v>0.65</v>
      </c>
      <c r="Z29" s="704">
        <f t="shared" si="18"/>
        <v>0.69</v>
      </c>
      <c r="AA29" s="1053">
        <f t="shared" si="4"/>
        <v>0.15</v>
      </c>
      <c r="AB29" s="703">
        <f t="shared" si="19"/>
        <v>0.57999999999999996</v>
      </c>
      <c r="AC29" s="704">
        <f t="shared" si="20"/>
        <v>0.62</v>
      </c>
      <c r="AP29" s="1044">
        <f t="shared" si="5"/>
        <v>0.22499999999999998</v>
      </c>
      <c r="AQ29" s="1045">
        <f t="shared" si="6"/>
        <v>0.61</v>
      </c>
      <c r="AR29" s="1046">
        <f t="shared" si="7"/>
        <v>0.65</v>
      </c>
      <c r="AT29" s="1044">
        <f t="shared" si="8"/>
        <v>0.11249999999999999</v>
      </c>
      <c r="AU29" s="1045">
        <f t="shared" si="9"/>
        <v>0.56000000000000005</v>
      </c>
      <c r="AV29" s="1046">
        <f t="shared" si="10"/>
        <v>0.6</v>
      </c>
    </row>
    <row r="30" spans="3:48">
      <c r="C30" t="s">
        <v>777</v>
      </c>
      <c r="D30" t="s">
        <v>237</v>
      </c>
      <c r="F30" s="699" t="s">
        <v>777</v>
      </c>
      <c r="G30" s="700">
        <f>0</f>
        <v>0</v>
      </c>
      <c r="H30" s="700">
        <f t="shared" si="11"/>
        <v>0.125</v>
      </c>
      <c r="I30" s="701">
        <f t="shared" si="12"/>
        <v>0.25</v>
      </c>
      <c r="J30" s="702">
        <f t="shared" si="13"/>
        <v>0.3</v>
      </c>
      <c r="K30" s="703">
        <f t="shared" si="0"/>
        <v>0.48</v>
      </c>
      <c r="L30" s="703">
        <f>IF(D30="Yes",'Control Savings'!$K30*1.1,0)</f>
        <v>0.52800000000000002</v>
      </c>
      <c r="M30" s="1022">
        <f>0</f>
        <v>0</v>
      </c>
      <c r="N30" s="1017">
        <f t="shared" si="22"/>
        <v>0.3</v>
      </c>
      <c r="O30" s="61"/>
      <c r="P30" s="705">
        <f t="shared" si="1"/>
        <v>0.32590000000000002</v>
      </c>
      <c r="Q30" s="704">
        <f t="shared" si="2"/>
        <v>0.3075</v>
      </c>
      <c r="R30" s="187" t="str">
        <f t="shared" si="3"/>
        <v>Technical Area</v>
      </c>
      <c r="S30" s="1056">
        <f>0</f>
        <v>0</v>
      </c>
      <c r="T30" s="1056">
        <f t="shared" si="14"/>
        <v>0.125</v>
      </c>
      <c r="U30" s="1037">
        <v>0.25</v>
      </c>
      <c r="V30" s="1037">
        <f t="shared" si="15"/>
        <v>0.33</v>
      </c>
      <c r="W30" s="1037">
        <f t="shared" si="21"/>
        <v>0.33</v>
      </c>
      <c r="X30" s="1071">
        <f t="shared" si="16"/>
        <v>0.3</v>
      </c>
      <c r="Y30" s="710">
        <f t="shared" si="17"/>
        <v>0.48</v>
      </c>
      <c r="Z30" s="712">
        <f t="shared" si="18"/>
        <v>0.53</v>
      </c>
      <c r="AA30" s="1050">
        <f t="shared" si="4"/>
        <v>0.15</v>
      </c>
      <c r="AB30" s="710">
        <f t="shared" si="19"/>
        <v>0.36</v>
      </c>
      <c r="AC30" s="712">
        <f t="shared" si="20"/>
        <v>0.43</v>
      </c>
      <c r="AP30" s="1040">
        <f t="shared" si="5"/>
        <v>0.22499999999999998</v>
      </c>
      <c r="AQ30" s="710">
        <f t="shared" si="6"/>
        <v>0.42</v>
      </c>
      <c r="AR30" s="712">
        <f t="shared" si="7"/>
        <v>0.48</v>
      </c>
      <c r="AT30" s="1040">
        <f t="shared" si="8"/>
        <v>0.11249999999999999</v>
      </c>
      <c r="AU30" s="710">
        <f t="shared" si="9"/>
        <v>0.33</v>
      </c>
      <c r="AV30" s="712">
        <f t="shared" si="10"/>
        <v>0.41</v>
      </c>
    </row>
    <row r="31" spans="3:48">
      <c r="C31" t="s">
        <v>778</v>
      </c>
      <c r="D31" t="s">
        <v>237</v>
      </c>
      <c r="F31" s="706" t="s">
        <v>779</v>
      </c>
      <c r="G31" s="707">
        <f>0</f>
        <v>0</v>
      </c>
      <c r="H31" s="707">
        <f t="shared" si="11"/>
        <v>0.25</v>
      </c>
      <c r="I31" s="708">
        <f t="shared" si="12"/>
        <v>0.5</v>
      </c>
      <c r="J31" s="709">
        <f t="shared" si="13"/>
        <v>0.3</v>
      </c>
      <c r="K31" s="710">
        <f t="shared" si="0"/>
        <v>0.65</v>
      </c>
      <c r="L31" s="710">
        <f>IF(D31="Yes",'Control Savings'!$K31*1.1,0)</f>
        <v>0.71500000000000008</v>
      </c>
      <c r="M31" s="1023">
        <f>0</f>
        <v>0</v>
      </c>
      <c r="N31" s="1018">
        <f t="shared" si="22"/>
        <v>0.3</v>
      </c>
      <c r="O31" s="61"/>
      <c r="P31" s="711">
        <f t="shared" si="1"/>
        <v>0.5495000000000001</v>
      </c>
      <c r="Q31" s="712">
        <f t="shared" si="2"/>
        <v>0.53749999999999998</v>
      </c>
      <c r="R31" s="187" t="str">
        <f t="shared" si="3"/>
        <v>Warehouse</v>
      </c>
      <c r="S31" s="1055">
        <f>0</f>
        <v>0</v>
      </c>
      <c r="T31" s="1059">
        <f t="shared" si="14"/>
        <v>0.25</v>
      </c>
      <c r="U31" s="1036">
        <v>0.5</v>
      </c>
      <c r="V31" s="1078">
        <f t="shared" si="15"/>
        <v>0.55000000000000004</v>
      </c>
      <c r="W31" s="1078">
        <f t="shared" si="21"/>
        <v>0.55000000000000004</v>
      </c>
      <c r="X31" s="1074">
        <f t="shared" si="16"/>
        <v>0.3</v>
      </c>
      <c r="Y31" s="703">
        <f t="shared" si="17"/>
        <v>0.65</v>
      </c>
      <c r="Z31" s="704">
        <f t="shared" si="18"/>
        <v>0.69</v>
      </c>
      <c r="AA31" s="1053">
        <f t="shared" si="4"/>
        <v>0.15</v>
      </c>
      <c r="AB31" s="703">
        <f t="shared" si="19"/>
        <v>0.57999999999999996</v>
      </c>
      <c r="AC31" s="704">
        <f t="shared" si="20"/>
        <v>0.62</v>
      </c>
      <c r="AP31" s="1044">
        <f t="shared" si="5"/>
        <v>0.22499999999999998</v>
      </c>
      <c r="AQ31" s="1045">
        <f t="shared" si="6"/>
        <v>0.61</v>
      </c>
      <c r="AR31" s="1046">
        <f t="shared" si="7"/>
        <v>0.65</v>
      </c>
      <c r="AT31" s="1044">
        <f t="shared" si="8"/>
        <v>0.11249999999999999</v>
      </c>
      <c r="AU31" s="1045">
        <f t="shared" si="9"/>
        <v>0.56000000000000005</v>
      </c>
      <c r="AV31" s="1046">
        <f t="shared" si="10"/>
        <v>0.6</v>
      </c>
    </row>
    <row r="32" spans="3:48" ht="14.95" thickBot="1">
      <c r="C32" t="s">
        <v>780</v>
      </c>
      <c r="D32" t="s">
        <v>237</v>
      </c>
      <c r="F32" s="713" t="s">
        <v>781</v>
      </c>
      <c r="G32" s="714">
        <f>0</f>
        <v>0</v>
      </c>
      <c r="H32" s="714">
        <f t="shared" si="11"/>
        <v>0.25</v>
      </c>
      <c r="I32" s="715">
        <f t="shared" si="12"/>
        <v>0.5</v>
      </c>
      <c r="J32" s="716">
        <f t="shared" si="13"/>
        <v>0.3</v>
      </c>
      <c r="K32" s="717">
        <f t="shared" si="0"/>
        <v>0.65</v>
      </c>
      <c r="L32" s="717">
        <f>IF(D32="Yes",ROUND(((1-M32)*J32)+M32,2),0)</f>
        <v>0.69</v>
      </c>
      <c r="M32" s="1024">
        <f>ROUND(((1-I32)*M$3)+I32,2)</f>
        <v>0.55000000000000004</v>
      </c>
      <c r="N32" s="720">
        <f t="shared" si="22"/>
        <v>0.69</v>
      </c>
      <c r="O32" s="61"/>
      <c r="P32" s="719">
        <f t="shared" si="1"/>
        <v>0.5495000000000001</v>
      </c>
      <c r="Q32" s="718">
        <f t="shared" si="2"/>
        <v>0.53749999999999998</v>
      </c>
      <c r="R32" s="187" t="str">
        <f>F32</f>
        <v>Warehouse (Top Lighted)</v>
      </c>
      <c r="S32" s="1057">
        <f>0</f>
        <v>0</v>
      </c>
      <c r="T32" s="1057">
        <f t="shared" si="14"/>
        <v>0.25</v>
      </c>
      <c r="U32" s="1038">
        <v>0.5</v>
      </c>
      <c r="V32" s="1038">
        <f t="shared" si="15"/>
        <v>0.55000000000000004</v>
      </c>
      <c r="W32" s="1038">
        <f t="shared" si="21"/>
        <v>0.55000000000000004</v>
      </c>
      <c r="X32" s="1072">
        <f t="shared" si="16"/>
        <v>0.3</v>
      </c>
      <c r="Y32" s="1042">
        <f t="shared" si="17"/>
        <v>0.65</v>
      </c>
      <c r="Z32" s="1043">
        <f t="shared" si="18"/>
        <v>0.69</v>
      </c>
      <c r="AA32" s="1051">
        <f t="shared" si="4"/>
        <v>0.15</v>
      </c>
      <c r="AB32" s="1042">
        <f t="shared" si="19"/>
        <v>0.57999999999999996</v>
      </c>
      <c r="AC32" s="1043">
        <f t="shared" si="20"/>
        <v>0.62</v>
      </c>
      <c r="AP32" s="1041">
        <f t="shared" si="5"/>
        <v>0.22499999999999998</v>
      </c>
      <c r="AQ32" s="1042">
        <f t="shared" si="6"/>
        <v>0.61</v>
      </c>
      <c r="AR32" s="1043">
        <f t="shared" si="7"/>
        <v>0.65</v>
      </c>
      <c r="AT32" s="1041">
        <f t="shared" si="8"/>
        <v>0.11249999999999999</v>
      </c>
      <c r="AU32" s="1042">
        <f t="shared" si="9"/>
        <v>0.56000000000000005</v>
      </c>
      <c r="AV32" s="1043">
        <f t="shared" si="10"/>
        <v>0.6</v>
      </c>
    </row>
    <row r="33" spans="3:34" ht="14.95" hidden="1" thickBot="1">
      <c r="C33" t="s">
        <v>782</v>
      </c>
      <c r="D33" t="s">
        <v>237</v>
      </c>
      <c r="F33" s="353" t="s">
        <v>783</v>
      </c>
      <c r="G33" s="354">
        <f>0</f>
        <v>0</v>
      </c>
      <c r="H33" s="355">
        <v>0.15</v>
      </c>
      <c r="I33" s="355">
        <f>H33*0.5</f>
        <v>7.4999999999999997E-2</v>
      </c>
      <c r="J33" s="356">
        <v>0.3</v>
      </c>
      <c r="K33" s="357">
        <f>ROUND(((1-H33)*J33)+H33,2)</f>
        <v>0.41</v>
      </c>
      <c r="L33" s="358">
        <f>IF(D33="Yes",'Control Savings'!$K33,0)</f>
        <v>0.41</v>
      </c>
      <c r="M33" s="720">
        <f>0</f>
        <v>0</v>
      </c>
      <c r="P33" s="361">
        <f>($K33*0.33)+($H33*0.67)</f>
        <v>0.23580000000000001</v>
      </c>
      <c r="Q33" s="358">
        <f>($K33*0.25)+($H33*0.75)</f>
        <v>0.21499999999999997</v>
      </c>
      <c r="S33" s="354">
        <f>0</f>
        <v>0</v>
      </c>
      <c r="T33" s="355">
        <v>0.15</v>
      </c>
      <c r="U33" s="1035">
        <f>I33</f>
        <v>7.4999999999999997E-2</v>
      </c>
    </row>
    <row r="34" spans="3:34">
      <c r="F34" s="62"/>
      <c r="G34" s="63"/>
      <c r="H34" s="401" t="s">
        <v>784</v>
      </c>
      <c r="I34" s="64"/>
      <c r="J34" s="65"/>
      <c r="K34" s="61"/>
      <c r="L34" s="61"/>
      <c r="M34" s="61"/>
      <c r="P34" s="66"/>
      <c r="Q34" s="66"/>
      <c r="S34" s="63"/>
      <c r="T34" s="401" t="s">
        <v>784</v>
      </c>
    </row>
    <row r="35" spans="3:34" ht="14.95" thickBot="1">
      <c r="F35" s="67" t="s">
        <v>785</v>
      </c>
      <c r="G35" s="63">
        <v>2</v>
      </c>
      <c r="H35" s="12">
        <v>3</v>
      </c>
      <c r="I35" s="12">
        <v>4</v>
      </c>
      <c r="J35" s="12">
        <v>5</v>
      </c>
      <c r="K35" s="12">
        <v>6</v>
      </c>
      <c r="L35" s="12">
        <v>7</v>
      </c>
      <c r="N35" s="66"/>
      <c r="O35" s="66"/>
      <c r="P35" s="66"/>
      <c r="S35" s="222"/>
    </row>
    <row r="36" spans="3:34" ht="29.25" thickBot="1">
      <c r="F36" s="68" t="s">
        <v>786</v>
      </c>
      <c r="G36" s="69" t="s">
        <v>750</v>
      </c>
      <c r="H36" s="69" t="s">
        <v>752</v>
      </c>
      <c r="I36" s="69" t="s">
        <v>731</v>
      </c>
      <c r="J36" s="69" t="s">
        <v>754</v>
      </c>
      <c r="K36" s="533" t="s">
        <v>787</v>
      </c>
      <c r="L36" s="532" t="s">
        <v>787</v>
      </c>
      <c r="N36" s="66"/>
      <c r="O36" s="66"/>
      <c r="P36" s="66"/>
      <c r="R36" s="187"/>
      <c r="S36" s="1080">
        <v>2</v>
      </c>
      <c r="T36" s="12">
        <v>3</v>
      </c>
      <c r="U36" s="12">
        <v>4</v>
      </c>
      <c r="V36" s="12">
        <v>5</v>
      </c>
      <c r="W36" s="12">
        <v>6</v>
      </c>
      <c r="X36" s="12">
        <v>7</v>
      </c>
      <c r="AG36" s="12"/>
      <c r="AH36"/>
    </row>
    <row r="37" spans="3:34" ht="42.8">
      <c r="C37" s="347" t="s">
        <v>788</v>
      </c>
      <c r="D37" s="347" t="s">
        <v>215</v>
      </c>
      <c r="F37" s="699" t="s">
        <v>788</v>
      </c>
      <c r="G37" s="700">
        <f>0</f>
        <v>0</v>
      </c>
      <c r="H37" s="703">
        <v>0</v>
      </c>
      <c r="I37" s="701">
        <v>0.25</v>
      </c>
      <c r="J37" s="703">
        <v>0.05</v>
      </c>
      <c r="K37" s="704">
        <v>0</v>
      </c>
      <c r="L37" s="704">
        <v>0.3</v>
      </c>
      <c r="N37" s="66"/>
      <c r="O37" s="66"/>
      <c r="P37" s="66"/>
      <c r="R37" s="187" t="s">
        <v>786</v>
      </c>
      <c r="S37" s="69" t="s">
        <v>750</v>
      </c>
      <c r="T37" s="69" t="s">
        <v>752</v>
      </c>
      <c r="U37" s="69" t="s">
        <v>731</v>
      </c>
      <c r="V37" s="69" t="s">
        <v>754</v>
      </c>
      <c r="W37" s="533" t="s">
        <v>787</v>
      </c>
      <c r="X37" s="532" t="s">
        <v>787</v>
      </c>
      <c r="AG37" s="12"/>
      <c r="AH37"/>
    </row>
    <row r="38" spans="3:34">
      <c r="C38" s="347" t="s">
        <v>789</v>
      </c>
      <c r="D38" s="347" t="s">
        <v>215</v>
      </c>
      <c r="F38" s="706" t="s">
        <v>789</v>
      </c>
      <c r="G38" s="707">
        <f>0</f>
        <v>0</v>
      </c>
      <c r="H38" s="710">
        <v>0</v>
      </c>
      <c r="I38" s="708">
        <v>0.25</v>
      </c>
      <c r="J38" s="710">
        <v>0.05</v>
      </c>
      <c r="K38" s="712">
        <v>0</v>
      </c>
      <c r="L38" s="712">
        <v>0.3</v>
      </c>
      <c r="N38" s="66"/>
      <c r="O38" s="66"/>
      <c r="P38" s="66"/>
      <c r="R38" s="187" t="s">
        <v>788</v>
      </c>
      <c r="S38" s="700">
        <f>0</f>
        <v>0</v>
      </c>
      <c r="T38" s="703">
        <v>0</v>
      </c>
      <c r="U38" s="701">
        <v>0.25</v>
      </c>
      <c r="V38" s="703">
        <v>0.05</v>
      </c>
      <c r="W38" s="704">
        <v>0</v>
      </c>
      <c r="X38" s="704">
        <v>0.3</v>
      </c>
      <c r="AG38" s="12"/>
      <c r="AH38"/>
    </row>
    <row r="39" spans="3:34">
      <c r="C39" s="347" t="s">
        <v>790</v>
      </c>
      <c r="D39" s="347" t="s">
        <v>215</v>
      </c>
      <c r="F39" s="699" t="s">
        <v>790</v>
      </c>
      <c r="G39" s="700">
        <f>0</f>
        <v>0</v>
      </c>
      <c r="H39" s="703">
        <v>0</v>
      </c>
      <c r="I39" s="701">
        <v>0</v>
      </c>
      <c r="J39" s="703">
        <v>0.05</v>
      </c>
      <c r="K39" s="704">
        <v>0</v>
      </c>
      <c r="L39" s="704">
        <v>0.3</v>
      </c>
      <c r="N39" s="66"/>
      <c r="O39" s="66"/>
      <c r="P39" s="66"/>
      <c r="R39" s="187" t="s">
        <v>789</v>
      </c>
      <c r="S39" s="707">
        <f>0</f>
        <v>0</v>
      </c>
      <c r="T39" s="710">
        <v>0</v>
      </c>
      <c r="U39" s="708">
        <v>0.25</v>
      </c>
      <c r="V39" s="710">
        <v>0.05</v>
      </c>
      <c r="W39" s="712">
        <v>0</v>
      </c>
      <c r="X39" s="712">
        <v>0.3</v>
      </c>
      <c r="AG39" s="12"/>
      <c r="AH39"/>
    </row>
    <row r="40" spans="3:34">
      <c r="C40" s="347" t="s">
        <v>791</v>
      </c>
      <c r="D40" s="347" t="s">
        <v>215</v>
      </c>
      <c r="F40" s="706" t="s">
        <v>791</v>
      </c>
      <c r="G40" s="707">
        <f>0</f>
        <v>0</v>
      </c>
      <c r="H40" s="710">
        <v>0</v>
      </c>
      <c r="I40" s="708">
        <v>0.25</v>
      </c>
      <c r="J40" s="710">
        <v>0.05</v>
      </c>
      <c r="K40" s="712">
        <v>0</v>
      </c>
      <c r="L40" s="712">
        <v>0.3</v>
      </c>
      <c r="N40" s="66"/>
      <c r="O40" s="66"/>
      <c r="P40" s="66"/>
      <c r="R40" s="187" t="s">
        <v>790</v>
      </c>
      <c r="S40" s="700">
        <f>0</f>
        <v>0</v>
      </c>
      <c r="T40" s="703">
        <v>0</v>
      </c>
      <c r="U40" s="701">
        <v>0</v>
      </c>
      <c r="V40" s="703">
        <v>0.05</v>
      </c>
      <c r="W40" s="704">
        <v>0</v>
      </c>
      <c r="X40" s="704">
        <v>0.3</v>
      </c>
      <c r="AG40" s="12"/>
      <c r="AH40"/>
    </row>
    <row r="41" spans="3:34">
      <c r="C41" s="347" t="s">
        <v>792</v>
      </c>
      <c r="D41" s="347" t="s">
        <v>215</v>
      </c>
      <c r="F41" s="699" t="s">
        <v>792</v>
      </c>
      <c r="G41" s="700">
        <f>0</f>
        <v>0</v>
      </c>
      <c r="H41" s="703">
        <v>0</v>
      </c>
      <c r="I41" s="701">
        <v>0.25</v>
      </c>
      <c r="J41" s="703">
        <v>0.05</v>
      </c>
      <c r="K41" s="704">
        <v>0</v>
      </c>
      <c r="L41" s="704">
        <v>0.3</v>
      </c>
      <c r="N41" s="66"/>
      <c r="O41" s="66"/>
      <c r="P41" s="66"/>
      <c r="R41" s="187" t="s">
        <v>791</v>
      </c>
      <c r="S41" s="707">
        <f>0</f>
        <v>0</v>
      </c>
      <c r="T41" s="710">
        <v>0</v>
      </c>
      <c r="U41" s="708">
        <v>0.25</v>
      </c>
      <c r="V41" s="710">
        <v>0.05</v>
      </c>
      <c r="W41" s="712">
        <v>0</v>
      </c>
      <c r="X41" s="712">
        <v>0.3</v>
      </c>
      <c r="AG41" s="12"/>
      <c r="AH41"/>
    </row>
    <row r="42" spans="3:34">
      <c r="C42" s="347" t="s">
        <v>793</v>
      </c>
      <c r="D42" s="347" t="s">
        <v>215</v>
      </c>
      <c r="F42" s="706" t="s">
        <v>793</v>
      </c>
      <c r="G42" s="707">
        <f>0</f>
        <v>0</v>
      </c>
      <c r="H42" s="710">
        <v>0</v>
      </c>
      <c r="I42" s="708">
        <v>0.25</v>
      </c>
      <c r="J42" s="710">
        <v>0.05</v>
      </c>
      <c r="K42" s="712">
        <v>0</v>
      </c>
      <c r="L42" s="712">
        <v>0.3</v>
      </c>
      <c r="N42" s="66"/>
      <c r="O42" s="66"/>
      <c r="P42" s="66"/>
      <c r="R42" s="187" t="s">
        <v>792</v>
      </c>
      <c r="S42" s="700">
        <f>0</f>
        <v>0</v>
      </c>
      <c r="T42" s="703">
        <v>0</v>
      </c>
      <c r="U42" s="701">
        <v>0.25</v>
      </c>
      <c r="V42" s="703">
        <v>0.05</v>
      </c>
      <c r="W42" s="704">
        <v>0</v>
      </c>
      <c r="X42" s="704">
        <v>0.3</v>
      </c>
      <c r="AG42" s="12"/>
      <c r="AH42"/>
    </row>
    <row r="43" spans="3:34">
      <c r="C43" s="347" t="s">
        <v>794</v>
      </c>
      <c r="D43" s="347" t="s">
        <v>215</v>
      </c>
      <c r="F43" s="699" t="s">
        <v>794</v>
      </c>
      <c r="G43" s="700">
        <f>0</f>
        <v>0</v>
      </c>
      <c r="H43" s="703">
        <v>0</v>
      </c>
      <c r="I43" s="701">
        <v>0.25</v>
      </c>
      <c r="J43" s="703">
        <v>0.05</v>
      </c>
      <c r="K43" s="704">
        <v>0</v>
      </c>
      <c r="L43" s="704">
        <v>0.3</v>
      </c>
      <c r="N43" s="66"/>
      <c r="O43" s="66"/>
      <c r="P43" s="66"/>
      <c r="R43" s="187" t="s">
        <v>793</v>
      </c>
      <c r="S43" s="707">
        <f>0</f>
        <v>0</v>
      </c>
      <c r="T43" s="710">
        <v>0</v>
      </c>
      <c r="U43" s="708">
        <v>0.25</v>
      </c>
      <c r="V43" s="710">
        <v>0.05</v>
      </c>
      <c r="W43" s="712">
        <v>0</v>
      </c>
      <c r="X43" s="712">
        <v>0.3</v>
      </c>
      <c r="AG43" s="12"/>
      <c r="AH43"/>
    </row>
    <row r="44" spans="3:34">
      <c r="C44" s="347" t="s">
        <v>795</v>
      </c>
      <c r="D44" s="347" t="s">
        <v>215</v>
      </c>
      <c r="F44" s="706" t="s">
        <v>795</v>
      </c>
      <c r="G44" s="707">
        <f>0</f>
        <v>0</v>
      </c>
      <c r="H44" s="710">
        <v>0</v>
      </c>
      <c r="I44" s="708">
        <v>0</v>
      </c>
      <c r="J44" s="710">
        <v>0.05</v>
      </c>
      <c r="K44" s="712">
        <v>0</v>
      </c>
      <c r="L44" s="712">
        <v>0.3</v>
      </c>
      <c r="R44" s="187" t="s">
        <v>794</v>
      </c>
      <c r="S44" s="700">
        <f>0</f>
        <v>0</v>
      </c>
      <c r="T44" s="703">
        <v>0</v>
      </c>
      <c r="U44" s="701">
        <v>0.25</v>
      </c>
      <c r="V44" s="703">
        <v>0.05</v>
      </c>
      <c r="W44" s="704">
        <v>0</v>
      </c>
      <c r="X44" s="704">
        <v>0.3</v>
      </c>
      <c r="AG44" s="12"/>
      <c r="AH44"/>
    </row>
    <row r="45" spans="3:34" ht="14.95" thickBot="1">
      <c r="C45" s="347" t="s">
        <v>796</v>
      </c>
      <c r="D45" s="347" t="s">
        <v>215</v>
      </c>
      <c r="F45" s="713" t="s">
        <v>796</v>
      </c>
      <c r="G45" s="714">
        <f>0</f>
        <v>0</v>
      </c>
      <c r="H45" s="717">
        <v>0</v>
      </c>
      <c r="I45" s="715">
        <v>0</v>
      </c>
      <c r="J45" s="717">
        <v>0.05</v>
      </c>
      <c r="K45" s="718">
        <v>0</v>
      </c>
      <c r="L45" s="718">
        <v>0.3</v>
      </c>
      <c r="R45" s="187" t="s">
        <v>795</v>
      </c>
      <c r="S45" s="707">
        <f>0</f>
        <v>0</v>
      </c>
      <c r="T45" s="710">
        <v>0</v>
      </c>
      <c r="U45" s="708">
        <v>0</v>
      </c>
      <c r="V45" s="710">
        <v>0.05</v>
      </c>
      <c r="W45" s="712">
        <v>0</v>
      </c>
      <c r="X45" s="712">
        <v>0.3</v>
      </c>
      <c r="AG45" s="12"/>
      <c r="AH45"/>
    </row>
    <row r="46" spans="3:34" ht="43.5" hidden="1" thickBot="1">
      <c r="F46" s="362"/>
      <c r="G46" s="363"/>
      <c r="H46" s="364"/>
      <c r="I46" s="365"/>
      <c r="J46" s="365"/>
      <c r="K46" s="365"/>
      <c r="L46" s="366"/>
      <c r="R46" s="187"/>
      <c r="S46" s="713" t="s">
        <v>796</v>
      </c>
      <c r="T46" s="714">
        <f>0</f>
        <v>0</v>
      </c>
      <c r="U46" s="717">
        <v>0</v>
      </c>
      <c r="V46" s="715">
        <v>0</v>
      </c>
      <c r="W46" s="717">
        <v>0.05</v>
      </c>
      <c r="X46" s="718">
        <v>0</v>
      </c>
      <c r="Y46" s="718">
        <v>0.3</v>
      </c>
    </row>
    <row r="47" spans="3:34" hidden="1">
      <c r="F47" s="699"/>
      <c r="G47" s="721"/>
      <c r="H47" s="701"/>
      <c r="I47" s="703"/>
      <c r="J47" s="703"/>
      <c r="K47" s="703"/>
      <c r="L47" s="704"/>
      <c r="R47" s="187"/>
      <c r="S47" s="388">
        <v>0.75</v>
      </c>
    </row>
    <row r="48" spans="3:34" hidden="1">
      <c r="C48" t="s">
        <v>797</v>
      </c>
      <c r="F48" s="706"/>
      <c r="G48" s="722"/>
      <c r="H48" s="708"/>
      <c r="I48" s="710"/>
      <c r="J48" s="710"/>
      <c r="K48" s="710"/>
      <c r="L48" s="712"/>
      <c r="R48" s="187"/>
      <c r="S48" s="388">
        <v>0.7</v>
      </c>
    </row>
    <row r="49" spans="3:49" ht="14.95" hidden="1" thickBot="1">
      <c r="C49" t="s">
        <v>797</v>
      </c>
      <c r="F49" s="713" t="s">
        <v>797</v>
      </c>
      <c r="G49" s="714">
        <f>0</f>
        <v>0</v>
      </c>
      <c r="H49" s="715">
        <v>0</v>
      </c>
      <c r="I49" s="717">
        <f>0%</f>
        <v>0</v>
      </c>
      <c r="J49" s="717">
        <v>0</v>
      </c>
      <c r="K49" s="717">
        <v>0.05</v>
      </c>
      <c r="L49" s="718">
        <f>0</f>
        <v>0</v>
      </c>
      <c r="R49" s="187"/>
      <c r="S49" s="388">
        <v>0.65</v>
      </c>
    </row>
    <row r="50" spans="3:49">
      <c r="H50" s="44" t="s">
        <v>798</v>
      </c>
      <c r="R50" s="187"/>
      <c r="S50" s="388">
        <v>0.6</v>
      </c>
    </row>
    <row r="51" spans="3:49">
      <c r="R51" s="187"/>
      <c r="S51" s="388">
        <v>0.55000000000000004</v>
      </c>
    </row>
    <row r="52" spans="3:49" ht="19.05">
      <c r="G52"/>
      <c r="R52" s="383" t="s">
        <v>799</v>
      </c>
      <c r="S52"/>
      <c r="AH52" s="388">
        <v>0.5</v>
      </c>
      <c r="AW52" s="12"/>
    </row>
    <row r="53" spans="3:49">
      <c r="G53"/>
      <c r="S53"/>
      <c r="AH53" s="388">
        <v>0.45</v>
      </c>
      <c r="AW53" s="12"/>
    </row>
    <row r="54" spans="3:49">
      <c r="G54"/>
      <c r="R54" s="2152" t="s">
        <v>800</v>
      </c>
      <c r="S54" s="2152"/>
      <c r="V54" s="1519" t="s">
        <v>801</v>
      </c>
      <c r="W54" s="2159"/>
      <c r="X54" s="1520"/>
      <c r="AH54" s="388">
        <v>0.4</v>
      </c>
      <c r="AW54" s="12"/>
    </row>
    <row r="55" spans="3:49">
      <c r="G55"/>
      <c r="R55" s="2153">
        <v>4200</v>
      </c>
      <c r="S55" s="2153"/>
      <c r="T55" t="s">
        <v>802</v>
      </c>
      <c r="V55" s="634" t="s">
        <v>803</v>
      </c>
      <c r="W55" s="723" t="s">
        <v>804</v>
      </c>
      <c r="X55" s="634" t="s">
        <v>805</v>
      </c>
      <c r="AH55" s="388">
        <v>0.35</v>
      </c>
      <c r="AW55" s="12"/>
    </row>
    <row r="56" spans="3:49">
      <c r="G56"/>
      <c r="R56" s="2154">
        <f>R55/365</f>
        <v>11.506849315068493</v>
      </c>
      <c r="S56" s="2154"/>
      <c r="T56" s="92" t="s">
        <v>806</v>
      </c>
      <c r="V56" s="724">
        <f>F74</f>
        <v>0.77083333333333337</v>
      </c>
      <c r="W56" s="725">
        <f>F97</f>
        <v>1.25</v>
      </c>
      <c r="X56" s="726">
        <f>(W56-V56)*24</f>
        <v>11.5</v>
      </c>
      <c r="AH56" s="388">
        <v>0.3</v>
      </c>
      <c r="AW56" s="12"/>
    </row>
    <row r="57" spans="3:49">
      <c r="G57"/>
      <c r="S57"/>
      <c r="AH57" s="388">
        <v>0.25</v>
      </c>
      <c r="AW57" s="12"/>
    </row>
    <row r="58" spans="3:49">
      <c r="G58"/>
      <c r="S58"/>
      <c r="AH58" s="388">
        <v>0.2</v>
      </c>
      <c r="AW58" s="12"/>
    </row>
    <row r="59" spans="3:49">
      <c r="G59"/>
      <c r="S59"/>
      <c r="V59" s="12"/>
      <c r="AH59" s="388">
        <v>0.15</v>
      </c>
      <c r="AW59" s="12"/>
    </row>
    <row r="60" spans="3:49">
      <c r="G60"/>
      <c r="S60"/>
      <c r="V60" s="2155" t="s">
        <v>807</v>
      </c>
      <c r="W60" s="2155"/>
      <c r="X60" s="2156" t="s">
        <v>808</v>
      </c>
      <c r="Y60" s="2156"/>
      <c r="Z60" s="384">
        <v>0.15</v>
      </c>
      <c r="AA60" s="2157" t="s">
        <v>809</v>
      </c>
      <c r="AH60" s="388">
        <v>0.1</v>
      </c>
      <c r="AW60" s="12"/>
    </row>
    <row r="61" spans="3:49">
      <c r="G61"/>
      <c r="S61" s="2153" t="s">
        <v>803</v>
      </c>
      <c r="T61" s="2153"/>
      <c r="U61" s="634" t="s">
        <v>810</v>
      </c>
      <c r="V61" s="634" t="s">
        <v>811</v>
      </c>
      <c r="W61" s="634" t="s">
        <v>286</v>
      </c>
      <c r="X61" s="634" t="s">
        <v>731</v>
      </c>
      <c r="Y61" s="634" t="s">
        <v>812</v>
      </c>
      <c r="Z61" s="634" t="s">
        <v>813</v>
      </c>
      <c r="AA61" s="2158"/>
      <c r="AE61" s="385" t="s">
        <v>814</v>
      </c>
      <c r="AF61" s="385" t="s">
        <v>815</v>
      </c>
      <c r="AH61" s="388">
        <v>0.05</v>
      </c>
      <c r="AW61" s="12"/>
    </row>
    <row r="62" spans="3:49">
      <c r="G62"/>
      <c r="R62" s="187" t="s">
        <v>816</v>
      </c>
      <c r="S62" s="2147">
        <f>V56</f>
        <v>0.77083333333333337</v>
      </c>
      <c r="T62" s="2147"/>
      <c r="U62" s="727"/>
      <c r="V62" s="728"/>
      <c r="W62" s="729">
        <f>ROUND((((U62-S62)*24)*(1-V62))/11.5,2)</f>
        <v>-1.61</v>
      </c>
      <c r="X62" s="730"/>
      <c r="Y62" s="728"/>
      <c r="Z62" s="729">
        <f>IF(X62="Yes",ROUND(((AE62)*(Z$60)*(V62-Y62))/11.5,2),0)</f>
        <v>0</v>
      </c>
      <c r="AA62" s="729">
        <f>W62+Z62</f>
        <v>-1.61</v>
      </c>
      <c r="AE62" s="386">
        <f>(U62-S62)*24</f>
        <v>-18.5</v>
      </c>
      <c r="AF62" s="386">
        <f>IF(X62="Yes",(U62-S62)*24*(1-Z$60),0)</f>
        <v>0</v>
      </c>
      <c r="AH62" s="388">
        <v>0</v>
      </c>
      <c r="AW62" s="12"/>
    </row>
    <row r="63" spans="3:49">
      <c r="G63"/>
      <c r="R63" s="187" t="s">
        <v>817</v>
      </c>
      <c r="S63" s="2147">
        <f>U62</f>
        <v>0</v>
      </c>
      <c r="T63" s="2147"/>
      <c r="U63" s="727"/>
      <c r="V63" s="728"/>
      <c r="W63" s="729">
        <f>ROUND((((U63-S63)*24)*(1-V63))/11.5,2)</f>
        <v>0</v>
      </c>
      <c r="X63" s="730"/>
      <c r="Y63" s="728"/>
      <c r="Z63" s="729">
        <f>IF(X63="Yes",ROUND(((AE63)*(Z$60)*(V63-Y63))/11.5,2),0)</f>
        <v>0</v>
      </c>
      <c r="AA63" s="729">
        <f>W63+Z63</f>
        <v>0</v>
      </c>
      <c r="AE63" s="386">
        <f>(U63-S63)*24</f>
        <v>0</v>
      </c>
      <c r="AF63" s="386">
        <f>IF(X63="Yes",(U63-S63)*24*(1-Z$60),0)</f>
        <v>0</v>
      </c>
      <c r="AH63" s="385"/>
      <c r="AW63" s="12"/>
    </row>
    <row r="64" spans="3:49">
      <c r="G64"/>
      <c r="R64" s="187" t="s">
        <v>818</v>
      </c>
      <c r="S64" s="2147">
        <f>U63</f>
        <v>0</v>
      </c>
      <c r="T64" s="2147"/>
      <c r="U64" s="727"/>
      <c r="V64" s="728"/>
      <c r="W64" s="729">
        <f>ROUND((((U64-S64)*24)*(1-V64))/11.5,2)</f>
        <v>0</v>
      </c>
      <c r="X64" s="730"/>
      <c r="Y64" s="728"/>
      <c r="Z64" s="729">
        <f>IF(X64="Yes",ROUND(((AE64)*(Z$60)*(V64-Y64))/11.5,2),0)</f>
        <v>0</v>
      </c>
      <c r="AA64" s="729">
        <f>W64+Z64</f>
        <v>0</v>
      </c>
      <c r="AE64" s="386">
        <f>(U64-S64)*24</f>
        <v>0</v>
      </c>
      <c r="AF64" s="386">
        <f>IF(X64="Yes",(U64-S64)*24*(1-Z$60),0)</f>
        <v>0</v>
      </c>
      <c r="AH64" s="385"/>
      <c r="AW64" s="12"/>
    </row>
    <row r="65" spans="6:49">
      <c r="G65"/>
      <c r="R65" s="187" t="s">
        <v>819</v>
      </c>
      <c r="S65" s="2147">
        <f>U64</f>
        <v>0</v>
      </c>
      <c r="T65" s="2147"/>
      <c r="U65" s="724">
        <f>W56</f>
        <v>1.25</v>
      </c>
      <c r="V65" s="728"/>
      <c r="W65" s="729">
        <f>ROUND((((U65-S65)*24)*(1-V65))/11.5,2)</f>
        <v>2.61</v>
      </c>
      <c r="X65" s="730"/>
      <c r="Y65" s="728"/>
      <c r="Z65" s="729">
        <f>IF(X65="Yes",ROUND(((AE65)*(Z$60)*(V65-Y65))/11.5,2),0)</f>
        <v>0</v>
      </c>
      <c r="AA65" s="729">
        <f>W65+Z65</f>
        <v>2.61</v>
      </c>
      <c r="AE65" s="386">
        <f>(U65-S65)*24</f>
        <v>30</v>
      </c>
      <c r="AF65" s="386">
        <f>IF(X65="Yes",(U65-S65)*24*(1-Z$60),0)</f>
        <v>0</v>
      </c>
      <c r="AH65" s="385"/>
      <c r="AW65" s="12"/>
    </row>
    <row r="66" spans="6:49">
      <c r="G66"/>
      <c r="S66"/>
      <c r="W66" s="729">
        <f>SUM(W62:W65)</f>
        <v>0.99999999999999978</v>
      </c>
      <c r="Z66" s="729">
        <f>SUM(Z62:Z65)</f>
        <v>0</v>
      </c>
      <c r="AA66" s="729">
        <f>SUM(AA62:AA65)</f>
        <v>0.99999999999999978</v>
      </c>
      <c r="AE66" s="386">
        <f>SUM(AE62:AE65)</f>
        <v>11.5</v>
      </c>
      <c r="AF66" s="386">
        <f>SUM(AF62:AF65)</f>
        <v>0</v>
      </c>
      <c r="AW66" s="12"/>
    </row>
    <row r="67" spans="6:49">
      <c r="G67"/>
      <c r="S67"/>
      <c r="V67" s="222"/>
      <c r="AW67" s="12"/>
    </row>
    <row r="68" spans="6:49">
      <c r="G68" s="222"/>
    </row>
    <row r="69" spans="6:49">
      <c r="G69" s="222"/>
    </row>
    <row r="70" spans="6:49">
      <c r="G70" s="222"/>
    </row>
    <row r="71" spans="6:49">
      <c r="G71"/>
    </row>
    <row r="74" spans="6:49">
      <c r="F74" s="387">
        <v>0.77083333333333337</v>
      </c>
      <c r="G74" s="388">
        <v>1</v>
      </c>
    </row>
    <row r="75" spans="6:49">
      <c r="F75" s="387">
        <v>0.79166666666666663</v>
      </c>
      <c r="G75" s="388">
        <v>0.95</v>
      </c>
    </row>
    <row r="76" spans="6:49">
      <c r="F76" s="387">
        <v>0.8125</v>
      </c>
      <c r="G76" s="388">
        <v>0.9</v>
      </c>
    </row>
    <row r="77" spans="6:49">
      <c r="F77" s="387">
        <v>0.83333333333333304</v>
      </c>
      <c r="G77" s="388">
        <v>0.85</v>
      </c>
    </row>
    <row r="78" spans="6:49">
      <c r="F78" s="387">
        <v>0.85416666666666596</v>
      </c>
      <c r="G78" s="388">
        <v>0.8</v>
      </c>
    </row>
    <row r="79" spans="6:49">
      <c r="F79" s="387">
        <v>0.874999999999999</v>
      </c>
      <c r="G79" s="388">
        <v>0.75</v>
      </c>
    </row>
    <row r="80" spans="6:49">
      <c r="F80" s="387">
        <v>0.89583333333333304</v>
      </c>
      <c r="G80" s="388">
        <v>0.7</v>
      </c>
    </row>
    <row r="81" spans="6:7">
      <c r="F81" s="387">
        <v>0.91666666666666596</v>
      </c>
      <c r="G81" s="388">
        <v>0.65</v>
      </c>
    </row>
    <row r="82" spans="6:7">
      <c r="F82" s="387">
        <v>0.937499999999999</v>
      </c>
      <c r="G82" s="388">
        <v>0.6</v>
      </c>
    </row>
    <row r="83" spans="6:7">
      <c r="F83" s="387">
        <v>0.95833333333333204</v>
      </c>
      <c r="G83" s="388">
        <v>0.55000000000000004</v>
      </c>
    </row>
    <row r="84" spans="6:7">
      <c r="F84" s="387">
        <v>0.97916666666666596</v>
      </c>
      <c r="G84" s="388">
        <v>0.5</v>
      </c>
    </row>
    <row r="85" spans="6:7">
      <c r="F85" s="387">
        <v>0.999999999999999</v>
      </c>
      <c r="G85" s="388">
        <v>0.45</v>
      </c>
    </row>
    <row r="86" spans="6:7">
      <c r="F86" s="387">
        <v>1.0208333333333299</v>
      </c>
      <c r="G86" s="388">
        <v>0.4</v>
      </c>
    </row>
    <row r="87" spans="6:7">
      <c r="F87" s="387">
        <v>1.0416666666666701</v>
      </c>
      <c r="G87" s="388">
        <v>0.35</v>
      </c>
    </row>
    <row r="88" spans="6:7">
      <c r="F88" s="387">
        <v>1.0625</v>
      </c>
      <c r="G88" s="388">
        <v>0.3</v>
      </c>
    </row>
    <row r="89" spans="6:7">
      <c r="F89" s="387">
        <v>1.0833333333333299</v>
      </c>
      <c r="G89" s="388">
        <v>0.25</v>
      </c>
    </row>
    <row r="90" spans="6:7">
      <c r="F90" s="387">
        <v>1.1041666666666701</v>
      </c>
      <c r="G90" s="388">
        <v>0.2</v>
      </c>
    </row>
    <row r="91" spans="6:7">
      <c r="F91" s="387">
        <v>1.125</v>
      </c>
      <c r="G91" s="388">
        <v>0.15</v>
      </c>
    </row>
    <row r="92" spans="6:7">
      <c r="F92" s="387">
        <v>1.1458333333333299</v>
      </c>
      <c r="G92" s="388">
        <v>0.1</v>
      </c>
    </row>
    <row r="93" spans="6:7">
      <c r="F93" s="387">
        <v>1.1666666666666701</v>
      </c>
      <c r="G93" s="388">
        <v>0.05</v>
      </c>
    </row>
    <row r="94" spans="6:7">
      <c r="F94" s="387">
        <v>1.1875</v>
      </c>
      <c r="G94" s="388">
        <v>0</v>
      </c>
    </row>
    <row r="95" spans="6:7">
      <c r="F95" s="387">
        <v>1.2083333333333299</v>
      </c>
      <c r="G95" s="385"/>
    </row>
    <row r="96" spans="6:7">
      <c r="F96" s="389">
        <v>1.2291666666666667</v>
      </c>
      <c r="G96" s="385"/>
    </row>
    <row r="97" spans="6:7">
      <c r="F97" s="387">
        <v>1.25</v>
      </c>
      <c r="G97" s="385"/>
    </row>
  </sheetData>
  <sheetProtection algorithmName="SHA-512" hashValue="q7vibsnRSxSQ6A515zKtvsQ+vqmUWXPBVKcIphxfyhdRUYvXdqk+Lf1p+iVZx6bpCMioohLFPty1Q2p7+gCthA==" saltValue="RefS/vQf8nT3yb5RuS/Uaw==" spinCount="100000" sheet="1" selectLockedCells="1"/>
  <mergeCells count="21">
    <mergeCell ref="X2:Z3"/>
    <mergeCell ref="V2:V3"/>
    <mergeCell ref="AP2:AR3"/>
    <mergeCell ref="AA2:AC3"/>
    <mergeCell ref="AT2:AV3"/>
    <mergeCell ref="V60:W60"/>
    <mergeCell ref="X60:Y60"/>
    <mergeCell ref="AA60:AA61"/>
    <mergeCell ref="V54:X54"/>
    <mergeCell ref="S61:T61"/>
    <mergeCell ref="S2:S3"/>
    <mergeCell ref="U2:U3"/>
    <mergeCell ref="T2:T3"/>
    <mergeCell ref="S65:T65"/>
    <mergeCell ref="P2:Q3"/>
    <mergeCell ref="R54:S54"/>
    <mergeCell ref="R55:S55"/>
    <mergeCell ref="R56:S56"/>
    <mergeCell ref="S62:T62"/>
    <mergeCell ref="S63:T63"/>
    <mergeCell ref="S64:T64"/>
  </mergeCells>
  <conditionalFormatting sqref="D5:D33">
    <cfRule type="cellIs" dxfId="65" priority="1" operator="equal">
      <formula>"Yes"</formula>
    </cfRule>
  </conditionalFormatting>
  <dataValidations count="4">
    <dataValidation type="decimal" allowBlank="1" showInputMessage="1" showErrorMessage="1" error="Value must be between 0% and 30%!" sqref="K37:L45 L49 M5:M6 M8:M33 W38:X45 X46:Y46">
      <formula1>0</formula1>
      <formula2>0.3</formula2>
    </dataValidation>
    <dataValidation type="list" allowBlank="1" showInputMessage="1" showErrorMessage="1" sqref="U62:U64">
      <formula1>ControlTime</formula1>
    </dataValidation>
    <dataValidation type="list" allowBlank="1" showInputMessage="1" showErrorMessage="1" sqref="V62:V65 Y62:Y65">
      <formula1>OnIntensity</formula1>
    </dataValidation>
    <dataValidation type="list" allowBlank="1" showInputMessage="1" showErrorMessage="1" sqref="X62:X65">
      <formula1>"Yes, No"</formula1>
    </dataValidation>
  </dataValidations>
  <pageMargins left="0.7" right="0.7" top="0.75" bottom="0.75" header="0.3" footer="0.3"/>
  <pageSetup paperSize="17"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P741"/>
  <sheetViews>
    <sheetView showGridLines="0" zoomScale="90" zoomScaleNormal="90" workbookViewId="0">
      <pane ySplit="17" topLeftCell="A18" activePane="bottomLeft" state="frozen"/>
      <selection pane="bottomLeft" activeCell="A18" sqref="A18:X18"/>
    </sheetView>
  </sheetViews>
  <sheetFormatPr defaultColWidth="9.125" defaultRowHeight="14.3"/>
  <cols>
    <col min="1" max="1" width="4.125" customWidth="1"/>
    <col min="2" max="2" width="4.125" hidden="1" customWidth="1"/>
    <col min="3" max="8" width="2.875" customWidth="1"/>
    <col min="9" max="9" width="5.625" customWidth="1"/>
    <col min="10" max="10" width="30.625" customWidth="1"/>
    <col min="11" max="11" width="1.375" customWidth="1"/>
    <col min="12" max="12" width="20.625" customWidth="1"/>
    <col min="13" max="13" width="10.625" customWidth="1"/>
    <col min="14" max="14" width="1.375" customWidth="1"/>
    <col min="15" max="16" width="8.625" customWidth="1"/>
    <col min="17" max="17" width="4.625" customWidth="1"/>
    <col min="18" max="18" width="1.375" customWidth="1"/>
    <col min="19" max="19" width="2.875" customWidth="1"/>
    <col min="20" max="20" width="1.375" customWidth="1"/>
    <col min="21" max="21" width="27.875" customWidth="1"/>
    <col min="22" max="22" width="30.625" customWidth="1"/>
    <col min="23" max="23" width="1.375" customWidth="1"/>
    <col min="24" max="24" width="1.625" customWidth="1"/>
    <col min="27" max="34" width="15.625" customWidth="1"/>
    <col min="46" max="46" width="16.375" customWidth="1"/>
    <col min="47" max="47" width="2.625" customWidth="1"/>
    <col min="48" max="48" width="16.375" customWidth="1"/>
    <col min="49" max="49" width="2.625" customWidth="1"/>
    <col min="50" max="50" width="16.375" customWidth="1"/>
    <col min="51" max="51" width="2.625" customWidth="1"/>
    <col min="52" max="52" width="16.375" customWidth="1"/>
    <col min="53" max="53" width="2.625" customWidth="1"/>
    <col min="54" max="54" width="16.375" customWidth="1"/>
    <col min="55" max="55" width="2.625" customWidth="1"/>
    <col min="56" max="56" width="16.375" customWidth="1"/>
    <col min="57" max="57" width="6.875" customWidth="1"/>
    <col min="58" max="58" width="16.375" customWidth="1"/>
    <col min="59" max="59" width="2.625" customWidth="1"/>
    <col min="60" max="60" width="16.375" customWidth="1"/>
    <col min="61" max="61" width="2.625" customWidth="1"/>
    <col min="62" max="62" width="16.375" customWidth="1"/>
    <col min="64" max="64" width="16.375" customWidth="1"/>
  </cols>
  <sheetData>
    <row r="1" spans="10:42" ht="5.0999999999999996" customHeight="1"/>
    <row r="3" spans="10:42" ht="5.0999999999999996" customHeight="1"/>
    <row r="5" spans="10:42" ht="5.0999999999999996" customHeight="1"/>
    <row r="7" spans="10:42" ht="5.0999999999999996" customHeight="1">
      <c r="J7" s="1438" t="s">
        <v>640</v>
      </c>
      <c r="K7" s="1438"/>
      <c r="L7" s="1438"/>
      <c r="M7" s="1438"/>
      <c r="N7" s="1438"/>
      <c r="O7" s="1438"/>
      <c r="P7" s="1438"/>
      <c r="Q7" s="1438"/>
      <c r="R7" s="1438"/>
      <c r="S7" s="1438"/>
      <c r="T7" s="1438"/>
      <c r="U7" s="1438"/>
      <c r="V7" s="16"/>
      <c r="W7" s="16"/>
      <c r="X7" s="16"/>
      <c r="Y7" s="16"/>
      <c r="Z7" s="16"/>
      <c r="AA7" s="16"/>
      <c r="AB7" s="16"/>
      <c r="AC7" s="16"/>
      <c r="AD7" s="16"/>
      <c r="AE7" s="16"/>
      <c r="AF7" s="16"/>
      <c r="AG7" s="16"/>
      <c r="AH7" s="16"/>
      <c r="AI7" s="16"/>
      <c r="AJ7" s="16"/>
      <c r="AK7" s="16"/>
      <c r="AL7" s="16"/>
      <c r="AM7" s="16"/>
      <c r="AN7" s="16"/>
      <c r="AO7" s="16"/>
      <c r="AP7" s="16"/>
    </row>
    <row r="8" spans="10:42" ht="14.45" customHeight="1">
      <c r="J8" s="1438"/>
      <c r="K8" s="1438"/>
      <c r="L8" s="1438"/>
      <c r="M8" s="1438"/>
      <c r="N8" s="1438"/>
      <c r="O8" s="1438"/>
      <c r="P8" s="1438"/>
      <c r="Q8" s="1438"/>
      <c r="R8" s="1438"/>
      <c r="S8" s="1438"/>
      <c r="T8" s="1438"/>
      <c r="U8" s="1438"/>
      <c r="V8" s="16"/>
      <c r="W8" s="16"/>
      <c r="X8" s="16"/>
      <c r="Y8" s="16"/>
      <c r="Z8" s="16"/>
      <c r="AA8" s="16"/>
      <c r="AB8" s="16"/>
      <c r="AC8" s="16"/>
      <c r="AD8" s="16"/>
      <c r="AE8" s="16"/>
      <c r="AF8" s="16"/>
      <c r="AG8" s="16"/>
      <c r="AH8" s="16"/>
      <c r="AI8" s="16"/>
      <c r="AJ8" s="16"/>
      <c r="AK8" s="16"/>
      <c r="AL8" s="16"/>
      <c r="AM8" s="16"/>
      <c r="AN8" s="16"/>
      <c r="AO8" s="16"/>
      <c r="AP8" s="16"/>
    </row>
    <row r="9" spans="10:42" ht="5.0999999999999996" customHeight="1">
      <c r="J9" s="1439" t="str">
        <f>Lookup!$B$20</f>
        <v>Business Lighting ─ STANDARD V24-02 ─ Valid through 06/30/2024</v>
      </c>
      <c r="K9" s="1439"/>
      <c r="L9" s="1439"/>
      <c r="M9" s="1439"/>
      <c r="N9" s="1439"/>
      <c r="O9" s="1439"/>
      <c r="P9" s="1439"/>
      <c r="Q9" s="1439"/>
      <c r="R9" s="1439"/>
      <c r="S9" s="1439"/>
      <c r="T9" s="1439"/>
      <c r="U9" s="1439"/>
      <c r="V9" s="400"/>
      <c r="W9" s="400"/>
      <c r="X9" s="400"/>
      <c r="Y9" s="400"/>
      <c r="Z9" s="400"/>
      <c r="AA9" s="400"/>
      <c r="AB9" s="400"/>
      <c r="AC9" s="400"/>
      <c r="AD9" s="400"/>
      <c r="AE9" s="400"/>
      <c r="AF9" s="400"/>
      <c r="AG9" s="400"/>
      <c r="AH9" s="400"/>
      <c r="AI9" s="400"/>
      <c r="AJ9" s="400"/>
      <c r="AK9" s="400"/>
      <c r="AL9" s="400"/>
      <c r="AM9" s="400"/>
      <c r="AN9" s="400"/>
      <c r="AO9" s="400"/>
      <c r="AP9" s="400"/>
    </row>
    <row r="10" spans="10:42" ht="14.45" customHeight="1">
      <c r="J10" s="1439"/>
      <c r="K10" s="1439"/>
      <c r="L10" s="1439"/>
      <c r="M10" s="1439"/>
      <c r="N10" s="1439"/>
      <c r="O10" s="1439"/>
      <c r="P10" s="1439"/>
      <c r="Q10" s="1439"/>
      <c r="R10" s="1439"/>
      <c r="S10" s="1439"/>
      <c r="T10" s="1439"/>
      <c r="U10" s="1439"/>
      <c r="V10" s="400"/>
      <c r="W10" s="400"/>
      <c r="X10" s="400"/>
      <c r="Y10" s="400"/>
      <c r="Z10" s="400"/>
      <c r="AA10" s="400"/>
      <c r="AB10" s="400"/>
      <c r="AC10" s="400"/>
      <c r="AD10" s="400"/>
      <c r="AE10" s="400"/>
      <c r="AF10" s="400"/>
      <c r="AG10" s="400"/>
      <c r="AH10" s="400"/>
      <c r="AI10" s="400"/>
      <c r="AJ10" s="400"/>
      <c r="AK10" s="400"/>
      <c r="AL10" s="400"/>
      <c r="AM10" s="400"/>
      <c r="AN10" s="400"/>
      <c r="AO10" s="400"/>
      <c r="AP10" s="400"/>
    </row>
    <row r="11" spans="10:42" ht="5.0999999999999996" customHeight="1">
      <c r="J11" s="1449" t="str">
        <f>CONCATENATE("This is a ",Lookup!B16," lighting project")</f>
        <v>This is a RETROFIT lighting project</v>
      </c>
      <c r="K11" s="1449"/>
      <c r="L11" s="1449"/>
      <c r="M11" s="1449"/>
      <c r="N11" s="1449"/>
      <c r="O11" s="1449"/>
      <c r="P11" s="1449"/>
      <c r="Q11" s="1449"/>
      <c r="R11" s="1449"/>
      <c r="S11" s="1449"/>
      <c r="T11" s="1449"/>
      <c r="U11" s="1449"/>
      <c r="V11" s="535"/>
      <c r="W11" s="535"/>
      <c r="X11" s="535"/>
      <c r="Y11" s="535"/>
      <c r="Z11" s="535"/>
      <c r="AA11" s="535"/>
      <c r="AB11" s="535"/>
      <c r="AC11" s="535"/>
      <c r="AD11" s="535"/>
      <c r="AE11" s="535"/>
      <c r="AF11" s="535"/>
      <c r="AG11" s="535"/>
      <c r="AH11" s="535"/>
      <c r="AI11" s="535"/>
      <c r="AJ11" s="535"/>
      <c r="AK11" s="535"/>
      <c r="AL11" s="535"/>
      <c r="AM11" s="535"/>
      <c r="AN11" s="535"/>
      <c r="AO11" s="535"/>
      <c r="AP11" s="535"/>
    </row>
    <row r="12" spans="10:42">
      <c r="J12" s="1449"/>
      <c r="K12" s="1449"/>
      <c r="L12" s="1449"/>
      <c r="M12" s="1449"/>
      <c r="N12" s="1449"/>
      <c r="O12" s="1449"/>
      <c r="P12" s="1449"/>
      <c r="Q12" s="1449"/>
      <c r="R12" s="1449"/>
      <c r="S12" s="1449"/>
      <c r="T12" s="1449"/>
      <c r="U12" s="1449"/>
      <c r="V12" s="535"/>
      <c r="W12" s="535"/>
      <c r="X12" s="535"/>
      <c r="Y12" s="535"/>
      <c r="Z12" s="535"/>
      <c r="AA12" s="535"/>
      <c r="AB12" s="535"/>
      <c r="AC12" s="535"/>
      <c r="AD12" s="535"/>
      <c r="AE12" s="535"/>
      <c r="AF12" s="535"/>
      <c r="AG12" s="535"/>
      <c r="AH12" s="535"/>
      <c r="AI12" s="535"/>
      <c r="AJ12" s="535"/>
      <c r="AK12" s="535"/>
      <c r="AL12" s="535"/>
      <c r="AM12" s="535"/>
      <c r="AN12" s="535"/>
      <c r="AO12" s="535"/>
      <c r="AP12" s="535"/>
    </row>
    <row r="13" spans="10:42" ht="5.0999999999999996" customHeight="1">
      <c r="J13" s="1440" t="str">
        <f>Project!K13</f>
        <v>PSE Approval is required before the retrofit is started!</v>
      </c>
      <c r="K13" s="1440"/>
      <c r="L13" s="1440"/>
      <c r="M13" s="1440"/>
      <c r="N13" s="1440"/>
      <c r="O13" s="1440"/>
      <c r="P13" s="1440"/>
      <c r="Q13" s="1440"/>
      <c r="R13" s="1440"/>
      <c r="S13" s="1440"/>
      <c r="T13" s="1440"/>
      <c r="U13" s="1440"/>
      <c r="V13" s="616"/>
      <c r="W13" s="616"/>
      <c r="X13" s="616"/>
      <c r="Y13" s="616"/>
      <c r="Z13" s="616"/>
      <c r="AA13" s="616"/>
      <c r="AB13" s="616"/>
      <c r="AC13" s="616"/>
      <c r="AD13" s="616"/>
      <c r="AE13" s="616"/>
      <c r="AF13" s="616"/>
      <c r="AG13" s="616"/>
      <c r="AH13" s="616"/>
      <c r="AI13" s="616"/>
      <c r="AJ13" s="616"/>
      <c r="AK13" s="616"/>
      <c r="AL13" s="616"/>
      <c r="AM13" s="616"/>
      <c r="AN13" s="616"/>
      <c r="AO13" s="616"/>
      <c r="AP13" s="616"/>
    </row>
    <row r="14" spans="10:42" ht="14.45" customHeight="1" thickBot="1">
      <c r="J14" s="1440"/>
      <c r="K14" s="1440"/>
      <c r="L14" s="1440"/>
      <c r="M14" s="1440"/>
      <c r="N14" s="1440"/>
      <c r="O14" s="1440"/>
      <c r="P14" s="1440"/>
      <c r="Q14" s="1440"/>
      <c r="R14" s="1440"/>
      <c r="S14" s="1440"/>
      <c r="T14" s="1440"/>
      <c r="U14" s="1440"/>
      <c r="V14" s="616"/>
      <c r="W14" s="616"/>
      <c r="X14" s="616"/>
      <c r="Y14" s="616"/>
      <c r="Z14" s="616"/>
      <c r="AA14" s="616"/>
    </row>
    <row r="15" spans="10:42" ht="5.0999999999999996" customHeight="1">
      <c r="K15" s="2224" t="str">
        <f>IF(__Retrofit_TI_NC=1,"Tenant Improvement Grant QC Review",IF(__Retrofit_TI_NC=2,"New Construction Grant QC Review","Retrofit Grant QC Review"))</f>
        <v>Retrofit Grant QC Review</v>
      </c>
      <c r="L15" s="2225"/>
      <c r="M15" s="2225"/>
      <c r="N15" s="2225"/>
      <c r="O15" s="2225"/>
      <c r="P15" s="2225"/>
      <c r="Q15" s="2225"/>
      <c r="R15" s="2226"/>
      <c r="S15" s="88"/>
      <c r="T15" s="88"/>
    </row>
    <row r="16" spans="10:42" ht="14.95" thickBot="1">
      <c r="K16" s="2227"/>
      <c r="L16" s="2228"/>
      <c r="M16" s="2228"/>
      <c r="N16" s="2228"/>
      <c r="O16" s="2228"/>
      <c r="P16" s="2228"/>
      <c r="Q16" s="2228"/>
      <c r="R16" s="2229"/>
    </row>
    <row r="18" spans="1:40" ht="2.4" customHeight="1">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c r="W18" s="1441"/>
      <c r="X18" s="1441"/>
    </row>
    <row r="19" spans="1:40" ht="20.05" customHeight="1">
      <c r="C19" s="266"/>
      <c r="D19" s="266"/>
      <c r="E19" s="615" t="s">
        <v>820</v>
      </c>
      <c r="F19" s="266"/>
      <c r="G19" s="266"/>
      <c r="H19" s="266"/>
      <c r="I19" s="266"/>
      <c r="J19" s="266"/>
      <c r="K19" s="266"/>
      <c r="L19" s="266"/>
      <c r="M19" s="266"/>
      <c r="N19" s="266"/>
      <c r="O19" s="266"/>
      <c r="P19" s="266"/>
      <c r="Q19" s="266"/>
      <c r="R19" s="266"/>
      <c r="S19" s="266"/>
      <c r="T19" s="266"/>
      <c r="U19" s="266"/>
      <c r="V19" s="266"/>
      <c r="W19" s="266"/>
      <c r="X19" s="266"/>
      <c r="Y19" s="17"/>
      <c r="Z19" s="17"/>
      <c r="AA19" s="1159"/>
      <c r="AB19" s="1159"/>
      <c r="AC19" s="1159"/>
      <c r="AD19" s="1159"/>
      <c r="AE19" s="1159"/>
      <c r="AF19" s="1159"/>
      <c r="AG19" s="1159"/>
      <c r="AH19" s="1159"/>
      <c r="AJ19" s="340"/>
      <c r="AK19" s="340"/>
      <c r="AL19" s="340"/>
      <c r="AM19" s="340"/>
      <c r="AN19" s="340"/>
    </row>
    <row r="20" spans="1:40" ht="19.05">
      <c r="B20" s="1441"/>
      <c r="C20" s="266"/>
      <c r="D20" s="267"/>
      <c r="F20" s="731"/>
      <c r="G20" s="731"/>
      <c r="H20" s="731"/>
      <c r="I20" s="731"/>
      <c r="J20" s="731"/>
      <c r="K20" s="732"/>
      <c r="L20" s="732"/>
      <c r="M20" s="732"/>
      <c r="N20" s="733"/>
      <c r="O20" s="268"/>
      <c r="P20" s="267"/>
      <c r="Q20" s="267"/>
      <c r="R20" s="273" t="s">
        <v>821</v>
      </c>
      <c r="S20" s="267"/>
      <c r="T20" s="267"/>
      <c r="U20" s="267"/>
      <c r="V20" s="267"/>
      <c r="W20" s="267"/>
      <c r="X20" s="266"/>
      <c r="Y20" s="17"/>
      <c r="Z20" s="17"/>
      <c r="AA20" s="1159"/>
      <c r="AB20" s="1159"/>
      <c r="AC20" s="1159"/>
      <c r="AD20" s="1159"/>
      <c r="AE20" s="1159"/>
      <c r="AF20" s="1159"/>
      <c r="AG20" s="1159"/>
      <c r="AH20" s="1159"/>
      <c r="AJ20" s="2"/>
    </row>
    <row r="21" spans="1:40" ht="7.5" customHeight="1">
      <c r="B21" s="1441"/>
      <c r="C21" s="162"/>
      <c r="D21" s="269"/>
      <c r="E21" s="269"/>
      <c r="F21" s="269"/>
      <c r="G21" s="269"/>
      <c r="H21" s="269"/>
      <c r="I21" s="269"/>
      <c r="J21" s="270"/>
      <c r="K21" s="267"/>
      <c r="L21" s="269"/>
      <c r="N21" s="267"/>
      <c r="O21" s="267"/>
      <c r="P21" s="267"/>
      <c r="Q21" s="267"/>
      <c r="R21" s="267"/>
      <c r="S21" s="267"/>
      <c r="T21" s="267"/>
      <c r="U21" s="267"/>
      <c r="V21" s="267"/>
      <c r="W21" s="267"/>
      <c r="X21" s="266"/>
      <c r="Y21" s="17"/>
      <c r="Z21" s="17"/>
      <c r="AA21" s="1159"/>
      <c r="AB21" s="1159"/>
      <c r="AC21" s="1159"/>
      <c r="AD21" s="1159"/>
      <c r="AE21" s="1159"/>
      <c r="AF21" s="1159"/>
      <c r="AG21" s="1159"/>
      <c r="AH21" s="1159"/>
    </row>
    <row r="22" spans="1:40" ht="14.95" customHeight="1">
      <c r="B22" s="1441"/>
      <c r="D22" s="269"/>
      <c r="I22" s="614" t="s">
        <v>822</v>
      </c>
      <c r="J22" s="442">
        <f>Project!V22</f>
        <v>0</v>
      </c>
      <c r="L22" s="271" t="s">
        <v>823</v>
      </c>
      <c r="M22" s="2230"/>
      <c r="N22" s="2230"/>
      <c r="O22" s="2230"/>
      <c r="P22" s="2231"/>
      <c r="Q22" s="268"/>
      <c r="S22" s="734"/>
      <c r="T22" s="276"/>
      <c r="U22" s="277" t="s">
        <v>824</v>
      </c>
      <c r="V22" s="268"/>
      <c r="W22" s="268"/>
      <c r="X22" s="154"/>
      <c r="Y22" s="17"/>
      <c r="Z22" s="17"/>
      <c r="AA22" s="1159"/>
      <c r="AB22" s="1159"/>
      <c r="AC22" s="1159"/>
      <c r="AD22" s="1159"/>
      <c r="AE22" s="1159"/>
      <c r="AF22" s="1159"/>
      <c r="AG22" s="1159"/>
      <c r="AH22" s="1159"/>
      <c r="AJ22" s="161"/>
      <c r="AK22" s="161"/>
      <c r="AL22" s="161"/>
      <c r="AM22" s="161"/>
      <c r="AN22" s="161"/>
    </row>
    <row r="23" spans="1:40" ht="7.5" customHeight="1">
      <c r="B23" s="1441"/>
      <c r="C23" s="162"/>
      <c r="D23" s="269"/>
      <c r="E23" s="269"/>
      <c r="F23" s="269"/>
      <c r="G23" s="269"/>
      <c r="H23" s="269"/>
      <c r="I23" s="269"/>
      <c r="J23" s="270"/>
      <c r="K23" s="267"/>
      <c r="L23" s="269"/>
      <c r="N23" s="267"/>
      <c r="O23" s="267"/>
      <c r="P23" s="267"/>
      <c r="Q23" s="267"/>
      <c r="R23" s="267"/>
      <c r="S23" s="267"/>
      <c r="T23" s="267"/>
      <c r="U23" s="267"/>
      <c r="V23" s="267"/>
      <c r="W23" s="267"/>
      <c r="X23" s="266"/>
      <c r="Y23" s="17"/>
      <c r="Z23" s="17"/>
      <c r="AA23" s="1159"/>
      <c r="AB23" s="1159"/>
      <c r="AC23" s="1159"/>
      <c r="AD23" s="1159"/>
      <c r="AE23" s="1159"/>
      <c r="AF23" s="1159"/>
      <c r="AG23" s="1159"/>
      <c r="AH23" s="1159"/>
    </row>
    <row r="24" spans="1:40" ht="16.3">
      <c r="B24" s="1441"/>
      <c r="C24" s="162"/>
      <c r="D24" s="269"/>
      <c r="E24" s="269"/>
      <c r="F24" s="269"/>
      <c r="G24" s="269"/>
      <c r="H24" s="269"/>
      <c r="I24" s="271" t="s">
        <v>825</v>
      </c>
      <c r="J24" s="442" t="str">
        <f>IF(__Retrofit_TI_NC&lt;2,"Business Lighting","C/I New Construction")</f>
        <v>Business Lighting</v>
      </c>
      <c r="K24" s="272"/>
      <c r="L24" s="271" t="s">
        <v>826</v>
      </c>
      <c r="M24" s="2232"/>
      <c r="N24" s="2232"/>
      <c r="O24" s="2232"/>
      <c r="P24" s="2233"/>
      <c r="Q24" s="272"/>
      <c r="S24" s="734"/>
      <c r="T24" s="276"/>
      <c r="U24" s="277" t="s">
        <v>827</v>
      </c>
      <c r="V24" s="273"/>
      <c r="W24" s="272"/>
      <c r="AA24" s="1159"/>
      <c r="AB24" s="1159"/>
      <c r="AC24" s="1159"/>
      <c r="AD24" s="1159"/>
      <c r="AE24" s="1159"/>
      <c r="AF24" s="1159"/>
      <c r="AG24" s="1159"/>
      <c r="AH24" s="1159"/>
      <c r="AJ24" s="161"/>
      <c r="AK24" s="161"/>
      <c r="AL24" s="161"/>
      <c r="AM24" s="161"/>
      <c r="AN24" s="161"/>
    </row>
    <row r="25" spans="1:40" ht="7.5" customHeight="1">
      <c r="B25" s="1441"/>
      <c r="C25" s="162"/>
      <c r="D25" s="269"/>
      <c r="E25" s="269"/>
      <c r="F25" s="269"/>
      <c r="G25" s="269"/>
      <c r="H25" s="269"/>
      <c r="I25" s="272"/>
      <c r="J25" s="274"/>
      <c r="K25" s="272"/>
      <c r="L25" s="269"/>
      <c r="M25" s="267"/>
      <c r="N25" s="267"/>
      <c r="O25" s="272"/>
      <c r="P25" s="272"/>
      <c r="Q25" s="272"/>
      <c r="R25" s="272"/>
      <c r="S25" s="272"/>
      <c r="T25" s="267"/>
      <c r="U25" s="275"/>
      <c r="V25" s="272"/>
      <c r="W25" s="272"/>
      <c r="AA25" s="1159"/>
      <c r="AB25" s="1159"/>
      <c r="AC25" s="1159"/>
      <c r="AD25" s="1159"/>
      <c r="AE25" s="1159"/>
      <c r="AF25" s="1159"/>
      <c r="AG25" s="1159"/>
      <c r="AH25" s="1159"/>
      <c r="AJ25" s="161"/>
      <c r="AK25" s="161"/>
      <c r="AL25" s="161"/>
      <c r="AM25" s="161"/>
      <c r="AN25" s="161"/>
    </row>
    <row r="26" spans="1:40" ht="15.8" customHeight="1">
      <c r="B26" s="1441"/>
      <c r="C26" s="162"/>
      <c r="D26" s="269"/>
      <c r="E26" s="269"/>
      <c r="F26" s="269"/>
      <c r="G26" s="269"/>
      <c r="H26" s="269"/>
      <c r="I26" s="271" t="s">
        <v>828</v>
      </c>
      <c r="J26" s="280" t="str">
        <f>Project!H24</f>
        <v>RETROFIT</v>
      </c>
      <c r="K26" s="272"/>
      <c r="L26" s="271" t="s">
        <v>829</v>
      </c>
      <c r="M26" s="2232"/>
      <c r="N26" s="2232"/>
      <c r="O26" s="2232"/>
      <c r="P26" s="2233"/>
      <c r="Q26" s="272"/>
      <c r="R26" s="273" t="s">
        <v>830</v>
      </c>
      <c r="V26" s="272"/>
      <c r="W26" s="272"/>
      <c r="AA26" s="1159"/>
      <c r="AB26" s="1159"/>
      <c r="AC26" s="1159"/>
      <c r="AD26" s="1159"/>
      <c r="AE26" s="1159"/>
      <c r="AF26" s="1159"/>
      <c r="AG26" s="1159"/>
      <c r="AH26" s="1159"/>
      <c r="AJ26" s="161"/>
      <c r="AK26" s="161"/>
      <c r="AL26" s="161"/>
      <c r="AM26" s="161"/>
      <c r="AN26" s="161"/>
    </row>
    <row r="27" spans="1:40" ht="7.5" customHeight="1">
      <c r="B27" s="1441"/>
      <c r="C27" s="162"/>
      <c r="D27" s="269"/>
      <c r="E27" s="269"/>
      <c r="F27" s="269"/>
      <c r="G27" s="269"/>
      <c r="H27" s="269"/>
      <c r="I27" s="272"/>
      <c r="J27" s="274"/>
      <c r="K27" s="272"/>
      <c r="L27" s="269"/>
      <c r="M27" s="267"/>
      <c r="N27" s="267"/>
      <c r="O27" s="278"/>
      <c r="P27" s="278"/>
      <c r="Q27" s="278"/>
      <c r="R27" s="272"/>
      <c r="S27" s="267"/>
      <c r="T27" s="272"/>
      <c r="U27" s="279"/>
      <c r="V27" s="272"/>
      <c r="W27" s="272"/>
      <c r="AA27" s="1159"/>
      <c r="AB27" s="1159"/>
      <c r="AC27" s="1159"/>
      <c r="AD27" s="1159"/>
      <c r="AE27" s="1159"/>
      <c r="AF27" s="1159"/>
      <c r="AG27" s="1159"/>
      <c r="AH27" s="1159"/>
    </row>
    <row r="28" spans="1:40" ht="15.8" customHeight="1">
      <c r="B28" s="1441"/>
      <c r="C28" s="162"/>
      <c r="D28" s="269"/>
      <c r="E28" s="269"/>
      <c r="F28" s="269"/>
      <c r="G28" s="269"/>
      <c r="H28" s="269"/>
      <c r="I28" s="271" t="s">
        <v>831</v>
      </c>
      <c r="J28" s="280">
        <f>Project!V26</f>
        <v>0</v>
      </c>
      <c r="K28" s="281"/>
      <c r="L28" s="271" t="s">
        <v>832</v>
      </c>
      <c r="M28" s="2234"/>
      <c r="N28" s="2234"/>
      <c r="O28" s="2234"/>
      <c r="P28" s="2235"/>
      <c r="Q28" s="272"/>
      <c r="S28" s="734"/>
      <c r="T28" s="276"/>
      <c r="U28" s="277" t="s">
        <v>833</v>
      </c>
      <c r="V28" s="275"/>
      <c r="W28" s="272"/>
      <c r="AA28" s="1159"/>
      <c r="AB28" s="1159"/>
      <c r="AC28" s="1159"/>
      <c r="AD28" s="1159"/>
      <c r="AE28" s="1159"/>
      <c r="AF28" s="1159"/>
      <c r="AG28" s="1159"/>
      <c r="AH28" s="1159"/>
      <c r="AJ28" s="161"/>
      <c r="AK28" s="161"/>
      <c r="AL28" s="161"/>
      <c r="AM28" s="161"/>
      <c r="AN28" s="161"/>
    </row>
    <row r="29" spans="1:40" ht="7.5" customHeight="1">
      <c r="B29" s="1441"/>
      <c r="C29" s="162"/>
      <c r="D29" s="269"/>
      <c r="E29" s="269"/>
      <c r="F29" s="269"/>
      <c r="G29" s="269"/>
      <c r="H29" s="269"/>
      <c r="I29" s="269"/>
      <c r="J29" s="278"/>
      <c r="K29" s="278"/>
      <c r="L29" s="272"/>
      <c r="M29" s="272"/>
      <c r="N29" s="272"/>
      <c r="O29" s="272"/>
      <c r="P29" s="272"/>
      <c r="Q29" s="272"/>
      <c r="R29" s="272"/>
      <c r="S29" s="272"/>
      <c r="T29" s="267"/>
      <c r="U29" s="274"/>
      <c r="V29" s="275"/>
      <c r="W29" s="272"/>
      <c r="AA29" s="1159"/>
      <c r="AB29" s="1159"/>
      <c r="AC29" s="1159"/>
      <c r="AD29" s="1159"/>
      <c r="AE29" s="1159"/>
      <c r="AF29" s="1159"/>
      <c r="AG29" s="1159"/>
      <c r="AH29" s="1159"/>
      <c r="AJ29" s="161"/>
      <c r="AK29" s="161"/>
      <c r="AL29" s="161"/>
      <c r="AM29" s="161"/>
      <c r="AN29" s="161"/>
    </row>
    <row r="30" spans="1:40" ht="15.8" customHeight="1">
      <c r="B30" s="1441"/>
      <c r="C30" s="162"/>
      <c r="D30" s="269"/>
      <c r="E30" s="269"/>
      <c r="F30" s="269"/>
      <c r="G30" s="269"/>
      <c r="H30" s="269"/>
      <c r="I30" s="271" t="s">
        <v>834</v>
      </c>
      <c r="J30" s="959">
        <f>Project!V28</f>
        <v>0</v>
      </c>
      <c r="K30" s="272"/>
      <c r="L30" s="271" t="s">
        <v>835</v>
      </c>
      <c r="M30" s="2236">
        <f>'Customer Authorization'!K103</f>
        <v>0</v>
      </c>
      <c r="N30" s="2236"/>
      <c r="O30" s="2236"/>
      <c r="P30" s="2237"/>
      <c r="Q30" s="272"/>
      <c r="S30" s="734"/>
      <c r="T30" s="267"/>
      <c r="U30" s="277" t="s">
        <v>836</v>
      </c>
      <c r="V30" s="275"/>
      <c r="W30" s="272"/>
      <c r="AA30" s="1159"/>
      <c r="AB30" s="1159"/>
      <c r="AC30" s="1159"/>
      <c r="AD30" s="1159"/>
      <c r="AE30" s="1159"/>
      <c r="AF30" s="1159"/>
      <c r="AG30" s="1159"/>
      <c r="AH30" s="1159"/>
      <c r="AJ30" s="161"/>
      <c r="AK30" s="161"/>
      <c r="AL30" s="161"/>
      <c r="AM30" s="161"/>
      <c r="AN30" s="161"/>
    </row>
    <row r="31" spans="1:40" ht="7.5" customHeight="1">
      <c r="B31" s="1441"/>
      <c r="C31" s="162"/>
      <c r="D31" s="269"/>
      <c r="E31" s="269"/>
      <c r="F31" s="269"/>
      <c r="G31" s="269"/>
      <c r="H31" s="269"/>
      <c r="I31" s="269"/>
      <c r="J31" s="274"/>
      <c r="K31" s="272"/>
      <c r="L31" s="269"/>
      <c r="M31" s="267"/>
      <c r="N31" s="267"/>
      <c r="O31" s="267"/>
      <c r="P31" s="267"/>
      <c r="Q31" s="267"/>
      <c r="R31" s="267"/>
      <c r="S31" s="272"/>
      <c r="T31" s="272"/>
      <c r="U31" s="272"/>
      <c r="V31" s="267"/>
      <c r="W31" s="267"/>
      <c r="X31" s="282"/>
      <c r="AA31" s="1159"/>
      <c r="AB31" s="1159"/>
      <c r="AC31" s="1159"/>
      <c r="AD31" s="1159"/>
      <c r="AE31" s="1159"/>
      <c r="AF31" s="1159"/>
      <c r="AG31" s="1159"/>
      <c r="AH31" s="1159"/>
      <c r="AJ31" s="161"/>
      <c r="AK31" s="161"/>
      <c r="AL31" s="161"/>
      <c r="AM31" s="161"/>
      <c r="AN31" s="161"/>
    </row>
    <row r="32" spans="1:40" ht="15.8" customHeight="1">
      <c r="B32" s="1441"/>
      <c r="C32" s="162"/>
      <c r="D32" s="269"/>
      <c r="E32" s="269"/>
      <c r="F32" s="269"/>
      <c r="G32" s="269"/>
      <c r="H32" s="269"/>
      <c r="I32" s="271" t="s">
        <v>837</v>
      </c>
      <c r="J32" s="442" t="str">
        <f>Project!H34</f>
        <v/>
      </c>
      <c r="K32" s="272"/>
      <c r="L32" s="271" t="s">
        <v>838</v>
      </c>
      <c r="M32" s="2350"/>
      <c r="N32" s="2350"/>
      <c r="O32" s="2350"/>
      <c r="P32" s="2351"/>
      <c r="Q32" s="267"/>
      <c r="R32" s="267"/>
      <c r="S32" s="734"/>
      <c r="U32" s="277" t="s">
        <v>839</v>
      </c>
      <c r="V32" s="275"/>
      <c r="W32" s="267"/>
      <c r="X32" s="282"/>
      <c r="AA32" s="1159"/>
      <c r="AB32" s="1159"/>
      <c r="AC32" s="1159"/>
      <c r="AD32" s="1159"/>
      <c r="AE32" s="1159"/>
      <c r="AF32" s="1159"/>
      <c r="AG32" s="1159"/>
      <c r="AH32" s="1159"/>
      <c r="AJ32" s="161"/>
      <c r="AK32" s="161"/>
      <c r="AL32" s="161"/>
      <c r="AM32" s="161"/>
      <c r="AN32" s="161"/>
    </row>
    <row r="33" spans="2:40" ht="7.5" customHeight="1">
      <c r="B33" s="1441"/>
      <c r="C33" s="162"/>
      <c r="D33" s="269"/>
      <c r="E33" s="269"/>
      <c r="F33" s="269"/>
      <c r="G33" s="269"/>
      <c r="H33" s="269"/>
      <c r="I33" s="269"/>
      <c r="J33" s="272"/>
      <c r="K33" s="272"/>
      <c r="L33" s="267"/>
      <c r="M33" s="267"/>
      <c r="N33" s="267"/>
      <c r="O33" s="267"/>
      <c r="P33" s="267"/>
      <c r="Q33" s="267"/>
      <c r="R33" s="267"/>
      <c r="S33" s="267"/>
      <c r="T33" s="267"/>
      <c r="U33" s="277"/>
      <c r="V33" s="275"/>
      <c r="W33" s="267"/>
      <c r="X33" s="282"/>
      <c r="AA33" s="1159"/>
      <c r="AB33" s="1159"/>
      <c r="AC33" s="1159"/>
      <c r="AD33" s="1159"/>
      <c r="AE33" s="1159"/>
      <c r="AF33" s="1159"/>
      <c r="AG33" s="1159"/>
      <c r="AH33" s="1159"/>
    </row>
    <row r="34" spans="2:40" ht="15.8" customHeight="1">
      <c r="B34" s="1441"/>
      <c r="C34" s="162"/>
      <c r="D34" s="269"/>
      <c r="E34" s="269"/>
      <c r="F34" s="269"/>
      <c r="G34" s="269"/>
      <c r="H34" s="269"/>
      <c r="I34" s="271" t="s">
        <v>840</v>
      </c>
      <c r="J34" s="442">
        <f>Project!H26</f>
        <v>0</v>
      </c>
      <c r="K34" s="272"/>
      <c r="Q34" s="267"/>
      <c r="R34" s="272"/>
      <c r="S34" s="734"/>
      <c r="U34" s="277" t="s">
        <v>841</v>
      </c>
      <c r="V34" s="272"/>
      <c r="W34" s="267"/>
      <c r="X34" s="282"/>
      <c r="AA34" s="1159"/>
      <c r="AB34" s="1159"/>
      <c r="AC34" s="1159"/>
      <c r="AD34" s="1159"/>
      <c r="AE34" s="1159"/>
      <c r="AF34" s="1159"/>
      <c r="AG34" s="1159"/>
      <c r="AH34" s="1159"/>
      <c r="AJ34" s="161"/>
      <c r="AK34" s="161"/>
      <c r="AL34" s="161"/>
      <c r="AM34" s="161"/>
      <c r="AN34" s="161"/>
    </row>
    <row r="35" spans="2:40" ht="7.5" customHeight="1">
      <c r="B35" s="1441"/>
      <c r="C35" s="162"/>
      <c r="D35" s="269"/>
      <c r="E35" s="269"/>
      <c r="F35" s="269"/>
      <c r="G35" s="269"/>
      <c r="H35" s="269"/>
      <c r="I35" s="272"/>
      <c r="J35" s="272"/>
      <c r="K35" s="272"/>
      <c r="L35" s="272"/>
      <c r="M35" s="272"/>
      <c r="N35" s="267"/>
      <c r="O35" s="267"/>
      <c r="P35" s="267"/>
      <c r="Q35" s="267"/>
      <c r="R35" s="267"/>
      <c r="S35" s="267"/>
      <c r="T35" s="267"/>
      <c r="U35" s="272"/>
      <c r="V35" s="272"/>
      <c r="W35" s="272"/>
      <c r="AA35" s="1159"/>
      <c r="AB35" s="1159"/>
      <c r="AC35" s="1159"/>
      <c r="AD35" s="1159"/>
      <c r="AE35" s="1159"/>
      <c r="AF35" s="1159"/>
      <c r="AG35" s="1159"/>
      <c r="AH35" s="1159"/>
      <c r="AJ35" s="161"/>
      <c r="AK35" s="161"/>
      <c r="AL35" s="161"/>
      <c r="AM35" s="161"/>
      <c r="AN35" s="161"/>
    </row>
    <row r="36" spans="2:40" ht="15.8" customHeight="1">
      <c r="B36" s="1441"/>
      <c r="C36" s="162"/>
      <c r="D36" s="269"/>
      <c r="E36" s="269"/>
      <c r="F36" s="269"/>
      <c r="G36" s="269"/>
      <c r="H36" s="269"/>
      <c r="I36" s="271" t="s">
        <v>842</v>
      </c>
      <c r="J36" s="442">
        <f>Project!V30</f>
        <v>0</v>
      </c>
      <c r="K36" s="272"/>
      <c r="L36" s="614" t="s">
        <v>843</v>
      </c>
      <c r="M36" s="2353" t="str">
        <f>Project!H81</f>
        <v/>
      </c>
      <c r="N36" s="2353"/>
      <c r="O36" s="2353"/>
      <c r="P36" s="2354"/>
      <c r="Q36" s="267"/>
      <c r="U36" s="735"/>
      <c r="V36" t="s">
        <v>844</v>
      </c>
      <c r="W36" s="283"/>
      <c r="X36" s="284"/>
      <c r="AA36" s="1159"/>
      <c r="AB36" s="1159"/>
      <c r="AC36" s="1159"/>
      <c r="AD36" s="1159"/>
      <c r="AE36" s="1159"/>
      <c r="AF36" s="1159"/>
      <c r="AG36" s="1159"/>
      <c r="AH36" s="1159"/>
      <c r="AJ36" s="161"/>
      <c r="AK36" s="161"/>
      <c r="AL36" s="161"/>
      <c r="AM36" s="161"/>
      <c r="AN36" s="161"/>
    </row>
    <row r="37" spans="2:40" ht="7.5" customHeight="1">
      <c r="B37" s="1441"/>
      <c r="C37" s="162"/>
      <c r="D37" s="269"/>
      <c r="E37" s="269"/>
      <c r="F37" s="269"/>
      <c r="G37" s="269"/>
      <c r="H37" s="269"/>
      <c r="K37" s="272"/>
      <c r="L37" s="267"/>
      <c r="M37" s="267"/>
      <c r="N37" s="267"/>
      <c r="O37" s="267"/>
      <c r="P37" s="267"/>
      <c r="Q37" s="267"/>
      <c r="W37" s="283"/>
      <c r="X37" s="284"/>
      <c r="AA37" s="1159"/>
      <c r="AB37" s="1159"/>
      <c r="AC37" s="1159"/>
      <c r="AD37" s="1159"/>
      <c r="AE37" s="1159"/>
      <c r="AF37" s="1159"/>
      <c r="AG37" s="1159"/>
      <c r="AH37" s="1159"/>
      <c r="AJ37" s="161"/>
      <c r="AK37" s="161"/>
      <c r="AL37" s="161"/>
      <c r="AM37" s="161"/>
      <c r="AN37" s="161"/>
    </row>
    <row r="38" spans="2:40" ht="15.8" customHeight="1">
      <c r="B38" s="1441"/>
      <c r="C38" s="162"/>
      <c r="D38" s="269"/>
      <c r="E38" s="269"/>
      <c r="F38" s="269"/>
      <c r="G38" s="269"/>
      <c r="H38" s="269"/>
      <c r="I38" s="271"/>
      <c r="J38" s="442" t="str">
        <f>CONCATENATE(Project!V34,", ",Project!V36," ",Project!AA36)</f>
        <v xml:space="preserve">, WA </v>
      </c>
      <c r="K38" s="272"/>
      <c r="L38" s="271" t="s">
        <v>845</v>
      </c>
      <c r="M38" s="2353" t="str">
        <f>Project!H83</f>
        <v/>
      </c>
      <c r="N38" s="2353"/>
      <c r="O38" s="2353"/>
      <c r="P38" s="2354"/>
      <c r="Q38" s="267"/>
      <c r="W38" s="283"/>
      <c r="X38" s="284"/>
      <c r="AA38" s="1159"/>
      <c r="AB38" s="1159"/>
      <c r="AC38" s="1159"/>
      <c r="AD38" s="1159"/>
      <c r="AE38" s="1159"/>
      <c r="AF38" s="1159"/>
      <c r="AG38" s="1159"/>
      <c r="AH38" s="1159"/>
      <c r="AJ38" s="161"/>
      <c r="AK38" s="161"/>
      <c r="AL38" s="161"/>
      <c r="AM38" s="161"/>
      <c r="AN38" s="161"/>
    </row>
    <row r="39" spans="2:40" ht="7.5" customHeight="1">
      <c r="B39" s="1441"/>
      <c r="C39" s="162"/>
      <c r="D39" s="269"/>
      <c r="E39" s="269"/>
      <c r="F39" s="269"/>
      <c r="G39" s="269"/>
      <c r="H39" s="269"/>
      <c r="K39" s="272"/>
      <c r="L39" s="267"/>
      <c r="M39" s="267"/>
      <c r="N39" s="267"/>
      <c r="O39" s="267"/>
      <c r="P39" s="267"/>
      <c r="Q39" s="267"/>
      <c r="R39" s="267"/>
      <c r="S39" s="267"/>
      <c r="T39" s="267"/>
      <c r="U39" s="272"/>
      <c r="V39" s="272"/>
      <c r="W39" s="272"/>
      <c r="AA39" s="1159"/>
      <c r="AB39" s="1159"/>
      <c r="AC39" s="1159"/>
      <c r="AD39" s="1159"/>
      <c r="AE39" s="1159"/>
      <c r="AF39" s="1159"/>
      <c r="AG39" s="1159"/>
      <c r="AH39" s="1159"/>
    </row>
    <row r="40" spans="2:40" ht="15.8" customHeight="1">
      <c r="B40" s="1441"/>
      <c r="C40" s="162"/>
      <c r="D40" s="269"/>
      <c r="E40" s="269"/>
      <c r="F40" s="269"/>
      <c r="G40" s="269"/>
      <c r="H40" s="269"/>
      <c r="K40" s="272"/>
      <c r="L40" s="271" t="s">
        <v>846</v>
      </c>
      <c r="M40" s="2353" t="str">
        <f>Project!H85</f>
        <v/>
      </c>
      <c r="N40" s="2353"/>
      <c r="O40" s="2353"/>
      <c r="P40" s="2354"/>
      <c r="Q40" s="267"/>
      <c r="R40" s="2352" t="s">
        <v>847</v>
      </c>
      <c r="S40" s="2352"/>
      <c r="T40" s="2352"/>
      <c r="U40" s="2352"/>
      <c r="V40" s="2352"/>
      <c r="W40" s="272"/>
      <c r="AA40" s="1159"/>
      <c r="AB40" s="1159"/>
      <c r="AC40" s="1159"/>
      <c r="AD40" s="1159"/>
      <c r="AE40" s="1159"/>
      <c r="AF40" s="1159"/>
      <c r="AG40" s="1159"/>
      <c r="AH40" s="1159"/>
    </row>
    <row r="41" spans="2:40" ht="7.5" customHeight="1">
      <c r="B41" s="1441"/>
      <c r="C41" s="162"/>
      <c r="D41" s="269"/>
      <c r="E41" s="269"/>
      <c r="F41" s="269"/>
      <c r="G41" s="269"/>
      <c r="H41" s="269"/>
      <c r="I41" s="272"/>
      <c r="J41" s="272"/>
      <c r="K41" s="272"/>
      <c r="L41" s="267"/>
      <c r="M41" s="267"/>
      <c r="N41" s="267"/>
      <c r="O41" s="267"/>
      <c r="P41" s="267"/>
      <c r="Q41" s="267"/>
      <c r="R41" s="2352"/>
      <c r="S41" s="2352"/>
      <c r="T41" s="2352"/>
      <c r="U41" s="2352"/>
      <c r="V41" s="2352"/>
      <c r="W41" s="272"/>
      <c r="AA41" s="1159"/>
      <c r="AB41" s="1159"/>
      <c r="AC41" s="1159"/>
      <c r="AD41" s="1159"/>
      <c r="AE41" s="1159"/>
      <c r="AF41" s="1159"/>
      <c r="AG41" s="1159"/>
      <c r="AH41" s="1159"/>
    </row>
    <row r="42" spans="2:40" ht="15.8" customHeight="1">
      <c r="B42" s="1441"/>
      <c r="C42" s="162"/>
      <c r="D42" s="269"/>
      <c r="E42" s="269"/>
      <c r="F42" s="269"/>
      <c r="G42" s="269"/>
      <c r="H42" s="269"/>
      <c r="I42" s="614" t="s">
        <v>848</v>
      </c>
      <c r="J42" s="442">
        <f>Project!AK22</f>
        <v>0</v>
      </c>
      <c r="K42" s="272"/>
      <c r="L42" s="288" t="s">
        <v>849</v>
      </c>
      <c r="M42" s="2355" t="str">
        <f>Project!H87</f>
        <v/>
      </c>
      <c r="N42" s="2355"/>
      <c r="O42" s="2355"/>
      <c r="P42" s="2356"/>
      <c r="Q42" s="267"/>
      <c r="R42" s="2352"/>
      <c r="S42" s="2352"/>
      <c r="T42" s="2352"/>
      <c r="U42" s="2352"/>
      <c r="V42" s="2352"/>
      <c r="W42" s="272"/>
      <c r="AA42" s="1159"/>
      <c r="AB42" s="1159"/>
      <c r="AC42" s="1159"/>
      <c r="AD42" s="1159"/>
      <c r="AE42" s="1159"/>
      <c r="AF42" s="1159"/>
      <c r="AG42" s="1159"/>
      <c r="AH42" s="1159"/>
    </row>
    <row r="43" spans="2:40" ht="7.5" customHeight="1">
      <c r="B43" s="1441"/>
      <c r="C43" s="162"/>
      <c r="D43" s="269"/>
      <c r="E43" s="269"/>
      <c r="F43" s="269"/>
      <c r="G43" s="269"/>
      <c r="H43" s="269"/>
      <c r="I43" s="269"/>
      <c r="J43" s="267"/>
      <c r="K43" s="272"/>
      <c r="Q43" s="267"/>
      <c r="R43" s="267"/>
      <c r="S43" s="272"/>
      <c r="T43" s="267"/>
      <c r="U43" s="272"/>
      <c r="V43" s="272"/>
      <c r="W43" s="272"/>
      <c r="AA43" s="1159"/>
      <c r="AB43" s="1159"/>
      <c r="AC43" s="1159"/>
      <c r="AD43" s="1159"/>
      <c r="AE43" s="1159"/>
      <c r="AF43" s="1159"/>
      <c r="AG43" s="1159"/>
      <c r="AH43" s="1159"/>
    </row>
    <row r="44" spans="2:40" ht="15.8" customHeight="1">
      <c r="B44" s="1441"/>
      <c r="C44" s="162"/>
      <c r="D44" s="269"/>
      <c r="E44" s="269"/>
      <c r="F44" s="269"/>
      <c r="G44" s="269"/>
      <c r="H44" s="269"/>
      <c r="I44" s="271" t="s">
        <v>850</v>
      </c>
      <c r="J44" s="442">
        <f>Project!AK24</f>
        <v>0</v>
      </c>
      <c r="K44" s="272"/>
      <c r="Q44" s="267"/>
      <c r="R44" s="267"/>
      <c r="S44" s="734"/>
      <c r="T44" s="267"/>
      <c r="U44" s="277" t="s">
        <v>851</v>
      </c>
      <c r="V44" s="267"/>
      <c r="W44" s="267"/>
      <c r="X44" s="282"/>
      <c r="AA44" s="1159"/>
      <c r="AB44" s="1159"/>
      <c r="AC44" s="1159"/>
      <c r="AD44" s="1159"/>
      <c r="AE44" s="1159"/>
      <c r="AF44" s="1159"/>
      <c r="AG44" s="1159"/>
      <c r="AH44" s="1159"/>
    </row>
    <row r="45" spans="2:40" ht="7.5" customHeight="1">
      <c r="B45" s="1441"/>
      <c r="C45" s="162"/>
      <c r="D45" s="269"/>
      <c r="E45" s="269"/>
      <c r="F45" s="269"/>
      <c r="G45" s="269"/>
      <c r="H45" s="269"/>
      <c r="I45" s="269"/>
      <c r="J45" s="267"/>
      <c r="K45" s="272"/>
      <c r="L45" s="287"/>
      <c r="M45" s="287"/>
      <c r="N45" s="267"/>
      <c r="O45" s="267"/>
      <c r="P45" s="267"/>
      <c r="Q45" s="267"/>
      <c r="R45" s="272"/>
      <c r="S45" s="272"/>
      <c r="T45" s="267"/>
      <c r="U45" s="267"/>
      <c r="V45" s="267"/>
      <c r="W45" s="267"/>
      <c r="X45" s="282"/>
      <c r="AA45" s="1159"/>
      <c r="AB45" s="1159"/>
      <c r="AC45" s="1159"/>
      <c r="AD45" s="1159"/>
      <c r="AE45" s="1159"/>
      <c r="AF45" s="1159"/>
      <c r="AG45" s="1159"/>
      <c r="AH45" s="1159"/>
    </row>
    <row r="46" spans="2:40" ht="16.3">
      <c r="C46" s="162"/>
      <c r="D46" s="269"/>
      <c r="E46" s="269"/>
      <c r="F46" s="269"/>
      <c r="G46" s="269"/>
      <c r="H46" s="269"/>
      <c r="I46" s="271" t="s">
        <v>852</v>
      </c>
      <c r="J46" s="442">
        <f>Project!AK26</f>
        <v>0</v>
      </c>
      <c r="K46" s="272"/>
      <c r="L46" s="614" t="s">
        <v>853</v>
      </c>
      <c r="M46" s="2353" t="str">
        <f>Project!U81</f>
        <v/>
      </c>
      <c r="N46" s="2353"/>
      <c r="O46" s="2353"/>
      <c r="P46" s="2354"/>
      <c r="Q46" s="267"/>
      <c r="R46" s="272"/>
      <c r="S46" s="734"/>
      <c r="T46" s="267"/>
      <c r="U46" s="285" t="s">
        <v>854</v>
      </c>
      <c r="V46" s="267"/>
      <c r="W46" s="267"/>
      <c r="X46" s="282"/>
      <c r="Y46" s="347">
        <f>__Retrofit_TI_NC</f>
        <v>0</v>
      </c>
      <c r="AA46" s="1159"/>
      <c r="AB46" s="1159"/>
      <c r="AC46" s="1159"/>
      <c r="AD46" s="1159"/>
      <c r="AE46" s="1159"/>
      <c r="AF46" s="1159"/>
      <c r="AG46" s="1159"/>
      <c r="AH46" s="1159"/>
    </row>
    <row r="47" spans="2:40" ht="7.5" customHeight="1">
      <c r="C47" s="162"/>
      <c r="D47" s="269"/>
      <c r="E47" s="269"/>
      <c r="F47" s="269"/>
      <c r="G47" s="269"/>
      <c r="H47" s="269"/>
      <c r="I47" s="269"/>
      <c r="J47" s="269"/>
      <c r="K47" s="272"/>
      <c r="L47" s="267"/>
      <c r="M47" s="267"/>
      <c r="N47" s="267"/>
      <c r="O47" s="267"/>
      <c r="P47" s="267"/>
      <c r="Q47" s="267"/>
      <c r="R47" s="272"/>
      <c r="S47" s="272"/>
      <c r="T47" s="267"/>
      <c r="U47" s="267"/>
      <c r="V47" s="267"/>
      <c r="W47" s="267"/>
      <c r="X47" s="282"/>
      <c r="AA47" s="1159"/>
      <c r="AB47" s="1159"/>
      <c r="AC47" s="1159"/>
      <c r="AD47" s="1159"/>
      <c r="AE47" s="1159"/>
      <c r="AF47" s="1159"/>
      <c r="AG47" s="1159"/>
      <c r="AH47" s="1159"/>
    </row>
    <row r="48" spans="2:40" ht="15.8" customHeight="1">
      <c r="C48" s="162"/>
      <c r="D48" s="269"/>
      <c r="E48" s="269"/>
      <c r="F48" s="269"/>
      <c r="G48" s="269"/>
      <c r="H48" s="269"/>
      <c r="I48" s="271" t="s">
        <v>855</v>
      </c>
      <c r="J48" s="444">
        <f>Project!AK28</f>
        <v>0</v>
      </c>
      <c r="L48" s="271" t="s">
        <v>845</v>
      </c>
      <c r="M48" s="2353" t="str">
        <f>Project!U83</f>
        <v/>
      </c>
      <c r="N48" s="2353"/>
      <c r="O48" s="2353"/>
      <c r="P48" s="2354"/>
      <c r="Q48" s="267"/>
      <c r="R48" s="272"/>
      <c r="S48" s="272" t="str">
        <f>IF(__Retrofit_TI_NC=0,"Project Information:","Project Information: See note at right &gt;")</f>
        <v>Project Information:</v>
      </c>
      <c r="T48" s="272"/>
      <c r="U48" s="272"/>
      <c r="V48" s="272"/>
      <c r="W48" s="267"/>
      <c r="X48" s="282"/>
      <c r="Y48" s="1433" t="s">
        <v>856</v>
      </c>
      <c r="Z48" s="1433"/>
      <c r="AA48" s="1433"/>
      <c r="AB48" s="1159"/>
      <c r="AC48" s="1159"/>
      <c r="AD48" s="1159"/>
      <c r="AE48" s="1159"/>
      <c r="AF48" s="1159"/>
      <c r="AG48" s="1159"/>
      <c r="AH48" s="1159"/>
    </row>
    <row r="49" spans="3:34" ht="7.5" customHeight="1">
      <c r="C49" s="162"/>
      <c r="D49" s="269"/>
      <c r="E49" s="269"/>
      <c r="F49" s="269"/>
      <c r="G49" s="269"/>
      <c r="H49" s="269"/>
      <c r="I49" s="269"/>
      <c r="J49" s="269"/>
      <c r="K49" s="272"/>
      <c r="L49" s="267"/>
      <c r="M49" s="267"/>
      <c r="N49" s="267"/>
      <c r="O49" s="267"/>
      <c r="P49" s="267"/>
      <c r="Q49" s="267"/>
      <c r="R49" s="267"/>
      <c r="S49" s="2337"/>
      <c r="T49" s="2338"/>
      <c r="U49" s="2338"/>
      <c r="V49" s="2339"/>
      <c r="W49" s="267"/>
      <c r="X49" s="282"/>
      <c r="Y49" s="1433"/>
      <c r="Z49" s="1433"/>
      <c r="AA49" s="1433"/>
      <c r="AB49" s="1159"/>
      <c r="AC49" s="1159"/>
      <c r="AD49" s="1159"/>
      <c r="AE49" s="1159"/>
      <c r="AF49" s="1159"/>
      <c r="AG49" s="1159"/>
      <c r="AH49" s="1159"/>
    </row>
    <row r="50" spans="3:34" ht="15.8" customHeight="1">
      <c r="C50" s="162"/>
      <c r="K50" s="272"/>
      <c r="L50" s="271" t="s">
        <v>846</v>
      </c>
      <c r="M50" s="2353" t="str">
        <f>Project!U85</f>
        <v/>
      </c>
      <c r="N50" s="2353"/>
      <c r="O50" s="2353"/>
      <c r="P50" s="2354"/>
      <c r="Q50" s="267"/>
      <c r="R50" s="267"/>
      <c r="S50" s="2340"/>
      <c r="T50" s="2341"/>
      <c r="U50" s="2341"/>
      <c r="V50" s="2342"/>
      <c r="W50" s="267"/>
      <c r="X50" s="282"/>
      <c r="Y50" s="1433"/>
      <c r="Z50" s="1433"/>
      <c r="AA50" s="1433"/>
      <c r="AB50" s="1159"/>
      <c r="AC50" s="1159"/>
      <c r="AD50" s="1159"/>
      <c r="AE50" s="1159"/>
      <c r="AF50" s="1159"/>
      <c r="AG50" s="1159"/>
      <c r="AH50" s="1159"/>
    </row>
    <row r="51" spans="3:34" ht="7.5" customHeight="1">
      <c r="C51" s="162"/>
      <c r="D51" s="2479" t="s">
        <v>857</v>
      </c>
      <c r="E51" s="269"/>
      <c r="F51" s="269"/>
      <c r="G51" s="269"/>
      <c r="H51" s="269"/>
      <c r="I51" s="269"/>
      <c r="K51" s="272"/>
      <c r="Q51" s="267"/>
      <c r="R51" s="267"/>
      <c r="S51" s="2340"/>
      <c r="T51" s="2341"/>
      <c r="U51" s="2341"/>
      <c r="V51" s="2342"/>
      <c r="W51" s="267"/>
      <c r="X51" s="282"/>
      <c r="Y51" s="1433"/>
      <c r="Z51" s="1433"/>
      <c r="AA51" s="1433"/>
      <c r="AB51" s="1159"/>
      <c r="AC51" s="1159"/>
      <c r="AD51" s="1159"/>
      <c r="AE51" s="1159"/>
      <c r="AF51" s="1159"/>
      <c r="AG51" s="1159"/>
      <c r="AH51" s="1159"/>
    </row>
    <row r="52" spans="3:34" ht="15.8" customHeight="1">
      <c r="C52" s="162"/>
      <c r="D52" s="2479"/>
      <c r="K52" s="272"/>
      <c r="L52" s="288" t="s">
        <v>849</v>
      </c>
      <c r="M52" s="2355" t="str">
        <f>Project!U87</f>
        <v/>
      </c>
      <c r="N52" s="2355"/>
      <c r="O52" s="2355"/>
      <c r="P52" s="2356"/>
      <c r="Q52" s="267"/>
      <c r="R52" s="267"/>
      <c r="S52" s="2340"/>
      <c r="T52" s="2341"/>
      <c r="U52" s="2341"/>
      <c r="V52" s="2342"/>
      <c r="W52" s="267"/>
      <c r="X52" s="282"/>
      <c r="Y52" s="1433"/>
      <c r="Z52" s="1433"/>
      <c r="AA52" s="1433"/>
      <c r="AB52" s="1159"/>
      <c r="AC52" s="1159"/>
      <c r="AD52" s="1159"/>
      <c r="AE52" s="1159"/>
      <c r="AF52" s="1159"/>
      <c r="AG52" s="1159"/>
      <c r="AH52" s="1159"/>
    </row>
    <row r="53" spans="3:34" ht="7.5" customHeight="1">
      <c r="C53" s="162"/>
      <c r="D53" s="2479"/>
      <c r="E53" s="269"/>
      <c r="F53" s="2479" t="s">
        <v>858</v>
      </c>
      <c r="H53" s="2479" t="s">
        <v>859</v>
      </c>
      <c r="K53" s="272"/>
      <c r="Q53" s="267"/>
      <c r="R53" s="267"/>
      <c r="S53" s="2340"/>
      <c r="T53" s="2341"/>
      <c r="U53" s="2341"/>
      <c r="V53" s="2342"/>
      <c r="W53" s="267"/>
      <c r="Y53" s="1433"/>
      <c r="Z53" s="1433"/>
      <c r="AA53" s="1433"/>
      <c r="AB53" s="1159"/>
      <c r="AC53" s="1159"/>
      <c r="AD53" s="1159"/>
      <c r="AE53" s="1159"/>
      <c r="AF53" s="1159"/>
      <c r="AG53" s="1159"/>
      <c r="AH53" s="1159"/>
    </row>
    <row r="54" spans="3:34" ht="15.8" customHeight="1">
      <c r="C54" s="162"/>
      <c r="D54" s="2479"/>
      <c r="E54" s="445"/>
      <c r="F54" s="2479"/>
      <c r="G54" s="445"/>
      <c r="H54" s="2479"/>
      <c r="K54" s="272"/>
      <c r="Q54" s="267"/>
      <c r="R54" s="267"/>
      <c r="S54" s="2340"/>
      <c r="T54" s="2341"/>
      <c r="U54" s="2341"/>
      <c r="V54" s="2342"/>
      <c r="W54" s="267"/>
      <c r="X54" s="282"/>
      <c r="Y54" s="1433"/>
      <c r="Z54" s="1433"/>
      <c r="AA54" s="1433"/>
      <c r="AB54" s="1159"/>
      <c r="AC54" s="1159"/>
      <c r="AD54" s="1159"/>
      <c r="AE54" s="1159"/>
      <c r="AF54" s="1159"/>
      <c r="AG54" s="1159"/>
      <c r="AH54" s="1159"/>
    </row>
    <row r="55" spans="3:34" ht="7.5" customHeight="1">
      <c r="C55" s="162"/>
      <c r="D55" s="269"/>
      <c r="E55" s="269"/>
      <c r="F55" s="269"/>
      <c r="G55" s="269"/>
      <c r="H55" s="269"/>
      <c r="I55" s="272"/>
      <c r="K55" s="272"/>
      <c r="L55" s="272"/>
      <c r="M55" s="272"/>
      <c r="N55" s="267"/>
      <c r="O55" s="267"/>
      <c r="P55" s="267"/>
      <c r="Q55" s="267"/>
      <c r="R55" s="267"/>
      <c r="S55" s="2340"/>
      <c r="T55" s="2341"/>
      <c r="U55" s="2341"/>
      <c r="V55" s="2342"/>
      <c r="W55" s="272"/>
      <c r="AA55" s="1159"/>
      <c r="AB55" s="1159"/>
      <c r="AC55" s="1159"/>
      <c r="AD55" s="1159"/>
      <c r="AE55" s="1159"/>
      <c r="AF55" s="1159"/>
      <c r="AG55" s="1159"/>
      <c r="AH55" s="1159"/>
    </row>
    <row r="56" spans="3:34" ht="15.8" customHeight="1">
      <c r="C56" s="162"/>
      <c r="D56" s="736"/>
      <c r="E56" s="289"/>
      <c r="F56" s="916"/>
      <c r="G56" s="289"/>
      <c r="H56" s="916"/>
      <c r="I56" s="290" t="s">
        <v>860</v>
      </c>
      <c r="K56" s="272"/>
      <c r="N56" s="267"/>
      <c r="O56" s="267"/>
      <c r="P56" s="267"/>
      <c r="Q56" s="267"/>
      <c r="R56" s="267"/>
      <c r="S56" s="2340"/>
      <c r="T56" s="2341"/>
      <c r="U56" s="2341"/>
      <c r="V56" s="2342"/>
      <c r="W56" s="272"/>
      <c r="AA56" s="1159"/>
      <c r="AB56" s="1159"/>
      <c r="AC56" s="1159"/>
      <c r="AD56" s="1159"/>
      <c r="AE56" s="1159"/>
      <c r="AF56" s="1159"/>
      <c r="AG56" s="1159"/>
      <c r="AH56" s="1159"/>
    </row>
    <row r="57" spans="3:34" ht="7.5" customHeight="1">
      <c r="C57" s="162"/>
      <c r="D57" s="269"/>
      <c r="E57" s="269"/>
      <c r="F57" s="269"/>
      <c r="K57" s="272"/>
      <c r="L57" s="272"/>
      <c r="N57" s="267"/>
      <c r="O57" s="267"/>
      <c r="P57" s="267"/>
      <c r="Q57" s="267"/>
      <c r="R57" s="267"/>
      <c r="S57" s="2340"/>
      <c r="T57" s="2341"/>
      <c r="U57" s="2341"/>
      <c r="V57" s="2342"/>
      <c r="W57" s="272"/>
      <c r="AA57" s="1159"/>
      <c r="AB57" s="1159"/>
      <c r="AC57" s="1159"/>
      <c r="AD57" s="1159"/>
      <c r="AE57" s="1159"/>
      <c r="AF57" s="1159"/>
      <c r="AG57" s="1159"/>
      <c r="AH57" s="1159"/>
    </row>
    <row r="58" spans="3:34" ht="15.8" customHeight="1">
      <c r="C58" s="162"/>
      <c r="D58" s="736"/>
      <c r="E58" s="289"/>
      <c r="F58" s="916"/>
      <c r="G58" s="289"/>
      <c r="H58" s="916"/>
      <c r="I58" s="290" t="str">
        <f>IF(__Retrofit_TI_NC=0,"Confirm Rate Schedule matches information on Billing History","Area of each space verified? (include relevant building plans)")</f>
        <v>Confirm Rate Schedule matches information on Billing History</v>
      </c>
      <c r="K58" s="272"/>
      <c r="N58" s="267"/>
      <c r="O58" s="267"/>
      <c r="P58" s="267"/>
      <c r="Q58" s="267"/>
      <c r="R58" s="267"/>
      <c r="S58" s="2340"/>
      <c r="T58" s="2341"/>
      <c r="U58" s="2341"/>
      <c r="V58" s="2342"/>
      <c r="W58" s="267"/>
      <c r="X58" s="282"/>
      <c r="AA58" s="1159"/>
      <c r="AB58" s="1159"/>
      <c r="AC58" s="1159"/>
      <c r="AD58" s="1159"/>
      <c r="AE58" s="1159"/>
      <c r="AF58" s="1159"/>
      <c r="AG58" s="1159"/>
      <c r="AH58" s="1159"/>
    </row>
    <row r="59" spans="3:34" ht="7.5" customHeight="1">
      <c r="C59" s="162"/>
      <c r="D59" s="289"/>
      <c r="E59" s="289"/>
      <c r="F59" s="289"/>
      <c r="G59" s="289"/>
      <c r="H59" s="289"/>
      <c r="I59" s="291"/>
      <c r="K59" s="272"/>
      <c r="L59" s="267"/>
      <c r="N59" s="267"/>
      <c r="O59" s="267"/>
      <c r="P59" s="267"/>
      <c r="Q59" s="267"/>
      <c r="R59" s="267"/>
      <c r="S59" s="2340"/>
      <c r="T59" s="2341"/>
      <c r="U59" s="2341"/>
      <c r="V59" s="2342"/>
      <c r="W59" s="267"/>
      <c r="X59" s="282"/>
      <c r="AA59" s="1159"/>
      <c r="AB59" s="1159"/>
      <c r="AC59" s="1159"/>
      <c r="AD59" s="1159"/>
      <c r="AE59" s="1159"/>
      <c r="AF59" s="1159"/>
      <c r="AG59" s="1159"/>
      <c r="AH59" s="1159"/>
    </row>
    <row r="60" spans="3:34" ht="15.8" customHeight="1">
      <c r="C60" s="162"/>
      <c r="D60" s="736"/>
      <c r="E60" s="289"/>
      <c r="F60" s="916"/>
      <c r="G60" s="289"/>
      <c r="H60" s="916"/>
      <c r="I60" s="290" t="s">
        <v>861</v>
      </c>
      <c r="K60" s="272"/>
      <c r="N60" s="267"/>
      <c r="O60" s="267"/>
      <c r="P60" s="267"/>
      <c r="Q60" s="267"/>
      <c r="R60" s="267"/>
      <c r="S60" s="2340"/>
      <c r="T60" s="2341"/>
      <c r="U60" s="2341"/>
      <c r="V60" s="2342"/>
      <c r="W60" s="267"/>
      <c r="X60" s="282"/>
      <c r="AA60" s="1159"/>
      <c r="AB60" s="1159"/>
      <c r="AC60" s="1159"/>
      <c r="AD60" s="1159"/>
      <c r="AE60" s="1159"/>
      <c r="AF60" s="1159"/>
      <c r="AG60" s="1159"/>
      <c r="AH60" s="1159"/>
    </row>
    <row r="61" spans="3:34" ht="7.5" customHeight="1">
      <c r="C61" s="162"/>
      <c r="K61" s="272"/>
      <c r="N61" s="267"/>
      <c r="O61" s="267"/>
      <c r="P61" s="267"/>
      <c r="Q61" s="267"/>
      <c r="R61" s="267"/>
      <c r="S61" s="2340"/>
      <c r="T61" s="2341"/>
      <c r="U61" s="2341"/>
      <c r="V61" s="2342"/>
      <c r="W61" s="267"/>
      <c r="X61" s="282"/>
      <c r="AA61" s="1159"/>
      <c r="AB61" s="1159"/>
      <c r="AC61" s="1159"/>
      <c r="AD61" s="1159"/>
      <c r="AE61" s="1159"/>
      <c r="AF61" s="1159"/>
      <c r="AG61" s="1159"/>
      <c r="AH61" s="1159"/>
    </row>
    <row r="62" spans="3:34" ht="15.8" customHeight="1">
      <c r="C62" s="162"/>
      <c r="D62" s="736"/>
      <c r="E62" s="289"/>
      <c r="F62" s="916"/>
      <c r="G62" s="289"/>
      <c r="H62" s="916"/>
      <c r="I62" s="290"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272"/>
      <c r="N62" s="267"/>
      <c r="O62" s="267"/>
      <c r="P62" s="267"/>
      <c r="Q62" s="267"/>
      <c r="R62" s="267"/>
      <c r="S62" s="2340"/>
      <c r="T62" s="2341"/>
      <c r="U62" s="2341"/>
      <c r="V62" s="2342"/>
      <c r="W62" s="267"/>
      <c r="X62" s="282"/>
      <c r="AA62" s="1159"/>
      <c r="AB62" s="1159"/>
      <c r="AC62" s="1159"/>
      <c r="AD62" s="1159"/>
      <c r="AE62" s="1159"/>
      <c r="AF62" s="1159"/>
      <c r="AG62" s="1159"/>
      <c r="AH62" s="1159"/>
    </row>
    <row r="63" spans="3:34" ht="7.5" customHeight="1">
      <c r="C63" s="162"/>
      <c r="J63" s="272"/>
      <c r="K63" s="272"/>
      <c r="L63" s="272"/>
      <c r="M63" s="272"/>
      <c r="N63" s="267"/>
      <c r="O63" s="267"/>
      <c r="P63" s="267"/>
      <c r="Q63" s="267"/>
      <c r="R63" s="267"/>
      <c r="S63" s="2340"/>
      <c r="T63" s="2341"/>
      <c r="U63" s="2341"/>
      <c r="V63" s="2342"/>
      <c r="W63" s="267"/>
      <c r="X63" s="282"/>
      <c r="AA63" s="1159"/>
      <c r="AB63" s="1159"/>
      <c r="AC63" s="1159"/>
      <c r="AD63" s="1159"/>
      <c r="AE63" s="1159"/>
      <c r="AF63" s="1159"/>
      <c r="AG63" s="1159"/>
      <c r="AH63" s="1159"/>
    </row>
    <row r="64" spans="3:34" ht="15.8" customHeight="1">
      <c r="C64" s="162"/>
      <c r="D64" s="736"/>
      <c r="E64" s="289"/>
      <c r="F64" s="916"/>
      <c r="G64" s="289"/>
      <c r="H64" s="916"/>
      <c r="I64" s="290" t="s">
        <v>862</v>
      </c>
      <c r="K64" s="272"/>
      <c r="L64" s="272"/>
      <c r="M64" s="272"/>
      <c r="N64" s="267"/>
      <c r="O64" s="267"/>
      <c r="P64" s="267"/>
      <c r="Q64" s="267"/>
      <c r="R64" s="267"/>
      <c r="S64" s="2343"/>
      <c r="T64" s="2344"/>
      <c r="U64" s="2344"/>
      <c r="V64" s="2345"/>
      <c r="W64" s="267"/>
      <c r="X64" s="282"/>
      <c r="AA64" s="1159"/>
      <c r="AB64" s="1159"/>
      <c r="AC64" s="1159"/>
      <c r="AD64" s="1159"/>
      <c r="AE64" s="1159"/>
      <c r="AF64" s="1159"/>
      <c r="AG64" s="1159"/>
      <c r="AH64" s="1159"/>
    </row>
    <row r="65" spans="3:34" ht="7.5" customHeight="1">
      <c r="C65" s="162"/>
      <c r="D65" s="289"/>
      <c r="E65" s="289"/>
      <c r="F65" s="289"/>
      <c r="G65" s="289"/>
      <c r="H65" s="289"/>
      <c r="I65" s="291"/>
      <c r="J65" s="269"/>
      <c r="K65" s="272"/>
      <c r="L65" s="267"/>
      <c r="M65" s="267"/>
      <c r="N65" s="267"/>
      <c r="O65" s="267"/>
      <c r="P65" s="267"/>
      <c r="Q65" s="267"/>
      <c r="R65" s="267"/>
      <c r="S65" s="267"/>
      <c r="T65" s="267"/>
      <c r="U65" s="267"/>
      <c r="V65" s="267"/>
      <c r="W65" s="267"/>
      <c r="X65" s="282"/>
      <c r="AA65" s="1159"/>
      <c r="AB65" s="1159"/>
      <c r="AC65" s="1159"/>
      <c r="AD65" s="1159"/>
      <c r="AE65" s="1159"/>
      <c r="AF65" s="1159"/>
      <c r="AG65" s="1159"/>
      <c r="AH65" s="1159"/>
    </row>
    <row r="66" spans="3:34" ht="15.8" customHeight="1">
      <c r="D66" s="736"/>
      <c r="E66" s="289"/>
      <c r="F66" s="916"/>
      <c r="G66" s="289"/>
      <c r="H66" s="736"/>
      <c r="I66" s="290" t="s">
        <v>863</v>
      </c>
      <c r="K66" s="272"/>
      <c r="L66" s="267"/>
      <c r="M66" s="267"/>
      <c r="N66" s="267"/>
      <c r="O66" s="267"/>
      <c r="P66" s="267"/>
      <c r="Q66" s="267"/>
      <c r="R66" s="267"/>
      <c r="S66" s="272" t="str">
        <f>IF(__Retrofit_TI_NC=0,"Lighting Hour Rationale (replace text below and be specific):","Lighting Hour Rationale (delete ""Blti and BLnc - "")")</f>
        <v>Lighting Hour Rationale (replace text below and be specific):</v>
      </c>
      <c r="T66" s="272"/>
      <c r="U66" s="272"/>
      <c r="V66" s="272"/>
      <c r="W66" s="267"/>
      <c r="X66" s="282"/>
      <c r="AA66" s="1159"/>
      <c r="AB66" s="1159"/>
      <c r="AC66" s="1159"/>
      <c r="AD66" s="1159"/>
      <c r="AE66" s="1159"/>
      <c r="AF66" s="1159"/>
      <c r="AG66" s="1159"/>
      <c r="AH66" s="1159"/>
    </row>
    <row r="67" spans="3:34" ht="7.5" customHeight="1">
      <c r="J67" s="269"/>
      <c r="K67" s="272"/>
      <c r="L67" s="267"/>
      <c r="M67" s="267"/>
      <c r="N67" s="267"/>
      <c r="O67" s="267"/>
      <c r="P67" s="267"/>
      <c r="Q67" s="267"/>
      <c r="R67" s="267"/>
      <c r="S67" s="2337"/>
      <c r="T67" s="2338"/>
      <c r="U67" s="2338"/>
      <c r="V67" s="2339"/>
      <c r="W67" s="267"/>
      <c r="X67" s="282"/>
    </row>
    <row r="68" spans="3:34" ht="15.8" customHeight="1">
      <c r="D68" s="611" t="s">
        <v>864</v>
      </c>
      <c r="E68" s="612"/>
      <c r="F68" s="612"/>
      <c r="G68" s="612"/>
      <c r="H68" s="612"/>
      <c r="I68" s="612"/>
      <c r="J68" s="612"/>
      <c r="K68" s="612"/>
      <c r="L68" s="613"/>
      <c r="M68" s="613"/>
      <c r="N68" s="613"/>
      <c r="O68" s="267"/>
      <c r="P68" s="267"/>
      <c r="Q68" s="267"/>
      <c r="R68" s="267"/>
      <c r="S68" s="2340"/>
      <c r="T68" s="2341"/>
      <c r="U68" s="2341"/>
      <c r="V68" s="2342"/>
      <c r="W68" s="267"/>
      <c r="X68" s="282"/>
    </row>
    <row r="69" spans="3:34" ht="7.5" customHeight="1">
      <c r="J69" s="291"/>
      <c r="K69" s="272"/>
      <c r="L69" s="267"/>
      <c r="M69" s="267"/>
      <c r="N69" s="267"/>
      <c r="O69" s="267"/>
      <c r="P69" s="267"/>
      <c r="Q69" s="267"/>
      <c r="R69" s="267"/>
      <c r="S69" s="2340"/>
      <c r="T69" s="2341"/>
      <c r="U69" s="2341"/>
      <c r="V69" s="2342"/>
      <c r="W69" s="267"/>
      <c r="X69" s="282"/>
    </row>
    <row r="70" spans="3:34" ht="15.8" customHeight="1">
      <c r="J70" s="286" t="s">
        <v>865</v>
      </c>
      <c r="L70" s="2357">
        <f>M32</f>
        <v>0</v>
      </c>
      <c r="M70" s="2358"/>
      <c r="N70" s="267"/>
      <c r="O70" s="267"/>
      <c r="P70" s="267"/>
      <c r="Q70" s="267"/>
      <c r="R70" s="267"/>
      <c r="S70" s="2340"/>
      <c r="T70" s="2341"/>
      <c r="U70" s="2341"/>
      <c r="V70" s="2342"/>
      <c r="W70" s="267"/>
      <c r="X70" s="282"/>
    </row>
    <row r="71" spans="3:34" ht="7.5" customHeight="1">
      <c r="D71" s="289"/>
      <c r="E71" s="289"/>
      <c r="F71" s="289"/>
      <c r="G71" s="289"/>
      <c r="H71" s="289"/>
      <c r="I71" s="291"/>
      <c r="J71" s="272"/>
      <c r="K71" s="272"/>
      <c r="L71" s="338"/>
      <c r="M71" s="338"/>
      <c r="N71" s="267"/>
      <c r="O71" s="267"/>
      <c r="P71" s="267"/>
      <c r="Q71" s="267"/>
      <c r="R71" s="267"/>
      <c r="S71" s="2340"/>
      <c r="T71" s="2341"/>
      <c r="U71" s="2341"/>
      <c r="V71" s="2342"/>
      <c r="W71" s="267"/>
      <c r="X71" s="282"/>
    </row>
    <row r="72" spans="3:34" ht="15.8" customHeight="1">
      <c r="J72" s="286" t="s">
        <v>866</v>
      </c>
      <c r="K72" s="272"/>
      <c r="L72" s="2357">
        <f>IF(__Retrofit_TI_NC=0,Autofund!F82,Installations!K20)</f>
        <v>0</v>
      </c>
      <c r="M72" s="2358"/>
      <c r="N72" s="267"/>
      <c r="O72" s="292">
        <f>IFERROR(L72/M32,0)</f>
        <v>0</v>
      </c>
      <c r="P72" s="293" t="s">
        <v>867</v>
      </c>
      <c r="Q72" s="267"/>
      <c r="R72" s="267"/>
      <c r="S72" s="2340"/>
      <c r="T72" s="2341"/>
      <c r="U72" s="2341"/>
      <c r="V72" s="2342"/>
      <c r="W72" s="267"/>
      <c r="X72" s="282"/>
    </row>
    <row r="73" spans="3:34" ht="7.5" customHeight="1">
      <c r="J73" s="291"/>
      <c r="K73" s="272"/>
      <c r="L73" s="339"/>
      <c r="M73" s="339"/>
      <c r="N73" s="267"/>
      <c r="P73" s="267"/>
      <c r="Q73" s="267"/>
      <c r="R73" s="267"/>
      <c r="S73" s="2340"/>
      <c r="T73" s="2341"/>
      <c r="U73" s="2341"/>
      <c r="V73" s="2342"/>
      <c r="W73" s="267"/>
      <c r="X73" s="282"/>
    </row>
    <row r="74" spans="3:34" ht="15.8" hidden="1" customHeight="1">
      <c r="J74" s="1207" t="s">
        <v>868</v>
      </c>
      <c r="K74" s="1208"/>
      <c r="L74" s="2359">
        <f>Autofund!J82</f>
        <v>0</v>
      </c>
      <c r="M74" s="2359"/>
      <c r="Q74" s="267"/>
      <c r="R74" s="267"/>
      <c r="S74" s="2340"/>
      <c r="T74" s="2341"/>
      <c r="U74" s="2341"/>
      <c r="V74" s="2342"/>
      <c r="W74" s="267"/>
      <c r="X74" s="282"/>
    </row>
    <row r="75" spans="3:34" ht="7.5" hidden="1" customHeight="1">
      <c r="J75" s="1209"/>
      <c r="K75" s="1209"/>
      <c r="L75" s="1210"/>
      <c r="M75" s="1210"/>
      <c r="Q75" s="267"/>
      <c r="R75" s="267"/>
      <c r="S75" s="2340"/>
      <c r="T75" s="2341"/>
      <c r="U75" s="2341"/>
      <c r="V75" s="2342"/>
      <c r="W75" s="267"/>
      <c r="X75" s="282"/>
    </row>
    <row r="76" spans="3:34" ht="15.8" hidden="1" customHeight="1">
      <c r="J76" s="1207" t="s">
        <v>869</v>
      </c>
      <c r="K76" s="1208"/>
      <c r="L76" s="2359">
        <f>IF(__Retrofit_TI_NC=0,Autofund!G4,Autofund!G4+'Building Area Installations'!AO26)</f>
        <v>0</v>
      </c>
      <c r="M76" s="2359"/>
      <c r="Q76" s="267"/>
      <c r="R76" s="267"/>
      <c r="S76" s="2340"/>
      <c r="T76" s="2341"/>
      <c r="U76" s="2341"/>
      <c r="V76" s="2342"/>
      <c r="W76" s="267"/>
      <c r="X76" s="282"/>
    </row>
    <row r="77" spans="3:34" ht="7.5" hidden="1" customHeight="1">
      <c r="J77" s="347"/>
      <c r="K77" s="347"/>
      <c r="L77" s="1211"/>
      <c r="M77" s="1211"/>
      <c r="Q77" s="267"/>
      <c r="R77" s="267"/>
      <c r="S77" s="2340"/>
      <c r="T77" s="2341"/>
      <c r="U77" s="2341"/>
      <c r="V77" s="2342"/>
      <c r="W77" s="267"/>
      <c r="X77" s="282"/>
    </row>
    <row r="78" spans="3:34" ht="15.8" customHeight="1">
      <c r="J78" s="1207" t="s">
        <v>870</v>
      </c>
      <c r="K78" s="1208"/>
      <c r="L78" s="2359">
        <f>Autofund!H82</f>
        <v>0</v>
      </c>
      <c r="M78" s="2359"/>
      <c r="Q78" s="267"/>
      <c r="R78" s="267"/>
      <c r="S78" s="2340"/>
      <c r="T78" s="2341"/>
      <c r="U78" s="2341"/>
      <c r="V78" s="2342"/>
      <c r="W78" s="267"/>
      <c r="X78" s="282"/>
    </row>
    <row r="79" spans="3:34" ht="7.5" customHeight="1">
      <c r="D79" s="272"/>
      <c r="E79" s="272"/>
      <c r="F79" s="272"/>
      <c r="G79" s="272"/>
      <c r="H79" s="272"/>
      <c r="I79" s="272"/>
      <c r="L79" s="234"/>
      <c r="M79" s="234"/>
      <c r="Q79" s="267"/>
      <c r="R79" s="267"/>
      <c r="S79" s="2340"/>
      <c r="T79" s="2341"/>
      <c r="U79" s="2341"/>
      <c r="V79" s="2342"/>
      <c r="W79" s="267"/>
      <c r="X79" s="282"/>
    </row>
    <row r="80" spans="3:34" ht="15.8" customHeight="1">
      <c r="D80" s="272"/>
      <c r="E80" s="272"/>
      <c r="F80" s="272"/>
      <c r="G80" s="272"/>
      <c r="H80" s="272"/>
      <c r="I80" s="272"/>
      <c r="J80" s="286" t="s">
        <v>871</v>
      </c>
      <c r="K80" s="272"/>
      <c r="L80" s="2357">
        <f>Autofund!O82</f>
        <v>0</v>
      </c>
      <c r="M80" s="2358"/>
      <c r="N80" s="295"/>
      <c r="O80" s="292">
        <f>IFERROR(L80/L72,0)</f>
        <v>0</v>
      </c>
      <c r="P80" s="293" t="s">
        <v>872</v>
      </c>
      <c r="Q80" s="272"/>
      <c r="R80" s="267"/>
      <c r="S80" s="2340"/>
      <c r="T80" s="2341"/>
      <c r="U80" s="2341"/>
      <c r="V80" s="2342"/>
      <c r="W80" s="267"/>
      <c r="X80" s="282"/>
    </row>
    <row r="81" spans="2:24" ht="7.5" customHeight="1">
      <c r="D81" s="272"/>
      <c r="E81" s="272"/>
      <c r="F81" s="272"/>
      <c r="G81" s="272"/>
      <c r="H81" s="272"/>
      <c r="I81" s="272"/>
      <c r="J81" s="272"/>
      <c r="K81" s="272"/>
      <c r="L81" s="339"/>
      <c r="M81" s="339"/>
      <c r="N81" s="267"/>
      <c r="O81" s="267"/>
      <c r="P81" s="267"/>
      <c r="Q81" s="272"/>
      <c r="R81" s="267"/>
      <c r="S81" s="2340"/>
      <c r="T81" s="2341"/>
      <c r="U81" s="2341"/>
      <c r="V81" s="2342"/>
      <c r="W81" s="267"/>
      <c r="X81" s="282"/>
    </row>
    <row r="82" spans="2:24" ht="15.8" customHeight="1">
      <c r="C82" s="162"/>
      <c r="J82" s="286" t="s">
        <v>873</v>
      </c>
      <c r="K82" s="272"/>
      <c r="L82" s="2357">
        <f>Autofund!I82</f>
        <v>0</v>
      </c>
      <c r="M82" s="2358"/>
      <c r="Q82" s="267"/>
      <c r="R82" s="267"/>
      <c r="S82" s="2343"/>
      <c r="T82" s="2344"/>
      <c r="U82" s="2344"/>
      <c r="V82" s="2345"/>
      <c r="W82" s="267"/>
      <c r="X82" s="282"/>
    </row>
    <row r="83" spans="2:24" ht="7.5" customHeight="1">
      <c r="C83" s="162"/>
      <c r="D83" s="269"/>
      <c r="E83" s="269"/>
      <c r="F83" s="269"/>
      <c r="G83" s="269"/>
      <c r="H83" s="269"/>
      <c r="I83" s="272"/>
      <c r="J83" s="296"/>
      <c r="K83" s="296"/>
      <c r="L83" s="297"/>
      <c r="M83" s="297"/>
      <c r="N83" s="267"/>
      <c r="O83" s="267"/>
      <c r="P83" s="267"/>
      <c r="Q83" s="267"/>
      <c r="R83" s="267"/>
      <c r="S83" s="267"/>
      <c r="T83" s="267"/>
      <c r="U83" s="267"/>
      <c r="V83" s="267"/>
      <c r="W83" s="267"/>
      <c r="X83" s="282"/>
    </row>
    <row r="84" spans="2:24" ht="15.8" customHeight="1">
      <c r="C84" s="162"/>
      <c r="D84" s="269"/>
      <c r="E84" s="269"/>
      <c r="F84" s="269"/>
      <c r="G84" s="269"/>
      <c r="H84" s="269"/>
      <c r="J84" s="286" t="s">
        <v>874</v>
      </c>
      <c r="K84" s="272"/>
      <c r="L84" s="2335">
        <f>Installations!K32</f>
        <v>0</v>
      </c>
      <c r="M84" s="2336"/>
      <c r="Q84" s="267"/>
      <c r="R84" s="267"/>
      <c r="S84" s="272" t="s">
        <v>875</v>
      </c>
      <c r="T84" s="272"/>
      <c r="U84" s="272"/>
      <c r="V84" s="272"/>
      <c r="W84" s="267"/>
      <c r="X84" s="282"/>
    </row>
    <row r="85" spans="2:24" ht="7.5" customHeight="1">
      <c r="C85" s="162"/>
      <c r="D85" s="269"/>
      <c r="E85" s="269"/>
      <c r="F85" s="269"/>
      <c r="G85" s="269"/>
      <c r="H85" s="269"/>
      <c r="Q85" s="267"/>
      <c r="R85" s="267"/>
      <c r="S85" s="2337"/>
      <c r="T85" s="2338"/>
      <c r="U85" s="2338"/>
      <c r="V85" s="2339"/>
      <c r="W85" s="267"/>
      <c r="X85" s="282"/>
    </row>
    <row r="86" spans="2:24" ht="15.8" customHeight="1">
      <c r="C86" s="162"/>
      <c r="D86" s="272"/>
      <c r="E86" s="272"/>
      <c r="F86" s="272"/>
      <c r="G86" s="272"/>
      <c r="H86" s="272"/>
      <c r="Q86" s="293"/>
      <c r="R86" s="267"/>
      <c r="S86" s="2340"/>
      <c r="T86" s="2341"/>
      <c r="U86" s="2341"/>
      <c r="V86" s="2342"/>
      <c r="W86" s="267"/>
      <c r="X86" s="282"/>
    </row>
    <row r="87" spans="2:24" ht="7.5" customHeight="1">
      <c r="C87" s="162"/>
      <c r="D87" s="272"/>
      <c r="E87" s="272"/>
      <c r="F87" s="272"/>
      <c r="G87" s="272"/>
      <c r="H87" s="272"/>
      <c r="Q87" s="267"/>
      <c r="R87" s="267"/>
      <c r="S87" s="2340"/>
      <c r="T87" s="2341"/>
      <c r="U87" s="2341"/>
      <c r="V87" s="2342"/>
      <c r="W87" s="267"/>
      <c r="X87" s="282"/>
    </row>
    <row r="88" spans="2:24" ht="18" customHeight="1">
      <c r="B88" s="1441"/>
      <c r="C88" s="162"/>
      <c r="D88" s="733" t="s">
        <v>876</v>
      </c>
      <c r="E88" s="732"/>
      <c r="F88" s="732"/>
      <c r="G88" s="732"/>
      <c r="H88" s="732"/>
      <c r="I88" s="732"/>
      <c r="J88" s="732"/>
      <c r="K88" s="732"/>
      <c r="L88" s="1120" t="str">
        <f ca="1">IF(O100&gt;0,"Fixture/TLED (base)","Fixture/TLED/Control")</f>
        <v>Fixture/TLED/Control</v>
      </c>
      <c r="M88" s="1429"/>
      <c r="N88" s="1427"/>
      <c r="O88" s="1430" t="s">
        <v>877</v>
      </c>
      <c r="P88" s="1427"/>
      <c r="Q88" s="268"/>
      <c r="R88" s="267"/>
      <c r="S88" s="2340"/>
      <c r="T88" s="2341"/>
      <c r="U88" s="2341"/>
      <c r="V88" s="2342"/>
      <c r="W88" s="267"/>
      <c r="X88" s="282"/>
    </row>
    <row r="89" spans="2:24" ht="7.5" customHeight="1">
      <c r="B89" s="1441"/>
      <c r="C89" s="162"/>
      <c r="Q89" s="267"/>
      <c r="R89" s="267"/>
      <c r="S89" s="2340"/>
      <c r="T89" s="2341"/>
      <c r="U89" s="2341"/>
      <c r="V89" s="2342"/>
      <c r="W89" s="267"/>
      <c r="X89" s="282"/>
    </row>
    <row r="90" spans="2:24" ht="15.8" customHeight="1">
      <c r="B90" s="1441"/>
      <c r="C90" s="162"/>
      <c r="J90" s="923" t="s">
        <v>878</v>
      </c>
      <c r="K90" s="272"/>
      <c r="L90" s="1382">
        <f>M22</f>
        <v>0</v>
      </c>
      <c r="M90" s="1436"/>
      <c r="N90" s="1436"/>
      <c r="O90" s="1436"/>
      <c r="P90" s="1436"/>
      <c r="R90" s="267"/>
      <c r="S90" s="2340"/>
      <c r="T90" s="2341"/>
      <c r="U90" s="2341"/>
      <c r="V90" s="2342"/>
      <c r="W90" s="267"/>
      <c r="X90" s="282"/>
    </row>
    <row r="91" spans="2:24" ht="7.5" customHeight="1">
      <c r="B91" s="1441"/>
      <c r="C91" s="162"/>
      <c r="D91" s="269"/>
      <c r="E91" s="269"/>
      <c r="F91" s="269"/>
      <c r="G91" s="269"/>
      <c r="H91" s="269"/>
      <c r="J91" s="2"/>
      <c r="M91" s="272"/>
      <c r="P91" s="267"/>
      <c r="Q91" s="267"/>
      <c r="R91" s="267"/>
      <c r="S91" s="2340"/>
      <c r="T91" s="2341"/>
      <c r="U91" s="2341"/>
      <c r="V91" s="2342"/>
      <c r="W91" s="267"/>
      <c r="X91" s="282"/>
    </row>
    <row r="92" spans="2:24" ht="15.8" customHeight="1">
      <c r="B92" s="1441"/>
      <c r="C92" s="162"/>
      <c r="D92" s="269"/>
      <c r="E92" s="269"/>
      <c r="F92" s="269"/>
      <c r="G92" s="269"/>
      <c r="H92" s="269"/>
      <c r="J92" s="923" t="s">
        <v>879</v>
      </c>
      <c r="K92" s="272"/>
      <c r="L92" s="446">
        <f ca="1">J663</f>
        <v>0</v>
      </c>
      <c r="M92" s="286" t="s">
        <v>880</v>
      </c>
      <c r="N92" s="431"/>
      <c r="O92" s="2360">
        <f ca="1">DATA!R15</f>
        <v>0</v>
      </c>
      <c r="P92" s="2361"/>
      <c r="R92" s="267"/>
      <c r="S92" s="2340"/>
      <c r="T92" s="2341"/>
      <c r="U92" s="2341"/>
      <c r="V92" s="2342"/>
      <c r="W92" s="267"/>
      <c r="X92" s="282"/>
    </row>
    <row r="93" spans="2:24" ht="7.5" customHeight="1">
      <c r="B93" s="1441"/>
      <c r="C93" s="162"/>
      <c r="D93" s="269"/>
      <c r="E93" s="269"/>
      <c r="F93" s="269"/>
      <c r="G93" s="269"/>
      <c r="H93" s="269"/>
      <c r="J93" s="2"/>
      <c r="M93" s="267"/>
      <c r="Q93" s="267"/>
      <c r="R93" s="267"/>
      <c r="S93" s="2340"/>
      <c r="T93" s="2341"/>
      <c r="U93" s="2341"/>
      <c r="V93" s="2342"/>
      <c r="W93" s="267"/>
      <c r="X93" s="282"/>
    </row>
    <row r="94" spans="2:24" ht="15.8" customHeight="1">
      <c r="B94" s="1441"/>
      <c r="C94" s="162"/>
      <c r="D94" s="272"/>
      <c r="E94" s="272"/>
      <c r="F94" s="272"/>
      <c r="G94" s="272"/>
      <c r="H94" s="272"/>
      <c r="J94" s="923" t="s">
        <v>881</v>
      </c>
      <c r="K94" s="272"/>
      <c r="L94" s="446">
        <f ca="1">U667</f>
        <v>0</v>
      </c>
      <c r="M94" s="298" t="s">
        <v>882</v>
      </c>
      <c r="N94" s="267"/>
      <c r="O94" s="2360">
        <f ca="1">DATA!R15</f>
        <v>0</v>
      </c>
      <c r="P94" s="2361"/>
      <c r="Q94" s="161"/>
      <c r="R94" s="267"/>
      <c r="S94" s="2340"/>
      <c r="T94" s="2341"/>
      <c r="U94" s="2341"/>
      <c r="V94" s="2342"/>
      <c r="W94" s="267"/>
      <c r="X94" s="282"/>
    </row>
    <row r="95" spans="2:24" ht="7.5" customHeight="1">
      <c r="B95" s="1441"/>
      <c r="C95" s="162"/>
      <c r="D95" s="272"/>
      <c r="E95" s="272"/>
      <c r="F95" s="272"/>
      <c r="G95" s="272"/>
      <c r="H95" s="272"/>
      <c r="J95" s="2"/>
      <c r="M95" s="267"/>
      <c r="N95" s="267"/>
      <c r="O95" s="267"/>
      <c r="P95" s="431"/>
      <c r="Q95" s="161"/>
      <c r="R95" s="267"/>
      <c r="S95" s="2340"/>
      <c r="T95" s="2341"/>
      <c r="U95" s="2341"/>
      <c r="V95" s="2342"/>
      <c r="W95" s="267"/>
      <c r="X95" s="282"/>
    </row>
    <row r="96" spans="2:24" ht="15.8" customHeight="1">
      <c r="B96" s="1441"/>
      <c r="C96" s="162"/>
      <c r="D96" s="272"/>
      <c r="E96" s="272"/>
      <c r="F96" s="272"/>
      <c r="G96" s="272"/>
      <c r="H96" s="272"/>
      <c r="J96" s="926" t="s">
        <v>883</v>
      </c>
      <c r="K96" s="143"/>
      <c r="L96" s="922">
        <f ca="1">DATA!S15</f>
        <v>0</v>
      </c>
      <c r="M96" s="267"/>
      <c r="O96" s="234"/>
      <c r="P96" s="431"/>
      <c r="Q96" s="161"/>
      <c r="R96" s="267"/>
      <c r="S96" s="2340"/>
      <c r="T96" s="2341"/>
      <c r="U96" s="2341"/>
      <c r="V96" s="2342"/>
      <c r="W96" s="267"/>
      <c r="X96" s="282"/>
    </row>
    <row r="97" spans="2:24" ht="7.5" customHeight="1">
      <c r="B97" s="1441"/>
      <c r="C97" s="162"/>
      <c r="D97" s="272"/>
      <c r="E97" s="272"/>
      <c r="F97" s="272"/>
      <c r="G97" s="272"/>
      <c r="H97" s="272"/>
      <c r="I97" s="272"/>
      <c r="J97" s="925"/>
      <c r="K97" s="272"/>
      <c r="L97" s="267"/>
      <c r="M97" s="267"/>
      <c r="O97" s="267"/>
      <c r="R97" s="267"/>
      <c r="S97" s="2340"/>
      <c r="T97" s="2341"/>
      <c r="U97" s="2341"/>
      <c r="V97" s="2342"/>
      <c r="W97" s="267"/>
      <c r="X97" s="282"/>
    </row>
    <row r="98" spans="2:24" ht="15.8" customHeight="1">
      <c r="B98" s="1441"/>
      <c r="C98" s="162"/>
      <c r="J98" s="926" t="s">
        <v>884</v>
      </c>
      <c r="K98" s="143"/>
      <c r="L98" s="922">
        <f ca="1">DATA!P15</f>
        <v>0</v>
      </c>
      <c r="M98" s="267"/>
      <c r="O98" s="339"/>
      <c r="P98" s="267"/>
      <c r="Q98" s="267"/>
      <c r="R98" s="267"/>
      <c r="S98" s="2343"/>
      <c r="T98" s="2344"/>
      <c r="U98" s="2344"/>
      <c r="V98" s="2345"/>
      <c r="W98" s="267"/>
      <c r="X98" s="282"/>
    </row>
    <row r="99" spans="2:24" ht="7.5" customHeight="1">
      <c r="B99" s="1441"/>
      <c r="C99" s="162"/>
      <c r="J99" s="927"/>
      <c r="K99" s="143"/>
      <c r="L99" s="143"/>
      <c r="M99" s="267"/>
      <c r="O99" s="267"/>
      <c r="P99" s="267"/>
      <c r="Q99" s="267"/>
      <c r="R99" s="282"/>
      <c r="W99" s="282"/>
      <c r="X99" s="282"/>
    </row>
    <row r="100" spans="2:24" ht="16.3">
      <c r="B100" s="1441"/>
      <c r="C100" s="162"/>
      <c r="J100" s="923" t="s">
        <v>885</v>
      </c>
      <c r="L100" s="447">
        <f ca="1">L80-O100</f>
        <v>0</v>
      </c>
      <c r="M100" s="286" t="s">
        <v>885</v>
      </c>
      <c r="O100" s="2362">
        <f ca="1">DATA!U15</f>
        <v>0</v>
      </c>
      <c r="P100" s="2363"/>
      <c r="Q100" s="267"/>
      <c r="R100" s="282"/>
      <c r="W100" s="282"/>
      <c r="X100" s="282"/>
    </row>
    <row r="101" spans="2:24" ht="7.5" customHeight="1">
      <c r="B101" s="1441"/>
      <c r="C101" s="162"/>
      <c r="D101" s="2479" t="s">
        <v>857</v>
      </c>
      <c r="E101" s="269"/>
      <c r="F101" s="269"/>
      <c r="G101" s="269"/>
      <c r="H101" s="269"/>
      <c r="J101" s="2"/>
      <c r="M101" s="272"/>
      <c r="N101" s="267"/>
      <c r="O101" s="267"/>
      <c r="R101" s="282"/>
      <c r="X101" s="282"/>
    </row>
    <row r="102" spans="2:24" ht="15.8" customHeight="1">
      <c r="B102" s="1441"/>
      <c r="C102" s="162"/>
      <c r="D102" s="2479"/>
      <c r="J102" s="923" t="s">
        <v>886</v>
      </c>
      <c r="L102" s="447">
        <f>L72</f>
        <v>0</v>
      </c>
      <c r="M102" s="286" t="s">
        <v>886</v>
      </c>
      <c r="N102" s="267"/>
      <c r="O102" s="2362">
        <f>Autofund!T85</f>
        <v>0</v>
      </c>
      <c r="P102" s="2363"/>
      <c r="R102" s="282"/>
      <c r="X102" s="282"/>
    </row>
    <row r="103" spans="2:24" ht="7.5" customHeight="1">
      <c r="B103" s="1441"/>
      <c r="C103" s="162"/>
      <c r="D103" s="2479"/>
      <c r="E103" s="269"/>
      <c r="F103" s="2479" t="s">
        <v>858</v>
      </c>
      <c r="H103" s="2479" t="s">
        <v>859</v>
      </c>
      <c r="N103" s="267"/>
      <c r="O103" s="267"/>
      <c r="P103" s="267"/>
      <c r="Q103" s="267"/>
      <c r="R103" s="282"/>
      <c r="W103" s="282"/>
      <c r="X103" s="282"/>
    </row>
    <row r="104" spans="2:24" ht="15.8" customHeight="1">
      <c r="B104" s="1441"/>
      <c r="C104" s="162"/>
      <c r="D104" s="2479"/>
      <c r="E104" s="445"/>
      <c r="F104" s="2479"/>
      <c r="G104" s="445"/>
      <c r="H104" s="2479"/>
      <c r="P104" s="267"/>
      <c r="Q104" s="267"/>
      <c r="R104" s="282"/>
      <c r="W104" s="282"/>
      <c r="X104" s="282"/>
    </row>
    <row r="105" spans="2:24" ht="7.5" customHeight="1">
      <c r="B105" s="1441"/>
      <c r="C105" s="162"/>
      <c r="P105" s="267"/>
      <c r="Q105" s="267"/>
      <c r="R105" s="282"/>
      <c r="W105" s="282"/>
      <c r="X105" s="282"/>
    </row>
    <row r="106" spans="2:24" ht="15.8" customHeight="1">
      <c r="B106" s="1441"/>
      <c r="C106" s="162"/>
      <c r="D106" s="736"/>
      <c r="E106" s="289"/>
      <c r="F106" s="916"/>
      <c r="G106" s="289"/>
      <c r="H106" s="916"/>
      <c r="I106" s="290" t="str">
        <f>IF(__Retrofit_TI_NC=0,"Total Facility Usage is calculated from Billing History (include Consumption History in QC packet)",IF(__Retrofit_TI_NC=1,"Incentive estimate is less than expected invoice total","Selected C406 Option has been confirmed?"))</f>
        <v>Total Facility Usage is calculated from Billing History (include Consumption History in QC packet)</v>
      </c>
      <c r="P106" s="267"/>
      <c r="Q106" s="267"/>
      <c r="R106" s="282"/>
      <c r="U106" s="286" t="s">
        <v>887</v>
      </c>
      <c r="V106" s="960">
        <f>IF(__Retrofit_TI_NC&gt;0,"",Autofund!L3*100)</f>
        <v>0</v>
      </c>
      <c r="W106" s="282"/>
      <c r="X106" s="282"/>
    </row>
    <row r="107" spans="2:24" ht="7.5" customHeight="1">
      <c r="B107" s="1441"/>
      <c r="C107" s="162"/>
      <c r="P107" s="267"/>
      <c r="Q107" s="267"/>
      <c r="R107" s="282"/>
      <c r="X107" s="282"/>
    </row>
    <row r="108" spans="2:24" ht="15.8" customHeight="1">
      <c r="B108" s="1441"/>
      <c r="C108" s="162"/>
      <c r="D108" s="736"/>
      <c r="E108" s="289"/>
      <c r="F108" s="916"/>
      <c r="G108" s="289"/>
      <c r="H108" s="916"/>
      <c r="I108" s="290" t="s">
        <v>888</v>
      </c>
      <c r="P108" s="267"/>
      <c r="Q108" s="267"/>
      <c r="R108" s="282"/>
      <c r="U108" s="286" t="s">
        <v>889</v>
      </c>
      <c r="V108" s="299">
        <f>Autofund!O3</f>
        <v>0</v>
      </c>
      <c r="X108" s="282"/>
    </row>
    <row r="109" spans="2:24" ht="7.5" customHeight="1">
      <c r="B109" s="1441"/>
      <c r="C109" s="162"/>
      <c r="N109" s="267"/>
      <c r="O109" s="267"/>
      <c r="P109" s="267"/>
      <c r="Q109" s="267"/>
      <c r="R109" s="282"/>
      <c r="X109" s="282"/>
    </row>
    <row r="110" spans="2:24" ht="15.8" customHeight="1">
      <c r="B110" s="1441"/>
      <c r="C110" s="162"/>
      <c r="D110" s="736"/>
      <c r="E110" s="289"/>
      <c r="F110" s="916"/>
      <c r="G110" s="289"/>
      <c r="H110" s="916"/>
      <c r="I110" s="290" t="s">
        <v>890</v>
      </c>
      <c r="K110" s="272"/>
      <c r="N110" s="267"/>
      <c r="O110" s="267"/>
      <c r="P110" s="267"/>
      <c r="Q110" s="267"/>
      <c r="R110" s="282"/>
      <c r="U110" s="286" t="s">
        <v>891</v>
      </c>
      <c r="V110" s="300">
        <f ca="1">DATA!N15</f>
        <v>0</v>
      </c>
      <c r="W110" s="282"/>
      <c r="X110" s="282"/>
    </row>
    <row r="111" spans="2:24" ht="7.5" customHeight="1">
      <c r="C111" s="162"/>
      <c r="N111" s="272"/>
      <c r="O111" s="272"/>
      <c r="P111" s="272"/>
      <c r="Q111" s="272"/>
      <c r="R111" s="282"/>
      <c r="W111" s="282"/>
      <c r="X111" s="282"/>
    </row>
    <row r="112" spans="2:24" ht="15.8" customHeight="1">
      <c r="C112" s="162"/>
      <c r="D112" s="736"/>
      <c r="E112" s="289"/>
      <c r="F112" s="916"/>
      <c r="G112" s="289"/>
      <c r="H112" s="916"/>
      <c r="I112" s="290" t="s">
        <v>892</v>
      </c>
      <c r="J112" s="290"/>
      <c r="N112" s="272"/>
      <c r="O112" s="272"/>
      <c r="P112" s="272"/>
      <c r="Q112" s="272"/>
      <c r="U112" s="286" t="s">
        <v>893</v>
      </c>
      <c r="V112" s="301">
        <f ca="1">IFERROR(L94/L92,0)</f>
        <v>0</v>
      </c>
    </row>
    <row r="113" spans="2:24" ht="7.5" customHeight="1">
      <c r="C113" s="162"/>
      <c r="N113" s="272"/>
      <c r="O113" s="272"/>
      <c r="P113" s="272"/>
      <c r="Q113" s="272"/>
    </row>
    <row r="114" spans="2:24" ht="15.8" customHeight="1">
      <c r="C114" s="162"/>
      <c r="D114" s="736"/>
      <c r="E114" s="289"/>
      <c r="F114" s="916"/>
      <c r="G114" s="289"/>
      <c r="H114" s="916"/>
      <c r="I114" s="290" t="s">
        <v>894</v>
      </c>
      <c r="J114" s="290"/>
      <c r="K114" s="445"/>
      <c r="L114" s="445"/>
      <c r="M114" s="445"/>
      <c r="N114" s="2367" t="s">
        <v>215</v>
      </c>
      <c r="O114" s="2368"/>
      <c r="P114" t="s">
        <v>895</v>
      </c>
      <c r="Q114" s="272"/>
    </row>
    <row r="115" spans="2:24" ht="50.95" customHeight="1">
      <c r="C115" s="162"/>
      <c r="N115" s="272"/>
      <c r="O115" s="272"/>
      <c r="P115" s="272"/>
      <c r="Q115" s="272"/>
    </row>
    <row r="116" spans="2:24" ht="16.3">
      <c r="C116" s="162"/>
      <c r="D116" s="269"/>
      <c r="E116" s="269"/>
      <c r="F116" s="269"/>
      <c r="G116" s="269"/>
      <c r="H116" s="269"/>
      <c r="I116" s="2319"/>
      <c r="J116" s="2319"/>
      <c r="K116" s="2319"/>
      <c r="L116" s="2319"/>
      <c r="M116" s="2320"/>
      <c r="N116" s="272"/>
      <c r="O116" s="272"/>
      <c r="P116" s="272"/>
      <c r="Q116" s="272"/>
      <c r="S116" s="2319"/>
      <c r="T116" s="2319"/>
      <c r="U116" s="2319"/>
      <c r="V116" s="2320"/>
    </row>
    <row r="117" spans="2:24" ht="14.95" customHeight="1">
      <c r="C117" s="162"/>
      <c r="D117" s="162"/>
      <c r="E117" s="162"/>
      <c r="F117" s="162"/>
      <c r="G117" s="162"/>
      <c r="H117" s="162"/>
      <c r="I117" s="2319"/>
      <c r="J117" s="2319"/>
      <c r="K117" s="2319"/>
      <c r="L117" s="2319"/>
      <c r="M117" s="2320"/>
      <c r="S117" s="2319"/>
      <c r="T117" s="2319"/>
      <c r="U117" s="2319"/>
      <c r="V117" s="2320"/>
    </row>
    <row r="118" spans="2:24" ht="14.95" customHeight="1">
      <c r="C118" s="162"/>
      <c r="D118" s="162"/>
      <c r="E118" s="162"/>
      <c r="F118" s="162"/>
      <c r="G118" s="162"/>
      <c r="H118" s="162"/>
      <c r="I118" s="2321"/>
      <c r="J118" s="2321"/>
      <c r="K118" s="2321"/>
      <c r="L118" s="2321"/>
      <c r="M118" s="2322"/>
      <c r="S118" s="2321"/>
      <c r="T118" s="2321"/>
      <c r="U118" s="2321"/>
      <c r="V118" s="2322"/>
    </row>
    <row r="119" spans="2:24" ht="14.95" customHeight="1">
      <c r="C119" s="162"/>
      <c r="D119" s="162"/>
      <c r="E119" s="162"/>
      <c r="F119" s="162"/>
      <c r="G119" s="162"/>
      <c r="H119" s="162"/>
      <c r="I119" s="2323" t="str">
        <f>CONCATENATE("PM/EME   (",M24,")   Signature/Date")</f>
        <v>PM/EME   ()   Signature/Date</v>
      </c>
      <c r="J119" s="2323"/>
      <c r="K119" s="2323"/>
      <c r="L119" s="2323"/>
      <c r="M119" s="445"/>
      <c r="S119" s="2324" t="str">
        <f>CONCATENATE("QC Reviewer  (",M26,")   Signature/Date")</f>
        <v>QC Reviewer  ()   Signature/Date</v>
      </c>
      <c r="T119" s="2324"/>
      <c r="U119" s="2324"/>
      <c r="V119" s="2324"/>
    </row>
    <row r="120" spans="2:24" ht="14.95" thickBot="1"/>
    <row r="121" spans="2:24" ht="43.5" customHeight="1" thickTop="1" thickBot="1">
      <c r="B121" s="1441"/>
      <c r="C121" s="302"/>
      <c r="D121" s="302"/>
      <c r="E121" s="302"/>
      <c r="F121" s="302"/>
      <c r="G121" s="302"/>
      <c r="H121" s="302"/>
      <c r="I121" s="302"/>
      <c r="J121" s="303">
        <f>M22</f>
        <v>0</v>
      </c>
      <c r="K121" s="2325" t="str">
        <f>CONCATENATE(J22," (BASE)")</f>
        <v>0 (BASE)</v>
      </c>
      <c r="L121" s="2325"/>
      <c r="M121" s="2325"/>
      <c r="N121" s="2325"/>
      <c r="O121" s="2325"/>
      <c r="P121" s="2325"/>
      <c r="Q121" s="2325"/>
      <c r="R121" s="2325"/>
      <c r="S121" s="2325"/>
      <c r="T121" s="2325"/>
      <c r="U121" s="304" t="s">
        <v>896</v>
      </c>
      <c r="V121" s="304"/>
      <c r="W121" s="304"/>
      <c r="X121" s="302"/>
    </row>
    <row r="122" spans="2:24" ht="14.95" customHeight="1">
      <c r="B122" s="1441"/>
      <c r="H122" s="2326" t="s">
        <v>897</v>
      </c>
      <c r="I122" s="2327"/>
      <c r="J122" s="2327"/>
      <c r="K122" s="2327"/>
      <c r="L122" s="2327"/>
      <c r="M122" s="2327"/>
      <c r="N122" s="2327"/>
      <c r="O122" s="2327"/>
      <c r="P122" s="2327"/>
      <c r="Q122" s="2327"/>
      <c r="R122" s="2327"/>
      <c r="S122" s="2327"/>
      <c r="T122" s="2327"/>
      <c r="U122" s="2327"/>
      <c r="V122" s="2327"/>
      <c r="W122" s="2327"/>
      <c r="X122" s="2328"/>
    </row>
    <row r="123" spans="2:24" ht="14.95" customHeight="1">
      <c r="B123" s="1441"/>
      <c r="H123" s="2329"/>
      <c r="I123" s="2330"/>
      <c r="J123" s="2330"/>
      <c r="K123" s="2330"/>
      <c r="L123" s="2330"/>
      <c r="M123" s="2330"/>
      <c r="N123" s="2330"/>
      <c r="O123" s="2330"/>
      <c r="P123" s="2330"/>
      <c r="Q123" s="2330"/>
      <c r="R123" s="2330"/>
      <c r="S123" s="2330"/>
      <c r="T123" s="2330"/>
      <c r="U123" s="2330"/>
      <c r="V123" s="2330"/>
      <c r="W123" s="2330"/>
      <c r="X123" s="2331"/>
    </row>
    <row r="124" spans="2:24">
      <c r="B124" s="1441"/>
      <c r="H124" s="2329"/>
      <c r="I124" s="2330"/>
      <c r="J124" s="2330"/>
      <c r="K124" s="2330"/>
      <c r="L124" s="2330"/>
      <c r="M124" s="2330"/>
      <c r="N124" s="2330"/>
      <c r="O124" s="2330"/>
      <c r="P124" s="2330"/>
      <c r="Q124" s="2330"/>
      <c r="R124" s="2330"/>
      <c r="S124" s="2330"/>
      <c r="T124" s="2330"/>
      <c r="U124" s="2330"/>
      <c r="V124" s="2330"/>
      <c r="W124" s="2330"/>
      <c r="X124" s="2331"/>
    </row>
    <row r="125" spans="2:24">
      <c r="B125" s="1441"/>
      <c r="H125" s="2329"/>
      <c r="I125" s="2330"/>
      <c r="J125" s="2330"/>
      <c r="K125" s="2330"/>
      <c r="L125" s="2330"/>
      <c r="M125" s="2330"/>
      <c r="N125" s="2330"/>
      <c r="O125" s="2330"/>
      <c r="P125" s="2330"/>
      <c r="Q125" s="2330"/>
      <c r="R125" s="2330"/>
      <c r="S125" s="2330"/>
      <c r="T125" s="2330"/>
      <c r="U125" s="2330"/>
      <c r="V125" s="2330"/>
      <c r="W125" s="2330"/>
      <c r="X125" s="2331"/>
    </row>
    <row r="126" spans="2:24">
      <c r="B126" s="1441"/>
      <c r="H126" s="2329"/>
      <c r="I126" s="2330"/>
      <c r="J126" s="2330"/>
      <c r="K126" s="2330"/>
      <c r="L126" s="2330"/>
      <c r="M126" s="2330"/>
      <c r="N126" s="2330"/>
      <c r="O126" s="2330"/>
      <c r="P126" s="2330"/>
      <c r="Q126" s="2330"/>
      <c r="R126" s="2330"/>
      <c r="S126" s="2330"/>
      <c r="T126" s="2330"/>
      <c r="U126" s="2330"/>
      <c r="V126" s="2330"/>
      <c r="W126" s="2330"/>
      <c r="X126" s="2331"/>
    </row>
    <row r="127" spans="2:24" ht="14.95" thickBot="1">
      <c r="B127" s="1441"/>
      <c r="H127" s="2332"/>
      <c r="I127" s="2333"/>
      <c r="J127" s="2333"/>
      <c r="K127" s="2333"/>
      <c r="L127" s="2333"/>
      <c r="M127" s="2333"/>
      <c r="N127" s="2333"/>
      <c r="O127" s="2333"/>
      <c r="P127" s="2333"/>
      <c r="Q127" s="2333"/>
      <c r="R127" s="2333"/>
      <c r="S127" s="2333"/>
      <c r="T127" s="2333"/>
      <c r="U127" s="2333"/>
      <c r="V127" s="2333"/>
      <c r="W127" s="2333"/>
      <c r="X127" s="2334"/>
    </row>
    <row r="128" spans="2:24">
      <c r="B128" s="1441"/>
    </row>
    <row r="129" spans="2:24" ht="7.5" customHeight="1">
      <c r="B129" s="1441"/>
      <c r="C129" s="621"/>
      <c r="D129" s="610"/>
      <c r="E129" s="610"/>
      <c r="F129" s="610"/>
      <c r="G129" s="610"/>
      <c r="H129" s="610"/>
      <c r="I129" s="610"/>
      <c r="J129" s="610"/>
      <c r="K129" s="610"/>
      <c r="L129" s="610"/>
      <c r="M129" s="610"/>
      <c r="N129" s="610"/>
      <c r="O129" s="610"/>
      <c r="P129" s="610"/>
      <c r="Q129" s="610"/>
      <c r="R129" s="610"/>
      <c r="S129" s="610"/>
      <c r="T129" s="610"/>
      <c r="U129" s="610"/>
      <c r="V129" s="610"/>
      <c r="W129" s="610"/>
      <c r="X129" s="1158"/>
    </row>
    <row r="130" spans="2:24">
      <c r="B130" s="1441"/>
      <c r="C130" s="260"/>
      <c r="D130" s="2179" t="s">
        <v>898</v>
      </c>
      <c r="E130" s="2179"/>
      <c r="F130" s="2179"/>
      <c r="G130" s="2179"/>
      <c r="H130" s="2179"/>
      <c r="I130" s="2179"/>
      <c r="J130" s="2179"/>
      <c r="K130" s="2179"/>
      <c r="L130" s="2179"/>
      <c r="M130" s="2179"/>
      <c r="N130" s="2179"/>
      <c r="O130" s="2179"/>
      <c r="P130" s="2179"/>
      <c r="Q130" s="2179"/>
      <c r="R130" s="2179"/>
      <c r="S130" s="2179"/>
      <c r="T130" s="2179"/>
      <c r="U130" s="2179"/>
      <c r="V130" s="2179"/>
      <c r="W130" s="2179"/>
      <c r="X130" s="262"/>
    </row>
    <row r="131" spans="2:24" ht="5.0999999999999996" customHeight="1">
      <c r="B131" s="1441"/>
      <c r="C131" s="260"/>
      <c r="X131" s="262"/>
    </row>
    <row r="132" spans="2:24">
      <c r="B132" s="1441"/>
      <c r="C132" s="260"/>
      <c r="D132" s="2173" t="s">
        <v>899</v>
      </c>
      <c r="E132" s="2173"/>
      <c r="F132" s="2173"/>
      <c r="G132" s="2173"/>
      <c r="H132" s="2173"/>
      <c r="I132" s="2174"/>
      <c r="J132" s="2239">
        <f>M24</f>
        <v>0</v>
      </c>
      <c r="K132" s="2240"/>
      <c r="L132" s="2241"/>
      <c r="N132" s="10"/>
      <c r="O132" s="2173" t="s">
        <v>829</v>
      </c>
      <c r="P132" s="2173"/>
      <c r="Q132" s="2173"/>
      <c r="R132" s="2173"/>
      <c r="S132" s="2173"/>
      <c r="T132" s="2174"/>
      <c r="U132" s="2239">
        <f>M26</f>
        <v>0</v>
      </c>
      <c r="V132" s="2241"/>
      <c r="X132" s="262"/>
    </row>
    <row r="133" spans="2:24" ht="5.0999999999999996" customHeight="1">
      <c r="B133" s="1441"/>
      <c r="C133" s="260"/>
      <c r="I133" s="945"/>
      <c r="J133" s="10"/>
      <c r="K133" s="10"/>
      <c r="N133" s="10"/>
      <c r="O133" s="10"/>
      <c r="P133" s="10"/>
      <c r="Q133" s="10"/>
      <c r="R133" s="10"/>
      <c r="T133" s="306"/>
      <c r="U133" s="306"/>
      <c r="V133" s="307"/>
      <c r="X133" s="262"/>
    </row>
    <row r="134" spans="2:24">
      <c r="B134" s="1441"/>
      <c r="C134" s="260"/>
      <c r="D134" s="2173" t="s">
        <v>900</v>
      </c>
      <c r="E134" s="2173"/>
      <c r="F134" s="2173"/>
      <c r="G134" s="2173"/>
      <c r="H134" s="2173"/>
      <c r="I134" s="2180"/>
      <c r="J134" s="2242"/>
      <c r="K134" s="2243"/>
      <c r="L134" s="2209"/>
      <c r="N134" s="10"/>
      <c r="O134" s="10"/>
      <c r="P134" s="10"/>
      <c r="Q134" s="10"/>
      <c r="R134" s="10"/>
      <c r="T134" s="306"/>
      <c r="U134" s="308"/>
      <c r="X134" s="262"/>
    </row>
    <row r="135" spans="2:24" ht="7.5" customHeight="1">
      <c r="B135" s="1441"/>
      <c r="C135" s="261"/>
      <c r="D135" s="184"/>
      <c r="E135" s="184"/>
      <c r="F135" s="184"/>
      <c r="G135" s="184"/>
      <c r="H135" s="184"/>
      <c r="I135" s="184"/>
      <c r="J135" s="184"/>
      <c r="K135" s="184"/>
      <c r="L135" s="184"/>
      <c r="M135" s="184"/>
      <c r="N135" s="184"/>
      <c r="O135" s="184"/>
      <c r="P135" s="184"/>
      <c r="Q135" s="184"/>
      <c r="R135" s="184"/>
      <c r="S135" s="184"/>
      <c r="T135" s="184"/>
      <c r="U135" s="184"/>
      <c r="V135" s="184"/>
      <c r="W135" s="184"/>
      <c r="X135" s="263"/>
    </row>
    <row r="136" spans="2:24" ht="5.0999999999999996" customHeight="1">
      <c r="B136" s="1441"/>
    </row>
    <row r="137" spans="2:24" ht="7.5" customHeight="1">
      <c r="B137" s="1441"/>
      <c r="C137" s="621"/>
      <c r="D137" s="610"/>
      <c r="E137" s="610"/>
      <c r="F137" s="610"/>
      <c r="G137" s="610"/>
      <c r="H137" s="610"/>
      <c r="I137" s="610"/>
      <c r="J137" s="610"/>
      <c r="K137" s="610"/>
      <c r="L137" s="610"/>
      <c r="M137" s="610"/>
      <c r="N137" s="610"/>
      <c r="O137" s="610"/>
      <c r="P137" s="610"/>
      <c r="Q137" s="610"/>
      <c r="R137" s="610"/>
      <c r="S137" s="610"/>
      <c r="T137" s="610"/>
      <c r="U137" s="610"/>
      <c r="V137" s="610"/>
      <c r="W137" s="610"/>
      <c r="X137" s="1158"/>
    </row>
    <row r="138" spans="2:24">
      <c r="B138" s="1441"/>
      <c r="C138" s="260"/>
      <c r="D138" s="2179" t="s">
        <v>901</v>
      </c>
      <c r="E138" s="2179"/>
      <c r="F138" s="2179"/>
      <c r="G138" s="2179"/>
      <c r="H138" s="2179"/>
      <c r="I138" s="2179"/>
      <c r="J138" s="2179"/>
      <c r="K138" s="2179"/>
      <c r="L138" s="2179"/>
      <c r="M138" s="2179"/>
      <c r="N138" s="2179"/>
      <c r="O138" s="2179"/>
      <c r="P138" s="2179"/>
      <c r="Q138" s="2179"/>
      <c r="R138" s="2179"/>
      <c r="S138" s="2179"/>
      <c r="T138" s="2179"/>
      <c r="U138" s="2179"/>
      <c r="V138" s="2179"/>
      <c r="W138" s="2179"/>
      <c r="X138" s="262"/>
    </row>
    <row r="139" spans="2:24" ht="5.0999999999999996" customHeight="1">
      <c r="B139" s="1441"/>
      <c r="C139" s="260"/>
      <c r="X139" s="262"/>
    </row>
    <row r="140" spans="2:24">
      <c r="B140" s="1441"/>
      <c r="C140" s="260"/>
      <c r="O140" s="2173" t="s">
        <v>902</v>
      </c>
      <c r="P140" s="2173"/>
      <c r="Q140" s="2173"/>
      <c r="R140" s="2173"/>
      <c r="S140" s="2173"/>
      <c r="T140" s="2180"/>
      <c r="U140" s="2244"/>
      <c r="V140" s="2245"/>
      <c r="X140" s="262"/>
    </row>
    <row r="141" spans="2:24" ht="5.0999999999999996" customHeight="1">
      <c r="B141" s="1441"/>
      <c r="C141" s="260"/>
      <c r="S141" s="945"/>
      <c r="T141" s="945"/>
      <c r="U141" s="402"/>
      <c r="V141" s="402"/>
      <c r="X141" s="262"/>
    </row>
    <row r="142" spans="2:24">
      <c r="B142" s="1441"/>
      <c r="C142" s="260"/>
      <c r="D142" s="2173" t="s">
        <v>903</v>
      </c>
      <c r="E142" s="2173"/>
      <c r="F142" s="2173"/>
      <c r="G142" s="2173"/>
      <c r="H142" s="2173"/>
      <c r="I142" s="2174"/>
      <c r="J142" s="2364">
        <f ca="1">J462</f>
        <v>0</v>
      </c>
      <c r="K142" s="2365"/>
      <c r="L142" s="2366"/>
      <c r="S142" s="945"/>
      <c r="T142" s="945"/>
      <c r="U142" s="402"/>
      <c r="V142" s="402"/>
      <c r="X142" s="262"/>
    </row>
    <row r="143" spans="2:24" ht="5.0999999999999996" customHeight="1">
      <c r="C143" s="260"/>
      <c r="I143" s="945"/>
      <c r="S143" s="945"/>
      <c r="T143" s="945"/>
      <c r="U143" s="402"/>
      <c r="V143" s="402"/>
      <c r="X143" s="262"/>
    </row>
    <row r="144" spans="2:24">
      <c r="C144" s="260"/>
      <c r="D144" s="2173" t="s">
        <v>904</v>
      </c>
      <c r="E144" s="2173"/>
      <c r="F144" s="2173"/>
      <c r="G144" s="2173"/>
      <c r="H144" s="2173"/>
      <c r="I144" s="2180"/>
      <c r="J144" s="2181">
        <f ca="1">J464</f>
        <v>0</v>
      </c>
      <c r="K144" s="2191"/>
      <c r="L144" s="2182"/>
      <c r="O144" s="2173" t="s">
        <v>905</v>
      </c>
      <c r="P144" s="2173"/>
      <c r="Q144" s="2173"/>
      <c r="R144" s="2173"/>
      <c r="S144" s="2173"/>
      <c r="T144" s="2180"/>
      <c r="U144" s="2238">
        <f ca="1">U464</f>
        <v>0</v>
      </c>
      <c r="V144" s="2182"/>
      <c r="X144" s="262"/>
    </row>
    <row r="145" spans="3:24" ht="5.0999999999999996" customHeight="1">
      <c r="C145" s="260"/>
      <c r="I145" s="945"/>
      <c r="J145" s="402"/>
      <c r="K145" s="402"/>
      <c r="L145" s="402"/>
      <c r="S145" s="945"/>
      <c r="T145" s="945"/>
      <c r="U145" s="403"/>
      <c r="V145" s="402"/>
      <c r="X145" s="262"/>
    </row>
    <row r="146" spans="3:24">
      <c r="C146" s="260"/>
      <c r="D146" s="2173" t="s">
        <v>906</v>
      </c>
      <c r="E146" s="2173"/>
      <c r="F146" s="2173"/>
      <c r="G146" s="2173"/>
      <c r="H146" s="2173"/>
      <c r="I146" s="2180"/>
      <c r="J146" s="2181"/>
      <c r="K146" s="2191"/>
      <c r="L146" s="2182"/>
      <c r="O146" s="2173" t="s">
        <v>907</v>
      </c>
      <c r="P146" s="2173"/>
      <c r="Q146" s="2173"/>
      <c r="R146" s="2173"/>
      <c r="S146" s="2173"/>
      <c r="T146" s="2180"/>
      <c r="U146" s="2238">
        <f ca="1">U466</f>
        <v>0</v>
      </c>
      <c r="V146" s="2182"/>
      <c r="X146" s="262"/>
    </row>
    <row r="147" spans="3:24" ht="5.0999999999999996" customHeight="1">
      <c r="C147" s="260"/>
      <c r="I147" s="945"/>
      <c r="J147" s="402"/>
      <c r="K147" s="402"/>
      <c r="L147" s="402"/>
      <c r="S147" s="945"/>
      <c r="T147" s="945"/>
      <c r="U147" s="403"/>
      <c r="V147" s="402"/>
      <c r="X147" s="262"/>
    </row>
    <row r="148" spans="3:24">
      <c r="C148" s="260"/>
      <c r="D148" s="2173" t="s">
        <v>908</v>
      </c>
      <c r="E148" s="2173"/>
      <c r="F148" s="2173"/>
      <c r="G148" s="2173"/>
      <c r="H148" s="2173"/>
      <c r="I148" s="2180"/>
      <c r="J148" s="2181"/>
      <c r="K148" s="2191"/>
      <c r="L148" s="2182"/>
      <c r="O148" s="2173" t="s">
        <v>909</v>
      </c>
      <c r="P148" s="2173"/>
      <c r="Q148" s="2173"/>
      <c r="R148" s="2173"/>
      <c r="S148" s="2173"/>
      <c r="T148" s="2180"/>
      <c r="U148" s="2238">
        <f ca="1">U468</f>
        <v>0</v>
      </c>
      <c r="V148" s="2182"/>
      <c r="X148" s="262"/>
    </row>
    <row r="149" spans="3:24" ht="5.0999999999999996" customHeight="1">
      <c r="C149" s="260"/>
      <c r="I149" s="945"/>
      <c r="J149" s="402"/>
      <c r="K149" s="402"/>
      <c r="L149" s="402"/>
      <c r="S149" s="945"/>
      <c r="T149" s="945"/>
      <c r="U149" s="403"/>
      <c r="V149" s="402"/>
      <c r="X149" s="262"/>
    </row>
    <row r="150" spans="3:24">
      <c r="C150" s="260"/>
      <c r="D150" s="2173" t="s">
        <v>910</v>
      </c>
      <c r="E150" s="2173"/>
      <c r="F150" s="2173"/>
      <c r="G150" s="2173"/>
      <c r="H150" s="2173"/>
      <c r="I150" s="2180"/>
      <c r="J150" s="2238" t="str">
        <f ca="1">J470</f>
        <v>WA</v>
      </c>
      <c r="K150" s="2191"/>
      <c r="L150" s="2182"/>
      <c r="O150" s="2173" t="s">
        <v>911</v>
      </c>
      <c r="P150" s="2173"/>
      <c r="Q150" s="2173"/>
      <c r="R150" s="2173"/>
      <c r="S150" s="2173"/>
      <c r="T150" s="2180"/>
      <c r="U150" s="2238">
        <f ca="1">U470</f>
        <v>0</v>
      </c>
      <c r="V150" s="2182"/>
      <c r="X150" s="262"/>
    </row>
    <row r="151" spans="3:24" ht="5.0999999999999996" customHeight="1">
      <c r="C151" s="260"/>
      <c r="I151" s="945"/>
      <c r="J151" s="402"/>
      <c r="K151" s="402"/>
      <c r="L151" s="402"/>
      <c r="S151" s="945"/>
      <c r="T151" s="945"/>
      <c r="U151" s="403"/>
      <c r="V151" s="402"/>
      <c r="X151" s="262"/>
    </row>
    <row r="152" spans="3:24">
      <c r="C152" s="260"/>
      <c r="D152" s="2173" t="s">
        <v>912</v>
      </c>
      <c r="E152" s="2173"/>
      <c r="F152" s="2173"/>
      <c r="G152" s="2173"/>
      <c r="H152" s="2173"/>
      <c r="I152" s="2180"/>
      <c r="J152" s="2181">
        <f>J472</f>
        <v>0</v>
      </c>
      <c r="K152" s="2191"/>
      <c r="L152" s="2182"/>
      <c r="O152" s="2173" t="s">
        <v>913</v>
      </c>
      <c r="P152" s="2173"/>
      <c r="Q152" s="2173"/>
      <c r="R152" s="2173"/>
      <c r="S152" s="2173"/>
      <c r="T152" s="2180"/>
      <c r="U152" s="2370">
        <f ca="1">U472</f>
        <v>0</v>
      </c>
      <c r="V152" s="2182"/>
      <c r="X152" s="262"/>
    </row>
    <row r="153" spans="3:24" ht="5.0999999999999996" customHeight="1">
      <c r="C153" s="260"/>
      <c r="I153" s="945"/>
      <c r="J153" s="402"/>
      <c r="K153" s="402"/>
      <c r="L153" s="402"/>
      <c r="S153" s="945"/>
      <c r="T153" s="945"/>
      <c r="U153" s="403"/>
      <c r="V153" s="402"/>
      <c r="X153" s="262"/>
    </row>
    <row r="154" spans="3:24">
      <c r="C154" s="260"/>
      <c r="D154" s="2173" t="s">
        <v>914</v>
      </c>
      <c r="E154" s="2173"/>
      <c r="F154" s="2173"/>
      <c r="G154" s="2173"/>
      <c r="H154" s="2173"/>
      <c r="I154" s="2180"/>
      <c r="J154" s="2181">
        <f ca="1">J474</f>
        <v>0</v>
      </c>
      <c r="K154" s="2191"/>
      <c r="L154" s="2182"/>
      <c r="O154" s="2173" t="s">
        <v>915</v>
      </c>
      <c r="P154" s="2173"/>
      <c r="Q154" s="2173"/>
      <c r="R154" s="2173"/>
      <c r="S154" s="2173"/>
      <c r="T154" s="2180"/>
      <c r="U154" s="2370" t="str">
        <f ca="1">U474</f>
        <v>WA</v>
      </c>
      <c r="V154" s="2182"/>
      <c r="X154" s="262"/>
    </row>
    <row r="155" spans="3:24" ht="5.0999999999999996" customHeight="1">
      <c r="C155" s="260"/>
      <c r="I155" s="945"/>
      <c r="J155" s="402"/>
      <c r="K155" s="402"/>
      <c r="L155" s="402"/>
      <c r="S155" s="945"/>
      <c r="T155" s="945"/>
      <c r="U155" s="403"/>
      <c r="V155" s="402"/>
      <c r="X155" s="262"/>
    </row>
    <row r="156" spans="3:24">
      <c r="C156" s="260"/>
      <c r="D156" s="2173" t="s">
        <v>916</v>
      </c>
      <c r="E156" s="2173"/>
      <c r="F156" s="2173"/>
      <c r="G156" s="2173"/>
      <c r="H156" s="2173"/>
      <c r="I156" s="2180"/>
      <c r="J156" s="2181">
        <f ca="1">J476</f>
        <v>0</v>
      </c>
      <c r="K156" s="2191"/>
      <c r="L156" s="2182"/>
      <c r="O156" s="2173" t="s">
        <v>917</v>
      </c>
      <c r="P156" s="2173"/>
      <c r="Q156" s="2173"/>
      <c r="R156" s="2173"/>
      <c r="S156" s="2173"/>
      <c r="T156" s="2180"/>
      <c r="U156" s="2369">
        <f ca="1">U476</f>
        <v>0</v>
      </c>
      <c r="V156" s="2182"/>
      <c r="X156" s="262"/>
    </row>
    <row r="157" spans="3:24" ht="5.0999999999999996" customHeight="1">
      <c r="C157" s="260"/>
      <c r="I157" s="945"/>
      <c r="J157" s="402"/>
      <c r="K157" s="402"/>
      <c r="L157" s="402"/>
      <c r="S157" s="945"/>
      <c r="T157" s="945"/>
      <c r="U157" s="92"/>
      <c r="X157" s="262"/>
    </row>
    <row r="158" spans="3:24">
      <c r="C158" s="260"/>
      <c r="D158" s="2173" t="s">
        <v>918</v>
      </c>
      <c r="E158" s="2173"/>
      <c r="F158" s="2173"/>
      <c r="G158" s="2173"/>
      <c r="H158" s="2173"/>
      <c r="I158" s="2180"/>
      <c r="J158" s="2238">
        <f ca="1">J478</f>
        <v>0</v>
      </c>
      <c r="K158" s="2191"/>
      <c r="L158" s="2182"/>
      <c r="O158" s="2173" t="s">
        <v>919</v>
      </c>
      <c r="P158" s="2173"/>
      <c r="Q158" s="2173"/>
      <c r="R158" s="2173"/>
      <c r="S158" s="2173"/>
      <c r="T158" s="2174"/>
      <c r="U158" s="2271">
        <f ca="1">U478</f>
        <v>0</v>
      </c>
      <c r="V158" s="2177"/>
      <c r="X158" s="262"/>
    </row>
    <row r="159" spans="3:24" ht="5.0999999999999996" customHeight="1">
      <c r="C159" s="261"/>
      <c r="D159" s="184"/>
      <c r="E159" s="184"/>
      <c r="F159" s="184"/>
      <c r="G159" s="184"/>
      <c r="H159" s="184"/>
      <c r="I159" s="184"/>
      <c r="J159" s="184"/>
      <c r="K159" s="184"/>
      <c r="L159" s="184"/>
      <c r="M159" s="184"/>
      <c r="N159" s="184"/>
      <c r="O159" s="184"/>
      <c r="P159" s="184"/>
      <c r="Q159" s="184"/>
      <c r="R159" s="184"/>
      <c r="S159" s="184"/>
      <c r="T159" s="184"/>
      <c r="U159" s="184"/>
      <c r="V159" s="184"/>
      <c r="W159" s="184"/>
      <c r="X159" s="263"/>
    </row>
    <row r="160" spans="3:24" ht="5.0999999999999996" customHeight="1"/>
    <row r="161" spans="3:24" ht="5.0999999999999996" customHeight="1">
      <c r="C161" s="621"/>
      <c r="D161" s="610"/>
      <c r="E161" s="610"/>
      <c r="F161" s="610"/>
      <c r="G161" s="610"/>
      <c r="H161" s="610"/>
      <c r="I161" s="610"/>
      <c r="J161" s="610"/>
      <c r="K161" s="610"/>
      <c r="L161" s="610"/>
      <c r="M161" s="610"/>
      <c r="N161" s="610"/>
      <c r="O161" s="610"/>
      <c r="P161" s="610"/>
      <c r="Q161" s="610"/>
      <c r="R161" s="610"/>
      <c r="S161" s="610"/>
      <c r="T161" s="610"/>
      <c r="U161" s="610"/>
      <c r="V161" s="610"/>
      <c r="W161" s="610"/>
      <c r="X161" s="1158"/>
    </row>
    <row r="162" spans="3:24">
      <c r="C162" s="260"/>
      <c r="D162" s="2371" t="s">
        <v>920</v>
      </c>
      <c r="E162" s="2179"/>
      <c r="F162" s="2179"/>
      <c r="G162" s="2179"/>
      <c r="H162" s="2179"/>
      <c r="I162" s="2179"/>
      <c r="J162" s="2179"/>
      <c r="K162" s="2179"/>
      <c r="L162" s="2179"/>
      <c r="M162" s="2179"/>
      <c r="N162" s="2179"/>
      <c r="O162" s="2179"/>
      <c r="P162" s="2179"/>
      <c r="Q162" s="2179"/>
      <c r="R162" s="2179"/>
      <c r="S162" s="2179"/>
      <c r="T162" s="2179"/>
      <c r="U162" s="2179"/>
      <c r="V162" s="2179"/>
      <c r="W162" s="2179"/>
      <c r="X162" s="262"/>
    </row>
    <row r="163" spans="3:24" ht="5.0999999999999996" customHeight="1">
      <c r="C163" s="260"/>
      <c r="X163" s="262"/>
    </row>
    <row r="164" spans="3:24">
      <c r="C164" s="260"/>
      <c r="O164" s="2173" t="s">
        <v>921</v>
      </c>
      <c r="P164" s="2173"/>
      <c r="Q164" s="2173"/>
      <c r="R164" s="2173"/>
      <c r="S164" s="2173"/>
      <c r="T164" s="2180"/>
      <c r="U164" s="2244"/>
      <c r="V164" s="2245"/>
      <c r="X164" s="262"/>
    </row>
    <row r="165" spans="3:24" ht="5.0999999999999996" customHeight="1">
      <c r="C165" s="260"/>
      <c r="S165" s="945"/>
      <c r="T165" s="945"/>
      <c r="U165" s="402"/>
      <c r="V165" s="402"/>
      <c r="X165" s="262"/>
    </row>
    <row r="166" spans="3:24">
      <c r="C166" s="260"/>
      <c r="J166" s="402"/>
      <c r="K166" s="402"/>
      <c r="L166" s="402"/>
      <c r="O166" s="2173" t="s">
        <v>922</v>
      </c>
      <c r="P166" s="2173"/>
      <c r="Q166" s="2173"/>
      <c r="R166" s="2173"/>
      <c r="S166" s="2173"/>
      <c r="T166" s="2174"/>
      <c r="U166" s="2239" t="str">
        <f ca="1">U506</f>
        <v/>
      </c>
      <c r="V166" s="2241"/>
      <c r="X166" s="262"/>
    </row>
    <row r="167" spans="3:24" ht="5.0999999999999996" customHeight="1">
      <c r="C167" s="260"/>
      <c r="I167" s="402"/>
      <c r="J167" s="402"/>
      <c r="K167" s="402"/>
      <c r="L167" s="402"/>
      <c r="S167" s="945"/>
      <c r="T167" s="945"/>
      <c r="U167" s="403"/>
      <c r="V167" s="402"/>
      <c r="X167" s="262"/>
    </row>
    <row r="168" spans="3:24">
      <c r="C168" s="260"/>
      <c r="D168" s="2173" t="s">
        <v>923</v>
      </c>
      <c r="E168" s="2173"/>
      <c r="F168" s="2173"/>
      <c r="G168" s="2173"/>
      <c r="H168" s="2173"/>
      <c r="I168" s="2180"/>
      <c r="J168" s="2181">
        <f>J508</f>
        <v>0</v>
      </c>
      <c r="K168" s="2191"/>
      <c r="L168" s="2182"/>
      <c r="O168" s="2173" t="s">
        <v>917</v>
      </c>
      <c r="P168" s="2173"/>
      <c r="Q168" s="2173"/>
      <c r="R168" s="2173"/>
      <c r="S168" s="2173"/>
      <c r="T168" s="2174"/>
      <c r="U168" s="2346" t="str">
        <f ca="1">U508</f>
        <v/>
      </c>
      <c r="V168" s="2241"/>
      <c r="X168" s="262"/>
    </row>
    <row r="169" spans="3:24" ht="5.0999999999999996" customHeight="1">
      <c r="C169" s="260"/>
      <c r="I169" s="945"/>
      <c r="J169" s="402"/>
      <c r="K169" s="402"/>
      <c r="L169" s="402"/>
      <c r="S169" s="945"/>
      <c r="T169" s="945"/>
      <c r="U169" s="403"/>
      <c r="V169" s="402"/>
      <c r="X169" s="262"/>
    </row>
    <row r="170" spans="3:24">
      <c r="C170" s="260"/>
      <c r="D170" s="2173" t="s">
        <v>918</v>
      </c>
      <c r="E170" s="2173"/>
      <c r="F170" s="2173"/>
      <c r="G170" s="2173"/>
      <c r="H170" s="2173"/>
      <c r="I170" s="2174"/>
      <c r="J170" s="2239" t="str">
        <f ca="1">J510</f>
        <v/>
      </c>
      <c r="K170" s="2240"/>
      <c r="L170" s="2241"/>
      <c r="O170" s="2173" t="s">
        <v>924</v>
      </c>
      <c r="P170" s="2173"/>
      <c r="Q170" s="2173"/>
      <c r="R170" s="2173"/>
      <c r="S170" s="2173"/>
      <c r="T170" s="2174"/>
      <c r="U170" s="2239" t="str">
        <f ca="1">U510</f>
        <v/>
      </c>
      <c r="V170" s="2241"/>
      <c r="X170" s="262"/>
    </row>
    <row r="171" spans="3:24" ht="5.0999999999999996" customHeight="1">
      <c r="C171" s="260"/>
      <c r="I171" s="945"/>
      <c r="J171" s="402"/>
      <c r="K171" s="402"/>
      <c r="L171" s="402"/>
      <c r="S171" s="945"/>
      <c r="T171" s="945"/>
      <c r="U171" s="403"/>
      <c r="V171" s="402"/>
      <c r="X171" s="262"/>
    </row>
    <row r="172" spans="3:24">
      <c r="C172" s="260"/>
      <c r="D172" s="2173" t="s">
        <v>908</v>
      </c>
      <c r="E172" s="2173"/>
      <c r="F172" s="2173"/>
      <c r="G172" s="2173"/>
      <c r="H172" s="2173"/>
      <c r="I172" s="2180"/>
      <c r="J172" s="2181">
        <f>J512</f>
        <v>0</v>
      </c>
      <c r="K172" s="2191"/>
      <c r="L172" s="2182"/>
      <c r="O172" s="2173" t="s">
        <v>909</v>
      </c>
      <c r="P172" s="2173"/>
      <c r="Q172" s="2173"/>
      <c r="R172" s="2173"/>
      <c r="S172" s="2173"/>
      <c r="T172" s="2174"/>
      <c r="U172" s="2239" t="str">
        <f ca="1">U512</f>
        <v/>
      </c>
      <c r="V172" s="2241"/>
      <c r="X172" s="262"/>
    </row>
    <row r="173" spans="3:24" ht="5.0999999999999996" customHeight="1">
      <c r="C173" s="260"/>
      <c r="I173" s="945"/>
      <c r="J173" s="402"/>
      <c r="K173" s="402"/>
      <c r="L173" s="402"/>
      <c r="S173" s="945"/>
      <c r="T173" s="945"/>
      <c r="U173" s="403"/>
      <c r="V173" s="402"/>
      <c r="X173" s="262"/>
    </row>
    <row r="174" spans="3:24">
      <c r="C174" s="260"/>
      <c r="D174" s="2173" t="s">
        <v>910</v>
      </c>
      <c r="E174" s="2173"/>
      <c r="F174" s="2173"/>
      <c r="G174" s="2173"/>
      <c r="H174" s="2173"/>
      <c r="I174" s="2174"/>
      <c r="J174" s="2239" t="str">
        <f ca="1">J514</f>
        <v/>
      </c>
      <c r="K174" s="2240"/>
      <c r="L174" s="2241"/>
      <c r="O174" s="2173" t="s">
        <v>911</v>
      </c>
      <c r="P174" s="2173"/>
      <c r="Q174" s="2173"/>
      <c r="R174" s="2173"/>
      <c r="S174" s="2173"/>
      <c r="T174" s="2174"/>
      <c r="U174" s="2239" t="str">
        <f ca="1">U514</f>
        <v/>
      </c>
      <c r="V174" s="2241"/>
      <c r="X174" s="262"/>
    </row>
    <row r="175" spans="3:24" ht="5.0999999999999996" customHeight="1">
      <c r="C175" s="261"/>
      <c r="D175" s="184"/>
      <c r="E175" s="184"/>
      <c r="F175" s="184"/>
      <c r="G175" s="184"/>
      <c r="H175" s="184"/>
      <c r="I175" s="184"/>
      <c r="J175" s="184"/>
      <c r="K175" s="184"/>
      <c r="L175" s="184"/>
      <c r="M175" s="184"/>
      <c r="N175" s="184"/>
      <c r="O175" s="184"/>
      <c r="P175" s="184"/>
      <c r="Q175" s="184"/>
      <c r="R175" s="184"/>
      <c r="S175" s="184"/>
      <c r="T175" s="184"/>
      <c r="U175" s="184"/>
      <c r="V175" s="184"/>
      <c r="W175" s="184"/>
      <c r="X175" s="263"/>
    </row>
    <row r="176" spans="3:24" ht="5.0999999999999996" customHeight="1"/>
    <row r="177" spans="3:24" ht="7.5" customHeight="1">
      <c r="C177" s="621"/>
      <c r="D177" s="610"/>
      <c r="E177" s="610"/>
      <c r="F177" s="610"/>
      <c r="G177" s="610"/>
      <c r="H177" s="610"/>
      <c r="I177" s="610"/>
      <c r="J177" s="610"/>
      <c r="K177" s="610"/>
      <c r="L177" s="610"/>
      <c r="M177" s="610"/>
      <c r="N177" s="610"/>
      <c r="O177" s="610"/>
      <c r="P177" s="610"/>
      <c r="Q177" s="610"/>
      <c r="R177" s="610"/>
      <c r="S177" s="610"/>
      <c r="T177" s="610"/>
      <c r="U177" s="610"/>
      <c r="V177" s="610"/>
      <c r="W177" s="610"/>
      <c r="X177" s="1158"/>
    </row>
    <row r="178" spans="3:24">
      <c r="C178" s="260"/>
      <c r="D178" s="2179" t="s">
        <v>925</v>
      </c>
      <c r="E178" s="2179"/>
      <c r="F178" s="2179"/>
      <c r="G178" s="2179"/>
      <c r="H178" s="2179"/>
      <c r="I178" s="2179"/>
      <c r="J178" s="2179"/>
      <c r="K178" s="2179"/>
      <c r="L178" s="2179"/>
      <c r="M178" s="2179"/>
      <c r="N178" s="2179"/>
      <c r="O178" s="2179"/>
      <c r="P178" s="2179"/>
      <c r="Q178" s="2179"/>
      <c r="R178" s="2179"/>
      <c r="S178" s="2179"/>
      <c r="T178" s="2179"/>
      <c r="U178" s="2179"/>
      <c r="V178" s="2179"/>
      <c r="W178" s="2179"/>
      <c r="X178" s="262"/>
    </row>
    <row r="179" spans="3:24" ht="5.0999999999999996" customHeight="1">
      <c r="C179" s="260"/>
      <c r="X179" s="262"/>
    </row>
    <row r="180" spans="3:24">
      <c r="C180" s="955"/>
      <c r="D180" s="2173" t="s">
        <v>926</v>
      </c>
      <c r="E180" s="2173"/>
      <c r="F180" s="2173"/>
      <c r="G180" s="2173"/>
      <c r="H180" s="2173"/>
      <c r="I180" s="2180"/>
      <c r="J180" s="2181">
        <f>J413</f>
        <v>0</v>
      </c>
      <c r="K180" s="2191"/>
      <c r="L180" s="2182"/>
      <c r="S180" s="402"/>
      <c r="T180" s="404"/>
      <c r="U180" s="402"/>
      <c r="V180" s="402"/>
      <c r="X180" s="262"/>
    </row>
    <row r="181" spans="3:24" ht="5.0999999999999996" customHeight="1">
      <c r="C181" s="955"/>
      <c r="D181" s="945"/>
      <c r="E181" s="945"/>
      <c r="F181" s="945"/>
      <c r="G181" s="945"/>
      <c r="H181" s="945"/>
      <c r="I181" s="945"/>
      <c r="V181" s="293"/>
      <c r="X181" s="262"/>
    </row>
    <row r="182" spans="3:24" ht="14.95" customHeight="1">
      <c r="C182" s="2185" t="s">
        <v>927</v>
      </c>
      <c r="D182" s="2186"/>
      <c r="E182" s="2186"/>
      <c r="F182" s="2186"/>
      <c r="G182" s="2186"/>
      <c r="H182" s="2186"/>
      <c r="I182" s="2186"/>
      <c r="J182" s="2178">
        <f ca="1">U419</f>
        <v>0</v>
      </c>
      <c r="K182" s="2176"/>
      <c r="L182" s="2177"/>
      <c r="N182" s="945"/>
      <c r="O182" s="2173" t="s">
        <v>928</v>
      </c>
      <c r="P182" s="2173"/>
      <c r="Q182" s="2173"/>
      <c r="R182" s="2173"/>
      <c r="S182" s="2173"/>
      <c r="T182" s="2174"/>
      <c r="U182" s="2197">
        <f ca="1">J421</f>
        <v>0</v>
      </c>
      <c r="V182" s="2177"/>
      <c r="X182" s="262"/>
    </row>
    <row r="183" spans="3:24" ht="7.5" customHeight="1">
      <c r="C183" s="2185"/>
      <c r="D183" s="2186"/>
      <c r="E183" s="2186"/>
      <c r="F183" s="2186"/>
      <c r="G183" s="2186"/>
      <c r="H183" s="2186"/>
      <c r="I183" s="2186"/>
      <c r="N183" s="945"/>
      <c r="O183" s="945"/>
      <c r="P183" s="945"/>
      <c r="Q183" s="945"/>
      <c r="R183" s="945"/>
      <c r="S183" s="945"/>
      <c r="T183" s="945"/>
      <c r="U183" s="293"/>
      <c r="X183" s="262"/>
    </row>
    <row r="184" spans="3:24" ht="14.95" customHeight="1">
      <c r="C184" s="2185" t="s">
        <v>929</v>
      </c>
      <c r="D184" s="2186"/>
      <c r="E184" s="2186"/>
      <c r="F184" s="2186"/>
      <c r="G184" s="2186"/>
      <c r="H184" s="2186"/>
      <c r="I184" s="2186"/>
      <c r="J184" s="2269">
        <f ca="1">U421</f>
        <v>0</v>
      </c>
      <c r="K184" s="2349"/>
      <c r="L184" s="2270"/>
      <c r="N184" s="945"/>
      <c r="O184" s="2173" t="s">
        <v>904</v>
      </c>
      <c r="P184" s="2173"/>
      <c r="Q184" s="2173"/>
      <c r="R184" s="2173"/>
      <c r="S184" s="2173"/>
      <c r="T184" s="2174"/>
      <c r="U184" s="2271">
        <f ca="1">J423</f>
        <v>0</v>
      </c>
      <c r="V184" s="2177"/>
      <c r="X184" s="262"/>
    </row>
    <row r="185" spans="3:24" ht="7.5" customHeight="1">
      <c r="C185" s="2185"/>
      <c r="D185" s="2186"/>
      <c r="E185" s="2186"/>
      <c r="F185" s="2186"/>
      <c r="G185" s="2186"/>
      <c r="H185" s="2186"/>
      <c r="I185" s="2186"/>
      <c r="N185" s="945"/>
      <c r="O185" s="945"/>
      <c r="P185" s="945"/>
      <c r="Q185" s="945"/>
      <c r="R185" s="945"/>
      <c r="S185" s="945"/>
      <c r="T185" s="945"/>
      <c r="U185" s="293"/>
      <c r="X185" s="262"/>
    </row>
    <row r="186" spans="3:24" ht="14.95" customHeight="1">
      <c r="C186" s="2185" t="s">
        <v>930</v>
      </c>
      <c r="D186" s="2186"/>
      <c r="E186" s="2186"/>
      <c r="F186" s="2186"/>
      <c r="G186" s="2186"/>
      <c r="H186" s="2186"/>
      <c r="I186" s="2186"/>
      <c r="J186" s="2239">
        <f ca="1">U423</f>
        <v>0</v>
      </c>
      <c r="K186" s="2240"/>
      <c r="L186" s="2241"/>
      <c r="N186" s="2186" t="s">
        <v>931</v>
      </c>
      <c r="O186" s="2186"/>
      <c r="P186" s="2186"/>
      <c r="Q186" s="2186"/>
      <c r="R186" s="2186"/>
      <c r="S186" s="2186"/>
      <c r="T186" s="2186"/>
      <c r="U186" s="2239">
        <f ca="1">J425</f>
        <v>0</v>
      </c>
      <c r="V186" s="2241"/>
      <c r="X186" s="262"/>
    </row>
    <row r="187" spans="3:24" ht="7.5" customHeight="1">
      <c r="C187" s="2185"/>
      <c r="D187" s="2186"/>
      <c r="E187" s="2186"/>
      <c r="F187" s="2186"/>
      <c r="G187" s="2186"/>
      <c r="H187" s="2186"/>
      <c r="I187" s="2186"/>
      <c r="N187" s="2186"/>
      <c r="O187" s="2186"/>
      <c r="P187" s="2186"/>
      <c r="Q187" s="2186"/>
      <c r="R187" s="2186"/>
      <c r="S187" s="2186"/>
      <c r="T187" s="2186"/>
      <c r="U187" s="293"/>
      <c r="X187" s="262"/>
    </row>
    <row r="188" spans="3:24" ht="14.95" customHeight="1">
      <c r="C188" s="2185" t="s">
        <v>932</v>
      </c>
      <c r="D188" s="2186"/>
      <c r="E188" s="2186"/>
      <c r="F188" s="2186"/>
      <c r="G188" s="2186"/>
      <c r="H188" s="2186"/>
      <c r="I188" s="2186"/>
      <c r="J188" s="2346">
        <f ca="1">U425</f>
        <v>0</v>
      </c>
      <c r="K188" s="2347"/>
      <c r="L188" s="2348"/>
      <c r="N188" s="945"/>
      <c r="O188" s="2173" t="s">
        <v>933</v>
      </c>
      <c r="P188" s="2173"/>
      <c r="Q188" s="2173"/>
      <c r="R188" s="2173"/>
      <c r="S188" s="2173"/>
      <c r="T188" s="2174"/>
      <c r="U188" s="2197">
        <f ca="1">J427</f>
        <v>0</v>
      </c>
      <c r="V188" s="2177"/>
      <c r="X188" s="262"/>
    </row>
    <row r="189" spans="3:24" ht="7.5" customHeight="1">
      <c r="C189" s="2185"/>
      <c r="D189" s="2186"/>
      <c r="E189" s="2186"/>
      <c r="F189" s="2186"/>
      <c r="G189" s="2186"/>
      <c r="H189" s="2186"/>
      <c r="I189" s="2186"/>
      <c r="N189" s="945"/>
      <c r="O189" s="945"/>
      <c r="P189" s="945"/>
      <c r="Q189" s="945"/>
      <c r="R189" s="945"/>
      <c r="S189" s="945"/>
      <c r="T189" s="945"/>
      <c r="U189" s="293"/>
      <c r="X189" s="262"/>
    </row>
    <row r="190" spans="3:24">
      <c r="C190" s="955"/>
      <c r="D190" s="2173" t="s">
        <v>934</v>
      </c>
      <c r="E190" s="2173"/>
      <c r="F190" s="2173"/>
      <c r="G190" s="2173"/>
      <c r="H190" s="2173"/>
      <c r="I190" s="2174"/>
      <c r="J190" s="2197">
        <f ca="1">U427</f>
        <v>0</v>
      </c>
      <c r="K190" s="2176"/>
      <c r="L190" s="2177"/>
      <c r="N190" s="945"/>
      <c r="O190" s="2173" t="s">
        <v>935</v>
      </c>
      <c r="P190" s="2173"/>
      <c r="Q190" s="2173"/>
      <c r="R190" s="2173"/>
      <c r="S190" s="2173"/>
      <c r="T190" s="2174"/>
      <c r="U190" s="2197" t="str">
        <f ca="1">J429</f>
        <v>WA</v>
      </c>
      <c r="V190" s="2177"/>
      <c r="X190" s="262"/>
    </row>
    <row r="191" spans="3:24" ht="5.0999999999999996" customHeight="1">
      <c r="C191" s="955"/>
      <c r="D191" s="945"/>
      <c r="E191" s="945"/>
      <c r="F191" s="945"/>
      <c r="G191" s="945"/>
      <c r="H191" s="945"/>
      <c r="I191" s="945"/>
      <c r="N191" s="945"/>
      <c r="O191" s="945"/>
      <c r="P191" s="945"/>
      <c r="Q191" s="945"/>
      <c r="R191" s="945"/>
      <c r="S191" s="945"/>
      <c r="T191" s="945"/>
      <c r="U191" s="293"/>
      <c r="X191" s="262"/>
    </row>
    <row r="192" spans="3:24">
      <c r="C192" s="955"/>
      <c r="D192" s="2173" t="s">
        <v>936</v>
      </c>
      <c r="E192" s="2173"/>
      <c r="F192" s="2173"/>
      <c r="G192" s="2173"/>
      <c r="H192" s="2173"/>
      <c r="I192" s="2174"/>
      <c r="J192" s="2197">
        <f ca="1">U429</f>
        <v>0</v>
      </c>
      <c r="K192" s="2176"/>
      <c r="L192" s="2177"/>
      <c r="N192" s="945"/>
      <c r="O192" s="2173" t="s">
        <v>937</v>
      </c>
      <c r="P192" s="2173"/>
      <c r="Q192" s="2173"/>
      <c r="R192" s="2173"/>
      <c r="S192" s="2173"/>
      <c r="T192" s="2174"/>
      <c r="U192" s="2197" t="str">
        <f ca="1">J431</f>
        <v/>
      </c>
      <c r="V192" s="2177"/>
      <c r="X192" s="262"/>
    </row>
    <row r="193" spans="3:24" ht="5.0999999999999996" customHeight="1">
      <c r="C193" s="955"/>
      <c r="D193" s="945"/>
      <c r="E193" s="945"/>
      <c r="F193" s="945"/>
      <c r="G193" s="945"/>
      <c r="H193" s="945"/>
      <c r="I193" s="945"/>
      <c r="N193" s="945"/>
      <c r="O193" s="945"/>
      <c r="P193" s="945"/>
      <c r="Q193" s="945"/>
      <c r="R193" s="945"/>
      <c r="S193" s="945"/>
      <c r="T193" s="945"/>
      <c r="U193" s="293"/>
      <c r="X193" s="262"/>
    </row>
    <row r="194" spans="3:24">
      <c r="C194" s="955"/>
      <c r="D194" s="2173" t="s">
        <v>938</v>
      </c>
      <c r="E194" s="2173"/>
      <c r="F194" s="2173"/>
      <c r="G194" s="2173"/>
      <c r="H194" s="2173"/>
      <c r="I194" s="2174"/>
      <c r="J194" s="2197" t="str">
        <f ca="1">U431</f>
        <v/>
      </c>
      <c r="K194" s="2176"/>
      <c r="L194" s="2177"/>
      <c r="N194" s="945"/>
      <c r="O194" s="2173" t="s">
        <v>849</v>
      </c>
      <c r="P194" s="2173"/>
      <c r="Q194" s="2173"/>
      <c r="R194" s="2173"/>
      <c r="S194" s="2173"/>
      <c r="T194" s="2174"/>
      <c r="U194" s="2269" t="str">
        <f ca="1">J433</f>
        <v/>
      </c>
      <c r="V194" s="2270"/>
      <c r="X194" s="262"/>
    </row>
    <row r="195" spans="3:24" ht="5.0999999999999996" customHeight="1">
      <c r="C195" s="955"/>
      <c r="D195" s="945"/>
      <c r="E195" s="945"/>
      <c r="F195" s="945"/>
      <c r="G195" s="945"/>
      <c r="H195" s="945"/>
      <c r="I195" s="945"/>
      <c r="N195" s="945"/>
      <c r="O195" s="945"/>
      <c r="P195" s="945"/>
      <c r="Q195" s="945"/>
      <c r="R195" s="945"/>
      <c r="S195" s="945"/>
      <c r="T195" s="945"/>
      <c r="U195" s="293"/>
      <c r="X195" s="262"/>
    </row>
    <row r="196" spans="3:24">
      <c r="C196" s="955"/>
      <c r="D196" s="2173" t="s">
        <v>846</v>
      </c>
      <c r="E196" s="2173"/>
      <c r="F196" s="2173"/>
      <c r="G196" s="2173"/>
      <c r="H196" s="2173"/>
      <c r="I196" s="2174"/>
      <c r="J196" s="2197" t="str">
        <f ca="1">U433</f>
        <v/>
      </c>
      <c r="K196" s="2176"/>
      <c r="L196" s="2177"/>
      <c r="N196" s="945"/>
      <c r="O196" s="945"/>
      <c r="P196" s="945"/>
      <c r="Q196" s="945"/>
      <c r="R196" s="945"/>
      <c r="S196" s="945"/>
      <c r="T196" s="945"/>
      <c r="X196" s="262"/>
    </row>
    <row r="197" spans="3:24" ht="5.0999999999999996" customHeight="1">
      <c r="C197" s="955"/>
      <c r="D197" s="945"/>
      <c r="E197" s="945"/>
      <c r="F197" s="945"/>
      <c r="G197" s="945"/>
      <c r="H197" s="945"/>
      <c r="I197" s="945"/>
      <c r="N197" s="945"/>
      <c r="O197" s="945"/>
      <c r="P197" s="945"/>
      <c r="Q197" s="945"/>
      <c r="R197" s="945"/>
      <c r="S197" s="945"/>
      <c r="T197" s="945"/>
      <c r="U197" s="293"/>
      <c r="X197" s="262"/>
    </row>
    <row r="198" spans="3:24">
      <c r="C198" s="955"/>
      <c r="D198" s="945"/>
      <c r="E198" s="945"/>
      <c r="F198" s="945"/>
      <c r="G198" s="945"/>
      <c r="H198" s="945"/>
      <c r="I198" s="952"/>
      <c r="J198" s="310"/>
      <c r="K198" s="310"/>
      <c r="N198" s="945"/>
      <c r="O198" s="945"/>
      <c r="P198" s="945"/>
      <c r="Q198" s="945"/>
      <c r="R198" s="945"/>
      <c r="S198" s="945"/>
      <c r="T198" s="2318"/>
      <c r="U198" s="310"/>
      <c r="X198" s="262"/>
    </row>
    <row r="199" spans="3:24" ht="5.0999999999999996" customHeight="1">
      <c r="C199" s="955"/>
      <c r="D199" s="945"/>
      <c r="E199" s="945"/>
      <c r="F199" s="945"/>
      <c r="G199" s="945"/>
      <c r="H199" s="945"/>
      <c r="I199" s="952"/>
      <c r="J199" s="310"/>
      <c r="K199" s="310"/>
      <c r="N199" s="945"/>
      <c r="O199" s="945"/>
      <c r="P199" s="945"/>
      <c r="Q199" s="945"/>
      <c r="R199" s="945"/>
      <c r="S199" s="945"/>
      <c r="T199" s="2318"/>
      <c r="U199" s="310"/>
      <c r="X199" s="262"/>
    </row>
    <row r="200" spans="3:24">
      <c r="C200" s="955"/>
      <c r="D200" s="2173" t="s">
        <v>822</v>
      </c>
      <c r="E200" s="2173"/>
      <c r="F200" s="2173"/>
      <c r="G200" s="2173"/>
      <c r="H200" s="2173"/>
      <c r="I200" s="2174"/>
      <c r="J200" s="2197">
        <f ca="1">J439</f>
        <v>0</v>
      </c>
      <c r="K200" s="2176"/>
      <c r="L200" s="2177"/>
      <c r="N200" s="945"/>
      <c r="O200" s="2173" t="s">
        <v>939</v>
      </c>
      <c r="P200" s="2173"/>
      <c r="Q200" s="2173"/>
      <c r="R200" s="2173"/>
      <c r="S200" s="2173"/>
      <c r="T200" s="2180"/>
      <c r="U200" s="2244"/>
      <c r="V200" s="2245"/>
      <c r="X200" s="262"/>
    </row>
    <row r="201" spans="3:24" ht="5.0999999999999996" customHeight="1">
      <c r="C201" s="955"/>
      <c r="D201" s="945"/>
      <c r="E201" s="945"/>
      <c r="F201" s="945"/>
      <c r="G201" s="945"/>
      <c r="H201" s="945"/>
      <c r="I201" s="952"/>
      <c r="J201" s="311"/>
      <c r="K201" s="311"/>
      <c r="U201" s="309"/>
      <c r="V201" s="310"/>
      <c r="X201" s="262"/>
    </row>
    <row r="202" spans="3:24">
      <c r="C202" s="955"/>
      <c r="D202" s="945"/>
      <c r="E202" s="945"/>
      <c r="F202" s="945"/>
      <c r="G202" s="945"/>
      <c r="H202" s="945"/>
      <c r="I202" s="945"/>
      <c r="X202" s="262"/>
    </row>
    <row r="203" spans="3:24" ht="5.0999999999999996" customHeight="1">
      <c r="C203" s="955"/>
      <c r="D203" s="945"/>
      <c r="E203" s="945"/>
      <c r="F203" s="945"/>
      <c r="G203" s="945"/>
      <c r="H203" s="945"/>
      <c r="I203" s="945"/>
      <c r="U203" s="185"/>
      <c r="V203" s="293"/>
      <c r="X203" s="262"/>
    </row>
    <row r="204" spans="3:24">
      <c r="C204" s="955"/>
      <c r="D204" s="2173" t="s">
        <v>940</v>
      </c>
      <c r="E204" s="2173"/>
      <c r="F204" s="2173"/>
      <c r="G204" s="2173"/>
      <c r="H204" s="2173"/>
      <c r="I204" s="2174"/>
      <c r="J204" s="2239" t="str">
        <f>J415</f>
        <v>NOT Specified?</v>
      </c>
      <c r="K204" s="2240"/>
      <c r="L204" s="2241"/>
      <c r="V204" s="293"/>
      <c r="X204" s="262"/>
    </row>
    <row r="205" spans="3:24" ht="5.0999999999999996" customHeight="1">
      <c r="C205" s="955"/>
      <c r="D205" s="945"/>
      <c r="E205" s="945"/>
      <c r="F205" s="945"/>
      <c r="G205" s="945"/>
      <c r="H205" s="945"/>
      <c r="I205" s="945"/>
      <c r="U205" s="185"/>
      <c r="V205" s="312"/>
      <c r="X205" s="262"/>
    </row>
    <row r="206" spans="3:24">
      <c r="C206" s="955"/>
      <c r="D206" s="945"/>
      <c r="E206" s="945"/>
      <c r="F206" s="945"/>
      <c r="G206" s="945"/>
      <c r="H206" s="945"/>
      <c r="I206" s="945"/>
      <c r="V206" s="293"/>
      <c r="X206" s="262"/>
    </row>
    <row r="207" spans="3:24" ht="5.0999999999999996" customHeight="1">
      <c r="C207" s="955"/>
      <c r="D207" s="945"/>
      <c r="E207" s="945"/>
      <c r="F207" s="945"/>
      <c r="G207" s="945"/>
      <c r="H207" s="945"/>
      <c r="I207" s="945"/>
      <c r="V207" s="293"/>
      <c r="X207" s="262"/>
    </row>
    <row r="208" spans="3:24">
      <c r="C208" s="955"/>
      <c r="D208" s="2173" t="s">
        <v>941</v>
      </c>
      <c r="E208" s="2173"/>
      <c r="F208" s="2173"/>
      <c r="G208" s="2173"/>
      <c r="H208" s="2173"/>
      <c r="I208" s="2174"/>
      <c r="J208" s="2239" t="str">
        <f ca="1">U443</f>
        <v/>
      </c>
      <c r="K208" s="2240"/>
      <c r="L208" s="2241"/>
      <c r="V208" s="293"/>
      <c r="X208" s="262"/>
    </row>
    <row r="209" spans="3:24" ht="5.0999999999999996" customHeight="1">
      <c r="C209" s="955"/>
      <c r="D209" s="945"/>
      <c r="E209" s="945"/>
      <c r="F209" s="945"/>
      <c r="G209" s="945"/>
      <c r="H209" s="945"/>
      <c r="I209" s="945"/>
      <c r="J209" s="431"/>
      <c r="K209" s="431"/>
      <c r="V209" s="293"/>
      <c r="X209" s="262"/>
    </row>
    <row r="210" spans="3:24">
      <c r="C210" s="955"/>
      <c r="D210" s="2173" t="s">
        <v>942</v>
      </c>
      <c r="E210" s="2173"/>
      <c r="F210" s="2173"/>
      <c r="G210" s="2173"/>
      <c r="H210" s="2173"/>
      <c r="I210" s="2174"/>
      <c r="J210" s="2303">
        <f ca="1">J447</f>
        <v>0</v>
      </c>
      <c r="K210" s="2240"/>
      <c r="L210" s="2241"/>
      <c r="X210" s="262"/>
    </row>
    <row r="211" spans="3:24" ht="5.0999999999999996" customHeight="1">
      <c r="C211" s="955"/>
      <c r="D211" s="945"/>
      <c r="E211" s="945"/>
      <c r="F211" s="945"/>
      <c r="G211" s="945"/>
      <c r="H211" s="945"/>
      <c r="I211" s="945"/>
      <c r="V211" s="293"/>
      <c r="X211" s="262"/>
    </row>
    <row r="212" spans="3:24">
      <c r="C212" s="955"/>
      <c r="D212" s="2173" t="s">
        <v>943</v>
      </c>
      <c r="E212" s="2173"/>
      <c r="F212" s="2173"/>
      <c r="G212" s="2173"/>
      <c r="H212" s="2173"/>
      <c r="I212" s="2174"/>
      <c r="J212" s="2239">
        <f ca="1">J449</f>
        <v>0</v>
      </c>
      <c r="K212" s="2240"/>
      <c r="L212" s="2241"/>
      <c r="X212" s="262"/>
    </row>
    <row r="213" spans="3:24" ht="5.0999999999999996" customHeight="1">
      <c r="C213" s="260"/>
      <c r="V213" s="293"/>
      <c r="X213" s="262"/>
    </row>
    <row r="214" spans="3:24">
      <c r="C214" s="260"/>
      <c r="D214" s="2186" t="s">
        <v>944</v>
      </c>
      <c r="E214" s="2186"/>
      <c r="F214" s="2186"/>
      <c r="G214" s="2186"/>
      <c r="H214" s="2186"/>
      <c r="I214" s="2186"/>
      <c r="J214" s="2281">
        <f ca="1">J638</f>
        <v>0</v>
      </c>
      <c r="K214" s="2282"/>
      <c r="L214" s="2283"/>
      <c r="X214" s="262"/>
    </row>
    <row r="215" spans="3:24" ht="7.5" customHeight="1">
      <c r="C215" s="260"/>
      <c r="D215" s="2186"/>
      <c r="E215" s="2186"/>
      <c r="F215" s="2186"/>
      <c r="G215" s="2186"/>
      <c r="H215" s="2186"/>
      <c r="I215" s="2186"/>
      <c r="X215" s="262"/>
    </row>
    <row r="216" spans="3:24" ht="5.0999999999999996" customHeight="1">
      <c r="C216" s="261"/>
      <c r="D216" s="184"/>
      <c r="E216" s="184"/>
      <c r="F216" s="184"/>
      <c r="G216" s="184"/>
      <c r="H216" s="184"/>
      <c r="I216" s="184"/>
      <c r="J216" s="184"/>
      <c r="K216" s="184"/>
      <c r="L216" s="184"/>
      <c r="M216" s="184"/>
      <c r="N216" s="184"/>
      <c r="O216" s="184"/>
      <c r="P216" s="184"/>
      <c r="Q216" s="184"/>
      <c r="R216" s="184"/>
      <c r="S216" s="184"/>
      <c r="T216" s="184"/>
      <c r="U216" s="184"/>
      <c r="V216" s="184"/>
      <c r="W216" s="184"/>
      <c r="X216" s="263"/>
    </row>
    <row r="217" spans="3:24" ht="5.0999999999999996" customHeight="1"/>
    <row r="218" spans="3:24" ht="5.0999999999999996" customHeight="1">
      <c r="C218" s="621"/>
      <c r="D218" s="610"/>
      <c r="E218" s="610"/>
      <c r="F218" s="610"/>
      <c r="G218" s="610"/>
      <c r="H218" s="610"/>
      <c r="I218" s="610"/>
      <c r="J218" s="610"/>
      <c r="K218" s="610"/>
      <c r="L218" s="610"/>
      <c r="M218" s="610"/>
      <c r="N218" s="610"/>
      <c r="O218" s="610"/>
      <c r="P218" s="610"/>
      <c r="Q218" s="610"/>
      <c r="R218" s="610"/>
      <c r="S218" s="610"/>
      <c r="T218" s="610"/>
      <c r="U218" s="610"/>
      <c r="V218" s="610"/>
      <c r="W218" s="610"/>
      <c r="X218" s="1158"/>
    </row>
    <row r="219" spans="3:24">
      <c r="C219" s="260"/>
      <c r="D219" s="2179" t="str">
        <f ca="1">IF(DATA!C12="Yes","Custom Measure (Base)","Custom Measure")</f>
        <v>Custom Measure</v>
      </c>
      <c r="E219" s="2179"/>
      <c r="F219" s="2179"/>
      <c r="G219" s="2179"/>
      <c r="H219" s="2179"/>
      <c r="I219" s="2179"/>
      <c r="J219" s="2179"/>
      <c r="K219" s="2179"/>
      <c r="L219" s="2179"/>
      <c r="M219" s="2179"/>
      <c r="N219" s="2179"/>
      <c r="O219" s="2179"/>
      <c r="P219" s="2179"/>
      <c r="Q219" s="2179"/>
      <c r="R219" s="2179"/>
      <c r="S219" s="2179"/>
      <c r="T219" s="2179"/>
      <c r="U219" s="2179"/>
      <c r="V219" s="2179"/>
      <c r="W219" s="2179"/>
      <c r="X219" s="262"/>
    </row>
    <row r="220" spans="3:24" ht="5.0999999999999996" customHeight="1">
      <c r="C220" s="260"/>
      <c r="X220" s="262"/>
    </row>
    <row r="221" spans="3:24">
      <c r="C221" s="260"/>
      <c r="I221" s="311"/>
      <c r="O221" s="2173" t="s">
        <v>945</v>
      </c>
      <c r="P221" s="2173"/>
      <c r="Q221" s="2173"/>
      <c r="R221" s="2173"/>
      <c r="S221" s="2173"/>
      <c r="T221" s="2180"/>
      <c r="U221" s="2244">
        <f ca="1">U337</f>
        <v>10059</v>
      </c>
      <c r="V221" s="2245"/>
      <c r="X221" s="262"/>
    </row>
    <row r="222" spans="3:24" ht="5.0999999999999996" customHeight="1">
      <c r="C222" s="260"/>
      <c r="K222" s="313"/>
      <c r="L222" s="92"/>
      <c r="M222" s="92"/>
      <c r="S222" s="945"/>
      <c r="T222" s="945"/>
      <c r="V222" s="92"/>
      <c r="X222" s="262"/>
    </row>
    <row r="223" spans="3:24">
      <c r="C223" s="260"/>
      <c r="D223" s="2173" t="s">
        <v>946</v>
      </c>
      <c r="E223" s="2173"/>
      <c r="F223" s="2173"/>
      <c r="G223" s="2173"/>
      <c r="H223" s="2173"/>
      <c r="I223" s="2180"/>
      <c r="J223" s="2250" t="str">
        <f ca="1">J337</f>
        <v>Lighting - Custom</v>
      </c>
      <c r="K223" s="2251"/>
      <c r="L223" s="2252"/>
      <c r="S223" s="945"/>
      <c r="T223" s="945"/>
      <c r="X223" s="262"/>
    </row>
    <row r="224" spans="3:24" ht="5.0999999999999996" customHeight="1">
      <c r="C224" s="260"/>
      <c r="D224" s="945"/>
      <c r="E224" s="945"/>
      <c r="F224" s="945"/>
      <c r="G224" s="945"/>
      <c r="H224" s="945"/>
      <c r="I224" s="945"/>
      <c r="J224" s="92"/>
      <c r="K224" s="92"/>
      <c r="S224" s="945"/>
      <c r="T224" s="945"/>
      <c r="V224" s="92"/>
      <c r="X224" s="262"/>
    </row>
    <row r="225" spans="3:24">
      <c r="C225" s="260"/>
      <c r="D225" s="2173" t="s">
        <v>947</v>
      </c>
      <c r="E225" s="2173"/>
      <c r="F225" s="2173"/>
      <c r="G225" s="2173"/>
      <c r="H225" s="2173"/>
      <c r="I225" s="2174"/>
      <c r="J225" s="2194">
        <f ca="1">J343</f>
        <v>0</v>
      </c>
      <c r="K225" s="2195"/>
      <c r="L225" s="2196"/>
      <c r="S225" s="945"/>
      <c r="T225" s="945"/>
      <c r="X225" s="262"/>
    </row>
    <row r="226" spans="3:24" ht="5.0999999999999996" customHeight="1">
      <c r="C226" s="260"/>
      <c r="D226" s="945"/>
      <c r="E226" s="945"/>
      <c r="F226" s="945"/>
      <c r="G226" s="945"/>
      <c r="H226" s="945"/>
      <c r="I226" s="945"/>
      <c r="J226" s="92"/>
      <c r="K226" s="92"/>
      <c r="S226" s="945"/>
      <c r="T226" s="945"/>
      <c r="V226" s="92"/>
      <c r="X226" s="262"/>
    </row>
    <row r="227" spans="3:24">
      <c r="C227" s="260"/>
      <c r="D227" s="2173" t="s">
        <v>948</v>
      </c>
      <c r="E227" s="2173"/>
      <c r="F227" s="2173"/>
      <c r="G227" s="2173"/>
      <c r="H227" s="2173"/>
      <c r="I227" s="2174"/>
      <c r="J227" s="2239" t="str">
        <f>U343</f>
        <v>Lighting</v>
      </c>
      <c r="K227" s="2240"/>
      <c r="L227" s="2241"/>
      <c r="S227" s="945"/>
      <c r="T227" s="945"/>
      <c r="X227" s="262"/>
    </row>
    <row r="228" spans="3:24" ht="5.0999999999999996" customHeight="1">
      <c r="C228" s="260"/>
      <c r="D228" s="945"/>
      <c r="E228" s="945"/>
      <c r="F228" s="945"/>
      <c r="G228" s="945"/>
      <c r="H228" s="945"/>
      <c r="I228" s="945"/>
      <c r="J228" s="92"/>
      <c r="K228" s="92"/>
      <c r="S228" s="945"/>
      <c r="T228" s="945"/>
      <c r="V228" s="92"/>
      <c r="X228" s="262"/>
    </row>
    <row r="229" spans="3:24">
      <c r="C229" s="260"/>
      <c r="D229" s="2173" t="s">
        <v>949</v>
      </c>
      <c r="E229" s="2173"/>
      <c r="F229" s="2173"/>
      <c r="G229" s="2173"/>
      <c r="H229" s="2173"/>
      <c r="I229" s="2174"/>
      <c r="J229" s="2178">
        <f ca="1">J345</f>
        <v>0</v>
      </c>
      <c r="K229" s="2176"/>
      <c r="L229" s="2177"/>
      <c r="S229" s="945"/>
      <c r="T229" s="945"/>
      <c r="X229" s="262"/>
    </row>
    <row r="230" spans="3:24" ht="5.0999999999999996" customHeight="1">
      <c r="C230" s="260"/>
      <c r="D230" s="945"/>
      <c r="E230" s="945"/>
      <c r="F230" s="945"/>
      <c r="G230" s="945"/>
      <c r="H230" s="945"/>
      <c r="I230" s="945"/>
      <c r="J230" s="92"/>
      <c r="K230" s="92"/>
      <c r="S230" s="945"/>
      <c r="T230" s="945"/>
      <c r="V230" s="92"/>
      <c r="X230" s="262"/>
    </row>
    <row r="231" spans="3:24">
      <c r="C231" s="260"/>
      <c r="D231" s="2173" t="s">
        <v>950</v>
      </c>
      <c r="E231" s="2173"/>
      <c r="F231" s="2173"/>
      <c r="G231" s="2173"/>
      <c r="H231" s="2173"/>
      <c r="I231" s="2174"/>
      <c r="J231" s="2257">
        <f ca="1">J347</f>
        <v>0</v>
      </c>
      <c r="K231" s="2240"/>
      <c r="L231" s="2241"/>
      <c r="S231" s="945"/>
      <c r="T231" s="945"/>
      <c r="X231" s="262"/>
    </row>
    <row r="232" spans="3:24" ht="5.0999999999999996" customHeight="1">
      <c r="C232" s="260"/>
      <c r="D232" s="945"/>
      <c r="E232" s="945"/>
      <c r="F232" s="945"/>
      <c r="G232" s="945"/>
      <c r="H232" s="945"/>
      <c r="I232" s="945"/>
      <c r="S232" s="945"/>
      <c r="T232" s="945"/>
      <c r="V232" s="92"/>
      <c r="X232" s="262"/>
    </row>
    <row r="233" spans="3:24">
      <c r="C233" s="260"/>
      <c r="D233" s="2173" t="s">
        <v>951</v>
      </c>
      <c r="E233" s="2173"/>
      <c r="F233" s="2173"/>
      <c r="G233" s="2173"/>
      <c r="H233" s="2173"/>
      <c r="I233" s="2180"/>
      <c r="J233" s="2244"/>
      <c r="K233" s="2246"/>
      <c r="L233" s="2245"/>
      <c r="S233" s="945"/>
      <c r="T233" s="945"/>
      <c r="U233" s="185"/>
      <c r="V233" s="92"/>
      <c r="X233" s="262"/>
    </row>
    <row r="234" spans="3:24" ht="5.0999999999999996" customHeight="1">
      <c r="C234" s="260"/>
      <c r="D234" s="945"/>
      <c r="E234" s="945"/>
      <c r="F234" s="945"/>
      <c r="G234" s="945"/>
      <c r="H234" s="945"/>
      <c r="I234" s="945"/>
      <c r="S234" s="945"/>
      <c r="T234" s="945"/>
      <c r="V234" s="92"/>
      <c r="X234" s="262"/>
    </row>
    <row r="235" spans="3:24">
      <c r="C235" s="260"/>
      <c r="D235" s="2173" t="s">
        <v>952</v>
      </c>
      <c r="E235" s="2173"/>
      <c r="F235" s="2173"/>
      <c r="G235" s="2173"/>
      <c r="H235" s="2173"/>
      <c r="I235" s="2174"/>
      <c r="J235" s="2194">
        <f ca="1">J349</f>
        <v>0</v>
      </c>
      <c r="K235" s="2195"/>
      <c r="L235" s="2196"/>
      <c r="S235" s="945"/>
      <c r="T235" s="945"/>
      <c r="X235" s="262"/>
    </row>
    <row r="236" spans="3:24" ht="5.0999999999999996" customHeight="1">
      <c r="C236" s="260"/>
      <c r="D236" s="945"/>
      <c r="E236" s="945"/>
      <c r="F236" s="945"/>
      <c r="G236" s="945"/>
      <c r="H236" s="945"/>
      <c r="I236" s="945"/>
      <c r="S236" s="945"/>
      <c r="T236" s="945"/>
      <c r="V236" s="92"/>
      <c r="X236" s="262"/>
    </row>
    <row r="237" spans="3:24" ht="14.95" customHeight="1">
      <c r="C237" s="260"/>
      <c r="D237" s="2186" t="s">
        <v>953</v>
      </c>
      <c r="E237" s="2186"/>
      <c r="F237" s="2186"/>
      <c r="G237" s="2186"/>
      <c r="H237" s="2186"/>
      <c r="I237" s="2186"/>
      <c r="J237" s="2178">
        <f ca="1">J351</f>
        <v>0</v>
      </c>
      <c r="K237" s="2192"/>
      <c r="L237" s="2193"/>
      <c r="S237" s="945"/>
      <c r="T237" s="945"/>
      <c r="X237" s="262"/>
    </row>
    <row r="238" spans="3:24" ht="7.5" customHeight="1">
      <c r="C238" s="260"/>
      <c r="D238" s="2186"/>
      <c r="E238" s="2186"/>
      <c r="F238" s="2186"/>
      <c r="G238" s="2186"/>
      <c r="H238" s="2186"/>
      <c r="I238" s="2186"/>
      <c r="S238" s="945"/>
      <c r="T238" s="945"/>
      <c r="V238" s="92"/>
      <c r="X238" s="262"/>
    </row>
    <row r="239" spans="3:24">
      <c r="C239" s="260"/>
      <c r="D239" s="2173" t="s">
        <v>893</v>
      </c>
      <c r="E239" s="2173"/>
      <c r="F239" s="2173"/>
      <c r="G239" s="2173"/>
      <c r="H239" s="2173"/>
      <c r="I239" s="2174"/>
      <c r="J239" s="2247">
        <f ca="1">U355</f>
        <v>2</v>
      </c>
      <c r="K239" s="2248"/>
      <c r="L239" s="2249"/>
      <c r="S239" s="945"/>
      <c r="T239" s="945"/>
      <c r="X239" s="262"/>
    </row>
    <row r="240" spans="3:24" ht="5.0999999999999996" customHeight="1">
      <c r="C240" s="260"/>
      <c r="D240" s="945"/>
      <c r="E240" s="945"/>
      <c r="F240" s="945"/>
      <c r="G240" s="945"/>
      <c r="H240" s="945"/>
      <c r="I240" s="945"/>
      <c r="S240" s="945"/>
      <c r="T240" s="945"/>
      <c r="X240" s="262"/>
    </row>
    <row r="241" spans="3:24">
      <c r="C241" s="260"/>
      <c r="D241" s="2173" t="s">
        <v>954</v>
      </c>
      <c r="E241" s="2173"/>
      <c r="F241" s="2173"/>
      <c r="G241" s="2173"/>
      <c r="H241" s="2173"/>
      <c r="I241" s="2174"/>
      <c r="J241" s="2205">
        <f>J341</f>
        <v>0</v>
      </c>
      <c r="K241" s="2206"/>
      <c r="L241" s="2207"/>
      <c r="O241" s="2173" t="s">
        <v>955</v>
      </c>
      <c r="P241" s="2173"/>
      <c r="Q241" s="2173"/>
      <c r="R241" s="2173"/>
      <c r="S241" s="2173"/>
      <c r="T241" s="2180"/>
      <c r="U241" s="2181" t="str">
        <f ca="1">J339</f>
        <v>Full</v>
      </c>
      <c r="V241" s="2182"/>
      <c r="X241" s="262"/>
    </row>
    <row r="242" spans="3:24" ht="5.0999999999999996" customHeight="1">
      <c r="C242" s="261"/>
      <c r="D242" s="184"/>
      <c r="E242" s="184"/>
      <c r="F242" s="184"/>
      <c r="G242" s="184"/>
      <c r="H242" s="184"/>
      <c r="I242" s="184"/>
      <c r="J242" s="184"/>
      <c r="K242" s="184"/>
      <c r="L242" s="184"/>
      <c r="M242" s="184"/>
      <c r="N242" s="184"/>
      <c r="O242" s="184"/>
      <c r="P242" s="184"/>
      <c r="Q242" s="184"/>
      <c r="R242" s="184"/>
      <c r="S242" s="184"/>
      <c r="T242" s="184"/>
      <c r="U242" s="184"/>
      <c r="V242" s="184"/>
      <c r="W242" s="184"/>
      <c r="X242" s="263"/>
    </row>
    <row r="243" spans="3:24" ht="5.0999999999999996" customHeight="1"/>
    <row r="244" spans="3:24" ht="5.0999999999999996" customHeight="1">
      <c r="C244" s="621"/>
      <c r="D244" s="610"/>
      <c r="E244" s="610"/>
      <c r="F244" s="610"/>
      <c r="G244" s="610"/>
      <c r="H244" s="610"/>
      <c r="I244" s="610"/>
      <c r="J244" s="610"/>
      <c r="K244" s="610"/>
      <c r="L244" s="610"/>
      <c r="M244" s="610"/>
      <c r="N244" s="610"/>
      <c r="O244" s="610"/>
      <c r="P244" s="610"/>
      <c r="Q244" s="610"/>
      <c r="R244" s="610"/>
      <c r="S244" s="610"/>
      <c r="T244" s="610"/>
      <c r="U244" s="610"/>
      <c r="V244" s="610"/>
      <c r="W244" s="610"/>
      <c r="X244" s="1158"/>
    </row>
    <row r="245" spans="3:24">
      <c r="C245" s="260"/>
      <c r="D245" s="2179" t="str">
        <f ca="1">IF(DATA!C12="Yes","Custom Measure (Performance)","Custom Measure (Performance) - N/A")</f>
        <v>Custom Measure (Performance) - N/A</v>
      </c>
      <c r="E245" s="2179"/>
      <c r="F245" s="2179"/>
      <c r="G245" s="2179"/>
      <c r="H245" s="2179"/>
      <c r="I245" s="2179"/>
      <c r="J245" s="2179"/>
      <c r="K245" s="2179"/>
      <c r="L245" s="2179"/>
      <c r="M245" s="2179"/>
      <c r="N245" s="2179"/>
      <c r="O245" s="2179"/>
      <c r="P245" s="2179"/>
      <c r="Q245" s="2179"/>
      <c r="R245" s="2179"/>
      <c r="S245" s="2179"/>
      <c r="T245" s="2179"/>
      <c r="U245" s="2179"/>
      <c r="V245" s="2179"/>
      <c r="W245" s="2179"/>
      <c r="X245" s="262"/>
    </row>
    <row r="246" spans="3:24" ht="5.0999999999999996" customHeight="1">
      <c r="C246" s="260"/>
      <c r="X246" s="262"/>
    </row>
    <row r="247" spans="3:24">
      <c r="C247" s="260"/>
      <c r="I247" s="311"/>
      <c r="O247" s="2173" t="s">
        <v>945</v>
      </c>
      <c r="P247" s="2173"/>
      <c r="Q247" s="2173"/>
      <c r="R247" s="2173"/>
      <c r="S247" s="2173"/>
      <c r="T247" s="2180"/>
      <c r="U247" s="2244">
        <f>U366</f>
        <v>12334</v>
      </c>
      <c r="V247" s="2245"/>
      <c r="X247" s="262"/>
    </row>
    <row r="248" spans="3:24" ht="5.0999999999999996" customHeight="1">
      <c r="C248" s="260"/>
      <c r="K248" s="313"/>
      <c r="L248" s="92"/>
      <c r="M248" s="92"/>
      <c r="S248" s="945"/>
      <c r="T248" s="945"/>
      <c r="V248" s="92"/>
      <c r="X248" s="262"/>
    </row>
    <row r="249" spans="3:24">
      <c r="C249" s="260"/>
      <c r="D249" s="2173" t="s">
        <v>946</v>
      </c>
      <c r="E249" s="2173"/>
      <c r="F249" s="2173"/>
      <c r="G249" s="2173"/>
      <c r="H249" s="2173"/>
      <c r="I249" s="2180"/>
      <c r="J249" s="2250" t="str">
        <f>J366</f>
        <v>Lighting - Performance - Custom</v>
      </c>
      <c r="K249" s="2251"/>
      <c r="L249" s="2252"/>
      <c r="S249" s="945"/>
      <c r="T249" s="945"/>
      <c r="X249" s="262"/>
    </row>
    <row r="250" spans="3:24" ht="5.0999999999999996" customHeight="1">
      <c r="C250" s="260"/>
      <c r="D250" s="945"/>
      <c r="E250" s="945"/>
      <c r="F250" s="945"/>
      <c r="G250" s="945"/>
      <c r="H250" s="945"/>
      <c r="I250" s="945"/>
      <c r="J250" s="92"/>
      <c r="K250" s="92"/>
      <c r="S250" s="945"/>
      <c r="T250" s="945"/>
      <c r="V250" s="92"/>
      <c r="X250" s="262"/>
    </row>
    <row r="251" spans="3:24">
      <c r="C251" s="260"/>
      <c r="D251" s="2173" t="s">
        <v>947</v>
      </c>
      <c r="E251" s="2173"/>
      <c r="F251" s="2173"/>
      <c r="G251" s="2173"/>
      <c r="H251" s="2173"/>
      <c r="I251" s="2174"/>
      <c r="J251" s="2253">
        <f ca="1">J372</f>
        <v>0</v>
      </c>
      <c r="K251" s="2254"/>
      <c r="L251" s="2255"/>
      <c r="S251" s="945"/>
      <c r="T251" s="945"/>
      <c r="X251" s="262"/>
    </row>
    <row r="252" spans="3:24" ht="5.0999999999999996" customHeight="1">
      <c r="C252" s="260"/>
      <c r="D252" s="945"/>
      <c r="E252" s="945"/>
      <c r="F252" s="945"/>
      <c r="G252" s="945"/>
      <c r="H252" s="945"/>
      <c r="I252" s="945"/>
      <c r="J252" s="92"/>
      <c r="K252" s="92"/>
      <c r="S252" s="945"/>
      <c r="T252" s="945"/>
      <c r="V252" s="92"/>
      <c r="X252" s="262"/>
    </row>
    <row r="253" spans="3:24">
      <c r="C253" s="260"/>
      <c r="D253" s="2173" t="s">
        <v>948</v>
      </c>
      <c r="E253" s="2173"/>
      <c r="F253" s="2173"/>
      <c r="G253" s="2173"/>
      <c r="H253" s="2173"/>
      <c r="I253" s="2174"/>
      <c r="J253" s="2197" t="str">
        <f>U372</f>
        <v>Lighting</v>
      </c>
      <c r="K253" s="2176"/>
      <c r="L253" s="2177"/>
      <c r="S253" s="945"/>
      <c r="T253" s="945"/>
      <c r="X253" s="262"/>
    </row>
    <row r="254" spans="3:24" ht="5.0999999999999996" customHeight="1">
      <c r="C254" s="260"/>
      <c r="D254" s="945"/>
      <c r="E254" s="945"/>
      <c r="F254" s="945"/>
      <c r="G254" s="945"/>
      <c r="H254" s="945"/>
      <c r="I254" s="945"/>
      <c r="J254" s="92"/>
      <c r="K254" s="92"/>
      <c r="S254" s="945"/>
      <c r="T254" s="945"/>
      <c r="V254" s="92"/>
      <c r="X254" s="262"/>
    </row>
    <row r="255" spans="3:24">
      <c r="C255" s="260"/>
      <c r="D255" s="2173" t="s">
        <v>949</v>
      </c>
      <c r="E255" s="2173"/>
      <c r="F255" s="2173"/>
      <c r="G255" s="2173"/>
      <c r="H255" s="2173"/>
      <c r="I255" s="2174"/>
      <c r="J255" s="2178">
        <f ca="1">J374</f>
        <v>0</v>
      </c>
      <c r="K255" s="2176"/>
      <c r="L255" s="2177"/>
      <c r="S255" s="945"/>
      <c r="T255" s="945"/>
      <c r="X255" s="262"/>
    </row>
    <row r="256" spans="3:24" ht="5.0999999999999996" customHeight="1">
      <c r="C256" s="260"/>
      <c r="D256" s="945"/>
      <c r="E256" s="945"/>
      <c r="F256" s="945"/>
      <c r="G256" s="945"/>
      <c r="H256" s="945"/>
      <c r="I256" s="945"/>
      <c r="J256" s="92"/>
      <c r="K256" s="92"/>
      <c r="S256" s="945"/>
      <c r="T256" s="945"/>
      <c r="V256" s="92"/>
      <c r="X256" s="262"/>
    </row>
    <row r="257" spans="3:24">
      <c r="C257" s="260"/>
      <c r="D257" s="2173" t="s">
        <v>950</v>
      </c>
      <c r="E257" s="2173"/>
      <c r="F257" s="2173"/>
      <c r="G257" s="2173"/>
      <c r="H257" s="2173"/>
      <c r="I257" s="2174"/>
      <c r="J257" s="2257">
        <f>J376</f>
        <v>10</v>
      </c>
      <c r="K257" s="2240"/>
      <c r="L257" s="2241"/>
      <c r="S257" s="945"/>
      <c r="T257" s="945"/>
      <c r="X257" s="262"/>
    </row>
    <row r="258" spans="3:24" ht="5.0999999999999996" customHeight="1">
      <c r="C258" s="260"/>
      <c r="D258" s="945"/>
      <c r="E258" s="945"/>
      <c r="F258" s="945"/>
      <c r="G258" s="945"/>
      <c r="H258" s="945"/>
      <c r="I258" s="945"/>
      <c r="S258" s="945"/>
      <c r="T258" s="945"/>
      <c r="V258" s="92"/>
      <c r="X258" s="262"/>
    </row>
    <row r="259" spans="3:24">
      <c r="C259" s="260"/>
      <c r="D259" s="2173" t="s">
        <v>951</v>
      </c>
      <c r="E259" s="2173"/>
      <c r="F259" s="2173"/>
      <c r="G259" s="2173"/>
      <c r="H259" s="2173"/>
      <c r="I259" s="2180"/>
      <c r="J259" s="2244"/>
      <c r="K259" s="2246"/>
      <c r="L259" s="2245"/>
      <c r="S259" s="945"/>
      <c r="T259" s="945"/>
      <c r="U259" s="185"/>
      <c r="V259" s="92"/>
      <c r="X259" s="262"/>
    </row>
    <row r="260" spans="3:24" ht="5.0999999999999996" customHeight="1">
      <c r="C260" s="260"/>
      <c r="D260" s="945"/>
      <c r="E260" s="945"/>
      <c r="F260" s="945"/>
      <c r="G260" s="945"/>
      <c r="H260" s="945"/>
      <c r="I260" s="945"/>
      <c r="S260" s="945"/>
      <c r="T260" s="945"/>
      <c r="V260" s="92"/>
      <c r="X260" s="262"/>
    </row>
    <row r="261" spans="3:24">
      <c r="C261" s="260"/>
      <c r="D261" s="2173" t="s">
        <v>952</v>
      </c>
      <c r="E261" s="2173"/>
      <c r="F261" s="2173"/>
      <c r="G261" s="2173"/>
      <c r="H261" s="2173"/>
      <c r="I261" s="2174"/>
      <c r="J261" s="2194">
        <f ca="1">J378</f>
        <v>0</v>
      </c>
      <c r="K261" s="2195"/>
      <c r="L261" s="2196"/>
      <c r="S261" s="945"/>
      <c r="T261" s="945"/>
      <c r="X261" s="262"/>
    </row>
    <row r="262" spans="3:24" ht="5.0999999999999996" customHeight="1">
      <c r="C262" s="260"/>
      <c r="D262" s="945"/>
      <c r="E262" s="945"/>
      <c r="F262" s="945"/>
      <c r="G262" s="945"/>
      <c r="H262" s="945"/>
      <c r="I262" s="945"/>
      <c r="S262" s="945"/>
      <c r="T262" s="945"/>
      <c r="V262" s="92"/>
      <c r="X262" s="262"/>
    </row>
    <row r="263" spans="3:24" ht="14.95" customHeight="1">
      <c r="C263" s="260"/>
      <c r="D263" s="2186" t="s">
        <v>953</v>
      </c>
      <c r="E263" s="2186"/>
      <c r="F263" s="2186"/>
      <c r="G263" s="2186"/>
      <c r="H263" s="2186"/>
      <c r="I263" s="2186"/>
      <c r="J263" s="2178">
        <f ca="1">J380</f>
        <v>0</v>
      </c>
      <c r="K263" s="2192"/>
      <c r="L263" s="2193"/>
      <c r="S263" s="945"/>
      <c r="T263" s="945"/>
      <c r="X263" s="262"/>
    </row>
    <row r="264" spans="3:24" ht="7.5" customHeight="1">
      <c r="C264" s="260"/>
      <c r="D264" s="2186"/>
      <c r="E264" s="2186"/>
      <c r="F264" s="2186"/>
      <c r="G264" s="2186"/>
      <c r="H264" s="2186"/>
      <c r="I264" s="2186"/>
      <c r="S264" s="945"/>
      <c r="T264" s="945"/>
      <c r="V264" s="92"/>
      <c r="X264" s="262"/>
    </row>
    <row r="265" spans="3:24">
      <c r="C265" s="260"/>
      <c r="D265" s="2173" t="s">
        <v>893</v>
      </c>
      <c r="E265" s="2173"/>
      <c r="F265" s="2173"/>
      <c r="G265" s="2173"/>
      <c r="H265" s="2173"/>
      <c r="I265" s="2174"/>
      <c r="J265" s="2247">
        <f>U384</f>
        <v>0</v>
      </c>
      <c r="K265" s="2248"/>
      <c r="L265" s="2249"/>
      <c r="S265" s="945"/>
      <c r="T265" s="945"/>
      <c r="X265" s="262"/>
    </row>
    <row r="266" spans="3:24" ht="5.0999999999999996" customHeight="1">
      <c r="C266" s="260"/>
      <c r="D266" s="945"/>
      <c r="E266" s="945"/>
      <c r="F266" s="945"/>
      <c r="G266" s="945"/>
      <c r="H266" s="945"/>
      <c r="I266" s="945"/>
      <c r="S266" s="945"/>
      <c r="T266" s="945"/>
      <c r="X266" s="262"/>
    </row>
    <row r="267" spans="3:24">
      <c r="C267" s="260"/>
      <c r="D267" s="2173" t="s">
        <v>954</v>
      </c>
      <c r="E267" s="2173"/>
      <c r="F267" s="2173"/>
      <c r="G267" s="2173"/>
      <c r="H267" s="2173"/>
      <c r="I267" s="2174"/>
      <c r="J267" s="2205">
        <f>J370</f>
        <v>0</v>
      </c>
      <c r="K267" s="2206"/>
      <c r="L267" s="2207"/>
      <c r="O267" s="2173" t="s">
        <v>955</v>
      </c>
      <c r="P267" s="2173"/>
      <c r="Q267" s="2173"/>
      <c r="R267" s="2173"/>
      <c r="S267" s="2173"/>
      <c r="T267" s="2180"/>
      <c r="U267" s="2208" t="str">
        <f ca="1">J368</f>
        <v>Full</v>
      </c>
      <c r="V267" s="2209"/>
      <c r="X267" s="262"/>
    </row>
    <row r="268" spans="3:24" ht="5.0999999999999996" customHeight="1">
      <c r="C268" s="261"/>
      <c r="D268" s="184"/>
      <c r="E268" s="184"/>
      <c r="F268" s="184"/>
      <c r="G268" s="184"/>
      <c r="H268" s="184"/>
      <c r="I268" s="184"/>
      <c r="J268" s="184"/>
      <c r="K268" s="184"/>
      <c r="L268" s="184"/>
      <c r="M268" s="184"/>
      <c r="N268" s="184"/>
      <c r="O268" s="184"/>
      <c r="P268" s="184"/>
      <c r="Q268" s="184"/>
      <c r="R268" s="184"/>
      <c r="S268" s="184"/>
      <c r="T268" s="184"/>
      <c r="U268" s="184"/>
      <c r="V268" s="184"/>
      <c r="W268" s="184"/>
      <c r="X268" s="263"/>
    </row>
    <row r="269" spans="3:24" ht="5.0999999999999996" customHeight="1"/>
    <row r="270" spans="3:24">
      <c r="C270" s="1375"/>
      <c r="D270" s="2436" t="s">
        <v>956</v>
      </c>
      <c r="E270" s="2436"/>
      <c r="F270" s="2436"/>
      <c r="G270" s="2436"/>
      <c r="H270" s="2436"/>
      <c r="I270" s="2436"/>
      <c r="J270" s="2436"/>
      <c r="K270" s="2436"/>
      <c r="L270" s="2436"/>
      <c r="M270" s="2436"/>
      <c r="N270" s="2436"/>
      <c r="O270" s="2436"/>
      <c r="P270" s="2436"/>
      <c r="Q270" s="2436"/>
      <c r="R270" s="2436"/>
      <c r="S270" s="2436"/>
      <c r="T270" s="2436"/>
      <c r="U270" s="2436"/>
      <c r="V270" s="2436"/>
      <c r="W270" s="2436"/>
      <c r="X270" s="1376"/>
    </row>
    <row r="271" spans="3:24" ht="5.0999999999999996" customHeight="1">
      <c r="C271" s="1377"/>
      <c r="X271" s="1378"/>
    </row>
    <row r="272" spans="3:24">
      <c r="C272" s="1377"/>
      <c r="D272" s="2198" t="s">
        <v>957</v>
      </c>
      <c r="E272" s="2198"/>
      <c r="F272" s="2198"/>
      <c r="G272" s="2198"/>
      <c r="H272" s="2198"/>
      <c r="I272" s="2199"/>
      <c r="J272" s="2178">
        <f ca="1">J534</f>
        <v>0</v>
      </c>
      <c r="K272" s="2192"/>
      <c r="L272" s="2193"/>
      <c r="X272" s="1378"/>
    </row>
    <row r="273" spans="2:24" ht="5.0999999999999996" customHeight="1">
      <c r="C273" s="1377"/>
      <c r="I273" s="44"/>
      <c r="J273" s="92"/>
      <c r="K273" s="92"/>
      <c r="X273" s="1378"/>
    </row>
    <row r="274" spans="2:24">
      <c r="C274" s="1377"/>
      <c r="D274" s="2198" t="s">
        <v>958</v>
      </c>
      <c r="E274" s="2198"/>
      <c r="F274" s="2198"/>
      <c r="G274" s="2198"/>
      <c r="H274" s="2198"/>
      <c r="I274" s="2199"/>
      <c r="J274" s="2194">
        <f ca="1">J536</f>
        <v>0</v>
      </c>
      <c r="K274" s="2195"/>
      <c r="L274" s="2196"/>
      <c r="O274" s="2198" t="s">
        <v>959</v>
      </c>
      <c r="P274" s="2198"/>
      <c r="Q274" s="2198"/>
      <c r="R274" s="2198"/>
      <c r="S274" s="2198"/>
      <c r="T274" s="2199"/>
      <c r="U274" s="2437">
        <f ca="1">U536</f>
        <v>0</v>
      </c>
      <c r="V274" s="2438"/>
      <c r="X274" s="1378"/>
    </row>
    <row r="275" spans="2:24" ht="5.0999999999999996" customHeight="1">
      <c r="C275" s="1379"/>
      <c r="D275" s="1380"/>
      <c r="E275" s="1380"/>
      <c r="F275" s="1380"/>
      <c r="G275" s="1380"/>
      <c r="H275" s="1380"/>
      <c r="I275" s="1380"/>
      <c r="J275" s="1380"/>
      <c r="K275" s="1380"/>
      <c r="L275" s="1380"/>
      <c r="M275" s="1380"/>
      <c r="N275" s="1380"/>
      <c r="O275" s="1380"/>
      <c r="P275" s="1380"/>
      <c r="Q275" s="1380"/>
      <c r="R275" s="1380"/>
      <c r="S275" s="1380"/>
      <c r="T275" s="1380"/>
      <c r="U275" s="1380"/>
      <c r="V275" s="1380"/>
      <c r="W275" s="1380"/>
      <c r="X275" s="1381"/>
    </row>
    <row r="276" spans="2:24" ht="5.0999999999999996" customHeight="1"/>
    <row r="278" spans="2:24" ht="7.5" customHeight="1"/>
    <row r="280" spans="2:24">
      <c r="C280" s="1442"/>
      <c r="D280" s="1442"/>
      <c r="E280" s="1442"/>
      <c r="F280" s="1442"/>
      <c r="G280" s="1442"/>
      <c r="H280" s="1442"/>
      <c r="I280" s="1442"/>
      <c r="J280" s="1442"/>
      <c r="K280" s="1442"/>
      <c r="L280" s="1442"/>
      <c r="M280" s="1442"/>
      <c r="N280" s="1442"/>
      <c r="O280" s="1442"/>
      <c r="P280" s="1442"/>
      <c r="Q280" s="1442"/>
      <c r="R280" s="1442"/>
      <c r="S280" s="1442"/>
      <c r="T280" s="1442"/>
      <c r="U280" s="1442"/>
      <c r="V280" s="1442"/>
      <c r="W280" s="1442"/>
      <c r="X280" s="1442"/>
    </row>
    <row r="281" spans="2:24" ht="21.75" thickBot="1">
      <c r="B281" s="1441"/>
      <c r="I281" s="2460">
        <f>M22</f>
        <v>0</v>
      </c>
      <c r="J281" s="2460"/>
      <c r="K281" s="315"/>
      <c r="L281" s="315" t="s">
        <v>960</v>
      </c>
      <c r="M281" s="315"/>
      <c r="N281" s="315"/>
      <c r="O281" s="315"/>
      <c r="P281" s="315"/>
      <c r="Q281" s="315"/>
      <c r="R281" s="315"/>
      <c r="S281" s="315"/>
      <c r="T281" s="315"/>
      <c r="U281" s="315"/>
      <c r="V281" s="315"/>
      <c r="W281" s="315"/>
      <c r="X281" s="315"/>
    </row>
    <row r="282" spans="2:24" ht="14.95" customHeight="1">
      <c r="B282" s="1441"/>
      <c r="H282" s="2372" t="s">
        <v>961</v>
      </c>
      <c r="I282" s="2327"/>
      <c r="J282" s="2327"/>
      <c r="K282" s="2327"/>
      <c r="L282" s="2327"/>
      <c r="M282" s="2327"/>
      <c r="N282" s="2327"/>
      <c r="O282" s="2327"/>
      <c r="P282" s="2327"/>
      <c r="Q282" s="2327"/>
      <c r="R282" s="2327"/>
      <c r="S282" s="2327"/>
      <c r="T282" s="2327"/>
      <c r="U282" s="2327"/>
      <c r="V282" s="2327"/>
      <c r="W282" s="2327"/>
      <c r="X282" s="2328"/>
    </row>
    <row r="283" spans="2:24" ht="14.95" customHeight="1">
      <c r="B283" s="1441"/>
      <c r="H283" s="2329"/>
      <c r="I283" s="2330"/>
      <c r="J283" s="2330"/>
      <c r="K283" s="2330"/>
      <c r="L283" s="2330"/>
      <c r="M283" s="2330"/>
      <c r="N283" s="2330"/>
      <c r="O283" s="2330"/>
      <c r="P283" s="2330"/>
      <c r="Q283" s="2330"/>
      <c r="R283" s="2330"/>
      <c r="S283" s="2330"/>
      <c r="T283" s="2330"/>
      <c r="U283" s="2330"/>
      <c r="V283" s="2330"/>
      <c r="W283" s="2330"/>
      <c r="X283" s="2331"/>
    </row>
    <row r="284" spans="2:24">
      <c r="B284" s="1441"/>
      <c r="H284" s="2329"/>
      <c r="I284" s="2330"/>
      <c r="J284" s="2330"/>
      <c r="K284" s="2330"/>
      <c r="L284" s="2330"/>
      <c r="M284" s="2330"/>
      <c r="N284" s="2330"/>
      <c r="O284" s="2330"/>
      <c r="P284" s="2330"/>
      <c r="Q284" s="2330"/>
      <c r="R284" s="2330"/>
      <c r="S284" s="2330"/>
      <c r="T284" s="2330"/>
      <c r="U284" s="2330"/>
      <c r="V284" s="2330"/>
      <c r="W284" s="2330"/>
      <c r="X284" s="2331"/>
    </row>
    <row r="285" spans="2:24">
      <c r="B285" s="1441"/>
      <c r="H285" s="2329"/>
      <c r="I285" s="2330"/>
      <c r="J285" s="2330"/>
      <c r="K285" s="2330"/>
      <c r="L285" s="2330"/>
      <c r="M285" s="2330"/>
      <c r="N285" s="2330"/>
      <c r="O285" s="2330"/>
      <c r="P285" s="2330"/>
      <c r="Q285" s="2330"/>
      <c r="R285" s="2330"/>
      <c r="S285" s="2330"/>
      <c r="T285" s="2330"/>
      <c r="U285" s="2330"/>
      <c r="V285" s="2330"/>
      <c r="W285" s="2330"/>
      <c r="X285" s="2331"/>
    </row>
    <row r="286" spans="2:24">
      <c r="B286" s="1441"/>
      <c r="H286" s="2329"/>
      <c r="I286" s="2330"/>
      <c r="J286" s="2330"/>
      <c r="K286" s="2330"/>
      <c r="L286" s="2330"/>
      <c r="M286" s="2330"/>
      <c r="N286" s="2330"/>
      <c r="O286" s="2330"/>
      <c r="P286" s="2330"/>
      <c r="Q286" s="2330"/>
      <c r="R286" s="2330"/>
      <c r="S286" s="2330"/>
      <c r="T286" s="2330"/>
      <c r="U286" s="2330"/>
      <c r="V286" s="2330"/>
      <c r="W286" s="2330"/>
      <c r="X286" s="2331"/>
    </row>
    <row r="287" spans="2:24">
      <c r="B287" s="1441"/>
      <c r="H287" s="2329"/>
      <c r="I287" s="2330"/>
      <c r="J287" s="2330"/>
      <c r="K287" s="2330"/>
      <c r="L287" s="2330"/>
      <c r="M287" s="2330"/>
      <c r="N287" s="2330"/>
      <c r="O287" s="2330"/>
      <c r="P287" s="2330"/>
      <c r="Q287" s="2330"/>
      <c r="R287" s="2330"/>
      <c r="S287" s="2330"/>
      <c r="T287" s="2330"/>
      <c r="U287" s="2330"/>
      <c r="V287" s="2330"/>
      <c r="W287" s="2330"/>
      <c r="X287" s="2331"/>
    </row>
    <row r="288" spans="2:24">
      <c r="B288" s="1441"/>
      <c r="H288" s="2329"/>
      <c r="I288" s="2330"/>
      <c r="J288" s="2330"/>
      <c r="K288" s="2330"/>
      <c r="L288" s="2330"/>
      <c r="M288" s="2330"/>
      <c r="N288" s="2330"/>
      <c r="O288" s="2330"/>
      <c r="P288" s="2330"/>
      <c r="Q288" s="2330"/>
      <c r="R288" s="2330"/>
      <c r="S288" s="2330"/>
      <c r="T288" s="2330"/>
      <c r="U288" s="2330"/>
      <c r="V288" s="2330"/>
      <c r="W288" s="2330"/>
      <c r="X288" s="2331"/>
    </row>
    <row r="289" spans="2:24" ht="14.95" customHeight="1">
      <c r="B289" s="1441"/>
      <c r="H289" s="2329"/>
      <c r="I289" s="2330"/>
      <c r="J289" s="2330"/>
      <c r="K289" s="2330"/>
      <c r="L289" s="2330"/>
      <c r="M289" s="2330"/>
      <c r="N289" s="2330"/>
      <c r="O289" s="2330"/>
      <c r="P289" s="2330"/>
      <c r="Q289" s="2330"/>
      <c r="R289" s="2330"/>
      <c r="S289" s="2330"/>
      <c r="T289" s="2330"/>
      <c r="U289" s="2330"/>
      <c r="V289" s="2330"/>
      <c r="W289" s="2330"/>
      <c r="X289" s="2331"/>
    </row>
    <row r="290" spans="2:24" ht="14.95" thickBot="1">
      <c r="B290" s="1441"/>
      <c r="H290" s="2332"/>
      <c r="I290" s="2333"/>
      <c r="J290" s="2333"/>
      <c r="K290" s="2333"/>
      <c r="L290" s="2333"/>
      <c r="M290" s="2333"/>
      <c r="N290" s="2333"/>
      <c r="O290" s="2333"/>
      <c r="P290" s="2333"/>
      <c r="Q290" s="2333"/>
      <c r="R290" s="2333"/>
      <c r="S290" s="2333"/>
      <c r="T290" s="2333"/>
      <c r="U290" s="2333"/>
      <c r="V290" s="2333"/>
      <c r="W290" s="2333"/>
      <c r="X290" s="2334"/>
    </row>
    <row r="291" spans="2:24">
      <c r="B291" s="1441"/>
    </row>
    <row r="292" spans="2:24" ht="5.0999999999999996" customHeight="1">
      <c r="B292" s="1441"/>
      <c r="C292" s="621"/>
      <c r="D292" s="610"/>
      <c r="E292" s="610"/>
      <c r="F292" s="610"/>
      <c r="G292" s="610"/>
      <c r="H292" s="610"/>
      <c r="I292" s="610"/>
      <c r="J292" s="610"/>
      <c r="K292" s="610"/>
      <c r="L292" s="610"/>
      <c r="M292" s="610"/>
      <c r="N292" s="610"/>
      <c r="O292" s="610"/>
      <c r="P292" s="610"/>
      <c r="Q292" s="610"/>
      <c r="R292" s="610"/>
      <c r="S292" s="610"/>
      <c r="T292" s="610"/>
      <c r="U292" s="610"/>
      <c r="V292" s="610"/>
      <c r="W292" s="610"/>
      <c r="X292" s="1158"/>
    </row>
    <row r="293" spans="2:24">
      <c r="B293" s="1441"/>
      <c r="C293" s="260"/>
      <c r="D293" s="2179" t="s">
        <v>898</v>
      </c>
      <c r="E293" s="2179"/>
      <c r="F293" s="2179"/>
      <c r="G293" s="2179"/>
      <c r="H293" s="2179"/>
      <c r="I293" s="2179"/>
      <c r="J293" s="2179"/>
      <c r="K293" s="2179"/>
      <c r="L293" s="2179"/>
      <c r="M293" s="2179"/>
      <c r="N293" s="2179"/>
      <c r="O293" s="2179"/>
      <c r="P293" s="2179"/>
      <c r="Q293" s="2179"/>
      <c r="R293" s="2179"/>
      <c r="S293" s="2179"/>
      <c r="T293" s="2179"/>
      <c r="U293" s="2179"/>
      <c r="V293" s="2179"/>
      <c r="W293" s="2179"/>
      <c r="X293" s="262"/>
    </row>
    <row r="294" spans="2:24" ht="5.0999999999999996" customHeight="1">
      <c r="B294" s="1441"/>
      <c r="C294" s="260"/>
      <c r="X294" s="262"/>
    </row>
    <row r="295" spans="2:24">
      <c r="B295" s="1441"/>
      <c r="C295" s="260"/>
      <c r="D295" s="1426"/>
      <c r="E295" s="2287" t="s">
        <v>962</v>
      </c>
      <c r="F295" s="2288"/>
      <c r="G295" s="2288"/>
      <c r="H295" s="2288"/>
      <c r="I295" s="2288"/>
      <c r="J295" s="2288"/>
      <c r="K295" s="2288"/>
      <c r="L295" s="2288"/>
      <c r="M295" s="2288"/>
      <c r="N295" s="2288"/>
      <c r="O295" s="2288"/>
      <c r="P295" s="2288"/>
      <c r="Q295" s="2288"/>
      <c r="R295" s="2288"/>
      <c r="S295" s="2288"/>
      <c r="T295" s="2288"/>
      <c r="U295" s="2288"/>
      <c r="V295" s="2289"/>
      <c r="W295" s="1426"/>
      <c r="X295" s="262"/>
    </row>
    <row r="296" spans="2:24">
      <c r="B296" s="1441"/>
      <c r="C296" s="260"/>
      <c r="D296" s="1426"/>
      <c r="E296" s="2290"/>
      <c r="F296" s="2291"/>
      <c r="G296" s="2291"/>
      <c r="H296" s="2291"/>
      <c r="I296" s="2291"/>
      <c r="J296" s="2291"/>
      <c r="K296" s="2291"/>
      <c r="L296" s="2291"/>
      <c r="M296" s="2291"/>
      <c r="N296" s="2291"/>
      <c r="O296" s="2291"/>
      <c r="P296" s="2291"/>
      <c r="Q296" s="2291"/>
      <c r="R296" s="2291"/>
      <c r="S296" s="2291"/>
      <c r="T296" s="2291"/>
      <c r="U296" s="2291"/>
      <c r="V296" s="2292"/>
      <c r="W296" s="1426"/>
      <c r="X296" s="262"/>
    </row>
    <row r="297" spans="2:24" ht="7.5" customHeight="1">
      <c r="B297" s="1441"/>
      <c r="C297" s="260"/>
      <c r="X297" s="262"/>
    </row>
    <row r="298" spans="2:24">
      <c r="B298" s="1441"/>
      <c r="C298" s="260"/>
      <c r="D298" s="2173" t="s">
        <v>899</v>
      </c>
      <c r="E298" s="2173"/>
      <c r="F298" s="2173"/>
      <c r="G298" s="2173"/>
      <c r="H298" s="2173"/>
      <c r="I298" s="2174"/>
      <c r="J298" s="2197">
        <f>M24</f>
        <v>0</v>
      </c>
      <c r="K298" s="2176"/>
      <c r="L298" s="2177"/>
      <c r="N298" s="32"/>
      <c r="O298" s="2173" t="s">
        <v>829</v>
      </c>
      <c r="P298" s="2173"/>
      <c r="Q298" s="2173"/>
      <c r="R298" s="2173"/>
      <c r="S298" s="2173"/>
      <c r="T298" s="2174"/>
      <c r="U298" s="2197">
        <f>M26</f>
        <v>0</v>
      </c>
      <c r="V298" s="2177"/>
      <c r="X298" s="262"/>
    </row>
    <row r="299" spans="2:24" ht="5.0999999999999996" customHeight="1">
      <c r="B299" s="1441"/>
      <c r="C299" s="260"/>
      <c r="D299" s="945"/>
      <c r="E299" s="945"/>
      <c r="F299" s="945"/>
      <c r="G299" s="945"/>
      <c r="H299" s="945"/>
      <c r="I299" s="946"/>
      <c r="J299" s="316"/>
      <c r="K299" s="316"/>
      <c r="N299" s="316"/>
      <c r="O299" s="316"/>
      <c r="P299" s="306"/>
      <c r="Q299" s="306"/>
      <c r="R299" s="307"/>
      <c r="U299" s="311"/>
      <c r="V299" s="311"/>
      <c r="X299" s="262"/>
    </row>
    <row r="300" spans="2:24">
      <c r="B300" s="1441"/>
      <c r="C300" s="260"/>
      <c r="D300" s="2173" t="s">
        <v>900</v>
      </c>
      <c r="E300" s="2173"/>
      <c r="F300" s="2173"/>
      <c r="G300" s="2173"/>
      <c r="H300" s="2173"/>
      <c r="I300" s="2180"/>
      <c r="J300" s="2181"/>
      <c r="K300" s="2191"/>
      <c r="L300" s="2182"/>
      <c r="N300" s="32"/>
      <c r="O300" s="32"/>
      <c r="X300" s="262"/>
    </row>
    <row r="301" spans="2:24" ht="5.0999999999999996" customHeight="1">
      <c r="B301" s="1441"/>
      <c r="C301" s="260"/>
      <c r="D301" s="945"/>
      <c r="E301" s="945"/>
      <c r="F301" s="945"/>
      <c r="G301" s="945"/>
      <c r="H301" s="945"/>
      <c r="I301" s="945"/>
      <c r="J301" s="10"/>
      <c r="K301" s="10"/>
      <c r="N301" s="10"/>
      <c r="O301" s="10"/>
      <c r="P301" s="10"/>
      <c r="Q301" s="10"/>
      <c r="R301" s="10"/>
      <c r="X301" s="262"/>
    </row>
    <row r="302" spans="2:24" ht="14.95" customHeight="1">
      <c r="B302" s="1441"/>
      <c r="C302" s="260"/>
      <c r="D302" s="2186" t="s">
        <v>963</v>
      </c>
      <c r="E302" s="2186"/>
      <c r="F302" s="2186"/>
      <c r="G302" s="2186"/>
      <c r="H302" s="2186"/>
      <c r="I302" s="2186"/>
      <c r="J302" s="2181"/>
      <c r="K302" s="2191"/>
      <c r="L302" s="2182"/>
      <c r="N302" s="317"/>
      <c r="O302" s="317"/>
      <c r="P302" s="10"/>
      <c r="Q302" s="10"/>
      <c r="R302" s="10"/>
      <c r="X302" s="262"/>
    </row>
    <row r="303" spans="2:24" ht="7.5" customHeight="1">
      <c r="B303" s="1441"/>
      <c r="C303" s="261"/>
      <c r="D303" s="2256"/>
      <c r="E303" s="2256"/>
      <c r="F303" s="2256"/>
      <c r="G303" s="2256"/>
      <c r="H303" s="2256"/>
      <c r="I303" s="2256"/>
      <c r="J303" s="318"/>
      <c r="K303" s="318"/>
      <c r="L303" s="319"/>
      <c r="M303" s="319"/>
      <c r="N303" s="319"/>
      <c r="O303" s="319"/>
      <c r="P303" s="184"/>
      <c r="Q303" s="184"/>
      <c r="R303" s="184"/>
      <c r="S303" s="184"/>
      <c r="T303" s="184"/>
      <c r="U303" s="184"/>
      <c r="V303" s="184"/>
      <c r="W303" s="184"/>
      <c r="X303" s="263"/>
    </row>
    <row r="304" spans="2:24" ht="5.0999999999999996" customHeight="1">
      <c r="B304" s="1441"/>
    </row>
    <row r="305" spans="2:24" ht="5.0999999999999996" customHeight="1">
      <c r="B305" s="1441"/>
      <c r="C305" s="621"/>
      <c r="D305" s="610"/>
      <c r="E305" s="610"/>
      <c r="F305" s="610"/>
      <c r="G305" s="610"/>
      <c r="H305" s="610"/>
      <c r="I305" s="610"/>
      <c r="J305" s="610"/>
      <c r="K305" s="610"/>
      <c r="L305" s="610"/>
      <c r="M305" s="610"/>
      <c r="N305" s="610"/>
      <c r="O305" s="610"/>
      <c r="P305" s="610"/>
      <c r="Q305" s="610"/>
      <c r="R305" s="610"/>
      <c r="S305" s="610"/>
      <c r="T305" s="610"/>
      <c r="U305" s="610"/>
      <c r="V305" s="610"/>
      <c r="W305" s="610"/>
      <c r="X305" s="1158"/>
    </row>
    <row r="306" spans="2:24">
      <c r="B306" s="1441"/>
      <c r="C306" s="260"/>
      <c r="D306" s="2179" t="s">
        <v>964</v>
      </c>
      <c r="E306" s="2179"/>
      <c r="F306" s="2179"/>
      <c r="G306" s="2179"/>
      <c r="H306" s="2179"/>
      <c r="I306" s="2179"/>
      <c r="J306" s="2179"/>
      <c r="K306" s="2179"/>
      <c r="L306" s="2179"/>
      <c r="M306" s="2179"/>
      <c r="N306" s="2179"/>
      <c r="O306" s="2179"/>
      <c r="P306" s="2179"/>
      <c r="Q306" s="2179"/>
      <c r="R306" s="2179"/>
      <c r="S306" s="2179"/>
      <c r="T306" s="2179"/>
      <c r="U306" s="2179"/>
      <c r="V306" s="2179"/>
      <c r="W306" s="2179"/>
      <c r="X306" s="262"/>
    </row>
    <row r="307" spans="2:24" ht="5.0999999999999996" customHeight="1">
      <c r="B307" s="1441"/>
      <c r="C307" s="260"/>
      <c r="X307" s="262"/>
    </row>
    <row r="308" spans="2:24">
      <c r="B308" s="1441"/>
      <c r="C308" s="260"/>
      <c r="D308" s="1426"/>
      <c r="E308" s="2480" t="s">
        <v>965</v>
      </c>
      <c r="F308" s="2481"/>
      <c r="G308" s="2481"/>
      <c r="H308" s="2481"/>
      <c r="I308" s="2481"/>
      <c r="J308" s="2481"/>
      <c r="K308" s="2481"/>
      <c r="L308" s="2481"/>
      <c r="M308" s="2481"/>
      <c r="N308" s="2481"/>
      <c r="O308" s="2481"/>
      <c r="P308" s="2481"/>
      <c r="Q308" s="2481"/>
      <c r="R308" s="2481"/>
      <c r="S308" s="2481"/>
      <c r="T308" s="2481"/>
      <c r="U308" s="2481"/>
      <c r="V308" s="2482"/>
      <c r="W308" s="1426"/>
      <c r="X308" s="262"/>
    </row>
    <row r="309" spans="2:24">
      <c r="B309" s="1441"/>
      <c r="C309" s="260"/>
      <c r="D309" s="1426"/>
      <c r="E309" s="2483"/>
      <c r="F309" s="2484"/>
      <c r="G309" s="2484"/>
      <c r="H309" s="2484"/>
      <c r="I309" s="2484"/>
      <c r="J309" s="2484"/>
      <c r="K309" s="2484"/>
      <c r="L309" s="2484"/>
      <c r="M309" s="2484"/>
      <c r="N309" s="2484"/>
      <c r="O309" s="2484"/>
      <c r="P309" s="2484"/>
      <c r="Q309" s="2484"/>
      <c r="R309" s="2484"/>
      <c r="S309" s="2484"/>
      <c r="T309" s="2484"/>
      <c r="U309" s="2484"/>
      <c r="V309" s="2485"/>
      <c r="W309" s="1426"/>
      <c r="X309" s="262"/>
    </row>
    <row r="310" spans="2:24" ht="7.5" customHeight="1">
      <c r="B310" s="1441"/>
      <c r="C310" s="260"/>
      <c r="X310" s="262"/>
    </row>
    <row r="311" spans="2:24" ht="14.95" customHeight="1">
      <c r="B311" s="1441"/>
      <c r="C311" s="260"/>
      <c r="D311" s="2186" t="s">
        <v>966</v>
      </c>
      <c r="E311" s="2186"/>
      <c r="F311" s="2186"/>
      <c r="G311" s="2186"/>
      <c r="H311" s="2186"/>
      <c r="I311" s="2186"/>
      <c r="J311" s="2197" t="str">
        <f>IF(S24&lt;&gt;"","Yes","No")</f>
        <v>No</v>
      </c>
      <c r="K311" s="2176"/>
      <c r="L311" s="2177"/>
      <c r="O311" s="2173" t="s">
        <v>967</v>
      </c>
      <c r="P311" s="2173"/>
      <c r="Q311" s="2173"/>
      <c r="R311" s="2173"/>
      <c r="S311" s="2173"/>
      <c r="T311" s="2180"/>
      <c r="U311" s="2430" t="s">
        <v>968</v>
      </c>
      <c r="V311" s="2431"/>
      <c r="X311" s="262"/>
    </row>
    <row r="312" spans="2:24">
      <c r="B312" s="1441"/>
      <c r="C312" s="260"/>
      <c r="D312" s="2186"/>
      <c r="E312" s="2186"/>
      <c r="F312" s="2186"/>
      <c r="G312" s="2186"/>
      <c r="H312" s="2186"/>
      <c r="I312" s="2186"/>
      <c r="O312" s="945"/>
      <c r="P312" s="945"/>
      <c r="Q312" s="945"/>
      <c r="R312" s="945"/>
      <c r="S312" s="945"/>
      <c r="T312" s="945"/>
      <c r="U312" s="2432"/>
      <c r="V312" s="2433"/>
      <c r="X312" s="262"/>
    </row>
    <row r="313" spans="2:24">
      <c r="B313" s="1441"/>
      <c r="C313" s="260"/>
      <c r="D313" s="945"/>
      <c r="E313" s="945"/>
      <c r="F313" s="945"/>
      <c r="G313" s="945"/>
      <c r="H313" s="945"/>
      <c r="I313" s="945"/>
      <c r="N313" s="177"/>
      <c r="O313" s="954"/>
      <c r="P313" s="945"/>
      <c r="Q313" s="945"/>
      <c r="R313" s="945"/>
      <c r="S313" s="945"/>
      <c r="T313" s="945"/>
      <c r="U313" s="2434"/>
      <c r="V313" s="2435"/>
      <c r="X313" s="262"/>
    </row>
    <row r="314" spans="2:24" ht="5.0999999999999996" customHeight="1">
      <c r="B314" s="1441"/>
      <c r="C314" s="260"/>
      <c r="D314" s="945"/>
      <c r="E314" s="945"/>
      <c r="F314" s="945"/>
      <c r="G314" s="945"/>
      <c r="H314" s="945"/>
      <c r="I314" s="945"/>
      <c r="O314" s="945"/>
      <c r="P314" s="945"/>
      <c r="Q314" s="945"/>
      <c r="R314" s="945"/>
      <c r="S314" s="945"/>
      <c r="T314" s="945"/>
      <c r="U314" s="402"/>
      <c r="V314" s="402"/>
      <c r="X314" s="262"/>
    </row>
    <row r="315" spans="2:24">
      <c r="B315" s="1441"/>
      <c r="C315" s="260"/>
      <c r="D315" s="2173" t="s">
        <v>969</v>
      </c>
      <c r="E315" s="2173"/>
      <c r="F315" s="2173"/>
      <c r="G315" s="2173"/>
      <c r="H315" s="2173"/>
      <c r="I315" s="2180"/>
      <c r="J315" s="2197">
        <f ca="1">DATA!AR4</f>
        <v>0</v>
      </c>
      <c r="K315" s="2176"/>
      <c r="L315" s="2177"/>
      <c r="N315" s="320"/>
      <c r="O315" s="2173" t="s">
        <v>970</v>
      </c>
      <c r="P315" s="2173"/>
      <c r="Q315" s="2173"/>
      <c r="R315" s="2173"/>
      <c r="S315" s="2173"/>
      <c r="T315" s="2180"/>
      <c r="U315" s="2197" t="str">
        <f ca="1">DATA!V4</f>
        <v/>
      </c>
      <c r="V315" s="2177"/>
      <c r="X315" s="262"/>
    </row>
    <row r="316" spans="2:24" ht="5.0999999999999996" customHeight="1">
      <c r="B316" s="1441"/>
      <c r="C316" s="260"/>
      <c r="D316" s="945"/>
      <c r="E316" s="945"/>
      <c r="F316" s="945"/>
      <c r="G316" s="945"/>
      <c r="H316" s="945"/>
      <c r="I316" s="945"/>
      <c r="J316" s="402"/>
      <c r="K316" s="402"/>
      <c r="L316" s="402"/>
      <c r="N316" s="313"/>
      <c r="O316" s="945"/>
      <c r="P316" s="945"/>
      <c r="Q316" s="945"/>
      <c r="R316" s="945"/>
      <c r="S316" s="945"/>
      <c r="T316" s="945"/>
      <c r="U316" s="402"/>
      <c r="V316" s="402"/>
      <c r="X316" s="262"/>
    </row>
    <row r="317" spans="2:24" ht="14.95" customHeight="1">
      <c r="B317" s="1441"/>
      <c r="C317" s="260"/>
      <c r="D317" s="2186" t="s">
        <v>971</v>
      </c>
      <c r="E317" s="2186"/>
      <c r="F317" s="2186"/>
      <c r="G317" s="2186"/>
      <c r="H317" s="2186"/>
      <c r="I317" s="2376"/>
      <c r="J317" s="2377">
        <f>S49</f>
        <v>0</v>
      </c>
      <c r="K317" s="2378"/>
      <c r="L317" s="2379"/>
      <c r="N317" s="321"/>
      <c r="O317" s="2186" t="s">
        <v>972</v>
      </c>
      <c r="P317" s="2186"/>
      <c r="Q317" s="2186"/>
      <c r="R317" s="2186"/>
      <c r="S317" s="2186"/>
      <c r="T317" s="2376"/>
      <c r="U317" s="2386"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317" s="2387"/>
      <c r="X317" s="262"/>
    </row>
    <row r="318" spans="2:24">
      <c r="B318" s="1441"/>
      <c r="C318" s="260"/>
      <c r="D318" s="2186"/>
      <c r="E318" s="2186"/>
      <c r="F318" s="2186"/>
      <c r="G318" s="2186"/>
      <c r="H318" s="2186"/>
      <c r="I318" s="2376"/>
      <c r="J318" s="2380"/>
      <c r="K318" s="2381"/>
      <c r="L318" s="2382"/>
      <c r="N318" s="321"/>
      <c r="O318" s="2186"/>
      <c r="P318" s="2186"/>
      <c r="Q318" s="2186"/>
      <c r="R318" s="2186"/>
      <c r="S318" s="2186"/>
      <c r="T318" s="2376"/>
      <c r="U318" s="2388"/>
      <c r="V318" s="2389"/>
      <c r="X318" s="262"/>
    </row>
    <row r="319" spans="2:24">
      <c r="B319" s="1441"/>
      <c r="C319" s="260"/>
      <c r="D319" s="2186"/>
      <c r="E319" s="2186"/>
      <c r="F319" s="2186"/>
      <c r="G319" s="2186"/>
      <c r="H319" s="2186"/>
      <c r="I319" s="2376"/>
      <c r="J319" s="2383"/>
      <c r="K319" s="2384"/>
      <c r="L319" s="2385"/>
      <c r="N319" s="321"/>
      <c r="O319" s="2186"/>
      <c r="P319" s="2186"/>
      <c r="Q319" s="2186"/>
      <c r="R319" s="2186"/>
      <c r="S319" s="2186"/>
      <c r="T319" s="2376"/>
      <c r="U319" s="2390"/>
      <c r="V319" s="2391"/>
      <c r="X319" s="262"/>
    </row>
    <row r="320" spans="2:24" ht="5.0999999999999996" customHeight="1">
      <c r="B320" s="1441"/>
      <c r="C320" s="260"/>
      <c r="D320" s="945"/>
      <c r="E320" s="945"/>
      <c r="F320" s="945"/>
      <c r="G320" s="945"/>
      <c r="H320" s="945"/>
      <c r="I320" s="945"/>
      <c r="J320" s="313"/>
      <c r="K320" s="313"/>
      <c r="L320" s="313"/>
      <c r="M320" s="313"/>
      <c r="N320" s="313"/>
      <c r="O320" s="945"/>
      <c r="P320" s="945"/>
      <c r="Q320" s="945"/>
      <c r="R320" s="945"/>
      <c r="S320" s="945"/>
      <c r="T320" s="945"/>
      <c r="U320" s="313"/>
      <c r="V320" s="313"/>
      <c r="X320" s="262"/>
    </row>
    <row r="321" spans="2:26" ht="14.95" customHeight="1">
      <c r="B321" s="1441"/>
      <c r="C321" s="260"/>
      <c r="D321" s="2186" t="s">
        <v>973</v>
      </c>
      <c r="E321" s="2186"/>
      <c r="F321" s="2186"/>
      <c r="G321" s="2186"/>
      <c r="H321" s="2186"/>
      <c r="I321" s="2401"/>
      <c r="J321" s="2392"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321" s="2393"/>
      <c r="L321" s="2394"/>
      <c r="N321" s="320"/>
      <c r="O321" s="2173" t="s">
        <v>974</v>
      </c>
      <c r="P321" s="2173"/>
      <c r="Q321" s="2173"/>
      <c r="R321" s="2173"/>
      <c r="S321" s="2173"/>
      <c r="T321" s="2174"/>
      <c r="U321" s="2386" t="str">
        <f>IF(__Retrofit_TI_NC=0,"Business Lighting Application","Per the included Application, this project utilizes a lighting system that is more efficient than code." &amp; " For specifics, refer to the Installations tab of the included PSE Business Lighting Workbook.  The designed wattage has been confirmed with customer provided code compliance forms.")</f>
        <v>Business Lighting Application</v>
      </c>
      <c r="V321" s="2387"/>
      <c r="X321" s="262"/>
    </row>
    <row r="322" spans="2:26">
      <c r="C322" s="260"/>
      <c r="D322" s="2186"/>
      <c r="E322" s="2186"/>
      <c r="F322" s="2186"/>
      <c r="G322" s="2186"/>
      <c r="H322" s="2186"/>
      <c r="I322" s="2401"/>
      <c r="J322" s="2395"/>
      <c r="K322" s="2396"/>
      <c r="L322" s="2397"/>
      <c r="N322" s="320"/>
      <c r="O322" s="954"/>
      <c r="P322" s="945"/>
      <c r="Q322" s="945"/>
      <c r="R322" s="945"/>
      <c r="S322" s="945"/>
      <c r="T322" s="945"/>
      <c r="U322" s="2388"/>
      <c r="V322" s="2389"/>
      <c r="X322" s="262"/>
    </row>
    <row r="323" spans="2:26">
      <c r="C323" s="260"/>
      <c r="D323" s="945"/>
      <c r="E323" s="945"/>
      <c r="F323" s="945"/>
      <c r="G323" s="945"/>
      <c r="H323" s="945"/>
      <c r="I323" s="946"/>
      <c r="J323" s="2398"/>
      <c r="K323" s="2399"/>
      <c r="L323" s="2400"/>
      <c r="N323" s="320"/>
      <c r="O323" s="954"/>
      <c r="P323" s="945"/>
      <c r="Q323" s="945"/>
      <c r="R323" s="945"/>
      <c r="S323" s="945"/>
      <c r="T323" s="945"/>
      <c r="U323" s="2390"/>
      <c r="V323" s="2391"/>
      <c r="X323" s="262"/>
    </row>
    <row r="324" spans="2:26" ht="5.0999999999999996" customHeight="1">
      <c r="C324" s="260"/>
      <c r="D324" s="945"/>
      <c r="E324" s="945"/>
      <c r="F324" s="945"/>
      <c r="G324" s="945"/>
      <c r="H324" s="945"/>
      <c r="I324" s="945"/>
      <c r="J324" s="313"/>
      <c r="K324" s="313"/>
      <c r="N324" s="313"/>
      <c r="O324" s="945"/>
      <c r="P324" s="945"/>
      <c r="Q324" s="945"/>
      <c r="R324" s="945"/>
      <c r="S324" s="945"/>
      <c r="T324" s="945"/>
      <c r="U324" s="313"/>
      <c r="V324" s="313"/>
      <c r="X324" s="262"/>
    </row>
    <row r="325" spans="2:26" ht="14.95" customHeight="1">
      <c r="C325" s="260"/>
      <c r="D325" s="2186" t="s">
        <v>975</v>
      </c>
      <c r="E325" s="2186"/>
      <c r="F325" s="2186"/>
      <c r="G325" s="2186"/>
      <c r="H325" s="2186"/>
      <c r="I325" s="2401"/>
      <c r="J325" s="2392" t="str">
        <f>IF(__Retrofit_TI_NC=0,"Business Lighting Application","The Application was used to calculate energy savings and grant amount.  Since this is a new construction project the project cost is set equal to the grant amount as per Commercial New Construction program guidelines.")</f>
        <v>Business Lighting Application</v>
      </c>
      <c r="K325" s="2393"/>
      <c r="L325" s="2394"/>
      <c r="N325" s="320"/>
      <c r="O325" s="2173" t="s">
        <v>976</v>
      </c>
      <c r="P325" s="2173"/>
      <c r="Q325" s="2173"/>
      <c r="R325" s="2173"/>
      <c r="S325" s="2173"/>
      <c r="T325" s="2180"/>
      <c r="U325" s="2386" t="str">
        <f>IF(__Retrofit_TI_NC=0,"Not required","Lighting Code compliance is confirmed in the Installations tab of the Business Lighting Workbook.  The project must save at least 5% compared to code and therefore meets the WSEC.")</f>
        <v>Not required</v>
      </c>
      <c r="V325" s="2387"/>
      <c r="X325" s="262"/>
    </row>
    <row r="326" spans="2:26">
      <c r="C326" s="260"/>
      <c r="D326" s="2186"/>
      <c r="E326" s="2186"/>
      <c r="F326" s="2186"/>
      <c r="G326" s="2186"/>
      <c r="H326" s="2186"/>
      <c r="I326" s="2401"/>
      <c r="J326" s="2395"/>
      <c r="K326" s="2396"/>
      <c r="L326" s="2397"/>
      <c r="N326" s="320"/>
      <c r="O326" s="954"/>
      <c r="P326" s="945"/>
      <c r="Q326" s="945"/>
      <c r="R326" s="945"/>
      <c r="S326" s="945"/>
      <c r="T326" s="945"/>
      <c r="U326" s="2388"/>
      <c r="V326" s="2389"/>
      <c r="X326" s="262"/>
    </row>
    <row r="327" spans="2:26">
      <c r="C327" s="260"/>
      <c r="D327" s="945"/>
      <c r="E327" s="945"/>
      <c r="F327" s="945"/>
      <c r="G327" s="945"/>
      <c r="H327" s="945"/>
      <c r="I327" s="946"/>
      <c r="J327" s="2398"/>
      <c r="K327" s="2399"/>
      <c r="L327" s="2400"/>
      <c r="N327" s="320"/>
      <c r="O327" s="954"/>
      <c r="P327" s="945"/>
      <c r="Q327" s="945"/>
      <c r="R327" s="945"/>
      <c r="S327" s="945"/>
      <c r="T327" s="945"/>
      <c r="U327" s="2390"/>
      <c r="V327" s="2391"/>
      <c r="X327" s="262"/>
    </row>
    <row r="328" spans="2:26" ht="5.0999999999999996" customHeight="1">
      <c r="C328" s="260"/>
      <c r="D328" s="945"/>
      <c r="E328" s="945"/>
      <c r="F328" s="945"/>
      <c r="G328" s="945"/>
      <c r="H328" s="945"/>
      <c r="I328" s="945"/>
      <c r="O328" s="945"/>
      <c r="P328" s="945"/>
      <c r="Q328" s="945"/>
      <c r="R328" s="945"/>
      <c r="S328" s="945"/>
      <c r="T328" s="945"/>
      <c r="X328" s="262"/>
    </row>
    <row r="329" spans="2:26" ht="14.95" customHeight="1">
      <c r="C329" s="260"/>
      <c r="D329" s="2186" t="s">
        <v>977</v>
      </c>
      <c r="E329" s="2186"/>
      <c r="F329" s="2186"/>
      <c r="G329" s="2186"/>
      <c r="H329" s="2186"/>
      <c r="I329" s="2376"/>
      <c r="J329" s="2392" t="str">
        <f>IF(__Retrofit_TI_NC=0,"Business Lighting Application",Z329)</f>
        <v>Business Lighting Application</v>
      </c>
      <c r="K329" s="2393"/>
      <c r="L329" s="2394"/>
      <c r="N329" s="321"/>
      <c r="O329" s="2186" t="s">
        <v>978</v>
      </c>
      <c r="P329" s="2186"/>
      <c r="Q329" s="2186"/>
      <c r="R329" s="2186"/>
      <c r="S329" s="2186"/>
      <c r="T329" s="2401"/>
      <c r="U329" s="2386">
        <f>S67</f>
        <v>0</v>
      </c>
      <c r="V329" s="2387"/>
      <c r="X329" s="262"/>
      <c r="Z329" s="1212" t="s">
        <v>979</v>
      </c>
    </row>
    <row r="330" spans="2:26">
      <c r="C330" s="260"/>
      <c r="D330" s="2186"/>
      <c r="E330" s="2186"/>
      <c r="F330" s="2186"/>
      <c r="G330" s="2186"/>
      <c r="H330" s="2186"/>
      <c r="I330" s="2376"/>
      <c r="J330" s="2395"/>
      <c r="K330" s="2396"/>
      <c r="L330" s="2397"/>
      <c r="N330" s="321"/>
      <c r="O330" s="2186"/>
      <c r="P330" s="2186"/>
      <c r="Q330" s="2186"/>
      <c r="R330" s="2186"/>
      <c r="S330" s="2186"/>
      <c r="T330" s="2401"/>
      <c r="U330" s="2388"/>
      <c r="V330" s="2389"/>
      <c r="X330" s="262"/>
    </row>
    <row r="331" spans="2:26">
      <c r="C331" s="260"/>
      <c r="D331" s="2186"/>
      <c r="E331" s="2186"/>
      <c r="F331" s="2186"/>
      <c r="G331" s="2186"/>
      <c r="H331" s="2186"/>
      <c r="I331" s="2376"/>
      <c r="J331" s="2398"/>
      <c r="K331" s="2399"/>
      <c r="L331" s="2400"/>
      <c r="N331" s="321"/>
      <c r="O331" s="2186"/>
      <c r="P331" s="2186"/>
      <c r="Q331" s="2186"/>
      <c r="R331" s="2186"/>
      <c r="S331" s="2186"/>
      <c r="T331" s="2401"/>
      <c r="U331" s="2390"/>
      <c r="V331" s="2391"/>
      <c r="X331" s="262"/>
    </row>
    <row r="332" spans="2:26" ht="5.0999999999999996" customHeight="1">
      <c r="C332" s="261"/>
      <c r="D332" s="184"/>
      <c r="E332" s="184"/>
      <c r="F332" s="184"/>
      <c r="G332" s="184"/>
      <c r="H332" s="184"/>
      <c r="I332" s="184"/>
      <c r="J332" s="184"/>
      <c r="K332" s="184"/>
      <c r="L332" s="184"/>
      <c r="M332" s="184"/>
      <c r="N332" s="184"/>
      <c r="O332" s="184"/>
      <c r="P332" s="184"/>
      <c r="Q332" s="184"/>
      <c r="R332" s="184"/>
      <c r="S332" s="184"/>
      <c r="T332" s="184"/>
      <c r="U332" s="184"/>
      <c r="V332" s="184"/>
      <c r="W332" s="184"/>
      <c r="X332" s="263"/>
    </row>
    <row r="333" spans="2:26" ht="5.0999999999999996" customHeight="1"/>
    <row r="334" spans="2:26" ht="5.0999999999999996" customHeight="1">
      <c r="C334" s="621"/>
      <c r="D334" s="610"/>
      <c r="E334" s="610"/>
      <c r="F334" s="610"/>
      <c r="G334" s="610"/>
      <c r="H334" s="610"/>
      <c r="I334" s="610"/>
      <c r="J334" s="610"/>
      <c r="K334" s="610"/>
      <c r="L334" s="610"/>
      <c r="M334" s="610"/>
      <c r="N334" s="610"/>
      <c r="O334" s="610"/>
      <c r="P334" s="610"/>
      <c r="Q334" s="610"/>
      <c r="R334" s="610"/>
      <c r="S334" s="610"/>
      <c r="T334" s="610"/>
      <c r="U334" s="610"/>
      <c r="V334" s="610"/>
      <c r="W334" s="610"/>
      <c r="X334" s="1158"/>
    </row>
    <row r="335" spans="2:26">
      <c r="C335" s="260"/>
      <c r="D335" s="2179" t="str">
        <f ca="1">IF(DATA!C12="Yes","Custom Measure (Base)","Custom Measure")</f>
        <v>Custom Measure</v>
      </c>
      <c r="E335" s="2179"/>
      <c r="F335" s="2179"/>
      <c r="G335" s="2179"/>
      <c r="H335" s="2179"/>
      <c r="I335" s="2179"/>
      <c r="J335" s="2179"/>
      <c r="K335" s="2179"/>
      <c r="L335" s="2179"/>
      <c r="M335" s="2179"/>
      <c r="N335" s="2179"/>
      <c r="O335" s="2179"/>
      <c r="P335" s="2179"/>
      <c r="Q335" s="2179"/>
      <c r="R335" s="2179"/>
      <c r="S335" s="2179"/>
      <c r="T335" s="2179"/>
      <c r="U335" s="2179"/>
      <c r="V335" s="2179"/>
      <c r="W335" s="2179"/>
      <c r="X335" s="262"/>
    </row>
    <row r="336" spans="2:26" ht="5.0999999999999996" customHeight="1">
      <c r="C336" s="260"/>
      <c r="X336" s="262"/>
    </row>
    <row r="337" spans="3:24">
      <c r="C337" s="260"/>
      <c r="D337" s="2173" t="s">
        <v>946</v>
      </c>
      <c r="E337" s="2173"/>
      <c r="F337" s="2173"/>
      <c r="G337" s="2173"/>
      <c r="H337" s="2173"/>
      <c r="I337" s="2180"/>
      <c r="J337" s="2181" t="str">
        <f ca="1">J659</f>
        <v>Lighting - Custom</v>
      </c>
      <c r="K337" s="2191"/>
      <c r="L337" s="2182"/>
      <c r="M337" s="403"/>
      <c r="N337" s="403"/>
      <c r="O337" s="2173" t="s">
        <v>980</v>
      </c>
      <c r="P337" s="2173"/>
      <c r="Q337" s="2173"/>
      <c r="R337" s="2173"/>
      <c r="S337" s="2173"/>
      <c r="T337" s="2180"/>
      <c r="U337" s="2181">
        <f ca="1">U659</f>
        <v>10059</v>
      </c>
      <c r="V337" s="2182"/>
      <c r="X337" s="262"/>
    </row>
    <row r="338" spans="3:24" ht="5.0999999999999996" customHeight="1">
      <c r="C338" s="260"/>
      <c r="D338" s="945"/>
      <c r="E338" s="945"/>
      <c r="F338" s="945"/>
      <c r="G338" s="945"/>
      <c r="H338" s="945"/>
      <c r="I338" s="945"/>
      <c r="J338" s="403"/>
      <c r="K338" s="402"/>
      <c r="L338" s="402"/>
      <c r="M338" s="403"/>
      <c r="N338" s="403"/>
      <c r="O338" s="403"/>
      <c r="P338" s="402"/>
      <c r="Q338" s="402"/>
      <c r="R338" s="402"/>
      <c r="S338" s="402"/>
      <c r="T338" s="945"/>
      <c r="U338" s="403"/>
      <c r="V338" s="402"/>
      <c r="X338" s="262"/>
    </row>
    <row r="339" spans="3:24" ht="14.3" customHeight="1">
      <c r="C339" s="260"/>
      <c r="D339" s="2173" t="s">
        <v>955</v>
      </c>
      <c r="E339" s="2173"/>
      <c r="F339" s="2173"/>
      <c r="G339" s="2173"/>
      <c r="H339" s="2173"/>
      <c r="I339" s="2180"/>
      <c r="J339" s="2373" t="str">
        <f ca="1">J661</f>
        <v>Full</v>
      </c>
      <c r="K339" s="2374"/>
      <c r="L339" s="2375"/>
      <c r="M339" s="403"/>
      <c r="N339" s="403"/>
      <c r="X339" s="262"/>
    </row>
    <row r="340" spans="3:24" ht="5.0999999999999996" customHeight="1">
      <c r="C340" s="260"/>
      <c r="D340" s="945"/>
      <c r="E340" s="945"/>
      <c r="F340" s="945"/>
      <c r="G340" s="945"/>
      <c r="H340" s="945"/>
      <c r="I340" s="945"/>
      <c r="J340" s="92"/>
      <c r="M340" s="92"/>
      <c r="N340" s="92"/>
      <c r="O340" s="92"/>
      <c r="T340" s="945"/>
      <c r="U340" s="92"/>
      <c r="X340" s="262"/>
    </row>
    <row r="341" spans="3:24" ht="14.3" customHeight="1">
      <c r="C341" s="260"/>
      <c r="D341" s="2173" t="s">
        <v>981</v>
      </c>
      <c r="E341" s="2173"/>
      <c r="F341" s="2173"/>
      <c r="G341" s="2173"/>
      <c r="H341" s="2173"/>
      <c r="I341" s="2173"/>
      <c r="J341" s="2486">
        <f>U661</f>
        <v>0</v>
      </c>
      <c r="K341" s="2487"/>
      <c r="L341" s="2488"/>
      <c r="M341" s="92"/>
      <c r="N341" s="92"/>
      <c r="O341" s="92"/>
      <c r="T341" s="945"/>
      <c r="U341" s="92"/>
      <c r="X341" s="262"/>
    </row>
    <row r="342" spans="3:24" ht="5.0999999999999996" customHeight="1">
      <c r="C342" s="260"/>
      <c r="D342" s="945"/>
      <c r="E342" s="945"/>
      <c r="F342" s="945"/>
      <c r="G342" s="945"/>
      <c r="H342" s="945"/>
      <c r="I342" s="945"/>
      <c r="J342" s="92"/>
      <c r="M342" s="92"/>
      <c r="N342" s="92"/>
      <c r="O342" s="92"/>
      <c r="T342" s="945"/>
      <c r="U342" s="92"/>
      <c r="X342" s="262"/>
    </row>
    <row r="343" spans="3:24">
      <c r="C343" s="260"/>
      <c r="D343" s="2173" t="s">
        <v>947</v>
      </c>
      <c r="E343" s="2173"/>
      <c r="F343" s="2173"/>
      <c r="G343" s="2173"/>
      <c r="H343" s="2173"/>
      <c r="I343" s="2174"/>
      <c r="J343" s="2194">
        <f ca="1">J663</f>
        <v>0</v>
      </c>
      <c r="K343" s="2195"/>
      <c r="L343" s="2196"/>
      <c r="M343" s="325"/>
      <c r="N343" s="325"/>
      <c r="O343" s="2173" t="s">
        <v>948</v>
      </c>
      <c r="P343" s="2173"/>
      <c r="Q343" s="2173"/>
      <c r="R343" s="2173"/>
      <c r="S343" s="2173"/>
      <c r="T343" s="2174"/>
      <c r="U343" s="2197" t="str">
        <f>U663</f>
        <v>Lighting</v>
      </c>
      <c r="V343" s="2177"/>
      <c r="X343" s="262"/>
    </row>
    <row r="344" spans="3:24" ht="5.0999999999999996" customHeight="1">
      <c r="C344" s="260"/>
      <c r="D344" s="945"/>
      <c r="E344" s="945"/>
      <c r="F344" s="945"/>
      <c r="G344" s="945"/>
      <c r="H344" s="945"/>
      <c r="I344" s="945"/>
      <c r="J344" s="92"/>
      <c r="M344" s="92"/>
      <c r="N344" s="92"/>
      <c r="O344" s="92"/>
      <c r="T344" s="945"/>
      <c r="U344" s="324"/>
      <c r="X344" s="262"/>
    </row>
    <row r="345" spans="3:24">
      <c r="C345" s="260"/>
      <c r="D345" s="2173" t="s">
        <v>949</v>
      </c>
      <c r="E345" s="2173"/>
      <c r="F345" s="2173"/>
      <c r="G345" s="2173"/>
      <c r="H345" s="2173"/>
      <c r="I345" s="2174"/>
      <c r="J345" s="2178">
        <f ca="1">J665</f>
        <v>0</v>
      </c>
      <c r="K345" s="2192"/>
      <c r="L345" s="2193"/>
      <c r="M345" s="326"/>
      <c r="N345" s="326"/>
      <c r="O345" s="2173" t="s">
        <v>982</v>
      </c>
      <c r="P345" s="2173"/>
      <c r="Q345" s="2173"/>
      <c r="R345" s="2173"/>
      <c r="S345" s="2173"/>
      <c r="T345" s="2180"/>
      <c r="U345" s="2181">
        <f>DATA!CF4</f>
        <v>0</v>
      </c>
      <c r="V345" s="2182"/>
      <c r="X345" s="262"/>
    </row>
    <row r="346" spans="3:24" ht="5.0999999999999996" customHeight="1">
      <c r="C346" s="260"/>
      <c r="D346" s="945"/>
      <c r="E346" s="945"/>
      <c r="F346" s="945"/>
      <c r="G346" s="945"/>
      <c r="H346" s="945"/>
      <c r="I346" s="945"/>
      <c r="J346" s="92"/>
      <c r="M346" s="92"/>
      <c r="N346" s="92"/>
      <c r="O346" s="92"/>
      <c r="R346" s="402"/>
      <c r="S346" s="402"/>
      <c r="T346" s="945"/>
      <c r="U346" s="403"/>
      <c r="V346" s="402"/>
      <c r="X346" s="262"/>
    </row>
    <row r="347" spans="3:24">
      <c r="C347" s="260"/>
      <c r="D347" s="2173" t="s">
        <v>983</v>
      </c>
      <c r="E347" s="2173"/>
      <c r="F347" s="2173"/>
      <c r="G347" s="2173"/>
      <c r="H347" s="2173"/>
      <c r="I347" s="2174"/>
      <c r="J347" s="2178">
        <f ca="1">J667</f>
        <v>0</v>
      </c>
      <c r="K347" s="2192"/>
      <c r="L347" s="2193"/>
      <c r="M347" s="327"/>
      <c r="N347" s="92"/>
      <c r="O347" s="2173" t="s">
        <v>951</v>
      </c>
      <c r="P347" s="2173"/>
      <c r="Q347" s="2173"/>
      <c r="R347" s="2173"/>
      <c r="S347" s="2173"/>
      <c r="T347" s="2180"/>
      <c r="U347" s="2181"/>
      <c r="V347" s="2182"/>
      <c r="X347" s="262"/>
    </row>
    <row r="348" spans="3:24" ht="5.0999999999999996" customHeight="1">
      <c r="C348" s="260"/>
      <c r="D348" s="945"/>
      <c r="E348" s="945"/>
      <c r="F348" s="945"/>
      <c r="G348" s="945"/>
      <c r="H348" s="945"/>
      <c r="I348" s="945"/>
      <c r="J348" s="92"/>
      <c r="M348" s="92"/>
      <c r="N348" s="92"/>
      <c r="O348" s="92"/>
      <c r="R348" s="402"/>
      <c r="S348" s="402"/>
      <c r="T348" s="945"/>
      <c r="U348" s="403"/>
      <c r="V348" s="402"/>
      <c r="X348" s="262"/>
    </row>
    <row r="349" spans="3:24" ht="14.3" customHeight="1">
      <c r="C349" s="260"/>
      <c r="D349" s="2173" t="s">
        <v>952</v>
      </c>
      <c r="E349" s="2173"/>
      <c r="F349" s="2173"/>
      <c r="G349" s="2173"/>
      <c r="H349" s="2173"/>
      <c r="I349" s="2174"/>
      <c r="J349" s="2194">
        <f ca="1">U667</f>
        <v>0</v>
      </c>
      <c r="K349" s="2195"/>
      <c r="L349" s="2196"/>
      <c r="M349" s="325"/>
      <c r="N349" s="325"/>
      <c r="X349" s="262"/>
    </row>
    <row r="350" spans="3:24" ht="5.0999999999999996" customHeight="1">
      <c r="C350" s="260"/>
      <c r="D350" s="945"/>
      <c r="E350" s="945"/>
      <c r="F350" s="945"/>
      <c r="G350" s="945"/>
      <c r="H350" s="945"/>
      <c r="I350" s="945"/>
      <c r="J350" s="92"/>
      <c r="M350" s="92"/>
      <c r="N350" s="92"/>
      <c r="O350" s="92"/>
      <c r="R350" s="402"/>
      <c r="S350" s="402"/>
      <c r="T350" s="945"/>
      <c r="U350" s="403"/>
      <c r="V350" s="402"/>
      <c r="X350" s="262"/>
    </row>
    <row r="351" spans="3:24">
      <c r="C351" s="260"/>
      <c r="D351" s="2173" t="s">
        <v>953</v>
      </c>
      <c r="E351" s="2173"/>
      <c r="F351" s="2173"/>
      <c r="G351" s="2173"/>
      <c r="H351" s="2173"/>
      <c r="I351" s="2173"/>
      <c r="J351" s="2489">
        <f ca="1">J669</f>
        <v>0</v>
      </c>
      <c r="K351" s="2490"/>
      <c r="L351" s="2491"/>
      <c r="M351" s="329"/>
      <c r="N351" s="329"/>
      <c r="O351" s="329"/>
      <c r="R351" s="402"/>
      <c r="S351" s="402"/>
      <c r="T351" s="946"/>
      <c r="U351" s="403"/>
      <c r="V351" s="402"/>
      <c r="X351" s="262"/>
    </row>
    <row r="352" spans="3:24" ht="5.0999999999999996" customHeight="1">
      <c r="C352" s="260"/>
      <c r="D352" s="945"/>
      <c r="E352" s="945"/>
      <c r="F352" s="945"/>
      <c r="G352" s="945"/>
      <c r="H352" s="945"/>
      <c r="I352" s="945"/>
      <c r="J352" s="92"/>
      <c r="M352" s="92"/>
      <c r="N352" s="92"/>
      <c r="O352" s="92"/>
      <c r="T352" s="945"/>
      <c r="U352" s="92"/>
      <c r="X352" s="262"/>
    </row>
    <row r="353" spans="3:24" ht="14.3" customHeight="1">
      <c r="C353" s="260"/>
      <c r="D353" s="2187" t="s">
        <v>984</v>
      </c>
      <c r="E353" s="2187"/>
      <c r="F353" s="2187"/>
      <c r="G353" s="2187"/>
      <c r="H353" s="2187"/>
      <c r="I353" s="2188"/>
      <c r="J353" s="2402">
        <f ca="1">U669</f>
        <v>0</v>
      </c>
      <c r="K353" s="2403"/>
      <c r="L353" s="2404"/>
      <c r="M353" s="92"/>
      <c r="N353" s="92"/>
      <c r="O353" s="92"/>
      <c r="T353" s="945"/>
      <c r="U353" s="92"/>
      <c r="X353" s="262"/>
    </row>
    <row r="354" spans="3:24" ht="5.0999999999999996" customHeight="1">
      <c r="C354" s="260"/>
      <c r="D354" s="945"/>
      <c r="E354" s="945"/>
      <c r="F354" s="945"/>
      <c r="G354" s="945"/>
      <c r="H354" s="945"/>
      <c r="I354" s="945"/>
      <c r="J354" s="92"/>
      <c r="M354" s="92"/>
      <c r="N354" s="92"/>
      <c r="O354" s="92"/>
      <c r="T354" s="945"/>
      <c r="U354" s="92"/>
      <c r="X354" s="262"/>
    </row>
    <row r="355" spans="3:24">
      <c r="C355" s="260"/>
      <c r="D355" s="2408" t="s">
        <v>985</v>
      </c>
      <c r="E355" s="2408"/>
      <c r="F355" s="2408"/>
      <c r="G355" s="2408"/>
      <c r="H355" s="2408"/>
      <c r="I355" s="2409"/>
      <c r="J355" s="2405">
        <f ca="1">J671</f>
        <v>0</v>
      </c>
      <c r="K355" s="2406"/>
      <c r="L355" s="2407"/>
      <c r="M355" s="325"/>
      <c r="N355" s="325"/>
      <c r="O355" s="2173" t="s">
        <v>986</v>
      </c>
      <c r="P355" s="2173"/>
      <c r="Q355" s="2173"/>
      <c r="R355" s="2173"/>
      <c r="S355" s="2173"/>
      <c r="T355" s="2180"/>
      <c r="U355" s="2313">
        <f ca="1">U671</f>
        <v>2</v>
      </c>
      <c r="V355" s="2314"/>
      <c r="X355" s="262"/>
    </row>
    <row r="356" spans="3:24" ht="5.0999999999999996" customHeight="1">
      <c r="C356" s="260"/>
      <c r="D356" s="945"/>
      <c r="E356" s="945"/>
      <c r="F356" s="945"/>
      <c r="G356" s="945"/>
      <c r="H356" s="945"/>
      <c r="I356" s="945"/>
      <c r="J356" s="92"/>
      <c r="M356" s="92"/>
      <c r="N356" s="92"/>
      <c r="O356" s="92"/>
      <c r="T356" s="945"/>
      <c r="U356" s="92"/>
      <c r="X356" s="262"/>
    </row>
    <row r="357" spans="3:24">
      <c r="C357" s="260"/>
      <c r="D357" s="2173" t="s">
        <v>987</v>
      </c>
      <c r="E357" s="2173"/>
      <c r="F357" s="2173"/>
      <c r="G357" s="2173"/>
      <c r="H357" s="2173"/>
      <c r="I357" s="2174"/>
      <c r="J357" s="2313">
        <f ca="1">J673</f>
        <v>0</v>
      </c>
      <c r="K357" s="2410"/>
      <c r="L357" s="2314"/>
      <c r="M357" s="330"/>
      <c r="N357" s="331"/>
      <c r="O357" s="2173" t="s">
        <v>988</v>
      </c>
      <c r="P357" s="2173"/>
      <c r="Q357" s="2173"/>
      <c r="R357" s="2173"/>
      <c r="S357" s="2173"/>
      <c r="T357" s="2180"/>
      <c r="U357" s="2183">
        <f>ROUND(O72,4)</f>
        <v>0</v>
      </c>
      <c r="V357" s="2184"/>
      <c r="X357" s="262"/>
    </row>
    <row r="358" spans="3:24" ht="5.0999999999999996" customHeight="1">
      <c r="C358" s="260"/>
      <c r="D358" s="945"/>
      <c r="E358" s="945"/>
      <c r="F358" s="945"/>
      <c r="G358" s="945"/>
      <c r="H358" s="945"/>
      <c r="I358" s="945"/>
      <c r="J358" s="92"/>
      <c r="M358" s="92"/>
      <c r="N358" s="92"/>
      <c r="O358" s="92"/>
      <c r="U358" s="92"/>
      <c r="X358" s="262"/>
    </row>
    <row r="359" spans="3:24">
      <c r="C359" s="260"/>
      <c r="D359" s="2173" t="s">
        <v>989</v>
      </c>
      <c r="E359" s="2173"/>
      <c r="F359" s="2173"/>
      <c r="G359" s="2173"/>
      <c r="H359" s="2173"/>
      <c r="I359" s="2180"/>
      <c r="J359" s="2313" t="e">
        <f ca="1">ROUND(L100/M32,4)</f>
        <v>#DIV/0!</v>
      </c>
      <c r="K359" s="2410"/>
      <c r="L359" s="2314"/>
      <c r="M359" s="332"/>
      <c r="N359" s="92"/>
      <c r="O359" s="92"/>
      <c r="X359" s="262"/>
    </row>
    <row r="360" spans="3:24" ht="5.0999999999999996" customHeight="1">
      <c r="C360" s="260"/>
      <c r="J360" s="92"/>
      <c r="M360" s="92"/>
      <c r="N360" s="92"/>
      <c r="O360" s="92"/>
      <c r="X360" s="262"/>
    </row>
    <row r="361" spans="3:24">
      <c r="C361" s="261"/>
      <c r="D361" s="184"/>
      <c r="E361" s="184"/>
      <c r="F361" s="184"/>
      <c r="G361" s="184"/>
      <c r="H361" s="184"/>
      <c r="I361" s="318"/>
      <c r="J361" s="318"/>
      <c r="K361" s="318"/>
      <c r="L361" s="413"/>
      <c r="M361" s="413"/>
      <c r="N361" s="413"/>
      <c r="O361" s="413"/>
      <c r="P361" s="184"/>
      <c r="Q361" s="184"/>
      <c r="R361" s="184"/>
      <c r="S361" s="184"/>
      <c r="T361" s="184"/>
      <c r="U361" s="184"/>
      <c r="V361" s="184"/>
      <c r="W361" s="184"/>
      <c r="X361" s="263"/>
    </row>
    <row r="362" spans="3:24" ht="5.0999999999999996" customHeight="1"/>
    <row r="363" spans="3:24" ht="5.0999999999999996" customHeight="1">
      <c r="C363" s="621"/>
      <c r="D363" s="610"/>
      <c r="E363" s="610"/>
      <c r="F363" s="610"/>
      <c r="G363" s="610"/>
      <c r="H363" s="610"/>
      <c r="I363" s="610"/>
      <c r="J363" s="610"/>
      <c r="K363" s="610"/>
      <c r="L363" s="610"/>
      <c r="M363" s="610"/>
      <c r="N363" s="610"/>
      <c r="O363" s="610"/>
      <c r="P363" s="610"/>
      <c r="Q363" s="610"/>
      <c r="R363" s="610"/>
      <c r="S363" s="610"/>
      <c r="T363" s="610"/>
      <c r="U363" s="610"/>
      <c r="V363" s="610"/>
      <c r="W363" s="610"/>
      <c r="X363" s="1158"/>
    </row>
    <row r="364" spans="3:24">
      <c r="C364" s="260"/>
      <c r="D364" s="2179" t="str">
        <f ca="1">IF(DATA!C12="Yes","Custom Measure (Performance)","Custom Measure (Performance) - N/A")</f>
        <v>Custom Measure (Performance) - N/A</v>
      </c>
      <c r="E364" s="2179"/>
      <c r="F364" s="2179"/>
      <c r="G364" s="2179"/>
      <c r="H364" s="2179"/>
      <c r="I364" s="2179"/>
      <c r="J364" s="2179"/>
      <c r="K364" s="2179"/>
      <c r="L364" s="2179"/>
      <c r="M364" s="2179"/>
      <c r="N364" s="2179"/>
      <c r="O364" s="2179"/>
      <c r="P364" s="2179"/>
      <c r="Q364" s="2179"/>
      <c r="R364" s="2179"/>
      <c r="S364" s="2179"/>
      <c r="T364" s="2179"/>
      <c r="U364" s="2179"/>
      <c r="V364" s="2179"/>
      <c r="W364" s="2179"/>
      <c r="X364" s="262"/>
    </row>
    <row r="365" spans="3:24" ht="5.0999999999999996" customHeight="1">
      <c r="C365" s="260"/>
      <c r="X365" s="262"/>
    </row>
    <row r="366" spans="3:24">
      <c r="C366" s="260"/>
      <c r="D366" s="2173" t="s">
        <v>946</v>
      </c>
      <c r="E366" s="2173"/>
      <c r="F366" s="2173"/>
      <c r="G366" s="2173"/>
      <c r="H366" s="2173"/>
      <c r="I366" s="2180"/>
      <c r="J366" s="2181" t="str">
        <f>J679</f>
        <v>Lighting - Performance - Custom</v>
      </c>
      <c r="K366" s="2191"/>
      <c r="L366" s="2182"/>
      <c r="M366" s="403"/>
      <c r="N366" s="403"/>
      <c r="O366" s="2173" t="s">
        <v>980</v>
      </c>
      <c r="P366" s="2173"/>
      <c r="Q366" s="2173"/>
      <c r="R366" s="2173"/>
      <c r="S366" s="2173"/>
      <c r="T366" s="2180"/>
      <c r="U366" s="2181">
        <f>U679</f>
        <v>12334</v>
      </c>
      <c r="V366" s="2182"/>
      <c r="X366" s="262"/>
    </row>
    <row r="367" spans="3:24" ht="5.0999999999999996" customHeight="1">
      <c r="C367" s="260"/>
      <c r="D367" s="945"/>
      <c r="E367" s="945"/>
      <c r="F367" s="945"/>
      <c r="G367" s="945"/>
      <c r="H367" s="945"/>
      <c r="I367" s="945"/>
      <c r="J367" s="403"/>
      <c r="K367" s="402"/>
      <c r="L367" s="402"/>
      <c r="M367" s="403"/>
      <c r="N367" s="403"/>
      <c r="O367" s="403"/>
      <c r="P367" s="402"/>
      <c r="Q367" s="402"/>
      <c r="R367" s="402"/>
      <c r="S367" s="402"/>
      <c r="T367" s="945"/>
      <c r="U367" s="403"/>
      <c r="V367" s="402"/>
      <c r="X367" s="262"/>
    </row>
    <row r="368" spans="3:24">
      <c r="C368" s="260"/>
      <c r="D368" s="2173" t="s">
        <v>955</v>
      </c>
      <c r="E368" s="2173"/>
      <c r="F368" s="2173"/>
      <c r="G368" s="2173"/>
      <c r="H368" s="2173"/>
      <c r="I368" s="2180"/>
      <c r="J368" s="2178" t="str">
        <f ca="1">J681</f>
        <v>Full</v>
      </c>
      <c r="K368" s="2192"/>
      <c r="L368" s="2193"/>
      <c r="M368" s="403"/>
      <c r="N368" s="403"/>
      <c r="X368" s="262"/>
    </row>
    <row r="369" spans="3:24" ht="5.0999999999999996" customHeight="1">
      <c r="C369" s="260"/>
      <c r="D369" s="945"/>
      <c r="E369" s="945"/>
      <c r="F369" s="945"/>
      <c r="G369" s="945"/>
      <c r="H369" s="945"/>
      <c r="I369" s="945"/>
      <c r="J369" s="92"/>
      <c r="M369" s="92"/>
      <c r="N369" s="92"/>
      <c r="O369" s="92"/>
      <c r="T369" s="945"/>
      <c r="U369" s="92"/>
      <c r="X369" s="262"/>
    </row>
    <row r="370" spans="3:24" ht="14.3" customHeight="1">
      <c r="C370" s="260"/>
      <c r="D370" s="2173" t="s">
        <v>981</v>
      </c>
      <c r="E370" s="2173"/>
      <c r="F370" s="2173"/>
      <c r="G370" s="2173"/>
      <c r="H370" s="2173"/>
      <c r="I370" s="2173"/>
      <c r="J370" s="2492">
        <f>U681</f>
        <v>0</v>
      </c>
      <c r="K370" s="2493"/>
      <c r="L370" s="2494"/>
      <c r="M370" s="92"/>
      <c r="N370" s="92"/>
      <c r="O370" s="92"/>
      <c r="T370" s="945"/>
      <c r="U370" s="92"/>
      <c r="X370" s="262"/>
    </row>
    <row r="371" spans="3:24" ht="5.0999999999999996" customHeight="1">
      <c r="C371" s="260"/>
      <c r="D371" s="945"/>
      <c r="E371" s="945"/>
      <c r="F371" s="945"/>
      <c r="G371" s="945"/>
      <c r="H371" s="945"/>
      <c r="I371" s="945"/>
      <c r="J371" s="92"/>
      <c r="M371" s="92"/>
      <c r="N371" s="92"/>
      <c r="O371" s="92"/>
      <c r="T371" s="945"/>
      <c r="U371" s="92"/>
      <c r="X371" s="262"/>
    </row>
    <row r="372" spans="3:24">
      <c r="C372" s="260"/>
      <c r="D372" s="2173" t="s">
        <v>947</v>
      </c>
      <c r="E372" s="2173"/>
      <c r="F372" s="2173"/>
      <c r="G372" s="2173"/>
      <c r="H372" s="2173"/>
      <c r="I372" s="2174"/>
      <c r="J372" s="2194">
        <f ca="1">J683</f>
        <v>0</v>
      </c>
      <c r="K372" s="2195"/>
      <c r="L372" s="2196"/>
      <c r="M372" s="325"/>
      <c r="N372" s="325"/>
      <c r="O372" s="2173" t="s">
        <v>948</v>
      </c>
      <c r="P372" s="2173"/>
      <c r="Q372" s="2173"/>
      <c r="R372" s="2173"/>
      <c r="S372" s="2173"/>
      <c r="T372" s="2174"/>
      <c r="U372" s="2197" t="str">
        <f>U683</f>
        <v>Lighting</v>
      </c>
      <c r="V372" s="2177"/>
      <c r="X372" s="262"/>
    </row>
    <row r="373" spans="3:24" ht="5.0999999999999996" customHeight="1">
      <c r="C373" s="260"/>
      <c r="D373" s="945"/>
      <c r="E373" s="945"/>
      <c r="F373" s="945"/>
      <c r="G373" s="945"/>
      <c r="H373" s="945"/>
      <c r="I373" s="945"/>
      <c r="J373" s="92"/>
      <c r="M373" s="92"/>
      <c r="N373" s="92"/>
      <c r="O373" s="92"/>
      <c r="T373" s="945"/>
      <c r="U373" s="324"/>
      <c r="X373" s="262"/>
    </row>
    <row r="374" spans="3:24">
      <c r="C374" s="260"/>
      <c r="D374" s="2173" t="s">
        <v>949</v>
      </c>
      <c r="E374" s="2173"/>
      <c r="F374" s="2173"/>
      <c r="G374" s="2173"/>
      <c r="H374" s="2173"/>
      <c r="I374" s="2174"/>
      <c r="J374" s="2178">
        <f ca="1">J685</f>
        <v>0</v>
      </c>
      <c r="K374" s="2192"/>
      <c r="L374" s="2193"/>
      <c r="M374" s="326"/>
      <c r="N374" s="326"/>
      <c r="O374" s="2173" t="s">
        <v>982</v>
      </c>
      <c r="P374" s="2173"/>
      <c r="Q374" s="2173"/>
      <c r="R374" s="2173"/>
      <c r="S374" s="2173"/>
      <c r="T374" s="2180"/>
      <c r="U374" s="2181"/>
      <c r="V374" s="2182"/>
      <c r="X374" s="262"/>
    </row>
    <row r="375" spans="3:24" ht="5.0999999999999996" customHeight="1">
      <c r="C375" s="260"/>
      <c r="D375" s="945"/>
      <c r="E375" s="945"/>
      <c r="F375" s="945"/>
      <c r="G375" s="945"/>
      <c r="H375" s="945"/>
      <c r="I375" s="945"/>
      <c r="J375" s="92"/>
      <c r="M375" s="92"/>
      <c r="N375" s="92"/>
      <c r="O375" s="92"/>
      <c r="R375" s="402"/>
      <c r="S375" s="402"/>
      <c r="T375" s="945"/>
      <c r="U375" s="403"/>
      <c r="V375" s="402"/>
      <c r="X375" s="262"/>
    </row>
    <row r="376" spans="3:24">
      <c r="C376" s="260"/>
      <c r="D376" s="2173" t="s">
        <v>983</v>
      </c>
      <c r="E376" s="2173"/>
      <c r="F376" s="2173"/>
      <c r="G376" s="2173"/>
      <c r="H376" s="2173"/>
      <c r="I376" s="2174"/>
      <c r="J376" s="2178">
        <f>J687</f>
        <v>10</v>
      </c>
      <c r="K376" s="2192"/>
      <c r="L376" s="2193"/>
      <c r="M376" s="327"/>
      <c r="N376" s="92"/>
      <c r="O376" s="2173" t="s">
        <v>951</v>
      </c>
      <c r="P376" s="2173"/>
      <c r="Q376" s="2173"/>
      <c r="R376" s="2173"/>
      <c r="S376" s="2173"/>
      <c r="T376" s="2180"/>
      <c r="U376" s="2181"/>
      <c r="V376" s="2182"/>
      <c r="X376" s="262"/>
    </row>
    <row r="377" spans="3:24" ht="5.0999999999999996" customHeight="1">
      <c r="C377" s="260"/>
      <c r="D377" s="945"/>
      <c r="E377" s="945"/>
      <c r="F377" s="945"/>
      <c r="G377" s="945"/>
      <c r="H377" s="945"/>
      <c r="I377" s="945"/>
      <c r="J377" s="92"/>
      <c r="M377" s="92"/>
      <c r="N377" s="92"/>
      <c r="O377" s="92"/>
      <c r="R377" s="402"/>
      <c r="S377" s="402"/>
      <c r="T377" s="945"/>
      <c r="U377" s="403"/>
      <c r="V377" s="402"/>
      <c r="X377" s="262"/>
    </row>
    <row r="378" spans="3:24">
      <c r="C378" s="260"/>
      <c r="D378" s="2173" t="s">
        <v>952</v>
      </c>
      <c r="E378" s="2173"/>
      <c r="F378" s="2173"/>
      <c r="G378" s="2173"/>
      <c r="H378" s="2173"/>
      <c r="I378" s="2174"/>
      <c r="J378" s="2194">
        <f ca="1">U687</f>
        <v>0</v>
      </c>
      <c r="K378" s="2195"/>
      <c r="L378" s="2196"/>
      <c r="M378" s="325"/>
      <c r="N378" s="325"/>
      <c r="X378" s="262"/>
    </row>
    <row r="379" spans="3:24" ht="5.0999999999999996" customHeight="1">
      <c r="C379" s="260"/>
      <c r="D379" s="945"/>
      <c r="E379" s="945"/>
      <c r="F379" s="945"/>
      <c r="G379" s="945"/>
      <c r="H379" s="945"/>
      <c r="I379" s="945"/>
      <c r="J379" s="92"/>
      <c r="M379" s="92"/>
      <c r="N379" s="92"/>
      <c r="O379" s="92"/>
      <c r="R379" s="402"/>
      <c r="S379" s="402"/>
      <c r="T379" s="945"/>
      <c r="U379" s="403"/>
      <c r="V379" s="402"/>
      <c r="X379" s="262"/>
    </row>
    <row r="380" spans="3:24" ht="14.95" customHeight="1">
      <c r="C380" s="260"/>
      <c r="D380" s="2173" t="s">
        <v>953</v>
      </c>
      <c r="E380" s="2173"/>
      <c r="F380" s="2173"/>
      <c r="G380" s="2173"/>
      <c r="H380" s="2173"/>
      <c r="I380" s="2173"/>
      <c r="J380" s="2489">
        <f ca="1">J689</f>
        <v>0</v>
      </c>
      <c r="K380" s="2490"/>
      <c r="L380" s="2491"/>
      <c r="M380" s="92"/>
      <c r="N380" s="92"/>
      <c r="O380" s="92"/>
      <c r="R380" s="402"/>
      <c r="S380" s="402"/>
      <c r="T380" s="945"/>
      <c r="U380" s="403"/>
      <c r="V380" s="402"/>
      <c r="X380" s="262"/>
    </row>
    <row r="381" spans="3:24" ht="5.3" customHeight="1">
      <c r="C381" s="260"/>
      <c r="D381" s="1374"/>
      <c r="E381" s="1374"/>
      <c r="F381" s="1374"/>
      <c r="G381" s="1374"/>
      <c r="H381" s="1374"/>
      <c r="I381" s="1374"/>
      <c r="J381" s="92"/>
      <c r="M381" s="92"/>
      <c r="N381" s="92"/>
      <c r="O381" s="92"/>
      <c r="R381" s="402"/>
      <c r="S381" s="402"/>
      <c r="T381" s="945"/>
      <c r="U381" s="403"/>
      <c r="V381" s="402"/>
      <c r="X381" s="262"/>
    </row>
    <row r="382" spans="3:24">
      <c r="C382" s="260"/>
      <c r="D382" s="2187" t="s">
        <v>984</v>
      </c>
      <c r="E382" s="2187"/>
      <c r="F382" s="2187"/>
      <c r="G382" s="2187"/>
      <c r="H382" s="2187"/>
      <c r="I382" s="2188"/>
      <c r="J382" s="2402">
        <f>U689</f>
        <v>0</v>
      </c>
      <c r="K382" s="2403"/>
      <c r="L382" s="2404"/>
      <c r="M382" s="329"/>
      <c r="N382" s="329"/>
      <c r="O382" s="329"/>
      <c r="R382" s="402"/>
      <c r="S382" s="402"/>
      <c r="T382" s="946"/>
      <c r="U382" s="403"/>
      <c r="V382" s="402"/>
      <c r="X382" s="262"/>
    </row>
    <row r="383" spans="3:24" ht="5.0999999999999996" customHeight="1">
      <c r="C383" s="260"/>
      <c r="D383" s="945"/>
      <c r="E383" s="945"/>
      <c r="F383" s="945"/>
      <c r="G383" s="945"/>
      <c r="H383" s="945"/>
      <c r="I383" s="945"/>
      <c r="J383" s="92"/>
      <c r="M383" s="92"/>
      <c r="N383" s="92"/>
      <c r="O383" s="92"/>
      <c r="T383" s="945"/>
      <c r="U383" s="92"/>
      <c r="X383" s="262"/>
    </row>
    <row r="384" spans="3:24">
      <c r="C384" s="260"/>
      <c r="D384" s="2408" t="s">
        <v>985</v>
      </c>
      <c r="E384" s="2408"/>
      <c r="F384" s="2408"/>
      <c r="G384" s="2408"/>
      <c r="H384" s="2408"/>
      <c r="I384" s="2409"/>
      <c r="J384" s="2405">
        <f ca="1">J691</f>
        <v>0</v>
      </c>
      <c r="K384" s="2406"/>
      <c r="L384" s="2407"/>
      <c r="M384" s="325"/>
      <c r="N384" s="325"/>
      <c r="O384" s="2173" t="s">
        <v>986</v>
      </c>
      <c r="P384" s="2173"/>
      <c r="Q384" s="2173"/>
      <c r="R384" s="2173"/>
      <c r="S384" s="2173"/>
      <c r="T384" s="2180"/>
      <c r="U384" s="2313">
        <f>U700</f>
        <v>0</v>
      </c>
      <c r="V384" s="2314"/>
      <c r="X384" s="262"/>
    </row>
    <row r="385" spans="3:24" ht="5.0999999999999996" customHeight="1">
      <c r="C385" s="260"/>
      <c r="D385" s="945"/>
      <c r="E385" s="945"/>
      <c r="F385" s="945"/>
      <c r="G385" s="945"/>
      <c r="H385" s="945"/>
      <c r="I385" s="945"/>
      <c r="J385" s="92"/>
      <c r="M385" s="92"/>
      <c r="N385" s="92"/>
      <c r="O385" s="92"/>
      <c r="T385" s="945"/>
      <c r="U385" s="92"/>
      <c r="X385" s="262"/>
    </row>
    <row r="386" spans="3:24">
      <c r="C386" s="260"/>
      <c r="D386" s="2173" t="s">
        <v>987</v>
      </c>
      <c r="E386" s="2173"/>
      <c r="F386" s="2173"/>
      <c r="G386" s="2173"/>
      <c r="H386" s="2173"/>
      <c r="I386" s="2174"/>
      <c r="J386" s="2313">
        <f ca="1">J693</f>
        <v>0</v>
      </c>
      <c r="K386" s="2410"/>
      <c r="L386" s="2314"/>
      <c r="M386" s="330"/>
      <c r="N386" s="331"/>
      <c r="O386" s="2173" t="s">
        <v>988</v>
      </c>
      <c r="P386" s="2173"/>
      <c r="Q386" s="2173"/>
      <c r="R386" s="2173"/>
      <c r="S386" s="2173"/>
      <c r="T386" s="2180"/>
      <c r="U386" s="2183">
        <f>ROUND(O101,4)</f>
        <v>0</v>
      </c>
      <c r="V386" s="2184"/>
      <c r="X386" s="262"/>
    </row>
    <row r="387" spans="3:24" ht="5.0999999999999996" customHeight="1">
      <c r="C387" s="260"/>
      <c r="D387" s="945"/>
      <c r="E387" s="945"/>
      <c r="F387" s="945"/>
      <c r="G387" s="945"/>
      <c r="H387" s="945"/>
      <c r="I387" s="945"/>
      <c r="J387" s="92"/>
      <c r="M387" s="92"/>
      <c r="N387" s="92"/>
      <c r="O387" s="92"/>
      <c r="U387" s="92"/>
      <c r="X387" s="262"/>
    </row>
    <row r="388" spans="3:24">
      <c r="C388" s="260"/>
      <c r="D388" s="2173" t="s">
        <v>989</v>
      </c>
      <c r="E388" s="2173"/>
      <c r="F388" s="2173"/>
      <c r="G388" s="2173"/>
      <c r="H388" s="2173"/>
      <c r="I388" s="2180"/>
      <c r="J388" s="2313" t="e">
        <f ca="1">ROUND(O100/M32,4)</f>
        <v>#DIV/0!</v>
      </c>
      <c r="K388" s="2410"/>
      <c r="L388" s="2314"/>
      <c r="M388" s="332"/>
      <c r="N388" s="92"/>
      <c r="O388" s="92"/>
      <c r="X388" s="262"/>
    </row>
    <row r="389" spans="3:24" ht="5.0999999999999996" customHeight="1">
      <c r="C389" s="260"/>
      <c r="J389" s="92"/>
      <c r="M389" s="92"/>
      <c r="N389" s="92"/>
      <c r="O389" s="92"/>
      <c r="X389" s="262"/>
    </row>
    <row r="390" spans="3:24">
      <c r="C390" s="261"/>
      <c r="D390" s="184"/>
      <c r="E390" s="184"/>
      <c r="F390" s="184"/>
      <c r="G390" s="184"/>
      <c r="H390" s="184"/>
      <c r="I390" s="318"/>
      <c r="J390" s="318"/>
      <c r="K390" s="318"/>
      <c r="L390" s="413"/>
      <c r="M390" s="413"/>
      <c r="N390" s="413"/>
      <c r="O390" s="413"/>
      <c r="P390" s="184"/>
      <c r="Q390" s="184"/>
      <c r="R390" s="184"/>
      <c r="S390" s="184"/>
      <c r="T390" s="184"/>
      <c r="U390" s="184"/>
      <c r="V390" s="184"/>
      <c r="W390" s="184"/>
      <c r="X390" s="263"/>
    </row>
    <row r="391" spans="3:24" ht="5.0999999999999996" customHeight="1"/>
    <row r="392" spans="3:24" ht="5.0999999999999996" customHeight="1">
      <c r="C392" s="621"/>
      <c r="D392" s="610"/>
      <c r="E392" s="610"/>
      <c r="F392" s="610"/>
      <c r="G392" s="610"/>
      <c r="H392" s="610"/>
      <c r="I392" s="610"/>
      <c r="J392" s="610"/>
      <c r="K392" s="610"/>
      <c r="L392" s="610"/>
      <c r="M392" s="610"/>
      <c r="N392" s="610"/>
      <c r="O392" s="610"/>
      <c r="P392" s="610"/>
      <c r="Q392" s="610"/>
      <c r="R392" s="610"/>
      <c r="S392" s="610"/>
      <c r="T392" s="610"/>
      <c r="U392" s="610"/>
      <c r="V392" s="610"/>
      <c r="W392" s="610"/>
      <c r="X392" s="1158"/>
    </row>
    <row r="393" spans="3:24">
      <c r="C393" s="260"/>
      <c r="D393" s="2179" t="s">
        <v>990</v>
      </c>
      <c r="E393" s="2179"/>
      <c r="F393" s="2179"/>
      <c r="G393" s="2179"/>
      <c r="H393" s="2179"/>
      <c r="I393" s="2179"/>
      <c r="J393" s="2179"/>
      <c r="K393" s="2179"/>
      <c r="L393" s="2179"/>
      <c r="M393" s="2179"/>
      <c r="N393" s="2179"/>
      <c r="O393" s="2179"/>
      <c r="P393" s="2179"/>
      <c r="Q393" s="2179"/>
      <c r="R393" s="2179"/>
      <c r="S393" s="2179"/>
      <c r="T393" s="2179"/>
      <c r="U393" s="2179"/>
      <c r="V393" s="2179"/>
      <c r="W393" s="2179"/>
      <c r="X393" s="262"/>
    </row>
    <row r="394" spans="3:24" ht="5.0999999999999996" customHeight="1">
      <c r="C394" s="260"/>
      <c r="X394" s="262"/>
    </row>
    <row r="395" spans="3:24">
      <c r="C395" s="260"/>
      <c r="I395" s="946" t="s">
        <v>991</v>
      </c>
      <c r="J395" s="2181"/>
      <c r="K395" s="2191"/>
      <c r="L395" s="2182"/>
      <c r="M395" s="403"/>
      <c r="N395" s="403"/>
      <c r="O395" s="2173" t="s">
        <v>992</v>
      </c>
      <c r="P395" s="2173"/>
      <c r="Q395" s="2173"/>
      <c r="R395" s="2173"/>
      <c r="S395" s="2173"/>
      <c r="T395" s="2180"/>
      <c r="U395" s="2181"/>
      <c r="V395" s="2182"/>
      <c r="X395" s="262"/>
    </row>
    <row r="396" spans="3:24" ht="5.0999999999999996" customHeight="1">
      <c r="C396" s="260"/>
      <c r="I396" s="946"/>
      <c r="J396" s="404"/>
      <c r="K396" s="404"/>
      <c r="L396" s="402"/>
      <c r="M396" s="402"/>
      <c r="N396" s="402"/>
      <c r="O396" s="402"/>
      <c r="P396" s="402"/>
      <c r="Q396" s="402"/>
      <c r="R396" s="402"/>
      <c r="S396" s="402"/>
      <c r="T396" s="946"/>
      <c r="U396" s="402"/>
      <c r="V396" s="402"/>
      <c r="X396" s="262"/>
    </row>
    <row r="397" spans="3:24">
      <c r="C397" s="260"/>
      <c r="I397" s="946" t="s">
        <v>993</v>
      </c>
      <c r="J397" s="2181"/>
      <c r="K397" s="2191"/>
      <c r="L397" s="2182"/>
      <c r="M397" s="403"/>
      <c r="N397" s="403"/>
      <c r="O397" s="2173" t="s">
        <v>994</v>
      </c>
      <c r="P397" s="2173"/>
      <c r="Q397" s="2173"/>
      <c r="R397" s="2173"/>
      <c r="S397" s="2173"/>
      <c r="T397" s="2180"/>
      <c r="U397" s="2181"/>
      <c r="V397" s="2182"/>
      <c r="X397" s="262"/>
    </row>
    <row r="398" spans="3:24" ht="5.0999999999999996" customHeight="1">
      <c r="C398" s="260"/>
      <c r="I398" s="946"/>
      <c r="J398" s="404"/>
      <c r="K398" s="404"/>
      <c r="L398" s="402"/>
      <c r="M398" s="402"/>
      <c r="N398" s="402"/>
      <c r="O398" s="402"/>
      <c r="P398" s="402"/>
      <c r="Q398" s="402"/>
      <c r="R398" s="402"/>
      <c r="S398" s="402"/>
      <c r="T398" s="946"/>
      <c r="U398" s="402"/>
      <c r="V398" s="402"/>
      <c r="X398" s="262"/>
    </row>
    <row r="399" spans="3:24">
      <c r="C399" s="260"/>
      <c r="I399" s="946" t="s">
        <v>995</v>
      </c>
      <c r="J399" s="2181"/>
      <c r="K399" s="2191"/>
      <c r="L399" s="2182"/>
      <c r="M399" s="403"/>
      <c r="N399" s="403"/>
      <c r="O399" s="2173" t="s">
        <v>996</v>
      </c>
      <c r="P399" s="2173"/>
      <c r="Q399" s="2173"/>
      <c r="R399" s="2173"/>
      <c r="S399" s="2173"/>
      <c r="T399" s="2180"/>
      <c r="U399" s="2181"/>
      <c r="V399" s="2182"/>
      <c r="X399" s="262"/>
    </row>
    <row r="400" spans="3:24" ht="5.0999999999999996" customHeight="1">
      <c r="C400" s="261"/>
      <c r="D400" s="184"/>
      <c r="E400" s="184"/>
      <c r="F400" s="184"/>
      <c r="G400" s="184"/>
      <c r="H400" s="184"/>
      <c r="I400" s="407"/>
      <c r="J400" s="407"/>
      <c r="K400" s="407"/>
      <c r="L400" s="407"/>
      <c r="M400" s="407"/>
      <c r="N400" s="407"/>
      <c r="O400" s="407"/>
      <c r="P400" s="407"/>
      <c r="Q400" s="407"/>
      <c r="R400" s="407"/>
      <c r="S400" s="407"/>
      <c r="T400" s="407"/>
      <c r="U400" s="407"/>
      <c r="V400" s="407"/>
      <c r="W400" s="184"/>
      <c r="X400" s="263"/>
    </row>
    <row r="401" spans="3:24" ht="5.0999999999999996" customHeight="1"/>
    <row r="402" spans="3:24" ht="5.0999999999999996" customHeight="1">
      <c r="C402" s="621"/>
      <c r="D402" s="610"/>
      <c r="E402" s="610"/>
      <c r="F402" s="610"/>
      <c r="G402" s="610"/>
      <c r="H402" s="610"/>
      <c r="I402" s="610"/>
      <c r="J402" s="610"/>
      <c r="K402" s="610"/>
      <c r="L402" s="610"/>
      <c r="M402" s="610"/>
      <c r="N402" s="610"/>
      <c r="O402" s="610"/>
      <c r="P402" s="610"/>
      <c r="Q402" s="610"/>
      <c r="R402" s="610"/>
      <c r="S402" s="610"/>
      <c r="T402" s="610"/>
      <c r="U402" s="610"/>
      <c r="V402" s="610"/>
      <c r="W402" s="610"/>
      <c r="X402" s="1158"/>
    </row>
    <row r="403" spans="3:24">
      <c r="C403" s="260"/>
      <c r="D403" s="2179" t="s">
        <v>997</v>
      </c>
      <c r="E403" s="2179"/>
      <c r="F403" s="2179"/>
      <c r="G403" s="2179"/>
      <c r="H403" s="2179"/>
      <c r="I403" s="2179"/>
      <c r="J403" s="2179"/>
      <c r="K403" s="2179"/>
      <c r="L403" s="2179"/>
      <c r="M403" s="2179"/>
      <c r="N403" s="2179"/>
      <c r="O403" s="2179"/>
      <c r="P403" s="2179"/>
      <c r="Q403" s="2179"/>
      <c r="R403" s="2179"/>
      <c r="S403" s="2179"/>
      <c r="T403" s="2179"/>
      <c r="U403" s="2179"/>
      <c r="V403" s="2179"/>
      <c r="W403" s="2179"/>
      <c r="X403" s="262"/>
    </row>
    <row r="404" spans="3:24" ht="5.0999999999999996" customHeight="1">
      <c r="C404" s="260"/>
      <c r="X404" s="262"/>
    </row>
    <row r="405" spans="3:24">
      <c r="C405" s="260"/>
      <c r="D405" s="2173" t="s">
        <v>998</v>
      </c>
      <c r="E405" s="2173"/>
      <c r="F405" s="2173"/>
      <c r="G405" s="2173"/>
      <c r="H405" s="2173"/>
      <c r="I405" s="2180"/>
      <c r="J405" s="2258">
        <f>M28</f>
        <v>0</v>
      </c>
      <c r="K405" s="2191"/>
      <c r="L405" s="2182"/>
      <c r="M405" s="403"/>
      <c r="N405" s="403"/>
      <c r="O405" s="403"/>
      <c r="P405" s="402"/>
      <c r="Q405" s="402"/>
      <c r="R405" s="402"/>
      <c r="S405" s="402"/>
      <c r="T405" s="946" t="s">
        <v>999</v>
      </c>
      <c r="U405" s="2259"/>
      <c r="V405" s="2260"/>
      <c r="X405" s="262"/>
    </row>
    <row r="406" spans="3:24" ht="5.0999999999999996" customHeight="1">
      <c r="C406" s="260"/>
      <c r="D406" s="945"/>
      <c r="E406" s="945"/>
      <c r="F406" s="945"/>
      <c r="G406" s="945"/>
      <c r="H406" s="945"/>
      <c r="I406" s="946"/>
      <c r="J406" s="404"/>
      <c r="K406" s="404"/>
      <c r="L406" s="402"/>
      <c r="M406" s="402"/>
      <c r="N406" s="402"/>
      <c r="O406" s="402"/>
      <c r="P406" s="402"/>
      <c r="Q406" s="402"/>
      <c r="R406" s="402"/>
      <c r="S406" s="402"/>
      <c r="T406" s="946"/>
      <c r="U406" s="402"/>
      <c r="V406" s="402"/>
      <c r="X406" s="262"/>
    </row>
    <row r="407" spans="3:24" ht="14.95" customHeight="1">
      <c r="C407" s="260"/>
      <c r="D407" s="2186" t="s">
        <v>1000</v>
      </c>
      <c r="E407" s="2186"/>
      <c r="F407" s="2186"/>
      <c r="G407" s="2186"/>
      <c r="H407" s="2186"/>
      <c r="I407" s="2186"/>
      <c r="J407" s="2259"/>
      <c r="K407" s="2265"/>
      <c r="L407" s="2260"/>
      <c r="M407" s="403"/>
      <c r="N407" s="403"/>
      <c r="O407" s="403"/>
      <c r="P407" s="402"/>
      <c r="Q407" s="402"/>
      <c r="R407" s="402"/>
      <c r="S407" s="402"/>
      <c r="T407" s="946" t="s">
        <v>1001</v>
      </c>
      <c r="U407" s="2259"/>
      <c r="V407" s="2260"/>
      <c r="X407" s="262"/>
    </row>
    <row r="408" spans="3:24" ht="7.5" customHeight="1">
      <c r="C408" s="261"/>
      <c r="D408" s="2256"/>
      <c r="E408" s="2256"/>
      <c r="F408" s="2256"/>
      <c r="G408" s="2256"/>
      <c r="H408" s="2256"/>
      <c r="I408" s="2256"/>
      <c r="J408" s="184"/>
      <c r="K408" s="184"/>
      <c r="L408" s="184"/>
      <c r="M408" s="184"/>
      <c r="N408" s="184"/>
      <c r="O408" s="184"/>
      <c r="P408" s="184"/>
      <c r="Q408" s="184"/>
      <c r="R408" s="184"/>
      <c r="S408" s="184"/>
      <c r="T408" s="184"/>
      <c r="U408" s="184"/>
      <c r="V408" s="184"/>
      <c r="W408" s="184"/>
      <c r="X408" s="263"/>
    </row>
    <row r="409" spans="3:24" ht="5.0999999999999996" customHeight="1"/>
    <row r="410" spans="3:24" ht="5.0999999999999996" customHeight="1">
      <c r="C410" s="621"/>
      <c r="D410" s="610"/>
      <c r="E410" s="610"/>
      <c r="F410" s="610"/>
      <c r="G410" s="610"/>
      <c r="H410" s="610"/>
      <c r="I410" s="610"/>
      <c r="J410" s="610"/>
      <c r="K410" s="610"/>
      <c r="L410" s="610"/>
      <c r="M410" s="610"/>
      <c r="N410" s="610"/>
      <c r="O410" s="610"/>
      <c r="P410" s="610"/>
      <c r="Q410" s="610"/>
      <c r="R410" s="610"/>
      <c r="S410" s="610"/>
      <c r="T410" s="610"/>
      <c r="U410" s="610"/>
      <c r="V410" s="610"/>
      <c r="W410" s="610"/>
      <c r="X410" s="1158"/>
    </row>
    <row r="411" spans="3:24">
      <c r="C411" s="260"/>
      <c r="D411" s="2179" t="s">
        <v>1002</v>
      </c>
      <c r="E411" s="2179"/>
      <c r="F411" s="2179"/>
      <c r="G411" s="2179"/>
      <c r="H411" s="2179"/>
      <c r="I411" s="2179"/>
      <c r="J411" s="2179"/>
      <c r="K411" s="2179"/>
      <c r="L411" s="2179"/>
      <c r="M411" s="2179"/>
      <c r="N411" s="2179"/>
      <c r="O411" s="2179"/>
      <c r="P411" s="2179"/>
      <c r="Q411" s="2179"/>
      <c r="R411" s="2179"/>
      <c r="S411" s="2179"/>
      <c r="T411" s="2179"/>
      <c r="U411" s="2179"/>
      <c r="V411" s="2179"/>
      <c r="W411" s="2179"/>
      <c r="X411" s="262"/>
    </row>
    <row r="412" spans="3:24" ht="5.0999999999999996" customHeight="1">
      <c r="C412" s="260"/>
      <c r="X412" s="262"/>
    </row>
    <row r="413" spans="3:24" ht="14.3" customHeight="1">
      <c r="C413" s="955"/>
      <c r="D413" s="2173" t="s">
        <v>926</v>
      </c>
      <c r="E413" s="2173"/>
      <c r="F413" s="2173"/>
      <c r="G413" s="2173"/>
      <c r="H413" s="2173"/>
      <c r="I413" s="2261"/>
      <c r="J413" s="2262">
        <f>J610</f>
        <v>0</v>
      </c>
      <c r="K413" s="2263"/>
      <c r="L413" s="2264"/>
      <c r="M413" s="408"/>
      <c r="N413" s="951"/>
      <c r="O413" s="2173"/>
      <c r="P413" s="2173"/>
      <c r="Q413" s="2173"/>
      <c r="R413" s="2173"/>
      <c r="S413" s="2173"/>
      <c r="T413" s="2173"/>
      <c r="U413" s="402"/>
      <c r="V413" s="402"/>
      <c r="X413" s="262"/>
    </row>
    <row r="414" spans="3:24" ht="5.0999999999999996" customHeight="1">
      <c r="C414" s="955"/>
      <c r="D414" s="945"/>
      <c r="E414" s="945"/>
      <c r="F414" s="945"/>
      <c r="G414" s="945"/>
      <c r="H414" s="945"/>
      <c r="I414" s="945"/>
      <c r="L414" s="293"/>
      <c r="M414" s="293"/>
      <c r="N414" s="951"/>
      <c r="O414" s="951"/>
      <c r="P414" s="945"/>
      <c r="Q414" s="945"/>
      <c r="R414" s="945"/>
      <c r="S414" s="945"/>
      <c r="T414" s="945"/>
      <c r="U414" s="408"/>
      <c r="V414" s="402"/>
      <c r="X414" s="262"/>
    </row>
    <row r="415" spans="3:24">
      <c r="C415" s="955"/>
      <c r="D415" s="2173" t="s">
        <v>1003</v>
      </c>
      <c r="E415" s="2173"/>
      <c r="F415" s="2173"/>
      <c r="G415" s="2173"/>
      <c r="H415" s="2173"/>
      <c r="I415" s="2174"/>
      <c r="J415" s="2197" t="str">
        <f>IF(AND(S28&lt;&gt;"",S30&lt;&gt;""),"Error on QC page",IF(S28&lt;&gt;"","Customer Only Agreement",IF(S30&lt;&gt;"","Customer and Contractor Agreement","NOT Specified?")))</f>
        <v>NOT Specified?</v>
      </c>
      <c r="K415" s="2176"/>
      <c r="L415" s="2177"/>
      <c r="M415" s="293"/>
      <c r="N415" s="951"/>
      <c r="O415" s="2173" t="s">
        <v>1004</v>
      </c>
      <c r="P415" s="2173"/>
      <c r="Q415" s="2173"/>
      <c r="R415" s="2173"/>
      <c r="S415" s="2173"/>
      <c r="T415" s="2174"/>
      <c r="U415" s="2178">
        <f>M32</f>
        <v>0</v>
      </c>
      <c r="V415" s="2193"/>
      <c r="X415" s="262"/>
    </row>
    <row r="416" spans="3:24" ht="5.0999999999999996" customHeight="1">
      <c r="C416" s="955"/>
      <c r="D416" s="945"/>
      <c r="E416" s="945"/>
      <c r="F416" s="945"/>
      <c r="G416" s="945"/>
      <c r="H416" s="945"/>
      <c r="I416" s="945"/>
      <c r="J416" s="293"/>
      <c r="M416" s="293"/>
      <c r="N416" s="951"/>
      <c r="O416" s="951"/>
      <c r="P416" s="945"/>
      <c r="Q416" s="945"/>
      <c r="R416" s="945"/>
      <c r="S416" s="945"/>
      <c r="T416" s="945"/>
      <c r="U416" s="293"/>
      <c r="X416" s="262"/>
    </row>
    <row r="417" spans="3:24">
      <c r="C417" s="955"/>
      <c r="D417" s="945"/>
      <c r="E417" s="945"/>
      <c r="F417" s="945"/>
      <c r="G417" s="945"/>
      <c r="H417" s="945"/>
      <c r="I417" s="945"/>
      <c r="J417" s="293"/>
      <c r="M417" s="293"/>
      <c r="N417" s="951"/>
      <c r="O417" s="2173" t="s">
        <v>1005</v>
      </c>
      <c r="P417" s="2173"/>
      <c r="Q417" s="2173"/>
      <c r="R417" s="2173"/>
      <c r="S417" s="2173"/>
      <c r="T417" s="2180"/>
      <c r="U417" s="2181"/>
      <c r="V417" s="2182"/>
      <c r="X417" s="262"/>
    </row>
    <row r="418" spans="3:24" ht="5.0999999999999996" customHeight="1">
      <c r="C418" s="955"/>
      <c r="D418" s="945"/>
      <c r="E418" s="945"/>
      <c r="F418" s="945"/>
      <c r="G418" s="945"/>
      <c r="H418" s="945"/>
      <c r="I418" s="945"/>
      <c r="J418" s="293"/>
      <c r="M418" s="293"/>
      <c r="N418" s="951"/>
      <c r="O418" s="951"/>
      <c r="P418" s="945"/>
      <c r="Q418" s="945"/>
      <c r="R418" s="945"/>
      <c r="S418" s="945"/>
      <c r="T418" s="945"/>
      <c r="U418" s="293"/>
      <c r="X418" s="262"/>
    </row>
    <row r="419" spans="3:24">
      <c r="C419" s="955"/>
      <c r="D419" s="2173" t="s">
        <v>1006</v>
      </c>
      <c r="E419" s="2173"/>
      <c r="F419" s="2173"/>
      <c r="G419" s="2173"/>
      <c r="H419" s="2173"/>
      <c r="I419" s="2180"/>
      <c r="J419" s="2266">
        <f ca="1">DATA!C11</f>
        <v>0</v>
      </c>
      <c r="K419" s="2267"/>
      <c r="L419" s="2268"/>
      <c r="M419" s="310"/>
      <c r="N419" s="951"/>
      <c r="O419" s="2173" t="s">
        <v>1007</v>
      </c>
      <c r="P419" s="2173"/>
      <c r="Q419" s="2173"/>
      <c r="R419" s="2173"/>
      <c r="S419" s="2173"/>
      <c r="T419" s="2174"/>
      <c r="U419" s="2178">
        <f ca="1">U612</f>
        <v>0</v>
      </c>
      <c r="V419" s="2177"/>
      <c r="X419" s="262"/>
    </row>
    <row r="420" spans="3:24" ht="5.0999999999999996" customHeight="1">
      <c r="C420" s="955"/>
      <c r="D420" s="945"/>
      <c r="E420" s="945"/>
      <c r="F420" s="945"/>
      <c r="G420" s="945"/>
      <c r="H420" s="945"/>
      <c r="I420" s="945"/>
      <c r="J420" s="293"/>
      <c r="M420" s="293"/>
      <c r="N420" s="951"/>
      <c r="O420" s="951"/>
      <c r="P420" s="945"/>
      <c r="Q420" s="945"/>
      <c r="R420" s="945"/>
      <c r="S420" s="945"/>
      <c r="T420" s="945"/>
      <c r="U420" s="293"/>
      <c r="X420" s="262"/>
    </row>
    <row r="421" spans="3:24" ht="14.95" customHeight="1">
      <c r="C421" s="955"/>
      <c r="D421" s="2186" t="s">
        <v>1008</v>
      </c>
      <c r="E421" s="2186"/>
      <c r="F421" s="2186"/>
      <c r="G421" s="2186"/>
      <c r="H421" s="2186"/>
      <c r="I421" s="2186"/>
      <c r="J421" s="2197">
        <f ca="1">J614</f>
        <v>0</v>
      </c>
      <c r="K421" s="2176"/>
      <c r="L421" s="2177"/>
      <c r="M421" s="293"/>
      <c r="N421" s="951"/>
      <c r="O421" s="2173" t="s">
        <v>929</v>
      </c>
      <c r="P421" s="2173"/>
      <c r="Q421" s="2173"/>
      <c r="R421" s="2173"/>
      <c r="S421" s="2173"/>
      <c r="T421" s="2174"/>
      <c r="U421" s="2269">
        <f ca="1">U614</f>
        <v>0</v>
      </c>
      <c r="V421" s="2270"/>
      <c r="X421" s="262"/>
    </row>
    <row r="422" spans="3:24" ht="7.5" customHeight="1">
      <c r="C422" s="955"/>
      <c r="D422" s="2186"/>
      <c r="E422" s="2186"/>
      <c r="F422" s="2186"/>
      <c r="G422" s="2186"/>
      <c r="H422" s="2186"/>
      <c r="I422" s="2186"/>
      <c r="J422" s="293"/>
      <c r="M422" s="293"/>
      <c r="N422" s="951"/>
      <c r="O422" s="951"/>
      <c r="P422" s="945"/>
      <c r="Q422" s="945"/>
      <c r="R422" s="945"/>
      <c r="S422" s="945"/>
      <c r="T422" s="945"/>
      <c r="U422" s="293"/>
      <c r="X422" s="262"/>
    </row>
    <row r="423" spans="3:24" ht="14.95" customHeight="1">
      <c r="C423" s="955"/>
      <c r="D423" s="2173" t="s">
        <v>904</v>
      </c>
      <c r="E423" s="2173"/>
      <c r="F423" s="2173"/>
      <c r="G423" s="2173"/>
      <c r="H423" s="2173"/>
      <c r="I423" s="2174"/>
      <c r="J423" s="2271">
        <f ca="1">J612</f>
        <v>0</v>
      </c>
      <c r="K423" s="2176"/>
      <c r="L423" s="2177"/>
      <c r="M423" s="293"/>
      <c r="N423" s="951"/>
      <c r="O423" s="2173" t="s">
        <v>1009</v>
      </c>
      <c r="P423" s="2173"/>
      <c r="Q423" s="2173"/>
      <c r="R423" s="2173"/>
      <c r="S423" s="2173"/>
      <c r="T423" s="2174"/>
      <c r="U423" s="2197">
        <f ca="1">J616</f>
        <v>0</v>
      </c>
      <c r="V423" s="2177"/>
      <c r="X423" s="262"/>
    </row>
    <row r="424" spans="3:24" ht="7.5" customHeight="1">
      <c r="C424" s="955"/>
      <c r="D424" s="945"/>
      <c r="E424" s="945"/>
      <c r="F424" s="945"/>
      <c r="G424" s="945"/>
      <c r="H424" s="945"/>
      <c r="I424" s="945"/>
      <c r="J424" s="293"/>
      <c r="M424" s="293"/>
      <c r="N424" s="951"/>
      <c r="O424" s="952"/>
      <c r="P424" s="952"/>
      <c r="Q424" s="952"/>
      <c r="R424" s="952"/>
      <c r="S424" s="952"/>
      <c r="T424" s="952"/>
      <c r="U424" s="293"/>
      <c r="X424" s="262"/>
    </row>
    <row r="425" spans="3:24" ht="14.95" customHeight="1">
      <c r="C425" s="955"/>
      <c r="D425" s="2186" t="s">
        <v>1010</v>
      </c>
      <c r="E425" s="2186"/>
      <c r="F425" s="2186"/>
      <c r="G425" s="2186"/>
      <c r="H425" s="2186"/>
      <c r="I425" s="2186"/>
      <c r="J425" s="2178">
        <f ca="1">U616</f>
        <v>0</v>
      </c>
      <c r="K425" s="2176"/>
      <c r="L425" s="2177"/>
      <c r="M425" s="293"/>
      <c r="N425" s="951"/>
      <c r="O425" s="2173" t="s">
        <v>1011</v>
      </c>
      <c r="P425" s="2173"/>
      <c r="Q425" s="2173"/>
      <c r="R425" s="2173"/>
      <c r="S425" s="2173"/>
      <c r="T425" s="2174"/>
      <c r="U425" s="2269">
        <f ca="1">DATA!AX4</f>
        <v>0</v>
      </c>
      <c r="V425" s="2270"/>
      <c r="X425" s="262"/>
    </row>
    <row r="426" spans="3:24" ht="7.5" customHeight="1">
      <c r="C426" s="955"/>
      <c r="D426" s="2186"/>
      <c r="E426" s="2186"/>
      <c r="F426" s="2186"/>
      <c r="G426" s="2186"/>
      <c r="H426" s="2186"/>
      <c r="I426" s="2186"/>
      <c r="J426" s="293"/>
      <c r="M426" s="293"/>
      <c r="N426" s="951"/>
      <c r="O426" s="951"/>
      <c r="P426" s="945"/>
      <c r="Q426" s="945"/>
      <c r="R426" s="945"/>
      <c r="S426" s="945"/>
      <c r="T426" s="945"/>
      <c r="U426" s="293"/>
      <c r="X426" s="262"/>
    </row>
    <row r="427" spans="3:24">
      <c r="C427" s="955"/>
      <c r="D427" s="2189" t="s">
        <v>1012</v>
      </c>
      <c r="E427" s="2173"/>
      <c r="F427" s="2173"/>
      <c r="G427" s="2173"/>
      <c r="H427" s="2173"/>
      <c r="I427" s="2174"/>
      <c r="J427" s="2178">
        <f ca="1">U622</f>
        <v>0</v>
      </c>
      <c r="K427" s="2176"/>
      <c r="L427" s="2177"/>
      <c r="M427" s="293"/>
      <c r="N427" s="951"/>
      <c r="O427" s="2173" t="s">
        <v>1013</v>
      </c>
      <c r="P427" s="2173"/>
      <c r="Q427" s="2173"/>
      <c r="R427" s="2173"/>
      <c r="S427" s="2173"/>
      <c r="T427" s="2174"/>
      <c r="U427" s="2197">
        <f ca="1">J622</f>
        <v>0</v>
      </c>
      <c r="V427" s="2177"/>
      <c r="X427" s="262"/>
    </row>
    <row r="428" spans="3:24" ht="5.0999999999999996" customHeight="1">
      <c r="C428" s="955"/>
      <c r="D428" s="945"/>
      <c r="E428" s="945"/>
      <c r="F428" s="945"/>
      <c r="G428" s="945"/>
      <c r="H428" s="945"/>
      <c r="I428" s="945"/>
      <c r="J428" s="293"/>
      <c r="M428" s="293"/>
      <c r="N428" s="951"/>
      <c r="O428" s="951"/>
      <c r="P428" s="953"/>
      <c r="Q428" s="945"/>
      <c r="R428" s="945"/>
      <c r="S428" s="945"/>
      <c r="T428" s="945"/>
      <c r="U428" s="293"/>
      <c r="X428" s="262"/>
    </row>
    <row r="429" spans="3:24">
      <c r="C429" s="955"/>
      <c r="D429" s="2173" t="s">
        <v>1014</v>
      </c>
      <c r="E429" s="2173"/>
      <c r="F429" s="2173"/>
      <c r="G429" s="2173"/>
      <c r="H429" s="2173"/>
      <c r="I429" s="2174"/>
      <c r="J429" s="2178" t="str">
        <f ca="1">U624</f>
        <v>WA</v>
      </c>
      <c r="K429" s="2176"/>
      <c r="L429" s="2177"/>
      <c r="M429" s="293"/>
      <c r="N429" s="951"/>
      <c r="O429" s="2173" t="s">
        <v>1015</v>
      </c>
      <c r="P429" s="2173"/>
      <c r="Q429" s="2173"/>
      <c r="R429" s="2173"/>
      <c r="S429" s="2173"/>
      <c r="T429" s="2174"/>
      <c r="U429" s="2197">
        <f ca="1">J624</f>
        <v>0</v>
      </c>
      <c r="V429" s="2177"/>
      <c r="X429" s="262"/>
    </row>
    <row r="430" spans="3:24" ht="5.0999999999999996" customHeight="1">
      <c r="C430" s="955"/>
      <c r="D430" s="945"/>
      <c r="E430" s="945"/>
      <c r="F430" s="945"/>
      <c r="G430" s="945"/>
      <c r="H430" s="945"/>
      <c r="I430" s="945"/>
      <c r="J430" s="293"/>
      <c r="M430" s="293"/>
      <c r="N430" s="951"/>
      <c r="O430" s="951"/>
      <c r="P430" s="945"/>
      <c r="Q430" s="945"/>
      <c r="R430" s="945"/>
      <c r="S430" s="945"/>
      <c r="T430" s="945"/>
      <c r="U430" s="293"/>
      <c r="X430" s="262"/>
    </row>
    <row r="431" spans="3:24" ht="14.95" customHeight="1">
      <c r="C431" s="955"/>
      <c r="D431" s="2186" t="s">
        <v>937</v>
      </c>
      <c r="E431" s="2186"/>
      <c r="F431" s="2186"/>
      <c r="G431" s="2186"/>
      <c r="H431" s="2186"/>
      <c r="I431" s="2186"/>
      <c r="J431" s="2178" t="str">
        <f ca="1">U591</f>
        <v/>
      </c>
      <c r="K431" s="2176"/>
      <c r="L431" s="2177"/>
      <c r="M431" s="293"/>
      <c r="N431" s="951"/>
      <c r="O431" s="2173" t="s">
        <v>938</v>
      </c>
      <c r="P431" s="2173"/>
      <c r="Q431" s="2173"/>
      <c r="R431" s="2173"/>
      <c r="S431" s="2173"/>
      <c r="T431" s="2174"/>
      <c r="U431" s="2197" t="str">
        <f ca="1">DATA!AF18</f>
        <v/>
      </c>
      <c r="V431" s="2177"/>
      <c r="X431" s="262"/>
    </row>
    <row r="432" spans="3:24" ht="7.5" customHeight="1">
      <c r="C432" s="955"/>
      <c r="D432" s="2186"/>
      <c r="E432" s="2186"/>
      <c r="F432" s="2186"/>
      <c r="G432" s="2186"/>
      <c r="H432" s="2186"/>
      <c r="I432" s="2186"/>
      <c r="J432" s="293"/>
      <c r="M432" s="293"/>
      <c r="N432" s="951"/>
      <c r="O432" s="951"/>
      <c r="P432" s="945"/>
      <c r="Q432" s="945"/>
      <c r="R432" s="945"/>
      <c r="S432" s="945"/>
      <c r="T432" s="945"/>
      <c r="U432" s="293"/>
      <c r="X432" s="262"/>
    </row>
    <row r="433" spans="3:24">
      <c r="C433" s="955"/>
      <c r="D433" s="2173" t="s">
        <v>849</v>
      </c>
      <c r="E433" s="2173"/>
      <c r="F433" s="2173"/>
      <c r="G433" s="2173"/>
      <c r="H433" s="2173"/>
      <c r="I433" s="2174"/>
      <c r="J433" s="2316" t="str">
        <f ca="1">U593</f>
        <v/>
      </c>
      <c r="K433" s="2411"/>
      <c r="L433" s="2317"/>
      <c r="M433" s="333"/>
      <c r="N433" s="951"/>
      <c r="O433" s="2173" t="s">
        <v>1016</v>
      </c>
      <c r="P433" s="2173"/>
      <c r="Q433" s="2173"/>
      <c r="R433" s="2173"/>
      <c r="S433" s="2173"/>
      <c r="T433" s="2174"/>
      <c r="U433" s="2197" t="str">
        <f ca="1">J595</f>
        <v/>
      </c>
      <c r="V433" s="2177"/>
      <c r="X433" s="262"/>
    </row>
    <row r="434" spans="3:24" ht="5.0999999999999996" customHeight="1">
      <c r="C434" s="955"/>
      <c r="D434" s="945"/>
      <c r="E434" s="945"/>
      <c r="F434" s="945"/>
      <c r="G434" s="945"/>
      <c r="H434" s="945"/>
      <c r="I434" s="945"/>
      <c r="J434" s="293"/>
      <c r="M434" s="293"/>
      <c r="N434" s="951"/>
      <c r="O434" s="951"/>
      <c r="P434" s="945"/>
      <c r="Q434" s="945"/>
      <c r="R434" s="945"/>
      <c r="S434" s="945"/>
      <c r="T434" s="945"/>
      <c r="U434" s="293"/>
      <c r="X434" s="262"/>
    </row>
    <row r="435" spans="3:24" ht="14.95" customHeight="1">
      <c r="C435" s="2185" t="s">
        <v>1017</v>
      </c>
      <c r="D435" s="2186"/>
      <c r="E435" s="2186"/>
      <c r="F435" s="2186"/>
      <c r="G435" s="2186"/>
      <c r="H435" s="2186"/>
      <c r="I435" s="2186"/>
      <c r="J435" s="2181" t="str">
        <f ca="1">IF(J431=J577,"",J577)</f>
        <v/>
      </c>
      <c r="K435" s="2191"/>
      <c r="L435" s="2182"/>
      <c r="M435" s="323"/>
      <c r="O435" s="2186" t="s">
        <v>1018</v>
      </c>
      <c r="P435" s="2186"/>
      <c r="Q435" s="2186"/>
      <c r="R435" s="2186"/>
      <c r="S435" s="2186"/>
      <c r="T435" s="2186"/>
      <c r="U435" s="2181" t="str">
        <f ca="1">IF(U431=DATA!AF20,"",DATA!AF20)</f>
        <v/>
      </c>
      <c r="V435" s="2182"/>
      <c r="X435" s="262"/>
    </row>
    <row r="436" spans="3:24" ht="7.5" customHeight="1">
      <c r="C436" s="2185"/>
      <c r="D436" s="2186"/>
      <c r="E436" s="2186"/>
      <c r="F436" s="2186"/>
      <c r="G436" s="2186"/>
      <c r="H436" s="2186"/>
      <c r="I436" s="2186"/>
      <c r="J436" s="310"/>
      <c r="K436" s="443"/>
      <c r="M436" s="310"/>
      <c r="N436" s="947"/>
      <c r="O436" s="2186"/>
      <c r="P436" s="2186"/>
      <c r="Q436" s="2186"/>
      <c r="R436" s="2186"/>
      <c r="S436" s="2186"/>
      <c r="T436" s="2186"/>
      <c r="X436" s="262"/>
    </row>
    <row r="437" spans="3:24" ht="14.95" customHeight="1">
      <c r="C437" s="2185" t="s">
        <v>1019</v>
      </c>
      <c r="D437" s="2186"/>
      <c r="E437" s="2186"/>
      <c r="F437" s="2186"/>
      <c r="G437" s="2186"/>
      <c r="H437" s="2186"/>
      <c r="I437" s="2186"/>
      <c r="J437" s="2369" t="str">
        <f ca="1">IF(J433=J581,"",J581)</f>
        <v/>
      </c>
      <c r="K437" s="2412"/>
      <c r="L437" s="2413"/>
      <c r="M437" s="323"/>
      <c r="O437" s="2186" t="s">
        <v>1020</v>
      </c>
      <c r="P437" s="2186"/>
      <c r="Q437" s="2186"/>
      <c r="R437" s="2186"/>
      <c r="S437" s="2186"/>
      <c r="T437" s="2186"/>
      <c r="U437" s="2181" t="str">
        <f ca="1">IF(U433=U581,"",U581)</f>
        <v/>
      </c>
      <c r="V437" s="2182"/>
      <c r="X437" s="262"/>
    </row>
    <row r="438" spans="3:24" ht="7.5" customHeight="1">
      <c r="C438" s="2185"/>
      <c r="D438" s="2186"/>
      <c r="E438" s="2186"/>
      <c r="F438" s="2186"/>
      <c r="G438" s="2186"/>
      <c r="H438" s="2186"/>
      <c r="I438" s="2186"/>
      <c r="J438" s="310"/>
      <c r="K438" s="443"/>
      <c r="M438" s="310"/>
      <c r="N438" s="947"/>
      <c r="O438" s="2186"/>
      <c r="P438" s="2186"/>
      <c r="Q438" s="2186"/>
      <c r="R438" s="2186"/>
      <c r="S438" s="2186"/>
      <c r="T438" s="2186"/>
      <c r="U438" s="310"/>
      <c r="X438" s="262"/>
    </row>
    <row r="439" spans="3:24">
      <c r="C439" s="955"/>
      <c r="D439" s="2173" t="s">
        <v>1021</v>
      </c>
      <c r="E439" s="2173"/>
      <c r="F439" s="2173"/>
      <c r="G439" s="2173"/>
      <c r="H439" s="2173"/>
      <c r="I439" s="2174"/>
      <c r="J439" s="2197">
        <f ca="1">J620</f>
        <v>0</v>
      </c>
      <c r="K439" s="2176"/>
      <c r="L439" s="2177"/>
      <c r="M439" s="293"/>
      <c r="N439" s="951"/>
      <c r="O439" s="2173" t="s">
        <v>1022</v>
      </c>
      <c r="P439" s="2173"/>
      <c r="Q439" s="2173"/>
      <c r="R439" s="2173"/>
      <c r="S439" s="2173"/>
      <c r="T439" s="2180"/>
      <c r="U439" s="2181">
        <f>DATA!BE4</f>
        <v>0</v>
      </c>
      <c r="V439" s="2182"/>
      <c r="X439" s="262"/>
    </row>
    <row r="440" spans="3:24" ht="5.0999999999999996" customHeight="1">
      <c r="C440" s="955"/>
      <c r="D440" s="945"/>
      <c r="E440" s="945"/>
      <c r="F440" s="945"/>
      <c r="G440" s="945"/>
      <c r="H440" s="945"/>
      <c r="I440" s="945"/>
      <c r="N440" s="945"/>
      <c r="O440" s="945"/>
      <c r="P440" s="945"/>
      <c r="Q440" s="945"/>
      <c r="R440" s="945"/>
      <c r="S440" s="945"/>
      <c r="T440" s="945"/>
      <c r="U440" s="293"/>
      <c r="X440" s="262"/>
    </row>
    <row r="441" spans="3:24">
      <c r="C441" s="955"/>
      <c r="D441" s="2173" t="s">
        <v>1023</v>
      </c>
      <c r="E441" s="2173"/>
      <c r="F441" s="2173"/>
      <c r="G441" s="2173"/>
      <c r="H441" s="2173"/>
      <c r="I441" s="2174"/>
      <c r="J441" s="2164">
        <f ca="1">J626</f>
        <v>0</v>
      </c>
      <c r="K441" s="2165"/>
      <c r="L441" s="2166"/>
      <c r="M441" s="293"/>
      <c r="N441" s="951"/>
      <c r="O441" s="951"/>
      <c r="P441" s="945"/>
      <c r="Q441" s="945"/>
      <c r="R441" s="945"/>
      <c r="S441" s="945"/>
      <c r="T441" s="945"/>
      <c r="U441" s="293"/>
      <c r="X441" s="262"/>
    </row>
    <row r="442" spans="3:24">
      <c r="C442" s="955"/>
      <c r="D442" s="945"/>
      <c r="E442" s="945"/>
      <c r="F442" s="945"/>
      <c r="G442" s="945"/>
      <c r="H442" s="945"/>
      <c r="I442" s="946"/>
      <c r="J442" s="2167"/>
      <c r="K442" s="2168"/>
      <c r="L442" s="2169"/>
      <c r="M442" s="293"/>
      <c r="N442" s="951"/>
      <c r="O442" s="951"/>
      <c r="P442" s="945"/>
      <c r="Q442" s="945"/>
      <c r="R442" s="945"/>
      <c r="S442" s="945"/>
      <c r="T442" s="945"/>
      <c r="X442" s="262"/>
    </row>
    <row r="443" spans="3:24">
      <c r="C443" s="955"/>
      <c r="D443" s="945"/>
      <c r="E443" s="945"/>
      <c r="F443" s="945"/>
      <c r="G443" s="945"/>
      <c r="H443" s="945"/>
      <c r="I443" s="946"/>
      <c r="J443" s="2170"/>
      <c r="K443" s="2171"/>
      <c r="L443" s="2172"/>
      <c r="M443" s="293"/>
      <c r="N443" s="951"/>
      <c r="O443" s="2173" t="s">
        <v>1024</v>
      </c>
      <c r="P443" s="2173"/>
      <c r="Q443" s="2173"/>
      <c r="R443" s="2173"/>
      <c r="S443" s="2173"/>
      <c r="T443" s="2174"/>
      <c r="U443" s="2197" t="str">
        <f ca="1">J636</f>
        <v/>
      </c>
      <c r="V443" s="2177"/>
      <c r="X443" s="262"/>
    </row>
    <row r="444" spans="3:24" ht="5.0999999999999996" customHeight="1">
      <c r="C444" s="955"/>
      <c r="D444" s="945"/>
      <c r="E444" s="945"/>
      <c r="F444" s="945"/>
      <c r="G444" s="945"/>
      <c r="H444" s="945"/>
      <c r="I444" s="945"/>
      <c r="J444" s="293"/>
      <c r="M444" s="293"/>
      <c r="N444" s="293"/>
      <c r="O444" s="293"/>
      <c r="V444" s="293"/>
      <c r="X444" s="262"/>
    </row>
    <row r="445" spans="3:24">
      <c r="C445" s="955"/>
      <c r="M445" s="334"/>
      <c r="N445" s="334"/>
      <c r="O445" s="334"/>
      <c r="U445" s="185"/>
      <c r="X445" s="262"/>
    </row>
    <row r="446" spans="3:24" ht="5.0999999999999996" customHeight="1">
      <c r="C446" s="955"/>
      <c r="D446" s="945"/>
      <c r="E446" s="945"/>
      <c r="F446" s="945"/>
      <c r="G446" s="945"/>
      <c r="H446" s="945"/>
      <c r="I446" s="945"/>
      <c r="X446" s="262"/>
    </row>
    <row r="447" spans="3:24">
      <c r="C447" s="955"/>
      <c r="D447" s="2173" t="s">
        <v>1025</v>
      </c>
      <c r="E447" s="2173"/>
      <c r="F447" s="2173"/>
      <c r="G447" s="2173"/>
      <c r="H447" s="2173"/>
      <c r="I447" s="2174"/>
      <c r="J447" s="2175">
        <f ca="1">DATA!BM4</f>
        <v>0</v>
      </c>
      <c r="K447" s="2176"/>
      <c r="L447" s="2177"/>
      <c r="M447" s="293"/>
      <c r="N447" s="293"/>
      <c r="O447" s="293"/>
      <c r="X447" s="262"/>
    </row>
    <row r="448" spans="3:24" ht="5.3" customHeight="1">
      <c r="C448" s="955"/>
      <c r="D448" s="1373"/>
      <c r="E448" s="1373"/>
      <c r="F448" s="1373"/>
      <c r="G448" s="1373"/>
      <c r="H448" s="1373"/>
      <c r="I448" s="1373"/>
      <c r="J448" s="1373"/>
      <c r="K448" s="1373"/>
      <c r="L448" s="1373"/>
      <c r="M448" s="1373"/>
      <c r="N448" s="293"/>
      <c r="O448" s="293"/>
      <c r="X448" s="262"/>
    </row>
    <row r="449" spans="3:24">
      <c r="C449" s="955"/>
      <c r="D449" s="2173" t="s">
        <v>943</v>
      </c>
      <c r="E449" s="2173"/>
      <c r="F449" s="2173"/>
      <c r="G449" s="2173"/>
      <c r="H449" s="2173"/>
      <c r="I449" s="2174"/>
      <c r="J449" s="2178">
        <f ca="1">DATA!B10</f>
        <v>0</v>
      </c>
      <c r="K449" s="2176"/>
      <c r="L449" s="2177"/>
      <c r="M449" s="293"/>
      <c r="N449" s="293"/>
      <c r="O449" s="293"/>
      <c r="X449" s="262"/>
    </row>
    <row r="450" spans="3:24" ht="5.3" customHeight="1">
      <c r="C450" s="955"/>
      <c r="D450" s="1373"/>
      <c r="E450" s="1373"/>
      <c r="F450" s="1373"/>
      <c r="G450" s="1373"/>
      <c r="H450" s="1373"/>
      <c r="I450" s="1373"/>
      <c r="J450" s="1373"/>
      <c r="K450" s="1373"/>
      <c r="L450" s="1373"/>
      <c r="M450" s="293"/>
      <c r="N450" s="293"/>
      <c r="O450" s="293"/>
      <c r="X450" s="262"/>
    </row>
    <row r="451" spans="3:24" ht="14.95" customHeight="1">
      <c r="C451" s="2185" t="s">
        <v>1026</v>
      </c>
      <c r="D451" s="2186"/>
      <c r="E451" s="2186"/>
      <c r="F451" s="2186"/>
      <c r="G451" s="2186"/>
      <c r="H451" s="2186"/>
      <c r="I451" s="2186"/>
      <c r="J451" s="2181"/>
      <c r="K451" s="2191"/>
      <c r="L451" s="2182"/>
      <c r="M451" s="293"/>
      <c r="N451" s="293"/>
      <c r="O451" s="2173" t="s">
        <v>944</v>
      </c>
      <c r="P451" s="2173"/>
      <c r="Q451" s="2173"/>
      <c r="R451" s="2173"/>
      <c r="S451" s="2173"/>
      <c r="T451" s="2174"/>
      <c r="U451" s="2181">
        <f ca="1">J638</f>
        <v>0</v>
      </c>
      <c r="V451" s="2182"/>
      <c r="X451" s="262"/>
    </row>
    <row r="452" spans="3:24" ht="7.5" customHeight="1">
      <c r="C452" s="2185"/>
      <c r="D452" s="2186"/>
      <c r="E452" s="2186"/>
      <c r="F452" s="2186"/>
      <c r="G452" s="2186"/>
      <c r="H452" s="2186"/>
      <c r="I452" s="2186"/>
      <c r="J452" s="1373"/>
      <c r="K452" s="1373"/>
      <c r="L452" s="1373"/>
      <c r="M452" s="293"/>
      <c r="N452" s="293"/>
      <c r="O452" s="293"/>
      <c r="X452" s="262"/>
    </row>
    <row r="453" spans="3:24">
      <c r="C453" s="2185" t="s">
        <v>1027</v>
      </c>
      <c r="D453" s="2186"/>
      <c r="E453" s="2186"/>
      <c r="F453" s="2186"/>
      <c r="G453" s="2186"/>
      <c r="H453" s="2186"/>
      <c r="I453" s="2186"/>
      <c r="J453" s="2181"/>
      <c r="K453" s="2191"/>
      <c r="L453" s="2182"/>
      <c r="M453" s="293"/>
      <c r="N453" s="293"/>
      <c r="O453" s="293"/>
      <c r="X453" s="262"/>
    </row>
    <row r="454" spans="3:24" ht="7.5" customHeight="1">
      <c r="C454" s="2185"/>
      <c r="D454" s="2186"/>
      <c r="E454" s="2186"/>
      <c r="F454" s="2186"/>
      <c r="G454" s="2186"/>
      <c r="H454" s="2186"/>
      <c r="I454" s="2186"/>
      <c r="J454" s="1373"/>
      <c r="K454" s="1373"/>
      <c r="L454" s="1373"/>
      <c r="M454" s="1373"/>
      <c r="N454" s="293"/>
      <c r="O454" s="293"/>
      <c r="X454" s="262"/>
    </row>
    <row r="455" spans="3:24" ht="5.0999999999999996" customHeight="1">
      <c r="C455" s="261"/>
      <c r="D455" s="184"/>
      <c r="E455" s="184"/>
      <c r="F455" s="184"/>
      <c r="G455" s="184"/>
      <c r="H455" s="184"/>
      <c r="I455" s="184"/>
      <c r="J455" s="184"/>
      <c r="K455" s="184"/>
      <c r="L455" s="184"/>
      <c r="M455" s="184"/>
      <c r="N455" s="184"/>
      <c r="O455" s="184"/>
      <c r="P455" s="184"/>
      <c r="Q455" s="184"/>
      <c r="R455" s="184"/>
      <c r="S455" s="184"/>
      <c r="T455" s="184"/>
      <c r="U455" s="184"/>
      <c r="V455" s="184"/>
      <c r="W455" s="184"/>
      <c r="X455" s="263"/>
    </row>
    <row r="456" spans="3:24" ht="5.0999999999999996" customHeight="1"/>
    <row r="457" spans="3:24" ht="5.0999999999999996" customHeight="1">
      <c r="C457" s="621"/>
      <c r="D457" s="610"/>
      <c r="E457" s="610"/>
      <c r="F457" s="610"/>
      <c r="G457" s="610"/>
      <c r="H457" s="610"/>
      <c r="I457" s="610"/>
      <c r="J457" s="610"/>
      <c r="K457" s="610"/>
      <c r="L457" s="610"/>
      <c r="M457" s="610"/>
      <c r="N457" s="610"/>
      <c r="O457" s="610"/>
      <c r="P457" s="610"/>
      <c r="Q457" s="610"/>
      <c r="R457" s="610"/>
      <c r="S457" s="610"/>
      <c r="T457" s="610"/>
      <c r="U457" s="610"/>
      <c r="V457" s="610"/>
      <c r="W457" s="610"/>
      <c r="X457" s="1158"/>
    </row>
    <row r="458" spans="3:24">
      <c r="C458" s="260"/>
      <c r="D458" s="2179" t="s">
        <v>1028</v>
      </c>
      <c r="E458" s="2179"/>
      <c r="F458" s="2179"/>
      <c r="G458" s="2179"/>
      <c r="H458" s="2179"/>
      <c r="I458" s="2179"/>
      <c r="J458" s="2179"/>
      <c r="K458" s="2179"/>
      <c r="L458" s="2179"/>
      <c r="M458" s="2179"/>
      <c r="N458" s="2179"/>
      <c r="O458" s="2179"/>
      <c r="P458" s="2179"/>
      <c r="Q458" s="2179"/>
      <c r="R458" s="2179"/>
      <c r="S458" s="2179"/>
      <c r="T458" s="2179"/>
      <c r="U458" s="2179"/>
      <c r="V458" s="2179"/>
      <c r="W458" s="2179"/>
      <c r="X458" s="262"/>
    </row>
    <row r="459" spans="3:24" ht="5.0999999999999996" customHeight="1">
      <c r="C459" s="260"/>
      <c r="X459" s="262"/>
    </row>
    <row r="460" spans="3:24" ht="14.95" customHeight="1">
      <c r="C460" s="260"/>
      <c r="O460" s="2173" t="s">
        <v>1029</v>
      </c>
      <c r="P460" s="2173"/>
      <c r="Q460" s="2173"/>
      <c r="R460" s="2173"/>
      <c r="S460" s="2173"/>
      <c r="T460" s="2180"/>
      <c r="U460" s="2250"/>
      <c r="V460" s="2252"/>
      <c r="X460" s="262"/>
    </row>
    <row r="461" spans="3:24" ht="5.0999999999999996" customHeight="1">
      <c r="C461" s="260"/>
      <c r="S461" s="945"/>
      <c r="T461" s="945"/>
      <c r="X461" s="262"/>
    </row>
    <row r="462" spans="3:24">
      <c r="C462" s="260"/>
      <c r="D462" s="2173" t="s">
        <v>903</v>
      </c>
      <c r="E462" s="2173"/>
      <c r="F462" s="2173"/>
      <c r="G462" s="2173"/>
      <c r="H462" s="2173"/>
      <c r="I462" s="2174"/>
      <c r="J462" s="2272">
        <f ca="1">J554</f>
        <v>0</v>
      </c>
      <c r="K462" s="2273"/>
      <c r="L462" s="2274"/>
      <c r="M462" s="177"/>
      <c r="N462" s="177"/>
      <c r="O462" s="177"/>
      <c r="S462" s="945"/>
      <c r="T462" s="945"/>
      <c r="X462" s="262"/>
    </row>
    <row r="463" spans="3:24" ht="5.0999999999999996" customHeight="1">
      <c r="C463" s="260"/>
      <c r="I463" s="945"/>
      <c r="S463" s="945"/>
      <c r="T463" s="945"/>
      <c r="X463" s="262"/>
    </row>
    <row r="464" spans="3:24">
      <c r="C464" s="260"/>
      <c r="D464" s="2173" t="s">
        <v>904</v>
      </c>
      <c r="E464" s="2173"/>
      <c r="F464" s="2173"/>
      <c r="G464" s="2173"/>
      <c r="H464" s="2173"/>
      <c r="I464" s="2174"/>
      <c r="J464" s="2275">
        <f ca="1">J556</f>
        <v>0</v>
      </c>
      <c r="K464" s="2276"/>
      <c r="L464" s="2277"/>
      <c r="M464" s="92"/>
      <c r="N464" s="92"/>
      <c r="O464" s="2173" t="s">
        <v>905</v>
      </c>
      <c r="P464" s="2173"/>
      <c r="Q464" s="2173"/>
      <c r="R464" s="2173"/>
      <c r="S464" s="2173"/>
      <c r="T464" s="2174"/>
      <c r="U464" s="2271">
        <f ca="1">DATA!G4</f>
        <v>0</v>
      </c>
      <c r="V464" s="2177"/>
      <c r="X464" s="262"/>
    </row>
    <row r="465" spans="3:24" ht="5.0999999999999996" customHeight="1">
      <c r="C465" s="260"/>
      <c r="I465" s="945"/>
      <c r="S465" s="945"/>
      <c r="T465" s="945"/>
      <c r="U465" s="92"/>
      <c r="X465" s="262"/>
    </row>
    <row r="466" spans="3:24">
      <c r="C466" s="260"/>
      <c r="D466" s="2173" t="s">
        <v>906</v>
      </c>
      <c r="E466" s="2173"/>
      <c r="F466" s="2173"/>
      <c r="G466" s="2173"/>
      <c r="H466" s="2173"/>
      <c r="I466" s="2180"/>
      <c r="J466" s="2202"/>
      <c r="K466" s="2203"/>
      <c r="L466" s="2204"/>
      <c r="M466" s="323"/>
      <c r="N466" s="324"/>
      <c r="O466" s="2173" t="s">
        <v>907</v>
      </c>
      <c r="P466" s="2173"/>
      <c r="Q466" s="2173"/>
      <c r="R466" s="2173"/>
      <c r="S466" s="2173"/>
      <c r="T466" s="2174"/>
      <c r="U466" s="2271">
        <f ca="1">DATA!H4</f>
        <v>0</v>
      </c>
      <c r="V466" s="2177"/>
      <c r="X466" s="262"/>
    </row>
    <row r="467" spans="3:24" ht="5.0999999999999996" customHeight="1">
      <c r="C467" s="260"/>
      <c r="I467" s="945"/>
      <c r="J467" s="92"/>
      <c r="M467" s="92"/>
      <c r="N467" s="92"/>
      <c r="O467" s="92"/>
      <c r="S467" s="945"/>
      <c r="T467" s="945"/>
      <c r="U467" s="92"/>
      <c r="X467" s="262"/>
    </row>
    <row r="468" spans="3:24">
      <c r="C468" s="260"/>
      <c r="I468" s="946"/>
      <c r="J468" s="92"/>
      <c r="K468" s="185"/>
      <c r="M468" s="92"/>
      <c r="N468" s="92"/>
      <c r="O468" s="2173" t="s">
        <v>909</v>
      </c>
      <c r="P468" s="2173"/>
      <c r="Q468" s="2173"/>
      <c r="R468" s="2173"/>
      <c r="S468" s="2173"/>
      <c r="T468" s="2174"/>
      <c r="U468" s="2271">
        <f ca="1">DATA!J4</f>
        <v>0</v>
      </c>
      <c r="V468" s="2177"/>
      <c r="X468" s="262"/>
    </row>
    <row r="469" spans="3:24" ht="5.0999999999999996" customHeight="1">
      <c r="C469" s="260"/>
      <c r="I469" s="945"/>
      <c r="J469" s="92"/>
      <c r="M469" s="92"/>
      <c r="N469" s="92"/>
      <c r="O469" s="92"/>
      <c r="S469" s="945"/>
      <c r="T469" s="945"/>
      <c r="U469" s="92"/>
      <c r="X469" s="262"/>
    </row>
    <row r="470" spans="3:24">
      <c r="C470" s="260"/>
      <c r="D470" s="2173" t="s">
        <v>910</v>
      </c>
      <c r="E470" s="2173"/>
      <c r="F470" s="2173"/>
      <c r="G470" s="2173"/>
      <c r="H470" s="2173"/>
      <c r="I470" s="2174"/>
      <c r="J470" s="2271" t="str">
        <f ca="1">DATA!K4</f>
        <v>WA</v>
      </c>
      <c r="K470" s="2176"/>
      <c r="L470" s="2177"/>
      <c r="M470" s="92"/>
      <c r="N470" s="92"/>
      <c r="O470" s="2173" t="s">
        <v>911</v>
      </c>
      <c r="P470" s="2173"/>
      <c r="Q470" s="2173"/>
      <c r="R470" s="2173"/>
      <c r="S470" s="2173"/>
      <c r="T470" s="2174"/>
      <c r="U470" s="2271">
        <f ca="1">DATA!L4</f>
        <v>0</v>
      </c>
      <c r="V470" s="2177"/>
      <c r="X470" s="262"/>
    </row>
    <row r="471" spans="3:24" ht="5.0999999999999996" customHeight="1">
      <c r="C471" s="260"/>
      <c r="I471" s="945"/>
      <c r="J471" s="92"/>
      <c r="M471" s="92"/>
      <c r="N471" s="92"/>
      <c r="O471" s="92"/>
      <c r="S471" s="945"/>
      <c r="T471" s="945"/>
      <c r="U471" s="92"/>
      <c r="X471" s="262"/>
    </row>
    <row r="472" spans="3:24">
      <c r="C472" s="260"/>
      <c r="D472" s="2173" t="s">
        <v>912</v>
      </c>
      <c r="E472" s="2173"/>
      <c r="F472" s="2173"/>
      <c r="G472" s="2173"/>
      <c r="H472" s="2173"/>
      <c r="I472" s="2180"/>
      <c r="J472" s="2181">
        <f>DATA!M4</f>
        <v>0</v>
      </c>
      <c r="K472" s="2191"/>
      <c r="L472" s="2182"/>
      <c r="M472" s="323"/>
      <c r="N472" s="324"/>
      <c r="O472" s="2173" t="s">
        <v>913</v>
      </c>
      <c r="P472" s="2173"/>
      <c r="Q472" s="2173"/>
      <c r="R472" s="2173"/>
      <c r="S472" s="2173"/>
      <c r="T472" s="2174"/>
      <c r="U472" s="2181">
        <f ca="1">J562</f>
        <v>0</v>
      </c>
      <c r="V472" s="2182"/>
      <c r="X472" s="262"/>
    </row>
    <row r="473" spans="3:24" ht="5.0999999999999996" customHeight="1">
      <c r="C473" s="260"/>
      <c r="I473" s="945"/>
      <c r="J473" s="92"/>
      <c r="M473" s="92"/>
      <c r="N473" s="92"/>
      <c r="O473" s="92"/>
      <c r="S473" s="945"/>
      <c r="T473" s="945"/>
      <c r="U473" s="92"/>
      <c r="X473" s="262"/>
    </row>
    <row r="474" spans="3:24">
      <c r="C474" s="260"/>
      <c r="D474" s="2173" t="s">
        <v>914</v>
      </c>
      <c r="E474" s="2173"/>
      <c r="F474" s="2173"/>
      <c r="G474" s="2173"/>
      <c r="H474" s="2173"/>
      <c r="I474" s="2174"/>
      <c r="J474" s="2181">
        <f ca="1">U562</f>
        <v>0</v>
      </c>
      <c r="K474" s="2191"/>
      <c r="L474" s="2182"/>
      <c r="M474" s="92"/>
      <c r="N474" s="92"/>
      <c r="O474" s="2173" t="s">
        <v>915</v>
      </c>
      <c r="P474" s="2173"/>
      <c r="Q474" s="2173"/>
      <c r="R474" s="2173"/>
      <c r="S474" s="2173"/>
      <c r="T474" s="2174"/>
      <c r="U474" s="2181" t="str">
        <f ca="1">J564</f>
        <v>WA</v>
      </c>
      <c r="V474" s="2182"/>
      <c r="X474" s="262"/>
    </row>
    <row r="475" spans="3:24" ht="5.0999999999999996" customHeight="1">
      <c r="C475" s="260"/>
      <c r="I475" s="945"/>
      <c r="J475" s="92"/>
      <c r="M475" s="92"/>
      <c r="N475" s="92"/>
      <c r="O475" s="92"/>
      <c r="S475" s="945"/>
      <c r="T475" s="945"/>
      <c r="U475" s="92"/>
      <c r="X475" s="262"/>
    </row>
    <row r="476" spans="3:24">
      <c r="C476" s="260"/>
      <c r="D476" s="2173" t="s">
        <v>916</v>
      </c>
      <c r="E476" s="2173"/>
      <c r="F476" s="2173"/>
      <c r="G476" s="2173"/>
      <c r="H476" s="2173"/>
      <c r="I476" s="2174"/>
      <c r="J476" s="2181">
        <f ca="1">U564</f>
        <v>0</v>
      </c>
      <c r="K476" s="2191"/>
      <c r="L476" s="2182"/>
      <c r="M476" s="92"/>
      <c r="N476" s="92"/>
      <c r="O476" s="2173" t="s">
        <v>917</v>
      </c>
      <c r="P476" s="2173"/>
      <c r="Q476" s="2173"/>
      <c r="R476" s="2173"/>
      <c r="S476" s="2173"/>
      <c r="T476" s="2174"/>
      <c r="U476" s="2269">
        <f ca="1">DATA!R4</f>
        <v>0</v>
      </c>
      <c r="V476" s="2270"/>
      <c r="X476" s="262"/>
    </row>
    <row r="477" spans="3:24" ht="5.0999999999999996" customHeight="1">
      <c r="C477" s="260"/>
      <c r="I477" s="945"/>
      <c r="J477" s="92"/>
      <c r="M477" s="92"/>
      <c r="N477" s="92"/>
      <c r="O477" s="92"/>
      <c r="S477" s="945"/>
      <c r="T477" s="945"/>
      <c r="U477" s="92"/>
      <c r="X477" s="262"/>
    </row>
    <row r="478" spans="3:24">
      <c r="C478" s="260"/>
      <c r="D478" s="2173" t="s">
        <v>918</v>
      </c>
      <c r="E478" s="2173"/>
      <c r="F478" s="2173"/>
      <c r="G478" s="2173"/>
      <c r="H478" s="2173"/>
      <c r="I478" s="2174"/>
      <c r="J478" s="2271">
        <f ca="1">DATA!S4</f>
        <v>0</v>
      </c>
      <c r="K478" s="2176"/>
      <c r="L478" s="2177"/>
      <c r="M478" s="92"/>
      <c r="N478" s="92"/>
      <c r="O478" s="2173" t="s">
        <v>919</v>
      </c>
      <c r="P478" s="2173"/>
      <c r="Q478" s="2173"/>
      <c r="R478" s="2173"/>
      <c r="S478" s="2173"/>
      <c r="T478" s="2174"/>
      <c r="U478" s="2417">
        <f ca="1">DATA!T4</f>
        <v>0</v>
      </c>
      <c r="V478" s="2280"/>
      <c r="X478" s="262"/>
    </row>
    <row r="479" spans="3:24" ht="5.0999999999999996" customHeight="1">
      <c r="C479" s="261"/>
      <c r="D479" s="184"/>
      <c r="E479" s="184"/>
      <c r="F479" s="184"/>
      <c r="G479" s="184"/>
      <c r="H479" s="184"/>
      <c r="I479" s="184"/>
      <c r="J479" s="184"/>
      <c r="K479" s="184"/>
      <c r="L479" s="184"/>
      <c r="M479" s="184"/>
      <c r="N479" s="184"/>
      <c r="O479" s="184"/>
      <c r="P479" s="184"/>
      <c r="Q479" s="184"/>
      <c r="R479" s="184"/>
      <c r="S479" s="184"/>
      <c r="T479" s="184"/>
      <c r="U479" s="184"/>
      <c r="V479" s="184"/>
      <c r="W479" s="184"/>
      <c r="X479" s="263"/>
    </row>
    <row r="480" spans="3:24" ht="5.0999999999999996" customHeight="1"/>
    <row r="481" spans="3:26" ht="5.0999999999999996" customHeight="1">
      <c r="C481" s="621"/>
      <c r="D481" s="610"/>
      <c r="E481" s="610"/>
      <c r="F481" s="610"/>
      <c r="G481" s="610"/>
      <c r="H481" s="610"/>
      <c r="I481" s="610"/>
      <c r="J481" s="610"/>
      <c r="K481" s="610"/>
      <c r="L481" s="610"/>
      <c r="M481" s="610"/>
      <c r="N481" s="610"/>
      <c r="O481" s="610"/>
      <c r="P481" s="610"/>
      <c r="Q481" s="610"/>
      <c r="R481" s="610"/>
      <c r="S481" s="610"/>
      <c r="T481" s="610"/>
      <c r="U481" s="610"/>
      <c r="V481" s="610"/>
      <c r="W481" s="610"/>
      <c r="X481" s="1158"/>
    </row>
    <row r="482" spans="3:26">
      <c r="C482" s="260"/>
      <c r="D482" s="2179" t="s">
        <v>1030</v>
      </c>
      <c r="E482" s="2179"/>
      <c r="F482" s="2179"/>
      <c r="G482" s="2179"/>
      <c r="H482" s="2179"/>
      <c r="I482" s="2179"/>
      <c r="J482" s="2179"/>
      <c r="K482" s="2179"/>
      <c r="L482" s="2179"/>
      <c r="M482" s="2179"/>
      <c r="N482" s="2179"/>
      <c r="O482" s="2179"/>
      <c r="P482" s="2179"/>
      <c r="Q482" s="2179"/>
      <c r="R482" s="2179"/>
      <c r="S482" s="2179"/>
      <c r="T482" s="2179"/>
      <c r="U482" s="2179"/>
      <c r="V482" s="2179"/>
      <c r="W482" s="2179"/>
      <c r="X482" s="262"/>
    </row>
    <row r="483" spans="3:26" ht="5.0999999999999996" customHeight="1">
      <c r="C483" s="260"/>
      <c r="I483" s="38"/>
      <c r="J483" s="38"/>
      <c r="K483" s="38"/>
      <c r="L483" s="38"/>
      <c r="M483" s="38"/>
      <c r="N483" s="38"/>
      <c r="O483" s="38"/>
      <c r="X483" s="262"/>
    </row>
    <row r="484" spans="3:26">
      <c r="C484" s="260"/>
      <c r="D484" s="1426"/>
      <c r="E484" s="2421" t="s">
        <v>1031</v>
      </c>
      <c r="F484" s="2422"/>
      <c r="G484" s="2422"/>
      <c r="H484" s="2422"/>
      <c r="I484" s="2422"/>
      <c r="J484" s="2422"/>
      <c r="K484" s="2422"/>
      <c r="L484" s="2422"/>
      <c r="M484" s="2422"/>
      <c r="N484" s="2422"/>
      <c r="O484" s="2422"/>
      <c r="P484" s="2422"/>
      <c r="Q484" s="2422"/>
      <c r="R484" s="2422"/>
      <c r="S484" s="2422"/>
      <c r="T484" s="2422"/>
      <c r="U484" s="2422"/>
      <c r="V484" s="2423"/>
      <c r="W484" s="1426"/>
      <c r="X484" s="262"/>
    </row>
    <row r="485" spans="3:26">
      <c r="C485" s="260"/>
      <c r="D485" s="1426"/>
      <c r="E485" s="2424"/>
      <c r="F485" s="2425"/>
      <c r="G485" s="2425"/>
      <c r="H485" s="2425"/>
      <c r="I485" s="2425"/>
      <c r="J485" s="2425"/>
      <c r="K485" s="2425"/>
      <c r="L485" s="2425"/>
      <c r="M485" s="2425"/>
      <c r="N485" s="2425"/>
      <c r="O485" s="2425"/>
      <c r="P485" s="2425"/>
      <c r="Q485" s="2425"/>
      <c r="R485" s="2425"/>
      <c r="S485" s="2425"/>
      <c r="T485" s="2425"/>
      <c r="U485" s="2425"/>
      <c r="V485" s="2426"/>
      <c r="W485" s="1426"/>
      <c r="X485" s="262"/>
    </row>
    <row r="486" spans="3:26">
      <c r="C486" s="260"/>
      <c r="D486" s="1426"/>
      <c r="E486" s="2427"/>
      <c r="F486" s="2428"/>
      <c r="G486" s="2428"/>
      <c r="H486" s="2428"/>
      <c r="I486" s="2428"/>
      <c r="J486" s="2428"/>
      <c r="K486" s="2428"/>
      <c r="L486" s="2428"/>
      <c r="M486" s="2428"/>
      <c r="N486" s="2428"/>
      <c r="O486" s="2428"/>
      <c r="P486" s="2428"/>
      <c r="Q486" s="2428"/>
      <c r="R486" s="2428"/>
      <c r="S486" s="2428"/>
      <c r="T486" s="2428"/>
      <c r="U486" s="2428"/>
      <c r="V486" s="2429"/>
      <c r="W486" s="1426"/>
      <c r="X486" s="262"/>
    </row>
    <row r="487" spans="3:26" ht="7.5" customHeight="1">
      <c r="C487" s="260"/>
      <c r="X487" s="262"/>
    </row>
    <row r="488" spans="3:26" ht="14.95" customHeight="1">
      <c r="C488" s="260"/>
      <c r="I488" s="38"/>
      <c r="J488" s="38"/>
      <c r="K488" s="38"/>
      <c r="L488" s="38"/>
      <c r="M488" s="38"/>
      <c r="N488" s="38"/>
      <c r="O488" s="2173" t="s">
        <v>1032</v>
      </c>
      <c r="P488" s="2173"/>
      <c r="Q488" s="2173"/>
      <c r="R488" s="2173"/>
      <c r="S488" s="2173"/>
      <c r="T488" s="2180"/>
      <c r="U488" s="2244"/>
      <c r="V488" s="2245"/>
      <c r="X488" s="262"/>
    </row>
    <row r="489" spans="3:26" ht="5.0999999999999996" customHeight="1">
      <c r="C489" s="260"/>
      <c r="I489" s="38"/>
      <c r="J489" s="38"/>
      <c r="K489" s="38"/>
      <c r="L489" s="38"/>
      <c r="M489" s="38"/>
      <c r="N489" s="38"/>
      <c r="O489" s="38"/>
      <c r="S489" s="945"/>
      <c r="T489" s="945"/>
      <c r="X489" s="262"/>
    </row>
    <row r="490" spans="3:26">
      <c r="C490" s="260"/>
      <c r="D490" s="2173" t="s">
        <v>904</v>
      </c>
      <c r="E490" s="2173"/>
      <c r="F490" s="2173"/>
      <c r="G490" s="2173"/>
      <c r="H490" s="2173"/>
      <c r="I490" s="2174"/>
      <c r="J490" s="2278" t="str">
        <f ca="1">DATA!AE19</f>
        <v/>
      </c>
      <c r="K490" s="2279"/>
      <c r="L490" s="2280"/>
      <c r="M490" s="38"/>
      <c r="N490" s="92"/>
      <c r="O490" s="92"/>
      <c r="S490" s="945"/>
      <c r="T490" s="945"/>
      <c r="X490" s="262"/>
    </row>
    <row r="491" spans="3:26" ht="5.0999999999999996" customHeight="1">
      <c r="C491" s="260"/>
      <c r="I491" s="946"/>
      <c r="J491" s="38"/>
      <c r="K491" s="185"/>
      <c r="M491" s="38"/>
      <c r="N491" s="38"/>
      <c r="O491" s="38"/>
      <c r="S491" s="945"/>
      <c r="T491" s="945"/>
      <c r="X491" s="262"/>
    </row>
    <row r="492" spans="3:26">
      <c r="C492" s="260"/>
      <c r="D492" s="2173" t="s">
        <v>1033</v>
      </c>
      <c r="E492" s="2173"/>
      <c r="F492" s="2173"/>
      <c r="G492" s="2173"/>
      <c r="H492" s="2173"/>
      <c r="I492" s="2174"/>
      <c r="J492" s="2278" t="str">
        <f ca="1">IFERROR(LEFT(Z492,FIND(" ",Z492)-1),Z492)</f>
        <v/>
      </c>
      <c r="K492" s="2279"/>
      <c r="L492" s="2280"/>
      <c r="M492" s="38"/>
      <c r="N492" s="92"/>
      <c r="O492" s="2173" t="s">
        <v>1034</v>
      </c>
      <c r="P492" s="2173"/>
      <c r="Q492" s="2173"/>
      <c r="R492" s="2173"/>
      <c r="S492" s="2173"/>
      <c r="T492" s="2174"/>
      <c r="U492" s="2278" t="str">
        <f ca="1">IFERROR(RIGHT(Z492,LEN(Z492)-FIND(" ",Z492)),"")</f>
        <v/>
      </c>
      <c r="V492" s="2280"/>
      <c r="X492" s="262"/>
      <c r="Z492" t="str">
        <f ca="1">DATA!AF18</f>
        <v/>
      </c>
    </row>
    <row r="493" spans="3:26" ht="5.0999999999999996" customHeight="1">
      <c r="C493" s="260"/>
      <c r="I493" s="946"/>
      <c r="J493" s="38"/>
      <c r="K493" s="185"/>
      <c r="M493" s="38"/>
      <c r="N493" s="38"/>
      <c r="O493" s="38"/>
      <c r="T493" s="946"/>
      <c r="U493" s="38"/>
      <c r="X493" s="262"/>
    </row>
    <row r="494" spans="3:26">
      <c r="C494" s="260"/>
      <c r="D494" s="2173" t="s">
        <v>1035</v>
      </c>
      <c r="E494" s="2173"/>
      <c r="F494" s="2173"/>
      <c r="G494" s="2173"/>
      <c r="H494" s="2173"/>
      <c r="I494" s="2174"/>
      <c r="J494" s="2316" t="str">
        <f ca="1">DATA!AG19</f>
        <v/>
      </c>
      <c r="K494" s="2411"/>
      <c r="L494" s="2317"/>
      <c r="M494" s="38"/>
      <c r="N494" s="92"/>
      <c r="O494" s="2173" t="s">
        <v>1036</v>
      </c>
      <c r="P494" s="2173"/>
      <c r="Q494" s="2173"/>
      <c r="R494" s="2173"/>
      <c r="S494" s="2173"/>
      <c r="T494" s="2174"/>
      <c r="U494" s="2278" t="str">
        <f ca="1">DATA!AH19</f>
        <v/>
      </c>
      <c r="V494" s="2280"/>
      <c r="X494" s="262"/>
    </row>
    <row r="495" spans="3:26" ht="5.0999999999999996" customHeight="1">
      <c r="C495" s="260"/>
      <c r="I495" s="946"/>
      <c r="J495" s="38"/>
      <c r="K495" s="185"/>
      <c r="M495" s="38"/>
      <c r="N495" s="38"/>
      <c r="O495" s="38"/>
      <c r="X495" s="262"/>
    </row>
    <row r="496" spans="3:26">
      <c r="C496" s="1377"/>
      <c r="D496" s="2173" t="s">
        <v>1037</v>
      </c>
      <c r="E496" s="2173"/>
      <c r="F496" s="2173"/>
      <c r="G496" s="2173"/>
      <c r="H496" s="2173"/>
      <c r="I496" s="2173"/>
      <c r="J496" s="2281"/>
      <c r="K496" s="2282"/>
      <c r="L496" s="2283"/>
      <c r="M496" s="323"/>
      <c r="N496" s="92"/>
      <c r="O496" s="92"/>
      <c r="X496" s="262"/>
    </row>
    <row r="497" spans="3:24" ht="5.0999999999999996" customHeight="1">
      <c r="C497" s="1377"/>
      <c r="X497" s="1378"/>
    </row>
    <row r="498" spans="3:24">
      <c r="C498" s="1377"/>
      <c r="D498" s="2173" t="s">
        <v>1038</v>
      </c>
      <c r="E498" s="2173"/>
      <c r="F498" s="2173"/>
      <c r="G498" s="2173"/>
      <c r="H498" s="2173"/>
      <c r="I498" s="2173"/>
      <c r="J498" s="2281"/>
      <c r="K498" s="2282"/>
      <c r="L498" s="2283"/>
      <c r="M498" s="117" t="s">
        <v>1039</v>
      </c>
      <c r="N498" s="92"/>
      <c r="X498" s="1378"/>
    </row>
    <row r="499" spans="3:24" ht="5.0999999999999996" customHeight="1">
      <c r="C499" s="261"/>
      <c r="D499" s="184"/>
      <c r="E499" s="184"/>
      <c r="F499" s="184"/>
      <c r="G499" s="184"/>
      <c r="H499" s="184"/>
      <c r="I499" s="184"/>
      <c r="J499" s="184"/>
      <c r="K499" s="184"/>
      <c r="L499" s="184"/>
      <c r="M499" s="184"/>
      <c r="N499" s="184"/>
      <c r="O499" s="184"/>
      <c r="P499" s="184"/>
      <c r="Q499" s="184"/>
      <c r="R499" s="184"/>
      <c r="S499" s="184"/>
      <c r="T499" s="184"/>
      <c r="U499" s="184"/>
      <c r="V499" s="184"/>
      <c r="W499" s="184"/>
      <c r="X499" s="263"/>
    </row>
    <row r="500" spans="3:24" ht="5.0999999999999996" customHeight="1"/>
    <row r="501" spans="3:24" ht="5.0999999999999996" customHeight="1">
      <c r="C501" s="621"/>
      <c r="D501" s="610"/>
      <c r="E501" s="610"/>
      <c r="F501" s="610"/>
      <c r="G501" s="610"/>
      <c r="H501" s="610"/>
      <c r="I501" s="610"/>
      <c r="J501" s="610"/>
      <c r="K501" s="610"/>
      <c r="L501" s="610"/>
      <c r="M501" s="610"/>
      <c r="N501" s="610"/>
      <c r="O501" s="610"/>
      <c r="P501" s="610"/>
      <c r="Q501" s="610"/>
      <c r="R501" s="610"/>
      <c r="S501" s="610"/>
      <c r="T501" s="610"/>
      <c r="U501" s="610"/>
      <c r="V501" s="610"/>
      <c r="W501" s="610"/>
      <c r="X501" s="1158"/>
    </row>
    <row r="502" spans="3:24">
      <c r="C502" s="260"/>
      <c r="D502" s="2179" t="s">
        <v>1040</v>
      </c>
      <c r="E502" s="2179"/>
      <c r="F502" s="2179"/>
      <c r="G502" s="2179"/>
      <c r="H502" s="2179"/>
      <c r="I502" s="2179"/>
      <c r="J502" s="2179"/>
      <c r="K502" s="2179"/>
      <c r="L502" s="2179"/>
      <c r="M502" s="2179"/>
      <c r="N502" s="2179"/>
      <c r="O502" s="2179"/>
      <c r="P502" s="2179"/>
      <c r="Q502" s="2179"/>
      <c r="R502" s="2179"/>
      <c r="S502" s="2179"/>
      <c r="T502" s="2179"/>
      <c r="U502" s="2179"/>
      <c r="V502" s="2179"/>
      <c r="W502" s="2179"/>
      <c r="X502" s="262"/>
    </row>
    <row r="503" spans="3:24" ht="5.0999999999999996" customHeight="1">
      <c r="C503" s="260"/>
      <c r="I503" s="38"/>
      <c r="J503" s="38"/>
      <c r="K503" s="38"/>
      <c r="L503" s="38"/>
      <c r="M503" s="38"/>
      <c r="N503" s="38"/>
      <c r="O503" s="38"/>
      <c r="X503" s="262"/>
    </row>
    <row r="504" spans="3:24" ht="14.95" customHeight="1">
      <c r="C504" s="260"/>
      <c r="I504" s="945"/>
      <c r="J504" s="38"/>
      <c r="K504" s="38"/>
      <c r="L504" s="38"/>
      <c r="M504" s="38"/>
      <c r="N504" s="38"/>
      <c r="O504" s="2173" t="s">
        <v>1041</v>
      </c>
      <c r="P504" s="2173"/>
      <c r="Q504" s="2173"/>
      <c r="R504" s="2173"/>
      <c r="S504" s="2173"/>
      <c r="T504" s="2180"/>
      <c r="U504" s="2244"/>
      <c r="V504" s="2245"/>
      <c r="X504" s="262"/>
    </row>
    <row r="505" spans="3:24" ht="5.0999999999999996" customHeight="1">
      <c r="C505" s="260"/>
      <c r="I505" s="945"/>
      <c r="J505" s="38"/>
      <c r="K505" s="38"/>
      <c r="L505" s="38"/>
      <c r="M505" s="38"/>
      <c r="N505" s="38"/>
      <c r="O505" s="38"/>
      <c r="S505" s="945"/>
      <c r="T505" s="945"/>
      <c r="X505" s="262"/>
    </row>
    <row r="506" spans="3:24">
      <c r="C506" s="260"/>
      <c r="I506" s="946"/>
      <c r="J506" s="38"/>
      <c r="K506" s="38"/>
      <c r="L506" s="38"/>
      <c r="M506" s="38"/>
      <c r="N506" s="92"/>
      <c r="O506" s="2173" t="s">
        <v>922</v>
      </c>
      <c r="P506" s="2173"/>
      <c r="Q506" s="2173"/>
      <c r="R506" s="2173"/>
      <c r="S506" s="2173"/>
      <c r="T506" s="2173"/>
      <c r="U506" s="2281" t="str">
        <f ca="1">U591</f>
        <v/>
      </c>
      <c r="V506" s="2283"/>
      <c r="X506" s="262"/>
    </row>
    <row r="507" spans="3:24" ht="5.0999999999999996" customHeight="1">
      <c r="C507" s="260"/>
      <c r="I507" s="946"/>
      <c r="J507" s="38"/>
      <c r="K507" s="185"/>
      <c r="M507" s="38"/>
      <c r="N507" s="38"/>
      <c r="O507" s="38"/>
      <c r="S507" s="945"/>
      <c r="T507" s="945"/>
      <c r="X507" s="262"/>
    </row>
    <row r="508" spans="3:24">
      <c r="C508" s="260"/>
      <c r="D508" s="2173" t="s">
        <v>1042</v>
      </c>
      <c r="E508" s="2173"/>
      <c r="F508" s="2173"/>
      <c r="G508" s="2173"/>
      <c r="H508" s="2173"/>
      <c r="I508" s="2173"/>
      <c r="J508" s="2281">
        <f>J593</f>
        <v>0</v>
      </c>
      <c r="K508" s="2282"/>
      <c r="L508" s="2283"/>
      <c r="M508" s="38"/>
      <c r="N508" s="92"/>
      <c r="O508" s="2173" t="s">
        <v>917</v>
      </c>
      <c r="P508" s="2173"/>
      <c r="Q508" s="2173"/>
      <c r="R508" s="2173"/>
      <c r="S508" s="2173"/>
      <c r="T508" s="2174"/>
      <c r="U508" s="2316" t="str">
        <f ca="1">U593</f>
        <v/>
      </c>
      <c r="V508" s="2317"/>
      <c r="X508" s="262"/>
    </row>
    <row r="509" spans="3:24" ht="5.0999999999999996" customHeight="1">
      <c r="C509" s="260"/>
      <c r="I509" s="946"/>
      <c r="J509" s="38"/>
      <c r="K509" s="185"/>
      <c r="M509" s="38"/>
      <c r="N509" s="38"/>
      <c r="O509" s="38"/>
      <c r="S509" s="945"/>
      <c r="T509" s="945"/>
      <c r="X509" s="262"/>
    </row>
    <row r="510" spans="3:24">
      <c r="C510" s="260"/>
      <c r="D510" s="2173" t="s">
        <v>918</v>
      </c>
      <c r="E510" s="2173"/>
      <c r="F510" s="2173"/>
      <c r="G510" s="2173"/>
      <c r="H510" s="2173"/>
      <c r="I510" s="2174"/>
      <c r="J510" s="2278" t="str">
        <f ca="1">J595</f>
        <v/>
      </c>
      <c r="K510" s="2279"/>
      <c r="L510" s="2280"/>
      <c r="M510" s="38"/>
      <c r="N510" s="92"/>
      <c r="O510" s="2173" t="s">
        <v>924</v>
      </c>
      <c r="P510" s="2173"/>
      <c r="Q510" s="2173"/>
      <c r="R510" s="2173"/>
      <c r="S510" s="2173"/>
      <c r="T510" s="2174"/>
      <c r="U510" s="2278" t="str">
        <f ca="1">U595</f>
        <v/>
      </c>
      <c r="V510" s="2280"/>
      <c r="X510" s="262"/>
    </row>
    <row r="511" spans="3:24" ht="5.0999999999999996" customHeight="1">
      <c r="C511" s="260"/>
      <c r="I511" s="946"/>
      <c r="J511" s="38"/>
      <c r="K511" s="185"/>
      <c r="M511" s="38"/>
      <c r="N511" s="38"/>
      <c r="O511" s="38"/>
      <c r="S511" s="945"/>
      <c r="T511" s="946"/>
      <c r="U511" s="38"/>
      <c r="X511" s="262"/>
    </row>
    <row r="512" spans="3:24">
      <c r="C512" s="260"/>
      <c r="D512" s="2173" t="s">
        <v>908</v>
      </c>
      <c r="E512" s="2173"/>
      <c r="F512" s="2173"/>
      <c r="G512" s="2173"/>
      <c r="H512" s="2173"/>
      <c r="I512" s="2173"/>
      <c r="J512" s="2281">
        <f>J597</f>
        <v>0</v>
      </c>
      <c r="K512" s="2282"/>
      <c r="L512" s="2283"/>
      <c r="M512" s="38"/>
      <c r="N512" s="92"/>
      <c r="O512" s="2173" t="s">
        <v>909</v>
      </c>
      <c r="P512" s="2173"/>
      <c r="Q512" s="2173"/>
      <c r="R512" s="2173"/>
      <c r="S512" s="2173"/>
      <c r="T512" s="2174"/>
      <c r="U512" s="2278" t="str">
        <f ca="1">U597</f>
        <v/>
      </c>
      <c r="V512" s="2280"/>
      <c r="X512" s="262"/>
    </row>
    <row r="513" spans="3:24" ht="5.0999999999999996" customHeight="1">
      <c r="C513" s="260"/>
      <c r="I513" s="946"/>
      <c r="J513" s="38"/>
      <c r="K513" s="185"/>
      <c r="M513" s="38"/>
      <c r="N513" s="38"/>
      <c r="O513" s="38"/>
      <c r="S513" s="945"/>
      <c r="T513" s="945"/>
      <c r="X513" s="262"/>
    </row>
    <row r="514" spans="3:24">
      <c r="C514" s="260"/>
      <c r="D514" s="2173" t="s">
        <v>910</v>
      </c>
      <c r="E514" s="2173"/>
      <c r="F514" s="2173"/>
      <c r="G514" s="2173"/>
      <c r="H514" s="2173"/>
      <c r="I514" s="2174"/>
      <c r="J514" s="2278" t="str">
        <f ca="1">J599</f>
        <v/>
      </c>
      <c r="K514" s="2279"/>
      <c r="L514" s="2280"/>
      <c r="M514" s="323"/>
      <c r="N514" s="92"/>
      <c r="O514" s="2173" t="s">
        <v>911</v>
      </c>
      <c r="P514" s="2173"/>
      <c r="Q514" s="2173"/>
      <c r="R514" s="2173"/>
      <c r="S514" s="2173"/>
      <c r="T514" s="2174"/>
      <c r="U514" s="2278" t="str">
        <f ca="1">U599</f>
        <v/>
      </c>
      <c r="V514" s="2280"/>
      <c r="X514" s="262"/>
    </row>
    <row r="515" spans="3:24" ht="5.0999999999999996" customHeight="1">
      <c r="C515" s="261"/>
      <c r="D515" s="184"/>
      <c r="E515" s="184"/>
      <c r="F515" s="184"/>
      <c r="G515" s="184"/>
      <c r="H515" s="184"/>
      <c r="I515" s="184"/>
      <c r="J515" s="184"/>
      <c r="K515" s="184"/>
      <c r="L515" s="184"/>
      <c r="M515" s="184"/>
      <c r="N515" s="184"/>
      <c r="O515" s="184"/>
      <c r="P515" s="184"/>
      <c r="Q515" s="184"/>
      <c r="R515" s="184"/>
      <c r="S515" s="184"/>
      <c r="T515" s="184"/>
      <c r="U515" s="184"/>
      <c r="V515" s="184"/>
      <c r="W515" s="184"/>
      <c r="X515" s="263"/>
    </row>
    <row r="516" spans="3:24" ht="5.0999999999999996" customHeight="1"/>
    <row r="517" spans="3:24" ht="5.0999999999999996" customHeight="1">
      <c r="C517" s="621"/>
      <c r="D517" s="610"/>
      <c r="E517" s="610"/>
      <c r="F517" s="610"/>
      <c r="G517" s="610"/>
      <c r="H517" s="738"/>
      <c r="I517" s="738"/>
      <c r="J517" s="738"/>
      <c r="K517" s="738"/>
      <c r="L517" s="738"/>
      <c r="M517" s="738"/>
      <c r="N517" s="738"/>
      <c r="O517" s="738"/>
      <c r="P517" s="610"/>
      <c r="Q517" s="610"/>
      <c r="R517" s="610"/>
      <c r="S517" s="738"/>
      <c r="T517" s="610"/>
      <c r="U517" s="738"/>
      <c r="V517" s="738"/>
      <c r="W517" s="610"/>
      <c r="X517" s="1158"/>
    </row>
    <row r="518" spans="3:24">
      <c r="C518" s="260"/>
      <c r="D518" s="2179" t="s">
        <v>1043</v>
      </c>
      <c r="E518" s="2179"/>
      <c r="F518" s="2179"/>
      <c r="G518" s="2179"/>
      <c r="H518" s="2179"/>
      <c r="I518" s="2179"/>
      <c r="J518" s="2179"/>
      <c r="K518" s="2179"/>
      <c r="L518" s="2179"/>
      <c r="M518" s="2179"/>
      <c r="N518" s="2179"/>
      <c r="O518" s="2179"/>
      <c r="P518" s="2179"/>
      <c r="Q518" s="2179"/>
      <c r="R518" s="2179"/>
      <c r="S518" s="2179"/>
      <c r="T518" s="2179"/>
      <c r="U518" s="2179"/>
      <c r="V518" s="2179"/>
      <c r="W518" s="2179"/>
      <c r="X518" s="262"/>
    </row>
    <row r="519" spans="3:24" ht="5.0999999999999996" customHeight="1">
      <c r="C519" s="260"/>
      <c r="H519" s="38"/>
      <c r="I519" s="38"/>
      <c r="J519" s="38"/>
      <c r="K519" s="38"/>
      <c r="L519" s="38"/>
      <c r="M519" s="38"/>
      <c r="N519" s="38"/>
      <c r="O519" s="38"/>
      <c r="S519" s="38"/>
      <c r="U519" s="38"/>
      <c r="V519" s="38"/>
      <c r="X519" s="262"/>
    </row>
    <row r="520" spans="3:24">
      <c r="C520" s="260"/>
      <c r="D520" s="2173" t="s">
        <v>922</v>
      </c>
      <c r="E520" s="2173"/>
      <c r="F520" s="2173"/>
      <c r="G520" s="2173"/>
      <c r="H520" s="2173"/>
      <c r="I520" s="2174"/>
      <c r="J520" s="2278">
        <f ca="1">J645</f>
        <v>0</v>
      </c>
      <c r="K520" s="2279"/>
      <c r="L520" s="2280"/>
      <c r="M520" s="38"/>
      <c r="N520" s="92"/>
      <c r="O520" s="2173" t="s">
        <v>1044</v>
      </c>
      <c r="P520" s="2173"/>
      <c r="Q520" s="2173"/>
      <c r="R520" s="2173"/>
      <c r="S520" s="2173"/>
      <c r="T520" s="2174"/>
      <c r="U520" s="2315" t="str">
        <f ca="1">U645</f>
        <v/>
      </c>
      <c r="V520" s="2280"/>
      <c r="X520" s="262"/>
    </row>
    <row r="521" spans="3:24" ht="5.0999999999999996" customHeight="1">
      <c r="C521" s="260"/>
      <c r="H521" s="38"/>
      <c r="I521" s="946"/>
      <c r="J521" s="38"/>
      <c r="K521" s="185"/>
      <c r="M521" s="38"/>
      <c r="N521" s="38"/>
      <c r="O521" s="38"/>
      <c r="S521" s="946"/>
      <c r="T521" s="945"/>
      <c r="U521" s="38"/>
      <c r="X521" s="262"/>
    </row>
    <row r="522" spans="3:24" ht="14.95" customHeight="1">
      <c r="C522" s="260"/>
      <c r="D522" s="2173" t="s">
        <v>1045</v>
      </c>
      <c r="E522" s="2173"/>
      <c r="F522" s="2173"/>
      <c r="G522" s="2173"/>
      <c r="H522" s="2173"/>
      <c r="I522" s="2294"/>
      <c r="J522" s="2275">
        <f>J647</f>
        <v>0</v>
      </c>
      <c r="K522" s="2276"/>
      <c r="L522" s="2277"/>
      <c r="M522" s="38"/>
      <c r="N522" s="38"/>
      <c r="O522" s="2173" t="s">
        <v>1046</v>
      </c>
      <c r="P522" s="2173"/>
      <c r="Q522" s="2173"/>
      <c r="R522" s="2173"/>
      <c r="S522" s="2173"/>
      <c r="T522" s="2174"/>
      <c r="U522" s="2315" t="str">
        <f ca="1">U649</f>
        <v/>
      </c>
      <c r="V522" s="2280"/>
      <c r="X522" s="262"/>
    </row>
    <row r="523" spans="3:24" ht="14.95" customHeight="1">
      <c r="C523" s="260"/>
      <c r="H523" s="38"/>
      <c r="I523" s="946"/>
      <c r="J523" s="38"/>
      <c r="K523" s="185"/>
      <c r="M523" s="38"/>
      <c r="N523" s="38"/>
      <c r="O523" s="38"/>
      <c r="S523" s="946"/>
      <c r="T523" s="945"/>
      <c r="U523" s="38"/>
      <c r="X523" s="262"/>
    </row>
    <row r="524" spans="3:24">
      <c r="C524" s="260"/>
      <c r="D524" s="2173" t="s">
        <v>1047</v>
      </c>
      <c r="E524" s="2173"/>
      <c r="F524" s="2173"/>
      <c r="G524" s="2173"/>
      <c r="H524" s="2173"/>
      <c r="I524" s="2294"/>
      <c r="J524" s="2275">
        <f>J651</f>
        <v>0</v>
      </c>
      <c r="K524" s="2276"/>
      <c r="L524" s="2277"/>
      <c r="M524" s="38"/>
      <c r="N524" s="92"/>
      <c r="O524" s="2173" t="s">
        <v>1048</v>
      </c>
      <c r="P524" s="2173"/>
      <c r="Q524" s="2173"/>
      <c r="R524" s="2173"/>
      <c r="S524" s="2173"/>
      <c r="T524" s="2174"/>
      <c r="U524" s="2315" t="str">
        <f ca="1">U651</f>
        <v/>
      </c>
      <c r="V524" s="2280"/>
      <c r="X524" s="262"/>
    </row>
    <row r="525" spans="3:24" ht="5.0999999999999996" customHeight="1">
      <c r="C525" s="260"/>
      <c r="H525" s="38"/>
      <c r="I525" s="946"/>
      <c r="J525" s="38"/>
      <c r="K525" s="185"/>
      <c r="M525" s="38"/>
      <c r="N525" s="38"/>
      <c r="O525" s="38"/>
      <c r="S525" s="946"/>
      <c r="T525" s="945"/>
      <c r="U525" s="38"/>
      <c r="X525" s="262"/>
    </row>
    <row r="526" spans="3:24">
      <c r="C526" s="260"/>
      <c r="D526" s="2173" t="s">
        <v>1049</v>
      </c>
      <c r="E526" s="2173"/>
      <c r="F526" s="2173"/>
      <c r="G526" s="2173"/>
      <c r="H526" s="2173"/>
      <c r="I526" s="2174"/>
      <c r="J526" s="2278" t="str">
        <f ca="1">J653</f>
        <v/>
      </c>
      <c r="K526" s="2279"/>
      <c r="L526" s="2280"/>
      <c r="M526" s="38"/>
      <c r="N526" s="92"/>
      <c r="O526" s="2173" t="s">
        <v>1050</v>
      </c>
      <c r="P526" s="2173"/>
      <c r="Q526" s="2173"/>
      <c r="R526" s="2173"/>
      <c r="S526" s="2173"/>
      <c r="T526" s="2174"/>
      <c r="U526" s="2417" t="str">
        <f ca="1">U653</f>
        <v/>
      </c>
      <c r="V526" s="2280"/>
      <c r="X526" s="262"/>
    </row>
    <row r="527" spans="3:24" ht="5.0999999999999996" customHeight="1">
      <c r="C527" s="260"/>
      <c r="H527" s="38"/>
      <c r="I527" s="946"/>
      <c r="J527" s="38"/>
      <c r="K527" s="185"/>
      <c r="M527" s="38"/>
      <c r="N527" s="38"/>
      <c r="O527" s="38"/>
      <c r="S527" s="38"/>
      <c r="U527" s="185"/>
      <c r="V527" s="38"/>
      <c r="X527" s="262"/>
    </row>
    <row r="528" spans="3:24">
      <c r="C528" s="260"/>
      <c r="D528" s="2173" t="s">
        <v>1051</v>
      </c>
      <c r="E528" s="2173"/>
      <c r="F528" s="2173"/>
      <c r="G528" s="2173"/>
      <c r="H528" s="2173"/>
      <c r="I528" s="2174"/>
      <c r="J528" s="2278" t="str">
        <f>DATA!BW4</f>
        <v>Check Payment</v>
      </c>
      <c r="K528" s="2279"/>
      <c r="L528" s="2280"/>
      <c r="M528" s="38"/>
      <c r="N528" s="92"/>
      <c r="O528" s="92"/>
      <c r="R528" s="185"/>
      <c r="U528" s="402"/>
      <c r="V528" s="402"/>
      <c r="X528" s="262"/>
    </row>
    <row r="529" spans="2:24" ht="5.0999999999999996" customHeight="1">
      <c r="C529" s="261"/>
      <c r="D529" s="184"/>
      <c r="E529" s="184"/>
      <c r="F529" s="184"/>
      <c r="G529" s="184"/>
      <c r="H529" s="176"/>
      <c r="I529" s="176"/>
      <c r="J529" s="176"/>
      <c r="K529" s="176"/>
      <c r="L529" s="176"/>
      <c r="M529" s="176"/>
      <c r="N529" s="176"/>
      <c r="O529" s="176"/>
      <c r="P529" s="184"/>
      <c r="Q529" s="184"/>
      <c r="R529" s="184"/>
      <c r="S529" s="176"/>
      <c r="T529" s="184"/>
      <c r="U529" s="176"/>
      <c r="V529" s="176"/>
      <c r="W529" s="184"/>
      <c r="X529" s="263"/>
    </row>
    <row r="530" spans="2:24" ht="5.0999999999999996" customHeight="1">
      <c r="U530" s="38"/>
      <c r="V530" s="38"/>
    </row>
    <row r="531" spans="2:24" ht="5.0999999999999996" customHeight="1">
      <c r="C531" s="621"/>
      <c r="D531" s="610"/>
      <c r="E531" s="610"/>
      <c r="F531" s="610"/>
      <c r="G531" s="610"/>
      <c r="H531" s="610"/>
      <c r="I531" s="610"/>
      <c r="J531" s="610"/>
      <c r="K531" s="610"/>
      <c r="L531" s="610"/>
      <c r="M531" s="610"/>
      <c r="N531" s="610"/>
      <c r="O531" s="610"/>
      <c r="P531" s="610"/>
      <c r="Q531" s="610"/>
      <c r="R531" s="610"/>
      <c r="S531" s="610"/>
      <c r="T531" s="610"/>
      <c r="U531" s="610"/>
      <c r="V531" s="610"/>
      <c r="W531" s="610"/>
      <c r="X531" s="1158"/>
    </row>
    <row r="532" spans="2:24">
      <c r="C532" s="260"/>
      <c r="D532" s="2179" t="s">
        <v>956</v>
      </c>
      <c r="E532" s="2179"/>
      <c r="F532" s="2179"/>
      <c r="G532" s="2179"/>
      <c r="H532" s="2179"/>
      <c r="I532" s="2179"/>
      <c r="J532" s="2179"/>
      <c r="K532" s="2179"/>
      <c r="L532" s="2179"/>
      <c r="M532" s="2179"/>
      <c r="N532" s="2179"/>
      <c r="O532" s="2179"/>
      <c r="P532" s="2179"/>
      <c r="Q532" s="2179"/>
      <c r="R532" s="2179"/>
      <c r="S532" s="2179"/>
      <c r="T532" s="2179"/>
      <c r="U532" s="2179"/>
      <c r="V532" s="2179"/>
      <c r="W532" s="2179"/>
      <c r="X532" s="262"/>
    </row>
    <row r="533" spans="2:24" ht="5.0999999999999996" customHeight="1">
      <c r="C533" s="260"/>
      <c r="X533" s="262"/>
    </row>
    <row r="534" spans="2:24">
      <c r="C534" s="260"/>
      <c r="D534" s="2301" t="s">
        <v>957</v>
      </c>
      <c r="E534" s="2301"/>
      <c r="F534" s="2301"/>
      <c r="G534" s="2301"/>
      <c r="H534" s="2301"/>
      <c r="I534" s="2302"/>
      <c r="J534" s="2418">
        <f ca="1">J665+J685</f>
        <v>0</v>
      </c>
      <c r="K534" s="2419"/>
      <c r="L534" s="2420"/>
      <c r="M534" s="92"/>
      <c r="N534" s="326"/>
      <c r="O534" s="2173" t="s">
        <v>1052</v>
      </c>
      <c r="P534" s="2173"/>
      <c r="Q534" s="2173"/>
      <c r="R534" s="2173"/>
      <c r="S534" s="2173"/>
      <c r="T534" s="2180"/>
      <c r="U534" s="2242"/>
      <c r="V534" s="2209"/>
      <c r="X534" s="262"/>
    </row>
    <row r="535" spans="2:24" ht="5.0999999999999996" customHeight="1">
      <c r="C535" s="260"/>
      <c r="J535" s="92"/>
      <c r="M535" s="92"/>
      <c r="N535" s="92"/>
      <c r="O535" s="92"/>
      <c r="S535" s="945"/>
      <c r="T535" s="945"/>
      <c r="X535" s="262"/>
    </row>
    <row r="536" spans="2:24">
      <c r="C536" s="260"/>
      <c r="D536" s="2301" t="s">
        <v>958</v>
      </c>
      <c r="E536" s="2301"/>
      <c r="F536" s="2301"/>
      <c r="G536" s="2301"/>
      <c r="H536" s="2301"/>
      <c r="I536" s="2302"/>
      <c r="J536" s="2414">
        <f ca="1">U667+U687</f>
        <v>0</v>
      </c>
      <c r="K536" s="2415"/>
      <c r="L536" s="2416"/>
      <c r="M536" s="92"/>
      <c r="N536" s="325"/>
      <c r="O536" s="2173" t="s">
        <v>985</v>
      </c>
      <c r="P536" s="2173"/>
      <c r="Q536" s="2173"/>
      <c r="R536" s="2173"/>
      <c r="S536" s="2173"/>
      <c r="T536" s="2174"/>
      <c r="U536" s="2414">
        <f ca="1">J671+J691</f>
        <v>0</v>
      </c>
      <c r="V536" s="2416"/>
      <c r="X536" s="262"/>
    </row>
    <row r="537" spans="2:24" ht="5.0999999999999996" customHeight="1">
      <c r="C537" s="261"/>
      <c r="D537" s="184"/>
      <c r="E537" s="184"/>
      <c r="F537" s="184"/>
      <c r="G537" s="184"/>
      <c r="H537" s="184"/>
      <c r="I537" s="184"/>
      <c r="J537" s="184"/>
      <c r="K537" s="184"/>
      <c r="L537" s="184"/>
      <c r="M537" s="184"/>
      <c r="N537" s="184"/>
      <c r="O537" s="184"/>
      <c r="P537" s="184"/>
      <c r="Q537" s="184"/>
      <c r="R537" s="184"/>
      <c r="S537" s="184"/>
      <c r="T537" s="184"/>
      <c r="U537" s="184"/>
      <c r="V537" s="184"/>
      <c r="W537" s="184"/>
      <c r="X537" s="263"/>
    </row>
    <row r="539" spans="2:24">
      <c r="B539" s="1441"/>
    </row>
    <row r="540" spans="2:24" ht="21.75" thickBot="1">
      <c r="B540" s="1441"/>
      <c r="I540" s="2460">
        <f>M22</f>
        <v>0</v>
      </c>
      <c r="J540" s="2460"/>
      <c r="K540" s="315"/>
      <c r="L540" s="315" t="s">
        <v>1053</v>
      </c>
      <c r="M540" s="315"/>
      <c r="N540" s="315"/>
      <c r="O540" s="315"/>
      <c r="P540" s="315"/>
      <c r="Q540" s="315"/>
      <c r="R540" s="315"/>
      <c r="S540" s="315"/>
      <c r="T540" s="315"/>
      <c r="U540" s="315"/>
      <c r="V540" s="315"/>
      <c r="W540" s="315"/>
      <c r="X540" s="315"/>
    </row>
    <row r="541" spans="2:24" ht="14.95" customHeight="1">
      <c r="B541" s="1441"/>
      <c r="H541" s="2461" t="s">
        <v>1054</v>
      </c>
      <c r="I541" s="2327"/>
      <c r="J541" s="2327"/>
      <c r="K541" s="2327"/>
      <c r="L541" s="2327"/>
      <c r="M541" s="2327"/>
      <c r="N541" s="2327"/>
      <c r="O541" s="2327"/>
      <c r="P541" s="2327"/>
      <c r="Q541" s="2327"/>
      <c r="R541" s="2327"/>
      <c r="S541" s="2327"/>
      <c r="T541" s="2327"/>
      <c r="U541" s="2327"/>
      <c r="V541" s="2327"/>
      <c r="W541" s="2327"/>
      <c r="X541" s="2328"/>
    </row>
    <row r="542" spans="2:24" ht="14.95" customHeight="1">
      <c r="B542" s="1441"/>
      <c r="H542" s="2329"/>
      <c r="I542" s="2330"/>
      <c r="J542" s="2330"/>
      <c r="K542" s="2330"/>
      <c r="L542" s="2330"/>
      <c r="M542" s="2330"/>
      <c r="N542" s="2330"/>
      <c r="O542" s="2330"/>
      <c r="P542" s="2330"/>
      <c r="Q542" s="2330"/>
      <c r="R542" s="2330"/>
      <c r="S542" s="2330"/>
      <c r="T542" s="2330"/>
      <c r="U542" s="2330"/>
      <c r="V542" s="2330"/>
      <c r="W542" s="2330"/>
      <c r="X542" s="2331"/>
    </row>
    <row r="543" spans="2:24" ht="14.95" thickBot="1">
      <c r="B543" s="1441"/>
      <c r="H543" s="2332"/>
      <c r="I543" s="2333"/>
      <c r="J543" s="2333"/>
      <c r="K543" s="2333"/>
      <c r="L543" s="2333"/>
      <c r="M543" s="2333"/>
      <c r="N543" s="2333"/>
      <c r="O543" s="2333"/>
      <c r="P543" s="2333"/>
      <c r="Q543" s="2333"/>
      <c r="R543" s="2333"/>
      <c r="S543" s="2333"/>
      <c r="T543" s="2333"/>
      <c r="U543" s="2333"/>
      <c r="V543" s="2333"/>
      <c r="W543" s="2333"/>
      <c r="X543" s="2334"/>
    </row>
    <row r="544" spans="2:24">
      <c r="B544" s="1441"/>
    </row>
    <row r="545" spans="2:24">
      <c r="B545" s="1441"/>
    </row>
    <row r="546" spans="2:24" ht="7.5" customHeight="1">
      <c r="B546" s="1441"/>
      <c r="C546" s="621"/>
      <c r="D546" s="610"/>
      <c r="E546" s="610"/>
      <c r="F546" s="610"/>
      <c r="G546" s="610"/>
      <c r="H546" s="610"/>
      <c r="I546" s="610"/>
      <c r="J546" s="610"/>
      <c r="K546" s="610"/>
      <c r="L546" s="610"/>
      <c r="M546" s="610"/>
      <c r="N546" s="610"/>
      <c r="O546" s="610"/>
      <c r="P546" s="610"/>
      <c r="Q546" s="610"/>
      <c r="R546" s="610"/>
      <c r="S546" s="610"/>
      <c r="T546" s="610"/>
      <c r="U546" s="610"/>
      <c r="V546" s="610"/>
      <c r="W546" s="610"/>
      <c r="X546" s="1158"/>
    </row>
    <row r="547" spans="2:24">
      <c r="B547" s="1441"/>
      <c r="C547" s="260"/>
      <c r="D547" s="2190" t="s">
        <v>1055</v>
      </c>
      <c r="E547" s="2190"/>
      <c r="F547" s="2190"/>
      <c r="G547" s="2190"/>
      <c r="H547" s="2190"/>
      <c r="I547" s="2190"/>
      <c r="J547" s="2190"/>
      <c r="K547" s="2190"/>
      <c r="L547" s="2190"/>
      <c r="M547" s="2190"/>
      <c r="N547" s="2190"/>
      <c r="O547" s="2190"/>
      <c r="P547" s="2190"/>
      <c r="Q547" s="2190"/>
      <c r="R547" s="2190"/>
      <c r="S547" s="2190"/>
      <c r="T547" s="2190"/>
      <c r="U547" s="2190"/>
      <c r="V547" s="2190"/>
      <c r="W547" s="2190"/>
      <c r="X547" s="262"/>
    </row>
    <row r="548" spans="2:24" ht="5.3" customHeight="1">
      <c r="B548" s="1441"/>
      <c r="C548" s="260"/>
      <c r="D548" s="1426"/>
      <c r="E548" s="1426"/>
      <c r="F548" s="1426"/>
      <c r="G548" s="1426"/>
      <c r="H548" s="1426"/>
      <c r="I548" s="1426"/>
      <c r="J548" s="1426"/>
      <c r="K548" s="1426"/>
      <c r="L548" s="1426"/>
      <c r="M548" s="1426"/>
      <c r="N548" s="1426"/>
      <c r="O548" s="1426"/>
      <c r="P548" s="1426"/>
      <c r="Q548" s="1426"/>
      <c r="R548" s="1426"/>
      <c r="S548" s="1426"/>
      <c r="T548" s="1426"/>
      <c r="U548" s="1426"/>
      <c r="V548" s="1426"/>
      <c r="W548" s="1426"/>
      <c r="X548" s="262"/>
    </row>
    <row r="549" spans="2:24">
      <c r="B549" s="1441"/>
      <c r="C549" s="260"/>
      <c r="D549" s="1426"/>
      <c r="E549" s="2287" t="s">
        <v>1056</v>
      </c>
      <c r="F549" s="2288"/>
      <c r="G549" s="2288"/>
      <c r="H549" s="2288"/>
      <c r="I549" s="2288"/>
      <c r="J549" s="2288"/>
      <c r="K549" s="2288"/>
      <c r="L549" s="2288"/>
      <c r="M549" s="2288"/>
      <c r="N549" s="2288"/>
      <c r="O549" s="2288"/>
      <c r="P549" s="2288"/>
      <c r="Q549" s="2288"/>
      <c r="R549" s="2288"/>
      <c r="S549" s="2288"/>
      <c r="T549" s="2288"/>
      <c r="U549" s="2288"/>
      <c r="V549" s="2289"/>
      <c r="W549" s="1426"/>
      <c r="X549" s="262"/>
    </row>
    <row r="550" spans="2:24">
      <c r="B550" s="1441"/>
      <c r="C550" s="260"/>
      <c r="D550" s="1426"/>
      <c r="E550" s="2290"/>
      <c r="F550" s="2291"/>
      <c r="G550" s="2291"/>
      <c r="H550" s="2291"/>
      <c r="I550" s="2291"/>
      <c r="J550" s="2291"/>
      <c r="K550" s="2291"/>
      <c r="L550" s="2291"/>
      <c r="M550" s="2291"/>
      <c r="N550" s="2291"/>
      <c r="O550" s="2291"/>
      <c r="P550" s="2291"/>
      <c r="Q550" s="2291"/>
      <c r="R550" s="2291"/>
      <c r="S550" s="2291"/>
      <c r="T550" s="2291"/>
      <c r="U550" s="2291"/>
      <c r="V550" s="2292"/>
      <c r="W550" s="1426"/>
      <c r="X550" s="262"/>
    </row>
    <row r="551" spans="2:24" ht="7.5" customHeight="1">
      <c r="B551" s="1441"/>
      <c r="C551" s="260"/>
      <c r="X551" s="262"/>
    </row>
    <row r="552" spans="2:24" ht="14.95" customHeight="1">
      <c r="B552" s="1441"/>
      <c r="C552" s="260"/>
      <c r="O552" s="2299" t="s">
        <v>1029</v>
      </c>
      <c r="P552" s="2299"/>
      <c r="Q552" s="2299"/>
      <c r="R552" s="2299"/>
      <c r="S552" s="2299"/>
      <c r="T552" s="2300"/>
      <c r="U552" s="2244"/>
      <c r="V552" s="2245"/>
      <c r="X552" s="262"/>
    </row>
    <row r="553" spans="2:24" ht="7.5" customHeight="1">
      <c r="B553" s="1441"/>
      <c r="C553" s="260"/>
      <c r="O553" s="44"/>
      <c r="P553" s="44"/>
      <c r="Q553" s="44"/>
      <c r="R553" s="44"/>
      <c r="S553" s="44"/>
      <c r="T553" s="44"/>
      <c r="X553" s="262"/>
    </row>
    <row r="554" spans="2:24">
      <c r="B554" s="1441"/>
      <c r="C554" s="260"/>
      <c r="D554" s="2298" t="s">
        <v>1057</v>
      </c>
      <c r="E554" s="2198"/>
      <c r="F554" s="2198"/>
      <c r="G554" s="2198"/>
      <c r="H554" s="2198"/>
      <c r="I554" s="2199"/>
      <c r="J554" s="2303">
        <f ca="1">DATA!D4</f>
        <v>0</v>
      </c>
      <c r="K554" s="2304"/>
      <c r="L554" s="2305"/>
      <c r="M554" s="177"/>
      <c r="N554" s="177"/>
      <c r="O554" s="956"/>
      <c r="P554" s="44"/>
      <c r="Q554" s="44"/>
      <c r="R554" s="44"/>
      <c r="S554" s="44"/>
      <c r="T554" s="44"/>
      <c r="X554" s="262"/>
    </row>
    <row r="555" spans="2:24" ht="7.5" customHeight="1">
      <c r="B555" s="1441"/>
      <c r="C555" s="260"/>
      <c r="D555" s="44"/>
      <c r="E555" s="44"/>
      <c r="F555" s="44"/>
      <c r="G555" s="44"/>
      <c r="H555" s="44"/>
      <c r="I555" s="44"/>
      <c r="O555" s="44"/>
      <c r="P555" s="44"/>
      <c r="Q555" s="44"/>
      <c r="R555" s="44"/>
      <c r="S555" s="44"/>
      <c r="T555" s="44"/>
      <c r="X555" s="262"/>
    </row>
    <row r="556" spans="2:24">
      <c r="B556" s="1441"/>
      <c r="C556" s="260"/>
      <c r="D556" s="2198" t="s">
        <v>1058</v>
      </c>
      <c r="E556" s="2198"/>
      <c r="F556" s="2198"/>
      <c r="G556" s="2198"/>
      <c r="H556" s="2198"/>
      <c r="I556" s="2199"/>
      <c r="J556" s="2239">
        <f ca="1">DATA!F4</f>
        <v>0</v>
      </c>
      <c r="K556" s="2240"/>
      <c r="L556" s="2241"/>
      <c r="M556" s="92"/>
      <c r="N556" s="92"/>
      <c r="O556" s="957"/>
      <c r="P556" s="44"/>
      <c r="Q556" s="44"/>
      <c r="R556" s="44"/>
      <c r="S556" s="44"/>
      <c r="T556" s="44"/>
      <c r="X556" s="262"/>
    </row>
    <row r="557" spans="2:24" ht="7.5" customHeight="1">
      <c r="B557" s="1441"/>
      <c r="C557" s="260"/>
      <c r="D557" s="44"/>
      <c r="E557" s="44"/>
      <c r="F557" s="44"/>
      <c r="G557" s="44"/>
      <c r="H557" s="44"/>
      <c r="I557" s="44"/>
      <c r="O557" s="44"/>
      <c r="P557" s="44"/>
      <c r="Q557" s="44"/>
      <c r="R557" s="44"/>
      <c r="S557" s="44"/>
      <c r="T557" s="44"/>
      <c r="U557" s="92"/>
      <c r="X557" s="262"/>
    </row>
    <row r="558" spans="2:24">
      <c r="B558" s="1441"/>
      <c r="C558" s="260"/>
      <c r="D558" s="44"/>
      <c r="E558" s="44"/>
      <c r="F558" s="44"/>
      <c r="G558" s="44"/>
      <c r="H558" s="44"/>
      <c r="I558" s="44"/>
      <c r="M558" s="92"/>
      <c r="N558" s="92"/>
      <c r="O558" s="957"/>
      <c r="P558" s="44"/>
      <c r="Q558" s="44"/>
      <c r="R558" s="44"/>
      <c r="S558" s="44"/>
      <c r="T558" s="44"/>
      <c r="X558" s="262"/>
    </row>
    <row r="559" spans="2:24" ht="7.5" customHeight="1">
      <c r="B559" s="1441"/>
      <c r="C559" s="260"/>
      <c r="D559" s="44"/>
      <c r="E559" s="44"/>
      <c r="F559" s="44"/>
      <c r="G559" s="44"/>
      <c r="H559" s="44"/>
      <c r="I559" s="44"/>
      <c r="J559" s="92"/>
      <c r="M559" s="92"/>
      <c r="N559" s="92"/>
      <c r="O559" s="957"/>
      <c r="P559" s="44"/>
      <c r="Q559" s="44"/>
      <c r="R559" s="44"/>
      <c r="S559" s="44"/>
      <c r="T559" s="44"/>
      <c r="U559" s="92"/>
      <c r="X559" s="262"/>
    </row>
    <row r="560" spans="2:24">
      <c r="B560" s="1441"/>
      <c r="C560" s="260"/>
      <c r="D560" s="44"/>
      <c r="E560" s="44"/>
      <c r="F560" s="44"/>
      <c r="G560" s="44"/>
      <c r="H560" s="44"/>
      <c r="I560" s="44"/>
      <c r="M560" s="323"/>
      <c r="N560" s="324"/>
      <c r="O560" s="958"/>
      <c r="P560" s="44"/>
      <c r="Q560" s="44"/>
      <c r="R560" s="44"/>
      <c r="S560" s="44"/>
      <c r="T560" s="44"/>
      <c r="X560" s="262"/>
    </row>
    <row r="561" spans="2:24" ht="7.5" customHeight="1">
      <c r="B561" s="1441"/>
      <c r="C561" s="260"/>
      <c r="D561" s="44"/>
      <c r="E561" s="44"/>
      <c r="F561" s="44"/>
      <c r="G561" s="44"/>
      <c r="H561" s="44"/>
      <c r="I561" s="44"/>
      <c r="J561" s="92"/>
      <c r="M561" s="92"/>
      <c r="N561" s="92"/>
      <c r="O561" s="957"/>
      <c r="P561" s="44"/>
      <c r="Q561" s="44"/>
      <c r="R561" s="44"/>
      <c r="S561" s="44"/>
      <c r="T561" s="44"/>
      <c r="U561" s="92"/>
      <c r="X561" s="262"/>
    </row>
    <row r="562" spans="2:24">
      <c r="B562" s="1441"/>
      <c r="C562" s="260"/>
      <c r="D562" s="2198" t="s">
        <v>1059</v>
      </c>
      <c r="E562" s="2198"/>
      <c r="F562" s="2198"/>
      <c r="G562" s="2198"/>
      <c r="H562" s="2198"/>
      <c r="I562" s="2199"/>
      <c r="J562" s="2239">
        <f ca="1">DATA!N4</f>
        <v>0</v>
      </c>
      <c r="K562" s="2240"/>
      <c r="L562" s="2241"/>
      <c r="M562" s="92"/>
      <c r="N562" s="92"/>
      <c r="O562" s="2198" t="s">
        <v>1060</v>
      </c>
      <c r="P562" s="2198"/>
      <c r="Q562" s="2198"/>
      <c r="R562" s="2198"/>
      <c r="S562" s="2198"/>
      <c r="T562" s="2199"/>
      <c r="U562" s="2239">
        <f ca="1">DATA!O4</f>
        <v>0</v>
      </c>
      <c r="V562" s="2241"/>
      <c r="X562" s="262"/>
    </row>
    <row r="563" spans="2:24" ht="7.5" customHeight="1">
      <c r="B563" s="1441"/>
      <c r="C563" s="260"/>
      <c r="D563" s="44"/>
      <c r="E563" s="44"/>
      <c r="F563" s="44"/>
      <c r="G563" s="44"/>
      <c r="H563" s="44"/>
      <c r="I563" s="44"/>
      <c r="J563" s="92"/>
      <c r="M563" s="92"/>
      <c r="N563" s="92"/>
      <c r="O563" s="957"/>
      <c r="P563" s="44"/>
      <c r="Q563" s="44"/>
      <c r="R563" s="44"/>
      <c r="S563" s="44"/>
      <c r="T563" s="44"/>
      <c r="U563" s="92"/>
      <c r="X563" s="262"/>
    </row>
    <row r="564" spans="2:24">
      <c r="B564" s="1441"/>
      <c r="C564" s="260"/>
      <c r="D564" s="2198" t="s">
        <v>1061</v>
      </c>
      <c r="E564" s="2198"/>
      <c r="F564" s="2198"/>
      <c r="G564" s="2198"/>
      <c r="H564" s="2198"/>
      <c r="I564" s="2199"/>
      <c r="J564" s="2239" t="str">
        <f ca="1">DATA!P4</f>
        <v>WA</v>
      </c>
      <c r="K564" s="2240"/>
      <c r="L564" s="2241"/>
      <c r="M564" s="92"/>
      <c r="N564" s="92"/>
      <c r="O564" s="2198" t="s">
        <v>1062</v>
      </c>
      <c r="P564" s="2198"/>
      <c r="Q564" s="2198"/>
      <c r="R564" s="2198"/>
      <c r="S564" s="2198"/>
      <c r="T564" s="2199"/>
      <c r="U564" s="2239">
        <f ca="1">DATA!Q4</f>
        <v>0</v>
      </c>
      <c r="V564" s="2241"/>
      <c r="X564" s="262"/>
    </row>
    <row r="565" spans="2:24" ht="7.5" customHeight="1">
      <c r="B565" s="1441"/>
      <c r="C565" s="260"/>
      <c r="J565" s="92"/>
      <c r="M565" s="92"/>
      <c r="N565" s="92"/>
      <c r="O565" s="92"/>
      <c r="U565" s="92"/>
      <c r="X565" s="262"/>
    </row>
    <row r="566" spans="2:24">
      <c r="B566" s="1441"/>
      <c r="C566" s="260"/>
      <c r="M566" s="92"/>
      <c r="N566" s="92"/>
      <c r="O566" s="92"/>
      <c r="X566" s="262"/>
    </row>
    <row r="567" spans="2:24" ht="7.5" customHeight="1">
      <c r="B567" s="1441"/>
      <c r="C567" s="261"/>
      <c r="D567" s="184"/>
      <c r="E567" s="184"/>
      <c r="F567" s="184"/>
      <c r="G567" s="184"/>
      <c r="H567" s="184"/>
      <c r="I567" s="184"/>
      <c r="J567" s="184"/>
      <c r="K567" s="184"/>
      <c r="L567" s="184"/>
      <c r="M567" s="184"/>
      <c r="N567" s="184"/>
      <c r="O567" s="184"/>
      <c r="P567" s="184"/>
      <c r="Q567" s="184"/>
      <c r="R567" s="184"/>
      <c r="S567" s="184"/>
      <c r="T567" s="184"/>
      <c r="U567" s="184"/>
      <c r="V567" s="184"/>
      <c r="W567" s="184"/>
      <c r="X567" s="263"/>
    </row>
    <row r="568" spans="2:24" ht="7.5" customHeight="1"/>
    <row r="569" spans="2:24" ht="7.5" customHeight="1">
      <c r="C569" s="621"/>
      <c r="D569" s="610"/>
      <c r="E569" s="610"/>
      <c r="F569" s="610"/>
      <c r="G569" s="610"/>
      <c r="H569" s="610"/>
      <c r="I569" s="610"/>
      <c r="J569" s="610"/>
      <c r="K569" s="610"/>
      <c r="L569" s="610"/>
      <c r="M569" s="610"/>
      <c r="N569" s="610"/>
      <c r="O569" s="610"/>
      <c r="P569" s="610"/>
      <c r="Q569" s="610"/>
      <c r="R569" s="610"/>
      <c r="S569" s="610"/>
      <c r="T569" s="610"/>
      <c r="U569" s="610"/>
      <c r="V569" s="610"/>
      <c r="W569" s="610"/>
      <c r="X569" s="1158"/>
    </row>
    <row r="570" spans="2:24">
      <c r="C570" s="260"/>
      <c r="D570" s="2190" t="s">
        <v>1063</v>
      </c>
      <c r="E570" s="2190"/>
      <c r="F570" s="2190"/>
      <c r="G570" s="2190"/>
      <c r="H570" s="2190"/>
      <c r="I570" s="2190"/>
      <c r="J570" s="2190"/>
      <c r="K570" s="2190"/>
      <c r="L570" s="2190"/>
      <c r="M570" s="2190"/>
      <c r="N570" s="2190"/>
      <c r="O570" s="2190"/>
      <c r="P570" s="2190"/>
      <c r="Q570" s="2190"/>
      <c r="R570" s="2190"/>
      <c r="S570" s="2190"/>
      <c r="T570" s="2190"/>
      <c r="U570" s="2190"/>
      <c r="V570" s="2190"/>
      <c r="W570" s="2190"/>
      <c r="X570" s="262"/>
    </row>
    <row r="571" spans="2:24" ht="7.5" customHeight="1">
      <c r="C571" s="260"/>
      <c r="I571" s="38"/>
      <c r="J571" s="38"/>
      <c r="K571" s="38"/>
      <c r="L571" s="38"/>
      <c r="M571" s="38"/>
      <c r="N571" s="38"/>
      <c r="O571" s="38"/>
      <c r="X571" s="262"/>
    </row>
    <row r="572" spans="2:24">
      <c r="C572" s="260"/>
      <c r="D572" s="1426"/>
      <c r="E572" s="2287" t="s">
        <v>1064</v>
      </c>
      <c r="F572" s="2288"/>
      <c r="G572" s="2288"/>
      <c r="H572" s="2288"/>
      <c r="I572" s="2288"/>
      <c r="J572" s="2288"/>
      <c r="K572" s="2288"/>
      <c r="L572" s="2288"/>
      <c r="M572" s="2288"/>
      <c r="N572" s="2288"/>
      <c r="O572" s="2288"/>
      <c r="P572" s="2288"/>
      <c r="Q572" s="2288"/>
      <c r="R572" s="2288"/>
      <c r="S572" s="2288"/>
      <c r="T572" s="2288"/>
      <c r="U572" s="2288"/>
      <c r="V572" s="2289"/>
      <c r="W572" s="1426"/>
      <c r="X572" s="262"/>
    </row>
    <row r="573" spans="2:24">
      <c r="C573" s="260"/>
      <c r="D573" s="1426"/>
      <c r="E573" s="2290"/>
      <c r="F573" s="2291"/>
      <c r="G573" s="2291"/>
      <c r="H573" s="2291"/>
      <c r="I573" s="2291"/>
      <c r="J573" s="2291"/>
      <c r="K573" s="2291"/>
      <c r="L573" s="2291"/>
      <c r="M573" s="2291"/>
      <c r="N573" s="2291"/>
      <c r="O573" s="2291"/>
      <c r="P573" s="2291"/>
      <c r="Q573" s="2291"/>
      <c r="R573" s="2291"/>
      <c r="S573" s="2291"/>
      <c r="T573" s="2291"/>
      <c r="U573" s="2291"/>
      <c r="V573" s="2292"/>
      <c r="W573" s="1426"/>
      <c r="X573" s="262"/>
    </row>
    <row r="574" spans="2:24" ht="7.5" customHeight="1">
      <c r="C574" s="260"/>
      <c r="X574" s="262"/>
    </row>
    <row r="575" spans="2:24" ht="14.95" customHeight="1">
      <c r="C575" s="260"/>
      <c r="I575" s="38"/>
      <c r="J575" s="38"/>
      <c r="K575" s="38"/>
      <c r="L575" s="38"/>
      <c r="M575" s="38"/>
      <c r="N575" s="38"/>
      <c r="O575" s="2293" t="s">
        <v>1065</v>
      </c>
      <c r="P575" s="2293"/>
      <c r="Q575" s="2293"/>
      <c r="R575" s="2293"/>
      <c r="S575" s="2293"/>
      <c r="T575" s="2293"/>
      <c r="U575" s="2244"/>
      <c r="V575" s="2245"/>
      <c r="X575" s="262"/>
    </row>
    <row r="576" spans="2:24" ht="7.5" customHeight="1">
      <c r="C576" s="260"/>
      <c r="I576" s="38"/>
      <c r="J576" s="38"/>
      <c r="K576" s="38"/>
      <c r="L576" s="38"/>
      <c r="M576" s="38"/>
      <c r="N576" s="38"/>
      <c r="O576" s="2293"/>
      <c r="P576" s="2293"/>
      <c r="Q576" s="2293"/>
      <c r="R576" s="2293"/>
      <c r="S576" s="2293"/>
      <c r="T576" s="2293"/>
      <c r="X576" s="262"/>
    </row>
    <row r="577" spans="3:24">
      <c r="C577" s="260"/>
      <c r="D577" s="2198" t="s">
        <v>904</v>
      </c>
      <c r="E577" s="2198"/>
      <c r="F577" s="2198"/>
      <c r="G577" s="2198"/>
      <c r="H577" s="2198"/>
      <c r="I577" s="2199"/>
      <c r="J577" s="2295" t="str">
        <f ca="1">DATA!V4</f>
        <v/>
      </c>
      <c r="K577" s="2296"/>
      <c r="L577" s="2297"/>
      <c r="M577" s="38"/>
      <c r="N577" s="92"/>
      <c r="O577" s="92"/>
      <c r="T577" s="44"/>
      <c r="X577" s="262"/>
    </row>
    <row r="578" spans="3:24" ht="7.5" customHeight="1">
      <c r="C578" s="260"/>
      <c r="I578" s="328"/>
      <c r="J578" s="38"/>
      <c r="K578" s="185"/>
      <c r="M578" s="38"/>
      <c r="N578" s="38"/>
      <c r="O578" s="38"/>
      <c r="T578" s="44"/>
      <c r="X578" s="262"/>
    </row>
    <row r="579" spans="3:24">
      <c r="C579" s="260"/>
      <c r="D579" s="2198" t="s">
        <v>1033</v>
      </c>
      <c r="E579" s="2198"/>
      <c r="F579" s="2198"/>
      <c r="G579" s="2198"/>
      <c r="H579" s="2198"/>
      <c r="I579" s="2199"/>
      <c r="J579" s="2295" t="str">
        <f ca="1">DATA!X4</f>
        <v/>
      </c>
      <c r="K579" s="2296"/>
      <c r="L579" s="2297"/>
      <c r="M579" s="38"/>
      <c r="N579" s="92"/>
      <c r="O579" s="2198" t="s">
        <v>1034</v>
      </c>
      <c r="P579" s="2198"/>
      <c r="Q579" s="2198"/>
      <c r="R579" s="2198"/>
      <c r="S579" s="2198"/>
      <c r="T579" s="2199"/>
      <c r="U579" s="2295" t="str">
        <f ca="1">DATA!Y4</f>
        <v/>
      </c>
      <c r="V579" s="2297"/>
      <c r="X579" s="262"/>
    </row>
    <row r="580" spans="3:24" ht="7.5" customHeight="1">
      <c r="C580" s="260"/>
      <c r="I580" s="328"/>
      <c r="J580" s="38"/>
      <c r="K580" s="185"/>
      <c r="M580" s="38"/>
      <c r="N580" s="38"/>
      <c r="O580" s="38"/>
      <c r="S580" s="185"/>
      <c r="T580" s="44"/>
      <c r="U580" s="38"/>
      <c r="X580" s="262"/>
    </row>
    <row r="581" spans="3:24">
      <c r="C581" s="260"/>
      <c r="D581" s="2198" t="s">
        <v>1035</v>
      </c>
      <c r="E581" s="2198"/>
      <c r="F581" s="2198"/>
      <c r="G581" s="2198"/>
      <c r="H581" s="2198"/>
      <c r="I581" s="2199"/>
      <c r="J581" s="2284" t="str">
        <f ca="1">DATA!Z4</f>
        <v/>
      </c>
      <c r="K581" s="2285"/>
      <c r="L581" s="2286"/>
      <c r="M581" s="38"/>
      <c r="N581" s="92"/>
      <c r="O581" s="2198" t="s">
        <v>1036</v>
      </c>
      <c r="P581" s="2198"/>
      <c r="Q581" s="2198"/>
      <c r="R581" s="2198"/>
      <c r="S581" s="2198"/>
      <c r="T581" s="2199"/>
      <c r="U581" s="2295" t="str">
        <f ca="1">DATA!AA4</f>
        <v/>
      </c>
      <c r="V581" s="2297"/>
      <c r="X581" s="262"/>
    </row>
    <row r="582" spans="3:24" ht="7.5" customHeight="1">
      <c r="C582" s="260"/>
      <c r="I582" s="328"/>
      <c r="J582" s="38"/>
      <c r="K582" s="185"/>
      <c r="M582" s="38"/>
      <c r="N582" s="38"/>
      <c r="O582" s="38"/>
      <c r="X582" s="262"/>
    </row>
    <row r="583" spans="3:24">
      <c r="C583" s="260"/>
      <c r="D583" s="2198" t="s">
        <v>1037</v>
      </c>
      <c r="E583" s="2198"/>
      <c r="F583" s="2198"/>
      <c r="G583" s="2198"/>
      <c r="H583" s="2198"/>
      <c r="I583" s="2198"/>
      <c r="J583" s="2455">
        <f>DATA!AB4</f>
        <v>0</v>
      </c>
      <c r="K583" s="2456"/>
      <c r="L583" s="2457"/>
      <c r="M583" s="323"/>
      <c r="N583" s="92"/>
      <c r="O583" s="92"/>
      <c r="X583" s="262"/>
    </row>
    <row r="584" spans="3:24" ht="7.5" customHeight="1">
      <c r="C584" s="261"/>
      <c r="D584" s="184"/>
      <c r="E584" s="184"/>
      <c r="F584" s="184"/>
      <c r="G584" s="184"/>
      <c r="H584" s="184"/>
      <c r="I584" s="184"/>
      <c r="J584" s="184"/>
      <c r="K584" s="184"/>
      <c r="L584" s="184"/>
      <c r="M584" s="184"/>
      <c r="N584" s="184"/>
      <c r="O584" s="184"/>
      <c r="P584" s="184"/>
      <c r="Q584" s="184"/>
      <c r="R584" s="184"/>
      <c r="S584" s="184"/>
      <c r="T584" s="184"/>
      <c r="U584" s="184"/>
      <c r="V584" s="184"/>
      <c r="W584" s="184"/>
      <c r="X584" s="263"/>
    </row>
    <row r="585" spans="3:24" ht="7.5" customHeight="1"/>
    <row r="586" spans="3:24" ht="7.5" customHeight="1">
      <c r="C586" s="621"/>
      <c r="D586" s="610"/>
      <c r="E586" s="610"/>
      <c r="F586" s="610"/>
      <c r="G586" s="610"/>
      <c r="H586" s="610"/>
      <c r="I586" s="610"/>
      <c r="J586" s="610"/>
      <c r="K586" s="610"/>
      <c r="L586" s="610"/>
      <c r="M586" s="610"/>
      <c r="N586" s="610"/>
      <c r="O586" s="610"/>
      <c r="P586" s="610"/>
      <c r="Q586" s="610"/>
      <c r="R586" s="610"/>
      <c r="S586" s="610"/>
      <c r="T586" s="610"/>
      <c r="U586" s="610"/>
      <c r="V586" s="610"/>
      <c r="W586" s="610"/>
      <c r="X586" s="1158"/>
    </row>
    <row r="587" spans="3:24">
      <c r="C587" s="260"/>
      <c r="D587" s="2190" t="s">
        <v>1040</v>
      </c>
      <c r="E587" s="2190"/>
      <c r="F587" s="2190"/>
      <c r="G587" s="2190"/>
      <c r="H587" s="2190"/>
      <c r="I587" s="2190"/>
      <c r="J587" s="2190"/>
      <c r="K587" s="2190"/>
      <c r="L587" s="2190"/>
      <c r="M587" s="2190"/>
      <c r="N587" s="2190"/>
      <c r="O587" s="2190"/>
      <c r="P587" s="2190"/>
      <c r="Q587" s="2190"/>
      <c r="R587" s="2190"/>
      <c r="S587" s="2190"/>
      <c r="T587" s="2190"/>
      <c r="U587" s="2190"/>
      <c r="V587" s="2190"/>
      <c r="W587" s="2190"/>
      <c r="X587" s="262"/>
    </row>
    <row r="588" spans="3:24" ht="7.5" customHeight="1">
      <c r="C588" s="260"/>
      <c r="I588" s="38"/>
      <c r="J588" s="38"/>
      <c r="K588" s="38"/>
      <c r="L588" s="38"/>
      <c r="M588" s="38"/>
      <c r="N588" s="38"/>
      <c r="O588" s="38"/>
      <c r="X588" s="262"/>
    </row>
    <row r="589" spans="3:24" ht="14.95" customHeight="1">
      <c r="C589" s="260"/>
      <c r="I589" s="38"/>
      <c r="J589" s="38"/>
      <c r="K589" s="38"/>
      <c r="L589" s="38"/>
      <c r="M589" s="38"/>
      <c r="N589" s="38"/>
      <c r="O589" s="2458" t="s">
        <v>1041</v>
      </c>
      <c r="P589" s="2458"/>
      <c r="Q589" s="2458"/>
      <c r="R589" s="2458"/>
      <c r="S589" s="2458"/>
      <c r="T589" s="2459"/>
      <c r="U589" s="2244"/>
      <c r="V589" s="2245"/>
      <c r="X589" s="262"/>
    </row>
    <row r="590" spans="3:24" ht="7.5" customHeight="1">
      <c r="C590" s="260"/>
      <c r="I590" s="38"/>
      <c r="J590" s="38"/>
      <c r="K590" s="38"/>
      <c r="L590" s="38"/>
      <c r="M590" s="38"/>
      <c r="N590" s="38"/>
      <c r="O590" s="38"/>
      <c r="T590" s="44"/>
      <c r="X590" s="262"/>
    </row>
    <row r="591" spans="3:24">
      <c r="C591" s="260"/>
      <c r="I591" s="185"/>
      <c r="J591" s="38"/>
      <c r="K591" s="38"/>
      <c r="L591" s="38"/>
      <c r="M591" s="38"/>
      <c r="N591" s="92"/>
      <c r="O591" s="2198" t="s">
        <v>922</v>
      </c>
      <c r="P591" s="2198"/>
      <c r="Q591" s="2198"/>
      <c r="R591" s="2198"/>
      <c r="S591" s="2198"/>
      <c r="T591" s="2199"/>
      <c r="U591" s="2295" t="str">
        <f ca="1">DATA!AE4</f>
        <v/>
      </c>
      <c r="V591" s="2297"/>
      <c r="X591" s="262"/>
    </row>
    <row r="592" spans="3:24" ht="7.5" customHeight="1">
      <c r="C592" s="260"/>
      <c r="I592" s="185"/>
      <c r="J592" s="38"/>
      <c r="K592" s="185"/>
      <c r="M592" s="38"/>
      <c r="N592" s="38"/>
      <c r="O592" s="38"/>
      <c r="T592" s="44"/>
      <c r="X592" s="262"/>
    </row>
    <row r="593" spans="3:24">
      <c r="C593" s="260"/>
      <c r="D593" s="2198" t="s">
        <v>1042</v>
      </c>
      <c r="E593" s="2198"/>
      <c r="F593" s="2198"/>
      <c r="G593" s="2198"/>
      <c r="H593" s="2198"/>
      <c r="I593" s="2198"/>
      <c r="J593" s="2455">
        <f>DATA!AF4</f>
        <v>0</v>
      </c>
      <c r="K593" s="2456"/>
      <c r="L593" s="2457"/>
      <c r="M593" s="38"/>
      <c r="N593" s="92"/>
      <c r="O593" s="2198" t="s">
        <v>917</v>
      </c>
      <c r="P593" s="2198"/>
      <c r="Q593" s="2198"/>
      <c r="R593" s="2198"/>
      <c r="S593" s="2198"/>
      <c r="T593" s="2199"/>
      <c r="U593" s="2284" t="str">
        <f ca="1">DATA!AG4</f>
        <v/>
      </c>
      <c r="V593" s="2286"/>
      <c r="X593" s="262"/>
    </row>
    <row r="594" spans="3:24" ht="7.5" customHeight="1">
      <c r="C594" s="260"/>
      <c r="I594" s="185"/>
      <c r="J594" s="38"/>
      <c r="K594" s="185"/>
      <c r="M594" s="38"/>
      <c r="N594" s="38"/>
      <c r="O594" s="38"/>
      <c r="T594" s="44"/>
      <c r="X594" s="262"/>
    </row>
    <row r="595" spans="3:24">
      <c r="C595" s="260"/>
      <c r="D595" s="2198" t="s">
        <v>918</v>
      </c>
      <c r="E595" s="2198"/>
      <c r="F595" s="2198"/>
      <c r="G595" s="2198"/>
      <c r="H595" s="2198"/>
      <c r="I595" s="2199"/>
      <c r="J595" s="2295" t="str">
        <f ca="1">DATA!AH4</f>
        <v/>
      </c>
      <c r="K595" s="2296"/>
      <c r="L595" s="2297"/>
      <c r="M595" s="38"/>
      <c r="N595" s="92"/>
      <c r="O595" s="2198" t="s">
        <v>924</v>
      </c>
      <c r="P595" s="2198"/>
      <c r="Q595" s="2198"/>
      <c r="R595" s="2198"/>
      <c r="S595" s="2198"/>
      <c r="T595" s="2199"/>
      <c r="U595" s="2295" t="str">
        <f ca="1">DATA!AI4</f>
        <v/>
      </c>
      <c r="V595" s="2297"/>
      <c r="X595" s="262"/>
    </row>
    <row r="596" spans="3:24" ht="7.5" customHeight="1">
      <c r="C596" s="260"/>
      <c r="I596" s="185"/>
      <c r="J596" s="38"/>
      <c r="K596" s="185"/>
      <c r="M596" s="38"/>
      <c r="N596" s="38"/>
      <c r="O596" s="38"/>
      <c r="T596" s="328"/>
      <c r="U596" s="38"/>
      <c r="X596" s="262"/>
    </row>
    <row r="597" spans="3:24">
      <c r="C597" s="260"/>
      <c r="D597" s="2198" t="s">
        <v>908</v>
      </c>
      <c r="E597" s="2198"/>
      <c r="F597" s="2198"/>
      <c r="G597" s="2198"/>
      <c r="H597" s="2198"/>
      <c r="I597" s="2198"/>
      <c r="J597" s="2448"/>
      <c r="K597" s="2449"/>
      <c r="L597" s="2450"/>
      <c r="M597" s="38"/>
      <c r="N597" s="92"/>
      <c r="O597" s="2198" t="s">
        <v>909</v>
      </c>
      <c r="P597" s="2198"/>
      <c r="Q597" s="2198"/>
      <c r="R597" s="2198"/>
      <c r="S597" s="2198"/>
      <c r="T597" s="2199"/>
      <c r="U597" s="2295" t="str">
        <f ca="1">DATA!AK4</f>
        <v/>
      </c>
      <c r="V597" s="2297"/>
      <c r="X597" s="262"/>
    </row>
    <row r="598" spans="3:24" ht="7.5" customHeight="1">
      <c r="C598" s="260"/>
      <c r="I598" s="185"/>
      <c r="J598" s="38"/>
      <c r="K598" s="185"/>
      <c r="M598" s="38"/>
      <c r="N598" s="38"/>
      <c r="O598" s="38"/>
      <c r="T598" s="44"/>
      <c r="X598" s="262"/>
    </row>
    <row r="599" spans="3:24">
      <c r="C599" s="260"/>
      <c r="D599" s="2198" t="s">
        <v>910</v>
      </c>
      <c r="E599" s="2198"/>
      <c r="F599" s="2198"/>
      <c r="G599" s="2198"/>
      <c r="H599" s="2198"/>
      <c r="I599" s="2199"/>
      <c r="J599" s="2295" t="str">
        <f ca="1">DATA!AL4</f>
        <v/>
      </c>
      <c r="K599" s="2296"/>
      <c r="L599" s="2297"/>
      <c r="M599" s="323"/>
      <c r="N599" s="92"/>
      <c r="O599" s="2198" t="s">
        <v>911</v>
      </c>
      <c r="P599" s="2198"/>
      <c r="Q599" s="2198"/>
      <c r="R599" s="2198"/>
      <c r="S599" s="2198"/>
      <c r="T599" s="2199"/>
      <c r="U599" s="2295" t="str">
        <f ca="1">DATA!AM4</f>
        <v/>
      </c>
      <c r="V599" s="2297"/>
      <c r="X599" s="262"/>
    </row>
    <row r="600" spans="3:24" ht="7.5" customHeight="1">
      <c r="C600" s="261"/>
      <c r="D600" s="184"/>
      <c r="E600" s="184"/>
      <c r="F600" s="184"/>
      <c r="G600" s="184"/>
      <c r="H600" s="184"/>
      <c r="I600" s="184"/>
      <c r="J600" s="184"/>
      <c r="K600" s="184"/>
      <c r="L600" s="184"/>
      <c r="M600" s="184"/>
      <c r="N600" s="184"/>
      <c r="O600" s="184"/>
      <c r="P600" s="184"/>
      <c r="Q600" s="184"/>
      <c r="R600" s="184"/>
      <c r="S600" s="184"/>
      <c r="T600" s="184"/>
      <c r="U600" s="184"/>
      <c r="V600" s="184"/>
      <c r="W600" s="184"/>
      <c r="X600" s="263"/>
    </row>
    <row r="601" spans="3:24" ht="7.5" customHeight="1">
      <c r="C601" s="649"/>
      <c r="D601" s="649"/>
      <c r="E601" s="649"/>
      <c r="F601" s="649"/>
      <c r="G601" s="649"/>
      <c r="H601" s="649"/>
      <c r="I601" s="649"/>
      <c r="J601" s="649"/>
      <c r="K601" s="649"/>
      <c r="L601" s="649"/>
      <c r="M601" s="649"/>
      <c r="N601" s="649"/>
      <c r="O601" s="649"/>
      <c r="P601" s="649"/>
      <c r="Q601" s="649"/>
      <c r="R601" s="649"/>
      <c r="S601" s="649"/>
      <c r="T601" s="649"/>
      <c r="U601" s="649"/>
      <c r="V601" s="649"/>
      <c r="W601" s="649"/>
      <c r="X601" s="649"/>
    </row>
    <row r="602" spans="3:24" ht="7.5" customHeight="1">
      <c r="C602" s="621"/>
      <c r="D602" s="610"/>
      <c r="E602" s="610"/>
      <c r="F602" s="610"/>
      <c r="G602" s="610"/>
      <c r="H602" s="610"/>
      <c r="I602" s="610"/>
      <c r="J602" s="610"/>
      <c r="K602" s="610"/>
      <c r="L602" s="610"/>
      <c r="M602" s="610"/>
      <c r="N602" s="610"/>
      <c r="O602" s="610"/>
      <c r="P602" s="610"/>
      <c r="Q602" s="610"/>
      <c r="R602" s="610"/>
      <c r="S602" s="610"/>
      <c r="T602" s="610"/>
      <c r="U602" s="610"/>
      <c r="V602" s="610"/>
      <c r="W602" s="610"/>
      <c r="X602" s="1158"/>
    </row>
    <row r="603" spans="3:24">
      <c r="C603" s="260"/>
      <c r="D603" s="2190" t="s">
        <v>1002</v>
      </c>
      <c r="E603" s="2190"/>
      <c r="F603" s="2190"/>
      <c r="G603" s="2190"/>
      <c r="H603" s="2190"/>
      <c r="I603" s="2190"/>
      <c r="J603" s="2190"/>
      <c r="K603" s="2190"/>
      <c r="L603" s="2190"/>
      <c r="M603" s="2190"/>
      <c r="N603" s="2190"/>
      <c r="O603" s="2190"/>
      <c r="P603" s="2190"/>
      <c r="Q603" s="2190"/>
      <c r="R603" s="2190"/>
      <c r="S603" s="2190"/>
      <c r="T603" s="2190"/>
      <c r="U603" s="2190"/>
      <c r="V603" s="2190"/>
      <c r="W603" s="2190"/>
      <c r="X603" s="262"/>
    </row>
    <row r="604" spans="3:24" ht="7.5" customHeight="1">
      <c r="C604" s="260"/>
      <c r="X604" s="262"/>
    </row>
    <row r="605" spans="3:24">
      <c r="C605" s="260"/>
      <c r="D605" s="1426"/>
      <c r="E605" s="2421" t="s">
        <v>1066</v>
      </c>
      <c r="F605" s="2288"/>
      <c r="G605" s="2288"/>
      <c r="H605" s="2288"/>
      <c r="I605" s="2288"/>
      <c r="J605" s="2288"/>
      <c r="K605" s="2288"/>
      <c r="L605" s="2288"/>
      <c r="M605" s="2288"/>
      <c r="N605" s="2288"/>
      <c r="O605" s="2288"/>
      <c r="P605" s="2288"/>
      <c r="Q605" s="2288"/>
      <c r="R605" s="2288"/>
      <c r="S605" s="2288"/>
      <c r="T605" s="2288"/>
      <c r="U605" s="2288"/>
      <c r="V605" s="2289"/>
      <c r="W605" s="1426"/>
      <c r="X605" s="262"/>
    </row>
    <row r="606" spans="3:24">
      <c r="C606" s="260"/>
      <c r="D606" s="1426"/>
      <c r="E606" s="2424"/>
      <c r="F606" s="2439"/>
      <c r="G606" s="2439"/>
      <c r="H606" s="2439"/>
      <c r="I606" s="2439"/>
      <c r="J606" s="2439"/>
      <c r="K606" s="2439"/>
      <c r="L606" s="2439"/>
      <c r="M606" s="2439"/>
      <c r="N606" s="2439"/>
      <c r="O606" s="2439"/>
      <c r="P606" s="2439"/>
      <c r="Q606" s="2439"/>
      <c r="R606" s="2439"/>
      <c r="S606" s="2439"/>
      <c r="T606" s="2439"/>
      <c r="U606" s="2439"/>
      <c r="V606" s="2440"/>
      <c r="W606" s="1426"/>
      <c r="X606" s="262"/>
    </row>
    <row r="607" spans="3:24">
      <c r="C607" s="260"/>
      <c r="D607" s="1426"/>
      <c r="E607" s="2424"/>
      <c r="F607" s="2439"/>
      <c r="G607" s="2439"/>
      <c r="H607" s="2439"/>
      <c r="I607" s="2439"/>
      <c r="J607" s="2439"/>
      <c r="K607" s="2439"/>
      <c r="L607" s="2439"/>
      <c r="M607" s="2439"/>
      <c r="N607" s="2439"/>
      <c r="O607" s="2439"/>
      <c r="P607" s="2439"/>
      <c r="Q607" s="2439"/>
      <c r="R607" s="2439"/>
      <c r="S607" s="2439"/>
      <c r="T607" s="2439"/>
      <c r="U607" s="2439"/>
      <c r="V607" s="2440"/>
      <c r="W607" s="1426"/>
      <c r="X607" s="262"/>
    </row>
    <row r="608" spans="3:24">
      <c r="C608" s="260"/>
      <c r="D608" s="1426"/>
      <c r="E608" s="2290"/>
      <c r="F608" s="2291"/>
      <c r="G608" s="2291"/>
      <c r="H608" s="2291"/>
      <c r="I608" s="2291"/>
      <c r="J608" s="2291"/>
      <c r="K608" s="2291"/>
      <c r="L608" s="2291"/>
      <c r="M608" s="2291"/>
      <c r="N608" s="2291"/>
      <c r="O608" s="2291"/>
      <c r="P608" s="2291"/>
      <c r="Q608" s="2291"/>
      <c r="R608" s="2291"/>
      <c r="S608" s="2291"/>
      <c r="T608" s="2291"/>
      <c r="U608" s="2291"/>
      <c r="V608" s="2292"/>
      <c r="W608" s="1426"/>
      <c r="X608" s="262"/>
    </row>
    <row r="609" spans="3:24" ht="7.5" customHeight="1">
      <c r="C609" s="260"/>
      <c r="X609" s="262"/>
    </row>
    <row r="610" spans="3:24">
      <c r="C610" s="928"/>
      <c r="D610" s="2173" t="s">
        <v>926</v>
      </c>
      <c r="E610" s="2173"/>
      <c r="F610" s="2173"/>
      <c r="G610" s="2173"/>
      <c r="H610" s="2173"/>
      <c r="I610" s="2180"/>
      <c r="J610" s="2244">
        <f>DATA!AP4</f>
        <v>0</v>
      </c>
      <c r="K610" s="2246"/>
      <c r="L610" s="2245"/>
      <c r="M610" s="408"/>
      <c r="N610" s="930"/>
      <c r="O610" s="930"/>
      <c r="P610" s="931"/>
      <c r="Q610" s="931"/>
      <c r="R610" s="931"/>
      <c r="S610" s="931"/>
      <c r="T610" s="929"/>
      <c r="U610" s="2442"/>
      <c r="V610" s="2442"/>
      <c r="X610" s="262"/>
    </row>
    <row r="611" spans="3:24" ht="7.5" customHeight="1">
      <c r="C611" s="928"/>
      <c r="D611" s="945"/>
      <c r="E611" s="945"/>
      <c r="F611" s="945"/>
      <c r="G611" s="945"/>
      <c r="H611" s="945"/>
      <c r="I611" s="945"/>
      <c r="L611" s="293"/>
      <c r="M611" s="293"/>
      <c r="N611" s="932"/>
      <c r="O611" s="932"/>
      <c r="P611" s="38"/>
      <c r="Q611" s="931"/>
      <c r="R611" s="931"/>
      <c r="S611" s="931"/>
      <c r="T611" s="931"/>
      <c r="U611" s="408"/>
      <c r="V611" s="402"/>
      <c r="X611" s="262"/>
    </row>
    <row r="612" spans="3:24">
      <c r="C612" s="928"/>
      <c r="D612" s="2173" t="s">
        <v>1058</v>
      </c>
      <c r="E612" s="2173"/>
      <c r="F612" s="2173"/>
      <c r="G612" s="2173"/>
      <c r="H612" s="2173"/>
      <c r="I612" s="2174"/>
      <c r="J612" s="2454">
        <f ca="1">DATA!AR4</f>
        <v>0</v>
      </c>
      <c r="K612" s="2240"/>
      <c r="L612" s="2241"/>
      <c r="M612" s="293"/>
      <c r="N612" s="932"/>
      <c r="O612" s="2198" t="s">
        <v>1067</v>
      </c>
      <c r="P612" s="2198"/>
      <c r="Q612" s="2198"/>
      <c r="R612" s="2198"/>
      <c r="S612" s="2198"/>
      <c r="T612" s="2199"/>
      <c r="U612" s="2257">
        <f ca="1">DATA!AS4</f>
        <v>0</v>
      </c>
      <c r="V612" s="2441"/>
      <c r="X612" s="262"/>
    </row>
    <row r="613" spans="3:24" ht="7.5" customHeight="1">
      <c r="C613" s="928"/>
      <c r="D613" s="945"/>
      <c r="E613" s="945"/>
      <c r="F613" s="945"/>
      <c r="G613" s="945"/>
      <c r="H613" s="945"/>
      <c r="I613" s="945"/>
      <c r="J613" s="293"/>
      <c r="M613" s="293"/>
      <c r="N613" s="932"/>
      <c r="O613" s="948"/>
      <c r="P613" s="44"/>
      <c r="Q613" s="44"/>
      <c r="R613" s="44"/>
      <c r="S613" s="44"/>
      <c r="T613" s="44"/>
      <c r="U613" s="293"/>
      <c r="X613" s="262"/>
    </row>
    <row r="614" spans="3:24">
      <c r="C614" s="928"/>
      <c r="D614" s="2318" t="s">
        <v>928</v>
      </c>
      <c r="E614" s="2318"/>
      <c r="F614" s="2318"/>
      <c r="G614" s="2318"/>
      <c r="H614" s="2318"/>
      <c r="I614" s="2318"/>
      <c r="J614" s="2239">
        <f ca="1">DATA!AT4</f>
        <v>0</v>
      </c>
      <c r="K614" s="2240"/>
      <c r="L614" s="2241"/>
      <c r="M614" s="293"/>
      <c r="N614" s="932"/>
      <c r="O614" s="2198" t="s">
        <v>929</v>
      </c>
      <c r="P614" s="2198"/>
      <c r="Q614" s="2198"/>
      <c r="R614" s="2198"/>
      <c r="S614" s="2198"/>
      <c r="T614" s="2199"/>
      <c r="U614" s="2257">
        <f ca="1">DATA!AU4</f>
        <v>0</v>
      </c>
      <c r="V614" s="2441"/>
      <c r="X614" s="262"/>
    </row>
    <row r="615" spans="3:24" ht="7.5" customHeight="1">
      <c r="C615" s="928"/>
      <c r="D615" s="2318"/>
      <c r="E615" s="2318"/>
      <c r="F615" s="2318"/>
      <c r="G615" s="2318"/>
      <c r="H615" s="2318"/>
      <c r="I615" s="2318"/>
      <c r="J615" s="293"/>
      <c r="M615" s="293"/>
      <c r="N615" s="932"/>
      <c r="O615" s="2453" t="s">
        <v>1010</v>
      </c>
      <c r="P615" s="2453"/>
      <c r="Q615" s="2453"/>
      <c r="R615" s="2453"/>
      <c r="S615" s="2453"/>
      <c r="T615" s="2453"/>
      <c r="U615" s="293"/>
      <c r="X615" s="262"/>
    </row>
    <row r="616" spans="3:24">
      <c r="C616" s="928"/>
      <c r="D616" s="2186" t="s">
        <v>1009</v>
      </c>
      <c r="E616" s="2186"/>
      <c r="F616" s="2186"/>
      <c r="G616" s="2186"/>
      <c r="H616" s="2186"/>
      <c r="I616" s="2186"/>
      <c r="J616" s="2239">
        <f ca="1">DATA!AV4</f>
        <v>0</v>
      </c>
      <c r="K616" s="2240"/>
      <c r="L616" s="2241"/>
      <c r="M616" s="310"/>
      <c r="N616" s="932"/>
      <c r="O616" s="2453"/>
      <c r="P616" s="2453"/>
      <c r="Q616" s="2453"/>
      <c r="R616" s="2453"/>
      <c r="S616" s="2453"/>
      <c r="T616" s="2453"/>
      <c r="U616" s="2257">
        <f ca="1">DATA!AW4</f>
        <v>0</v>
      </c>
      <c r="V616" s="2441"/>
      <c r="X616" s="262"/>
    </row>
    <row r="617" spans="3:24" ht="7.5" customHeight="1">
      <c r="C617" s="928"/>
      <c r="D617" s="2186"/>
      <c r="E617" s="2186"/>
      <c r="F617" s="2186"/>
      <c r="G617" s="2186"/>
      <c r="H617" s="2186"/>
      <c r="I617" s="2186"/>
      <c r="J617" s="293"/>
      <c r="M617" s="293"/>
      <c r="N617" s="932"/>
      <c r="O617" s="948"/>
      <c r="P617" s="44"/>
      <c r="Q617" s="44"/>
      <c r="R617" s="44"/>
      <c r="S617" s="44"/>
      <c r="T617" s="44"/>
      <c r="U617" s="293"/>
      <c r="X617" s="262"/>
    </row>
    <row r="618" spans="3:24" ht="14.95" customHeight="1">
      <c r="C618" s="928"/>
      <c r="D618" s="2186" t="s">
        <v>1068</v>
      </c>
      <c r="E618" s="2186"/>
      <c r="F618" s="2186"/>
      <c r="G618" s="2186"/>
      <c r="H618" s="2186"/>
      <c r="I618" s="2186"/>
      <c r="J618" s="2257">
        <f ca="1">U614</f>
        <v>0</v>
      </c>
      <c r="K618" s="2240"/>
      <c r="L618" s="2241"/>
      <c r="M618" s="293"/>
      <c r="N618" s="932"/>
      <c r="O618" s="948"/>
      <c r="P618" s="44"/>
      <c r="Q618" s="44"/>
      <c r="R618" s="44"/>
      <c r="S618" s="44"/>
      <c r="T618" s="44"/>
      <c r="U618" s="293"/>
      <c r="X618" s="262"/>
    </row>
    <row r="619" spans="3:24" ht="7.5" customHeight="1">
      <c r="C619" s="928"/>
      <c r="D619" s="2186"/>
      <c r="E619" s="2186"/>
      <c r="F619" s="2186"/>
      <c r="G619" s="2186"/>
      <c r="H619" s="2186"/>
      <c r="I619" s="2186"/>
      <c r="J619" s="293"/>
      <c r="M619" s="293"/>
      <c r="N619" s="932"/>
      <c r="O619" s="948"/>
      <c r="P619" s="44"/>
      <c r="Q619" s="44"/>
      <c r="R619" s="44"/>
      <c r="S619" s="44"/>
      <c r="T619" s="44"/>
      <c r="U619" s="293"/>
      <c r="X619" s="262"/>
    </row>
    <row r="620" spans="3:24">
      <c r="C620" s="928"/>
      <c r="D620" s="2173" t="s">
        <v>822</v>
      </c>
      <c r="E620" s="2173"/>
      <c r="F620" s="2173"/>
      <c r="G620" s="2173"/>
      <c r="H620" s="2173"/>
      <c r="I620" s="2174"/>
      <c r="J620" s="2239">
        <f ca="1">DATA!AZ4</f>
        <v>0</v>
      </c>
      <c r="K620" s="2240"/>
      <c r="L620" s="2241"/>
      <c r="M620" s="293"/>
      <c r="N620" s="932"/>
      <c r="O620" s="948"/>
      <c r="P620" s="44"/>
      <c r="Q620" s="44"/>
      <c r="R620" s="44"/>
      <c r="S620" s="44"/>
      <c r="T620" s="44"/>
      <c r="X620" s="262"/>
    </row>
    <row r="621" spans="3:24" ht="7.5" customHeight="1">
      <c r="C621" s="928"/>
      <c r="D621" s="945"/>
      <c r="E621" s="945"/>
      <c r="F621" s="945"/>
      <c r="G621" s="945"/>
      <c r="H621" s="945"/>
      <c r="I621" s="945"/>
      <c r="J621" s="293"/>
      <c r="M621" s="293"/>
      <c r="N621" s="932"/>
      <c r="O621" s="948"/>
      <c r="P621" s="44"/>
      <c r="Q621" s="44"/>
      <c r="R621" s="44"/>
      <c r="S621" s="44"/>
      <c r="T621" s="44"/>
      <c r="U621" s="293"/>
      <c r="X621" s="262"/>
    </row>
    <row r="622" spans="3:24" ht="14.95" customHeight="1">
      <c r="C622" s="928"/>
      <c r="D622" s="2173" t="s">
        <v>934</v>
      </c>
      <c r="E622" s="2173"/>
      <c r="F622" s="2173"/>
      <c r="G622" s="2173"/>
      <c r="H622" s="2173"/>
      <c r="I622" s="2174"/>
      <c r="J622" s="2239">
        <f ca="1">DATA!BB4</f>
        <v>0</v>
      </c>
      <c r="K622" s="2240"/>
      <c r="L622" s="2241"/>
      <c r="M622" s="293"/>
      <c r="N622" s="932"/>
      <c r="O622" s="2198" t="s">
        <v>933</v>
      </c>
      <c r="P622" s="2198"/>
      <c r="Q622" s="2198"/>
      <c r="R622" s="2198"/>
      <c r="S622" s="2198"/>
      <c r="T622" s="2199"/>
      <c r="U622" s="2257">
        <f ca="1">DATA!BA4</f>
        <v>0</v>
      </c>
      <c r="V622" s="2441"/>
      <c r="X622" s="262"/>
    </row>
    <row r="623" spans="3:24" ht="7.5" customHeight="1">
      <c r="C623" s="928"/>
      <c r="D623" s="945"/>
      <c r="E623" s="945"/>
      <c r="F623" s="945"/>
      <c r="G623" s="945"/>
      <c r="H623" s="945"/>
      <c r="I623" s="945"/>
      <c r="J623" s="293"/>
      <c r="M623" s="293"/>
      <c r="N623" s="932"/>
      <c r="O623" s="410"/>
      <c r="P623" s="410"/>
      <c r="Q623" s="410"/>
      <c r="R623" s="410"/>
      <c r="S623" s="410"/>
      <c r="T623" s="410"/>
      <c r="U623" s="293"/>
      <c r="X623" s="262"/>
    </row>
    <row r="624" spans="3:24">
      <c r="C624" s="928"/>
      <c r="D624" s="2173" t="s">
        <v>936</v>
      </c>
      <c r="E624" s="2173"/>
      <c r="F624" s="2173"/>
      <c r="G624" s="2173"/>
      <c r="H624" s="2173"/>
      <c r="I624" s="2174"/>
      <c r="J624" s="2239">
        <f ca="1">DATA!BD4</f>
        <v>0</v>
      </c>
      <c r="K624" s="2240"/>
      <c r="L624" s="2241"/>
      <c r="M624" s="293"/>
      <c r="N624" s="932"/>
      <c r="O624" s="2198" t="s">
        <v>935</v>
      </c>
      <c r="P624" s="2198"/>
      <c r="Q624" s="2198"/>
      <c r="R624" s="2198"/>
      <c r="S624" s="2198"/>
      <c r="T624" s="2199"/>
      <c r="U624" s="2257" t="str">
        <f ca="1">DATA!BC4</f>
        <v>WA</v>
      </c>
      <c r="V624" s="2441"/>
      <c r="X624" s="262"/>
    </row>
    <row r="625" spans="3:24" ht="7.5" customHeight="1">
      <c r="C625" s="928"/>
      <c r="D625" s="945"/>
      <c r="E625" s="945"/>
      <c r="F625" s="945"/>
      <c r="G625" s="945"/>
      <c r="H625" s="945"/>
      <c r="I625" s="945"/>
      <c r="J625" s="293"/>
      <c r="M625" s="293"/>
      <c r="N625" s="932"/>
      <c r="O625" s="948"/>
      <c r="P625" s="44"/>
      <c r="Q625" s="44"/>
      <c r="R625" s="44"/>
      <c r="S625" s="44"/>
      <c r="T625" s="44"/>
      <c r="U625" s="293"/>
      <c r="X625" s="262"/>
    </row>
    <row r="626" spans="3:24">
      <c r="C626" s="928"/>
      <c r="D626" s="2173" t="s">
        <v>1069</v>
      </c>
      <c r="E626" s="2173"/>
      <c r="F626" s="2173"/>
      <c r="G626" s="2173"/>
      <c r="H626" s="2173"/>
      <c r="I626" s="2306"/>
      <c r="J626" s="2462">
        <f ca="1">DATA!BF4</f>
        <v>0</v>
      </c>
      <c r="K626" s="2462"/>
      <c r="L626" s="2463"/>
      <c r="M626" s="293"/>
      <c r="N626" s="932"/>
      <c r="O626" s="2198" t="s">
        <v>939</v>
      </c>
      <c r="P626" s="2198"/>
      <c r="Q626" s="2198"/>
      <c r="R626" s="2198"/>
      <c r="S626" s="2198"/>
      <c r="T626" s="2223"/>
      <c r="U626" s="2244"/>
      <c r="V626" s="2245"/>
      <c r="X626" s="262"/>
    </row>
    <row r="627" spans="3:24" ht="7.5" customHeight="1">
      <c r="C627" s="928"/>
      <c r="D627" s="945"/>
      <c r="E627" s="945"/>
      <c r="F627" s="945"/>
      <c r="G627" s="945"/>
      <c r="H627" s="945"/>
      <c r="I627" s="945"/>
      <c r="J627" s="2464"/>
      <c r="K627" s="2465"/>
      <c r="L627" s="2466"/>
      <c r="M627" s="293"/>
      <c r="N627" s="932"/>
      <c r="O627" s="948"/>
      <c r="P627" s="949"/>
      <c r="Q627" s="44"/>
      <c r="R627" s="44"/>
      <c r="S627" s="44"/>
      <c r="T627" s="44"/>
      <c r="U627" s="293"/>
      <c r="X627" s="262"/>
    </row>
    <row r="628" spans="3:24">
      <c r="C628" s="928"/>
      <c r="D628" s="945"/>
      <c r="E628" s="945"/>
      <c r="F628" s="945"/>
      <c r="G628" s="945"/>
      <c r="H628" s="945"/>
      <c r="I628" s="945"/>
      <c r="J628" s="2464"/>
      <c r="K628" s="2465"/>
      <c r="L628" s="2466"/>
      <c r="M628" s="293"/>
      <c r="N628" s="932"/>
      <c r="O628" s="948"/>
      <c r="P628" s="44"/>
      <c r="Q628" s="44"/>
      <c r="R628" s="44"/>
      <c r="S628" s="44"/>
      <c r="T628" s="44"/>
      <c r="X628" s="262"/>
    </row>
    <row r="629" spans="3:24" ht="7.5" customHeight="1">
      <c r="C629" s="928"/>
      <c r="D629" s="945"/>
      <c r="E629" s="945"/>
      <c r="F629" s="945"/>
      <c r="G629" s="945"/>
      <c r="H629" s="945"/>
      <c r="I629" s="945"/>
      <c r="J629" s="2464"/>
      <c r="K629" s="2465"/>
      <c r="L629" s="2466"/>
      <c r="M629" s="293"/>
      <c r="N629" s="932"/>
      <c r="O629" s="948"/>
      <c r="P629" s="44"/>
      <c r="Q629" s="44"/>
      <c r="R629" s="44"/>
      <c r="S629" s="44"/>
      <c r="T629" s="44"/>
      <c r="U629" s="293"/>
      <c r="X629" s="262"/>
    </row>
    <row r="630" spans="3:24">
      <c r="C630" s="928"/>
      <c r="D630" s="1428"/>
      <c r="E630" s="1428"/>
      <c r="F630" s="1428"/>
      <c r="G630" s="1428"/>
      <c r="H630" s="1428"/>
      <c r="I630" s="1428"/>
      <c r="J630" s="2467"/>
      <c r="K630" s="2468"/>
      <c r="L630" s="2469"/>
      <c r="M630" s="293"/>
      <c r="N630" s="932"/>
      <c r="O630" s="2198" t="s">
        <v>1070</v>
      </c>
      <c r="P630" s="2198"/>
      <c r="Q630" s="2198"/>
      <c r="R630" s="2198"/>
      <c r="S630" s="2198"/>
      <c r="T630" s="2199"/>
      <c r="U630" s="2253">
        <f ca="1">DATA!BG4</f>
        <v>0</v>
      </c>
      <c r="V630" s="2255"/>
      <c r="X630" s="262"/>
    </row>
    <row r="631" spans="3:24" ht="7.5" customHeight="1">
      <c r="C631" s="928"/>
      <c r="D631" s="1428"/>
      <c r="E631" s="1428"/>
      <c r="F631" s="1428"/>
      <c r="G631" s="1428"/>
      <c r="H631" s="1428"/>
      <c r="I631" s="1428"/>
      <c r="J631" s="293"/>
      <c r="M631" s="293"/>
      <c r="N631" s="932"/>
      <c r="O631" s="948"/>
      <c r="P631" s="44"/>
      <c r="Q631" s="44"/>
      <c r="R631" s="44"/>
      <c r="S631" s="44"/>
      <c r="T631" s="44"/>
      <c r="U631" s="293"/>
      <c r="X631" s="262"/>
    </row>
    <row r="632" spans="3:24">
      <c r="C632" s="928"/>
      <c r="D632" s="945"/>
      <c r="E632" s="945"/>
      <c r="F632" s="945"/>
      <c r="G632" s="945"/>
      <c r="H632" s="945"/>
      <c r="I632" s="945"/>
      <c r="M632" s="333"/>
      <c r="N632" s="932"/>
      <c r="O632" s="948"/>
      <c r="P632" s="44"/>
      <c r="Q632" s="44"/>
      <c r="R632" s="44"/>
      <c r="S632" s="44"/>
      <c r="T632" s="328"/>
      <c r="X632" s="262"/>
    </row>
    <row r="633" spans="3:24" ht="7.5" customHeight="1">
      <c r="C633" s="928"/>
      <c r="D633" s="945"/>
      <c r="E633" s="945"/>
      <c r="F633" s="945"/>
      <c r="G633" s="945"/>
      <c r="H633" s="945"/>
      <c r="I633" s="945"/>
      <c r="J633" s="293"/>
      <c r="M633" s="293"/>
      <c r="N633" s="932"/>
      <c r="O633" s="948"/>
      <c r="P633" s="44"/>
      <c r="Q633" s="44"/>
      <c r="R633" s="44"/>
      <c r="S633" s="44"/>
      <c r="T633" s="44"/>
      <c r="U633" s="293"/>
      <c r="X633" s="262"/>
    </row>
    <row r="634" spans="3:24" ht="14.95" customHeight="1">
      <c r="C634" s="941"/>
      <c r="D634" s="2173" t="s">
        <v>1071</v>
      </c>
      <c r="E634" s="2173"/>
      <c r="F634" s="2173"/>
      <c r="G634" s="2173"/>
      <c r="H634" s="2173"/>
      <c r="I634" s="2174"/>
      <c r="J634" s="2445">
        <f ca="1">DATA!BH4</f>
        <v>0</v>
      </c>
      <c r="K634" s="2446"/>
      <c r="L634" s="2447"/>
      <c r="M634" s="323"/>
      <c r="N634" s="942"/>
      <c r="O634" s="2198" t="s">
        <v>1072</v>
      </c>
      <c r="P634" s="2198"/>
      <c r="Q634" s="2198"/>
      <c r="R634" s="2198"/>
      <c r="S634" s="2198"/>
      <c r="T634" s="2223"/>
      <c r="U634" s="2443">
        <f ca="1">DATA!BI4</f>
        <v>0</v>
      </c>
      <c r="V634" s="2444"/>
      <c r="X634" s="262"/>
    </row>
    <row r="635" spans="3:24" ht="7.5" customHeight="1">
      <c r="C635" s="941"/>
      <c r="D635" s="947"/>
      <c r="E635" s="947"/>
      <c r="F635" s="947"/>
      <c r="G635" s="947"/>
      <c r="H635" s="947"/>
      <c r="I635" s="947"/>
      <c r="J635" s="310"/>
      <c r="K635" s="443"/>
      <c r="M635" s="310"/>
      <c r="N635" s="942"/>
      <c r="O635" s="944"/>
      <c r="P635" s="944"/>
      <c r="Q635" s="944"/>
      <c r="R635" s="944"/>
      <c r="S635" s="944"/>
      <c r="T635" s="944"/>
      <c r="X635" s="262"/>
    </row>
    <row r="636" spans="3:24" ht="14.95" customHeight="1">
      <c r="C636" s="941"/>
      <c r="D636" s="2173" t="s">
        <v>941</v>
      </c>
      <c r="E636" s="2173"/>
      <c r="F636" s="2173"/>
      <c r="G636" s="2173"/>
      <c r="H636" s="2173"/>
      <c r="I636" s="2174"/>
      <c r="J636" s="2239" t="str">
        <f ca="1">DATA!BJ4</f>
        <v/>
      </c>
      <c r="K636" s="2240"/>
      <c r="L636" s="2241"/>
      <c r="M636" s="323"/>
      <c r="N636" s="942"/>
      <c r="O636" s="2198" t="s">
        <v>828</v>
      </c>
      <c r="P636" s="2198"/>
      <c r="Q636" s="2198"/>
      <c r="R636" s="2198"/>
      <c r="S636" s="2198"/>
      <c r="T636" s="2199"/>
      <c r="U636" s="2257" t="str">
        <f ca="1">DATA!BK4</f>
        <v>Commercial/Industrial</v>
      </c>
      <c r="V636" s="2441"/>
      <c r="X636" s="262"/>
    </row>
    <row r="637" spans="3:24" ht="7.5" customHeight="1">
      <c r="C637" s="941"/>
      <c r="D637" s="942"/>
      <c r="E637" s="942"/>
      <c r="F637" s="942"/>
      <c r="G637" s="942"/>
      <c r="H637" s="942"/>
      <c r="I637" s="942"/>
      <c r="J637" s="310"/>
      <c r="K637" s="443"/>
      <c r="M637" s="310"/>
      <c r="N637" s="942"/>
      <c r="O637" s="942"/>
      <c r="P637" s="942"/>
      <c r="Q637" s="942"/>
      <c r="R637" s="942"/>
      <c r="S637" s="942"/>
      <c r="T637" s="942"/>
      <c r="U637" s="310"/>
      <c r="X637" s="262"/>
    </row>
    <row r="638" spans="3:24">
      <c r="C638" s="928"/>
      <c r="D638" s="2186" t="s">
        <v>1073</v>
      </c>
      <c r="E638" s="2186"/>
      <c r="F638" s="2186"/>
      <c r="G638" s="2186"/>
      <c r="H638" s="2186"/>
      <c r="I638" s="2186"/>
      <c r="J638" s="2239">
        <f ca="1">DATA!BL4</f>
        <v>0</v>
      </c>
      <c r="K638" s="2240"/>
      <c r="L638" s="2241"/>
      <c r="M638" s="293"/>
      <c r="N638" s="930"/>
      <c r="O638" s="930"/>
      <c r="P638" s="931"/>
      <c r="Q638" s="931"/>
      <c r="R638" s="931"/>
      <c r="S638" s="931"/>
      <c r="T638" s="929"/>
      <c r="U638" s="2442"/>
      <c r="V638" s="2442"/>
      <c r="X638" s="262"/>
    </row>
    <row r="639" spans="3:24" ht="7.5" customHeight="1">
      <c r="C639" s="928"/>
      <c r="D639" s="2186"/>
      <c r="E639" s="2186"/>
      <c r="F639" s="2186"/>
      <c r="G639" s="2186"/>
      <c r="H639" s="2186"/>
      <c r="I639" s="2186"/>
      <c r="J639" s="1373"/>
      <c r="K639" s="1373"/>
      <c r="L639" s="1373"/>
      <c r="M639" s="1373"/>
      <c r="N639" s="930"/>
      <c r="O639" s="930"/>
      <c r="P639" s="931"/>
      <c r="Q639" s="931"/>
      <c r="R639" s="931"/>
      <c r="S639" s="931"/>
      <c r="T639" s="929"/>
      <c r="U639" s="403"/>
      <c r="V639" s="403"/>
      <c r="X639" s="262"/>
    </row>
    <row r="640" spans="3:24" ht="5.0999999999999996" customHeight="1">
      <c r="C640" s="261"/>
      <c r="D640" s="184"/>
      <c r="E640" s="184"/>
      <c r="F640" s="184"/>
      <c r="G640" s="184"/>
      <c r="H640" s="176"/>
      <c r="I640" s="176"/>
      <c r="J640" s="176"/>
      <c r="K640" s="176"/>
      <c r="L640" s="176"/>
      <c r="M640" s="176"/>
      <c r="N640" s="176"/>
      <c r="O640" s="176"/>
      <c r="P640" s="184"/>
      <c r="Q640" s="184"/>
      <c r="R640" s="184"/>
      <c r="S640" s="176"/>
      <c r="T640" s="184"/>
      <c r="U640" s="176"/>
      <c r="V640" s="176"/>
      <c r="W640" s="184"/>
      <c r="X640" s="263"/>
    </row>
    <row r="641" spans="3:24" ht="5.0999999999999996" customHeight="1"/>
    <row r="642" spans="3:24" ht="5.0999999999999996" customHeight="1">
      <c r="C642" s="621"/>
      <c r="D642" s="610"/>
      <c r="E642" s="610"/>
      <c r="F642" s="610"/>
      <c r="G642" s="610"/>
      <c r="H642" s="738"/>
      <c r="I642" s="738"/>
      <c r="J642" s="738"/>
      <c r="K642" s="738"/>
      <c r="L642" s="738"/>
      <c r="M642" s="738"/>
      <c r="N642" s="738"/>
      <c r="O642" s="738"/>
      <c r="P642" s="610"/>
      <c r="Q642" s="610"/>
      <c r="R642" s="610"/>
      <c r="S642" s="738"/>
      <c r="T642" s="610"/>
      <c r="U642" s="738"/>
      <c r="V642" s="738"/>
      <c r="W642" s="610"/>
      <c r="X642" s="1158"/>
    </row>
    <row r="643" spans="3:24">
      <c r="C643" s="260"/>
      <c r="D643" s="2190" t="s">
        <v>1074</v>
      </c>
      <c r="E643" s="2190"/>
      <c r="F643" s="2190"/>
      <c r="G643" s="2190"/>
      <c r="H643" s="2190"/>
      <c r="I643" s="2190"/>
      <c r="J643" s="2190"/>
      <c r="K643" s="2190"/>
      <c r="L643" s="2190"/>
      <c r="M643" s="2190"/>
      <c r="N643" s="2190"/>
      <c r="O643" s="2190"/>
      <c r="P643" s="2190"/>
      <c r="Q643" s="2190"/>
      <c r="R643" s="2190"/>
      <c r="S643" s="2190"/>
      <c r="T643" s="2190"/>
      <c r="U643" s="2190"/>
      <c r="V643" s="2190"/>
      <c r="W643" s="2190"/>
      <c r="X643" s="262"/>
    </row>
    <row r="644" spans="3:24" ht="5.0999999999999996" customHeight="1">
      <c r="C644" s="260"/>
      <c r="H644" s="38"/>
      <c r="I644" s="38"/>
      <c r="J644" s="38"/>
      <c r="K644" s="38"/>
      <c r="L644" s="38"/>
      <c r="M644" s="38"/>
      <c r="N644" s="38"/>
      <c r="O644" s="38"/>
      <c r="S644" s="38"/>
      <c r="U644" s="38"/>
      <c r="V644" s="38"/>
      <c r="X644" s="262"/>
    </row>
    <row r="645" spans="3:24">
      <c r="C645" s="260"/>
      <c r="D645" s="2173" t="s">
        <v>922</v>
      </c>
      <c r="E645" s="2173"/>
      <c r="F645" s="2173"/>
      <c r="G645" s="2173"/>
      <c r="H645" s="2173"/>
      <c r="I645" s="2174"/>
      <c r="J645" s="2202">
        <f ca="1">DATA!BO4</f>
        <v>0</v>
      </c>
      <c r="K645" s="2203"/>
      <c r="L645" s="2204"/>
      <c r="M645" s="38"/>
      <c r="N645" s="92"/>
      <c r="O645" s="2198" t="s">
        <v>1044</v>
      </c>
      <c r="P645" s="2198"/>
      <c r="Q645" s="2198"/>
      <c r="R645" s="2198"/>
      <c r="S645" s="2198"/>
      <c r="T645" s="2199"/>
      <c r="U645" s="2373" t="str">
        <f ca="1">DATA!BP4</f>
        <v/>
      </c>
      <c r="V645" s="2375"/>
      <c r="X645" s="262"/>
    </row>
    <row r="646" spans="3:24" ht="7.5" customHeight="1">
      <c r="C646" s="260"/>
      <c r="H646" s="38"/>
      <c r="I646" s="946"/>
      <c r="J646" s="38"/>
      <c r="K646" s="185"/>
      <c r="M646" s="38"/>
      <c r="N646" s="38"/>
      <c r="O646" s="38"/>
      <c r="S646" s="328"/>
      <c r="T646" s="44"/>
      <c r="U646" s="38"/>
      <c r="X646" s="262"/>
    </row>
    <row r="647" spans="3:24" ht="14.95" customHeight="1">
      <c r="C647" s="260"/>
      <c r="D647" s="2173" t="s">
        <v>1045</v>
      </c>
      <c r="E647" s="2173"/>
      <c r="F647" s="2173"/>
      <c r="G647" s="2173"/>
      <c r="H647" s="2173"/>
      <c r="I647" s="2261"/>
      <c r="J647" s="2470"/>
      <c r="K647" s="2471"/>
      <c r="L647" s="2472"/>
      <c r="M647" s="38"/>
      <c r="N647" s="38"/>
      <c r="O647" s="38"/>
      <c r="S647" s="328"/>
      <c r="T647" s="44"/>
      <c r="X647" s="262"/>
    </row>
    <row r="648" spans="3:24" ht="7.5" customHeight="1">
      <c r="C648" s="260"/>
      <c r="H648" s="38"/>
      <c r="I648" s="946"/>
      <c r="J648" s="2473"/>
      <c r="K648" s="2474"/>
      <c r="L648" s="2475"/>
      <c r="M648" s="38"/>
      <c r="N648" s="38"/>
      <c r="O648" s="38"/>
      <c r="S648" s="328"/>
      <c r="T648" s="44"/>
      <c r="U648" s="38"/>
      <c r="X648" s="262"/>
    </row>
    <row r="649" spans="3:24">
      <c r="C649" s="260"/>
      <c r="H649" s="38"/>
      <c r="I649" s="945"/>
      <c r="J649" s="2476"/>
      <c r="K649" s="2477"/>
      <c r="L649" s="2478"/>
      <c r="M649" s="38"/>
      <c r="N649" s="92"/>
      <c r="O649" s="2198" t="s">
        <v>1046</v>
      </c>
      <c r="P649" s="2198"/>
      <c r="Q649" s="2198"/>
      <c r="R649" s="2198"/>
      <c r="S649" s="2198"/>
      <c r="T649" s="2199"/>
      <c r="U649" s="2373" t="str">
        <f ca="1">DATA!BR4</f>
        <v/>
      </c>
      <c r="V649" s="2375"/>
      <c r="X649" s="262"/>
    </row>
    <row r="650" spans="3:24" ht="7.5" customHeight="1">
      <c r="C650" s="260"/>
      <c r="H650" s="38"/>
      <c r="I650" s="946"/>
      <c r="J650" s="38"/>
      <c r="K650" s="185"/>
      <c r="M650" s="38"/>
      <c r="N650" s="38"/>
      <c r="O650" s="38"/>
      <c r="S650" s="328"/>
      <c r="T650" s="44"/>
      <c r="U650" s="38"/>
      <c r="X650" s="262"/>
    </row>
    <row r="651" spans="3:24">
      <c r="C651" s="260"/>
      <c r="D651" s="2173" t="s">
        <v>1047</v>
      </c>
      <c r="E651" s="2173"/>
      <c r="F651" s="2173"/>
      <c r="G651" s="2173"/>
      <c r="H651" s="2173"/>
      <c r="I651" s="2294"/>
      <c r="J651" s="2275"/>
      <c r="K651" s="2276"/>
      <c r="L651" s="2277"/>
      <c r="M651" s="38"/>
      <c r="N651" s="92"/>
      <c r="O651" s="2198" t="s">
        <v>1048</v>
      </c>
      <c r="P651" s="2198"/>
      <c r="Q651" s="2198"/>
      <c r="R651" s="2198"/>
      <c r="S651" s="2198"/>
      <c r="T651" s="2199"/>
      <c r="U651" s="2373" t="str">
        <f ca="1">DATA!BT4</f>
        <v/>
      </c>
      <c r="V651" s="2375"/>
      <c r="X651" s="262"/>
    </row>
    <row r="652" spans="3:24" ht="7.5" customHeight="1">
      <c r="C652" s="260"/>
      <c r="H652" s="38"/>
      <c r="I652" s="946"/>
      <c r="J652" s="38"/>
      <c r="K652" s="185"/>
      <c r="M652" s="38"/>
      <c r="N652" s="38"/>
      <c r="O652" s="38"/>
      <c r="S652" s="44"/>
      <c r="T652" s="44"/>
      <c r="U652" s="185"/>
      <c r="V652" s="38"/>
      <c r="X652" s="262"/>
    </row>
    <row r="653" spans="3:24">
      <c r="C653" s="260"/>
      <c r="D653" s="2173" t="s">
        <v>1049</v>
      </c>
      <c r="E653" s="2173"/>
      <c r="F653" s="2173"/>
      <c r="G653" s="2173"/>
      <c r="H653" s="2173"/>
      <c r="I653" s="2174"/>
      <c r="J653" s="2202" t="str">
        <f ca="1">DATA!BU4</f>
        <v/>
      </c>
      <c r="K653" s="2203"/>
      <c r="L653" s="2204"/>
      <c r="M653" s="38"/>
      <c r="N653" s="38"/>
      <c r="O653" s="2198" t="s">
        <v>1050</v>
      </c>
      <c r="P653" s="2198"/>
      <c r="Q653" s="2198"/>
      <c r="R653" s="2198"/>
      <c r="S653" s="2198"/>
      <c r="T653" s="2199"/>
      <c r="U653" s="2451" t="str">
        <f ca="1">DATA!BV4</f>
        <v/>
      </c>
      <c r="V653" s="2452"/>
      <c r="X653" s="262"/>
    </row>
    <row r="654" spans="3:24" ht="7.5" customHeight="1">
      <c r="C654" s="261"/>
      <c r="D654" s="184"/>
      <c r="E654" s="184"/>
      <c r="F654" s="184"/>
      <c r="G654" s="184"/>
      <c r="H654" s="176"/>
      <c r="I654" s="176"/>
      <c r="J654" s="176"/>
      <c r="K654" s="176"/>
      <c r="L654" s="176"/>
      <c r="M654" s="176"/>
      <c r="N654" s="176"/>
      <c r="O654" s="176"/>
      <c r="P654" s="184"/>
      <c r="Q654" s="184"/>
      <c r="R654" s="184"/>
      <c r="S654" s="176"/>
      <c r="T654" s="184"/>
      <c r="U654" s="176"/>
      <c r="V654" s="176"/>
      <c r="W654" s="184"/>
      <c r="X654" s="263"/>
    </row>
    <row r="655" spans="3:24" ht="7.5" customHeight="1"/>
    <row r="656" spans="3:24" ht="7.5" customHeight="1">
      <c r="C656" s="621"/>
      <c r="D656" s="610"/>
      <c r="E656" s="610"/>
      <c r="F656" s="610"/>
      <c r="G656" s="610"/>
      <c r="H656" s="610"/>
      <c r="I656" s="610"/>
      <c r="J656" s="610"/>
      <c r="K656" s="610"/>
      <c r="L656" s="610"/>
      <c r="M656" s="610"/>
      <c r="N656" s="610"/>
      <c r="O656" s="610"/>
      <c r="P656" s="610"/>
      <c r="Q656" s="610"/>
      <c r="R656" s="610"/>
      <c r="S656" s="610"/>
      <c r="T656" s="610"/>
      <c r="U656" s="610"/>
      <c r="V656" s="610"/>
      <c r="W656" s="610"/>
      <c r="X656" s="1158"/>
    </row>
    <row r="657" spans="1:25">
      <c r="C657" s="260"/>
      <c r="D657" s="2190" t="str">
        <f ca="1">IF(DATA!C12="Yes","Custom Measure (Base)","Custom Measure")</f>
        <v>Custom Measure</v>
      </c>
      <c r="E657" s="2190"/>
      <c r="F657" s="2190"/>
      <c r="G657" s="2190"/>
      <c r="H657" s="2190"/>
      <c r="I657" s="2190"/>
      <c r="J657" s="2190"/>
      <c r="K657" s="2190"/>
      <c r="L657" s="2190"/>
      <c r="M657" s="2190"/>
      <c r="N657" s="2190"/>
      <c r="O657" s="2190"/>
      <c r="P657" s="2190"/>
      <c r="Q657" s="2190"/>
      <c r="R657" s="2190"/>
      <c r="S657" s="2190"/>
      <c r="T657" s="2190"/>
      <c r="U657" s="2190"/>
      <c r="V657" s="2190"/>
      <c r="W657" s="2190"/>
      <c r="X657" s="262"/>
    </row>
    <row r="658" spans="1:25" ht="7.5" customHeight="1">
      <c r="C658" s="260"/>
      <c r="I658" s="38"/>
      <c r="J658" s="38"/>
      <c r="K658" s="38"/>
      <c r="L658" s="38"/>
      <c r="M658" s="38"/>
      <c r="N658" s="38"/>
      <c r="O658" s="38"/>
      <c r="X658" s="262"/>
    </row>
    <row r="659" spans="1:25" ht="14.95" customHeight="1">
      <c r="C659" s="260"/>
      <c r="D659" s="2198" t="s">
        <v>946</v>
      </c>
      <c r="E659" s="2198"/>
      <c r="F659" s="2198"/>
      <c r="G659" s="2198"/>
      <c r="H659" s="2198"/>
      <c r="I659" s="2199"/>
      <c r="J659" s="2202" t="str">
        <f ca="1">DATA!BY4</f>
        <v>Lighting - Custom</v>
      </c>
      <c r="K659" s="2203"/>
      <c r="L659" s="2204"/>
      <c r="M659" s="38"/>
      <c r="N659" s="38"/>
      <c r="O659" s="2198" t="s">
        <v>980</v>
      </c>
      <c r="P659" s="2198"/>
      <c r="Q659" s="2198"/>
      <c r="R659" s="2198"/>
      <c r="S659" s="2198"/>
      <c r="T659" s="2199"/>
      <c r="U659" s="2202">
        <f ca="1">DATA!BZ4</f>
        <v>10059</v>
      </c>
      <c r="V659" s="2204"/>
      <c r="X659" s="262"/>
    </row>
    <row r="660" spans="1:25" ht="7.5" customHeight="1">
      <c r="C660" s="260"/>
      <c r="D660" s="44"/>
      <c r="E660" s="44"/>
      <c r="F660" s="44"/>
      <c r="G660" s="44"/>
      <c r="H660" s="44"/>
      <c r="I660" s="44"/>
      <c r="J660" s="38"/>
      <c r="K660" s="38"/>
      <c r="L660" s="38"/>
      <c r="M660" s="38"/>
      <c r="N660" s="38"/>
      <c r="O660" s="38"/>
      <c r="T660" s="44"/>
      <c r="X660" s="262"/>
    </row>
    <row r="661" spans="1:25">
      <c r="C661" s="260"/>
      <c r="D661" s="2198" t="s">
        <v>955</v>
      </c>
      <c r="E661" s="2198"/>
      <c r="F661" s="2198"/>
      <c r="G661" s="2198"/>
      <c r="H661" s="2198"/>
      <c r="I661" s="2199"/>
      <c r="J661" s="2202" t="str">
        <f ca="1">DATA!CA4</f>
        <v>Full</v>
      </c>
      <c r="K661" s="2203"/>
      <c r="L661" s="2204"/>
      <c r="M661" s="38"/>
      <c r="N661" s="92"/>
      <c r="O661" s="2198" t="s">
        <v>981</v>
      </c>
      <c r="P661" s="2198"/>
      <c r="Q661" s="2198"/>
      <c r="R661" s="2198"/>
      <c r="S661" s="2198"/>
      <c r="T661" s="2199"/>
      <c r="U661" s="2200">
        <f>M30</f>
        <v>0</v>
      </c>
      <c r="V661" s="2201"/>
      <c r="X661" s="262"/>
    </row>
    <row r="662" spans="1:25" ht="7.5" customHeight="1">
      <c r="C662" s="260"/>
      <c r="D662" s="44"/>
      <c r="E662" s="44"/>
      <c r="F662" s="44"/>
      <c r="G662" s="44"/>
      <c r="H662" s="44"/>
      <c r="I662" s="328"/>
      <c r="J662" s="38"/>
      <c r="K662" s="185"/>
      <c r="M662" s="38"/>
      <c r="N662" s="38"/>
      <c r="O662" s="38"/>
      <c r="T662" s="44"/>
      <c r="X662" s="262"/>
    </row>
    <row r="663" spans="1:25">
      <c r="C663" s="260"/>
      <c r="D663" s="2198" t="s">
        <v>947</v>
      </c>
      <c r="E663" s="2198"/>
      <c r="F663" s="2198"/>
      <c r="G663" s="2198"/>
      <c r="H663" s="2198"/>
      <c r="I663" s="2199"/>
      <c r="J663" s="2307">
        <f ca="1">DATA!CC4</f>
        <v>0</v>
      </c>
      <c r="K663" s="2308"/>
      <c r="L663" s="2309"/>
      <c r="M663" s="38"/>
      <c r="N663" s="92"/>
      <c r="O663" s="2198" t="s">
        <v>1075</v>
      </c>
      <c r="P663" s="2198"/>
      <c r="Q663" s="2198"/>
      <c r="R663" s="2198"/>
      <c r="S663" s="2198"/>
      <c r="T663" s="2199"/>
      <c r="U663" s="2202" t="str">
        <f>DATA!CD4</f>
        <v>Lighting</v>
      </c>
      <c r="V663" s="2204"/>
      <c r="X663" s="262"/>
    </row>
    <row r="664" spans="1:25" ht="7.5" customHeight="1">
      <c r="C664" s="260"/>
      <c r="D664" s="44"/>
      <c r="E664" s="44"/>
      <c r="F664" s="44"/>
      <c r="G664" s="44"/>
      <c r="H664" s="44"/>
      <c r="I664" s="328"/>
      <c r="J664" s="38"/>
      <c r="K664" s="185"/>
      <c r="M664" s="38"/>
      <c r="N664" s="38"/>
      <c r="O664" s="38"/>
      <c r="T664" s="44"/>
      <c r="X664" s="262"/>
    </row>
    <row r="665" spans="1:25">
      <c r="C665" s="260"/>
      <c r="D665" s="2198" t="s">
        <v>949</v>
      </c>
      <c r="E665" s="2198"/>
      <c r="F665" s="2198"/>
      <c r="G665" s="2198"/>
      <c r="H665" s="2198"/>
      <c r="I665" s="2199"/>
      <c r="J665" s="2216">
        <f ca="1">DATA!CE4</f>
        <v>0</v>
      </c>
      <c r="K665" s="2217"/>
      <c r="L665" s="2218"/>
      <c r="M665" s="38"/>
      <c r="N665" s="92"/>
      <c r="O665" s="2198" t="s">
        <v>1076</v>
      </c>
      <c r="P665" s="2198"/>
      <c r="Q665" s="2198"/>
      <c r="R665" s="2198"/>
      <c r="S665" s="2198"/>
      <c r="T665" s="2223"/>
      <c r="U665" s="2181"/>
      <c r="V665" s="2182"/>
      <c r="X665" s="262"/>
    </row>
    <row r="666" spans="1:25" ht="7.5" customHeight="1">
      <c r="C666" s="260"/>
      <c r="D666" s="44"/>
      <c r="E666" s="44"/>
      <c r="F666" s="44"/>
      <c r="G666" s="44"/>
      <c r="H666" s="44"/>
      <c r="I666" s="328"/>
      <c r="J666" s="38"/>
      <c r="K666" s="185"/>
      <c r="M666" s="38"/>
      <c r="N666" s="38"/>
      <c r="O666" s="38"/>
      <c r="T666" s="328"/>
      <c r="U666" s="38"/>
      <c r="X666" s="262"/>
    </row>
    <row r="667" spans="1:25">
      <c r="C667" s="260"/>
      <c r="D667" s="2219" t="s">
        <v>983</v>
      </c>
      <c r="E667" s="2219"/>
      <c r="F667" s="2219"/>
      <c r="G667" s="2219"/>
      <c r="H667" s="2219"/>
      <c r="I667" s="2219"/>
      <c r="J667" s="2216">
        <f ca="1">DATA!CG4</f>
        <v>0</v>
      </c>
      <c r="K667" s="2217"/>
      <c r="L667" s="2218"/>
      <c r="M667" s="38"/>
      <c r="N667" s="92"/>
      <c r="O667" s="2198" t="s">
        <v>952</v>
      </c>
      <c r="P667" s="2198"/>
      <c r="Q667" s="2198"/>
      <c r="R667" s="2198"/>
      <c r="S667" s="2198"/>
      <c r="T667" s="2199"/>
      <c r="U667" s="2307">
        <f ca="1">DATA!CH4</f>
        <v>0</v>
      </c>
      <c r="V667" s="2309"/>
      <c r="X667" s="262"/>
    </row>
    <row r="668" spans="1:25" ht="7.5" customHeight="1">
      <c r="C668" s="260"/>
      <c r="D668" s="2219"/>
      <c r="E668" s="2219"/>
      <c r="F668" s="2219"/>
      <c r="G668" s="2219"/>
      <c r="H668" s="2219"/>
      <c r="I668" s="2219"/>
      <c r="J668" s="38"/>
      <c r="K668" s="185"/>
      <c r="M668" s="38"/>
      <c r="N668" s="38"/>
      <c r="O668" s="38"/>
      <c r="T668" s="44"/>
      <c r="X668" s="262"/>
    </row>
    <row r="669" spans="1:25">
      <c r="C669" s="260"/>
      <c r="D669" s="2198" t="s">
        <v>953</v>
      </c>
      <c r="E669" s="2198"/>
      <c r="F669" s="2198"/>
      <c r="G669" s="2198"/>
      <c r="H669" s="2198"/>
      <c r="I669" s="2199"/>
      <c r="J669" s="2216">
        <f ca="1">DATA!CI4</f>
        <v>0</v>
      </c>
      <c r="K669" s="2217"/>
      <c r="L669" s="2218"/>
      <c r="M669" s="323"/>
      <c r="N669" s="92"/>
      <c r="O669" s="2198" t="s">
        <v>984</v>
      </c>
      <c r="P669" s="2198"/>
      <c r="Q669" s="2198"/>
      <c r="R669" s="2198"/>
      <c r="S669" s="2198"/>
      <c r="T669" s="2199"/>
      <c r="U669" s="2202">
        <f ca="1">DATA!CJ4</f>
        <v>0</v>
      </c>
      <c r="V669" s="2204"/>
      <c r="X669" s="262"/>
    </row>
    <row r="670" spans="1:25" ht="7.5" customHeight="1">
      <c r="C670" s="260"/>
      <c r="D670" s="44"/>
      <c r="E670" s="44"/>
      <c r="F670" s="44"/>
      <c r="G670" s="44"/>
      <c r="H670" s="44"/>
      <c r="I670" s="44"/>
      <c r="T670" s="44"/>
      <c r="X670" s="262"/>
    </row>
    <row r="671" spans="1:25">
      <c r="A671" s="262"/>
      <c r="D671" s="2198" t="s">
        <v>985</v>
      </c>
      <c r="E671" s="2198"/>
      <c r="F671" s="2198"/>
      <c r="G671" s="2198"/>
      <c r="H671" s="2198"/>
      <c r="I671" s="2199"/>
      <c r="J671" s="2307">
        <f ca="1">DATA!CK4</f>
        <v>0</v>
      </c>
      <c r="K671" s="2308"/>
      <c r="L671" s="2309"/>
      <c r="O671" s="2198" t="s">
        <v>893</v>
      </c>
      <c r="P671" s="2198"/>
      <c r="Q671" s="2198"/>
      <c r="R671" s="2198"/>
      <c r="S671" s="2198"/>
      <c r="T671" s="2199"/>
      <c r="U671" s="2313">
        <f ca="1">DATA!CL4</f>
        <v>2</v>
      </c>
      <c r="V671" s="2314"/>
      <c r="Y671" s="260"/>
    </row>
    <row r="672" spans="1:25" ht="7.5" customHeight="1">
      <c r="A672" s="262"/>
      <c r="D672" s="44"/>
      <c r="E672" s="44"/>
      <c r="F672" s="44"/>
      <c r="G672" s="44"/>
      <c r="H672" s="44"/>
      <c r="I672" s="44"/>
      <c r="Y672" s="260"/>
    </row>
    <row r="673" spans="1:25">
      <c r="A673" s="262"/>
      <c r="D673" s="2198" t="s">
        <v>1077</v>
      </c>
      <c r="E673" s="2198"/>
      <c r="F673" s="2198"/>
      <c r="G673" s="2198"/>
      <c r="H673" s="2198"/>
      <c r="I673" s="2199"/>
      <c r="J673" s="2310">
        <f ca="1">DATA!CM4</f>
        <v>0</v>
      </c>
      <c r="K673" s="2311"/>
      <c r="L673" s="2312"/>
      <c r="Y673" s="260"/>
    </row>
    <row r="674" spans="1:25" ht="7.5" customHeight="1">
      <c r="C674" s="261"/>
      <c r="D674" s="184"/>
      <c r="E674" s="184"/>
      <c r="F674" s="184"/>
      <c r="G674" s="184"/>
      <c r="H674" s="184"/>
      <c r="I674" s="184"/>
      <c r="J674" s="184"/>
      <c r="K674" s="184"/>
      <c r="L674" s="184"/>
      <c r="M674" s="184"/>
      <c r="N674" s="184"/>
      <c r="O674" s="184"/>
      <c r="P674" s="184"/>
      <c r="Q674" s="184"/>
      <c r="R674" s="184"/>
      <c r="S674" s="184"/>
      <c r="T674" s="184"/>
      <c r="U674" s="184"/>
      <c r="V674" s="184"/>
      <c r="W674" s="184"/>
      <c r="X674" s="263"/>
    </row>
    <row r="675" spans="1:25" ht="7.5" customHeight="1">
      <c r="U675" s="38"/>
      <c r="V675" s="38"/>
    </row>
    <row r="676" spans="1:25" ht="7.5" customHeight="1">
      <c r="C676" s="621"/>
      <c r="D676" s="610"/>
      <c r="E676" s="610"/>
      <c r="F676" s="610"/>
      <c r="G676" s="610"/>
      <c r="H676" s="610"/>
      <c r="I676" s="610"/>
      <c r="J676" s="610"/>
      <c r="K676" s="610"/>
      <c r="L676" s="610"/>
      <c r="M676" s="610"/>
      <c r="N676" s="610"/>
      <c r="O676" s="610"/>
      <c r="P676" s="610"/>
      <c r="Q676" s="610"/>
      <c r="R676" s="610"/>
      <c r="S676" s="610"/>
      <c r="T676" s="610"/>
      <c r="U676" s="610"/>
      <c r="V676" s="610"/>
      <c r="W676" s="610"/>
      <c r="X676" s="1158"/>
    </row>
    <row r="677" spans="1:25" ht="14.3" customHeight="1">
      <c r="C677" s="260"/>
      <c r="D677" s="2190" t="str">
        <f ca="1">IF(DATA!C12="Yes","Custom Measure (Performance)","Custom Measure (Performance) - N/A")</f>
        <v>Custom Measure (Performance) - N/A</v>
      </c>
      <c r="E677" s="2190"/>
      <c r="F677" s="2190"/>
      <c r="G677" s="2190"/>
      <c r="H677" s="2190"/>
      <c r="I677" s="2190"/>
      <c r="J677" s="2190"/>
      <c r="K677" s="2190"/>
      <c r="L677" s="2190"/>
      <c r="M677" s="2190"/>
      <c r="N677" s="2190"/>
      <c r="O677" s="2190"/>
      <c r="P677" s="2190"/>
      <c r="Q677" s="2190"/>
      <c r="R677" s="2190"/>
      <c r="S677" s="2190"/>
      <c r="T677" s="2190"/>
      <c r="U677" s="2190"/>
      <c r="V677" s="2190"/>
      <c r="W677" s="2190"/>
      <c r="X677" s="262"/>
    </row>
    <row r="678" spans="1:25" ht="7.5" customHeight="1">
      <c r="C678" s="260"/>
      <c r="I678" s="38"/>
      <c r="J678" s="38"/>
      <c r="K678" s="38"/>
      <c r="L678" s="38"/>
      <c r="M678" s="38"/>
      <c r="N678" s="38"/>
      <c r="O678" s="38"/>
      <c r="X678" s="262"/>
    </row>
    <row r="679" spans="1:25" ht="14.95" customHeight="1">
      <c r="C679" s="260"/>
      <c r="D679" s="2198" t="s">
        <v>946</v>
      </c>
      <c r="E679" s="2198"/>
      <c r="F679" s="2198"/>
      <c r="G679" s="2198"/>
      <c r="H679" s="2198"/>
      <c r="I679" s="2199"/>
      <c r="J679" s="2202" t="str">
        <f>DATA!BY5</f>
        <v>Lighting - Performance - Custom</v>
      </c>
      <c r="K679" s="2203"/>
      <c r="L679" s="2204"/>
      <c r="M679" s="38"/>
      <c r="N679" s="38"/>
      <c r="O679" s="2198" t="s">
        <v>980</v>
      </c>
      <c r="P679" s="2198"/>
      <c r="Q679" s="2198"/>
      <c r="R679" s="2198"/>
      <c r="S679" s="2198"/>
      <c r="T679" s="2199"/>
      <c r="U679" s="2202">
        <f>DATA!BZ5</f>
        <v>12334</v>
      </c>
      <c r="V679" s="2204"/>
      <c r="X679" s="262"/>
    </row>
    <row r="680" spans="1:25" ht="7.5" customHeight="1">
      <c r="C680" s="260"/>
      <c r="D680" s="44"/>
      <c r="E680" s="44"/>
      <c r="F680" s="44"/>
      <c r="G680" s="44"/>
      <c r="H680" s="44"/>
      <c r="I680" s="44"/>
      <c r="J680" s="38"/>
      <c r="K680" s="38"/>
      <c r="L680" s="38"/>
      <c r="M680" s="38"/>
      <c r="N680" s="38"/>
      <c r="O680" s="38"/>
      <c r="T680" s="44"/>
      <c r="X680" s="262"/>
    </row>
    <row r="681" spans="1:25" ht="14.3" customHeight="1">
      <c r="C681" s="260"/>
      <c r="D681" s="2198" t="s">
        <v>955</v>
      </c>
      <c r="E681" s="2198"/>
      <c r="F681" s="2198"/>
      <c r="G681" s="2198"/>
      <c r="H681" s="2198"/>
      <c r="I681" s="2199"/>
      <c r="J681" s="2202" t="str">
        <f ca="1">DATA!CA5</f>
        <v>Full</v>
      </c>
      <c r="K681" s="2203"/>
      <c r="L681" s="2204"/>
      <c r="M681" s="38"/>
      <c r="N681" s="92"/>
      <c r="O681" s="2198" t="s">
        <v>981</v>
      </c>
      <c r="P681" s="2198"/>
      <c r="Q681" s="2198"/>
      <c r="R681" s="2198"/>
      <c r="S681" s="2198"/>
      <c r="T681" s="2199"/>
      <c r="U681" s="2200">
        <f>M30</f>
        <v>0</v>
      </c>
      <c r="V681" s="2201"/>
      <c r="X681" s="262"/>
    </row>
    <row r="682" spans="1:25" ht="7.5" customHeight="1">
      <c r="C682" s="260"/>
      <c r="D682" s="44"/>
      <c r="E682" s="44"/>
      <c r="F682" s="44"/>
      <c r="G682" s="44"/>
      <c r="H682" s="44"/>
      <c r="I682" s="328"/>
      <c r="J682" s="38"/>
      <c r="K682" s="185"/>
      <c r="M682" s="38"/>
      <c r="N682" s="38"/>
      <c r="O682" s="38"/>
      <c r="T682" s="44"/>
      <c r="X682" s="262"/>
    </row>
    <row r="683" spans="1:25" ht="14.3" customHeight="1">
      <c r="C683" s="260"/>
      <c r="D683" s="2198" t="s">
        <v>947</v>
      </c>
      <c r="E683" s="2198"/>
      <c r="F683" s="2198"/>
      <c r="G683" s="2198"/>
      <c r="H683" s="2198"/>
      <c r="I683" s="2199"/>
      <c r="J683" s="2213">
        <f ca="1">DATA!CC5</f>
        <v>0</v>
      </c>
      <c r="K683" s="2214"/>
      <c r="L683" s="2215"/>
      <c r="M683" s="38"/>
      <c r="N683" s="92"/>
      <c r="O683" s="2198" t="s">
        <v>1075</v>
      </c>
      <c r="P683" s="2198"/>
      <c r="Q683" s="2198"/>
      <c r="R683" s="2198"/>
      <c r="S683" s="2198"/>
      <c r="T683" s="2199"/>
      <c r="U683" s="2202" t="str">
        <f>DATA!CD5</f>
        <v>Lighting</v>
      </c>
      <c r="V683" s="2204"/>
      <c r="X683" s="262"/>
    </row>
    <row r="684" spans="1:25" ht="7.5" customHeight="1">
      <c r="C684" s="260"/>
      <c r="D684" s="44"/>
      <c r="E684" s="44"/>
      <c r="F684" s="44"/>
      <c r="G684" s="44"/>
      <c r="H684" s="44"/>
      <c r="I684" s="328"/>
      <c r="J684" s="38"/>
      <c r="K684" s="185"/>
      <c r="M684" s="38"/>
      <c r="N684" s="38"/>
      <c r="O684" s="38"/>
      <c r="T684" s="44"/>
      <c r="X684" s="262"/>
    </row>
    <row r="685" spans="1:25" ht="14.3" customHeight="1">
      <c r="C685" s="260"/>
      <c r="D685" s="2198" t="s">
        <v>949</v>
      </c>
      <c r="E685" s="2198"/>
      <c r="F685" s="2198"/>
      <c r="G685" s="2198"/>
      <c r="H685" s="2198"/>
      <c r="I685" s="2199"/>
      <c r="J685" s="2216">
        <f ca="1">DATA!CE5</f>
        <v>0</v>
      </c>
      <c r="K685" s="2217"/>
      <c r="L685" s="2218"/>
      <c r="M685" s="38"/>
      <c r="N685" s="92"/>
      <c r="O685" s="2198" t="s">
        <v>1076</v>
      </c>
      <c r="P685" s="2198"/>
      <c r="Q685" s="2198"/>
      <c r="R685" s="2198"/>
      <c r="S685" s="2198"/>
      <c r="T685" s="2223"/>
      <c r="U685" s="2181"/>
      <c r="V685" s="2182"/>
      <c r="X685" s="262"/>
    </row>
    <row r="686" spans="1:25" ht="7.5" customHeight="1">
      <c r="C686" s="260"/>
      <c r="D686" s="44"/>
      <c r="E686" s="44"/>
      <c r="F686" s="44"/>
      <c r="G686" s="44"/>
      <c r="H686" s="44"/>
      <c r="I686" s="328"/>
      <c r="J686" s="38"/>
      <c r="K686" s="185"/>
      <c r="M686" s="38"/>
      <c r="N686" s="38"/>
      <c r="O686" s="38"/>
      <c r="T686" s="328"/>
      <c r="U686" s="38"/>
      <c r="X686" s="262"/>
    </row>
    <row r="687" spans="1:25" ht="14.3" customHeight="1">
      <c r="C687" s="260"/>
      <c r="D687" s="2219" t="s">
        <v>983</v>
      </c>
      <c r="E687" s="2219"/>
      <c r="F687" s="2219"/>
      <c r="G687" s="2219"/>
      <c r="H687" s="2219"/>
      <c r="I687" s="2219"/>
      <c r="J687" s="2220">
        <f>DATA!CG5</f>
        <v>10</v>
      </c>
      <c r="K687" s="2221"/>
      <c r="L687" s="2222"/>
      <c r="M687" s="38"/>
      <c r="N687" s="92"/>
      <c r="O687" s="2198" t="s">
        <v>952</v>
      </c>
      <c r="P687" s="2198"/>
      <c r="Q687" s="2198"/>
      <c r="R687" s="2198"/>
      <c r="S687" s="2198"/>
      <c r="T687" s="2199"/>
      <c r="U687" s="2213">
        <f ca="1">DATA!CH5</f>
        <v>0</v>
      </c>
      <c r="V687" s="2215"/>
      <c r="X687" s="262"/>
    </row>
    <row r="688" spans="1:25" ht="7.5" customHeight="1">
      <c r="C688" s="260"/>
      <c r="D688" s="2219"/>
      <c r="E688" s="2219"/>
      <c r="F688" s="2219"/>
      <c r="G688" s="2219"/>
      <c r="H688" s="2219"/>
      <c r="I688" s="2219"/>
      <c r="J688" s="38"/>
      <c r="K688" s="185"/>
      <c r="M688" s="38"/>
      <c r="N688" s="38"/>
      <c r="O688" s="38"/>
      <c r="T688" s="44"/>
      <c r="X688" s="262"/>
    </row>
    <row r="689" spans="1:25" ht="14.3" customHeight="1">
      <c r="C689" s="260"/>
      <c r="D689" s="2198" t="s">
        <v>953</v>
      </c>
      <c r="E689" s="2198"/>
      <c r="F689" s="2198"/>
      <c r="G689" s="2198"/>
      <c r="H689" s="2198"/>
      <c r="I689" s="2199"/>
      <c r="J689" s="2216">
        <f ca="1">DATA!CI5</f>
        <v>0</v>
      </c>
      <c r="K689" s="2217"/>
      <c r="L689" s="2218"/>
      <c r="M689" s="323"/>
      <c r="N689" s="92"/>
      <c r="O689" s="2198" t="s">
        <v>984</v>
      </c>
      <c r="P689" s="2198"/>
      <c r="Q689" s="2198"/>
      <c r="R689" s="2198"/>
      <c r="S689" s="2198"/>
      <c r="T689" s="2199"/>
      <c r="U689" s="2202">
        <f>DATA!CJ5</f>
        <v>0</v>
      </c>
      <c r="V689" s="2204"/>
      <c r="X689" s="262"/>
    </row>
    <row r="690" spans="1:25" ht="7.5" customHeight="1">
      <c r="C690" s="260"/>
      <c r="D690" s="44"/>
      <c r="E690" s="44"/>
      <c r="F690" s="44"/>
      <c r="G690" s="44"/>
      <c r="H690" s="44"/>
      <c r="I690" s="44"/>
      <c r="T690" s="44"/>
      <c r="X690" s="262"/>
    </row>
    <row r="691" spans="1:25" ht="14.3" customHeight="1">
      <c r="A691" s="262"/>
      <c r="D691" s="2198" t="s">
        <v>985</v>
      </c>
      <c r="E691" s="2198"/>
      <c r="F691" s="2198"/>
      <c r="G691" s="2198"/>
      <c r="H691" s="2198"/>
      <c r="I691" s="2199"/>
      <c r="J691" s="2213">
        <f ca="1">DATA!CK5</f>
        <v>0</v>
      </c>
      <c r="K691" s="2214"/>
      <c r="L691" s="2215"/>
      <c r="O691" s="2198" t="s">
        <v>893</v>
      </c>
      <c r="P691" s="2198"/>
      <c r="Q691" s="2198"/>
      <c r="R691" s="2198"/>
      <c r="S691" s="2198"/>
      <c r="T691" s="2199"/>
      <c r="U691" s="2210">
        <f ca="1">DATA!CL5</f>
        <v>2</v>
      </c>
      <c r="V691" s="2212"/>
      <c r="Y691" s="260"/>
    </row>
    <row r="692" spans="1:25" ht="7.5" customHeight="1">
      <c r="A692" s="262"/>
      <c r="D692" s="44"/>
      <c r="E692" s="44"/>
      <c r="F692" s="44"/>
      <c r="G692" s="44"/>
      <c r="H692" s="44"/>
      <c r="I692" s="44"/>
      <c r="Y692" s="260"/>
    </row>
    <row r="693" spans="1:25" ht="14.3" customHeight="1">
      <c r="A693" s="262"/>
      <c r="D693" s="2198" t="s">
        <v>1077</v>
      </c>
      <c r="E693" s="2198"/>
      <c r="F693" s="2198"/>
      <c r="G693" s="2198"/>
      <c r="H693" s="2198"/>
      <c r="I693" s="2199"/>
      <c r="J693" s="2210">
        <f ca="1">DATA!CM5</f>
        <v>0</v>
      </c>
      <c r="K693" s="2211"/>
      <c r="L693" s="2212"/>
      <c r="Y693" s="260"/>
    </row>
    <row r="694" spans="1:25" ht="7.5" customHeight="1">
      <c r="C694" s="261"/>
      <c r="D694" s="184"/>
      <c r="E694" s="184"/>
      <c r="F694" s="184"/>
      <c r="G694" s="184"/>
      <c r="H694" s="184"/>
      <c r="I694" s="184"/>
      <c r="J694" s="184"/>
      <c r="K694" s="184"/>
      <c r="L694" s="184"/>
      <c r="M694" s="184"/>
      <c r="N694" s="184"/>
      <c r="O694" s="184"/>
      <c r="P694" s="184"/>
      <c r="Q694" s="184"/>
      <c r="R694" s="184"/>
      <c r="S694" s="184"/>
      <c r="T694" s="184"/>
      <c r="U694" s="184"/>
      <c r="V694" s="184"/>
      <c r="W694" s="184"/>
      <c r="X694" s="263"/>
    </row>
    <row r="695" spans="1:25" ht="7.5" customHeight="1">
      <c r="U695" s="38"/>
      <c r="V695" s="38"/>
    </row>
    <row r="697" spans="1:25">
      <c r="C697" s="1"/>
      <c r="D697" s="1"/>
      <c r="E697" s="1"/>
      <c r="F697" s="1"/>
      <c r="G697" s="1"/>
      <c r="H697" s="1"/>
      <c r="I697" s="1"/>
      <c r="J697" s="1"/>
      <c r="K697" s="1"/>
      <c r="L697" s="1"/>
      <c r="M697" s="1"/>
      <c r="N697" s="1"/>
      <c r="O697" s="1"/>
      <c r="P697" s="1"/>
      <c r="Q697" s="1"/>
      <c r="R697" s="1"/>
      <c r="S697" s="1"/>
      <c r="T697" s="1"/>
      <c r="U697" s="1"/>
      <c r="V697" s="1"/>
      <c r="W697" s="1"/>
      <c r="X697" s="1"/>
    </row>
    <row r="698" spans="1:25">
      <c r="C698" s="1"/>
      <c r="D698" s="1"/>
      <c r="E698" s="1"/>
      <c r="F698" s="1"/>
      <c r="G698" s="1"/>
      <c r="H698" s="1"/>
      <c r="I698" s="1"/>
      <c r="J698" s="1"/>
      <c r="K698" s="1"/>
      <c r="L698" s="1"/>
      <c r="M698" s="1"/>
      <c r="N698" s="1"/>
      <c r="O698" s="1"/>
      <c r="P698" s="1"/>
      <c r="Q698" s="1"/>
      <c r="R698" s="1"/>
      <c r="S698" s="1"/>
      <c r="T698" s="1"/>
      <c r="U698" s="1"/>
      <c r="V698" s="1"/>
      <c r="W698" s="1"/>
      <c r="X698" s="1"/>
    </row>
    <row r="699" spans="1:25">
      <c r="C699" s="1"/>
      <c r="D699" s="1"/>
      <c r="E699" s="1"/>
      <c r="F699" s="1"/>
      <c r="G699" s="1"/>
      <c r="H699" s="1"/>
      <c r="I699" s="1"/>
      <c r="J699" s="1"/>
      <c r="K699" s="1"/>
      <c r="L699" s="1"/>
      <c r="M699" s="1"/>
      <c r="N699" s="1"/>
      <c r="O699" s="1"/>
      <c r="P699" s="1"/>
      <c r="Q699" s="1"/>
      <c r="R699" s="1"/>
      <c r="S699" s="1"/>
      <c r="T699" s="1"/>
      <c r="U699" s="1"/>
      <c r="V699" s="1"/>
      <c r="W699" s="1"/>
      <c r="X699" s="1"/>
    </row>
    <row r="700" spans="1:25">
      <c r="C700" s="1"/>
      <c r="D700" s="1"/>
      <c r="E700" s="1"/>
      <c r="F700" s="1"/>
      <c r="G700" s="1"/>
      <c r="H700" s="1"/>
      <c r="I700" s="1"/>
      <c r="J700" s="1"/>
      <c r="K700" s="1"/>
      <c r="L700" s="1"/>
      <c r="M700" s="1"/>
      <c r="N700" s="1"/>
      <c r="O700" s="1"/>
      <c r="P700" s="1"/>
      <c r="Q700" s="1"/>
      <c r="R700" s="1"/>
      <c r="S700" s="1"/>
      <c r="T700" s="1"/>
      <c r="U700" s="1"/>
      <c r="V700" s="1"/>
      <c r="W700" s="1"/>
      <c r="X700" s="1"/>
    </row>
    <row r="701" spans="1:25">
      <c r="C701" s="1"/>
      <c r="D701" s="1"/>
      <c r="E701" s="1"/>
      <c r="F701" s="1"/>
      <c r="G701" s="1"/>
      <c r="H701" s="1"/>
      <c r="I701" s="1"/>
      <c r="J701" s="1"/>
      <c r="K701" s="1"/>
      <c r="L701" s="1"/>
      <c r="M701" s="1"/>
      <c r="N701" s="1"/>
      <c r="O701" s="1"/>
      <c r="P701" s="1"/>
      <c r="Q701" s="1"/>
      <c r="R701" s="1"/>
      <c r="S701" s="1"/>
      <c r="T701" s="1"/>
      <c r="U701" s="1"/>
      <c r="V701" s="1"/>
      <c r="W701" s="1"/>
      <c r="X701" s="1"/>
    </row>
    <row r="702" spans="1:25">
      <c r="C702" s="1"/>
      <c r="D702" s="1"/>
      <c r="E702" s="1"/>
      <c r="F702" s="1"/>
      <c r="G702" s="1"/>
      <c r="H702" s="1"/>
      <c r="I702" s="1"/>
      <c r="J702" s="1"/>
      <c r="K702" s="1"/>
      <c r="L702" s="1"/>
      <c r="M702" s="1"/>
      <c r="N702" s="1"/>
      <c r="O702" s="1"/>
      <c r="P702" s="1"/>
      <c r="Q702" s="1"/>
      <c r="R702" s="1"/>
      <c r="S702" s="1"/>
      <c r="T702" s="1"/>
      <c r="U702" s="1"/>
      <c r="V702" s="1"/>
      <c r="W702" s="1"/>
      <c r="X702" s="1"/>
    </row>
    <row r="703" spans="1:25">
      <c r="C703" s="1"/>
      <c r="D703" s="1"/>
      <c r="E703" s="1"/>
      <c r="F703" s="1"/>
      <c r="G703" s="1"/>
      <c r="H703" s="1"/>
      <c r="I703" s="1"/>
      <c r="J703" s="1"/>
      <c r="K703" s="1"/>
      <c r="L703" s="1"/>
      <c r="M703" s="1"/>
      <c r="N703" s="1"/>
      <c r="O703" s="1"/>
      <c r="P703" s="1"/>
      <c r="Q703" s="1"/>
      <c r="R703" s="1"/>
      <c r="S703" s="1"/>
      <c r="T703" s="1"/>
      <c r="U703" s="1"/>
      <c r="V703" s="1"/>
      <c r="W703" s="1"/>
      <c r="X703" s="1"/>
    </row>
    <row r="704" spans="1:25">
      <c r="C704" s="1"/>
      <c r="D704" s="1"/>
      <c r="E704" s="1"/>
      <c r="F704" s="1"/>
      <c r="G704" s="1"/>
      <c r="H704" s="1"/>
      <c r="I704" s="1"/>
      <c r="J704" s="1"/>
      <c r="K704" s="1"/>
      <c r="L704" s="1"/>
      <c r="M704" s="1"/>
      <c r="N704" s="1"/>
      <c r="O704" s="1"/>
      <c r="P704" s="1"/>
      <c r="Q704" s="1"/>
      <c r="R704" s="1"/>
      <c r="S704" s="1"/>
      <c r="T704" s="1"/>
      <c r="U704" s="1"/>
      <c r="V704" s="1"/>
      <c r="W704" s="1"/>
      <c r="X704" s="1"/>
    </row>
    <row r="705" spans="3:24">
      <c r="C705" s="1"/>
      <c r="D705" s="1"/>
      <c r="E705" s="1"/>
      <c r="F705" s="1"/>
      <c r="G705" s="1"/>
      <c r="H705" s="1"/>
      <c r="I705" s="1"/>
      <c r="J705" s="1"/>
      <c r="K705" s="1"/>
      <c r="L705" s="1"/>
      <c r="M705" s="1"/>
      <c r="N705" s="1"/>
      <c r="O705" s="1"/>
      <c r="P705" s="1"/>
      <c r="Q705" s="1"/>
      <c r="R705" s="1"/>
      <c r="S705" s="1"/>
      <c r="T705" s="1"/>
      <c r="U705" s="1"/>
      <c r="V705" s="1"/>
      <c r="W705" s="1"/>
      <c r="X705" s="1"/>
    </row>
    <row r="706" spans="3:24">
      <c r="C706" s="1"/>
      <c r="D706" s="1"/>
      <c r="E706" s="1"/>
      <c r="F706" s="1"/>
      <c r="G706" s="1"/>
      <c r="H706" s="1"/>
      <c r="I706" s="1"/>
      <c r="J706" s="1"/>
      <c r="K706" s="1"/>
      <c r="L706" s="1"/>
      <c r="M706" s="1"/>
      <c r="N706" s="1"/>
      <c r="O706" s="1"/>
      <c r="P706" s="1"/>
      <c r="Q706" s="1"/>
      <c r="R706" s="1"/>
      <c r="S706" s="1"/>
      <c r="T706" s="1"/>
      <c r="U706" s="1"/>
      <c r="V706" s="1"/>
      <c r="W706" s="1"/>
      <c r="X706" s="1"/>
    </row>
    <row r="707" spans="3:24">
      <c r="C707" s="1"/>
      <c r="D707" s="1"/>
      <c r="E707" s="1"/>
      <c r="F707" s="1"/>
      <c r="G707" s="1"/>
      <c r="H707" s="1"/>
      <c r="I707" s="1"/>
      <c r="J707" s="1"/>
      <c r="K707" s="1"/>
      <c r="L707" s="1"/>
      <c r="M707" s="1"/>
      <c r="N707" s="1"/>
      <c r="O707" s="1"/>
      <c r="P707" s="1"/>
      <c r="Q707" s="1"/>
      <c r="R707" s="1"/>
      <c r="S707" s="1"/>
      <c r="T707" s="1"/>
      <c r="U707" s="1"/>
      <c r="V707" s="1"/>
      <c r="W707" s="1"/>
      <c r="X707" s="1"/>
    </row>
    <row r="708" spans="3:24">
      <c r="C708" s="1"/>
      <c r="D708" s="1"/>
      <c r="E708" s="1"/>
      <c r="F708" s="1"/>
      <c r="G708" s="1"/>
      <c r="H708" s="1"/>
      <c r="I708" s="1"/>
      <c r="J708" s="1"/>
      <c r="K708" s="1"/>
      <c r="L708" s="1"/>
      <c r="M708" s="1"/>
      <c r="N708" s="1"/>
      <c r="O708" s="1"/>
      <c r="P708" s="1"/>
      <c r="Q708" s="1"/>
      <c r="R708" s="1"/>
      <c r="S708" s="1"/>
      <c r="T708" s="1"/>
      <c r="U708" s="1"/>
      <c r="V708" s="1"/>
      <c r="W708" s="1"/>
      <c r="X708" s="1"/>
    </row>
    <row r="709" spans="3:24">
      <c r="C709" s="1"/>
      <c r="D709" s="1"/>
      <c r="E709" s="1"/>
      <c r="F709" s="1"/>
      <c r="G709" s="1"/>
      <c r="H709" s="1"/>
      <c r="I709" s="1"/>
      <c r="J709" s="1"/>
      <c r="K709" s="1"/>
      <c r="L709" s="1"/>
      <c r="M709" s="1"/>
      <c r="N709" s="1"/>
      <c r="O709" s="1"/>
      <c r="P709" s="1"/>
      <c r="Q709" s="1"/>
      <c r="R709" s="1"/>
      <c r="S709" s="1"/>
      <c r="T709" s="1"/>
      <c r="U709" s="1"/>
      <c r="V709" s="1"/>
      <c r="W709" s="1"/>
      <c r="X709" s="1"/>
    </row>
    <row r="710" spans="3:24">
      <c r="C710" s="1"/>
      <c r="D710" s="1"/>
      <c r="E710" s="1"/>
      <c r="F710" s="1"/>
      <c r="G710" s="1"/>
      <c r="H710" s="1"/>
      <c r="I710" s="1"/>
      <c r="J710" s="1"/>
      <c r="K710" s="1"/>
      <c r="L710" s="1"/>
      <c r="M710" s="1"/>
      <c r="N710" s="1"/>
      <c r="O710" s="1"/>
      <c r="P710" s="1"/>
      <c r="Q710" s="1"/>
      <c r="R710" s="1"/>
      <c r="S710" s="1"/>
      <c r="T710" s="1"/>
      <c r="U710" s="1"/>
      <c r="V710" s="1"/>
      <c r="W710" s="1"/>
      <c r="X710" s="1"/>
    </row>
    <row r="711" spans="3:24">
      <c r="C711" s="1"/>
      <c r="D711" s="1"/>
      <c r="E711" s="1"/>
      <c r="F711" s="1"/>
      <c r="G711" s="1"/>
      <c r="H711" s="1"/>
      <c r="I711" s="1"/>
      <c r="J711" s="1"/>
      <c r="K711" s="1"/>
      <c r="L711" s="1"/>
      <c r="M711" s="1"/>
      <c r="N711" s="1"/>
      <c r="O711" s="1"/>
      <c r="P711" s="1"/>
      <c r="Q711" s="1"/>
      <c r="R711" s="1"/>
      <c r="S711" s="1"/>
      <c r="T711" s="1"/>
      <c r="U711" s="1"/>
      <c r="V711" s="1"/>
      <c r="W711" s="1"/>
      <c r="X711" s="1"/>
    </row>
    <row r="712" spans="3:24">
      <c r="C712" s="1"/>
      <c r="D712" s="1"/>
      <c r="E712" s="1"/>
      <c r="F712" s="1"/>
      <c r="G712" s="1"/>
      <c r="H712" s="1"/>
      <c r="I712" s="1"/>
      <c r="J712" s="1"/>
      <c r="K712" s="1"/>
      <c r="L712" s="1"/>
      <c r="M712" s="1"/>
      <c r="N712" s="1"/>
      <c r="O712" s="1"/>
      <c r="P712" s="1"/>
      <c r="Q712" s="1"/>
      <c r="R712" s="1"/>
      <c r="S712" s="1"/>
      <c r="T712" s="1"/>
      <c r="U712" s="1"/>
      <c r="V712" s="1"/>
      <c r="W712" s="1"/>
      <c r="X712" s="1"/>
    </row>
    <row r="713" spans="3:24">
      <c r="C713" s="1"/>
      <c r="D713" s="1"/>
      <c r="E713" s="1"/>
      <c r="F713" s="1"/>
      <c r="G713" s="1"/>
      <c r="H713" s="1"/>
      <c r="I713" s="1"/>
      <c r="J713" s="1"/>
      <c r="K713" s="1"/>
      <c r="L713" s="1"/>
      <c r="M713" s="1"/>
      <c r="N713" s="1"/>
      <c r="O713" s="1"/>
      <c r="P713" s="1"/>
      <c r="Q713" s="1"/>
      <c r="R713" s="1"/>
      <c r="S713" s="1"/>
      <c r="T713" s="1"/>
      <c r="U713" s="1"/>
      <c r="V713" s="1"/>
      <c r="W713" s="1"/>
      <c r="X713" s="1"/>
    </row>
    <row r="714" spans="3:24">
      <c r="C714" s="1"/>
      <c r="D714" s="1"/>
      <c r="E714" s="1"/>
      <c r="F714" s="1"/>
      <c r="G714" s="1"/>
      <c r="H714" s="1"/>
      <c r="I714" s="1"/>
      <c r="J714" s="1"/>
      <c r="K714" s="1"/>
      <c r="L714" s="1"/>
      <c r="M714" s="1"/>
      <c r="N714" s="1"/>
      <c r="O714" s="1"/>
      <c r="P714" s="1"/>
      <c r="Q714" s="1"/>
      <c r="R714" s="1"/>
      <c r="S714" s="1"/>
      <c r="T714" s="1"/>
      <c r="U714" s="1"/>
      <c r="V714" s="1"/>
      <c r="W714" s="1"/>
      <c r="X714" s="1"/>
    </row>
    <row r="715" spans="3:24">
      <c r="C715" s="1"/>
      <c r="D715" s="1"/>
      <c r="E715" s="1"/>
      <c r="F715" s="1"/>
      <c r="G715" s="1"/>
      <c r="H715" s="1"/>
      <c r="I715" s="1"/>
      <c r="J715" s="1"/>
      <c r="K715" s="1"/>
      <c r="L715" s="1"/>
      <c r="M715" s="1"/>
      <c r="N715" s="1"/>
      <c r="O715" s="1"/>
      <c r="P715" s="1"/>
      <c r="Q715" s="1"/>
      <c r="R715" s="1"/>
      <c r="S715" s="1"/>
      <c r="T715" s="1"/>
      <c r="U715" s="1"/>
      <c r="V715" s="1"/>
      <c r="W715" s="1"/>
      <c r="X715" s="1"/>
    </row>
    <row r="716" spans="3:24">
      <c r="C716" s="1"/>
      <c r="D716" s="1"/>
      <c r="E716" s="1"/>
      <c r="F716" s="1"/>
      <c r="G716" s="1"/>
      <c r="H716" s="1"/>
      <c r="I716" s="1"/>
      <c r="J716" s="1"/>
      <c r="K716" s="1"/>
      <c r="L716" s="1"/>
      <c r="M716" s="1"/>
      <c r="N716" s="1"/>
      <c r="O716" s="1"/>
      <c r="P716" s="1"/>
      <c r="Q716" s="1"/>
      <c r="R716" s="1"/>
      <c r="S716" s="1"/>
      <c r="T716" s="1"/>
      <c r="U716" s="1"/>
      <c r="V716" s="1"/>
      <c r="W716" s="1"/>
      <c r="X716" s="1"/>
    </row>
    <row r="717" spans="3:24">
      <c r="C717" s="1"/>
      <c r="D717" s="1"/>
      <c r="E717" s="1"/>
      <c r="F717" s="1"/>
      <c r="G717" s="1"/>
      <c r="H717" s="1"/>
      <c r="I717" s="1"/>
      <c r="J717" s="1"/>
      <c r="K717" s="1"/>
      <c r="L717" s="1"/>
      <c r="M717" s="1"/>
      <c r="N717" s="1"/>
      <c r="O717" s="1"/>
      <c r="P717" s="1"/>
      <c r="Q717" s="1"/>
      <c r="R717" s="1"/>
      <c r="S717" s="1"/>
      <c r="T717" s="1"/>
      <c r="U717" s="1"/>
      <c r="V717" s="1"/>
      <c r="W717" s="1"/>
      <c r="X717" s="1"/>
    </row>
    <row r="718" spans="3:24">
      <c r="C718" s="1"/>
      <c r="D718" s="1"/>
      <c r="E718" s="1"/>
      <c r="F718" s="1"/>
      <c r="G718" s="1"/>
      <c r="H718" s="1"/>
      <c r="I718" s="1"/>
      <c r="J718" s="1"/>
      <c r="K718" s="1"/>
      <c r="L718" s="1"/>
      <c r="M718" s="1"/>
      <c r="N718" s="1"/>
      <c r="O718" s="1"/>
      <c r="P718" s="1"/>
      <c r="Q718" s="1"/>
      <c r="R718" s="1"/>
      <c r="S718" s="1"/>
      <c r="T718" s="1"/>
      <c r="U718" s="1"/>
      <c r="V718" s="1"/>
      <c r="W718" s="1"/>
      <c r="X718" s="1"/>
    </row>
    <row r="719" spans="3:24">
      <c r="C719" s="1"/>
      <c r="D719" s="1"/>
      <c r="E719" s="1"/>
      <c r="F719" s="1"/>
      <c r="G719" s="1"/>
      <c r="H719" s="1"/>
      <c r="I719" s="1"/>
      <c r="J719" s="1"/>
      <c r="K719" s="1"/>
      <c r="L719" s="1"/>
      <c r="M719" s="1"/>
      <c r="N719" s="1"/>
      <c r="O719" s="1"/>
      <c r="P719" s="1"/>
      <c r="Q719" s="1"/>
      <c r="R719" s="1"/>
      <c r="S719" s="1"/>
      <c r="T719" s="1"/>
      <c r="U719" s="1"/>
      <c r="V719" s="1"/>
      <c r="W719" s="1"/>
      <c r="X719" s="1"/>
    </row>
    <row r="720" spans="3:24">
      <c r="C720" s="1"/>
      <c r="D720" s="1"/>
      <c r="E720" s="1"/>
      <c r="F720" s="1"/>
      <c r="G720" s="1"/>
      <c r="H720" s="1"/>
      <c r="I720" s="1"/>
      <c r="J720" s="1"/>
      <c r="K720" s="1"/>
      <c r="L720" s="1"/>
      <c r="M720" s="1"/>
      <c r="N720" s="1"/>
      <c r="O720" s="1"/>
      <c r="P720" s="1"/>
      <c r="Q720" s="1"/>
      <c r="R720" s="1"/>
      <c r="S720" s="1"/>
      <c r="T720" s="1"/>
      <c r="U720" s="1"/>
      <c r="V720" s="1"/>
      <c r="W720" s="1"/>
      <c r="X720" s="1"/>
    </row>
    <row r="721" spans="3:24">
      <c r="C721" s="1"/>
      <c r="D721" s="1"/>
      <c r="E721" s="1"/>
      <c r="F721" s="1"/>
      <c r="G721" s="1"/>
      <c r="H721" s="1"/>
      <c r="I721" s="1"/>
      <c r="J721" s="1"/>
      <c r="K721" s="1"/>
      <c r="L721" s="1"/>
      <c r="M721" s="1"/>
      <c r="N721" s="1"/>
      <c r="O721" s="1"/>
      <c r="P721" s="1"/>
      <c r="Q721" s="1"/>
      <c r="R721" s="1"/>
      <c r="S721" s="1"/>
      <c r="T721" s="1"/>
      <c r="U721" s="1"/>
      <c r="V721" s="1"/>
      <c r="W721" s="1"/>
      <c r="X721" s="1"/>
    </row>
    <row r="722" spans="3:24">
      <c r="C722" s="1"/>
      <c r="D722" s="1"/>
      <c r="E722" s="1"/>
      <c r="F722" s="1"/>
      <c r="G722" s="1"/>
      <c r="H722" s="1"/>
      <c r="I722" s="1"/>
      <c r="J722" s="1"/>
      <c r="K722" s="1"/>
      <c r="L722" s="1"/>
      <c r="M722" s="1"/>
      <c r="N722" s="1"/>
      <c r="O722" s="1"/>
      <c r="P722" s="1"/>
      <c r="Q722" s="1"/>
      <c r="R722" s="1"/>
      <c r="S722" s="1"/>
      <c r="T722" s="1"/>
      <c r="U722" s="1"/>
      <c r="V722" s="1"/>
      <c r="W722" s="1"/>
      <c r="X722" s="1"/>
    </row>
    <row r="723" spans="3:24">
      <c r="C723" s="1"/>
      <c r="D723" s="1"/>
      <c r="E723" s="1"/>
      <c r="F723" s="1"/>
      <c r="G723" s="1"/>
      <c r="H723" s="1"/>
      <c r="I723" s="1"/>
      <c r="J723" s="1"/>
      <c r="K723" s="1"/>
      <c r="L723" s="1"/>
      <c r="M723" s="1"/>
      <c r="N723" s="1"/>
      <c r="O723" s="1"/>
      <c r="P723" s="1"/>
      <c r="Q723" s="1"/>
      <c r="R723" s="1"/>
      <c r="S723" s="1"/>
      <c r="T723" s="1"/>
      <c r="U723" s="1"/>
      <c r="V723" s="1"/>
      <c r="W723" s="1"/>
      <c r="X723" s="1"/>
    </row>
    <row r="724" spans="3:24">
      <c r="C724" s="1"/>
      <c r="D724" s="1"/>
      <c r="E724" s="1"/>
      <c r="F724" s="1"/>
      <c r="G724" s="1"/>
      <c r="H724" s="1"/>
      <c r="I724" s="1"/>
      <c r="J724" s="1"/>
      <c r="K724" s="1"/>
      <c r="L724" s="1"/>
      <c r="M724" s="1"/>
      <c r="N724" s="1"/>
      <c r="O724" s="1"/>
      <c r="P724" s="1"/>
      <c r="Q724" s="1"/>
      <c r="R724" s="1"/>
      <c r="S724" s="1"/>
      <c r="T724" s="1"/>
      <c r="U724" s="1"/>
      <c r="V724" s="1"/>
      <c r="W724" s="1"/>
      <c r="X724" s="1"/>
    </row>
    <row r="725" spans="3:24">
      <c r="C725" s="1"/>
      <c r="D725" s="1"/>
      <c r="E725" s="1"/>
      <c r="F725" s="1"/>
      <c r="G725" s="1"/>
      <c r="H725" s="1"/>
      <c r="I725" s="1"/>
      <c r="J725" s="1"/>
      <c r="K725" s="1"/>
      <c r="L725" s="1"/>
      <c r="M725" s="1"/>
      <c r="N725" s="1"/>
      <c r="O725" s="1"/>
      <c r="P725" s="1"/>
      <c r="Q725" s="1"/>
      <c r="R725" s="1"/>
      <c r="S725" s="1"/>
      <c r="T725" s="1"/>
      <c r="U725" s="1"/>
      <c r="V725" s="1"/>
      <c r="W725" s="1"/>
      <c r="X725" s="1"/>
    </row>
    <row r="726" spans="3:24">
      <c r="C726" s="1"/>
      <c r="D726" s="1"/>
      <c r="E726" s="1"/>
      <c r="F726" s="1"/>
      <c r="G726" s="1"/>
      <c r="H726" s="1"/>
      <c r="I726" s="1"/>
      <c r="J726" s="1"/>
      <c r="K726" s="1"/>
      <c r="L726" s="1"/>
      <c r="M726" s="1"/>
      <c r="N726" s="1"/>
      <c r="O726" s="1"/>
      <c r="P726" s="1"/>
      <c r="Q726" s="1"/>
      <c r="R726" s="1"/>
      <c r="S726" s="1"/>
      <c r="T726" s="1"/>
      <c r="U726" s="1"/>
      <c r="V726" s="1"/>
      <c r="W726" s="1"/>
      <c r="X726" s="1"/>
    </row>
    <row r="727" spans="3:24">
      <c r="C727" s="1"/>
      <c r="D727" s="1"/>
      <c r="E727" s="1"/>
      <c r="F727" s="1"/>
      <c r="G727" s="1"/>
      <c r="H727" s="1"/>
      <c r="I727" s="1"/>
      <c r="J727" s="1"/>
      <c r="K727" s="1"/>
      <c r="L727" s="1"/>
      <c r="M727" s="1"/>
      <c r="N727" s="1"/>
      <c r="O727" s="1"/>
      <c r="P727" s="1"/>
      <c r="Q727" s="1"/>
      <c r="R727" s="1"/>
      <c r="S727" s="1"/>
      <c r="T727" s="1"/>
      <c r="U727" s="1"/>
      <c r="V727" s="1"/>
      <c r="W727" s="1"/>
      <c r="X727" s="1"/>
    </row>
    <row r="728" spans="3:24">
      <c r="C728" s="1"/>
      <c r="D728" s="1"/>
      <c r="E728" s="1"/>
      <c r="F728" s="1"/>
      <c r="G728" s="1"/>
      <c r="H728" s="1"/>
      <c r="I728" s="1"/>
      <c r="J728" s="1"/>
      <c r="K728" s="1"/>
      <c r="L728" s="1"/>
      <c r="M728" s="1"/>
      <c r="N728" s="1"/>
      <c r="O728" s="1"/>
      <c r="P728" s="1"/>
      <c r="Q728" s="1"/>
      <c r="R728" s="1"/>
      <c r="S728" s="1"/>
      <c r="T728" s="1"/>
      <c r="U728" s="1"/>
      <c r="V728" s="1"/>
      <c r="W728" s="1"/>
      <c r="X728" s="1"/>
    </row>
    <row r="729" spans="3:24">
      <c r="C729" s="1"/>
      <c r="D729" s="1"/>
      <c r="E729" s="1"/>
      <c r="F729" s="1"/>
      <c r="G729" s="1"/>
      <c r="H729" s="1"/>
      <c r="I729" s="1"/>
      <c r="J729" s="1"/>
      <c r="K729" s="1"/>
      <c r="L729" s="1"/>
      <c r="M729" s="1"/>
      <c r="N729" s="1"/>
      <c r="O729" s="1"/>
      <c r="P729" s="1"/>
      <c r="Q729" s="1"/>
      <c r="R729" s="1"/>
      <c r="S729" s="1"/>
      <c r="T729" s="1"/>
      <c r="U729" s="1"/>
      <c r="V729" s="1"/>
      <c r="W729" s="1"/>
      <c r="X729" s="1"/>
    </row>
    <row r="730" spans="3:24">
      <c r="C730" s="1"/>
      <c r="D730" s="1"/>
      <c r="E730" s="1"/>
      <c r="F730" s="1"/>
      <c r="G730" s="1"/>
      <c r="H730" s="1"/>
      <c r="I730" s="1"/>
      <c r="J730" s="1"/>
      <c r="K730" s="1"/>
      <c r="L730" s="1"/>
      <c r="M730" s="1"/>
      <c r="N730" s="1"/>
      <c r="O730" s="1"/>
      <c r="P730" s="1"/>
      <c r="Q730" s="1"/>
      <c r="R730" s="1"/>
      <c r="S730" s="1"/>
      <c r="T730" s="1"/>
      <c r="U730" s="1"/>
      <c r="V730" s="1"/>
      <c r="W730" s="1"/>
      <c r="X730" s="1"/>
    </row>
    <row r="731" spans="3:24">
      <c r="C731" s="1"/>
      <c r="D731" s="1"/>
      <c r="E731" s="1"/>
      <c r="F731" s="1"/>
      <c r="G731" s="1"/>
      <c r="H731" s="1"/>
      <c r="I731" s="1"/>
      <c r="J731" s="1"/>
      <c r="K731" s="1"/>
      <c r="L731" s="1"/>
      <c r="M731" s="1"/>
      <c r="N731" s="1"/>
      <c r="O731" s="1"/>
      <c r="P731" s="1"/>
      <c r="Q731" s="1"/>
      <c r="R731" s="1"/>
      <c r="S731" s="1"/>
      <c r="T731" s="1"/>
      <c r="U731" s="1"/>
      <c r="V731" s="1"/>
      <c r="W731" s="1"/>
      <c r="X731" s="1"/>
    </row>
    <row r="732" spans="3:24">
      <c r="C732" s="1"/>
      <c r="D732" s="1"/>
      <c r="E732" s="1"/>
      <c r="F732" s="1"/>
      <c r="G732" s="1"/>
      <c r="H732" s="1"/>
      <c r="I732" s="1"/>
      <c r="J732" s="1"/>
      <c r="K732" s="1"/>
      <c r="L732" s="1"/>
      <c r="M732" s="1"/>
      <c r="N732" s="1"/>
      <c r="O732" s="1"/>
      <c r="P732" s="1"/>
      <c r="Q732" s="1"/>
      <c r="R732" s="1"/>
      <c r="S732" s="1"/>
      <c r="T732" s="1"/>
      <c r="U732" s="1"/>
      <c r="V732" s="1"/>
      <c r="W732" s="1"/>
      <c r="X732" s="1"/>
    </row>
    <row r="733" spans="3:24">
      <c r="C733" s="1"/>
      <c r="D733" s="1"/>
      <c r="E733" s="1"/>
      <c r="F733" s="1"/>
      <c r="G733" s="1"/>
      <c r="H733" s="1"/>
      <c r="I733" s="1"/>
      <c r="J733" s="1"/>
      <c r="K733" s="1"/>
      <c r="L733" s="1"/>
      <c r="M733" s="1"/>
      <c r="N733" s="1"/>
      <c r="O733" s="1"/>
      <c r="P733" s="1"/>
      <c r="Q733" s="1"/>
      <c r="R733" s="1"/>
      <c r="S733" s="1"/>
      <c r="T733" s="1"/>
      <c r="U733" s="1"/>
      <c r="V733" s="1"/>
      <c r="W733" s="1"/>
      <c r="X733" s="1"/>
    </row>
    <row r="734" spans="3:24">
      <c r="C734" s="1"/>
      <c r="D734" s="1"/>
      <c r="E734" s="1"/>
      <c r="F734" s="1"/>
      <c r="G734" s="1"/>
      <c r="H734" s="1"/>
      <c r="I734" s="1"/>
      <c r="J734" s="1"/>
      <c r="K734" s="1"/>
      <c r="L734" s="1"/>
      <c r="M734" s="1"/>
      <c r="N734" s="1"/>
      <c r="O734" s="1"/>
      <c r="P734" s="1"/>
      <c r="Q734" s="1"/>
      <c r="R734" s="1"/>
      <c r="S734" s="1"/>
      <c r="T734" s="1"/>
      <c r="U734" s="1"/>
      <c r="V734" s="1"/>
      <c r="W734" s="1"/>
      <c r="X734" s="1"/>
    </row>
    <row r="735" spans="3:24">
      <c r="C735" s="1"/>
      <c r="D735" s="1"/>
      <c r="E735" s="1"/>
      <c r="F735" s="1"/>
      <c r="G735" s="1"/>
      <c r="H735" s="1"/>
      <c r="I735" s="1"/>
      <c r="J735" s="1"/>
      <c r="K735" s="1"/>
      <c r="L735" s="1"/>
      <c r="M735" s="1"/>
      <c r="N735" s="1"/>
      <c r="O735" s="1"/>
      <c r="P735" s="1"/>
      <c r="Q735" s="1"/>
      <c r="R735" s="1"/>
      <c r="S735" s="1"/>
      <c r="T735" s="1"/>
      <c r="U735" s="1"/>
      <c r="V735" s="1"/>
      <c r="W735" s="1"/>
      <c r="X735" s="1"/>
    </row>
    <row r="736" spans="3:24">
      <c r="C736" s="1"/>
      <c r="D736" s="1"/>
      <c r="E736" s="1"/>
      <c r="F736" s="1"/>
      <c r="G736" s="1"/>
      <c r="H736" s="1"/>
      <c r="I736" s="1"/>
      <c r="J736" s="1"/>
      <c r="K736" s="1"/>
      <c r="L736" s="1"/>
      <c r="M736" s="1"/>
      <c r="N736" s="1"/>
      <c r="O736" s="1"/>
      <c r="P736" s="1"/>
      <c r="Q736" s="1"/>
      <c r="R736" s="1"/>
      <c r="S736" s="1"/>
      <c r="T736" s="1"/>
      <c r="U736" s="1"/>
      <c r="V736" s="1"/>
      <c r="W736" s="1"/>
      <c r="X736" s="1"/>
    </row>
    <row r="737" spans="3:24">
      <c r="C737" s="1"/>
      <c r="D737" s="1"/>
      <c r="E737" s="1"/>
      <c r="F737" s="1"/>
      <c r="G737" s="1"/>
      <c r="H737" s="1"/>
      <c r="I737" s="1"/>
      <c r="J737" s="1"/>
      <c r="K737" s="1"/>
      <c r="L737" s="1"/>
      <c r="M737" s="1"/>
      <c r="N737" s="1"/>
      <c r="O737" s="1"/>
      <c r="P737" s="1"/>
      <c r="Q737" s="1"/>
      <c r="R737" s="1"/>
      <c r="S737" s="1"/>
      <c r="T737" s="1"/>
      <c r="U737" s="1"/>
      <c r="V737" s="1"/>
      <c r="W737" s="1"/>
      <c r="X737" s="1"/>
    </row>
    <row r="738" spans="3:24">
      <c r="C738" s="1"/>
      <c r="D738" s="1"/>
      <c r="E738" s="1"/>
      <c r="F738" s="1"/>
      <c r="G738" s="1"/>
      <c r="H738" s="1"/>
      <c r="I738" s="1"/>
      <c r="J738" s="1"/>
      <c r="K738" s="1"/>
      <c r="L738" s="1"/>
      <c r="M738" s="1"/>
      <c r="N738" s="1"/>
      <c r="O738" s="1"/>
      <c r="P738" s="1"/>
      <c r="Q738" s="1"/>
      <c r="R738" s="1"/>
      <c r="S738" s="1"/>
      <c r="T738" s="1"/>
      <c r="U738" s="1"/>
      <c r="V738" s="1"/>
      <c r="W738" s="1"/>
      <c r="X738" s="1"/>
    </row>
    <row r="739" spans="3:24">
      <c r="C739" s="1"/>
      <c r="D739" s="1"/>
      <c r="E739" s="1"/>
      <c r="F739" s="1"/>
      <c r="G739" s="1"/>
      <c r="H739" s="1"/>
      <c r="I739" s="1"/>
      <c r="J739" s="1"/>
      <c r="K739" s="1"/>
      <c r="L739" s="1"/>
      <c r="M739" s="1"/>
      <c r="N739" s="1"/>
      <c r="O739" s="1"/>
      <c r="P739" s="1"/>
      <c r="Q739" s="1"/>
      <c r="R739" s="1"/>
      <c r="S739" s="1"/>
      <c r="T739" s="1"/>
      <c r="U739" s="1"/>
      <c r="V739" s="1"/>
      <c r="W739" s="1"/>
      <c r="X739" s="1"/>
    </row>
    <row r="740" spans="3:24">
      <c r="C740" s="1"/>
      <c r="D740" s="1"/>
      <c r="E740" s="1"/>
      <c r="F740" s="1"/>
      <c r="G740" s="1"/>
      <c r="H740" s="1"/>
      <c r="I740" s="1"/>
      <c r="J740" s="1"/>
      <c r="K740" s="1"/>
      <c r="L740" s="1"/>
      <c r="M740" s="1"/>
      <c r="N740" s="1"/>
      <c r="O740" s="1"/>
      <c r="P740" s="1"/>
      <c r="Q740" s="1"/>
      <c r="R740" s="1"/>
      <c r="S740" s="1"/>
      <c r="T740" s="1"/>
      <c r="U740" s="1"/>
      <c r="V740" s="1"/>
      <c r="W740" s="1"/>
      <c r="X740" s="1"/>
    </row>
    <row r="741" spans="3:24">
      <c r="C741" s="1"/>
      <c r="D741" s="1"/>
      <c r="E741" s="1"/>
      <c r="F741" s="1"/>
      <c r="G741" s="1"/>
      <c r="H741" s="1"/>
      <c r="I741" s="1"/>
      <c r="J741" s="1"/>
      <c r="K741" s="1"/>
      <c r="L741" s="1"/>
      <c r="M741" s="1"/>
      <c r="N741" s="1"/>
      <c r="O741" s="1"/>
      <c r="P741" s="1"/>
      <c r="Q741" s="1"/>
      <c r="R741" s="1"/>
      <c r="S741" s="1"/>
      <c r="T741" s="1"/>
      <c r="U741" s="1"/>
      <c r="V741" s="1"/>
      <c r="W741" s="1"/>
      <c r="X741" s="1"/>
    </row>
  </sheetData>
  <sheetProtection algorithmName="SHA-512" hashValue="YmMvimNICbTKnyGD5/Ajh2ss9XceYztz2WeGsFmo9GRXUUGK0pz8x8+fqwQpwNCcZJntMOTneOqEASJl+xOQrw==" saltValue="SWFgO7p/QEoyoS1+GQz7ZA==" spinCount="100000" sheet="1" selectLockedCells="1"/>
  <mergeCells count="706">
    <mergeCell ref="D51:D54"/>
    <mergeCell ref="F53:F54"/>
    <mergeCell ref="H53:H54"/>
    <mergeCell ref="D101:D104"/>
    <mergeCell ref="F103:F104"/>
    <mergeCell ref="H103:H104"/>
    <mergeCell ref="J618:L618"/>
    <mergeCell ref="D618:I619"/>
    <mergeCell ref="J638:L638"/>
    <mergeCell ref="D638:I639"/>
    <mergeCell ref="E295:V296"/>
    <mergeCell ref="E308:V309"/>
    <mergeCell ref="J341:L341"/>
    <mergeCell ref="J351:L351"/>
    <mergeCell ref="J380:L380"/>
    <mergeCell ref="J370:L370"/>
    <mergeCell ref="J451:L451"/>
    <mergeCell ref="J453:L453"/>
    <mergeCell ref="U451:V451"/>
    <mergeCell ref="O451:T451"/>
    <mergeCell ref="C451:I452"/>
    <mergeCell ref="J583:L583"/>
    <mergeCell ref="D587:W587"/>
    <mergeCell ref="U589:V589"/>
    <mergeCell ref="U593:V593"/>
    <mergeCell ref="D593:I593"/>
    <mergeCell ref="O589:T589"/>
    <mergeCell ref="O591:T591"/>
    <mergeCell ref="B539:B567"/>
    <mergeCell ref="I281:J281"/>
    <mergeCell ref="J661:L661"/>
    <mergeCell ref="H541:X543"/>
    <mergeCell ref="I540:J540"/>
    <mergeCell ref="J624:L624"/>
    <mergeCell ref="J626:L630"/>
    <mergeCell ref="D616:I617"/>
    <mergeCell ref="J647:L649"/>
    <mergeCell ref="D657:W657"/>
    <mergeCell ref="U659:V659"/>
    <mergeCell ref="U661:V661"/>
    <mergeCell ref="U562:V562"/>
    <mergeCell ref="J562:L562"/>
    <mergeCell ref="J564:L564"/>
    <mergeCell ref="U564:V564"/>
    <mergeCell ref="D547:W547"/>
    <mergeCell ref="U552:V552"/>
    <mergeCell ref="D570:W570"/>
    <mergeCell ref="U575:V575"/>
    <mergeCell ref="U579:V579"/>
    <mergeCell ref="U581:V581"/>
    <mergeCell ref="U663:V663"/>
    <mergeCell ref="J665:L665"/>
    <mergeCell ref="U665:V665"/>
    <mergeCell ref="O593:T593"/>
    <mergeCell ref="D581:I581"/>
    <mergeCell ref="D583:I583"/>
    <mergeCell ref="O581:T581"/>
    <mergeCell ref="U595:V595"/>
    <mergeCell ref="J610:L610"/>
    <mergeCell ref="U610:V610"/>
    <mergeCell ref="J612:L612"/>
    <mergeCell ref="U612:V612"/>
    <mergeCell ref="D614:I615"/>
    <mergeCell ref="J614:L614"/>
    <mergeCell ref="O595:T595"/>
    <mergeCell ref="O597:T597"/>
    <mergeCell ref="O599:T599"/>
    <mergeCell ref="J595:L595"/>
    <mergeCell ref="U591:V591"/>
    <mergeCell ref="J593:L593"/>
    <mergeCell ref="D595:I595"/>
    <mergeCell ref="D597:I597"/>
    <mergeCell ref="U667:V667"/>
    <mergeCell ref="J669:L669"/>
    <mergeCell ref="U669:V669"/>
    <mergeCell ref="J597:L597"/>
    <mergeCell ref="U597:V597"/>
    <mergeCell ref="J599:L599"/>
    <mergeCell ref="U599:V599"/>
    <mergeCell ref="J659:L659"/>
    <mergeCell ref="D643:W643"/>
    <mergeCell ref="J645:L645"/>
    <mergeCell ref="U645:V645"/>
    <mergeCell ref="U649:V649"/>
    <mergeCell ref="J651:L651"/>
    <mergeCell ref="U651:V651"/>
    <mergeCell ref="J653:L653"/>
    <mergeCell ref="U653:V653"/>
    <mergeCell ref="U614:V614"/>
    <mergeCell ref="D645:I645"/>
    <mergeCell ref="D647:I647"/>
    <mergeCell ref="U616:V616"/>
    <mergeCell ref="O615:T616"/>
    <mergeCell ref="J616:L616"/>
    <mergeCell ref="D603:W603"/>
    <mergeCell ref="D599:I599"/>
    <mergeCell ref="O614:T614"/>
    <mergeCell ref="E605:V608"/>
    <mergeCell ref="U636:V636"/>
    <mergeCell ref="J620:L620"/>
    <mergeCell ref="U638:V638"/>
    <mergeCell ref="U634:V634"/>
    <mergeCell ref="J634:L634"/>
    <mergeCell ref="U630:V630"/>
    <mergeCell ref="J622:L622"/>
    <mergeCell ref="U622:V622"/>
    <mergeCell ref="U624:V624"/>
    <mergeCell ref="U626:V626"/>
    <mergeCell ref="J636:L636"/>
    <mergeCell ref="O622:T622"/>
    <mergeCell ref="O624:T624"/>
    <mergeCell ref="O626:T626"/>
    <mergeCell ref="O630:T630"/>
    <mergeCell ref="O634:T634"/>
    <mergeCell ref="O636:T636"/>
    <mergeCell ref="D510:I510"/>
    <mergeCell ref="B281:B321"/>
    <mergeCell ref="B121:B142"/>
    <mergeCell ref="B20:B45"/>
    <mergeCell ref="B88:B110"/>
    <mergeCell ref="A18:X18"/>
    <mergeCell ref="D321:I322"/>
    <mergeCell ref="J321:L323"/>
    <mergeCell ref="U321:V323"/>
    <mergeCell ref="J300:L300"/>
    <mergeCell ref="J302:L302"/>
    <mergeCell ref="D306:W306"/>
    <mergeCell ref="D311:I312"/>
    <mergeCell ref="J311:L311"/>
    <mergeCell ref="U311:V313"/>
    <mergeCell ref="D270:W270"/>
    <mergeCell ref="J272:L272"/>
    <mergeCell ref="J274:L274"/>
    <mergeCell ref="U274:V274"/>
    <mergeCell ref="D293:W293"/>
    <mergeCell ref="J298:L298"/>
    <mergeCell ref="U298:V298"/>
    <mergeCell ref="U241:V241"/>
    <mergeCell ref="U221:V221"/>
    <mergeCell ref="U472:V472"/>
    <mergeCell ref="J474:L474"/>
    <mergeCell ref="U474:V474"/>
    <mergeCell ref="J476:L476"/>
    <mergeCell ref="U476:V476"/>
    <mergeCell ref="U488:V488"/>
    <mergeCell ref="U478:V478"/>
    <mergeCell ref="D482:W482"/>
    <mergeCell ref="D490:I490"/>
    <mergeCell ref="D478:I478"/>
    <mergeCell ref="E484:V486"/>
    <mergeCell ref="U464:V464"/>
    <mergeCell ref="J466:L466"/>
    <mergeCell ref="J536:L536"/>
    <mergeCell ref="U536:V536"/>
    <mergeCell ref="J524:L524"/>
    <mergeCell ref="U524:V524"/>
    <mergeCell ref="J526:L526"/>
    <mergeCell ref="U526:V526"/>
    <mergeCell ref="J528:L528"/>
    <mergeCell ref="D532:W532"/>
    <mergeCell ref="J494:L494"/>
    <mergeCell ref="U494:V494"/>
    <mergeCell ref="J498:L498"/>
    <mergeCell ref="D518:W518"/>
    <mergeCell ref="J520:L520"/>
    <mergeCell ref="U520:V520"/>
    <mergeCell ref="U466:V466"/>
    <mergeCell ref="U468:V468"/>
    <mergeCell ref="J470:L470"/>
    <mergeCell ref="U470:V470"/>
    <mergeCell ref="J534:L534"/>
    <mergeCell ref="D520:I520"/>
    <mergeCell ref="D522:I522"/>
    <mergeCell ref="U492:V492"/>
    <mergeCell ref="O423:T423"/>
    <mergeCell ref="O437:T438"/>
    <mergeCell ref="O439:T439"/>
    <mergeCell ref="O443:T443"/>
    <mergeCell ref="U425:V425"/>
    <mergeCell ref="J427:L427"/>
    <mergeCell ref="U427:V427"/>
    <mergeCell ref="J429:L429"/>
    <mergeCell ref="U429:V429"/>
    <mergeCell ref="O425:T425"/>
    <mergeCell ref="O427:T427"/>
    <mergeCell ref="O429:T429"/>
    <mergeCell ref="U443:V443"/>
    <mergeCell ref="J431:L431"/>
    <mergeCell ref="U431:V431"/>
    <mergeCell ref="J433:L433"/>
    <mergeCell ref="U433:V433"/>
    <mergeCell ref="J439:L439"/>
    <mergeCell ref="U439:V439"/>
    <mergeCell ref="U435:V435"/>
    <mergeCell ref="U437:V437"/>
    <mergeCell ref="J437:L437"/>
    <mergeCell ref="J435:L435"/>
    <mergeCell ref="O431:T431"/>
    <mergeCell ref="U347:V347"/>
    <mergeCell ref="J349:L349"/>
    <mergeCell ref="J353:L353"/>
    <mergeCell ref="J355:L355"/>
    <mergeCell ref="U355:V355"/>
    <mergeCell ref="D357:I357"/>
    <mergeCell ref="D359:I359"/>
    <mergeCell ref="O395:T395"/>
    <mergeCell ref="D382:I382"/>
    <mergeCell ref="J382:L382"/>
    <mergeCell ref="D384:I384"/>
    <mergeCell ref="J384:L384"/>
    <mergeCell ref="O384:T384"/>
    <mergeCell ref="U384:V384"/>
    <mergeCell ref="D386:I386"/>
    <mergeCell ref="J386:L386"/>
    <mergeCell ref="O386:T386"/>
    <mergeCell ref="U386:V386"/>
    <mergeCell ref="D388:I388"/>
    <mergeCell ref="J388:L388"/>
    <mergeCell ref="D355:I355"/>
    <mergeCell ref="J357:L357"/>
    <mergeCell ref="J359:L359"/>
    <mergeCell ref="U194:V194"/>
    <mergeCell ref="J196:L196"/>
    <mergeCell ref="J229:L229"/>
    <mergeCell ref="J231:L231"/>
    <mergeCell ref="C184:I185"/>
    <mergeCell ref="C186:I187"/>
    <mergeCell ref="C188:I189"/>
    <mergeCell ref="N186:T187"/>
    <mergeCell ref="D190:I190"/>
    <mergeCell ref="D192:I192"/>
    <mergeCell ref="D194:I194"/>
    <mergeCell ref="D196:I196"/>
    <mergeCell ref="D200:I200"/>
    <mergeCell ref="D204:I204"/>
    <mergeCell ref="D208:I208"/>
    <mergeCell ref="D210:I210"/>
    <mergeCell ref="D212:I212"/>
    <mergeCell ref="J210:L210"/>
    <mergeCell ref="J214:L214"/>
    <mergeCell ref="D214:I215"/>
    <mergeCell ref="J223:L223"/>
    <mergeCell ref="H282:X290"/>
    <mergeCell ref="J339:L339"/>
    <mergeCell ref="J343:L343"/>
    <mergeCell ref="U343:V343"/>
    <mergeCell ref="J315:L315"/>
    <mergeCell ref="U315:V315"/>
    <mergeCell ref="D317:I319"/>
    <mergeCell ref="J317:L319"/>
    <mergeCell ref="O317:T319"/>
    <mergeCell ref="U317:V319"/>
    <mergeCell ref="D329:I331"/>
    <mergeCell ref="J329:L331"/>
    <mergeCell ref="O329:T331"/>
    <mergeCell ref="U329:V331"/>
    <mergeCell ref="D335:W335"/>
    <mergeCell ref="J337:L337"/>
    <mergeCell ref="U337:V337"/>
    <mergeCell ref="D325:I326"/>
    <mergeCell ref="J325:L327"/>
    <mergeCell ref="O337:T337"/>
    <mergeCell ref="U325:V327"/>
    <mergeCell ref="D315:I315"/>
    <mergeCell ref="O311:T311"/>
    <mergeCell ref="O315:T315"/>
    <mergeCell ref="U156:V156"/>
    <mergeCell ref="J158:L158"/>
    <mergeCell ref="U158:V158"/>
    <mergeCell ref="D178:W178"/>
    <mergeCell ref="J180:L180"/>
    <mergeCell ref="J150:L150"/>
    <mergeCell ref="U150:V150"/>
    <mergeCell ref="J152:L152"/>
    <mergeCell ref="U152:V152"/>
    <mergeCell ref="J154:L154"/>
    <mergeCell ref="U154:V154"/>
    <mergeCell ref="D162:W162"/>
    <mergeCell ref="U164:V164"/>
    <mergeCell ref="U166:V166"/>
    <mergeCell ref="J168:L168"/>
    <mergeCell ref="U168:V168"/>
    <mergeCell ref="J170:L170"/>
    <mergeCell ref="U170:V170"/>
    <mergeCell ref="J172:L172"/>
    <mergeCell ref="U172:V172"/>
    <mergeCell ref="J174:L174"/>
    <mergeCell ref="U174:V174"/>
    <mergeCell ref="D180:I180"/>
    <mergeCell ref="D168:I168"/>
    <mergeCell ref="O92:P92"/>
    <mergeCell ref="O94:P94"/>
    <mergeCell ref="O100:P100"/>
    <mergeCell ref="O102:P102"/>
    <mergeCell ref="D144:I144"/>
    <mergeCell ref="I116:M118"/>
    <mergeCell ref="J142:L142"/>
    <mergeCell ref="J144:L144"/>
    <mergeCell ref="D146:I146"/>
    <mergeCell ref="D132:I132"/>
    <mergeCell ref="D134:I134"/>
    <mergeCell ref="N114:O114"/>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S49:V64"/>
    <mergeCell ref="M36:P36"/>
    <mergeCell ref="M38:P38"/>
    <mergeCell ref="M40:P40"/>
    <mergeCell ref="M42:P42"/>
    <mergeCell ref="S116:V118"/>
    <mergeCell ref="I119:L119"/>
    <mergeCell ref="S119:V119"/>
    <mergeCell ref="K121:T121"/>
    <mergeCell ref="H122:X127"/>
    <mergeCell ref="L84:M84"/>
    <mergeCell ref="S85:V98"/>
    <mergeCell ref="J225:L225"/>
    <mergeCell ref="J227:L227"/>
    <mergeCell ref="J212:L212"/>
    <mergeCell ref="D219:W219"/>
    <mergeCell ref="C182:I183"/>
    <mergeCell ref="J188:L188"/>
    <mergeCell ref="U188:V188"/>
    <mergeCell ref="J190:L190"/>
    <mergeCell ref="U190:V190"/>
    <mergeCell ref="J192:L192"/>
    <mergeCell ref="U192:V192"/>
    <mergeCell ref="J182:L182"/>
    <mergeCell ref="U182:V182"/>
    <mergeCell ref="J184:L184"/>
    <mergeCell ref="U184:V184"/>
    <mergeCell ref="J186:L186"/>
    <mergeCell ref="U186:V186"/>
    <mergeCell ref="U671:V671"/>
    <mergeCell ref="J7:U8"/>
    <mergeCell ref="J9:U10"/>
    <mergeCell ref="J11:U12"/>
    <mergeCell ref="J13:U14"/>
    <mergeCell ref="U522:V522"/>
    <mergeCell ref="J522:L522"/>
    <mergeCell ref="U534:V534"/>
    <mergeCell ref="U504:V504"/>
    <mergeCell ref="D502:W502"/>
    <mergeCell ref="J508:L508"/>
    <mergeCell ref="J510:L510"/>
    <mergeCell ref="U510:V510"/>
    <mergeCell ref="J512:L512"/>
    <mergeCell ref="U512:V512"/>
    <mergeCell ref="J514:L514"/>
    <mergeCell ref="U506:V506"/>
    <mergeCell ref="U508:V508"/>
    <mergeCell ref="U514:V514"/>
    <mergeCell ref="D421:I422"/>
    <mergeCell ref="D425:I426"/>
    <mergeCell ref="T198:T199"/>
    <mergeCell ref="J200:L200"/>
    <mergeCell ref="U200:V200"/>
    <mergeCell ref="D673:I673"/>
    <mergeCell ref="D671:I671"/>
    <mergeCell ref="D669:I669"/>
    <mergeCell ref="D665:I665"/>
    <mergeCell ref="D663:I663"/>
    <mergeCell ref="D661:I661"/>
    <mergeCell ref="D659:I659"/>
    <mergeCell ref="J671:L671"/>
    <mergeCell ref="J673:L673"/>
    <mergeCell ref="D667:I668"/>
    <mergeCell ref="J663:L663"/>
    <mergeCell ref="J667:L667"/>
    <mergeCell ref="D651:I651"/>
    <mergeCell ref="O671:T671"/>
    <mergeCell ref="O669:T669"/>
    <mergeCell ref="O667:T667"/>
    <mergeCell ref="O665:T665"/>
    <mergeCell ref="O663:T663"/>
    <mergeCell ref="O661:T661"/>
    <mergeCell ref="O659:T659"/>
    <mergeCell ref="O579:T579"/>
    <mergeCell ref="D653:I653"/>
    <mergeCell ref="O645:T645"/>
    <mergeCell ref="O649:T649"/>
    <mergeCell ref="O651:T651"/>
    <mergeCell ref="O653:T653"/>
    <mergeCell ref="D610:I610"/>
    <mergeCell ref="D612:I612"/>
    <mergeCell ref="D620:I620"/>
    <mergeCell ref="D622:I622"/>
    <mergeCell ref="D624:I624"/>
    <mergeCell ref="D626:I626"/>
    <mergeCell ref="D634:I634"/>
    <mergeCell ref="D636:I636"/>
    <mergeCell ref="O612:T612"/>
    <mergeCell ref="J579:L579"/>
    <mergeCell ref="D562:I562"/>
    <mergeCell ref="D564:I564"/>
    <mergeCell ref="O552:T552"/>
    <mergeCell ref="O562:T562"/>
    <mergeCell ref="O564:T564"/>
    <mergeCell ref="D534:I534"/>
    <mergeCell ref="D536:I536"/>
    <mergeCell ref="O534:T534"/>
    <mergeCell ref="O536:T536"/>
    <mergeCell ref="J554:L554"/>
    <mergeCell ref="J556:L556"/>
    <mergeCell ref="D579:I579"/>
    <mergeCell ref="J581:L581"/>
    <mergeCell ref="O504:T504"/>
    <mergeCell ref="O506:T506"/>
    <mergeCell ref="O508:T508"/>
    <mergeCell ref="O510:T510"/>
    <mergeCell ref="O512:T512"/>
    <mergeCell ref="O514:T514"/>
    <mergeCell ref="D512:I512"/>
    <mergeCell ref="D514:I514"/>
    <mergeCell ref="E549:V550"/>
    <mergeCell ref="E572:V573"/>
    <mergeCell ref="O575:T576"/>
    <mergeCell ref="D524:I524"/>
    <mergeCell ref="D526:I526"/>
    <mergeCell ref="D528:I528"/>
    <mergeCell ref="J577:L577"/>
    <mergeCell ref="O520:T520"/>
    <mergeCell ref="O522:T522"/>
    <mergeCell ref="O524:T524"/>
    <mergeCell ref="O526:T526"/>
    <mergeCell ref="D577:I577"/>
    <mergeCell ref="D554:I554"/>
    <mergeCell ref="D556:I556"/>
    <mergeCell ref="J464:L464"/>
    <mergeCell ref="D494:I494"/>
    <mergeCell ref="D498:I498"/>
    <mergeCell ref="O488:T488"/>
    <mergeCell ref="O492:T492"/>
    <mergeCell ref="O494:T494"/>
    <mergeCell ref="J490:L490"/>
    <mergeCell ref="J492:L492"/>
    <mergeCell ref="D508:I508"/>
    <mergeCell ref="J478:L478"/>
    <mergeCell ref="J472:L472"/>
    <mergeCell ref="D492:I492"/>
    <mergeCell ref="D496:I496"/>
    <mergeCell ref="J496:L496"/>
    <mergeCell ref="O460:T460"/>
    <mergeCell ref="O464:T464"/>
    <mergeCell ref="O466:T466"/>
    <mergeCell ref="O468:T468"/>
    <mergeCell ref="O470:T470"/>
    <mergeCell ref="O472:T472"/>
    <mergeCell ref="O474:T474"/>
    <mergeCell ref="O476:T476"/>
    <mergeCell ref="O478:T478"/>
    <mergeCell ref="D441:I441"/>
    <mergeCell ref="D464:I464"/>
    <mergeCell ref="D466:I466"/>
    <mergeCell ref="D470:I470"/>
    <mergeCell ref="D472:I472"/>
    <mergeCell ref="D474:I474"/>
    <mergeCell ref="D476:I476"/>
    <mergeCell ref="J415:L415"/>
    <mergeCell ref="U415:V415"/>
    <mergeCell ref="D415:I415"/>
    <mergeCell ref="O415:T415"/>
    <mergeCell ref="U417:V417"/>
    <mergeCell ref="J419:L419"/>
    <mergeCell ref="U419:V419"/>
    <mergeCell ref="J421:L421"/>
    <mergeCell ref="U421:V421"/>
    <mergeCell ref="J423:L423"/>
    <mergeCell ref="U423:V423"/>
    <mergeCell ref="O417:T417"/>
    <mergeCell ref="O419:T419"/>
    <mergeCell ref="O421:T421"/>
    <mergeCell ref="J462:L462"/>
    <mergeCell ref="U460:V460"/>
    <mergeCell ref="D431:I432"/>
    <mergeCell ref="D429:I429"/>
    <mergeCell ref="D433:I433"/>
    <mergeCell ref="D439:I439"/>
    <mergeCell ref="D393:W393"/>
    <mergeCell ref="J395:L395"/>
    <mergeCell ref="U395:V395"/>
    <mergeCell ref="J397:L397"/>
    <mergeCell ref="U397:V397"/>
    <mergeCell ref="J399:L399"/>
    <mergeCell ref="U399:V399"/>
    <mergeCell ref="D403:W403"/>
    <mergeCell ref="J405:L405"/>
    <mergeCell ref="U405:V405"/>
    <mergeCell ref="D407:I408"/>
    <mergeCell ref="D413:I413"/>
    <mergeCell ref="O413:T413"/>
    <mergeCell ref="D405:I405"/>
    <mergeCell ref="O397:T397"/>
    <mergeCell ref="O399:T399"/>
    <mergeCell ref="U407:V407"/>
    <mergeCell ref="J425:L425"/>
    <mergeCell ref="D411:W411"/>
    <mergeCell ref="J413:L413"/>
    <mergeCell ref="J407:L407"/>
    <mergeCell ref="O321:T321"/>
    <mergeCell ref="O325:T325"/>
    <mergeCell ref="D337:I337"/>
    <mergeCell ref="D339:I339"/>
    <mergeCell ref="D343:I343"/>
    <mergeCell ref="D345:I345"/>
    <mergeCell ref="J345:L345"/>
    <mergeCell ref="D347:I347"/>
    <mergeCell ref="D349:I349"/>
    <mergeCell ref="J347:L347"/>
    <mergeCell ref="D298:I298"/>
    <mergeCell ref="D300:I300"/>
    <mergeCell ref="O298:T298"/>
    <mergeCell ref="D341:I341"/>
    <mergeCell ref="D302:I303"/>
    <mergeCell ref="D272:I272"/>
    <mergeCell ref="D274:I274"/>
    <mergeCell ref="O274:T274"/>
    <mergeCell ref="O221:T221"/>
    <mergeCell ref="O241:T241"/>
    <mergeCell ref="D223:I223"/>
    <mergeCell ref="D225:I225"/>
    <mergeCell ref="D227:I227"/>
    <mergeCell ref="D229:I229"/>
    <mergeCell ref="D231:I231"/>
    <mergeCell ref="D233:I233"/>
    <mergeCell ref="D235:I235"/>
    <mergeCell ref="D239:I239"/>
    <mergeCell ref="D241:I241"/>
    <mergeCell ref="D255:I255"/>
    <mergeCell ref="J255:L255"/>
    <mergeCell ref="D257:I257"/>
    <mergeCell ref="J257:L257"/>
    <mergeCell ref="D259:I259"/>
    <mergeCell ref="J259:L259"/>
    <mergeCell ref="D261:I261"/>
    <mergeCell ref="J261:L261"/>
    <mergeCell ref="D263:I264"/>
    <mergeCell ref="J263:L263"/>
    <mergeCell ref="C280:X280"/>
    <mergeCell ref="J233:L233"/>
    <mergeCell ref="J235:L235"/>
    <mergeCell ref="J237:L237"/>
    <mergeCell ref="J239:L239"/>
    <mergeCell ref="J241:L241"/>
    <mergeCell ref="D237:I238"/>
    <mergeCell ref="D245:W245"/>
    <mergeCell ref="O247:T247"/>
    <mergeCell ref="U247:V247"/>
    <mergeCell ref="D249:I249"/>
    <mergeCell ref="J249:L249"/>
    <mergeCell ref="D251:I251"/>
    <mergeCell ref="J251:L251"/>
    <mergeCell ref="D253:I253"/>
    <mergeCell ref="J253:L253"/>
    <mergeCell ref="D265:I265"/>
    <mergeCell ref="J265:L265"/>
    <mergeCell ref="D267:I267"/>
    <mergeCell ref="O182:T182"/>
    <mergeCell ref="O184:T184"/>
    <mergeCell ref="O188:T188"/>
    <mergeCell ref="O190:T190"/>
    <mergeCell ref="O192:T192"/>
    <mergeCell ref="O194:T194"/>
    <mergeCell ref="O200:T200"/>
    <mergeCell ref="J204:L204"/>
    <mergeCell ref="J208:L208"/>
    <mergeCell ref="J194:L194"/>
    <mergeCell ref="D170:I170"/>
    <mergeCell ref="D172:I172"/>
    <mergeCell ref="D174:I174"/>
    <mergeCell ref="O164:T164"/>
    <mergeCell ref="O166:T166"/>
    <mergeCell ref="O168:T168"/>
    <mergeCell ref="O170:T170"/>
    <mergeCell ref="O172:T172"/>
    <mergeCell ref="O174:T174"/>
    <mergeCell ref="U144:V144"/>
    <mergeCell ref="O132:T132"/>
    <mergeCell ref="U146:V146"/>
    <mergeCell ref="J148:L148"/>
    <mergeCell ref="U148:V148"/>
    <mergeCell ref="D130:W130"/>
    <mergeCell ref="J132:L132"/>
    <mergeCell ref="U132:V132"/>
    <mergeCell ref="J134:L134"/>
    <mergeCell ref="D138:W138"/>
    <mergeCell ref="U140:V140"/>
    <mergeCell ref="D142:I142"/>
    <mergeCell ref="D148:I148"/>
    <mergeCell ref="Y48:AA54"/>
    <mergeCell ref="K15:R16"/>
    <mergeCell ref="D150:I150"/>
    <mergeCell ref="D152:I152"/>
    <mergeCell ref="D154:I154"/>
    <mergeCell ref="D156:I156"/>
    <mergeCell ref="D158:I158"/>
    <mergeCell ref="O140:T140"/>
    <mergeCell ref="O144:T144"/>
    <mergeCell ref="O146:T146"/>
    <mergeCell ref="O148:T148"/>
    <mergeCell ref="O150:T150"/>
    <mergeCell ref="O152:T152"/>
    <mergeCell ref="O154:T154"/>
    <mergeCell ref="O156:T156"/>
    <mergeCell ref="O158:T158"/>
    <mergeCell ref="J146:L146"/>
    <mergeCell ref="J156:L156"/>
    <mergeCell ref="M22:P22"/>
    <mergeCell ref="M24:P24"/>
    <mergeCell ref="M26:P26"/>
    <mergeCell ref="M28:P28"/>
    <mergeCell ref="M30:P30"/>
    <mergeCell ref="M90:P90"/>
    <mergeCell ref="J267:L267"/>
    <mergeCell ref="O267:T267"/>
    <mergeCell ref="U267:V267"/>
    <mergeCell ref="J693:L693"/>
    <mergeCell ref="D693:I693"/>
    <mergeCell ref="U691:V691"/>
    <mergeCell ref="O691:T691"/>
    <mergeCell ref="J691:L691"/>
    <mergeCell ref="D691:I691"/>
    <mergeCell ref="U689:V689"/>
    <mergeCell ref="O689:T689"/>
    <mergeCell ref="J689:L689"/>
    <mergeCell ref="D689:I689"/>
    <mergeCell ref="D687:I688"/>
    <mergeCell ref="U687:V687"/>
    <mergeCell ref="O687:T687"/>
    <mergeCell ref="J687:L687"/>
    <mergeCell ref="U685:V685"/>
    <mergeCell ref="O685:T685"/>
    <mergeCell ref="J685:L685"/>
    <mergeCell ref="D685:I685"/>
    <mergeCell ref="U683:V683"/>
    <mergeCell ref="O683:T683"/>
    <mergeCell ref="J683:L683"/>
    <mergeCell ref="D683:I683"/>
    <mergeCell ref="U681:V681"/>
    <mergeCell ref="O681:T681"/>
    <mergeCell ref="J681:L681"/>
    <mergeCell ref="D681:I681"/>
    <mergeCell ref="U679:V679"/>
    <mergeCell ref="O679:T679"/>
    <mergeCell ref="J679:L679"/>
    <mergeCell ref="D679:I679"/>
    <mergeCell ref="D677:W677"/>
    <mergeCell ref="D364:W364"/>
    <mergeCell ref="D366:I366"/>
    <mergeCell ref="J366:L366"/>
    <mergeCell ref="O366:T366"/>
    <mergeCell ref="U366:V366"/>
    <mergeCell ref="D368:I368"/>
    <mergeCell ref="J368:L368"/>
    <mergeCell ref="D372:I372"/>
    <mergeCell ref="J372:L372"/>
    <mergeCell ref="O372:T372"/>
    <mergeCell ref="U372:V372"/>
    <mergeCell ref="D374:I374"/>
    <mergeCell ref="J374:L374"/>
    <mergeCell ref="O374:T374"/>
    <mergeCell ref="U374:V374"/>
    <mergeCell ref="D376:I376"/>
    <mergeCell ref="J376:L376"/>
    <mergeCell ref="O376:T376"/>
    <mergeCell ref="U376:V376"/>
    <mergeCell ref="D378:I378"/>
    <mergeCell ref="J378:L378"/>
    <mergeCell ref="D419:I419"/>
    <mergeCell ref="D423:I423"/>
    <mergeCell ref="J441:L443"/>
    <mergeCell ref="D462:I462"/>
    <mergeCell ref="J447:L447"/>
    <mergeCell ref="J449:L449"/>
    <mergeCell ref="D458:W458"/>
    <mergeCell ref="D370:I370"/>
    <mergeCell ref="D380:I380"/>
    <mergeCell ref="O343:T343"/>
    <mergeCell ref="O345:T345"/>
    <mergeCell ref="O347:T347"/>
    <mergeCell ref="O355:T355"/>
    <mergeCell ref="O357:T357"/>
    <mergeCell ref="U345:V345"/>
    <mergeCell ref="U357:V357"/>
    <mergeCell ref="D351:I351"/>
    <mergeCell ref="C435:I436"/>
    <mergeCell ref="C437:I438"/>
    <mergeCell ref="C453:I454"/>
    <mergeCell ref="D447:I447"/>
    <mergeCell ref="D449:I449"/>
    <mergeCell ref="O435:T436"/>
    <mergeCell ref="O433:T433"/>
    <mergeCell ref="D353:I353"/>
    <mergeCell ref="D427:I427"/>
  </mergeCells>
  <conditionalFormatting sqref="O72">
    <cfRule type="cellIs" dxfId="64" priority="13" stopIfTrue="1" operator="greaterThan">
      <formula>0.99</formula>
    </cfRule>
    <cfRule type="cellIs" dxfId="63" priority="14" operator="between">
      <formula>0.75</formula>
      <formula>1</formula>
    </cfRule>
  </conditionalFormatting>
  <conditionalFormatting sqref="O92:P92 O94:P94 O100:P100 O102:P102">
    <cfRule type="expression" dxfId="62" priority="16">
      <formula>$O$102=0</formula>
    </cfRule>
  </conditionalFormatting>
  <conditionalFormatting sqref="M88 M91:M100">
    <cfRule type="expression" dxfId="61" priority="15">
      <formula>$O$100=0</formula>
    </cfRule>
  </conditionalFormatting>
  <conditionalFormatting sqref="M102">
    <cfRule type="expression" dxfId="60" priority="12">
      <formula>$O$100=0</formula>
    </cfRule>
  </conditionalFormatting>
  <conditionalFormatting sqref="Y48:AA54">
    <cfRule type="expression" dxfId="59" priority="11">
      <formula>$Y$46=0</formula>
    </cfRule>
  </conditionalFormatting>
  <conditionalFormatting sqref="L90:P90">
    <cfRule type="expression" dxfId="58" priority="7">
      <formula>$O$100&gt;0</formula>
    </cfRule>
  </conditionalFormatting>
  <conditionalFormatting sqref="L90">
    <cfRule type="expression" dxfId="57" priority="6">
      <formula>$O$100=0</formula>
    </cfRule>
  </conditionalFormatting>
  <conditionalFormatting sqref="M90:P90">
    <cfRule type="expression" dxfId="56" priority="5">
      <formula>$O$100&gt;0</formula>
    </cfRule>
  </conditionalFormatting>
  <conditionalFormatting sqref="O88">
    <cfRule type="expression" dxfId="55" priority="3">
      <formula>$O$100=0</formula>
    </cfRule>
  </conditionalFormatting>
  <conditionalFormatting sqref="C363:X390">
    <cfRule type="expression" dxfId="54" priority="2">
      <formula>$U$687=0</formula>
    </cfRule>
  </conditionalFormatting>
  <conditionalFormatting sqref="C244:X268">
    <cfRule type="expression" dxfId="53" priority="1">
      <formula>$U$687=0</formula>
    </cfRule>
  </conditionalFormatting>
  <dataValidations count="5">
    <dataValidation type="list" allowBlank="1" showInputMessage="1" showErrorMessage="1" sqref="J298 N298">
      <formula1>EME</formula1>
    </dataValidation>
    <dataValidation type="list" allowBlank="1" showInputMessage="1" showErrorMessage="1" sqref="N300 U298">
      <formula1>QC</formula1>
    </dataValidation>
    <dataValidation type="list" allowBlank="1" showInputMessage="1" showErrorMessage="1" sqref="N612 N415">
      <formula1>$F$281:$F$292</formula1>
    </dataValidation>
    <dataValidation type="list" allowBlank="1" showInputMessage="1" showErrorMessage="1" sqref="M26:P26 M24:P24">
      <formula1>_EME</formula1>
    </dataValidation>
    <dataValidation type="list" allowBlank="1" showInputMessage="1" showErrorMessage="1" sqref="N114">
      <formula1>"Yes, No"</formula1>
    </dataValidation>
  </dataValidations>
  <printOptions horizontalCentered="1"/>
  <pageMargins left="0.25" right="0.25" top="0.25" bottom="0.25" header="0.3" footer="0.3"/>
  <pageSetup scale="54" fitToHeight="0" orientation="portrait" r:id="rId1"/>
  <rowBreaks count="2" manualBreakCount="2">
    <brk id="119" max="16383" man="1"/>
    <brk id="21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Normal="100" workbookViewId="0">
      <pane ySplit="17" topLeftCell="A420" activePane="bottomLeft" state="frozen"/>
      <selection pane="bottomLeft" activeCell="U583" sqref="U583:V583"/>
    </sheetView>
  </sheetViews>
  <sheetFormatPr defaultColWidth="9.125" defaultRowHeight="14.3"/>
  <cols>
    <col min="1" max="1" width="4.125" customWidth="1"/>
    <col min="2" max="2" width="1.625" hidden="1" customWidth="1"/>
    <col min="3" max="8" width="2.875" customWidth="1"/>
    <col min="9" max="9" width="5.625" customWidth="1"/>
    <col min="10" max="10" width="30.625" customWidth="1"/>
    <col min="11" max="11" width="1.375" customWidth="1"/>
    <col min="12" max="12" width="20.625" customWidth="1"/>
    <col min="13" max="13" width="10.625" customWidth="1"/>
    <col min="14" max="14" width="1.375" customWidth="1"/>
    <col min="15" max="16" width="8.625" customWidth="1"/>
    <col min="17" max="17" width="4.625" customWidth="1"/>
    <col min="18" max="18" width="1.375" customWidth="1"/>
    <col min="19" max="19" width="2.875" customWidth="1"/>
    <col min="20" max="20" width="1.375" customWidth="1"/>
    <col min="21" max="21" width="27.875" customWidth="1"/>
    <col min="22" max="22" width="30.625" customWidth="1"/>
    <col min="23" max="23" width="1.375" customWidth="1"/>
    <col min="24" max="24" width="1.625" customWidth="1"/>
    <col min="27" max="27" width="15.625" customWidth="1"/>
    <col min="39" max="39" width="16.375" customWidth="1"/>
    <col min="40" max="40" width="2.625" customWidth="1"/>
    <col min="41" max="41" width="16.375" customWidth="1"/>
    <col min="42" max="42" width="2.625" customWidth="1"/>
    <col min="43" max="43" width="16.375" customWidth="1"/>
    <col min="44" max="44" width="2.625" customWidth="1"/>
    <col min="45" max="45" width="16.375" customWidth="1"/>
    <col min="46" max="46" width="2.625" customWidth="1"/>
    <col min="47" max="47" width="16.375" customWidth="1"/>
    <col min="48" max="48" width="2.625" customWidth="1"/>
    <col min="49" max="49" width="16.375" customWidth="1"/>
    <col min="50" max="50" width="6.875" customWidth="1"/>
    <col min="51" max="51" width="16.375" customWidth="1"/>
    <col min="52" max="52" width="2.625" customWidth="1"/>
    <col min="53" max="53" width="16.375" customWidth="1"/>
    <col min="54" max="54" width="2.625" customWidth="1"/>
    <col min="55" max="55" width="16.375" customWidth="1"/>
    <col min="57" max="57" width="16.375" customWidth="1"/>
  </cols>
  <sheetData>
    <row r="1" spans="10:28" ht="5.0999999999999996" customHeight="1"/>
    <row r="3" spans="10:28" ht="5.0999999999999996" customHeight="1"/>
    <row r="5" spans="10:28" ht="5.0999999999999996" customHeight="1"/>
    <row r="7" spans="10:28" ht="5.0999999999999996" customHeight="1">
      <c r="J7" s="1438" t="s">
        <v>640</v>
      </c>
      <c r="K7" s="1438"/>
      <c r="L7" s="1438"/>
      <c r="M7" s="1438"/>
      <c r="N7" s="1438"/>
      <c r="O7" s="1438"/>
      <c r="P7" s="1438"/>
      <c r="Q7" s="1438"/>
      <c r="R7" s="1438"/>
      <c r="S7" s="1438"/>
      <c r="T7" s="1438"/>
      <c r="U7" s="1438"/>
    </row>
    <row r="8" spans="10:28" ht="14.45" customHeight="1">
      <c r="J8" s="1438"/>
      <c r="K8" s="1438"/>
      <c r="L8" s="1438"/>
      <c r="M8" s="1438"/>
      <c r="N8" s="1438"/>
      <c r="O8" s="1438"/>
      <c r="P8" s="1438"/>
      <c r="Q8" s="1438"/>
      <c r="R8" s="1438"/>
      <c r="S8" s="1438"/>
      <c r="T8" s="1438"/>
      <c r="U8" s="1438"/>
      <c r="V8" s="16"/>
      <c r="W8" s="16"/>
      <c r="X8" s="16"/>
      <c r="Y8" s="16"/>
      <c r="Z8" s="16"/>
      <c r="AA8" s="16"/>
      <c r="AB8" s="16"/>
    </row>
    <row r="9" spans="10:28" ht="5.0999999999999996" customHeight="1">
      <c r="J9" s="1439" t="str">
        <f>Lookup!$B$20</f>
        <v>Business Lighting ─ STANDARD V24-02 ─ Valid through 06/30/2024</v>
      </c>
      <c r="K9" s="1439"/>
      <c r="L9" s="1439"/>
      <c r="M9" s="1439"/>
      <c r="N9" s="1439"/>
      <c r="O9" s="1439"/>
      <c r="P9" s="1439"/>
      <c r="Q9" s="1439"/>
      <c r="R9" s="1439"/>
      <c r="S9" s="1439"/>
      <c r="T9" s="1439"/>
      <c r="U9" s="1439"/>
      <c r="V9" s="428"/>
      <c r="W9" s="428"/>
      <c r="X9" s="428"/>
      <c r="Y9" s="428"/>
      <c r="Z9" s="428"/>
      <c r="AA9" s="1396"/>
      <c r="AB9" s="1396"/>
    </row>
    <row r="10" spans="10:28" ht="14.45" customHeight="1">
      <c r="J10" s="1439"/>
      <c r="K10" s="1439"/>
      <c r="L10" s="1439"/>
      <c r="M10" s="1439"/>
      <c r="N10" s="1439"/>
      <c r="O10" s="1439"/>
      <c r="P10" s="1439"/>
      <c r="Q10" s="1439"/>
      <c r="R10" s="1439"/>
      <c r="S10" s="1439"/>
      <c r="T10" s="1439"/>
      <c r="U10" s="1439"/>
      <c r="V10" s="87"/>
      <c r="W10" s="87"/>
      <c r="X10" s="87"/>
      <c r="Y10" s="87"/>
      <c r="Z10" s="87"/>
      <c r="AA10" s="87"/>
      <c r="AB10" s="87"/>
    </row>
    <row r="11" spans="10:28" ht="5.0999999999999996" customHeight="1">
      <c r="J11" s="1449" t="str">
        <f>CONCATENATE("This is a ",Lookup!B16," lighting project")</f>
        <v>This is a RETROFIT lighting project</v>
      </c>
      <c r="K11" s="1449"/>
      <c r="L11" s="1449"/>
      <c r="M11" s="1449"/>
      <c r="N11" s="1449"/>
      <c r="O11" s="1449"/>
      <c r="P11" s="1449"/>
      <c r="Q11" s="1449"/>
      <c r="R11" s="1449"/>
      <c r="S11" s="1449"/>
      <c r="T11" s="1449"/>
      <c r="U11" s="1449"/>
      <c r="V11" s="87"/>
      <c r="W11" s="435"/>
      <c r="X11" s="435"/>
      <c r="Y11" s="435"/>
      <c r="Z11" s="435"/>
      <c r="AA11" s="1396"/>
      <c r="AB11" s="1396"/>
    </row>
    <row r="12" spans="10:28">
      <c r="J12" s="1449"/>
      <c r="K12" s="1449"/>
      <c r="L12" s="1449"/>
      <c r="M12" s="1449"/>
      <c r="N12" s="1449"/>
      <c r="O12" s="1449"/>
      <c r="P12" s="1449"/>
      <c r="Q12" s="1449"/>
      <c r="R12" s="1449"/>
      <c r="S12" s="1449"/>
      <c r="T12" s="1449"/>
      <c r="U12" s="1449"/>
      <c r="V12" s="336"/>
      <c r="W12" s="336"/>
      <c r="X12" s="336"/>
      <c r="Y12" s="336"/>
      <c r="Z12" s="336"/>
      <c r="AA12" s="336"/>
      <c r="AB12" s="336"/>
    </row>
    <row r="13" spans="10:28" ht="5.0999999999999996" customHeight="1">
      <c r="J13" s="1440" t="str">
        <f>Project!K13</f>
        <v>PSE Approval is required before the retrofit is started!</v>
      </c>
      <c r="K13" s="1440"/>
      <c r="L13" s="1440"/>
      <c r="M13" s="1440"/>
      <c r="N13" s="1440"/>
      <c r="O13" s="1440"/>
      <c r="P13" s="1440"/>
      <c r="Q13" s="1440"/>
      <c r="R13" s="1440"/>
      <c r="S13" s="1440"/>
      <c r="T13" s="1440"/>
      <c r="U13" s="1440"/>
      <c r="V13" s="16"/>
      <c r="W13" s="16"/>
      <c r="X13" s="1396"/>
      <c r="Y13" s="1396"/>
      <c r="Z13" s="1396"/>
      <c r="AA13" s="1396"/>
      <c r="AB13" s="1396"/>
    </row>
    <row r="14" spans="10:28" ht="14.45" customHeight="1">
      <c r="J14" s="1440"/>
      <c r="K14" s="1440"/>
      <c r="L14" s="1440"/>
      <c r="M14" s="1440"/>
      <c r="N14" s="1440"/>
      <c r="O14" s="1440"/>
      <c r="P14" s="1440"/>
      <c r="Q14" s="1440"/>
      <c r="R14" s="1440"/>
      <c r="S14" s="1440"/>
      <c r="T14" s="1440"/>
      <c r="U14" s="1440"/>
      <c r="V14" s="88"/>
      <c r="W14" s="88"/>
      <c r="X14" s="88"/>
      <c r="Y14" s="88"/>
      <c r="Z14" s="88"/>
      <c r="AA14" s="88"/>
      <c r="AB14" s="88"/>
    </row>
    <row r="15" spans="10:28" ht="5.0999999999999996" customHeight="1"/>
    <row r="18" spans="1:34" s="38" customFormat="1" ht="2.4" customHeight="1">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c r="W18" s="1877"/>
      <c r="X18" s="1877"/>
    </row>
    <row r="19" spans="1:34" ht="20.05" customHeight="1">
      <c r="B19" s="266"/>
      <c r="C19" s="266"/>
      <c r="D19" s="266"/>
      <c r="E19" s="615" t="s">
        <v>820</v>
      </c>
      <c r="F19" s="266"/>
      <c r="G19" s="266"/>
      <c r="H19" s="266"/>
      <c r="I19" s="266"/>
      <c r="J19" s="266"/>
      <c r="K19" s="266"/>
      <c r="L19" s="266"/>
      <c r="M19" s="266"/>
      <c r="N19" s="266"/>
      <c r="O19" s="266"/>
      <c r="P19" s="266"/>
      <c r="Q19" s="266"/>
      <c r="R19" s="266"/>
      <c r="S19" s="266"/>
      <c r="T19" s="266"/>
      <c r="U19" s="266"/>
      <c r="V19" s="266"/>
      <c r="W19" s="266"/>
      <c r="X19" s="266"/>
    </row>
    <row r="20" spans="1:34" ht="19.05">
      <c r="B20" s="2625"/>
      <c r="C20" s="266"/>
      <c r="D20" s="267"/>
      <c r="F20" s="731"/>
      <c r="G20" s="731"/>
      <c r="H20" s="731"/>
      <c r="I20" s="731"/>
      <c r="J20" s="731"/>
      <c r="K20" s="732"/>
      <c r="L20" s="732"/>
      <c r="M20" s="732"/>
      <c r="N20" s="733"/>
      <c r="O20" s="268"/>
      <c r="P20" s="267"/>
      <c r="Q20" s="267"/>
      <c r="R20" s="273" t="str">
        <f>'Grant QC Review'!R20</f>
        <v>"Original" or "Revised" grant?</v>
      </c>
      <c r="S20" s="268"/>
      <c r="T20" s="267"/>
      <c r="U20" s="267"/>
      <c r="V20" s="267"/>
      <c r="W20" s="267"/>
      <c r="X20" s="266"/>
    </row>
    <row r="21" spans="1:34" ht="7.5" customHeight="1">
      <c r="B21" s="2625"/>
      <c r="C21" s="162"/>
      <c r="D21" s="269"/>
      <c r="E21" s="269"/>
      <c r="F21" s="269"/>
      <c r="G21" s="269"/>
      <c r="H21" s="269"/>
      <c r="I21" s="269"/>
      <c r="J21" s="270"/>
      <c r="K21" s="267"/>
      <c r="L21" s="269"/>
      <c r="N21" s="267"/>
      <c r="O21" s="267"/>
      <c r="P21" s="267"/>
      <c r="Q21" s="267"/>
      <c r="R21" s="267"/>
      <c r="S21" s="272"/>
      <c r="T21" s="267"/>
      <c r="U21" s="275"/>
      <c r="V21" s="267"/>
      <c r="W21" s="267"/>
      <c r="X21" s="266"/>
      <c r="Z21" s="88"/>
      <c r="AA21" s="88"/>
      <c r="AB21" s="88"/>
      <c r="AC21" s="88"/>
      <c r="AD21" s="88"/>
      <c r="AE21" s="88"/>
      <c r="AF21" s="88"/>
      <c r="AG21" s="88"/>
      <c r="AH21" s="88"/>
    </row>
    <row r="22" spans="1:34" ht="14.95" customHeight="1">
      <c r="B22" s="2625"/>
      <c r="D22" s="269"/>
      <c r="I22" s="614" t="s">
        <v>822</v>
      </c>
      <c r="J22" s="442">
        <f>'Grant QC Review'!J22</f>
        <v>0</v>
      </c>
      <c r="L22" s="271" t="s">
        <v>823</v>
      </c>
      <c r="M22" s="2353">
        <f>'Grant QC Review'!M22</f>
        <v>0</v>
      </c>
      <c r="N22" s="2353"/>
      <c r="O22" s="2353"/>
      <c r="P22" s="2354"/>
      <c r="Q22" s="268"/>
      <c r="S22" s="914" t="str">
        <f>IF('Grant QC Review'!S22="","",'Grant QC Review'!S22)</f>
        <v/>
      </c>
      <c r="T22" s="273"/>
      <c r="U22" s="277" t="s">
        <v>824</v>
      </c>
      <c r="V22" s="268"/>
      <c r="W22" s="268"/>
      <c r="X22" s="154"/>
    </row>
    <row r="23" spans="1:34" ht="7.5" customHeight="1">
      <c r="B23" s="2625"/>
      <c r="C23" s="162"/>
      <c r="D23" s="269"/>
      <c r="E23" s="269"/>
      <c r="F23" s="269"/>
      <c r="G23" s="269"/>
      <c r="H23" s="269"/>
      <c r="I23" s="269"/>
      <c r="J23" s="270"/>
      <c r="K23" s="267"/>
      <c r="L23" s="269"/>
      <c r="N23" s="267"/>
      <c r="O23" s="267"/>
      <c r="P23" s="267"/>
      <c r="Q23" s="267"/>
      <c r="R23" s="267"/>
      <c r="S23" s="272"/>
      <c r="T23" s="267"/>
      <c r="U23" s="275"/>
      <c r="V23" s="267"/>
      <c r="W23" s="267"/>
      <c r="X23" s="266"/>
      <c r="Z23" s="88"/>
      <c r="AA23" s="88"/>
      <c r="AB23" s="88"/>
      <c r="AC23" s="88"/>
      <c r="AD23" s="88"/>
      <c r="AE23" s="88"/>
      <c r="AF23" s="88"/>
      <c r="AG23" s="88"/>
      <c r="AH23" s="88"/>
    </row>
    <row r="24" spans="1:34" ht="15.8" customHeight="1">
      <c r="B24" s="2625"/>
      <c r="C24" s="162"/>
      <c r="D24" s="269"/>
      <c r="E24" s="269"/>
      <c r="F24" s="269"/>
      <c r="G24" s="269"/>
      <c r="H24" s="269"/>
      <c r="I24" s="271" t="s">
        <v>1078</v>
      </c>
      <c r="J24" s="442" t="str">
        <f>'Grant QC Review'!J24</f>
        <v>Business Lighting</v>
      </c>
      <c r="K24" s="272"/>
      <c r="L24" s="271" t="s">
        <v>826</v>
      </c>
      <c r="M24" s="2528">
        <f>'Grant QC Review'!M24</f>
        <v>0</v>
      </c>
      <c r="N24" s="2528"/>
      <c r="O24" s="2528"/>
      <c r="P24" s="2529"/>
      <c r="Q24" s="272"/>
      <c r="S24" s="914" t="str">
        <f>IF('Grant QC Review'!S24="","",'Grant QC Review'!S24)</f>
        <v/>
      </c>
      <c r="T24" s="276"/>
      <c r="U24" s="277" t="s">
        <v>827</v>
      </c>
      <c r="V24" s="273"/>
      <c r="W24" s="272"/>
      <c r="Z24" s="88"/>
      <c r="AA24" s="88"/>
      <c r="AB24" s="88"/>
      <c r="AC24" s="88"/>
      <c r="AD24" s="88"/>
      <c r="AE24" s="88"/>
      <c r="AF24" s="88"/>
      <c r="AG24" s="88"/>
      <c r="AH24" s="88"/>
    </row>
    <row r="25" spans="1:34" ht="7.5" customHeight="1">
      <c r="B25" s="2625"/>
      <c r="C25" s="162"/>
      <c r="D25" s="269"/>
      <c r="E25" s="269"/>
      <c r="F25" s="269"/>
      <c r="G25" s="269"/>
      <c r="H25" s="269"/>
      <c r="I25" s="272"/>
      <c r="J25" s="274"/>
      <c r="K25" s="272"/>
      <c r="L25" s="269"/>
      <c r="M25" s="267"/>
      <c r="N25" s="267"/>
      <c r="O25" s="272"/>
      <c r="P25" s="272"/>
      <c r="Q25" s="272"/>
      <c r="R25" s="272"/>
      <c r="V25" s="272"/>
      <c r="W25" s="272"/>
    </row>
    <row r="26" spans="1:34" ht="15.8" customHeight="1">
      <c r="B26" s="2625"/>
      <c r="C26" s="162"/>
      <c r="D26" s="269"/>
      <c r="E26" s="269"/>
      <c r="F26" s="269"/>
      <c r="G26" s="269"/>
      <c r="H26" s="269"/>
      <c r="I26" s="271" t="s">
        <v>828</v>
      </c>
      <c r="J26" s="280" t="str">
        <f>'Grant QC Review'!J26</f>
        <v>RETROFIT</v>
      </c>
      <c r="K26" s="272"/>
      <c r="L26" s="271" t="s">
        <v>829</v>
      </c>
      <c r="M26" s="2528">
        <f>'Grant QC Review'!M26</f>
        <v>0</v>
      </c>
      <c r="N26" s="2528"/>
      <c r="O26" s="2528"/>
      <c r="P26" s="2529"/>
      <c r="Q26" s="272"/>
      <c r="R26" s="273" t="s">
        <v>1079</v>
      </c>
      <c r="V26" s="272"/>
      <c r="W26" s="272"/>
    </row>
    <row r="27" spans="1:34" ht="7.5" customHeight="1">
      <c r="B27" s="2625"/>
      <c r="C27" s="162"/>
      <c r="D27" s="269"/>
      <c r="E27" s="269"/>
      <c r="F27" s="269"/>
      <c r="G27" s="269"/>
      <c r="H27" s="269"/>
      <c r="I27" s="272"/>
      <c r="J27" s="274"/>
      <c r="K27" s="272"/>
      <c r="L27" s="269"/>
      <c r="M27" s="267"/>
      <c r="N27" s="267"/>
      <c r="O27" s="278"/>
      <c r="P27" s="278"/>
      <c r="Q27" s="278"/>
      <c r="R27" s="272"/>
      <c r="S27" s="267"/>
      <c r="T27" s="272"/>
      <c r="U27" s="279"/>
      <c r="V27" s="272"/>
      <c r="W27" s="272"/>
    </row>
    <row r="28" spans="1:34" ht="15.8" customHeight="1">
      <c r="B28" s="2625"/>
      <c r="C28" s="162"/>
      <c r="D28" s="269"/>
      <c r="E28" s="269"/>
      <c r="F28" s="269"/>
      <c r="G28" s="269"/>
      <c r="H28" s="269"/>
      <c r="I28" s="271" t="s">
        <v>831</v>
      </c>
      <c r="J28" s="280">
        <f>'Grant QC Review'!J28</f>
        <v>0</v>
      </c>
      <c r="K28" s="281"/>
      <c r="L28" s="271" t="s">
        <v>832</v>
      </c>
      <c r="M28" s="2530">
        <f>'Grant QC Review'!M28</f>
        <v>0</v>
      </c>
      <c r="N28" s="2530"/>
      <c r="O28" s="2530"/>
      <c r="P28" s="2531"/>
      <c r="Q28" s="272"/>
      <c r="S28" s="914" t="str">
        <f>IF('Grant QC Review'!S28="","",'Grant QC Review'!S28)</f>
        <v/>
      </c>
      <c r="T28" s="276"/>
      <c r="U28" s="277" t="s">
        <v>833</v>
      </c>
      <c r="V28" s="275"/>
      <c r="W28" s="272"/>
    </row>
    <row r="29" spans="1:34" ht="7.5" customHeight="1">
      <c r="B29" s="2625"/>
      <c r="C29" s="162"/>
      <c r="D29" s="269"/>
      <c r="E29" s="269"/>
      <c r="F29" s="269"/>
      <c r="G29" s="269"/>
      <c r="H29" s="269"/>
      <c r="I29" s="269"/>
      <c r="J29" s="278"/>
      <c r="K29" s="278"/>
      <c r="L29" s="272"/>
      <c r="M29" s="272"/>
      <c r="N29" s="272"/>
      <c r="O29" s="272"/>
      <c r="P29" s="272"/>
      <c r="Q29" s="272"/>
      <c r="R29" s="272"/>
      <c r="S29" s="267"/>
      <c r="T29" s="267"/>
      <c r="U29" s="277"/>
      <c r="V29" s="275"/>
      <c r="W29" s="272"/>
    </row>
    <row r="30" spans="1:34" ht="15.8" customHeight="1">
      <c r="B30" s="2625"/>
      <c r="C30" s="162"/>
      <c r="D30" s="269"/>
      <c r="E30" s="269"/>
      <c r="F30" s="269"/>
      <c r="G30" s="269"/>
      <c r="H30" s="269"/>
      <c r="I30" s="271" t="s">
        <v>834</v>
      </c>
      <c r="J30" s="959">
        <f>'Grant QC Review'!J30</f>
        <v>0</v>
      </c>
      <c r="K30" s="272"/>
      <c r="L30" s="271" t="s">
        <v>835</v>
      </c>
      <c r="M30" s="2530">
        <f>'Grant QC Review'!M30</f>
        <v>0</v>
      </c>
      <c r="N30" s="2530"/>
      <c r="O30" s="2530"/>
      <c r="P30" s="2531"/>
      <c r="Q30" s="272"/>
      <c r="S30" s="914" t="str">
        <f>IF('Grant QC Review'!S30="","",'Grant QC Review'!S30)</f>
        <v/>
      </c>
      <c r="T30" s="267"/>
      <c r="U30" s="277" t="s">
        <v>836</v>
      </c>
      <c r="V30" s="275"/>
      <c r="W30" s="272"/>
    </row>
    <row r="31" spans="1:34" ht="7.5" customHeight="1">
      <c r="B31" s="2625"/>
      <c r="C31" s="162"/>
      <c r="D31" s="269"/>
      <c r="E31" s="269"/>
      <c r="F31" s="269"/>
      <c r="G31" s="269"/>
      <c r="H31" s="269"/>
      <c r="I31" s="269"/>
      <c r="J31" s="274"/>
      <c r="K31" s="272"/>
      <c r="L31" s="269"/>
      <c r="M31" s="267"/>
      <c r="N31" s="267"/>
      <c r="O31" s="267"/>
      <c r="P31" s="267"/>
      <c r="Q31" s="267"/>
      <c r="R31" s="267"/>
      <c r="V31" s="267"/>
      <c r="W31" s="267"/>
      <c r="X31" s="282"/>
    </row>
    <row r="32" spans="1:34" ht="15.8" customHeight="1">
      <c r="B32" s="2625"/>
      <c r="C32" s="162"/>
      <c r="D32" s="269"/>
      <c r="E32" s="269"/>
      <c r="F32" s="269"/>
      <c r="G32" s="269"/>
      <c r="H32" s="269"/>
      <c r="I32" s="271" t="s">
        <v>837</v>
      </c>
      <c r="J32" s="442" t="str">
        <f>'Grant QC Review'!J32</f>
        <v/>
      </c>
      <c r="K32" s="272"/>
      <c r="L32" s="271" t="s">
        <v>838</v>
      </c>
      <c r="M32" s="2526">
        <f>'Grant QC Review'!M32</f>
        <v>0</v>
      </c>
      <c r="N32" s="2526"/>
      <c r="O32" s="2526"/>
      <c r="P32" s="2527"/>
      <c r="Q32" s="267"/>
      <c r="R32" s="267"/>
      <c r="S32" s="914" t="str">
        <f>IF('Grant QC Review'!S32="","",'Grant QC Review'!S32)</f>
        <v/>
      </c>
      <c r="U32" t="str">
        <f>'Grant QC Review'!U32</f>
        <v>LOA - Customer is Payee</v>
      </c>
      <c r="V32" s="275"/>
      <c r="W32" s="267"/>
      <c r="X32" s="282"/>
    </row>
    <row r="33" spans="2:27" ht="7.5" customHeight="1">
      <c r="B33" s="2625"/>
      <c r="C33" s="162"/>
      <c r="D33" s="269"/>
      <c r="E33" s="269"/>
      <c r="F33" s="269"/>
      <c r="G33" s="269"/>
      <c r="H33" s="269"/>
      <c r="I33" s="272"/>
      <c r="J33" s="272"/>
      <c r="K33" s="272"/>
      <c r="L33" s="267"/>
      <c r="M33" s="267"/>
      <c r="N33" s="267"/>
      <c r="O33" s="267"/>
      <c r="P33" s="267"/>
      <c r="Q33" s="267"/>
      <c r="R33" s="267"/>
      <c r="S33" s="267"/>
      <c r="T33" s="267"/>
      <c r="U33" s="272"/>
      <c r="V33" s="275"/>
      <c r="W33" s="267"/>
      <c r="X33" s="282"/>
    </row>
    <row r="34" spans="2:27" ht="15.8" customHeight="1">
      <c r="B34" s="2625"/>
      <c r="C34" s="162"/>
      <c r="D34" s="269"/>
      <c r="E34" s="269"/>
      <c r="F34" s="269"/>
      <c r="G34" s="269"/>
      <c r="H34" s="269"/>
      <c r="I34" s="271" t="s">
        <v>840</v>
      </c>
      <c r="J34" s="442">
        <f>'Grant QC Review'!J34</f>
        <v>0</v>
      </c>
      <c r="K34" s="272"/>
      <c r="Q34" s="267"/>
      <c r="R34" s="272"/>
      <c r="S34" s="914" t="str">
        <f>IF('Grant QC Review'!S34="","",'Grant QC Review'!S34)</f>
        <v/>
      </c>
      <c r="U34" t="str">
        <f>'Grant QC Review'!U34</f>
        <v>LOA - Contractor is Payee</v>
      </c>
      <c r="V34" s="272"/>
      <c r="W34" s="267"/>
      <c r="X34" s="282"/>
    </row>
    <row r="35" spans="2:27" ht="7.5" customHeight="1">
      <c r="B35" s="2625"/>
      <c r="C35" s="162"/>
      <c r="D35" s="269"/>
      <c r="E35" s="269"/>
      <c r="F35" s="269"/>
      <c r="G35" s="269"/>
      <c r="H35" s="269"/>
      <c r="I35" s="272"/>
      <c r="J35" s="272"/>
      <c r="K35" s="272"/>
      <c r="L35" s="272"/>
      <c r="M35" s="272"/>
      <c r="N35" s="267"/>
      <c r="O35" s="267"/>
      <c r="P35" s="267"/>
      <c r="Q35" s="267"/>
      <c r="R35" s="267"/>
      <c r="V35" s="272"/>
      <c r="W35" s="272"/>
    </row>
    <row r="36" spans="2:27" ht="15.8" customHeight="1">
      <c r="B36" s="2625"/>
      <c r="C36" s="162"/>
      <c r="D36" s="269"/>
      <c r="E36" s="269"/>
      <c r="F36" s="269"/>
      <c r="G36" s="269"/>
      <c r="H36" s="269"/>
      <c r="I36" s="271" t="s">
        <v>842</v>
      </c>
      <c r="J36" s="442">
        <f>'Grant QC Review'!J36</f>
        <v>0</v>
      </c>
      <c r="K36" s="272"/>
      <c r="L36" s="614" t="s">
        <v>843</v>
      </c>
      <c r="M36" s="2353" t="str">
        <f>'Grant QC Review'!M36</f>
        <v/>
      </c>
      <c r="N36" s="2353"/>
      <c r="O36" s="2353"/>
      <c r="P36" s="2354"/>
      <c r="Q36" s="267"/>
      <c r="U36" s="915" t="str">
        <f>IF('Grant QC Review'!U36="","",'Grant QC Review'!U36)</f>
        <v/>
      </c>
      <c r="V36" t="str">
        <f>'Grant QC Review'!V36</f>
        <v>LOA Date</v>
      </c>
      <c r="W36" s="283"/>
      <c r="X36" s="284"/>
    </row>
    <row r="37" spans="2:27" ht="7.5" customHeight="1">
      <c r="B37" s="2625"/>
      <c r="C37" s="162"/>
      <c r="D37" s="269"/>
      <c r="E37" s="269"/>
      <c r="F37" s="269"/>
      <c r="G37" s="269"/>
      <c r="H37" s="269"/>
      <c r="K37" s="272"/>
      <c r="L37" s="267"/>
      <c r="M37" s="267"/>
      <c r="N37" s="267"/>
      <c r="O37" s="267"/>
      <c r="P37" s="267"/>
      <c r="Q37" s="267"/>
      <c r="W37" s="283"/>
      <c r="X37" s="284"/>
    </row>
    <row r="38" spans="2:27" ht="15.8" customHeight="1">
      <c r="B38" s="2625"/>
      <c r="C38" s="162"/>
      <c r="D38" s="269"/>
      <c r="E38" s="269"/>
      <c r="F38" s="269"/>
      <c r="G38" s="269"/>
      <c r="H38" s="269"/>
      <c r="J38" s="442" t="str">
        <f>'Grant QC Review'!J38</f>
        <v xml:space="preserve">, WA </v>
      </c>
      <c r="K38" s="272"/>
      <c r="L38" s="271" t="s">
        <v>845</v>
      </c>
      <c r="M38" s="2353" t="str">
        <f>'Grant QC Review'!M38</f>
        <v/>
      </c>
      <c r="N38" s="2353"/>
      <c r="O38" s="2353"/>
      <c r="P38" s="2354"/>
      <c r="Q38" s="267"/>
      <c r="W38" s="283"/>
      <c r="X38" s="284"/>
    </row>
    <row r="39" spans="2:27" ht="7.5" customHeight="1">
      <c r="B39" s="2625"/>
      <c r="C39" s="162"/>
      <c r="D39" s="269"/>
      <c r="E39" s="269"/>
      <c r="F39" s="269"/>
      <c r="G39" s="269"/>
      <c r="H39" s="269"/>
      <c r="K39" s="272"/>
      <c r="N39" s="267"/>
      <c r="O39" s="267"/>
      <c r="P39" s="267"/>
      <c r="Q39" s="267"/>
      <c r="R39" s="267"/>
      <c r="S39" s="267"/>
      <c r="T39" s="267"/>
      <c r="U39" s="272"/>
      <c r="V39" s="272"/>
      <c r="W39" s="272"/>
    </row>
    <row r="40" spans="2:27" ht="15.8" customHeight="1">
      <c r="B40" s="2625"/>
      <c r="C40" s="162"/>
      <c r="D40" s="269"/>
      <c r="E40" s="269"/>
      <c r="F40" s="269"/>
      <c r="G40" s="269"/>
      <c r="H40" s="269"/>
      <c r="K40" s="272"/>
      <c r="L40" s="271" t="s">
        <v>846</v>
      </c>
      <c r="M40" s="2353" t="str">
        <f>'Grant QC Review'!M40</f>
        <v/>
      </c>
      <c r="N40" s="2353"/>
      <c r="O40" s="2353"/>
      <c r="P40" s="2354"/>
      <c r="Q40" s="267"/>
      <c r="R40" s="2352" t="s">
        <v>847</v>
      </c>
      <c r="S40" s="2352"/>
      <c r="T40" s="2352"/>
      <c r="U40" s="2352"/>
      <c r="V40" s="2352"/>
      <c r="W40" s="272"/>
    </row>
    <row r="41" spans="2:27" ht="7.5" customHeight="1">
      <c r="B41" s="2625"/>
      <c r="C41" s="162"/>
      <c r="D41" s="269"/>
      <c r="E41" s="269"/>
      <c r="F41" s="269"/>
      <c r="G41" s="269"/>
      <c r="H41" s="269"/>
      <c r="I41" s="272"/>
      <c r="J41" s="272"/>
      <c r="K41" s="272"/>
      <c r="L41" s="272"/>
      <c r="M41" s="272"/>
      <c r="N41" s="267"/>
      <c r="O41" s="267"/>
      <c r="P41" s="267"/>
      <c r="Q41" s="267"/>
      <c r="R41" s="2352"/>
      <c r="S41" s="2352"/>
      <c r="T41" s="2352"/>
      <c r="U41" s="2352"/>
      <c r="V41" s="2352"/>
      <c r="W41" s="272"/>
    </row>
    <row r="42" spans="2:27" ht="15.8" customHeight="1">
      <c r="B42" s="2625"/>
      <c r="C42" s="162"/>
      <c r="D42" s="269"/>
      <c r="E42" s="269"/>
      <c r="F42" s="269"/>
      <c r="G42" s="269"/>
      <c r="H42" s="269"/>
      <c r="I42" s="614" t="s">
        <v>848</v>
      </c>
      <c r="J42" s="442">
        <f>'Grant QC Review'!J42</f>
        <v>0</v>
      </c>
      <c r="K42" s="272"/>
      <c r="L42" s="288" t="s">
        <v>849</v>
      </c>
      <c r="M42" s="2355" t="str">
        <f>'Grant QC Review'!M42</f>
        <v/>
      </c>
      <c r="N42" s="2355"/>
      <c r="O42" s="2355"/>
      <c r="P42" s="2356"/>
      <c r="Q42" s="267"/>
      <c r="R42" s="2352"/>
      <c r="S42" s="2352"/>
      <c r="T42" s="2352"/>
      <c r="U42" s="2352"/>
      <c r="V42" s="2352"/>
      <c r="W42" s="272"/>
    </row>
    <row r="43" spans="2:27" ht="7.5" customHeight="1">
      <c r="B43" s="2625"/>
      <c r="C43" s="162"/>
      <c r="D43" s="269"/>
      <c r="E43" s="269"/>
      <c r="F43" s="269"/>
      <c r="G43" s="269"/>
      <c r="H43" s="269"/>
      <c r="I43" s="269"/>
      <c r="J43" s="267"/>
      <c r="K43" s="272"/>
      <c r="L43" s="286"/>
      <c r="M43" s="286"/>
      <c r="N43" s="267"/>
      <c r="O43" s="267"/>
      <c r="P43" s="267"/>
      <c r="Q43" s="267"/>
      <c r="R43" s="267"/>
      <c r="S43" s="272"/>
      <c r="T43" s="267"/>
      <c r="U43" s="272"/>
      <c r="V43" s="272"/>
      <c r="W43" s="272"/>
    </row>
    <row r="44" spans="2:27" ht="15.8" customHeight="1">
      <c r="B44" s="2625"/>
      <c r="C44" s="162"/>
      <c r="D44" s="269"/>
      <c r="E44" s="269"/>
      <c r="F44" s="269"/>
      <c r="G44" s="269"/>
      <c r="H44" s="269"/>
      <c r="I44" s="271" t="s">
        <v>850</v>
      </c>
      <c r="J44" s="442">
        <f>'Grant QC Review'!J44</f>
        <v>0</v>
      </c>
      <c r="K44" s="272"/>
      <c r="Q44" s="267"/>
      <c r="R44" s="267"/>
      <c r="S44" s="914" t="str">
        <f>IF('Grant QC Review'!S44="","",'Grant QC Review'!S44)</f>
        <v/>
      </c>
      <c r="T44" s="267"/>
      <c r="U44" s="277" t="s">
        <v>851</v>
      </c>
      <c r="V44" s="267"/>
      <c r="W44" s="267"/>
      <c r="X44" s="282"/>
    </row>
    <row r="45" spans="2:27" ht="7.5" customHeight="1">
      <c r="B45" s="2625"/>
      <c r="C45" s="162"/>
      <c r="D45" s="269"/>
      <c r="E45" s="269"/>
      <c r="F45" s="269"/>
      <c r="G45" s="269"/>
      <c r="H45" s="269"/>
      <c r="I45" s="269"/>
      <c r="J45" s="267"/>
      <c r="K45" s="272"/>
      <c r="L45" s="287"/>
      <c r="M45" s="287"/>
      <c r="N45" s="267"/>
      <c r="O45" s="267"/>
      <c r="P45" s="267"/>
      <c r="Q45" s="267"/>
      <c r="R45" s="272"/>
      <c r="S45" s="267"/>
      <c r="T45" s="267"/>
      <c r="U45" s="270"/>
      <c r="V45" s="267"/>
      <c r="W45" s="267"/>
      <c r="X45" s="282"/>
    </row>
    <row r="46" spans="2:27" ht="16.3">
      <c r="B46" s="2625"/>
      <c r="C46" s="162"/>
      <c r="D46" s="269"/>
      <c r="E46" s="269"/>
      <c r="F46" s="269"/>
      <c r="G46" s="269"/>
      <c r="H46" s="269"/>
      <c r="I46" s="271" t="s">
        <v>852</v>
      </c>
      <c r="J46" s="442">
        <f>'Grant QC Review'!J46</f>
        <v>0</v>
      </c>
      <c r="K46" s="272"/>
      <c r="L46" s="614" t="s">
        <v>853</v>
      </c>
      <c r="M46" s="2353" t="str">
        <f>'Grant QC Review'!M46</f>
        <v/>
      </c>
      <c r="N46" s="2353"/>
      <c r="O46" s="2353"/>
      <c r="P46" s="2354"/>
      <c r="Q46" s="267"/>
      <c r="R46" s="272"/>
      <c r="S46" s="914" t="str">
        <f>IF('Grant QC Review'!S46="","",'Grant QC Review'!S46)</f>
        <v/>
      </c>
      <c r="T46" s="267"/>
      <c r="U46" s="285" t="s">
        <v>854</v>
      </c>
      <c r="V46" s="267"/>
      <c r="W46" s="267"/>
      <c r="X46" s="282"/>
      <c r="Y46" s="347">
        <f>'Grant QC Review'!Y46</f>
        <v>0</v>
      </c>
    </row>
    <row r="47" spans="2:27" ht="7.5" customHeight="1">
      <c r="B47" s="162"/>
      <c r="C47" s="162"/>
      <c r="D47" s="269"/>
      <c r="E47" s="269"/>
      <c r="F47" s="269"/>
      <c r="G47" s="269"/>
      <c r="H47" s="269"/>
      <c r="I47" s="269"/>
      <c r="J47" s="269"/>
      <c r="K47" s="272"/>
      <c r="L47" s="267"/>
      <c r="M47" s="267"/>
      <c r="N47" s="267"/>
      <c r="O47" s="267"/>
      <c r="P47" s="267"/>
      <c r="Q47" s="267"/>
      <c r="R47" s="272"/>
      <c r="S47" s="272"/>
      <c r="T47" s="267"/>
      <c r="U47" s="267"/>
      <c r="V47" s="267"/>
      <c r="W47" s="267"/>
      <c r="X47" s="282"/>
    </row>
    <row r="48" spans="2:27" ht="15.8" customHeight="1">
      <c r="B48" s="162"/>
      <c r="C48" s="162"/>
      <c r="D48" s="269"/>
      <c r="E48" s="269"/>
      <c r="F48" s="269"/>
      <c r="G48" s="269"/>
      <c r="H48" s="269"/>
      <c r="I48" s="271" t="s">
        <v>855</v>
      </c>
      <c r="J48" s="444">
        <f>'Grant QC Review'!J48</f>
        <v>0</v>
      </c>
      <c r="L48" s="271" t="s">
        <v>845</v>
      </c>
      <c r="M48" s="2353" t="str">
        <f>'Grant QC Review'!M48</f>
        <v/>
      </c>
      <c r="N48" s="2353"/>
      <c r="O48" s="2353"/>
      <c r="P48" s="2354"/>
      <c r="Q48" s="267"/>
      <c r="R48" s="272"/>
      <c r="S48" s="272" t="str">
        <f>'Grant QC Review'!S48</f>
        <v>Project Information:</v>
      </c>
      <c r="T48" s="272"/>
      <c r="U48" s="272"/>
      <c r="V48" s="272"/>
      <c r="W48" s="267"/>
      <c r="X48" s="282"/>
      <c r="Y48" s="1433" t="str">
        <f>'Grant QC Review'!Y48:AA54</f>
        <v>Note to EMEs: [Insert brief explanation of the new space here (business name, sq ft, space type, location) and technology implemented (LEDs, LLLCs, controls, etc.)]</v>
      </c>
      <c r="Z48" s="1433"/>
      <c r="AA48" s="1433"/>
    </row>
    <row r="49" spans="2:27" ht="7.5" customHeight="1">
      <c r="B49" s="162"/>
      <c r="C49" s="162"/>
      <c r="D49" s="269"/>
      <c r="E49" s="269"/>
      <c r="F49" s="269"/>
      <c r="G49" s="269"/>
      <c r="H49" s="269"/>
      <c r="I49" s="269"/>
      <c r="J49" s="269"/>
      <c r="K49" s="272"/>
      <c r="N49" s="267"/>
      <c r="O49" s="267"/>
      <c r="P49" s="267"/>
      <c r="Q49" s="267"/>
      <c r="R49" s="267"/>
      <c r="S49" s="2532" t="str">
        <f>IF('Grant QC Review'!S49="","",'Grant QC Review'!S49)</f>
        <v/>
      </c>
      <c r="T49" s="2533"/>
      <c r="U49" s="2533"/>
      <c r="V49" s="2534"/>
      <c r="W49" s="267"/>
      <c r="X49" s="282"/>
      <c r="Y49" s="1433"/>
      <c r="Z49" s="1433"/>
      <c r="AA49" s="1433"/>
    </row>
    <row r="50" spans="2:27" ht="15.8" customHeight="1">
      <c r="B50" s="162"/>
      <c r="C50" s="162"/>
      <c r="I50" s="269"/>
      <c r="K50" s="272"/>
      <c r="L50" s="271" t="s">
        <v>846</v>
      </c>
      <c r="M50" s="2353" t="str">
        <f>'Grant QC Review'!M50</f>
        <v/>
      </c>
      <c r="N50" s="2353"/>
      <c r="O50" s="2353"/>
      <c r="P50" s="2354"/>
      <c r="Q50" s="267"/>
      <c r="R50" s="267"/>
      <c r="S50" s="2535"/>
      <c r="T50" s="2536"/>
      <c r="U50" s="2536"/>
      <c r="V50" s="2537"/>
      <c r="W50" s="267"/>
      <c r="X50" s="282"/>
      <c r="Y50" s="1433"/>
      <c r="Z50" s="1433"/>
      <c r="AA50" s="1433"/>
    </row>
    <row r="51" spans="2:27" ht="7.5" customHeight="1">
      <c r="B51" s="162"/>
      <c r="C51" s="162"/>
      <c r="D51" s="269"/>
      <c r="E51" s="269"/>
      <c r="F51" s="269"/>
      <c r="G51" s="269"/>
      <c r="H51" s="269"/>
      <c r="I51" s="269"/>
      <c r="K51" s="272"/>
      <c r="L51" s="272"/>
      <c r="M51" s="272"/>
      <c r="N51" s="267"/>
      <c r="O51" s="267"/>
      <c r="P51" s="267"/>
      <c r="Q51" s="267"/>
      <c r="R51" s="267"/>
      <c r="S51" s="2535"/>
      <c r="T51" s="2536"/>
      <c r="U51" s="2536"/>
      <c r="V51" s="2537"/>
      <c r="W51" s="267"/>
      <c r="X51" s="282"/>
      <c r="Y51" s="1433"/>
      <c r="Z51" s="1433"/>
      <c r="AA51" s="1433"/>
    </row>
    <row r="52" spans="2:27" ht="15.8" customHeight="1">
      <c r="B52" s="162"/>
      <c r="C52" s="162"/>
      <c r="K52" s="272"/>
      <c r="L52" s="288" t="s">
        <v>849</v>
      </c>
      <c r="M52" s="2355" t="str">
        <f>'Grant QC Review'!M52</f>
        <v/>
      </c>
      <c r="N52" s="2355"/>
      <c r="O52" s="2355"/>
      <c r="P52" s="2356"/>
      <c r="Q52" s="267"/>
      <c r="R52" s="267"/>
      <c r="S52" s="2535"/>
      <c r="T52" s="2536"/>
      <c r="U52" s="2536"/>
      <c r="V52" s="2537"/>
      <c r="W52" s="267"/>
      <c r="X52" s="282"/>
      <c r="Y52" s="1433"/>
      <c r="Z52" s="1433"/>
      <c r="AA52" s="1433"/>
    </row>
    <row r="53" spans="2:27" ht="7.5" customHeight="1">
      <c r="B53" s="162"/>
      <c r="C53" s="162"/>
      <c r="K53" s="272"/>
      <c r="Q53" s="267"/>
      <c r="R53" s="267"/>
      <c r="S53" s="2535"/>
      <c r="T53" s="2536"/>
      <c r="U53" s="2536"/>
      <c r="V53" s="2537"/>
      <c r="W53" s="267"/>
      <c r="Y53" s="1433"/>
      <c r="Z53" s="1433"/>
      <c r="AA53" s="1433"/>
    </row>
    <row r="54" spans="2:27" ht="15.8" customHeight="1">
      <c r="B54" s="162"/>
      <c r="C54" s="162"/>
      <c r="D54" s="445" t="s">
        <v>857</v>
      </c>
      <c r="E54" s="445"/>
      <c r="F54" s="445" t="s">
        <v>858</v>
      </c>
      <c r="G54" s="445"/>
      <c r="H54" s="445" t="s">
        <v>859</v>
      </c>
      <c r="K54" s="272"/>
      <c r="Q54" s="267"/>
      <c r="R54" s="267"/>
      <c r="S54" s="2535"/>
      <c r="T54" s="2536"/>
      <c r="U54" s="2536"/>
      <c r="V54" s="2537"/>
      <c r="W54" s="267"/>
      <c r="X54" s="282"/>
      <c r="Y54" s="1433"/>
      <c r="Z54" s="1433"/>
      <c r="AA54" s="1433"/>
    </row>
    <row r="55" spans="2:27" ht="7.5" customHeight="1">
      <c r="B55" s="162"/>
      <c r="C55" s="162"/>
      <c r="D55" s="269"/>
      <c r="E55" s="269"/>
      <c r="F55" s="269"/>
      <c r="G55" s="269"/>
      <c r="H55" s="269"/>
      <c r="I55" s="272"/>
      <c r="K55" s="272"/>
      <c r="L55" s="272"/>
      <c r="M55" s="272"/>
      <c r="N55" s="267"/>
      <c r="O55" s="267"/>
      <c r="P55" s="267"/>
      <c r="Q55" s="267"/>
      <c r="R55" s="267"/>
      <c r="S55" s="2535"/>
      <c r="T55" s="2536"/>
      <c r="U55" s="2536"/>
      <c r="V55" s="2537"/>
      <c r="W55" s="272"/>
      <c r="Y55" s="1433"/>
      <c r="Z55" s="1433"/>
      <c r="AA55" s="1433"/>
    </row>
    <row r="56" spans="2:27" ht="15.8" customHeight="1">
      <c r="B56" s="162"/>
      <c r="C56" s="162"/>
      <c r="D56" s="736"/>
      <c r="E56" s="289"/>
      <c r="F56" s="917"/>
      <c r="G56" s="289"/>
      <c r="H56" s="917"/>
      <c r="I56" s="290" t="s">
        <v>860</v>
      </c>
      <c r="K56" s="272"/>
      <c r="N56" s="267"/>
      <c r="O56" s="267"/>
      <c r="P56" s="267"/>
      <c r="Q56" s="267"/>
      <c r="R56" s="267"/>
      <c r="S56" s="2535"/>
      <c r="T56" s="2536"/>
      <c r="U56" s="2536"/>
      <c r="V56" s="2537"/>
      <c r="W56" s="272"/>
      <c r="Y56" s="1433"/>
      <c r="Z56" s="1433"/>
      <c r="AA56" s="1433"/>
    </row>
    <row r="57" spans="2:27" ht="7.5" customHeight="1">
      <c r="B57" s="162"/>
      <c r="C57" s="162"/>
      <c r="D57" s="269"/>
      <c r="E57" s="269"/>
      <c r="F57" s="269"/>
      <c r="H57" s="269"/>
      <c r="K57" s="272"/>
      <c r="L57" s="272"/>
      <c r="N57" s="267"/>
      <c r="O57" s="267"/>
      <c r="P57" s="267"/>
      <c r="Q57" s="267"/>
      <c r="R57" s="267"/>
      <c r="S57" s="2535"/>
      <c r="T57" s="2536"/>
      <c r="U57" s="2536"/>
      <c r="V57" s="2537"/>
      <c r="W57" s="272"/>
      <c r="Y57" s="1433"/>
      <c r="Z57" s="1433"/>
      <c r="AA57" s="1433"/>
    </row>
    <row r="58" spans="2:27" ht="15.8" customHeight="1">
      <c r="B58" s="162"/>
      <c r="C58" s="162"/>
      <c r="D58" s="736"/>
      <c r="E58" s="289"/>
      <c r="F58" s="917"/>
      <c r="G58" s="289"/>
      <c r="H58" s="917"/>
      <c r="I58" s="290" t="str">
        <f>'Grant QC Review'!I58</f>
        <v>Confirm Rate Schedule matches information on Billing History</v>
      </c>
      <c r="K58" s="272"/>
      <c r="N58" s="267"/>
      <c r="O58" s="267"/>
      <c r="P58" s="267"/>
      <c r="Q58" s="267"/>
      <c r="R58" s="267"/>
      <c r="S58" s="2535"/>
      <c r="T58" s="2536"/>
      <c r="U58" s="2536"/>
      <c r="V58" s="2537"/>
      <c r="W58" s="267"/>
      <c r="X58" s="282"/>
      <c r="Y58" s="1433"/>
      <c r="Z58" s="1433"/>
      <c r="AA58" s="1433"/>
    </row>
    <row r="59" spans="2:27" ht="7.5" customHeight="1">
      <c r="B59" s="162"/>
      <c r="C59" s="162"/>
      <c r="D59" s="289"/>
      <c r="E59" s="289"/>
      <c r="F59" s="289"/>
      <c r="G59" s="289"/>
      <c r="H59" s="289"/>
      <c r="I59" s="291"/>
      <c r="K59" s="272"/>
      <c r="L59" s="267"/>
      <c r="N59" s="267"/>
      <c r="O59" s="267"/>
      <c r="P59" s="267"/>
      <c r="Q59" s="267"/>
      <c r="R59" s="267"/>
      <c r="S59" s="2535"/>
      <c r="T59" s="2536"/>
      <c r="U59" s="2536"/>
      <c r="V59" s="2537"/>
      <c r="W59" s="267"/>
      <c r="X59" s="282"/>
      <c r="Y59" s="1433"/>
      <c r="Z59" s="1433"/>
      <c r="AA59" s="1433"/>
    </row>
    <row r="60" spans="2:27" ht="15.8" customHeight="1">
      <c r="B60" s="162"/>
      <c r="C60" s="162"/>
      <c r="D60" s="736"/>
      <c r="E60" s="289"/>
      <c r="F60" s="917"/>
      <c r="G60" s="289"/>
      <c r="H60" s="917"/>
      <c r="I60" s="290" t="s">
        <v>861</v>
      </c>
      <c r="K60" s="272"/>
      <c r="N60" s="267"/>
      <c r="O60" s="267"/>
      <c r="P60" s="267"/>
      <c r="Q60" s="267"/>
      <c r="R60" s="267"/>
      <c r="S60" s="2535"/>
      <c r="T60" s="2536"/>
      <c r="U60" s="2536"/>
      <c r="V60" s="2537"/>
      <c r="W60" s="267"/>
      <c r="X60" s="282"/>
      <c r="Y60" s="1433"/>
      <c r="Z60" s="1433"/>
      <c r="AA60" s="1433"/>
    </row>
    <row r="61" spans="2:27" ht="7.5" customHeight="1">
      <c r="B61" s="162"/>
      <c r="C61" s="162"/>
      <c r="D61" s="269"/>
      <c r="E61" s="269"/>
      <c r="F61" s="269"/>
      <c r="H61" s="269"/>
      <c r="K61" s="272"/>
      <c r="N61" s="267"/>
      <c r="O61" s="267"/>
      <c r="P61" s="267"/>
      <c r="Q61" s="267"/>
      <c r="R61" s="267"/>
      <c r="S61" s="2535"/>
      <c r="T61" s="2536"/>
      <c r="U61" s="2536"/>
      <c r="V61" s="2537"/>
      <c r="W61" s="267"/>
      <c r="X61" s="282"/>
    </row>
    <row r="62" spans="2:27" ht="15.8" customHeight="1">
      <c r="B62" s="162"/>
      <c r="C62" s="162"/>
      <c r="D62" s="736"/>
      <c r="E62" s="289"/>
      <c r="F62" s="917"/>
      <c r="G62" s="289"/>
      <c r="H62" s="917"/>
      <c r="I62" s="290" t="str">
        <f>'Grant QC Review'!I62</f>
        <v>Printout of Installations (tab) is attached (include in QC packet - QC Reviewer to confirm)</v>
      </c>
      <c r="K62" s="272"/>
      <c r="N62" s="267"/>
      <c r="O62" s="267"/>
      <c r="P62" s="267"/>
      <c r="Q62" s="267"/>
      <c r="R62" s="267"/>
      <c r="S62" s="2535"/>
      <c r="T62" s="2536"/>
      <c r="U62" s="2536"/>
      <c r="V62" s="2537"/>
      <c r="W62" s="267"/>
      <c r="X62" s="282"/>
    </row>
    <row r="63" spans="2:27" ht="7.5" customHeight="1">
      <c r="B63" s="162"/>
      <c r="C63" s="162"/>
      <c r="J63" s="272"/>
      <c r="K63" s="272"/>
      <c r="L63" s="272"/>
      <c r="M63" s="272"/>
      <c r="N63" s="267"/>
      <c r="O63" s="267"/>
      <c r="P63" s="267"/>
      <c r="Q63" s="267"/>
      <c r="R63" s="267"/>
      <c r="S63" s="2535"/>
      <c r="T63" s="2536"/>
      <c r="U63" s="2536"/>
      <c r="V63" s="2537"/>
      <c r="W63" s="267"/>
      <c r="X63" s="282"/>
    </row>
    <row r="64" spans="2:27" ht="15.8" customHeight="1">
      <c r="B64" s="162"/>
      <c r="C64" s="162"/>
      <c r="D64" s="736"/>
      <c r="E64" s="289"/>
      <c r="F64" s="917"/>
      <c r="G64" s="289"/>
      <c r="H64" s="917"/>
      <c r="I64" s="290" t="s">
        <v>862</v>
      </c>
      <c r="J64" s="272"/>
      <c r="K64" s="272"/>
      <c r="L64" s="272"/>
      <c r="M64" s="272"/>
      <c r="N64" s="267"/>
      <c r="O64" s="267"/>
      <c r="P64" s="267"/>
      <c r="Q64" s="267"/>
      <c r="R64" s="267"/>
      <c r="S64" s="2538"/>
      <c r="T64" s="2539"/>
      <c r="U64" s="2539"/>
      <c r="V64" s="2540"/>
      <c r="W64" s="267"/>
      <c r="X64" s="282"/>
    </row>
    <row r="65" spans="2:24" ht="7.5" customHeight="1">
      <c r="B65" s="162"/>
      <c r="C65" s="162"/>
      <c r="J65" s="269"/>
      <c r="K65" s="272"/>
      <c r="L65" s="267"/>
      <c r="M65" s="267"/>
      <c r="N65" s="267"/>
      <c r="O65" s="267"/>
      <c r="P65" s="267"/>
      <c r="Q65" s="267"/>
      <c r="R65" s="267"/>
      <c r="S65" s="267"/>
      <c r="T65" s="267"/>
      <c r="U65" s="267"/>
      <c r="V65" s="267"/>
      <c r="W65" s="267"/>
      <c r="X65" s="282"/>
    </row>
    <row r="66" spans="2:24" ht="15.8" customHeight="1">
      <c r="D66" s="917" t="str">
        <f ca="1">IF(INDIRECT("'Grant QC Review'!D66")="","",INDIRECT("'Grant QC Review'!D66"))</f>
        <v/>
      </c>
      <c r="E66" s="289"/>
      <c r="F66" s="917"/>
      <c r="G66" s="289"/>
      <c r="H66" s="917" t="str">
        <f ca="1">IF(INDIRECT("'Grant QC Review'!H66")="","",INDIRECT("'Grant QC Review'!H66"))</f>
        <v/>
      </c>
      <c r="I66" s="290" t="s">
        <v>863</v>
      </c>
      <c r="J66" s="269"/>
      <c r="K66" s="272"/>
      <c r="L66" s="267"/>
      <c r="M66" s="267"/>
      <c r="N66" s="267"/>
      <c r="O66" s="267"/>
      <c r="P66" s="267"/>
      <c r="Q66" s="267"/>
      <c r="R66" s="267"/>
      <c r="S66" s="272" t="s">
        <v>1080</v>
      </c>
      <c r="T66" s="272"/>
      <c r="U66" s="272"/>
      <c r="V66" s="272"/>
      <c r="W66" s="267"/>
      <c r="X66" s="282"/>
    </row>
    <row r="67" spans="2:24" ht="7.5" customHeight="1">
      <c r="J67" s="269"/>
      <c r="K67" s="272"/>
      <c r="L67" s="267"/>
      <c r="M67" s="267"/>
      <c r="N67" s="267"/>
      <c r="O67" s="267"/>
      <c r="P67" s="267"/>
      <c r="Q67" s="267"/>
      <c r="R67" s="267"/>
      <c r="S67" s="2532">
        <f>'Grant QC Review'!S67</f>
        <v>0</v>
      </c>
      <c r="T67" s="2533"/>
      <c r="U67" s="2533"/>
      <c r="V67" s="2534"/>
      <c r="W67" s="267"/>
      <c r="X67" s="282"/>
    </row>
    <row r="68" spans="2:24" ht="15.8" customHeight="1">
      <c r="B68" s="1442"/>
      <c r="D68" s="733" t="s">
        <v>864</v>
      </c>
      <c r="E68" s="732"/>
      <c r="F68" s="732"/>
      <c r="G68" s="732"/>
      <c r="H68" s="732"/>
      <c r="I68" s="732"/>
      <c r="J68" s="732"/>
      <c r="K68" s="732"/>
      <c r="L68" s="737"/>
      <c r="M68" s="737"/>
      <c r="N68" s="737"/>
      <c r="O68" s="267"/>
      <c r="P68" s="267"/>
      <c r="Q68" s="267"/>
      <c r="R68" s="267"/>
      <c r="S68" s="2535"/>
      <c r="T68" s="2536"/>
      <c r="U68" s="2536"/>
      <c r="V68" s="2537"/>
      <c r="W68" s="267"/>
      <c r="X68" s="282"/>
    </row>
    <row r="69" spans="2:24" ht="7.5" customHeight="1">
      <c r="B69" s="1442"/>
      <c r="J69" s="291"/>
      <c r="K69" s="272"/>
      <c r="L69" s="267"/>
      <c r="M69" s="267"/>
      <c r="N69" s="267"/>
      <c r="O69" s="267"/>
      <c r="P69" s="267"/>
      <c r="Q69" s="267"/>
      <c r="R69" s="267"/>
      <c r="S69" s="2535"/>
      <c r="T69" s="2536"/>
      <c r="U69" s="2536"/>
      <c r="V69" s="2537"/>
      <c r="W69" s="267"/>
      <c r="X69" s="282"/>
    </row>
    <row r="70" spans="2:24" ht="15.8" customHeight="1">
      <c r="B70" s="1442"/>
      <c r="J70" s="286" t="s">
        <v>865</v>
      </c>
      <c r="L70" s="2357">
        <f>M32</f>
        <v>0</v>
      </c>
      <c r="M70" s="2358"/>
      <c r="N70" s="267"/>
      <c r="O70" s="267"/>
      <c r="P70" s="267"/>
      <c r="Q70" s="267"/>
      <c r="R70" s="267"/>
      <c r="S70" s="2535"/>
      <c r="T70" s="2536"/>
      <c r="U70" s="2536"/>
      <c r="V70" s="2537"/>
      <c r="W70" s="267"/>
      <c r="X70" s="282"/>
    </row>
    <row r="71" spans="2:24" ht="7.5" customHeight="1">
      <c r="B71" s="1442"/>
      <c r="D71" s="289"/>
      <c r="E71" s="289"/>
      <c r="F71" s="289"/>
      <c r="G71" s="289"/>
      <c r="H71" s="289"/>
      <c r="I71" s="291"/>
      <c r="J71" s="272"/>
      <c r="K71" s="272"/>
      <c r="L71" s="272"/>
      <c r="M71" s="272"/>
      <c r="N71" s="267"/>
      <c r="O71" s="267"/>
      <c r="P71" s="267"/>
      <c r="Q71" s="267"/>
      <c r="R71" s="267"/>
      <c r="S71" s="2535"/>
      <c r="T71" s="2536"/>
      <c r="U71" s="2536"/>
      <c r="V71" s="2537"/>
      <c r="W71" s="267"/>
      <c r="X71" s="282"/>
    </row>
    <row r="72" spans="2:24" ht="15.8" customHeight="1">
      <c r="B72" s="1442"/>
      <c r="J72" s="286" t="s">
        <v>866</v>
      </c>
      <c r="K72" s="272"/>
      <c r="L72" s="2357">
        <f>'Grant QC Review'!L72</f>
        <v>0</v>
      </c>
      <c r="M72" s="2358"/>
      <c r="N72" s="267"/>
      <c r="O72" s="292">
        <f>IFERROR(L72/M32,0)</f>
        <v>0</v>
      </c>
      <c r="P72" s="293" t="s">
        <v>867</v>
      </c>
      <c r="Q72" s="267"/>
      <c r="R72" s="267"/>
      <c r="S72" s="2535"/>
      <c r="T72" s="2536"/>
      <c r="U72" s="2536"/>
      <c r="V72" s="2537"/>
      <c r="W72" s="267"/>
      <c r="X72" s="282"/>
    </row>
    <row r="73" spans="2:24" ht="7.5" customHeight="1">
      <c r="B73" s="1442"/>
      <c r="J73" s="291"/>
      <c r="K73" s="272"/>
      <c r="L73" s="267"/>
      <c r="M73" s="267"/>
      <c r="N73" s="267"/>
      <c r="P73" s="267"/>
      <c r="Q73" s="267"/>
      <c r="R73" s="267"/>
      <c r="S73" s="2535"/>
      <c r="T73" s="2536"/>
      <c r="U73" s="2536"/>
      <c r="V73" s="2537"/>
      <c r="W73" s="267"/>
      <c r="X73" s="282"/>
    </row>
    <row r="74" spans="2:24" ht="15.8" customHeight="1">
      <c r="B74" s="1442"/>
      <c r="J74" s="294" t="s">
        <v>868</v>
      </c>
      <c r="K74" s="143"/>
      <c r="L74" s="2545">
        <f>'Grant QC Review'!L74</f>
        <v>0</v>
      </c>
      <c r="M74" s="2546"/>
      <c r="Q74" s="267"/>
      <c r="R74" s="267"/>
      <c r="S74" s="2535"/>
      <c r="T74" s="2536"/>
      <c r="U74" s="2536"/>
      <c r="V74" s="2537"/>
      <c r="W74" s="267"/>
      <c r="X74" s="282"/>
    </row>
    <row r="75" spans="2:24" ht="7.5" customHeight="1">
      <c r="B75" s="1442"/>
      <c r="J75" s="272"/>
      <c r="K75" s="272"/>
      <c r="L75" s="267"/>
      <c r="M75" s="267"/>
      <c r="Q75" s="267"/>
      <c r="R75" s="267"/>
      <c r="S75" s="2535"/>
      <c r="T75" s="2536"/>
      <c r="U75" s="2536"/>
      <c r="V75" s="2537"/>
      <c r="W75" s="267"/>
      <c r="X75" s="282"/>
    </row>
    <row r="76" spans="2:24" ht="15.8" customHeight="1">
      <c r="B76" s="1442"/>
      <c r="J76" s="294" t="s">
        <v>869</v>
      </c>
      <c r="K76" s="143"/>
      <c r="L76" s="2545">
        <f>'Grant QC Review'!L76</f>
        <v>0</v>
      </c>
      <c r="M76" s="2546"/>
      <c r="Q76" s="267"/>
      <c r="R76" s="267"/>
      <c r="S76" s="2535"/>
      <c r="T76" s="2536"/>
      <c r="U76" s="2536"/>
      <c r="V76" s="2537"/>
      <c r="W76" s="267"/>
      <c r="X76" s="282"/>
    </row>
    <row r="77" spans="2:24" ht="7.5" customHeight="1">
      <c r="B77" s="1442"/>
      <c r="Q77" s="267"/>
      <c r="R77" s="267"/>
      <c r="S77" s="2535"/>
      <c r="T77" s="2536"/>
      <c r="U77" s="2536"/>
      <c r="V77" s="2537"/>
      <c r="W77" s="267"/>
      <c r="X77" s="282"/>
    </row>
    <row r="78" spans="2:24" ht="15.8" customHeight="1">
      <c r="B78" s="1442"/>
      <c r="J78" s="294" t="s">
        <v>870</v>
      </c>
      <c r="K78" s="143"/>
      <c r="L78" s="2545">
        <f>'Grant QC Review'!L78</f>
        <v>0</v>
      </c>
      <c r="M78" s="2546"/>
      <c r="Q78" s="267"/>
      <c r="R78" s="267"/>
      <c r="S78" s="2535"/>
      <c r="T78" s="2536"/>
      <c r="U78" s="2536"/>
      <c r="V78" s="2537"/>
      <c r="W78" s="267"/>
      <c r="X78" s="282"/>
    </row>
    <row r="79" spans="2:24" ht="7.5" customHeight="1">
      <c r="B79" s="1442"/>
      <c r="D79" s="272"/>
      <c r="E79" s="272"/>
      <c r="F79" s="272"/>
      <c r="G79" s="272"/>
      <c r="H79" s="272"/>
      <c r="I79" s="272"/>
      <c r="Q79" s="267"/>
      <c r="R79" s="267"/>
      <c r="S79" s="2535"/>
      <c r="T79" s="2536"/>
      <c r="U79" s="2536"/>
      <c r="V79" s="2537"/>
      <c r="W79" s="267"/>
      <c r="X79" s="282"/>
    </row>
    <row r="80" spans="2:24" ht="15.8" customHeight="1">
      <c r="B80" s="1442"/>
      <c r="D80" s="272"/>
      <c r="E80" s="272"/>
      <c r="F80" s="272"/>
      <c r="G80" s="272"/>
      <c r="H80" s="272"/>
      <c r="I80" s="272"/>
      <c r="J80" s="286" t="s">
        <v>871</v>
      </c>
      <c r="K80" s="272"/>
      <c r="L80" s="2357">
        <f>'Grant QC Review'!L80</f>
        <v>0</v>
      </c>
      <c r="M80" s="2358"/>
      <c r="N80" s="295"/>
      <c r="O80" s="292">
        <f>IFERROR(L80/L72,0)</f>
        <v>0</v>
      </c>
      <c r="P80" s="293" t="s">
        <v>872</v>
      </c>
      <c r="Q80" s="272"/>
      <c r="R80" s="267"/>
      <c r="S80" s="2535"/>
      <c r="T80" s="2536"/>
      <c r="U80" s="2536"/>
      <c r="V80" s="2537"/>
      <c r="W80" s="267"/>
      <c r="X80" s="282"/>
    </row>
    <row r="81" spans="2:24" ht="7.5" customHeight="1">
      <c r="B81" s="1442"/>
      <c r="D81" s="272"/>
      <c r="E81" s="272"/>
      <c r="F81" s="272"/>
      <c r="G81" s="272"/>
      <c r="H81" s="272"/>
      <c r="I81" s="272"/>
      <c r="J81" s="272"/>
      <c r="K81" s="272"/>
      <c r="L81" s="267"/>
      <c r="M81" s="267"/>
      <c r="N81" s="267"/>
      <c r="O81" s="267"/>
      <c r="P81" s="267"/>
      <c r="Q81" s="272"/>
      <c r="R81" s="267"/>
      <c r="S81" s="2535"/>
      <c r="T81" s="2536"/>
      <c r="U81" s="2536"/>
      <c r="V81" s="2537"/>
      <c r="W81" s="267"/>
      <c r="X81" s="282"/>
    </row>
    <row r="82" spans="2:24" ht="15.8" customHeight="1">
      <c r="B82" s="1442"/>
      <c r="C82" s="162"/>
      <c r="J82" s="286" t="s">
        <v>1081</v>
      </c>
      <c r="K82" s="272"/>
      <c r="L82" s="2357">
        <f>'Grant QC Review'!L82</f>
        <v>0</v>
      </c>
      <c r="M82" s="2358"/>
      <c r="Q82" s="267"/>
      <c r="R82" s="267"/>
      <c r="S82" s="2538"/>
      <c r="T82" s="2539"/>
      <c r="U82" s="2539"/>
      <c r="V82" s="2540"/>
      <c r="W82" s="267"/>
      <c r="X82" s="282"/>
    </row>
    <row r="83" spans="2:24" ht="7.5" customHeight="1">
      <c r="B83" s="1442"/>
      <c r="C83" s="162"/>
      <c r="D83" s="269"/>
      <c r="E83" s="269"/>
      <c r="F83" s="269"/>
      <c r="G83" s="269"/>
      <c r="H83" s="269"/>
      <c r="I83" s="272"/>
      <c r="J83" s="296"/>
      <c r="K83" s="296"/>
      <c r="L83" s="297"/>
      <c r="M83" s="297"/>
      <c r="N83" s="267"/>
      <c r="O83" s="267"/>
      <c r="P83" s="267"/>
      <c r="Q83" s="267"/>
      <c r="R83" s="267"/>
      <c r="S83" s="267"/>
      <c r="T83" s="267"/>
      <c r="U83" s="267"/>
      <c r="V83" s="267"/>
      <c r="W83" s="267"/>
      <c r="X83" s="282"/>
    </row>
    <row r="84" spans="2:24" ht="15.8" customHeight="1">
      <c r="B84" s="1442"/>
      <c r="C84" s="162"/>
      <c r="D84" s="269"/>
      <c r="E84" s="269"/>
      <c r="F84" s="269"/>
      <c r="G84" s="269"/>
      <c r="H84" s="269"/>
      <c r="J84" s="286" t="s">
        <v>874</v>
      </c>
      <c r="K84" s="272"/>
      <c r="L84" s="2335">
        <f>'Grant QC Review'!L84</f>
        <v>0</v>
      </c>
      <c r="M84" s="2336"/>
      <c r="Q84" s="267"/>
      <c r="R84" s="267"/>
      <c r="S84" s="272" t="s">
        <v>875</v>
      </c>
      <c r="T84" s="272"/>
      <c r="U84" s="272"/>
      <c r="V84" s="272"/>
      <c r="W84" s="267"/>
      <c r="X84" s="282"/>
    </row>
    <row r="85" spans="2:24" ht="7.5" customHeight="1">
      <c r="B85" s="1442"/>
      <c r="C85" s="162"/>
      <c r="D85" s="269"/>
      <c r="E85" s="269"/>
      <c r="F85" s="269"/>
      <c r="G85" s="269"/>
      <c r="H85" s="269"/>
      <c r="Q85" s="267"/>
      <c r="R85" s="267"/>
      <c r="S85" s="2532">
        <f>'Grant QC Review'!S85</f>
        <v>0</v>
      </c>
      <c r="T85" s="2533"/>
      <c r="U85" s="2533"/>
      <c r="V85" s="2534"/>
      <c r="W85" s="267"/>
      <c r="X85" s="282"/>
    </row>
    <row r="86" spans="2:24" ht="15.8" customHeight="1">
      <c r="B86" s="1442"/>
      <c r="C86" s="162"/>
      <c r="Q86" s="293"/>
      <c r="R86" s="267"/>
      <c r="S86" s="2535"/>
      <c r="T86" s="2536"/>
      <c r="U86" s="2536"/>
      <c r="V86" s="2537"/>
      <c r="W86" s="267"/>
      <c r="X86" s="282"/>
    </row>
    <row r="87" spans="2:24" ht="7.5" customHeight="1">
      <c r="B87" s="162"/>
      <c r="C87" s="162"/>
      <c r="D87" s="269"/>
      <c r="E87" s="269"/>
      <c r="F87" s="269"/>
      <c r="G87" s="269"/>
      <c r="H87" s="269"/>
      <c r="J87" s="272"/>
      <c r="K87" s="272"/>
      <c r="L87" s="286"/>
      <c r="M87" s="286"/>
      <c r="N87" s="295"/>
      <c r="O87" s="295"/>
      <c r="P87" s="295"/>
      <c r="Q87" s="267"/>
      <c r="R87" s="267"/>
      <c r="S87" s="2535"/>
      <c r="T87" s="2536"/>
      <c r="U87" s="2536"/>
      <c r="V87" s="2537"/>
      <c r="W87" s="267"/>
      <c r="X87" s="282"/>
    </row>
    <row r="88" spans="2:24" ht="15.8" customHeight="1">
      <c r="B88" s="2626"/>
      <c r="C88" s="162"/>
      <c r="D88" s="733" t="s">
        <v>876</v>
      </c>
      <c r="E88" s="732"/>
      <c r="F88" s="732"/>
      <c r="G88" s="732"/>
      <c r="H88" s="732"/>
      <c r="I88" s="732"/>
      <c r="J88" s="732"/>
      <c r="K88" s="732"/>
      <c r="L88" s="737" t="str">
        <f ca="1">'Grant QC Review'!L88</f>
        <v>Fixture/TLED/Control</v>
      </c>
      <c r="M88" s="737"/>
      <c r="N88" s="737"/>
      <c r="O88" s="737">
        <f>'Grant QC Review'!M88</f>
        <v>0</v>
      </c>
      <c r="P88" s="733"/>
      <c r="R88" s="267"/>
      <c r="S88" s="2535"/>
      <c r="T88" s="2536"/>
      <c r="U88" s="2536"/>
      <c r="V88" s="2537"/>
      <c r="W88" s="267"/>
      <c r="X88" s="282"/>
    </row>
    <row r="89" spans="2:24" ht="7.5" customHeight="1">
      <c r="B89" s="2626"/>
      <c r="C89" s="162"/>
      <c r="Q89" s="267"/>
      <c r="R89" s="267"/>
      <c r="S89" s="2535"/>
      <c r="T89" s="2536"/>
      <c r="U89" s="2536"/>
      <c r="V89" s="2537"/>
      <c r="W89" s="267"/>
      <c r="X89" s="282"/>
    </row>
    <row r="90" spans="2:24" ht="15.8" customHeight="1">
      <c r="B90" s="2626"/>
      <c r="C90" s="162"/>
      <c r="J90" s="286" t="s">
        <v>878</v>
      </c>
      <c r="K90" s="272"/>
      <c r="L90" s="918">
        <f>'Grant QC Review'!L90</f>
        <v>0</v>
      </c>
      <c r="M90" s="923">
        <f>'Grant QC Review'!M90</f>
        <v>0</v>
      </c>
      <c r="N90" s="272"/>
      <c r="O90" s="2541">
        <f>'Grant QC Review'!O90</f>
        <v>0</v>
      </c>
      <c r="P90" s="2542"/>
      <c r="R90" s="267"/>
      <c r="S90" s="2535"/>
      <c r="T90" s="2536"/>
      <c r="U90" s="2536"/>
      <c r="V90" s="2537"/>
      <c r="W90" s="267"/>
      <c r="X90" s="282"/>
    </row>
    <row r="91" spans="2:24" ht="7.5" customHeight="1">
      <c r="B91" s="2626"/>
      <c r="C91" s="162"/>
      <c r="D91" s="269"/>
      <c r="E91" s="269"/>
      <c r="F91" s="269"/>
      <c r="G91" s="269"/>
      <c r="H91" s="269"/>
      <c r="M91" s="923"/>
      <c r="P91" s="267"/>
      <c r="Q91" s="267"/>
      <c r="R91" s="267"/>
      <c r="S91" s="2535"/>
      <c r="T91" s="2536"/>
      <c r="U91" s="2536"/>
      <c r="V91" s="2537"/>
      <c r="W91" s="267"/>
      <c r="X91" s="282"/>
    </row>
    <row r="92" spans="2:24" ht="15.8" customHeight="1">
      <c r="B92" s="2626"/>
      <c r="C92" s="162"/>
      <c r="D92" s="269"/>
      <c r="E92" s="269"/>
      <c r="F92" s="269"/>
      <c r="G92" s="269"/>
      <c r="H92" s="269"/>
      <c r="J92" s="286" t="s">
        <v>879</v>
      </c>
      <c r="K92" s="272"/>
      <c r="L92" s="918">
        <f ca="1">'Grant QC Review'!L92</f>
        <v>0</v>
      </c>
      <c r="M92" s="923" t="str">
        <f>'Grant QC Review'!M92</f>
        <v>Cost:</v>
      </c>
      <c r="N92" s="431"/>
      <c r="O92" s="2543">
        <f ca="1">'Grant QC Review'!O92</f>
        <v>0</v>
      </c>
      <c r="P92" s="2544"/>
      <c r="R92" s="267"/>
      <c r="S92" s="2535"/>
      <c r="T92" s="2536"/>
      <c r="U92" s="2536"/>
      <c r="V92" s="2537"/>
      <c r="W92" s="267"/>
      <c r="X92" s="282"/>
    </row>
    <row r="93" spans="2:24" ht="7.5" customHeight="1">
      <c r="B93" s="2626"/>
      <c r="C93" s="162"/>
      <c r="D93" s="269"/>
      <c r="E93" s="269"/>
      <c r="F93" s="269"/>
      <c r="G93" s="269"/>
      <c r="H93" s="269"/>
      <c r="M93" s="924"/>
      <c r="Q93" s="267"/>
      <c r="R93" s="267"/>
      <c r="S93" s="2535"/>
      <c r="T93" s="2536"/>
      <c r="U93" s="2536"/>
      <c r="V93" s="2537"/>
      <c r="W93" s="267"/>
      <c r="X93" s="282"/>
    </row>
    <row r="94" spans="2:24" ht="15.8" customHeight="1">
      <c r="B94" s="2626"/>
      <c r="C94" s="162"/>
      <c r="D94" s="272"/>
      <c r="E94" s="272"/>
      <c r="F94" s="272"/>
      <c r="G94" s="272"/>
      <c r="H94" s="272"/>
      <c r="J94" s="286" t="s">
        <v>881</v>
      </c>
      <c r="K94" s="272"/>
      <c r="L94" s="918">
        <f ca="1">'Grant QC Review'!L94</f>
        <v>0</v>
      </c>
      <c r="M94" s="924" t="str">
        <f>'Grant QC Review'!M94</f>
        <v>Grant:</v>
      </c>
      <c r="N94" s="267"/>
      <c r="O94" s="2543">
        <f ca="1">'Grant QC Review'!O94</f>
        <v>0</v>
      </c>
      <c r="P94" s="2544"/>
      <c r="Q94" s="431"/>
      <c r="R94" s="267"/>
      <c r="S94" s="2535"/>
      <c r="T94" s="2536"/>
      <c r="U94" s="2536"/>
      <c r="V94" s="2537"/>
      <c r="W94" s="267"/>
      <c r="X94" s="282"/>
    </row>
    <row r="95" spans="2:24" ht="7.5" customHeight="1">
      <c r="B95" s="2626"/>
      <c r="C95" s="162"/>
      <c r="D95" s="272"/>
      <c r="E95" s="272"/>
      <c r="F95" s="272"/>
      <c r="G95" s="272"/>
      <c r="H95" s="272"/>
      <c r="M95" s="924"/>
      <c r="N95" s="267"/>
      <c r="O95" s="267"/>
      <c r="P95" s="431"/>
      <c r="Q95" s="431"/>
      <c r="R95" s="267"/>
      <c r="S95" s="2535"/>
      <c r="T95" s="2536"/>
      <c r="U95" s="2536"/>
      <c r="V95" s="2537"/>
      <c r="W95" s="267"/>
      <c r="X95" s="282"/>
    </row>
    <row r="96" spans="2:24" ht="15.8" customHeight="1">
      <c r="B96" s="2626"/>
      <c r="C96" s="162"/>
      <c r="D96" s="272"/>
      <c r="E96" s="272"/>
      <c r="F96" s="272"/>
      <c r="G96" s="272"/>
      <c r="H96" s="272"/>
      <c r="J96" s="294" t="s">
        <v>883</v>
      </c>
      <c r="K96" s="143"/>
      <c r="L96" s="921">
        <f ca="1">'Grant QC Review'!L96</f>
        <v>0</v>
      </c>
      <c r="M96" s="924"/>
      <c r="P96" s="431"/>
      <c r="Q96" s="431"/>
      <c r="R96" s="267"/>
      <c r="S96" s="2535"/>
      <c r="T96" s="2536"/>
      <c r="U96" s="2536"/>
      <c r="V96" s="2537"/>
      <c r="W96" s="267"/>
      <c r="X96" s="282"/>
    </row>
    <row r="97" spans="2:24" ht="7.5" customHeight="1">
      <c r="B97" s="2626"/>
      <c r="C97" s="162"/>
      <c r="D97" s="272"/>
      <c r="E97" s="272"/>
      <c r="F97" s="272"/>
      <c r="G97" s="272"/>
      <c r="H97" s="272"/>
      <c r="I97" s="272"/>
      <c r="J97" s="272"/>
      <c r="K97" s="272"/>
      <c r="L97" s="267"/>
      <c r="M97" s="924"/>
      <c r="O97" s="267"/>
      <c r="R97" s="267"/>
      <c r="S97" s="2535"/>
      <c r="T97" s="2536"/>
      <c r="U97" s="2536"/>
      <c r="V97" s="2537"/>
      <c r="W97" s="267"/>
      <c r="X97" s="282"/>
    </row>
    <row r="98" spans="2:24" ht="15.8" customHeight="1">
      <c r="B98" s="2626"/>
      <c r="C98" s="162"/>
      <c r="J98" s="294" t="s">
        <v>884</v>
      </c>
      <c r="K98" s="143"/>
      <c r="L98" s="920">
        <f ca="1">'Grant QC Review'!L98</f>
        <v>0</v>
      </c>
      <c r="M98" s="924"/>
      <c r="O98" s="267"/>
      <c r="P98" s="267"/>
      <c r="Q98" s="267"/>
      <c r="R98" s="267"/>
      <c r="S98" s="2538"/>
      <c r="T98" s="2539"/>
      <c r="U98" s="2539"/>
      <c r="V98" s="2540"/>
      <c r="W98" s="267"/>
      <c r="X98" s="282"/>
    </row>
    <row r="99" spans="2:24" ht="7.5" customHeight="1">
      <c r="B99" s="2626"/>
      <c r="C99" s="162"/>
      <c r="J99" s="143"/>
      <c r="K99" s="143"/>
      <c r="L99" s="143"/>
      <c r="M99" s="924"/>
      <c r="O99" s="267"/>
      <c r="P99" s="267"/>
      <c r="Q99" s="267"/>
      <c r="R99" s="282"/>
      <c r="W99" s="282"/>
      <c r="X99" s="282"/>
    </row>
    <row r="100" spans="2:24" ht="16.3">
      <c r="B100" s="2626"/>
      <c r="C100" s="162"/>
      <c r="J100" s="286" t="s">
        <v>885</v>
      </c>
      <c r="L100" s="919">
        <f ca="1">L80-O100</f>
        <v>0</v>
      </c>
      <c r="M100" s="923" t="str">
        <f>'Grant QC Review'!M100</f>
        <v>Savings:</v>
      </c>
      <c r="O100" s="2549">
        <f ca="1">'Grant QC Review'!O100</f>
        <v>0</v>
      </c>
      <c r="P100" s="2550"/>
      <c r="Q100" s="267"/>
      <c r="R100" s="282"/>
      <c r="W100" s="282"/>
      <c r="X100" s="282"/>
    </row>
    <row r="101" spans="2:24" ht="7.5" customHeight="1">
      <c r="B101" s="2626"/>
      <c r="C101" s="162"/>
      <c r="M101" s="925"/>
      <c r="N101" s="267"/>
      <c r="O101" s="267"/>
      <c r="R101" s="282"/>
      <c r="X101" s="282"/>
    </row>
    <row r="102" spans="2:24" ht="15.8" customHeight="1">
      <c r="B102" s="2626"/>
      <c r="C102" s="162"/>
      <c r="D102" s="269"/>
      <c r="E102" s="269"/>
      <c r="F102" s="269"/>
      <c r="G102" s="269"/>
      <c r="H102" s="269"/>
      <c r="J102" s="286" t="s">
        <v>886</v>
      </c>
      <c r="L102" s="919">
        <f>L72</f>
        <v>0</v>
      </c>
      <c r="M102" s="923" t="s">
        <v>886</v>
      </c>
      <c r="N102" s="267"/>
      <c r="O102" s="2549">
        <f>'Grant QC Review'!O102</f>
        <v>0</v>
      </c>
      <c r="P102" s="2550"/>
      <c r="R102" s="282"/>
      <c r="X102" s="282"/>
    </row>
    <row r="103" spans="2:24" ht="7.5" customHeight="1">
      <c r="B103" s="2626"/>
      <c r="C103" s="162"/>
      <c r="N103" s="267"/>
      <c r="O103" s="267"/>
      <c r="P103" s="267"/>
      <c r="Q103" s="267"/>
      <c r="R103" s="282"/>
      <c r="W103" s="282"/>
      <c r="X103" s="282"/>
    </row>
    <row r="104" spans="2:24" ht="15.8" customHeight="1">
      <c r="B104" s="2626"/>
      <c r="C104" s="162"/>
      <c r="D104" s="445" t="s">
        <v>857</v>
      </c>
      <c r="E104" s="445"/>
      <c r="F104" s="445" t="s">
        <v>858</v>
      </c>
      <c r="G104" s="445"/>
      <c r="H104" s="445" t="s">
        <v>859</v>
      </c>
      <c r="P104" s="267"/>
      <c r="Q104" s="267"/>
      <c r="R104" s="282"/>
      <c r="W104" s="282"/>
      <c r="X104" s="282"/>
    </row>
    <row r="105" spans="2:24" ht="7.5" customHeight="1">
      <c r="B105" s="2626"/>
      <c r="C105" s="162"/>
      <c r="P105" s="267"/>
      <c r="Q105" s="267"/>
      <c r="R105" s="282"/>
      <c r="W105" s="282"/>
      <c r="X105" s="282"/>
    </row>
    <row r="106" spans="2:24" ht="15.8" customHeight="1">
      <c r="B106" s="2626"/>
      <c r="C106" s="162"/>
      <c r="D106" s="736"/>
      <c r="E106" s="289"/>
      <c r="F106" s="917" t="str">
        <f ca="1">IF(INDIRECT("'Grant QC Review'!F106")="","",INDIRECT("'Grant QC Review'!F106"))</f>
        <v/>
      </c>
      <c r="G106" s="289"/>
      <c r="H106" s="917" t="str">
        <f ca="1">IF(INDIRECT("'Grant QC Review'!H106")="","",INDIRECT("'Grant QC Review'!H106"))</f>
        <v/>
      </c>
      <c r="I106" s="290" t="s">
        <v>1082</v>
      </c>
      <c r="P106" s="267"/>
      <c r="Q106" s="267"/>
      <c r="R106" s="282"/>
      <c r="U106" s="286" t="s">
        <v>1083</v>
      </c>
      <c r="V106" s="617">
        <f>'Grant QC Review'!V106</f>
        <v>0</v>
      </c>
      <c r="W106" s="282"/>
      <c r="X106" s="282"/>
    </row>
    <row r="107" spans="2:24" ht="7.5" customHeight="1">
      <c r="B107" s="2626"/>
      <c r="C107" s="162"/>
      <c r="P107" s="267"/>
      <c r="Q107" s="267"/>
      <c r="R107" s="282"/>
      <c r="X107" s="282"/>
    </row>
    <row r="108" spans="2:24" ht="15.8" customHeight="1">
      <c r="B108" s="2626"/>
      <c r="C108" s="162"/>
      <c r="D108" s="736"/>
      <c r="E108" s="289"/>
      <c r="F108" s="917" t="str">
        <f ca="1">IF(INDIRECT("'Grant QC Review'!F108")="","",INDIRECT("'Grant QC Review'!F108"))</f>
        <v/>
      </c>
      <c r="G108" s="289"/>
      <c r="H108" s="917" t="str">
        <f ca="1">IF(INDIRECT("'Grant QC Review'!H108")="","",INDIRECT("'Grant QC Review'!H108"))</f>
        <v/>
      </c>
      <c r="I108" s="290" t="s">
        <v>888</v>
      </c>
      <c r="P108" s="267"/>
      <c r="Q108" s="267"/>
      <c r="R108" s="282"/>
      <c r="U108" s="286" t="s">
        <v>889</v>
      </c>
      <c r="V108" s="299">
        <f>'Grant QC Review'!V108</f>
        <v>0</v>
      </c>
      <c r="X108" s="282"/>
    </row>
    <row r="109" spans="2:24" ht="7.5" customHeight="1">
      <c r="B109" s="2626"/>
      <c r="C109" s="162"/>
      <c r="N109" s="267"/>
      <c r="O109" s="267"/>
      <c r="P109" s="267"/>
      <c r="Q109" s="267"/>
      <c r="R109" s="282"/>
      <c r="X109" s="282"/>
    </row>
    <row r="110" spans="2:24" ht="15.8" customHeight="1">
      <c r="B110" s="2626"/>
      <c r="C110" s="162"/>
      <c r="D110" s="736"/>
      <c r="E110" s="289"/>
      <c r="F110" s="917" t="str">
        <f ca="1">IF(INDIRECT("'Grant QC Review'!F110")="","",INDIRECT("'Grant QC Review'!F110"))</f>
        <v/>
      </c>
      <c r="G110" s="289"/>
      <c r="H110" s="917" t="str">
        <f ca="1">IF(INDIRECT("'Grant QC Review'!H110")="","",INDIRECT("'Grant QC Review'!H110"))</f>
        <v/>
      </c>
      <c r="I110" s="290" t="s">
        <v>890</v>
      </c>
      <c r="K110" s="272"/>
      <c r="N110" s="267"/>
      <c r="O110" s="267"/>
      <c r="P110" s="267"/>
      <c r="Q110" s="267"/>
      <c r="R110" s="282"/>
      <c r="U110" s="286" t="s">
        <v>891</v>
      </c>
      <c r="V110" s="299">
        <v>10</v>
      </c>
      <c r="W110" s="282"/>
      <c r="X110" s="282"/>
    </row>
    <row r="111" spans="2:24" ht="7.5" customHeight="1">
      <c r="B111" s="162"/>
      <c r="C111" s="162"/>
      <c r="N111" s="272"/>
      <c r="O111" s="272"/>
      <c r="P111" s="272"/>
      <c r="Q111" s="272"/>
      <c r="R111" s="282"/>
      <c r="W111" s="282"/>
      <c r="X111" s="282"/>
    </row>
    <row r="112" spans="2:24" ht="15.8" customHeight="1">
      <c r="B112" s="162"/>
      <c r="C112" s="162"/>
      <c r="D112" s="736"/>
      <c r="E112" s="289"/>
      <c r="F112" s="917" t="str">
        <f ca="1">IF(INDIRECT("'Grant QC Review'!F112")="","",INDIRECT("'Grant QC Review'!F112"))</f>
        <v/>
      </c>
      <c r="G112" s="289"/>
      <c r="H112" s="917" t="str">
        <f ca="1">IF(INDIRECT("'Grant QC Review'!H112")="","",INDIRECT("'Grant QC Review'!H112"))</f>
        <v/>
      </c>
      <c r="I112" s="290" t="s">
        <v>892</v>
      </c>
      <c r="J112" s="290"/>
      <c r="N112" s="272"/>
      <c r="O112" s="272"/>
      <c r="P112" s="272"/>
      <c r="Q112" s="272"/>
      <c r="U112" s="286" t="s">
        <v>893</v>
      </c>
      <c r="V112" s="301">
        <f ca="1">IFERROR(O94/O92,0)</f>
        <v>0</v>
      </c>
    </row>
    <row r="113" spans="2:24" ht="7.5" customHeight="1">
      <c r="B113" s="162"/>
      <c r="C113" s="162"/>
      <c r="N113" s="272"/>
      <c r="O113" s="272"/>
      <c r="P113" s="272"/>
      <c r="Q113" s="272"/>
    </row>
    <row r="114" spans="2:24" ht="15.8" customHeight="1">
      <c r="B114" s="162"/>
      <c r="C114" s="162"/>
      <c r="D114" s="736"/>
      <c r="E114" s="289"/>
      <c r="F114" s="917" t="str">
        <f ca="1">IF(INDIRECT("'Grant QC Review'!F112")="","",INDIRECT("'Grant QC Review'!F112"))</f>
        <v/>
      </c>
      <c r="G114" s="289"/>
      <c r="H114" s="917" t="str">
        <f ca="1">IF(INDIRECT("'Grant QC Review'!H112")="","",INDIRECT("'Grant QC Review'!H112"))</f>
        <v/>
      </c>
      <c r="I114" s="290" t="str">
        <f>'Grant QC Review'!I114</f>
        <v>Named community status has been confirmed (contact BLi Team)</v>
      </c>
      <c r="J114" s="290"/>
      <c r="K114" s="445"/>
      <c r="L114" s="445"/>
      <c r="M114" s="445"/>
      <c r="N114" s="272"/>
      <c r="O114" s="272"/>
      <c r="P114" s="272"/>
      <c r="Q114" s="272"/>
    </row>
    <row r="115" spans="2:24" ht="7.5" customHeight="1">
      <c r="B115" s="162"/>
      <c r="C115" s="162"/>
      <c r="N115" s="272"/>
      <c r="O115" s="272"/>
      <c r="P115" s="272"/>
      <c r="Q115" s="272"/>
    </row>
    <row r="116" spans="2:24" ht="16.3">
      <c r="B116" s="162"/>
      <c r="C116" s="162"/>
      <c r="D116" s="269"/>
      <c r="E116" s="269"/>
      <c r="F116" s="269"/>
      <c r="G116" s="269"/>
      <c r="H116" s="269"/>
      <c r="I116" s="2551"/>
      <c r="J116" s="2551"/>
      <c r="K116" s="2551"/>
      <c r="L116" s="2551"/>
      <c r="M116" s="2552"/>
      <c r="N116" s="272"/>
      <c r="O116" s="272"/>
      <c r="P116" s="272"/>
      <c r="Q116" s="272"/>
      <c r="S116" s="2551"/>
      <c r="T116" s="2551"/>
      <c r="U116" s="2551"/>
      <c r="V116" s="2552"/>
    </row>
    <row r="117" spans="2:24" ht="14.95" customHeight="1">
      <c r="B117" s="162"/>
      <c r="C117" s="162"/>
      <c r="D117" s="162"/>
      <c r="E117" s="162"/>
      <c r="F117" s="162"/>
      <c r="G117" s="162"/>
      <c r="H117" s="162"/>
      <c r="I117" s="2551"/>
      <c r="J117" s="2551"/>
      <c r="K117" s="2551"/>
      <c r="L117" s="2551"/>
      <c r="M117" s="2552"/>
      <c r="S117" s="2551"/>
      <c r="T117" s="2551"/>
      <c r="U117" s="2551"/>
      <c r="V117" s="2552"/>
    </row>
    <row r="118" spans="2:24" ht="14.95" customHeight="1">
      <c r="B118" s="162"/>
      <c r="C118" s="162"/>
      <c r="D118" s="162"/>
      <c r="E118" s="162"/>
      <c r="F118" s="162"/>
      <c r="G118" s="162"/>
      <c r="H118" s="162"/>
      <c r="I118" s="2553"/>
      <c r="J118" s="2553"/>
      <c r="K118" s="2553"/>
      <c r="L118" s="2553"/>
      <c r="M118" s="2554"/>
      <c r="S118" s="2553"/>
      <c r="T118" s="2553"/>
      <c r="U118" s="2553"/>
      <c r="V118" s="2554"/>
    </row>
    <row r="119" spans="2:24" ht="14.95" customHeight="1">
      <c r="B119" s="162"/>
      <c r="C119" s="162"/>
      <c r="D119" s="162"/>
      <c r="E119" s="162"/>
      <c r="F119" s="162"/>
      <c r="G119" s="162"/>
      <c r="H119" s="162"/>
      <c r="I119" s="2323" t="str">
        <f ca="1">INDIRECT("'Grant QC Review'!I119")</f>
        <v>PM/EME   ()   Signature/Date</v>
      </c>
      <c r="J119" s="2323"/>
      <c r="K119" s="2323"/>
      <c r="L119" s="2323"/>
      <c r="M119" s="445"/>
      <c r="S119" s="2324" t="str">
        <f ca="1">INDIRECT("'Grant QC Review'!S119")</f>
        <v>QC Reviewer  ()   Signature/Date</v>
      </c>
      <c r="T119" s="2324"/>
      <c r="U119" s="2324"/>
      <c r="V119" s="2324"/>
    </row>
    <row r="120" spans="2:24" ht="7.5" customHeight="1" thickBot="1"/>
    <row r="121" spans="2:24" ht="43.5" customHeight="1" thickTop="1" thickBot="1">
      <c r="B121" s="2627"/>
      <c r="C121" s="302"/>
      <c r="D121" s="302"/>
      <c r="E121" s="302"/>
      <c r="F121" s="302"/>
      <c r="G121" s="302"/>
      <c r="H121" s="302"/>
      <c r="I121" s="302"/>
      <c r="J121" s="303">
        <f>O90</f>
        <v>0</v>
      </c>
      <c r="K121" s="2325" t="str">
        <f>CONCATENATE(J22," (Performance)")</f>
        <v>0 (Performance)</v>
      </c>
      <c r="L121" s="2325"/>
      <c r="M121" s="2325"/>
      <c r="N121" s="2325"/>
      <c r="O121" s="2325"/>
      <c r="P121" s="2325"/>
      <c r="Q121" s="2325"/>
      <c r="R121" s="2325"/>
      <c r="S121" s="2325"/>
      <c r="T121" s="2325"/>
      <c r="U121" s="304" t="s">
        <v>1084</v>
      </c>
      <c r="V121" s="304"/>
      <c r="W121" s="304"/>
      <c r="X121" s="302"/>
    </row>
    <row r="122" spans="2:24" ht="14.95" customHeight="1">
      <c r="B122" s="1441"/>
      <c r="H122" s="2461" t="str">
        <f>'Grant QC Review'!H122:X127</f>
        <v xml:space="preserve">The following is the information is from the Lighting Application formatted to look like DSM Form 3 (Grant QC Review). 
Use this to review what is reported in DSM. 
QC Reviewer - Check if the information in the YELLOW cells below matches what is in DSM (the YELLOW cells are the only cells that the PM/EME can edit in DSM Form 2). DSM should match these cells except when a Customer/Contractor/Partner/Payee lookup in DSMc has been performed.
</v>
      </c>
      <c r="I122" s="2327"/>
      <c r="J122" s="2327"/>
      <c r="K122" s="2327"/>
      <c r="L122" s="2327"/>
      <c r="M122" s="2327"/>
      <c r="N122" s="2327"/>
      <c r="O122" s="2327"/>
      <c r="P122" s="2327"/>
      <c r="Q122" s="2327"/>
      <c r="R122" s="2327"/>
      <c r="S122" s="2327"/>
      <c r="T122" s="2327"/>
      <c r="U122" s="2327"/>
      <c r="V122" s="2327"/>
      <c r="W122" s="2327"/>
      <c r="X122" s="2328"/>
    </row>
    <row r="123" spans="2:24" ht="14.95" customHeight="1">
      <c r="B123" s="1441"/>
      <c r="H123" s="2329"/>
      <c r="I123" s="2330"/>
      <c r="J123" s="2330"/>
      <c r="K123" s="2330"/>
      <c r="L123" s="2330"/>
      <c r="M123" s="2330"/>
      <c r="N123" s="2330"/>
      <c r="O123" s="2330"/>
      <c r="P123" s="2330"/>
      <c r="Q123" s="2330"/>
      <c r="R123" s="2330"/>
      <c r="S123" s="2330"/>
      <c r="T123" s="2330"/>
      <c r="U123" s="2330"/>
      <c r="V123" s="2330"/>
      <c r="W123" s="2330"/>
      <c r="X123" s="2331"/>
    </row>
    <row r="124" spans="2:24">
      <c r="B124" s="1441"/>
      <c r="H124" s="2329"/>
      <c r="I124" s="2330"/>
      <c r="J124" s="2330"/>
      <c r="K124" s="2330"/>
      <c r="L124" s="2330"/>
      <c r="M124" s="2330"/>
      <c r="N124" s="2330"/>
      <c r="O124" s="2330"/>
      <c r="P124" s="2330"/>
      <c r="Q124" s="2330"/>
      <c r="R124" s="2330"/>
      <c r="S124" s="2330"/>
      <c r="T124" s="2330"/>
      <c r="U124" s="2330"/>
      <c r="V124" s="2330"/>
      <c r="W124" s="2330"/>
      <c r="X124" s="2331"/>
    </row>
    <row r="125" spans="2:24">
      <c r="B125" s="1441"/>
      <c r="H125" s="2329"/>
      <c r="I125" s="2330"/>
      <c r="J125" s="2330"/>
      <c r="K125" s="2330"/>
      <c r="L125" s="2330"/>
      <c r="M125" s="2330"/>
      <c r="N125" s="2330"/>
      <c r="O125" s="2330"/>
      <c r="P125" s="2330"/>
      <c r="Q125" s="2330"/>
      <c r="R125" s="2330"/>
      <c r="S125" s="2330"/>
      <c r="T125" s="2330"/>
      <c r="U125" s="2330"/>
      <c r="V125" s="2330"/>
      <c r="W125" s="2330"/>
      <c r="X125" s="2331"/>
    </row>
    <row r="126" spans="2:24" ht="14.95" customHeight="1">
      <c r="B126" s="1441"/>
      <c r="H126" s="2329"/>
      <c r="I126" s="2330"/>
      <c r="J126" s="2330"/>
      <c r="K126" s="2330"/>
      <c r="L126" s="2330"/>
      <c r="M126" s="2330"/>
      <c r="N126" s="2330"/>
      <c r="O126" s="2330"/>
      <c r="P126" s="2330"/>
      <c r="Q126" s="2330"/>
      <c r="R126" s="2330"/>
      <c r="S126" s="2330"/>
      <c r="T126" s="2330"/>
      <c r="U126" s="2330"/>
      <c r="V126" s="2330"/>
      <c r="W126" s="2330"/>
      <c r="X126" s="2331"/>
    </row>
    <row r="127" spans="2:24" ht="14.95" thickBot="1">
      <c r="B127" s="1441"/>
      <c r="H127" s="2332"/>
      <c r="I127" s="2333"/>
      <c r="J127" s="2333"/>
      <c r="K127" s="2333"/>
      <c r="L127" s="2333"/>
      <c r="M127" s="2333"/>
      <c r="N127" s="2333"/>
      <c r="O127" s="2333"/>
      <c r="P127" s="2333"/>
      <c r="Q127" s="2333"/>
      <c r="R127" s="2333"/>
      <c r="S127" s="2333"/>
      <c r="T127" s="2333"/>
      <c r="U127" s="2333"/>
      <c r="V127" s="2333"/>
      <c r="W127" s="2333"/>
      <c r="X127" s="2334"/>
    </row>
    <row r="128" spans="2:24">
      <c r="B128" s="1441"/>
    </row>
    <row r="129" spans="2:24" ht="7.5" customHeight="1">
      <c r="B129" s="1441"/>
      <c r="C129" s="621"/>
      <c r="D129" s="610"/>
      <c r="E129" s="610"/>
      <c r="F129" s="610"/>
      <c r="G129" s="610"/>
      <c r="H129" s="610"/>
      <c r="I129" s="610"/>
      <c r="J129" s="610"/>
      <c r="K129" s="610"/>
      <c r="L129" s="610"/>
      <c r="M129" s="610"/>
      <c r="N129" s="610"/>
      <c r="O129" s="610"/>
      <c r="P129" s="610"/>
      <c r="Q129" s="610"/>
      <c r="R129" s="610"/>
      <c r="S129" s="610"/>
      <c r="T129" s="610"/>
      <c r="U129" s="610"/>
      <c r="V129" s="610"/>
      <c r="W129" s="610"/>
      <c r="X129" s="1158"/>
    </row>
    <row r="130" spans="2:24">
      <c r="B130" s="1441"/>
      <c r="C130" s="260"/>
      <c r="D130" s="2547" t="s">
        <v>898</v>
      </c>
      <c r="E130" s="2547"/>
      <c r="F130" s="2547"/>
      <c r="G130" s="2547"/>
      <c r="H130" s="2547"/>
      <c r="I130" s="2547"/>
      <c r="J130" s="2547"/>
      <c r="K130" s="2547"/>
      <c r="L130" s="2547"/>
      <c r="M130" s="2547"/>
      <c r="N130" s="2547"/>
      <c r="O130" s="2547"/>
      <c r="P130" s="2547"/>
      <c r="Q130" s="2547"/>
      <c r="R130" s="2547"/>
      <c r="S130" s="2547"/>
      <c r="T130" s="2547"/>
      <c r="U130" s="2547"/>
      <c r="V130" s="2548" t="s">
        <v>1085</v>
      </c>
      <c r="W130" s="2548"/>
      <c r="X130" s="262"/>
    </row>
    <row r="131" spans="2:24" ht="5.0999999999999996" customHeight="1">
      <c r="B131" s="1441"/>
      <c r="C131" s="260"/>
      <c r="X131" s="262"/>
    </row>
    <row r="132" spans="2:24">
      <c r="B132" s="1441"/>
      <c r="C132" s="260"/>
      <c r="I132" s="305" t="s">
        <v>899</v>
      </c>
      <c r="J132" s="2197">
        <f>M24</f>
        <v>0</v>
      </c>
      <c r="K132" s="2176"/>
      <c r="L132" s="2177"/>
      <c r="N132" s="10"/>
      <c r="O132" s="10"/>
      <c r="P132" s="10"/>
      <c r="Q132" s="10"/>
      <c r="R132" s="10"/>
      <c r="T132" s="305" t="s">
        <v>829</v>
      </c>
      <c r="U132" s="2197">
        <f>M26</f>
        <v>0</v>
      </c>
      <c r="V132" s="2177"/>
      <c r="X132" s="262"/>
    </row>
    <row r="133" spans="2:24" ht="5.0999999999999996" customHeight="1">
      <c r="B133" s="1441"/>
      <c r="C133" s="260"/>
      <c r="J133" s="10"/>
      <c r="K133" s="10"/>
      <c r="N133" s="10"/>
      <c r="O133" s="10"/>
      <c r="P133" s="10"/>
      <c r="Q133" s="10"/>
      <c r="R133" s="10"/>
      <c r="T133" s="306"/>
      <c r="U133" s="306"/>
      <c r="V133" s="307"/>
      <c r="X133" s="262"/>
    </row>
    <row r="134" spans="2:24">
      <c r="B134" s="1441"/>
      <c r="C134" s="260"/>
      <c r="I134" s="404" t="s">
        <v>900</v>
      </c>
      <c r="J134" s="2244"/>
      <c r="K134" s="2246"/>
      <c r="L134" s="2245"/>
      <c r="N134" s="10"/>
      <c r="O134" s="10"/>
      <c r="P134" s="10"/>
      <c r="Q134" s="10"/>
      <c r="R134" s="10"/>
      <c r="T134" s="306"/>
      <c r="U134" s="308"/>
      <c r="X134" s="262"/>
    </row>
    <row r="135" spans="2:24" ht="5.0999999999999996" customHeight="1">
      <c r="B135" s="1441"/>
      <c r="C135" s="261"/>
      <c r="D135" s="184"/>
      <c r="E135" s="184"/>
      <c r="F135" s="184"/>
      <c r="G135" s="184"/>
      <c r="H135" s="184"/>
      <c r="I135" s="184"/>
      <c r="J135" s="184"/>
      <c r="K135" s="184"/>
      <c r="L135" s="184"/>
      <c r="M135" s="184"/>
      <c r="N135" s="184"/>
      <c r="O135" s="184"/>
      <c r="P135" s="184"/>
      <c r="Q135" s="184"/>
      <c r="R135" s="184"/>
      <c r="S135" s="184"/>
      <c r="T135" s="184"/>
      <c r="U135" s="184"/>
      <c r="V135" s="184"/>
      <c r="W135" s="184"/>
      <c r="X135" s="263"/>
    </row>
    <row r="136" spans="2:24" ht="5.0999999999999996" customHeight="1">
      <c r="B136" s="1441"/>
    </row>
    <row r="137" spans="2:24" ht="5.0999999999999996" customHeight="1">
      <c r="B137" s="1441"/>
      <c r="C137" s="621"/>
      <c r="D137" s="610"/>
      <c r="E137" s="610"/>
      <c r="F137" s="610"/>
      <c r="G137" s="610"/>
      <c r="H137" s="610"/>
      <c r="I137" s="610"/>
      <c r="J137" s="610"/>
      <c r="K137" s="610"/>
      <c r="L137" s="610"/>
      <c r="M137" s="610"/>
      <c r="N137" s="610"/>
      <c r="O137" s="610"/>
      <c r="P137" s="610"/>
      <c r="Q137" s="610"/>
      <c r="R137" s="610"/>
      <c r="S137" s="610"/>
      <c r="T137" s="610"/>
      <c r="U137" s="610"/>
      <c r="V137" s="610"/>
      <c r="W137" s="610"/>
      <c r="X137" s="1158"/>
    </row>
    <row r="138" spans="2:24">
      <c r="B138" s="1441"/>
      <c r="C138" s="260"/>
      <c r="D138" s="2547" t="s">
        <v>1086</v>
      </c>
      <c r="E138" s="2547"/>
      <c r="F138" s="2547"/>
      <c r="G138" s="2547"/>
      <c r="H138" s="2547"/>
      <c r="I138" s="2547"/>
      <c r="J138" s="2547"/>
      <c r="K138" s="2547"/>
      <c r="L138" s="2547"/>
      <c r="M138" s="2547"/>
      <c r="N138" s="2547"/>
      <c r="O138" s="2547"/>
      <c r="P138" s="2547"/>
      <c r="Q138" s="2547"/>
      <c r="R138" s="2547"/>
      <c r="S138" s="2547"/>
      <c r="T138" s="2547"/>
      <c r="U138" s="2547"/>
      <c r="V138" s="2548" t="s">
        <v>1085</v>
      </c>
      <c r="W138" s="2548"/>
      <c r="X138" s="262"/>
    </row>
    <row r="139" spans="2:24" ht="5.0999999999999996" customHeight="1">
      <c r="B139" s="1441"/>
      <c r="C139" s="260"/>
      <c r="X139" s="262"/>
    </row>
    <row r="140" spans="2:24">
      <c r="B140" s="1441"/>
      <c r="C140" s="260"/>
      <c r="S140" s="311"/>
      <c r="T140" s="308" t="s">
        <v>902</v>
      </c>
      <c r="U140" s="2556"/>
      <c r="V140" s="2557"/>
      <c r="X140" s="262"/>
    </row>
    <row r="141" spans="2:24" ht="5.0999999999999996" customHeight="1">
      <c r="B141" s="1441"/>
      <c r="C141" s="260"/>
      <c r="S141" s="311"/>
      <c r="T141" s="311"/>
      <c r="U141" s="311"/>
      <c r="V141" s="311"/>
      <c r="X141" s="262"/>
    </row>
    <row r="142" spans="2:24">
      <c r="B142" s="1441"/>
      <c r="C142" s="260"/>
      <c r="I142" s="185" t="s">
        <v>903</v>
      </c>
      <c r="J142" s="2364">
        <f ca="1">J391</f>
        <v>0</v>
      </c>
      <c r="K142" s="2365"/>
      <c r="L142" s="2366"/>
      <c r="S142" s="311"/>
      <c r="T142" s="311"/>
      <c r="U142" s="311"/>
      <c r="V142" s="311"/>
      <c r="X142" s="262"/>
    </row>
    <row r="143" spans="2:24" ht="5.0999999999999996" customHeight="1">
      <c r="B143" s="1441"/>
      <c r="C143" s="260"/>
      <c r="S143" s="311"/>
      <c r="T143" s="311"/>
      <c r="U143" s="311"/>
      <c r="V143" s="311"/>
      <c r="X143" s="262"/>
    </row>
    <row r="144" spans="2:24">
      <c r="B144" s="1441"/>
      <c r="C144" s="260"/>
      <c r="I144" s="404" t="s">
        <v>904</v>
      </c>
      <c r="J144" s="2244">
        <f ca="1">J393</f>
        <v>0</v>
      </c>
      <c r="K144" s="2246"/>
      <c r="L144" s="2245"/>
      <c r="M144" s="402"/>
      <c r="N144" s="402"/>
      <c r="O144" s="402"/>
      <c r="P144" s="402"/>
      <c r="Q144" s="402"/>
      <c r="R144" s="402"/>
      <c r="S144" s="402"/>
      <c r="T144" s="404" t="s">
        <v>905</v>
      </c>
      <c r="U144" s="2555">
        <f ca="1">U393</f>
        <v>0</v>
      </c>
      <c r="V144" s="2245"/>
      <c r="X144" s="262"/>
    </row>
    <row r="145" spans="2:24" ht="5.0999999999999996" customHeight="1">
      <c r="B145" s="1441"/>
      <c r="C145" s="260"/>
      <c r="I145" s="402"/>
      <c r="J145" s="402"/>
      <c r="K145" s="402"/>
      <c r="L145" s="402"/>
      <c r="M145" s="402"/>
      <c r="N145" s="402"/>
      <c r="O145" s="402"/>
      <c r="P145" s="402"/>
      <c r="Q145" s="402"/>
      <c r="R145" s="402"/>
      <c r="S145" s="402"/>
      <c r="T145" s="402"/>
      <c r="U145" s="403"/>
      <c r="V145" s="402"/>
      <c r="X145" s="262"/>
    </row>
    <row r="146" spans="2:24">
      <c r="B146" s="1441"/>
      <c r="C146" s="260"/>
      <c r="I146" s="404" t="s">
        <v>906</v>
      </c>
      <c r="J146" s="2244"/>
      <c r="K146" s="2246"/>
      <c r="L146" s="2245"/>
      <c r="M146" s="402"/>
      <c r="N146" s="402"/>
      <c r="O146" s="402"/>
      <c r="P146" s="402"/>
      <c r="Q146" s="402"/>
      <c r="R146" s="402"/>
      <c r="S146" s="402"/>
      <c r="T146" s="404" t="s">
        <v>907</v>
      </c>
      <c r="U146" s="2555">
        <f ca="1">U395</f>
        <v>0</v>
      </c>
      <c r="V146" s="2245"/>
      <c r="X146" s="262"/>
    </row>
    <row r="147" spans="2:24" ht="5.0999999999999996" customHeight="1">
      <c r="B147" s="262"/>
      <c r="C147" s="260"/>
      <c r="I147" s="402"/>
      <c r="J147" s="402"/>
      <c r="K147" s="402"/>
      <c r="L147" s="402"/>
      <c r="M147" s="402"/>
      <c r="N147" s="402"/>
      <c r="O147" s="402"/>
      <c r="P147" s="402"/>
      <c r="Q147" s="402"/>
      <c r="R147" s="402"/>
      <c r="S147" s="402"/>
      <c r="T147" s="402"/>
      <c r="U147" s="403"/>
      <c r="V147" s="402"/>
      <c r="X147" s="262"/>
    </row>
    <row r="148" spans="2:24">
      <c r="B148" s="262"/>
      <c r="C148" s="260"/>
      <c r="I148" s="404" t="s">
        <v>908</v>
      </c>
      <c r="J148" s="2244"/>
      <c r="K148" s="2246"/>
      <c r="L148" s="2245"/>
      <c r="M148" s="402"/>
      <c r="N148" s="402"/>
      <c r="O148" s="402"/>
      <c r="P148" s="402"/>
      <c r="Q148" s="402"/>
      <c r="R148" s="402"/>
      <c r="S148" s="402"/>
      <c r="T148" s="404" t="s">
        <v>909</v>
      </c>
      <c r="U148" s="2555">
        <f ca="1">U397</f>
        <v>0</v>
      </c>
      <c r="V148" s="2245"/>
      <c r="X148" s="262"/>
    </row>
    <row r="149" spans="2:24" ht="5.0999999999999996" customHeight="1">
      <c r="B149" s="262"/>
      <c r="C149" s="260"/>
      <c r="I149" s="402"/>
      <c r="J149" s="402"/>
      <c r="K149" s="402"/>
      <c r="L149" s="402"/>
      <c r="M149" s="402"/>
      <c r="N149" s="402"/>
      <c r="O149" s="402"/>
      <c r="P149" s="402"/>
      <c r="Q149" s="402"/>
      <c r="R149" s="402"/>
      <c r="S149" s="402"/>
      <c r="T149" s="402"/>
      <c r="U149" s="403"/>
      <c r="V149" s="402"/>
      <c r="X149" s="262"/>
    </row>
    <row r="150" spans="2:24">
      <c r="B150" s="262"/>
      <c r="C150" s="260"/>
      <c r="I150" s="404" t="s">
        <v>910</v>
      </c>
      <c r="J150" s="2555" t="str">
        <f ca="1">J399</f>
        <v>WA</v>
      </c>
      <c r="K150" s="2246"/>
      <c r="L150" s="2245"/>
      <c r="M150" s="402"/>
      <c r="N150" s="402"/>
      <c r="O150" s="402"/>
      <c r="P150" s="402"/>
      <c r="Q150" s="402"/>
      <c r="R150" s="402"/>
      <c r="S150" s="402"/>
      <c r="T150" s="404" t="s">
        <v>911</v>
      </c>
      <c r="U150" s="2555">
        <f ca="1">U399</f>
        <v>0</v>
      </c>
      <c r="V150" s="2245"/>
      <c r="X150" s="262"/>
    </row>
    <row r="151" spans="2:24" ht="5.0999999999999996" customHeight="1">
      <c r="B151" s="262"/>
      <c r="C151" s="260"/>
      <c r="I151" s="402"/>
      <c r="J151" s="402"/>
      <c r="K151" s="402"/>
      <c r="L151" s="402"/>
      <c r="M151" s="402"/>
      <c r="N151" s="402"/>
      <c r="O151" s="402"/>
      <c r="P151" s="402"/>
      <c r="Q151" s="402"/>
      <c r="R151" s="402"/>
      <c r="S151" s="402"/>
      <c r="T151" s="402"/>
      <c r="U151" s="403"/>
      <c r="V151" s="402"/>
      <c r="X151" s="262"/>
    </row>
    <row r="152" spans="2:24">
      <c r="B152" s="262"/>
      <c r="C152" s="260"/>
      <c r="I152" s="404" t="s">
        <v>912</v>
      </c>
      <c r="J152" s="2244">
        <f>J401</f>
        <v>0</v>
      </c>
      <c r="K152" s="2246"/>
      <c r="L152" s="2245"/>
      <c r="M152" s="402"/>
      <c r="N152" s="402"/>
      <c r="O152" s="402"/>
      <c r="P152" s="402"/>
      <c r="Q152" s="402"/>
      <c r="R152" s="402"/>
      <c r="S152" s="402"/>
      <c r="T152" s="404" t="s">
        <v>913</v>
      </c>
      <c r="U152" s="2244">
        <f ca="1">U401</f>
        <v>0</v>
      </c>
      <c r="V152" s="2245"/>
      <c r="X152" s="262"/>
    </row>
    <row r="153" spans="2:24" ht="5.0999999999999996" customHeight="1">
      <c r="B153" s="262"/>
      <c r="C153" s="260"/>
      <c r="I153" s="402"/>
      <c r="J153" s="402"/>
      <c r="K153" s="402"/>
      <c r="L153" s="402"/>
      <c r="M153" s="402"/>
      <c r="N153" s="402"/>
      <c r="O153" s="402"/>
      <c r="P153" s="402"/>
      <c r="Q153" s="402"/>
      <c r="R153" s="402"/>
      <c r="S153" s="402"/>
      <c r="T153" s="402"/>
      <c r="U153" s="403"/>
      <c r="V153" s="402"/>
      <c r="X153" s="262"/>
    </row>
    <row r="154" spans="2:24">
      <c r="B154" s="262"/>
      <c r="C154" s="260"/>
      <c r="I154" s="405" t="s">
        <v>914</v>
      </c>
      <c r="J154" s="2244">
        <f ca="1">J403</f>
        <v>0</v>
      </c>
      <c r="K154" s="2246"/>
      <c r="L154" s="2245"/>
      <c r="M154" s="402"/>
      <c r="N154" s="402"/>
      <c r="O154" s="402"/>
      <c r="P154" s="402"/>
      <c r="Q154" s="402"/>
      <c r="R154" s="402"/>
      <c r="S154" s="402"/>
      <c r="T154" s="404" t="s">
        <v>915</v>
      </c>
      <c r="U154" s="2244" t="str">
        <f ca="1">U403</f>
        <v>WA</v>
      </c>
      <c r="V154" s="2245"/>
      <c r="X154" s="262"/>
    </row>
    <row r="155" spans="2:24" ht="5.0999999999999996" customHeight="1">
      <c r="B155" s="262"/>
      <c r="C155" s="260"/>
      <c r="I155" s="402"/>
      <c r="J155" s="402"/>
      <c r="K155" s="402"/>
      <c r="L155" s="402"/>
      <c r="M155" s="402"/>
      <c r="N155" s="402"/>
      <c r="O155" s="402"/>
      <c r="P155" s="402"/>
      <c r="Q155" s="402"/>
      <c r="R155" s="402"/>
      <c r="S155" s="402"/>
      <c r="T155" s="402"/>
      <c r="U155" s="403"/>
      <c r="V155" s="402"/>
      <c r="X155" s="262"/>
    </row>
    <row r="156" spans="2:24">
      <c r="B156" s="262"/>
      <c r="C156" s="260"/>
      <c r="I156" s="404" t="s">
        <v>916</v>
      </c>
      <c r="J156" s="2244">
        <f ca="1">J405</f>
        <v>0</v>
      </c>
      <c r="K156" s="2246"/>
      <c r="L156" s="2245"/>
      <c r="M156" s="402"/>
      <c r="N156" s="402"/>
      <c r="O156" s="402"/>
      <c r="P156" s="402"/>
      <c r="Q156" s="402"/>
      <c r="R156" s="402"/>
      <c r="S156" s="402"/>
      <c r="T156" s="404" t="s">
        <v>917</v>
      </c>
      <c r="U156" s="2558">
        <f ca="1">U405</f>
        <v>0</v>
      </c>
      <c r="V156" s="2245"/>
      <c r="X156" s="262"/>
    </row>
    <row r="157" spans="2:24" ht="5.0999999999999996" customHeight="1">
      <c r="B157" s="262"/>
      <c r="C157" s="260"/>
      <c r="I157" s="311"/>
      <c r="J157" s="311"/>
      <c r="K157" s="311"/>
      <c r="L157" s="311"/>
      <c r="U157" s="92"/>
      <c r="X157" s="262"/>
    </row>
    <row r="158" spans="2:24">
      <c r="B158" s="262"/>
      <c r="C158" s="260"/>
      <c r="I158" s="404" t="s">
        <v>918</v>
      </c>
      <c r="J158" s="2555">
        <f ca="1">J407</f>
        <v>0</v>
      </c>
      <c r="K158" s="2246"/>
      <c r="L158" s="2245"/>
      <c r="T158" s="185" t="s">
        <v>919</v>
      </c>
      <c r="U158" s="2197">
        <f ca="1">U407</f>
        <v>0</v>
      </c>
      <c r="V158" s="2177"/>
      <c r="X158" s="262"/>
    </row>
    <row r="159" spans="2:24" ht="7.5" customHeight="1">
      <c r="B159" s="262"/>
      <c r="C159" s="261"/>
      <c r="D159" s="184"/>
      <c r="E159" s="184"/>
      <c r="F159" s="184"/>
      <c r="G159" s="184"/>
      <c r="H159" s="184"/>
      <c r="I159" s="184"/>
      <c r="J159" s="184"/>
      <c r="K159" s="184"/>
      <c r="L159" s="184"/>
      <c r="M159" s="184"/>
      <c r="N159" s="184"/>
      <c r="O159" s="184"/>
      <c r="P159" s="184"/>
      <c r="Q159" s="184"/>
      <c r="R159" s="184"/>
      <c r="S159" s="184"/>
      <c r="T159" s="184"/>
      <c r="U159" s="184"/>
      <c r="V159" s="184"/>
      <c r="W159" s="184"/>
      <c r="X159" s="263"/>
    </row>
    <row r="160" spans="2:24" ht="5.0999999999999996" customHeight="1"/>
    <row r="161" spans="3:24" ht="5.0999999999999996" customHeight="1">
      <c r="C161" s="621"/>
      <c r="D161" s="610"/>
      <c r="E161" s="610"/>
      <c r="F161" s="610"/>
      <c r="G161" s="610"/>
      <c r="H161" s="610"/>
      <c r="I161" s="610"/>
      <c r="J161" s="610"/>
      <c r="K161" s="610"/>
      <c r="L161" s="610"/>
      <c r="M161" s="610"/>
      <c r="N161" s="610"/>
      <c r="O161" s="610"/>
      <c r="P161" s="610"/>
      <c r="Q161" s="610"/>
      <c r="R161" s="610"/>
      <c r="S161" s="610"/>
      <c r="T161" s="610"/>
      <c r="U161" s="610"/>
      <c r="V161" s="610"/>
      <c r="W161" s="610"/>
      <c r="X161" s="1158"/>
    </row>
    <row r="162" spans="3:24">
      <c r="C162" s="260"/>
      <c r="D162" s="411" t="s">
        <v>1087</v>
      </c>
      <c r="E162" s="411"/>
      <c r="F162" s="411"/>
      <c r="G162" s="411"/>
      <c r="H162" s="411"/>
      <c r="I162" s="411"/>
      <c r="J162" s="411"/>
      <c r="K162" s="411"/>
      <c r="L162" s="411"/>
      <c r="M162" s="411"/>
      <c r="N162" s="411"/>
      <c r="O162" s="411"/>
      <c r="P162" s="411"/>
      <c r="Q162" s="411"/>
      <c r="R162" s="411"/>
      <c r="S162" s="411"/>
      <c r="T162" s="411"/>
      <c r="U162" s="411"/>
      <c r="V162" s="2548" t="s">
        <v>1085</v>
      </c>
      <c r="W162" s="2548"/>
      <c r="X162" s="262"/>
    </row>
    <row r="163" spans="3:24" ht="5.0999999999999996" customHeight="1">
      <c r="C163" s="260"/>
      <c r="X163" s="262"/>
    </row>
    <row r="164" spans="3:24">
      <c r="C164" s="260"/>
      <c r="S164" s="402"/>
      <c r="T164" s="404" t="s">
        <v>921</v>
      </c>
      <c r="U164" s="2244"/>
      <c r="V164" s="2245"/>
      <c r="X164" s="262"/>
    </row>
    <row r="165" spans="3:24" ht="5.0999999999999996" customHeight="1">
      <c r="C165" s="260"/>
      <c r="S165" s="402"/>
      <c r="T165" s="402"/>
      <c r="U165" s="402"/>
      <c r="V165" s="402"/>
      <c r="X165" s="262"/>
    </row>
    <row r="166" spans="3:24">
      <c r="C166" s="260"/>
      <c r="J166" s="402"/>
      <c r="K166" s="402"/>
      <c r="L166" s="402"/>
      <c r="S166" s="402"/>
      <c r="T166" s="185" t="s">
        <v>922</v>
      </c>
      <c r="U166" s="2197" t="str">
        <f ca="1">U429</f>
        <v/>
      </c>
      <c r="V166" s="2177"/>
      <c r="X166" s="262"/>
    </row>
    <row r="167" spans="3:24" ht="5.0999999999999996" customHeight="1">
      <c r="C167" s="260"/>
      <c r="I167" s="402"/>
      <c r="J167" s="402"/>
      <c r="K167" s="402"/>
      <c r="L167" s="402"/>
      <c r="S167" s="402"/>
      <c r="T167" s="402"/>
      <c r="U167" s="403"/>
      <c r="V167" s="402"/>
      <c r="X167" s="262"/>
    </row>
    <row r="168" spans="3:24">
      <c r="C168" s="260"/>
      <c r="I168" s="404" t="s">
        <v>923</v>
      </c>
      <c r="J168" s="2244">
        <f>J431</f>
        <v>0</v>
      </c>
      <c r="K168" s="2246"/>
      <c r="L168" s="2245"/>
      <c r="S168" s="402"/>
      <c r="T168" s="185" t="s">
        <v>917</v>
      </c>
      <c r="U168" s="2269" t="str">
        <f ca="1">U431</f>
        <v/>
      </c>
      <c r="V168" s="2177"/>
      <c r="X168" s="262"/>
    </row>
    <row r="169" spans="3:24" ht="5.0999999999999996" customHeight="1">
      <c r="C169" s="260"/>
      <c r="I169" s="402"/>
      <c r="J169" s="402"/>
      <c r="K169" s="402"/>
      <c r="L169" s="402"/>
      <c r="S169" s="402"/>
      <c r="T169" s="402"/>
      <c r="U169" s="403"/>
      <c r="V169" s="402"/>
      <c r="X169" s="262"/>
    </row>
    <row r="170" spans="3:24">
      <c r="C170" s="260"/>
      <c r="I170" s="185" t="s">
        <v>918</v>
      </c>
      <c r="J170" s="2197" t="str">
        <f ca="1">J433</f>
        <v/>
      </c>
      <c r="K170" s="2176"/>
      <c r="L170" s="2177"/>
      <c r="S170" s="402"/>
      <c r="T170" s="185" t="s">
        <v>924</v>
      </c>
      <c r="U170" s="2197" t="str">
        <f ca="1">U433</f>
        <v/>
      </c>
      <c r="V170" s="2177"/>
      <c r="X170" s="262"/>
    </row>
    <row r="171" spans="3:24" ht="5.0999999999999996" customHeight="1">
      <c r="C171" s="260"/>
      <c r="I171" s="402"/>
      <c r="J171" s="402"/>
      <c r="K171" s="402"/>
      <c r="L171" s="402"/>
      <c r="S171" s="402"/>
      <c r="T171" s="402"/>
      <c r="U171" s="403"/>
      <c r="V171" s="402"/>
      <c r="X171" s="262"/>
    </row>
    <row r="172" spans="3:24">
      <c r="C172" s="260"/>
      <c r="I172" s="404" t="s">
        <v>908</v>
      </c>
      <c r="J172" s="2244">
        <f>J435</f>
        <v>0</v>
      </c>
      <c r="K172" s="2246"/>
      <c r="L172" s="2245"/>
      <c r="S172" s="402"/>
      <c r="T172" s="185" t="s">
        <v>909</v>
      </c>
      <c r="U172" s="2197" t="str">
        <f ca="1">U435</f>
        <v/>
      </c>
      <c r="V172" s="2177"/>
      <c r="X172" s="262"/>
    </row>
    <row r="173" spans="3:24" ht="5.0999999999999996" customHeight="1">
      <c r="C173" s="260"/>
      <c r="I173" s="402"/>
      <c r="J173" s="402"/>
      <c r="K173" s="402"/>
      <c r="L173" s="402"/>
      <c r="S173" s="402"/>
      <c r="T173" s="402"/>
      <c r="U173" s="403"/>
      <c r="V173" s="402"/>
      <c r="X173" s="262"/>
    </row>
    <row r="174" spans="3:24">
      <c r="C174" s="260"/>
      <c r="I174" s="185" t="s">
        <v>910</v>
      </c>
      <c r="J174" s="2197" t="str">
        <f ca="1">J437</f>
        <v/>
      </c>
      <c r="K174" s="2176"/>
      <c r="L174" s="2177"/>
      <c r="S174" s="402"/>
      <c r="T174" s="185" t="s">
        <v>911</v>
      </c>
      <c r="U174" s="2197" t="str">
        <f ca="1">U437</f>
        <v/>
      </c>
      <c r="V174" s="2177"/>
      <c r="X174" s="262"/>
    </row>
    <row r="175" spans="3:24" ht="5.0999999999999996" customHeight="1">
      <c r="C175" s="261"/>
      <c r="D175" s="184"/>
      <c r="E175" s="184"/>
      <c r="F175" s="184"/>
      <c r="G175" s="184"/>
      <c r="H175" s="184"/>
      <c r="I175" s="184"/>
      <c r="J175" s="184"/>
      <c r="K175" s="184"/>
      <c r="L175" s="184"/>
      <c r="M175" s="184"/>
      <c r="N175" s="184"/>
      <c r="O175" s="184"/>
      <c r="P175" s="184"/>
      <c r="Q175" s="184"/>
      <c r="R175" s="184"/>
      <c r="S175" s="184"/>
      <c r="T175" s="184"/>
      <c r="U175" s="184"/>
      <c r="V175" s="184"/>
      <c r="W175" s="184"/>
      <c r="X175" s="263"/>
    </row>
    <row r="176" spans="3:24" ht="5.0999999999999996" customHeight="1"/>
    <row r="177" spans="2:24" ht="5.0999999999999996" customHeight="1">
      <c r="B177" s="262"/>
      <c r="C177" s="621"/>
      <c r="D177" s="610"/>
      <c r="E177" s="610"/>
      <c r="F177" s="610"/>
      <c r="G177" s="610"/>
      <c r="H177" s="610"/>
      <c r="I177" s="610"/>
      <c r="J177" s="610"/>
      <c r="K177" s="610"/>
      <c r="L177" s="610"/>
      <c r="M177" s="610"/>
      <c r="N177" s="610"/>
      <c r="O177" s="610"/>
      <c r="P177" s="610"/>
      <c r="Q177" s="610"/>
      <c r="R177" s="610"/>
      <c r="S177" s="610"/>
      <c r="T177" s="610"/>
      <c r="U177" s="610"/>
      <c r="V177" s="610"/>
      <c r="W177" s="610"/>
      <c r="X177" s="1158"/>
    </row>
    <row r="178" spans="2:24">
      <c r="B178" s="262"/>
      <c r="C178" s="260"/>
      <c r="D178" s="2547" t="s">
        <v>1088</v>
      </c>
      <c r="E178" s="2547"/>
      <c r="F178" s="2547"/>
      <c r="G178" s="2547"/>
      <c r="H178" s="2547"/>
      <c r="I178" s="2547"/>
      <c r="J178" s="2547"/>
      <c r="K178" s="2547"/>
      <c r="L178" s="2547"/>
      <c r="M178" s="2547"/>
      <c r="N178" s="2547"/>
      <c r="O178" s="2547"/>
      <c r="P178" s="2547"/>
      <c r="Q178" s="2547"/>
      <c r="R178" s="2547"/>
      <c r="S178" s="2547"/>
      <c r="T178" s="2547"/>
      <c r="U178" s="2547"/>
      <c r="V178" s="2548" t="s">
        <v>1085</v>
      </c>
      <c r="W178" s="2548"/>
      <c r="X178" s="262"/>
    </row>
    <row r="179" spans="2:24" ht="5.0999999999999996" customHeight="1">
      <c r="B179" s="262"/>
      <c r="C179" s="260"/>
      <c r="X179" s="262"/>
    </row>
    <row r="180" spans="2:24">
      <c r="B180" s="262"/>
      <c r="C180" s="260"/>
      <c r="I180" s="404" t="s">
        <v>926</v>
      </c>
      <c r="J180" s="2244">
        <f>J349</f>
        <v>0</v>
      </c>
      <c r="K180" s="2246"/>
      <c r="L180" s="2245"/>
      <c r="M180" s="402"/>
      <c r="N180" s="402"/>
      <c r="O180" s="402"/>
      <c r="P180" s="402"/>
      <c r="Q180" s="402"/>
      <c r="R180" s="402"/>
      <c r="S180" s="402"/>
      <c r="T180" s="404"/>
      <c r="U180" s="402"/>
      <c r="V180" s="402"/>
      <c r="X180" s="262"/>
    </row>
    <row r="181" spans="2:24" ht="5.0999999999999996" customHeight="1">
      <c r="B181" s="262"/>
      <c r="C181" s="260"/>
      <c r="V181" s="293"/>
      <c r="X181" s="262"/>
    </row>
    <row r="182" spans="2:24">
      <c r="B182" s="262"/>
      <c r="C182" s="2636" t="s">
        <v>927</v>
      </c>
      <c r="D182" s="2453"/>
      <c r="E182" s="2453"/>
      <c r="F182" s="2453"/>
      <c r="G182" s="2453"/>
      <c r="H182" s="2453"/>
      <c r="I182" s="2453"/>
      <c r="J182" s="2178">
        <f ca="1">U355</f>
        <v>0</v>
      </c>
      <c r="K182" s="2176"/>
      <c r="L182" s="2177"/>
      <c r="T182" s="185" t="s">
        <v>928</v>
      </c>
      <c r="U182" s="2197">
        <f ca="1">J357</f>
        <v>0</v>
      </c>
      <c r="V182" s="2177"/>
      <c r="X182" s="262"/>
    </row>
    <row r="183" spans="2:24" ht="7.5" customHeight="1">
      <c r="B183" s="262"/>
      <c r="C183" s="2636"/>
      <c r="D183" s="2453"/>
      <c r="E183" s="2453"/>
      <c r="F183" s="2453"/>
      <c r="G183" s="2453"/>
      <c r="H183" s="2453"/>
      <c r="I183" s="2453"/>
      <c r="U183" s="293"/>
      <c r="X183" s="262"/>
    </row>
    <row r="184" spans="2:24">
      <c r="B184" s="262"/>
      <c r="C184" s="2636" t="s">
        <v>929</v>
      </c>
      <c r="D184" s="2453"/>
      <c r="E184" s="2453"/>
      <c r="F184" s="2453"/>
      <c r="G184" s="2453"/>
      <c r="H184" s="2453"/>
      <c r="I184" s="2453"/>
      <c r="J184" s="2269">
        <f ca="1">U357</f>
        <v>0</v>
      </c>
      <c r="K184" s="2349"/>
      <c r="L184" s="2270"/>
      <c r="T184" s="185" t="s">
        <v>904</v>
      </c>
      <c r="U184" s="2271">
        <f ca="1">J359</f>
        <v>0</v>
      </c>
      <c r="V184" s="2177"/>
      <c r="X184" s="262"/>
    </row>
    <row r="185" spans="2:24" ht="7.5" customHeight="1">
      <c r="B185" s="262"/>
      <c r="C185" s="2636"/>
      <c r="D185" s="2453"/>
      <c r="E185" s="2453"/>
      <c r="F185" s="2453"/>
      <c r="G185" s="2453"/>
      <c r="H185" s="2453"/>
      <c r="I185" s="2453"/>
      <c r="U185" s="293"/>
      <c r="X185" s="262"/>
    </row>
    <row r="186" spans="2:24">
      <c r="B186" s="262"/>
      <c r="C186" s="2636" t="s">
        <v>930</v>
      </c>
      <c r="D186" s="2453"/>
      <c r="E186" s="2453"/>
      <c r="F186" s="2453"/>
      <c r="G186" s="2453"/>
      <c r="H186" s="2453"/>
      <c r="I186" s="2453"/>
      <c r="J186" s="2178">
        <f ca="1">U359</f>
        <v>0</v>
      </c>
      <c r="K186" s="2176"/>
      <c r="L186" s="2177"/>
      <c r="N186" s="2453" t="s">
        <v>931</v>
      </c>
      <c r="O186" s="2453"/>
      <c r="P186" s="2453"/>
      <c r="Q186" s="2453"/>
      <c r="R186" s="2453"/>
      <c r="S186" s="2453"/>
      <c r="T186" s="2453"/>
      <c r="U186" s="2178">
        <f ca="1">J361</f>
        <v>0</v>
      </c>
      <c r="V186" s="2177"/>
      <c r="X186" s="262"/>
    </row>
    <row r="187" spans="2:24" ht="7.5" customHeight="1">
      <c r="B187" s="262"/>
      <c r="C187" s="2636"/>
      <c r="D187" s="2453"/>
      <c r="E187" s="2453"/>
      <c r="F187" s="2453"/>
      <c r="G187" s="2453"/>
      <c r="H187" s="2453"/>
      <c r="I187" s="2453"/>
      <c r="N187" s="2453"/>
      <c r="O187" s="2453"/>
      <c r="P187" s="2453"/>
      <c r="Q187" s="2453"/>
      <c r="R187" s="2453"/>
      <c r="S187" s="2453"/>
      <c r="T187" s="2453"/>
      <c r="U187" s="293"/>
      <c r="X187" s="262"/>
    </row>
    <row r="188" spans="2:24">
      <c r="B188" s="262"/>
      <c r="C188" s="2636" t="s">
        <v>932</v>
      </c>
      <c r="D188" s="2453"/>
      <c r="E188" s="2453"/>
      <c r="F188" s="2453"/>
      <c r="G188" s="2453"/>
      <c r="H188" s="2453"/>
      <c r="I188" s="2453"/>
      <c r="J188" s="2269">
        <f ca="1">U361</f>
        <v>0</v>
      </c>
      <c r="K188" s="2349"/>
      <c r="L188" s="2270"/>
      <c r="T188" s="185" t="s">
        <v>933</v>
      </c>
      <c r="U188" s="2178">
        <f ca="1">J363</f>
        <v>0</v>
      </c>
      <c r="V188" s="2177"/>
      <c r="X188" s="262"/>
    </row>
    <row r="189" spans="2:24" ht="7.5" customHeight="1">
      <c r="B189" s="262"/>
      <c r="C189" s="2636"/>
      <c r="D189" s="2453"/>
      <c r="E189" s="2453"/>
      <c r="F189" s="2453"/>
      <c r="G189" s="2453"/>
      <c r="H189" s="2453"/>
      <c r="I189" s="2453"/>
      <c r="U189" s="293"/>
      <c r="X189" s="262"/>
    </row>
    <row r="190" spans="2:24">
      <c r="B190" s="262"/>
      <c r="C190" s="260"/>
      <c r="I190" s="185" t="s">
        <v>934</v>
      </c>
      <c r="J190" s="2197">
        <f ca="1">U363</f>
        <v>0</v>
      </c>
      <c r="K190" s="2176"/>
      <c r="L190" s="2177"/>
      <c r="T190" s="185" t="s">
        <v>935</v>
      </c>
      <c r="U190" s="2178" t="str">
        <f ca="1">J365</f>
        <v>WA</v>
      </c>
      <c r="V190" s="2177"/>
      <c r="X190" s="262"/>
    </row>
    <row r="191" spans="2:24" ht="5.0999999999999996" customHeight="1">
      <c r="B191" s="262"/>
      <c r="C191" s="260"/>
      <c r="U191" s="293"/>
      <c r="X191" s="262"/>
    </row>
    <row r="192" spans="2:24">
      <c r="B192" s="262"/>
      <c r="C192" s="260"/>
      <c r="I192" s="185" t="s">
        <v>936</v>
      </c>
      <c r="J192" s="2197">
        <f ca="1">U365</f>
        <v>0</v>
      </c>
      <c r="K192" s="2176"/>
      <c r="L192" s="2177"/>
      <c r="T192" s="185" t="s">
        <v>937</v>
      </c>
      <c r="U192" s="2197" t="str">
        <f ca="1">J367</f>
        <v/>
      </c>
      <c r="V192" s="2177"/>
      <c r="X192" s="262"/>
    </row>
    <row r="193" spans="2:24" ht="5.0999999999999996" customHeight="1">
      <c r="B193" s="262"/>
      <c r="C193" s="260"/>
      <c r="U193" s="293"/>
      <c r="X193" s="262"/>
    </row>
    <row r="194" spans="2:24">
      <c r="B194" s="262"/>
      <c r="C194" s="260"/>
      <c r="I194" s="185" t="s">
        <v>938</v>
      </c>
      <c r="J194" s="2197" t="str">
        <f ca="1">U367</f>
        <v xml:space="preserve"> </v>
      </c>
      <c r="K194" s="2176"/>
      <c r="L194" s="2177"/>
      <c r="T194" s="185" t="s">
        <v>849</v>
      </c>
      <c r="U194" s="2269" t="str">
        <f ca="1">J369</f>
        <v/>
      </c>
      <c r="V194" s="2270"/>
      <c r="X194" s="262"/>
    </row>
    <row r="195" spans="2:24" ht="5.0999999999999996" customHeight="1">
      <c r="B195" s="262"/>
      <c r="C195" s="260"/>
      <c r="U195" s="293"/>
      <c r="X195" s="262"/>
    </row>
    <row r="196" spans="2:24">
      <c r="B196" s="262"/>
      <c r="C196" s="260"/>
      <c r="I196" s="185" t="s">
        <v>846</v>
      </c>
      <c r="J196" s="2197" t="str">
        <f ca="1">U369</f>
        <v/>
      </c>
      <c r="K196" s="2176"/>
      <c r="L196" s="2177"/>
      <c r="X196" s="262"/>
    </row>
    <row r="197" spans="2:24" ht="5.0999999999999996" customHeight="1">
      <c r="B197" s="262"/>
      <c r="C197" s="260"/>
      <c r="U197" s="293"/>
      <c r="X197" s="262"/>
    </row>
    <row r="198" spans="2:24">
      <c r="B198" s="262"/>
      <c r="C198" s="260"/>
      <c r="I198" s="309"/>
      <c r="J198" s="310"/>
      <c r="K198" s="310"/>
      <c r="T198" s="2562"/>
      <c r="U198" s="310"/>
      <c r="X198" s="262"/>
    </row>
    <row r="199" spans="2:24" ht="5.0999999999999996" customHeight="1">
      <c r="B199" s="262"/>
      <c r="C199" s="260"/>
      <c r="I199" s="309"/>
      <c r="J199" s="310"/>
      <c r="K199" s="310"/>
      <c r="T199" s="2562"/>
      <c r="U199" s="310"/>
      <c r="X199" s="262"/>
    </row>
    <row r="200" spans="2:24">
      <c r="B200" s="262"/>
      <c r="C200" s="260"/>
      <c r="I200" s="185" t="s">
        <v>822</v>
      </c>
      <c r="J200" s="2197">
        <f ca="1">J375</f>
        <v>0</v>
      </c>
      <c r="K200" s="2176"/>
      <c r="L200" s="2177"/>
      <c r="T200" s="404" t="s">
        <v>939</v>
      </c>
      <c r="U200" s="2244"/>
      <c r="V200" s="2245"/>
      <c r="X200" s="262"/>
    </row>
    <row r="201" spans="2:24" ht="5.0999999999999996" customHeight="1">
      <c r="B201" s="262"/>
      <c r="C201" s="260"/>
      <c r="I201" s="309"/>
      <c r="J201" s="311"/>
      <c r="K201" s="311"/>
      <c r="U201" s="309"/>
      <c r="V201" s="310"/>
      <c r="X201" s="262"/>
    </row>
    <row r="202" spans="2:24">
      <c r="B202" s="262"/>
      <c r="C202" s="260"/>
      <c r="X202" s="262"/>
    </row>
    <row r="203" spans="2:24" ht="5.0999999999999996" customHeight="1">
      <c r="B203" s="262"/>
      <c r="C203" s="260"/>
      <c r="U203" s="185"/>
      <c r="V203" s="293"/>
      <c r="X203" s="262"/>
    </row>
    <row r="204" spans="2:24">
      <c r="B204" s="262"/>
      <c r="C204" s="260"/>
      <c r="I204" s="185" t="s">
        <v>940</v>
      </c>
      <c r="J204" s="2178" t="str">
        <f>J351</f>
        <v>NOT Specified?</v>
      </c>
      <c r="K204" s="2176"/>
      <c r="L204" s="2177"/>
      <c r="V204" s="293"/>
      <c r="X204" s="262"/>
    </row>
    <row r="205" spans="2:24" ht="5.0999999999999996" customHeight="1">
      <c r="B205" s="262"/>
      <c r="C205" s="260"/>
      <c r="U205" s="185"/>
      <c r="V205" s="312"/>
      <c r="X205" s="262"/>
    </row>
    <row r="206" spans="2:24" ht="14.95" customHeight="1">
      <c r="B206" s="262"/>
      <c r="C206" s="260"/>
      <c r="V206" s="293"/>
      <c r="X206" s="262"/>
    </row>
    <row r="207" spans="2:24" ht="5.0999999999999996" customHeight="1">
      <c r="B207" s="262"/>
      <c r="C207" s="260"/>
      <c r="V207" s="293"/>
      <c r="X207" s="262"/>
    </row>
    <row r="208" spans="2:24">
      <c r="B208" s="262"/>
      <c r="C208" s="260"/>
      <c r="I208" s="185" t="s">
        <v>941</v>
      </c>
      <c r="J208" s="2197" t="str">
        <f ca="1">U379</f>
        <v/>
      </c>
      <c r="K208" s="2176"/>
      <c r="L208" s="2177"/>
      <c r="V208" s="293"/>
      <c r="X208" s="262"/>
    </row>
    <row r="209" spans="2:24" ht="5.0999999999999996" customHeight="1">
      <c r="B209" s="262"/>
      <c r="C209" s="260"/>
      <c r="J209" s="431"/>
      <c r="K209" s="431"/>
      <c r="V209" s="293"/>
      <c r="X209" s="262"/>
    </row>
    <row r="210" spans="2:24">
      <c r="B210" s="262"/>
      <c r="C210" s="260"/>
      <c r="I210" s="305" t="s">
        <v>942</v>
      </c>
      <c r="J210" s="2197">
        <f ca="1">J381</f>
        <v>0</v>
      </c>
      <c r="K210" s="2176"/>
      <c r="L210" s="2177"/>
      <c r="X210" s="262"/>
    </row>
    <row r="211" spans="2:24" ht="5.0999999999999996" customHeight="1">
      <c r="B211" s="262"/>
      <c r="C211" s="260"/>
      <c r="V211" s="293"/>
      <c r="X211" s="262"/>
    </row>
    <row r="212" spans="2:24">
      <c r="B212" s="262"/>
      <c r="C212" s="260"/>
      <c r="I212" s="305" t="s">
        <v>943</v>
      </c>
      <c r="J212" s="2197">
        <f ca="1">J383</f>
        <v>0</v>
      </c>
      <c r="K212" s="2176"/>
      <c r="L212" s="2177"/>
      <c r="X212" s="262"/>
    </row>
    <row r="213" spans="2:24" ht="5.0999999999999996" customHeight="1">
      <c r="B213" s="262"/>
      <c r="C213" s="260"/>
      <c r="V213" s="293"/>
      <c r="X213" s="262"/>
    </row>
    <row r="214" spans="2:24">
      <c r="B214" s="262"/>
      <c r="C214" s="260"/>
      <c r="I214" s="311"/>
      <c r="J214" s="311"/>
      <c r="X214" s="262"/>
    </row>
    <row r="215" spans="2:24" ht="5.0999999999999996" customHeight="1">
      <c r="B215" s="262"/>
      <c r="C215" s="261"/>
      <c r="D215" s="184"/>
      <c r="E215" s="184"/>
      <c r="F215" s="184"/>
      <c r="G215" s="184"/>
      <c r="H215" s="184"/>
      <c r="I215" s="184"/>
      <c r="J215" s="184"/>
      <c r="K215" s="184"/>
      <c r="L215" s="184"/>
      <c r="M215" s="184"/>
      <c r="N215" s="184"/>
      <c r="O215" s="184"/>
      <c r="P215" s="184"/>
      <c r="Q215" s="184"/>
      <c r="R215" s="184"/>
      <c r="S215" s="184"/>
      <c r="T215" s="184"/>
      <c r="U215" s="184"/>
      <c r="V215" s="184"/>
      <c r="W215" s="184"/>
      <c r="X215" s="263"/>
    </row>
    <row r="216" spans="2:24" ht="5.0999999999999996" customHeight="1"/>
    <row r="217" spans="2:24" ht="5.0999999999999996" customHeight="1">
      <c r="B217" s="262"/>
      <c r="C217" s="621"/>
      <c r="D217" s="610"/>
      <c r="E217" s="610"/>
      <c r="F217" s="610"/>
      <c r="G217" s="610"/>
      <c r="H217" s="610"/>
      <c r="I217" s="610"/>
      <c r="J217" s="610"/>
      <c r="K217" s="610"/>
      <c r="L217" s="610"/>
      <c r="M217" s="610"/>
      <c r="N217" s="610"/>
      <c r="O217" s="610"/>
      <c r="P217" s="610"/>
      <c r="Q217" s="610"/>
      <c r="R217" s="610"/>
      <c r="S217" s="610"/>
      <c r="T217" s="610"/>
      <c r="U217" s="610"/>
      <c r="V217" s="610"/>
      <c r="W217" s="610"/>
      <c r="X217" s="1158"/>
    </row>
    <row r="218" spans="2:24">
      <c r="B218" s="262"/>
      <c r="C218" s="260"/>
      <c r="D218" s="2547" t="s">
        <v>1089</v>
      </c>
      <c r="E218" s="2547"/>
      <c r="F218" s="2547"/>
      <c r="G218" s="2547"/>
      <c r="H218" s="2547"/>
      <c r="I218" s="2547"/>
      <c r="J218" s="2547"/>
      <c r="K218" s="2547"/>
      <c r="L218" s="2547"/>
      <c r="M218" s="2547"/>
      <c r="N218" s="2547"/>
      <c r="O218" s="2547"/>
      <c r="P218" s="2547"/>
      <c r="Q218" s="2547"/>
      <c r="R218" s="2547"/>
      <c r="S218" s="2547"/>
      <c r="T218" s="2547"/>
      <c r="U218" s="2547"/>
      <c r="V218" s="2548" t="s">
        <v>1085</v>
      </c>
      <c r="W218" s="2548"/>
      <c r="X218" s="262"/>
    </row>
    <row r="219" spans="2:24" ht="5.0999999999999996" customHeight="1">
      <c r="B219" s="262"/>
      <c r="C219" s="260"/>
      <c r="X219" s="262"/>
    </row>
    <row r="220" spans="2:24">
      <c r="B220" s="262"/>
      <c r="C220" s="260"/>
      <c r="H220" s="402"/>
      <c r="I220" s="402"/>
      <c r="J220" s="402"/>
      <c r="K220" s="402"/>
      <c r="L220" s="402"/>
      <c r="M220" s="402"/>
      <c r="N220" s="402"/>
      <c r="O220" s="402"/>
      <c r="P220" s="402"/>
      <c r="Q220" s="402"/>
      <c r="R220" s="402"/>
      <c r="S220" s="402"/>
      <c r="T220" s="404" t="s">
        <v>945</v>
      </c>
      <c r="U220" s="2244"/>
      <c r="V220" s="2245"/>
      <c r="X220" s="262"/>
    </row>
    <row r="221" spans="2:24" ht="5.0999999999999996" customHeight="1">
      <c r="B221" s="262"/>
      <c r="C221" s="260"/>
      <c r="H221" s="402"/>
      <c r="I221" s="402"/>
      <c r="J221" s="402"/>
      <c r="K221" s="402"/>
      <c r="L221" s="403"/>
      <c r="M221" s="403"/>
      <c r="N221" s="402"/>
      <c r="O221" s="402"/>
      <c r="P221" s="402"/>
      <c r="Q221" s="402"/>
      <c r="R221" s="402"/>
      <c r="S221" s="402"/>
      <c r="T221" s="402"/>
      <c r="U221" s="402"/>
      <c r="V221" s="403"/>
      <c r="X221" s="262"/>
    </row>
    <row r="222" spans="2:24">
      <c r="B222" s="262"/>
      <c r="C222" s="260"/>
      <c r="I222" s="404" t="s">
        <v>946</v>
      </c>
      <c r="J222" s="2244" t="str">
        <f>J302</f>
        <v>Lighting - Performance - Custom</v>
      </c>
      <c r="K222" s="2246"/>
      <c r="L222" s="2245"/>
      <c r="M222" s="402"/>
      <c r="N222" s="402"/>
      <c r="O222" s="402"/>
      <c r="P222" s="402"/>
      <c r="Q222" s="402"/>
      <c r="R222" s="402"/>
      <c r="S222" s="402"/>
      <c r="T222" s="402"/>
      <c r="U222" s="402"/>
      <c r="V222" s="402"/>
      <c r="X222" s="262"/>
    </row>
    <row r="223" spans="2:24" ht="5.0999999999999996" customHeight="1">
      <c r="B223" s="262"/>
      <c r="C223" s="260"/>
      <c r="J223" s="92"/>
      <c r="K223" s="92"/>
      <c r="V223" s="92"/>
      <c r="X223" s="262"/>
    </row>
    <row r="224" spans="2:24">
      <c r="B224" s="262"/>
      <c r="C224" s="260"/>
      <c r="I224" s="185" t="s">
        <v>947</v>
      </c>
      <c r="J224" s="2595">
        <f ca="1">J308</f>
        <v>0</v>
      </c>
      <c r="K224" s="2596"/>
      <c r="L224" s="2597"/>
      <c r="X224" s="262"/>
    </row>
    <row r="225" spans="2:24" ht="5.0999999999999996" customHeight="1">
      <c r="B225" s="262"/>
      <c r="C225" s="260"/>
      <c r="J225" s="92"/>
      <c r="K225" s="92"/>
      <c r="V225" s="92"/>
      <c r="X225" s="262"/>
    </row>
    <row r="226" spans="2:24">
      <c r="B226" s="262"/>
      <c r="C226" s="260"/>
      <c r="I226" s="305" t="s">
        <v>948</v>
      </c>
      <c r="J226" s="2564" t="str">
        <f>U308</f>
        <v>Lighting</v>
      </c>
      <c r="K226" s="2560"/>
      <c r="L226" s="2561"/>
      <c r="X226" s="262"/>
    </row>
    <row r="227" spans="2:24" ht="5.0999999999999996" customHeight="1">
      <c r="B227" s="262"/>
      <c r="C227" s="260"/>
      <c r="J227" s="92"/>
      <c r="K227" s="92"/>
      <c r="V227" s="92"/>
      <c r="X227" s="262"/>
    </row>
    <row r="228" spans="2:24">
      <c r="B228" s="262"/>
      <c r="C228" s="260"/>
      <c r="I228" s="185" t="s">
        <v>949</v>
      </c>
      <c r="J228" s="2559">
        <f ca="1">J310</f>
        <v>0</v>
      </c>
      <c r="K228" s="2604"/>
      <c r="L228" s="2605"/>
      <c r="X228" s="262"/>
    </row>
    <row r="229" spans="2:24" ht="5.0999999999999996" customHeight="1">
      <c r="B229" s="262"/>
      <c r="C229" s="260"/>
      <c r="J229" s="92"/>
      <c r="K229" s="92"/>
      <c r="V229" s="92"/>
      <c r="X229" s="262"/>
    </row>
    <row r="230" spans="2:24">
      <c r="B230" s="262"/>
      <c r="C230" s="260"/>
      <c r="I230" s="185" t="s">
        <v>950</v>
      </c>
      <c r="J230" s="2559">
        <f>J312</f>
        <v>10</v>
      </c>
      <c r="K230" s="2560"/>
      <c r="L230" s="2561"/>
      <c r="X230" s="262"/>
    </row>
    <row r="231" spans="2:24" ht="5.0999999999999996" customHeight="1">
      <c r="B231" s="262"/>
      <c r="C231" s="260"/>
      <c r="V231" s="92"/>
      <c r="X231" s="262"/>
    </row>
    <row r="232" spans="2:24">
      <c r="B232" s="262"/>
      <c r="C232" s="260"/>
      <c r="I232" s="404" t="s">
        <v>951</v>
      </c>
      <c r="J232" s="2244"/>
      <c r="K232" s="2246"/>
      <c r="L232" s="2245"/>
      <c r="U232" s="185"/>
      <c r="V232" s="92"/>
      <c r="X232" s="262"/>
    </row>
    <row r="233" spans="2:24" ht="5.0999999999999996" customHeight="1">
      <c r="B233" s="262"/>
      <c r="C233" s="260"/>
      <c r="V233" s="92"/>
      <c r="X233" s="262"/>
    </row>
    <row r="234" spans="2:24">
      <c r="B234" s="262"/>
      <c r="C234" s="260"/>
      <c r="I234" s="185" t="s">
        <v>952</v>
      </c>
      <c r="J234" s="2595">
        <f ca="1">J314</f>
        <v>0</v>
      </c>
      <c r="K234" s="2596"/>
      <c r="L234" s="2597"/>
      <c r="X234" s="262"/>
    </row>
    <row r="235" spans="2:24" ht="5.0999999999999996" customHeight="1">
      <c r="B235" s="262"/>
      <c r="C235" s="260"/>
      <c r="V235" s="92"/>
      <c r="X235" s="262"/>
    </row>
    <row r="236" spans="2:24" ht="14.95" customHeight="1">
      <c r="B236" s="262"/>
      <c r="C236" s="260"/>
      <c r="D236" s="2637" t="s">
        <v>953</v>
      </c>
      <c r="E236" s="2637"/>
      <c r="F236" s="2637"/>
      <c r="G236" s="2637"/>
      <c r="H236" s="2637"/>
      <c r="I236" s="2637"/>
      <c r="J236" s="2559">
        <f ca="1">J316</f>
        <v>0</v>
      </c>
      <c r="K236" s="2604"/>
      <c r="L236" s="2605"/>
      <c r="X236" s="262"/>
    </row>
    <row r="237" spans="2:24" ht="14.95" customHeight="1">
      <c r="B237" s="262"/>
      <c r="C237" s="260"/>
      <c r="D237" s="2637"/>
      <c r="E237" s="2637"/>
      <c r="F237" s="2637"/>
      <c r="G237" s="2637"/>
      <c r="H237" s="2637"/>
      <c r="I237" s="2637"/>
      <c r="V237" s="92"/>
      <c r="X237" s="262"/>
    </row>
    <row r="238" spans="2:24">
      <c r="B238" s="262"/>
      <c r="C238" s="260"/>
      <c r="I238" s="314" t="s">
        <v>893</v>
      </c>
      <c r="J238" s="2601">
        <f ca="1">U320</f>
        <v>2</v>
      </c>
      <c r="K238" s="2603"/>
      <c r="L238" s="2602"/>
      <c r="X238" s="262"/>
    </row>
    <row r="239" spans="2:24" ht="5.0999999999999996" customHeight="1">
      <c r="B239" s="262"/>
      <c r="C239" s="260"/>
      <c r="X239" s="262"/>
    </row>
    <row r="240" spans="2:24">
      <c r="B240" s="262"/>
      <c r="C240" s="260"/>
      <c r="I240" s="185" t="s">
        <v>954</v>
      </c>
      <c r="J240" s="2592">
        <f ca="1">J306</f>
        <v>0</v>
      </c>
      <c r="K240" s="2593"/>
      <c r="L240" s="2594"/>
      <c r="Q240" s="402"/>
      <c r="R240" s="402"/>
      <c r="S240" s="402"/>
      <c r="T240" s="404" t="s">
        <v>955</v>
      </c>
      <c r="U240" s="2244" t="str">
        <f ca="1">J304</f>
        <v>Full</v>
      </c>
      <c r="V240" s="2245"/>
      <c r="X240" s="262"/>
    </row>
    <row r="241" spans="2:24" ht="5.0999999999999996" customHeight="1">
      <c r="B241" s="262"/>
      <c r="C241" s="261"/>
      <c r="D241" s="184"/>
      <c r="E241" s="184"/>
      <c r="F241" s="184"/>
      <c r="G241" s="184"/>
      <c r="H241" s="184"/>
      <c r="I241" s="184"/>
      <c r="J241" s="184"/>
      <c r="K241" s="184"/>
      <c r="L241" s="184"/>
      <c r="M241" s="184"/>
      <c r="N241" s="184"/>
      <c r="O241" s="184"/>
      <c r="P241" s="184"/>
      <c r="Q241" s="184"/>
      <c r="R241" s="184"/>
      <c r="S241" s="184"/>
      <c r="T241" s="184"/>
      <c r="U241" s="184"/>
      <c r="V241" s="184"/>
      <c r="W241" s="184"/>
      <c r="X241" s="263"/>
    </row>
    <row r="242" spans="2:24" ht="5.0999999999999996" customHeight="1"/>
    <row r="243" spans="2:24" ht="5.0999999999999996" customHeight="1">
      <c r="B243" s="262"/>
      <c r="C243" s="621"/>
      <c r="D243" s="610"/>
      <c r="E243" s="610"/>
      <c r="F243" s="610"/>
      <c r="G243" s="610"/>
      <c r="H243" s="610"/>
      <c r="I243" s="610"/>
      <c r="J243" s="610"/>
      <c r="K243" s="610"/>
      <c r="L243" s="610"/>
      <c r="M243" s="610"/>
      <c r="N243" s="610"/>
      <c r="O243" s="610"/>
      <c r="P243" s="610"/>
      <c r="Q243" s="610"/>
      <c r="R243" s="610"/>
      <c r="S243" s="610"/>
      <c r="T243" s="610"/>
      <c r="U243" s="610"/>
      <c r="V243" s="610"/>
      <c r="W243" s="610"/>
      <c r="X243" s="1158"/>
    </row>
    <row r="244" spans="2:24">
      <c r="B244" s="262"/>
      <c r="C244" s="260"/>
      <c r="D244" s="2547" t="s">
        <v>956</v>
      </c>
      <c r="E244" s="2547"/>
      <c r="F244" s="2547"/>
      <c r="G244" s="2547"/>
      <c r="H244" s="2547"/>
      <c r="I244" s="2547"/>
      <c r="J244" s="2547"/>
      <c r="K244" s="2547"/>
      <c r="L244" s="2547"/>
      <c r="M244" s="2547"/>
      <c r="N244" s="2547"/>
      <c r="O244" s="2547"/>
      <c r="P244" s="2547"/>
      <c r="Q244" s="2547"/>
      <c r="R244" s="2547"/>
      <c r="S244" s="2547"/>
      <c r="T244" s="2547"/>
      <c r="U244" s="2547"/>
      <c r="V244" s="2548" t="s">
        <v>1085</v>
      </c>
      <c r="W244" s="2548"/>
      <c r="X244" s="262"/>
    </row>
    <row r="245" spans="2:24" ht="5.0999999999999996" customHeight="1">
      <c r="B245" s="262"/>
      <c r="C245" s="260"/>
      <c r="X245" s="262"/>
    </row>
    <row r="246" spans="2:24">
      <c r="B246" s="262"/>
      <c r="C246" s="260"/>
      <c r="I246" s="185" t="s">
        <v>957</v>
      </c>
      <c r="J246" s="2559">
        <f ca="1">J457</f>
        <v>0</v>
      </c>
      <c r="K246" s="2604"/>
      <c r="L246" s="2605"/>
      <c r="X246" s="262"/>
    </row>
    <row r="247" spans="2:24" ht="5.0999999999999996" customHeight="1">
      <c r="B247" s="262"/>
      <c r="C247" s="260"/>
      <c r="J247" s="92"/>
      <c r="K247" s="92"/>
      <c r="X247" s="262"/>
    </row>
    <row r="248" spans="2:24">
      <c r="B248" s="262"/>
      <c r="C248" s="260"/>
      <c r="I248" s="185" t="s">
        <v>958</v>
      </c>
      <c r="J248" s="2595">
        <f ca="1">J459</f>
        <v>0</v>
      </c>
      <c r="K248" s="2596"/>
      <c r="L248" s="2597"/>
      <c r="T248" s="185" t="s">
        <v>959</v>
      </c>
      <c r="U248" s="2638">
        <f ca="1">U459</f>
        <v>0</v>
      </c>
      <c r="V248" s="2639"/>
      <c r="X248" s="262"/>
    </row>
    <row r="249" spans="2:24" ht="5.0999999999999996" customHeight="1">
      <c r="B249" s="262"/>
      <c r="C249" s="261"/>
      <c r="D249" s="184"/>
      <c r="E249" s="184"/>
      <c r="F249" s="184"/>
      <c r="G249" s="184"/>
      <c r="H249" s="184"/>
      <c r="I249" s="184"/>
      <c r="J249" s="184"/>
      <c r="K249" s="184"/>
      <c r="L249" s="184"/>
      <c r="M249" s="184"/>
      <c r="N249" s="184"/>
      <c r="O249" s="184"/>
      <c r="P249" s="184"/>
      <c r="Q249" s="184"/>
      <c r="R249" s="184"/>
      <c r="S249" s="184"/>
      <c r="T249" s="184"/>
      <c r="U249" s="184"/>
      <c r="V249" s="184"/>
      <c r="W249" s="184"/>
      <c r="X249" s="263"/>
    </row>
    <row r="250" spans="2:24" ht="5.0999999999999996" customHeight="1"/>
    <row r="251" spans="2:24" ht="14.95" customHeight="1">
      <c r="B251" s="162"/>
      <c r="C251" s="162"/>
      <c r="D251" s="269"/>
      <c r="E251" s="269"/>
      <c r="F251" s="269"/>
      <c r="G251" s="269"/>
      <c r="H251" s="269"/>
      <c r="N251" s="272"/>
      <c r="O251" s="272"/>
      <c r="P251" s="272"/>
      <c r="Q251" s="272"/>
    </row>
    <row r="252" spans="2:24" ht="7.5" customHeight="1"/>
    <row r="253" spans="2:24">
      <c r="B253" s="1441"/>
    </row>
    <row r="254" spans="2:24">
      <c r="B254" s="1441"/>
    </row>
    <row r="255" spans="2:24" ht="21.75" thickBot="1">
      <c r="B255" s="1441"/>
      <c r="I255" s="315">
        <f>O90</f>
        <v>0</v>
      </c>
      <c r="J255" s="315"/>
      <c r="K255" s="315"/>
      <c r="L255" s="315" t="s">
        <v>1090</v>
      </c>
      <c r="M255" s="315"/>
      <c r="N255" s="315"/>
      <c r="O255" s="315"/>
      <c r="P255" s="315"/>
      <c r="Q255" s="315"/>
      <c r="R255" s="315"/>
      <c r="S255" s="315"/>
      <c r="T255" s="315"/>
      <c r="U255" s="315"/>
      <c r="V255" s="315"/>
      <c r="W255" s="315"/>
      <c r="X255" s="315"/>
    </row>
    <row r="256" spans="2:24" ht="14.95" customHeight="1">
      <c r="B256" s="1441"/>
      <c r="H256" s="2461" t="s">
        <v>1091</v>
      </c>
      <c r="I256" s="2327"/>
      <c r="J256" s="2327"/>
      <c r="K256" s="2327"/>
      <c r="L256" s="2327"/>
      <c r="M256" s="2327"/>
      <c r="N256" s="2327"/>
      <c r="O256" s="2327"/>
      <c r="P256" s="2327"/>
      <c r="Q256" s="2327"/>
      <c r="R256" s="2327"/>
      <c r="S256" s="2327"/>
      <c r="T256" s="2327"/>
      <c r="U256" s="2327"/>
      <c r="V256" s="2327"/>
      <c r="W256" s="2327"/>
      <c r="X256" s="2328"/>
    </row>
    <row r="257" spans="2:24" ht="14.95" customHeight="1">
      <c r="B257" s="1441"/>
      <c r="H257" s="2329"/>
      <c r="I257" s="2330"/>
      <c r="J257" s="2330"/>
      <c r="K257" s="2330"/>
      <c r="L257" s="2330"/>
      <c r="M257" s="2330"/>
      <c r="N257" s="2330"/>
      <c r="O257" s="2330"/>
      <c r="P257" s="2330"/>
      <c r="Q257" s="2330"/>
      <c r="R257" s="2330"/>
      <c r="S257" s="2330"/>
      <c r="T257" s="2330"/>
      <c r="U257" s="2330"/>
      <c r="V257" s="2330"/>
      <c r="W257" s="2330"/>
      <c r="X257" s="2331"/>
    </row>
    <row r="258" spans="2:24">
      <c r="B258" s="1441"/>
      <c r="H258" s="2329"/>
      <c r="I258" s="2330"/>
      <c r="J258" s="2330"/>
      <c r="K258" s="2330"/>
      <c r="L258" s="2330"/>
      <c r="M258" s="2330"/>
      <c r="N258" s="2330"/>
      <c r="O258" s="2330"/>
      <c r="P258" s="2330"/>
      <c r="Q258" s="2330"/>
      <c r="R258" s="2330"/>
      <c r="S258" s="2330"/>
      <c r="T258" s="2330"/>
      <c r="U258" s="2330"/>
      <c r="V258" s="2330"/>
      <c r="W258" s="2330"/>
      <c r="X258" s="2331"/>
    </row>
    <row r="259" spans="2:24">
      <c r="B259" s="1441"/>
      <c r="H259" s="2329"/>
      <c r="I259" s="2330"/>
      <c r="J259" s="2330"/>
      <c r="K259" s="2330"/>
      <c r="L259" s="2330"/>
      <c r="M259" s="2330"/>
      <c r="N259" s="2330"/>
      <c r="O259" s="2330"/>
      <c r="P259" s="2330"/>
      <c r="Q259" s="2330"/>
      <c r="R259" s="2330"/>
      <c r="S259" s="2330"/>
      <c r="T259" s="2330"/>
      <c r="U259" s="2330"/>
      <c r="V259" s="2330"/>
      <c r="W259" s="2330"/>
      <c r="X259" s="2331"/>
    </row>
    <row r="260" spans="2:24" ht="14.95" customHeight="1">
      <c r="B260" s="1441"/>
      <c r="H260" s="2329"/>
      <c r="I260" s="2330"/>
      <c r="J260" s="2330"/>
      <c r="K260" s="2330"/>
      <c r="L260" s="2330"/>
      <c r="M260" s="2330"/>
      <c r="N260" s="2330"/>
      <c r="O260" s="2330"/>
      <c r="P260" s="2330"/>
      <c r="Q260" s="2330"/>
      <c r="R260" s="2330"/>
      <c r="S260" s="2330"/>
      <c r="T260" s="2330"/>
      <c r="U260" s="2330"/>
      <c r="V260" s="2330"/>
      <c r="W260" s="2330"/>
      <c r="X260" s="2331"/>
    </row>
    <row r="261" spans="2:24" ht="14.95" thickBot="1">
      <c r="B261" s="1441"/>
      <c r="H261" s="2332"/>
      <c r="I261" s="2333"/>
      <c r="J261" s="2333"/>
      <c r="K261" s="2333"/>
      <c r="L261" s="2333"/>
      <c r="M261" s="2333"/>
      <c r="N261" s="2333"/>
      <c r="O261" s="2333"/>
      <c r="P261" s="2333"/>
      <c r="Q261" s="2333"/>
      <c r="R261" s="2333"/>
      <c r="S261" s="2333"/>
      <c r="T261" s="2333"/>
      <c r="U261" s="2333"/>
      <c r="V261" s="2333"/>
      <c r="W261" s="2333"/>
      <c r="X261" s="2334"/>
    </row>
    <row r="262" spans="2:24">
      <c r="B262" s="1441"/>
    </row>
    <row r="263" spans="2:24" ht="5.0999999999999996" customHeight="1">
      <c r="B263" s="1441"/>
      <c r="C263" s="621"/>
      <c r="D263" s="610"/>
      <c r="E263" s="610"/>
      <c r="F263" s="610"/>
      <c r="G263" s="610"/>
      <c r="H263" s="610"/>
      <c r="I263" s="610"/>
      <c r="J263" s="610"/>
      <c r="K263" s="610"/>
      <c r="L263" s="610"/>
      <c r="M263" s="610"/>
      <c r="N263" s="610"/>
      <c r="O263" s="610"/>
      <c r="P263" s="610"/>
      <c r="Q263" s="610"/>
      <c r="R263" s="610"/>
      <c r="S263" s="610"/>
      <c r="T263" s="610"/>
      <c r="U263" s="610"/>
      <c r="V263" s="610"/>
      <c r="W263" s="610"/>
      <c r="X263" s="1158"/>
    </row>
    <row r="264" spans="2:24">
      <c r="B264" s="1441"/>
      <c r="C264" s="260"/>
      <c r="D264" s="2547" t="s">
        <v>898</v>
      </c>
      <c r="E264" s="2547"/>
      <c r="F264" s="2547"/>
      <c r="G264" s="2547"/>
      <c r="H264" s="2547"/>
      <c r="I264" s="2547"/>
      <c r="J264" s="2547"/>
      <c r="K264" s="2547"/>
      <c r="L264" s="2547"/>
      <c r="M264" s="2547"/>
      <c r="N264" s="2547"/>
      <c r="O264" s="2547"/>
      <c r="P264" s="2547"/>
      <c r="Q264" s="2547"/>
      <c r="R264" s="2547"/>
      <c r="S264" s="2547"/>
      <c r="T264" s="2547"/>
      <c r="U264" s="2547"/>
      <c r="V264" s="2548" t="s">
        <v>1085</v>
      </c>
      <c r="W264" s="2548"/>
      <c r="X264" s="262"/>
    </row>
    <row r="265" spans="2:24" ht="5.0999999999999996" customHeight="1">
      <c r="B265" s="1441"/>
      <c r="C265" s="260"/>
      <c r="X265" s="262"/>
    </row>
    <row r="266" spans="2:24">
      <c r="B266" s="1441"/>
      <c r="C266" s="260"/>
      <c r="I266" s="305" t="s">
        <v>899</v>
      </c>
      <c r="J266" s="2564">
        <f>M24</f>
        <v>0</v>
      </c>
      <c r="K266" s="2560"/>
      <c r="L266" s="2561"/>
      <c r="N266" s="32"/>
      <c r="O266" s="32"/>
      <c r="T266" s="305" t="s">
        <v>829</v>
      </c>
      <c r="U266" s="2564">
        <f>M26</f>
        <v>0</v>
      </c>
      <c r="V266" s="2561"/>
      <c r="X266" s="262"/>
    </row>
    <row r="267" spans="2:24" ht="5.0999999999999996" customHeight="1">
      <c r="B267" s="1441"/>
      <c r="C267" s="260"/>
      <c r="I267" s="305"/>
      <c r="J267" s="316"/>
      <c r="K267" s="316"/>
      <c r="N267" s="316"/>
      <c r="O267" s="316"/>
      <c r="P267" s="306"/>
      <c r="Q267" s="306"/>
      <c r="R267" s="307"/>
      <c r="U267" s="311"/>
      <c r="V267" s="311"/>
      <c r="X267" s="262"/>
    </row>
    <row r="268" spans="2:24">
      <c r="B268" s="1441"/>
      <c r="C268" s="260"/>
      <c r="I268" s="404" t="s">
        <v>900</v>
      </c>
      <c r="J268" s="2244"/>
      <c r="K268" s="2246"/>
      <c r="L268" s="2245"/>
      <c r="M268" s="402"/>
      <c r="N268" s="403"/>
      <c r="O268" s="403"/>
      <c r="P268" s="402"/>
      <c r="Q268" s="402"/>
      <c r="R268" s="402"/>
      <c r="S268" s="402"/>
      <c r="T268" s="402"/>
      <c r="X268" s="262"/>
    </row>
    <row r="269" spans="2:24" ht="5.0999999999999996" customHeight="1">
      <c r="B269" s="1441"/>
      <c r="C269" s="260"/>
      <c r="I269" s="10"/>
      <c r="J269" s="402"/>
      <c r="K269" s="402"/>
      <c r="L269" s="402"/>
      <c r="M269" s="402"/>
      <c r="N269" s="402"/>
      <c r="O269" s="402"/>
      <c r="P269" s="402"/>
      <c r="Q269" s="402"/>
      <c r="R269" s="402"/>
      <c r="S269" s="402"/>
      <c r="T269" s="402"/>
      <c r="X269" s="262"/>
    </row>
    <row r="270" spans="2:24" ht="14.95" customHeight="1">
      <c r="B270" s="1441"/>
      <c r="C270" s="260"/>
      <c r="D270" s="2571" t="s">
        <v>963</v>
      </c>
      <c r="E270" s="2571"/>
      <c r="F270" s="2571"/>
      <c r="G270" s="2571"/>
      <c r="H270" s="2571"/>
      <c r="I270" s="2571"/>
      <c r="J270" s="2244"/>
      <c r="K270" s="2246"/>
      <c r="L270" s="2245"/>
      <c r="M270" s="402"/>
      <c r="N270" s="412"/>
      <c r="O270" s="412"/>
      <c r="P270" s="402"/>
      <c r="Q270" s="402"/>
      <c r="R270" s="402"/>
      <c r="S270" s="402"/>
      <c r="T270" s="402"/>
      <c r="X270" s="262"/>
    </row>
    <row r="271" spans="2:24" ht="7.5" customHeight="1">
      <c r="B271" s="1441"/>
      <c r="C271" s="261"/>
      <c r="D271" s="2572"/>
      <c r="E271" s="2572"/>
      <c r="F271" s="2572"/>
      <c r="G271" s="2572"/>
      <c r="H271" s="2572"/>
      <c r="I271" s="2572"/>
      <c r="J271" s="318"/>
      <c r="K271" s="318"/>
      <c r="L271" s="319"/>
      <c r="M271" s="319"/>
      <c r="N271" s="319"/>
      <c r="O271" s="319"/>
      <c r="P271" s="184"/>
      <c r="Q271" s="184"/>
      <c r="R271" s="184"/>
      <c r="S271" s="184"/>
      <c r="T271" s="184"/>
      <c r="U271" s="184"/>
      <c r="V271" s="184"/>
      <c r="W271" s="184"/>
      <c r="X271" s="263"/>
    </row>
    <row r="272" spans="2:24" ht="5.0999999999999996" customHeight="1">
      <c r="B272" s="1441"/>
    </row>
    <row r="273" spans="2:24" ht="5.0999999999999996" customHeight="1">
      <c r="B273" s="1441"/>
      <c r="C273" s="621"/>
      <c r="D273" s="610"/>
      <c r="E273" s="610"/>
      <c r="F273" s="610"/>
      <c r="G273" s="610"/>
      <c r="H273" s="610"/>
      <c r="I273" s="610"/>
      <c r="J273" s="610"/>
      <c r="K273" s="610"/>
      <c r="L273" s="610"/>
      <c r="M273" s="610"/>
      <c r="N273" s="610"/>
      <c r="O273" s="610"/>
      <c r="P273" s="610"/>
      <c r="Q273" s="610"/>
      <c r="R273" s="610"/>
      <c r="S273" s="610"/>
      <c r="T273" s="610"/>
      <c r="U273" s="610"/>
      <c r="V273" s="610"/>
      <c r="W273" s="610"/>
      <c r="X273" s="1158"/>
    </row>
    <row r="274" spans="2:24">
      <c r="B274" s="1441"/>
      <c r="C274" s="260"/>
      <c r="D274" s="2547" t="s">
        <v>964</v>
      </c>
      <c r="E274" s="2547"/>
      <c r="F274" s="2547"/>
      <c r="G274" s="2547"/>
      <c r="H274" s="2547"/>
      <c r="I274" s="2547"/>
      <c r="J274" s="2547"/>
      <c r="K274" s="2547"/>
      <c r="L274" s="2547"/>
      <c r="M274" s="2547"/>
      <c r="N274" s="2547"/>
      <c r="O274" s="2547"/>
      <c r="P274" s="2547"/>
      <c r="Q274" s="2547"/>
      <c r="R274" s="2547"/>
      <c r="S274" s="2547"/>
      <c r="T274" s="2547"/>
      <c r="U274" s="2547"/>
      <c r="V274" s="2548" t="s">
        <v>1085</v>
      </c>
      <c r="W274" s="2548"/>
      <c r="X274" s="262"/>
    </row>
    <row r="275" spans="2:24" ht="5.0999999999999996" customHeight="1">
      <c r="B275" s="1441"/>
      <c r="C275" s="260"/>
      <c r="X275" s="262"/>
    </row>
    <row r="276" spans="2:24" ht="14.95" customHeight="1">
      <c r="B276" s="1441"/>
      <c r="C276" s="260"/>
      <c r="D276" s="2563" t="s">
        <v>1092</v>
      </c>
      <c r="E276" s="2563"/>
      <c r="F276" s="2563"/>
      <c r="G276" s="2563"/>
      <c r="H276" s="2563"/>
      <c r="I276" s="2563"/>
      <c r="J276" s="2564" t="str">
        <f>IF(S24&lt;&gt;"","Yes","No")</f>
        <v>No</v>
      </c>
      <c r="K276" s="2560"/>
      <c r="L276" s="2561"/>
      <c r="Q276" s="402"/>
      <c r="R276" s="402"/>
      <c r="S276" s="402"/>
      <c r="T276" s="404" t="s">
        <v>967</v>
      </c>
      <c r="U276" s="2565" t="s">
        <v>1093</v>
      </c>
      <c r="V276" s="2566"/>
      <c r="X276" s="262"/>
    </row>
    <row r="277" spans="2:24">
      <c r="B277" s="1441"/>
      <c r="C277" s="260"/>
      <c r="D277" s="2563"/>
      <c r="E277" s="2563"/>
      <c r="F277" s="2563"/>
      <c r="G277" s="2563"/>
      <c r="H277" s="2563"/>
      <c r="I277" s="2563"/>
      <c r="Q277" s="402"/>
      <c r="R277" s="402"/>
      <c r="S277" s="402"/>
      <c r="T277" s="402"/>
      <c r="U277" s="2567"/>
      <c r="V277" s="2568"/>
      <c r="X277" s="262"/>
    </row>
    <row r="278" spans="2:24">
      <c r="B278" s="1441"/>
      <c r="C278" s="260"/>
      <c r="N278" s="177"/>
      <c r="O278" s="177"/>
      <c r="Q278" s="402"/>
      <c r="R278" s="402"/>
      <c r="S278" s="402"/>
      <c r="T278" s="402"/>
      <c r="U278" s="2569"/>
      <c r="V278" s="2570"/>
      <c r="X278" s="262"/>
    </row>
    <row r="279" spans="2:24" ht="5.0999999999999996" customHeight="1">
      <c r="B279" s="1441"/>
      <c r="C279" s="260"/>
      <c r="X279" s="262"/>
    </row>
    <row r="280" spans="2:24">
      <c r="B280" s="1441"/>
      <c r="C280" s="260"/>
      <c r="D280" s="402"/>
      <c r="E280" s="402"/>
      <c r="F280" s="402"/>
      <c r="G280" s="402"/>
      <c r="H280" s="402"/>
      <c r="I280" s="404" t="s">
        <v>969</v>
      </c>
      <c r="J280" s="2555">
        <f ca="1">DATA!AR5</f>
        <v>0</v>
      </c>
      <c r="K280" s="2246"/>
      <c r="L280" s="2245"/>
      <c r="M280" s="402"/>
      <c r="N280" s="406"/>
      <c r="O280" s="406"/>
      <c r="P280" s="402"/>
      <c r="Q280" s="402"/>
      <c r="R280" s="402"/>
      <c r="S280" s="402"/>
      <c r="T280" s="404" t="s">
        <v>970</v>
      </c>
      <c r="U280" s="2244" t="str">
        <f ca="1">DATA!V5</f>
        <v/>
      </c>
      <c r="V280" s="2245"/>
      <c r="X280" s="262"/>
    </row>
    <row r="281" spans="2:24" ht="5.0999999999999996" customHeight="1">
      <c r="B281" s="262"/>
      <c r="C281" s="260"/>
      <c r="D281" s="402"/>
      <c r="E281" s="402"/>
      <c r="F281" s="402"/>
      <c r="G281" s="402"/>
      <c r="H281" s="402"/>
      <c r="I281" s="402"/>
      <c r="J281" s="402"/>
      <c r="K281" s="402"/>
      <c r="L281" s="402"/>
      <c r="M281" s="402"/>
      <c r="N281" s="402"/>
      <c r="O281" s="402"/>
      <c r="P281" s="402"/>
      <c r="Q281" s="402"/>
      <c r="R281" s="402"/>
      <c r="S281" s="402"/>
      <c r="T281" s="402"/>
      <c r="U281" s="402"/>
      <c r="V281" s="402"/>
      <c r="X281" s="262"/>
    </row>
    <row r="282" spans="2:24" ht="14.95" customHeight="1">
      <c r="B282" s="262"/>
      <c r="C282" s="260"/>
      <c r="D282" s="2589" t="s">
        <v>971</v>
      </c>
      <c r="E282" s="2589"/>
      <c r="F282" s="2589"/>
      <c r="G282" s="2589"/>
      <c r="H282" s="2589"/>
      <c r="I282" s="2589"/>
      <c r="J282" s="2565"/>
      <c r="K282" s="2590"/>
      <c r="L282" s="2566"/>
      <c r="M282" s="402"/>
      <c r="N282" s="448"/>
      <c r="O282" s="2589" t="s">
        <v>972</v>
      </c>
      <c r="P282" s="2589"/>
      <c r="Q282" s="2589"/>
      <c r="R282" s="2589"/>
      <c r="S282" s="2589"/>
      <c r="T282" s="2589"/>
      <c r="U282" s="2565"/>
      <c r="V282" s="2566"/>
      <c r="X282" s="262"/>
    </row>
    <row r="283" spans="2:24">
      <c r="B283" s="262"/>
      <c r="C283" s="260"/>
      <c r="D283" s="2589"/>
      <c r="E283" s="2589"/>
      <c r="F283" s="2589"/>
      <c r="G283" s="2589"/>
      <c r="H283" s="2589"/>
      <c r="I283" s="2589"/>
      <c r="J283" s="2567"/>
      <c r="K283" s="2509"/>
      <c r="L283" s="2568"/>
      <c r="M283" s="402"/>
      <c r="N283" s="448"/>
      <c r="O283" s="2589"/>
      <c r="P283" s="2589"/>
      <c r="Q283" s="2589"/>
      <c r="R283" s="2589"/>
      <c r="S283" s="2589"/>
      <c r="T283" s="2589"/>
      <c r="U283" s="2567"/>
      <c r="V283" s="2568"/>
      <c r="X283" s="262"/>
    </row>
    <row r="284" spans="2:24">
      <c r="B284" s="262"/>
      <c r="C284" s="260"/>
      <c r="D284" s="2589"/>
      <c r="E284" s="2589"/>
      <c r="F284" s="2589"/>
      <c r="G284" s="2589"/>
      <c r="H284" s="2589"/>
      <c r="I284" s="2589"/>
      <c r="J284" s="2569"/>
      <c r="K284" s="2591"/>
      <c r="L284" s="2570"/>
      <c r="M284" s="402"/>
      <c r="N284" s="448"/>
      <c r="O284" s="2589"/>
      <c r="P284" s="2589"/>
      <c r="Q284" s="2589"/>
      <c r="R284" s="2589"/>
      <c r="S284" s="2589"/>
      <c r="T284" s="2589"/>
      <c r="U284" s="2569"/>
      <c r="V284" s="2570"/>
      <c r="X284" s="262"/>
    </row>
    <row r="285" spans="2:24" ht="5.0999999999999996" customHeight="1">
      <c r="B285" s="262"/>
      <c r="C285" s="260"/>
      <c r="I285" s="313"/>
      <c r="J285" s="313"/>
      <c r="K285" s="313"/>
      <c r="L285" s="313"/>
      <c r="M285" s="313"/>
      <c r="N285" s="313"/>
      <c r="O285" s="313"/>
      <c r="U285" s="313"/>
      <c r="V285" s="313"/>
      <c r="X285" s="262"/>
    </row>
    <row r="286" spans="2:24" ht="14.95" customHeight="1">
      <c r="B286" s="262"/>
      <c r="C286" s="260"/>
      <c r="D286" s="2573" t="s">
        <v>973</v>
      </c>
      <c r="E286" s="2573"/>
      <c r="F286" s="2573"/>
      <c r="G286" s="2573"/>
      <c r="H286" s="2573"/>
      <c r="I286" s="2573"/>
      <c r="J286" s="2574" t="s">
        <v>1094</v>
      </c>
      <c r="K286" s="2575"/>
      <c r="L286" s="2576"/>
      <c r="N286" s="320"/>
      <c r="O286" s="320"/>
      <c r="T286" s="305" t="s">
        <v>974</v>
      </c>
      <c r="U286" s="2583" t="s">
        <v>1094</v>
      </c>
      <c r="V286" s="2584"/>
      <c r="X286" s="262"/>
    </row>
    <row r="287" spans="2:24">
      <c r="B287" s="262"/>
      <c r="C287" s="260"/>
      <c r="D287" s="2573"/>
      <c r="E287" s="2573"/>
      <c r="F287" s="2573"/>
      <c r="G287" s="2573"/>
      <c r="H287" s="2573"/>
      <c r="I287" s="2573"/>
      <c r="J287" s="2577"/>
      <c r="K287" s="2578"/>
      <c r="L287" s="2579"/>
      <c r="N287" s="320"/>
      <c r="O287" s="320"/>
      <c r="U287" s="2585"/>
      <c r="V287" s="2586"/>
      <c r="X287" s="262"/>
    </row>
    <row r="288" spans="2:24">
      <c r="B288" s="262"/>
      <c r="C288" s="260"/>
      <c r="I288" s="305"/>
      <c r="J288" s="2580"/>
      <c r="K288" s="2581"/>
      <c r="L288" s="2582"/>
      <c r="N288" s="320"/>
      <c r="O288" s="320"/>
      <c r="U288" s="2587"/>
      <c r="V288" s="2588"/>
      <c r="X288" s="262"/>
    </row>
    <row r="289" spans="2:24" ht="5.0999999999999996" customHeight="1">
      <c r="B289" s="262"/>
      <c r="C289" s="260"/>
      <c r="I289" s="313"/>
      <c r="J289" s="313"/>
      <c r="K289" s="313"/>
      <c r="N289" s="313"/>
      <c r="O289" s="313"/>
      <c r="U289" s="313"/>
      <c r="V289" s="313"/>
      <c r="X289" s="262"/>
    </row>
    <row r="290" spans="2:24">
      <c r="B290" s="262"/>
      <c r="C290" s="260"/>
      <c r="D290" s="2573" t="s">
        <v>975</v>
      </c>
      <c r="E290" s="2573"/>
      <c r="F290" s="2573"/>
      <c r="G290" s="2573"/>
      <c r="H290" s="2573"/>
      <c r="I290" s="2573"/>
      <c r="J290" s="2574" t="s">
        <v>1094</v>
      </c>
      <c r="K290" s="2575"/>
      <c r="L290" s="2576"/>
      <c r="N290" s="320"/>
      <c r="O290" s="320"/>
      <c r="P290" s="402"/>
      <c r="Q290" s="402"/>
      <c r="R290" s="402"/>
      <c r="S290" s="402"/>
      <c r="T290" s="404" t="s">
        <v>976</v>
      </c>
      <c r="U290" s="2244" t="s">
        <v>1095</v>
      </c>
      <c r="V290" s="2245"/>
      <c r="X290" s="262"/>
    </row>
    <row r="291" spans="2:24">
      <c r="B291" s="262"/>
      <c r="C291" s="260"/>
      <c r="D291" s="2573"/>
      <c r="E291" s="2573"/>
      <c r="F291" s="2573"/>
      <c r="G291" s="2573"/>
      <c r="H291" s="2573"/>
      <c r="I291" s="2573"/>
      <c r="J291" s="2577"/>
      <c r="K291" s="2578"/>
      <c r="L291" s="2579"/>
      <c r="N291" s="320"/>
      <c r="O291" s="320"/>
      <c r="P291" s="402"/>
      <c r="Q291" s="402"/>
      <c r="R291" s="402"/>
      <c r="S291" s="402"/>
      <c r="T291" s="402"/>
      <c r="U291" s="404"/>
      <c r="V291" s="406"/>
      <c r="X291" s="262"/>
    </row>
    <row r="292" spans="2:24">
      <c r="B292" s="262"/>
      <c r="C292" s="260"/>
      <c r="I292" s="305"/>
      <c r="J292" s="2580"/>
      <c r="K292" s="2581"/>
      <c r="L292" s="2582"/>
      <c r="N292" s="320"/>
      <c r="O292" s="320"/>
      <c r="U292" s="308"/>
      <c r="V292" s="322"/>
      <c r="X292" s="262"/>
    </row>
    <row r="293" spans="2:24" ht="5.0999999999999996" customHeight="1">
      <c r="B293" s="262"/>
      <c r="C293" s="260"/>
      <c r="X293" s="262"/>
    </row>
    <row r="294" spans="2:24" ht="14.95" customHeight="1">
      <c r="B294" s="262"/>
      <c r="C294" s="260"/>
      <c r="D294" s="2589" t="s">
        <v>977</v>
      </c>
      <c r="E294" s="2589"/>
      <c r="F294" s="2589"/>
      <c r="G294" s="2589"/>
      <c r="H294" s="2589"/>
      <c r="I294" s="2589"/>
      <c r="J294" s="2565"/>
      <c r="K294" s="2590"/>
      <c r="L294" s="2566"/>
      <c r="N294" s="321"/>
      <c r="O294" s="2589" t="s">
        <v>978</v>
      </c>
      <c r="P294" s="2589"/>
      <c r="Q294" s="2589"/>
      <c r="R294" s="2589"/>
      <c r="S294" s="2589"/>
      <c r="T294" s="2589"/>
      <c r="U294" s="2583">
        <f>S67</f>
        <v>0</v>
      </c>
      <c r="V294" s="2584"/>
      <c r="X294" s="262"/>
    </row>
    <row r="295" spans="2:24">
      <c r="B295" s="262"/>
      <c r="C295" s="260"/>
      <c r="D295" s="2589"/>
      <c r="E295" s="2589"/>
      <c r="F295" s="2589"/>
      <c r="G295" s="2589"/>
      <c r="H295" s="2589"/>
      <c r="I295" s="2589"/>
      <c r="J295" s="2567"/>
      <c r="K295" s="2509"/>
      <c r="L295" s="2568"/>
      <c r="N295" s="321"/>
      <c r="O295" s="2589"/>
      <c r="P295" s="2589"/>
      <c r="Q295" s="2589"/>
      <c r="R295" s="2589"/>
      <c r="S295" s="2589"/>
      <c r="T295" s="2589"/>
      <c r="U295" s="2585"/>
      <c r="V295" s="2586"/>
      <c r="X295" s="262"/>
    </row>
    <row r="296" spans="2:24">
      <c r="B296" s="262"/>
      <c r="C296" s="260"/>
      <c r="D296" s="2589"/>
      <c r="E296" s="2589"/>
      <c r="F296" s="2589"/>
      <c r="G296" s="2589"/>
      <c r="H296" s="2589"/>
      <c r="I296" s="2589"/>
      <c r="J296" s="2569"/>
      <c r="K296" s="2591"/>
      <c r="L296" s="2570"/>
      <c r="N296" s="321"/>
      <c r="O296" s="2589"/>
      <c r="P296" s="2589"/>
      <c r="Q296" s="2589"/>
      <c r="R296" s="2589"/>
      <c r="S296" s="2589"/>
      <c r="T296" s="2589"/>
      <c r="U296" s="2587"/>
      <c r="V296" s="2588"/>
      <c r="X296" s="262"/>
    </row>
    <row r="297" spans="2:24" ht="5.0999999999999996" customHeight="1">
      <c r="B297" s="262"/>
      <c r="C297" s="261"/>
      <c r="D297" s="184"/>
      <c r="E297" s="184"/>
      <c r="F297" s="184"/>
      <c r="G297" s="184"/>
      <c r="H297" s="184"/>
      <c r="I297" s="184"/>
      <c r="J297" s="184"/>
      <c r="K297" s="184"/>
      <c r="L297" s="184"/>
      <c r="M297" s="184"/>
      <c r="N297" s="184"/>
      <c r="O297" s="184"/>
      <c r="P297" s="184"/>
      <c r="Q297" s="184"/>
      <c r="R297" s="184"/>
      <c r="S297" s="184"/>
      <c r="T297" s="184"/>
      <c r="U297" s="184"/>
      <c r="V297" s="184"/>
      <c r="W297" s="184"/>
      <c r="X297" s="263"/>
    </row>
    <row r="298" spans="2:24" ht="5.0999999999999996" customHeight="1"/>
    <row r="299" spans="2:24" ht="7.5" customHeight="1">
      <c r="B299" s="262"/>
      <c r="C299" s="621"/>
      <c r="D299" s="610"/>
      <c r="E299" s="610"/>
      <c r="F299" s="610"/>
      <c r="G299" s="610"/>
      <c r="H299" s="610"/>
      <c r="I299" s="610"/>
      <c r="J299" s="610"/>
      <c r="K299" s="610"/>
      <c r="L299" s="610"/>
      <c r="M299" s="610"/>
      <c r="N299" s="610"/>
      <c r="O299" s="610"/>
      <c r="P299" s="610"/>
      <c r="Q299" s="610"/>
      <c r="R299" s="610"/>
      <c r="S299" s="610"/>
      <c r="T299" s="610"/>
      <c r="U299" s="610"/>
      <c r="V299" s="610"/>
      <c r="W299" s="610"/>
      <c r="X299" s="1158"/>
    </row>
    <row r="300" spans="2:24">
      <c r="B300" s="262"/>
      <c r="C300" s="260"/>
      <c r="D300" s="2547" t="s">
        <v>1089</v>
      </c>
      <c r="E300" s="2547"/>
      <c r="F300" s="2547"/>
      <c r="G300" s="2547"/>
      <c r="H300" s="2547"/>
      <c r="I300" s="2547"/>
      <c r="J300" s="2547"/>
      <c r="K300" s="2547"/>
      <c r="L300" s="2547"/>
      <c r="M300" s="2547"/>
      <c r="N300" s="2547"/>
      <c r="O300" s="2547"/>
      <c r="P300" s="2547"/>
      <c r="Q300" s="2547"/>
      <c r="R300" s="2547"/>
      <c r="S300" s="2547"/>
      <c r="T300" s="2547"/>
      <c r="U300" s="2547"/>
      <c r="V300" s="2548" t="s">
        <v>1085</v>
      </c>
      <c r="W300" s="2548"/>
      <c r="X300" s="262"/>
    </row>
    <row r="301" spans="2:24" ht="5.0999999999999996" customHeight="1">
      <c r="B301" s="262"/>
      <c r="C301" s="260"/>
      <c r="X301" s="262"/>
    </row>
    <row r="302" spans="2:24">
      <c r="B302" s="262"/>
      <c r="C302" s="260"/>
      <c r="F302" s="402"/>
      <c r="G302" s="402"/>
      <c r="H302" s="402"/>
      <c r="I302" s="404" t="s">
        <v>946</v>
      </c>
      <c r="J302" s="2244" t="str">
        <f>J577</f>
        <v>Lighting - Performance - Custom</v>
      </c>
      <c r="K302" s="2246"/>
      <c r="L302" s="2245"/>
      <c r="M302" s="403"/>
      <c r="N302" s="403"/>
      <c r="O302" s="403"/>
      <c r="P302" s="402"/>
      <c r="Q302" s="402"/>
      <c r="R302" s="402"/>
      <c r="S302" s="402"/>
      <c r="T302" s="404" t="s">
        <v>980</v>
      </c>
      <c r="U302" s="2244">
        <f>U577</f>
        <v>12334</v>
      </c>
      <c r="V302" s="2245"/>
      <c r="X302" s="262"/>
    </row>
    <row r="303" spans="2:24" ht="5.0999999999999996" customHeight="1">
      <c r="B303" s="262"/>
      <c r="C303" s="260"/>
      <c r="F303" s="402"/>
      <c r="G303" s="402"/>
      <c r="H303" s="402"/>
      <c r="I303" s="402"/>
      <c r="J303" s="403"/>
      <c r="K303" s="402"/>
      <c r="L303" s="402"/>
      <c r="M303" s="403"/>
      <c r="N303" s="403"/>
      <c r="O303" s="403"/>
      <c r="P303" s="402"/>
      <c r="Q303" s="402"/>
      <c r="R303" s="402"/>
      <c r="S303" s="402"/>
      <c r="T303" s="402"/>
      <c r="U303" s="403"/>
      <c r="V303" s="402"/>
      <c r="X303" s="262"/>
    </row>
    <row r="304" spans="2:24">
      <c r="B304" s="262"/>
      <c r="C304" s="260"/>
      <c r="F304" s="402"/>
      <c r="G304" s="402"/>
      <c r="H304" s="402"/>
      <c r="I304" s="404" t="s">
        <v>955</v>
      </c>
      <c r="J304" s="2244" t="str">
        <f ca="1">J579</f>
        <v>Full</v>
      </c>
      <c r="K304" s="2246"/>
      <c r="L304" s="2245"/>
      <c r="M304" s="403"/>
      <c r="N304" s="403"/>
      <c r="O304" s="403"/>
      <c r="P304" s="402"/>
      <c r="Q304" s="402"/>
      <c r="R304" s="402"/>
      <c r="S304" s="402"/>
      <c r="T304" s="402"/>
      <c r="U304" s="402"/>
      <c r="V304" s="402"/>
      <c r="X304" s="262"/>
    </row>
    <row r="305" spans="2:24" ht="5.0999999999999996" customHeight="1">
      <c r="B305" s="262"/>
      <c r="C305" s="260"/>
      <c r="J305" s="92"/>
      <c r="M305" s="92"/>
      <c r="N305" s="92"/>
      <c r="O305" s="92"/>
      <c r="U305" s="92"/>
      <c r="X305" s="262"/>
    </row>
    <row r="306" spans="2:24">
      <c r="B306" s="262"/>
      <c r="C306" s="260"/>
      <c r="I306" s="185" t="s">
        <v>981</v>
      </c>
      <c r="J306" s="2592">
        <f ca="1">U579</f>
        <v>0</v>
      </c>
      <c r="K306" s="2593"/>
      <c r="L306" s="2594"/>
      <c r="M306" s="92"/>
      <c r="N306" s="92"/>
      <c r="O306" s="92"/>
      <c r="U306" s="92"/>
      <c r="X306" s="262"/>
    </row>
    <row r="307" spans="2:24" ht="5.0999999999999996" customHeight="1">
      <c r="B307" s="262"/>
      <c r="C307" s="260"/>
      <c r="J307" s="92"/>
      <c r="M307" s="92"/>
      <c r="N307" s="92"/>
      <c r="O307" s="92"/>
      <c r="U307" s="92"/>
      <c r="X307" s="262"/>
    </row>
    <row r="308" spans="2:24">
      <c r="B308" s="262"/>
      <c r="C308" s="260"/>
      <c r="I308" s="185" t="s">
        <v>947</v>
      </c>
      <c r="J308" s="2595">
        <f ca="1">J581</f>
        <v>0</v>
      </c>
      <c r="K308" s="2596"/>
      <c r="L308" s="2597"/>
      <c r="M308" s="325"/>
      <c r="N308" s="325"/>
      <c r="O308" s="325"/>
      <c r="T308" s="305" t="s">
        <v>948</v>
      </c>
      <c r="U308" s="2564" t="str">
        <f>U581</f>
        <v>Lighting</v>
      </c>
      <c r="V308" s="2561"/>
      <c r="X308" s="262"/>
    </row>
    <row r="309" spans="2:24" ht="5.0999999999999996" customHeight="1">
      <c r="B309" s="262"/>
      <c r="C309" s="260"/>
      <c r="J309" s="92"/>
      <c r="M309" s="92"/>
      <c r="N309" s="92"/>
      <c r="O309" s="92"/>
      <c r="T309" s="313"/>
      <c r="U309" s="324"/>
      <c r="X309" s="262"/>
    </row>
    <row r="310" spans="2:24">
      <c r="B310" s="262"/>
      <c r="C310" s="260"/>
      <c r="I310" s="185" t="s">
        <v>949</v>
      </c>
      <c r="J310" s="2559">
        <f ca="1">J583</f>
        <v>0</v>
      </c>
      <c r="K310" s="2604"/>
      <c r="L310" s="2605"/>
      <c r="M310" s="326"/>
      <c r="N310" s="326"/>
      <c r="O310" s="326"/>
      <c r="P310" s="402"/>
      <c r="Q310" s="402"/>
      <c r="R310" s="402"/>
      <c r="S310" s="402"/>
      <c r="T310" s="404" t="s">
        <v>982</v>
      </c>
      <c r="U310" s="2244">
        <f>DATA!CF5</f>
        <v>0</v>
      </c>
      <c r="V310" s="2245"/>
      <c r="X310" s="262"/>
    </row>
    <row r="311" spans="2:24" ht="5.0999999999999996" customHeight="1">
      <c r="B311" s="262"/>
      <c r="C311" s="260"/>
      <c r="J311" s="92"/>
      <c r="M311" s="92"/>
      <c r="N311" s="92"/>
      <c r="O311" s="92"/>
      <c r="P311" s="402"/>
      <c r="Q311" s="402"/>
      <c r="R311" s="402"/>
      <c r="S311" s="402"/>
      <c r="T311" s="402"/>
      <c r="U311" s="403"/>
      <c r="V311" s="402"/>
      <c r="X311" s="262"/>
    </row>
    <row r="312" spans="2:24">
      <c r="B312" s="262"/>
      <c r="C312" s="260"/>
      <c r="I312" s="223" t="s">
        <v>983</v>
      </c>
      <c r="J312" s="2559">
        <f>J585</f>
        <v>10</v>
      </c>
      <c r="K312" s="2604"/>
      <c r="L312" s="2605"/>
      <c r="M312" s="327"/>
      <c r="N312" s="92"/>
      <c r="O312" s="92"/>
      <c r="P312" s="402"/>
      <c r="Q312" s="402"/>
      <c r="R312" s="402"/>
      <c r="S312" s="402"/>
      <c r="T312" s="404" t="s">
        <v>951</v>
      </c>
      <c r="U312" s="2244"/>
      <c r="V312" s="2245"/>
      <c r="X312" s="262"/>
    </row>
    <row r="313" spans="2:24" ht="5.0999999999999996" customHeight="1">
      <c r="B313" s="262"/>
      <c r="C313" s="260"/>
      <c r="J313" s="92"/>
      <c r="M313" s="92"/>
      <c r="N313" s="92"/>
      <c r="O313" s="92"/>
      <c r="U313" s="92"/>
      <c r="X313" s="262"/>
    </row>
    <row r="314" spans="2:24">
      <c r="B314" s="262"/>
      <c r="C314" s="260"/>
      <c r="I314" s="185" t="s">
        <v>952</v>
      </c>
      <c r="J314" s="2595">
        <f ca="1">U585</f>
        <v>0</v>
      </c>
      <c r="K314" s="2596"/>
      <c r="L314" s="2597"/>
      <c r="M314" s="325"/>
      <c r="N314" s="325"/>
      <c r="O314" s="325"/>
      <c r="X314" s="262"/>
    </row>
    <row r="315" spans="2:24" ht="5.0999999999999996" customHeight="1">
      <c r="B315" s="262"/>
      <c r="C315" s="260"/>
      <c r="J315" s="92"/>
      <c r="M315" s="92"/>
      <c r="N315" s="92"/>
      <c r="O315" s="92"/>
      <c r="U315" s="92"/>
      <c r="X315" s="262"/>
    </row>
    <row r="316" spans="2:24">
      <c r="B316" s="262"/>
      <c r="C316" s="260"/>
      <c r="D316" s="2453" t="s">
        <v>953</v>
      </c>
      <c r="E316" s="2453"/>
      <c r="F316" s="2453"/>
      <c r="G316" s="2453"/>
      <c r="H316" s="2453"/>
      <c r="I316" s="2453"/>
      <c r="J316" s="2559">
        <f ca="1">J587</f>
        <v>0</v>
      </c>
      <c r="K316" s="2604"/>
      <c r="L316" s="2605"/>
      <c r="M316" s="92"/>
      <c r="N316" s="92"/>
      <c r="O316" s="92"/>
      <c r="U316" s="92"/>
      <c r="X316" s="262"/>
    </row>
    <row r="317" spans="2:24" ht="7.5" customHeight="1">
      <c r="B317" s="262"/>
      <c r="C317" s="260"/>
      <c r="D317" s="2453"/>
      <c r="E317" s="2453"/>
      <c r="F317" s="2453"/>
      <c r="G317" s="2453"/>
      <c r="H317" s="2453"/>
      <c r="I317" s="2453"/>
      <c r="J317" s="92"/>
      <c r="M317" s="92"/>
      <c r="N317" s="92"/>
      <c r="O317" s="92"/>
      <c r="U317" s="92"/>
      <c r="X317" s="262"/>
    </row>
    <row r="318" spans="2:24">
      <c r="B318" s="262"/>
      <c r="C318" s="260"/>
      <c r="I318" s="185" t="s">
        <v>984</v>
      </c>
      <c r="J318" s="2598">
        <f>U587</f>
        <v>0</v>
      </c>
      <c r="K318" s="2599"/>
      <c r="L318" s="2600"/>
      <c r="M318" s="329"/>
      <c r="N318" s="329"/>
      <c r="O318" s="329"/>
      <c r="T318" s="185"/>
      <c r="U318" s="92"/>
      <c r="X318" s="262"/>
    </row>
    <row r="319" spans="2:24" ht="5.0999999999999996" customHeight="1">
      <c r="B319" s="262"/>
      <c r="C319" s="260"/>
      <c r="J319" s="92"/>
      <c r="M319" s="92"/>
      <c r="N319" s="92"/>
      <c r="O319" s="92"/>
      <c r="U319" s="92"/>
      <c r="X319" s="262"/>
    </row>
    <row r="320" spans="2:24">
      <c r="B320" s="262"/>
      <c r="C320" s="260"/>
      <c r="I320" s="185" t="s">
        <v>985</v>
      </c>
      <c r="J320" s="2595">
        <f ca="1">J589</f>
        <v>0</v>
      </c>
      <c r="K320" s="2596"/>
      <c r="L320" s="2597"/>
      <c r="M320" s="325"/>
      <c r="N320" s="325"/>
      <c r="O320" s="325"/>
      <c r="T320" s="305" t="s">
        <v>986</v>
      </c>
      <c r="U320" s="2601">
        <f ca="1">U589</f>
        <v>2</v>
      </c>
      <c r="V320" s="2602"/>
      <c r="X320" s="262"/>
    </row>
    <row r="321" spans="2:24" ht="5.0999999999999996" customHeight="1">
      <c r="B321" s="262"/>
      <c r="C321" s="260"/>
      <c r="J321" s="92"/>
      <c r="M321" s="92"/>
      <c r="N321" s="92"/>
      <c r="O321" s="92"/>
      <c r="U321" s="92"/>
      <c r="X321" s="262"/>
    </row>
    <row r="322" spans="2:24">
      <c r="B322" s="262"/>
      <c r="C322" s="260"/>
      <c r="I322" s="305" t="s">
        <v>987</v>
      </c>
      <c r="J322" s="2601">
        <f ca="1">J591</f>
        <v>0</v>
      </c>
      <c r="K322" s="2603"/>
      <c r="L322" s="2602"/>
      <c r="M322" s="330"/>
      <c r="N322" s="331"/>
      <c r="O322" s="331"/>
      <c r="T322" s="185" t="s">
        <v>988</v>
      </c>
      <c r="U322" s="2601" t="e">
        <f ca="1">ROUND(J316/M32,4)</f>
        <v>#DIV/0!</v>
      </c>
      <c r="V322" s="2602"/>
      <c r="X322" s="262"/>
    </row>
    <row r="323" spans="2:24" ht="5.0999999999999996" customHeight="1">
      <c r="B323" s="262"/>
      <c r="C323" s="260"/>
      <c r="J323" s="92"/>
      <c r="M323" s="92"/>
      <c r="N323" s="92"/>
      <c r="O323" s="92"/>
      <c r="U323" s="92"/>
      <c r="X323" s="262"/>
    </row>
    <row r="324" spans="2:24">
      <c r="B324" s="262"/>
      <c r="C324" s="260"/>
      <c r="I324" s="328" t="s">
        <v>989</v>
      </c>
      <c r="J324" s="2601" t="e">
        <f ca="1">ROUND(O100/M32,4)</f>
        <v>#DIV/0!</v>
      </c>
      <c r="K324" s="2603"/>
      <c r="L324" s="2602"/>
      <c r="M324" s="332"/>
      <c r="N324" s="92"/>
      <c r="O324" s="92"/>
      <c r="X324" s="262"/>
    </row>
    <row r="325" spans="2:24" ht="5.0999999999999996" customHeight="1">
      <c r="B325" s="262"/>
      <c r="C325" s="260"/>
      <c r="J325" s="92"/>
      <c r="M325" s="92"/>
      <c r="N325" s="92"/>
      <c r="O325" s="92"/>
      <c r="X325" s="262"/>
    </row>
    <row r="326" spans="2:24">
      <c r="B326" s="262"/>
      <c r="C326" s="261"/>
      <c r="D326" s="184"/>
      <c r="E326" s="184"/>
      <c r="F326" s="184"/>
      <c r="G326" s="184"/>
      <c r="H326" s="184"/>
      <c r="I326" s="184"/>
      <c r="J326" s="184"/>
      <c r="K326" s="184"/>
      <c r="L326" s="184"/>
      <c r="M326" s="184"/>
      <c r="N326" s="184"/>
      <c r="O326" s="184"/>
      <c r="P326" s="184"/>
      <c r="Q326" s="184"/>
      <c r="R326" s="184"/>
      <c r="S326" s="184"/>
      <c r="T326" s="184"/>
      <c r="U326" s="184"/>
      <c r="V326" s="184"/>
      <c r="W326" s="184"/>
      <c r="X326" s="263"/>
    </row>
    <row r="327" spans="2:24" ht="5.0999999999999996" customHeight="1"/>
    <row r="328" spans="2:24" ht="5.0999999999999996" customHeight="1">
      <c r="B328" s="262"/>
      <c r="C328" s="621"/>
      <c r="D328" s="610"/>
      <c r="E328" s="610"/>
      <c r="F328" s="610"/>
      <c r="G328" s="610"/>
      <c r="H328" s="610"/>
      <c r="I328" s="610"/>
      <c r="J328" s="610"/>
      <c r="K328" s="610"/>
      <c r="L328" s="610"/>
      <c r="M328" s="610"/>
      <c r="N328" s="610"/>
      <c r="O328" s="610"/>
      <c r="P328" s="610"/>
      <c r="Q328" s="610"/>
      <c r="R328" s="610"/>
      <c r="S328" s="610"/>
      <c r="T328" s="610"/>
      <c r="U328" s="610"/>
      <c r="V328" s="610"/>
      <c r="W328" s="610"/>
      <c r="X328" s="1158"/>
    </row>
    <row r="329" spans="2:24">
      <c r="B329" s="262"/>
      <c r="C329" s="260"/>
      <c r="D329" s="2547" t="s">
        <v>990</v>
      </c>
      <c r="E329" s="2547"/>
      <c r="F329" s="2547"/>
      <c r="G329" s="2547"/>
      <c r="H329" s="2547"/>
      <c r="I329" s="2547"/>
      <c r="J329" s="2547"/>
      <c r="K329" s="2547"/>
      <c r="L329" s="2547"/>
      <c r="M329" s="2547"/>
      <c r="N329" s="2547"/>
      <c r="O329" s="2547"/>
      <c r="P329" s="2547"/>
      <c r="Q329" s="2547"/>
      <c r="R329" s="2547"/>
      <c r="S329" s="2547"/>
      <c r="T329" s="2547"/>
      <c r="U329" s="2547"/>
      <c r="V329" s="2548" t="s">
        <v>1085</v>
      </c>
      <c r="W329" s="2548"/>
      <c r="X329" s="262"/>
    </row>
    <row r="330" spans="2:24" ht="5.0999999999999996" customHeight="1">
      <c r="B330" s="262"/>
      <c r="C330" s="260"/>
      <c r="X330" s="262"/>
    </row>
    <row r="331" spans="2:24">
      <c r="B331" s="262"/>
      <c r="C331" s="260"/>
      <c r="I331" s="305" t="s">
        <v>991</v>
      </c>
      <c r="J331" s="2606" t="s">
        <v>1096</v>
      </c>
      <c r="K331" s="2607"/>
      <c r="L331" s="2608"/>
      <c r="M331" s="323"/>
      <c r="N331" s="323"/>
      <c r="O331" s="323"/>
      <c r="P331" s="311"/>
      <c r="Q331" s="402"/>
      <c r="R331" s="402"/>
      <c r="S331" s="402"/>
      <c r="T331" s="404" t="s">
        <v>992</v>
      </c>
      <c r="U331" s="2244"/>
      <c r="V331" s="2245"/>
      <c r="X331" s="262"/>
    </row>
    <row r="332" spans="2:24" ht="5.0999999999999996" customHeight="1">
      <c r="B332" s="262"/>
      <c r="C332" s="260"/>
      <c r="I332" s="308"/>
      <c r="J332" s="308"/>
      <c r="K332" s="308"/>
      <c r="L332" s="311"/>
      <c r="M332" s="311"/>
      <c r="N332" s="311"/>
      <c r="O332" s="311"/>
      <c r="P332" s="311"/>
      <c r="Q332" s="311"/>
      <c r="R332" s="311"/>
      <c r="S332" s="311"/>
      <c r="T332" s="308"/>
      <c r="V332" s="311"/>
      <c r="X332" s="262"/>
    </row>
    <row r="333" spans="2:24">
      <c r="B333" s="262"/>
      <c r="C333" s="260"/>
      <c r="H333" s="402"/>
      <c r="I333" s="404" t="s">
        <v>993</v>
      </c>
      <c r="J333" s="2244"/>
      <c r="K333" s="2246"/>
      <c r="L333" s="2245"/>
      <c r="M333" s="403"/>
      <c r="N333" s="403"/>
      <c r="O333" s="403"/>
      <c r="P333" s="402"/>
      <c r="Q333" s="402"/>
      <c r="R333" s="402"/>
      <c r="S333" s="402"/>
      <c r="T333" s="404" t="s">
        <v>994</v>
      </c>
      <c r="U333" s="2244"/>
      <c r="V333" s="2245"/>
      <c r="X333" s="262"/>
    </row>
    <row r="334" spans="2:24" ht="5.0999999999999996" customHeight="1">
      <c r="B334" s="262"/>
      <c r="C334" s="260"/>
      <c r="H334" s="402"/>
      <c r="I334" s="404"/>
      <c r="J334" s="404"/>
      <c r="K334" s="404"/>
      <c r="L334" s="402"/>
      <c r="M334" s="402"/>
      <c r="N334" s="402"/>
      <c r="O334" s="402"/>
      <c r="P334" s="402"/>
      <c r="Q334" s="402"/>
      <c r="R334" s="402"/>
      <c r="S334" s="402"/>
      <c r="T334" s="404"/>
      <c r="U334" s="402"/>
      <c r="V334" s="402"/>
      <c r="X334" s="262"/>
    </row>
    <row r="335" spans="2:24">
      <c r="B335" s="262"/>
      <c r="C335" s="260"/>
      <c r="H335" s="402"/>
      <c r="I335" s="404" t="s">
        <v>995</v>
      </c>
      <c r="J335" s="2244"/>
      <c r="K335" s="2246"/>
      <c r="L335" s="2245"/>
      <c r="M335" s="403"/>
      <c r="N335" s="403"/>
      <c r="O335" s="403"/>
      <c r="P335" s="402"/>
      <c r="Q335" s="402"/>
      <c r="R335" s="402"/>
      <c r="S335" s="402"/>
      <c r="T335" s="404" t="s">
        <v>996</v>
      </c>
      <c r="U335" s="2244"/>
      <c r="V335" s="2245"/>
      <c r="X335" s="262"/>
    </row>
    <row r="336" spans="2:24" ht="5.0999999999999996" customHeight="1">
      <c r="B336" s="262"/>
      <c r="C336" s="261"/>
      <c r="D336" s="184"/>
      <c r="E336" s="184"/>
      <c r="F336" s="184"/>
      <c r="G336" s="184"/>
      <c r="H336" s="184"/>
      <c r="I336" s="184"/>
      <c r="J336" s="184"/>
      <c r="K336" s="184"/>
      <c r="L336" s="184"/>
      <c r="M336" s="184"/>
      <c r="N336" s="184"/>
      <c r="O336" s="184"/>
      <c r="P336" s="184"/>
      <c r="Q336" s="184"/>
      <c r="R336" s="184"/>
      <c r="S336" s="184"/>
      <c r="T336" s="184"/>
      <c r="U336" s="184"/>
      <c r="V336" s="184"/>
      <c r="W336" s="184"/>
      <c r="X336" s="263"/>
    </row>
    <row r="337" spans="2:24" ht="5.0999999999999996" customHeight="1"/>
    <row r="338" spans="2:24" ht="5.0999999999999996" customHeight="1">
      <c r="B338" s="262"/>
      <c r="C338" s="621"/>
      <c r="D338" s="610"/>
      <c r="E338" s="610"/>
      <c r="F338" s="610"/>
      <c r="G338" s="610"/>
      <c r="H338" s="610"/>
      <c r="I338" s="610"/>
      <c r="J338" s="610"/>
      <c r="K338" s="610"/>
      <c r="L338" s="610"/>
      <c r="M338" s="610"/>
      <c r="N338" s="610"/>
      <c r="O338" s="610"/>
      <c r="P338" s="610"/>
      <c r="Q338" s="610"/>
      <c r="R338" s="610"/>
      <c r="S338" s="610"/>
      <c r="T338" s="610"/>
      <c r="U338" s="610"/>
      <c r="V338" s="610"/>
      <c r="W338" s="610"/>
      <c r="X338" s="1158"/>
    </row>
    <row r="339" spans="2:24">
      <c r="B339" s="262"/>
      <c r="C339" s="260"/>
      <c r="D339" s="2547" t="s">
        <v>997</v>
      </c>
      <c r="E339" s="2547"/>
      <c r="F339" s="2547"/>
      <c r="G339" s="2547"/>
      <c r="H339" s="2547"/>
      <c r="I339" s="2547"/>
      <c r="J339" s="2547"/>
      <c r="K339" s="2547"/>
      <c r="L339" s="2547"/>
      <c r="M339" s="2547"/>
      <c r="N339" s="2547"/>
      <c r="O339" s="2547"/>
      <c r="P339" s="2547"/>
      <c r="Q339" s="2547"/>
      <c r="R339" s="2547"/>
      <c r="S339" s="2547"/>
      <c r="T339" s="2547"/>
      <c r="U339" s="2547"/>
      <c r="V339" s="2548" t="s">
        <v>1085</v>
      </c>
      <c r="W339" s="2548"/>
      <c r="X339" s="262"/>
    </row>
    <row r="340" spans="2:24" ht="5.0999999999999996" customHeight="1">
      <c r="B340" s="262"/>
      <c r="C340" s="260"/>
      <c r="X340" s="262"/>
    </row>
    <row r="341" spans="2:24">
      <c r="B341" s="262"/>
      <c r="C341" s="260"/>
      <c r="I341" s="404" t="s">
        <v>998</v>
      </c>
      <c r="J341" s="2244"/>
      <c r="K341" s="2246"/>
      <c r="L341" s="2245"/>
      <c r="M341" s="403"/>
      <c r="N341" s="403"/>
      <c r="O341" s="403"/>
      <c r="P341" s="402"/>
      <c r="Q341" s="402"/>
      <c r="R341" s="402"/>
      <c r="S341" s="402"/>
      <c r="T341" s="404" t="s">
        <v>999</v>
      </c>
      <c r="U341" s="2244"/>
      <c r="V341" s="2245"/>
      <c r="X341" s="262"/>
    </row>
    <row r="342" spans="2:24" ht="5.0999999999999996" customHeight="1">
      <c r="B342" s="262"/>
      <c r="C342" s="260"/>
      <c r="I342" s="404"/>
      <c r="J342" s="404"/>
      <c r="K342" s="404"/>
      <c r="L342" s="402"/>
      <c r="M342" s="402"/>
      <c r="N342" s="402"/>
      <c r="O342" s="402"/>
      <c r="P342" s="402"/>
      <c r="Q342" s="402"/>
      <c r="R342" s="402"/>
      <c r="S342" s="402"/>
      <c r="T342" s="404"/>
      <c r="U342" s="402"/>
      <c r="V342" s="402"/>
      <c r="X342" s="262"/>
    </row>
    <row r="343" spans="2:24">
      <c r="B343" s="262"/>
      <c r="C343" s="260"/>
      <c r="D343" s="2640" t="s">
        <v>1000</v>
      </c>
      <c r="E343" s="2640"/>
      <c r="F343" s="2640"/>
      <c r="G343" s="2640"/>
      <c r="H343" s="2640"/>
      <c r="I343" s="2640"/>
      <c r="J343" s="2244"/>
      <c r="K343" s="2246"/>
      <c r="L343" s="2245"/>
      <c r="M343" s="403"/>
      <c r="N343" s="403"/>
      <c r="O343" s="403"/>
      <c r="P343" s="402"/>
      <c r="Q343" s="402"/>
      <c r="R343" s="402"/>
      <c r="S343" s="402"/>
      <c r="T343" s="404" t="s">
        <v>1001</v>
      </c>
      <c r="U343" s="2244"/>
      <c r="V343" s="2245"/>
      <c r="X343" s="262"/>
    </row>
    <row r="344" spans="2:24" ht="5.0999999999999996" customHeight="1">
      <c r="B344" s="262"/>
      <c r="C344" s="261"/>
      <c r="D344" s="2641"/>
      <c r="E344" s="2641"/>
      <c r="F344" s="2641"/>
      <c r="G344" s="2641"/>
      <c r="H344" s="2641"/>
      <c r="I344" s="2641"/>
      <c r="J344" s="184"/>
      <c r="K344" s="184"/>
      <c r="L344" s="184"/>
      <c r="M344" s="184"/>
      <c r="N344" s="184"/>
      <c r="O344" s="184"/>
      <c r="P344" s="184"/>
      <c r="Q344" s="184"/>
      <c r="R344" s="184"/>
      <c r="S344" s="184"/>
      <c r="T344" s="184"/>
      <c r="U344" s="184"/>
      <c r="V344" s="184"/>
      <c r="W344" s="184"/>
      <c r="X344" s="263"/>
    </row>
    <row r="345" spans="2:24" ht="5.0999999999999996" customHeight="1"/>
    <row r="346" spans="2:24" ht="5.0999999999999996" customHeight="1">
      <c r="B346" s="262"/>
      <c r="C346" s="621"/>
      <c r="D346" s="610"/>
      <c r="E346" s="610"/>
      <c r="F346" s="610"/>
      <c r="G346" s="610"/>
      <c r="H346" s="610"/>
      <c r="I346" s="610"/>
      <c r="J346" s="610"/>
      <c r="K346" s="610"/>
      <c r="L346" s="610"/>
      <c r="M346" s="610"/>
      <c r="N346" s="610"/>
      <c r="O346" s="610"/>
      <c r="P346" s="610"/>
      <c r="Q346" s="610"/>
      <c r="R346" s="610"/>
      <c r="S346" s="610"/>
      <c r="T346" s="610"/>
      <c r="U346" s="610"/>
      <c r="V346" s="610"/>
      <c r="W346" s="610"/>
      <c r="X346" s="1158"/>
    </row>
    <row r="347" spans="2:24">
      <c r="B347" s="262"/>
      <c r="C347" s="260"/>
      <c r="D347" s="2547" t="s">
        <v>1002</v>
      </c>
      <c r="E347" s="2547"/>
      <c r="F347" s="2547"/>
      <c r="G347" s="2547"/>
      <c r="H347" s="2547"/>
      <c r="I347" s="2547"/>
      <c r="J347" s="2547"/>
      <c r="K347" s="2547"/>
      <c r="L347" s="2547"/>
      <c r="M347" s="2547"/>
      <c r="N347" s="2547"/>
      <c r="O347" s="2547"/>
      <c r="P347" s="2547"/>
      <c r="Q347" s="2547"/>
      <c r="R347" s="2547"/>
      <c r="S347" s="2547"/>
      <c r="T347" s="2547"/>
      <c r="U347" s="2547"/>
      <c r="V347" s="2548" t="s">
        <v>1085</v>
      </c>
      <c r="W347" s="2548"/>
      <c r="X347" s="262"/>
    </row>
    <row r="348" spans="2:24" ht="5.0999999999999996" customHeight="1">
      <c r="B348" s="262"/>
      <c r="C348" s="260"/>
      <c r="X348" s="262"/>
    </row>
    <row r="349" spans="2:24">
      <c r="B349" s="262"/>
      <c r="C349" s="260"/>
      <c r="I349" s="404" t="s">
        <v>926</v>
      </c>
      <c r="J349" s="2556">
        <f>J529</f>
        <v>0</v>
      </c>
      <c r="K349" s="2609"/>
      <c r="L349" s="2557"/>
      <c r="M349" s="310"/>
      <c r="N349" s="408"/>
      <c r="O349" s="408"/>
      <c r="P349" s="402"/>
      <c r="Q349" s="402"/>
      <c r="R349" s="402"/>
      <c r="S349" s="402"/>
      <c r="T349" s="404" t="s">
        <v>1097</v>
      </c>
      <c r="U349" s="2244"/>
      <c r="V349" s="2245"/>
      <c r="X349" s="262"/>
    </row>
    <row r="350" spans="2:24" ht="5.0999999999999996" customHeight="1">
      <c r="B350" s="262"/>
      <c r="C350" s="260"/>
      <c r="L350" s="293"/>
      <c r="M350" s="293"/>
      <c r="N350" s="293"/>
      <c r="O350" s="293"/>
      <c r="Q350" s="402"/>
      <c r="R350" s="402"/>
      <c r="S350" s="402"/>
      <c r="T350" s="402"/>
      <c r="U350" s="293"/>
      <c r="X350" s="262"/>
    </row>
    <row r="351" spans="2:24">
      <c r="B351" s="262"/>
      <c r="C351" s="260"/>
      <c r="I351" s="185" t="s">
        <v>1098</v>
      </c>
      <c r="J351" s="2564" t="str">
        <f>'Grant QC Review'!J415</f>
        <v>NOT Specified?</v>
      </c>
      <c r="K351" s="2560"/>
      <c r="L351" s="2561"/>
      <c r="M351" s="293"/>
      <c r="N351" s="293"/>
      <c r="O351" s="293"/>
      <c r="T351" s="185" t="s">
        <v>1099</v>
      </c>
      <c r="U351" s="2559">
        <f>M32</f>
        <v>0</v>
      </c>
      <c r="V351" s="2605"/>
      <c r="X351" s="262"/>
    </row>
    <row r="352" spans="2:24" ht="5.0999999999999996" customHeight="1">
      <c r="B352" s="262"/>
      <c r="C352" s="260"/>
      <c r="J352" s="293"/>
      <c r="M352" s="293"/>
      <c r="N352" s="293"/>
      <c r="O352" s="293"/>
      <c r="U352" s="293"/>
      <c r="X352" s="262"/>
    </row>
    <row r="353" spans="2:24">
      <c r="B353" s="262"/>
      <c r="C353" s="260"/>
      <c r="J353" s="293"/>
      <c r="M353" s="293"/>
      <c r="N353" s="293"/>
      <c r="O353" s="293"/>
      <c r="Q353" s="402"/>
      <c r="R353" s="402"/>
      <c r="S353" s="402"/>
      <c r="T353" s="404" t="s">
        <v>1005</v>
      </c>
      <c r="U353" s="2244"/>
      <c r="V353" s="2245"/>
      <c r="X353" s="262"/>
    </row>
    <row r="354" spans="2:24" ht="5.0999999999999996" customHeight="1">
      <c r="B354" s="262"/>
      <c r="C354" s="260"/>
      <c r="J354" s="293"/>
      <c r="M354" s="293"/>
      <c r="N354" s="293"/>
      <c r="O354" s="293"/>
      <c r="U354" s="293"/>
      <c r="X354" s="262"/>
    </row>
    <row r="355" spans="2:24">
      <c r="B355" s="262"/>
      <c r="C355" s="260"/>
      <c r="I355" s="409" t="s">
        <v>1006</v>
      </c>
      <c r="J355" s="2556"/>
      <c r="K355" s="2609"/>
      <c r="L355" s="2557"/>
      <c r="M355" s="310"/>
      <c r="N355" s="293"/>
      <c r="O355" s="293"/>
      <c r="T355" s="185" t="s">
        <v>1100</v>
      </c>
      <c r="U355" s="2559">
        <f ca="1">U531</f>
        <v>0</v>
      </c>
      <c r="V355" s="2561"/>
      <c r="X355" s="262"/>
    </row>
    <row r="356" spans="2:24" ht="5.0999999999999996" customHeight="1">
      <c r="B356" s="262"/>
      <c r="C356" s="260"/>
      <c r="J356" s="293"/>
      <c r="M356" s="293"/>
      <c r="N356" s="293"/>
      <c r="O356" s="293"/>
      <c r="U356" s="293"/>
      <c r="X356" s="262"/>
    </row>
    <row r="357" spans="2:24">
      <c r="B357" s="262"/>
      <c r="C357" s="260"/>
      <c r="D357" s="2453" t="s">
        <v>928</v>
      </c>
      <c r="E357" s="2453"/>
      <c r="F357" s="2453"/>
      <c r="G357" s="2453"/>
      <c r="H357" s="2453"/>
      <c r="I357" s="2453"/>
      <c r="J357" s="2564">
        <f ca="1">J533</f>
        <v>0</v>
      </c>
      <c r="K357" s="2560"/>
      <c r="L357" s="2561"/>
      <c r="M357" s="293"/>
      <c r="N357" s="293"/>
      <c r="O357" s="293"/>
      <c r="T357" s="185" t="s">
        <v>929</v>
      </c>
      <c r="U357" s="2610">
        <f ca="1">U533</f>
        <v>0</v>
      </c>
      <c r="V357" s="2611"/>
      <c r="X357" s="262"/>
    </row>
    <row r="358" spans="2:24" ht="7.5" customHeight="1">
      <c r="B358" s="262"/>
      <c r="C358" s="260"/>
      <c r="D358" s="2453"/>
      <c r="E358" s="2453"/>
      <c r="F358" s="2453"/>
      <c r="G358" s="2453"/>
      <c r="H358" s="2453"/>
      <c r="I358" s="2453"/>
      <c r="J358" s="293"/>
      <c r="M358" s="293"/>
      <c r="N358" s="293"/>
      <c r="O358" s="293"/>
      <c r="U358" s="293"/>
      <c r="X358" s="262"/>
    </row>
    <row r="359" spans="2:24">
      <c r="B359" s="262"/>
      <c r="C359" s="260"/>
      <c r="I359" s="185" t="s">
        <v>904</v>
      </c>
      <c r="J359" s="2615">
        <f ca="1">J531</f>
        <v>0</v>
      </c>
      <c r="K359" s="2560"/>
      <c r="L359" s="2561"/>
      <c r="M359" s="293"/>
      <c r="N359" s="293"/>
      <c r="P359" s="410"/>
      <c r="Q359" s="410"/>
      <c r="R359" s="410"/>
      <c r="S359" s="410"/>
      <c r="T359" s="185" t="s">
        <v>1009</v>
      </c>
      <c r="U359" s="2559">
        <f ca="1">U355</f>
        <v>0</v>
      </c>
      <c r="V359" s="2561"/>
      <c r="X359" s="262"/>
    </row>
    <row r="360" spans="2:24" ht="5.0999999999999996" customHeight="1">
      <c r="B360" s="262"/>
      <c r="C360" s="260"/>
      <c r="J360" s="293"/>
      <c r="M360" s="293"/>
      <c r="N360" s="293"/>
      <c r="O360" s="410"/>
      <c r="P360" s="410"/>
      <c r="Q360" s="410"/>
      <c r="R360" s="410"/>
      <c r="S360" s="410"/>
      <c r="T360" s="410"/>
      <c r="U360" s="293"/>
      <c r="X360" s="262"/>
    </row>
    <row r="361" spans="2:24">
      <c r="B361" s="262"/>
      <c r="C361" s="260"/>
      <c r="D361" s="2453" t="s">
        <v>1010</v>
      </c>
      <c r="E361" s="2453"/>
      <c r="F361" s="2453"/>
      <c r="G361" s="2453"/>
      <c r="H361" s="2453"/>
      <c r="I361" s="2453"/>
      <c r="J361" s="2559">
        <f ca="1">U535</f>
        <v>0</v>
      </c>
      <c r="K361" s="2560"/>
      <c r="L361" s="2561"/>
      <c r="M361" s="293"/>
      <c r="N361" s="293"/>
      <c r="O361" s="293"/>
      <c r="T361" s="185" t="s">
        <v>1011</v>
      </c>
      <c r="U361" s="2610">
        <f ca="1">DATA!AX5</f>
        <v>0</v>
      </c>
      <c r="V361" s="2611"/>
      <c r="X361" s="262"/>
    </row>
    <row r="362" spans="2:24" ht="7.5" customHeight="1">
      <c r="B362" s="262"/>
      <c r="C362" s="260"/>
      <c r="D362" s="2453"/>
      <c r="E362" s="2453"/>
      <c r="F362" s="2453"/>
      <c r="G362" s="2453"/>
      <c r="H362" s="2453"/>
      <c r="I362" s="2453"/>
      <c r="J362" s="293"/>
      <c r="M362" s="293"/>
      <c r="N362" s="293"/>
      <c r="O362" s="293"/>
      <c r="U362" s="293"/>
      <c r="X362" s="262"/>
    </row>
    <row r="363" spans="2:24">
      <c r="B363" s="262"/>
      <c r="C363" s="260"/>
      <c r="I363" s="223" t="s">
        <v>1101</v>
      </c>
      <c r="J363" s="2559">
        <f ca="1">U539</f>
        <v>0</v>
      </c>
      <c r="K363" s="2560"/>
      <c r="L363" s="2561"/>
      <c r="M363" s="293"/>
      <c r="N363" s="293"/>
      <c r="O363" s="293"/>
      <c r="T363" s="185" t="s">
        <v>934</v>
      </c>
      <c r="U363" s="2564">
        <f ca="1">J539</f>
        <v>0</v>
      </c>
      <c r="V363" s="2561"/>
      <c r="X363" s="262"/>
    </row>
    <row r="364" spans="2:24" ht="5.0999999999999996" customHeight="1">
      <c r="B364" s="262"/>
      <c r="C364" s="260"/>
      <c r="J364" s="293"/>
      <c r="M364" s="293"/>
      <c r="N364" s="293"/>
      <c r="O364" s="293"/>
      <c r="P364" s="147"/>
      <c r="U364" s="293"/>
      <c r="X364" s="262"/>
    </row>
    <row r="365" spans="2:24">
      <c r="B365" s="262"/>
      <c r="C365" s="260"/>
      <c r="I365" s="185" t="s">
        <v>935</v>
      </c>
      <c r="J365" s="2559" t="str">
        <f ca="1">U541</f>
        <v>WA</v>
      </c>
      <c r="K365" s="2560"/>
      <c r="L365" s="2561"/>
      <c r="M365" s="293"/>
      <c r="N365" s="293"/>
      <c r="O365" s="293"/>
      <c r="T365" s="185" t="s">
        <v>936</v>
      </c>
      <c r="U365" s="2564">
        <f ca="1">J541</f>
        <v>0</v>
      </c>
      <c r="V365" s="2561"/>
      <c r="X365" s="262"/>
    </row>
    <row r="366" spans="2:24" ht="5.0999999999999996" customHeight="1">
      <c r="B366" s="262"/>
      <c r="C366" s="260"/>
      <c r="J366" s="293"/>
      <c r="M366" s="293"/>
      <c r="N366" s="293"/>
      <c r="O366" s="293"/>
      <c r="U366" s="293"/>
      <c r="X366" s="262"/>
    </row>
    <row r="367" spans="2:24">
      <c r="B367" s="262"/>
      <c r="C367" s="260"/>
      <c r="D367" s="2453" t="s">
        <v>937</v>
      </c>
      <c r="E367" s="2453"/>
      <c r="F367" s="2453"/>
      <c r="G367" s="2453"/>
      <c r="H367" s="2453"/>
      <c r="I367" s="2453"/>
      <c r="J367" s="2564" t="str">
        <f ca="1">J501</f>
        <v/>
      </c>
      <c r="K367" s="2560"/>
      <c r="L367" s="2561"/>
      <c r="M367" s="293"/>
      <c r="N367" s="293"/>
      <c r="O367" s="293"/>
      <c r="T367" s="185" t="s">
        <v>938</v>
      </c>
      <c r="U367" s="2564" t="str">
        <f ca="1">CONCATENATE(DATA!X5," ",DATA!Y5)</f>
        <v xml:space="preserve"> </v>
      </c>
      <c r="V367" s="2561"/>
      <c r="X367" s="262"/>
    </row>
    <row r="368" spans="2:24" ht="7.5" customHeight="1">
      <c r="B368" s="262"/>
      <c r="C368" s="260"/>
      <c r="D368" s="2453"/>
      <c r="E368" s="2453"/>
      <c r="F368" s="2453"/>
      <c r="G368" s="2453"/>
      <c r="H368" s="2453"/>
      <c r="I368" s="2453"/>
      <c r="J368" s="293"/>
      <c r="M368" s="293"/>
      <c r="N368" s="293"/>
      <c r="O368" s="293"/>
      <c r="U368" s="293"/>
      <c r="X368" s="262"/>
    </row>
    <row r="369" spans="2:24">
      <c r="B369" s="262"/>
      <c r="C369" s="260"/>
      <c r="I369" s="185" t="s">
        <v>849</v>
      </c>
      <c r="J369" s="2610" t="str">
        <f ca="1">J505</f>
        <v/>
      </c>
      <c r="K369" s="2643"/>
      <c r="L369" s="2611"/>
      <c r="M369" s="333"/>
      <c r="N369" s="293"/>
      <c r="O369" s="293"/>
      <c r="T369" s="185" t="s">
        <v>846</v>
      </c>
      <c r="U369" s="2564" t="str">
        <f ca="1">U505</f>
        <v/>
      </c>
      <c r="V369" s="2561"/>
      <c r="X369" s="262"/>
    </row>
    <row r="370" spans="2:24" ht="5.0999999999999996" customHeight="1">
      <c r="B370" s="262"/>
      <c r="C370" s="260"/>
      <c r="J370" s="293"/>
      <c r="M370" s="293"/>
      <c r="N370" s="293"/>
      <c r="O370" s="293"/>
      <c r="U370" s="293"/>
      <c r="X370" s="262"/>
    </row>
    <row r="371" spans="2:24" ht="14.95" customHeight="1">
      <c r="B371" s="262"/>
      <c r="C371" s="2642" t="s">
        <v>1017</v>
      </c>
      <c r="D371" s="2640"/>
      <c r="E371" s="2640"/>
      <c r="F371" s="2640"/>
      <c r="G371" s="2640"/>
      <c r="H371" s="2640"/>
      <c r="I371" s="2640"/>
      <c r="J371" s="309"/>
      <c r="K371" s="309"/>
      <c r="L371" s="309"/>
      <c r="M371" s="323"/>
      <c r="N371" s="2571" t="s">
        <v>1018</v>
      </c>
      <c r="O371" s="2571"/>
      <c r="P371" s="2571"/>
      <c r="Q371" s="2571"/>
      <c r="R371" s="2571"/>
      <c r="S371" s="2571"/>
      <c r="T371" s="2571"/>
      <c r="X371" s="262"/>
    </row>
    <row r="372" spans="2:24" ht="7.5" customHeight="1">
      <c r="B372" s="262"/>
      <c r="C372" s="2642"/>
      <c r="D372" s="2640"/>
      <c r="E372" s="2640"/>
      <c r="F372" s="2640"/>
      <c r="G372" s="2640"/>
      <c r="H372" s="2640"/>
      <c r="I372" s="2640"/>
      <c r="J372" s="310"/>
      <c r="K372" s="443"/>
      <c r="M372" s="310"/>
      <c r="N372" s="2571"/>
      <c r="O372" s="2571"/>
      <c r="P372" s="2571"/>
      <c r="Q372" s="2571"/>
      <c r="R372" s="2571"/>
      <c r="S372" s="2571"/>
      <c r="T372" s="2571"/>
      <c r="X372" s="262"/>
    </row>
    <row r="373" spans="2:24" ht="14.95" customHeight="1">
      <c r="B373" s="262"/>
      <c r="C373" s="2642" t="s">
        <v>1019</v>
      </c>
      <c r="D373" s="2640"/>
      <c r="E373" s="2640"/>
      <c r="F373" s="2640"/>
      <c r="G373" s="2640"/>
      <c r="H373" s="2640"/>
      <c r="I373" s="2640"/>
      <c r="M373" s="323"/>
      <c r="N373" s="2571" t="s">
        <v>1020</v>
      </c>
      <c r="O373" s="2571"/>
      <c r="P373" s="2571"/>
      <c r="Q373" s="2571"/>
      <c r="R373" s="2571"/>
      <c r="S373" s="2571"/>
      <c r="T373" s="2571"/>
      <c r="X373" s="262"/>
    </row>
    <row r="374" spans="2:24" ht="7.5" customHeight="1">
      <c r="B374" s="262"/>
      <c r="C374" s="2642"/>
      <c r="D374" s="2640"/>
      <c r="E374" s="2640"/>
      <c r="F374" s="2640"/>
      <c r="G374" s="2640"/>
      <c r="H374" s="2640"/>
      <c r="I374" s="2640"/>
      <c r="J374" s="310"/>
      <c r="K374" s="443"/>
      <c r="M374" s="310"/>
      <c r="N374" s="2571"/>
      <c r="O374" s="2571"/>
      <c r="P374" s="2571"/>
      <c r="Q374" s="2571"/>
      <c r="R374" s="2571"/>
      <c r="S374" s="2571"/>
      <c r="T374" s="2571"/>
      <c r="U374" s="310"/>
      <c r="X374" s="262"/>
    </row>
    <row r="375" spans="2:24">
      <c r="B375" s="262"/>
      <c r="C375" s="260"/>
      <c r="I375" s="185" t="s">
        <v>822</v>
      </c>
      <c r="J375" s="2564">
        <f ca="1">J537</f>
        <v>0</v>
      </c>
      <c r="K375" s="2560"/>
      <c r="L375" s="2561"/>
      <c r="M375" s="293"/>
      <c r="N375" s="408"/>
      <c r="O375" s="408"/>
      <c r="P375" s="402"/>
      <c r="Q375" s="402"/>
      <c r="R375" s="402"/>
      <c r="S375" s="402"/>
      <c r="T375" s="404" t="s">
        <v>939</v>
      </c>
      <c r="U375" s="2244"/>
      <c r="V375" s="2245"/>
      <c r="X375" s="262"/>
    </row>
    <row r="376" spans="2:24" ht="5.0999999999999996" customHeight="1">
      <c r="B376" s="262"/>
      <c r="C376" s="260"/>
      <c r="U376" s="293"/>
      <c r="X376" s="262"/>
    </row>
    <row r="377" spans="2:24">
      <c r="B377" s="262"/>
      <c r="C377" s="260"/>
      <c r="I377" s="223" t="s">
        <v>1023</v>
      </c>
      <c r="J377" s="2616">
        <f ca="1">J543</f>
        <v>0</v>
      </c>
      <c r="K377" s="2617"/>
      <c r="L377" s="2618"/>
      <c r="M377" s="293"/>
      <c r="N377" s="293"/>
      <c r="O377" s="293"/>
      <c r="U377" s="293"/>
      <c r="X377" s="262"/>
    </row>
    <row r="378" spans="2:24">
      <c r="B378" s="262"/>
      <c r="C378" s="260"/>
      <c r="I378" s="185"/>
      <c r="J378" s="2619"/>
      <c r="K378" s="1990"/>
      <c r="L378" s="2620"/>
      <c r="M378" s="293"/>
      <c r="N378" s="293"/>
      <c r="O378" s="293"/>
      <c r="X378" s="262"/>
    </row>
    <row r="379" spans="2:24" ht="14.95" customHeight="1">
      <c r="B379" s="262"/>
      <c r="C379" s="260"/>
      <c r="I379" s="185"/>
      <c r="J379" s="2621"/>
      <c r="K379" s="2622"/>
      <c r="L379" s="2623"/>
      <c r="M379" s="293"/>
      <c r="N379" s="293"/>
      <c r="O379" s="293"/>
      <c r="T379" s="185" t="s">
        <v>941</v>
      </c>
      <c r="U379" s="2564" t="str">
        <f ca="1">J553</f>
        <v/>
      </c>
      <c r="V379" s="2561"/>
      <c r="X379" s="262"/>
    </row>
    <row r="380" spans="2:24" ht="5.0999999999999996" customHeight="1">
      <c r="B380" s="262"/>
      <c r="C380" s="260"/>
      <c r="J380" s="293"/>
      <c r="M380" s="293"/>
      <c r="N380" s="293"/>
      <c r="O380" s="293"/>
      <c r="V380" s="293"/>
      <c r="X380" s="262"/>
    </row>
    <row r="381" spans="2:24">
      <c r="B381" s="262"/>
      <c r="C381" s="260"/>
      <c r="I381" s="185" t="s">
        <v>1025</v>
      </c>
      <c r="J381" s="2564">
        <f ca="1">DATA!BM5</f>
        <v>0</v>
      </c>
      <c r="K381" s="2560"/>
      <c r="L381" s="2561"/>
      <c r="M381" s="334"/>
      <c r="N381" s="334"/>
      <c r="O381" s="334"/>
      <c r="U381" s="185"/>
      <c r="X381" s="262"/>
    </row>
    <row r="382" spans="2:24" ht="5.0999999999999996" customHeight="1">
      <c r="B382" s="262"/>
      <c r="C382" s="260"/>
      <c r="X382" s="262"/>
    </row>
    <row r="383" spans="2:24">
      <c r="B383" s="262"/>
      <c r="C383" s="260"/>
      <c r="I383" s="185" t="s">
        <v>943</v>
      </c>
      <c r="J383" s="2564">
        <f ca="1">DATA!B10</f>
        <v>0</v>
      </c>
      <c r="K383" s="2560"/>
      <c r="L383" s="2561"/>
      <c r="M383" s="293"/>
      <c r="N383" s="293"/>
      <c r="O383" s="293"/>
      <c r="X383" s="262"/>
    </row>
    <row r="384" spans="2:24" ht="5.0999999999999996" customHeight="1">
      <c r="B384" s="262"/>
      <c r="C384" s="261"/>
      <c r="D384" s="184"/>
      <c r="E384" s="184"/>
      <c r="F384" s="184"/>
      <c r="G384" s="184"/>
      <c r="H384" s="184"/>
      <c r="I384" s="184"/>
      <c r="J384" s="184"/>
      <c r="K384" s="184"/>
      <c r="L384" s="184"/>
      <c r="M384" s="184"/>
      <c r="N384" s="184"/>
      <c r="O384" s="184"/>
      <c r="P384" s="184"/>
      <c r="Q384" s="184"/>
      <c r="R384" s="184"/>
      <c r="S384" s="184"/>
      <c r="T384" s="184"/>
      <c r="U384" s="184"/>
      <c r="V384" s="184"/>
      <c r="W384" s="184"/>
      <c r="X384" s="263"/>
    </row>
    <row r="385" spans="2:24" ht="5.0999999999999996" customHeight="1"/>
    <row r="386" spans="2:24" ht="5.0999999999999996" customHeight="1">
      <c r="B386" s="262"/>
      <c r="C386" s="621"/>
      <c r="D386" s="610"/>
      <c r="E386" s="610"/>
      <c r="F386" s="610"/>
      <c r="G386" s="610"/>
      <c r="H386" s="610"/>
      <c r="I386" s="610"/>
      <c r="J386" s="610"/>
      <c r="K386" s="610"/>
      <c r="L386" s="610"/>
      <c r="M386" s="610"/>
      <c r="N386" s="610"/>
      <c r="O386" s="610"/>
      <c r="P386" s="610"/>
      <c r="Q386" s="610"/>
      <c r="R386" s="610"/>
      <c r="S386" s="610"/>
      <c r="T386" s="610"/>
      <c r="U386" s="610"/>
      <c r="V386" s="610"/>
      <c r="W386" s="610"/>
      <c r="X386" s="1158"/>
    </row>
    <row r="387" spans="2:24">
      <c r="B387" s="262"/>
      <c r="C387" s="260"/>
      <c r="D387" s="2547" t="s">
        <v>1028</v>
      </c>
      <c r="E387" s="2547"/>
      <c r="F387" s="2547"/>
      <c r="G387" s="2547"/>
      <c r="H387" s="2547"/>
      <c r="I387" s="2547"/>
      <c r="J387" s="2547"/>
      <c r="K387" s="2547"/>
      <c r="L387" s="2547"/>
      <c r="M387" s="2547"/>
      <c r="N387" s="2547"/>
      <c r="O387" s="2547"/>
      <c r="P387" s="2547"/>
      <c r="Q387" s="2547"/>
      <c r="R387" s="2547"/>
      <c r="S387" s="2547"/>
      <c r="T387" s="2547"/>
      <c r="U387" s="2547"/>
      <c r="V387" s="2548" t="s">
        <v>1085</v>
      </c>
      <c r="W387" s="2548"/>
      <c r="X387" s="262"/>
    </row>
    <row r="388" spans="2:24" ht="5.0999999999999996" customHeight="1">
      <c r="B388" s="262"/>
      <c r="C388" s="260"/>
      <c r="X388" s="262"/>
    </row>
    <row r="389" spans="2:24" ht="14.95" customHeight="1">
      <c r="B389" s="262"/>
      <c r="C389" s="260"/>
      <c r="S389" s="402"/>
      <c r="T389" s="404" t="s">
        <v>1029</v>
      </c>
      <c r="U389" s="2244"/>
      <c r="V389" s="2245"/>
      <c r="X389" s="262"/>
    </row>
    <row r="390" spans="2:24" ht="5.0999999999999996" customHeight="1">
      <c r="B390" s="262"/>
      <c r="C390" s="260"/>
      <c r="X390" s="262"/>
    </row>
    <row r="391" spans="2:24">
      <c r="B391" s="262"/>
      <c r="C391" s="260"/>
      <c r="I391" s="185" t="s">
        <v>903</v>
      </c>
      <c r="J391" s="2612">
        <f ca="1">J477</f>
        <v>0</v>
      </c>
      <c r="K391" s="2613"/>
      <c r="L391" s="2614"/>
      <c r="M391" s="177"/>
      <c r="N391" s="177"/>
      <c r="O391" s="177"/>
      <c r="X391" s="262"/>
    </row>
    <row r="392" spans="2:24" ht="5.0999999999999996" customHeight="1">
      <c r="B392" s="262"/>
      <c r="C392" s="260"/>
      <c r="X392" s="262"/>
    </row>
    <row r="393" spans="2:24">
      <c r="B393" s="262"/>
      <c r="C393" s="260"/>
      <c r="I393" s="185" t="s">
        <v>904</v>
      </c>
      <c r="J393" s="2564">
        <f ca="1">J479</f>
        <v>0</v>
      </c>
      <c r="K393" s="2560"/>
      <c r="L393" s="2561"/>
      <c r="M393" s="92"/>
      <c r="N393" s="92"/>
      <c r="O393" s="92"/>
      <c r="T393" s="185" t="s">
        <v>905</v>
      </c>
      <c r="U393" s="2615">
        <f ca="1">DATA!G5</f>
        <v>0</v>
      </c>
      <c r="V393" s="2561"/>
      <c r="X393" s="262"/>
    </row>
    <row r="394" spans="2:24" ht="5.0999999999999996" customHeight="1">
      <c r="B394" s="262"/>
      <c r="C394" s="260"/>
      <c r="U394" s="92"/>
      <c r="X394" s="262"/>
    </row>
    <row r="395" spans="2:24">
      <c r="B395" s="262"/>
      <c r="C395" s="260"/>
      <c r="H395" s="402"/>
      <c r="I395" s="404" t="s">
        <v>906</v>
      </c>
      <c r="J395" s="2244"/>
      <c r="K395" s="2246"/>
      <c r="L395" s="2245"/>
      <c r="M395" s="323"/>
      <c r="N395" s="324"/>
      <c r="O395" s="324"/>
      <c r="T395" s="185" t="s">
        <v>907</v>
      </c>
      <c r="U395" s="2615">
        <f ca="1">DATA!H5</f>
        <v>0</v>
      </c>
      <c r="V395" s="2561"/>
      <c r="X395" s="262"/>
    </row>
    <row r="396" spans="2:24" ht="5.0999999999999996" customHeight="1">
      <c r="B396" s="262"/>
      <c r="C396" s="260"/>
      <c r="J396" s="92"/>
      <c r="M396" s="92"/>
      <c r="N396" s="92"/>
      <c r="O396" s="92"/>
      <c r="U396" s="92"/>
      <c r="X396" s="262"/>
    </row>
    <row r="397" spans="2:24">
      <c r="B397" s="262"/>
      <c r="C397" s="260"/>
      <c r="I397" s="185"/>
      <c r="J397" s="92"/>
      <c r="K397" s="185"/>
      <c r="M397" s="92"/>
      <c r="N397" s="92"/>
      <c r="O397" s="92"/>
      <c r="T397" s="185" t="s">
        <v>909</v>
      </c>
      <c r="U397" s="2615">
        <f ca="1">DATA!J5</f>
        <v>0</v>
      </c>
      <c r="V397" s="2561"/>
      <c r="X397" s="262"/>
    </row>
    <row r="398" spans="2:24" ht="5.0999999999999996" customHeight="1">
      <c r="B398" s="262"/>
      <c r="C398" s="260"/>
      <c r="J398" s="92"/>
      <c r="M398" s="92"/>
      <c r="N398" s="92"/>
      <c r="O398" s="92"/>
      <c r="U398" s="92"/>
      <c r="X398" s="262"/>
    </row>
    <row r="399" spans="2:24">
      <c r="B399" s="262"/>
      <c r="C399" s="260"/>
      <c r="I399" s="185" t="s">
        <v>910</v>
      </c>
      <c r="J399" s="2615" t="str">
        <f ca="1">DATA!K5</f>
        <v>WA</v>
      </c>
      <c r="K399" s="2560"/>
      <c r="L399" s="2561"/>
      <c r="M399" s="92"/>
      <c r="N399" s="92"/>
      <c r="O399" s="92"/>
      <c r="T399" s="185" t="s">
        <v>911</v>
      </c>
      <c r="U399" s="2615">
        <f ca="1">DATA!L5</f>
        <v>0</v>
      </c>
      <c r="V399" s="2561"/>
      <c r="X399" s="262"/>
    </row>
    <row r="400" spans="2:24" ht="5.0999999999999996" customHeight="1">
      <c r="B400" s="262"/>
      <c r="C400" s="260"/>
      <c r="J400" s="92"/>
      <c r="M400" s="92"/>
      <c r="N400" s="92"/>
      <c r="O400" s="92"/>
      <c r="U400" s="92"/>
      <c r="X400" s="262"/>
    </row>
    <row r="401" spans="2:24">
      <c r="B401" s="262"/>
      <c r="C401" s="260"/>
      <c r="H401" s="402"/>
      <c r="I401" s="404" t="s">
        <v>912</v>
      </c>
      <c r="J401" s="2244"/>
      <c r="K401" s="2246"/>
      <c r="L401" s="2245"/>
      <c r="M401" s="323"/>
      <c r="N401" s="324"/>
      <c r="O401" s="324"/>
      <c r="T401" s="185" t="s">
        <v>913</v>
      </c>
      <c r="U401" s="2564">
        <f ca="1">J489</f>
        <v>0</v>
      </c>
      <c r="V401" s="2561"/>
      <c r="X401" s="262"/>
    </row>
    <row r="402" spans="2:24" ht="5.0999999999999996" customHeight="1">
      <c r="B402" s="262"/>
      <c r="C402" s="260"/>
      <c r="J402" s="92"/>
      <c r="M402" s="92"/>
      <c r="N402" s="92"/>
      <c r="O402" s="92"/>
      <c r="U402" s="92"/>
      <c r="X402" s="262"/>
    </row>
    <row r="403" spans="2:24">
      <c r="B403" s="262"/>
      <c r="C403" s="260"/>
      <c r="I403" s="185" t="s">
        <v>914</v>
      </c>
      <c r="J403" s="2564">
        <f ca="1">U489</f>
        <v>0</v>
      </c>
      <c r="K403" s="2560"/>
      <c r="L403" s="2561"/>
      <c r="M403" s="92"/>
      <c r="N403" s="92"/>
      <c r="O403" s="92"/>
      <c r="T403" s="185" t="s">
        <v>915</v>
      </c>
      <c r="U403" s="2564" t="str">
        <f ca="1">J491</f>
        <v>WA</v>
      </c>
      <c r="V403" s="2561"/>
      <c r="X403" s="262"/>
    </row>
    <row r="404" spans="2:24" ht="5.0999999999999996" customHeight="1">
      <c r="B404" s="262"/>
      <c r="C404" s="260"/>
      <c r="J404" s="92"/>
      <c r="M404" s="92"/>
      <c r="N404" s="92"/>
      <c r="O404" s="92"/>
      <c r="U404" s="92"/>
      <c r="X404" s="262"/>
    </row>
    <row r="405" spans="2:24">
      <c r="B405" s="262"/>
      <c r="C405" s="260"/>
      <c r="I405" s="185" t="s">
        <v>916</v>
      </c>
      <c r="J405" s="2564">
        <f ca="1">U491</f>
        <v>0</v>
      </c>
      <c r="K405" s="2560"/>
      <c r="L405" s="2561"/>
      <c r="M405" s="92"/>
      <c r="N405" s="92"/>
      <c r="O405" s="92"/>
      <c r="T405" s="185" t="s">
        <v>917</v>
      </c>
      <c r="U405" s="2610">
        <f ca="1">DATA!R5</f>
        <v>0</v>
      </c>
      <c r="V405" s="2611"/>
      <c r="X405" s="262"/>
    </row>
    <row r="406" spans="2:24" ht="5.0999999999999996" customHeight="1">
      <c r="B406" s="262"/>
      <c r="C406" s="260"/>
      <c r="J406" s="92"/>
      <c r="M406" s="92"/>
      <c r="N406" s="92"/>
      <c r="O406" s="92"/>
      <c r="U406" s="92"/>
      <c r="X406" s="262"/>
    </row>
    <row r="407" spans="2:24">
      <c r="B407" s="262"/>
      <c r="C407" s="260"/>
      <c r="I407" s="185" t="s">
        <v>918</v>
      </c>
      <c r="J407" s="2615">
        <f ca="1">DATA!S5</f>
        <v>0</v>
      </c>
      <c r="K407" s="2560"/>
      <c r="L407" s="2561"/>
      <c r="M407" s="92"/>
      <c r="N407" s="92"/>
      <c r="O407" s="92"/>
      <c r="T407" s="185" t="s">
        <v>919</v>
      </c>
      <c r="U407" s="2564">
        <f ca="1">DATA!T5</f>
        <v>0</v>
      </c>
      <c r="V407" s="2561"/>
      <c r="X407" s="262"/>
    </row>
    <row r="408" spans="2:24" ht="5.0999999999999996" customHeight="1">
      <c r="B408" s="262"/>
      <c r="C408" s="261"/>
      <c r="D408" s="184"/>
      <c r="E408" s="184"/>
      <c r="F408" s="184"/>
      <c r="G408" s="184"/>
      <c r="H408" s="184"/>
      <c r="I408" s="184"/>
      <c r="J408" s="184"/>
      <c r="K408" s="184"/>
      <c r="L408" s="184"/>
      <c r="M408" s="184"/>
      <c r="N408" s="184"/>
      <c r="O408" s="184"/>
      <c r="P408" s="184"/>
      <c r="Q408" s="184"/>
      <c r="R408" s="184"/>
      <c r="S408" s="184"/>
      <c r="T408" s="184"/>
      <c r="U408" s="184"/>
      <c r="V408" s="184"/>
      <c r="W408" s="184"/>
      <c r="X408" s="263"/>
    </row>
    <row r="409" spans="2:24" ht="5.0999999999999996" customHeight="1"/>
    <row r="410" spans="2:24" ht="5.0999999999999996" customHeight="1">
      <c r="B410" s="262"/>
      <c r="C410" s="621"/>
      <c r="D410" s="610"/>
      <c r="E410" s="610"/>
      <c r="F410" s="610"/>
      <c r="G410" s="610"/>
      <c r="H410" s="610"/>
      <c r="I410" s="610"/>
      <c r="J410" s="610"/>
      <c r="K410" s="610"/>
      <c r="L410" s="610"/>
      <c r="M410" s="610"/>
      <c r="N410" s="610"/>
      <c r="O410" s="610"/>
      <c r="P410" s="610"/>
      <c r="Q410" s="610"/>
      <c r="R410" s="610"/>
      <c r="S410" s="610"/>
      <c r="T410" s="610"/>
      <c r="U410" s="610"/>
      <c r="V410" s="610"/>
      <c r="W410" s="610"/>
      <c r="X410" s="1158"/>
    </row>
    <row r="411" spans="2:24">
      <c r="B411" s="262"/>
      <c r="C411" s="260"/>
      <c r="D411" s="2547" t="s">
        <v>1030</v>
      </c>
      <c r="E411" s="2547"/>
      <c r="F411" s="2547"/>
      <c r="G411" s="2547"/>
      <c r="H411" s="2547"/>
      <c r="I411" s="2547"/>
      <c r="J411" s="2547"/>
      <c r="K411" s="2547"/>
      <c r="L411" s="2547"/>
      <c r="M411" s="2547"/>
      <c r="N411" s="2547"/>
      <c r="O411" s="2547"/>
      <c r="P411" s="2547"/>
      <c r="Q411" s="2547"/>
      <c r="R411" s="2547"/>
      <c r="S411" s="2547"/>
      <c r="T411" s="2547"/>
      <c r="U411" s="2547"/>
      <c r="V411" s="2548" t="s">
        <v>1085</v>
      </c>
      <c r="W411" s="2548"/>
      <c r="X411" s="262"/>
    </row>
    <row r="412" spans="2:24" ht="5.0999999999999996" customHeight="1">
      <c r="B412" s="262"/>
      <c r="C412" s="260"/>
      <c r="I412" s="38"/>
      <c r="J412" s="38"/>
      <c r="K412" s="38"/>
      <c r="L412" s="38"/>
      <c r="M412" s="38"/>
      <c r="N412" s="38"/>
      <c r="O412" s="38"/>
      <c r="X412" s="262"/>
    </row>
    <row r="413" spans="2:24" ht="14.95" customHeight="1">
      <c r="B413" s="262"/>
      <c r="C413" s="260"/>
      <c r="I413" s="38"/>
      <c r="J413" s="38"/>
      <c r="K413" s="38"/>
      <c r="L413" s="38"/>
      <c r="M413" s="38"/>
      <c r="N413" s="38"/>
      <c r="O413" s="38"/>
      <c r="T413" s="404" t="s">
        <v>1032</v>
      </c>
      <c r="U413" s="2244"/>
      <c r="V413" s="2245"/>
      <c r="X413" s="262"/>
    </row>
    <row r="414" spans="2:24" ht="5.0999999999999996" customHeight="1">
      <c r="B414" s="262"/>
      <c r="C414" s="260"/>
      <c r="I414" s="38"/>
      <c r="J414" s="38"/>
      <c r="K414" s="38"/>
      <c r="L414" s="38"/>
      <c r="M414" s="38"/>
      <c r="N414" s="38"/>
      <c r="O414" s="38"/>
      <c r="X414" s="262"/>
    </row>
    <row r="415" spans="2:24">
      <c r="B415" s="262"/>
      <c r="C415" s="260"/>
      <c r="I415" s="185" t="s">
        <v>904</v>
      </c>
      <c r="J415" s="2630" t="str">
        <f ca="1">'Grant QC Review'!J490</f>
        <v/>
      </c>
      <c r="K415" s="2631"/>
      <c r="L415" s="2632"/>
      <c r="M415" s="38"/>
      <c r="N415" s="92"/>
      <c r="O415" s="92"/>
      <c r="X415" s="262"/>
    </row>
    <row r="416" spans="2:24" ht="5.0999999999999996" customHeight="1">
      <c r="B416" s="262"/>
      <c r="C416" s="260"/>
      <c r="I416" s="185"/>
      <c r="J416" s="38"/>
      <c r="K416" s="185"/>
      <c r="M416" s="38"/>
      <c r="N416" s="38"/>
      <c r="O416" s="38"/>
      <c r="X416" s="262"/>
    </row>
    <row r="417" spans="2:24">
      <c r="B417" s="262"/>
      <c r="C417" s="260"/>
      <c r="I417" s="335" t="s">
        <v>1033</v>
      </c>
      <c r="J417" s="2630" t="str">
        <f ca="1">'Grant QC Review'!J492</f>
        <v/>
      </c>
      <c r="K417" s="2631"/>
      <c r="L417" s="2632"/>
      <c r="M417" s="38"/>
      <c r="N417" s="92"/>
      <c r="O417" s="92"/>
      <c r="S417" s="185" t="s">
        <v>1034</v>
      </c>
      <c r="U417" s="2630" t="str">
        <f ca="1">'Grant QC Review'!U492</f>
        <v/>
      </c>
      <c r="V417" s="2632"/>
      <c r="X417" s="262"/>
    </row>
    <row r="418" spans="2:24" ht="5.0999999999999996" customHeight="1">
      <c r="B418" s="262"/>
      <c r="C418" s="260"/>
      <c r="I418" s="185"/>
      <c r="J418" s="38"/>
      <c r="K418" s="185"/>
      <c r="M418" s="38"/>
      <c r="N418" s="38"/>
      <c r="O418" s="38"/>
      <c r="S418" s="185"/>
      <c r="U418" s="38"/>
      <c r="X418" s="262"/>
    </row>
    <row r="419" spans="2:24">
      <c r="B419" s="262"/>
      <c r="C419" s="260"/>
      <c r="I419" s="223" t="s">
        <v>1035</v>
      </c>
      <c r="J419" s="2633" t="str">
        <f ca="1">'Grant QC Review'!J494</f>
        <v/>
      </c>
      <c r="K419" s="2634"/>
      <c r="L419" s="2635"/>
      <c r="M419" s="38"/>
      <c r="N419" s="92"/>
      <c r="O419" s="92"/>
      <c r="S419" s="185" t="s">
        <v>1036</v>
      </c>
      <c r="U419" s="2630" t="str">
        <f ca="1">'Grant QC Review'!U494</f>
        <v/>
      </c>
      <c r="V419" s="2632"/>
      <c r="X419" s="262"/>
    </row>
    <row r="420" spans="2:24" ht="5.0999999999999996" customHeight="1">
      <c r="B420" s="262"/>
      <c r="C420" s="260"/>
      <c r="I420" s="185"/>
      <c r="J420" s="38"/>
      <c r="K420" s="185"/>
      <c r="M420" s="38"/>
      <c r="N420" s="38"/>
      <c r="O420" s="38"/>
      <c r="X420" s="262"/>
    </row>
    <row r="421" spans="2:24">
      <c r="B421" s="262"/>
      <c r="C421" s="260"/>
      <c r="H421" s="402"/>
      <c r="I421" s="404" t="s">
        <v>1037</v>
      </c>
      <c r="J421" s="2517"/>
      <c r="K421" s="2518"/>
      <c r="L421" s="2519"/>
      <c r="M421" s="323"/>
      <c r="N421" s="92"/>
      <c r="O421" s="92"/>
      <c r="X421" s="262"/>
    </row>
    <row r="422" spans="2:24" ht="5.0999999999999996" customHeight="1">
      <c r="B422" s="262"/>
      <c r="C422" s="261"/>
      <c r="D422" s="184"/>
      <c r="E422" s="184"/>
      <c r="F422" s="184"/>
      <c r="G422" s="184"/>
      <c r="H422" s="184"/>
      <c r="I422" s="184"/>
      <c r="J422" s="184"/>
      <c r="K422" s="184"/>
      <c r="L422" s="184"/>
      <c r="M422" s="184"/>
      <c r="N422" s="184"/>
      <c r="O422" s="184"/>
      <c r="P422" s="184"/>
      <c r="Q422" s="184"/>
      <c r="R422" s="184"/>
      <c r="S422" s="184"/>
      <c r="T422" s="184"/>
      <c r="U422" s="184"/>
      <c r="V422" s="184"/>
      <c r="W422" s="184"/>
      <c r="X422" s="263"/>
    </row>
    <row r="423" spans="2:24" ht="5.0999999999999996" customHeight="1"/>
    <row r="424" spans="2:24" ht="5.0999999999999996" customHeight="1">
      <c r="C424" s="621"/>
      <c r="D424" s="610"/>
      <c r="E424" s="610"/>
      <c r="F424" s="610"/>
      <c r="G424" s="610"/>
      <c r="H424" s="610"/>
      <c r="I424" s="610"/>
      <c r="J424" s="610"/>
      <c r="K424" s="610"/>
      <c r="L424" s="610"/>
      <c r="M424" s="610"/>
      <c r="N424" s="610"/>
      <c r="O424" s="610"/>
      <c r="P424" s="610"/>
      <c r="Q424" s="610"/>
      <c r="R424" s="610"/>
      <c r="S424" s="610"/>
      <c r="T424" s="610"/>
      <c r="U424" s="610"/>
      <c r="V424" s="610"/>
      <c r="W424" s="610"/>
      <c r="X424" s="1158"/>
    </row>
    <row r="425" spans="2:24">
      <c r="C425" s="260"/>
      <c r="D425" s="2547" t="s">
        <v>1040</v>
      </c>
      <c r="E425" s="2547"/>
      <c r="F425" s="2547"/>
      <c r="G425" s="2547"/>
      <c r="H425" s="2547"/>
      <c r="I425" s="2547"/>
      <c r="J425" s="2547"/>
      <c r="K425" s="2547"/>
      <c r="L425" s="2547"/>
      <c r="M425" s="2547"/>
      <c r="N425" s="2547"/>
      <c r="O425" s="2547"/>
      <c r="P425" s="2547"/>
      <c r="Q425" s="2547"/>
      <c r="R425" s="2547"/>
      <c r="S425" s="2547"/>
      <c r="T425" s="2547"/>
      <c r="U425" s="2547"/>
      <c r="V425" s="2548" t="s">
        <v>1085</v>
      </c>
      <c r="W425" s="2548"/>
      <c r="X425" s="262"/>
    </row>
    <row r="426" spans="2:24" ht="5.0999999999999996" customHeight="1">
      <c r="C426" s="260"/>
      <c r="I426" s="38"/>
      <c r="J426" s="38"/>
      <c r="K426" s="38"/>
      <c r="L426" s="38"/>
      <c r="M426" s="38"/>
      <c r="N426" s="38"/>
      <c r="O426" s="38"/>
      <c r="X426" s="262"/>
    </row>
    <row r="427" spans="2:24" ht="14.95" customHeight="1">
      <c r="C427" s="260"/>
      <c r="I427" s="38"/>
      <c r="J427" s="38"/>
      <c r="K427" s="38"/>
      <c r="L427" s="38"/>
      <c r="M427" s="38"/>
      <c r="N427" s="38"/>
      <c r="O427" s="38"/>
      <c r="S427" s="402"/>
      <c r="T427" s="404" t="s">
        <v>1041</v>
      </c>
      <c r="U427" s="2244"/>
      <c r="V427" s="2245"/>
      <c r="X427" s="262"/>
    </row>
    <row r="428" spans="2:24" ht="5.0999999999999996" customHeight="1">
      <c r="C428" s="260"/>
      <c r="I428" s="38"/>
      <c r="J428" s="38"/>
      <c r="K428" s="38"/>
      <c r="L428" s="38"/>
      <c r="M428" s="38"/>
      <c r="N428" s="38"/>
      <c r="O428" s="38"/>
      <c r="X428" s="262"/>
    </row>
    <row r="429" spans="2:24">
      <c r="C429" s="260"/>
      <c r="I429" s="185"/>
      <c r="J429" s="38"/>
      <c r="K429" s="38"/>
      <c r="L429" s="38"/>
      <c r="M429" s="38"/>
      <c r="N429" s="92"/>
      <c r="O429" s="92"/>
      <c r="T429" s="185" t="s">
        <v>922</v>
      </c>
      <c r="U429" s="2278" t="str">
        <f ca="1">U515</f>
        <v/>
      </c>
      <c r="V429" s="2280"/>
      <c r="X429" s="262"/>
    </row>
    <row r="430" spans="2:24" ht="5.0999999999999996" customHeight="1">
      <c r="C430" s="260"/>
      <c r="I430" s="185"/>
      <c r="J430" s="38"/>
      <c r="K430" s="185"/>
      <c r="M430" s="38"/>
      <c r="N430" s="38"/>
      <c r="O430" s="38"/>
      <c r="X430" s="262"/>
    </row>
    <row r="431" spans="2:24">
      <c r="C431" s="260"/>
      <c r="I431" s="404" t="s">
        <v>1042</v>
      </c>
      <c r="J431" s="2517">
        <f>J517</f>
        <v>0</v>
      </c>
      <c r="K431" s="2518"/>
      <c r="L431" s="2519"/>
      <c r="M431" s="38"/>
      <c r="N431" s="92"/>
      <c r="O431" s="92"/>
      <c r="T431" s="185" t="s">
        <v>917</v>
      </c>
      <c r="U431" s="2316" t="str">
        <f ca="1">U517</f>
        <v/>
      </c>
      <c r="V431" s="2280"/>
      <c r="X431" s="262"/>
    </row>
    <row r="432" spans="2:24" ht="5.0999999999999996" customHeight="1">
      <c r="C432" s="260"/>
      <c r="I432" s="185"/>
      <c r="J432" s="38"/>
      <c r="K432" s="185"/>
      <c r="M432" s="38"/>
      <c r="N432" s="38"/>
      <c r="O432" s="38"/>
      <c r="X432" s="262"/>
    </row>
    <row r="433" spans="2:24">
      <c r="C433" s="260"/>
      <c r="I433" s="185" t="s">
        <v>918</v>
      </c>
      <c r="J433" s="2278" t="str">
        <f ca="1">J519</f>
        <v/>
      </c>
      <c r="K433" s="2279"/>
      <c r="L433" s="2280"/>
      <c r="M433" s="38"/>
      <c r="N433" s="92"/>
      <c r="O433" s="92"/>
      <c r="T433" s="185" t="s">
        <v>924</v>
      </c>
      <c r="U433" s="2278" t="str">
        <f ca="1">U519</f>
        <v/>
      </c>
      <c r="V433" s="2280"/>
      <c r="X433" s="262"/>
    </row>
    <row r="434" spans="2:24" ht="5.0999999999999996" customHeight="1">
      <c r="C434" s="260"/>
      <c r="I434" s="185"/>
      <c r="J434" s="38"/>
      <c r="K434" s="185"/>
      <c r="M434" s="38"/>
      <c r="N434" s="38"/>
      <c r="O434" s="38"/>
      <c r="T434" s="185"/>
      <c r="U434" s="38"/>
      <c r="X434" s="262"/>
    </row>
    <row r="435" spans="2:24">
      <c r="C435" s="260"/>
      <c r="I435" s="404" t="s">
        <v>908</v>
      </c>
      <c r="J435" s="2517">
        <f>J521</f>
        <v>0</v>
      </c>
      <c r="K435" s="2518"/>
      <c r="L435" s="2519"/>
      <c r="M435" s="38"/>
      <c r="N435" s="92"/>
      <c r="O435" s="92"/>
      <c r="T435" s="185" t="s">
        <v>909</v>
      </c>
      <c r="U435" s="2278" t="str">
        <f ca="1">U521</f>
        <v/>
      </c>
      <c r="V435" s="2280"/>
      <c r="X435" s="262"/>
    </row>
    <row r="436" spans="2:24" ht="5.0999999999999996" customHeight="1">
      <c r="C436" s="260"/>
      <c r="I436" s="185"/>
      <c r="J436" s="38"/>
      <c r="K436" s="185"/>
      <c r="M436" s="38"/>
      <c r="N436" s="38"/>
      <c r="O436" s="38"/>
      <c r="X436" s="262"/>
    </row>
    <row r="437" spans="2:24">
      <c r="C437" s="260"/>
      <c r="I437" s="185" t="s">
        <v>910</v>
      </c>
      <c r="J437" s="2278" t="str">
        <f ca="1">J523</f>
        <v/>
      </c>
      <c r="K437" s="2279"/>
      <c r="L437" s="2280"/>
      <c r="M437" s="323"/>
      <c r="N437" s="92"/>
      <c r="O437" s="92"/>
      <c r="T437" s="185" t="s">
        <v>911</v>
      </c>
      <c r="U437" s="2278" t="str">
        <f ca="1">U523</f>
        <v/>
      </c>
      <c r="V437" s="2280"/>
      <c r="X437" s="262"/>
    </row>
    <row r="438" spans="2:24" ht="5.0999999999999996" customHeight="1">
      <c r="C438" s="261"/>
      <c r="D438" s="184"/>
      <c r="E438" s="184"/>
      <c r="F438" s="184"/>
      <c r="G438" s="184"/>
      <c r="H438" s="184"/>
      <c r="I438" s="184"/>
      <c r="J438" s="184"/>
      <c r="K438" s="184"/>
      <c r="L438" s="184"/>
      <c r="M438" s="184"/>
      <c r="N438" s="184"/>
      <c r="O438" s="184"/>
      <c r="P438" s="184"/>
      <c r="Q438" s="184"/>
      <c r="R438" s="184"/>
      <c r="S438" s="184"/>
      <c r="T438" s="184"/>
      <c r="U438" s="184"/>
      <c r="V438" s="184"/>
      <c r="W438" s="184"/>
      <c r="X438" s="263"/>
    </row>
    <row r="439" spans="2:24" ht="5.0999999999999996" customHeight="1"/>
    <row r="440" spans="2:24" ht="5.0999999999999996" customHeight="1">
      <c r="B440" s="262"/>
      <c r="C440" s="621"/>
      <c r="D440" s="610"/>
      <c r="E440" s="610"/>
      <c r="F440" s="610"/>
      <c r="G440" s="610"/>
      <c r="H440" s="738"/>
      <c r="I440" s="738"/>
      <c r="J440" s="738"/>
      <c r="K440" s="738"/>
      <c r="L440" s="738"/>
      <c r="M440" s="738"/>
      <c r="N440" s="738"/>
      <c r="O440" s="738"/>
      <c r="P440" s="610"/>
      <c r="Q440" s="610"/>
      <c r="R440" s="610"/>
      <c r="S440" s="738"/>
      <c r="T440" s="610"/>
      <c r="U440" s="738"/>
      <c r="V440" s="738"/>
      <c r="W440" s="610"/>
      <c r="X440" s="1158"/>
    </row>
    <row r="441" spans="2:24">
      <c r="B441" s="262"/>
      <c r="C441" s="260"/>
      <c r="D441" s="2547" t="s">
        <v>1043</v>
      </c>
      <c r="E441" s="2547"/>
      <c r="F441" s="2547"/>
      <c r="G441" s="2547"/>
      <c r="H441" s="2547"/>
      <c r="I441" s="2547"/>
      <c r="J441" s="2547"/>
      <c r="K441" s="2547"/>
      <c r="L441" s="2547"/>
      <c r="M441" s="2547"/>
      <c r="N441" s="2547"/>
      <c r="O441" s="2547"/>
      <c r="P441" s="2547"/>
      <c r="Q441" s="2547"/>
      <c r="R441" s="2547"/>
      <c r="S441" s="2547"/>
      <c r="T441" s="2547"/>
      <c r="U441" s="2547"/>
      <c r="V441" s="2548" t="s">
        <v>1085</v>
      </c>
      <c r="W441" s="2548"/>
      <c r="X441" s="262"/>
    </row>
    <row r="442" spans="2:24" ht="5.0999999999999996" customHeight="1">
      <c r="B442" s="262"/>
      <c r="C442" s="260"/>
      <c r="H442" s="38"/>
      <c r="I442" s="38"/>
      <c r="J442" s="38"/>
      <c r="K442" s="38"/>
      <c r="L442" s="38"/>
      <c r="M442" s="38"/>
      <c r="N442" s="38"/>
      <c r="O442" s="38"/>
      <c r="S442" s="38"/>
      <c r="U442" s="38"/>
      <c r="V442" s="38"/>
      <c r="X442" s="262"/>
    </row>
    <row r="443" spans="2:24">
      <c r="B443" s="262"/>
      <c r="C443" s="260"/>
      <c r="H443" s="38"/>
      <c r="I443" s="185" t="s">
        <v>922</v>
      </c>
      <c r="J443" s="2278">
        <f ca="1">J561</f>
        <v>0</v>
      </c>
      <c r="K443" s="2279"/>
      <c r="L443" s="2280"/>
      <c r="M443" s="38"/>
      <c r="N443" s="92"/>
      <c r="O443" s="92"/>
      <c r="S443" s="185"/>
      <c r="T443" s="185" t="s">
        <v>1044</v>
      </c>
      <c r="U443" s="2315" t="str">
        <f ca="1">U561</f>
        <v/>
      </c>
      <c r="V443" s="2280"/>
      <c r="X443" s="262"/>
    </row>
    <row r="444" spans="2:24" ht="5.0999999999999996" customHeight="1">
      <c r="B444" s="262"/>
      <c r="C444" s="260"/>
      <c r="H444" s="38"/>
      <c r="I444" s="185"/>
      <c r="J444" s="38"/>
      <c r="K444" s="185"/>
      <c r="M444" s="38"/>
      <c r="N444" s="38"/>
      <c r="O444" s="38"/>
      <c r="S444" s="185"/>
      <c r="U444" s="38"/>
      <c r="X444" s="262"/>
    </row>
    <row r="445" spans="2:24">
      <c r="B445" s="262"/>
      <c r="C445" s="260"/>
      <c r="H445" s="38"/>
      <c r="I445" s="404" t="s">
        <v>1045</v>
      </c>
      <c r="J445" s="2517">
        <f>J563</f>
        <v>0</v>
      </c>
      <c r="K445" s="2518"/>
      <c r="L445" s="2519"/>
      <c r="M445" s="38"/>
      <c r="N445" s="92"/>
      <c r="O445" s="92"/>
      <c r="Q445" s="402"/>
      <c r="R445" s="402"/>
      <c r="S445" s="404"/>
      <c r="T445" s="185" t="s">
        <v>1046</v>
      </c>
      <c r="U445" s="2315" t="str">
        <f ca="1">U565</f>
        <v/>
      </c>
      <c r="V445" s="2280"/>
      <c r="X445" s="262"/>
    </row>
    <row r="446" spans="2:24" ht="14.95" customHeight="1">
      <c r="B446" s="262"/>
      <c r="C446" s="260"/>
      <c r="H446" s="38"/>
      <c r="I446" s="185"/>
      <c r="J446" s="38"/>
      <c r="K446" s="185"/>
      <c r="M446" s="38"/>
      <c r="N446" s="38"/>
      <c r="O446" s="38"/>
      <c r="S446" s="185"/>
      <c r="U446" s="38"/>
      <c r="X446" s="262"/>
    </row>
    <row r="447" spans="2:24">
      <c r="B447" s="262"/>
      <c r="C447" s="260"/>
      <c r="H447" s="38"/>
      <c r="I447" s="404" t="s">
        <v>1047</v>
      </c>
      <c r="J447" s="2517">
        <f>J567</f>
        <v>0</v>
      </c>
      <c r="K447" s="2518"/>
      <c r="L447" s="2519"/>
      <c r="M447" s="38"/>
      <c r="N447" s="92"/>
      <c r="O447" s="92"/>
      <c r="S447" s="185"/>
      <c r="T447" s="185" t="s">
        <v>1048</v>
      </c>
      <c r="U447" s="2315" t="str">
        <f ca="1">U567</f>
        <v/>
      </c>
      <c r="V447" s="2280"/>
      <c r="X447" s="262"/>
    </row>
    <row r="448" spans="2:24" ht="5.0999999999999996" customHeight="1">
      <c r="B448" s="262"/>
      <c r="C448" s="260"/>
      <c r="H448" s="38"/>
      <c r="I448" s="185"/>
      <c r="J448" s="38"/>
      <c r="K448" s="185"/>
      <c r="M448" s="38"/>
      <c r="N448" s="38"/>
      <c r="O448" s="38"/>
      <c r="S448" s="38"/>
      <c r="U448" s="185"/>
      <c r="V448" s="38"/>
      <c r="X448" s="262"/>
    </row>
    <row r="449" spans="2:24">
      <c r="B449" s="262"/>
      <c r="C449" s="260"/>
      <c r="H449" s="38"/>
      <c r="I449" s="185" t="s">
        <v>1049</v>
      </c>
      <c r="J449" s="2278" t="str">
        <f ca="1">J569</f>
        <v/>
      </c>
      <c r="K449" s="2279"/>
      <c r="L449" s="2280"/>
      <c r="M449" s="38"/>
      <c r="N449" s="92"/>
      <c r="O449" s="92"/>
      <c r="S449" s="185"/>
      <c r="T449" s="185" t="s">
        <v>1050</v>
      </c>
      <c r="U449" s="2417" t="str">
        <f ca="1">U569</f>
        <v/>
      </c>
      <c r="V449" s="2280"/>
      <c r="X449" s="262"/>
    </row>
    <row r="450" spans="2:24" ht="5.0999999999999996" customHeight="1">
      <c r="B450" s="262"/>
      <c r="C450" s="260"/>
      <c r="H450" s="38"/>
      <c r="I450" s="185"/>
      <c r="J450" s="38"/>
      <c r="K450" s="185"/>
      <c r="M450" s="38"/>
      <c r="N450" s="38"/>
      <c r="O450" s="38"/>
      <c r="S450" s="38"/>
      <c r="U450" s="185"/>
      <c r="V450" s="38"/>
      <c r="X450" s="262"/>
    </row>
    <row r="451" spans="2:24">
      <c r="B451" s="262"/>
      <c r="C451" s="260"/>
      <c r="H451" s="38"/>
      <c r="I451" s="185" t="s">
        <v>1102</v>
      </c>
      <c r="J451" s="2278" t="str">
        <f>DATA!BW5</f>
        <v>Check Payment</v>
      </c>
      <c r="K451" s="2279"/>
      <c r="L451" s="2280"/>
      <c r="M451" s="38"/>
      <c r="N451" s="92"/>
      <c r="O451" s="92"/>
      <c r="S451" s="185"/>
      <c r="X451" s="262"/>
    </row>
    <row r="452" spans="2:24" ht="5.0999999999999996" customHeight="1">
      <c r="B452" s="262"/>
      <c r="C452" s="261"/>
      <c r="D452" s="184"/>
      <c r="E452" s="184"/>
      <c r="F452" s="184"/>
      <c r="G452" s="184"/>
      <c r="H452" s="176"/>
      <c r="I452" s="176"/>
      <c r="J452" s="176"/>
      <c r="K452" s="176"/>
      <c r="L452" s="176"/>
      <c r="M452" s="176"/>
      <c r="N452" s="176"/>
      <c r="O452" s="176"/>
      <c r="P452" s="184"/>
      <c r="Q452" s="184"/>
      <c r="R452" s="184"/>
      <c r="S452" s="176"/>
      <c r="T452" s="184"/>
      <c r="U452" s="176"/>
      <c r="V452" s="176"/>
      <c r="W452" s="184"/>
      <c r="X452" s="263"/>
    </row>
    <row r="453" spans="2:24" ht="5.0999999999999996" customHeight="1">
      <c r="U453" s="38"/>
      <c r="V453" s="38"/>
    </row>
    <row r="454" spans="2:24" ht="5.0999999999999996" customHeight="1">
      <c r="B454" s="262"/>
      <c r="C454" s="621"/>
      <c r="D454" s="610"/>
      <c r="E454" s="610"/>
      <c r="F454" s="610"/>
      <c r="G454" s="610"/>
      <c r="H454" s="610"/>
      <c r="I454" s="610"/>
      <c r="J454" s="610"/>
      <c r="K454" s="610"/>
      <c r="L454" s="610"/>
      <c r="M454" s="610"/>
      <c r="N454" s="610"/>
      <c r="O454" s="610"/>
      <c r="P454" s="610"/>
      <c r="Q454" s="610"/>
      <c r="R454" s="610"/>
      <c r="S454" s="610"/>
      <c r="T454" s="610"/>
      <c r="U454" s="610"/>
      <c r="V454" s="610"/>
      <c r="W454" s="610"/>
      <c r="X454" s="1158"/>
    </row>
    <row r="455" spans="2:24">
      <c r="B455" s="262"/>
      <c r="C455" s="260"/>
      <c r="D455" s="2547" t="s">
        <v>956</v>
      </c>
      <c r="E455" s="2547"/>
      <c r="F455" s="2547"/>
      <c r="G455" s="2547"/>
      <c r="H455" s="2547"/>
      <c r="I455" s="2547"/>
      <c r="J455" s="2547"/>
      <c r="K455" s="2547"/>
      <c r="L455" s="2547"/>
      <c r="M455" s="2547"/>
      <c r="N455" s="2547"/>
      <c r="O455" s="2547"/>
      <c r="P455" s="2547"/>
      <c r="Q455" s="2547"/>
      <c r="R455" s="2547"/>
      <c r="S455" s="2547"/>
      <c r="T455" s="2547"/>
      <c r="U455" s="2547"/>
      <c r="V455" s="2548" t="s">
        <v>1085</v>
      </c>
      <c r="W455" s="2548"/>
      <c r="X455" s="262"/>
    </row>
    <row r="456" spans="2:24" ht="5.0999999999999996" customHeight="1">
      <c r="B456" s="262"/>
      <c r="C456" s="260"/>
      <c r="X456" s="262"/>
    </row>
    <row r="457" spans="2:24">
      <c r="B457" s="262"/>
      <c r="C457" s="260"/>
      <c r="I457" s="185" t="s">
        <v>957</v>
      </c>
      <c r="J457" s="2315">
        <f ca="1">J583</f>
        <v>0</v>
      </c>
      <c r="K457" s="2628"/>
      <c r="L457" s="2629"/>
      <c r="M457" s="92"/>
      <c r="N457" s="326"/>
      <c r="O457" s="326"/>
      <c r="X457" s="262"/>
    </row>
    <row r="458" spans="2:24" ht="5.0999999999999996" customHeight="1">
      <c r="B458" s="262"/>
      <c r="C458" s="260"/>
      <c r="J458" s="92"/>
      <c r="M458" s="92"/>
      <c r="N458" s="92"/>
      <c r="O458" s="92"/>
      <c r="X458" s="262"/>
    </row>
    <row r="459" spans="2:24">
      <c r="B459" s="262"/>
      <c r="C459" s="260"/>
      <c r="I459" s="185" t="s">
        <v>958</v>
      </c>
      <c r="J459" s="2437">
        <f ca="1">U585</f>
        <v>0</v>
      </c>
      <c r="K459" s="2624"/>
      <c r="L459" s="2438"/>
      <c r="M459" s="92"/>
      <c r="N459" s="325"/>
      <c r="O459" s="325"/>
      <c r="S459" s="185" t="s">
        <v>985</v>
      </c>
      <c r="U459" s="2437">
        <f ca="1">J589</f>
        <v>0</v>
      </c>
      <c r="V459" s="2438"/>
      <c r="X459" s="262"/>
    </row>
    <row r="460" spans="2:24" ht="5.0999999999999996" customHeight="1">
      <c r="B460" s="262"/>
      <c r="C460" s="261"/>
      <c r="D460" s="184"/>
      <c r="E460" s="184"/>
      <c r="F460" s="184"/>
      <c r="G460" s="184"/>
      <c r="H460" s="184"/>
      <c r="I460" s="184"/>
      <c r="J460" s="184"/>
      <c r="K460" s="184"/>
      <c r="L460" s="184"/>
      <c r="M460" s="184"/>
      <c r="N460" s="184"/>
      <c r="O460" s="184"/>
      <c r="P460" s="184"/>
      <c r="Q460" s="184"/>
      <c r="R460" s="184"/>
      <c r="S460" s="184"/>
      <c r="T460" s="184"/>
      <c r="U460" s="184"/>
      <c r="V460" s="184"/>
      <c r="W460" s="184"/>
      <c r="X460" s="263"/>
    </row>
    <row r="462" spans="2:24">
      <c r="B462" s="1441"/>
    </row>
    <row r="463" spans="2:24" ht="21.75" thickBot="1">
      <c r="B463" s="1441"/>
      <c r="I463" s="2460">
        <f>O90</f>
        <v>0</v>
      </c>
      <c r="J463" s="2460"/>
      <c r="K463" s="315"/>
      <c r="L463" s="315" t="s">
        <v>1053</v>
      </c>
      <c r="M463" s="315"/>
      <c r="N463" s="315"/>
      <c r="O463" s="315"/>
      <c r="P463" s="315"/>
      <c r="Q463" s="315"/>
      <c r="R463" s="315"/>
      <c r="S463" s="315"/>
      <c r="T463" s="315"/>
      <c r="U463" s="315"/>
      <c r="V463" s="315"/>
      <c r="W463" s="315"/>
      <c r="X463" s="315"/>
    </row>
    <row r="464" spans="2:24" ht="14.95" customHeight="1">
      <c r="B464" s="1441"/>
      <c r="H464" s="2461" t="s">
        <v>1091</v>
      </c>
      <c r="I464" s="2327"/>
      <c r="J464" s="2327"/>
      <c r="K464" s="2327"/>
      <c r="L464" s="2327"/>
      <c r="M464" s="2327"/>
      <c r="N464" s="2327"/>
      <c r="O464" s="2327"/>
      <c r="P464" s="2327"/>
      <c r="Q464" s="2327"/>
      <c r="R464" s="2327"/>
      <c r="S464" s="2327"/>
      <c r="T464" s="2327"/>
      <c r="U464" s="2327"/>
      <c r="V464" s="2327"/>
      <c r="W464" s="2327"/>
      <c r="X464" s="2328"/>
    </row>
    <row r="465" spans="2:24" ht="14.95" customHeight="1">
      <c r="B465" s="1441"/>
      <c r="H465" s="2329"/>
      <c r="I465" s="2330"/>
      <c r="J465" s="2330"/>
      <c r="K465" s="2330"/>
      <c r="L465" s="2330"/>
      <c r="M465" s="2330"/>
      <c r="N465" s="2330"/>
      <c r="O465" s="2330"/>
      <c r="P465" s="2330"/>
      <c r="Q465" s="2330"/>
      <c r="R465" s="2330"/>
      <c r="S465" s="2330"/>
      <c r="T465" s="2330"/>
      <c r="U465" s="2330"/>
      <c r="V465" s="2330"/>
      <c r="W465" s="2330"/>
      <c r="X465" s="2331"/>
    </row>
    <row r="466" spans="2:24">
      <c r="B466" s="1441"/>
      <c r="H466" s="2329"/>
      <c r="I466" s="2330"/>
      <c r="J466" s="2330"/>
      <c r="K466" s="2330"/>
      <c r="L466" s="2330"/>
      <c r="M466" s="2330"/>
      <c r="N466" s="2330"/>
      <c r="O466" s="2330"/>
      <c r="P466" s="2330"/>
      <c r="Q466" s="2330"/>
      <c r="R466" s="2330"/>
      <c r="S466" s="2330"/>
      <c r="T466" s="2330"/>
      <c r="U466" s="2330"/>
      <c r="V466" s="2330"/>
      <c r="W466" s="2330"/>
      <c r="X466" s="2331"/>
    </row>
    <row r="467" spans="2:24">
      <c r="B467" s="1441"/>
      <c r="H467" s="2329"/>
      <c r="I467" s="2330"/>
      <c r="J467" s="2330"/>
      <c r="K467" s="2330"/>
      <c r="L467" s="2330"/>
      <c r="M467" s="2330"/>
      <c r="N467" s="2330"/>
      <c r="O467" s="2330"/>
      <c r="P467" s="2330"/>
      <c r="Q467" s="2330"/>
      <c r="R467" s="2330"/>
      <c r="S467" s="2330"/>
      <c r="T467" s="2330"/>
      <c r="U467" s="2330"/>
      <c r="V467" s="2330"/>
      <c r="W467" s="2330"/>
      <c r="X467" s="2331"/>
    </row>
    <row r="468" spans="2:24" ht="14.95" customHeight="1">
      <c r="B468" s="1441"/>
      <c r="H468" s="2329"/>
      <c r="I468" s="2330"/>
      <c r="J468" s="2330"/>
      <c r="K468" s="2330"/>
      <c r="L468" s="2330"/>
      <c r="M468" s="2330"/>
      <c r="N468" s="2330"/>
      <c r="O468" s="2330"/>
      <c r="P468" s="2330"/>
      <c r="Q468" s="2330"/>
      <c r="R468" s="2330"/>
      <c r="S468" s="2330"/>
      <c r="T468" s="2330"/>
      <c r="U468" s="2330"/>
      <c r="V468" s="2330"/>
      <c r="W468" s="2330"/>
      <c r="X468" s="2331"/>
    </row>
    <row r="469" spans="2:24" ht="14.95" thickBot="1">
      <c r="B469" s="1441"/>
      <c r="H469" s="2332"/>
      <c r="I469" s="2333"/>
      <c r="J469" s="2333"/>
      <c r="K469" s="2333"/>
      <c r="L469" s="2333"/>
      <c r="M469" s="2333"/>
      <c r="N469" s="2333"/>
      <c r="O469" s="2333"/>
      <c r="P469" s="2333"/>
      <c r="Q469" s="2333"/>
      <c r="R469" s="2333"/>
      <c r="S469" s="2333"/>
      <c r="T469" s="2333"/>
      <c r="U469" s="2333"/>
      <c r="V469" s="2333"/>
      <c r="W469" s="2333"/>
      <c r="X469" s="2334"/>
    </row>
    <row r="470" spans="2:24">
      <c r="B470" s="1441"/>
    </row>
    <row r="471" spans="2:24">
      <c r="B471" s="1441"/>
    </row>
    <row r="472" spans="2:24" ht="7.5" customHeight="1">
      <c r="B472" s="1441"/>
      <c r="C472" s="621"/>
      <c r="D472" s="610"/>
      <c r="E472" s="610"/>
      <c r="F472" s="610"/>
      <c r="G472" s="610"/>
      <c r="H472" s="610"/>
      <c r="I472" s="610"/>
      <c r="J472" s="610"/>
      <c r="K472" s="610"/>
      <c r="L472" s="610"/>
      <c r="M472" s="610"/>
      <c r="N472" s="610"/>
      <c r="O472" s="610"/>
      <c r="P472" s="610"/>
      <c r="Q472" s="610"/>
      <c r="R472" s="610"/>
      <c r="S472" s="610"/>
      <c r="T472" s="610"/>
      <c r="U472" s="610"/>
      <c r="V472" s="610"/>
      <c r="W472" s="610"/>
      <c r="X472" s="1158"/>
    </row>
    <row r="473" spans="2:24">
      <c r="B473" s="1441"/>
      <c r="C473" s="260"/>
      <c r="D473" s="2190" t="s">
        <v>1055</v>
      </c>
      <c r="E473" s="2190"/>
      <c r="F473" s="2190"/>
      <c r="G473" s="2190"/>
      <c r="H473" s="2190"/>
      <c r="I473" s="2190"/>
      <c r="J473" s="2190"/>
      <c r="K473" s="2190"/>
      <c r="L473" s="2190"/>
      <c r="M473" s="2190"/>
      <c r="N473" s="2190"/>
      <c r="O473" s="2190"/>
      <c r="P473" s="2190"/>
      <c r="Q473" s="2190"/>
      <c r="R473" s="2190"/>
      <c r="S473" s="2190"/>
      <c r="T473" s="2190"/>
      <c r="U473" s="2190"/>
      <c r="V473" s="2190"/>
      <c r="W473" s="2190"/>
      <c r="X473" s="262"/>
    </row>
    <row r="474" spans="2:24" ht="7.5" customHeight="1">
      <c r="B474" s="1441"/>
      <c r="C474" s="260"/>
      <c r="X474" s="262"/>
    </row>
    <row r="475" spans="2:24" ht="14.95" customHeight="1">
      <c r="B475" s="1441"/>
      <c r="C475" s="260"/>
      <c r="O475" s="2173" t="s">
        <v>1029</v>
      </c>
      <c r="P475" s="2173"/>
      <c r="Q475" s="2173"/>
      <c r="R475" s="2173"/>
      <c r="S475" s="2173"/>
      <c r="T475" s="2180"/>
      <c r="U475" s="2244"/>
      <c r="V475" s="2245"/>
      <c r="X475" s="262"/>
    </row>
    <row r="476" spans="2:24" ht="7.5" customHeight="1">
      <c r="B476" s="1441"/>
      <c r="C476" s="260"/>
      <c r="O476" s="44"/>
      <c r="P476" s="44"/>
      <c r="Q476" s="44"/>
      <c r="R476" s="44"/>
      <c r="S476" s="44"/>
      <c r="T476" s="44"/>
      <c r="X476" s="262"/>
    </row>
    <row r="477" spans="2:24">
      <c r="B477" s="1441"/>
      <c r="C477" s="260"/>
      <c r="D477" s="2198" t="s">
        <v>903</v>
      </c>
      <c r="E477" s="2198"/>
      <c r="F477" s="2198"/>
      <c r="G477" s="2198"/>
      <c r="H477" s="2198"/>
      <c r="I477" s="2199"/>
      <c r="J477" s="2175">
        <f ca="1">DATA!D5</f>
        <v>0</v>
      </c>
      <c r="K477" s="2524"/>
      <c r="L477" s="2525"/>
      <c r="M477" s="177"/>
      <c r="N477" s="177"/>
      <c r="O477" s="956"/>
      <c r="P477" s="44"/>
      <c r="Q477" s="44"/>
      <c r="R477" s="44"/>
      <c r="S477" s="44"/>
      <c r="T477" s="44"/>
      <c r="X477" s="262"/>
    </row>
    <row r="478" spans="2:24" ht="7.5" customHeight="1">
      <c r="B478" s="1441"/>
      <c r="C478" s="260"/>
      <c r="D478" s="44"/>
      <c r="E478" s="44"/>
      <c r="F478" s="44"/>
      <c r="G478" s="44"/>
      <c r="H478" s="44"/>
      <c r="I478" s="44"/>
      <c r="O478" s="44"/>
      <c r="P478" s="44"/>
      <c r="Q478" s="44"/>
      <c r="R478" s="44"/>
      <c r="S478" s="44"/>
      <c r="T478" s="44"/>
      <c r="X478" s="262"/>
    </row>
    <row r="479" spans="2:24">
      <c r="B479" s="1441"/>
      <c r="C479" s="260"/>
      <c r="D479" s="2198" t="s">
        <v>904</v>
      </c>
      <c r="E479" s="2198"/>
      <c r="F479" s="2198"/>
      <c r="G479" s="2198"/>
      <c r="H479" s="2198"/>
      <c r="I479" s="2199"/>
      <c r="J479" s="2197">
        <f ca="1">DATA!F5</f>
        <v>0</v>
      </c>
      <c r="K479" s="2176"/>
      <c r="L479" s="2177"/>
      <c r="M479" s="92"/>
      <c r="N479" s="92"/>
      <c r="O479" s="957"/>
      <c r="P479" s="44"/>
      <c r="Q479" s="44"/>
      <c r="R479" s="44"/>
      <c r="S479" s="44"/>
      <c r="T479" s="44"/>
      <c r="X479" s="262"/>
    </row>
    <row r="480" spans="2:24" ht="7.5" customHeight="1">
      <c r="B480" s="1441"/>
      <c r="C480" s="260"/>
      <c r="D480" s="44"/>
      <c r="E480" s="44"/>
      <c r="F480" s="44"/>
      <c r="G480" s="44"/>
      <c r="H480" s="44"/>
      <c r="I480" s="44"/>
      <c r="O480" s="44"/>
      <c r="P480" s="44"/>
      <c r="Q480" s="44"/>
      <c r="R480" s="44"/>
      <c r="S480" s="44"/>
      <c r="T480" s="44"/>
      <c r="U480" s="92"/>
      <c r="X480" s="262"/>
    </row>
    <row r="481" spans="2:24">
      <c r="B481" s="1441"/>
      <c r="C481" s="260"/>
      <c r="D481" s="44"/>
      <c r="E481" s="44"/>
      <c r="F481" s="44"/>
      <c r="G481" s="44"/>
      <c r="H481" s="44"/>
      <c r="I481" s="328"/>
      <c r="J481" s="92"/>
      <c r="K481" s="185"/>
      <c r="M481" s="323"/>
      <c r="N481" s="324"/>
      <c r="O481" s="958"/>
      <c r="P481" s="44"/>
      <c r="Q481" s="44"/>
      <c r="R481" s="44"/>
      <c r="S481" s="44"/>
      <c r="T481" s="44"/>
      <c r="X481" s="262"/>
    </row>
    <row r="482" spans="2:24" ht="7.5" customHeight="1">
      <c r="B482" s="1441"/>
      <c r="C482" s="260"/>
      <c r="D482" s="44"/>
      <c r="E482" s="44"/>
      <c r="F482" s="44"/>
      <c r="G482" s="44"/>
      <c r="H482" s="44"/>
      <c r="I482" s="44"/>
      <c r="J482" s="92"/>
      <c r="M482" s="92"/>
      <c r="N482" s="92"/>
      <c r="O482" s="957"/>
      <c r="P482" s="44"/>
      <c r="Q482" s="44"/>
      <c r="R482" s="44"/>
      <c r="S482" s="44"/>
      <c r="T482" s="44"/>
      <c r="U482" s="92"/>
      <c r="X482" s="262"/>
    </row>
    <row r="483" spans="2:24">
      <c r="B483" s="1441"/>
      <c r="C483" s="260"/>
      <c r="D483" s="44"/>
      <c r="E483" s="44"/>
      <c r="F483" s="44"/>
      <c r="G483" s="44"/>
      <c r="H483" s="44"/>
      <c r="I483" s="44"/>
      <c r="M483" s="92"/>
      <c r="N483" s="92"/>
      <c r="O483" s="957"/>
      <c r="P483" s="44"/>
      <c r="Q483" s="44"/>
      <c r="R483" s="44"/>
      <c r="S483" s="44"/>
      <c r="T483" s="44"/>
      <c r="X483" s="262"/>
    </row>
    <row r="484" spans="2:24" ht="7.5" customHeight="1">
      <c r="B484" s="1441"/>
      <c r="C484" s="260"/>
      <c r="D484" s="44"/>
      <c r="E484" s="44"/>
      <c r="F484" s="44"/>
      <c r="G484" s="44"/>
      <c r="H484" s="44"/>
      <c r="I484" s="44"/>
      <c r="J484" s="92"/>
      <c r="M484" s="92"/>
      <c r="N484" s="92"/>
      <c r="O484" s="957"/>
      <c r="P484" s="44"/>
      <c r="Q484" s="44"/>
      <c r="R484" s="44"/>
      <c r="S484" s="44"/>
      <c r="T484" s="44"/>
      <c r="U484" s="92"/>
      <c r="X484" s="262"/>
    </row>
    <row r="485" spans="2:24">
      <c r="B485" s="1441"/>
      <c r="C485" s="260"/>
      <c r="D485" s="44"/>
      <c r="E485" s="44"/>
      <c r="F485" s="44"/>
      <c r="G485" s="44"/>
      <c r="H485" s="44"/>
      <c r="I485" s="44"/>
      <c r="M485" s="92"/>
      <c r="N485" s="92"/>
      <c r="O485" s="957"/>
      <c r="P485" s="44"/>
      <c r="Q485" s="44"/>
      <c r="R485" s="44"/>
      <c r="S485" s="44"/>
      <c r="T485" s="44"/>
      <c r="X485" s="262"/>
    </row>
    <row r="486" spans="2:24" ht="7.5" customHeight="1">
      <c r="B486" s="1441"/>
      <c r="C486" s="260"/>
      <c r="D486" s="44"/>
      <c r="E486" s="44"/>
      <c r="F486" s="44"/>
      <c r="G486" s="44"/>
      <c r="H486" s="44"/>
      <c r="I486" s="44"/>
      <c r="J486" s="92"/>
      <c r="M486" s="92"/>
      <c r="N486" s="92"/>
      <c r="O486" s="957"/>
      <c r="P486" s="44"/>
      <c r="Q486" s="44"/>
      <c r="R486" s="44"/>
      <c r="S486" s="44"/>
      <c r="T486" s="44"/>
      <c r="U486" s="92"/>
      <c r="X486" s="262"/>
    </row>
    <row r="487" spans="2:24">
      <c r="B487" s="1441"/>
      <c r="C487" s="260"/>
      <c r="D487" s="44"/>
      <c r="E487" s="44"/>
      <c r="F487" s="44"/>
      <c r="G487" s="44"/>
      <c r="H487" s="44"/>
      <c r="I487" s="44"/>
      <c r="M487" s="323"/>
      <c r="N487" s="324"/>
      <c r="O487" s="958"/>
      <c r="P487" s="44"/>
      <c r="Q487" s="44"/>
      <c r="R487" s="44"/>
      <c r="S487" s="44"/>
      <c r="T487" s="44"/>
      <c r="X487" s="262"/>
    </row>
    <row r="488" spans="2:24" ht="7.5" customHeight="1">
      <c r="B488" s="1441"/>
      <c r="C488" s="260"/>
      <c r="D488" s="44"/>
      <c r="E488" s="44"/>
      <c r="F488" s="44"/>
      <c r="G488" s="44"/>
      <c r="H488" s="44"/>
      <c r="I488" s="44"/>
      <c r="J488" s="92"/>
      <c r="M488" s="92"/>
      <c r="N488" s="92"/>
      <c r="O488" s="957"/>
      <c r="P488" s="44"/>
      <c r="Q488" s="44"/>
      <c r="R488" s="44"/>
      <c r="S488" s="44"/>
      <c r="T488" s="44"/>
      <c r="U488" s="92"/>
      <c r="X488" s="262"/>
    </row>
    <row r="489" spans="2:24">
      <c r="B489" s="1441"/>
      <c r="C489" s="260"/>
      <c r="D489" s="2198" t="s">
        <v>913</v>
      </c>
      <c r="E489" s="2198"/>
      <c r="F489" s="2198"/>
      <c r="G489" s="2198"/>
      <c r="H489" s="2198"/>
      <c r="I489" s="2199"/>
      <c r="J489" s="2197">
        <f ca="1">DATA!N5</f>
        <v>0</v>
      </c>
      <c r="K489" s="2176"/>
      <c r="L489" s="2177"/>
      <c r="M489" s="92"/>
      <c r="N489" s="92"/>
      <c r="O489" s="2198" t="s">
        <v>914</v>
      </c>
      <c r="P489" s="2198"/>
      <c r="Q489" s="2198"/>
      <c r="R489" s="2198"/>
      <c r="S489" s="2198"/>
      <c r="T489" s="2199"/>
      <c r="U489" s="2197">
        <f ca="1">DATA!O5</f>
        <v>0</v>
      </c>
      <c r="V489" s="2177"/>
      <c r="X489" s="262"/>
    </row>
    <row r="490" spans="2:24" ht="7.5" customHeight="1">
      <c r="B490" s="1441"/>
      <c r="C490" s="260"/>
      <c r="D490" s="44"/>
      <c r="E490" s="44"/>
      <c r="F490" s="44"/>
      <c r="G490" s="44"/>
      <c r="H490" s="44"/>
      <c r="I490" s="44"/>
      <c r="J490" s="92"/>
      <c r="M490" s="92"/>
      <c r="N490" s="92"/>
      <c r="O490" s="957"/>
      <c r="P490" s="44"/>
      <c r="Q490" s="44"/>
      <c r="R490" s="44"/>
      <c r="S490" s="44"/>
      <c r="T490" s="44"/>
      <c r="U490" s="92"/>
      <c r="X490" s="262"/>
    </row>
    <row r="491" spans="2:24">
      <c r="B491" s="1441"/>
      <c r="C491" s="260"/>
      <c r="D491" s="2198" t="s">
        <v>915</v>
      </c>
      <c r="E491" s="2198"/>
      <c r="F491" s="2198"/>
      <c r="G491" s="2198"/>
      <c r="H491" s="2198"/>
      <c r="I491" s="2199"/>
      <c r="J491" s="2197" t="str">
        <f ca="1">DATA!P5</f>
        <v>WA</v>
      </c>
      <c r="K491" s="2176"/>
      <c r="L491" s="2177"/>
      <c r="M491" s="92"/>
      <c r="N491" s="92"/>
      <c r="O491" s="2198" t="s">
        <v>916</v>
      </c>
      <c r="P491" s="2198"/>
      <c r="Q491" s="2198"/>
      <c r="R491" s="2198"/>
      <c r="S491" s="2198"/>
      <c r="T491" s="2199"/>
      <c r="U491" s="2197">
        <f ca="1">DATA!Q5</f>
        <v>0</v>
      </c>
      <c r="V491" s="2177"/>
      <c r="X491" s="262"/>
    </row>
    <row r="492" spans="2:24" ht="7.5" customHeight="1">
      <c r="B492" s="1441"/>
      <c r="C492" s="260"/>
      <c r="J492" s="92"/>
      <c r="M492" s="92"/>
      <c r="N492" s="92"/>
      <c r="O492" s="92"/>
      <c r="U492" s="92"/>
      <c r="X492" s="262"/>
    </row>
    <row r="493" spans="2:24">
      <c r="B493" s="1441"/>
      <c r="C493" s="260"/>
      <c r="M493" s="92"/>
      <c r="N493" s="92"/>
      <c r="O493" s="92"/>
      <c r="X493" s="262"/>
    </row>
    <row r="494" spans="2:24" ht="7.5" customHeight="1">
      <c r="B494" s="1441"/>
      <c r="C494" s="261"/>
      <c r="D494" s="184"/>
      <c r="E494" s="184"/>
      <c r="F494" s="184"/>
      <c r="G494" s="184"/>
      <c r="H494" s="184"/>
      <c r="I494" s="184"/>
      <c r="J494" s="184"/>
      <c r="K494" s="184"/>
      <c r="L494" s="184"/>
      <c r="M494" s="184"/>
      <c r="N494" s="184"/>
      <c r="O494" s="184"/>
      <c r="P494" s="184"/>
      <c r="Q494" s="184"/>
      <c r="R494" s="184"/>
      <c r="S494" s="184"/>
      <c r="T494" s="184"/>
      <c r="U494" s="184"/>
      <c r="V494" s="184"/>
      <c r="W494" s="184"/>
      <c r="X494" s="263"/>
    </row>
    <row r="495" spans="2:24" ht="7.5" customHeight="1"/>
    <row r="496" spans="2:24" ht="7.5" customHeight="1">
      <c r="C496" s="621"/>
      <c r="D496" s="610"/>
      <c r="E496" s="610"/>
      <c r="F496" s="610"/>
      <c r="G496" s="610"/>
      <c r="H496" s="610"/>
      <c r="I496" s="610"/>
      <c r="J496" s="610"/>
      <c r="K496" s="610"/>
      <c r="L496" s="610"/>
      <c r="M496" s="610"/>
      <c r="N496" s="610"/>
      <c r="O496" s="610"/>
      <c r="P496" s="610"/>
      <c r="Q496" s="610"/>
      <c r="R496" s="610"/>
      <c r="S496" s="610"/>
      <c r="T496" s="610"/>
      <c r="U496" s="610"/>
      <c r="V496" s="610"/>
      <c r="W496" s="610"/>
      <c r="X496" s="1158"/>
    </row>
    <row r="497" spans="3:24">
      <c r="C497" s="260"/>
      <c r="D497" s="2190" t="s">
        <v>1063</v>
      </c>
      <c r="E497" s="2190"/>
      <c r="F497" s="2190"/>
      <c r="G497" s="2190"/>
      <c r="H497" s="2190"/>
      <c r="I497" s="2190"/>
      <c r="J497" s="2190"/>
      <c r="K497" s="2190"/>
      <c r="L497" s="2190"/>
      <c r="M497" s="2190"/>
      <c r="N497" s="2190"/>
      <c r="O497" s="2190"/>
      <c r="P497" s="2190"/>
      <c r="Q497" s="2190"/>
      <c r="R497" s="2190"/>
      <c r="S497" s="2190"/>
      <c r="T497" s="2190"/>
      <c r="U497" s="2190"/>
      <c r="V497" s="2190"/>
      <c r="W497" s="2190"/>
      <c r="X497" s="262"/>
    </row>
    <row r="498" spans="3:24" ht="7.5" customHeight="1">
      <c r="C498" s="260"/>
      <c r="I498" s="38"/>
      <c r="J498" s="38"/>
      <c r="K498" s="38"/>
      <c r="L498" s="38"/>
      <c r="M498" s="38"/>
      <c r="N498" s="38"/>
      <c r="O498" s="38"/>
      <c r="X498" s="262"/>
    </row>
    <row r="499" spans="3:24" ht="14.95" customHeight="1">
      <c r="C499" s="260"/>
      <c r="I499" s="38"/>
      <c r="J499" s="38"/>
      <c r="K499" s="38"/>
      <c r="L499" s="38"/>
      <c r="M499" s="38"/>
      <c r="N499" s="38"/>
      <c r="O499" s="2198" t="s">
        <v>1032</v>
      </c>
      <c r="P499" s="2198"/>
      <c r="Q499" s="2198"/>
      <c r="R499" s="2198"/>
      <c r="S499" s="2198"/>
      <c r="T499" s="2223"/>
      <c r="U499" s="2244"/>
      <c r="V499" s="2245"/>
      <c r="X499" s="262"/>
    </row>
    <row r="500" spans="3:24" ht="7.5" customHeight="1">
      <c r="C500" s="260"/>
      <c r="I500" s="38"/>
      <c r="J500" s="38"/>
      <c r="K500" s="38"/>
      <c r="L500" s="38"/>
      <c r="M500" s="38"/>
      <c r="N500" s="38"/>
      <c r="O500" s="38"/>
      <c r="T500" s="44"/>
      <c r="X500" s="262"/>
    </row>
    <row r="501" spans="3:24">
      <c r="C501" s="260"/>
      <c r="D501" s="2198" t="s">
        <v>904</v>
      </c>
      <c r="E501" s="2198"/>
      <c r="F501" s="2198"/>
      <c r="G501" s="2198"/>
      <c r="H501" s="2198"/>
      <c r="I501" s="2199"/>
      <c r="J501" s="2278" t="str">
        <f ca="1">DATA!V5</f>
        <v/>
      </c>
      <c r="K501" s="2279"/>
      <c r="L501" s="2280"/>
      <c r="M501" s="38"/>
      <c r="N501" s="92"/>
      <c r="O501" s="92"/>
      <c r="T501" s="44"/>
      <c r="X501" s="262"/>
    </row>
    <row r="502" spans="3:24" ht="7.5" customHeight="1">
      <c r="C502" s="260"/>
      <c r="I502" s="328"/>
      <c r="J502" s="38"/>
      <c r="K502" s="185"/>
      <c r="M502" s="38"/>
      <c r="N502" s="38"/>
      <c r="O502" s="38"/>
      <c r="T502" s="44"/>
      <c r="X502" s="262"/>
    </row>
    <row r="503" spans="3:24">
      <c r="C503" s="260"/>
      <c r="D503" s="2198" t="s">
        <v>1033</v>
      </c>
      <c r="E503" s="2198"/>
      <c r="F503" s="2198"/>
      <c r="G503" s="2198"/>
      <c r="H503" s="2198"/>
      <c r="I503" s="2199"/>
      <c r="J503" s="2278" t="str">
        <f ca="1">DATA!X5</f>
        <v/>
      </c>
      <c r="K503" s="2279"/>
      <c r="L503" s="2280"/>
      <c r="M503" s="38"/>
      <c r="N503" s="92"/>
      <c r="O503" s="2198" t="s">
        <v>1034</v>
      </c>
      <c r="P503" s="2198"/>
      <c r="Q503" s="2198"/>
      <c r="R503" s="2198"/>
      <c r="S503" s="2198"/>
      <c r="T503" s="2199"/>
      <c r="U503" s="2278" t="str">
        <f ca="1">DATA!Y5</f>
        <v/>
      </c>
      <c r="V503" s="2280"/>
      <c r="X503" s="262"/>
    </row>
    <row r="504" spans="3:24" ht="7.5" customHeight="1">
      <c r="C504" s="260"/>
      <c r="I504" s="328"/>
      <c r="J504" s="38"/>
      <c r="K504" s="185"/>
      <c r="M504" s="38"/>
      <c r="N504" s="38"/>
      <c r="O504" s="38"/>
      <c r="S504" s="185"/>
      <c r="T504" s="44"/>
      <c r="U504" s="38"/>
      <c r="X504" s="262"/>
    </row>
    <row r="505" spans="3:24">
      <c r="C505" s="260"/>
      <c r="D505" s="2198" t="s">
        <v>1035</v>
      </c>
      <c r="E505" s="2198"/>
      <c r="F505" s="2198"/>
      <c r="G505" s="2198"/>
      <c r="H505" s="2198"/>
      <c r="I505" s="2199"/>
      <c r="J505" s="2316" t="str">
        <f ca="1">DATA!Z5</f>
        <v/>
      </c>
      <c r="K505" s="2411"/>
      <c r="L505" s="2317"/>
      <c r="M505" s="38"/>
      <c r="N505" s="92"/>
      <c r="O505" s="2198" t="s">
        <v>1036</v>
      </c>
      <c r="P505" s="2198"/>
      <c r="Q505" s="2198"/>
      <c r="R505" s="2198"/>
      <c r="S505" s="2198"/>
      <c r="T505" s="2199"/>
      <c r="U505" s="2278" t="str">
        <f ca="1">DATA!AA5</f>
        <v/>
      </c>
      <c r="V505" s="2280"/>
      <c r="X505" s="262"/>
    </row>
    <row r="506" spans="3:24" ht="7.5" customHeight="1">
      <c r="C506" s="260"/>
      <c r="I506" s="328"/>
      <c r="J506" s="38"/>
      <c r="K506" s="185"/>
      <c r="M506" s="38"/>
      <c r="N506" s="38"/>
      <c r="O506" s="38"/>
      <c r="X506" s="262"/>
    </row>
    <row r="507" spans="3:24">
      <c r="C507" s="260"/>
      <c r="D507" s="2198" t="s">
        <v>1037</v>
      </c>
      <c r="E507" s="2198"/>
      <c r="F507" s="2198"/>
      <c r="G507" s="2198"/>
      <c r="H507" s="2198"/>
      <c r="I507" s="2523"/>
      <c r="J507" s="2517">
        <f>DATA!AB5</f>
        <v>0</v>
      </c>
      <c r="K507" s="2518"/>
      <c r="L507" s="2519"/>
      <c r="M507" s="323"/>
      <c r="N507" s="92"/>
      <c r="O507" s="92"/>
      <c r="X507" s="262"/>
    </row>
    <row r="508" spans="3:24" ht="7.5" customHeight="1">
      <c r="C508" s="261"/>
      <c r="D508" s="184"/>
      <c r="E508" s="184"/>
      <c r="F508" s="184"/>
      <c r="G508" s="184"/>
      <c r="H508" s="184"/>
      <c r="I508" s="184"/>
      <c r="J508" s="184"/>
      <c r="K508" s="184"/>
      <c r="L508" s="184"/>
      <c r="M508" s="184"/>
      <c r="N508" s="184"/>
      <c r="O508" s="184"/>
      <c r="P508" s="184"/>
      <c r="Q508" s="184"/>
      <c r="R508" s="184"/>
      <c r="S508" s="184"/>
      <c r="T508" s="184"/>
      <c r="U508" s="184"/>
      <c r="V508" s="184"/>
      <c r="W508" s="184"/>
      <c r="X508" s="263"/>
    </row>
    <row r="509" spans="3:24" ht="7.5" customHeight="1"/>
    <row r="510" spans="3:24" ht="7.5" customHeight="1">
      <c r="C510" s="621"/>
      <c r="D510" s="610"/>
      <c r="E510" s="610"/>
      <c r="F510" s="610"/>
      <c r="G510" s="610"/>
      <c r="H510" s="610"/>
      <c r="I510" s="610"/>
      <c r="J510" s="610"/>
      <c r="K510" s="610"/>
      <c r="L510" s="610"/>
      <c r="M510" s="610"/>
      <c r="N510" s="610"/>
      <c r="O510" s="610"/>
      <c r="P510" s="610"/>
      <c r="Q510" s="610"/>
      <c r="R510" s="610"/>
      <c r="S510" s="610"/>
      <c r="T510" s="610"/>
      <c r="U510" s="610"/>
      <c r="V510" s="610"/>
      <c r="W510" s="610"/>
      <c r="X510" s="1158"/>
    </row>
    <row r="511" spans="3:24">
      <c r="C511" s="260"/>
      <c r="D511" s="2190" t="s">
        <v>1040</v>
      </c>
      <c r="E511" s="2190"/>
      <c r="F511" s="2190"/>
      <c r="G511" s="2190"/>
      <c r="H511" s="2190"/>
      <c r="I511" s="2190"/>
      <c r="J511" s="2190"/>
      <c r="K511" s="2190"/>
      <c r="L511" s="2190"/>
      <c r="M511" s="2190"/>
      <c r="N511" s="2190"/>
      <c r="O511" s="2190"/>
      <c r="P511" s="2190"/>
      <c r="Q511" s="2190"/>
      <c r="R511" s="2190"/>
      <c r="S511" s="2190"/>
      <c r="T511" s="2190"/>
      <c r="U511" s="2190"/>
      <c r="V511" s="2190"/>
      <c r="W511" s="2190"/>
      <c r="X511" s="262"/>
    </row>
    <row r="512" spans="3:24" ht="7.5" customHeight="1">
      <c r="C512" s="260"/>
      <c r="I512" s="38"/>
      <c r="J512" s="38"/>
      <c r="K512" s="38"/>
      <c r="L512" s="38"/>
      <c r="M512" s="38"/>
      <c r="N512" s="38"/>
      <c r="O512" s="38"/>
      <c r="X512" s="262"/>
    </row>
    <row r="513" spans="3:24" ht="14.95" customHeight="1">
      <c r="C513" s="260"/>
      <c r="I513" s="38"/>
      <c r="J513" s="38"/>
      <c r="K513" s="38"/>
      <c r="L513" s="38"/>
      <c r="M513" s="38"/>
      <c r="N513" s="38"/>
      <c r="O513" s="2198" t="s">
        <v>1041</v>
      </c>
      <c r="P513" s="2198"/>
      <c r="Q513" s="2198"/>
      <c r="R513" s="2198"/>
      <c r="S513" s="2198"/>
      <c r="T513" s="2223"/>
      <c r="U513" s="2244"/>
      <c r="V513" s="2245"/>
      <c r="X513" s="262"/>
    </row>
    <row r="514" spans="3:24" ht="7.5" customHeight="1">
      <c r="C514" s="260"/>
      <c r="I514" s="38"/>
      <c r="J514" s="38"/>
      <c r="K514" s="38"/>
      <c r="L514" s="38"/>
      <c r="M514" s="38"/>
      <c r="N514" s="38"/>
      <c r="O514" s="38"/>
      <c r="T514" s="44"/>
      <c r="X514" s="262"/>
    </row>
    <row r="515" spans="3:24">
      <c r="C515" s="260"/>
      <c r="I515" s="185"/>
      <c r="J515" s="38"/>
      <c r="K515" s="38"/>
      <c r="L515" s="38"/>
      <c r="M515" s="38"/>
      <c r="N515" s="92"/>
      <c r="O515" s="2198" t="s">
        <v>922</v>
      </c>
      <c r="P515" s="2198"/>
      <c r="Q515" s="2198"/>
      <c r="R515" s="2198"/>
      <c r="S515" s="2198"/>
      <c r="T515" s="2199"/>
      <c r="U515" s="2278" t="str">
        <f ca="1">DATA!AE5</f>
        <v/>
      </c>
      <c r="V515" s="2280"/>
      <c r="X515" s="262"/>
    </row>
    <row r="516" spans="3:24" ht="7.5" customHeight="1">
      <c r="C516" s="260"/>
      <c r="I516" s="185"/>
      <c r="J516" s="38"/>
      <c r="K516" s="185"/>
      <c r="M516" s="38"/>
      <c r="N516" s="38"/>
      <c r="O516" s="38"/>
      <c r="T516" s="44"/>
      <c r="X516" s="262"/>
    </row>
    <row r="517" spans="3:24">
      <c r="C517" s="260"/>
      <c r="D517" s="2198" t="s">
        <v>1042</v>
      </c>
      <c r="E517" s="2198"/>
      <c r="F517" s="2198"/>
      <c r="G517" s="2198"/>
      <c r="H517" s="2198"/>
      <c r="I517" s="2523"/>
      <c r="J517" s="2517">
        <f>DATA!AF5</f>
        <v>0</v>
      </c>
      <c r="K517" s="2518"/>
      <c r="L517" s="2519"/>
      <c r="M517" s="38"/>
      <c r="N517" s="92"/>
      <c r="O517" s="2198" t="s">
        <v>917</v>
      </c>
      <c r="P517" s="2198"/>
      <c r="Q517" s="2198"/>
      <c r="R517" s="2198"/>
      <c r="S517" s="2198"/>
      <c r="T517" s="2199"/>
      <c r="U517" s="2316" t="str">
        <f ca="1">DATA!AG5</f>
        <v/>
      </c>
      <c r="V517" s="2317"/>
      <c r="X517" s="262"/>
    </row>
    <row r="518" spans="3:24" ht="7.5" customHeight="1">
      <c r="C518" s="260"/>
      <c r="I518" s="185"/>
      <c r="J518" s="38"/>
      <c r="K518" s="185"/>
      <c r="M518" s="38"/>
      <c r="N518" s="38"/>
      <c r="O518" s="38"/>
      <c r="T518" s="44"/>
      <c r="X518" s="262"/>
    </row>
    <row r="519" spans="3:24">
      <c r="C519" s="260"/>
      <c r="D519" s="2198" t="s">
        <v>918</v>
      </c>
      <c r="E519" s="2198"/>
      <c r="F519" s="2198"/>
      <c r="G519" s="2198"/>
      <c r="H519" s="2198"/>
      <c r="I519" s="2199"/>
      <c r="J519" s="2278" t="str">
        <f ca="1">DATA!AH5</f>
        <v/>
      </c>
      <c r="K519" s="2279"/>
      <c r="L519" s="2280"/>
      <c r="M519" s="38"/>
      <c r="N519" s="92"/>
      <c r="O519" s="2198" t="s">
        <v>924</v>
      </c>
      <c r="P519" s="2198"/>
      <c r="Q519" s="2198"/>
      <c r="R519" s="2198"/>
      <c r="S519" s="2198"/>
      <c r="T519" s="2199"/>
      <c r="U519" s="2278" t="str">
        <f ca="1">DATA!AI5</f>
        <v/>
      </c>
      <c r="V519" s="2280"/>
      <c r="X519" s="262"/>
    </row>
    <row r="520" spans="3:24" ht="7.5" customHeight="1">
      <c r="C520" s="260"/>
      <c r="I520" s="185"/>
      <c r="J520" s="38"/>
      <c r="K520" s="185"/>
      <c r="M520" s="38"/>
      <c r="N520" s="38"/>
      <c r="O520" s="38"/>
      <c r="T520" s="328"/>
      <c r="U520" s="38"/>
      <c r="X520" s="262"/>
    </row>
    <row r="521" spans="3:24">
      <c r="C521" s="260"/>
      <c r="D521" s="2198" t="s">
        <v>908</v>
      </c>
      <c r="E521" s="2198"/>
      <c r="F521" s="2198"/>
      <c r="G521" s="2198"/>
      <c r="H521" s="2198"/>
      <c r="I521" s="2523"/>
      <c r="J521" s="2517"/>
      <c r="K521" s="2518"/>
      <c r="L521" s="2519"/>
      <c r="M521" s="38"/>
      <c r="N521" s="92"/>
      <c r="O521" s="2198" t="s">
        <v>909</v>
      </c>
      <c r="P521" s="2198"/>
      <c r="Q521" s="2198"/>
      <c r="R521" s="2198"/>
      <c r="S521" s="2198"/>
      <c r="T521" s="2199"/>
      <c r="U521" s="2278" t="str">
        <f ca="1">DATA!AK5</f>
        <v/>
      </c>
      <c r="V521" s="2280"/>
      <c r="X521" s="262"/>
    </row>
    <row r="522" spans="3:24" ht="7.5" customHeight="1">
      <c r="C522" s="260"/>
      <c r="I522" s="185"/>
      <c r="J522" s="38"/>
      <c r="K522" s="185"/>
      <c r="M522" s="38"/>
      <c r="N522" s="38"/>
      <c r="O522" s="38"/>
      <c r="T522" s="44"/>
      <c r="X522" s="262"/>
    </row>
    <row r="523" spans="3:24">
      <c r="C523" s="260"/>
      <c r="D523" s="2198" t="s">
        <v>910</v>
      </c>
      <c r="E523" s="2198"/>
      <c r="F523" s="2198"/>
      <c r="G523" s="2198"/>
      <c r="H523" s="2198"/>
      <c r="I523" s="2199"/>
      <c r="J523" s="2278" t="str">
        <f ca="1">DATA!AL5</f>
        <v/>
      </c>
      <c r="K523" s="2279"/>
      <c r="L523" s="2280"/>
      <c r="M523" s="323"/>
      <c r="N523" s="92"/>
      <c r="O523" s="2198" t="s">
        <v>911</v>
      </c>
      <c r="P523" s="2198"/>
      <c r="Q523" s="2198"/>
      <c r="R523" s="2198"/>
      <c r="S523" s="2198"/>
      <c r="T523" s="2199"/>
      <c r="U523" s="2278" t="str">
        <f ca="1">DATA!AM5</f>
        <v/>
      </c>
      <c r="V523" s="2280"/>
      <c r="X523" s="262"/>
    </row>
    <row r="524" spans="3:24" ht="7.5" customHeight="1">
      <c r="C524" s="261"/>
      <c r="D524" s="184"/>
      <c r="E524" s="184"/>
      <c r="F524" s="184"/>
      <c r="G524" s="184"/>
      <c r="H524" s="184"/>
      <c r="I524" s="184"/>
      <c r="J524" s="184"/>
      <c r="K524" s="184"/>
      <c r="L524" s="184"/>
      <c r="M524" s="184"/>
      <c r="N524" s="184"/>
      <c r="O524" s="184"/>
      <c r="P524" s="184"/>
      <c r="Q524" s="184"/>
      <c r="R524" s="184"/>
      <c r="S524" s="184"/>
      <c r="T524" s="184"/>
      <c r="U524" s="184"/>
      <c r="V524" s="184"/>
      <c r="W524" s="184"/>
      <c r="X524" s="263"/>
    </row>
    <row r="525" spans="3:24" ht="7.5" customHeight="1">
      <c r="C525" s="649"/>
      <c r="D525" s="649"/>
      <c r="E525" s="649"/>
      <c r="F525" s="649"/>
      <c r="G525" s="649"/>
      <c r="H525" s="649"/>
      <c r="I525" s="649"/>
      <c r="J525" s="649"/>
      <c r="K525" s="649"/>
      <c r="L525" s="649"/>
      <c r="M525" s="649"/>
      <c r="N525" s="649"/>
      <c r="O525" s="649"/>
      <c r="P525" s="649"/>
      <c r="Q525" s="649"/>
      <c r="R525" s="649"/>
      <c r="S525" s="649"/>
      <c r="T525" s="649"/>
      <c r="U525" s="649"/>
      <c r="V525" s="649"/>
      <c r="W525" s="649"/>
      <c r="X525" s="649"/>
    </row>
    <row r="526" spans="3:24" ht="7.5" customHeight="1">
      <c r="C526" s="621"/>
      <c r="D526" s="610"/>
      <c r="E526" s="610"/>
      <c r="F526" s="610"/>
      <c r="G526" s="610"/>
      <c r="H526" s="610"/>
      <c r="I526" s="610"/>
      <c r="J526" s="610"/>
      <c r="K526" s="610"/>
      <c r="L526" s="610"/>
      <c r="M526" s="610"/>
      <c r="N526" s="610"/>
      <c r="O526" s="610"/>
      <c r="P526" s="610"/>
      <c r="Q526" s="610"/>
      <c r="R526" s="610"/>
      <c r="S526" s="610"/>
      <c r="T526" s="610"/>
      <c r="U526" s="610"/>
      <c r="V526" s="610"/>
      <c r="W526" s="610"/>
      <c r="X526" s="1158"/>
    </row>
    <row r="527" spans="3:24">
      <c r="C527" s="260"/>
      <c r="D527" s="2190" t="s">
        <v>1002</v>
      </c>
      <c r="E527" s="2190"/>
      <c r="F527" s="2190"/>
      <c r="G527" s="2190"/>
      <c r="H527" s="2190"/>
      <c r="I527" s="2190"/>
      <c r="J527" s="2190"/>
      <c r="K527" s="2190"/>
      <c r="L527" s="2190"/>
      <c r="M527" s="2190"/>
      <c r="N527" s="2190"/>
      <c r="O527" s="2190"/>
      <c r="P527" s="2190"/>
      <c r="Q527" s="2190"/>
      <c r="R527" s="2190"/>
      <c r="S527" s="2190"/>
      <c r="T527" s="2190"/>
      <c r="U527" s="2190"/>
      <c r="V527" s="2190"/>
      <c r="W527" s="2190"/>
      <c r="X527" s="262"/>
    </row>
    <row r="528" spans="3:24" ht="7.5" customHeight="1">
      <c r="C528" s="260"/>
      <c r="X528" s="262"/>
    </row>
    <row r="529" spans="3:24">
      <c r="C529" s="928"/>
      <c r="D529" s="2173" t="s">
        <v>926</v>
      </c>
      <c r="E529" s="2173"/>
      <c r="F529" s="2173"/>
      <c r="G529" s="2173"/>
      <c r="H529" s="2173"/>
      <c r="I529" s="2180"/>
      <c r="J529" s="2244">
        <f>DATA!AP5</f>
        <v>0</v>
      </c>
      <c r="K529" s="2246"/>
      <c r="L529" s="2245"/>
      <c r="M529" s="408"/>
      <c r="N529" s="930"/>
      <c r="O529" s="930"/>
      <c r="P529" s="931"/>
      <c r="Q529" s="931"/>
      <c r="R529" s="931"/>
      <c r="S529" s="931"/>
      <c r="T529" s="929"/>
      <c r="U529" s="2442"/>
      <c r="V529" s="2442"/>
      <c r="X529" s="262"/>
    </row>
    <row r="530" spans="3:24" ht="7.5" customHeight="1">
      <c r="C530" s="928"/>
      <c r="D530" s="945"/>
      <c r="E530" s="945"/>
      <c r="F530" s="945"/>
      <c r="G530" s="945"/>
      <c r="H530" s="945"/>
      <c r="I530" s="945"/>
      <c r="L530" s="293"/>
      <c r="M530" s="293"/>
      <c r="N530" s="932"/>
      <c r="O530" s="932"/>
      <c r="P530" s="38"/>
      <c r="Q530" s="931"/>
      <c r="R530" s="931"/>
      <c r="S530" s="931"/>
      <c r="T530" s="931"/>
      <c r="U530" s="408"/>
      <c r="V530" s="402"/>
      <c r="X530" s="262"/>
    </row>
    <row r="531" spans="3:24">
      <c r="C531" s="928"/>
      <c r="D531" s="2173" t="s">
        <v>1103</v>
      </c>
      <c r="E531" s="2173"/>
      <c r="F531" s="2173"/>
      <c r="G531" s="2173"/>
      <c r="H531" s="2173"/>
      <c r="I531" s="2174"/>
      <c r="J531" s="2271">
        <f ca="1">DATA!AR5</f>
        <v>0</v>
      </c>
      <c r="K531" s="2176"/>
      <c r="L531" s="2177"/>
      <c r="M531" s="293"/>
      <c r="N531" s="932"/>
      <c r="O531" s="2198" t="s">
        <v>1067</v>
      </c>
      <c r="P531" s="2198"/>
      <c r="Q531" s="2198"/>
      <c r="R531" s="2198"/>
      <c r="S531" s="2198"/>
      <c r="T531" s="2199"/>
      <c r="U531" s="2178">
        <f ca="1">DATA!AS5</f>
        <v>0</v>
      </c>
      <c r="V531" s="2193"/>
      <c r="X531" s="262"/>
    </row>
    <row r="532" spans="3:24" ht="7.5" customHeight="1">
      <c r="C532" s="928"/>
      <c r="D532" s="945"/>
      <c r="E532" s="945"/>
      <c r="F532" s="945"/>
      <c r="G532" s="945"/>
      <c r="H532" s="945"/>
      <c r="I532" s="945"/>
      <c r="J532" s="293"/>
      <c r="M532" s="293"/>
      <c r="N532" s="932"/>
      <c r="O532" s="948"/>
      <c r="P532" s="44"/>
      <c r="Q532" s="44"/>
      <c r="R532" s="44"/>
      <c r="S532" s="44"/>
      <c r="T532" s="44"/>
      <c r="U532" s="293"/>
      <c r="X532" s="262"/>
    </row>
    <row r="533" spans="3:24">
      <c r="C533" s="928"/>
      <c r="D533" s="2318" t="s">
        <v>928</v>
      </c>
      <c r="E533" s="2318"/>
      <c r="F533" s="2318"/>
      <c r="G533" s="2318"/>
      <c r="H533" s="2318"/>
      <c r="I533" s="2318"/>
      <c r="J533" s="2197">
        <f ca="1">DATA!AT5</f>
        <v>0</v>
      </c>
      <c r="K533" s="2176"/>
      <c r="L533" s="2177"/>
      <c r="M533" s="293"/>
      <c r="N533" s="932"/>
      <c r="O533" s="2198" t="s">
        <v>929</v>
      </c>
      <c r="P533" s="2198"/>
      <c r="Q533" s="2198"/>
      <c r="R533" s="2198"/>
      <c r="S533" s="2198"/>
      <c r="T533" s="2199"/>
      <c r="U533" s="2178">
        <f ca="1">DATA!AU5</f>
        <v>0</v>
      </c>
      <c r="V533" s="2193"/>
      <c r="X533" s="262"/>
    </row>
    <row r="534" spans="3:24" ht="7.5" customHeight="1">
      <c r="C534" s="928"/>
      <c r="D534" s="2318"/>
      <c r="E534" s="2318"/>
      <c r="F534" s="2318"/>
      <c r="G534" s="2318"/>
      <c r="H534" s="2318"/>
      <c r="I534" s="2318"/>
      <c r="J534" s="293"/>
      <c r="M534" s="293"/>
      <c r="N534" s="932"/>
      <c r="O534" s="2453" t="s">
        <v>1010</v>
      </c>
      <c r="P534" s="2453"/>
      <c r="Q534" s="2453"/>
      <c r="R534" s="2453"/>
      <c r="S534" s="2453"/>
      <c r="T534" s="2453"/>
      <c r="U534" s="293"/>
      <c r="X534" s="262"/>
    </row>
    <row r="535" spans="3:24">
      <c r="C535" s="928"/>
      <c r="D535" s="2186" t="s">
        <v>1009</v>
      </c>
      <c r="E535" s="2186"/>
      <c r="F535" s="2186"/>
      <c r="G535" s="2186"/>
      <c r="H535" s="2186"/>
      <c r="I535" s="2186"/>
      <c r="J535" s="2197">
        <f ca="1">DATA!AV5</f>
        <v>0</v>
      </c>
      <c r="K535" s="2176"/>
      <c r="L535" s="2177"/>
      <c r="M535" s="310"/>
      <c r="N535" s="932"/>
      <c r="O535" s="2453"/>
      <c r="P535" s="2453"/>
      <c r="Q535" s="2453"/>
      <c r="R535" s="2453"/>
      <c r="S535" s="2453"/>
      <c r="T535" s="2453"/>
      <c r="U535" s="2178">
        <f ca="1">DATA!AW5</f>
        <v>0</v>
      </c>
      <c r="V535" s="2193"/>
      <c r="X535" s="262"/>
    </row>
    <row r="536" spans="3:24" ht="7.5" customHeight="1">
      <c r="C536" s="928"/>
      <c r="D536" s="2186"/>
      <c r="E536" s="2186"/>
      <c r="F536" s="2186"/>
      <c r="G536" s="2186"/>
      <c r="H536" s="2186"/>
      <c r="I536" s="2186"/>
      <c r="J536" s="293"/>
      <c r="M536" s="293"/>
      <c r="N536" s="932"/>
      <c r="O536" s="948"/>
      <c r="P536" s="44"/>
      <c r="Q536" s="44"/>
      <c r="R536" s="44"/>
      <c r="S536" s="44"/>
      <c r="T536" s="44"/>
      <c r="U536" s="293"/>
      <c r="X536" s="262"/>
    </row>
    <row r="537" spans="3:24">
      <c r="C537" s="928"/>
      <c r="D537" s="2173" t="s">
        <v>822</v>
      </c>
      <c r="E537" s="2173"/>
      <c r="F537" s="2173"/>
      <c r="G537" s="2173"/>
      <c r="H537" s="2173"/>
      <c r="I537" s="2174"/>
      <c r="J537" s="2197">
        <f ca="1">DATA!AZ5</f>
        <v>0</v>
      </c>
      <c r="K537" s="2176"/>
      <c r="L537" s="2177"/>
      <c r="M537" s="293"/>
      <c r="N537" s="932"/>
      <c r="O537" s="948"/>
      <c r="P537" s="44"/>
      <c r="Q537" s="44"/>
      <c r="R537" s="44"/>
      <c r="S537" s="44"/>
      <c r="T537" s="44"/>
      <c r="X537" s="262"/>
    </row>
    <row r="538" spans="3:24" ht="7.5" customHeight="1">
      <c r="C538" s="928"/>
      <c r="D538" s="945"/>
      <c r="E538" s="945"/>
      <c r="F538" s="945"/>
      <c r="G538" s="945"/>
      <c r="H538" s="945"/>
      <c r="I538" s="945"/>
      <c r="J538" s="293"/>
      <c r="M538" s="293"/>
      <c r="N538" s="932"/>
      <c r="O538" s="948"/>
      <c r="P538" s="44"/>
      <c r="Q538" s="44"/>
      <c r="R538" s="44"/>
      <c r="S538" s="44"/>
      <c r="T538" s="44"/>
      <c r="U538" s="293"/>
      <c r="X538" s="262"/>
    </row>
    <row r="539" spans="3:24" ht="14.95" customHeight="1">
      <c r="C539" s="928"/>
      <c r="D539" s="2173" t="s">
        <v>934</v>
      </c>
      <c r="E539" s="2173"/>
      <c r="F539" s="2173"/>
      <c r="G539" s="2173"/>
      <c r="H539" s="2173"/>
      <c r="I539" s="2174"/>
      <c r="J539" s="2197">
        <f ca="1">DATA!BB5</f>
        <v>0</v>
      </c>
      <c r="K539" s="2176"/>
      <c r="L539" s="2177"/>
      <c r="M539" s="293"/>
      <c r="N539" s="932"/>
      <c r="O539" s="2198" t="s">
        <v>933</v>
      </c>
      <c r="P539" s="2198"/>
      <c r="Q539" s="2198"/>
      <c r="R539" s="2198"/>
      <c r="S539" s="2198"/>
      <c r="T539" s="2199"/>
      <c r="U539" s="2178">
        <f ca="1">DATA!BA5</f>
        <v>0</v>
      </c>
      <c r="V539" s="2193"/>
      <c r="X539" s="262"/>
    </row>
    <row r="540" spans="3:24" ht="7.5" customHeight="1">
      <c r="C540" s="928"/>
      <c r="D540" s="945"/>
      <c r="E540" s="945"/>
      <c r="F540" s="945"/>
      <c r="G540" s="945"/>
      <c r="H540" s="945"/>
      <c r="I540" s="945"/>
      <c r="J540" s="293"/>
      <c r="M540" s="293"/>
      <c r="N540" s="932"/>
      <c r="O540" s="410"/>
      <c r="P540" s="410"/>
      <c r="Q540" s="410"/>
      <c r="R540" s="410"/>
      <c r="S540" s="410"/>
      <c r="T540" s="410"/>
      <c r="U540" s="293"/>
      <c r="X540" s="262"/>
    </row>
    <row r="541" spans="3:24">
      <c r="C541" s="928"/>
      <c r="D541" s="2173" t="s">
        <v>936</v>
      </c>
      <c r="E541" s="2173"/>
      <c r="F541" s="2173"/>
      <c r="G541" s="2173"/>
      <c r="H541" s="2173"/>
      <c r="I541" s="2174"/>
      <c r="J541" s="2197">
        <f ca="1">DATA!BD5</f>
        <v>0</v>
      </c>
      <c r="K541" s="2176"/>
      <c r="L541" s="2177"/>
      <c r="M541" s="293"/>
      <c r="N541" s="932"/>
      <c r="O541" s="2198" t="s">
        <v>935</v>
      </c>
      <c r="P541" s="2198"/>
      <c r="Q541" s="2198"/>
      <c r="R541" s="2198"/>
      <c r="S541" s="2198"/>
      <c r="T541" s="2199"/>
      <c r="U541" s="2178" t="str">
        <f ca="1">DATA!BC5</f>
        <v>WA</v>
      </c>
      <c r="V541" s="2193"/>
      <c r="X541" s="262"/>
    </row>
    <row r="542" spans="3:24" ht="7.5" customHeight="1">
      <c r="C542" s="928"/>
      <c r="D542" s="945"/>
      <c r="E542" s="945"/>
      <c r="F542" s="945"/>
      <c r="G542" s="945"/>
      <c r="H542" s="945"/>
      <c r="I542" s="945"/>
      <c r="J542" s="293"/>
      <c r="M542" s="293"/>
      <c r="N542" s="932"/>
      <c r="O542" s="948"/>
      <c r="P542" s="44"/>
      <c r="Q542" s="44"/>
      <c r="R542" s="44"/>
      <c r="S542" s="44"/>
      <c r="T542" s="44"/>
      <c r="U542" s="293"/>
      <c r="X542" s="262"/>
    </row>
    <row r="543" spans="3:24">
      <c r="C543" s="2522" t="s">
        <v>1069</v>
      </c>
      <c r="D543" s="2173"/>
      <c r="E543" s="2173"/>
      <c r="F543" s="2173"/>
      <c r="G543" s="2173"/>
      <c r="H543" s="2173"/>
      <c r="I543" s="2174"/>
      <c r="J543" s="2164">
        <f ca="1">DATA!BF5</f>
        <v>0</v>
      </c>
      <c r="K543" s="2165"/>
      <c r="L543" s="2166"/>
      <c r="M543" s="293"/>
      <c r="N543" s="932"/>
      <c r="O543" s="2198" t="s">
        <v>939</v>
      </c>
      <c r="P543" s="2198"/>
      <c r="Q543" s="2198"/>
      <c r="R543" s="2198"/>
      <c r="S543" s="2198"/>
      <c r="T543" s="2223"/>
      <c r="U543" s="2244"/>
      <c r="V543" s="2245"/>
      <c r="X543" s="262"/>
    </row>
    <row r="544" spans="3:24" ht="7.5" customHeight="1">
      <c r="C544" s="928"/>
      <c r="D544" s="945"/>
      <c r="E544" s="945"/>
      <c r="F544" s="945"/>
      <c r="G544" s="945"/>
      <c r="H544" s="945"/>
      <c r="I544" s="945"/>
      <c r="J544" s="2167"/>
      <c r="K544" s="2168"/>
      <c r="L544" s="2169"/>
      <c r="M544" s="293"/>
      <c r="N544" s="932"/>
      <c r="O544" s="948"/>
      <c r="P544" s="949"/>
      <c r="Q544" s="44"/>
      <c r="R544" s="44"/>
      <c r="S544" s="44"/>
      <c r="T544" s="44"/>
      <c r="U544" s="293"/>
      <c r="X544" s="262"/>
    </row>
    <row r="545" spans="3:24">
      <c r="C545" s="928"/>
      <c r="D545" s="945"/>
      <c r="E545" s="945"/>
      <c r="F545" s="945"/>
      <c r="G545" s="945"/>
      <c r="H545" s="945"/>
      <c r="I545" s="945"/>
      <c r="J545" s="2167"/>
      <c r="K545" s="2168"/>
      <c r="L545" s="2169"/>
      <c r="M545" s="293"/>
      <c r="N545" s="932"/>
      <c r="O545" s="948"/>
      <c r="P545" s="44"/>
      <c r="Q545" s="44"/>
      <c r="R545" s="44"/>
      <c r="S545" s="44"/>
      <c r="T545" s="44"/>
      <c r="X545" s="262"/>
    </row>
    <row r="546" spans="3:24" ht="7.5" customHeight="1">
      <c r="C546" s="928"/>
      <c r="D546" s="945"/>
      <c r="E546" s="945"/>
      <c r="F546" s="945"/>
      <c r="G546" s="945"/>
      <c r="H546" s="945"/>
      <c r="I546" s="945"/>
      <c r="J546" s="2167"/>
      <c r="K546" s="2168"/>
      <c r="L546" s="2169"/>
      <c r="M546" s="293"/>
      <c r="N546" s="932"/>
      <c r="O546" s="948"/>
      <c r="P546" s="44"/>
      <c r="Q546" s="44"/>
      <c r="R546" s="44"/>
      <c r="S546" s="44"/>
      <c r="T546" s="44"/>
      <c r="U546" s="293"/>
      <c r="X546" s="262"/>
    </row>
    <row r="547" spans="3:24">
      <c r="C547" s="928"/>
      <c r="D547" s="2521"/>
      <c r="E547" s="2521"/>
      <c r="F547" s="2521"/>
      <c r="G547" s="2521"/>
      <c r="H547" s="2521"/>
      <c r="I547" s="2521"/>
      <c r="J547" s="2170"/>
      <c r="K547" s="2171"/>
      <c r="L547" s="2172"/>
      <c r="M547" s="293"/>
      <c r="N547" s="932"/>
      <c r="O547" s="2198" t="s">
        <v>1070</v>
      </c>
      <c r="P547" s="2198"/>
      <c r="Q547" s="2198"/>
      <c r="R547" s="2198"/>
      <c r="S547" s="2198"/>
      <c r="T547" s="2199"/>
      <c r="U547" s="2515">
        <f ca="1">DATA!BG5</f>
        <v>0</v>
      </c>
      <c r="V547" s="2516"/>
      <c r="X547" s="262"/>
    </row>
    <row r="548" spans="3:24" ht="7.5" customHeight="1">
      <c r="C548" s="928"/>
      <c r="D548" s="2521"/>
      <c r="E548" s="2521"/>
      <c r="F548" s="2521"/>
      <c r="G548" s="2521"/>
      <c r="H548" s="2521"/>
      <c r="I548" s="2521"/>
      <c r="J548" s="293"/>
      <c r="M548" s="293"/>
      <c r="N548" s="932"/>
      <c r="O548" s="948"/>
      <c r="P548" s="44"/>
      <c r="Q548" s="44"/>
      <c r="R548" s="44"/>
      <c r="S548" s="44"/>
      <c r="T548" s="44"/>
      <c r="U548" s="293"/>
      <c r="X548" s="262"/>
    </row>
    <row r="549" spans="3:24">
      <c r="C549" s="928"/>
      <c r="D549" s="945"/>
      <c r="E549" s="945"/>
      <c r="F549" s="945"/>
      <c r="G549" s="945"/>
      <c r="H549" s="945"/>
      <c r="I549" s="945"/>
      <c r="M549" s="333"/>
      <c r="N549" s="932"/>
      <c r="O549" s="948"/>
      <c r="P549" s="44"/>
      <c r="Q549" s="44"/>
      <c r="R549" s="44"/>
      <c r="S549" s="44"/>
      <c r="T549" s="328"/>
      <c r="X549" s="262"/>
    </row>
    <row r="550" spans="3:24" ht="7.5" customHeight="1">
      <c r="C550" s="928"/>
      <c r="D550" s="945"/>
      <c r="E550" s="945"/>
      <c r="F550" s="945"/>
      <c r="G550" s="945"/>
      <c r="H550" s="945"/>
      <c r="I550" s="945"/>
      <c r="J550" s="293"/>
      <c r="M550" s="293"/>
      <c r="N550" s="932"/>
      <c r="O550" s="948"/>
      <c r="P550" s="44"/>
      <c r="Q550" s="44"/>
      <c r="R550" s="44"/>
      <c r="S550" s="44"/>
      <c r="T550" s="44"/>
      <c r="U550" s="293"/>
      <c r="X550" s="262"/>
    </row>
    <row r="551" spans="3:24" ht="14.95" customHeight="1">
      <c r="C551" s="2522" t="s">
        <v>1071</v>
      </c>
      <c r="D551" s="2173"/>
      <c r="E551" s="2173"/>
      <c r="F551" s="2173"/>
      <c r="G551" s="2173"/>
      <c r="H551" s="2173"/>
      <c r="I551" s="2174"/>
      <c r="J551" s="2495">
        <f ca="1">DATA!BH5</f>
        <v>0</v>
      </c>
      <c r="K551" s="2496"/>
      <c r="L551" s="2497"/>
      <c r="M551" s="323"/>
      <c r="N551" s="942"/>
      <c r="O551" s="2198" t="s">
        <v>1072</v>
      </c>
      <c r="P551" s="2198"/>
      <c r="Q551" s="2198"/>
      <c r="R551" s="2198"/>
      <c r="S551" s="2198"/>
      <c r="T551" s="2223"/>
      <c r="U551" s="2244">
        <f ca="1">DATA!BI5</f>
        <v>0</v>
      </c>
      <c r="V551" s="2245"/>
      <c r="X551" s="262"/>
    </row>
    <row r="552" spans="3:24" ht="7.5" customHeight="1">
      <c r="C552" s="941"/>
      <c r="D552" s="947"/>
      <c r="E552" s="947"/>
      <c r="F552" s="947"/>
      <c r="G552" s="947"/>
      <c r="H552" s="947"/>
      <c r="I552" s="947"/>
      <c r="J552" s="310"/>
      <c r="K552" s="443"/>
      <c r="M552" s="310"/>
      <c r="N552" s="942"/>
      <c r="O552" s="944"/>
      <c r="P552" s="944"/>
      <c r="Q552" s="944"/>
      <c r="R552" s="944"/>
      <c r="S552" s="944"/>
      <c r="T552" s="944"/>
      <c r="X552" s="262"/>
    </row>
    <row r="553" spans="3:24" ht="14.95" customHeight="1">
      <c r="C553" s="941"/>
      <c r="D553" s="2173" t="s">
        <v>941</v>
      </c>
      <c r="E553" s="2173"/>
      <c r="F553" s="2173"/>
      <c r="G553" s="2173"/>
      <c r="H553" s="2173"/>
      <c r="I553" s="2174"/>
      <c r="J553" s="2197" t="str">
        <f ca="1">DATA!BJ5</f>
        <v/>
      </c>
      <c r="K553" s="2176"/>
      <c r="L553" s="2177"/>
      <c r="M553" s="323"/>
      <c r="N553" s="942"/>
      <c r="O553" s="2198" t="s">
        <v>828</v>
      </c>
      <c r="P553" s="2198"/>
      <c r="Q553" s="2198"/>
      <c r="R553" s="2198"/>
      <c r="S553" s="2198"/>
      <c r="T553" s="2199"/>
      <c r="U553" s="2178" t="str">
        <f ca="1">DATA!BK5</f>
        <v>Commercial/Industrial</v>
      </c>
      <c r="V553" s="2193"/>
      <c r="X553" s="262"/>
    </row>
    <row r="554" spans="3:24" ht="7.5" customHeight="1">
      <c r="C554" s="941"/>
      <c r="D554" s="942"/>
      <c r="E554" s="942"/>
      <c r="F554" s="942"/>
      <c r="G554" s="942"/>
      <c r="H554" s="942"/>
      <c r="I554" s="942"/>
      <c r="J554" s="310"/>
      <c r="K554" s="443"/>
      <c r="M554" s="310"/>
      <c r="N554" s="942"/>
      <c r="O554" s="942"/>
      <c r="P554" s="942"/>
      <c r="Q554" s="942"/>
      <c r="R554" s="942"/>
      <c r="S554" s="942"/>
      <c r="T554" s="942"/>
      <c r="U554" s="310"/>
      <c r="X554" s="262"/>
    </row>
    <row r="555" spans="3:24">
      <c r="C555" s="928"/>
      <c r="D555" s="38"/>
      <c r="E555" s="38"/>
      <c r="F555" s="38"/>
      <c r="G555" s="38"/>
      <c r="H555" s="38"/>
      <c r="J555" s="223"/>
      <c r="M555" s="293"/>
      <c r="N555" s="930"/>
      <c r="O555" s="930"/>
      <c r="P555" s="931"/>
      <c r="Q555" s="931"/>
      <c r="R555" s="931"/>
      <c r="S555" s="931"/>
      <c r="T555" s="929"/>
      <c r="U555" s="2442"/>
      <c r="V555" s="2442"/>
      <c r="X555" s="262"/>
    </row>
    <row r="556" spans="3:24" ht="5.0999999999999996" customHeight="1">
      <c r="C556" s="261"/>
      <c r="D556" s="184"/>
      <c r="E556" s="184"/>
      <c r="F556" s="184"/>
      <c r="G556" s="184"/>
      <c r="H556" s="176"/>
      <c r="I556" s="176"/>
      <c r="J556" s="176"/>
      <c r="K556" s="176"/>
      <c r="L556" s="176"/>
      <c r="M556" s="176"/>
      <c r="N556" s="176"/>
      <c r="O556" s="176"/>
      <c r="P556" s="184"/>
      <c r="Q556" s="184"/>
      <c r="R556" s="184"/>
      <c r="S556" s="176"/>
      <c r="T556" s="184"/>
      <c r="U556" s="176"/>
      <c r="V556" s="176"/>
      <c r="W556" s="184"/>
      <c r="X556" s="263"/>
    </row>
    <row r="557" spans="3:24" ht="5.0999999999999996" customHeight="1"/>
    <row r="558" spans="3:24" ht="5.0999999999999996" customHeight="1">
      <c r="C558" s="621"/>
      <c r="D558" s="610"/>
      <c r="E558" s="610"/>
      <c r="F558" s="610"/>
      <c r="G558" s="610"/>
      <c r="H558" s="738"/>
      <c r="I558" s="738"/>
      <c r="J558" s="738"/>
      <c r="K558" s="738"/>
      <c r="L558" s="738"/>
      <c r="M558" s="738"/>
      <c r="N558" s="738"/>
      <c r="O558" s="738"/>
      <c r="P558" s="610"/>
      <c r="Q558" s="610"/>
      <c r="R558" s="610"/>
      <c r="S558" s="738"/>
      <c r="T558" s="610"/>
      <c r="U558" s="738"/>
      <c r="V558" s="738"/>
      <c r="W558" s="610"/>
      <c r="X558" s="1158"/>
    </row>
    <row r="559" spans="3:24">
      <c r="C559" s="260"/>
      <c r="D559" s="2190" t="s">
        <v>1074</v>
      </c>
      <c r="E559" s="2190"/>
      <c r="F559" s="2190"/>
      <c r="G559" s="2190"/>
      <c r="H559" s="2190"/>
      <c r="I559" s="2190"/>
      <c r="J559" s="2190"/>
      <c r="K559" s="2190"/>
      <c r="L559" s="2190"/>
      <c r="M559" s="2190"/>
      <c r="N559" s="2190"/>
      <c r="O559" s="2190"/>
      <c r="P559" s="2190"/>
      <c r="Q559" s="2190"/>
      <c r="R559" s="2190"/>
      <c r="S559" s="2190"/>
      <c r="T559" s="2190"/>
      <c r="U559" s="2190"/>
      <c r="V559" s="2190"/>
      <c r="W559" s="2190"/>
      <c r="X559" s="262"/>
    </row>
    <row r="560" spans="3:24" ht="5.0999999999999996" customHeight="1">
      <c r="C560" s="260"/>
      <c r="H560" s="38"/>
      <c r="I560" s="38"/>
      <c r="J560" s="38"/>
      <c r="K560" s="38"/>
      <c r="L560" s="38"/>
      <c r="M560" s="38"/>
      <c r="N560" s="38"/>
      <c r="O560" s="38"/>
      <c r="S560" s="38"/>
      <c r="U560" s="38"/>
      <c r="V560" s="38"/>
      <c r="X560" s="262"/>
    </row>
    <row r="561" spans="3:24">
      <c r="C561" s="260"/>
      <c r="D561" s="2173" t="s">
        <v>922</v>
      </c>
      <c r="E561" s="2173"/>
      <c r="F561" s="2173"/>
      <c r="G561" s="2173"/>
      <c r="H561" s="2173"/>
      <c r="I561" s="2174"/>
      <c r="J561" s="2197">
        <f ca="1">DATA!BO4</f>
        <v>0</v>
      </c>
      <c r="K561" s="2176"/>
      <c r="L561" s="2177"/>
      <c r="M561" s="38"/>
      <c r="N561" s="92"/>
      <c r="O561" s="2198" t="s">
        <v>1044</v>
      </c>
      <c r="P561" s="2198"/>
      <c r="Q561" s="2198"/>
      <c r="R561" s="2198"/>
      <c r="S561" s="2198"/>
      <c r="T561" s="2199"/>
      <c r="U561" s="2178" t="str">
        <f ca="1">DATA!BP4</f>
        <v/>
      </c>
      <c r="V561" s="2193"/>
      <c r="X561" s="262"/>
    </row>
    <row r="562" spans="3:24" ht="7.5" customHeight="1">
      <c r="C562" s="260"/>
      <c r="H562" s="38"/>
      <c r="I562" s="946"/>
      <c r="J562" s="38"/>
      <c r="K562" s="185"/>
      <c r="M562" s="38"/>
      <c r="N562" s="38"/>
      <c r="O562" s="38"/>
      <c r="S562" s="328"/>
      <c r="T562" s="44"/>
      <c r="U562" s="38"/>
      <c r="X562" s="262"/>
    </row>
    <row r="563" spans="3:24" ht="14.95" customHeight="1">
      <c r="C563" s="260"/>
      <c r="D563" s="2173" t="s">
        <v>1045</v>
      </c>
      <c r="E563" s="2173"/>
      <c r="F563" s="2173"/>
      <c r="G563" s="2173"/>
      <c r="H563" s="2173"/>
      <c r="I563" s="2261"/>
      <c r="J563" s="2505"/>
      <c r="K563" s="2506"/>
      <c r="L563" s="2507"/>
      <c r="M563" s="38"/>
      <c r="N563" s="38"/>
      <c r="O563" s="38"/>
      <c r="S563" s="328"/>
      <c r="T563" s="44"/>
      <c r="X563" s="262"/>
    </row>
    <row r="564" spans="3:24" ht="7.5" customHeight="1">
      <c r="C564" s="260"/>
      <c r="H564" s="38"/>
      <c r="I564" s="946"/>
      <c r="J564" s="2508"/>
      <c r="K564" s="2509"/>
      <c r="L564" s="2510"/>
      <c r="M564" s="38"/>
      <c r="N564" s="38"/>
      <c r="O564" s="38"/>
      <c r="S564" s="328"/>
      <c r="T564" s="44"/>
      <c r="U564" s="38"/>
      <c r="X564" s="262"/>
    </row>
    <row r="565" spans="3:24">
      <c r="C565" s="260"/>
      <c r="H565" s="38"/>
      <c r="I565" s="945"/>
      <c r="J565" s="2511"/>
      <c r="K565" s="2512"/>
      <c r="L565" s="2513"/>
      <c r="M565" s="38"/>
      <c r="N565" s="92"/>
      <c r="O565" s="2198" t="s">
        <v>1046</v>
      </c>
      <c r="P565" s="2198"/>
      <c r="Q565" s="2198"/>
      <c r="R565" s="2198"/>
      <c r="S565" s="2198"/>
      <c r="T565" s="2199"/>
      <c r="U565" s="2178" t="str">
        <f ca="1">DATA!BR4</f>
        <v/>
      </c>
      <c r="V565" s="2193"/>
      <c r="X565" s="262"/>
    </row>
    <row r="566" spans="3:24" ht="7.5" customHeight="1">
      <c r="C566" s="260"/>
      <c r="H566" s="38"/>
      <c r="I566" s="946"/>
      <c r="J566" s="38"/>
      <c r="K566" s="185"/>
      <c r="M566" s="38"/>
      <c r="N566" s="38"/>
      <c r="O566" s="38"/>
      <c r="S566" s="328"/>
      <c r="T566" s="44"/>
      <c r="U566" s="38"/>
      <c r="X566" s="262"/>
    </row>
    <row r="567" spans="3:24">
      <c r="C567" s="260"/>
      <c r="D567" s="2173" t="s">
        <v>1047</v>
      </c>
      <c r="E567" s="2173"/>
      <c r="F567" s="2173"/>
      <c r="G567" s="2173"/>
      <c r="H567" s="2173"/>
      <c r="I567" s="2294"/>
      <c r="J567" s="2517"/>
      <c r="K567" s="2518"/>
      <c r="L567" s="2519"/>
      <c r="M567" s="38"/>
      <c r="N567" s="92"/>
      <c r="O567" s="2198" t="s">
        <v>1048</v>
      </c>
      <c r="P567" s="2198"/>
      <c r="Q567" s="2198"/>
      <c r="R567" s="2198"/>
      <c r="S567" s="2198"/>
      <c r="T567" s="2199"/>
      <c r="U567" s="2178" t="str">
        <f ca="1">DATA!BT4</f>
        <v/>
      </c>
      <c r="V567" s="2193"/>
      <c r="X567" s="262"/>
    </row>
    <row r="568" spans="3:24" ht="7.5" customHeight="1">
      <c r="C568" s="260"/>
      <c r="H568" s="38"/>
      <c r="I568" s="946"/>
      <c r="J568" s="38"/>
      <c r="K568" s="185"/>
      <c r="M568" s="38"/>
      <c r="N568" s="38"/>
      <c r="O568" s="38"/>
      <c r="S568" s="44"/>
      <c r="T568" s="44"/>
      <c r="U568" s="185"/>
      <c r="V568" s="38"/>
      <c r="X568" s="262"/>
    </row>
    <row r="569" spans="3:24">
      <c r="C569" s="260"/>
      <c r="D569" s="2173" t="s">
        <v>1049</v>
      </c>
      <c r="E569" s="2173"/>
      <c r="F569" s="2173"/>
      <c r="G569" s="2173"/>
      <c r="H569" s="2173"/>
      <c r="I569" s="2174"/>
      <c r="J569" s="2197" t="str">
        <f ca="1">DATA!BU4</f>
        <v/>
      </c>
      <c r="K569" s="2176"/>
      <c r="L569" s="2177"/>
      <c r="M569" s="38"/>
      <c r="N569" s="38"/>
      <c r="O569" s="2198" t="s">
        <v>1050</v>
      </c>
      <c r="P569" s="2198"/>
      <c r="Q569" s="2198"/>
      <c r="R569" s="2198"/>
      <c r="S569" s="2198"/>
      <c r="T569" s="2199"/>
      <c r="U569" s="2271" t="str">
        <f ca="1">DATA!BV4</f>
        <v/>
      </c>
      <c r="V569" s="2520"/>
      <c r="X569" s="262"/>
    </row>
    <row r="570" spans="3:24" ht="7.5" customHeight="1">
      <c r="C570" s="260"/>
      <c r="H570" s="38"/>
      <c r="I570" s="185"/>
      <c r="J570" s="38"/>
      <c r="K570" s="185"/>
      <c r="M570" s="38"/>
      <c r="N570" s="38"/>
      <c r="O570" s="38"/>
      <c r="S570" s="38"/>
      <c r="U570" s="185"/>
      <c r="V570" s="38"/>
      <c r="X570" s="262"/>
    </row>
    <row r="571" spans="3:24">
      <c r="C571" s="260"/>
      <c r="H571" s="38"/>
      <c r="I571" s="185"/>
      <c r="J571" s="1601"/>
      <c r="K571" s="1601"/>
      <c r="L571" s="1601"/>
      <c r="M571" s="38"/>
      <c r="N571" s="92"/>
      <c r="O571" s="92"/>
      <c r="R571" s="185"/>
      <c r="U571" s="402"/>
      <c r="V571" s="402"/>
      <c r="X571" s="262"/>
    </row>
    <row r="572" spans="3:24" ht="7.5" customHeight="1">
      <c r="C572" s="261"/>
      <c r="D572" s="184"/>
      <c r="E572" s="184"/>
      <c r="F572" s="184"/>
      <c r="G572" s="184"/>
      <c r="H572" s="176"/>
      <c r="I572" s="176"/>
      <c r="J572" s="176"/>
      <c r="K572" s="176"/>
      <c r="L572" s="176"/>
      <c r="M572" s="176"/>
      <c r="N572" s="176"/>
      <c r="O572" s="176"/>
      <c r="P572" s="184"/>
      <c r="Q572" s="184"/>
      <c r="R572" s="184"/>
      <c r="S572" s="176"/>
      <c r="T572" s="184"/>
      <c r="U572" s="176"/>
      <c r="V572" s="176"/>
      <c r="W572" s="184"/>
      <c r="X572" s="263"/>
    </row>
    <row r="573" spans="3:24" ht="7.5" customHeight="1"/>
    <row r="574" spans="3:24" ht="7.5" customHeight="1">
      <c r="C574" s="621"/>
      <c r="D574" s="610"/>
      <c r="E574" s="610"/>
      <c r="F574" s="610"/>
      <c r="G574" s="610"/>
      <c r="H574" s="610"/>
      <c r="I574" s="610"/>
      <c r="J574" s="610"/>
      <c r="K574" s="610"/>
      <c r="L574" s="610"/>
      <c r="M574" s="610"/>
      <c r="N574" s="610"/>
      <c r="O574" s="610"/>
      <c r="P574" s="610"/>
      <c r="Q574" s="610"/>
      <c r="R574" s="610"/>
      <c r="S574" s="610"/>
      <c r="T574" s="610"/>
      <c r="U574" s="610"/>
      <c r="V574" s="610"/>
      <c r="W574" s="610"/>
      <c r="X574" s="1158"/>
    </row>
    <row r="575" spans="3:24">
      <c r="C575" s="260"/>
      <c r="D575" s="2190" t="s">
        <v>1089</v>
      </c>
      <c r="E575" s="2190"/>
      <c r="F575" s="2190"/>
      <c r="G575" s="2190"/>
      <c r="H575" s="2190"/>
      <c r="I575" s="2190"/>
      <c r="J575" s="2190"/>
      <c r="K575" s="2190"/>
      <c r="L575" s="2190"/>
      <c r="M575" s="2190"/>
      <c r="N575" s="2190"/>
      <c r="O575" s="2190"/>
      <c r="P575" s="2190"/>
      <c r="Q575" s="2190"/>
      <c r="R575" s="2190"/>
      <c r="S575" s="2190"/>
      <c r="T575" s="2190"/>
      <c r="U575" s="2190"/>
      <c r="V575" s="2190"/>
      <c r="W575" s="2190"/>
      <c r="X575" s="262"/>
    </row>
    <row r="576" spans="3:24" ht="7.5" customHeight="1">
      <c r="C576" s="260"/>
      <c r="I576" s="38"/>
      <c r="J576" s="38"/>
      <c r="K576" s="38"/>
      <c r="L576" s="38"/>
      <c r="M576" s="38"/>
      <c r="N576" s="38"/>
      <c r="O576" s="38"/>
      <c r="X576" s="262"/>
    </row>
    <row r="577" spans="1:25" ht="14.95" customHeight="1">
      <c r="C577" s="260"/>
      <c r="D577" s="2198" t="s">
        <v>946</v>
      </c>
      <c r="E577" s="2198"/>
      <c r="F577" s="2198"/>
      <c r="G577" s="2198"/>
      <c r="H577" s="2198"/>
      <c r="I577" s="2199"/>
      <c r="J577" s="2278" t="str">
        <f>DATA!BY5</f>
        <v>Lighting - Performance - Custom</v>
      </c>
      <c r="K577" s="2279"/>
      <c r="L577" s="2280"/>
      <c r="M577" s="38"/>
      <c r="N577" s="38"/>
      <c r="O577" s="2198" t="s">
        <v>980</v>
      </c>
      <c r="P577" s="2198"/>
      <c r="Q577" s="2198"/>
      <c r="R577" s="2198"/>
      <c r="S577" s="2198"/>
      <c r="T577" s="2199"/>
      <c r="U577" s="2278">
        <f>DATA!BZ5</f>
        <v>12334</v>
      </c>
      <c r="V577" s="2280"/>
      <c r="X577" s="262"/>
    </row>
    <row r="578" spans="1:25" ht="7.5" customHeight="1">
      <c r="C578" s="260"/>
      <c r="D578" s="44"/>
      <c r="E578" s="44"/>
      <c r="F578" s="44"/>
      <c r="G578" s="44"/>
      <c r="H578" s="44"/>
      <c r="I578" s="44"/>
      <c r="J578" s="38"/>
      <c r="K578" s="38"/>
      <c r="L578" s="38"/>
      <c r="M578" s="38"/>
      <c r="N578" s="38"/>
      <c r="O578" s="38"/>
      <c r="T578" s="44"/>
      <c r="X578" s="262"/>
    </row>
    <row r="579" spans="1:25">
      <c r="C579" s="260"/>
      <c r="D579" s="2198" t="s">
        <v>955</v>
      </c>
      <c r="E579" s="2198"/>
      <c r="F579" s="2198"/>
      <c r="G579" s="2198"/>
      <c r="H579" s="2198"/>
      <c r="I579" s="2199"/>
      <c r="J579" s="2278" t="str">
        <f ca="1">DATA!CA5</f>
        <v>Full</v>
      </c>
      <c r="K579" s="2279"/>
      <c r="L579" s="2280"/>
      <c r="M579" s="38"/>
      <c r="N579" s="92"/>
      <c r="O579" s="2198" t="s">
        <v>981</v>
      </c>
      <c r="P579" s="2198"/>
      <c r="Q579" s="2198"/>
      <c r="R579" s="2198"/>
      <c r="S579" s="2198"/>
      <c r="T579" s="2199"/>
      <c r="U579" s="2503">
        <f ca="1">DATA!CB5</f>
        <v>0</v>
      </c>
      <c r="V579" s="2504"/>
      <c r="X579" s="262"/>
    </row>
    <row r="580" spans="1:25" ht="7.5" customHeight="1">
      <c r="C580" s="260"/>
      <c r="D580" s="44"/>
      <c r="E580" s="44"/>
      <c r="F580" s="44"/>
      <c r="G580" s="44"/>
      <c r="H580" s="44"/>
      <c r="I580" s="328"/>
      <c r="J580" s="38"/>
      <c r="K580" s="185"/>
      <c r="M580" s="38"/>
      <c r="N580" s="38"/>
      <c r="O580" s="38"/>
      <c r="T580" s="44"/>
      <c r="X580" s="262"/>
    </row>
    <row r="581" spans="1:25">
      <c r="C581" s="260"/>
      <c r="D581" s="2198" t="s">
        <v>947</v>
      </c>
      <c r="E581" s="2198"/>
      <c r="F581" s="2198"/>
      <c r="G581" s="2198"/>
      <c r="H581" s="2198"/>
      <c r="I581" s="2199"/>
      <c r="J581" s="2498">
        <f ca="1">DATA!CC5</f>
        <v>0</v>
      </c>
      <c r="K581" s="2499"/>
      <c r="L581" s="2500"/>
      <c r="M581" s="38"/>
      <c r="N581" s="92"/>
      <c r="O581" s="2198" t="s">
        <v>1075</v>
      </c>
      <c r="P581" s="2198"/>
      <c r="Q581" s="2198"/>
      <c r="R581" s="2198"/>
      <c r="S581" s="2198"/>
      <c r="T581" s="2199"/>
      <c r="U581" s="2278" t="str">
        <f>DATA!CD5</f>
        <v>Lighting</v>
      </c>
      <c r="V581" s="2280"/>
      <c r="X581" s="262"/>
    </row>
    <row r="582" spans="1:25" ht="7.5" customHeight="1">
      <c r="C582" s="260"/>
      <c r="D582" s="44"/>
      <c r="E582" s="44"/>
      <c r="F582" s="44"/>
      <c r="G582" s="44"/>
      <c r="H582" s="44"/>
      <c r="I582" s="328"/>
      <c r="J582" s="38"/>
      <c r="K582" s="185"/>
      <c r="M582" s="38"/>
      <c r="N582" s="38"/>
      <c r="O582" s="38"/>
      <c r="T582" s="44"/>
      <c r="X582" s="262"/>
    </row>
    <row r="583" spans="1:25">
      <c r="C583" s="260"/>
      <c r="D583" s="2198" t="s">
        <v>949</v>
      </c>
      <c r="E583" s="2198"/>
      <c r="F583" s="2198"/>
      <c r="G583" s="2198"/>
      <c r="H583" s="2198"/>
      <c r="I583" s="2199"/>
      <c r="J583" s="2495">
        <f ca="1">DATA!CE5</f>
        <v>0</v>
      </c>
      <c r="K583" s="2496"/>
      <c r="L583" s="2497"/>
      <c r="M583" s="38"/>
      <c r="N583" s="92"/>
      <c r="O583" s="2198" t="s">
        <v>1076</v>
      </c>
      <c r="P583" s="2198"/>
      <c r="Q583" s="2198"/>
      <c r="R583" s="2198"/>
      <c r="S583" s="2198"/>
      <c r="T583" s="2223"/>
      <c r="U583" s="2244"/>
      <c r="V583" s="2245"/>
      <c r="X583" s="262"/>
    </row>
    <row r="584" spans="1:25" ht="7.5" customHeight="1">
      <c r="C584" s="260"/>
      <c r="D584" s="44"/>
      <c r="E584" s="44"/>
      <c r="F584" s="44"/>
      <c r="G584" s="44"/>
      <c r="H584" s="44"/>
      <c r="I584" s="328"/>
      <c r="J584" s="38"/>
      <c r="K584" s="185"/>
      <c r="M584" s="38"/>
      <c r="N584" s="38"/>
      <c r="O584" s="38"/>
      <c r="T584" s="328"/>
      <c r="U584" s="38"/>
      <c r="X584" s="262"/>
    </row>
    <row r="585" spans="1:25">
      <c r="C585" s="260"/>
      <c r="D585" s="2219" t="s">
        <v>983</v>
      </c>
      <c r="E585" s="2219"/>
      <c r="F585" s="2219"/>
      <c r="G585" s="2219"/>
      <c r="H585" s="2219"/>
      <c r="I585" s="2219"/>
      <c r="J585" s="2495">
        <f>DATA!CG5</f>
        <v>10</v>
      </c>
      <c r="K585" s="2496"/>
      <c r="L585" s="2497"/>
      <c r="M585" s="38"/>
      <c r="N585" s="92"/>
      <c r="O585" s="2198" t="s">
        <v>952</v>
      </c>
      <c r="P585" s="2198"/>
      <c r="Q585" s="2198"/>
      <c r="R585" s="2198"/>
      <c r="S585" s="2198"/>
      <c r="T585" s="2199"/>
      <c r="U585" s="2515">
        <f ca="1">DATA!CH5</f>
        <v>0</v>
      </c>
      <c r="V585" s="2516"/>
      <c r="X585" s="262"/>
    </row>
    <row r="586" spans="1:25" ht="7.5" customHeight="1">
      <c r="C586" s="260"/>
      <c r="D586" s="2219"/>
      <c r="E586" s="2219"/>
      <c r="F586" s="2219"/>
      <c r="G586" s="2219"/>
      <c r="H586" s="2219"/>
      <c r="I586" s="2219"/>
      <c r="J586" s="38"/>
      <c r="K586" s="185"/>
      <c r="M586" s="38"/>
      <c r="N586" s="38"/>
      <c r="O586" s="38"/>
      <c r="T586" s="44"/>
      <c r="X586" s="262"/>
    </row>
    <row r="587" spans="1:25">
      <c r="C587" s="260"/>
      <c r="D587" s="2198" t="s">
        <v>953</v>
      </c>
      <c r="E587" s="2198"/>
      <c r="F587" s="2198"/>
      <c r="G587" s="2198"/>
      <c r="H587" s="2198"/>
      <c r="I587" s="2199"/>
      <c r="J587" s="2495">
        <f ca="1">DATA!CI5</f>
        <v>0</v>
      </c>
      <c r="K587" s="2496"/>
      <c r="L587" s="2497"/>
      <c r="M587" s="323"/>
      <c r="N587" s="92"/>
      <c r="O587" s="2198" t="s">
        <v>984</v>
      </c>
      <c r="P587" s="2198"/>
      <c r="Q587" s="2198"/>
      <c r="R587" s="2198"/>
      <c r="S587" s="2198"/>
      <c r="T587" s="2199"/>
      <c r="U587" s="2278">
        <f>DATA!CJ5</f>
        <v>0</v>
      </c>
      <c r="V587" s="2280"/>
      <c r="X587" s="262"/>
    </row>
    <row r="588" spans="1:25" ht="7.5" customHeight="1">
      <c r="C588" s="260"/>
      <c r="D588" s="44"/>
      <c r="E588" s="44"/>
      <c r="F588" s="44"/>
      <c r="G588" s="44"/>
      <c r="H588" s="44"/>
      <c r="I588" s="44"/>
      <c r="T588" s="44"/>
      <c r="X588" s="262"/>
    </row>
    <row r="589" spans="1:25">
      <c r="A589" s="262"/>
      <c r="D589" s="2198" t="s">
        <v>985</v>
      </c>
      <c r="E589" s="2198"/>
      <c r="F589" s="2198"/>
      <c r="G589" s="2198"/>
      <c r="H589" s="2198"/>
      <c r="I589" s="2199"/>
      <c r="J589" s="2498">
        <f ca="1">DATA!CK5</f>
        <v>0</v>
      </c>
      <c r="K589" s="2499"/>
      <c r="L589" s="2500"/>
      <c r="O589" s="2198" t="s">
        <v>893</v>
      </c>
      <c r="P589" s="2198"/>
      <c r="Q589" s="2198"/>
      <c r="R589" s="2198"/>
      <c r="S589" s="2198"/>
      <c r="T589" s="2199"/>
      <c r="U589" s="2501">
        <f ca="1">DATA!CL5</f>
        <v>2</v>
      </c>
      <c r="V589" s="2502"/>
      <c r="Y589" s="260"/>
    </row>
    <row r="590" spans="1:25" ht="7.5" customHeight="1">
      <c r="A590" s="262"/>
      <c r="D590" s="44"/>
      <c r="E590" s="44"/>
      <c r="F590" s="44"/>
      <c r="G590" s="44"/>
      <c r="H590" s="44"/>
      <c r="I590" s="44"/>
      <c r="Y590" s="260"/>
    </row>
    <row r="591" spans="1:25">
      <c r="A591" s="262"/>
      <c r="D591" s="2198" t="s">
        <v>1077</v>
      </c>
      <c r="E591" s="2198"/>
      <c r="F591" s="2198"/>
      <c r="G591" s="2198"/>
      <c r="H591" s="2198"/>
      <c r="I591" s="2199"/>
      <c r="J591" s="2501">
        <f ca="1">DATA!CM5</f>
        <v>0</v>
      </c>
      <c r="K591" s="2514"/>
      <c r="L591" s="2502"/>
      <c r="Y591" s="260"/>
    </row>
    <row r="592" spans="1:25" ht="7.5" customHeight="1">
      <c r="C592" s="261"/>
      <c r="D592" s="184"/>
      <c r="E592" s="184"/>
      <c r="F592" s="184"/>
      <c r="G592" s="184"/>
      <c r="H592" s="184"/>
      <c r="I592" s="184"/>
      <c r="J592" s="184"/>
      <c r="K592" s="184"/>
      <c r="L592" s="184"/>
      <c r="M592" s="184"/>
      <c r="N592" s="184"/>
      <c r="O592" s="184"/>
      <c r="P592" s="184"/>
      <c r="Q592" s="184"/>
      <c r="R592" s="184"/>
      <c r="S592" s="184"/>
      <c r="T592" s="184"/>
      <c r="U592" s="184"/>
      <c r="V592" s="184"/>
      <c r="W592" s="184"/>
      <c r="X592" s="263"/>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selectLockedCells="1"/>
  <mergeCells count="436">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s>
  <conditionalFormatting sqref="M90:M100">
    <cfRule type="expression" dxfId="52" priority="8">
      <formula>$O$100=0</formula>
    </cfRule>
  </conditionalFormatting>
  <conditionalFormatting sqref="O88">
    <cfRule type="expression" dxfId="51" priority="7">
      <formula>$O$100=0</formula>
    </cfRule>
  </conditionalFormatting>
  <conditionalFormatting sqref="O90:P90 O92:P92 O94:P94 O100:P100">
    <cfRule type="expression" dxfId="50" priority="6">
      <formula>$O$100=0</formula>
    </cfRule>
  </conditionalFormatting>
  <conditionalFormatting sqref="O72">
    <cfRule type="cellIs" dxfId="49" priority="4" stopIfTrue="1" operator="greaterThan">
      <formula>0.99</formula>
    </cfRule>
    <cfRule type="cellIs" dxfId="48" priority="5" operator="between">
      <formula>0.75</formula>
      <formula>1</formula>
    </cfRule>
  </conditionalFormatting>
  <conditionalFormatting sqref="M102">
    <cfRule type="expression" dxfId="47" priority="3">
      <formula>$O$100=0</formula>
    </cfRule>
  </conditionalFormatting>
  <conditionalFormatting sqref="O102:P102">
    <cfRule type="expression" dxfId="46" priority="2">
      <formula>$O$100=0</formula>
    </cfRule>
  </conditionalFormatting>
  <conditionalFormatting sqref="D114:H114">
    <cfRule type="expression" dxfId="45" priority="1">
      <formula>$Y$46=0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CC367"/>
  <sheetViews>
    <sheetView zoomScale="90" zoomScaleNormal="90" workbookViewId="0">
      <selection activeCell="AE20" sqref="AE20"/>
    </sheetView>
  </sheetViews>
  <sheetFormatPr defaultRowHeight="14.95" customHeight="1"/>
  <cols>
    <col min="1" max="1" width="23.25" customWidth="1"/>
    <col min="2" max="30" width="19.375" customWidth="1"/>
    <col min="31" max="31" width="21.125" customWidth="1"/>
    <col min="32" max="118" width="19.375" customWidth="1"/>
    <col min="119" max="119" width="11.375" bestFit="1" customWidth="1"/>
    <col min="120" max="120" width="17.375" bestFit="1" customWidth="1"/>
    <col min="121" max="121" width="20.125" bestFit="1" customWidth="1"/>
    <col min="122" max="122" width="16.125" bestFit="1" customWidth="1"/>
    <col min="123" max="123" width="20" bestFit="1" customWidth="1"/>
    <col min="124" max="124" width="16.375" bestFit="1" customWidth="1"/>
    <col min="125" max="125" width="21.25" bestFit="1" customWidth="1"/>
    <col min="126" max="126" width="23.375" bestFit="1" customWidth="1"/>
    <col min="127" max="127" width="23.75" bestFit="1" customWidth="1"/>
    <col min="128" max="128" width="23.625" bestFit="1" customWidth="1"/>
    <col min="129" max="129" width="20.125" bestFit="1" customWidth="1"/>
    <col min="130" max="130" width="17.625" bestFit="1" customWidth="1"/>
    <col min="131" max="131" width="25.375" bestFit="1" customWidth="1"/>
    <col min="132" max="132" width="16.375" bestFit="1" customWidth="1"/>
    <col min="133" max="133" width="13" bestFit="1" customWidth="1"/>
    <col min="134" max="134" width="21.75" bestFit="1" customWidth="1"/>
    <col min="135" max="135" width="17.75" bestFit="1" customWidth="1"/>
    <col min="136" max="136" width="27.625" bestFit="1" customWidth="1"/>
    <col min="137" max="137" width="16.375" bestFit="1" customWidth="1"/>
    <col min="138" max="138" width="24.25" bestFit="1" customWidth="1"/>
    <col min="139" max="139" width="24" bestFit="1" customWidth="1"/>
    <col min="140" max="140" width="15.75" bestFit="1" customWidth="1"/>
    <col min="141" max="141" width="23.375" bestFit="1" customWidth="1"/>
    <col min="142" max="142" width="22.625" bestFit="1" customWidth="1"/>
    <col min="143" max="143" width="40.375" bestFit="1" customWidth="1"/>
    <col min="144" max="144" width="41.75" bestFit="1" customWidth="1"/>
    <col min="145" max="145" width="11.875" bestFit="1" customWidth="1"/>
    <col min="146" max="146" width="20.375" bestFit="1" customWidth="1"/>
    <col min="147" max="147" width="20.875" bestFit="1" customWidth="1"/>
    <col min="148" max="148" width="20.75" bestFit="1" customWidth="1"/>
    <col min="149" max="149" width="28.625" bestFit="1" customWidth="1"/>
    <col min="150" max="150" width="29.875" bestFit="1" customWidth="1"/>
    <col min="151" max="151" width="28.75" bestFit="1" customWidth="1"/>
    <col min="152" max="152" width="20.25" bestFit="1" customWidth="1"/>
    <col min="153" max="153" width="18.875" bestFit="1" customWidth="1"/>
    <col min="154" max="154" width="13.375" bestFit="1" customWidth="1"/>
    <col min="155" max="155" width="12" bestFit="1" customWidth="1"/>
    <col min="156" max="156" width="18.875" bestFit="1" customWidth="1"/>
    <col min="157" max="157" width="17.375" bestFit="1" customWidth="1"/>
    <col min="158" max="158" width="18.125" bestFit="1" customWidth="1"/>
    <col min="159" max="159" width="9.875" bestFit="1" customWidth="1"/>
    <col min="160" max="160" width="18.875" bestFit="1" customWidth="1"/>
    <col min="161" max="161" width="13.25" bestFit="1" customWidth="1"/>
    <col min="162" max="162" width="22.625" bestFit="1" customWidth="1"/>
    <col min="163" max="163" width="24.875" bestFit="1" customWidth="1"/>
    <col min="164" max="164" width="25.125" bestFit="1" customWidth="1"/>
    <col min="165" max="165" width="22.375" bestFit="1" customWidth="1"/>
    <col min="166" max="166" width="19" bestFit="1" customWidth="1"/>
    <col min="167" max="167" width="24.375" bestFit="1" customWidth="1"/>
    <col min="168" max="168" width="18.125" bestFit="1" customWidth="1"/>
    <col min="169" max="169" width="42.375" bestFit="1" customWidth="1"/>
    <col min="170" max="174" width="7" bestFit="1" customWidth="1"/>
    <col min="175" max="175" width="18" bestFit="1" customWidth="1"/>
    <col min="176" max="178" width="28.375" bestFit="1" customWidth="1"/>
    <col min="179" max="179" width="18.125" bestFit="1" customWidth="1"/>
    <col min="180" max="180" width="16.75" bestFit="1" customWidth="1"/>
    <col min="181" max="181" width="10.25" bestFit="1" customWidth="1"/>
    <col min="182" max="182" width="11.375" bestFit="1" customWidth="1"/>
    <col min="183" max="183" width="13.875" bestFit="1" customWidth="1"/>
    <col min="184" max="184" width="16.125" bestFit="1" customWidth="1"/>
    <col min="185" max="185" width="24" bestFit="1" customWidth="1"/>
    <col min="186" max="186" width="30.625" bestFit="1" customWidth="1"/>
    <col min="187" max="187" width="29.375" bestFit="1" customWidth="1"/>
    <col min="188" max="188" width="30" bestFit="1" customWidth="1"/>
    <col min="189" max="189" width="14" bestFit="1" customWidth="1"/>
    <col min="190" max="190" width="38.75" bestFit="1" customWidth="1"/>
    <col min="191" max="191" width="44.25" bestFit="1" customWidth="1"/>
    <col min="192" max="192" width="44.625" bestFit="1" customWidth="1"/>
    <col min="193" max="193" width="21.375" bestFit="1" customWidth="1"/>
    <col min="194" max="194" width="10.875" bestFit="1" customWidth="1"/>
    <col min="195" max="195" width="11.875" bestFit="1" customWidth="1"/>
    <col min="196" max="196" width="10.25" bestFit="1" customWidth="1"/>
    <col min="197" max="197" width="24.25" bestFit="1" customWidth="1"/>
    <col min="198" max="198" width="19.625" bestFit="1" customWidth="1"/>
    <col min="199" max="199" width="24.625" bestFit="1" customWidth="1"/>
    <col min="200" max="200" width="15.75" bestFit="1" customWidth="1"/>
    <col min="201" max="201" width="54.375" bestFit="1" customWidth="1"/>
    <col min="202" max="202" width="50.125" bestFit="1" customWidth="1"/>
    <col min="203" max="203" width="46.875" bestFit="1" customWidth="1"/>
    <col min="204" max="204" width="46.375" bestFit="1" customWidth="1"/>
    <col min="205" max="205" width="12.375" bestFit="1" customWidth="1"/>
    <col min="206" max="206" width="17.625" bestFit="1" customWidth="1"/>
    <col min="207" max="207" width="23" bestFit="1" customWidth="1"/>
    <col min="208" max="208" width="17.625" bestFit="1" customWidth="1"/>
    <col min="209" max="209" width="27.125" bestFit="1" customWidth="1"/>
    <col min="210" max="210" width="24" bestFit="1" customWidth="1"/>
    <col min="211" max="211" width="20.375" bestFit="1" customWidth="1"/>
    <col min="212" max="212" width="17.125" bestFit="1" customWidth="1"/>
    <col min="213" max="213" width="20.125" bestFit="1" customWidth="1"/>
    <col min="214" max="214" width="16.875" bestFit="1" customWidth="1"/>
    <col min="215" max="215" width="49.625" bestFit="1" customWidth="1"/>
    <col min="216" max="216" width="51.375" bestFit="1" customWidth="1"/>
    <col min="217" max="217" width="23" bestFit="1" customWidth="1"/>
    <col min="218" max="218" width="11.375" bestFit="1" customWidth="1"/>
    <col min="219" max="219" width="22.125" bestFit="1" customWidth="1"/>
    <col min="220" max="220" width="18.625" bestFit="1" customWidth="1"/>
    <col min="221" max="221" width="18.875" bestFit="1" customWidth="1"/>
    <col min="222" max="222" width="11.25" bestFit="1" customWidth="1"/>
    <col min="223" max="223" width="14" bestFit="1" customWidth="1"/>
    <col min="224" max="224" width="23.375" bestFit="1" customWidth="1"/>
    <col min="225" max="225" width="16.375" bestFit="1" customWidth="1"/>
    <col min="226" max="227" width="16.875" bestFit="1" customWidth="1"/>
    <col min="228" max="228" width="11.375" bestFit="1" customWidth="1"/>
    <col min="229" max="229" width="12.375" bestFit="1" customWidth="1"/>
    <col min="230" max="230" width="10.875" bestFit="1" customWidth="1"/>
    <col min="231" max="231" width="15.25" bestFit="1" customWidth="1"/>
    <col min="232" max="232" width="16.25" bestFit="1" customWidth="1"/>
    <col min="233" max="233" width="10.875" bestFit="1" customWidth="1"/>
    <col min="234" max="234" width="11.875" bestFit="1" customWidth="1"/>
    <col min="235" max="235" width="10.25" bestFit="1" customWidth="1"/>
    <col min="236" max="236" width="13.625" bestFit="1" customWidth="1"/>
    <col min="237" max="237" width="5.875" bestFit="1" customWidth="1"/>
    <col min="238" max="238" width="16.375" bestFit="1" customWidth="1"/>
    <col min="239" max="239" width="31.125" bestFit="1" customWidth="1"/>
    <col min="240" max="240" width="12.625" bestFit="1" customWidth="1"/>
    <col min="241" max="241" width="25.125" bestFit="1" customWidth="1"/>
    <col min="242" max="242" width="24.625" bestFit="1" customWidth="1"/>
    <col min="243" max="243" width="20.875" bestFit="1" customWidth="1"/>
    <col min="244" max="244" width="13" bestFit="1" customWidth="1"/>
    <col min="245" max="245" width="14.875" bestFit="1" customWidth="1"/>
    <col min="246" max="246" width="11.375" bestFit="1" customWidth="1"/>
    <col min="247" max="247" width="18.375" bestFit="1" customWidth="1"/>
    <col min="248" max="248" width="14.375" bestFit="1" customWidth="1"/>
    <col min="249" max="249" width="26.375" bestFit="1" customWidth="1"/>
    <col min="250" max="250" width="13.625" bestFit="1" customWidth="1"/>
    <col min="251" max="251" width="5.875" bestFit="1" customWidth="1"/>
    <col min="252" max="252" width="15.25" bestFit="1" customWidth="1"/>
    <col min="253" max="253" width="16.875" bestFit="1" customWidth="1"/>
    <col min="254" max="254" width="11.375" bestFit="1" customWidth="1"/>
    <col min="255" max="255" width="12.375" bestFit="1" customWidth="1"/>
    <col min="256" max="256" width="10.875" bestFit="1" customWidth="1"/>
    <col min="257" max="257" width="21.875" bestFit="1" customWidth="1"/>
    <col min="258" max="258" width="11.375" bestFit="1" customWidth="1"/>
    <col min="259" max="259" width="17.375" bestFit="1" customWidth="1"/>
    <col min="260" max="260" width="11.375" bestFit="1" customWidth="1"/>
    <col min="261" max="261" width="18.125" bestFit="1" customWidth="1"/>
    <col min="264" max="264" width="4.375" bestFit="1" customWidth="1"/>
    <col min="265" max="265" width="5.25" bestFit="1" customWidth="1"/>
    <col min="266" max="266" width="3.75" bestFit="1" customWidth="1"/>
    <col min="267" max="267" width="14.875" bestFit="1" customWidth="1"/>
    <col min="268" max="268" width="17" bestFit="1" customWidth="1"/>
    <col min="269" max="269" width="18.375" bestFit="1" customWidth="1"/>
    <col min="270" max="270" width="13.75" bestFit="1" customWidth="1"/>
    <col min="271" max="271" width="17.75" bestFit="1" customWidth="1"/>
    <col min="272" max="272" width="22" bestFit="1" customWidth="1"/>
    <col min="273" max="273" width="21.75" bestFit="1" customWidth="1"/>
    <col min="274" max="274" width="32.375" bestFit="1" customWidth="1"/>
    <col min="275" max="275" width="17" bestFit="1" customWidth="1"/>
    <col min="276" max="276" width="37.75" bestFit="1" customWidth="1"/>
    <col min="277" max="277" width="10.75" bestFit="1" customWidth="1"/>
    <col min="278" max="278" width="11.375" bestFit="1" customWidth="1"/>
    <col min="279" max="279" width="10.75" bestFit="1" customWidth="1"/>
    <col min="280" max="280" width="17" bestFit="1" customWidth="1"/>
    <col min="281" max="281" width="38" bestFit="1" customWidth="1"/>
    <col min="282" max="282" width="11.75" bestFit="1" customWidth="1"/>
    <col min="283" max="283" width="16.25" bestFit="1" customWidth="1"/>
    <col min="284" max="284" width="16.875" bestFit="1" customWidth="1"/>
    <col min="285" max="285" width="18.875" bestFit="1" customWidth="1"/>
    <col min="286" max="286" width="11.25" bestFit="1" customWidth="1"/>
    <col min="287" max="287" width="14" bestFit="1" customWidth="1"/>
    <col min="288" max="288" width="23.375" bestFit="1" customWidth="1"/>
    <col min="289" max="289" width="16.375" bestFit="1" customWidth="1"/>
    <col min="290" max="291" width="16.875" bestFit="1" customWidth="1"/>
    <col min="292" max="292" width="11.375" bestFit="1" customWidth="1"/>
    <col min="293" max="293" width="12.375" bestFit="1" customWidth="1"/>
    <col min="294" max="294" width="10.875" bestFit="1" customWidth="1"/>
    <col min="295" max="295" width="15.25" bestFit="1" customWidth="1"/>
    <col min="296" max="296" width="16.25" bestFit="1" customWidth="1"/>
    <col min="297" max="297" width="10.875" bestFit="1" customWidth="1"/>
    <col min="298" max="298" width="11.875" bestFit="1" customWidth="1"/>
    <col min="299" max="299" width="10.25" bestFit="1" customWidth="1"/>
    <col min="300" max="300" width="13.625" bestFit="1" customWidth="1"/>
    <col min="301" max="301" width="5.875" bestFit="1" customWidth="1"/>
    <col min="302" max="302" width="16.375" bestFit="1" customWidth="1"/>
    <col min="303" max="303" width="31.125" bestFit="1" customWidth="1"/>
    <col min="304" max="304" width="12.625" bestFit="1" customWidth="1"/>
    <col min="305" max="305" width="25.125" bestFit="1" customWidth="1"/>
    <col min="306" max="306" width="24.625" bestFit="1" customWidth="1"/>
    <col min="307" max="307" width="20.875" bestFit="1" customWidth="1"/>
    <col min="308" max="308" width="13" bestFit="1" customWidth="1"/>
    <col min="309" max="309" width="14.875" bestFit="1" customWidth="1"/>
    <col min="310" max="310" width="11.375" bestFit="1" customWidth="1"/>
    <col min="311" max="311" width="18.375" bestFit="1" customWidth="1"/>
    <col min="312" max="312" width="14.375" bestFit="1" customWidth="1"/>
    <col min="313" max="313" width="26.375" bestFit="1" customWidth="1"/>
    <col min="314" max="314" width="13.625" bestFit="1" customWidth="1"/>
    <col min="315" max="315" width="5.875" bestFit="1" customWidth="1"/>
    <col min="316" max="316" width="15.25" bestFit="1" customWidth="1"/>
    <col min="317" max="317" width="16.875" bestFit="1" customWidth="1"/>
    <col min="318" max="318" width="11.375" bestFit="1" customWidth="1"/>
    <col min="319" max="319" width="12.375" bestFit="1" customWidth="1"/>
    <col min="320" max="320" width="10.875" bestFit="1" customWidth="1"/>
    <col min="321" max="321" width="21.875" bestFit="1" customWidth="1"/>
    <col min="322" max="322" width="11.375" bestFit="1" customWidth="1"/>
    <col min="323" max="323" width="18.125" bestFit="1" customWidth="1"/>
    <col min="324" max="324" width="16.75" bestFit="1" customWidth="1"/>
    <col min="325" max="325" width="30.625" bestFit="1" customWidth="1"/>
    <col min="326" max="326" width="29.375" bestFit="1" customWidth="1"/>
    <col min="327" max="327" width="30" bestFit="1" customWidth="1"/>
    <col min="328" max="328" width="14" bestFit="1" customWidth="1"/>
    <col min="329" max="329" width="38.75" bestFit="1" customWidth="1"/>
    <col min="330" max="330" width="44.25" bestFit="1" customWidth="1"/>
    <col min="331" max="331" width="44.625" bestFit="1" customWidth="1"/>
    <col min="332" max="332" width="20.125" bestFit="1" customWidth="1"/>
    <col min="333" max="333" width="10.875" bestFit="1" customWidth="1"/>
    <col min="334" max="334" width="11.875" bestFit="1" customWidth="1"/>
    <col min="335" max="335" width="10.25" bestFit="1" customWidth="1"/>
    <col min="336" max="336" width="24.25" bestFit="1" customWidth="1"/>
    <col min="337" max="337" width="19.625" bestFit="1" customWidth="1"/>
    <col min="338" max="338" width="16.25" bestFit="1" customWidth="1"/>
    <col min="339" max="339" width="15.75" bestFit="1" customWidth="1"/>
    <col min="340" max="340" width="22.125" bestFit="1" customWidth="1"/>
    <col min="341" max="341" width="54.375" bestFit="1" customWidth="1"/>
    <col min="342" max="342" width="50.125" bestFit="1" customWidth="1"/>
    <col min="343" max="343" width="12.375" bestFit="1" customWidth="1"/>
    <col min="344" max="344" width="17.625" bestFit="1" customWidth="1"/>
    <col min="345" max="345" width="10.25" bestFit="1" customWidth="1"/>
    <col min="346" max="346" width="23" bestFit="1" customWidth="1"/>
    <col min="347" max="347" width="17.625" bestFit="1" customWidth="1"/>
    <col min="348" max="348" width="51.375" bestFit="1" customWidth="1"/>
    <col min="349" max="349" width="20.375" bestFit="1" customWidth="1"/>
    <col min="350" max="350" width="46.375" bestFit="1" customWidth="1"/>
    <col min="351" max="351" width="20.125" bestFit="1" customWidth="1"/>
    <col min="352" max="352" width="46.875" bestFit="1" customWidth="1"/>
    <col min="353" max="353" width="27.125" bestFit="1" customWidth="1"/>
    <col min="354" max="354" width="24" bestFit="1" customWidth="1"/>
    <col min="355" max="355" width="17.125" bestFit="1" customWidth="1"/>
    <col min="356" max="356" width="16.875" bestFit="1" customWidth="1"/>
    <col min="357" max="357" width="18.625" bestFit="1" customWidth="1"/>
    <col min="358" max="358" width="49.625" bestFit="1" customWidth="1"/>
    <col min="359" max="359" width="16.375" bestFit="1" customWidth="1"/>
    <col min="360" max="360" width="20.75" bestFit="1" customWidth="1"/>
    <col min="361" max="361" width="17.75" bestFit="1" customWidth="1"/>
    <col min="362" max="362" width="20" bestFit="1" customWidth="1"/>
    <col min="363" max="363" width="18.875" bestFit="1" customWidth="1"/>
    <col min="364" max="364" width="16.375" bestFit="1" customWidth="1"/>
    <col min="365" max="365" width="13.25" bestFit="1" customWidth="1"/>
    <col min="366" max="366" width="21.25" bestFit="1" customWidth="1"/>
    <col min="367" max="367" width="22.625" bestFit="1" customWidth="1"/>
    <col min="368" max="368" width="23.75" bestFit="1" customWidth="1"/>
    <col min="369" max="369" width="25.125" bestFit="1" customWidth="1"/>
    <col min="370" max="370" width="23.625" bestFit="1" customWidth="1"/>
    <col min="371" max="371" width="18" bestFit="1" customWidth="1"/>
    <col min="372" max="372" width="20.125" bestFit="1" customWidth="1"/>
    <col min="373" max="373" width="19" bestFit="1" customWidth="1"/>
    <col min="374" max="374" width="25.375" bestFit="1" customWidth="1"/>
    <col min="375" max="375" width="24.375" bestFit="1" customWidth="1"/>
    <col min="376" max="376" width="27.625" bestFit="1" customWidth="1"/>
    <col min="377" max="377" width="28.625" bestFit="1" customWidth="1"/>
    <col min="378" max="378" width="24.625" bestFit="1" customWidth="1"/>
    <col min="379" max="379" width="11.375" bestFit="1" customWidth="1"/>
    <col min="380" max="380" width="13" bestFit="1" customWidth="1"/>
    <col min="381" max="381" width="10" bestFit="1" customWidth="1"/>
    <col min="382" max="382" width="16.375" bestFit="1" customWidth="1"/>
    <col min="383" max="383" width="11.875" bestFit="1" customWidth="1"/>
    <col min="384" max="384" width="24.25" bestFit="1" customWidth="1"/>
    <col min="385" max="385" width="24" bestFit="1" customWidth="1"/>
    <col min="386" max="386" width="15.75" bestFit="1" customWidth="1"/>
    <col min="387" max="387" width="23.375" bestFit="1" customWidth="1"/>
    <col min="388" max="388" width="11.125" bestFit="1" customWidth="1"/>
    <col min="389" max="389" width="29.875" bestFit="1" customWidth="1"/>
    <col min="390" max="390" width="20.25" bestFit="1" customWidth="1"/>
    <col min="391" max="391" width="18.875" bestFit="1" customWidth="1"/>
    <col min="392" max="392" width="13.375" bestFit="1" customWidth="1"/>
    <col min="393" max="393" width="12" bestFit="1" customWidth="1"/>
    <col min="394" max="394" width="17.375" bestFit="1" customWidth="1"/>
    <col min="395" max="395" width="18.125" bestFit="1" customWidth="1"/>
    <col min="396" max="396" width="9.875" bestFit="1" customWidth="1"/>
    <col min="397" max="397" width="18.875" bestFit="1" customWidth="1"/>
    <col min="398" max="398" width="19.375" bestFit="1" customWidth="1"/>
    <col min="399" max="399" width="23.375" bestFit="1" customWidth="1"/>
    <col min="400" max="400" width="18.125" bestFit="1" customWidth="1"/>
    <col min="401" max="401" width="17" bestFit="1" customWidth="1"/>
    <col min="402" max="402" width="18.375" bestFit="1" customWidth="1"/>
    <col min="403" max="403" width="13.75" bestFit="1" customWidth="1"/>
    <col min="404" max="404" width="27.125" bestFit="1" customWidth="1"/>
    <col min="405" max="405" width="41.875" bestFit="1" customWidth="1"/>
    <col min="406" max="406" width="17.75" bestFit="1" customWidth="1"/>
    <col min="407" max="407" width="18" bestFit="1" customWidth="1"/>
    <col min="408" max="408" width="12.375" bestFit="1" customWidth="1"/>
    <col min="409" max="409" width="15.75" bestFit="1" customWidth="1"/>
    <col min="410" max="410" width="30.875" bestFit="1" customWidth="1"/>
    <col min="411" max="411" width="20.25" bestFit="1" customWidth="1"/>
    <col min="412" max="412" width="21.125" bestFit="1" customWidth="1"/>
    <col min="413" max="413" width="26.75" bestFit="1" customWidth="1"/>
    <col min="414" max="414" width="16.875" bestFit="1" customWidth="1"/>
    <col min="415" max="415" width="60.625" bestFit="1" customWidth="1"/>
    <col min="416" max="420" width="7" bestFit="1" customWidth="1"/>
    <col min="421" max="421" width="17" bestFit="1" customWidth="1"/>
    <col min="422" max="422" width="10.75" bestFit="1" customWidth="1"/>
    <col min="423" max="423" width="17" bestFit="1" customWidth="1"/>
    <col min="424" max="424" width="38" bestFit="1" customWidth="1"/>
    <col min="425" max="425" width="16.875" bestFit="1" customWidth="1"/>
    <col min="426" max="427" width="10" bestFit="1" customWidth="1"/>
    <col min="428" max="428" width="11.75" bestFit="1" customWidth="1"/>
    <col min="429" max="429" width="16.25" bestFit="1" customWidth="1"/>
    <col min="430" max="430" width="20.25" bestFit="1" customWidth="1"/>
    <col min="431" max="431" width="24.375" bestFit="1" customWidth="1"/>
    <col min="432" max="432" width="25.25" bestFit="1" customWidth="1"/>
    <col min="433" max="433" width="22.375" bestFit="1" customWidth="1"/>
    <col min="434" max="434" width="25.875" bestFit="1" customWidth="1"/>
    <col min="435" max="435" width="19.625" bestFit="1" customWidth="1"/>
    <col min="436" max="436" width="17" bestFit="1" customWidth="1"/>
    <col min="437" max="437" width="22.125" bestFit="1" customWidth="1"/>
    <col min="438" max="438" width="25.875" bestFit="1" customWidth="1"/>
    <col min="439" max="439" width="16.25" bestFit="1" customWidth="1"/>
    <col min="440" max="440" width="28.875" bestFit="1" customWidth="1"/>
    <col min="441" max="441" width="19" bestFit="1" customWidth="1"/>
    <col min="442" max="442" width="21.375" bestFit="1" customWidth="1"/>
    <col min="443" max="443" width="11.375" bestFit="1" customWidth="1"/>
    <col min="446" max="446" width="4.375" bestFit="1" customWidth="1"/>
    <col min="447" max="447" width="5.25" bestFit="1" customWidth="1"/>
    <col min="448" max="448" width="3.75" bestFit="1" customWidth="1"/>
    <col min="449" max="449" width="7.75" bestFit="1" customWidth="1"/>
    <col min="450" max="450" width="14.875" bestFit="1" customWidth="1"/>
    <col min="451" max="451" width="64.875" bestFit="1" customWidth="1"/>
    <col min="452" max="452" width="12.625" bestFit="1" customWidth="1"/>
    <col min="453" max="453" width="14.375" bestFit="1" customWidth="1"/>
    <col min="454" max="454" width="26.375" bestFit="1" customWidth="1"/>
    <col min="455" max="455" width="13.625" bestFit="1" customWidth="1"/>
    <col min="456" max="456" width="5.875" bestFit="1" customWidth="1"/>
    <col min="457" max="458" width="16.875" bestFit="1" customWidth="1"/>
    <col min="459" max="459" width="11.375" bestFit="1" customWidth="1"/>
    <col min="460" max="460" width="12.375" bestFit="1" customWidth="1"/>
    <col min="461" max="461" width="10.875" bestFit="1" customWidth="1"/>
    <col min="462" max="462" width="21.875" bestFit="1" customWidth="1"/>
    <col min="463" max="463" width="11.375" bestFit="1" customWidth="1"/>
    <col min="464" max="464" width="18.125" bestFit="1" customWidth="1"/>
    <col min="465" max="465" width="16.75" bestFit="1" customWidth="1"/>
    <col min="466" max="466" width="10.25" bestFit="1" customWidth="1"/>
    <col min="467" max="467" width="12.375" bestFit="1" customWidth="1"/>
    <col min="468" max="468" width="17.625" bestFit="1" customWidth="1"/>
    <col min="469" max="469" width="30.625" bestFit="1" customWidth="1"/>
    <col min="470" max="470" width="29.375" bestFit="1" customWidth="1"/>
    <col min="471" max="471" width="30" bestFit="1" customWidth="1"/>
    <col min="472" max="472" width="17.625" bestFit="1" customWidth="1"/>
    <col min="473" max="473" width="18.125" bestFit="1" customWidth="1"/>
    <col min="474" max="474" width="24" bestFit="1" customWidth="1"/>
    <col min="475" max="475" width="20.125" bestFit="1" customWidth="1"/>
    <col min="476" max="476" width="17" bestFit="1" customWidth="1"/>
    <col min="477" max="477" width="16.875" bestFit="1" customWidth="1"/>
    <col min="478" max="478" width="16.375" bestFit="1" customWidth="1"/>
    <col min="479" max="479" width="20.75" bestFit="1" customWidth="1"/>
    <col min="480" max="480" width="8.375" bestFit="1" customWidth="1"/>
    <col min="481" max="481" width="15.75" bestFit="1" customWidth="1"/>
    <col min="482" max="482" width="25" bestFit="1" customWidth="1"/>
    <col min="483" max="483" width="24.625" bestFit="1" customWidth="1"/>
    <col min="484" max="484" width="9.875" bestFit="1" customWidth="1"/>
    <col min="485" max="485" width="11.375" bestFit="1" customWidth="1"/>
    <col min="486" max="486" width="10" bestFit="1" customWidth="1"/>
    <col min="487" max="487" width="29.25" bestFit="1" customWidth="1"/>
    <col min="488" max="488" width="28.125" bestFit="1" customWidth="1"/>
    <col min="489" max="489" width="21.25" bestFit="1" customWidth="1"/>
    <col min="490" max="490" width="22.625" bestFit="1" customWidth="1"/>
    <col min="491" max="491" width="20.125" bestFit="1" customWidth="1"/>
    <col min="492" max="492" width="19" bestFit="1" customWidth="1"/>
    <col min="493" max="493" width="27" bestFit="1" customWidth="1"/>
    <col min="494" max="494" width="28.625" bestFit="1" customWidth="1"/>
    <col min="495" max="495" width="27.625" bestFit="1" customWidth="1"/>
    <col min="496" max="496" width="23.625" bestFit="1" customWidth="1"/>
    <col min="497" max="497" width="26.25" bestFit="1" customWidth="1"/>
    <col min="498" max="498" width="25.125" bestFit="1" customWidth="1"/>
    <col min="499" max="499" width="20.875" bestFit="1" customWidth="1"/>
    <col min="500" max="500" width="19.875" bestFit="1" customWidth="1"/>
    <col min="501" max="501" width="26.375" bestFit="1" customWidth="1"/>
    <col min="502" max="502" width="25.25" bestFit="1" customWidth="1"/>
    <col min="503" max="503" width="24.25" bestFit="1" customWidth="1"/>
    <col min="504" max="504" width="20.125" bestFit="1" customWidth="1"/>
    <col min="505" max="505" width="34.375" bestFit="1" customWidth="1"/>
    <col min="506" max="506" width="31.75" bestFit="1" customWidth="1"/>
    <col min="507" max="507" width="15.75" bestFit="1" customWidth="1"/>
    <col min="508" max="508" width="24.375" bestFit="1" customWidth="1"/>
    <col min="509" max="509" width="13.25" bestFit="1" customWidth="1"/>
    <col min="510" max="510" width="18.125" bestFit="1" customWidth="1"/>
    <col min="511" max="511" width="40.25" bestFit="1" customWidth="1"/>
    <col min="512" max="512" width="30.75" bestFit="1" customWidth="1"/>
    <col min="513" max="513" width="28.875" bestFit="1" customWidth="1"/>
    <col min="514" max="514" width="34" bestFit="1" customWidth="1"/>
    <col min="515" max="515" width="13.375" bestFit="1" customWidth="1"/>
    <col min="516" max="516" width="25.125" bestFit="1" customWidth="1"/>
    <col min="517" max="517" width="18" bestFit="1" customWidth="1"/>
    <col min="518" max="523" width="24.375" bestFit="1" customWidth="1"/>
    <col min="524" max="524" width="19.375" bestFit="1" customWidth="1"/>
    <col min="525" max="525" width="13" bestFit="1" customWidth="1"/>
    <col min="526" max="526" width="16.375" bestFit="1" customWidth="1"/>
    <col min="527" max="527" width="24" bestFit="1" customWidth="1"/>
    <col min="528" max="528" width="24.25" bestFit="1" customWidth="1"/>
    <col min="529" max="529" width="19.25" bestFit="1" customWidth="1"/>
    <col min="530" max="530" width="11.125" bestFit="1" customWidth="1"/>
    <col min="531" max="531" width="25.375" bestFit="1" customWidth="1"/>
    <col min="532" max="532" width="16.375" bestFit="1" customWidth="1"/>
    <col min="533" max="533" width="23.375" bestFit="1" customWidth="1"/>
    <col min="534" max="534" width="18.125" bestFit="1" customWidth="1"/>
    <col min="535" max="535" width="26.25" bestFit="1" customWidth="1"/>
    <col min="536" max="536" width="27.625" bestFit="1" customWidth="1"/>
    <col min="537" max="537" width="23" bestFit="1" customWidth="1"/>
    <col min="538" max="538" width="27" bestFit="1" customWidth="1"/>
    <col min="539" max="539" width="21.25" bestFit="1" customWidth="1"/>
    <col min="540" max="540" width="20" bestFit="1" customWidth="1"/>
    <col min="541" max="541" width="22.625" bestFit="1" customWidth="1"/>
    <col min="542" max="542" width="21.375" bestFit="1" customWidth="1"/>
    <col min="543" max="548" width="29.375" bestFit="1" customWidth="1"/>
    <col min="549" max="549" width="39" bestFit="1" customWidth="1"/>
    <col min="550" max="550" width="38" bestFit="1" customWidth="1"/>
    <col min="551" max="551" width="15.375" bestFit="1" customWidth="1"/>
    <col min="552" max="552" width="14.625" bestFit="1" customWidth="1"/>
    <col min="553" max="553" width="20.375" bestFit="1" customWidth="1"/>
    <col min="554" max="554" width="12" bestFit="1" customWidth="1"/>
    <col min="555" max="555" width="33.25" bestFit="1" customWidth="1"/>
    <col min="556" max="556" width="19.375" bestFit="1" customWidth="1"/>
    <col min="557" max="557" width="24" bestFit="1" customWidth="1"/>
    <col min="558" max="558" width="28.625" bestFit="1" customWidth="1"/>
    <col min="559" max="559" width="23.375" bestFit="1" customWidth="1"/>
    <col min="560" max="560" width="18.875" bestFit="1" customWidth="1"/>
    <col min="561" max="561" width="11.375" bestFit="1" customWidth="1"/>
    <col min="562" max="563" width="13.125" bestFit="1" customWidth="1"/>
    <col min="564" max="564" width="8" bestFit="1" customWidth="1"/>
    <col min="565" max="565" width="17.375" bestFit="1" customWidth="1"/>
    <col min="566" max="566" width="18.375" bestFit="1" customWidth="1"/>
    <col min="567" max="567" width="10.25" bestFit="1" customWidth="1"/>
    <col min="568" max="568" width="9.875" bestFit="1" customWidth="1"/>
    <col min="569" max="569" width="20.125" bestFit="1" customWidth="1"/>
    <col min="570" max="571" width="13" bestFit="1" customWidth="1"/>
    <col min="572" max="572" width="7.75" bestFit="1" customWidth="1"/>
    <col min="573" max="573" width="17.125" bestFit="1" customWidth="1"/>
    <col min="574" max="574" width="18.25" bestFit="1" customWidth="1"/>
    <col min="575" max="576" width="13.625" bestFit="1" customWidth="1"/>
    <col min="577" max="577" width="5.875" bestFit="1" customWidth="1"/>
    <col min="578" max="578" width="16.375" bestFit="1" customWidth="1"/>
    <col min="579" max="579" width="14" bestFit="1" customWidth="1"/>
    <col min="580" max="580" width="12.625" bestFit="1" customWidth="1"/>
    <col min="581" max="581" width="25.125" bestFit="1" customWidth="1"/>
    <col min="582" max="582" width="24.625" bestFit="1" customWidth="1"/>
    <col min="583" max="583" width="20.875" bestFit="1" customWidth="1"/>
    <col min="584" max="584" width="13" bestFit="1" customWidth="1"/>
    <col min="585" max="585" width="11.375" bestFit="1" customWidth="1"/>
    <col min="586" max="586" width="16.875" bestFit="1" customWidth="1"/>
    <col min="587" max="587" width="15.375" bestFit="1" customWidth="1"/>
    <col min="588" max="588" width="19.375" bestFit="1" customWidth="1"/>
    <col min="589" max="589" width="28.625" bestFit="1" customWidth="1"/>
    <col min="590" max="590" width="18.375" bestFit="1" customWidth="1"/>
    <col min="591" max="591" width="17" bestFit="1" customWidth="1"/>
    <col min="592" max="592" width="12.375" bestFit="1" customWidth="1"/>
    <col min="593" max="593" width="23.375" bestFit="1" customWidth="1"/>
    <col min="594" max="594" width="11.875" bestFit="1" customWidth="1"/>
    <col min="595" max="595" width="10.875" bestFit="1" customWidth="1"/>
    <col min="596" max="596" width="10.75" bestFit="1" customWidth="1"/>
    <col min="597" max="597" width="17" bestFit="1" customWidth="1"/>
    <col min="598" max="598" width="38" bestFit="1" customWidth="1"/>
    <col min="599" max="599" width="10" bestFit="1" customWidth="1"/>
    <col min="600" max="600" width="11.75" bestFit="1" customWidth="1"/>
    <col min="601" max="601" width="16.25" bestFit="1" customWidth="1"/>
    <col min="602" max="602" width="17.125" bestFit="1" customWidth="1"/>
    <col min="603" max="603" width="16.875" bestFit="1" customWidth="1"/>
    <col min="604" max="604" width="22.375" bestFit="1" customWidth="1"/>
    <col min="605" max="605" width="22.75" bestFit="1" customWidth="1"/>
    <col min="606" max="606" width="19.625" bestFit="1" customWidth="1"/>
    <col min="607" max="607" width="13.125" bestFit="1" customWidth="1"/>
    <col min="608" max="608" width="10.875" bestFit="1" customWidth="1"/>
    <col min="609" max="609" width="15.375" bestFit="1" customWidth="1"/>
    <col min="610" max="610" width="22.75" bestFit="1" customWidth="1"/>
    <col min="611" max="611" width="20.75" bestFit="1" customWidth="1"/>
    <col min="612" max="612" width="19.875" bestFit="1" customWidth="1"/>
    <col min="613" max="613" width="19.375" bestFit="1" customWidth="1"/>
    <col min="614" max="614" width="23.875" bestFit="1" customWidth="1"/>
    <col min="615" max="615" width="23.75" bestFit="1" customWidth="1"/>
    <col min="616" max="616" width="22" bestFit="1" customWidth="1"/>
    <col min="617" max="617" width="21.875" bestFit="1" customWidth="1"/>
    <col min="618" max="618" width="24.375" bestFit="1" customWidth="1"/>
    <col min="619" max="619" width="19.375" bestFit="1" customWidth="1"/>
    <col min="620" max="620" width="28.625" bestFit="1" customWidth="1"/>
    <col min="621" max="621" width="25.125" bestFit="1" customWidth="1"/>
    <col min="622" max="622" width="18.375" bestFit="1" customWidth="1"/>
    <col min="623" max="623" width="23.75" bestFit="1" customWidth="1"/>
    <col min="624" max="624" width="11.25" bestFit="1" customWidth="1"/>
    <col min="625" max="625" width="21.25" bestFit="1" customWidth="1"/>
    <col min="626" max="626" width="12.375" bestFit="1" customWidth="1"/>
    <col min="627" max="627" width="21.375" bestFit="1" customWidth="1"/>
    <col min="628" max="628" width="15.75" bestFit="1" customWidth="1"/>
    <col min="629" max="629" width="29.25" bestFit="1" customWidth="1"/>
    <col min="630" max="630" width="24.875" bestFit="1" customWidth="1"/>
    <col min="631" max="631" width="16.25" bestFit="1" customWidth="1"/>
    <col min="632" max="632" width="18.125" bestFit="1" customWidth="1"/>
    <col min="633" max="633" width="16.75" bestFit="1" customWidth="1"/>
    <col min="634" max="634" width="30.625" bestFit="1" customWidth="1"/>
    <col min="635" max="635" width="29.375" bestFit="1" customWidth="1"/>
    <col min="636" max="636" width="30" bestFit="1" customWidth="1"/>
    <col min="637" max="637" width="14" bestFit="1" customWidth="1"/>
    <col min="638" max="638" width="38.75" bestFit="1" customWidth="1"/>
    <col min="639" max="639" width="44.25" bestFit="1" customWidth="1"/>
    <col min="640" max="640" width="44.625" bestFit="1" customWidth="1"/>
    <col min="641" max="641" width="20.125" bestFit="1" customWidth="1"/>
    <col min="642" max="642" width="10.875" bestFit="1" customWidth="1"/>
    <col min="643" max="643" width="11.875" bestFit="1" customWidth="1"/>
    <col min="644" max="645" width="10.25" bestFit="1" customWidth="1"/>
    <col min="646" max="646" width="24.25" bestFit="1" customWidth="1"/>
    <col min="647" max="647" width="19.625" bestFit="1" customWidth="1"/>
    <col min="648" max="648" width="11.375" bestFit="1" customWidth="1"/>
    <col min="649" max="649" width="13.875" bestFit="1" customWidth="1"/>
    <col min="650" max="650" width="16.25" bestFit="1" customWidth="1"/>
    <col min="651" max="651" width="15.75" bestFit="1" customWidth="1"/>
    <col min="652" max="652" width="54.375" bestFit="1" customWidth="1"/>
    <col min="653" max="653" width="50.125" bestFit="1" customWidth="1"/>
    <col min="654" max="654" width="46.875" bestFit="1" customWidth="1"/>
    <col min="655" max="655" width="46.375" bestFit="1" customWidth="1"/>
    <col min="656" max="656" width="12.375" bestFit="1" customWidth="1"/>
    <col min="657" max="657" width="17.625" bestFit="1" customWidth="1"/>
    <col min="658" max="658" width="23" bestFit="1" customWidth="1"/>
    <col min="659" max="659" width="22.125" bestFit="1" customWidth="1"/>
    <col min="660" max="660" width="18.625" bestFit="1" customWidth="1"/>
    <col min="661" max="661" width="49.625" bestFit="1" customWidth="1"/>
    <col min="662" max="662" width="17.625" bestFit="1" customWidth="1"/>
    <col min="663" max="663" width="27.125" bestFit="1" customWidth="1"/>
    <col min="664" max="664" width="24" bestFit="1" customWidth="1"/>
    <col min="665" max="665" width="51.375" bestFit="1" customWidth="1"/>
    <col min="666" max="666" width="20.375" bestFit="1" customWidth="1"/>
    <col min="667" max="667" width="20.125" bestFit="1" customWidth="1"/>
    <col min="668" max="668" width="17.125" bestFit="1" customWidth="1"/>
    <col min="669" max="669" width="16.875" bestFit="1" customWidth="1"/>
    <col min="670" max="670" width="24" bestFit="1" customWidth="1"/>
    <col min="671" max="671" width="16.375" bestFit="1" customWidth="1"/>
    <col min="672" max="672" width="20.75" bestFit="1" customWidth="1"/>
    <col min="673" max="673" width="13" bestFit="1" customWidth="1"/>
    <col min="674" max="674" width="20.125" bestFit="1" customWidth="1"/>
    <col min="675" max="675" width="18.875" bestFit="1" customWidth="1"/>
    <col min="676" max="676" width="20" bestFit="1" customWidth="1"/>
    <col min="677" max="677" width="16.375" bestFit="1" customWidth="1"/>
    <col min="678" max="678" width="21.25" bestFit="1" customWidth="1"/>
    <col min="679" max="679" width="23.125" bestFit="1" customWidth="1"/>
    <col min="680" max="680" width="20.125" bestFit="1" customWidth="1"/>
    <col min="681" max="681" width="23.75" bestFit="1" customWidth="1"/>
    <col min="682" max="682" width="17.75" bestFit="1" customWidth="1"/>
    <col min="683" max="683" width="23.625" bestFit="1" customWidth="1"/>
    <col min="684" max="684" width="25.375" bestFit="1" customWidth="1"/>
    <col min="685" max="685" width="10" bestFit="1" customWidth="1"/>
    <col min="686" max="686" width="11.875" bestFit="1" customWidth="1"/>
    <col min="687" max="687" width="27.625" bestFit="1" customWidth="1"/>
    <col min="688" max="688" width="16.375" bestFit="1" customWidth="1"/>
    <col min="689" max="689" width="24.25" bestFit="1" customWidth="1"/>
    <col min="690" max="690" width="24" bestFit="1" customWidth="1"/>
    <col min="691" max="691" width="15.75" bestFit="1" customWidth="1"/>
    <col min="692" max="692" width="23.375" bestFit="1" customWidth="1"/>
    <col min="693" max="693" width="11.125" bestFit="1" customWidth="1"/>
    <col min="694" max="694" width="18.875" bestFit="1" customWidth="1"/>
    <col min="695" max="695" width="19" bestFit="1" customWidth="1"/>
    <col min="696" max="696" width="13.25" bestFit="1" customWidth="1"/>
    <col min="697" max="697" width="22.625" bestFit="1" customWidth="1"/>
    <col min="698" max="698" width="25.125" bestFit="1" customWidth="1"/>
    <col min="699" max="699" width="18" bestFit="1" customWidth="1"/>
    <col min="700" max="700" width="24.375" bestFit="1" customWidth="1"/>
    <col min="701" max="701" width="29.875" bestFit="1" customWidth="1"/>
    <col min="702" max="702" width="20.25" bestFit="1" customWidth="1"/>
    <col min="703" max="703" width="18.875" bestFit="1" customWidth="1"/>
    <col min="704" max="704" width="13.375" bestFit="1" customWidth="1"/>
    <col min="705" max="705" width="12" bestFit="1" customWidth="1"/>
    <col min="706" max="706" width="18.125" bestFit="1" customWidth="1"/>
    <col min="707" max="707" width="17.375" bestFit="1" customWidth="1"/>
    <col min="708" max="708" width="9.875" bestFit="1" customWidth="1"/>
    <col min="709" max="709" width="28.625" bestFit="1" customWidth="1"/>
    <col min="710" max="710" width="19.375" bestFit="1" customWidth="1"/>
    <col min="711" max="711" width="11.375" bestFit="1" customWidth="1"/>
    <col min="712" max="712" width="18.125" bestFit="1" customWidth="1"/>
    <col min="713" max="713" width="17" bestFit="1" customWidth="1"/>
    <col min="714" max="714" width="18.375" bestFit="1" customWidth="1"/>
    <col min="715" max="715" width="13.75" bestFit="1" customWidth="1"/>
    <col min="716" max="716" width="17.75" bestFit="1" customWidth="1"/>
    <col min="717" max="717" width="31.125" bestFit="1" customWidth="1"/>
    <col min="718" max="718" width="12.625" bestFit="1" customWidth="1"/>
    <col min="719" max="719" width="25.125" bestFit="1" customWidth="1"/>
    <col min="720" max="720" width="24.625" bestFit="1" customWidth="1"/>
    <col min="721" max="721" width="20.875" bestFit="1" customWidth="1"/>
    <col min="722" max="722" width="13" bestFit="1" customWidth="1"/>
    <col min="723" max="723" width="14.875" bestFit="1" customWidth="1"/>
    <col min="724" max="724" width="11.375" bestFit="1" customWidth="1"/>
    <col min="725" max="725" width="17.375" bestFit="1" customWidth="1"/>
    <col min="726" max="726" width="11.375" bestFit="1" customWidth="1"/>
    <col min="727" max="727" width="21.375" bestFit="1" customWidth="1"/>
    <col min="730" max="730" width="4.375" bestFit="1" customWidth="1"/>
    <col min="731" max="731" width="5.25" bestFit="1" customWidth="1"/>
    <col min="732" max="732" width="3.75" bestFit="1" customWidth="1"/>
    <col min="733" max="733" width="11.375" bestFit="1" customWidth="1"/>
    <col min="734" max="734" width="14.875" bestFit="1" customWidth="1"/>
    <col min="735" max="735" width="29.625" bestFit="1" customWidth="1"/>
    <col min="736" max="736" width="12.625" bestFit="1" customWidth="1"/>
    <col min="737" max="737" width="14.375" bestFit="1" customWidth="1"/>
    <col min="738" max="738" width="26.375" bestFit="1" customWidth="1"/>
    <col min="739" max="739" width="13.625" bestFit="1" customWidth="1"/>
    <col min="740" max="740" width="5.875" bestFit="1" customWidth="1"/>
    <col min="741" max="742" width="16.875" bestFit="1" customWidth="1"/>
    <col min="743" max="743" width="11.375" bestFit="1" customWidth="1"/>
    <col min="744" max="744" width="12.375" bestFit="1" customWidth="1"/>
    <col min="745" max="745" width="10.875" bestFit="1" customWidth="1"/>
    <col min="746" max="746" width="21.875" bestFit="1" customWidth="1"/>
    <col min="747" max="747" width="11.375" bestFit="1" customWidth="1"/>
    <col min="748" max="748" width="17" bestFit="1" customWidth="1"/>
    <col min="749" max="749" width="11.875" bestFit="1" customWidth="1"/>
    <col min="750" max="750" width="23.375" bestFit="1" customWidth="1"/>
    <col min="751" max="751" width="15.75" bestFit="1" customWidth="1"/>
    <col min="752" max="752" width="12.375" bestFit="1" customWidth="1"/>
    <col min="753" max="753" width="6.375" bestFit="1" customWidth="1"/>
  </cols>
  <sheetData>
    <row r="1" spans="1:754" ht="14.3">
      <c r="A1" t="s">
        <v>1104</v>
      </c>
    </row>
    <row r="2" spans="1:754" ht="14.3">
      <c r="A2" t="s">
        <v>1105</v>
      </c>
      <c r="B2" t="s">
        <v>1106</v>
      </c>
      <c r="C2" t="s">
        <v>1107</v>
      </c>
      <c r="D2" t="s">
        <v>1055</v>
      </c>
      <c r="V2" t="s">
        <v>1063</v>
      </c>
      <c r="AD2" t="s">
        <v>1040</v>
      </c>
      <c r="AP2" t="s">
        <v>1002</v>
      </c>
      <c r="BO2" t="s">
        <v>1074</v>
      </c>
      <c r="BX2" t="s">
        <v>1108</v>
      </c>
      <c r="BY2" t="s">
        <v>1089</v>
      </c>
      <c r="CN2" t="s">
        <v>1109</v>
      </c>
      <c r="CO2" t="s">
        <v>898</v>
      </c>
      <c r="CR2" t="s">
        <v>1110</v>
      </c>
      <c r="CT2" t="s">
        <v>1111</v>
      </c>
      <c r="CU2" t="s">
        <v>1107</v>
      </c>
      <c r="CV2" t="s">
        <v>898</v>
      </c>
      <c r="DA2" t="s">
        <v>1112</v>
      </c>
      <c r="DM2" t="s">
        <v>1108</v>
      </c>
      <c r="DN2" t="s">
        <v>1089</v>
      </c>
      <c r="FM2" t="s">
        <v>1109</v>
      </c>
      <c r="FN2" t="s">
        <v>990</v>
      </c>
      <c r="FT2" t="s">
        <v>997</v>
      </c>
      <c r="FX2" t="s">
        <v>1002</v>
      </c>
      <c r="HN2" t="s">
        <v>1028</v>
      </c>
      <c r="IF2" t="s">
        <v>1030</v>
      </c>
      <c r="IN2" t="s">
        <v>1040</v>
      </c>
      <c r="IZ2" t="s">
        <v>1043</v>
      </c>
      <c r="JI2" t="s">
        <v>956</v>
      </c>
      <c r="JM2" t="s">
        <v>1113</v>
      </c>
      <c r="JN2" t="s">
        <v>1114</v>
      </c>
      <c r="JP2" t="s">
        <v>1110</v>
      </c>
      <c r="JT2" t="s">
        <v>1115</v>
      </c>
      <c r="JU2" t="s">
        <v>1107</v>
      </c>
      <c r="JV2" t="s">
        <v>898</v>
      </c>
      <c r="JZ2" t="s">
        <v>1028</v>
      </c>
      <c r="KR2" t="s">
        <v>1030</v>
      </c>
      <c r="KZ2" t="s">
        <v>1040</v>
      </c>
      <c r="LL2" t="s">
        <v>1002</v>
      </c>
      <c r="MV2" t="s">
        <v>1108</v>
      </c>
      <c r="MW2" t="s">
        <v>1089</v>
      </c>
      <c r="OK2" t="s">
        <v>1109</v>
      </c>
      <c r="OL2" t="s">
        <v>956</v>
      </c>
      <c r="OP2" t="s">
        <v>1112</v>
      </c>
      <c r="OZ2" t="s">
        <v>1116</v>
      </c>
      <c r="PF2" t="s">
        <v>1110</v>
      </c>
      <c r="PG2" t="s">
        <v>1111</v>
      </c>
      <c r="PH2" t="s">
        <v>1107</v>
      </c>
      <c r="PI2" t="s">
        <v>898</v>
      </c>
      <c r="PS2" t="s">
        <v>1117</v>
      </c>
      <c r="PY2" t="s">
        <v>1118</v>
      </c>
      <c r="QJ2" t="s">
        <v>1119</v>
      </c>
      <c r="QW2" t="s">
        <v>1002</v>
      </c>
      <c r="RK2" t="s">
        <v>1108</v>
      </c>
      <c r="RL2" t="s">
        <v>1089</v>
      </c>
      <c r="TO2" t="s">
        <v>1109</v>
      </c>
      <c r="TP2" t="s">
        <v>956</v>
      </c>
      <c r="UE2" t="s">
        <v>1120</v>
      </c>
      <c r="UJ2" t="s">
        <v>1121</v>
      </c>
      <c r="UN2" t="s">
        <v>174</v>
      </c>
      <c r="VH2" t="s">
        <v>467</v>
      </c>
      <c r="VO2" t="s">
        <v>1122</v>
      </c>
      <c r="VT2" t="s">
        <v>1110</v>
      </c>
      <c r="VY2" t="s">
        <v>1111</v>
      </c>
      <c r="VZ2" t="s">
        <v>1107</v>
      </c>
      <c r="WA2" t="s">
        <v>898</v>
      </c>
      <c r="WH2" t="s">
        <v>1122</v>
      </c>
      <c r="XD2" t="s">
        <v>1123</v>
      </c>
      <c r="XG2" t="s">
        <v>1124</v>
      </c>
      <c r="XI2" t="s">
        <v>1002</v>
      </c>
      <c r="YV2" t="s">
        <v>1108</v>
      </c>
      <c r="YW2" t="s">
        <v>1089</v>
      </c>
      <c r="AAK2" t="s">
        <v>1109</v>
      </c>
      <c r="AAL2" t="s">
        <v>956</v>
      </c>
      <c r="AAP2" t="s">
        <v>1030</v>
      </c>
      <c r="AAX2" t="s">
        <v>1043</v>
      </c>
      <c r="ABH2" t="s">
        <v>1125</v>
      </c>
      <c r="ABU2" t="s">
        <v>1110</v>
      </c>
      <c r="ABZ2" t="s">
        <v>1115</v>
      </c>
    </row>
    <row r="3" spans="1:754" s="950" customFormat="1" ht="14.3">
      <c r="A3" s="950" t="s">
        <v>1105</v>
      </c>
      <c r="B3" s="950" t="s">
        <v>1106</v>
      </c>
      <c r="C3" s="950" t="s">
        <v>1107</v>
      </c>
      <c r="D3" s="950" t="s">
        <v>1126</v>
      </c>
      <c r="E3" s="950" t="s">
        <v>1127</v>
      </c>
      <c r="F3" s="950" t="s">
        <v>659</v>
      </c>
      <c r="G3" s="950" t="s">
        <v>1128</v>
      </c>
      <c r="H3" s="950" t="s">
        <v>1129</v>
      </c>
      <c r="I3" s="950" t="s">
        <v>1130</v>
      </c>
      <c r="J3" s="950" t="s">
        <v>1131</v>
      </c>
      <c r="K3" s="950" t="s">
        <v>1132</v>
      </c>
      <c r="L3" s="950" t="s">
        <v>1133</v>
      </c>
      <c r="M3" s="950" t="s">
        <v>1134</v>
      </c>
      <c r="N3" s="950" t="s">
        <v>1135</v>
      </c>
      <c r="O3" s="950" t="s">
        <v>1136</v>
      </c>
      <c r="P3" s="950" t="s">
        <v>1137</v>
      </c>
      <c r="Q3" s="950" t="s">
        <v>1138</v>
      </c>
      <c r="R3" s="950" t="s">
        <v>1139</v>
      </c>
      <c r="S3" s="950" t="s">
        <v>121</v>
      </c>
      <c r="T3" s="950" t="s">
        <v>1140</v>
      </c>
      <c r="U3" s="950" t="s">
        <v>1141</v>
      </c>
      <c r="V3" s="950" t="s">
        <v>659</v>
      </c>
      <c r="W3" s="950" t="s">
        <v>1142</v>
      </c>
      <c r="X3" s="950" t="s">
        <v>1143</v>
      </c>
      <c r="Y3" s="950" t="s">
        <v>1144</v>
      </c>
      <c r="Z3" s="950" t="s">
        <v>1145</v>
      </c>
      <c r="AA3" s="950" t="s">
        <v>1146</v>
      </c>
      <c r="AB3" s="950" t="s">
        <v>1147</v>
      </c>
      <c r="AC3" s="950" t="s">
        <v>1148</v>
      </c>
      <c r="AD3" s="950" t="s">
        <v>1142</v>
      </c>
      <c r="AE3" s="950" t="s">
        <v>180</v>
      </c>
      <c r="AF3" s="950" t="s">
        <v>1149</v>
      </c>
      <c r="AG3" s="950" t="s">
        <v>1139</v>
      </c>
      <c r="AH3" s="950" t="s">
        <v>121</v>
      </c>
      <c r="AI3" s="950" t="s">
        <v>1150</v>
      </c>
      <c r="AJ3" s="950" t="s">
        <v>1130</v>
      </c>
      <c r="AK3" s="950" t="s">
        <v>1131</v>
      </c>
      <c r="AL3" s="950" t="s">
        <v>1132</v>
      </c>
      <c r="AM3" s="950" t="s">
        <v>1133</v>
      </c>
      <c r="AN3" s="950" t="s">
        <v>1151</v>
      </c>
      <c r="AO3" s="950" t="s">
        <v>1148</v>
      </c>
      <c r="AP3" s="950" t="s">
        <v>1152</v>
      </c>
      <c r="AQ3" s="950" t="s">
        <v>1153</v>
      </c>
      <c r="AR3" s="950" t="s">
        <v>659</v>
      </c>
      <c r="AS3" s="950" t="s">
        <v>1154</v>
      </c>
      <c r="AT3" s="950" t="s">
        <v>1155</v>
      </c>
      <c r="AU3" s="950" t="s">
        <v>1156</v>
      </c>
      <c r="AV3" s="950" t="s">
        <v>1157</v>
      </c>
      <c r="AW3" s="950" t="s">
        <v>1158</v>
      </c>
      <c r="AX3" s="950" t="s">
        <v>1159</v>
      </c>
      <c r="AY3" s="950" t="s">
        <v>1160</v>
      </c>
      <c r="AZ3" s="950" t="s">
        <v>657</v>
      </c>
      <c r="BA3" s="950" t="s">
        <v>1161</v>
      </c>
      <c r="BB3" s="950" t="s">
        <v>664</v>
      </c>
      <c r="BC3" s="950" t="s">
        <v>1162</v>
      </c>
      <c r="BD3" s="950" t="s">
        <v>667</v>
      </c>
      <c r="BE3" s="950" t="s">
        <v>1163</v>
      </c>
      <c r="BF3" s="950" t="s">
        <v>1164</v>
      </c>
      <c r="BG3" s="950" t="s">
        <v>1165</v>
      </c>
      <c r="BH3" s="950" t="s">
        <v>1166</v>
      </c>
      <c r="BI3" s="950" t="s">
        <v>1167</v>
      </c>
      <c r="BJ3" s="950" t="s">
        <v>1168</v>
      </c>
      <c r="BK3" s="950" t="s">
        <v>107</v>
      </c>
      <c r="BL3" s="950" t="s">
        <v>1169</v>
      </c>
      <c r="BM3" s="950" t="s">
        <v>1170</v>
      </c>
      <c r="BN3" s="950" t="s">
        <v>1171</v>
      </c>
      <c r="BO3" s="950" t="s">
        <v>180</v>
      </c>
      <c r="BP3" s="950" t="s">
        <v>1172</v>
      </c>
      <c r="BQ3" s="950" t="s">
        <v>1173</v>
      </c>
      <c r="BR3" s="950" t="s">
        <v>1174</v>
      </c>
      <c r="BS3" s="950" t="s">
        <v>1175</v>
      </c>
      <c r="BT3" s="950" t="s">
        <v>131</v>
      </c>
      <c r="BU3" s="950" t="s">
        <v>134</v>
      </c>
      <c r="BV3" s="950" t="s">
        <v>137</v>
      </c>
      <c r="BW3" s="950" t="s">
        <v>1176</v>
      </c>
      <c r="BX3" s="950" t="s">
        <v>1177</v>
      </c>
      <c r="BY3" s="950" t="s">
        <v>1178</v>
      </c>
      <c r="BZ3" s="950" t="s">
        <v>1179</v>
      </c>
      <c r="CA3" s="950" t="s">
        <v>1180</v>
      </c>
      <c r="CB3" s="950" t="s">
        <v>1181</v>
      </c>
      <c r="CC3" s="950" t="s">
        <v>1182</v>
      </c>
      <c r="CD3" s="950" t="s">
        <v>1075</v>
      </c>
      <c r="CE3" s="950" t="s">
        <v>1183</v>
      </c>
      <c r="CF3" s="950" t="s">
        <v>1184</v>
      </c>
      <c r="CG3" s="950" t="s">
        <v>1185</v>
      </c>
      <c r="CH3" s="950" t="s">
        <v>1186</v>
      </c>
      <c r="CI3" s="950" t="s">
        <v>1187</v>
      </c>
      <c r="CJ3" s="950" t="s">
        <v>1188</v>
      </c>
      <c r="CK3" s="950" t="s">
        <v>1189</v>
      </c>
      <c r="CL3" s="950" t="s">
        <v>1190</v>
      </c>
      <c r="CM3" s="950" t="s">
        <v>1191</v>
      </c>
      <c r="CN3" s="950" t="s">
        <v>1177</v>
      </c>
      <c r="CO3" s="950" t="s">
        <v>1192</v>
      </c>
      <c r="CP3" s="950" t="s">
        <v>1193</v>
      </c>
      <c r="CQ3" s="950" t="s">
        <v>1194</v>
      </c>
      <c r="CR3" s="950" t="s">
        <v>1110</v>
      </c>
      <c r="CS3" s="950" t="s">
        <v>1195</v>
      </c>
      <c r="CT3" s="950" t="s">
        <v>1111</v>
      </c>
      <c r="CU3" s="950" t="s">
        <v>1107</v>
      </c>
      <c r="CV3" s="950" t="s">
        <v>1196</v>
      </c>
      <c r="CW3" s="950" t="s">
        <v>1197</v>
      </c>
      <c r="CX3" s="950" t="s">
        <v>1198</v>
      </c>
      <c r="CY3" s="950" t="s">
        <v>1199</v>
      </c>
      <c r="CZ3" s="950" t="s">
        <v>1192</v>
      </c>
      <c r="DA3" s="950" t="s">
        <v>1200</v>
      </c>
      <c r="DB3" s="950" t="s">
        <v>1201</v>
      </c>
      <c r="DC3" s="950" t="s">
        <v>1202</v>
      </c>
      <c r="DD3" s="950" t="s">
        <v>1203</v>
      </c>
      <c r="DE3" s="950" t="s">
        <v>1204</v>
      </c>
      <c r="DF3" s="950" t="s">
        <v>1205</v>
      </c>
      <c r="DG3" s="950" t="s">
        <v>1206</v>
      </c>
      <c r="DH3" s="950" t="s">
        <v>1207</v>
      </c>
      <c r="DI3" s="950" t="s">
        <v>1208</v>
      </c>
      <c r="DJ3" s="950" t="s">
        <v>1209</v>
      </c>
      <c r="DK3" s="950" t="s">
        <v>1210</v>
      </c>
      <c r="DL3" s="950" t="s">
        <v>1211</v>
      </c>
      <c r="DM3" s="950" t="s">
        <v>1177</v>
      </c>
      <c r="DN3" s="950" t="s">
        <v>1178</v>
      </c>
      <c r="DO3" s="950" t="s">
        <v>1179</v>
      </c>
      <c r="DP3" s="950" t="s">
        <v>1180</v>
      </c>
      <c r="DQ3" s="950" t="s">
        <v>1212</v>
      </c>
      <c r="DR3" s="950" t="s">
        <v>1181</v>
      </c>
      <c r="DS3" s="950" t="s">
        <v>1213</v>
      </c>
      <c r="DT3" s="950" t="s">
        <v>1182</v>
      </c>
      <c r="DU3" s="950" t="s">
        <v>1075</v>
      </c>
      <c r="DV3" s="950" t="s">
        <v>1183</v>
      </c>
      <c r="DW3" s="950" t="s">
        <v>1184</v>
      </c>
      <c r="DX3" s="950" t="s">
        <v>1185</v>
      </c>
      <c r="DY3" s="950" t="s">
        <v>1214</v>
      </c>
      <c r="DZ3" s="950" t="s">
        <v>1186</v>
      </c>
      <c r="EA3" s="950" t="s">
        <v>1215</v>
      </c>
      <c r="EB3" s="950" t="s">
        <v>1187</v>
      </c>
      <c r="EC3" s="950" t="s">
        <v>1216</v>
      </c>
      <c r="ED3" s="950" t="s">
        <v>1188</v>
      </c>
      <c r="EE3" s="950" t="s">
        <v>1217</v>
      </c>
      <c r="EF3" s="950" t="s">
        <v>1189</v>
      </c>
      <c r="EG3" s="950" t="s">
        <v>1190</v>
      </c>
      <c r="EH3" s="950" t="s">
        <v>1191</v>
      </c>
      <c r="EI3" s="950" t="s">
        <v>1218</v>
      </c>
      <c r="EJ3" s="950" t="s">
        <v>1219</v>
      </c>
      <c r="EK3" s="950" t="s">
        <v>1220</v>
      </c>
      <c r="EL3" s="950" t="s">
        <v>1221</v>
      </c>
      <c r="EM3" s="950" t="s">
        <v>1222</v>
      </c>
      <c r="EN3" s="950" t="s">
        <v>1223</v>
      </c>
      <c r="EO3" s="950" t="s">
        <v>1224</v>
      </c>
      <c r="EP3" s="950" t="s">
        <v>1225</v>
      </c>
      <c r="EQ3" s="950" t="s">
        <v>1226</v>
      </c>
      <c r="ER3" s="950" t="s">
        <v>1227</v>
      </c>
      <c r="ES3" s="950" t="s">
        <v>1228</v>
      </c>
      <c r="ET3" s="950" t="s">
        <v>1229</v>
      </c>
      <c r="EU3" s="950" t="s">
        <v>1230</v>
      </c>
      <c r="EV3" s="950" t="s">
        <v>1231</v>
      </c>
      <c r="EW3" s="950" t="s">
        <v>1232</v>
      </c>
      <c r="EX3" s="950" t="s">
        <v>1233</v>
      </c>
      <c r="EY3" s="950" t="s">
        <v>1234</v>
      </c>
      <c r="EZ3" s="950" t="s">
        <v>474</v>
      </c>
      <c r="FA3" s="950" t="s">
        <v>1235</v>
      </c>
      <c r="FB3" s="950" t="s">
        <v>1236</v>
      </c>
      <c r="FC3" s="950" t="s">
        <v>1237</v>
      </c>
      <c r="FD3" s="950" t="s">
        <v>1238</v>
      </c>
      <c r="FE3" s="950" t="s">
        <v>1239</v>
      </c>
      <c r="FF3" s="950" t="s">
        <v>1240</v>
      </c>
      <c r="FG3" s="950" t="s">
        <v>1241</v>
      </c>
      <c r="FH3" s="950" t="s">
        <v>1242</v>
      </c>
      <c r="FI3" s="950" t="s">
        <v>1243</v>
      </c>
      <c r="FJ3" s="950" t="s">
        <v>1244</v>
      </c>
      <c r="FK3" s="950" t="s">
        <v>1245</v>
      </c>
      <c r="FL3" s="950" t="s">
        <v>1246</v>
      </c>
      <c r="FM3" s="950" t="s">
        <v>1177</v>
      </c>
      <c r="FN3" s="950" t="s">
        <v>1247</v>
      </c>
      <c r="FO3" s="950" t="s">
        <v>1248</v>
      </c>
      <c r="FP3" s="950" t="s">
        <v>1249</v>
      </c>
      <c r="FQ3" s="950" t="s">
        <v>1250</v>
      </c>
      <c r="FR3" s="950" t="s">
        <v>1251</v>
      </c>
      <c r="FS3" s="950" t="s">
        <v>1252</v>
      </c>
      <c r="FT3" s="950" t="s">
        <v>1253</v>
      </c>
      <c r="FU3" s="950" t="s">
        <v>1254</v>
      </c>
      <c r="FV3" s="950" t="s">
        <v>1255</v>
      </c>
      <c r="FW3" s="950" t="s">
        <v>1256</v>
      </c>
      <c r="FX3" s="950" t="s">
        <v>1152</v>
      </c>
      <c r="FY3" s="950" t="s">
        <v>1153</v>
      </c>
      <c r="FZ3" s="950" t="s">
        <v>1257</v>
      </c>
      <c r="GA3" s="950" t="s">
        <v>1258</v>
      </c>
      <c r="GB3" s="950" t="s">
        <v>1259</v>
      </c>
      <c r="GC3" s="950" t="s">
        <v>1260</v>
      </c>
      <c r="GD3" s="950" t="s">
        <v>1261</v>
      </c>
      <c r="GE3" s="950" t="s">
        <v>1154</v>
      </c>
      <c r="GF3" s="950" t="s">
        <v>1155</v>
      </c>
      <c r="GG3" s="950" t="s">
        <v>1156</v>
      </c>
      <c r="GH3" s="950" t="s">
        <v>659</v>
      </c>
      <c r="GI3" s="950" t="s">
        <v>1157</v>
      </c>
      <c r="GJ3" s="950" t="s">
        <v>1158</v>
      </c>
      <c r="GK3" s="950" t="s">
        <v>1159</v>
      </c>
      <c r="GL3" s="950" t="s">
        <v>1262</v>
      </c>
      <c r="GM3" s="950" t="s">
        <v>664</v>
      </c>
      <c r="GN3" s="950" t="s">
        <v>1162</v>
      </c>
      <c r="GO3" s="950" t="s">
        <v>667</v>
      </c>
      <c r="GP3" s="1003" t="s">
        <v>1263</v>
      </c>
      <c r="GQ3" s="1003" t="s">
        <v>1264</v>
      </c>
      <c r="GR3" s="1003" t="s">
        <v>1265</v>
      </c>
      <c r="GS3" s="1003" t="s">
        <v>1266</v>
      </c>
      <c r="GT3" s="950" t="s">
        <v>1267</v>
      </c>
      <c r="GU3" s="950" t="s">
        <v>1268</v>
      </c>
      <c r="GV3" s="950" t="s">
        <v>1269</v>
      </c>
      <c r="GW3" s="950" t="s">
        <v>1270</v>
      </c>
      <c r="GX3" s="950" t="s">
        <v>657</v>
      </c>
      <c r="GY3" s="950" t="s">
        <v>1163</v>
      </c>
      <c r="GZ3" s="950" t="s">
        <v>1271</v>
      </c>
      <c r="HA3" s="950" t="s">
        <v>1168</v>
      </c>
      <c r="HB3" s="950" t="s">
        <v>1272</v>
      </c>
      <c r="HC3" s="950" t="s">
        <v>1273</v>
      </c>
      <c r="HD3" s="950" t="s">
        <v>1170</v>
      </c>
      <c r="HE3" s="950" t="s">
        <v>1171</v>
      </c>
      <c r="HF3" s="950" t="s">
        <v>1274</v>
      </c>
      <c r="HG3" s="950" t="s">
        <v>1275</v>
      </c>
      <c r="HH3" s="950" t="s">
        <v>1276</v>
      </c>
      <c r="HI3" s="950" t="s">
        <v>1277</v>
      </c>
      <c r="HJ3" s="950" t="s">
        <v>1166</v>
      </c>
      <c r="HK3" s="950" t="s">
        <v>107</v>
      </c>
      <c r="HL3" s="950" t="s">
        <v>1278</v>
      </c>
      <c r="HM3" s="950" t="s">
        <v>1167</v>
      </c>
      <c r="HN3" s="950" t="s">
        <v>1126</v>
      </c>
      <c r="HO3" s="950" t="s">
        <v>1141</v>
      </c>
      <c r="HP3" s="950" t="s">
        <v>659</v>
      </c>
      <c r="HQ3" s="950" t="s">
        <v>1128</v>
      </c>
      <c r="HR3" s="950" t="s">
        <v>1279</v>
      </c>
      <c r="HS3" s="950" t="s">
        <v>1129</v>
      </c>
      <c r="HT3" s="950" t="s">
        <v>1130</v>
      </c>
      <c r="HU3" s="950" t="s">
        <v>1131</v>
      </c>
      <c r="HV3" s="950" t="s">
        <v>1132</v>
      </c>
      <c r="HW3" s="950" t="s">
        <v>1133</v>
      </c>
      <c r="HX3" s="950" t="s">
        <v>1134</v>
      </c>
      <c r="HY3" s="950" t="s">
        <v>1135</v>
      </c>
      <c r="HZ3" s="950" t="s">
        <v>1136</v>
      </c>
      <c r="IA3" s="950" t="s">
        <v>1137</v>
      </c>
      <c r="IB3" s="950" t="s">
        <v>1138</v>
      </c>
      <c r="IC3" s="950" t="s">
        <v>1139</v>
      </c>
      <c r="ID3" s="950" t="s">
        <v>121</v>
      </c>
      <c r="IE3" s="950" t="s">
        <v>1140</v>
      </c>
      <c r="IF3" s="950" t="s">
        <v>659</v>
      </c>
      <c r="IG3" s="950" t="s">
        <v>1142</v>
      </c>
      <c r="IH3" s="950" t="s">
        <v>1143</v>
      </c>
      <c r="II3" s="950" t="s">
        <v>1144</v>
      </c>
      <c r="IJ3" s="950" t="s">
        <v>1145</v>
      </c>
      <c r="IK3" s="950" t="s">
        <v>1146</v>
      </c>
      <c r="IL3" s="950" t="s">
        <v>1147</v>
      </c>
      <c r="IM3" s="950" t="s">
        <v>1148</v>
      </c>
      <c r="IN3" s="950" t="s">
        <v>1142</v>
      </c>
      <c r="IO3" s="950" t="s">
        <v>180</v>
      </c>
      <c r="IP3" s="950" t="s">
        <v>1149</v>
      </c>
      <c r="IQ3" s="950" t="s">
        <v>1139</v>
      </c>
      <c r="IR3" s="950" t="s">
        <v>121</v>
      </c>
      <c r="IS3" s="950" t="s">
        <v>1150</v>
      </c>
      <c r="IT3" s="950" t="s">
        <v>1130</v>
      </c>
      <c r="IU3" s="950" t="s">
        <v>1131</v>
      </c>
      <c r="IV3" s="950" t="s">
        <v>1132</v>
      </c>
      <c r="IW3" s="950" t="s">
        <v>1133</v>
      </c>
      <c r="IX3" s="950" t="s">
        <v>1151</v>
      </c>
      <c r="IY3" s="950" t="s">
        <v>1148</v>
      </c>
      <c r="IZ3" s="950" t="s">
        <v>180</v>
      </c>
      <c r="JA3" s="950" t="s">
        <v>1172</v>
      </c>
      <c r="JB3" s="950" t="s">
        <v>1173</v>
      </c>
      <c r="JC3" s="950" t="s">
        <v>1280</v>
      </c>
      <c r="JD3" s="950" t="s">
        <v>1281</v>
      </c>
      <c r="JE3" s="950" t="s">
        <v>131</v>
      </c>
      <c r="JF3" s="950" t="s">
        <v>134</v>
      </c>
      <c r="JG3" s="950" t="s">
        <v>137</v>
      </c>
      <c r="JH3" s="950" t="s">
        <v>1282</v>
      </c>
      <c r="JI3" s="950" t="s">
        <v>1283</v>
      </c>
      <c r="JJ3" s="950" t="s">
        <v>1284</v>
      </c>
      <c r="JK3" s="950" t="s">
        <v>1285</v>
      </c>
      <c r="JL3" s="950" t="s">
        <v>1189</v>
      </c>
      <c r="JM3" s="950" t="s">
        <v>1286</v>
      </c>
      <c r="JN3" s="950" t="s">
        <v>1287</v>
      </c>
      <c r="JO3" s="950" t="s">
        <v>1288</v>
      </c>
      <c r="JP3" s="950" t="s">
        <v>1110</v>
      </c>
      <c r="JQ3" s="950" t="s">
        <v>1289</v>
      </c>
      <c r="JR3" s="950" t="s">
        <v>1290</v>
      </c>
      <c r="JS3" s="950" t="s">
        <v>1291</v>
      </c>
      <c r="JT3" s="950" t="s">
        <v>1111</v>
      </c>
      <c r="JU3" s="950" t="s">
        <v>1107</v>
      </c>
      <c r="JV3" s="950" t="s">
        <v>1196</v>
      </c>
      <c r="JW3" s="950" t="s">
        <v>1197</v>
      </c>
      <c r="JX3" s="950" t="s">
        <v>1198</v>
      </c>
      <c r="JY3" s="950" t="s">
        <v>1199</v>
      </c>
      <c r="JZ3" s="950" t="s">
        <v>1126</v>
      </c>
      <c r="KA3" s="950" t="s">
        <v>1141</v>
      </c>
      <c r="KB3" s="950" t="s">
        <v>659</v>
      </c>
      <c r="KC3" s="950" t="s">
        <v>1128</v>
      </c>
      <c r="KD3" s="950" t="s">
        <v>1279</v>
      </c>
      <c r="KE3" s="950" t="s">
        <v>1129</v>
      </c>
      <c r="KF3" s="950" t="s">
        <v>1130</v>
      </c>
      <c r="KG3" s="950" t="s">
        <v>1131</v>
      </c>
      <c r="KH3" s="950" t="s">
        <v>1132</v>
      </c>
      <c r="KI3" s="950" t="s">
        <v>1133</v>
      </c>
      <c r="KJ3" s="950" t="s">
        <v>1134</v>
      </c>
      <c r="KK3" s="950" t="s">
        <v>1135</v>
      </c>
      <c r="KL3" s="950" t="s">
        <v>1136</v>
      </c>
      <c r="KM3" s="950" t="s">
        <v>1137</v>
      </c>
      <c r="KN3" s="950" t="s">
        <v>1138</v>
      </c>
      <c r="KO3" s="950" t="s">
        <v>1139</v>
      </c>
      <c r="KP3" s="950" t="s">
        <v>121</v>
      </c>
      <c r="KQ3" s="950" t="s">
        <v>1140</v>
      </c>
      <c r="KR3" s="950" t="s">
        <v>659</v>
      </c>
      <c r="KS3" s="950" t="s">
        <v>1142</v>
      </c>
      <c r="KT3" s="950" t="s">
        <v>1143</v>
      </c>
      <c r="KU3" s="950" t="s">
        <v>1144</v>
      </c>
      <c r="KV3" s="950" t="s">
        <v>1145</v>
      </c>
      <c r="KW3" s="950" t="s">
        <v>1146</v>
      </c>
      <c r="KX3" s="950" t="s">
        <v>1147</v>
      </c>
      <c r="KY3" s="950" t="s">
        <v>1148</v>
      </c>
      <c r="KZ3" s="950" t="s">
        <v>1142</v>
      </c>
      <c r="LA3" s="950" t="s">
        <v>180</v>
      </c>
      <c r="LB3" s="950" t="s">
        <v>1149</v>
      </c>
      <c r="LC3" s="950" t="s">
        <v>1139</v>
      </c>
      <c r="LD3" s="950" t="s">
        <v>121</v>
      </c>
      <c r="LE3" s="950" t="s">
        <v>1150</v>
      </c>
      <c r="LF3" s="950" t="s">
        <v>1130</v>
      </c>
      <c r="LG3" s="950" t="s">
        <v>1131</v>
      </c>
      <c r="LH3" s="950" t="s">
        <v>1132</v>
      </c>
      <c r="LI3" s="950" t="s">
        <v>1133</v>
      </c>
      <c r="LJ3" s="950" t="s">
        <v>1151</v>
      </c>
      <c r="LK3" s="950" t="s">
        <v>1148</v>
      </c>
      <c r="LL3" s="950" t="s">
        <v>1152</v>
      </c>
      <c r="LM3" s="950" t="s">
        <v>1153</v>
      </c>
      <c r="LN3" s="950" t="s">
        <v>1154</v>
      </c>
      <c r="LO3" s="950" t="s">
        <v>1155</v>
      </c>
      <c r="LP3" s="950" t="s">
        <v>1156</v>
      </c>
      <c r="LQ3" s="950" t="s">
        <v>659</v>
      </c>
      <c r="LR3" s="950" t="s">
        <v>1157</v>
      </c>
      <c r="LS3" s="950" t="s">
        <v>1158</v>
      </c>
      <c r="LT3" s="950" t="s">
        <v>1159</v>
      </c>
      <c r="LU3" s="950" t="s">
        <v>1161</v>
      </c>
      <c r="LV3" s="950" t="s">
        <v>664</v>
      </c>
      <c r="LW3" s="950" t="s">
        <v>1162</v>
      </c>
      <c r="LX3" s="950" t="s">
        <v>667</v>
      </c>
      <c r="LY3" s="950" t="s">
        <v>1263</v>
      </c>
      <c r="LZ3" s="950" t="s">
        <v>1264</v>
      </c>
      <c r="MA3" s="950" t="s">
        <v>1265</v>
      </c>
      <c r="MB3" s="950" t="s">
        <v>1266</v>
      </c>
      <c r="MC3" s="950" t="s">
        <v>1278</v>
      </c>
      <c r="MD3" s="950" t="s">
        <v>1267</v>
      </c>
      <c r="ME3" s="950" t="s">
        <v>1268</v>
      </c>
      <c r="MF3" s="950" t="s">
        <v>657</v>
      </c>
      <c r="MG3" s="950" t="s">
        <v>1163</v>
      </c>
      <c r="MH3" s="950" t="s">
        <v>1257</v>
      </c>
      <c r="MI3" s="950" t="s">
        <v>1271</v>
      </c>
      <c r="MJ3" s="950" t="s">
        <v>1168</v>
      </c>
      <c r="MK3" s="950" t="s">
        <v>1277</v>
      </c>
      <c r="ML3" s="950" t="s">
        <v>1170</v>
      </c>
      <c r="MM3" s="950" t="s">
        <v>1270</v>
      </c>
      <c r="MN3" s="950" t="s">
        <v>1274</v>
      </c>
      <c r="MO3" s="950" t="s">
        <v>1269</v>
      </c>
      <c r="MP3" s="950" t="s">
        <v>1272</v>
      </c>
      <c r="MQ3" s="950" t="s">
        <v>1273</v>
      </c>
      <c r="MR3" s="950" t="s">
        <v>1171</v>
      </c>
      <c r="MS3" s="950" t="s">
        <v>1275</v>
      </c>
      <c r="MT3" s="950" t="s">
        <v>1167</v>
      </c>
      <c r="MU3" s="950" t="s">
        <v>1276</v>
      </c>
      <c r="MV3" s="950" t="s">
        <v>1177</v>
      </c>
      <c r="MW3" s="950" t="s">
        <v>1178</v>
      </c>
      <c r="MX3" s="950" t="s">
        <v>1189</v>
      </c>
      <c r="MY3" s="950" t="s">
        <v>1182</v>
      </c>
      <c r="MZ3" s="950" t="s">
        <v>1239</v>
      </c>
      <c r="NA3" s="950" t="s">
        <v>1075</v>
      </c>
      <c r="NB3" s="950" t="s">
        <v>1240</v>
      </c>
      <c r="NC3" s="950" t="s">
        <v>1183</v>
      </c>
      <c r="ND3" s="950" t="s">
        <v>1241</v>
      </c>
      <c r="NE3" s="950" t="s">
        <v>1185</v>
      </c>
      <c r="NF3" s="950" t="s">
        <v>1243</v>
      </c>
      <c r="NG3" s="950" t="s">
        <v>1214</v>
      </c>
      <c r="NH3" s="950" t="s">
        <v>1292</v>
      </c>
      <c r="NI3" s="950" t="s">
        <v>1186</v>
      </c>
      <c r="NJ3" s="950" t="s">
        <v>1245</v>
      </c>
      <c r="NK3" s="950" t="s">
        <v>1187</v>
      </c>
      <c r="NL3" s="950" t="s">
        <v>1246</v>
      </c>
      <c r="NM3" s="950" t="s">
        <v>1190</v>
      </c>
      <c r="NN3" s="950" t="s">
        <v>1229</v>
      </c>
      <c r="NO3" s="950" t="s">
        <v>1293</v>
      </c>
      <c r="NP3" s="950" t="s">
        <v>1180</v>
      </c>
      <c r="NQ3" s="950" t="s">
        <v>1188</v>
      </c>
      <c r="NR3" s="950" t="s">
        <v>1294</v>
      </c>
      <c r="NS3" s="950" t="s">
        <v>1191</v>
      </c>
      <c r="NT3" s="950" t="s">
        <v>1225</v>
      </c>
      <c r="NU3" s="950" t="s">
        <v>1218</v>
      </c>
      <c r="NV3" s="950" t="s">
        <v>1219</v>
      </c>
      <c r="NW3" s="950" t="s">
        <v>1220</v>
      </c>
      <c r="NX3" s="950" t="s">
        <v>1221</v>
      </c>
      <c r="NY3" s="950" t="s">
        <v>1295</v>
      </c>
      <c r="NZ3" s="950" t="s">
        <v>1230</v>
      </c>
      <c r="OA3" s="950" t="s">
        <v>1232</v>
      </c>
      <c r="OB3" s="950" t="s">
        <v>1233</v>
      </c>
      <c r="OC3" s="950" t="s">
        <v>1234</v>
      </c>
      <c r="OD3" s="950" t="s">
        <v>474</v>
      </c>
      <c r="OE3" s="950" t="s">
        <v>1236</v>
      </c>
      <c r="OF3" s="950" t="s">
        <v>1237</v>
      </c>
      <c r="OG3" s="950" t="s">
        <v>1238</v>
      </c>
      <c r="OH3" s="950" t="s">
        <v>1235</v>
      </c>
      <c r="OI3" s="950" t="s">
        <v>1179</v>
      </c>
      <c r="OJ3" s="950" t="s">
        <v>1184</v>
      </c>
      <c r="OK3" s="950" t="s">
        <v>1177</v>
      </c>
      <c r="OL3" s="950" t="s">
        <v>1283</v>
      </c>
      <c r="OM3" s="950" t="s">
        <v>1284</v>
      </c>
      <c r="ON3" s="950" t="s">
        <v>1285</v>
      </c>
      <c r="OO3" s="950" t="s">
        <v>1296</v>
      </c>
      <c r="OP3" s="950" t="s">
        <v>1297</v>
      </c>
      <c r="OQ3" s="950" t="s">
        <v>1298</v>
      </c>
      <c r="OR3" s="950" t="s">
        <v>1299</v>
      </c>
      <c r="OS3" s="950" t="s">
        <v>1300</v>
      </c>
      <c r="OT3" s="950" t="s">
        <v>1301</v>
      </c>
      <c r="OU3" s="950" t="s">
        <v>1302</v>
      </c>
      <c r="OV3" s="950" t="s">
        <v>1206</v>
      </c>
      <c r="OW3" s="950" t="s">
        <v>1207</v>
      </c>
      <c r="OX3" s="950" t="s">
        <v>1208</v>
      </c>
      <c r="OY3" s="950" t="s">
        <v>1303</v>
      </c>
      <c r="OZ3" s="950" t="s">
        <v>1247</v>
      </c>
      <c r="PA3" s="950" t="s">
        <v>1248</v>
      </c>
      <c r="PB3" s="950" t="s">
        <v>1249</v>
      </c>
      <c r="PC3" s="950" t="s">
        <v>1250</v>
      </c>
      <c r="PD3" s="950" t="s">
        <v>1251</v>
      </c>
      <c r="PE3" s="950" t="s">
        <v>1252</v>
      </c>
      <c r="PF3" s="950" t="s">
        <v>1110</v>
      </c>
      <c r="PG3" s="950" t="s">
        <v>1115</v>
      </c>
      <c r="PH3" s="950" t="s">
        <v>1107</v>
      </c>
      <c r="PI3" s="950" t="s">
        <v>1304</v>
      </c>
      <c r="PJ3" s="950" t="s">
        <v>1199</v>
      </c>
      <c r="PK3" s="950" t="s">
        <v>1196</v>
      </c>
      <c r="PL3" s="950" t="s">
        <v>1305</v>
      </c>
      <c r="PM3" s="950" t="s">
        <v>1197</v>
      </c>
      <c r="PN3" s="950" t="s">
        <v>1198</v>
      </c>
      <c r="PO3" s="950" t="s">
        <v>1306</v>
      </c>
      <c r="PP3" s="950" t="s">
        <v>1307</v>
      </c>
      <c r="PQ3" s="950" t="s">
        <v>1308</v>
      </c>
      <c r="PR3" s="950" t="s">
        <v>1309</v>
      </c>
      <c r="PS3" s="950" t="s">
        <v>1310</v>
      </c>
      <c r="PT3" s="950" t="s">
        <v>1311</v>
      </c>
      <c r="PU3" s="950" t="s">
        <v>1312</v>
      </c>
      <c r="PV3" s="950" t="s">
        <v>1313</v>
      </c>
      <c r="PW3" s="950" t="s">
        <v>1314</v>
      </c>
      <c r="PX3" s="950" t="s">
        <v>1315</v>
      </c>
      <c r="PY3" s="950" t="s">
        <v>1316</v>
      </c>
      <c r="PZ3" s="950" t="s">
        <v>1317</v>
      </c>
      <c r="QA3" s="950" t="s">
        <v>1318</v>
      </c>
      <c r="QB3" s="950" t="s">
        <v>1172</v>
      </c>
      <c r="QC3" s="950" t="s">
        <v>1280</v>
      </c>
      <c r="QD3" s="950" t="s">
        <v>1281</v>
      </c>
      <c r="QE3" s="950" t="s">
        <v>131</v>
      </c>
      <c r="QF3" s="950" t="s">
        <v>134</v>
      </c>
      <c r="QG3" s="950" t="s">
        <v>137</v>
      </c>
      <c r="QH3" s="950" t="s">
        <v>1319</v>
      </c>
      <c r="QI3" s="950" t="s">
        <v>1282</v>
      </c>
      <c r="QJ3" s="950" t="s">
        <v>1320</v>
      </c>
      <c r="QK3" s="950" t="s">
        <v>1142</v>
      </c>
      <c r="QL3" s="950" t="s">
        <v>180</v>
      </c>
      <c r="QM3" s="950" t="s">
        <v>1149</v>
      </c>
      <c r="QN3" s="950" t="s">
        <v>1139</v>
      </c>
      <c r="QO3" s="950" t="s">
        <v>121</v>
      </c>
      <c r="QP3" s="950" t="s">
        <v>1129</v>
      </c>
      <c r="QQ3" s="950" t="s">
        <v>1130</v>
      </c>
      <c r="QR3" s="950" t="s">
        <v>1131</v>
      </c>
      <c r="QS3" s="950" t="s">
        <v>1132</v>
      </c>
      <c r="QT3" s="950" t="s">
        <v>1133</v>
      </c>
      <c r="QU3" s="950" t="s">
        <v>1151</v>
      </c>
      <c r="QV3" s="950" t="s">
        <v>1148</v>
      </c>
      <c r="QW3" s="950" t="s">
        <v>1152</v>
      </c>
      <c r="QX3" s="950" t="s">
        <v>1153</v>
      </c>
      <c r="QY3" s="950" t="s">
        <v>1257</v>
      </c>
      <c r="QZ3" s="950" t="s">
        <v>657</v>
      </c>
      <c r="RA3" s="950" t="s">
        <v>1163</v>
      </c>
      <c r="RB3" s="950" t="s">
        <v>1154</v>
      </c>
      <c r="RC3" s="950" t="s">
        <v>1155</v>
      </c>
      <c r="RD3" s="950" t="s">
        <v>1156</v>
      </c>
      <c r="RE3" s="950" t="s">
        <v>1168</v>
      </c>
      <c r="RF3" s="950" t="s">
        <v>1321</v>
      </c>
      <c r="RG3" s="950" t="s">
        <v>1261</v>
      </c>
      <c r="RH3" s="950" t="s">
        <v>1274</v>
      </c>
      <c r="RI3" s="950" t="s">
        <v>1322</v>
      </c>
      <c r="RJ3" s="950" t="s">
        <v>1275</v>
      </c>
      <c r="RK3" s="950" t="s">
        <v>1177</v>
      </c>
      <c r="RL3" s="950" t="s">
        <v>1178</v>
      </c>
      <c r="RM3" s="950" t="s">
        <v>1323</v>
      </c>
      <c r="RN3" s="950" t="s">
        <v>1324</v>
      </c>
      <c r="RO3" s="950" t="s">
        <v>1325</v>
      </c>
      <c r="RP3" s="950" t="s">
        <v>1293</v>
      </c>
      <c r="RQ3" s="950" t="s">
        <v>1238</v>
      </c>
      <c r="RR3" s="950" t="s">
        <v>1180</v>
      </c>
      <c r="RS3" s="950" t="s">
        <v>1294</v>
      </c>
      <c r="RT3" s="950" t="s">
        <v>1326</v>
      </c>
      <c r="RU3" s="950" t="s">
        <v>1327</v>
      </c>
      <c r="RV3" s="950" t="s">
        <v>1183</v>
      </c>
      <c r="RW3" s="950" t="s">
        <v>1241</v>
      </c>
      <c r="RX3" s="950" t="s">
        <v>1186</v>
      </c>
      <c r="RY3" s="950" t="s">
        <v>1245</v>
      </c>
      <c r="RZ3" s="950" t="s">
        <v>1328</v>
      </c>
      <c r="SA3" s="950" t="s">
        <v>1229</v>
      </c>
      <c r="SB3" s="950" t="s">
        <v>1190</v>
      </c>
      <c r="SC3" s="950" t="s">
        <v>1214</v>
      </c>
      <c r="SD3" s="950" t="s">
        <v>1329</v>
      </c>
      <c r="SE3" s="950" t="s">
        <v>1330</v>
      </c>
      <c r="SF3" s="950" t="s">
        <v>1331</v>
      </c>
      <c r="SG3" s="950" t="s">
        <v>1332</v>
      </c>
      <c r="SH3" s="950" t="s">
        <v>1333</v>
      </c>
      <c r="SI3" s="950" t="s">
        <v>1334</v>
      </c>
      <c r="SJ3" s="950" t="s">
        <v>1335</v>
      </c>
      <c r="SK3" s="950" t="s">
        <v>1336</v>
      </c>
      <c r="SL3" s="950" t="s">
        <v>1337</v>
      </c>
      <c r="SM3" s="950" t="s">
        <v>1338</v>
      </c>
      <c r="SN3" s="950" t="s">
        <v>1220</v>
      </c>
      <c r="SO3" s="950" t="s">
        <v>1246</v>
      </c>
      <c r="SP3" s="950" t="s">
        <v>1240</v>
      </c>
      <c r="SQ3" s="950" t="s">
        <v>1237</v>
      </c>
      <c r="SR3" s="950" t="s">
        <v>1339</v>
      </c>
      <c r="SS3" s="950" t="s">
        <v>1340</v>
      </c>
      <c r="ST3" s="950" t="s">
        <v>1341</v>
      </c>
      <c r="SU3" s="950" t="s">
        <v>1342</v>
      </c>
      <c r="SV3" s="950" t="s">
        <v>1343</v>
      </c>
      <c r="SW3" s="950" t="s">
        <v>1243</v>
      </c>
      <c r="SX3" s="950" t="s">
        <v>1292</v>
      </c>
      <c r="SY3" s="950" t="s">
        <v>1344</v>
      </c>
      <c r="SZ3" s="950" t="s">
        <v>1345</v>
      </c>
      <c r="TA3" s="950" t="s">
        <v>1346</v>
      </c>
      <c r="TB3" s="950" t="s">
        <v>1347</v>
      </c>
      <c r="TC3" s="950" t="s">
        <v>1348</v>
      </c>
      <c r="TD3" s="950" t="s">
        <v>1349</v>
      </c>
      <c r="TE3" s="950" t="s">
        <v>1179</v>
      </c>
      <c r="TF3" s="950" t="s">
        <v>1188</v>
      </c>
      <c r="TG3" s="950" t="s">
        <v>1191</v>
      </c>
      <c r="TH3" s="950" t="s">
        <v>1219</v>
      </c>
      <c r="TI3" s="950" t="s">
        <v>1218</v>
      </c>
      <c r="TJ3" s="950" t="s">
        <v>1350</v>
      </c>
      <c r="TK3" s="950" t="s">
        <v>1295</v>
      </c>
      <c r="TL3" s="950" t="s">
        <v>1187</v>
      </c>
      <c r="TM3" s="950" t="s">
        <v>1075</v>
      </c>
      <c r="TN3" s="950" t="s">
        <v>1184</v>
      </c>
      <c r="TO3" s="950" t="s">
        <v>1177</v>
      </c>
      <c r="TP3" s="950" t="s">
        <v>1351</v>
      </c>
      <c r="TQ3" s="950" t="s">
        <v>1352</v>
      </c>
      <c r="TR3" s="950" t="s">
        <v>1353</v>
      </c>
      <c r="TS3" s="950" t="s">
        <v>1328</v>
      </c>
      <c r="TT3" s="950" t="s">
        <v>1354</v>
      </c>
      <c r="TU3" s="950" t="s">
        <v>1355</v>
      </c>
      <c r="TV3" s="950" t="s">
        <v>1356</v>
      </c>
      <c r="TW3" s="950" t="s">
        <v>1357</v>
      </c>
      <c r="TX3" s="950" t="s">
        <v>1358</v>
      </c>
      <c r="TY3" s="950" t="s">
        <v>1359</v>
      </c>
      <c r="TZ3" s="950" t="s">
        <v>1360</v>
      </c>
      <c r="UA3" s="950" t="s">
        <v>1361</v>
      </c>
      <c r="UB3" s="950" t="s">
        <v>1362</v>
      </c>
      <c r="UC3" s="950" t="s">
        <v>1363</v>
      </c>
      <c r="UD3" s="950" t="s">
        <v>1364</v>
      </c>
      <c r="UE3" s="950" t="s">
        <v>1365</v>
      </c>
      <c r="UF3" s="950" t="s">
        <v>1366</v>
      </c>
      <c r="UG3" s="950" t="s">
        <v>1367</v>
      </c>
      <c r="UH3" s="950" t="s">
        <v>1368</v>
      </c>
      <c r="UI3" s="950" t="s">
        <v>1369</v>
      </c>
      <c r="UJ3" s="950" t="s">
        <v>1370</v>
      </c>
      <c r="UK3" s="950" t="s">
        <v>1371</v>
      </c>
      <c r="UL3" s="950" t="s">
        <v>1372</v>
      </c>
      <c r="UM3" s="950" t="s">
        <v>1373</v>
      </c>
      <c r="UN3" s="950" t="s">
        <v>1128</v>
      </c>
      <c r="UO3" s="950" t="s">
        <v>1374</v>
      </c>
      <c r="UP3" s="950" t="s">
        <v>1375</v>
      </c>
      <c r="UQ3" s="950" t="s">
        <v>1376</v>
      </c>
      <c r="UR3" s="950" t="s">
        <v>1377</v>
      </c>
      <c r="US3" s="950" t="s">
        <v>1378</v>
      </c>
      <c r="UT3" s="950" t="s">
        <v>1379</v>
      </c>
      <c r="UU3" s="950" t="s">
        <v>1380</v>
      </c>
      <c r="UV3" s="950" t="s">
        <v>1381</v>
      </c>
      <c r="UW3" s="950" t="s">
        <v>1382</v>
      </c>
      <c r="UX3" s="950" t="s">
        <v>1383</v>
      </c>
      <c r="UY3" s="950" t="s">
        <v>1384</v>
      </c>
      <c r="UZ3" s="950" t="s">
        <v>1385</v>
      </c>
      <c r="VA3" s="950" t="s">
        <v>1386</v>
      </c>
      <c r="VB3" s="950" t="s">
        <v>1387</v>
      </c>
      <c r="VC3" s="950" t="s">
        <v>1388</v>
      </c>
      <c r="VD3" s="950" t="s">
        <v>1139</v>
      </c>
      <c r="VE3" s="950" t="s">
        <v>1389</v>
      </c>
      <c r="VF3" s="950" t="s">
        <v>121</v>
      </c>
      <c r="VG3" s="950" t="s">
        <v>1279</v>
      </c>
      <c r="VH3" s="950" t="s">
        <v>659</v>
      </c>
      <c r="VI3" s="950" t="s">
        <v>1142</v>
      </c>
      <c r="VJ3" s="950" t="s">
        <v>1143</v>
      </c>
      <c r="VK3" s="950" t="s">
        <v>1144</v>
      </c>
      <c r="VL3" s="950" t="s">
        <v>1145</v>
      </c>
      <c r="VM3" s="950" t="s">
        <v>1146</v>
      </c>
      <c r="VN3" s="950" t="s">
        <v>1148</v>
      </c>
      <c r="VO3" s="950" t="s">
        <v>1390</v>
      </c>
      <c r="VP3" s="950" t="s">
        <v>1391</v>
      </c>
      <c r="VQ3" s="950" t="s">
        <v>1392</v>
      </c>
      <c r="VR3" s="950" t="s">
        <v>1393</v>
      </c>
      <c r="VS3" s="950" t="s">
        <v>1394</v>
      </c>
      <c r="VT3" s="950" t="s">
        <v>1110</v>
      </c>
      <c r="VU3" s="950" t="s">
        <v>141</v>
      </c>
      <c r="VV3" s="950" t="s">
        <v>1221</v>
      </c>
      <c r="VW3" s="950" t="s">
        <v>1162</v>
      </c>
      <c r="VX3" s="950" t="s">
        <v>1395</v>
      </c>
      <c r="VY3" s="950" t="s">
        <v>1111</v>
      </c>
      <c r="VZ3" s="950" t="s">
        <v>1107</v>
      </c>
      <c r="WA3" s="950" t="s">
        <v>1396</v>
      </c>
      <c r="WB3" s="950" t="s">
        <v>1305</v>
      </c>
      <c r="WC3" s="950" t="s">
        <v>1197</v>
      </c>
      <c r="WD3" s="950" t="s">
        <v>1198</v>
      </c>
      <c r="WE3" s="950" t="s">
        <v>1397</v>
      </c>
      <c r="WF3" s="950" t="s">
        <v>1199</v>
      </c>
      <c r="WG3" s="950" t="s">
        <v>1309</v>
      </c>
      <c r="WH3" s="950" t="s">
        <v>1398</v>
      </c>
      <c r="WI3" s="950" t="s">
        <v>1399</v>
      </c>
      <c r="WJ3" s="950" t="s">
        <v>1390</v>
      </c>
      <c r="WK3" s="950" t="s">
        <v>1400</v>
      </c>
      <c r="WL3" s="950" t="s">
        <v>1391</v>
      </c>
      <c r="WM3" s="950" t="s">
        <v>1401</v>
      </c>
      <c r="WN3" s="950" t="s">
        <v>1402</v>
      </c>
      <c r="WO3" s="950" t="s">
        <v>1403</v>
      </c>
      <c r="WP3" s="950" t="s">
        <v>1392</v>
      </c>
      <c r="WQ3" s="950" t="s">
        <v>1404</v>
      </c>
      <c r="WR3" s="950" t="s">
        <v>1405</v>
      </c>
      <c r="WS3" s="950" t="s">
        <v>1406</v>
      </c>
      <c r="WT3" s="950" t="s">
        <v>1407</v>
      </c>
      <c r="WU3" s="950" t="s">
        <v>1408</v>
      </c>
      <c r="WV3" s="950" t="s">
        <v>1409</v>
      </c>
      <c r="WW3" s="950" t="s">
        <v>1393</v>
      </c>
      <c r="WX3" s="950" t="s">
        <v>1410</v>
      </c>
      <c r="WY3" s="950" t="s">
        <v>1394</v>
      </c>
      <c r="WZ3" s="950" t="s">
        <v>1411</v>
      </c>
      <c r="XA3" s="950" t="s">
        <v>1412</v>
      </c>
      <c r="XB3" s="950" t="s">
        <v>1413</v>
      </c>
      <c r="XC3" s="950" t="s">
        <v>1414</v>
      </c>
      <c r="XD3" s="950" t="s">
        <v>1415</v>
      </c>
      <c r="XE3" s="950" t="s">
        <v>1416</v>
      </c>
      <c r="XF3" s="950" t="s">
        <v>1417</v>
      </c>
      <c r="XG3" s="950" t="s">
        <v>1418</v>
      </c>
      <c r="XH3" s="950" t="s">
        <v>1315</v>
      </c>
      <c r="XI3" s="950" t="s">
        <v>1152</v>
      </c>
      <c r="XJ3" s="950" t="s">
        <v>1153</v>
      </c>
      <c r="XK3" s="950" t="s">
        <v>1154</v>
      </c>
      <c r="XL3" s="950" t="s">
        <v>1155</v>
      </c>
      <c r="XM3" s="950" t="s">
        <v>1156</v>
      </c>
      <c r="XN3" s="950" t="s">
        <v>659</v>
      </c>
      <c r="XO3" s="950" t="s">
        <v>1157</v>
      </c>
      <c r="XP3" s="950" t="s">
        <v>1158</v>
      </c>
      <c r="XQ3" s="950" t="s">
        <v>1159</v>
      </c>
      <c r="XR3" s="950" t="s">
        <v>1161</v>
      </c>
      <c r="XS3" s="950" t="s">
        <v>664</v>
      </c>
      <c r="XT3" s="950" t="s">
        <v>1162</v>
      </c>
      <c r="XU3" s="950" t="s">
        <v>667</v>
      </c>
      <c r="XV3" s="950" t="s">
        <v>1257</v>
      </c>
      <c r="XW3" s="950" t="s">
        <v>1263</v>
      </c>
      <c r="XX3" s="950" t="s">
        <v>1264</v>
      </c>
      <c r="XY3" s="950" t="s">
        <v>1258</v>
      </c>
      <c r="XZ3" s="950" t="s">
        <v>1259</v>
      </c>
      <c r="YA3" s="950" t="s">
        <v>1265</v>
      </c>
      <c r="YB3" s="950" t="s">
        <v>1266</v>
      </c>
      <c r="YC3" s="950" t="s">
        <v>1267</v>
      </c>
      <c r="YD3" s="950" t="s">
        <v>1268</v>
      </c>
      <c r="YE3" s="950" t="s">
        <v>1269</v>
      </c>
      <c r="YF3" s="950" t="s">
        <v>1270</v>
      </c>
      <c r="YG3" s="950" t="s">
        <v>657</v>
      </c>
      <c r="YH3" s="950" t="s">
        <v>1163</v>
      </c>
      <c r="YI3" s="950" t="s">
        <v>1271</v>
      </c>
      <c r="YJ3" s="950" t="s">
        <v>1278</v>
      </c>
      <c r="YK3" s="950" t="s">
        <v>1167</v>
      </c>
      <c r="YL3" s="950" t="s">
        <v>1276</v>
      </c>
      <c r="YM3" s="950" t="s">
        <v>1168</v>
      </c>
      <c r="YN3" s="950" t="s">
        <v>1272</v>
      </c>
      <c r="YO3" s="950" t="s">
        <v>1261</v>
      </c>
      <c r="YP3" s="950" t="s">
        <v>1277</v>
      </c>
      <c r="YQ3" s="950" t="s">
        <v>1170</v>
      </c>
      <c r="YR3" s="950" t="s">
        <v>1274</v>
      </c>
      <c r="YS3" s="950" t="s">
        <v>1171</v>
      </c>
      <c r="YT3" s="950" t="s">
        <v>1275</v>
      </c>
      <c r="YU3" s="950" t="s">
        <v>1273</v>
      </c>
      <c r="YV3" s="950" t="s">
        <v>1177</v>
      </c>
      <c r="YW3" s="950" t="s">
        <v>1178</v>
      </c>
      <c r="YX3" s="950" t="s">
        <v>1188</v>
      </c>
      <c r="YY3" s="950" t="s">
        <v>1181</v>
      </c>
      <c r="YZ3" s="950" t="s">
        <v>1239</v>
      </c>
      <c r="ZA3" s="950" t="s">
        <v>1182</v>
      </c>
      <c r="ZB3" s="950" t="s">
        <v>1075</v>
      </c>
      <c r="ZC3" s="950" t="s">
        <v>1183</v>
      </c>
      <c r="ZD3" s="950" t="s">
        <v>1419</v>
      </c>
      <c r="ZE3" s="950" t="s">
        <v>1186</v>
      </c>
      <c r="ZF3" s="950" t="s">
        <v>1185</v>
      </c>
      <c r="ZG3" s="950" t="s">
        <v>1189</v>
      </c>
      <c r="ZH3" s="950" t="s">
        <v>1214</v>
      </c>
      <c r="ZI3" s="950" t="s">
        <v>1187</v>
      </c>
      <c r="ZJ3" s="950" t="s">
        <v>1294</v>
      </c>
      <c r="ZK3" s="950" t="s">
        <v>1225</v>
      </c>
      <c r="ZL3" s="950" t="s">
        <v>1190</v>
      </c>
      <c r="ZM3" s="950" t="s">
        <v>1191</v>
      </c>
      <c r="ZN3" s="950" t="s">
        <v>1218</v>
      </c>
      <c r="ZO3" s="950" t="s">
        <v>1219</v>
      </c>
      <c r="ZP3" s="950" t="s">
        <v>1220</v>
      </c>
      <c r="ZQ3" s="950" t="s">
        <v>1221</v>
      </c>
      <c r="ZR3" s="950" t="s">
        <v>1295</v>
      </c>
      <c r="ZS3" s="950" t="s">
        <v>1235</v>
      </c>
      <c r="ZT3" s="950" t="s">
        <v>1245</v>
      </c>
      <c r="ZU3" s="950" t="s">
        <v>1240</v>
      </c>
      <c r="ZV3" s="950" t="s">
        <v>1241</v>
      </c>
      <c r="ZW3" s="950" t="s">
        <v>1243</v>
      </c>
      <c r="ZX3" s="950" t="s">
        <v>1292</v>
      </c>
      <c r="ZY3" s="950" t="s">
        <v>1246</v>
      </c>
      <c r="ZZ3" s="950" t="s">
        <v>1230</v>
      </c>
      <c r="AAA3" s="950" t="s">
        <v>1232</v>
      </c>
      <c r="AAB3" s="950" t="s">
        <v>1233</v>
      </c>
      <c r="AAC3" s="950" t="s">
        <v>1234</v>
      </c>
      <c r="AAD3" s="950" t="s">
        <v>474</v>
      </c>
      <c r="AAE3" s="950" t="s">
        <v>1237</v>
      </c>
      <c r="AAF3" s="950" t="s">
        <v>1236</v>
      </c>
      <c r="AAG3" s="950" t="s">
        <v>1238</v>
      </c>
      <c r="AAH3" s="950" t="s">
        <v>1229</v>
      </c>
      <c r="AAI3" s="950" t="s">
        <v>1179</v>
      </c>
      <c r="AAJ3" s="950" t="s">
        <v>1180</v>
      </c>
      <c r="AAK3" s="950" t="s">
        <v>1177</v>
      </c>
      <c r="AAL3" s="950" t="s">
        <v>1283</v>
      </c>
      <c r="AAM3" s="950" t="s">
        <v>1284</v>
      </c>
      <c r="AAN3" s="950" t="s">
        <v>1285</v>
      </c>
      <c r="AAO3" s="950" t="s">
        <v>1189</v>
      </c>
      <c r="AAP3" s="950" t="s">
        <v>659</v>
      </c>
      <c r="AAQ3" s="950" t="s">
        <v>1142</v>
      </c>
      <c r="AAR3" s="950" t="s">
        <v>1143</v>
      </c>
      <c r="AAS3" s="950" t="s">
        <v>1144</v>
      </c>
      <c r="AAT3" s="950" t="s">
        <v>1145</v>
      </c>
      <c r="AAU3" s="950" t="s">
        <v>1146</v>
      </c>
      <c r="AAV3" s="950" t="s">
        <v>1147</v>
      </c>
      <c r="AAW3" s="950" t="s">
        <v>1148</v>
      </c>
      <c r="AAX3" s="950" t="s">
        <v>1316</v>
      </c>
      <c r="AAY3" s="950" t="s">
        <v>1420</v>
      </c>
      <c r="AAZ3" s="950" t="s">
        <v>1318</v>
      </c>
      <c r="ABA3" s="950" t="s">
        <v>1280</v>
      </c>
      <c r="ABB3" s="950" t="s">
        <v>1281</v>
      </c>
      <c r="ABC3" s="950" t="s">
        <v>131</v>
      </c>
      <c r="ABD3" s="950" t="s">
        <v>134</v>
      </c>
      <c r="ABE3" s="950" t="s">
        <v>137</v>
      </c>
      <c r="ABF3" s="950" t="s">
        <v>1172</v>
      </c>
      <c r="ABG3" s="950" t="s">
        <v>1282</v>
      </c>
      <c r="ABH3" s="950" t="s">
        <v>1320</v>
      </c>
      <c r="ABI3" s="950" t="s">
        <v>1142</v>
      </c>
      <c r="ABJ3" s="950" t="s">
        <v>180</v>
      </c>
      <c r="ABK3" s="950" t="s">
        <v>1149</v>
      </c>
      <c r="ABL3" s="950" t="s">
        <v>1139</v>
      </c>
      <c r="ABM3" s="950" t="s">
        <v>121</v>
      </c>
      <c r="ABN3" s="950" t="s">
        <v>1129</v>
      </c>
      <c r="ABO3" s="950" t="s">
        <v>1130</v>
      </c>
      <c r="ABP3" s="950" t="s">
        <v>1131</v>
      </c>
      <c r="ABQ3" s="950" t="s">
        <v>1132</v>
      </c>
      <c r="ABR3" s="950" t="s">
        <v>1133</v>
      </c>
      <c r="ABS3" s="950" t="s">
        <v>1151</v>
      </c>
      <c r="ABT3" s="950" t="s">
        <v>1148</v>
      </c>
      <c r="ABU3" s="950" t="s">
        <v>1110</v>
      </c>
      <c r="ABV3" s="950" t="s">
        <v>1162</v>
      </c>
      <c r="ABW3" s="950" t="s">
        <v>1221</v>
      </c>
      <c r="ABX3" s="950" t="s">
        <v>1220</v>
      </c>
      <c r="ABY3" s="950" t="s">
        <v>141</v>
      </c>
      <c r="ABZ3" s="950" t="s">
        <v>1115</v>
      </c>
    </row>
    <row r="4" spans="1:754" ht="14.3">
      <c r="C4" t="b">
        <v>1</v>
      </c>
      <c r="D4" s="367">
        <f ca="1">G10</f>
        <v>0</v>
      </c>
      <c r="F4">
        <f ca="1">F10</f>
        <v>0</v>
      </c>
      <c r="G4" s="233">
        <f ca="1">M10</f>
        <v>0</v>
      </c>
      <c r="H4" s="233">
        <f ca="1">Q10</f>
        <v>0</v>
      </c>
      <c r="J4" s="233">
        <f ca="1">R10</f>
        <v>0</v>
      </c>
      <c r="K4" s="233" t="str">
        <f ca="1">S10</f>
        <v>WA</v>
      </c>
      <c r="L4" s="327">
        <f ca="1">T10</f>
        <v>0</v>
      </c>
      <c r="N4">
        <f ca="1">I10</f>
        <v>0</v>
      </c>
      <c r="O4">
        <f ca="1">J10</f>
        <v>0</v>
      </c>
      <c r="P4" t="str">
        <f ca="1">K10</f>
        <v>WA</v>
      </c>
      <c r="Q4">
        <f ca="1">L10</f>
        <v>0</v>
      </c>
      <c r="R4" s="370">
        <f ca="1">P10</f>
        <v>0</v>
      </c>
      <c r="S4" s="233">
        <f ca="1">O10</f>
        <v>0</v>
      </c>
      <c r="T4">
        <f ca="1">H10</f>
        <v>0</v>
      </c>
      <c r="V4" t="str">
        <f ca="1">W10</f>
        <v/>
      </c>
      <c r="X4" t="str">
        <f ca="1">X11</f>
        <v/>
      </c>
      <c r="Y4" t="str">
        <f ca="1">X12</f>
        <v/>
      </c>
      <c r="Z4" t="str">
        <f ca="1">Z10</f>
        <v/>
      </c>
      <c r="AA4" t="str">
        <f ca="1">Y10</f>
        <v/>
      </c>
      <c r="AC4" t="s">
        <v>467</v>
      </c>
      <c r="AE4" t="str">
        <f ca="1">IF(AC19&gt;1,AE19,AE20)</f>
        <v/>
      </c>
      <c r="AG4" t="str">
        <f ca="1">IF(AC19&gt;1,AG19,AG20)</f>
        <v/>
      </c>
      <c r="AH4" t="str">
        <f ca="1">IF(AC19&gt;1,AH19,AH20)</f>
        <v/>
      </c>
      <c r="AI4" t="str">
        <f ca="1">IF(AC19&gt;1,AI19,AI20)</f>
        <v/>
      </c>
      <c r="AK4" t="str">
        <f ca="1">IF(AC19&gt;1,AK19,AK20)</f>
        <v/>
      </c>
      <c r="AL4" t="str">
        <f ca="1">IF(AC19&gt;1,AL19,AL20)</f>
        <v/>
      </c>
      <c r="AM4" s="92" t="str">
        <f ca="1">IF(AC19&gt;1,AM19,AM20)</f>
        <v/>
      </c>
      <c r="AP4">
        <f>'Grant QC Review'!M22</f>
        <v>0</v>
      </c>
      <c r="AR4" s="233">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368">
        <f ca="1">F15-BG5</f>
        <v>0</v>
      </c>
      <c r="BH4" s="234">
        <f ca="1">J15-BH5</f>
        <v>0</v>
      </c>
      <c r="BI4" s="1370">
        <f ca="1">AX10</f>
        <v>0</v>
      </c>
      <c r="BJ4" t="str">
        <f ca="1">D10</f>
        <v/>
      </c>
      <c r="BK4" t="str">
        <f ca="1">A10</f>
        <v>Commercial/Industrial</v>
      </c>
      <c r="BL4">
        <f ca="1">INDIRECT("'Customer Authorization'!K105")</f>
        <v>0</v>
      </c>
      <c r="BM4">
        <f ca="1">H10</f>
        <v>0</v>
      </c>
      <c r="BO4">
        <f ca="1">AN12</f>
        <v>0</v>
      </c>
      <c r="BP4" t="str">
        <f ca="1">AO12</f>
        <v/>
      </c>
      <c r="BR4" t="str">
        <f ca="1">AR12</f>
        <v/>
      </c>
      <c r="BT4" t="str">
        <f t="shared" ref="BT4:BV5" ca="1" si="0">AS12</f>
        <v/>
      </c>
      <c r="BU4" t="str">
        <f t="shared" ca="1" si="0"/>
        <v/>
      </c>
      <c r="BV4" t="str">
        <f t="shared" ca="1" si="0"/>
        <v/>
      </c>
      <c r="BW4" t="str">
        <f>IF('Customer Authorization'!E51="","Check Payment","Bill Credit")</f>
        <v>Check Payment</v>
      </c>
      <c r="BY4" t="str">
        <f ca="1">BX6</f>
        <v>Lighting - Custom</v>
      </c>
      <c r="BZ4" s="92">
        <f ca="1">BY6</f>
        <v>10059</v>
      </c>
      <c r="CA4" s="204" t="str">
        <f ca="1">IF(BX8="RETROFIT","Full","Incremental")</f>
        <v>Full</v>
      </c>
      <c r="CB4" s="371">
        <f ca="1">AX13</f>
        <v>0</v>
      </c>
      <c r="CC4" s="368">
        <f ca="1">F15-CC5</f>
        <v>0</v>
      </c>
      <c r="CD4" t="s">
        <v>1421</v>
      </c>
      <c r="CE4" s="234">
        <f ca="1">J15-CE5</f>
        <v>0</v>
      </c>
      <c r="CG4" s="234">
        <f ca="1">N15</f>
        <v>0</v>
      </c>
      <c r="CH4" s="368">
        <f ca="1">G15-CH5</f>
        <v>0</v>
      </c>
      <c r="CI4" s="234">
        <f ca="1">H15</f>
        <v>0</v>
      </c>
      <c r="CJ4">
        <f ca="1">M15</f>
        <v>0</v>
      </c>
      <c r="CK4" s="368">
        <f ca="1">F15-CK5</f>
        <v>0</v>
      </c>
      <c r="CL4">
        <f ca="1">IFERROR(ROUND(CH4/CK4,2),2)</f>
        <v>2</v>
      </c>
      <c r="CM4">
        <f ca="1">IFERROR(ROUND(CE4/CI4,2),0)</f>
        <v>0</v>
      </c>
      <c r="GP4" t="str">
        <f ca="1">W10</f>
        <v/>
      </c>
      <c r="GQ4" t="str">
        <f ca="1">X10</f>
        <v/>
      </c>
      <c r="GR4" t="str">
        <f ca="1">Z10</f>
        <v/>
      </c>
      <c r="GS4" t="str">
        <f ca="1">Y10</f>
        <v/>
      </c>
    </row>
    <row r="5" spans="1:754" ht="14.3">
      <c r="C5" t="b">
        <f>C4</f>
        <v>1</v>
      </c>
      <c r="D5" s="367">
        <f ca="1">G10</f>
        <v>0</v>
      </c>
      <c r="F5">
        <f ca="1">F10</f>
        <v>0</v>
      </c>
      <c r="G5" s="233">
        <f ca="1">M10</f>
        <v>0</v>
      </c>
      <c r="H5" s="233">
        <f ca="1">Q10</f>
        <v>0</v>
      </c>
      <c r="J5" s="233">
        <f ca="1">R10</f>
        <v>0</v>
      </c>
      <c r="K5" s="233" t="str">
        <f ca="1">S10</f>
        <v>WA</v>
      </c>
      <c r="L5" s="327">
        <f ca="1">T10</f>
        <v>0</v>
      </c>
      <c r="N5">
        <f ca="1">I10</f>
        <v>0</v>
      </c>
      <c r="O5">
        <f ca="1">J10</f>
        <v>0</v>
      </c>
      <c r="P5" t="str">
        <f ca="1">K10</f>
        <v>WA</v>
      </c>
      <c r="Q5">
        <f ca="1">L10</f>
        <v>0</v>
      </c>
      <c r="R5" s="370">
        <f ca="1">P10</f>
        <v>0</v>
      </c>
      <c r="S5" s="233">
        <f ca="1">O10</f>
        <v>0</v>
      </c>
      <c r="T5">
        <f ca="1">H10</f>
        <v>0</v>
      </c>
      <c r="V5" t="str">
        <f ca="1">W10</f>
        <v/>
      </c>
      <c r="X5" t="str">
        <f ca="1">X11</f>
        <v/>
      </c>
      <c r="Y5" t="str">
        <f ca="1">X12</f>
        <v/>
      </c>
      <c r="Z5" t="str">
        <f ca="1">Z10</f>
        <v/>
      </c>
      <c r="AA5" t="str">
        <f ca="1">Y10</f>
        <v/>
      </c>
      <c r="AC5" t="str">
        <f>AC4</f>
        <v>Contractor</v>
      </c>
      <c r="AE5" t="str">
        <f ca="1">AE4</f>
        <v/>
      </c>
      <c r="AG5" t="str">
        <f t="shared" ref="AG5:AM5" ca="1" si="1">AG4</f>
        <v/>
      </c>
      <c r="AH5" t="str">
        <f t="shared" ca="1" si="1"/>
        <v/>
      </c>
      <c r="AI5" t="str">
        <f t="shared" ca="1" si="1"/>
        <v/>
      </c>
      <c r="AK5" t="str">
        <f t="shared" ca="1" si="1"/>
        <v/>
      </c>
      <c r="AL5" t="str">
        <f t="shared" ca="1" si="1"/>
        <v/>
      </c>
      <c r="AM5" s="92" t="str">
        <f t="shared" ca="1" si="1"/>
        <v/>
      </c>
      <c r="AP5">
        <f>'Grant QC Review'!O90</f>
        <v>0</v>
      </c>
      <c r="AR5" s="233">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6">
        <f ca="1">R15</f>
        <v>0</v>
      </c>
      <c r="BH5">
        <f ca="1">U15</f>
        <v>0</v>
      </c>
      <c r="BI5" s="1370">
        <f ca="1">BI4</f>
        <v>0</v>
      </c>
      <c r="BJ5" t="str">
        <f ca="1">D10</f>
        <v/>
      </c>
      <c r="BK5" t="str">
        <f ca="1">A10</f>
        <v>Commercial/Industrial</v>
      </c>
      <c r="BL5">
        <f ca="1">BL4</f>
        <v>0</v>
      </c>
      <c r="BM5">
        <f ca="1">H10</f>
        <v>0</v>
      </c>
      <c r="BO5">
        <f ca="1">AN13</f>
        <v>0</v>
      </c>
      <c r="BP5" t="str">
        <f ca="1">AO13</f>
        <v/>
      </c>
      <c r="BR5" t="str">
        <f ca="1">AR13</f>
        <v/>
      </c>
      <c r="BT5" t="str">
        <f t="shared" ca="1" si="0"/>
        <v/>
      </c>
      <c r="BU5" t="str">
        <f t="shared" ca="1" si="0"/>
        <v/>
      </c>
      <c r="BV5" t="str">
        <f t="shared" ca="1" si="0"/>
        <v/>
      </c>
      <c r="BW5" t="str">
        <f>IF('Customer Authorization'!E51="","Check Payment","Bill Credit")</f>
        <v>Check Payment</v>
      </c>
      <c r="BY5" t="s">
        <v>1422</v>
      </c>
      <c r="BZ5" s="92">
        <f>BY13</f>
        <v>12334</v>
      </c>
      <c r="CA5" s="204" t="str">
        <f ca="1">IF(BX8="RETROFIT","Full","Incremental")</f>
        <v>Full</v>
      </c>
      <c r="CB5" s="371">
        <f ca="1">CB4</f>
        <v>0</v>
      </c>
      <c r="CC5" s="116">
        <f ca="1">BG5</f>
        <v>0</v>
      </c>
      <c r="CD5" t="s">
        <v>1421</v>
      </c>
      <c r="CE5">
        <f ca="1">BH5</f>
        <v>0</v>
      </c>
      <c r="CG5">
        <v>10</v>
      </c>
      <c r="CH5" s="116">
        <f ca="1">R15</f>
        <v>0</v>
      </c>
      <c r="CI5" s="234">
        <f ca="1">V15</f>
        <v>0</v>
      </c>
      <c r="CJ5">
        <v>0</v>
      </c>
      <c r="CK5" s="116">
        <f ca="1">R15</f>
        <v>0</v>
      </c>
      <c r="CL5">
        <f ca="1">IFERROR(ROUND(CH5/CK5,2),2)</f>
        <v>2</v>
      </c>
      <c r="CM5">
        <f ca="1">IFERROR(ROUND(CE5/CI5,2),0)</f>
        <v>0</v>
      </c>
      <c r="GP5" t="str">
        <f ca="1">W10</f>
        <v/>
      </c>
      <c r="GQ5" t="str">
        <f ca="1">X10</f>
        <v/>
      </c>
      <c r="GR5" t="str">
        <f ca="1">Z10</f>
        <v/>
      </c>
      <c r="GS5" t="str">
        <f ca="1">Y10</f>
        <v/>
      </c>
    </row>
    <row r="6" spans="1:754" ht="14.3">
      <c r="A6" t="s">
        <v>1423</v>
      </c>
      <c r="B6" s="232" t="s">
        <v>1424</v>
      </c>
      <c r="C6" t="s">
        <v>1425</v>
      </c>
      <c r="D6" t="str">
        <f>RIGHT(A6,4)</f>
        <v>2024</v>
      </c>
      <c r="E6" t="str">
        <f>Lookup!B4</f>
        <v>V24-02</v>
      </c>
      <c r="AE6" s="2" t="s">
        <v>1426</v>
      </c>
      <c r="BX6" t="str">
        <f ca="1">IF(BX8="New Construction",BX16,IF(BX8="Tenant Improvement",BX14,IF(BX8="Retrofit",IF(C12="Yes",BX12,BX11))))</f>
        <v>Lighting - Custom</v>
      </c>
      <c r="BY6" s="92">
        <f ca="1">VLOOKUP(BX6,BX11:BY16,2,FALSE)</f>
        <v>10059</v>
      </c>
    </row>
    <row r="7" spans="1:754" ht="14.3">
      <c r="A7" t="str">
        <f ca="1">INDIRECT("'Lookup'!B20")</f>
        <v>Business Lighting ─ STANDARD V24-02 ─ Valid through 06/30/2024</v>
      </c>
      <c r="AE7">
        <f ca="1">INDIRECT("Project!R53")</f>
        <v>0</v>
      </c>
    </row>
    <row r="8" spans="1:754" ht="14.3">
      <c r="A8" t="s">
        <v>465</v>
      </c>
      <c r="E8" s="2" t="s">
        <v>465</v>
      </c>
      <c r="M8" s="2" t="s">
        <v>1427</v>
      </c>
      <c r="U8" t="s">
        <v>467</v>
      </c>
      <c r="AE8" s="2" t="s">
        <v>168</v>
      </c>
      <c r="AM8" s="2" t="s">
        <v>1428</v>
      </c>
      <c r="AY8" s="2" t="s">
        <v>1429</v>
      </c>
      <c r="BC8" s="2" t="s">
        <v>666</v>
      </c>
      <c r="BX8" s="2" t="str">
        <f ca="1">A11</f>
        <v>RETROFIT</v>
      </c>
    </row>
    <row r="9" spans="1:754" ht="14.3">
      <c r="A9" s="2" t="s">
        <v>107</v>
      </c>
      <c r="B9" s="2" t="s">
        <v>1430</v>
      </c>
      <c r="C9" s="2" t="s">
        <v>128</v>
      </c>
      <c r="D9" s="2" t="s">
        <v>130</v>
      </c>
      <c r="E9" s="2" t="s">
        <v>657</v>
      </c>
      <c r="F9" s="2" t="s">
        <v>659</v>
      </c>
      <c r="G9" s="2" t="s">
        <v>1431</v>
      </c>
      <c r="H9" s="2" t="s">
        <v>1432</v>
      </c>
      <c r="I9" s="2" t="s">
        <v>126</v>
      </c>
      <c r="J9" s="2" t="s">
        <v>131</v>
      </c>
      <c r="K9" s="2" t="s">
        <v>134</v>
      </c>
      <c r="L9" s="2" t="s">
        <v>137</v>
      </c>
      <c r="M9" s="2" t="s">
        <v>114</v>
      </c>
      <c r="N9" s="2" t="s">
        <v>669</v>
      </c>
      <c r="O9" s="2" t="s">
        <v>121</v>
      </c>
      <c r="P9" s="2" t="s">
        <v>680</v>
      </c>
      <c r="Q9" s="2" t="s">
        <v>1175</v>
      </c>
      <c r="R9" s="2" t="s">
        <v>1433</v>
      </c>
      <c r="S9" s="2" t="s">
        <v>1434</v>
      </c>
      <c r="T9" s="2" t="s">
        <v>1435</v>
      </c>
      <c r="U9" s="2" t="s">
        <v>665</v>
      </c>
      <c r="V9" s="2" t="s">
        <v>703</v>
      </c>
      <c r="W9" s="2" t="s">
        <v>467</v>
      </c>
      <c r="X9" s="2" t="s">
        <v>413</v>
      </c>
      <c r="Y9" s="2" t="s">
        <v>121</v>
      </c>
      <c r="Z9" s="2" t="s">
        <v>680</v>
      </c>
      <c r="AA9" s="2" t="s">
        <v>129</v>
      </c>
      <c r="AB9" s="2" t="s">
        <v>131</v>
      </c>
      <c r="AC9" s="2" t="s">
        <v>134</v>
      </c>
      <c r="AD9" s="2" t="s">
        <v>137</v>
      </c>
      <c r="AE9" s="2" t="s">
        <v>168</v>
      </c>
      <c r="AF9" s="2" t="s">
        <v>413</v>
      </c>
      <c r="AG9" s="2" t="s">
        <v>121</v>
      </c>
      <c r="AH9" s="2" t="s">
        <v>680</v>
      </c>
      <c r="AI9" s="2" t="s">
        <v>129</v>
      </c>
      <c r="AJ9" s="2" t="s">
        <v>131</v>
      </c>
      <c r="AK9" s="2" t="s">
        <v>134</v>
      </c>
      <c r="AL9" s="2" t="s">
        <v>137</v>
      </c>
      <c r="AM9" s="2" t="s">
        <v>1436</v>
      </c>
      <c r="AN9" s="2" t="s">
        <v>1437</v>
      </c>
      <c r="AO9" s="2" t="s">
        <v>413</v>
      </c>
      <c r="AP9" s="2" t="s">
        <v>121</v>
      </c>
      <c r="AQ9" s="2" t="s">
        <v>680</v>
      </c>
      <c r="AR9" s="2" t="s">
        <v>129</v>
      </c>
      <c r="AS9" s="2" t="s">
        <v>131</v>
      </c>
      <c r="AT9" s="2" t="s">
        <v>134</v>
      </c>
      <c r="AU9" s="2" t="s">
        <v>137</v>
      </c>
      <c r="AV9" s="2" t="s">
        <v>182</v>
      </c>
      <c r="AW9" s="2" t="s">
        <v>180</v>
      </c>
      <c r="AX9" s="2" t="s">
        <v>671</v>
      </c>
      <c r="AY9" s="2" t="s">
        <v>114</v>
      </c>
      <c r="AZ9" s="2" t="s">
        <v>669</v>
      </c>
      <c r="BA9" s="2" t="s">
        <v>121</v>
      </c>
      <c r="BB9" s="2" t="s">
        <v>680</v>
      </c>
      <c r="BC9" s="2" t="s">
        <v>466</v>
      </c>
      <c r="BD9" s="2" t="s">
        <v>114</v>
      </c>
      <c r="BE9" s="2" t="s">
        <v>413</v>
      </c>
      <c r="BF9" s="2" t="s">
        <v>121</v>
      </c>
      <c r="BG9" s="2" t="s">
        <v>680</v>
      </c>
      <c r="BH9" s="2" t="s">
        <v>129</v>
      </c>
      <c r="BI9" s="2" t="s">
        <v>131</v>
      </c>
      <c r="BJ9" s="2" t="s">
        <v>134</v>
      </c>
      <c r="BK9" s="2" t="s">
        <v>137</v>
      </c>
      <c r="BX9" t="str">
        <f ca="1">INDIRECT("Project!H38")</f>
        <v>None</v>
      </c>
    </row>
    <row r="10" spans="1:754" ht="14.3">
      <c r="A10" t="str">
        <f ca="1">INDIRECT("Project!H22")</f>
        <v>Commercial/Industrial</v>
      </c>
      <c r="B10">
        <f ca="1">INDIRECT("Project!H26")</f>
        <v>0</v>
      </c>
      <c r="C10">
        <f ca="1">INDIRECT("Project!H32")</f>
        <v>0</v>
      </c>
      <c r="D10" t="str">
        <f ca="1">INDIRECT("Project!H34")</f>
        <v/>
      </c>
      <c r="E10">
        <f ca="1">INDIRECT("Project!V22")</f>
        <v>0</v>
      </c>
      <c r="F10">
        <f ca="1">INDIRECT("Project!V24")</f>
        <v>0</v>
      </c>
      <c r="G10" s="369">
        <f ca="1">INDIRECT("Project!V26")</f>
        <v>0</v>
      </c>
      <c r="H10" s="233">
        <f ca="1">INDIRECT("Project!V28")</f>
        <v>0</v>
      </c>
      <c r="I10" s="233">
        <f ca="1">INDIRECT("Project!V30")</f>
        <v>0</v>
      </c>
      <c r="J10" s="233">
        <f ca="1">INDIRECT("Project!v34")</f>
        <v>0</v>
      </c>
      <c r="K10" s="233" t="str">
        <f ca="1">INDIRECT("Project!V36")</f>
        <v>WA</v>
      </c>
      <c r="L10" s="327">
        <f ca="1">INDIRECT("Project!AA36")</f>
        <v>0</v>
      </c>
      <c r="M10" s="233">
        <f ca="1">INDIRECT("Project!AK22")</f>
        <v>0</v>
      </c>
      <c r="N10" s="233">
        <f ca="1">INDIRECT("Project!AK24")</f>
        <v>0</v>
      </c>
      <c r="O10" s="233">
        <f ca="1">INDIRECT("Project!AK26")</f>
        <v>0</v>
      </c>
      <c r="P10" s="370">
        <f ca="1">INDIRECT("Project!AK28")</f>
        <v>0</v>
      </c>
      <c r="Q10" s="233">
        <f ca="1">IF(INDIRECT("Project!AK32")="",I10,INDIRECT("Project!AK32"))</f>
        <v>0</v>
      </c>
      <c r="R10" s="233">
        <f ca="1">IF(INDIRECT("Project!AK34")="",J10,INDIRECT("Project!AK34"))</f>
        <v>0</v>
      </c>
      <c r="S10" s="233" t="str">
        <f ca="1">IF(INDIRECT("Project!AK36")="",K10,INDIRECT("Project!AK36"))</f>
        <v>WA</v>
      </c>
      <c r="T10" s="327">
        <f ca="1">IF(INDIRECT("Project!AN36")="",L10,INDIRECT("Project!AN36"))</f>
        <v>0</v>
      </c>
      <c r="U10" t="str">
        <f ca="1">INDIRECT("Project!U59")</f>
        <v>- Choose Installed By -</v>
      </c>
      <c r="V10">
        <f ca="1">INDIRECT("Project!Z43")</f>
        <v>0</v>
      </c>
      <c r="W10" t="str">
        <f ca="1">IF(AE19="D.C. Bach Company LLC",AE19,(INDIRECT("Project!U81")))</f>
        <v/>
      </c>
      <c r="X10" t="str">
        <f ca="1">IF(AE19="D.C. Bach Company LLC",AF19,(INDIRECT("Project!U83")))</f>
        <v/>
      </c>
      <c r="Y10" t="str">
        <f ca="1">IF(AE19="D.C. Bach Company LLC",AH19,(INDIRECT("Project!U85")))</f>
        <v/>
      </c>
      <c r="Z10" t="str">
        <f ca="1">IF(AE19="D.C. Bach Company LLC",AG19,(INDIRECT("Project!U87")))</f>
        <v/>
      </c>
      <c r="AA10" t="str">
        <f ca="1">IF(AE19="D.C. Bach Company LLC",AI19,(INDIRECT("Project!U89")))</f>
        <v/>
      </c>
      <c r="AB10" t="str">
        <f ca="1">IF(AE19="D.C. Bach Company LLC",AK19,(INDIRECT("Project!U91")))</f>
        <v/>
      </c>
      <c r="AC10" t="str">
        <f ca="1">IF(AE19="D.C. Bach Company LLC",AL19,(INDIRECT("Project!U93")))</f>
        <v/>
      </c>
      <c r="AD10" s="92" t="str">
        <f ca="1">IF(AE19="D.C. Bach Company LLC",AM19,(INDIRECT("Project!AA93")))</f>
        <v/>
      </c>
      <c r="AE10">
        <f ca="1">INDIRECT("Project!AJ63")</f>
        <v>0</v>
      </c>
      <c r="AF10">
        <f ca="1">INDIRECT("Project!AJ65")</f>
        <v>0</v>
      </c>
      <c r="AG10">
        <f ca="1">INDIRECT("Project!AJ67")</f>
        <v>0</v>
      </c>
      <c r="AH10" s="370">
        <f ca="1">INDIRECT("Project!AJ69")</f>
        <v>0</v>
      </c>
      <c r="AI10">
        <f ca="1">INDIRECT("Project!AJ71")</f>
        <v>0</v>
      </c>
      <c r="AJ10">
        <f ca="1">INDIRECT("Project!AJ73")</f>
        <v>0</v>
      </c>
      <c r="AK10">
        <f ca="1">INDIRECT("Project!AJ75")</f>
        <v>0</v>
      </c>
      <c r="AL10" s="92">
        <f ca="1">INDIRECT("Project!AN75")</f>
        <v>0</v>
      </c>
      <c r="AM10" t="str">
        <f ca="1">INDIRECT("'Customer Authorization'!Z57")</f>
        <v/>
      </c>
      <c r="AN10">
        <f ca="1">INDIRECT("'Customer Authorization'!Z59")</f>
        <v>0</v>
      </c>
      <c r="AO10" t="str">
        <f ca="1">INDIRECT("'Customer Authorization'!Z63")</f>
        <v/>
      </c>
      <c r="AP10" t="str">
        <f ca="1">INDIRECT("'Customer Authorization'!Z65")</f>
        <v/>
      </c>
      <c r="AQ10" t="str">
        <f ca="1">INDIRECT("'Customer Authorization'!Z67")</f>
        <v/>
      </c>
      <c r="AR10" t="str">
        <f ca="1">INDIRECT("'Customer Authorization'!Z69")</f>
        <v/>
      </c>
      <c r="AS10" t="str">
        <f ca="1">INDIRECT("'Customer Authorization'!Z71")</f>
        <v/>
      </c>
      <c r="AT10" t="str">
        <f ca="1">INDIRECT("'Customer Authorization'!Z73")</f>
        <v/>
      </c>
      <c r="AU10" s="92" t="str">
        <f ca="1">INDIRECT("'Customer Authorization'!AC73")</f>
        <v/>
      </c>
      <c r="AV10">
        <f ca="1">INDIRECT("'Customer Authorization'!AD95")</f>
        <v>0</v>
      </c>
      <c r="AW10">
        <f ca="1">INDIRECT("'Customer Authorization'!AD97")</f>
        <v>0</v>
      </c>
      <c r="AX10" s="371">
        <f ca="1">INDIRECT("'Customer Authorization'!K101")</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2" t="str">
        <f ca="1">INDIRECT("Project!L93")</f>
        <v/>
      </c>
    </row>
    <row r="11" spans="1:754" ht="14.3">
      <c r="A11" t="str">
        <f ca="1">INDIRECT("Project!H24")</f>
        <v>RETROFIT</v>
      </c>
      <c r="B11" s="134" t="s">
        <v>1438</v>
      </c>
      <c r="C11" s="92">
        <f ca="1">IF(A11="RETROFIT",0,INDIRECT("'Building Area Installations'!L39")+INDIRECT("'Building Area Installations'!L78"))</f>
        <v>0</v>
      </c>
      <c r="X11" t="str">
        <f ca="1">IFERROR(LEFT(X10,FIND(" ",X10)-1),X10)</f>
        <v/>
      </c>
      <c r="BX11" t="s">
        <v>1439</v>
      </c>
      <c r="BY11" s="92">
        <v>10059</v>
      </c>
    </row>
    <row r="12" spans="1:754" ht="14.3">
      <c r="A12" t="str" cm="1">
        <f t="array" aca="1" ref="A12" ca="1">INDIRECT("Project!H38")</f>
        <v>None</v>
      </c>
      <c r="B12" s="134" t="s">
        <v>1440</v>
      </c>
      <c r="C12" t="str">
        <f ca="1">IF(U15&gt;0,"Yes","No")</f>
        <v>No</v>
      </c>
      <c r="X12" t="str">
        <f ca="1">IFERROR(RIGHT(X10,LEN(X10)-FIND(" ",X10)),"")</f>
        <v/>
      </c>
      <c r="AK12" t="str" cm="1">
        <f t="array" aca="1" ref="AK12" ca="1">INDIRECT("'Customer Authorization'!Z54")</f>
        <v>- Choose Payee -</v>
      </c>
      <c r="AL12" t="s">
        <v>1441</v>
      </c>
      <c r="AM12" t="str">
        <f ca="1">INDIRECT("'Customer Authorization'!Z57")</f>
        <v/>
      </c>
      <c r="AN12">
        <f ca="1">INDIRECT("'Customer Authorization'!Z59")</f>
        <v>0</v>
      </c>
      <c r="AO12" t="str">
        <f ca="1">INDIRECT("'Customer Authorization'!Z63")</f>
        <v/>
      </c>
      <c r="AP12" t="str">
        <f ca="1">INDIRECT("'Customer Authorization'!Z65")</f>
        <v/>
      </c>
      <c r="AQ12" t="str">
        <f ca="1">INDIRECT("'Customer Authorization'!Z67")</f>
        <v/>
      </c>
      <c r="AR12" t="str">
        <f ca="1">INDIRECT("'Customer Authorization'!Z69")</f>
        <v/>
      </c>
      <c r="AS12" t="str">
        <f ca="1">INDIRECT("'Customer Authorization'!Z71")</f>
        <v/>
      </c>
      <c r="AT12" t="str">
        <f ca="1">INDIRECT("'Customer Authorization'!Z73")</f>
        <v/>
      </c>
      <c r="AU12" s="92" t="str">
        <f ca="1">INDIRECT("'Customer Authorization'!AC73")</f>
        <v/>
      </c>
      <c r="AV12">
        <f ca="1">INDIRECT("'Customer Authorization'!AD93")</f>
        <v>0</v>
      </c>
      <c r="AX12" s="2" t="s">
        <v>1442</v>
      </c>
      <c r="BX12" t="s">
        <v>1443</v>
      </c>
      <c r="BY12" s="92">
        <v>12323</v>
      </c>
    </row>
    <row r="13" spans="1:754" ht="14.3">
      <c r="O13" s="2" t="s">
        <v>1444</v>
      </c>
      <c r="AL13" t="s">
        <v>1445</v>
      </c>
      <c r="AM13" t="str">
        <f ca="1">AM12</f>
        <v/>
      </c>
      <c r="AN13">
        <f t="shared" ref="AN13:AV13" ca="1" si="2">AN12</f>
        <v>0</v>
      </c>
      <c r="AO13" t="str">
        <f t="shared" ca="1" si="2"/>
        <v/>
      </c>
      <c r="AP13" t="str">
        <f t="shared" ca="1" si="2"/>
        <v/>
      </c>
      <c r="AQ13" t="str">
        <f t="shared" ca="1" si="2"/>
        <v/>
      </c>
      <c r="AR13" t="str">
        <f t="shared" ca="1" si="2"/>
        <v/>
      </c>
      <c r="AS13" t="str">
        <f t="shared" ca="1" si="2"/>
        <v/>
      </c>
      <c r="AT13" t="str">
        <f t="shared" ca="1" si="2"/>
        <v/>
      </c>
      <c r="AU13" t="str">
        <f t="shared" ca="1" si="2"/>
        <v/>
      </c>
      <c r="AV13">
        <f t="shared" ca="1" si="2"/>
        <v>0</v>
      </c>
      <c r="AX13" s="371">
        <f ca="1">INDIRECT("'Customer Authorization'!K103")</f>
        <v>0</v>
      </c>
      <c r="BX13" t="s">
        <v>1422</v>
      </c>
      <c r="BY13" s="92">
        <v>12334</v>
      </c>
    </row>
    <row r="14" spans="1:754" ht="14.3">
      <c r="A14" t="s">
        <v>1446</v>
      </c>
      <c r="B14" t="s">
        <v>470</v>
      </c>
      <c r="C14" t="s">
        <v>473</v>
      </c>
      <c r="D14" t="s">
        <v>1447</v>
      </c>
      <c r="E14" t="s">
        <v>1448</v>
      </c>
      <c r="F14" t="s">
        <v>289</v>
      </c>
      <c r="G14" t="s">
        <v>257</v>
      </c>
      <c r="H14" t="s">
        <v>1449</v>
      </c>
      <c r="I14" t="s">
        <v>1450</v>
      </c>
      <c r="J14" t="s">
        <v>286</v>
      </c>
      <c r="K14" t="s">
        <v>411</v>
      </c>
      <c r="L14" t="s">
        <v>280</v>
      </c>
      <c r="M14" t="s">
        <v>1451</v>
      </c>
      <c r="N14" t="s">
        <v>205</v>
      </c>
      <c r="O14" t="s">
        <v>291</v>
      </c>
      <c r="P14" t="s">
        <v>1452</v>
      </c>
      <c r="Q14" t="s">
        <v>1453</v>
      </c>
      <c r="R14" t="s">
        <v>1454</v>
      </c>
      <c r="S14" t="s">
        <v>1455</v>
      </c>
      <c r="T14" t="s">
        <v>1285</v>
      </c>
      <c r="U14" t="s">
        <v>462</v>
      </c>
      <c r="V14" t="s">
        <v>460</v>
      </c>
      <c r="X14" t="s">
        <v>832</v>
      </c>
      <c r="Y14" s="1370" cm="1">
        <f t="array" aca="1" ref="Y14" ca="1">INDIRECT("'Grant QC Review'!M28")</f>
        <v>0</v>
      </c>
      <c r="BG14" s="739" t="s">
        <v>1456</v>
      </c>
      <c r="BH14" s="739" t="s">
        <v>1457</v>
      </c>
      <c r="BI14" s="647"/>
      <c r="BK14" t="s">
        <v>1456</v>
      </c>
      <c r="BL14" t="s">
        <v>591</v>
      </c>
      <c r="BM14" t="s">
        <v>1458</v>
      </c>
      <c r="BX14" t="s">
        <v>1459</v>
      </c>
      <c r="BY14" s="92">
        <v>13224</v>
      </c>
    </row>
    <row r="15" spans="1:754" ht="14.3">
      <c r="B15" s="325">
        <f ca="1">INDIRECT("Installations!E28")</f>
        <v>0</v>
      </c>
      <c r="C15" s="325">
        <f ca="1">INDIRECT("Installations!E20")</f>
        <v>0</v>
      </c>
      <c r="D15" s="325">
        <f ca="1">INDIRECT("Installations!E22")</f>
        <v>0</v>
      </c>
      <c r="E15" s="332">
        <f ca="1">INDIRECT("Installations!E24")</f>
        <v>0</v>
      </c>
      <c r="F15" s="325">
        <f ca="1">IF(__Retrofit_TI_NC&gt;0,G15,INDIRECT("Installations!E32"))</f>
        <v>0</v>
      </c>
      <c r="G15" s="325">
        <f ca="1">IF(INDIRECT("Installations!T24")="Rate Sch?",0,INDIRECT("Installations!T24"))</f>
        <v>0</v>
      </c>
      <c r="H15" s="326">
        <f ca="1">INDIRECT("Installations!K20")</f>
        <v>0</v>
      </c>
      <c r="I15" s="326">
        <f ca="1">INDIRECT("Installations!K22")</f>
        <v>0</v>
      </c>
      <c r="J15" s="326">
        <f ca="1">INDIRECT("Installations!K24")</f>
        <v>0</v>
      </c>
      <c r="K15" s="329">
        <f ca="1">INDIRECT("Installations!K28")</f>
        <v>0</v>
      </c>
      <c r="L15" s="329">
        <f ca="1">INDIRECT("Installations!K30")</f>
        <v>0</v>
      </c>
      <c r="M15" s="329">
        <f ca="1">INDIRECT("Installations!K32")</f>
        <v>0</v>
      </c>
      <c r="N15" s="326">
        <f ca="1">IFERROR(IF(__Retrofit_TI_NC&gt;0,15,INDIRECT("Autofund!H6")),10)</f>
        <v>0</v>
      </c>
      <c r="O15" s="329">
        <f ca="1">INDIRECT("Autofund!O3")</f>
        <v>0</v>
      </c>
      <c r="P15" s="372">
        <f ca="1">INDIRECT("Installations!W24")</f>
        <v>0</v>
      </c>
      <c r="Q15" s="92">
        <f ca="1">INDIRECT("Autofund!G47")+INDIRECT("'Building Area Installations'!X24")</f>
        <v>0</v>
      </c>
      <c r="R15" s="372">
        <f ca="1">INDIRECT("Installations!T34")</f>
        <v>0</v>
      </c>
      <c r="S15" s="372">
        <f ca="1">INDIRECT("Installations!W22")</f>
        <v>0</v>
      </c>
      <c r="T15" s="372">
        <f ca="1">IF(INDIRECT("Installations!T24")="Rate Sch?",0,INDIRECT("Installations!T24"))</f>
        <v>0</v>
      </c>
      <c r="U15" s="327">
        <f ca="1">INDIRECT("Autofund!T84")</f>
        <v>0</v>
      </c>
      <c r="V15" s="92">
        <f ca="1">INDIRECT("Autofund!T85")</f>
        <v>0</v>
      </c>
      <c r="X15" t="s">
        <v>835</v>
      </c>
      <c r="Y15" s="1370" cm="1">
        <f t="array" aca="1" ref="Y15" ca="1">INDIRECT("'Grant QC Review'!M30")</f>
        <v>0</v>
      </c>
      <c r="AK15" s="441"/>
      <c r="AL15" s="178" t="s">
        <v>516</v>
      </c>
      <c r="AM15">
        <f ca="1">INDIRECT("'Customer Authorization'!AE109")</f>
        <v>0</v>
      </c>
      <c r="BG15" s="647" t="s">
        <v>1460</v>
      </c>
      <c r="BH15" s="647">
        <v>0</v>
      </c>
      <c r="BI15" s="647" t="s">
        <v>1460</v>
      </c>
      <c r="BX15" t="s">
        <v>1461</v>
      </c>
      <c r="BY15" s="92">
        <v>10074</v>
      </c>
    </row>
    <row r="16" spans="1:754" ht="14.3">
      <c r="E16" s="221"/>
      <c r="S16" s="116"/>
      <c r="AK16" s="441"/>
      <c r="BG16" s="647" t="s">
        <v>1462</v>
      </c>
      <c r="BH16" s="647">
        <v>0.82</v>
      </c>
      <c r="BI16" s="647" t="s">
        <v>774</v>
      </c>
      <c r="BK16" t="s">
        <v>1462</v>
      </c>
      <c r="BL16">
        <v>0.64</v>
      </c>
      <c r="BM16" t="s">
        <v>774</v>
      </c>
      <c r="BX16" t="s">
        <v>1463</v>
      </c>
      <c r="BY16" s="92">
        <v>10076</v>
      </c>
    </row>
    <row r="17" spans="2:68" ht="14.3">
      <c r="B17" s="1"/>
      <c r="C17" s="1"/>
      <c r="D17" s="1"/>
      <c r="E17" s="1"/>
      <c r="F17" s="1"/>
      <c r="G17" s="1"/>
      <c r="Y17" s="31"/>
    </row>
    <row r="18" spans="2:68" ht="14.3">
      <c r="B18" s="1"/>
      <c r="C18" s="1"/>
      <c r="D18" s="235" t="s">
        <v>1464</v>
      </c>
      <c r="E18" s="236">
        <v>0</v>
      </c>
      <c r="F18" s="1"/>
      <c r="G18" s="1"/>
      <c r="AD18" s="2" t="s">
        <v>1465</v>
      </c>
      <c r="AE18" t="str">
        <f t="shared" ref="AE18" ca="1" si="3">IF(AC$19&gt;1,AE19,AE20)</f>
        <v/>
      </c>
      <c r="AF18" t="str">
        <f ca="1">IF(AC$19&gt;1,AF19,AF20)</f>
        <v/>
      </c>
      <c r="AG18" t="str">
        <f ca="1">IF(AC$19&gt;1,AG19,AG20)</f>
        <v/>
      </c>
      <c r="AH18" t="str">
        <f ca="1">IF(AC$19&gt;1,AH19,AH20)</f>
        <v/>
      </c>
      <c r="AI18" t="str">
        <f ca="1">IF(AC$19&gt;1,AI19,AI20)</f>
        <v/>
      </c>
      <c r="AJ18">
        <f ca="1">IF(AC$19&gt;1,AJ19,AJ20)</f>
        <v>0</v>
      </c>
      <c r="AK18" t="str">
        <f ca="1">IF(AC$19&gt;1,AK19,AK20)</f>
        <v/>
      </c>
      <c r="AL18" t="str">
        <f ca="1">IF(AC$19&gt;1,AL19,AL20)</f>
        <v/>
      </c>
      <c r="AM18" s="92" t="str">
        <f ca="1">IF(AC$19&gt;1,AM19,AM20)</f>
        <v/>
      </c>
    </row>
    <row r="19" spans="2:68" ht="14.3">
      <c r="B19" s="1"/>
      <c r="C19" s="1"/>
      <c r="D19" s="237" t="s">
        <v>1466</v>
      </c>
      <c r="E19" s="740">
        <f ca="1">INDIRECT("'Grant QC Review'!M" &amp; 22+E18)</f>
        <v>0</v>
      </c>
      <c r="F19" s="1"/>
      <c r="G19" s="1"/>
      <c r="AB19" t="str">
        <f ca="1">INDIRECT("Project!H59")</f>
        <v>- Choose Submitted By -</v>
      </c>
      <c r="AC19">
        <f ca="1">INDIRECT("Project!O59")</f>
        <v>0</v>
      </c>
      <c r="AD19" s="2" t="s">
        <v>666</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92" t="str">
        <f ca="1">INDIRECT("Project!L93")</f>
        <v/>
      </c>
    </row>
    <row r="20" spans="2:68" ht="14.3">
      <c r="B20" s="1"/>
      <c r="C20" s="1"/>
      <c r="D20" s="237" t="s">
        <v>1467</v>
      </c>
      <c r="E20" s="741">
        <f ca="1">INDIRECT("'Grant QC Review'!M"&amp;24+E18)</f>
        <v>0</v>
      </c>
      <c r="F20" s="1"/>
      <c r="G20" s="1"/>
      <c r="AB20" t="str">
        <f ca="1">INDIRECT("Project!U59")</f>
        <v>- Choose Installed By -</v>
      </c>
      <c r="AC20">
        <f ca="1">INDIRECT("Project!AD59")</f>
        <v>0</v>
      </c>
      <c r="AD20" s="2" t="s">
        <v>1323</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92" t="str">
        <f ca="1">INDIRECT("Project!AA93")</f>
        <v/>
      </c>
    </row>
    <row r="21" spans="2:68" ht="14.3">
      <c r="B21" s="1"/>
      <c r="C21" s="1"/>
      <c r="D21" s="237" t="s">
        <v>829</v>
      </c>
      <c r="E21" s="740">
        <f ca="1">INDIRECT("'Grant QC Review'!M" &amp; 26+E18)</f>
        <v>0</v>
      </c>
      <c r="F21" s="1"/>
      <c r="G21" s="1"/>
      <c r="AC21">
        <v>4</v>
      </c>
      <c r="AD21" s="2" t="s">
        <v>168</v>
      </c>
      <c r="AE21">
        <f ca="1">INDIRECT("Project!AJ63")</f>
        <v>0</v>
      </c>
      <c r="AF21">
        <f ca="1">INDIRECT("Project!AJ65")</f>
        <v>0</v>
      </c>
      <c r="AG21">
        <f ca="1">INDIRECT("Project!AJ69")</f>
        <v>0</v>
      </c>
      <c r="AH21" s="370">
        <f ca="1">INDIRECT("Project!AJ67")</f>
        <v>0</v>
      </c>
      <c r="AI21">
        <f ca="1">INDIRECT("Project!AJ71")</f>
        <v>0</v>
      </c>
      <c r="AK21">
        <f ca="1">INDIRECT("Project!AJ73")</f>
        <v>0</v>
      </c>
      <c r="AL21">
        <f ca="1">INDIRECT("Project!AJ75")</f>
        <v>0</v>
      </c>
      <c r="AM21" s="92">
        <f ca="1">INDIRECT("Project!AN75")</f>
        <v>0</v>
      </c>
      <c r="BI21" s="232" t="s">
        <v>1263</v>
      </c>
      <c r="BJ21" s="232" t="s">
        <v>1468</v>
      </c>
      <c r="BK21" s="232" t="s">
        <v>1469</v>
      </c>
      <c r="BL21" s="232" t="s">
        <v>1470</v>
      </c>
      <c r="BM21" s="232" t="s">
        <v>1471</v>
      </c>
      <c r="BN21" s="232" t="s">
        <v>1472</v>
      </c>
      <c r="BO21" s="232" t="s">
        <v>1473</v>
      </c>
      <c r="BP21" s="232" t="s">
        <v>1474</v>
      </c>
    </row>
    <row r="22" spans="2:68" ht="14.3">
      <c r="B22" s="1"/>
      <c r="C22" s="1"/>
      <c r="D22" s="237" t="s">
        <v>832</v>
      </c>
      <c r="E22" s="742">
        <f ca="1">INDIRECT("'Grant QC Review'!M" &amp; 28+E18)</f>
        <v>0</v>
      </c>
      <c r="F22" s="1"/>
      <c r="G22" s="1"/>
      <c r="AC22">
        <f ca="1">INDIRECT("Project!BD59")</f>
        <v>5</v>
      </c>
      <c r="AD22" s="2" t="s">
        <v>1475</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2" t="e">
        <f ca="1">VLOOKUP($AC$22,$AC$19:$AM$21,11,FALSE)</f>
        <v>#N/A</v>
      </c>
      <c r="BI22" t="str">
        <f ca="1">W10</f>
        <v/>
      </c>
      <c r="BJ22" t="str">
        <f ca="1">X10</f>
        <v/>
      </c>
      <c r="BK22" t="str">
        <f ca="1">Y10</f>
        <v/>
      </c>
      <c r="BL22" t="str">
        <f ca="1">Z10</f>
        <v/>
      </c>
    </row>
    <row r="23" spans="2:68" ht="14.3">
      <c r="B23" s="1"/>
      <c r="C23" s="1"/>
      <c r="D23" s="237" t="s">
        <v>1476</v>
      </c>
      <c r="E23" s="742">
        <f ca="1">INDIRECT("'Grant QC Review'!M" &amp; 30+E18)</f>
        <v>0</v>
      </c>
      <c r="F23" s="1"/>
      <c r="G23" s="1"/>
      <c r="AL23" s="265"/>
      <c r="BI23" t="str">
        <f ca="1">W10</f>
        <v/>
      </c>
      <c r="BJ23" t="str">
        <f ca="1">X10</f>
        <v/>
      </c>
      <c r="BK23" t="str">
        <f ca="1">Y10</f>
        <v/>
      </c>
      <c r="BL23" t="str">
        <f ca="1">Z10</f>
        <v/>
      </c>
    </row>
    <row r="24" spans="2:68" ht="14.3">
      <c r="B24" s="1"/>
      <c r="C24" s="1"/>
      <c r="D24" s="237" t="s">
        <v>1477</v>
      </c>
      <c r="E24" s="743">
        <f ca="1">INDIRECT("'Grant QC Review'!M" &amp; 32+E18)</f>
        <v>0</v>
      </c>
      <c r="F24" s="1"/>
      <c r="G24" s="1"/>
      <c r="AL24" s="265"/>
    </row>
    <row r="25" spans="2:68" ht="14.3">
      <c r="B25" s="1"/>
      <c r="C25" s="1"/>
      <c r="D25" s="237" t="s">
        <v>824</v>
      </c>
      <c r="E25" s="740">
        <f ca="1">INDIRECT("'Grant QC Review'!S" &amp; 22+E18)</f>
        <v>0</v>
      </c>
      <c r="F25" s="1"/>
      <c r="G25" s="1"/>
      <c r="AL25" s="265"/>
    </row>
    <row r="26" spans="2:68" ht="14.3">
      <c r="B26" s="1"/>
      <c r="C26" s="1"/>
      <c r="D26" s="237" t="s">
        <v>827</v>
      </c>
      <c r="E26" s="740">
        <f ca="1">INDIRECT("'Grant QC Review'!S" &amp; 24+E18)</f>
        <v>0</v>
      </c>
      <c r="F26" s="1"/>
      <c r="G26" s="1"/>
      <c r="AL26" s="265"/>
      <c r="BI26" s="232" t="s">
        <v>1478</v>
      </c>
    </row>
    <row r="27" spans="2:68" ht="14.3">
      <c r="B27" s="1"/>
      <c r="C27" s="1"/>
      <c r="D27" s="237" t="s">
        <v>833</v>
      </c>
      <c r="E27" s="740">
        <f ca="1">INDIRECT("'Grant QC Review'!S" &amp; 28+E18)</f>
        <v>0</v>
      </c>
      <c r="F27" s="237" t="s">
        <v>1479</v>
      </c>
      <c r="G27" s="740">
        <f ca="1">INDIRECT("'Grant QC Review'!S" &amp; 32+E18)</f>
        <v>0</v>
      </c>
      <c r="AL27" s="265"/>
    </row>
    <row r="28" spans="2:68" ht="14.3">
      <c r="B28" s="1"/>
      <c r="C28" s="1"/>
      <c r="D28" s="237" t="s">
        <v>836</v>
      </c>
      <c r="E28" s="740">
        <f ca="1">INDIRECT("'Grant QC Review'!S" &amp; 30+E18)</f>
        <v>0</v>
      </c>
      <c r="F28" s="237" t="s">
        <v>1480</v>
      </c>
      <c r="G28" s="740">
        <f ca="1">INDIRECT("'Grant QC Review'!S" &amp; 34+E18)</f>
        <v>0</v>
      </c>
      <c r="AL28" s="265"/>
    </row>
    <row r="29" spans="2:68" ht="14.3">
      <c r="B29" s="1"/>
      <c r="C29" s="1"/>
      <c r="D29" s="237" t="s">
        <v>1481</v>
      </c>
      <c r="E29" s="740">
        <f ca="1">INDIRECT("'Grant QC Review'!S" &amp; 44+E18)</f>
        <v>0</v>
      </c>
      <c r="F29" s="237" t="s">
        <v>844</v>
      </c>
      <c r="G29" s="742">
        <f ca="1">INDIRECT("'Grant QC Review'!U" &amp; 36+E18)</f>
        <v>0</v>
      </c>
      <c r="AL29" s="265"/>
      <c r="BI29" s="232" t="s">
        <v>1482</v>
      </c>
      <c r="BJ29" s="232" t="s">
        <v>1483</v>
      </c>
      <c r="BK29" s="232" t="s">
        <v>1484</v>
      </c>
      <c r="BL29" s="232" t="s">
        <v>1485</v>
      </c>
    </row>
    <row r="30" spans="2:68" ht="14.3">
      <c r="B30" s="1"/>
      <c r="C30" s="1"/>
      <c r="D30" s="237" t="s">
        <v>854</v>
      </c>
      <c r="E30" s="740">
        <f ca="1">INDIRECT("'Grant QC Review'!S" &amp; 46+E18)</f>
        <v>0</v>
      </c>
      <c r="F30" s="1"/>
      <c r="G30" s="1"/>
      <c r="AL30" s="265"/>
    </row>
    <row r="31" spans="2:68" ht="14.3">
      <c r="B31" s="1"/>
      <c r="C31" s="1"/>
      <c r="D31" s="237" t="s">
        <v>1486</v>
      </c>
      <c r="E31" s="740">
        <f ca="1">INDIRECT("'Grant QC Review'!S" &amp; 49+E18)</f>
        <v>0</v>
      </c>
      <c r="F31" s="1"/>
      <c r="G31" s="1"/>
      <c r="AL31" s="265"/>
    </row>
    <row r="32" spans="2:68" ht="14.3">
      <c r="B32" s="1"/>
      <c r="C32" s="1"/>
      <c r="D32" s="237" t="s">
        <v>1080</v>
      </c>
      <c r="E32" s="740">
        <f ca="1">INDIRECT("'Grant QC Review'!S" &amp; 67+E18)</f>
        <v>0</v>
      </c>
      <c r="F32" s="1"/>
      <c r="G32" s="1"/>
      <c r="AL32" s="265"/>
    </row>
    <row r="33" spans="1:38" ht="14.3">
      <c r="B33" s="1"/>
      <c r="C33" s="1"/>
      <c r="D33" s="237" t="s">
        <v>875</v>
      </c>
      <c r="E33" s="740">
        <f ca="1">INDIRECT("'Grant QC Review'!S" &amp; 85+E18)</f>
        <v>0</v>
      </c>
      <c r="F33" s="1"/>
      <c r="G33" s="1"/>
      <c r="AL33" s="265"/>
    </row>
    <row r="34" spans="1:38" ht="14.3">
      <c r="B34" s="1"/>
      <c r="C34" s="1"/>
      <c r="D34" s="1"/>
      <c r="E34" s="1"/>
      <c r="F34" s="1"/>
      <c r="G34" s="1"/>
      <c r="AL34" s="265"/>
    </row>
    <row r="35" spans="1:38" ht="14.3">
      <c r="AL35" s="265"/>
    </row>
    <row r="36" spans="1:38" ht="14.3">
      <c r="AL36" s="265"/>
    </row>
    <row r="37" spans="1:38" ht="14.3">
      <c r="B37" s="1"/>
      <c r="C37" s="236" t="s">
        <v>145</v>
      </c>
      <c r="D37" s="236" t="s">
        <v>146</v>
      </c>
      <c r="E37" s="236" t="s">
        <v>147</v>
      </c>
      <c r="F37" s="236" t="s">
        <v>148</v>
      </c>
      <c r="G37" s="236" t="s">
        <v>149</v>
      </c>
      <c r="H37" s="236" t="s">
        <v>150</v>
      </c>
      <c r="I37" s="236" t="s">
        <v>151</v>
      </c>
      <c r="J37" s="1"/>
      <c r="AL37" s="265"/>
    </row>
    <row r="38" spans="1:38" ht="14.3">
      <c r="B38" s="1"/>
      <c r="C38" s="1"/>
      <c r="D38" s="1"/>
      <c r="E38" s="1"/>
      <c r="F38" s="1"/>
      <c r="G38" s="1"/>
      <c r="H38" s="1"/>
      <c r="I38" s="1"/>
      <c r="J38" s="1"/>
      <c r="AL38" s="265"/>
    </row>
    <row r="39" spans="1:38" ht="14.3">
      <c r="B39" s="239" t="s">
        <v>153</v>
      </c>
      <c r="C39" s="744">
        <f ca="1">INDIRECT("Project!E49")</f>
        <v>0</v>
      </c>
      <c r="D39" s="744">
        <f ca="1">INDIRECT("Project!F49")</f>
        <v>0</v>
      </c>
      <c r="E39" s="744">
        <f ca="1">INDIRECT("Project!G49")</f>
        <v>0</v>
      </c>
      <c r="F39" s="744">
        <f ca="1">INDIRECT("Project!H49")</f>
        <v>0</v>
      </c>
      <c r="G39" s="744">
        <f ca="1">INDIRECT("Project!I49")</f>
        <v>0</v>
      </c>
      <c r="H39" s="744">
        <f ca="1">INDIRECT("Project!K49")</f>
        <v>0</v>
      </c>
      <c r="I39" s="744">
        <f ca="1">INDIRECT("Project!L49")</f>
        <v>0</v>
      </c>
      <c r="J39" s="240" t="s">
        <v>154</v>
      </c>
      <c r="AL39" s="265"/>
    </row>
    <row r="40" spans="1:38" ht="14.3">
      <c r="B40" s="1"/>
      <c r="C40" s="1"/>
      <c r="D40" s="1"/>
      <c r="E40" s="1"/>
      <c r="F40" s="1"/>
      <c r="G40" s="1"/>
      <c r="H40" s="1"/>
      <c r="I40" s="1"/>
      <c r="J40" s="1"/>
      <c r="AL40" s="265"/>
    </row>
    <row r="41" spans="1:38" ht="14.3">
      <c r="B41" s="239" t="s">
        <v>155</v>
      </c>
      <c r="C41" s="744">
        <f ca="1">INDIRECT("Project!E51")</f>
        <v>0</v>
      </c>
      <c r="D41" s="744">
        <f ca="1">INDIRECT("Project!F51")</f>
        <v>0</v>
      </c>
      <c r="E41" s="744">
        <f ca="1">INDIRECT("Project!G51")</f>
        <v>0</v>
      </c>
      <c r="F41" s="744">
        <f ca="1">INDIRECT("Project!H51")</f>
        <v>0</v>
      </c>
      <c r="G41" s="744">
        <f ca="1">INDIRECT("Project!I51")</f>
        <v>0</v>
      </c>
      <c r="H41" s="744">
        <f ca="1">INDIRECT("Project!K51")</f>
        <v>0</v>
      </c>
      <c r="I41" s="744">
        <f ca="1">INDIRECT("Project!L51")</f>
        <v>0</v>
      </c>
      <c r="J41" s="240" t="s">
        <v>156</v>
      </c>
      <c r="AL41" s="265"/>
    </row>
    <row r="42" spans="1:38" ht="14.3">
      <c r="B42" s="1"/>
      <c r="C42" s="1"/>
      <c r="D42" s="1"/>
      <c r="E42" s="1"/>
      <c r="F42" s="1"/>
      <c r="G42" s="1"/>
      <c r="H42" s="1"/>
      <c r="I42" s="1"/>
      <c r="J42" s="1"/>
      <c r="AL42" s="265"/>
    </row>
    <row r="43" spans="1:38" ht="14.3">
      <c r="B43" s="1"/>
      <c r="C43" s="241">
        <f ca="1">INDIRECT("Project!E53")</f>
        <v>0</v>
      </c>
      <c r="D43" s="240" t="s">
        <v>157</v>
      </c>
      <c r="E43" s="1"/>
      <c r="F43" s="1"/>
      <c r="G43" s="1"/>
      <c r="H43" s="1"/>
      <c r="I43" s="744">
        <f ca="1">INDIRECT("Project!R53")</f>
        <v>0</v>
      </c>
      <c r="J43" s="240" t="s">
        <v>1487</v>
      </c>
      <c r="AL43" s="265"/>
    </row>
    <row r="44" spans="1:38" ht="14.3">
      <c r="A44" s="92"/>
      <c r="B44" s="238"/>
      <c r="C44" s="1"/>
      <c r="D44" s="1"/>
      <c r="E44" s="1"/>
      <c r="F44" s="1"/>
      <c r="G44" s="1"/>
      <c r="H44" s="1"/>
      <c r="I44" s="1"/>
      <c r="J44" s="1"/>
      <c r="AL44" s="265"/>
    </row>
    <row r="45" spans="1:38" ht="14.3">
      <c r="AL45" s="265"/>
    </row>
    <row r="46" spans="1:38" ht="14.3">
      <c r="AL46" s="265"/>
    </row>
    <row r="47" spans="1:38" ht="14.3">
      <c r="H47" s="12"/>
      <c r="J47" s="12"/>
      <c r="K47" s="12"/>
      <c r="M47" s="234"/>
      <c r="N47" s="234"/>
      <c r="Q47" s="242"/>
      <c r="R47" s="242"/>
      <c r="S47" s="234"/>
      <c r="T47" s="234"/>
      <c r="AC47" s="234"/>
      <c r="AD47" s="234"/>
      <c r="AE47" s="234"/>
      <c r="AG47" s="242"/>
      <c r="AH47" s="242"/>
      <c r="AI47" s="234"/>
      <c r="AJ47" s="234"/>
      <c r="AL47" s="265"/>
    </row>
    <row r="48" spans="1:38" ht="14.3">
      <c r="A48" s="235" t="s">
        <v>1444</v>
      </c>
      <c r="B48" s="1"/>
      <c r="C48" s="1"/>
      <c r="D48" s="1"/>
      <c r="E48" s="1"/>
      <c r="F48" s="1"/>
      <c r="G48" s="1"/>
      <c r="H48" s="1"/>
      <c r="I48" s="1"/>
      <c r="J48" s="1"/>
      <c r="K48" s="1"/>
      <c r="L48" s="1"/>
      <c r="M48" s="1"/>
      <c r="N48" s="1"/>
      <c r="O48" s="1"/>
      <c r="P48" s="1"/>
      <c r="Q48" s="1"/>
      <c r="R48" s="1"/>
      <c r="S48" s="1"/>
      <c r="T48" s="1"/>
      <c r="U48" s="1"/>
      <c r="V48" s="1"/>
      <c r="W48" s="1"/>
      <c r="X48" s="1"/>
      <c r="AC48" s="234"/>
      <c r="AD48" s="234"/>
      <c r="AE48" s="234"/>
      <c r="AG48" s="242"/>
      <c r="AH48" s="242"/>
      <c r="AI48" s="234"/>
      <c r="AJ48" s="234"/>
      <c r="AL48" s="265"/>
    </row>
    <row r="49" spans="1:47" ht="28.55">
      <c r="A49" s="235" t="s">
        <v>1488</v>
      </c>
      <c r="B49" s="235" t="s">
        <v>1489</v>
      </c>
      <c r="C49" s="382" t="s">
        <v>1490</v>
      </c>
      <c r="D49" s="235" t="s">
        <v>1491</v>
      </c>
      <c r="E49" s="235" t="s">
        <v>1492</v>
      </c>
      <c r="F49" s="235" t="s">
        <v>1493</v>
      </c>
      <c r="G49" s="235" t="s">
        <v>1494</v>
      </c>
      <c r="H49" s="382" t="s">
        <v>1495</v>
      </c>
      <c r="I49" s="235" t="s">
        <v>1496</v>
      </c>
      <c r="J49" s="235" t="s">
        <v>1497</v>
      </c>
      <c r="K49" s="235" t="s">
        <v>1498</v>
      </c>
      <c r="L49" s="235" t="s">
        <v>1499</v>
      </c>
      <c r="M49" s="235" t="s">
        <v>1500</v>
      </c>
      <c r="N49" s="235"/>
      <c r="O49" s="235" t="s">
        <v>1501</v>
      </c>
      <c r="P49" s="235" t="s">
        <v>1502</v>
      </c>
      <c r="Q49" s="235"/>
      <c r="R49" s="235" t="s">
        <v>1503</v>
      </c>
      <c r="S49" s="602" t="s">
        <v>1504</v>
      </c>
      <c r="T49" s="602" t="s">
        <v>470</v>
      </c>
      <c r="U49" s="602" t="s">
        <v>1505</v>
      </c>
      <c r="V49" s="602" t="s">
        <v>1506</v>
      </c>
      <c r="W49" s="602" t="s">
        <v>415</v>
      </c>
      <c r="X49" s="602" t="s">
        <v>1189</v>
      </c>
      <c r="Z49" s="111" t="s">
        <v>1507</v>
      </c>
      <c r="AA49" s="111" t="s">
        <v>1508</v>
      </c>
      <c r="AB49" s="111" t="s">
        <v>1509</v>
      </c>
      <c r="AC49" s="264" t="s">
        <v>1510</v>
      </c>
      <c r="AE49" s="264" t="s">
        <v>1511</v>
      </c>
      <c r="AL49" s="265"/>
    </row>
    <row r="50" spans="1:47" ht="14.3">
      <c r="A50" s="235"/>
      <c r="B50" s="235"/>
      <c r="C50" s="235"/>
      <c r="D50" s="235"/>
      <c r="E50" s="235"/>
      <c r="F50" s="235"/>
      <c r="G50" s="235"/>
      <c r="H50" s="235"/>
      <c r="I50" s="235"/>
      <c r="J50" s="235"/>
      <c r="K50" s="235"/>
      <c r="L50" s="235"/>
      <c r="M50" s="235" t="s">
        <v>1512</v>
      </c>
      <c r="N50" s="235" t="s">
        <v>1513</v>
      </c>
      <c r="O50" s="235"/>
      <c r="P50" s="235"/>
      <c r="Q50" s="235"/>
      <c r="R50" s="235"/>
      <c r="S50" s="235"/>
      <c r="T50" s="235"/>
      <c r="U50" s="235"/>
      <c r="V50" s="235"/>
      <c r="W50" s="235"/>
      <c r="X50" s="235"/>
      <c r="AL50" s="265"/>
    </row>
    <row r="51" spans="1:47" ht="14.3">
      <c r="A51" s="740" t="str">
        <f ca="1">INDIRECT("Autofund!B3")</f>
        <v>Fixture/Control Incentive</v>
      </c>
      <c r="B51" s="745">
        <f ca="1">INDIRECT("Autofund!C3")</f>
        <v>0</v>
      </c>
      <c r="C51" s="746">
        <f ca="1">INDIRECT("Autofund!E3")</f>
        <v>2</v>
      </c>
      <c r="D51" s="746" t="b">
        <f ca="1">INDIRECT("Autofund!F3")</f>
        <v>0</v>
      </c>
      <c r="E51" s="746">
        <f ca="1">INDIRECT("Autofund!G3")</f>
        <v>0</v>
      </c>
      <c r="F51" s="746">
        <f ca="1">INDIRECT("Autofund!H3")</f>
        <v>0</v>
      </c>
      <c r="G51" s="745">
        <f ca="1">INDIRECT("Autofund!I3")</f>
        <v>0</v>
      </c>
      <c r="H51" s="745">
        <f ca="1">INDIRECT("Autofund!J3")</f>
        <v>0</v>
      </c>
      <c r="I51" s="746">
        <f ca="1">INDIRECT("Autofund!K3")</f>
        <v>0</v>
      </c>
      <c r="J51" s="746">
        <f ca="1">INDIRECT("Autofund!L3")</f>
        <v>0</v>
      </c>
      <c r="K51" s="746" t="str">
        <f ca="1">INDIRECT("Autofund!M3")</f>
        <v/>
      </c>
      <c r="L51" s="746">
        <f ca="1">INDIRECT("Autofund!P3")</f>
        <v>0</v>
      </c>
      <c r="M51" s="746" t="str">
        <f ca="1">INDIRECT("Autofund!Q3")</f>
        <v>N/A</v>
      </c>
      <c r="N51" s="746" t="str">
        <f ca="1">INDIRECT("Autofund!R3")</f>
        <v>N/A</v>
      </c>
      <c r="O51" s="746">
        <f ca="1">INDIRECT("Autofund!N3")</f>
        <v>0</v>
      </c>
      <c r="P51" s="746">
        <f ca="1">INDIRECT("Autofund!O3")</f>
        <v>0</v>
      </c>
      <c r="Q51" s="747"/>
      <c r="R51" s="748">
        <f ca="1">IFERROR(X51/E51,0)</f>
        <v>0</v>
      </c>
      <c r="S51" s="748" t="e">
        <f ca="1">H51/E51</f>
        <v>#DIV/0!</v>
      </c>
      <c r="T51" s="748">
        <f ca="1">INDIRECT("Autofund!AC3")</f>
        <v>0</v>
      </c>
      <c r="U51" s="748">
        <f ca="1">INDIRECT("Autofund!AD3")</f>
        <v>0</v>
      </c>
      <c r="V51" s="748">
        <f ca="1">INDIRECT("Autofund!AE3")</f>
        <v>0</v>
      </c>
      <c r="W51" s="748">
        <f ca="1">INDIRECT("Autofund!AF3")</f>
        <v>0</v>
      </c>
      <c r="X51" s="748">
        <f ca="1">INDIRECT("Autofund!AG3")</f>
        <v>0</v>
      </c>
      <c r="Z51" s="745">
        <f ca="1">INDIRECT("Autofund!T3")</f>
        <v>0</v>
      </c>
      <c r="AA51" s="745">
        <f ca="1">INDIRECT("Autofund!U3")</f>
        <v>0</v>
      </c>
      <c r="AB51" s="745">
        <f ca="1">INDIRECT("Autofund!V3")</f>
        <v>0</v>
      </c>
      <c r="AC51" s="745">
        <f ca="1">INDIRECT("Autofund!W3")</f>
        <v>0</v>
      </c>
      <c r="AE51" s="745">
        <f ca="1">INDIRECT("Autofund!AA3")</f>
        <v>0</v>
      </c>
      <c r="AL51" s="265"/>
    </row>
    <row r="52" spans="1:47" ht="14.3">
      <c r="A52" s="740" t="str">
        <f ca="1">INDIRECT("Autofund!B4")</f>
        <v>TLED Incentive</v>
      </c>
      <c r="B52" s="745">
        <f ca="1">INDIRECT("Autofund!D4")</f>
        <v>0</v>
      </c>
      <c r="C52" s="746">
        <f ca="1">INDIRECT("Autofund!E4")</f>
        <v>2</v>
      </c>
      <c r="D52" s="746" t="b">
        <f ca="1">INDIRECT("Autofund!F4")</f>
        <v>0</v>
      </c>
      <c r="E52" s="746">
        <f ca="1">INDIRECT("Autofund!G4")</f>
        <v>0</v>
      </c>
      <c r="F52" s="746">
        <f ca="1">INDIRECT("Autofund!H4")</f>
        <v>10</v>
      </c>
      <c r="G52" s="745">
        <f ca="1">INDIRECT("Autofund!I4")</f>
        <v>0</v>
      </c>
      <c r="H52" s="745">
        <f ca="1">INDIRECT("Autofund!J4")</f>
        <v>0</v>
      </c>
      <c r="I52" s="746">
        <f ca="1">INDIRECT("Autofund!K4")</f>
        <v>0</v>
      </c>
      <c r="J52" s="746">
        <f ca="1">INDIRECT("Autofund!L4")</f>
        <v>0</v>
      </c>
      <c r="K52" s="746">
        <f ca="1">INDIRECT("Autofund!m4")</f>
        <v>0</v>
      </c>
      <c r="L52" s="746">
        <f ca="1">INDIRECT("Autofund!P4")</f>
        <v>0</v>
      </c>
      <c r="M52" s="746">
        <f ca="1">INDIRECT("Autofund!Q4")</f>
        <v>0</v>
      </c>
      <c r="N52" s="746">
        <f ca="1">INDIRECT("Autofund!R4")</f>
        <v>0</v>
      </c>
      <c r="O52" s="746">
        <f ca="1">INDIRECT("Autofund!N4")</f>
        <v>0</v>
      </c>
      <c r="P52" s="746">
        <f ca="1">INDIRECT("Autofund!O4")</f>
        <v>0</v>
      </c>
      <c r="Q52" s="740"/>
      <c r="R52" s="748">
        <f ca="1">IFERROR(X52/E52,0)</f>
        <v>0</v>
      </c>
      <c r="S52" s="748" t="e">
        <f ca="1">H52/E52</f>
        <v>#DIV/0!</v>
      </c>
      <c r="T52" s="748">
        <f ca="1">INDIRECT("Autofund!AC4")</f>
        <v>0</v>
      </c>
      <c r="U52" s="748">
        <f ca="1">INDIRECT("Autofund!AD4")</f>
        <v>0</v>
      </c>
      <c r="V52" s="748">
        <f ca="1">INDIRECT("Autofund!AE4")</f>
        <v>0</v>
      </c>
      <c r="W52" s="748">
        <f ca="1">INDIRECT("Autofund!AF4")</f>
        <v>0</v>
      </c>
      <c r="X52" s="748">
        <f ca="1">INDIRECT("Autofund!AG4")</f>
        <v>0</v>
      </c>
      <c r="AL52" s="265"/>
    </row>
    <row r="53" spans="1:47" ht="14.3">
      <c r="A53" s="740" t="str">
        <f ca="1">INDIRECT("Autofund!B5")</f>
        <v>LLLC Bonus</v>
      </c>
      <c r="B53" s="745">
        <f ca="1">INDIRECT("Autofund!D5")</f>
        <v>0</v>
      </c>
      <c r="C53" s="746">
        <f ca="1">INDIRECT("Autofund!E5")</f>
        <v>0</v>
      </c>
      <c r="D53" s="746" t="b">
        <f ca="1">INDIRECT("Autofund!F5")</f>
        <v>0</v>
      </c>
      <c r="E53" s="746">
        <f ca="1">INDIRECT("Autofund!G5")</f>
        <v>0</v>
      </c>
      <c r="F53" s="746">
        <f ca="1">INDIRECT("Autofund!H5")</f>
        <v>0</v>
      </c>
      <c r="G53" s="745">
        <f ca="1">INDIRECT("Autofund!I5")</f>
        <v>0</v>
      </c>
      <c r="H53" s="745">
        <f ca="1">INDIRECT("Autofund!J5")</f>
        <v>0</v>
      </c>
      <c r="I53" s="746">
        <f ca="1">INDIRECT("Autofund!K5")</f>
        <v>0</v>
      </c>
      <c r="J53" s="746">
        <f ca="1">INDIRECT("Autofund!L5")</f>
        <v>0</v>
      </c>
      <c r="K53" s="746">
        <f ca="1">INDIRECT("Autofund!M5")</f>
        <v>0</v>
      </c>
      <c r="L53" s="746">
        <f ca="1">INDIRECT("Autofund!P5")</f>
        <v>0</v>
      </c>
      <c r="M53" s="746">
        <f ca="1">INDIRECT("Autofund!Q5")</f>
        <v>0</v>
      </c>
      <c r="N53" s="746">
        <f ca="1">INDIRECT("Autofund!R5")</f>
        <v>0</v>
      </c>
      <c r="O53" s="746">
        <f ca="1">INDIRECT("Autofund!N5")</f>
        <v>0</v>
      </c>
      <c r="P53" s="746">
        <f ca="1">INDIRECT("Autofund!O5")</f>
        <v>0</v>
      </c>
      <c r="Q53" s="1"/>
      <c r="R53" s="236"/>
      <c r="S53" s="748"/>
      <c r="T53" s="748">
        <f ca="1">INDIRECT("Autofund!AC5")</f>
        <v>0</v>
      </c>
      <c r="U53" s="748">
        <f ca="1">INDIRECT("Autofund!AD5")</f>
        <v>0</v>
      </c>
      <c r="V53" s="748">
        <f ca="1">INDIRECT("Autofund!AE5")</f>
        <v>0</v>
      </c>
      <c r="W53" s="748">
        <f ca="1">INDIRECT("Autofund!AF5")</f>
        <v>0</v>
      </c>
      <c r="X53" s="748">
        <f ca="1">INDIRECT("Autofund!AG5")</f>
        <v>0</v>
      </c>
      <c r="AU53" s="265"/>
    </row>
    <row r="54" spans="1:47" ht="14.3">
      <c r="A54" s="740" t="str">
        <f ca="1">INDIRECT("Autofund!B6")</f>
        <v>Total Incentive</v>
      </c>
      <c r="B54" s="745">
        <f ca="1">INDIRECT("Autofund!D6")</f>
        <v>0</v>
      </c>
      <c r="C54" s="746">
        <f ca="1">INDIRECT("Autofund!E6")</f>
        <v>2</v>
      </c>
      <c r="D54" s="746" t="b">
        <f ca="1">INDIRECT("Autofund!F6")</f>
        <v>0</v>
      </c>
      <c r="E54" s="746">
        <f ca="1">INDIRECT("Autofund!G6")</f>
        <v>0</v>
      </c>
      <c r="F54" s="746">
        <f ca="1">INDIRECT("Autofund!H6")</f>
        <v>0</v>
      </c>
      <c r="G54" s="745">
        <f ca="1">INDIRECT("Autofund!I6")</f>
        <v>0</v>
      </c>
      <c r="H54" s="745">
        <f ca="1">INDIRECT("Autofund!J6")</f>
        <v>0</v>
      </c>
      <c r="I54" s="746">
        <f ca="1">INDIRECT("Autofund!K6")</f>
        <v>0</v>
      </c>
      <c r="J54" s="746">
        <f ca="1">INDIRECT("Autofund!L6")</f>
        <v>0</v>
      </c>
      <c r="K54" s="746">
        <f ca="1">INDIRECT("Autofund!M6")</f>
        <v>0</v>
      </c>
      <c r="L54" s="746">
        <f ca="1">INDIRECT("Autofund!P6")</f>
        <v>0</v>
      </c>
      <c r="M54" s="746" t="str">
        <f ca="1">INDIRECT("Autofund!Q6")</f>
        <v>N/A</v>
      </c>
      <c r="N54" s="746" t="str">
        <f ca="1">INDIRECT("Autofund!R6")</f>
        <v>N/A</v>
      </c>
      <c r="O54" s="746">
        <f ca="1">INDIRECT("Autofund!N6")</f>
        <v>0</v>
      </c>
      <c r="P54" s="746">
        <f ca="1">INDIRECT("Autofund!O6")</f>
        <v>0</v>
      </c>
      <c r="Q54" s="740"/>
      <c r="R54" s="748">
        <f ca="1">IFERROR(X54/E54,0)</f>
        <v>0</v>
      </c>
      <c r="S54" s="748" t="e">
        <f ca="1">H54/E54</f>
        <v>#DIV/0!</v>
      </c>
      <c r="T54" s="748">
        <f ca="1">INDIRECT("Autofund!AC6")</f>
        <v>0</v>
      </c>
      <c r="U54" s="748">
        <f ca="1">INDIRECT("Autofund!AD6")</f>
        <v>0</v>
      </c>
      <c r="V54" s="748">
        <f ca="1">INDIRECT("Autofund!AE6")</f>
        <v>0</v>
      </c>
      <c r="W54" s="748">
        <f ca="1">INDIRECT("Autofund!AF6")</f>
        <v>0</v>
      </c>
      <c r="X54" s="748">
        <f ca="1">INDIRECT("Autofund!AG6")</f>
        <v>0</v>
      </c>
    </row>
    <row r="55" spans="1:47" ht="14.3">
      <c r="A55" s="740"/>
      <c r="B55" s="749"/>
      <c r="C55" s="740"/>
      <c r="D55" s="740"/>
      <c r="E55" s="740"/>
      <c r="F55" s="740"/>
      <c r="G55" s="740"/>
      <c r="H55" s="749"/>
      <c r="I55" s="740"/>
      <c r="J55" s="740"/>
      <c r="K55" s="740"/>
      <c r="L55" s="740"/>
      <c r="M55" s="740"/>
      <c r="N55" s="740"/>
      <c r="O55" s="740"/>
      <c r="P55" s="740"/>
      <c r="Q55" s="740"/>
      <c r="R55" s="746"/>
      <c r="S55" s="746"/>
      <c r="T55" s="740"/>
      <c r="U55" s="740"/>
      <c r="V55" s="740"/>
      <c r="W55" s="740"/>
      <c r="X55" s="740"/>
      <c r="AK55" s="234"/>
      <c r="AN55" s="233"/>
      <c r="AO55" s="233"/>
    </row>
    <row r="56" spans="1:47" ht="14.3">
      <c r="A56" s="1"/>
      <c r="B56" s="1"/>
      <c r="C56" s="1"/>
      <c r="D56" s="1"/>
      <c r="E56" s="1"/>
      <c r="F56" s="1"/>
      <c r="G56" s="1"/>
      <c r="H56" s="1"/>
      <c r="I56" s="1"/>
      <c r="J56" s="1"/>
      <c r="K56" s="1"/>
      <c r="L56" s="1"/>
      <c r="M56" s="1"/>
      <c r="N56" s="1"/>
      <c r="O56" s="1"/>
      <c r="P56" s="1"/>
      <c r="Q56" s="1"/>
      <c r="R56" s="1"/>
      <c r="S56" s="1"/>
      <c r="T56" s="1"/>
      <c r="U56" s="1"/>
      <c r="V56" s="1"/>
      <c r="W56" s="1"/>
      <c r="X56" s="1"/>
      <c r="AK56" s="234"/>
      <c r="AN56" s="233"/>
      <c r="AO56" s="233"/>
    </row>
    <row r="57" spans="1:47" ht="14.3">
      <c r="A57" s="750"/>
      <c r="B57" s="746" t="s">
        <v>239</v>
      </c>
      <c r="C57" s="746" t="s">
        <v>1514</v>
      </c>
      <c r="D57" s="746" t="s">
        <v>1515</v>
      </c>
      <c r="E57" s="746" t="s">
        <v>1516</v>
      </c>
      <c r="F57" s="1"/>
      <c r="G57" s="1"/>
      <c r="H57" s="1"/>
      <c r="I57" s="1"/>
      <c r="J57" s="1"/>
      <c r="K57" s="1"/>
      <c r="L57" s="1"/>
      <c r="M57" s="1"/>
      <c r="N57" s="1"/>
      <c r="O57" s="1"/>
      <c r="P57" s="1"/>
      <c r="Q57" s="1"/>
      <c r="R57" s="1"/>
      <c r="S57" s="1"/>
      <c r="T57" s="1"/>
      <c r="U57" s="1"/>
      <c r="V57" s="1"/>
      <c r="W57" s="1"/>
      <c r="X57" s="1"/>
    </row>
    <row r="58" spans="1:47" ht="14.3">
      <c r="A58" s="750" t="e">
        <f ca="1">INDIRECT("'Elec_Grant_Calc 2'!B25")</f>
        <v>#REF!</v>
      </c>
      <c r="B58" s="746" t="e">
        <f ca="1">INDIRECT("'Elec_Grant_Calc 2'!C25")</f>
        <v>#REF!</v>
      </c>
      <c r="C58" s="748" t="e">
        <f ca="1">INDIRECT("'Elec_Grant_Calc 2'!D25")</f>
        <v>#REF!</v>
      </c>
      <c r="D58" s="746" t="e">
        <f ca="1">INDIRECT("'Elec_Grant_Calc 2'!E25")</f>
        <v>#REF!</v>
      </c>
      <c r="E58" s="746" t="e">
        <f ca="1">INDIRECT("'Elec_Grant_Calc 2'!F25")</f>
        <v>#REF!</v>
      </c>
      <c r="F58" s="1"/>
      <c r="G58" s="1"/>
      <c r="H58" s="1"/>
      <c r="I58" s="1"/>
      <c r="J58" s="1"/>
      <c r="K58" s="1"/>
      <c r="L58" s="1"/>
      <c r="M58" s="1"/>
      <c r="N58" s="1"/>
      <c r="O58" s="1"/>
      <c r="P58" s="1"/>
      <c r="Q58" s="1"/>
      <c r="R58" s="1"/>
      <c r="S58" s="1"/>
      <c r="T58" s="1"/>
      <c r="U58" s="1"/>
      <c r="V58" s="1"/>
      <c r="W58" s="1"/>
      <c r="X58" s="1"/>
    </row>
    <row r="61" spans="1:47" ht="14.3">
      <c r="A61" s="12"/>
      <c r="B61" s="92"/>
      <c r="D61" s="92"/>
      <c r="E61" s="92"/>
      <c r="F61" s="92"/>
    </row>
    <row r="64" spans="1:47" ht="14.3">
      <c r="B64" s="2" t="s">
        <v>1517</v>
      </c>
      <c r="J64" s="2" t="s">
        <v>1518</v>
      </c>
    </row>
    <row r="65" spans="2:21" ht="14.3">
      <c r="D65" t="s">
        <v>1519</v>
      </c>
      <c r="E65" t="s">
        <v>1520</v>
      </c>
      <c r="F65" t="s">
        <v>602</v>
      </c>
      <c r="G65" t="s">
        <v>603</v>
      </c>
      <c r="H65" t="s">
        <v>194</v>
      </c>
      <c r="L65" t="s">
        <v>1519</v>
      </c>
      <c r="M65" t="s">
        <v>617</v>
      </c>
      <c r="N65" t="s">
        <v>1521</v>
      </c>
      <c r="O65" t="s">
        <v>619</v>
      </c>
      <c r="P65" t="s">
        <v>1522</v>
      </c>
      <c r="Q65" t="s">
        <v>1523</v>
      </c>
      <c r="R65" t="s">
        <v>205</v>
      </c>
      <c r="S65" t="s">
        <v>222</v>
      </c>
      <c r="T65" t="s">
        <v>1524</v>
      </c>
      <c r="U65" t="s">
        <v>1525</v>
      </c>
    </row>
    <row r="66" spans="2:21" ht="14.3">
      <c r="B66" s="751" t="str">
        <f>Fixtures!BV27</f>
        <v/>
      </c>
      <c r="C66" s="751">
        <f>Fixtures!BW27</f>
        <v>1</v>
      </c>
      <c r="D66" s="751">
        <f>Fixtures!BX27</f>
        <v>0</v>
      </c>
      <c r="E66" s="751">
        <f>Fixtures!CB27</f>
        <v>0</v>
      </c>
      <c r="F66" s="751">
        <f>Fixtures!CF27</f>
        <v>0</v>
      </c>
      <c r="G66" s="751">
        <f>Fixtures!CJ27</f>
        <v>0</v>
      </c>
      <c r="H66" s="751" t="str">
        <f>Fixtures!CP27</f>
        <v/>
      </c>
      <c r="J66" s="751" t="str">
        <f>Fixtures!DN27</f>
        <v/>
      </c>
      <c r="K66" s="751">
        <f>Fixtures!DW27</f>
        <v>1</v>
      </c>
      <c r="L66" s="752">
        <f>Fixtures!DX27</f>
        <v>0</v>
      </c>
      <c r="M66" s="752">
        <f>Fixtures!EB27</f>
        <v>0</v>
      </c>
      <c r="N66" s="753">
        <f>Fixtures!EF27</f>
        <v>0</v>
      </c>
      <c r="O66" s="752">
        <f>Fixtures!EH27</f>
        <v>0</v>
      </c>
      <c r="P66" s="752">
        <f>Fixtures!EL27</f>
        <v>0</v>
      </c>
      <c r="Q66" s="753">
        <f>Fixtures!EP27</f>
        <v>0</v>
      </c>
      <c r="R66" s="753" t="str">
        <f>Fixtures!EY27</f>
        <v/>
      </c>
      <c r="S66" s="754">
        <f>Fixtures!EX27</f>
        <v>0</v>
      </c>
      <c r="T66" s="753" t="str">
        <f>Fixtures!DM27</f>
        <v>No</v>
      </c>
      <c r="U66" s="753">
        <f>Fixtures!ER27</f>
        <v>0</v>
      </c>
    </row>
    <row r="67" spans="2:21" ht="14.3">
      <c r="B67" s="751" t="str">
        <f>Fixtures!BV28</f>
        <v/>
      </c>
      <c r="C67" s="751">
        <f>Fixtures!BW28</f>
        <v>2</v>
      </c>
      <c r="D67" s="751">
        <f>Fixtures!BX28</f>
        <v>0</v>
      </c>
      <c r="E67" s="751">
        <f>Fixtures!CB28</f>
        <v>0</v>
      </c>
      <c r="F67" s="751">
        <f>Fixtures!CF28</f>
        <v>0</v>
      </c>
      <c r="G67" s="751">
        <f>Fixtures!CJ28</f>
        <v>0</v>
      </c>
      <c r="H67" s="751" t="str">
        <f>Fixtures!CP28</f>
        <v/>
      </c>
      <c r="J67" s="751" t="str">
        <f>Fixtures!DN28</f>
        <v/>
      </c>
      <c r="K67" s="751">
        <f>Fixtures!DW28</f>
        <v>2</v>
      </c>
      <c r="L67" s="752">
        <f>Fixtures!DX28</f>
        <v>0</v>
      </c>
      <c r="M67" s="752">
        <f>Fixtures!EB28</f>
        <v>0</v>
      </c>
      <c r="N67" s="753">
        <f>Fixtures!EF28</f>
        <v>0</v>
      </c>
      <c r="O67" s="752">
        <f>Fixtures!EH28</f>
        <v>0</v>
      </c>
      <c r="P67" s="752">
        <f>Fixtures!EL28</f>
        <v>0</v>
      </c>
      <c r="Q67" s="753">
        <f>Fixtures!EP28</f>
        <v>0</v>
      </c>
      <c r="R67" s="753" t="str">
        <f>Fixtures!EY28</f>
        <v/>
      </c>
      <c r="S67" s="754">
        <f>Fixtures!EX28</f>
        <v>0</v>
      </c>
      <c r="T67" s="753" t="str">
        <f>Fixtures!DM28</f>
        <v>No</v>
      </c>
      <c r="U67" s="753">
        <f>Fixtures!ER28</f>
        <v>0</v>
      </c>
    </row>
    <row r="68" spans="2:21" ht="14.3">
      <c r="B68" s="751" t="str">
        <f>Fixtures!BV29</f>
        <v/>
      </c>
      <c r="C68" s="751">
        <f>Fixtures!BW29</f>
        <v>3</v>
      </c>
      <c r="D68" s="751">
        <f>Fixtures!BX29</f>
        <v>0</v>
      </c>
      <c r="E68" s="751">
        <f>Fixtures!CB29</f>
        <v>0</v>
      </c>
      <c r="F68" s="751">
        <f>Fixtures!CF29</f>
        <v>0</v>
      </c>
      <c r="G68" s="751">
        <f>Fixtures!CJ29</f>
        <v>0</v>
      </c>
      <c r="H68" s="751" t="str">
        <f>Fixtures!CP29</f>
        <v/>
      </c>
      <c r="J68" s="751" t="str">
        <f>Fixtures!DN29</f>
        <v/>
      </c>
      <c r="K68" s="751">
        <f>Fixtures!DW29</f>
        <v>3</v>
      </c>
      <c r="L68" s="752">
        <f>Fixtures!DX29</f>
        <v>0</v>
      </c>
      <c r="M68" s="752">
        <f>Fixtures!EB29</f>
        <v>0</v>
      </c>
      <c r="N68" s="753">
        <f>Fixtures!EF29</f>
        <v>0</v>
      </c>
      <c r="O68" s="752">
        <f>Fixtures!EH29</f>
        <v>0</v>
      </c>
      <c r="P68" s="752">
        <f>Fixtures!EL29</f>
        <v>0</v>
      </c>
      <c r="Q68" s="753">
        <f>Fixtures!EP29</f>
        <v>0</v>
      </c>
      <c r="R68" s="753" t="str">
        <f>Fixtures!EY29</f>
        <v/>
      </c>
      <c r="S68" s="754">
        <f>Fixtures!EX29</f>
        <v>0</v>
      </c>
      <c r="T68" s="753" t="str">
        <f>Fixtures!DM29</f>
        <v>No</v>
      </c>
      <c r="U68" s="753">
        <f>Fixtures!ER29</f>
        <v>0</v>
      </c>
    </row>
    <row r="69" spans="2:21" ht="14.3">
      <c r="B69" s="751" t="str">
        <f>Fixtures!BV30</f>
        <v/>
      </c>
      <c r="C69" s="751">
        <f>Fixtures!BW30</f>
        <v>4</v>
      </c>
      <c r="D69" s="751">
        <f>Fixtures!BX30</f>
        <v>0</v>
      </c>
      <c r="E69" s="751">
        <f>Fixtures!CB30</f>
        <v>0</v>
      </c>
      <c r="F69" s="751">
        <f>Fixtures!CF30</f>
        <v>0</v>
      </c>
      <c r="G69" s="751">
        <f>Fixtures!CJ30</f>
        <v>0</v>
      </c>
      <c r="H69" s="751" t="str">
        <f>Fixtures!CP30</f>
        <v/>
      </c>
      <c r="J69" s="751" t="str">
        <f>Fixtures!DN30</f>
        <v/>
      </c>
      <c r="K69" s="751">
        <f>Fixtures!DW30</f>
        <v>4</v>
      </c>
      <c r="L69" s="752">
        <f>Fixtures!DX30</f>
        <v>0</v>
      </c>
      <c r="M69" s="752">
        <f>Fixtures!EB30</f>
        <v>0</v>
      </c>
      <c r="N69" s="753">
        <f>Fixtures!EF30</f>
        <v>0</v>
      </c>
      <c r="O69" s="752">
        <f>Fixtures!EH30</f>
        <v>0</v>
      </c>
      <c r="P69" s="752">
        <f>Fixtures!EL30</f>
        <v>0</v>
      </c>
      <c r="Q69" s="753">
        <f>Fixtures!EP30</f>
        <v>0</v>
      </c>
      <c r="R69" s="753" t="str">
        <f>Fixtures!EY30</f>
        <v/>
      </c>
      <c r="S69" s="754">
        <f>Fixtures!EX30</f>
        <v>0</v>
      </c>
      <c r="T69" s="753" t="str">
        <f>Fixtures!DM30</f>
        <v>No</v>
      </c>
      <c r="U69" s="753">
        <f>Fixtures!ER30</f>
        <v>0</v>
      </c>
    </row>
    <row r="70" spans="2:21" ht="14.3">
      <c r="B70" s="751" t="str">
        <f>Fixtures!BV31</f>
        <v/>
      </c>
      <c r="C70" s="751">
        <f>Fixtures!BW31</f>
        <v>5</v>
      </c>
      <c r="D70" s="751">
        <f>Fixtures!BX31</f>
        <v>0</v>
      </c>
      <c r="E70" s="751">
        <f>Fixtures!CB31</f>
        <v>0</v>
      </c>
      <c r="F70" s="751">
        <f>Fixtures!CF31</f>
        <v>0</v>
      </c>
      <c r="G70" s="751">
        <f>Fixtures!CJ31</f>
        <v>0</v>
      </c>
      <c r="H70" s="751" t="str">
        <f>Fixtures!CP31</f>
        <v/>
      </c>
      <c r="J70" s="751" t="str">
        <f>Fixtures!DN31</f>
        <v/>
      </c>
      <c r="K70" s="751">
        <f>Fixtures!DW31</f>
        <v>5</v>
      </c>
      <c r="L70" s="752">
        <f>Fixtures!DX31</f>
        <v>0</v>
      </c>
      <c r="M70" s="752">
        <f>Fixtures!EB31</f>
        <v>0</v>
      </c>
      <c r="N70" s="753">
        <f>Fixtures!EF31</f>
        <v>0</v>
      </c>
      <c r="O70" s="752">
        <f>Fixtures!EH31</f>
        <v>0</v>
      </c>
      <c r="P70" s="752">
        <f>Fixtures!EL31</f>
        <v>0</v>
      </c>
      <c r="Q70" s="753">
        <f>Fixtures!EP31</f>
        <v>0</v>
      </c>
      <c r="R70" s="753" t="str">
        <f>Fixtures!EY31</f>
        <v/>
      </c>
      <c r="S70" s="754">
        <f>Fixtures!EX31</f>
        <v>0</v>
      </c>
      <c r="T70" s="753" t="str">
        <f>Fixtures!DM31</f>
        <v>No</v>
      </c>
      <c r="U70" s="753">
        <f>Fixtures!ER31</f>
        <v>0</v>
      </c>
    </row>
    <row r="71" spans="2:21" ht="14.3">
      <c r="B71" s="751" t="str">
        <f>Fixtures!BV32</f>
        <v/>
      </c>
      <c r="C71" s="751">
        <f>Fixtures!BW32</f>
        <v>6</v>
      </c>
      <c r="D71" s="751">
        <f>Fixtures!BX32</f>
        <v>0</v>
      </c>
      <c r="E71" s="751">
        <f>Fixtures!CB32</f>
        <v>0</v>
      </c>
      <c r="F71" s="751">
        <f>Fixtures!CF32</f>
        <v>0</v>
      </c>
      <c r="G71" s="751">
        <f>Fixtures!CJ32</f>
        <v>0</v>
      </c>
      <c r="H71" s="751" t="str">
        <f>Fixtures!CP32</f>
        <v/>
      </c>
      <c r="J71" s="751" t="str">
        <f>Fixtures!DN32</f>
        <v/>
      </c>
      <c r="K71" s="751">
        <f>Fixtures!DW32</f>
        <v>6</v>
      </c>
      <c r="L71" s="752">
        <f>Fixtures!DX32</f>
        <v>0</v>
      </c>
      <c r="M71" s="752">
        <f>Fixtures!EB32</f>
        <v>0</v>
      </c>
      <c r="N71" s="753">
        <f>Fixtures!EF32</f>
        <v>0</v>
      </c>
      <c r="O71" s="752">
        <f>Fixtures!EH32</f>
        <v>0</v>
      </c>
      <c r="P71" s="752">
        <f>Fixtures!EL32</f>
        <v>0</v>
      </c>
      <c r="Q71" s="753">
        <f>Fixtures!EP32</f>
        <v>0</v>
      </c>
      <c r="R71" s="753" t="str">
        <f>Fixtures!EY32</f>
        <v/>
      </c>
      <c r="S71" s="754">
        <f>Fixtures!EX32</f>
        <v>0</v>
      </c>
      <c r="T71" s="753" t="str">
        <f>Fixtures!DM32</f>
        <v>No</v>
      </c>
      <c r="U71" s="753">
        <f>Fixtures!ER32</f>
        <v>0</v>
      </c>
    </row>
    <row r="72" spans="2:21" ht="14.3">
      <c r="B72" s="751" t="str">
        <f>Fixtures!BV33</f>
        <v/>
      </c>
      <c r="C72" s="751">
        <f>Fixtures!BW33</f>
        <v>7</v>
      </c>
      <c r="D72" s="751">
        <f>Fixtures!BX33</f>
        <v>0</v>
      </c>
      <c r="E72" s="751">
        <f>Fixtures!CB33</f>
        <v>0</v>
      </c>
      <c r="F72" s="751">
        <f>Fixtures!CF33</f>
        <v>0</v>
      </c>
      <c r="G72" s="751">
        <f>Fixtures!CJ33</f>
        <v>0</v>
      </c>
      <c r="H72" s="751" t="str">
        <f>Fixtures!CP33</f>
        <v/>
      </c>
      <c r="J72" s="751" t="str">
        <f>Fixtures!DN33</f>
        <v/>
      </c>
      <c r="K72" s="751">
        <f>Fixtures!DW33</f>
        <v>7</v>
      </c>
      <c r="L72" s="752">
        <f>Fixtures!DX33</f>
        <v>0</v>
      </c>
      <c r="M72" s="752">
        <f>Fixtures!EB33</f>
        <v>0</v>
      </c>
      <c r="N72" s="753">
        <f>Fixtures!EF33</f>
        <v>0</v>
      </c>
      <c r="O72" s="752">
        <f>Fixtures!EH33</f>
        <v>0</v>
      </c>
      <c r="P72" s="752">
        <f>Fixtures!EL33</f>
        <v>0</v>
      </c>
      <c r="Q72" s="753">
        <f>Fixtures!EP33</f>
        <v>0</v>
      </c>
      <c r="R72" s="753" t="str">
        <f>Fixtures!EY33</f>
        <v/>
      </c>
      <c r="S72" s="754">
        <f>Fixtures!EX33</f>
        <v>0</v>
      </c>
      <c r="T72" s="753" t="str">
        <f>Fixtures!DM33</f>
        <v>No</v>
      </c>
      <c r="U72" s="753">
        <f>Fixtures!ER33</f>
        <v>0</v>
      </c>
    </row>
    <row r="73" spans="2:21" ht="14.3">
      <c r="B73" s="751" t="str">
        <f>Fixtures!BV34</f>
        <v/>
      </c>
      <c r="C73" s="751">
        <f>Fixtures!BW34</f>
        <v>8</v>
      </c>
      <c r="D73" s="751">
        <f>Fixtures!BX34</f>
        <v>0</v>
      </c>
      <c r="E73" s="751">
        <f>Fixtures!CB34</f>
        <v>0</v>
      </c>
      <c r="F73" s="751">
        <f>Fixtures!CF34</f>
        <v>0</v>
      </c>
      <c r="G73" s="751">
        <f>Fixtures!CJ34</f>
        <v>0</v>
      </c>
      <c r="H73" s="751" t="str">
        <f>Fixtures!CP34</f>
        <v/>
      </c>
      <c r="J73" s="751" t="str">
        <f>Fixtures!DN34</f>
        <v/>
      </c>
      <c r="K73" s="751">
        <f>Fixtures!DW34</f>
        <v>8</v>
      </c>
      <c r="L73" s="752">
        <f>Fixtures!DX34</f>
        <v>0</v>
      </c>
      <c r="M73" s="752">
        <f>Fixtures!EB34</f>
        <v>0</v>
      </c>
      <c r="N73" s="753">
        <f>Fixtures!EF34</f>
        <v>0</v>
      </c>
      <c r="O73" s="752">
        <f>Fixtures!EH34</f>
        <v>0</v>
      </c>
      <c r="P73" s="752">
        <f>Fixtures!EL34</f>
        <v>0</v>
      </c>
      <c r="Q73" s="753">
        <f>Fixtures!EP34</f>
        <v>0</v>
      </c>
      <c r="R73" s="753" t="str">
        <f>Fixtures!EY34</f>
        <v/>
      </c>
      <c r="S73" s="754">
        <f>Fixtures!EX34</f>
        <v>0</v>
      </c>
      <c r="T73" s="753" t="str">
        <f>Fixtures!DM34</f>
        <v>No</v>
      </c>
      <c r="U73" s="753">
        <f>Fixtures!ER34</f>
        <v>0</v>
      </c>
    </row>
    <row r="74" spans="2:21" ht="14.3">
      <c r="B74" s="751" t="str">
        <f>Fixtures!BV35</f>
        <v/>
      </c>
      <c r="C74" s="751">
        <f>Fixtures!BW35</f>
        <v>9</v>
      </c>
      <c r="D74" s="751">
        <f>Fixtures!BX35</f>
        <v>0</v>
      </c>
      <c r="E74" s="751">
        <f>Fixtures!CB35</f>
        <v>0</v>
      </c>
      <c r="F74" s="751">
        <f>Fixtures!CF35</f>
        <v>0</v>
      </c>
      <c r="G74" s="751">
        <f>Fixtures!CJ35</f>
        <v>0</v>
      </c>
      <c r="H74" s="751" t="str">
        <f>Fixtures!CP35</f>
        <v/>
      </c>
      <c r="J74" s="751" t="str">
        <f>Fixtures!DN35</f>
        <v/>
      </c>
      <c r="K74" s="751">
        <f>Fixtures!DW35</f>
        <v>9</v>
      </c>
      <c r="L74" s="752">
        <f>Fixtures!DX35</f>
        <v>0</v>
      </c>
      <c r="M74" s="752">
        <f>Fixtures!EB35</f>
        <v>0</v>
      </c>
      <c r="N74" s="753">
        <f>Fixtures!EF35</f>
        <v>0</v>
      </c>
      <c r="O74" s="752">
        <f>Fixtures!EH35</f>
        <v>0</v>
      </c>
      <c r="P74" s="752">
        <f>Fixtures!EL35</f>
        <v>0</v>
      </c>
      <c r="Q74" s="753">
        <f>Fixtures!EP35</f>
        <v>0</v>
      </c>
      <c r="R74" s="753" t="str">
        <f>Fixtures!EY35</f>
        <v/>
      </c>
      <c r="S74" s="754">
        <f>Fixtures!EX35</f>
        <v>0</v>
      </c>
      <c r="T74" s="753" t="str">
        <f>Fixtures!DM35</f>
        <v>No</v>
      </c>
      <c r="U74" s="753">
        <f>Fixtures!ER35</f>
        <v>0</v>
      </c>
    </row>
    <row r="75" spans="2:21" ht="14.3">
      <c r="B75" s="751" t="str">
        <f>Fixtures!BV36</f>
        <v/>
      </c>
      <c r="C75" s="751">
        <f>Fixtures!BW36</f>
        <v>10</v>
      </c>
      <c r="D75" s="751">
        <f>Fixtures!BX36</f>
        <v>0</v>
      </c>
      <c r="E75" s="751">
        <f>Fixtures!CB36</f>
        <v>0</v>
      </c>
      <c r="F75" s="751">
        <f>Fixtures!CF36</f>
        <v>0</v>
      </c>
      <c r="G75" s="751">
        <f>Fixtures!CJ36</f>
        <v>0</v>
      </c>
      <c r="H75" s="751" t="str">
        <f>Fixtures!CP36</f>
        <v/>
      </c>
      <c r="J75" s="751" t="str">
        <f>Fixtures!DN36</f>
        <v/>
      </c>
      <c r="K75" s="751">
        <f>Fixtures!DW36</f>
        <v>10</v>
      </c>
      <c r="L75" s="752">
        <f>Fixtures!DX36</f>
        <v>0</v>
      </c>
      <c r="M75" s="752">
        <f>Fixtures!EB36</f>
        <v>0</v>
      </c>
      <c r="N75" s="753">
        <f>Fixtures!EF36</f>
        <v>0</v>
      </c>
      <c r="O75" s="752">
        <f>Fixtures!EH36</f>
        <v>0</v>
      </c>
      <c r="P75" s="752">
        <f>Fixtures!EL36</f>
        <v>0</v>
      </c>
      <c r="Q75" s="753">
        <f>Fixtures!EP36</f>
        <v>0</v>
      </c>
      <c r="R75" s="753" t="str">
        <f>Fixtures!EY36</f>
        <v/>
      </c>
      <c r="S75" s="754">
        <f>Fixtures!EX36</f>
        <v>0</v>
      </c>
      <c r="T75" s="753" t="str">
        <f>Fixtures!DM36</f>
        <v>No</v>
      </c>
      <c r="U75" s="753">
        <f>Fixtures!ER36</f>
        <v>0</v>
      </c>
    </row>
    <row r="76" spans="2:21" ht="14.3">
      <c r="B76" s="751" t="str">
        <f>Fixtures!BV37</f>
        <v/>
      </c>
      <c r="C76" s="751">
        <f>Fixtures!BW37</f>
        <v>11</v>
      </c>
      <c r="D76" s="751">
        <f>Fixtures!BX37</f>
        <v>0</v>
      </c>
      <c r="E76" s="751">
        <f>Fixtures!CB37</f>
        <v>0</v>
      </c>
      <c r="F76" s="751">
        <f>Fixtures!CF37</f>
        <v>0</v>
      </c>
      <c r="G76" s="751">
        <f>Fixtures!CJ37</f>
        <v>0</v>
      </c>
      <c r="H76" s="751" t="str">
        <f>Fixtures!CP37</f>
        <v/>
      </c>
      <c r="J76" s="751" t="str">
        <f>Fixtures!DN37</f>
        <v/>
      </c>
      <c r="K76" s="751">
        <f>Fixtures!DW37</f>
        <v>11</v>
      </c>
      <c r="L76" s="752">
        <f>Fixtures!DX37</f>
        <v>0</v>
      </c>
      <c r="M76" s="752">
        <f>Fixtures!EB37</f>
        <v>0</v>
      </c>
      <c r="N76" s="753">
        <f>Fixtures!EF37</f>
        <v>0</v>
      </c>
      <c r="O76" s="752">
        <f>Fixtures!EH37</f>
        <v>0</v>
      </c>
      <c r="P76" s="752">
        <f>Fixtures!EL37</f>
        <v>0</v>
      </c>
      <c r="Q76" s="753">
        <f>Fixtures!EP37</f>
        <v>0</v>
      </c>
      <c r="R76" s="753" t="str">
        <f>Fixtures!EY37</f>
        <v/>
      </c>
      <c r="S76" s="754">
        <f>Fixtures!EX37</f>
        <v>0</v>
      </c>
      <c r="T76" s="753" t="str">
        <f>Fixtures!DM37</f>
        <v>No</v>
      </c>
      <c r="U76" s="753">
        <f>Fixtures!ER37</f>
        <v>0</v>
      </c>
    </row>
    <row r="77" spans="2:21" ht="14.3">
      <c r="B77" s="751" t="str">
        <f>Fixtures!BV38</f>
        <v/>
      </c>
      <c r="C77" s="751">
        <f>Fixtures!BW38</f>
        <v>12</v>
      </c>
      <c r="D77" s="751">
        <f>Fixtures!BX38</f>
        <v>0</v>
      </c>
      <c r="E77" s="751">
        <f>Fixtures!CB38</f>
        <v>0</v>
      </c>
      <c r="F77" s="751">
        <f>Fixtures!CF38</f>
        <v>0</v>
      </c>
      <c r="G77" s="751">
        <f>Fixtures!CJ38</f>
        <v>0</v>
      </c>
      <c r="H77" s="751" t="str">
        <f>Fixtures!CP38</f>
        <v/>
      </c>
      <c r="J77" s="751" t="str">
        <f>Fixtures!DN38</f>
        <v/>
      </c>
      <c r="K77" s="751">
        <f>Fixtures!DW38</f>
        <v>12</v>
      </c>
      <c r="L77" s="752">
        <f>Fixtures!DX38</f>
        <v>0</v>
      </c>
      <c r="M77" s="752">
        <f>Fixtures!EB38</f>
        <v>0</v>
      </c>
      <c r="N77" s="753">
        <f>Fixtures!EF38</f>
        <v>0</v>
      </c>
      <c r="O77" s="752">
        <f>Fixtures!EH38</f>
        <v>0</v>
      </c>
      <c r="P77" s="752">
        <f>Fixtures!EL38</f>
        <v>0</v>
      </c>
      <c r="Q77" s="753">
        <f>Fixtures!EP38</f>
        <v>0</v>
      </c>
      <c r="R77" s="753" t="str">
        <f>Fixtures!EY38</f>
        <v/>
      </c>
      <c r="S77" s="754">
        <f>Fixtures!EX38</f>
        <v>0</v>
      </c>
      <c r="T77" s="753" t="str">
        <f>Fixtures!DM38</f>
        <v>No</v>
      </c>
      <c r="U77" s="753">
        <f>Fixtures!ER38</f>
        <v>0</v>
      </c>
    </row>
    <row r="78" spans="2:21" ht="14.3">
      <c r="B78" s="751" t="str">
        <f>Fixtures!BV39</f>
        <v/>
      </c>
      <c r="C78" s="751">
        <f>Fixtures!BW39</f>
        <v>13</v>
      </c>
      <c r="D78" s="751">
        <f>Fixtures!BX39</f>
        <v>0</v>
      </c>
      <c r="E78" s="751">
        <f>Fixtures!CB39</f>
        <v>0</v>
      </c>
      <c r="F78" s="751">
        <f>Fixtures!CF39</f>
        <v>0</v>
      </c>
      <c r="G78" s="751">
        <f>Fixtures!CJ39</f>
        <v>0</v>
      </c>
      <c r="H78" s="751" t="str">
        <f>Fixtures!CP39</f>
        <v/>
      </c>
      <c r="J78" s="751" t="str">
        <f>Fixtures!DN39</f>
        <v/>
      </c>
      <c r="K78" s="751">
        <f>Fixtures!DW39</f>
        <v>13</v>
      </c>
      <c r="L78" s="752">
        <f>Fixtures!DX39</f>
        <v>0</v>
      </c>
      <c r="M78" s="752">
        <f>Fixtures!EB39</f>
        <v>0</v>
      </c>
      <c r="N78" s="753">
        <f>Fixtures!EF39</f>
        <v>0</v>
      </c>
      <c r="O78" s="752">
        <f>Fixtures!EH39</f>
        <v>0</v>
      </c>
      <c r="P78" s="752">
        <f>Fixtures!EL39</f>
        <v>0</v>
      </c>
      <c r="Q78" s="753">
        <f>Fixtures!EP39</f>
        <v>0</v>
      </c>
      <c r="R78" s="753" t="str">
        <f>Fixtures!EY39</f>
        <v/>
      </c>
      <c r="S78" s="754">
        <f>Fixtures!EX39</f>
        <v>0</v>
      </c>
      <c r="T78" s="753" t="str">
        <f>Fixtures!DM39</f>
        <v>No</v>
      </c>
      <c r="U78" s="753">
        <f>Fixtures!ER39</f>
        <v>0</v>
      </c>
    </row>
    <row r="79" spans="2:21" ht="14.3">
      <c r="B79" s="751" t="str">
        <f>Fixtures!BV40</f>
        <v/>
      </c>
      <c r="C79" s="751">
        <f>Fixtures!BW40</f>
        <v>14</v>
      </c>
      <c r="D79" s="751">
        <f>Fixtures!BX40</f>
        <v>0</v>
      </c>
      <c r="E79" s="751">
        <f>Fixtures!CB40</f>
        <v>0</v>
      </c>
      <c r="F79" s="751">
        <f>Fixtures!CF40</f>
        <v>0</v>
      </c>
      <c r="G79" s="751">
        <f>Fixtures!CJ40</f>
        <v>0</v>
      </c>
      <c r="H79" s="751" t="str">
        <f>Fixtures!CP40</f>
        <v/>
      </c>
      <c r="J79" s="751" t="str">
        <f>Fixtures!DN40</f>
        <v/>
      </c>
      <c r="K79" s="751">
        <f>Fixtures!DW40</f>
        <v>14</v>
      </c>
      <c r="L79" s="752">
        <f>Fixtures!DX40</f>
        <v>0</v>
      </c>
      <c r="M79" s="752">
        <f>Fixtures!EB40</f>
        <v>0</v>
      </c>
      <c r="N79" s="753">
        <f>Fixtures!EF40</f>
        <v>0</v>
      </c>
      <c r="O79" s="752">
        <f>Fixtures!EH40</f>
        <v>0</v>
      </c>
      <c r="P79" s="752">
        <f>Fixtures!EL40</f>
        <v>0</v>
      </c>
      <c r="Q79" s="753">
        <f>Fixtures!EP40</f>
        <v>0</v>
      </c>
      <c r="R79" s="753" t="str">
        <f>Fixtures!EY40</f>
        <v/>
      </c>
      <c r="S79" s="754">
        <f>Fixtures!EX40</f>
        <v>0</v>
      </c>
      <c r="T79" s="753" t="str">
        <f>Fixtures!DM40</f>
        <v>No</v>
      </c>
      <c r="U79" s="753">
        <f>Fixtures!ER40</f>
        <v>0</v>
      </c>
    </row>
    <row r="80" spans="2:21" ht="14.3">
      <c r="B80" s="751" t="str">
        <f>Fixtures!BV41</f>
        <v/>
      </c>
      <c r="C80" s="751">
        <f>Fixtures!BW41</f>
        <v>15</v>
      </c>
      <c r="D80" s="751">
        <f>Fixtures!BX41</f>
        <v>0</v>
      </c>
      <c r="E80" s="751">
        <f>Fixtures!CB41</f>
        <v>0</v>
      </c>
      <c r="F80" s="751">
        <f>Fixtures!CF41</f>
        <v>0</v>
      </c>
      <c r="G80" s="751">
        <f>Fixtures!CJ41</f>
        <v>0</v>
      </c>
      <c r="H80" s="751" t="str">
        <f>Fixtures!CP41</f>
        <v/>
      </c>
      <c r="J80" s="751" t="str">
        <f>Fixtures!DN41</f>
        <v/>
      </c>
      <c r="K80" s="751">
        <f>Fixtures!DW41</f>
        <v>15</v>
      </c>
      <c r="L80" s="752">
        <f>Fixtures!DX41</f>
        <v>0</v>
      </c>
      <c r="M80" s="752">
        <f>Fixtures!EB41</f>
        <v>0</v>
      </c>
      <c r="N80" s="753">
        <f>Fixtures!EF41</f>
        <v>0</v>
      </c>
      <c r="O80" s="752">
        <f>Fixtures!EH41</f>
        <v>0</v>
      </c>
      <c r="P80" s="752">
        <f>Fixtures!EL41</f>
        <v>0</v>
      </c>
      <c r="Q80" s="753">
        <f>Fixtures!EP41</f>
        <v>0</v>
      </c>
      <c r="R80" s="753" t="str">
        <f>Fixtures!EY41</f>
        <v/>
      </c>
      <c r="S80" s="754">
        <f>Fixtures!EX41</f>
        <v>0</v>
      </c>
      <c r="T80" s="753" t="str">
        <f>Fixtures!DM41</f>
        <v>No</v>
      </c>
      <c r="U80" s="753">
        <f>Fixtures!ER41</f>
        <v>0</v>
      </c>
    </row>
    <row r="81" spans="2:21" ht="14.3">
      <c r="B81" s="751" t="str">
        <f>Fixtures!BV42</f>
        <v/>
      </c>
      <c r="C81" s="751">
        <f>Fixtures!BW42</f>
        <v>16</v>
      </c>
      <c r="D81" s="751">
        <f>Fixtures!BX42</f>
        <v>0</v>
      </c>
      <c r="E81" s="751">
        <f>Fixtures!CB42</f>
        <v>0</v>
      </c>
      <c r="F81" s="751">
        <f>Fixtures!CF42</f>
        <v>0</v>
      </c>
      <c r="G81" s="751">
        <f>Fixtures!CJ42</f>
        <v>0</v>
      </c>
      <c r="H81" s="751" t="str">
        <f>Fixtures!CP42</f>
        <v/>
      </c>
      <c r="J81" s="751" t="str">
        <f>Fixtures!DN42</f>
        <v/>
      </c>
      <c r="K81" s="751">
        <f>Fixtures!DW42</f>
        <v>16</v>
      </c>
      <c r="L81" s="752">
        <f>Fixtures!DX42</f>
        <v>0</v>
      </c>
      <c r="M81" s="752">
        <f>Fixtures!EB42</f>
        <v>0</v>
      </c>
      <c r="N81" s="753">
        <f>Fixtures!EF42</f>
        <v>0</v>
      </c>
      <c r="O81" s="752">
        <f>Fixtures!EH42</f>
        <v>0</v>
      </c>
      <c r="P81" s="752">
        <f>Fixtures!EL42</f>
        <v>0</v>
      </c>
      <c r="Q81" s="753">
        <f>Fixtures!EP42</f>
        <v>0</v>
      </c>
      <c r="R81" s="753" t="str">
        <f>Fixtures!EY42</f>
        <v/>
      </c>
      <c r="S81" s="754">
        <f>Fixtures!EX42</f>
        <v>0</v>
      </c>
      <c r="T81" s="753" t="str">
        <f>Fixtures!DM42</f>
        <v>No</v>
      </c>
      <c r="U81" s="753">
        <f>Fixtures!ER42</f>
        <v>0</v>
      </c>
    </row>
    <row r="82" spans="2:21" ht="14.3">
      <c r="B82" s="751" t="str">
        <f>Fixtures!BV43</f>
        <v/>
      </c>
      <c r="C82" s="751">
        <f>Fixtures!BW43</f>
        <v>17</v>
      </c>
      <c r="D82" s="751">
        <f>Fixtures!BX43</f>
        <v>0</v>
      </c>
      <c r="E82" s="751">
        <f>Fixtures!CB43</f>
        <v>0</v>
      </c>
      <c r="F82" s="751">
        <f>Fixtures!CF43</f>
        <v>0</v>
      </c>
      <c r="G82" s="751">
        <f>Fixtures!CJ43</f>
        <v>0</v>
      </c>
      <c r="H82" s="751" t="str">
        <f>Fixtures!CP43</f>
        <v/>
      </c>
      <c r="J82" s="751" t="str">
        <f>Fixtures!DN43</f>
        <v/>
      </c>
      <c r="K82" s="751">
        <f>Fixtures!DW43</f>
        <v>17</v>
      </c>
      <c r="L82" s="752">
        <f>Fixtures!DX43</f>
        <v>0</v>
      </c>
      <c r="M82" s="752">
        <f>Fixtures!EB43</f>
        <v>0</v>
      </c>
      <c r="N82" s="753">
        <f>Fixtures!EF43</f>
        <v>0</v>
      </c>
      <c r="O82" s="752">
        <f>Fixtures!EH43</f>
        <v>0</v>
      </c>
      <c r="P82" s="752">
        <f>Fixtures!EL43</f>
        <v>0</v>
      </c>
      <c r="Q82" s="753">
        <f>Fixtures!EP43</f>
        <v>0</v>
      </c>
      <c r="R82" s="753" t="str">
        <f>Fixtures!EY43</f>
        <v/>
      </c>
      <c r="S82" s="754">
        <f>Fixtures!EX43</f>
        <v>0</v>
      </c>
      <c r="T82" s="753" t="str">
        <f>Fixtures!DM43</f>
        <v>No</v>
      </c>
      <c r="U82" s="753">
        <f>Fixtures!ER43</f>
        <v>0</v>
      </c>
    </row>
    <row r="83" spans="2:21" ht="14.3">
      <c r="B83" s="751" t="str">
        <f>Fixtures!BV44</f>
        <v/>
      </c>
      <c r="C83" s="751">
        <f>Fixtures!BW44</f>
        <v>18</v>
      </c>
      <c r="D83" s="751">
        <f>Fixtures!BX44</f>
        <v>0</v>
      </c>
      <c r="E83" s="751">
        <f>Fixtures!CB44</f>
        <v>0</v>
      </c>
      <c r="F83" s="751">
        <f>Fixtures!CF44</f>
        <v>0</v>
      </c>
      <c r="G83" s="751">
        <f>Fixtures!CJ44</f>
        <v>0</v>
      </c>
      <c r="H83" s="751" t="str">
        <f>Fixtures!CP44</f>
        <v/>
      </c>
      <c r="J83" s="751" t="str">
        <f>Fixtures!DN44</f>
        <v/>
      </c>
      <c r="K83" s="751">
        <f>Fixtures!DW44</f>
        <v>18</v>
      </c>
      <c r="L83" s="752">
        <f>Fixtures!DX44</f>
        <v>0</v>
      </c>
      <c r="M83" s="752">
        <f>Fixtures!EB44</f>
        <v>0</v>
      </c>
      <c r="N83" s="753">
        <f>Fixtures!EF44</f>
        <v>0</v>
      </c>
      <c r="O83" s="752">
        <f>Fixtures!EH44</f>
        <v>0</v>
      </c>
      <c r="P83" s="752">
        <f>Fixtures!EL44</f>
        <v>0</v>
      </c>
      <c r="Q83" s="753">
        <f>Fixtures!EP44</f>
        <v>0</v>
      </c>
      <c r="R83" s="753" t="str">
        <f>Fixtures!EY44</f>
        <v/>
      </c>
      <c r="S83" s="754">
        <f>Fixtures!EX44</f>
        <v>0</v>
      </c>
      <c r="T83" s="753" t="str">
        <f>Fixtures!DM44</f>
        <v>No</v>
      </c>
      <c r="U83" s="753">
        <f>Fixtures!ER44</f>
        <v>0</v>
      </c>
    </row>
    <row r="84" spans="2:21" ht="14.3">
      <c r="B84" s="751" t="str">
        <f>Fixtures!BV45</f>
        <v/>
      </c>
      <c r="C84" s="751">
        <f>Fixtures!BW45</f>
        <v>19</v>
      </c>
      <c r="D84" s="751">
        <f>Fixtures!BX45</f>
        <v>0</v>
      </c>
      <c r="E84" s="751">
        <f>Fixtures!CB45</f>
        <v>0</v>
      </c>
      <c r="F84" s="751">
        <f>Fixtures!CF45</f>
        <v>0</v>
      </c>
      <c r="G84" s="751">
        <f>Fixtures!CJ45</f>
        <v>0</v>
      </c>
      <c r="H84" s="751" t="str">
        <f>Fixtures!CP45</f>
        <v/>
      </c>
      <c r="J84" s="751" t="str">
        <f>Fixtures!DN45</f>
        <v/>
      </c>
      <c r="K84" s="751">
        <f>Fixtures!DW45</f>
        <v>19</v>
      </c>
      <c r="L84" s="752">
        <f>Fixtures!DX45</f>
        <v>0</v>
      </c>
      <c r="M84" s="752">
        <f>Fixtures!EB45</f>
        <v>0</v>
      </c>
      <c r="N84" s="753">
        <f>Fixtures!EF45</f>
        <v>0</v>
      </c>
      <c r="O84" s="752">
        <f>Fixtures!EH45</f>
        <v>0</v>
      </c>
      <c r="P84" s="752">
        <f>Fixtures!EL45</f>
        <v>0</v>
      </c>
      <c r="Q84" s="753">
        <f>Fixtures!EP45</f>
        <v>0</v>
      </c>
      <c r="R84" s="753" t="str">
        <f>Fixtures!EY45</f>
        <v/>
      </c>
      <c r="S84" s="754">
        <f>Fixtures!EX45</f>
        <v>0</v>
      </c>
      <c r="T84" s="753" t="str">
        <f>Fixtures!DM45</f>
        <v>No</v>
      </c>
      <c r="U84" s="753">
        <f>Fixtures!ER45</f>
        <v>0</v>
      </c>
    </row>
    <row r="85" spans="2:21" ht="14.3">
      <c r="B85" s="751" t="str">
        <f>Fixtures!BV46</f>
        <v/>
      </c>
      <c r="C85" s="751">
        <f>Fixtures!BW46</f>
        <v>20</v>
      </c>
      <c r="D85" s="751">
        <f>Fixtures!BX46</f>
        <v>0</v>
      </c>
      <c r="E85" s="751">
        <f>Fixtures!CB46</f>
        <v>0</v>
      </c>
      <c r="F85" s="751">
        <f>Fixtures!CF46</f>
        <v>0</v>
      </c>
      <c r="G85" s="751">
        <f>Fixtures!CJ46</f>
        <v>0</v>
      </c>
      <c r="H85" s="751" t="str">
        <f>Fixtures!CP46</f>
        <v/>
      </c>
      <c r="J85" s="751" t="str">
        <f>Fixtures!DN46</f>
        <v/>
      </c>
      <c r="K85" s="751">
        <f>Fixtures!DW46</f>
        <v>20</v>
      </c>
      <c r="L85" s="752">
        <f>Fixtures!DX46</f>
        <v>0</v>
      </c>
      <c r="M85" s="752">
        <f>Fixtures!EB46</f>
        <v>0</v>
      </c>
      <c r="N85" s="753">
        <f>Fixtures!EF46</f>
        <v>0</v>
      </c>
      <c r="O85" s="752">
        <f>Fixtures!EH46</f>
        <v>0</v>
      </c>
      <c r="P85" s="752">
        <f>Fixtures!EL46</f>
        <v>0</v>
      </c>
      <c r="Q85" s="753">
        <f>Fixtures!EP46</f>
        <v>0</v>
      </c>
      <c r="R85" s="753" t="str">
        <f>Fixtures!EY46</f>
        <v/>
      </c>
      <c r="S85" s="754">
        <f>Fixtures!EX46</f>
        <v>0</v>
      </c>
      <c r="T85" s="753" t="str">
        <f>Fixtures!DM46</f>
        <v>No</v>
      </c>
      <c r="U85" s="753">
        <f>Fixtures!ER46</f>
        <v>0</v>
      </c>
    </row>
    <row r="86" spans="2:21" ht="14.3">
      <c r="B86" s="751" t="str">
        <f>Fixtures!BV47</f>
        <v/>
      </c>
      <c r="C86" s="751">
        <f>Fixtures!BW47</f>
        <v>21</v>
      </c>
      <c r="D86" s="751">
        <f>Fixtures!BX47</f>
        <v>0</v>
      </c>
      <c r="E86" s="751">
        <f>Fixtures!CB47</f>
        <v>0</v>
      </c>
      <c r="F86" s="751">
        <f>Fixtures!CF47</f>
        <v>0</v>
      </c>
      <c r="G86" s="751">
        <f>Fixtures!CJ47</f>
        <v>0</v>
      </c>
      <c r="H86" s="751" t="str">
        <f>Fixtures!CP47</f>
        <v/>
      </c>
      <c r="J86" s="751" t="str">
        <f>Fixtures!DN47</f>
        <v/>
      </c>
      <c r="K86" s="751">
        <f>Fixtures!DW47</f>
        <v>21</v>
      </c>
      <c r="L86" s="752">
        <f>Fixtures!DX47</f>
        <v>0</v>
      </c>
      <c r="M86" s="752">
        <f>Fixtures!EB47</f>
        <v>0</v>
      </c>
      <c r="N86" s="753">
        <f>Fixtures!EF47</f>
        <v>0</v>
      </c>
      <c r="O86" s="752">
        <f>Fixtures!EH47</f>
        <v>0</v>
      </c>
      <c r="P86" s="752">
        <f>Fixtures!EL47</f>
        <v>0</v>
      </c>
      <c r="Q86" s="753">
        <f>Fixtures!EP47</f>
        <v>0</v>
      </c>
      <c r="R86" s="753" t="str">
        <f>Fixtures!EY47</f>
        <v/>
      </c>
      <c r="S86" s="754">
        <f>Fixtures!EX47</f>
        <v>0</v>
      </c>
      <c r="T86" s="753" t="str">
        <f>Fixtures!DM47</f>
        <v>No</v>
      </c>
      <c r="U86" s="753">
        <f>Fixtures!ER47</f>
        <v>0</v>
      </c>
    </row>
    <row r="87" spans="2:21" ht="14.3">
      <c r="B87" s="751" t="str">
        <f>Fixtures!BV48</f>
        <v/>
      </c>
      <c r="C87" s="751">
        <f>Fixtures!BW48</f>
        <v>22</v>
      </c>
      <c r="D87" s="751">
        <f>Fixtures!BX48</f>
        <v>0</v>
      </c>
      <c r="E87" s="751">
        <f>Fixtures!CB48</f>
        <v>0</v>
      </c>
      <c r="F87" s="751">
        <f>Fixtures!CF48</f>
        <v>0</v>
      </c>
      <c r="G87" s="751">
        <f>Fixtures!CJ48</f>
        <v>0</v>
      </c>
      <c r="H87" s="751" t="str">
        <f>Fixtures!CP48</f>
        <v/>
      </c>
      <c r="J87" s="751" t="str">
        <f>Fixtures!DN48</f>
        <v/>
      </c>
      <c r="K87" s="751">
        <f>Fixtures!DW48</f>
        <v>22</v>
      </c>
      <c r="L87" s="752">
        <f>Fixtures!DX48</f>
        <v>0</v>
      </c>
      <c r="M87" s="752">
        <f>Fixtures!EB48</f>
        <v>0</v>
      </c>
      <c r="N87" s="753">
        <f>Fixtures!EF48</f>
        <v>0</v>
      </c>
      <c r="O87" s="752">
        <f>Fixtures!EH48</f>
        <v>0</v>
      </c>
      <c r="P87" s="752">
        <f>Fixtures!EL48</f>
        <v>0</v>
      </c>
      <c r="Q87" s="753">
        <f>Fixtures!EP48</f>
        <v>0</v>
      </c>
      <c r="R87" s="753" t="str">
        <f>Fixtures!EY48</f>
        <v/>
      </c>
      <c r="S87" s="754">
        <f>Fixtures!EX48</f>
        <v>0</v>
      </c>
      <c r="T87" s="753" t="str">
        <f>Fixtures!DM48</f>
        <v>No</v>
      </c>
      <c r="U87" s="753">
        <f>Fixtures!ER48</f>
        <v>0</v>
      </c>
    </row>
    <row r="88" spans="2:21" ht="14.3">
      <c r="B88" s="751" t="str">
        <f>Fixtures!BV49</f>
        <v/>
      </c>
      <c r="C88" s="751">
        <f>Fixtures!BW49</f>
        <v>23</v>
      </c>
      <c r="D88" s="751">
        <f>Fixtures!BX49</f>
        <v>0</v>
      </c>
      <c r="E88" s="751">
        <f>Fixtures!CB49</f>
        <v>0</v>
      </c>
      <c r="F88" s="751">
        <f>Fixtures!CF49</f>
        <v>0</v>
      </c>
      <c r="G88" s="751">
        <f>Fixtures!CJ49</f>
        <v>0</v>
      </c>
      <c r="H88" s="751" t="str">
        <f>Fixtures!CP49</f>
        <v/>
      </c>
      <c r="J88" s="751" t="str">
        <f>Fixtures!DN49</f>
        <v/>
      </c>
      <c r="K88" s="751">
        <f>Fixtures!DW49</f>
        <v>23</v>
      </c>
      <c r="L88" s="752">
        <f>Fixtures!DX49</f>
        <v>0</v>
      </c>
      <c r="M88" s="752">
        <f>Fixtures!EB49</f>
        <v>0</v>
      </c>
      <c r="N88" s="753">
        <f>Fixtures!EF49</f>
        <v>0</v>
      </c>
      <c r="O88" s="752">
        <f>Fixtures!EH49</f>
        <v>0</v>
      </c>
      <c r="P88" s="752">
        <f>Fixtures!EL49</f>
        <v>0</v>
      </c>
      <c r="Q88" s="753">
        <f>Fixtures!EP49</f>
        <v>0</v>
      </c>
      <c r="R88" s="753" t="str">
        <f>Fixtures!EY49</f>
        <v/>
      </c>
      <c r="S88" s="754">
        <f>Fixtures!EX49</f>
        <v>0</v>
      </c>
      <c r="T88" s="753" t="str">
        <f>Fixtures!DM49</f>
        <v>No</v>
      </c>
      <c r="U88" s="753">
        <f>Fixtures!ER49</f>
        <v>0</v>
      </c>
    </row>
    <row r="89" spans="2:21" ht="14.3">
      <c r="B89" s="751" t="str">
        <f>Fixtures!BV50</f>
        <v/>
      </c>
      <c r="C89" s="751">
        <f>Fixtures!BW50</f>
        <v>24</v>
      </c>
      <c r="D89" s="751">
        <f>Fixtures!BX50</f>
        <v>0</v>
      </c>
      <c r="E89" s="751">
        <f>Fixtures!CB50</f>
        <v>0</v>
      </c>
      <c r="F89" s="751">
        <f>Fixtures!CF50</f>
        <v>0</v>
      </c>
      <c r="G89" s="751">
        <f>Fixtures!CJ50</f>
        <v>0</v>
      </c>
      <c r="H89" s="751" t="str">
        <f>Fixtures!CP50</f>
        <v/>
      </c>
      <c r="J89" s="751" t="str">
        <f>Fixtures!DN50</f>
        <v/>
      </c>
      <c r="K89" s="751">
        <f>Fixtures!DW50</f>
        <v>24</v>
      </c>
      <c r="L89" s="752">
        <f>Fixtures!DX50</f>
        <v>0</v>
      </c>
      <c r="M89" s="752">
        <f>Fixtures!EB50</f>
        <v>0</v>
      </c>
      <c r="N89" s="753">
        <f>Fixtures!EF50</f>
        <v>0</v>
      </c>
      <c r="O89" s="752">
        <f>Fixtures!EH50</f>
        <v>0</v>
      </c>
      <c r="P89" s="752">
        <f>Fixtures!EL50</f>
        <v>0</v>
      </c>
      <c r="Q89" s="753">
        <f>Fixtures!EP50</f>
        <v>0</v>
      </c>
      <c r="R89" s="753" t="str">
        <f>Fixtures!EY50</f>
        <v/>
      </c>
      <c r="S89" s="754">
        <f>Fixtures!EX50</f>
        <v>0</v>
      </c>
      <c r="T89" s="753" t="str">
        <f>Fixtures!DM50</f>
        <v>No</v>
      </c>
      <c r="U89" s="753">
        <f>Fixtures!ER50</f>
        <v>0</v>
      </c>
    </row>
    <row r="90" spans="2:21" ht="14.3">
      <c r="B90" s="751" t="str">
        <f>Fixtures!BV51</f>
        <v/>
      </c>
      <c r="C90" s="751">
        <f>Fixtures!BW51</f>
        <v>25</v>
      </c>
      <c r="D90" s="751">
        <f>Fixtures!BX51</f>
        <v>0</v>
      </c>
      <c r="E90" s="751">
        <f>Fixtures!CB51</f>
        <v>0</v>
      </c>
      <c r="F90" s="751">
        <f>Fixtures!CF51</f>
        <v>0</v>
      </c>
      <c r="G90" s="751">
        <f>Fixtures!CJ51</f>
        <v>0</v>
      </c>
      <c r="H90" s="751" t="str">
        <f>Fixtures!CP51</f>
        <v/>
      </c>
      <c r="J90" s="751" t="str">
        <f>Fixtures!DN51</f>
        <v/>
      </c>
      <c r="K90" s="751">
        <f>Fixtures!DW51</f>
        <v>25</v>
      </c>
      <c r="L90" s="752">
        <f>Fixtures!DX51</f>
        <v>0</v>
      </c>
      <c r="M90" s="752">
        <f>Fixtures!EB51</f>
        <v>0</v>
      </c>
      <c r="N90" s="753">
        <f>Fixtures!EF51</f>
        <v>0</v>
      </c>
      <c r="O90" s="752">
        <f>Fixtures!EH51</f>
        <v>0</v>
      </c>
      <c r="P90" s="752">
        <f>Fixtures!EL51</f>
        <v>0</v>
      </c>
      <c r="Q90" s="753">
        <f>Fixtures!EP51</f>
        <v>0</v>
      </c>
      <c r="R90" s="753" t="str">
        <f>Fixtures!EY51</f>
        <v/>
      </c>
      <c r="S90" s="754">
        <f>Fixtures!EX51</f>
        <v>0</v>
      </c>
      <c r="T90" s="753" t="str">
        <f>Fixtures!DM51</f>
        <v>No</v>
      </c>
      <c r="U90" s="753">
        <f>Fixtures!ER51</f>
        <v>0</v>
      </c>
    </row>
    <row r="91" spans="2:21" ht="14.3">
      <c r="B91" s="751" t="str">
        <f>Fixtures!BV52</f>
        <v/>
      </c>
      <c r="C91" s="751">
        <f>Fixtures!BW52</f>
        <v>26</v>
      </c>
      <c r="D91" s="751">
        <f>Fixtures!BX52</f>
        <v>0</v>
      </c>
      <c r="E91" s="751">
        <f>Fixtures!CB52</f>
        <v>0</v>
      </c>
      <c r="F91" s="751">
        <f>Fixtures!CF52</f>
        <v>0</v>
      </c>
      <c r="G91" s="751">
        <f>Fixtures!CJ52</f>
        <v>0</v>
      </c>
      <c r="H91" s="751" t="str">
        <f>Fixtures!CP52</f>
        <v/>
      </c>
      <c r="J91" s="751" t="str">
        <f>Fixtures!DN52</f>
        <v/>
      </c>
      <c r="K91" s="751">
        <f>Fixtures!DW52</f>
        <v>26</v>
      </c>
      <c r="L91" s="752">
        <f>Fixtures!DX52</f>
        <v>0</v>
      </c>
      <c r="M91" s="752">
        <f>Fixtures!EB52</f>
        <v>0</v>
      </c>
      <c r="N91" s="753">
        <f>Fixtures!EF52</f>
        <v>0</v>
      </c>
      <c r="O91" s="752">
        <f>Fixtures!EH52</f>
        <v>0</v>
      </c>
      <c r="P91" s="752">
        <f>Fixtures!EL52</f>
        <v>0</v>
      </c>
      <c r="Q91" s="753">
        <f>Fixtures!EP52</f>
        <v>0</v>
      </c>
      <c r="R91" s="753" t="str">
        <f>Fixtures!EY52</f>
        <v/>
      </c>
      <c r="S91" s="754">
        <f>Fixtures!EX52</f>
        <v>0</v>
      </c>
      <c r="T91" s="753" t="str">
        <f>Fixtures!DM52</f>
        <v>No</v>
      </c>
      <c r="U91" s="753">
        <f>Fixtures!ER52</f>
        <v>0</v>
      </c>
    </row>
    <row r="92" spans="2:21" ht="14.3">
      <c r="B92" s="751" t="str">
        <f>Fixtures!BV53</f>
        <v/>
      </c>
      <c r="C92" s="751">
        <f>Fixtures!BW53</f>
        <v>27</v>
      </c>
      <c r="D92" s="751">
        <f>Fixtures!BX53</f>
        <v>0</v>
      </c>
      <c r="E92" s="751">
        <f>Fixtures!CB53</f>
        <v>0</v>
      </c>
      <c r="F92" s="751">
        <f>Fixtures!CF53</f>
        <v>0</v>
      </c>
      <c r="G92" s="751">
        <f>Fixtures!CJ53</f>
        <v>0</v>
      </c>
      <c r="H92" s="751" t="str">
        <f>Fixtures!CP53</f>
        <v/>
      </c>
      <c r="J92" s="751" t="str">
        <f>Fixtures!DN53</f>
        <v/>
      </c>
      <c r="K92" s="751">
        <f>Fixtures!DW53</f>
        <v>27</v>
      </c>
      <c r="L92" s="752">
        <f>Fixtures!DX53</f>
        <v>0</v>
      </c>
      <c r="M92" s="752">
        <f>Fixtures!EB53</f>
        <v>0</v>
      </c>
      <c r="N92" s="753">
        <f>Fixtures!EF53</f>
        <v>0</v>
      </c>
      <c r="O92" s="752">
        <f>Fixtures!EH53</f>
        <v>0</v>
      </c>
      <c r="P92" s="752">
        <f>Fixtures!EL53</f>
        <v>0</v>
      </c>
      <c r="Q92" s="753">
        <f>Fixtures!EP53</f>
        <v>0</v>
      </c>
      <c r="R92" s="753" t="str">
        <f>Fixtures!EY53</f>
        <v/>
      </c>
      <c r="S92" s="754">
        <f>Fixtures!EX53</f>
        <v>0</v>
      </c>
      <c r="T92" s="753" t="str">
        <f>Fixtures!DM53</f>
        <v>No</v>
      </c>
      <c r="U92" s="753">
        <f>Fixtures!ER53</f>
        <v>0</v>
      </c>
    </row>
    <row r="93" spans="2:21" ht="14.3">
      <c r="B93" s="751" t="str">
        <f>Fixtures!BV54</f>
        <v/>
      </c>
      <c r="C93" s="751">
        <f>Fixtures!BW54</f>
        <v>28</v>
      </c>
      <c r="D93" s="751">
        <f>Fixtures!BX54</f>
        <v>0</v>
      </c>
      <c r="E93" s="751">
        <f>Fixtures!CB54</f>
        <v>0</v>
      </c>
      <c r="F93" s="751">
        <f>Fixtures!CF54</f>
        <v>0</v>
      </c>
      <c r="G93" s="751">
        <f>Fixtures!CJ54</f>
        <v>0</v>
      </c>
      <c r="H93" s="751" t="str">
        <f>Fixtures!CP54</f>
        <v/>
      </c>
      <c r="J93" s="751" t="str">
        <f>Fixtures!DN54</f>
        <v/>
      </c>
      <c r="K93" s="751">
        <f>Fixtures!DW54</f>
        <v>28</v>
      </c>
      <c r="L93" s="752">
        <f>Fixtures!DX54</f>
        <v>0</v>
      </c>
      <c r="M93" s="752">
        <f>Fixtures!EB54</f>
        <v>0</v>
      </c>
      <c r="N93" s="753">
        <f>Fixtures!EF54</f>
        <v>0</v>
      </c>
      <c r="O93" s="752">
        <f>Fixtures!EH54</f>
        <v>0</v>
      </c>
      <c r="P93" s="752">
        <f>Fixtures!EL54</f>
        <v>0</v>
      </c>
      <c r="Q93" s="753">
        <f>Fixtures!EP54</f>
        <v>0</v>
      </c>
      <c r="R93" s="753" t="str">
        <f>Fixtures!EY54</f>
        <v/>
      </c>
      <c r="S93" s="754">
        <f>Fixtures!EX54</f>
        <v>0</v>
      </c>
      <c r="T93" s="753" t="str">
        <f>Fixtures!DM54</f>
        <v>No</v>
      </c>
      <c r="U93" s="753">
        <f>Fixtures!ER54</f>
        <v>0</v>
      </c>
    </row>
    <row r="94" spans="2:21" ht="14.3">
      <c r="B94" s="751" t="str">
        <f>Fixtures!BV55</f>
        <v/>
      </c>
      <c r="C94" s="751">
        <f>Fixtures!BW55</f>
        <v>29</v>
      </c>
      <c r="D94" s="751">
        <f>Fixtures!BX55</f>
        <v>0</v>
      </c>
      <c r="E94" s="751">
        <f>Fixtures!CB55</f>
        <v>0</v>
      </c>
      <c r="F94" s="751">
        <f>Fixtures!CF55</f>
        <v>0</v>
      </c>
      <c r="G94" s="751">
        <f>Fixtures!CJ55</f>
        <v>0</v>
      </c>
      <c r="H94" s="751" t="str">
        <f>Fixtures!CP55</f>
        <v/>
      </c>
      <c r="J94" s="751" t="str">
        <f>Fixtures!DN55</f>
        <v/>
      </c>
      <c r="K94" s="751">
        <f>Fixtures!DW55</f>
        <v>29</v>
      </c>
      <c r="L94" s="752">
        <f>Fixtures!DX55</f>
        <v>0</v>
      </c>
      <c r="M94" s="752">
        <f>Fixtures!EB55</f>
        <v>0</v>
      </c>
      <c r="N94" s="753">
        <f>Fixtures!EF55</f>
        <v>0</v>
      </c>
      <c r="O94" s="752">
        <f>Fixtures!EH55</f>
        <v>0</v>
      </c>
      <c r="P94" s="752">
        <f>Fixtures!EL55</f>
        <v>0</v>
      </c>
      <c r="Q94" s="753">
        <f>Fixtures!EP55</f>
        <v>0</v>
      </c>
      <c r="R94" s="753" t="str">
        <f>Fixtures!EY55</f>
        <v/>
      </c>
      <c r="S94" s="754">
        <f>Fixtures!EX55</f>
        <v>0</v>
      </c>
      <c r="T94" s="753" t="str">
        <f>Fixtures!DM55</f>
        <v>No</v>
      </c>
      <c r="U94" s="753">
        <f>Fixtures!ER55</f>
        <v>0</v>
      </c>
    </row>
    <row r="95" spans="2:21" ht="14.3">
      <c r="B95" s="751" t="str">
        <f>Fixtures!BV56</f>
        <v/>
      </c>
      <c r="C95" s="751">
        <f>Fixtures!BW56</f>
        <v>30</v>
      </c>
      <c r="D95" s="751">
        <f>Fixtures!BX56</f>
        <v>0</v>
      </c>
      <c r="E95" s="751">
        <f>Fixtures!CB56</f>
        <v>0</v>
      </c>
      <c r="F95" s="751">
        <f>Fixtures!CF56</f>
        <v>0</v>
      </c>
      <c r="G95" s="751">
        <f>Fixtures!CJ56</f>
        <v>0</v>
      </c>
      <c r="H95" s="751" t="str">
        <f>Fixtures!CP56</f>
        <v/>
      </c>
      <c r="J95" s="751" t="str">
        <f>Fixtures!DN56</f>
        <v/>
      </c>
      <c r="K95" s="751">
        <f>Fixtures!DW56</f>
        <v>30</v>
      </c>
      <c r="L95" s="752">
        <f>Fixtures!DX56</f>
        <v>0</v>
      </c>
      <c r="M95" s="752">
        <f>Fixtures!EB56</f>
        <v>0</v>
      </c>
      <c r="N95" s="753">
        <f>Fixtures!EF56</f>
        <v>0</v>
      </c>
      <c r="O95" s="752">
        <f>Fixtures!EH56</f>
        <v>0</v>
      </c>
      <c r="P95" s="752">
        <f>Fixtures!EL56</f>
        <v>0</v>
      </c>
      <c r="Q95" s="753">
        <f>Fixtures!EP56</f>
        <v>0</v>
      </c>
      <c r="R95" s="753" t="str">
        <f>Fixtures!EY56</f>
        <v/>
      </c>
      <c r="S95" s="754">
        <f>Fixtures!EX56</f>
        <v>0</v>
      </c>
      <c r="T95" s="753" t="str">
        <f>Fixtures!DM56</f>
        <v>No</v>
      </c>
      <c r="U95" s="753">
        <f>Fixtures!ER56</f>
        <v>0</v>
      </c>
    </row>
    <row r="96" spans="2:21" ht="14.3">
      <c r="B96" s="751" t="str">
        <f>Fixtures!BV57</f>
        <v/>
      </c>
      <c r="C96" s="751">
        <f>Fixtures!BW57</f>
        <v>31</v>
      </c>
      <c r="D96" s="751">
        <f>Fixtures!BX57</f>
        <v>0</v>
      </c>
      <c r="E96" s="751">
        <f>Fixtures!CB57</f>
        <v>0</v>
      </c>
      <c r="F96" s="751">
        <f>Fixtures!CF57</f>
        <v>0</v>
      </c>
      <c r="G96" s="751">
        <f>Fixtures!CJ57</f>
        <v>0</v>
      </c>
      <c r="H96" s="751" t="str">
        <f>Fixtures!CP57</f>
        <v/>
      </c>
      <c r="J96" s="751" t="str">
        <f>Fixtures!DN57</f>
        <v/>
      </c>
      <c r="K96" s="751">
        <f>Fixtures!DW57</f>
        <v>31</v>
      </c>
      <c r="L96" s="752">
        <f>Fixtures!DX57</f>
        <v>0</v>
      </c>
      <c r="M96" s="752">
        <f>Fixtures!EB57</f>
        <v>0</v>
      </c>
      <c r="N96" s="753">
        <f>Fixtures!EF57</f>
        <v>0</v>
      </c>
      <c r="O96" s="752">
        <f>Fixtures!EH57</f>
        <v>0</v>
      </c>
      <c r="P96" s="752">
        <f>Fixtures!EL57</f>
        <v>0</v>
      </c>
      <c r="Q96" s="753">
        <f>Fixtures!EP57</f>
        <v>0</v>
      </c>
      <c r="R96" s="753" t="str">
        <f>Fixtures!EY57</f>
        <v/>
      </c>
      <c r="S96" s="754">
        <f>Fixtures!EX57</f>
        <v>0</v>
      </c>
      <c r="T96" s="753" t="str">
        <f>Fixtures!DM57</f>
        <v>No</v>
      </c>
      <c r="U96" s="753">
        <f>Fixtures!ER57</f>
        <v>0</v>
      </c>
    </row>
    <row r="97" spans="2:21" ht="14.3">
      <c r="B97" s="751" t="str">
        <f>Fixtures!BV58</f>
        <v/>
      </c>
      <c r="C97" s="751">
        <f>Fixtures!BW58</f>
        <v>32</v>
      </c>
      <c r="D97" s="751">
        <f>Fixtures!BX58</f>
        <v>0</v>
      </c>
      <c r="E97" s="751">
        <f>Fixtures!CB58</f>
        <v>0</v>
      </c>
      <c r="F97" s="751">
        <f>Fixtures!CF58</f>
        <v>0</v>
      </c>
      <c r="G97" s="751">
        <f>Fixtures!CJ58</f>
        <v>0</v>
      </c>
      <c r="H97" s="751" t="str">
        <f>Fixtures!CP58</f>
        <v/>
      </c>
      <c r="J97" s="751" t="str">
        <f>Fixtures!DN58</f>
        <v/>
      </c>
      <c r="K97" s="751">
        <f>Fixtures!DW58</f>
        <v>32</v>
      </c>
      <c r="L97" s="752">
        <f>Fixtures!DX58</f>
        <v>0</v>
      </c>
      <c r="M97" s="752">
        <f>Fixtures!EB58</f>
        <v>0</v>
      </c>
      <c r="N97" s="753">
        <f>Fixtures!EF58</f>
        <v>0</v>
      </c>
      <c r="O97" s="752">
        <f>Fixtures!EH58</f>
        <v>0</v>
      </c>
      <c r="P97" s="752">
        <f>Fixtures!EL58</f>
        <v>0</v>
      </c>
      <c r="Q97" s="753">
        <f>Fixtures!EP58</f>
        <v>0</v>
      </c>
      <c r="R97" s="753" t="str">
        <f>Fixtures!EY58</f>
        <v/>
      </c>
      <c r="S97" s="754">
        <f>Fixtures!EX58</f>
        <v>0</v>
      </c>
      <c r="T97" s="753" t="str">
        <f>Fixtures!DM58</f>
        <v>No</v>
      </c>
      <c r="U97" s="753">
        <f>Fixtures!ER58</f>
        <v>0</v>
      </c>
    </row>
    <row r="98" spans="2:21" ht="14.3">
      <c r="B98" s="751" t="str">
        <f>Fixtures!BV59</f>
        <v/>
      </c>
      <c r="C98" s="751">
        <f>Fixtures!BW59</f>
        <v>33</v>
      </c>
      <c r="D98" s="751">
        <f>Fixtures!BX59</f>
        <v>0</v>
      </c>
      <c r="E98" s="751">
        <f>Fixtures!CB59</f>
        <v>0</v>
      </c>
      <c r="F98" s="751">
        <f>Fixtures!CF59</f>
        <v>0</v>
      </c>
      <c r="G98" s="751">
        <f>Fixtures!CJ59</f>
        <v>0</v>
      </c>
      <c r="H98" s="751" t="str">
        <f>Fixtures!CP59</f>
        <v/>
      </c>
      <c r="J98" s="751" t="str">
        <f>Fixtures!DN59</f>
        <v/>
      </c>
      <c r="K98" s="751">
        <f>Fixtures!DW59</f>
        <v>33</v>
      </c>
      <c r="L98" s="752">
        <f>Fixtures!DX59</f>
        <v>0</v>
      </c>
      <c r="M98" s="752">
        <f>Fixtures!EB59</f>
        <v>0</v>
      </c>
      <c r="N98" s="753">
        <f>Fixtures!EF59</f>
        <v>0</v>
      </c>
      <c r="O98" s="752">
        <f>Fixtures!EH59</f>
        <v>0</v>
      </c>
      <c r="P98" s="752">
        <f>Fixtures!EL59</f>
        <v>0</v>
      </c>
      <c r="Q98" s="753">
        <f>Fixtures!EP59</f>
        <v>0</v>
      </c>
      <c r="R98" s="753" t="str">
        <f>Fixtures!EY59</f>
        <v/>
      </c>
      <c r="S98" s="754">
        <f>Fixtures!EX59</f>
        <v>0</v>
      </c>
      <c r="T98" s="753" t="str">
        <f>Fixtures!DM59</f>
        <v>No</v>
      </c>
      <c r="U98" s="753">
        <f>Fixtures!ER59</f>
        <v>0</v>
      </c>
    </row>
    <row r="99" spans="2:21" ht="14.3">
      <c r="B99" s="751" t="str">
        <f>Fixtures!BV60</f>
        <v/>
      </c>
      <c r="C99" s="751">
        <f>Fixtures!BW60</f>
        <v>34</v>
      </c>
      <c r="D99" s="751">
        <f>Fixtures!BX60</f>
        <v>0</v>
      </c>
      <c r="E99" s="751">
        <f>Fixtures!CB60</f>
        <v>0</v>
      </c>
      <c r="F99" s="751">
        <f>Fixtures!CF60</f>
        <v>0</v>
      </c>
      <c r="G99" s="751">
        <f>Fixtures!CJ60</f>
        <v>0</v>
      </c>
      <c r="H99" s="751" t="str">
        <f>Fixtures!CP60</f>
        <v/>
      </c>
      <c r="J99" s="751" t="str">
        <f>Fixtures!DN60</f>
        <v/>
      </c>
      <c r="K99" s="751">
        <f>Fixtures!DW60</f>
        <v>34</v>
      </c>
      <c r="L99" s="752">
        <f>Fixtures!DX60</f>
        <v>0</v>
      </c>
      <c r="M99" s="752">
        <f>Fixtures!EB60</f>
        <v>0</v>
      </c>
      <c r="N99" s="753">
        <f>Fixtures!EF60</f>
        <v>0</v>
      </c>
      <c r="O99" s="752">
        <f>Fixtures!EH60</f>
        <v>0</v>
      </c>
      <c r="P99" s="752">
        <f>Fixtures!EL60</f>
        <v>0</v>
      </c>
      <c r="Q99" s="753">
        <f>Fixtures!EP60</f>
        <v>0</v>
      </c>
      <c r="R99" s="753" t="str">
        <f>Fixtures!EY60</f>
        <v/>
      </c>
      <c r="S99" s="754">
        <f>Fixtures!EX60</f>
        <v>0</v>
      </c>
      <c r="T99" s="753" t="str">
        <f>Fixtures!DM60</f>
        <v>No</v>
      </c>
      <c r="U99" s="753">
        <f>Fixtures!ER60</f>
        <v>0</v>
      </c>
    </row>
    <row r="100" spans="2:21" ht="14.3">
      <c r="B100" s="751" t="str">
        <f>Fixtures!BV61</f>
        <v/>
      </c>
      <c r="C100" s="751">
        <f>Fixtures!BW61</f>
        <v>35</v>
      </c>
      <c r="D100" s="751">
        <f>Fixtures!BX61</f>
        <v>0</v>
      </c>
      <c r="E100" s="751">
        <f>Fixtures!CB61</f>
        <v>0</v>
      </c>
      <c r="F100" s="751">
        <f>Fixtures!CF61</f>
        <v>0</v>
      </c>
      <c r="G100" s="751">
        <f>Fixtures!CJ61</f>
        <v>0</v>
      </c>
      <c r="H100" s="751" t="str">
        <f>Fixtures!CP61</f>
        <v/>
      </c>
      <c r="J100" s="751" t="str">
        <f>Fixtures!DN61</f>
        <v/>
      </c>
      <c r="K100" s="751">
        <f>Fixtures!DW61</f>
        <v>35</v>
      </c>
      <c r="L100" s="752">
        <f>Fixtures!DX61</f>
        <v>0</v>
      </c>
      <c r="M100" s="752">
        <f>Fixtures!EB61</f>
        <v>0</v>
      </c>
      <c r="N100" s="753">
        <f>Fixtures!EF61</f>
        <v>0</v>
      </c>
      <c r="O100" s="752">
        <f>Fixtures!EH61</f>
        <v>0</v>
      </c>
      <c r="P100" s="752">
        <f>Fixtures!EL61</f>
        <v>0</v>
      </c>
      <c r="Q100" s="753">
        <f>Fixtures!EP61</f>
        <v>0</v>
      </c>
      <c r="R100" s="753" t="str">
        <f>Fixtures!EY61</f>
        <v/>
      </c>
      <c r="S100" s="754">
        <f>Fixtures!EX61</f>
        <v>0</v>
      </c>
      <c r="T100" s="753" t="str">
        <f>Fixtures!DM61</f>
        <v>No</v>
      </c>
      <c r="U100" s="753">
        <f>Fixtures!ER61</f>
        <v>0</v>
      </c>
    </row>
    <row r="101" spans="2:21" ht="14.3">
      <c r="B101" s="751" t="str">
        <f>Fixtures!BV62</f>
        <v/>
      </c>
      <c r="C101" s="751">
        <f>Fixtures!BW62</f>
        <v>36</v>
      </c>
      <c r="D101" s="751">
        <f>Fixtures!BX62</f>
        <v>0</v>
      </c>
      <c r="E101" s="751">
        <f>Fixtures!CB62</f>
        <v>0</v>
      </c>
      <c r="F101" s="751">
        <f>Fixtures!CF62</f>
        <v>0</v>
      </c>
      <c r="G101" s="751">
        <f>Fixtures!CJ62</f>
        <v>0</v>
      </c>
      <c r="H101" s="751" t="str">
        <f>Fixtures!CP62</f>
        <v/>
      </c>
      <c r="J101" s="751" t="str">
        <f>Fixtures!DN62</f>
        <v/>
      </c>
      <c r="K101" s="751">
        <f>Fixtures!DW62</f>
        <v>36</v>
      </c>
      <c r="L101" s="752">
        <f>Fixtures!DX62</f>
        <v>0</v>
      </c>
      <c r="M101" s="752">
        <f>Fixtures!EB62</f>
        <v>0</v>
      </c>
      <c r="N101" s="753">
        <f>Fixtures!EF62</f>
        <v>0</v>
      </c>
      <c r="O101" s="752">
        <f>Fixtures!EH62</f>
        <v>0</v>
      </c>
      <c r="P101" s="752">
        <f>Fixtures!EL62</f>
        <v>0</v>
      </c>
      <c r="Q101" s="753">
        <f>Fixtures!EP62</f>
        <v>0</v>
      </c>
      <c r="R101" s="753" t="str">
        <f>Fixtures!EY62</f>
        <v/>
      </c>
      <c r="S101" s="754">
        <f>Fixtures!EX62</f>
        <v>0</v>
      </c>
      <c r="T101" s="753" t="str">
        <f>Fixtures!DM62</f>
        <v>No</v>
      </c>
      <c r="U101" s="753">
        <f>Fixtures!ER62</f>
        <v>0</v>
      </c>
    </row>
    <row r="102" spans="2:21" ht="14.3">
      <c r="B102" s="751" t="str">
        <f>Fixtures!BV63</f>
        <v/>
      </c>
      <c r="C102" s="751">
        <f>Fixtures!BW63</f>
        <v>37</v>
      </c>
      <c r="D102" s="751">
        <f>Fixtures!BX63</f>
        <v>0</v>
      </c>
      <c r="E102" s="751">
        <f>Fixtures!CB63</f>
        <v>0</v>
      </c>
      <c r="F102" s="751">
        <f>Fixtures!CF63</f>
        <v>0</v>
      </c>
      <c r="G102" s="751">
        <f>Fixtures!CJ63</f>
        <v>0</v>
      </c>
      <c r="H102" s="751" t="str">
        <f>Fixtures!CP63</f>
        <v/>
      </c>
      <c r="J102" s="751" t="str">
        <f>Fixtures!DN63</f>
        <v/>
      </c>
      <c r="K102" s="751">
        <f>Fixtures!DW63</f>
        <v>37</v>
      </c>
      <c r="L102" s="752">
        <f>Fixtures!DX63</f>
        <v>0</v>
      </c>
      <c r="M102" s="752">
        <f>Fixtures!EB63</f>
        <v>0</v>
      </c>
      <c r="N102" s="753">
        <f>Fixtures!EF63</f>
        <v>0</v>
      </c>
      <c r="O102" s="752">
        <f>Fixtures!EH63</f>
        <v>0</v>
      </c>
      <c r="P102" s="752">
        <f>Fixtures!EL63</f>
        <v>0</v>
      </c>
      <c r="Q102" s="753">
        <f>Fixtures!EP63</f>
        <v>0</v>
      </c>
      <c r="R102" s="753" t="str">
        <f>Fixtures!EY63</f>
        <v/>
      </c>
      <c r="S102" s="754">
        <f>Fixtures!EX63</f>
        <v>0</v>
      </c>
      <c r="T102" s="753" t="str">
        <f>Fixtures!DM63</f>
        <v>No</v>
      </c>
      <c r="U102" s="753">
        <f>Fixtures!ER63</f>
        <v>0</v>
      </c>
    </row>
    <row r="103" spans="2:21" ht="14.3">
      <c r="B103" s="751" t="str">
        <f>Fixtures!BV64</f>
        <v/>
      </c>
      <c r="C103" s="751">
        <f>Fixtures!BW64</f>
        <v>38</v>
      </c>
      <c r="D103" s="751">
        <f>Fixtures!BX64</f>
        <v>0</v>
      </c>
      <c r="E103" s="751">
        <f>Fixtures!CB64</f>
        <v>0</v>
      </c>
      <c r="F103" s="751">
        <f>Fixtures!CF64</f>
        <v>0</v>
      </c>
      <c r="G103" s="751">
        <f>Fixtures!CJ64</f>
        <v>0</v>
      </c>
      <c r="H103" s="751" t="str">
        <f>Fixtures!CP64</f>
        <v/>
      </c>
      <c r="J103" s="751" t="str">
        <f>Fixtures!DN64</f>
        <v/>
      </c>
      <c r="K103" s="751">
        <f>Fixtures!DW64</f>
        <v>38</v>
      </c>
      <c r="L103" s="752">
        <f>Fixtures!DX64</f>
        <v>0</v>
      </c>
      <c r="M103" s="752">
        <f>Fixtures!EB64</f>
        <v>0</v>
      </c>
      <c r="N103" s="753">
        <f>Fixtures!EF64</f>
        <v>0</v>
      </c>
      <c r="O103" s="752">
        <f>Fixtures!EH64</f>
        <v>0</v>
      </c>
      <c r="P103" s="752">
        <f>Fixtures!EL64</f>
        <v>0</v>
      </c>
      <c r="Q103" s="753">
        <f>Fixtures!EP64</f>
        <v>0</v>
      </c>
      <c r="R103" s="753" t="str">
        <f>Fixtures!EY64</f>
        <v/>
      </c>
      <c r="S103" s="754">
        <f>Fixtures!EX64</f>
        <v>0</v>
      </c>
      <c r="T103" s="753" t="str">
        <f>Fixtures!DM64</f>
        <v>No</v>
      </c>
      <c r="U103" s="753">
        <f>Fixtures!ER64</f>
        <v>0</v>
      </c>
    </row>
    <row r="104" spans="2:21" ht="14.3">
      <c r="B104" s="751" t="str">
        <f>Fixtures!BV65</f>
        <v/>
      </c>
      <c r="C104" s="751">
        <f>Fixtures!BW65</f>
        <v>39</v>
      </c>
      <c r="D104" s="751">
        <f>Fixtures!BX65</f>
        <v>0</v>
      </c>
      <c r="E104" s="751">
        <f>Fixtures!CB65</f>
        <v>0</v>
      </c>
      <c r="F104" s="751">
        <f>Fixtures!CF65</f>
        <v>0</v>
      </c>
      <c r="G104" s="751">
        <f>Fixtures!CJ65</f>
        <v>0</v>
      </c>
      <c r="H104" s="751" t="str">
        <f>Fixtures!CP65</f>
        <v/>
      </c>
      <c r="J104" s="751" t="str">
        <f>Fixtures!DN65</f>
        <v/>
      </c>
      <c r="K104" s="751">
        <f>Fixtures!DW65</f>
        <v>39</v>
      </c>
      <c r="L104" s="752">
        <f>Fixtures!DX65</f>
        <v>0</v>
      </c>
      <c r="M104" s="752">
        <f>Fixtures!EB65</f>
        <v>0</v>
      </c>
      <c r="N104" s="753">
        <f>Fixtures!EF65</f>
        <v>0</v>
      </c>
      <c r="O104" s="752">
        <f>Fixtures!EH65</f>
        <v>0</v>
      </c>
      <c r="P104" s="752">
        <f>Fixtures!EL65</f>
        <v>0</v>
      </c>
      <c r="Q104" s="753">
        <f>Fixtures!EP65</f>
        <v>0</v>
      </c>
      <c r="R104" s="753" t="str">
        <f>Fixtures!EY65</f>
        <v/>
      </c>
      <c r="S104" s="754">
        <f>Fixtures!EX65</f>
        <v>0</v>
      </c>
      <c r="T104" s="753" t="str">
        <f>Fixtures!DM65</f>
        <v>No</v>
      </c>
      <c r="U104" s="753">
        <f>Fixtures!ER65</f>
        <v>0</v>
      </c>
    </row>
    <row r="105" spans="2:21" ht="14.3">
      <c r="B105" s="751" t="str">
        <f>Fixtures!BV66</f>
        <v/>
      </c>
      <c r="C105" s="751">
        <f>Fixtures!BW66</f>
        <v>40</v>
      </c>
      <c r="D105" s="751">
        <f>Fixtures!BX66</f>
        <v>0</v>
      </c>
      <c r="E105" s="751">
        <f>Fixtures!CB66</f>
        <v>0</v>
      </c>
      <c r="F105" s="751">
        <f>Fixtures!CF66</f>
        <v>0</v>
      </c>
      <c r="G105" s="751">
        <f>Fixtures!CJ66</f>
        <v>0</v>
      </c>
      <c r="H105" s="751" t="str">
        <f>Fixtures!CP66</f>
        <v/>
      </c>
      <c r="J105" s="751" t="str">
        <f>Fixtures!DN66</f>
        <v/>
      </c>
      <c r="K105" s="751">
        <f>Fixtures!DW66</f>
        <v>40</v>
      </c>
      <c r="L105" s="752">
        <f>Fixtures!DX66</f>
        <v>0</v>
      </c>
      <c r="M105" s="752">
        <f>Fixtures!EB66</f>
        <v>0</v>
      </c>
      <c r="N105" s="753">
        <f>Fixtures!EF66</f>
        <v>0</v>
      </c>
      <c r="O105" s="752">
        <f>Fixtures!EH66</f>
        <v>0</v>
      </c>
      <c r="P105" s="752">
        <f>Fixtures!EL66</f>
        <v>0</v>
      </c>
      <c r="Q105" s="753">
        <f>Fixtures!EP66</f>
        <v>0</v>
      </c>
      <c r="R105" s="753" t="str">
        <f>Fixtures!EY66</f>
        <v/>
      </c>
      <c r="S105" s="754">
        <f>Fixtures!EX66</f>
        <v>0</v>
      </c>
      <c r="T105" s="753" t="str">
        <f>Fixtures!DM66</f>
        <v>No</v>
      </c>
      <c r="U105" s="753">
        <f>Fixtures!ER66</f>
        <v>0</v>
      </c>
    </row>
    <row r="106" spans="2:21" ht="14.3">
      <c r="B106" s="751" t="str">
        <f>Fixtures!BV67</f>
        <v/>
      </c>
      <c r="C106" s="751">
        <f>Fixtures!BW67</f>
        <v>41</v>
      </c>
      <c r="D106" s="751">
        <f>Fixtures!BX67</f>
        <v>0</v>
      </c>
      <c r="E106" s="751">
        <f>Fixtures!CB67</f>
        <v>0</v>
      </c>
      <c r="F106" s="751">
        <f>Fixtures!CF67</f>
        <v>0</v>
      </c>
      <c r="G106" s="751">
        <f>Fixtures!CJ67</f>
        <v>0</v>
      </c>
      <c r="H106" s="751" t="str">
        <f>Fixtures!CP67</f>
        <v/>
      </c>
      <c r="J106" s="751" t="str">
        <f>Fixtures!DN67</f>
        <v/>
      </c>
      <c r="K106" s="751">
        <f>Fixtures!DW67</f>
        <v>41</v>
      </c>
      <c r="L106" s="752">
        <f>Fixtures!DX67</f>
        <v>0</v>
      </c>
      <c r="M106" s="752">
        <f>Fixtures!EB67</f>
        <v>0</v>
      </c>
      <c r="N106" s="753">
        <f>Fixtures!EF67</f>
        <v>0</v>
      </c>
      <c r="O106" s="752">
        <f>Fixtures!EH67</f>
        <v>0</v>
      </c>
      <c r="P106" s="752">
        <f>Fixtures!EL67</f>
        <v>0</v>
      </c>
      <c r="Q106" s="753">
        <f>Fixtures!EP67</f>
        <v>0</v>
      </c>
      <c r="R106" s="753" t="str">
        <f>Fixtures!EY67</f>
        <v/>
      </c>
      <c r="S106" s="754">
        <f>Fixtures!EX67</f>
        <v>0</v>
      </c>
      <c r="T106" s="753" t="str">
        <f>Fixtures!DM67</f>
        <v>No</v>
      </c>
      <c r="U106" s="753">
        <f>Fixtures!ER67</f>
        <v>0</v>
      </c>
    </row>
    <row r="107" spans="2:21" ht="14.3">
      <c r="B107" s="751" t="str">
        <f>Fixtures!BV68</f>
        <v/>
      </c>
      <c r="C107" s="751">
        <f>Fixtures!BW68</f>
        <v>42</v>
      </c>
      <c r="D107" s="751">
        <f>Fixtures!BX68</f>
        <v>0</v>
      </c>
      <c r="E107" s="751">
        <f>Fixtures!CB68</f>
        <v>0</v>
      </c>
      <c r="F107" s="751">
        <f>Fixtures!CF68</f>
        <v>0</v>
      </c>
      <c r="G107" s="751">
        <f>Fixtures!CJ68</f>
        <v>0</v>
      </c>
      <c r="H107" s="751" t="str">
        <f>Fixtures!CP68</f>
        <v/>
      </c>
      <c r="J107" s="751" t="str">
        <f>Fixtures!DN68</f>
        <v/>
      </c>
      <c r="K107" s="751">
        <f>Fixtures!DW68</f>
        <v>42</v>
      </c>
      <c r="L107" s="752">
        <f>Fixtures!DX68</f>
        <v>0</v>
      </c>
      <c r="M107" s="752">
        <f>Fixtures!EB68</f>
        <v>0</v>
      </c>
      <c r="N107" s="753">
        <f>Fixtures!EF68</f>
        <v>0</v>
      </c>
      <c r="O107" s="752">
        <f>Fixtures!EH68</f>
        <v>0</v>
      </c>
      <c r="P107" s="752">
        <f>Fixtures!EL68</f>
        <v>0</v>
      </c>
      <c r="Q107" s="753">
        <f>Fixtures!EP68</f>
        <v>0</v>
      </c>
      <c r="R107" s="753" t="str">
        <f>Fixtures!EY68</f>
        <v/>
      </c>
      <c r="S107" s="754">
        <f>Fixtures!EX68</f>
        <v>0</v>
      </c>
      <c r="T107" s="753" t="str">
        <f>Fixtures!DM68</f>
        <v>No</v>
      </c>
      <c r="U107" s="753">
        <f>Fixtures!ER68</f>
        <v>0</v>
      </c>
    </row>
    <row r="108" spans="2:21" ht="14.3">
      <c r="B108" s="751" t="str">
        <f>Fixtures!BV69</f>
        <v/>
      </c>
      <c r="C108" s="751">
        <f>Fixtures!BW69</f>
        <v>43</v>
      </c>
      <c r="D108" s="751">
        <f>Fixtures!BX69</f>
        <v>0</v>
      </c>
      <c r="E108" s="751">
        <f>Fixtures!CB69</f>
        <v>0</v>
      </c>
      <c r="F108" s="751">
        <f>Fixtures!CF69</f>
        <v>0</v>
      </c>
      <c r="G108" s="751">
        <f>Fixtures!CJ69</f>
        <v>0</v>
      </c>
      <c r="H108" s="751" t="str">
        <f>Fixtures!CP69</f>
        <v/>
      </c>
      <c r="J108" s="751" t="str">
        <f>Fixtures!DN69</f>
        <v/>
      </c>
      <c r="K108" s="751">
        <f>Fixtures!DW69</f>
        <v>43</v>
      </c>
      <c r="L108" s="752">
        <f>Fixtures!DX69</f>
        <v>0</v>
      </c>
      <c r="M108" s="752">
        <f>Fixtures!EB69</f>
        <v>0</v>
      </c>
      <c r="N108" s="753">
        <f>Fixtures!EF69</f>
        <v>0</v>
      </c>
      <c r="O108" s="752">
        <f>Fixtures!EH69</f>
        <v>0</v>
      </c>
      <c r="P108" s="752">
        <f>Fixtures!EL69</f>
        <v>0</v>
      </c>
      <c r="Q108" s="753">
        <f>Fixtures!EP69</f>
        <v>0</v>
      </c>
      <c r="R108" s="753" t="str">
        <f>Fixtures!EY69</f>
        <v/>
      </c>
      <c r="S108" s="754">
        <f>Fixtures!EX69</f>
        <v>0</v>
      </c>
      <c r="T108" s="753" t="str">
        <f>Fixtures!DM69</f>
        <v>No</v>
      </c>
      <c r="U108" s="753">
        <f>Fixtures!ER69</f>
        <v>0</v>
      </c>
    </row>
    <row r="109" spans="2:21" ht="14.3">
      <c r="B109" s="751" t="str">
        <f>Fixtures!BV70</f>
        <v/>
      </c>
      <c r="C109" s="751">
        <f>Fixtures!BW70</f>
        <v>44</v>
      </c>
      <c r="D109" s="751">
        <f>Fixtures!BX70</f>
        <v>0</v>
      </c>
      <c r="E109" s="751">
        <f>Fixtures!CB70</f>
        <v>0</v>
      </c>
      <c r="F109" s="751">
        <f>Fixtures!CF70</f>
        <v>0</v>
      </c>
      <c r="G109" s="751">
        <f>Fixtures!CJ70</f>
        <v>0</v>
      </c>
      <c r="H109" s="751" t="str">
        <f>Fixtures!CP70</f>
        <v/>
      </c>
      <c r="J109" s="751" t="str">
        <f>Fixtures!DN70</f>
        <v/>
      </c>
      <c r="K109" s="751">
        <f>Fixtures!DW70</f>
        <v>44</v>
      </c>
      <c r="L109" s="752">
        <f>Fixtures!DX70</f>
        <v>0</v>
      </c>
      <c r="M109" s="752">
        <f>Fixtures!EB70</f>
        <v>0</v>
      </c>
      <c r="N109" s="753">
        <f>Fixtures!EF70</f>
        <v>0</v>
      </c>
      <c r="O109" s="752">
        <f>Fixtures!EH70</f>
        <v>0</v>
      </c>
      <c r="P109" s="752">
        <f>Fixtures!EL70</f>
        <v>0</v>
      </c>
      <c r="Q109" s="753">
        <f>Fixtures!EP70</f>
        <v>0</v>
      </c>
      <c r="R109" s="753" t="str">
        <f>Fixtures!EY70</f>
        <v/>
      </c>
      <c r="S109" s="754">
        <f>Fixtures!EX70</f>
        <v>0</v>
      </c>
      <c r="T109" s="753" t="str">
        <f>Fixtures!DM70</f>
        <v>No</v>
      </c>
      <c r="U109" s="753">
        <f>Fixtures!ER70</f>
        <v>0</v>
      </c>
    </row>
    <row r="110" spans="2:21" ht="14.3">
      <c r="B110" s="751" t="str">
        <f>Fixtures!BV71</f>
        <v/>
      </c>
      <c r="C110" s="751">
        <f>Fixtures!BW71</f>
        <v>45</v>
      </c>
      <c r="D110" s="751">
        <f>Fixtures!BX71</f>
        <v>0</v>
      </c>
      <c r="E110" s="751">
        <f>Fixtures!CB71</f>
        <v>0</v>
      </c>
      <c r="F110" s="751">
        <f>Fixtures!CF71</f>
        <v>0</v>
      </c>
      <c r="G110" s="751">
        <f>Fixtures!CJ71</f>
        <v>0</v>
      </c>
      <c r="H110" s="751" t="str">
        <f>Fixtures!CP71</f>
        <v/>
      </c>
      <c r="J110" s="751" t="str">
        <f>Fixtures!DN71</f>
        <v/>
      </c>
      <c r="K110" s="751">
        <f>Fixtures!DW71</f>
        <v>45</v>
      </c>
      <c r="L110" s="752">
        <f>Fixtures!DX71</f>
        <v>0</v>
      </c>
      <c r="M110" s="752">
        <f>Fixtures!EB71</f>
        <v>0</v>
      </c>
      <c r="N110" s="753">
        <f>Fixtures!EF71</f>
        <v>0</v>
      </c>
      <c r="O110" s="752">
        <f>Fixtures!EH71</f>
        <v>0</v>
      </c>
      <c r="P110" s="752">
        <f>Fixtures!EL71</f>
        <v>0</v>
      </c>
      <c r="Q110" s="753">
        <f>Fixtures!EP71</f>
        <v>0</v>
      </c>
      <c r="R110" s="753" t="str">
        <f>Fixtures!EY71</f>
        <v/>
      </c>
      <c r="S110" s="754">
        <f>Fixtures!EX71</f>
        <v>0</v>
      </c>
      <c r="T110" s="753" t="str">
        <f>Fixtures!DM71</f>
        <v>No</v>
      </c>
      <c r="U110" s="753">
        <f>Fixtures!ER71</f>
        <v>0</v>
      </c>
    </row>
    <row r="111" spans="2:21" ht="14.3">
      <c r="B111" s="751" t="str">
        <f>Fixtures!BV72</f>
        <v/>
      </c>
      <c r="C111" s="751">
        <f>Fixtures!BW72</f>
        <v>46</v>
      </c>
      <c r="D111" s="751">
        <f>Fixtures!BX72</f>
        <v>0</v>
      </c>
      <c r="E111" s="751">
        <f>Fixtures!CB72</f>
        <v>0</v>
      </c>
      <c r="F111" s="751">
        <f>Fixtures!CF72</f>
        <v>0</v>
      </c>
      <c r="G111" s="751">
        <f>Fixtures!CJ72</f>
        <v>0</v>
      </c>
      <c r="H111" s="751" t="str">
        <f>Fixtures!CP72</f>
        <v/>
      </c>
      <c r="J111" s="751" t="str">
        <f>Fixtures!DN72</f>
        <v/>
      </c>
      <c r="K111" s="751">
        <f>Fixtures!DW72</f>
        <v>46</v>
      </c>
      <c r="L111" s="752">
        <f>Fixtures!DX72</f>
        <v>0</v>
      </c>
      <c r="M111" s="752">
        <f>Fixtures!EB72</f>
        <v>0</v>
      </c>
      <c r="N111" s="753">
        <f>Fixtures!EF72</f>
        <v>0</v>
      </c>
      <c r="O111" s="752">
        <f>Fixtures!EH72</f>
        <v>0</v>
      </c>
      <c r="P111" s="752">
        <f>Fixtures!EL72</f>
        <v>0</v>
      </c>
      <c r="Q111" s="753">
        <f>Fixtures!EP72</f>
        <v>0</v>
      </c>
      <c r="R111" s="753" t="str">
        <f>Fixtures!EY72</f>
        <v/>
      </c>
      <c r="S111" s="754">
        <f>Fixtures!EX72</f>
        <v>0</v>
      </c>
      <c r="T111" s="753" t="str">
        <f>Fixtures!DM72</f>
        <v>No</v>
      </c>
      <c r="U111" s="753">
        <f>Fixtures!ER72</f>
        <v>0</v>
      </c>
    </row>
    <row r="112" spans="2:21" ht="14.3">
      <c r="B112" s="751" t="str">
        <f>Fixtures!BV73</f>
        <v/>
      </c>
      <c r="C112" s="751">
        <f>Fixtures!BW73</f>
        <v>47</v>
      </c>
      <c r="D112" s="751">
        <f>Fixtures!BX73</f>
        <v>0</v>
      </c>
      <c r="E112" s="751">
        <f>Fixtures!CB73</f>
        <v>0</v>
      </c>
      <c r="F112" s="751">
        <f>Fixtures!CF73</f>
        <v>0</v>
      </c>
      <c r="G112" s="751">
        <f>Fixtures!CJ73</f>
        <v>0</v>
      </c>
      <c r="H112" s="751" t="str">
        <f>Fixtures!CP73</f>
        <v/>
      </c>
      <c r="J112" s="751" t="str">
        <f>Fixtures!DN73</f>
        <v/>
      </c>
      <c r="K112" s="751">
        <f>Fixtures!DW73</f>
        <v>47</v>
      </c>
      <c r="L112" s="752">
        <f>Fixtures!DX73</f>
        <v>0</v>
      </c>
      <c r="M112" s="752">
        <f>Fixtures!EB73</f>
        <v>0</v>
      </c>
      <c r="N112" s="753">
        <f>Fixtures!EF73</f>
        <v>0</v>
      </c>
      <c r="O112" s="752">
        <f>Fixtures!EH73</f>
        <v>0</v>
      </c>
      <c r="P112" s="752">
        <f>Fixtures!EL73</f>
        <v>0</v>
      </c>
      <c r="Q112" s="753">
        <f>Fixtures!EP73</f>
        <v>0</v>
      </c>
      <c r="R112" s="753" t="str">
        <f>Fixtures!EY73</f>
        <v/>
      </c>
      <c r="S112" s="754">
        <f>Fixtures!EX73</f>
        <v>0</v>
      </c>
      <c r="T112" s="753" t="str">
        <f>Fixtures!DM73</f>
        <v>No</v>
      </c>
      <c r="U112" s="753">
        <f>Fixtures!ER73</f>
        <v>0</v>
      </c>
    </row>
    <row r="113" spans="1:45" ht="14.3">
      <c r="B113" s="751" t="str">
        <f>Fixtures!BV74</f>
        <v/>
      </c>
      <c r="C113" s="751">
        <f>Fixtures!BW74</f>
        <v>48</v>
      </c>
      <c r="D113" s="751">
        <f>Fixtures!BX74</f>
        <v>0</v>
      </c>
      <c r="E113" s="751">
        <f>Fixtures!CB74</f>
        <v>0</v>
      </c>
      <c r="F113" s="751">
        <f>Fixtures!CF74</f>
        <v>0</v>
      </c>
      <c r="G113" s="751">
        <f>Fixtures!CJ74</f>
        <v>0</v>
      </c>
      <c r="H113" s="751" t="str">
        <f>Fixtures!CP74</f>
        <v/>
      </c>
      <c r="J113" s="751" t="str">
        <f>Fixtures!DN74</f>
        <v/>
      </c>
      <c r="K113" s="751">
        <f>Fixtures!DW74</f>
        <v>48</v>
      </c>
      <c r="L113" s="752">
        <f>Fixtures!DX74</f>
        <v>0</v>
      </c>
      <c r="M113" s="752">
        <f>Fixtures!EB74</f>
        <v>0</v>
      </c>
      <c r="N113" s="753">
        <f>Fixtures!EF74</f>
        <v>0</v>
      </c>
      <c r="O113" s="752">
        <f>Fixtures!EH74</f>
        <v>0</v>
      </c>
      <c r="P113" s="752">
        <f>Fixtures!EL74</f>
        <v>0</v>
      </c>
      <c r="Q113" s="753">
        <f>Fixtures!EP74</f>
        <v>0</v>
      </c>
      <c r="R113" s="753" t="str">
        <f>Fixtures!EY74</f>
        <v/>
      </c>
      <c r="S113" s="754">
        <f>Fixtures!EX74</f>
        <v>0</v>
      </c>
      <c r="T113" s="753" t="str">
        <f>Fixtures!DM74</f>
        <v>No</v>
      </c>
      <c r="U113" s="753">
        <f>Fixtures!ER74</f>
        <v>0</v>
      </c>
    </row>
    <row r="114" spans="1:45" ht="14.3">
      <c r="B114" s="751" t="str">
        <f>Fixtures!BV75</f>
        <v/>
      </c>
      <c r="C114" s="751">
        <f>Fixtures!BW75</f>
        <v>49</v>
      </c>
      <c r="D114" s="751">
        <f>Fixtures!BX75</f>
        <v>0</v>
      </c>
      <c r="E114" s="751">
        <f>Fixtures!CB75</f>
        <v>0</v>
      </c>
      <c r="F114" s="751">
        <f>Fixtures!CF75</f>
        <v>0</v>
      </c>
      <c r="G114" s="751">
        <f>Fixtures!CJ75</f>
        <v>0</v>
      </c>
      <c r="H114" s="751" t="str">
        <f>Fixtures!CP75</f>
        <v/>
      </c>
      <c r="J114" s="751" t="str">
        <f>Fixtures!DN75</f>
        <v/>
      </c>
      <c r="K114" s="751">
        <f>Fixtures!DW75</f>
        <v>49</v>
      </c>
      <c r="L114" s="752">
        <f>Fixtures!DX75</f>
        <v>0</v>
      </c>
      <c r="M114" s="752">
        <f>Fixtures!EB75</f>
        <v>0</v>
      </c>
      <c r="N114" s="753">
        <f>Fixtures!EF75</f>
        <v>0</v>
      </c>
      <c r="O114" s="752">
        <f>Fixtures!EH75</f>
        <v>0</v>
      </c>
      <c r="P114" s="752">
        <f>Fixtures!EL75</f>
        <v>0</v>
      </c>
      <c r="Q114" s="753">
        <f>Fixtures!EP75</f>
        <v>0</v>
      </c>
      <c r="R114" s="753" t="str">
        <f>Fixtures!EY75</f>
        <v/>
      </c>
      <c r="S114" s="754">
        <f>Fixtures!EX75</f>
        <v>0</v>
      </c>
      <c r="T114" s="753" t="str">
        <f>Fixtures!DM75</f>
        <v>No</v>
      </c>
      <c r="U114" s="753">
        <f>Fixtures!ER75</f>
        <v>0</v>
      </c>
    </row>
    <row r="115" spans="1:45" ht="14.3">
      <c r="B115" s="751" t="str">
        <f>Fixtures!BV76</f>
        <v/>
      </c>
      <c r="C115" s="751">
        <f>Fixtures!BW76</f>
        <v>50</v>
      </c>
      <c r="D115" s="751">
        <f>Fixtures!BX76</f>
        <v>0</v>
      </c>
      <c r="E115" s="751">
        <f>Fixtures!CB76</f>
        <v>0</v>
      </c>
      <c r="F115" s="751">
        <f>Fixtures!CF76</f>
        <v>0</v>
      </c>
      <c r="G115" s="751">
        <f>Fixtures!CJ76</f>
        <v>0</v>
      </c>
      <c r="H115" s="751" t="str">
        <f>Fixtures!CP76</f>
        <v/>
      </c>
      <c r="J115" s="751" t="str">
        <f>Fixtures!DN76</f>
        <v>08 Other Interior Fixture Removed, (1) Existing #Removed</v>
      </c>
      <c r="K115" s="751">
        <f>Fixtures!DW76</f>
        <v>50</v>
      </c>
      <c r="L115" s="752" t="str">
        <f>Fixtures!DX76</f>
        <v>08 Other Interior</v>
      </c>
      <c r="M115" s="752" t="str">
        <f>Fixtures!EB76</f>
        <v>Fixture Removed</v>
      </c>
      <c r="N115" s="753">
        <f>Fixtures!EF76</f>
        <v>1</v>
      </c>
      <c r="O115" s="752" t="str">
        <f>Fixtures!EH76</f>
        <v>Existing</v>
      </c>
      <c r="P115" s="752" t="str">
        <f>Fixtures!EL76</f>
        <v>Removed</v>
      </c>
      <c r="Q115" s="753">
        <f>Fixtures!EP76</f>
        <v>0</v>
      </c>
      <c r="R115" s="753">
        <f>Fixtures!EY76</f>
        <v>15</v>
      </c>
      <c r="S115" s="754">
        <f>Fixtures!EX76</f>
        <v>0</v>
      </c>
      <c r="T115" s="753" t="str">
        <f>Fixtures!DM76</f>
        <v>No</v>
      </c>
      <c r="U115" s="753">
        <f>Fixtures!ER76</f>
        <v>0</v>
      </c>
    </row>
    <row r="118" spans="1:45" ht="19.05">
      <c r="H118" s="75" t="s">
        <v>226</v>
      </c>
      <c r="I118" s="71"/>
      <c r="J118" s="71"/>
      <c r="K118" s="71"/>
      <c r="L118" s="71"/>
      <c r="M118" s="71"/>
      <c r="S118" s="75" t="s">
        <v>345</v>
      </c>
      <c r="T118" s="71"/>
      <c r="U118" s="71">
        <v>3</v>
      </c>
      <c r="V118" s="71">
        <v>3</v>
      </c>
      <c r="W118" s="71">
        <v>3</v>
      </c>
      <c r="X118" s="71">
        <v>3</v>
      </c>
      <c r="AA118">
        <v>3</v>
      </c>
    </row>
    <row r="119" spans="1:45" ht="19.05">
      <c r="A119" s="9"/>
      <c r="B119" s="9"/>
      <c r="C119" s="9"/>
      <c r="D119" s="76" t="s">
        <v>1526</v>
      </c>
      <c r="E119" s="243"/>
      <c r="F119" s="243"/>
      <c r="G119" s="243"/>
      <c r="H119" s="75" t="s">
        <v>1527</v>
      </c>
      <c r="I119" s="71"/>
      <c r="J119" s="71"/>
      <c r="K119" s="71"/>
      <c r="L119" s="71"/>
      <c r="M119" s="71"/>
      <c r="N119" s="73" t="s">
        <v>387</v>
      </c>
      <c r="O119" s="244"/>
      <c r="P119" s="244"/>
      <c r="Q119" s="244"/>
      <c r="R119" s="244" t="s">
        <v>343</v>
      </c>
      <c r="S119" s="75" t="s">
        <v>1527</v>
      </c>
      <c r="T119" s="71"/>
      <c r="U119" s="71"/>
      <c r="V119" s="71"/>
      <c r="W119" s="71"/>
      <c r="X119" s="71"/>
      <c r="Y119" s="73" t="s">
        <v>387</v>
      </c>
      <c r="Z119" s="244"/>
      <c r="AA119" s="244"/>
      <c r="AB119" s="244"/>
      <c r="AC119" s="244" t="s">
        <v>343</v>
      </c>
      <c r="AD119" s="252" t="s">
        <v>427</v>
      </c>
      <c r="AE119" s="72"/>
      <c r="AF119" s="254"/>
      <c r="AG119" s="1"/>
      <c r="AI119" t="s">
        <v>1528</v>
      </c>
      <c r="AK119" t="s">
        <v>305</v>
      </c>
      <c r="AL119" t="s">
        <v>1529</v>
      </c>
      <c r="AM119" t="s">
        <v>1530</v>
      </c>
      <c r="AN119" t="s">
        <v>199</v>
      </c>
      <c r="AO119" t="s">
        <v>1531</v>
      </c>
      <c r="AP119" t="s">
        <v>205</v>
      </c>
      <c r="AQ119" s="12" t="s">
        <v>473</v>
      </c>
      <c r="AR119" s="12" t="s">
        <v>365</v>
      </c>
      <c r="AS119" s="12" t="s">
        <v>1532</v>
      </c>
    </row>
    <row r="120" spans="1:45" ht="14.3">
      <c r="A120" s="138" t="s">
        <v>1533</v>
      </c>
      <c r="B120" s="138" t="s">
        <v>1534</v>
      </c>
      <c r="C120" s="138" t="s">
        <v>331</v>
      </c>
      <c r="D120" s="247" t="s">
        <v>1535</v>
      </c>
      <c r="E120" s="245" t="s">
        <v>1535</v>
      </c>
      <c r="F120" s="245" t="s">
        <v>1535</v>
      </c>
      <c r="G120" s="245" t="s">
        <v>1536</v>
      </c>
      <c r="H120" s="249" t="s">
        <v>1537</v>
      </c>
      <c r="I120" s="246" t="s">
        <v>1538</v>
      </c>
      <c r="J120" s="246" t="s">
        <v>1538</v>
      </c>
      <c r="K120" s="246" t="s">
        <v>1539</v>
      </c>
      <c r="L120" s="246" t="s">
        <v>439</v>
      </c>
      <c r="M120" s="246" t="s">
        <v>1540</v>
      </c>
      <c r="N120" s="250" t="s">
        <v>1541</v>
      </c>
      <c r="O120" s="244" t="s">
        <v>1542</v>
      </c>
      <c r="P120" s="244" t="s">
        <v>1542</v>
      </c>
      <c r="Q120" s="244" t="s">
        <v>1543</v>
      </c>
      <c r="R120" s="244" t="s">
        <v>1544</v>
      </c>
      <c r="S120" s="249" t="s">
        <v>1537</v>
      </c>
      <c r="T120" s="246" t="s">
        <v>1538</v>
      </c>
      <c r="U120" s="246" t="s">
        <v>1538</v>
      </c>
      <c r="V120" s="246" t="s">
        <v>1539</v>
      </c>
      <c r="W120" s="246" t="s">
        <v>439</v>
      </c>
      <c r="X120" s="246" t="s">
        <v>1540</v>
      </c>
      <c r="Y120" s="250" t="s">
        <v>1541</v>
      </c>
      <c r="Z120" s="244" t="s">
        <v>1542</v>
      </c>
      <c r="AA120" s="244" t="s">
        <v>1542</v>
      </c>
      <c r="AB120" s="244" t="s">
        <v>1543</v>
      </c>
      <c r="AC120" s="244" t="s">
        <v>1544</v>
      </c>
      <c r="AD120" s="253" t="s">
        <v>1545</v>
      </c>
      <c r="AE120" s="251" t="s">
        <v>1546</v>
      </c>
      <c r="AF120" s="255" t="s">
        <v>1547</v>
      </c>
      <c r="AG120" s="256" t="s">
        <v>1548</v>
      </c>
      <c r="AQ120" s="12" t="s">
        <v>1549</v>
      </c>
      <c r="AR120" s="12" t="s">
        <v>1535</v>
      </c>
      <c r="AS120" s="12" t="s">
        <v>1536</v>
      </c>
    </row>
    <row r="121" spans="1:45" ht="14.3">
      <c r="A121" s="9">
        <v>39</v>
      </c>
      <c r="B121" s="138" t="s">
        <v>1550</v>
      </c>
      <c r="C121" s="137" t="str">
        <f>Installations!IB2</f>
        <v>IB</v>
      </c>
      <c r="D121" s="247" t="s">
        <v>1551</v>
      </c>
      <c r="E121" s="245" t="s">
        <v>557</v>
      </c>
      <c r="F121" s="245" t="s">
        <v>786</v>
      </c>
      <c r="G121" s="245" t="s">
        <v>299</v>
      </c>
      <c r="H121" s="249" t="s">
        <v>239</v>
      </c>
      <c r="I121" s="246" t="s">
        <v>234</v>
      </c>
      <c r="J121" s="246" t="s">
        <v>342</v>
      </c>
      <c r="K121" s="246" t="s">
        <v>194</v>
      </c>
      <c r="L121" s="246" t="s">
        <v>343</v>
      </c>
      <c r="M121" s="246" t="s">
        <v>383</v>
      </c>
      <c r="N121" s="250" t="s">
        <v>239</v>
      </c>
      <c r="O121" s="244" t="s">
        <v>347</v>
      </c>
      <c r="P121" s="244" t="s">
        <v>342</v>
      </c>
      <c r="Q121" s="244" t="s">
        <v>384</v>
      </c>
      <c r="R121" s="244" t="s">
        <v>346</v>
      </c>
      <c r="S121" s="249" t="s">
        <v>239</v>
      </c>
      <c r="T121" s="246" t="s">
        <v>234</v>
      </c>
      <c r="U121" s="246" t="s">
        <v>342</v>
      </c>
      <c r="V121" s="246" t="s">
        <v>194</v>
      </c>
      <c r="W121" s="246" t="s">
        <v>343</v>
      </c>
      <c r="X121" s="246" t="s">
        <v>383</v>
      </c>
      <c r="Y121" s="250" t="s">
        <v>239</v>
      </c>
      <c r="Z121" s="244" t="s">
        <v>347</v>
      </c>
      <c r="AA121" s="244" t="s">
        <v>342</v>
      </c>
      <c r="AB121" s="244" t="s">
        <v>384</v>
      </c>
      <c r="AC121" s="244" t="s">
        <v>346</v>
      </c>
      <c r="AD121" s="253" t="s">
        <v>407</v>
      </c>
      <c r="AE121" s="251" t="s">
        <v>433</v>
      </c>
      <c r="AF121" s="254" t="s">
        <v>428</v>
      </c>
      <c r="AG121" s="1" t="s">
        <v>429</v>
      </c>
      <c r="AQ121" s="12"/>
    </row>
    <row r="122" spans="1:45" ht="14.3">
      <c r="A122">
        <v>47</v>
      </c>
      <c r="B122" t="str">
        <f ca="1">INDIRECT("Installations!" &amp; B$121 &amp; $A122)</f>
        <v xml:space="preserve"> </v>
      </c>
      <c r="C122" t="b">
        <f ca="1">IF(INDIRECT("Installations!" &amp; C$121 &amp; $A122)=TRUE,TRUE,FALSE)</f>
        <v>0</v>
      </c>
      <c r="D122" s="248" t="str">
        <f t="shared" ref="D122:D153" ca="1" si="4">IF($C122=FALSE,"",INDIRECT("Installations!" &amp; D$120 &amp; $A122))</f>
        <v/>
      </c>
      <c r="E122" s="92" t="str">
        <f ca="1">IF($C122=FALSE,"",INDIRECT("Installations!" &amp; E$120 &amp; $A122+1))</f>
        <v/>
      </c>
      <c r="F122" s="92" t="str">
        <f ca="1">IF($C122=FALSE,"",INDIRECT("Installations!" &amp; F$120 &amp; $A122+2))</f>
        <v/>
      </c>
      <c r="G122" s="257" t="str">
        <f ca="1">IF($C122=FALSE,"",INDIRECT("Installations!" &amp; G$120 &amp; $A122+1))</f>
        <v/>
      </c>
      <c r="H122" s="248" t="str">
        <f ca="1">IF($C122=FALSE,"",INDIRECT("Installations!" &amp; H$120 &amp; $A122+1))</f>
        <v/>
      </c>
      <c r="I122" s="92" t="str">
        <f ca="1">IF($C122=FALSE,"",INDIRECT("Installations!" &amp; I$120 &amp; $A122+1))</f>
        <v/>
      </c>
      <c r="J122" s="92" t="str">
        <f ca="1">IF($C122=FALSE,"",INDIRECT("Installations!" &amp; J$120 &amp; $A122+3))</f>
        <v/>
      </c>
      <c r="K122" s="92" t="str">
        <f t="shared" ref="K122:M141" ca="1" si="5">IF($C122=FALSE,"",INDIRECT("Installations!" &amp; K$120 &amp; $A122))</f>
        <v/>
      </c>
      <c r="L122" s="92" t="str">
        <f t="shared" ca="1" si="5"/>
        <v/>
      </c>
      <c r="M122" s="258" t="str">
        <f t="shared" ca="1" si="5"/>
        <v/>
      </c>
      <c r="N122" s="259" t="str">
        <f ca="1">IF($C122=FALSE,"",INDIRECT("Installations!" &amp; N$120 &amp; $A122+1))</f>
        <v/>
      </c>
      <c r="O122" s="92" t="str">
        <f ca="1">IF($C122=FALSE,"",INDIRECT("Installations!" &amp; O$120 &amp; $A122+1))</f>
        <v/>
      </c>
      <c r="P122" s="92"/>
      <c r="Q122" s="92" t="str">
        <f t="shared" ref="Q122:R137" ca="1" si="6">IF($C122=FALSE,"",INDIRECT("Installations!" &amp; Q$120 &amp; $A122))</f>
        <v/>
      </c>
      <c r="R122" s="257" t="str">
        <f t="shared" ca="1" si="6"/>
        <v/>
      </c>
      <c r="S122" s="248" t="str">
        <f t="shared" ref="S122:T141" ca="1" si="7">IF($C122=FALSE,"",INDIRECT("Installations!" &amp; S$120 &amp; $A122+2))</f>
        <v/>
      </c>
      <c r="T122" s="92" t="str">
        <f t="shared" ca="1" si="7"/>
        <v/>
      </c>
      <c r="U122" s="92" t="str">
        <f ca="1">IF($C122=FALSE,"",INDIRECT("Installations!" &amp; U$120 &amp; $A122+U$118))</f>
        <v/>
      </c>
      <c r="V122" s="92" t="str">
        <f ca="1">IF($C122=FALSE,"",INDIRECT("Installations!" &amp; V$120 &amp; $A122+V$118))</f>
        <v/>
      </c>
      <c r="W122" s="92" t="str">
        <f ca="1">IF($C122=FALSE,"",INDIRECT("Installations!" &amp; W$120 &amp; $A122+W$118))</f>
        <v/>
      </c>
      <c r="X122" s="257" t="str">
        <f ca="1">IF($C122=FALSE,"",INDIRECT("Installations!" &amp; X$120 &amp; $A122+X$118))</f>
        <v/>
      </c>
      <c r="Y122" s="248" t="str">
        <f t="shared" ref="Y122:Z141" ca="1" si="8">IF($C122=FALSE,"",INDIRECT("Installations!" &amp; Y$120 &amp; $A122+2))</f>
        <v/>
      </c>
      <c r="Z122" s="92" t="str">
        <f t="shared" ca="1" si="8"/>
        <v/>
      </c>
      <c r="AA122" s="92" t="str">
        <f ca="1">IF($C122=FALSE,"",INDIRECT("Installations!" &amp; AA$120 &amp; $A122+AA$118))</f>
        <v/>
      </c>
      <c r="AB122" s="345" t="str">
        <f t="shared" ref="AB122:AC132" ca="1" si="9">IF($C122=FALSE,"",INDIRECT("Installations!" &amp; AB$120 &amp; $A122+2))</f>
        <v/>
      </c>
      <c r="AC122" s="257" t="str">
        <f t="shared" ca="1" si="9"/>
        <v/>
      </c>
      <c r="AD122" s="248" t="str">
        <f t="shared" ref="AD122:AG137" ca="1" si="10">IF($C122=FALSE,"",INDIRECT("Installations!" &amp; AD$120 &amp; $A122))</f>
        <v/>
      </c>
      <c r="AE122" s="257" t="str">
        <f ca="1">IF($C122=FALSE,"",INDIRECT("Installations!" &amp; AE$120 &amp; $A122))</f>
        <v/>
      </c>
      <c r="AF122" s="248" t="str">
        <f t="shared" ca="1" si="10"/>
        <v/>
      </c>
      <c r="AG122" s="257" t="str">
        <f t="shared" ca="1" si="10"/>
        <v/>
      </c>
      <c r="AH122" s="92"/>
      <c r="AI122" s="92" t="str">
        <f ca="1">T122</f>
        <v/>
      </c>
      <c r="AK122" s="92">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ht="14.3">
      <c r="A123">
        <f>A122+5</f>
        <v>52</v>
      </c>
      <c r="B123" t="str">
        <f t="shared" ref="B123:B186" ca="1" si="11">INDIRECT("Installations!" &amp; B$121 &amp; $A123)</f>
        <v xml:space="preserve"> </v>
      </c>
      <c r="C123" t="b">
        <f t="shared" ref="C123:C186" ca="1" si="12">IF(INDIRECT("Installations!" &amp; C$121 &amp; $A123)=TRUE,TRUE,FALSE)</f>
        <v>0</v>
      </c>
      <c r="D123" s="248" t="str">
        <f t="shared" ca="1" si="4"/>
        <v/>
      </c>
      <c r="E123" s="92" t="str">
        <f t="shared" ref="E123:E186" ca="1" si="13">IF($C123=FALSE,"",INDIRECT("Installations!" &amp; E$120 &amp; $A123+1))</f>
        <v/>
      </c>
      <c r="F123" s="92" t="str">
        <f t="shared" ref="F123:F186" ca="1" si="14">IF($C123=FALSE,"",INDIRECT("Installations!" &amp; F$120 &amp; $A123+2))</f>
        <v/>
      </c>
      <c r="G123" s="257" t="str">
        <f t="shared" ref="G123:I154" ca="1" si="15">IF($C123=FALSE,"",INDIRECT("Installations!" &amp; G$120 &amp; $A123+1))</f>
        <v/>
      </c>
      <c r="H123" s="248" t="str">
        <f t="shared" ca="1" si="15"/>
        <v/>
      </c>
      <c r="I123" s="92" t="str">
        <f t="shared" ca="1" si="15"/>
        <v/>
      </c>
      <c r="J123" s="92" t="str">
        <f t="shared" ref="J123:J186" ca="1" si="16">IF($C123=FALSE,"",INDIRECT("Installations!" &amp; J$120 &amp; $A123+3))</f>
        <v/>
      </c>
      <c r="K123" s="92" t="str">
        <f t="shared" ca="1" si="5"/>
        <v/>
      </c>
      <c r="L123" s="92" t="str">
        <f t="shared" ca="1" si="5"/>
        <v/>
      </c>
      <c r="M123" s="258" t="str">
        <f t="shared" ca="1" si="5"/>
        <v/>
      </c>
      <c r="N123" s="259" t="str">
        <f t="shared" ref="N123:O154" ca="1" si="17">IF($C123=FALSE,"",INDIRECT("Installations!" &amp; N$120 &amp; $A123+1))</f>
        <v/>
      </c>
      <c r="O123" s="92" t="str">
        <f t="shared" ca="1" si="17"/>
        <v/>
      </c>
      <c r="P123" s="92"/>
      <c r="Q123" s="92" t="str">
        <f t="shared" ca="1" si="6"/>
        <v/>
      </c>
      <c r="R123" s="257" t="str">
        <f t="shared" ca="1" si="6"/>
        <v/>
      </c>
      <c r="S123" s="248" t="str">
        <f t="shared" ca="1" si="7"/>
        <v/>
      </c>
      <c r="T123" s="92" t="str">
        <f t="shared" ca="1" si="7"/>
        <v/>
      </c>
      <c r="U123" s="92" t="str">
        <f t="shared" ref="U123:X154" ca="1" si="18">IF($C123=FALSE,"",INDIRECT("Installations!" &amp; U$120 &amp; $A123+U$118))</f>
        <v/>
      </c>
      <c r="V123" s="92" t="str">
        <f t="shared" ca="1" si="18"/>
        <v/>
      </c>
      <c r="W123" s="92" t="str">
        <f t="shared" ca="1" si="18"/>
        <v/>
      </c>
      <c r="X123" s="257" t="str">
        <f t="shared" ca="1" si="18"/>
        <v/>
      </c>
      <c r="Y123" s="248" t="str">
        <f t="shared" ca="1" si="8"/>
        <v/>
      </c>
      <c r="Z123" s="92" t="str">
        <f t="shared" ca="1" si="8"/>
        <v/>
      </c>
      <c r="AA123" s="92" t="str">
        <f t="shared" ref="AA123:AA186" ca="1" si="19">IF($C123=FALSE,"",INDIRECT("Installations!" &amp; AA$120 &amp; $A123+AA$118))</f>
        <v/>
      </c>
      <c r="AB123" s="345" t="str">
        <f t="shared" ca="1" si="9"/>
        <v/>
      </c>
      <c r="AC123" s="257" t="str">
        <f t="shared" ca="1" si="9"/>
        <v/>
      </c>
      <c r="AD123" s="248" t="str">
        <f t="shared" ca="1" si="10"/>
        <v/>
      </c>
      <c r="AE123" s="257" t="str">
        <f t="shared" ca="1" si="10"/>
        <v/>
      </c>
      <c r="AF123" s="248" t="str">
        <f t="shared" ca="1" si="10"/>
        <v/>
      </c>
      <c r="AG123" s="257" t="str">
        <f t="shared" ca="1" si="10"/>
        <v/>
      </c>
      <c r="AH123" s="92"/>
      <c r="AI123" s="92" t="str">
        <f t="shared" ref="AI123:AI186" ca="1" si="20">T123</f>
        <v/>
      </c>
      <c r="AK123" s="92">
        <f t="shared" ref="AK123:AK186" ca="1" si="21">VLOOKUP(AI123,J$66:R$115,3,FALSE)</f>
        <v>0</v>
      </c>
      <c r="AL123" s="12">
        <f t="shared" ref="AL123:AL186" ca="1" si="22">VLOOKUP($AI123,$J$66:$R$115,5,FALSE)</f>
        <v>0</v>
      </c>
      <c r="AM123" s="12">
        <f t="shared" ref="AM123:AM186" ca="1" si="23">VLOOKUP($AI123,$J$66:$R$115,8,FALSE)</f>
        <v>0</v>
      </c>
      <c r="AN123" s="12">
        <f t="shared" ref="AN123:AN186" ca="1" si="24">VLOOKUP($AI123,$J$66:$R$115,6,FALSE)</f>
        <v>0</v>
      </c>
      <c r="AO123" s="12">
        <f t="shared" ref="AO123:AO186" ca="1" si="25">VLOOKUP($AI123,$J$66:$R$115,7,FALSE)</f>
        <v>0</v>
      </c>
      <c r="AP123" s="12" t="str">
        <f t="shared" ref="AP123:AP186" ca="1" si="26">VLOOKUP($AI123,$J$66:$R$115,9,FALSE)</f>
        <v/>
      </c>
      <c r="AQ123" s="12" t="str">
        <f t="shared" ref="AQ123:AQ186" ca="1" si="27">IFERROR(ROUND(IF($C123=FALSE,"",INDIRECT("Installations!" &amp; AQ$120 &amp; $A123)),0),"")</f>
        <v/>
      </c>
      <c r="AR123" s="12" t="str">
        <f t="shared" ref="AR123:AR186" ca="1" si="28">IF($C123=FALSE,"",INDIRECT("Installations!" &amp; AR$120 &amp; $A123+3))</f>
        <v/>
      </c>
      <c r="AS123" s="12" t="str">
        <f t="shared" ref="AS123:AS186" ca="1" si="29">IF($C123=FALSE,"",INDIRECT("Installations!" &amp; AS$120 &amp; $A123+2))</f>
        <v/>
      </c>
    </row>
    <row r="124" spans="1:45" ht="14.3">
      <c r="A124">
        <f t="shared" ref="A124:A129" si="30">A123+5</f>
        <v>57</v>
      </c>
      <c r="B124" t="str">
        <f t="shared" ca="1" si="11"/>
        <v xml:space="preserve"> </v>
      </c>
      <c r="C124" t="b">
        <f t="shared" ca="1" si="12"/>
        <v>0</v>
      </c>
      <c r="D124" s="248" t="str">
        <f t="shared" ca="1" si="4"/>
        <v/>
      </c>
      <c r="E124" s="92" t="str">
        <f t="shared" ca="1" si="13"/>
        <v/>
      </c>
      <c r="F124" s="92" t="str">
        <f t="shared" ca="1" si="14"/>
        <v/>
      </c>
      <c r="G124" s="257" t="str">
        <f t="shared" ca="1" si="15"/>
        <v/>
      </c>
      <c r="H124" s="248" t="str">
        <f t="shared" ca="1" si="15"/>
        <v/>
      </c>
      <c r="I124" s="92" t="str">
        <f t="shared" ca="1" si="15"/>
        <v/>
      </c>
      <c r="J124" s="92" t="str">
        <f t="shared" ca="1" si="16"/>
        <v/>
      </c>
      <c r="K124" s="92" t="str">
        <f t="shared" ca="1" si="5"/>
        <v/>
      </c>
      <c r="L124" s="92" t="str">
        <f t="shared" ca="1" si="5"/>
        <v/>
      </c>
      <c r="M124" s="258" t="str">
        <f t="shared" ca="1" si="5"/>
        <v/>
      </c>
      <c r="N124" s="259" t="str">
        <f t="shared" ca="1" si="17"/>
        <v/>
      </c>
      <c r="O124" s="92" t="str">
        <f t="shared" ca="1" si="17"/>
        <v/>
      </c>
      <c r="P124" s="92"/>
      <c r="Q124" s="92" t="str">
        <f t="shared" ca="1" si="6"/>
        <v/>
      </c>
      <c r="R124" s="257" t="str">
        <f t="shared" ca="1" si="6"/>
        <v/>
      </c>
      <c r="S124" s="248" t="str">
        <f t="shared" ca="1" si="7"/>
        <v/>
      </c>
      <c r="T124" s="92" t="str">
        <f t="shared" ca="1" si="7"/>
        <v/>
      </c>
      <c r="U124" s="92" t="str">
        <f t="shared" ca="1" si="18"/>
        <v/>
      </c>
      <c r="V124" s="92" t="str">
        <f t="shared" ca="1" si="18"/>
        <v/>
      </c>
      <c r="W124" s="92" t="str">
        <f t="shared" ca="1" si="18"/>
        <v/>
      </c>
      <c r="X124" s="257" t="str">
        <f t="shared" ca="1" si="18"/>
        <v/>
      </c>
      <c r="Y124" s="248" t="str">
        <f t="shared" ca="1" si="8"/>
        <v/>
      </c>
      <c r="Z124" s="92" t="str">
        <f t="shared" ca="1" si="8"/>
        <v/>
      </c>
      <c r="AA124" s="92" t="str">
        <f t="shared" ca="1" si="19"/>
        <v/>
      </c>
      <c r="AB124" s="345" t="str">
        <f t="shared" ca="1" si="9"/>
        <v/>
      </c>
      <c r="AC124" s="257" t="str">
        <f t="shared" ca="1" si="9"/>
        <v/>
      </c>
      <c r="AD124" s="248" t="str">
        <f t="shared" ca="1" si="10"/>
        <v/>
      </c>
      <c r="AE124" s="257" t="str">
        <f t="shared" ca="1" si="10"/>
        <v/>
      </c>
      <c r="AF124" s="248" t="str">
        <f t="shared" ca="1" si="10"/>
        <v/>
      </c>
      <c r="AG124" s="257" t="str">
        <f t="shared" ca="1" si="10"/>
        <v/>
      </c>
      <c r="AH124" s="92"/>
      <c r="AI124" s="92" t="str">
        <f t="shared" ca="1" si="20"/>
        <v/>
      </c>
      <c r="AK124" s="92">
        <f t="shared" ca="1" si="21"/>
        <v>0</v>
      </c>
      <c r="AL124" s="12">
        <f t="shared" ca="1" si="22"/>
        <v>0</v>
      </c>
      <c r="AM124" s="12">
        <f t="shared" ca="1" si="23"/>
        <v>0</v>
      </c>
      <c r="AN124" s="12">
        <f t="shared" ca="1" si="24"/>
        <v>0</v>
      </c>
      <c r="AO124" s="12">
        <f t="shared" ca="1" si="25"/>
        <v>0</v>
      </c>
      <c r="AP124" s="12" t="str">
        <f t="shared" ca="1" si="26"/>
        <v/>
      </c>
      <c r="AQ124" s="12" t="str">
        <f t="shared" ca="1" si="27"/>
        <v/>
      </c>
      <c r="AR124" s="12" t="str">
        <f t="shared" ca="1" si="28"/>
        <v/>
      </c>
      <c r="AS124" s="12" t="str">
        <f t="shared" ca="1" si="29"/>
        <v/>
      </c>
    </row>
    <row r="125" spans="1:45" ht="14.3">
      <c r="A125">
        <f t="shared" si="30"/>
        <v>62</v>
      </c>
      <c r="B125" t="str">
        <f t="shared" ca="1" si="11"/>
        <v xml:space="preserve"> </v>
      </c>
      <c r="C125" t="b">
        <f t="shared" ca="1" si="12"/>
        <v>0</v>
      </c>
      <c r="D125" s="248" t="str">
        <f t="shared" ca="1" si="4"/>
        <v/>
      </c>
      <c r="E125" s="92" t="str">
        <f t="shared" ca="1" si="13"/>
        <v/>
      </c>
      <c r="F125" s="92" t="str">
        <f t="shared" ca="1" si="14"/>
        <v/>
      </c>
      <c r="G125" s="257" t="str">
        <f t="shared" ca="1" si="15"/>
        <v/>
      </c>
      <c r="H125" s="248" t="str">
        <f t="shared" ca="1" si="15"/>
        <v/>
      </c>
      <c r="I125" s="92" t="str">
        <f t="shared" ca="1" si="15"/>
        <v/>
      </c>
      <c r="J125" s="92" t="str">
        <f t="shared" ca="1" si="16"/>
        <v/>
      </c>
      <c r="K125" s="92" t="str">
        <f t="shared" ca="1" si="5"/>
        <v/>
      </c>
      <c r="L125" s="92" t="str">
        <f t="shared" ca="1" si="5"/>
        <v/>
      </c>
      <c r="M125" s="258" t="str">
        <f t="shared" ca="1" si="5"/>
        <v/>
      </c>
      <c r="N125" s="259" t="str">
        <f t="shared" ca="1" si="17"/>
        <v/>
      </c>
      <c r="O125" s="92" t="str">
        <f t="shared" ca="1" si="17"/>
        <v/>
      </c>
      <c r="P125" s="92"/>
      <c r="Q125" s="92" t="str">
        <f t="shared" ca="1" si="6"/>
        <v/>
      </c>
      <c r="R125" s="257" t="str">
        <f t="shared" ca="1" si="6"/>
        <v/>
      </c>
      <c r="S125" s="248" t="str">
        <f t="shared" ca="1" si="7"/>
        <v/>
      </c>
      <c r="T125" s="92" t="str">
        <f t="shared" ca="1" si="7"/>
        <v/>
      </c>
      <c r="U125" s="92" t="str">
        <f t="shared" ca="1" si="18"/>
        <v/>
      </c>
      <c r="V125" s="92" t="str">
        <f t="shared" ca="1" si="18"/>
        <v/>
      </c>
      <c r="W125" s="92" t="str">
        <f t="shared" ca="1" si="18"/>
        <v/>
      </c>
      <c r="X125" s="257" t="str">
        <f t="shared" ca="1" si="18"/>
        <v/>
      </c>
      <c r="Y125" s="248" t="str">
        <f t="shared" ca="1" si="8"/>
        <v/>
      </c>
      <c r="Z125" s="92" t="str">
        <f t="shared" ca="1" si="8"/>
        <v/>
      </c>
      <c r="AA125" s="92" t="str">
        <f t="shared" ca="1" si="19"/>
        <v/>
      </c>
      <c r="AB125" s="345" t="str">
        <f t="shared" ca="1" si="9"/>
        <v/>
      </c>
      <c r="AC125" s="257" t="str">
        <f t="shared" ca="1" si="9"/>
        <v/>
      </c>
      <c r="AD125" s="248" t="str">
        <f t="shared" ca="1" si="10"/>
        <v/>
      </c>
      <c r="AE125" s="257" t="str">
        <f t="shared" ca="1" si="10"/>
        <v/>
      </c>
      <c r="AF125" s="248" t="str">
        <f t="shared" ca="1" si="10"/>
        <v/>
      </c>
      <c r="AG125" s="257" t="str">
        <f t="shared" ca="1" si="10"/>
        <v/>
      </c>
      <c r="AH125" s="92"/>
      <c r="AI125" s="92" t="str">
        <f t="shared" ca="1" si="20"/>
        <v/>
      </c>
      <c r="AK125" s="92">
        <f t="shared" ca="1" si="21"/>
        <v>0</v>
      </c>
      <c r="AL125" s="12">
        <f t="shared" ca="1" si="22"/>
        <v>0</v>
      </c>
      <c r="AM125" s="12">
        <f t="shared" ca="1" si="23"/>
        <v>0</v>
      </c>
      <c r="AN125" s="12">
        <f t="shared" ca="1" si="24"/>
        <v>0</v>
      </c>
      <c r="AO125" s="12">
        <f t="shared" ca="1" si="25"/>
        <v>0</v>
      </c>
      <c r="AP125" s="12" t="str">
        <f t="shared" ca="1" si="26"/>
        <v/>
      </c>
      <c r="AQ125" s="12" t="str">
        <f t="shared" ca="1" si="27"/>
        <v/>
      </c>
      <c r="AR125" s="12" t="str">
        <f t="shared" ca="1" si="28"/>
        <v/>
      </c>
      <c r="AS125" s="12" t="str">
        <f t="shared" ca="1" si="29"/>
        <v/>
      </c>
    </row>
    <row r="126" spans="1:45" ht="14.3">
      <c r="A126">
        <f t="shared" si="30"/>
        <v>67</v>
      </c>
      <c r="B126" t="str">
        <f t="shared" ca="1" si="11"/>
        <v xml:space="preserve"> </v>
      </c>
      <c r="C126" t="b">
        <f t="shared" ca="1" si="12"/>
        <v>0</v>
      </c>
      <c r="D126" s="248" t="str">
        <f t="shared" ca="1" si="4"/>
        <v/>
      </c>
      <c r="E126" s="92" t="str">
        <f t="shared" ca="1" si="13"/>
        <v/>
      </c>
      <c r="F126" s="92" t="str">
        <f t="shared" ca="1" si="14"/>
        <v/>
      </c>
      <c r="G126" s="257" t="str">
        <f t="shared" ca="1" si="15"/>
        <v/>
      </c>
      <c r="H126" s="248" t="str">
        <f t="shared" ca="1" si="15"/>
        <v/>
      </c>
      <c r="I126" s="92" t="str">
        <f t="shared" ca="1" si="15"/>
        <v/>
      </c>
      <c r="J126" s="92" t="str">
        <f t="shared" ca="1" si="16"/>
        <v/>
      </c>
      <c r="K126" s="92" t="str">
        <f t="shared" ca="1" si="5"/>
        <v/>
      </c>
      <c r="L126" s="92" t="str">
        <f t="shared" ca="1" si="5"/>
        <v/>
      </c>
      <c r="M126" s="258" t="str">
        <f t="shared" ca="1" si="5"/>
        <v/>
      </c>
      <c r="N126" s="259" t="str">
        <f t="shared" ca="1" si="17"/>
        <v/>
      </c>
      <c r="O126" s="92" t="str">
        <f t="shared" ca="1" si="17"/>
        <v/>
      </c>
      <c r="P126" s="92"/>
      <c r="Q126" s="92" t="str">
        <f t="shared" ca="1" si="6"/>
        <v/>
      </c>
      <c r="R126" s="257" t="str">
        <f t="shared" ca="1" si="6"/>
        <v/>
      </c>
      <c r="S126" s="248" t="str">
        <f t="shared" ca="1" si="7"/>
        <v/>
      </c>
      <c r="T126" s="92" t="str">
        <f t="shared" ca="1" si="7"/>
        <v/>
      </c>
      <c r="U126" s="92" t="str">
        <f t="shared" ca="1" si="18"/>
        <v/>
      </c>
      <c r="V126" s="92" t="str">
        <f t="shared" ca="1" si="18"/>
        <v/>
      </c>
      <c r="W126" s="92" t="str">
        <f t="shared" ca="1" si="18"/>
        <v/>
      </c>
      <c r="X126" s="257" t="str">
        <f t="shared" ca="1" si="18"/>
        <v/>
      </c>
      <c r="Y126" s="248" t="str">
        <f t="shared" ca="1" si="8"/>
        <v/>
      </c>
      <c r="Z126" s="92" t="str">
        <f t="shared" ca="1" si="8"/>
        <v/>
      </c>
      <c r="AA126" s="92" t="str">
        <f t="shared" ca="1" si="19"/>
        <v/>
      </c>
      <c r="AB126" s="345" t="str">
        <f t="shared" ca="1" si="9"/>
        <v/>
      </c>
      <c r="AC126" s="257" t="str">
        <f t="shared" ca="1" si="9"/>
        <v/>
      </c>
      <c r="AD126" s="248" t="str">
        <f t="shared" ca="1" si="10"/>
        <v/>
      </c>
      <c r="AE126" s="257" t="str">
        <f t="shared" ca="1" si="10"/>
        <v/>
      </c>
      <c r="AF126" s="248" t="str">
        <f t="shared" ca="1" si="10"/>
        <v/>
      </c>
      <c r="AG126" s="257" t="str">
        <f t="shared" ca="1" si="10"/>
        <v/>
      </c>
      <c r="AH126" s="92"/>
      <c r="AI126" s="92" t="str">
        <f t="shared" ca="1" si="20"/>
        <v/>
      </c>
      <c r="AK126" s="92">
        <f t="shared" ca="1" si="21"/>
        <v>0</v>
      </c>
      <c r="AL126" s="12">
        <f t="shared" ca="1" si="22"/>
        <v>0</v>
      </c>
      <c r="AM126" s="12">
        <f t="shared" ca="1" si="23"/>
        <v>0</v>
      </c>
      <c r="AN126" s="12">
        <f t="shared" ca="1" si="24"/>
        <v>0</v>
      </c>
      <c r="AO126" s="12">
        <f t="shared" ca="1" si="25"/>
        <v>0</v>
      </c>
      <c r="AP126" s="12" t="str">
        <f t="shared" ca="1" si="26"/>
        <v/>
      </c>
      <c r="AQ126" s="12" t="str">
        <f t="shared" ca="1" si="27"/>
        <v/>
      </c>
      <c r="AR126" s="12" t="str">
        <f t="shared" ca="1" si="28"/>
        <v/>
      </c>
      <c r="AS126" s="12" t="str">
        <f t="shared" ca="1" si="29"/>
        <v/>
      </c>
    </row>
    <row r="127" spans="1:45" ht="14.3">
      <c r="A127">
        <f t="shared" si="30"/>
        <v>72</v>
      </c>
      <c r="B127" t="str">
        <f t="shared" ca="1" si="11"/>
        <v xml:space="preserve"> </v>
      </c>
      <c r="C127" t="b">
        <f t="shared" ca="1" si="12"/>
        <v>0</v>
      </c>
      <c r="D127" s="248" t="str">
        <f t="shared" ca="1" si="4"/>
        <v/>
      </c>
      <c r="E127" s="92" t="str">
        <f t="shared" ca="1" si="13"/>
        <v/>
      </c>
      <c r="F127" s="92" t="str">
        <f t="shared" ca="1" si="14"/>
        <v/>
      </c>
      <c r="G127" s="257" t="str">
        <f t="shared" ca="1" si="15"/>
        <v/>
      </c>
      <c r="H127" s="248" t="str">
        <f t="shared" ca="1" si="15"/>
        <v/>
      </c>
      <c r="I127" s="92" t="str">
        <f t="shared" ca="1" si="15"/>
        <v/>
      </c>
      <c r="J127" s="92" t="str">
        <f t="shared" ca="1" si="16"/>
        <v/>
      </c>
      <c r="K127" s="92" t="str">
        <f t="shared" ca="1" si="5"/>
        <v/>
      </c>
      <c r="L127" s="92" t="str">
        <f t="shared" ca="1" si="5"/>
        <v/>
      </c>
      <c r="M127" s="258" t="str">
        <f t="shared" ca="1" si="5"/>
        <v/>
      </c>
      <c r="N127" s="259" t="str">
        <f t="shared" ca="1" si="17"/>
        <v/>
      </c>
      <c r="O127" s="92" t="str">
        <f t="shared" ca="1" si="17"/>
        <v/>
      </c>
      <c r="P127" s="92"/>
      <c r="Q127" s="92" t="str">
        <f t="shared" ca="1" si="6"/>
        <v/>
      </c>
      <c r="R127" s="257" t="str">
        <f t="shared" ca="1" si="6"/>
        <v/>
      </c>
      <c r="S127" s="248" t="str">
        <f t="shared" ca="1" si="7"/>
        <v/>
      </c>
      <c r="T127" s="92" t="str">
        <f t="shared" ca="1" si="7"/>
        <v/>
      </c>
      <c r="U127" s="92" t="str">
        <f t="shared" ca="1" si="18"/>
        <v/>
      </c>
      <c r="V127" s="92" t="str">
        <f t="shared" ca="1" si="18"/>
        <v/>
      </c>
      <c r="W127" s="92" t="str">
        <f t="shared" ca="1" si="18"/>
        <v/>
      </c>
      <c r="X127" s="257" t="str">
        <f t="shared" ca="1" si="18"/>
        <v/>
      </c>
      <c r="Y127" s="248" t="str">
        <f t="shared" ca="1" si="8"/>
        <v/>
      </c>
      <c r="Z127" s="92" t="str">
        <f t="shared" ca="1" si="8"/>
        <v/>
      </c>
      <c r="AA127" s="92" t="str">
        <f t="shared" ca="1" si="19"/>
        <v/>
      </c>
      <c r="AB127" s="345" t="str">
        <f t="shared" ca="1" si="9"/>
        <v/>
      </c>
      <c r="AC127" s="257" t="str">
        <f t="shared" ca="1" si="9"/>
        <v/>
      </c>
      <c r="AD127" s="248" t="str">
        <f t="shared" ca="1" si="10"/>
        <v/>
      </c>
      <c r="AE127" s="257" t="str">
        <f t="shared" ca="1" si="10"/>
        <v/>
      </c>
      <c r="AF127" s="248" t="str">
        <f t="shared" ca="1" si="10"/>
        <v/>
      </c>
      <c r="AG127" s="257" t="str">
        <f t="shared" ca="1" si="10"/>
        <v/>
      </c>
      <c r="AH127" s="92"/>
      <c r="AI127" s="92" t="str">
        <f t="shared" ca="1" si="20"/>
        <v/>
      </c>
      <c r="AK127" s="92">
        <f t="shared" ca="1" si="21"/>
        <v>0</v>
      </c>
      <c r="AL127" s="12">
        <f t="shared" ca="1" si="22"/>
        <v>0</v>
      </c>
      <c r="AM127" s="12">
        <f t="shared" ca="1" si="23"/>
        <v>0</v>
      </c>
      <c r="AN127" s="12">
        <f t="shared" ca="1" si="24"/>
        <v>0</v>
      </c>
      <c r="AO127" s="12">
        <f t="shared" ca="1" si="25"/>
        <v>0</v>
      </c>
      <c r="AP127" s="12" t="str">
        <f t="shared" ca="1" si="26"/>
        <v/>
      </c>
      <c r="AQ127" s="12" t="str">
        <f t="shared" ca="1" si="27"/>
        <v/>
      </c>
      <c r="AR127" s="12" t="str">
        <f t="shared" ca="1" si="28"/>
        <v/>
      </c>
      <c r="AS127" s="12" t="str">
        <f t="shared" ca="1" si="29"/>
        <v/>
      </c>
    </row>
    <row r="128" spans="1:45" ht="14.3">
      <c r="A128">
        <f t="shared" si="30"/>
        <v>77</v>
      </c>
      <c r="B128" t="str">
        <f t="shared" ca="1" si="11"/>
        <v xml:space="preserve"> </v>
      </c>
      <c r="C128" t="b">
        <f t="shared" ca="1" si="12"/>
        <v>0</v>
      </c>
      <c r="D128" s="248" t="str">
        <f t="shared" ca="1" si="4"/>
        <v/>
      </c>
      <c r="E128" s="92" t="str">
        <f t="shared" ca="1" si="13"/>
        <v/>
      </c>
      <c r="F128" s="92" t="str">
        <f t="shared" ca="1" si="14"/>
        <v/>
      </c>
      <c r="G128" s="257" t="str">
        <f t="shared" ca="1" si="15"/>
        <v/>
      </c>
      <c r="H128" s="248" t="str">
        <f t="shared" ca="1" si="15"/>
        <v/>
      </c>
      <c r="I128" s="92" t="str">
        <f t="shared" ca="1" si="15"/>
        <v/>
      </c>
      <c r="J128" s="92" t="str">
        <f t="shared" ca="1" si="16"/>
        <v/>
      </c>
      <c r="K128" s="92" t="str">
        <f t="shared" ca="1" si="5"/>
        <v/>
      </c>
      <c r="L128" s="92" t="str">
        <f t="shared" ca="1" si="5"/>
        <v/>
      </c>
      <c r="M128" s="258" t="str">
        <f t="shared" ca="1" si="5"/>
        <v/>
      </c>
      <c r="N128" s="259" t="str">
        <f t="shared" ca="1" si="17"/>
        <v/>
      </c>
      <c r="O128" s="92" t="str">
        <f t="shared" ca="1" si="17"/>
        <v/>
      </c>
      <c r="P128" s="92"/>
      <c r="Q128" s="92" t="str">
        <f t="shared" ca="1" si="6"/>
        <v/>
      </c>
      <c r="R128" s="257" t="str">
        <f t="shared" ca="1" si="6"/>
        <v/>
      </c>
      <c r="S128" s="248" t="str">
        <f t="shared" ca="1" si="7"/>
        <v/>
      </c>
      <c r="T128" s="92" t="str">
        <f t="shared" ca="1" si="7"/>
        <v/>
      </c>
      <c r="U128" s="92" t="str">
        <f t="shared" ca="1" si="18"/>
        <v/>
      </c>
      <c r="V128" s="92" t="str">
        <f t="shared" ca="1" si="18"/>
        <v/>
      </c>
      <c r="W128" s="92" t="str">
        <f t="shared" ca="1" si="18"/>
        <v/>
      </c>
      <c r="X128" s="257" t="str">
        <f t="shared" ca="1" si="18"/>
        <v/>
      </c>
      <c r="Y128" s="248" t="str">
        <f t="shared" ca="1" si="8"/>
        <v/>
      </c>
      <c r="Z128" s="92" t="str">
        <f t="shared" ca="1" si="8"/>
        <v/>
      </c>
      <c r="AA128" s="92" t="str">
        <f t="shared" ca="1" si="19"/>
        <v/>
      </c>
      <c r="AB128" s="345" t="str">
        <f t="shared" ca="1" si="9"/>
        <v/>
      </c>
      <c r="AC128" s="257" t="str">
        <f t="shared" ca="1" si="9"/>
        <v/>
      </c>
      <c r="AD128" s="248" t="str">
        <f t="shared" ca="1" si="10"/>
        <v/>
      </c>
      <c r="AE128" s="257" t="str">
        <f t="shared" ca="1" si="10"/>
        <v/>
      </c>
      <c r="AF128" s="248" t="str">
        <f t="shared" ca="1" si="10"/>
        <v/>
      </c>
      <c r="AG128" s="257" t="str">
        <f t="shared" ca="1" si="10"/>
        <v/>
      </c>
      <c r="AH128" s="92"/>
      <c r="AI128" s="92" t="str">
        <f t="shared" ca="1" si="20"/>
        <v/>
      </c>
      <c r="AK128" s="92">
        <f t="shared" ca="1" si="21"/>
        <v>0</v>
      </c>
      <c r="AL128" s="12">
        <f t="shared" ca="1" si="22"/>
        <v>0</v>
      </c>
      <c r="AM128" s="12">
        <f t="shared" ca="1" si="23"/>
        <v>0</v>
      </c>
      <c r="AN128" s="12">
        <f t="shared" ca="1" si="24"/>
        <v>0</v>
      </c>
      <c r="AO128" s="12">
        <f t="shared" ca="1" si="25"/>
        <v>0</v>
      </c>
      <c r="AP128" s="12" t="str">
        <f t="shared" ca="1" si="26"/>
        <v/>
      </c>
      <c r="AQ128" s="12" t="str">
        <f t="shared" ca="1" si="27"/>
        <v/>
      </c>
      <c r="AR128" s="12" t="str">
        <f t="shared" ca="1" si="28"/>
        <v/>
      </c>
      <c r="AS128" s="12" t="str">
        <f t="shared" ca="1" si="29"/>
        <v/>
      </c>
    </row>
    <row r="129" spans="1:45" ht="14.3">
      <c r="A129">
        <f t="shared" si="30"/>
        <v>82</v>
      </c>
      <c r="B129" t="str">
        <f t="shared" ca="1" si="11"/>
        <v xml:space="preserve"> </v>
      </c>
      <c r="C129" t="b">
        <f t="shared" ca="1" si="12"/>
        <v>0</v>
      </c>
      <c r="D129" s="248" t="str">
        <f t="shared" ca="1" si="4"/>
        <v/>
      </c>
      <c r="E129" s="92" t="str">
        <f t="shared" ca="1" si="13"/>
        <v/>
      </c>
      <c r="F129" s="92" t="str">
        <f t="shared" ca="1" si="14"/>
        <v/>
      </c>
      <c r="G129" s="257" t="str">
        <f t="shared" ca="1" si="15"/>
        <v/>
      </c>
      <c r="H129" s="248" t="str">
        <f t="shared" ca="1" si="15"/>
        <v/>
      </c>
      <c r="I129" s="92" t="str">
        <f t="shared" ca="1" si="15"/>
        <v/>
      </c>
      <c r="J129" s="92" t="str">
        <f t="shared" ca="1" si="16"/>
        <v/>
      </c>
      <c r="K129" s="92" t="str">
        <f t="shared" ca="1" si="5"/>
        <v/>
      </c>
      <c r="L129" s="92" t="str">
        <f t="shared" ca="1" si="5"/>
        <v/>
      </c>
      <c r="M129" s="258" t="str">
        <f t="shared" ca="1" si="5"/>
        <v/>
      </c>
      <c r="N129" s="259" t="str">
        <f t="shared" ca="1" si="17"/>
        <v/>
      </c>
      <c r="O129" s="92" t="str">
        <f t="shared" ca="1" si="17"/>
        <v/>
      </c>
      <c r="P129" s="92"/>
      <c r="Q129" s="92" t="str">
        <f t="shared" ca="1" si="6"/>
        <v/>
      </c>
      <c r="R129" s="257" t="str">
        <f t="shared" ca="1" si="6"/>
        <v/>
      </c>
      <c r="S129" s="248" t="str">
        <f t="shared" ca="1" si="7"/>
        <v/>
      </c>
      <c r="T129" s="92" t="str">
        <f t="shared" ca="1" si="7"/>
        <v/>
      </c>
      <c r="U129" s="92" t="str">
        <f t="shared" ca="1" si="18"/>
        <v/>
      </c>
      <c r="V129" s="92" t="str">
        <f t="shared" ca="1" si="18"/>
        <v/>
      </c>
      <c r="W129" s="92" t="str">
        <f t="shared" ca="1" si="18"/>
        <v/>
      </c>
      <c r="X129" s="257" t="str">
        <f t="shared" ca="1" si="18"/>
        <v/>
      </c>
      <c r="Y129" s="248" t="str">
        <f t="shared" ca="1" si="8"/>
        <v/>
      </c>
      <c r="Z129" s="92" t="str">
        <f t="shared" ca="1" si="8"/>
        <v/>
      </c>
      <c r="AA129" s="92" t="str">
        <f t="shared" ca="1" si="19"/>
        <v/>
      </c>
      <c r="AB129" s="345" t="str">
        <f t="shared" ca="1" si="9"/>
        <v/>
      </c>
      <c r="AC129" s="257" t="str">
        <f t="shared" ca="1" si="9"/>
        <v/>
      </c>
      <c r="AD129" s="248" t="str">
        <f t="shared" ca="1" si="10"/>
        <v/>
      </c>
      <c r="AE129" s="257" t="str">
        <f t="shared" ca="1" si="10"/>
        <v/>
      </c>
      <c r="AF129" s="248" t="str">
        <f t="shared" ca="1" si="10"/>
        <v/>
      </c>
      <c r="AG129" s="257" t="str">
        <f t="shared" ca="1" si="10"/>
        <v/>
      </c>
      <c r="AH129" s="92"/>
      <c r="AI129" s="92" t="str">
        <f t="shared" ca="1" si="20"/>
        <v/>
      </c>
      <c r="AK129" s="92">
        <f t="shared" ca="1" si="21"/>
        <v>0</v>
      </c>
      <c r="AL129" s="12">
        <f t="shared" ca="1" si="22"/>
        <v>0</v>
      </c>
      <c r="AM129" s="12">
        <f t="shared" ca="1" si="23"/>
        <v>0</v>
      </c>
      <c r="AN129" s="12">
        <f t="shared" ca="1" si="24"/>
        <v>0</v>
      </c>
      <c r="AO129" s="12">
        <f t="shared" ca="1" si="25"/>
        <v>0</v>
      </c>
      <c r="AP129" s="12" t="str">
        <f t="shared" ca="1" si="26"/>
        <v/>
      </c>
      <c r="AQ129" s="12" t="str">
        <f t="shared" ca="1" si="27"/>
        <v/>
      </c>
      <c r="AR129" s="12" t="str">
        <f t="shared" ca="1" si="28"/>
        <v/>
      </c>
      <c r="AS129" s="12" t="str">
        <f t="shared" ca="1" si="29"/>
        <v/>
      </c>
    </row>
    <row r="130" spans="1:45" ht="14.3">
      <c r="A130">
        <f>A129+5</f>
        <v>87</v>
      </c>
      <c r="B130" t="str">
        <f t="shared" ca="1" si="11"/>
        <v xml:space="preserve"> </v>
      </c>
      <c r="C130" t="b">
        <f t="shared" ca="1" si="12"/>
        <v>0</v>
      </c>
      <c r="D130" s="248" t="str">
        <f t="shared" ca="1" si="4"/>
        <v/>
      </c>
      <c r="E130" s="92" t="str">
        <f t="shared" ca="1" si="13"/>
        <v/>
      </c>
      <c r="F130" s="92" t="str">
        <f t="shared" ca="1" si="14"/>
        <v/>
      </c>
      <c r="G130" s="257" t="str">
        <f t="shared" ca="1" si="15"/>
        <v/>
      </c>
      <c r="H130" s="248" t="str">
        <f t="shared" ca="1" si="15"/>
        <v/>
      </c>
      <c r="I130" s="92" t="str">
        <f t="shared" ca="1" si="15"/>
        <v/>
      </c>
      <c r="J130" s="92" t="str">
        <f t="shared" ca="1" si="16"/>
        <v/>
      </c>
      <c r="K130" s="92" t="str">
        <f t="shared" ca="1" si="5"/>
        <v/>
      </c>
      <c r="L130" s="92" t="str">
        <f t="shared" ca="1" si="5"/>
        <v/>
      </c>
      <c r="M130" s="258" t="str">
        <f t="shared" ca="1" si="5"/>
        <v/>
      </c>
      <c r="N130" s="259" t="str">
        <f t="shared" ca="1" si="17"/>
        <v/>
      </c>
      <c r="O130" s="92" t="str">
        <f t="shared" ca="1" si="17"/>
        <v/>
      </c>
      <c r="P130" s="92"/>
      <c r="Q130" s="92" t="str">
        <f t="shared" ca="1" si="6"/>
        <v/>
      </c>
      <c r="R130" s="257" t="str">
        <f t="shared" ca="1" si="6"/>
        <v/>
      </c>
      <c r="S130" s="248" t="str">
        <f t="shared" ca="1" si="7"/>
        <v/>
      </c>
      <c r="T130" s="92" t="str">
        <f t="shared" ca="1" si="7"/>
        <v/>
      </c>
      <c r="U130" s="92" t="str">
        <f t="shared" ca="1" si="18"/>
        <v/>
      </c>
      <c r="V130" s="92" t="str">
        <f t="shared" ca="1" si="18"/>
        <v/>
      </c>
      <c r="W130" s="92" t="str">
        <f t="shared" ca="1" si="18"/>
        <v/>
      </c>
      <c r="X130" s="257" t="str">
        <f t="shared" ca="1" si="18"/>
        <v/>
      </c>
      <c r="Y130" s="248" t="str">
        <f t="shared" ca="1" si="8"/>
        <v/>
      </c>
      <c r="Z130" s="92" t="str">
        <f t="shared" ca="1" si="8"/>
        <v/>
      </c>
      <c r="AA130" s="92" t="str">
        <f t="shared" ca="1" si="19"/>
        <v/>
      </c>
      <c r="AB130" s="345" t="str">
        <f t="shared" ca="1" si="9"/>
        <v/>
      </c>
      <c r="AC130" s="257" t="str">
        <f t="shared" ca="1" si="9"/>
        <v/>
      </c>
      <c r="AD130" s="248" t="str">
        <f t="shared" ca="1" si="10"/>
        <v/>
      </c>
      <c r="AE130" s="257" t="str">
        <f t="shared" ca="1" si="10"/>
        <v/>
      </c>
      <c r="AF130" s="248" t="str">
        <f t="shared" ca="1" si="10"/>
        <v/>
      </c>
      <c r="AG130" s="257" t="str">
        <f t="shared" ca="1" si="10"/>
        <v/>
      </c>
      <c r="AH130" s="92"/>
      <c r="AI130" s="92" t="str">
        <f t="shared" ca="1" si="20"/>
        <v/>
      </c>
      <c r="AK130" s="92">
        <f t="shared" ca="1" si="21"/>
        <v>0</v>
      </c>
      <c r="AL130" s="12">
        <f t="shared" ca="1" si="22"/>
        <v>0</v>
      </c>
      <c r="AM130" s="12">
        <f t="shared" ca="1" si="23"/>
        <v>0</v>
      </c>
      <c r="AN130" s="12">
        <f t="shared" ca="1" si="24"/>
        <v>0</v>
      </c>
      <c r="AO130" s="12">
        <f t="shared" ca="1" si="25"/>
        <v>0</v>
      </c>
      <c r="AP130" s="12" t="str">
        <f t="shared" ca="1" si="26"/>
        <v/>
      </c>
      <c r="AQ130" s="12" t="str">
        <f t="shared" ca="1" si="27"/>
        <v/>
      </c>
      <c r="AR130" s="12" t="str">
        <f t="shared" ca="1" si="28"/>
        <v/>
      </c>
      <c r="AS130" s="12" t="str">
        <f t="shared" ca="1" si="29"/>
        <v/>
      </c>
    </row>
    <row r="131" spans="1:45" ht="14.3">
      <c r="A131" s="610">
        <f>A130+8</f>
        <v>95</v>
      </c>
      <c r="B131" t="str">
        <f t="shared" ca="1" si="11"/>
        <v xml:space="preserve"> </v>
      </c>
      <c r="C131" t="b">
        <f t="shared" ca="1" si="12"/>
        <v>0</v>
      </c>
      <c r="D131" s="248" t="str">
        <f t="shared" ca="1" si="4"/>
        <v/>
      </c>
      <c r="E131" s="92" t="str">
        <f t="shared" ca="1" si="13"/>
        <v/>
      </c>
      <c r="F131" s="92" t="str">
        <f t="shared" ca="1" si="14"/>
        <v/>
      </c>
      <c r="G131" s="257" t="str">
        <f t="shared" ca="1" si="15"/>
        <v/>
      </c>
      <c r="H131" s="248" t="str">
        <f t="shared" ca="1" si="15"/>
        <v/>
      </c>
      <c r="I131" s="92" t="str">
        <f t="shared" ca="1" si="15"/>
        <v/>
      </c>
      <c r="J131" s="92" t="str">
        <f t="shared" ca="1" si="16"/>
        <v/>
      </c>
      <c r="K131" s="92" t="str">
        <f t="shared" ca="1" si="5"/>
        <v/>
      </c>
      <c r="L131" s="92" t="str">
        <f t="shared" ca="1" si="5"/>
        <v/>
      </c>
      <c r="M131" s="258" t="str">
        <f t="shared" ca="1" si="5"/>
        <v/>
      </c>
      <c r="N131" s="259" t="str">
        <f t="shared" ca="1" si="17"/>
        <v/>
      </c>
      <c r="O131" s="92" t="str">
        <f t="shared" ca="1" si="17"/>
        <v/>
      </c>
      <c r="P131" s="92"/>
      <c r="Q131" s="92" t="str">
        <f t="shared" ca="1" si="6"/>
        <v/>
      </c>
      <c r="R131" s="257" t="str">
        <f t="shared" ca="1" si="6"/>
        <v/>
      </c>
      <c r="S131" s="248" t="str">
        <f t="shared" ca="1" si="7"/>
        <v/>
      </c>
      <c r="T131" s="92" t="str">
        <f t="shared" ca="1" si="7"/>
        <v/>
      </c>
      <c r="U131" s="92" t="str">
        <f t="shared" ca="1" si="18"/>
        <v/>
      </c>
      <c r="V131" s="92" t="str">
        <f t="shared" ca="1" si="18"/>
        <v/>
      </c>
      <c r="W131" s="92" t="str">
        <f t="shared" ca="1" si="18"/>
        <v/>
      </c>
      <c r="X131" s="257" t="str">
        <f t="shared" ca="1" si="18"/>
        <v/>
      </c>
      <c r="Y131" s="248" t="str">
        <f t="shared" ca="1" si="8"/>
        <v/>
      </c>
      <c r="Z131" s="92" t="str">
        <f t="shared" ca="1" si="8"/>
        <v/>
      </c>
      <c r="AA131" s="92" t="str">
        <f t="shared" ca="1" si="19"/>
        <v/>
      </c>
      <c r="AB131" s="345" t="str">
        <f t="shared" ca="1" si="9"/>
        <v/>
      </c>
      <c r="AC131" s="257" t="str">
        <f t="shared" ca="1" si="9"/>
        <v/>
      </c>
      <c r="AD131" s="248" t="str">
        <f t="shared" ca="1" si="10"/>
        <v/>
      </c>
      <c r="AE131" s="257" t="str">
        <f t="shared" ca="1" si="10"/>
        <v/>
      </c>
      <c r="AF131" s="248" t="str">
        <f t="shared" ca="1" si="10"/>
        <v/>
      </c>
      <c r="AG131" s="257" t="str">
        <f t="shared" ca="1" si="10"/>
        <v/>
      </c>
      <c r="AH131" s="92"/>
      <c r="AI131" s="92" t="str">
        <f t="shared" ca="1" si="20"/>
        <v/>
      </c>
      <c r="AK131" s="92">
        <f t="shared" ca="1" si="21"/>
        <v>0</v>
      </c>
      <c r="AL131" s="12">
        <f t="shared" ca="1" si="22"/>
        <v>0</v>
      </c>
      <c r="AM131" s="12">
        <f t="shared" ca="1" si="23"/>
        <v>0</v>
      </c>
      <c r="AN131" s="12">
        <f t="shared" ca="1" si="24"/>
        <v>0</v>
      </c>
      <c r="AO131" s="12">
        <f t="shared" ca="1" si="25"/>
        <v>0</v>
      </c>
      <c r="AP131" s="12" t="str">
        <f t="shared" ca="1" si="26"/>
        <v/>
      </c>
      <c r="AQ131" s="12" t="str">
        <f t="shared" ca="1" si="27"/>
        <v/>
      </c>
      <c r="AR131" s="12" t="str">
        <f t="shared" ca="1" si="28"/>
        <v/>
      </c>
      <c r="AS131" s="12" t="str">
        <f t="shared" ca="1" si="29"/>
        <v/>
      </c>
    </row>
    <row r="132" spans="1:45" ht="14.3">
      <c r="A132">
        <f>A131+5</f>
        <v>100</v>
      </c>
      <c r="B132" t="str">
        <f t="shared" ca="1" si="11"/>
        <v xml:space="preserve"> </v>
      </c>
      <c r="C132" t="b">
        <f t="shared" ca="1" si="12"/>
        <v>0</v>
      </c>
      <c r="D132" s="248" t="str">
        <f t="shared" ca="1" si="4"/>
        <v/>
      </c>
      <c r="E132" s="92" t="str">
        <f t="shared" ca="1" si="13"/>
        <v/>
      </c>
      <c r="F132" s="92" t="str">
        <f t="shared" ca="1" si="14"/>
        <v/>
      </c>
      <c r="G132" s="257" t="str">
        <f t="shared" ca="1" si="15"/>
        <v/>
      </c>
      <c r="H132" s="248" t="str">
        <f t="shared" ca="1" si="15"/>
        <v/>
      </c>
      <c r="I132" s="92" t="str">
        <f t="shared" ca="1" si="15"/>
        <v/>
      </c>
      <c r="J132" s="92" t="str">
        <f t="shared" ca="1" si="16"/>
        <v/>
      </c>
      <c r="K132" s="92" t="str">
        <f t="shared" ca="1" si="5"/>
        <v/>
      </c>
      <c r="L132" s="92" t="str">
        <f t="shared" ca="1" si="5"/>
        <v/>
      </c>
      <c r="M132" s="258" t="str">
        <f t="shared" ca="1" si="5"/>
        <v/>
      </c>
      <c r="N132" s="259" t="str">
        <f t="shared" ca="1" si="17"/>
        <v/>
      </c>
      <c r="O132" s="92" t="str">
        <f t="shared" ca="1" si="17"/>
        <v/>
      </c>
      <c r="P132" s="92"/>
      <c r="Q132" s="92" t="str">
        <f t="shared" ca="1" si="6"/>
        <v/>
      </c>
      <c r="R132" s="257" t="str">
        <f t="shared" ca="1" si="6"/>
        <v/>
      </c>
      <c r="S132" s="248" t="str">
        <f t="shared" ca="1" si="7"/>
        <v/>
      </c>
      <c r="T132" s="92" t="str">
        <f t="shared" ca="1" si="7"/>
        <v/>
      </c>
      <c r="U132" s="92" t="str">
        <f t="shared" ca="1" si="18"/>
        <v/>
      </c>
      <c r="V132" s="92" t="str">
        <f t="shared" ca="1" si="18"/>
        <v/>
      </c>
      <c r="W132" s="92" t="str">
        <f t="shared" ca="1" si="18"/>
        <v/>
      </c>
      <c r="X132" s="257" t="str">
        <f t="shared" ca="1" si="18"/>
        <v/>
      </c>
      <c r="Y132" s="248" t="str">
        <f t="shared" ca="1" si="8"/>
        <v/>
      </c>
      <c r="Z132" s="92" t="str">
        <f t="shared" ca="1" si="8"/>
        <v/>
      </c>
      <c r="AA132" s="92" t="str">
        <f t="shared" ca="1" si="19"/>
        <v/>
      </c>
      <c r="AB132" s="345" t="str">
        <f t="shared" ca="1" si="9"/>
        <v/>
      </c>
      <c r="AC132" s="257" t="str">
        <f t="shared" ca="1" si="9"/>
        <v/>
      </c>
      <c r="AD132" s="248" t="str">
        <f t="shared" ca="1" si="10"/>
        <v/>
      </c>
      <c r="AE132" s="257" t="str">
        <f t="shared" ca="1" si="10"/>
        <v/>
      </c>
      <c r="AF132" s="248" t="str">
        <f t="shared" ca="1" si="10"/>
        <v/>
      </c>
      <c r="AG132" s="257" t="str">
        <f t="shared" ca="1" si="10"/>
        <v/>
      </c>
      <c r="AH132" s="92"/>
      <c r="AI132" s="92" t="str">
        <f t="shared" ca="1" si="20"/>
        <v/>
      </c>
      <c r="AK132" s="92">
        <f t="shared" ca="1" si="21"/>
        <v>0</v>
      </c>
      <c r="AL132" s="12">
        <f t="shared" ca="1" si="22"/>
        <v>0</v>
      </c>
      <c r="AM132" s="12">
        <f t="shared" ca="1" si="23"/>
        <v>0</v>
      </c>
      <c r="AN132" s="12">
        <f t="shared" ca="1" si="24"/>
        <v>0</v>
      </c>
      <c r="AO132" s="12">
        <f t="shared" ca="1" si="25"/>
        <v>0</v>
      </c>
      <c r="AP132" s="12" t="str">
        <f t="shared" ca="1" si="26"/>
        <v/>
      </c>
      <c r="AQ132" s="12" t="str">
        <f t="shared" ca="1" si="27"/>
        <v/>
      </c>
      <c r="AR132" s="12" t="str">
        <f t="shared" ca="1" si="28"/>
        <v/>
      </c>
      <c r="AS132" s="12" t="str">
        <f t="shared" ca="1" si="29"/>
        <v/>
      </c>
    </row>
    <row r="133" spans="1:45" ht="14.3">
      <c r="A133">
        <f>A132+5</f>
        <v>105</v>
      </c>
      <c r="B133" t="str">
        <f t="shared" ca="1" si="11"/>
        <v xml:space="preserve"> </v>
      </c>
      <c r="C133" t="b">
        <f t="shared" ca="1" si="12"/>
        <v>0</v>
      </c>
      <c r="D133" s="248" t="str">
        <f t="shared" ca="1" si="4"/>
        <v/>
      </c>
      <c r="E133" s="92" t="str">
        <f t="shared" ca="1" si="13"/>
        <v/>
      </c>
      <c r="F133" s="92" t="str">
        <f t="shared" ca="1" si="14"/>
        <v/>
      </c>
      <c r="G133" s="257" t="str">
        <f t="shared" ca="1" si="15"/>
        <v/>
      </c>
      <c r="H133" s="248" t="str">
        <f t="shared" ca="1" si="15"/>
        <v/>
      </c>
      <c r="I133" s="92" t="str">
        <f t="shared" ca="1" si="15"/>
        <v/>
      </c>
      <c r="J133" s="92" t="str">
        <f t="shared" ca="1" si="16"/>
        <v/>
      </c>
      <c r="K133" s="92" t="str">
        <f t="shared" ca="1" si="5"/>
        <v/>
      </c>
      <c r="L133" s="92" t="str">
        <f t="shared" ca="1" si="5"/>
        <v/>
      </c>
      <c r="M133" s="258" t="str">
        <f t="shared" ca="1" si="5"/>
        <v/>
      </c>
      <c r="N133" s="259" t="str">
        <f t="shared" ca="1" si="17"/>
        <v/>
      </c>
      <c r="O133" s="92" t="str">
        <f t="shared" ca="1" si="17"/>
        <v/>
      </c>
      <c r="P133" s="92"/>
      <c r="Q133" s="92" t="str">
        <f t="shared" ca="1" si="6"/>
        <v/>
      </c>
      <c r="R133" s="257" t="str">
        <f t="shared" ca="1" si="6"/>
        <v/>
      </c>
      <c r="S133" s="248" t="str">
        <f t="shared" ca="1" si="7"/>
        <v/>
      </c>
      <c r="T133" s="92" t="str">
        <f t="shared" ca="1" si="7"/>
        <v/>
      </c>
      <c r="U133" s="92" t="str">
        <f t="shared" ca="1" si="18"/>
        <v/>
      </c>
      <c r="V133" s="92" t="str">
        <f t="shared" ca="1" si="18"/>
        <v/>
      </c>
      <c r="W133" s="92" t="str">
        <f t="shared" ca="1" si="18"/>
        <v/>
      </c>
      <c r="X133" s="257" t="str">
        <f t="shared" ca="1" si="18"/>
        <v/>
      </c>
      <c r="Y133" s="248" t="str">
        <f t="shared" ca="1" si="8"/>
        <v/>
      </c>
      <c r="Z133" s="92" t="str">
        <f t="shared" ca="1" si="8"/>
        <v/>
      </c>
      <c r="AA133" s="92" t="str">
        <f t="shared" ca="1" si="19"/>
        <v/>
      </c>
      <c r="AB133" s="345" t="str">
        <f t="shared" ref="AB133:AC157" ca="1" si="31">IF($C133=FALSE,"",INDIRECT("Installations!" &amp; AB$120 &amp; $A133+2))</f>
        <v/>
      </c>
      <c r="AC133" s="257" t="str">
        <f t="shared" ca="1" si="31"/>
        <v/>
      </c>
      <c r="AD133" s="248" t="str">
        <f t="shared" ca="1" si="10"/>
        <v/>
      </c>
      <c r="AE133" s="257" t="str">
        <f t="shared" ca="1" si="10"/>
        <v/>
      </c>
      <c r="AF133" s="248" t="str">
        <f t="shared" ca="1" si="10"/>
        <v/>
      </c>
      <c r="AG133" s="257" t="str">
        <f t="shared" ca="1" si="10"/>
        <v/>
      </c>
      <c r="AH133" s="92"/>
      <c r="AI133" s="92" t="str">
        <f t="shared" ca="1" si="20"/>
        <v/>
      </c>
      <c r="AK133" s="92">
        <f t="shared" ca="1" si="21"/>
        <v>0</v>
      </c>
      <c r="AL133" s="12">
        <f t="shared" ca="1" si="22"/>
        <v>0</v>
      </c>
      <c r="AM133" s="12">
        <f t="shared" ca="1" si="23"/>
        <v>0</v>
      </c>
      <c r="AN133" s="12">
        <f t="shared" ca="1" si="24"/>
        <v>0</v>
      </c>
      <c r="AO133" s="12">
        <f t="shared" ca="1" si="25"/>
        <v>0</v>
      </c>
      <c r="AP133" s="12" t="str">
        <f t="shared" ca="1" si="26"/>
        <v/>
      </c>
      <c r="AQ133" s="12" t="str">
        <f t="shared" ca="1" si="27"/>
        <v/>
      </c>
      <c r="AR133" s="12" t="str">
        <f t="shared" ca="1" si="28"/>
        <v/>
      </c>
      <c r="AS133" s="12" t="str">
        <f t="shared" ca="1" si="29"/>
        <v/>
      </c>
    </row>
    <row r="134" spans="1:45" ht="14.3">
      <c r="A134">
        <f t="shared" ref="A134:A197" si="32">A133+5</f>
        <v>110</v>
      </c>
      <c r="B134" t="str">
        <f t="shared" ca="1" si="11"/>
        <v xml:space="preserve"> </v>
      </c>
      <c r="C134" t="b">
        <f t="shared" ca="1" si="12"/>
        <v>0</v>
      </c>
      <c r="D134" s="248" t="str">
        <f t="shared" ca="1" si="4"/>
        <v/>
      </c>
      <c r="E134" s="92" t="str">
        <f t="shared" ca="1" si="13"/>
        <v/>
      </c>
      <c r="F134" s="92" t="str">
        <f t="shared" ca="1" si="14"/>
        <v/>
      </c>
      <c r="G134" s="257" t="str">
        <f t="shared" ca="1" si="15"/>
        <v/>
      </c>
      <c r="H134" s="248" t="str">
        <f t="shared" ca="1" si="15"/>
        <v/>
      </c>
      <c r="I134" s="92" t="str">
        <f t="shared" ca="1" si="15"/>
        <v/>
      </c>
      <c r="J134" s="92" t="str">
        <f t="shared" ca="1" si="16"/>
        <v/>
      </c>
      <c r="K134" s="92" t="str">
        <f t="shared" ca="1" si="5"/>
        <v/>
      </c>
      <c r="L134" s="92" t="str">
        <f t="shared" ca="1" si="5"/>
        <v/>
      </c>
      <c r="M134" s="258" t="str">
        <f t="shared" ca="1" si="5"/>
        <v/>
      </c>
      <c r="N134" s="259" t="str">
        <f t="shared" ca="1" si="17"/>
        <v/>
      </c>
      <c r="O134" s="92" t="str">
        <f t="shared" ca="1" si="17"/>
        <v/>
      </c>
      <c r="P134" s="92"/>
      <c r="Q134" s="92" t="str">
        <f t="shared" ca="1" si="6"/>
        <v/>
      </c>
      <c r="R134" s="257" t="str">
        <f t="shared" ca="1" si="6"/>
        <v/>
      </c>
      <c r="S134" s="248" t="str">
        <f t="shared" ca="1" si="7"/>
        <v/>
      </c>
      <c r="T134" s="92" t="str">
        <f t="shared" ca="1" si="7"/>
        <v/>
      </c>
      <c r="U134" s="92" t="str">
        <f t="shared" ca="1" si="18"/>
        <v/>
      </c>
      <c r="V134" s="92" t="str">
        <f t="shared" ca="1" si="18"/>
        <v/>
      </c>
      <c r="W134" s="92" t="str">
        <f t="shared" ca="1" si="18"/>
        <v/>
      </c>
      <c r="X134" s="257" t="str">
        <f t="shared" ca="1" si="18"/>
        <v/>
      </c>
      <c r="Y134" s="248" t="str">
        <f t="shared" ca="1" si="8"/>
        <v/>
      </c>
      <c r="Z134" s="92" t="str">
        <f t="shared" ca="1" si="8"/>
        <v/>
      </c>
      <c r="AA134" s="92" t="str">
        <f t="shared" ca="1" si="19"/>
        <v/>
      </c>
      <c r="AB134" s="345" t="str">
        <f t="shared" ca="1" si="31"/>
        <v/>
      </c>
      <c r="AC134" s="257" t="str">
        <f t="shared" ca="1" si="31"/>
        <v/>
      </c>
      <c r="AD134" s="248" t="str">
        <f t="shared" ca="1" si="10"/>
        <v/>
      </c>
      <c r="AE134" s="257" t="str">
        <f t="shared" ca="1" si="10"/>
        <v/>
      </c>
      <c r="AF134" s="248" t="str">
        <f t="shared" ca="1" si="10"/>
        <v/>
      </c>
      <c r="AG134" s="257" t="str">
        <f t="shared" ca="1" si="10"/>
        <v/>
      </c>
      <c r="AH134" s="92"/>
      <c r="AI134" s="92" t="str">
        <f t="shared" ca="1" si="20"/>
        <v/>
      </c>
      <c r="AK134" s="92">
        <f t="shared" ca="1" si="21"/>
        <v>0</v>
      </c>
      <c r="AL134" s="12">
        <f t="shared" ca="1" si="22"/>
        <v>0</v>
      </c>
      <c r="AM134" s="12">
        <f t="shared" ca="1" si="23"/>
        <v>0</v>
      </c>
      <c r="AN134" s="12">
        <f t="shared" ca="1" si="24"/>
        <v>0</v>
      </c>
      <c r="AO134" s="12">
        <f t="shared" ca="1" si="25"/>
        <v>0</v>
      </c>
      <c r="AP134" s="12" t="str">
        <f t="shared" ca="1" si="26"/>
        <v/>
      </c>
      <c r="AQ134" s="12" t="str">
        <f t="shared" ca="1" si="27"/>
        <v/>
      </c>
      <c r="AR134" s="12" t="str">
        <f t="shared" ca="1" si="28"/>
        <v/>
      </c>
      <c r="AS134" s="12" t="str">
        <f t="shared" ca="1" si="29"/>
        <v/>
      </c>
    </row>
    <row r="135" spans="1:45" ht="14.3">
      <c r="A135">
        <f t="shared" si="32"/>
        <v>115</v>
      </c>
      <c r="B135" t="str">
        <f t="shared" ca="1" si="11"/>
        <v xml:space="preserve"> </v>
      </c>
      <c r="C135" t="b">
        <f t="shared" ca="1" si="12"/>
        <v>0</v>
      </c>
      <c r="D135" s="248" t="str">
        <f t="shared" ca="1" si="4"/>
        <v/>
      </c>
      <c r="E135" s="92" t="str">
        <f t="shared" ca="1" si="13"/>
        <v/>
      </c>
      <c r="F135" s="92" t="str">
        <f t="shared" ca="1" si="14"/>
        <v/>
      </c>
      <c r="G135" s="257" t="str">
        <f t="shared" ca="1" si="15"/>
        <v/>
      </c>
      <c r="H135" s="248" t="str">
        <f t="shared" ca="1" si="15"/>
        <v/>
      </c>
      <c r="I135" s="92" t="str">
        <f t="shared" ca="1" si="15"/>
        <v/>
      </c>
      <c r="J135" s="92" t="str">
        <f t="shared" ca="1" si="16"/>
        <v/>
      </c>
      <c r="K135" s="92" t="str">
        <f t="shared" ca="1" si="5"/>
        <v/>
      </c>
      <c r="L135" s="92" t="str">
        <f t="shared" ca="1" si="5"/>
        <v/>
      </c>
      <c r="M135" s="258" t="str">
        <f t="shared" ca="1" si="5"/>
        <v/>
      </c>
      <c r="N135" s="259" t="str">
        <f t="shared" ca="1" si="17"/>
        <v/>
      </c>
      <c r="O135" s="92" t="str">
        <f t="shared" ca="1" si="17"/>
        <v/>
      </c>
      <c r="P135" s="92"/>
      <c r="Q135" s="92" t="str">
        <f t="shared" ca="1" si="6"/>
        <v/>
      </c>
      <c r="R135" s="257" t="str">
        <f t="shared" ca="1" si="6"/>
        <v/>
      </c>
      <c r="S135" s="248" t="str">
        <f t="shared" ca="1" si="7"/>
        <v/>
      </c>
      <c r="T135" s="92" t="str">
        <f t="shared" ca="1" si="7"/>
        <v/>
      </c>
      <c r="U135" s="92" t="str">
        <f t="shared" ca="1" si="18"/>
        <v/>
      </c>
      <c r="V135" s="92" t="str">
        <f t="shared" ca="1" si="18"/>
        <v/>
      </c>
      <c r="W135" s="92" t="str">
        <f t="shared" ca="1" si="18"/>
        <v/>
      </c>
      <c r="X135" s="257" t="str">
        <f t="shared" ca="1" si="18"/>
        <v/>
      </c>
      <c r="Y135" s="248" t="str">
        <f t="shared" ca="1" si="8"/>
        <v/>
      </c>
      <c r="Z135" s="92" t="str">
        <f t="shared" ca="1" si="8"/>
        <v/>
      </c>
      <c r="AA135" s="92" t="str">
        <f t="shared" ca="1" si="19"/>
        <v/>
      </c>
      <c r="AB135" s="345" t="str">
        <f t="shared" ca="1" si="31"/>
        <v/>
      </c>
      <c r="AC135" s="257" t="str">
        <f t="shared" ca="1" si="31"/>
        <v/>
      </c>
      <c r="AD135" s="248" t="str">
        <f t="shared" ca="1" si="10"/>
        <v/>
      </c>
      <c r="AE135" s="257" t="str">
        <f t="shared" ca="1" si="10"/>
        <v/>
      </c>
      <c r="AF135" s="248" t="str">
        <f t="shared" ca="1" si="10"/>
        <v/>
      </c>
      <c r="AG135" s="257" t="str">
        <f t="shared" ca="1" si="10"/>
        <v/>
      </c>
      <c r="AH135" s="92"/>
      <c r="AI135" s="92" t="str">
        <f t="shared" ca="1" si="20"/>
        <v/>
      </c>
      <c r="AK135" s="92">
        <f t="shared" ca="1" si="21"/>
        <v>0</v>
      </c>
      <c r="AL135" s="12">
        <f t="shared" ca="1" si="22"/>
        <v>0</v>
      </c>
      <c r="AM135" s="12">
        <f t="shared" ca="1" si="23"/>
        <v>0</v>
      </c>
      <c r="AN135" s="12">
        <f t="shared" ca="1" si="24"/>
        <v>0</v>
      </c>
      <c r="AO135" s="12">
        <f t="shared" ca="1" si="25"/>
        <v>0</v>
      </c>
      <c r="AP135" s="12" t="str">
        <f t="shared" ca="1" si="26"/>
        <v/>
      </c>
      <c r="AQ135" s="12" t="str">
        <f t="shared" ca="1" si="27"/>
        <v/>
      </c>
      <c r="AR135" s="12" t="str">
        <f t="shared" ca="1" si="28"/>
        <v/>
      </c>
      <c r="AS135" s="12" t="str">
        <f t="shared" ca="1" si="29"/>
        <v/>
      </c>
    </row>
    <row r="136" spans="1:45" ht="14.3">
      <c r="A136">
        <f t="shared" si="32"/>
        <v>120</v>
      </c>
      <c r="B136" t="str">
        <f t="shared" ca="1" si="11"/>
        <v xml:space="preserve"> </v>
      </c>
      <c r="C136" t="b">
        <f t="shared" ca="1" si="12"/>
        <v>0</v>
      </c>
      <c r="D136" s="248" t="str">
        <f t="shared" ca="1" si="4"/>
        <v/>
      </c>
      <c r="E136" s="92" t="str">
        <f t="shared" ca="1" si="13"/>
        <v/>
      </c>
      <c r="F136" s="92" t="str">
        <f t="shared" ca="1" si="14"/>
        <v/>
      </c>
      <c r="G136" s="257" t="str">
        <f t="shared" ca="1" si="15"/>
        <v/>
      </c>
      <c r="H136" s="248" t="str">
        <f t="shared" ca="1" si="15"/>
        <v/>
      </c>
      <c r="I136" s="92" t="str">
        <f t="shared" ca="1" si="15"/>
        <v/>
      </c>
      <c r="J136" s="92" t="str">
        <f t="shared" ca="1" si="16"/>
        <v/>
      </c>
      <c r="K136" s="92" t="str">
        <f t="shared" ca="1" si="5"/>
        <v/>
      </c>
      <c r="L136" s="92" t="str">
        <f t="shared" ca="1" si="5"/>
        <v/>
      </c>
      <c r="M136" s="258" t="str">
        <f t="shared" ca="1" si="5"/>
        <v/>
      </c>
      <c r="N136" s="259" t="str">
        <f t="shared" ca="1" si="17"/>
        <v/>
      </c>
      <c r="O136" s="92" t="str">
        <f t="shared" ca="1" si="17"/>
        <v/>
      </c>
      <c r="P136" s="92"/>
      <c r="Q136" s="92" t="str">
        <f t="shared" ca="1" si="6"/>
        <v/>
      </c>
      <c r="R136" s="257" t="str">
        <f t="shared" ca="1" si="6"/>
        <v/>
      </c>
      <c r="S136" s="248" t="str">
        <f t="shared" ca="1" si="7"/>
        <v/>
      </c>
      <c r="T136" s="92" t="str">
        <f t="shared" ca="1" si="7"/>
        <v/>
      </c>
      <c r="U136" s="92" t="str">
        <f t="shared" ca="1" si="18"/>
        <v/>
      </c>
      <c r="V136" s="92" t="str">
        <f t="shared" ca="1" si="18"/>
        <v/>
      </c>
      <c r="W136" s="92" t="str">
        <f t="shared" ca="1" si="18"/>
        <v/>
      </c>
      <c r="X136" s="257" t="str">
        <f t="shared" ca="1" si="18"/>
        <v/>
      </c>
      <c r="Y136" s="248" t="str">
        <f t="shared" ca="1" si="8"/>
        <v/>
      </c>
      <c r="Z136" s="92" t="str">
        <f t="shared" ca="1" si="8"/>
        <v/>
      </c>
      <c r="AA136" s="92" t="str">
        <f t="shared" ca="1" si="19"/>
        <v/>
      </c>
      <c r="AB136" s="345" t="str">
        <f t="shared" ca="1" si="31"/>
        <v/>
      </c>
      <c r="AC136" s="257" t="str">
        <f t="shared" ca="1" si="31"/>
        <v/>
      </c>
      <c r="AD136" s="248" t="str">
        <f t="shared" ca="1" si="10"/>
        <v/>
      </c>
      <c r="AE136" s="257" t="str">
        <f t="shared" ca="1" si="10"/>
        <v/>
      </c>
      <c r="AF136" s="248" t="str">
        <f t="shared" ca="1" si="10"/>
        <v/>
      </c>
      <c r="AG136" s="257" t="str">
        <f t="shared" ca="1" si="10"/>
        <v/>
      </c>
      <c r="AH136" s="92"/>
      <c r="AI136" s="92" t="str">
        <f t="shared" ca="1" si="20"/>
        <v/>
      </c>
      <c r="AK136" s="92">
        <f t="shared" ca="1" si="21"/>
        <v>0</v>
      </c>
      <c r="AL136" s="12">
        <f t="shared" ca="1" si="22"/>
        <v>0</v>
      </c>
      <c r="AM136" s="12">
        <f t="shared" ca="1" si="23"/>
        <v>0</v>
      </c>
      <c r="AN136" s="12">
        <f t="shared" ca="1" si="24"/>
        <v>0</v>
      </c>
      <c r="AO136" s="12">
        <f t="shared" ca="1" si="25"/>
        <v>0</v>
      </c>
      <c r="AP136" s="12" t="str">
        <f t="shared" ca="1" si="26"/>
        <v/>
      </c>
      <c r="AQ136" s="12" t="str">
        <f t="shared" ca="1" si="27"/>
        <v/>
      </c>
      <c r="AR136" s="12" t="str">
        <f t="shared" ca="1" si="28"/>
        <v/>
      </c>
      <c r="AS136" s="12" t="str">
        <f t="shared" ca="1" si="29"/>
        <v/>
      </c>
    </row>
    <row r="137" spans="1:45" ht="14.3">
      <c r="A137">
        <f t="shared" si="32"/>
        <v>125</v>
      </c>
      <c r="B137" t="str">
        <f t="shared" ca="1" si="11"/>
        <v xml:space="preserve"> </v>
      </c>
      <c r="C137" t="b">
        <f t="shared" ca="1" si="12"/>
        <v>0</v>
      </c>
      <c r="D137" s="248" t="str">
        <f t="shared" ca="1" si="4"/>
        <v/>
      </c>
      <c r="E137" s="92" t="str">
        <f t="shared" ca="1" si="13"/>
        <v/>
      </c>
      <c r="F137" s="92" t="str">
        <f t="shared" ca="1" si="14"/>
        <v/>
      </c>
      <c r="G137" s="257" t="str">
        <f t="shared" ca="1" si="15"/>
        <v/>
      </c>
      <c r="H137" s="248" t="str">
        <f t="shared" ca="1" si="15"/>
        <v/>
      </c>
      <c r="I137" s="92" t="str">
        <f t="shared" ca="1" si="15"/>
        <v/>
      </c>
      <c r="J137" s="92" t="str">
        <f t="shared" ca="1" si="16"/>
        <v/>
      </c>
      <c r="K137" s="92" t="str">
        <f t="shared" ca="1" si="5"/>
        <v/>
      </c>
      <c r="L137" s="92" t="str">
        <f t="shared" ca="1" si="5"/>
        <v/>
      </c>
      <c r="M137" s="258" t="str">
        <f t="shared" ca="1" si="5"/>
        <v/>
      </c>
      <c r="N137" s="259" t="str">
        <f t="shared" ca="1" si="17"/>
        <v/>
      </c>
      <c r="O137" s="92" t="str">
        <f t="shared" ca="1" si="17"/>
        <v/>
      </c>
      <c r="P137" s="92"/>
      <c r="Q137" s="92" t="str">
        <f t="shared" ca="1" si="6"/>
        <v/>
      </c>
      <c r="R137" s="257" t="str">
        <f t="shared" ca="1" si="6"/>
        <v/>
      </c>
      <c r="S137" s="248" t="str">
        <f t="shared" ca="1" si="7"/>
        <v/>
      </c>
      <c r="T137" s="92" t="str">
        <f t="shared" ca="1" si="7"/>
        <v/>
      </c>
      <c r="U137" s="92" t="str">
        <f t="shared" ca="1" si="18"/>
        <v/>
      </c>
      <c r="V137" s="92" t="str">
        <f t="shared" ca="1" si="18"/>
        <v/>
      </c>
      <c r="W137" s="92" t="str">
        <f t="shared" ca="1" si="18"/>
        <v/>
      </c>
      <c r="X137" s="257" t="str">
        <f t="shared" ca="1" si="18"/>
        <v/>
      </c>
      <c r="Y137" s="248" t="str">
        <f t="shared" ca="1" si="8"/>
        <v/>
      </c>
      <c r="Z137" s="92" t="str">
        <f t="shared" ca="1" si="8"/>
        <v/>
      </c>
      <c r="AA137" s="92" t="str">
        <f t="shared" ca="1" si="19"/>
        <v/>
      </c>
      <c r="AB137" s="345" t="str">
        <f t="shared" ca="1" si="31"/>
        <v/>
      </c>
      <c r="AC137" s="257" t="str">
        <f t="shared" ca="1" si="31"/>
        <v/>
      </c>
      <c r="AD137" s="248" t="str">
        <f t="shared" ca="1" si="10"/>
        <v/>
      </c>
      <c r="AE137" s="257" t="str">
        <f t="shared" ca="1" si="10"/>
        <v/>
      </c>
      <c r="AF137" s="248" t="str">
        <f t="shared" ca="1" si="10"/>
        <v/>
      </c>
      <c r="AG137" s="257" t="str">
        <f t="shared" ca="1" si="10"/>
        <v/>
      </c>
      <c r="AH137" s="92"/>
      <c r="AI137" s="92" t="str">
        <f t="shared" ca="1" si="20"/>
        <v/>
      </c>
      <c r="AK137" s="92">
        <f t="shared" ca="1" si="21"/>
        <v>0</v>
      </c>
      <c r="AL137" s="12">
        <f t="shared" ca="1" si="22"/>
        <v>0</v>
      </c>
      <c r="AM137" s="12">
        <f t="shared" ca="1" si="23"/>
        <v>0</v>
      </c>
      <c r="AN137" s="12">
        <f t="shared" ca="1" si="24"/>
        <v>0</v>
      </c>
      <c r="AO137" s="12">
        <f t="shared" ca="1" si="25"/>
        <v>0</v>
      </c>
      <c r="AP137" s="12" t="str">
        <f t="shared" ca="1" si="26"/>
        <v/>
      </c>
      <c r="AQ137" s="12" t="str">
        <f t="shared" ca="1" si="27"/>
        <v/>
      </c>
      <c r="AR137" s="12" t="str">
        <f t="shared" ca="1" si="28"/>
        <v/>
      </c>
      <c r="AS137" s="12" t="str">
        <f t="shared" ca="1" si="29"/>
        <v/>
      </c>
    </row>
    <row r="138" spans="1:45" ht="14.3">
      <c r="A138">
        <f t="shared" si="32"/>
        <v>130</v>
      </c>
      <c r="B138" t="str">
        <f t="shared" ca="1" si="11"/>
        <v xml:space="preserve"> </v>
      </c>
      <c r="C138" t="b">
        <f t="shared" ca="1" si="12"/>
        <v>0</v>
      </c>
      <c r="D138" s="248" t="str">
        <f t="shared" ca="1" si="4"/>
        <v/>
      </c>
      <c r="E138" s="92" t="str">
        <f t="shared" ca="1" si="13"/>
        <v/>
      </c>
      <c r="F138" s="92" t="str">
        <f t="shared" ca="1" si="14"/>
        <v/>
      </c>
      <c r="G138" s="257" t="str">
        <f t="shared" ca="1" si="15"/>
        <v/>
      </c>
      <c r="H138" s="248" t="str">
        <f t="shared" ca="1" si="15"/>
        <v/>
      </c>
      <c r="I138" s="92" t="str">
        <f t="shared" ca="1" si="15"/>
        <v/>
      </c>
      <c r="J138" s="92" t="str">
        <f t="shared" ca="1" si="16"/>
        <v/>
      </c>
      <c r="K138" s="92" t="str">
        <f t="shared" ca="1" si="5"/>
        <v/>
      </c>
      <c r="L138" s="92" t="str">
        <f t="shared" ca="1" si="5"/>
        <v/>
      </c>
      <c r="M138" s="258" t="str">
        <f t="shared" ca="1" si="5"/>
        <v/>
      </c>
      <c r="N138" s="259" t="str">
        <f t="shared" ca="1" si="17"/>
        <v/>
      </c>
      <c r="O138" s="92" t="str">
        <f t="shared" ca="1" si="17"/>
        <v/>
      </c>
      <c r="P138" s="92"/>
      <c r="Q138" s="92" t="str">
        <f t="shared" ref="Q138:R201" ca="1" si="33">IF($C138=FALSE,"",INDIRECT("Installations!" &amp; Q$120 &amp; $A138))</f>
        <v/>
      </c>
      <c r="R138" s="257" t="str">
        <f t="shared" ca="1" si="33"/>
        <v/>
      </c>
      <c r="S138" s="248" t="str">
        <f t="shared" ca="1" si="7"/>
        <v/>
      </c>
      <c r="T138" s="92" t="str">
        <f t="shared" ca="1" si="7"/>
        <v/>
      </c>
      <c r="U138" s="92" t="str">
        <f t="shared" ca="1" si="18"/>
        <v/>
      </c>
      <c r="V138" s="92" t="str">
        <f t="shared" ca="1" si="18"/>
        <v/>
      </c>
      <c r="W138" s="92" t="str">
        <f t="shared" ca="1" si="18"/>
        <v/>
      </c>
      <c r="X138" s="257" t="str">
        <f t="shared" ca="1" si="18"/>
        <v/>
      </c>
      <c r="Y138" s="248" t="str">
        <f t="shared" ca="1" si="8"/>
        <v/>
      </c>
      <c r="Z138" s="92" t="str">
        <f t="shared" ca="1" si="8"/>
        <v/>
      </c>
      <c r="AA138" s="92" t="str">
        <f t="shared" ca="1" si="19"/>
        <v/>
      </c>
      <c r="AB138" s="345" t="str">
        <f t="shared" ca="1" si="31"/>
        <v/>
      </c>
      <c r="AC138" s="257" t="str">
        <f t="shared" ca="1" si="31"/>
        <v/>
      </c>
      <c r="AD138" s="248" t="str">
        <f t="shared" ref="AD138:AG201" ca="1" si="34">IF($C138=FALSE,"",INDIRECT("Installations!" &amp; AD$120 &amp; $A138))</f>
        <v/>
      </c>
      <c r="AE138" s="257" t="str">
        <f t="shared" ca="1" si="34"/>
        <v/>
      </c>
      <c r="AF138" s="248" t="str">
        <f t="shared" ca="1" si="34"/>
        <v/>
      </c>
      <c r="AG138" s="257" t="str">
        <f t="shared" ca="1" si="34"/>
        <v/>
      </c>
      <c r="AH138" s="92"/>
      <c r="AI138" s="92" t="str">
        <f t="shared" ca="1" si="20"/>
        <v/>
      </c>
      <c r="AK138" s="92">
        <f t="shared" ca="1" si="21"/>
        <v>0</v>
      </c>
      <c r="AL138" s="12">
        <f t="shared" ca="1" si="22"/>
        <v>0</v>
      </c>
      <c r="AM138" s="12">
        <f t="shared" ca="1" si="23"/>
        <v>0</v>
      </c>
      <c r="AN138" s="12">
        <f t="shared" ca="1" si="24"/>
        <v>0</v>
      </c>
      <c r="AO138" s="12">
        <f t="shared" ca="1" si="25"/>
        <v>0</v>
      </c>
      <c r="AP138" s="12" t="str">
        <f t="shared" ca="1" si="26"/>
        <v/>
      </c>
      <c r="AQ138" s="12" t="str">
        <f t="shared" ca="1" si="27"/>
        <v/>
      </c>
      <c r="AR138" s="12" t="str">
        <f t="shared" ca="1" si="28"/>
        <v/>
      </c>
      <c r="AS138" s="12" t="str">
        <f t="shared" ca="1" si="29"/>
        <v/>
      </c>
    </row>
    <row r="139" spans="1:45" ht="14.3">
      <c r="A139">
        <f t="shared" si="32"/>
        <v>135</v>
      </c>
      <c r="B139" t="str">
        <f t="shared" ca="1" si="11"/>
        <v xml:space="preserve"> </v>
      </c>
      <c r="C139" t="b">
        <f t="shared" ca="1" si="12"/>
        <v>0</v>
      </c>
      <c r="D139" s="248" t="str">
        <f t="shared" ca="1" si="4"/>
        <v/>
      </c>
      <c r="E139" s="92" t="str">
        <f t="shared" ca="1" si="13"/>
        <v/>
      </c>
      <c r="F139" s="92" t="str">
        <f t="shared" ca="1" si="14"/>
        <v/>
      </c>
      <c r="G139" s="257" t="str">
        <f t="shared" ca="1" si="15"/>
        <v/>
      </c>
      <c r="H139" s="248" t="str">
        <f t="shared" ca="1" si="15"/>
        <v/>
      </c>
      <c r="I139" s="92" t="str">
        <f t="shared" ca="1" si="15"/>
        <v/>
      </c>
      <c r="J139" s="92" t="str">
        <f t="shared" ca="1" si="16"/>
        <v/>
      </c>
      <c r="K139" s="92" t="str">
        <f t="shared" ca="1" si="5"/>
        <v/>
      </c>
      <c r="L139" s="92" t="str">
        <f t="shared" ca="1" si="5"/>
        <v/>
      </c>
      <c r="M139" s="258" t="str">
        <f t="shared" ca="1" si="5"/>
        <v/>
      </c>
      <c r="N139" s="259" t="str">
        <f t="shared" ca="1" si="17"/>
        <v/>
      </c>
      <c r="O139" s="92" t="str">
        <f t="shared" ca="1" si="17"/>
        <v/>
      </c>
      <c r="P139" s="92"/>
      <c r="Q139" s="92" t="str">
        <f t="shared" ca="1" si="33"/>
        <v/>
      </c>
      <c r="R139" s="257" t="str">
        <f t="shared" ca="1" si="33"/>
        <v/>
      </c>
      <c r="S139" s="248" t="str">
        <f t="shared" ca="1" si="7"/>
        <v/>
      </c>
      <c r="T139" s="92" t="str">
        <f t="shared" ca="1" si="7"/>
        <v/>
      </c>
      <c r="U139" s="92" t="str">
        <f t="shared" ca="1" si="18"/>
        <v/>
      </c>
      <c r="V139" s="92" t="str">
        <f t="shared" ca="1" si="18"/>
        <v/>
      </c>
      <c r="W139" s="92" t="str">
        <f t="shared" ca="1" si="18"/>
        <v/>
      </c>
      <c r="X139" s="257" t="str">
        <f t="shared" ca="1" si="18"/>
        <v/>
      </c>
      <c r="Y139" s="248" t="str">
        <f t="shared" ca="1" si="8"/>
        <v/>
      </c>
      <c r="Z139" s="92" t="str">
        <f t="shared" ca="1" si="8"/>
        <v/>
      </c>
      <c r="AA139" s="92" t="str">
        <f t="shared" ca="1" si="19"/>
        <v/>
      </c>
      <c r="AB139" s="345" t="str">
        <f t="shared" ca="1" si="31"/>
        <v/>
      </c>
      <c r="AC139" s="257" t="str">
        <f t="shared" ca="1" si="31"/>
        <v/>
      </c>
      <c r="AD139" s="248" t="str">
        <f t="shared" ca="1" si="34"/>
        <v/>
      </c>
      <c r="AE139" s="257" t="str">
        <f t="shared" ca="1" si="34"/>
        <v/>
      </c>
      <c r="AF139" s="248" t="str">
        <f t="shared" ca="1" si="34"/>
        <v/>
      </c>
      <c r="AG139" s="257" t="str">
        <f t="shared" ca="1" si="34"/>
        <v/>
      </c>
      <c r="AH139" s="92"/>
      <c r="AI139" s="92" t="str">
        <f t="shared" ca="1" si="20"/>
        <v/>
      </c>
      <c r="AK139" s="92">
        <f t="shared" ca="1" si="21"/>
        <v>0</v>
      </c>
      <c r="AL139" s="12">
        <f t="shared" ca="1" si="22"/>
        <v>0</v>
      </c>
      <c r="AM139" s="12">
        <f t="shared" ca="1" si="23"/>
        <v>0</v>
      </c>
      <c r="AN139" s="12">
        <f t="shared" ca="1" si="24"/>
        <v>0</v>
      </c>
      <c r="AO139" s="12">
        <f t="shared" ca="1" si="25"/>
        <v>0</v>
      </c>
      <c r="AP139" s="12" t="str">
        <f t="shared" ca="1" si="26"/>
        <v/>
      </c>
      <c r="AQ139" s="12" t="str">
        <f t="shared" ca="1" si="27"/>
        <v/>
      </c>
      <c r="AR139" s="12" t="str">
        <f t="shared" ca="1" si="28"/>
        <v/>
      </c>
      <c r="AS139" s="12" t="str">
        <f t="shared" ca="1" si="29"/>
        <v/>
      </c>
    </row>
    <row r="140" spans="1:45" ht="14.3">
      <c r="A140">
        <f t="shared" si="32"/>
        <v>140</v>
      </c>
      <c r="B140" t="str">
        <f t="shared" ca="1" si="11"/>
        <v xml:space="preserve"> </v>
      </c>
      <c r="C140" t="b">
        <f t="shared" ca="1" si="12"/>
        <v>0</v>
      </c>
      <c r="D140" s="248" t="str">
        <f t="shared" ca="1" si="4"/>
        <v/>
      </c>
      <c r="E140" s="92" t="str">
        <f t="shared" ca="1" si="13"/>
        <v/>
      </c>
      <c r="F140" s="92" t="str">
        <f t="shared" ca="1" si="14"/>
        <v/>
      </c>
      <c r="G140" s="257" t="str">
        <f t="shared" ca="1" si="15"/>
        <v/>
      </c>
      <c r="H140" s="248" t="str">
        <f t="shared" ca="1" si="15"/>
        <v/>
      </c>
      <c r="I140" s="92" t="str">
        <f t="shared" ca="1" si="15"/>
        <v/>
      </c>
      <c r="J140" s="92" t="str">
        <f t="shared" ca="1" si="16"/>
        <v/>
      </c>
      <c r="K140" s="92" t="str">
        <f t="shared" ca="1" si="5"/>
        <v/>
      </c>
      <c r="L140" s="92" t="str">
        <f t="shared" ca="1" si="5"/>
        <v/>
      </c>
      <c r="M140" s="258" t="str">
        <f t="shared" ca="1" si="5"/>
        <v/>
      </c>
      <c r="N140" s="259" t="str">
        <f t="shared" ca="1" si="17"/>
        <v/>
      </c>
      <c r="O140" s="92" t="str">
        <f t="shared" ca="1" si="17"/>
        <v/>
      </c>
      <c r="P140" s="92"/>
      <c r="Q140" s="92" t="str">
        <f t="shared" ca="1" si="33"/>
        <v/>
      </c>
      <c r="R140" s="257" t="str">
        <f t="shared" ca="1" si="33"/>
        <v/>
      </c>
      <c r="S140" s="248" t="str">
        <f t="shared" ca="1" si="7"/>
        <v/>
      </c>
      <c r="T140" s="92" t="str">
        <f t="shared" ca="1" si="7"/>
        <v/>
      </c>
      <c r="U140" s="92" t="str">
        <f t="shared" ca="1" si="18"/>
        <v/>
      </c>
      <c r="V140" s="92" t="str">
        <f t="shared" ca="1" si="18"/>
        <v/>
      </c>
      <c r="W140" s="92" t="str">
        <f t="shared" ca="1" si="18"/>
        <v/>
      </c>
      <c r="X140" s="257" t="str">
        <f t="shared" ca="1" si="18"/>
        <v/>
      </c>
      <c r="Y140" s="248" t="str">
        <f t="shared" ca="1" si="8"/>
        <v/>
      </c>
      <c r="Z140" s="92" t="str">
        <f t="shared" ca="1" si="8"/>
        <v/>
      </c>
      <c r="AA140" s="92" t="str">
        <f t="shared" ca="1" si="19"/>
        <v/>
      </c>
      <c r="AB140" s="345" t="str">
        <f t="shared" ca="1" si="31"/>
        <v/>
      </c>
      <c r="AC140" s="257" t="str">
        <f t="shared" ca="1" si="31"/>
        <v/>
      </c>
      <c r="AD140" s="248" t="str">
        <f t="shared" ca="1" si="34"/>
        <v/>
      </c>
      <c r="AE140" s="257" t="str">
        <f t="shared" ca="1" si="34"/>
        <v/>
      </c>
      <c r="AF140" s="248" t="str">
        <f t="shared" ca="1" si="34"/>
        <v/>
      </c>
      <c r="AG140" s="257" t="str">
        <f t="shared" ca="1" si="34"/>
        <v/>
      </c>
      <c r="AH140" s="92"/>
      <c r="AI140" s="92" t="str">
        <f t="shared" ca="1" si="20"/>
        <v/>
      </c>
      <c r="AK140" s="92">
        <f t="shared" ca="1" si="21"/>
        <v>0</v>
      </c>
      <c r="AL140" s="12">
        <f t="shared" ca="1" si="22"/>
        <v>0</v>
      </c>
      <c r="AM140" s="12">
        <f t="shared" ca="1" si="23"/>
        <v>0</v>
      </c>
      <c r="AN140" s="12">
        <f t="shared" ca="1" si="24"/>
        <v>0</v>
      </c>
      <c r="AO140" s="12">
        <f t="shared" ca="1" si="25"/>
        <v>0</v>
      </c>
      <c r="AP140" s="12" t="str">
        <f t="shared" ca="1" si="26"/>
        <v/>
      </c>
      <c r="AQ140" s="12" t="str">
        <f t="shared" ca="1" si="27"/>
        <v/>
      </c>
      <c r="AR140" s="12" t="str">
        <f t="shared" ca="1" si="28"/>
        <v/>
      </c>
      <c r="AS140" s="12" t="str">
        <f t="shared" ca="1" si="29"/>
        <v/>
      </c>
    </row>
    <row r="141" spans="1:45" ht="14.3">
      <c r="A141">
        <f t="shared" si="32"/>
        <v>145</v>
      </c>
      <c r="B141" t="str">
        <f t="shared" ca="1" si="11"/>
        <v xml:space="preserve"> </v>
      </c>
      <c r="C141" t="b">
        <f t="shared" ca="1" si="12"/>
        <v>0</v>
      </c>
      <c r="D141" s="248" t="str">
        <f t="shared" ca="1" si="4"/>
        <v/>
      </c>
      <c r="E141" s="92" t="str">
        <f t="shared" ca="1" si="13"/>
        <v/>
      </c>
      <c r="F141" s="92" t="str">
        <f t="shared" ca="1" si="14"/>
        <v/>
      </c>
      <c r="G141" s="257" t="str">
        <f t="shared" ca="1" si="15"/>
        <v/>
      </c>
      <c r="H141" s="248" t="str">
        <f t="shared" ca="1" si="15"/>
        <v/>
      </c>
      <c r="I141" s="92" t="str">
        <f t="shared" ca="1" si="15"/>
        <v/>
      </c>
      <c r="J141" s="92" t="str">
        <f t="shared" ca="1" si="16"/>
        <v/>
      </c>
      <c r="K141" s="92" t="str">
        <f t="shared" ca="1" si="5"/>
        <v/>
      </c>
      <c r="L141" s="92" t="str">
        <f t="shared" ca="1" si="5"/>
        <v/>
      </c>
      <c r="M141" s="258" t="str">
        <f t="shared" ca="1" si="5"/>
        <v/>
      </c>
      <c r="N141" s="259" t="str">
        <f t="shared" ca="1" si="17"/>
        <v/>
      </c>
      <c r="O141" s="92" t="str">
        <f t="shared" ca="1" si="17"/>
        <v/>
      </c>
      <c r="P141" s="92"/>
      <c r="Q141" s="92" t="str">
        <f t="shared" ca="1" si="33"/>
        <v/>
      </c>
      <c r="R141" s="257" t="str">
        <f t="shared" ca="1" si="33"/>
        <v/>
      </c>
      <c r="S141" s="248" t="str">
        <f t="shared" ca="1" si="7"/>
        <v/>
      </c>
      <c r="T141" s="92" t="str">
        <f t="shared" ca="1" si="7"/>
        <v/>
      </c>
      <c r="U141" s="92" t="str">
        <f t="shared" ca="1" si="18"/>
        <v/>
      </c>
      <c r="V141" s="92" t="str">
        <f t="shared" ca="1" si="18"/>
        <v/>
      </c>
      <c r="W141" s="92" t="str">
        <f t="shared" ca="1" si="18"/>
        <v/>
      </c>
      <c r="X141" s="257" t="str">
        <f t="shared" ca="1" si="18"/>
        <v/>
      </c>
      <c r="Y141" s="248" t="str">
        <f t="shared" ca="1" si="8"/>
        <v/>
      </c>
      <c r="Z141" s="92" t="str">
        <f t="shared" ca="1" si="8"/>
        <v/>
      </c>
      <c r="AA141" s="92" t="str">
        <f t="shared" ca="1" si="19"/>
        <v/>
      </c>
      <c r="AB141" s="345" t="str">
        <f t="shared" ca="1" si="31"/>
        <v/>
      </c>
      <c r="AC141" s="257" t="str">
        <f t="shared" ca="1" si="31"/>
        <v/>
      </c>
      <c r="AD141" s="248" t="str">
        <f t="shared" ca="1" si="34"/>
        <v/>
      </c>
      <c r="AE141" s="257" t="str">
        <f t="shared" ca="1" si="34"/>
        <v/>
      </c>
      <c r="AF141" s="248" t="str">
        <f t="shared" ca="1" si="34"/>
        <v/>
      </c>
      <c r="AG141" s="257" t="str">
        <f t="shared" ca="1" si="34"/>
        <v/>
      </c>
      <c r="AH141" s="92"/>
      <c r="AI141" s="92" t="str">
        <f t="shared" ca="1" si="20"/>
        <v/>
      </c>
      <c r="AK141" s="92">
        <f t="shared" ca="1" si="21"/>
        <v>0</v>
      </c>
      <c r="AL141" s="12">
        <f t="shared" ca="1" si="22"/>
        <v>0</v>
      </c>
      <c r="AM141" s="12">
        <f t="shared" ca="1" si="23"/>
        <v>0</v>
      </c>
      <c r="AN141" s="12">
        <f t="shared" ca="1" si="24"/>
        <v>0</v>
      </c>
      <c r="AO141" s="12">
        <f t="shared" ca="1" si="25"/>
        <v>0</v>
      </c>
      <c r="AP141" s="12" t="str">
        <f t="shared" ca="1" si="26"/>
        <v/>
      </c>
      <c r="AQ141" s="12" t="str">
        <f t="shared" ca="1" si="27"/>
        <v/>
      </c>
      <c r="AR141" s="12" t="str">
        <f t="shared" ca="1" si="28"/>
        <v/>
      </c>
      <c r="AS141" s="12" t="str">
        <f t="shared" ca="1" si="29"/>
        <v/>
      </c>
    </row>
    <row r="142" spans="1:45" ht="14.3">
      <c r="A142">
        <f t="shared" si="32"/>
        <v>150</v>
      </c>
      <c r="B142" t="str">
        <f t="shared" ca="1" si="11"/>
        <v xml:space="preserve"> </v>
      </c>
      <c r="C142" t="b">
        <f t="shared" ca="1" si="12"/>
        <v>0</v>
      </c>
      <c r="D142" s="248" t="str">
        <f t="shared" ca="1" si="4"/>
        <v/>
      </c>
      <c r="E142" s="92" t="str">
        <f t="shared" ca="1" si="13"/>
        <v/>
      </c>
      <c r="F142" s="92" t="str">
        <f t="shared" ca="1" si="14"/>
        <v/>
      </c>
      <c r="G142" s="257" t="str">
        <f t="shared" ca="1" si="15"/>
        <v/>
      </c>
      <c r="H142" s="248" t="str">
        <f t="shared" ca="1" si="15"/>
        <v/>
      </c>
      <c r="I142" s="92" t="str">
        <f t="shared" ca="1" si="15"/>
        <v/>
      </c>
      <c r="J142" s="92" t="str">
        <f t="shared" ca="1" si="16"/>
        <v/>
      </c>
      <c r="K142" s="92" t="str">
        <f t="shared" ref="K142:M161" ca="1" si="35">IF($C142=FALSE,"",INDIRECT("Installations!" &amp; K$120 &amp; $A142))</f>
        <v/>
      </c>
      <c r="L142" s="92" t="str">
        <f t="shared" ca="1" si="35"/>
        <v/>
      </c>
      <c r="M142" s="258" t="str">
        <f t="shared" ca="1" si="35"/>
        <v/>
      </c>
      <c r="N142" s="259" t="str">
        <f t="shared" ca="1" si="17"/>
        <v/>
      </c>
      <c r="O142" s="92" t="str">
        <f t="shared" ca="1" si="17"/>
        <v/>
      </c>
      <c r="P142" s="92"/>
      <c r="Q142" s="92" t="str">
        <f t="shared" ca="1" si="33"/>
        <v/>
      </c>
      <c r="R142" s="257" t="str">
        <f t="shared" ca="1" si="33"/>
        <v/>
      </c>
      <c r="S142" s="248" t="str">
        <f t="shared" ref="S142:T161" ca="1" si="36">IF($C142=FALSE,"",INDIRECT("Installations!" &amp; S$120 &amp; $A142+2))</f>
        <v/>
      </c>
      <c r="T142" s="92" t="str">
        <f t="shared" ca="1" si="36"/>
        <v/>
      </c>
      <c r="U142" s="92" t="str">
        <f t="shared" ca="1" si="18"/>
        <v/>
      </c>
      <c r="V142" s="92" t="str">
        <f t="shared" ca="1" si="18"/>
        <v/>
      </c>
      <c r="W142" s="92" t="str">
        <f t="shared" ca="1" si="18"/>
        <v/>
      </c>
      <c r="X142" s="257" t="str">
        <f t="shared" ca="1" si="18"/>
        <v/>
      </c>
      <c r="Y142" s="248" t="str">
        <f t="shared" ref="Y142:Z161" ca="1" si="37">IF($C142=FALSE,"",INDIRECT("Installations!" &amp; Y$120 &amp; $A142+2))</f>
        <v/>
      </c>
      <c r="Z142" s="92" t="str">
        <f t="shared" ca="1" si="37"/>
        <v/>
      </c>
      <c r="AA142" s="92" t="str">
        <f t="shared" ca="1" si="19"/>
        <v/>
      </c>
      <c r="AB142" s="345" t="str">
        <f t="shared" ca="1" si="31"/>
        <v/>
      </c>
      <c r="AC142" s="257" t="str">
        <f t="shared" ca="1" si="31"/>
        <v/>
      </c>
      <c r="AD142" s="248" t="str">
        <f t="shared" ca="1" si="34"/>
        <v/>
      </c>
      <c r="AE142" s="257" t="str">
        <f t="shared" ca="1" si="34"/>
        <v/>
      </c>
      <c r="AF142" s="248" t="str">
        <f t="shared" ca="1" si="34"/>
        <v/>
      </c>
      <c r="AG142" s="257" t="str">
        <f t="shared" ca="1" si="34"/>
        <v/>
      </c>
      <c r="AH142" s="92"/>
      <c r="AI142" s="92" t="str">
        <f t="shared" ca="1" si="20"/>
        <v/>
      </c>
      <c r="AK142" s="92">
        <f t="shared" ca="1" si="21"/>
        <v>0</v>
      </c>
      <c r="AL142" s="12">
        <f t="shared" ca="1" si="22"/>
        <v>0</v>
      </c>
      <c r="AM142" s="12">
        <f t="shared" ca="1" si="23"/>
        <v>0</v>
      </c>
      <c r="AN142" s="12">
        <f t="shared" ca="1" si="24"/>
        <v>0</v>
      </c>
      <c r="AO142" s="12">
        <f t="shared" ca="1" si="25"/>
        <v>0</v>
      </c>
      <c r="AP142" s="12" t="str">
        <f t="shared" ca="1" si="26"/>
        <v/>
      </c>
      <c r="AQ142" s="12" t="str">
        <f t="shared" ca="1" si="27"/>
        <v/>
      </c>
      <c r="AR142" s="12" t="str">
        <f t="shared" ca="1" si="28"/>
        <v/>
      </c>
      <c r="AS142" s="12" t="str">
        <f t="shared" ca="1" si="29"/>
        <v/>
      </c>
    </row>
    <row r="143" spans="1:45" ht="14.3">
      <c r="A143">
        <f t="shared" si="32"/>
        <v>155</v>
      </c>
      <c r="B143" t="str">
        <f t="shared" ca="1" si="11"/>
        <v xml:space="preserve"> </v>
      </c>
      <c r="C143" t="b">
        <f t="shared" ca="1" si="12"/>
        <v>0</v>
      </c>
      <c r="D143" s="248" t="str">
        <f t="shared" ca="1" si="4"/>
        <v/>
      </c>
      <c r="E143" s="92" t="str">
        <f t="shared" ca="1" si="13"/>
        <v/>
      </c>
      <c r="F143" s="92" t="str">
        <f t="shared" ca="1" si="14"/>
        <v/>
      </c>
      <c r="G143" s="257" t="str">
        <f t="shared" ca="1" si="15"/>
        <v/>
      </c>
      <c r="H143" s="248" t="str">
        <f t="shared" ca="1" si="15"/>
        <v/>
      </c>
      <c r="I143" s="92" t="str">
        <f t="shared" ca="1" si="15"/>
        <v/>
      </c>
      <c r="J143" s="92" t="str">
        <f t="shared" ca="1" si="16"/>
        <v/>
      </c>
      <c r="K143" s="92" t="str">
        <f t="shared" ca="1" si="35"/>
        <v/>
      </c>
      <c r="L143" s="92" t="str">
        <f t="shared" ca="1" si="35"/>
        <v/>
      </c>
      <c r="M143" s="258" t="str">
        <f t="shared" ca="1" si="35"/>
        <v/>
      </c>
      <c r="N143" s="259" t="str">
        <f t="shared" ca="1" si="17"/>
        <v/>
      </c>
      <c r="O143" s="92" t="str">
        <f t="shared" ca="1" si="17"/>
        <v/>
      </c>
      <c r="P143" s="92"/>
      <c r="Q143" s="92" t="str">
        <f t="shared" ca="1" si="33"/>
        <v/>
      </c>
      <c r="R143" s="257" t="str">
        <f t="shared" ca="1" si="33"/>
        <v/>
      </c>
      <c r="S143" s="248" t="str">
        <f t="shared" ca="1" si="36"/>
        <v/>
      </c>
      <c r="T143" s="92" t="str">
        <f t="shared" ca="1" si="36"/>
        <v/>
      </c>
      <c r="U143" s="92" t="str">
        <f t="shared" ca="1" si="18"/>
        <v/>
      </c>
      <c r="V143" s="92" t="str">
        <f t="shared" ca="1" si="18"/>
        <v/>
      </c>
      <c r="W143" s="92" t="str">
        <f t="shared" ca="1" si="18"/>
        <v/>
      </c>
      <c r="X143" s="257" t="str">
        <f t="shared" ca="1" si="18"/>
        <v/>
      </c>
      <c r="Y143" s="248" t="str">
        <f t="shared" ca="1" si="37"/>
        <v/>
      </c>
      <c r="Z143" s="92" t="str">
        <f t="shared" ca="1" si="37"/>
        <v/>
      </c>
      <c r="AA143" s="92" t="str">
        <f t="shared" ca="1" si="19"/>
        <v/>
      </c>
      <c r="AB143" s="345" t="str">
        <f t="shared" ca="1" si="31"/>
        <v/>
      </c>
      <c r="AC143" s="257" t="str">
        <f t="shared" ca="1" si="31"/>
        <v/>
      </c>
      <c r="AD143" s="248" t="str">
        <f t="shared" ca="1" si="34"/>
        <v/>
      </c>
      <c r="AE143" s="257" t="str">
        <f t="shared" ca="1" si="34"/>
        <v/>
      </c>
      <c r="AF143" s="248" t="str">
        <f t="shared" ca="1" si="34"/>
        <v/>
      </c>
      <c r="AG143" s="257" t="str">
        <f t="shared" ca="1" si="34"/>
        <v/>
      </c>
      <c r="AH143" s="92"/>
      <c r="AI143" s="92" t="str">
        <f t="shared" ca="1" si="20"/>
        <v/>
      </c>
      <c r="AK143" s="92">
        <f t="shared" ca="1" si="21"/>
        <v>0</v>
      </c>
      <c r="AL143" s="12">
        <f t="shared" ca="1" si="22"/>
        <v>0</v>
      </c>
      <c r="AM143" s="12">
        <f t="shared" ca="1" si="23"/>
        <v>0</v>
      </c>
      <c r="AN143" s="12">
        <f t="shared" ca="1" si="24"/>
        <v>0</v>
      </c>
      <c r="AO143" s="12">
        <f t="shared" ca="1" si="25"/>
        <v>0</v>
      </c>
      <c r="AP143" s="12" t="str">
        <f t="shared" ca="1" si="26"/>
        <v/>
      </c>
      <c r="AQ143" s="12" t="str">
        <f t="shared" ca="1" si="27"/>
        <v/>
      </c>
      <c r="AR143" s="12" t="str">
        <f t="shared" ca="1" si="28"/>
        <v/>
      </c>
      <c r="AS143" s="12" t="str">
        <f t="shared" ca="1" si="29"/>
        <v/>
      </c>
    </row>
    <row r="144" spans="1:45" ht="14.3">
      <c r="A144">
        <f t="shared" si="32"/>
        <v>160</v>
      </c>
      <c r="B144" t="str">
        <f t="shared" ca="1" si="11"/>
        <v xml:space="preserve"> </v>
      </c>
      <c r="C144" t="b">
        <f t="shared" ca="1" si="12"/>
        <v>0</v>
      </c>
      <c r="D144" s="248" t="str">
        <f t="shared" ca="1" si="4"/>
        <v/>
      </c>
      <c r="E144" s="92" t="str">
        <f t="shared" ca="1" si="13"/>
        <v/>
      </c>
      <c r="F144" s="92" t="str">
        <f t="shared" ca="1" si="14"/>
        <v/>
      </c>
      <c r="G144" s="257" t="str">
        <f t="shared" ca="1" si="15"/>
        <v/>
      </c>
      <c r="H144" s="248" t="str">
        <f t="shared" ca="1" si="15"/>
        <v/>
      </c>
      <c r="I144" s="92" t="str">
        <f t="shared" ca="1" si="15"/>
        <v/>
      </c>
      <c r="J144" s="92" t="str">
        <f t="shared" ca="1" si="16"/>
        <v/>
      </c>
      <c r="K144" s="92" t="str">
        <f t="shared" ca="1" si="35"/>
        <v/>
      </c>
      <c r="L144" s="92" t="str">
        <f t="shared" ca="1" si="35"/>
        <v/>
      </c>
      <c r="M144" s="258" t="str">
        <f t="shared" ca="1" si="35"/>
        <v/>
      </c>
      <c r="N144" s="259" t="str">
        <f t="shared" ca="1" si="17"/>
        <v/>
      </c>
      <c r="O144" s="92" t="str">
        <f t="shared" ca="1" si="17"/>
        <v/>
      </c>
      <c r="P144" s="92"/>
      <c r="Q144" s="92" t="str">
        <f t="shared" ca="1" si="33"/>
        <v/>
      </c>
      <c r="R144" s="257" t="str">
        <f t="shared" ca="1" si="33"/>
        <v/>
      </c>
      <c r="S144" s="248" t="str">
        <f t="shared" ca="1" si="36"/>
        <v/>
      </c>
      <c r="T144" s="92" t="str">
        <f t="shared" ca="1" si="36"/>
        <v/>
      </c>
      <c r="U144" s="92" t="str">
        <f t="shared" ca="1" si="18"/>
        <v/>
      </c>
      <c r="V144" s="92" t="str">
        <f t="shared" ca="1" si="18"/>
        <v/>
      </c>
      <c r="W144" s="92" t="str">
        <f t="shared" ca="1" si="18"/>
        <v/>
      </c>
      <c r="X144" s="257" t="str">
        <f t="shared" ca="1" si="18"/>
        <v/>
      </c>
      <c r="Y144" s="248" t="str">
        <f t="shared" ca="1" si="37"/>
        <v/>
      </c>
      <c r="Z144" s="92" t="str">
        <f t="shared" ca="1" si="37"/>
        <v/>
      </c>
      <c r="AA144" s="92" t="str">
        <f t="shared" ca="1" si="19"/>
        <v/>
      </c>
      <c r="AB144" s="345" t="str">
        <f t="shared" ca="1" si="31"/>
        <v/>
      </c>
      <c r="AC144" s="257" t="str">
        <f t="shared" ca="1" si="31"/>
        <v/>
      </c>
      <c r="AD144" s="248" t="str">
        <f t="shared" ca="1" si="34"/>
        <v/>
      </c>
      <c r="AE144" s="257" t="str">
        <f t="shared" ca="1" si="34"/>
        <v/>
      </c>
      <c r="AF144" s="248" t="str">
        <f t="shared" ca="1" si="34"/>
        <v/>
      </c>
      <c r="AG144" s="257" t="str">
        <f t="shared" ca="1" si="34"/>
        <v/>
      </c>
      <c r="AH144" s="92"/>
      <c r="AI144" s="92" t="str">
        <f t="shared" ca="1" si="20"/>
        <v/>
      </c>
      <c r="AK144" s="92">
        <f t="shared" ca="1" si="21"/>
        <v>0</v>
      </c>
      <c r="AL144" s="12">
        <f t="shared" ca="1" si="22"/>
        <v>0</v>
      </c>
      <c r="AM144" s="12">
        <f t="shared" ca="1" si="23"/>
        <v>0</v>
      </c>
      <c r="AN144" s="12">
        <f t="shared" ca="1" si="24"/>
        <v>0</v>
      </c>
      <c r="AO144" s="12">
        <f t="shared" ca="1" si="25"/>
        <v>0</v>
      </c>
      <c r="AP144" s="12" t="str">
        <f t="shared" ca="1" si="26"/>
        <v/>
      </c>
      <c r="AQ144" s="12" t="str">
        <f t="shared" ca="1" si="27"/>
        <v/>
      </c>
      <c r="AR144" s="12" t="str">
        <f t="shared" ca="1" si="28"/>
        <v/>
      </c>
      <c r="AS144" s="12" t="str">
        <f t="shared" ca="1" si="29"/>
        <v/>
      </c>
    </row>
    <row r="145" spans="1:45" ht="14.3">
      <c r="A145">
        <f>A144+5</f>
        <v>165</v>
      </c>
      <c r="B145" t="str">
        <f t="shared" ca="1" si="11"/>
        <v xml:space="preserve"> </v>
      </c>
      <c r="C145" t="b">
        <f t="shared" ca="1" si="12"/>
        <v>0</v>
      </c>
      <c r="D145" s="248" t="str">
        <f t="shared" ca="1" si="4"/>
        <v/>
      </c>
      <c r="E145" s="92" t="str">
        <f t="shared" ca="1" si="13"/>
        <v/>
      </c>
      <c r="F145" s="92" t="str">
        <f t="shared" ca="1" si="14"/>
        <v/>
      </c>
      <c r="G145" s="257" t="str">
        <f t="shared" ca="1" si="15"/>
        <v/>
      </c>
      <c r="H145" s="248" t="str">
        <f t="shared" ca="1" si="15"/>
        <v/>
      </c>
      <c r="I145" s="92" t="str">
        <f t="shared" ca="1" si="15"/>
        <v/>
      </c>
      <c r="J145" s="92" t="str">
        <f t="shared" ca="1" si="16"/>
        <v/>
      </c>
      <c r="K145" s="92" t="str">
        <f t="shared" ca="1" si="35"/>
        <v/>
      </c>
      <c r="L145" s="92" t="str">
        <f t="shared" ca="1" si="35"/>
        <v/>
      </c>
      <c r="M145" s="258" t="str">
        <f t="shared" ca="1" si="35"/>
        <v/>
      </c>
      <c r="N145" s="259" t="str">
        <f t="shared" ca="1" si="17"/>
        <v/>
      </c>
      <c r="O145" s="92" t="str">
        <f t="shared" ca="1" si="17"/>
        <v/>
      </c>
      <c r="P145" s="92"/>
      <c r="Q145" s="92" t="str">
        <f t="shared" ca="1" si="33"/>
        <v/>
      </c>
      <c r="R145" s="257" t="str">
        <f t="shared" ca="1" si="33"/>
        <v/>
      </c>
      <c r="S145" s="248" t="str">
        <f t="shared" ca="1" si="36"/>
        <v/>
      </c>
      <c r="T145" s="92" t="str">
        <f t="shared" ca="1" si="36"/>
        <v/>
      </c>
      <c r="U145" s="92" t="str">
        <f t="shared" ca="1" si="18"/>
        <v/>
      </c>
      <c r="V145" s="92" t="str">
        <f t="shared" ca="1" si="18"/>
        <v/>
      </c>
      <c r="W145" s="92" t="str">
        <f t="shared" ca="1" si="18"/>
        <v/>
      </c>
      <c r="X145" s="257" t="str">
        <f t="shared" ca="1" si="18"/>
        <v/>
      </c>
      <c r="Y145" s="248" t="str">
        <f t="shared" ca="1" si="37"/>
        <v/>
      </c>
      <c r="Z145" s="92" t="str">
        <f t="shared" ca="1" si="37"/>
        <v/>
      </c>
      <c r="AA145" s="92" t="str">
        <f t="shared" ca="1" si="19"/>
        <v/>
      </c>
      <c r="AB145" s="345" t="str">
        <f t="shared" ca="1" si="31"/>
        <v/>
      </c>
      <c r="AC145" s="257" t="str">
        <f t="shared" ca="1" si="31"/>
        <v/>
      </c>
      <c r="AD145" s="248" t="str">
        <f t="shared" ca="1" si="34"/>
        <v/>
      </c>
      <c r="AE145" s="257" t="str">
        <f t="shared" ca="1" si="34"/>
        <v/>
      </c>
      <c r="AF145" s="248" t="str">
        <f t="shared" ca="1" si="34"/>
        <v/>
      </c>
      <c r="AG145" s="257" t="str">
        <f t="shared" ca="1" si="34"/>
        <v/>
      </c>
      <c r="AH145" s="92"/>
      <c r="AI145" s="92" t="str">
        <f t="shared" ca="1" si="20"/>
        <v/>
      </c>
      <c r="AK145" s="92">
        <f t="shared" ca="1" si="21"/>
        <v>0</v>
      </c>
      <c r="AL145" s="12">
        <f t="shared" ca="1" si="22"/>
        <v>0</v>
      </c>
      <c r="AM145" s="12">
        <f t="shared" ca="1" si="23"/>
        <v>0</v>
      </c>
      <c r="AN145" s="12">
        <f t="shared" ca="1" si="24"/>
        <v>0</v>
      </c>
      <c r="AO145" s="12">
        <f t="shared" ca="1" si="25"/>
        <v>0</v>
      </c>
      <c r="AP145" s="12" t="str">
        <f t="shared" ca="1" si="26"/>
        <v/>
      </c>
      <c r="AQ145" s="12" t="str">
        <f t="shared" ca="1" si="27"/>
        <v/>
      </c>
      <c r="AR145" s="12" t="str">
        <f t="shared" ca="1" si="28"/>
        <v/>
      </c>
      <c r="AS145" s="12" t="str">
        <f t="shared" ca="1" si="29"/>
        <v/>
      </c>
    </row>
    <row r="146" spans="1:45" ht="14.3">
      <c r="A146" s="610">
        <f>A145+8</f>
        <v>173</v>
      </c>
      <c r="B146" t="str">
        <f t="shared" ca="1" si="11"/>
        <v xml:space="preserve"> </v>
      </c>
      <c r="C146" t="b">
        <f t="shared" ca="1" si="12"/>
        <v>0</v>
      </c>
      <c r="D146" s="248" t="str">
        <f t="shared" ca="1" si="4"/>
        <v/>
      </c>
      <c r="E146" s="92" t="str">
        <f t="shared" ca="1" si="13"/>
        <v/>
      </c>
      <c r="F146" s="92" t="str">
        <f t="shared" ca="1" si="14"/>
        <v/>
      </c>
      <c r="G146" s="257" t="str">
        <f t="shared" ca="1" si="15"/>
        <v/>
      </c>
      <c r="H146" s="248" t="str">
        <f t="shared" ca="1" si="15"/>
        <v/>
      </c>
      <c r="I146" s="92" t="str">
        <f t="shared" ca="1" si="15"/>
        <v/>
      </c>
      <c r="J146" s="92" t="str">
        <f t="shared" ca="1" si="16"/>
        <v/>
      </c>
      <c r="K146" s="92" t="str">
        <f t="shared" ca="1" si="35"/>
        <v/>
      </c>
      <c r="L146" s="92" t="str">
        <f t="shared" ca="1" si="35"/>
        <v/>
      </c>
      <c r="M146" s="258" t="str">
        <f t="shared" ca="1" si="35"/>
        <v/>
      </c>
      <c r="N146" s="259" t="str">
        <f t="shared" ca="1" si="17"/>
        <v/>
      </c>
      <c r="O146" s="92" t="str">
        <f t="shared" ca="1" si="17"/>
        <v/>
      </c>
      <c r="P146" s="92"/>
      <c r="Q146" s="92" t="str">
        <f t="shared" ca="1" si="33"/>
        <v/>
      </c>
      <c r="R146" s="257" t="str">
        <f t="shared" ca="1" si="33"/>
        <v/>
      </c>
      <c r="S146" s="248" t="str">
        <f t="shared" ca="1" si="36"/>
        <v/>
      </c>
      <c r="T146" s="92" t="str">
        <f t="shared" ca="1" si="36"/>
        <v/>
      </c>
      <c r="U146" s="92" t="str">
        <f t="shared" ca="1" si="18"/>
        <v/>
      </c>
      <c r="V146" s="92" t="str">
        <f t="shared" ca="1" si="18"/>
        <v/>
      </c>
      <c r="W146" s="92" t="str">
        <f t="shared" ca="1" si="18"/>
        <v/>
      </c>
      <c r="X146" s="257" t="str">
        <f t="shared" ca="1" si="18"/>
        <v/>
      </c>
      <c r="Y146" s="248" t="str">
        <f t="shared" ca="1" si="37"/>
        <v/>
      </c>
      <c r="Z146" s="92" t="str">
        <f t="shared" ca="1" si="37"/>
        <v/>
      </c>
      <c r="AA146" s="92" t="str">
        <f t="shared" ca="1" si="19"/>
        <v/>
      </c>
      <c r="AB146" s="345" t="str">
        <f t="shared" ca="1" si="31"/>
        <v/>
      </c>
      <c r="AC146" s="257" t="str">
        <f t="shared" ca="1" si="31"/>
        <v/>
      </c>
      <c r="AD146" s="248" t="str">
        <f t="shared" ca="1" si="34"/>
        <v/>
      </c>
      <c r="AE146" s="257" t="str">
        <f t="shared" ca="1" si="34"/>
        <v/>
      </c>
      <c r="AF146" s="248" t="str">
        <f t="shared" ca="1" si="34"/>
        <v/>
      </c>
      <c r="AG146" s="257" t="str">
        <f t="shared" ca="1" si="34"/>
        <v/>
      </c>
      <c r="AH146" s="92"/>
      <c r="AI146" s="92" t="str">
        <f t="shared" ca="1" si="20"/>
        <v/>
      </c>
      <c r="AK146" s="92">
        <f t="shared" ca="1" si="21"/>
        <v>0</v>
      </c>
      <c r="AL146" s="12">
        <f t="shared" ca="1" si="22"/>
        <v>0</v>
      </c>
      <c r="AM146" s="12">
        <f t="shared" ca="1" si="23"/>
        <v>0</v>
      </c>
      <c r="AN146" s="12">
        <f t="shared" ca="1" si="24"/>
        <v>0</v>
      </c>
      <c r="AO146" s="12">
        <f t="shared" ca="1" si="25"/>
        <v>0</v>
      </c>
      <c r="AP146" s="12" t="str">
        <f t="shared" ca="1" si="26"/>
        <v/>
      </c>
      <c r="AQ146" s="12" t="str">
        <f t="shared" ca="1" si="27"/>
        <v/>
      </c>
      <c r="AR146" s="12" t="str">
        <f t="shared" ca="1" si="28"/>
        <v/>
      </c>
      <c r="AS146" s="12" t="str">
        <f t="shared" ca="1" si="29"/>
        <v/>
      </c>
    </row>
    <row r="147" spans="1:45" ht="14.3">
      <c r="A147">
        <f>A146+5</f>
        <v>178</v>
      </c>
      <c r="B147" t="str">
        <f t="shared" ca="1" si="11"/>
        <v xml:space="preserve"> </v>
      </c>
      <c r="C147" t="b">
        <f t="shared" ca="1" si="12"/>
        <v>0</v>
      </c>
      <c r="D147" s="248" t="str">
        <f t="shared" ca="1" si="4"/>
        <v/>
      </c>
      <c r="E147" s="92" t="str">
        <f t="shared" ca="1" si="13"/>
        <v/>
      </c>
      <c r="F147" s="92" t="str">
        <f t="shared" ca="1" si="14"/>
        <v/>
      </c>
      <c r="G147" s="257" t="str">
        <f t="shared" ca="1" si="15"/>
        <v/>
      </c>
      <c r="H147" s="248" t="str">
        <f t="shared" ca="1" si="15"/>
        <v/>
      </c>
      <c r="I147" s="92" t="str">
        <f t="shared" ca="1" si="15"/>
        <v/>
      </c>
      <c r="J147" s="92" t="str">
        <f t="shared" ca="1" si="16"/>
        <v/>
      </c>
      <c r="K147" s="92" t="str">
        <f t="shared" ca="1" si="35"/>
        <v/>
      </c>
      <c r="L147" s="92" t="str">
        <f t="shared" ca="1" si="35"/>
        <v/>
      </c>
      <c r="M147" s="258" t="str">
        <f t="shared" ca="1" si="35"/>
        <v/>
      </c>
      <c r="N147" s="259" t="str">
        <f t="shared" ca="1" si="17"/>
        <v/>
      </c>
      <c r="O147" s="92" t="str">
        <f t="shared" ca="1" si="17"/>
        <v/>
      </c>
      <c r="P147" s="92"/>
      <c r="Q147" s="92" t="str">
        <f t="shared" ca="1" si="33"/>
        <v/>
      </c>
      <c r="R147" s="257" t="str">
        <f t="shared" ca="1" si="33"/>
        <v/>
      </c>
      <c r="S147" s="248" t="str">
        <f t="shared" ca="1" si="36"/>
        <v/>
      </c>
      <c r="T147" s="92" t="str">
        <f t="shared" ca="1" si="36"/>
        <v/>
      </c>
      <c r="U147" s="92" t="str">
        <f t="shared" ca="1" si="18"/>
        <v/>
      </c>
      <c r="V147" s="92" t="str">
        <f t="shared" ca="1" si="18"/>
        <v/>
      </c>
      <c r="W147" s="92" t="str">
        <f t="shared" ca="1" si="18"/>
        <v/>
      </c>
      <c r="X147" s="257" t="str">
        <f t="shared" ca="1" si="18"/>
        <v/>
      </c>
      <c r="Y147" s="248" t="str">
        <f t="shared" ca="1" si="37"/>
        <v/>
      </c>
      <c r="Z147" s="92" t="str">
        <f t="shared" ca="1" si="37"/>
        <v/>
      </c>
      <c r="AA147" s="92" t="str">
        <f t="shared" ca="1" si="19"/>
        <v/>
      </c>
      <c r="AB147" s="345" t="str">
        <f t="shared" ca="1" si="31"/>
        <v/>
      </c>
      <c r="AC147" s="257" t="str">
        <f t="shared" ca="1" si="31"/>
        <v/>
      </c>
      <c r="AD147" s="248" t="str">
        <f t="shared" ca="1" si="34"/>
        <v/>
      </c>
      <c r="AE147" s="257" t="str">
        <f t="shared" ca="1" si="34"/>
        <v/>
      </c>
      <c r="AF147" s="248" t="str">
        <f t="shared" ca="1" si="34"/>
        <v/>
      </c>
      <c r="AG147" s="257" t="str">
        <f t="shared" ca="1" si="34"/>
        <v/>
      </c>
      <c r="AH147" s="92"/>
      <c r="AI147" s="92" t="str">
        <f t="shared" ca="1" si="20"/>
        <v/>
      </c>
      <c r="AK147" s="92">
        <f t="shared" ca="1" si="21"/>
        <v>0</v>
      </c>
      <c r="AL147" s="12">
        <f t="shared" ca="1" si="22"/>
        <v>0</v>
      </c>
      <c r="AM147" s="12">
        <f t="shared" ca="1" si="23"/>
        <v>0</v>
      </c>
      <c r="AN147" s="12">
        <f t="shared" ca="1" si="24"/>
        <v>0</v>
      </c>
      <c r="AO147" s="12">
        <f t="shared" ca="1" si="25"/>
        <v>0</v>
      </c>
      <c r="AP147" s="12" t="str">
        <f t="shared" ca="1" si="26"/>
        <v/>
      </c>
      <c r="AQ147" s="12" t="str">
        <f t="shared" ca="1" si="27"/>
        <v/>
      </c>
      <c r="AR147" s="12" t="str">
        <f t="shared" ca="1" si="28"/>
        <v/>
      </c>
      <c r="AS147" s="12" t="str">
        <f t="shared" ca="1" si="29"/>
        <v/>
      </c>
    </row>
    <row r="148" spans="1:45" ht="14.3">
      <c r="A148">
        <f t="shared" si="32"/>
        <v>183</v>
      </c>
      <c r="B148" t="str">
        <f t="shared" ca="1" si="11"/>
        <v xml:space="preserve"> </v>
      </c>
      <c r="C148" t="b">
        <f t="shared" ca="1" si="12"/>
        <v>0</v>
      </c>
      <c r="D148" s="248" t="str">
        <f t="shared" ca="1" si="4"/>
        <v/>
      </c>
      <c r="E148" s="92" t="str">
        <f t="shared" ca="1" si="13"/>
        <v/>
      </c>
      <c r="F148" s="92" t="str">
        <f t="shared" ca="1" si="14"/>
        <v/>
      </c>
      <c r="G148" s="257" t="str">
        <f t="shared" ca="1" si="15"/>
        <v/>
      </c>
      <c r="H148" s="248" t="str">
        <f t="shared" ca="1" si="15"/>
        <v/>
      </c>
      <c r="I148" s="92" t="str">
        <f t="shared" ca="1" si="15"/>
        <v/>
      </c>
      <c r="J148" s="92" t="str">
        <f t="shared" ca="1" si="16"/>
        <v/>
      </c>
      <c r="K148" s="92" t="str">
        <f t="shared" ca="1" si="35"/>
        <v/>
      </c>
      <c r="L148" s="92" t="str">
        <f t="shared" ca="1" si="35"/>
        <v/>
      </c>
      <c r="M148" s="258" t="str">
        <f t="shared" ca="1" si="35"/>
        <v/>
      </c>
      <c r="N148" s="259" t="str">
        <f t="shared" ca="1" si="17"/>
        <v/>
      </c>
      <c r="O148" s="92" t="str">
        <f t="shared" ca="1" si="17"/>
        <v/>
      </c>
      <c r="P148" s="92"/>
      <c r="Q148" s="92" t="str">
        <f t="shared" ca="1" si="33"/>
        <v/>
      </c>
      <c r="R148" s="257" t="str">
        <f t="shared" ca="1" si="33"/>
        <v/>
      </c>
      <c r="S148" s="248" t="str">
        <f t="shared" ca="1" si="36"/>
        <v/>
      </c>
      <c r="T148" s="92" t="str">
        <f t="shared" ca="1" si="36"/>
        <v/>
      </c>
      <c r="U148" s="92" t="str">
        <f t="shared" ca="1" si="18"/>
        <v/>
      </c>
      <c r="V148" s="92" t="str">
        <f t="shared" ca="1" si="18"/>
        <v/>
      </c>
      <c r="W148" s="92" t="str">
        <f t="shared" ca="1" si="18"/>
        <v/>
      </c>
      <c r="X148" s="257" t="str">
        <f t="shared" ca="1" si="18"/>
        <v/>
      </c>
      <c r="Y148" s="248" t="str">
        <f t="shared" ca="1" si="37"/>
        <v/>
      </c>
      <c r="Z148" s="92" t="str">
        <f t="shared" ca="1" si="37"/>
        <v/>
      </c>
      <c r="AA148" s="92" t="str">
        <f t="shared" ca="1" si="19"/>
        <v/>
      </c>
      <c r="AB148" s="345" t="str">
        <f t="shared" ca="1" si="31"/>
        <v/>
      </c>
      <c r="AC148" s="257" t="str">
        <f t="shared" ca="1" si="31"/>
        <v/>
      </c>
      <c r="AD148" s="248" t="str">
        <f t="shared" ca="1" si="34"/>
        <v/>
      </c>
      <c r="AE148" s="257" t="str">
        <f t="shared" ca="1" si="34"/>
        <v/>
      </c>
      <c r="AF148" s="248" t="str">
        <f t="shared" ca="1" si="34"/>
        <v/>
      </c>
      <c r="AG148" s="257" t="str">
        <f t="shared" ca="1" si="34"/>
        <v/>
      </c>
      <c r="AH148" s="92"/>
      <c r="AI148" s="92" t="str">
        <f t="shared" ca="1" si="20"/>
        <v/>
      </c>
      <c r="AK148" s="92">
        <f t="shared" ca="1" si="21"/>
        <v>0</v>
      </c>
      <c r="AL148" s="12">
        <f t="shared" ca="1" si="22"/>
        <v>0</v>
      </c>
      <c r="AM148" s="12">
        <f t="shared" ca="1" si="23"/>
        <v>0</v>
      </c>
      <c r="AN148" s="12">
        <f t="shared" ca="1" si="24"/>
        <v>0</v>
      </c>
      <c r="AO148" s="12">
        <f t="shared" ca="1" si="25"/>
        <v>0</v>
      </c>
      <c r="AP148" s="12" t="str">
        <f t="shared" ca="1" si="26"/>
        <v/>
      </c>
      <c r="AQ148" s="12" t="str">
        <f t="shared" ca="1" si="27"/>
        <v/>
      </c>
      <c r="AR148" s="12" t="str">
        <f t="shared" ca="1" si="28"/>
        <v/>
      </c>
      <c r="AS148" s="12" t="str">
        <f t="shared" ca="1" si="29"/>
        <v/>
      </c>
    </row>
    <row r="149" spans="1:45" ht="14.3">
      <c r="A149">
        <f t="shared" si="32"/>
        <v>188</v>
      </c>
      <c r="B149" t="str">
        <f t="shared" ca="1" si="11"/>
        <v xml:space="preserve"> </v>
      </c>
      <c r="C149" t="b">
        <f t="shared" ca="1" si="12"/>
        <v>0</v>
      </c>
      <c r="D149" s="248" t="str">
        <f t="shared" ca="1" si="4"/>
        <v/>
      </c>
      <c r="E149" s="92" t="str">
        <f t="shared" ca="1" si="13"/>
        <v/>
      </c>
      <c r="F149" s="92" t="str">
        <f t="shared" ca="1" si="14"/>
        <v/>
      </c>
      <c r="G149" s="257" t="str">
        <f t="shared" ca="1" si="15"/>
        <v/>
      </c>
      <c r="H149" s="248" t="str">
        <f t="shared" ca="1" si="15"/>
        <v/>
      </c>
      <c r="I149" s="92" t="str">
        <f t="shared" ca="1" si="15"/>
        <v/>
      </c>
      <c r="J149" s="92" t="str">
        <f t="shared" ca="1" si="16"/>
        <v/>
      </c>
      <c r="K149" s="92" t="str">
        <f t="shared" ca="1" si="35"/>
        <v/>
      </c>
      <c r="L149" s="92" t="str">
        <f t="shared" ca="1" si="35"/>
        <v/>
      </c>
      <c r="M149" s="258" t="str">
        <f t="shared" ca="1" si="35"/>
        <v/>
      </c>
      <c r="N149" s="259" t="str">
        <f t="shared" ca="1" si="17"/>
        <v/>
      </c>
      <c r="O149" s="92" t="str">
        <f t="shared" ca="1" si="17"/>
        <v/>
      </c>
      <c r="P149" s="92"/>
      <c r="Q149" s="92" t="str">
        <f t="shared" ca="1" si="33"/>
        <v/>
      </c>
      <c r="R149" s="257" t="str">
        <f t="shared" ca="1" si="33"/>
        <v/>
      </c>
      <c r="S149" s="248" t="str">
        <f t="shared" ca="1" si="36"/>
        <v/>
      </c>
      <c r="T149" s="92" t="str">
        <f t="shared" ca="1" si="36"/>
        <v/>
      </c>
      <c r="U149" s="92" t="str">
        <f t="shared" ca="1" si="18"/>
        <v/>
      </c>
      <c r="V149" s="92" t="str">
        <f t="shared" ca="1" si="18"/>
        <v/>
      </c>
      <c r="W149" s="92" t="str">
        <f t="shared" ca="1" si="18"/>
        <v/>
      </c>
      <c r="X149" s="257" t="str">
        <f t="shared" ca="1" si="18"/>
        <v/>
      </c>
      <c r="Y149" s="248" t="str">
        <f t="shared" ca="1" si="37"/>
        <v/>
      </c>
      <c r="Z149" s="92" t="str">
        <f t="shared" ca="1" si="37"/>
        <v/>
      </c>
      <c r="AA149" s="92" t="str">
        <f t="shared" ca="1" si="19"/>
        <v/>
      </c>
      <c r="AB149" s="345" t="str">
        <f t="shared" ca="1" si="31"/>
        <v/>
      </c>
      <c r="AC149" s="257" t="str">
        <f t="shared" ca="1" si="31"/>
        <v/>
      </c>
      <c r="AD149" s="248" t="str">
        <f t="shared" ca="1" si="34"/>
        <v/>
      </c>
      <c r="AE149" s="257" t="str">
        <f t="shared" ca="1" si="34"/>
        <v/>
      </c>
      <c r="AF149" s="248" t="str">
        <f t="shared" ca="1" si="34"/>
        <v/>
      </c>
      <c r="AG149" s="257" t="str">
        <f t="shared" ca="1" si="34"/>
        <v/>
      </c>
      <c r="AH149" s="92"/>
      <c r="AI149" s="92" t="str">
        <f t="shared" ca="1" si="20"/>
        <v/>
      </c>
      <c r="AK149" s="92">
        <f t="shared" ca="1" si="21"/>
        <v>0</v>
      </c>
      <c r="AL149" s="12">
        <f t="shared" ca="1" si="22"/>
        <v>0</v>
      </c>
      <c r="AM149" s="12">
        <f t="shared" ca="1" si="23"/>
        <v>0</v>
      </c>
      <c r="AN149" s="12">
        <f t="shared" ca="1" si="24"/>
        <v>0</v>
      </c>
      <c r="AO149" s="12">
        <f t="shared" ca="1" si="25"/>
        <v>0</v>
      </c>
      <c r="AP149" s="12" t="str">
        <f t="shared" ca="1" si="26"/>
        <v/>
      </c>
      <c r="AQ149" s="12" t="str">
        <f t="shared" ca="1" si="27"/>
        <v/>
      </c>
      <c r="AR149" s="12" t="str">
        <f t="shared" ca="1" si="28"/>
        <v/>
      </c>
      <c r="AS149" s="12" t="str">
        <f t="shared" ca="1" si="29"/>
        <v/>
      </c>
    </row>
    <row r="150" spans="1:45" ht="14.3">
      <c r="A150">
        <f t="shared" si="32"/>
        <v>193</v>
      </c>
      <c r="B150" t="str">
        <f t="shared" ca="1" si="11"/>
        <v xml:space="preserve"> </v>
      </c>
      <c r="C150" t="b">
        <f t="shared" ca="1" si="12"/>
        <v>0</v>
      </c>
      <c r="D150" s="248" t="str">
        <f t="shared" ca="1" si="4"/>
        <v/>
      </c>
      <c r="E150" s="92" t="str">
        <f t="shared" ca="1" si="13"/>
        <v/>
      </c>
      <c r="F150" s="92" t="str">
        <f t="shared" ca="1" si="14"/>
        <v/>
      </c>
      <c r="G150" s="257" t="str">
        <f t="shared" ca="1" si="15"/>
        <v/>
      </c>
      <c r="H150" s="248" t="str">
        <f t="shared" ca="1" si="15"/>
        <v/>
      </c>
      <c r="I150" s="92" t="str">
        <f t="shared" ca="1" si="15"/>
        <v/>
      </c>
      <c r="J150" s="92" t="str">
        <f t="shared" ca="1" si="16"/>
        <v/>
      </c>
      <c r="K150" s="92" t="str">
        <f t="shared" ca="1" si="35"/>
        <v/>
      </c>
      <c r="L150" s="92" t="str">
        <f t="shared" ca="1" si="35"/>
        <v/>
      </c>
      <c r="M150" s="258" t="str">
        <f t="shared" ca="1" si="35"/>
        <v/>
      </c>
      <c r="N150" s="259" t="str">
        <f t="shared" ca="1" si="17"/>
        <v/>
      </c>
      <c r="O150" s="92" t="str">
        <f t="shared" ca="1" si="17"/>
        <v/>
      </c>
      <c r="P150" s="92"/>
      <c r="Q150" s="92" t="str">
        <f t="shared" ca="1" si="33"/>
        <v/>
      </c>
      <c r="R150" s="257" t="str">
        <f t="shared" ca="1" si="33"/>
        <v/>
      </c>
      <c r="S150" s="248" t="str">
        <f t="shared" ca="1" si="36"/>
        <v/>
      </c>
      <c r="T150" s="92" t="str">
        <f t="shared" ca="1" si="36"/>
        <v/>
      </c>
      <c r="U150" s="92" t="str">
        <f t="shared" ca="1" si="18"/>
        <v/>
      </c>
      <c r="V150" s="92" t="str">
        <f t="shared" ca="1" si="18"/>
        <v/>
      </c>
      <c r="W150" s="92" t="str">
        <f t="shared" ca="1" si="18"/>
        <v/>
      </c>
      <c r="X150" s="257" t="str">
        <f t="shared" ca="1" si="18"/>
        <v/>
      </c>
      <c r="Y150" s="248" t="str">
        <f t="shared" ca="1" si="37"/>
        <v/>
      </c>
      <c r="Z150" s="92" t="str">
        <f t="shared" ca="1" si="37"/>
        <v/>
      </c>
      <c r="AA150" s="92" t="str">
        <f t="shared" ca="1" si="19"/>
        <v/>
      </c>
      <c r="AB150" s="345" t="str">
        <f t="shared" ca="1" si="31"/>
        <v/>
      </c>
      <c r="AC150" s="257" t="str">
        <f t="shared" ca="1" si="31"/>
        <v/>
      </c>
      <c r="AD150" s="248" t="str">
        <f t="shared" ca="1" si="34"/>
        <v/>
      </c>
      <c r="AE150" s="257" t="str">
        <f t="shared" ca="1" si="34"/>
        <v/>
      </c>
      <c r="AF150" s="248" t="str">
        <f t="shared" ca="1" si="34"/>
        <v/>
      </c>
      <c r="AG150" s="257" t="str">
        <f t="shared" ca="1" si="34"/>
        <v/>
      </c>
      <c r="AH150" s="92"/>
      <c r="AI150" s="92" t="str">
        <f t="shared" ca="1" si="20"/>
        <v/>
      </c>
      <c r="AK150" s="92">
        <f t="shared" ca="1" si="21"/>
        <v>0</v>
      </c>
      <c r="AL150" s="12">
        <f t="shared" ca="1" si="22"/>
        <v>0</v>
      </c>
      <c r="AM150" s="12">
        <f t="shared" ca="1" si="23"/>
        <v>0</v>
      </c>
      <c r="AN150" s="12">
        <f t="shared" ca="1" si="24"/>
        <v>0</v>
      </c>
      <c r="AO150" s="12">
        <f t="shared" ca="1" si="25"/>
        <v>0</v>
      </c>
      <c r="AP150" s="12" t="str">
        <f t="shared" ca="1" si="26"/>
        <v/>
      </c>
      <c r="AQ150" s="12" t="str">
        <f t="shared" ca="1" si="27"/>
        <v/>
      </c>
      <c r="AR150" s="12" t="str">
        <f t="shared" ca="1" si="28"/>
        <v/>
      </c>
      <c r="AS150" s="12" t="str">
        <f t="shared" ca="1" si="29"/>
        <v/>
      </c>
    </row>
    <row r="151" spans="1:45" ht="14.3">
      <c r="A151">
        <f t="shared" si="32"/>
        <v>198</v>
      </c>
      <c r="B151" t="str">
        <f t="shared" ca="1" si="11"/>
        <v xml:space="preserve"> </v>
      </c>
      <c r="C151" t="b">
        <f t="shared" ca="1" si="12"/>
        <v>0</v>
      </c>
      <c r="D151" s="248" t="str">
        <f t="shared" ca="1" si="4"/>
        <v/>
      </c>
      <c r="E151" s="92" t="str">
        <f t="shared" ca="1" si="13"/>
        <v/>
      </c>
      <c r="F151" s="92" t="str">
        <f t="shared" ca="1" si="14"/>
        <v/>
      </c>
      <c r="G151" s="257" t="str">
        <f t="shared" ca="1" si="15"/>
        <v/>
      </c>
      <c r="H151" s="248" t="str">
        <f t="shared" ca="1" si="15"/>
        <v/>
      </c>
      <c r="I151" s="92" t="str">
        <f t="shared" ca="1" si="15"/>
        <v/>
      </c>
      <c r="J151" s="92" t="str">
        <f t="shared" ca="1" si="16"/>
        <v/>
      </c>
      <c r="K151" s="92" t="str">
        <f t="shared" ca="1" si="35"/>
        <v/>
      </c>
      <c r="L151" s="92" t="str">
        <f t="shared" ca="1" si="35"/>
        <v/>
      </c>
      <c r="M151" s="258" t="str">
        <f t="shared" ca="1" si="35"/>
        <v/>
      </c>
      <c r="N151" s="259" t="str">
        <f t="shared" ca="1" si="17"/>
        <v/>
      </c>
      <c r="O151" s="92" t="str">
        <f t="shared" ca="1" si="17"/>
        <v/>
      </c>
      <c r="P151" s="92"/>
      <c r="Q151" s="92" t="str">
        <f t="shared" ca="1" si="33"/>
        <v/>
      </c>
      <c r="R151" s="257" t="str">
        <f t="shared" ca="1" si="33"/>
        <v/>
      </c>
      <c r="S151" s="248" t="str">
        <f t="shared" ca="1" si="36"/>
        <v/>
      </c>
      <c r="T151" s="92" t="str">
        <f t="shared" ca="1" si="36"/>
        <v/>
      </c>
      <c r="U151" s="92" t="str">
        <f t="shared" ca="1" si="18"/>
        <v/>
      </c>
      <c r="V151" s="92" t="str">
        <f t="shared" ca="1" si="18"/>
        <v/>
      </c>
      <c r="W151" s="92" t="str">
        <f t="shared" ca="1" si="18"/>
        <v/>
      </c>
      <c r="X151" s="257" t="str">
        <f t="shared" ca="1" si="18"/>
        <v/>
      </c>
      <c r="Y151" s="248" t="str">
        <f t="shared" ca="1" si="37"/>
        <v/>
      </c>
      <c r="Z151" s="92" t="str">
        <f t="shared" ca="1" si="37"/>
        <v/>
      </c>
      <c r="AA151" s="92" t="str">
        <f t="shared" ca="1" si="19"/>
        <v/>
      </c>
      <c r="AB151" s="345" t="str">
        <f t="shared" ca="1" si="31"/>
        <v/>
      </c>
      <c r="AC151" s="257" t="str">
        <f t="shared" ca="1" si="31"/>
        <v/>
      </c>
      <c r="AD151" s="248" t="str">
        <f t="shared" ca="1" si="34"/>
        <v/>
      </c>
      <c r="AE151" s="257" t="str">
        <f t="shared" ca="1" si="34"/>
        <v/>
      </c>
      <c r="AF151" s="248" t="str">
        <f t="shared" ca="1" si="34"/>
        <v/>
      </c>
      <c r="AG151" s="257" t="str">
        <f t="shared" ca="1" si="34"/>
        <v/>
      </c>
      <c r="AH151" s="92"/>
      <c r="AI151" s="92" t="str">
        <f t="shared" ca="1" si="20"/>
        <v/>
      </c>
      <c r="AK151" s="92">
        <f t="shared" ca="1" si="21"/>
        <v>0</v>
      </c>
      <c r="AL151" s="12">
        <f t="shared" ca="1" si="22"/>
        <v>0</v>
      </c>
      <c r="AM151" s="12">
        <f t="shared" ca="1" si="23"/>
        <v>0</v>
      </c>
      <c r="AN151" s="12">
        <f t="shared" ca="1" si="24"/>
        <v>0</v>
      </c>
      <c r="AO151" s="12">
        <f t="shared" ca="1" si="25"/>
        <v>0</v>
      </c>
      <c r="AP151" s="12" t="str">
        <f t="shared" ca="1" si="26"/>
        <v/>
      </c>
      <c r="AQ151" s="12" t="str">
        <f t="shared" ca="1" si="27"/>
        <v/>
      </c>
      <c r="AR151" s="12" t="str">
        <f t="shared" ca="1" si="28"/>
        <v/>
      </c>
      <c r="AS151" s="12" t="str">
        <f t="shared" ca="1" si="29"/>
        <v/>
      </c>
    </row>
    <row r="152" spans="1:45" ht="14.3">
      <c r="A152">
        <f t="shared" si="32"/>
        <v>203</v>
      </c>
      <c r="B152" t="str">
        <f t="shared" ca="1" si="11"/>
        <v xml:space="preserve"> </v>
      </c>
      <c r="C152" t="b">
        <f t="shared" ca="1" si="12"/>
        <v>0</v>
      </c>
      <c r="D152" s="248" t="str">
        <f t="shared" ca="1" si="4"/>
        <v/>
      </c>
      <c r="E152" s="92" t="str">
        <f t="shared" ca="1" si="13"/>
        <v/>
      </c>
      <c r="F152" s="92" t="str">
        <f t="shared" ca="1" si="14"/>
        <v/>
      </c>
      <c r="G152" s="257" t="str">
        <f t="shared" ca="1" si="15"/>
        <v/>
      </c>
      <c r="H152" s="248" t="str">
        <f t="shared" ca="1" si="15"/>
        <v/>
      </c>
      <c r="I152" s="92" t="str">
        <f t="shared" ca="1" si="15"/>
        <v/>
      </c>
      <c r="J152" s="92" t="str">
        <f t="shared" ca="1" si="16"/>
        <v/>
      </c>
      <c r="K152" s="92" t="str">
        <f t="shared" ca="1" si="35"/>
        <v/>
      </c>
      <c r="L152" s="92" t="str">
        <f t="shared" ca="1" si="35"/>
        <v/>
      </c>
      <c r="M152" s="258" t="str">
        <f t="shared" ca="1" si="35"/>
        <v/>
      </c>
      <c r="N152" s="259" t="str">
        <f t="shared" ca="1" si="17"/>
        <v/>
      </c>
      <c r="O152" s="92" t="str">
        <f t="shared" ca="1" si="17"/>
        <v/>
      </c>
      <c r="P152" s="92"/>
      <c r="Q152" s="92" t="str">
        <f t="shared" ca="1" si="33"/>
        <v/>
      </c>
      <c r="R152" s="257" t="str">
        <f t="shared" ca="1" si="33"/>
        <v/>
      </c>
      <c r="S152" s="248" t="str">
        <f t="shared" ca="1" si="36"/>
        <v/>
      </c>
      <c r="T152" s="92" t="str">
        <f t="shared" ca="1" si="36"/>
        <v/>
      </c>
      <c r="U152" s="92" t="str">
        <f t="shared" ca="1" si="18"/>
        <v/>
      </c>
      <c r="V152" s="92" t="str">
        <f t="shared" ca="1" si="18"/>
        <v/>
      </c>
      <c r="W152" s="92" t="str">
        <f t="shared" ca="1" si="18"/>
        <v/>
      </c>
      <c r="X152" s="257" t="str">
        <f t="shared" ca="1" si="18"/>
        <v/>
      </c>
      <c r="Y152" s="248" t="str">
        <f t="shared" ca="1" si="37"/>
        <v/>
      </c>
      <c r="Z152" s="92" t="str">
        <f t="shared" ca="1" si="37"/>
        <v/>
      </c>
      <c r="AA152" s="92" t="str">
        <f t="shared" ca="1" si="19"/>
        <v/>
      </c>
      <c r="AB152" s="345" t="str">
        <f t="shared" ca="1" si="31"/>
        <v/>
      </c>
      <c r="AC152" s="257" t="str">
        <f t="shared" ca="1" si="31"/>
        <v/>
      </c>
      <c r="AD152" s="248" t="str">
        <f t="shared" ca="1" si="34"/>
        <v/>
      </c>
      <c r="AE152" s="257" t="str">
        <f t="shared" ca="1" si="34"/>
        <v/>
      </c>
      <c r="AF152" s="248" t="str">
        <f t="shared" ca="1" si="34"/>
        <v/>
      </c>
      <c r="AG152" s="257" t="str">
        <f t="shared" ca="1" si="34"/>
        <v/>
      </c>
      <c r="AH152" s="92"/>
      <c r="AI152" s="92" t="str">
        <f t="shared" ca="1" si="20"/>
        <v/>
      </c>
      <c r="AK152" s="92">
        <f t="shared" ca="1" si="21"/>
        <v>0</v>
      </c>
      <c r="AL152" s="12">
        <f t="shared" ca="1" si="22"/>
        <v>0</v>
      </c>
      <c r="AM152" s="12">
        <f t="shared" ca="1" si="23"/>
        <v>0</v>
      </c>
      <c r="AN152" s="12">
        <f t="shared" ca="1" si="24"/>
        <v>0</v>
      </c>
      <c r="AO152" s="12">
        <f t="shared" ca="1" si="25"/>
        <v>0</v>
      </c>
      <c r="AP152" s="12" t="str">
        <f t="shared" ca="1" si="26"/>
        <v/>
      </c>
      <c r="AQ152" s="12" t="str">
        <f t="shared" ca="1" si="27"/>
        <v/>
      </c>
      <c r="AR152" s="12" t="str">
        <f t="shared" ca="1" si="28"/>
        <v/>
      </c>
      <c r="AS152" s="12" t="str">
        <f t="shared" ca="1" si="29"/>
        <v/>
      </c>
    </row>
    <row r="153" spans="1:45" ht="14.3">
      <c r="A153">
        <f t="shared" si="32"/>
        <v>208</v>
      </c>
      <c r="B153" t="str">
        <f t="shared" ca="1" si="11"/>
        <v xml:space="preserve"> </v>
      </c>
      <c r="C153" t="b">
        <f t="shared" ca="1" si="12"/>
        <v>0</v>
      </c>
      <c r="D153" s="248" t="str">
        <f t="shared" ca="1" si="4"/>
        <v/>
      </c>
      <c r="E153" s="92" t="str">
        <f t="shared" ca="1" si="13"/>
        <v/>
      </c>
      <c r="F153" s="92" t="str">
        <f t="shared" ca="1" si="14"/>
        <v/>
      </c>
      <c r="G153" s="257" t="str">
        <f t="shared" ca="1" si="15"/>
        <v/>
      </c>
      <c r="H153" s="248" t="str">
        <f t="shared" ca="1" si="15"/>
        <v/>
      </c>
      <c r="I153" s="92" t="str">
        <f t="shared" ca="1" si="15"/>
        <v/>
      </c>
      <c r="J153" s="92" t="str">
        <f t="shared" ca="1" si="16"/>
        <v/>
      </c>
      <c r="K153" s="92" t="str">
        <f t="shared" ca="1" si="35"/>
        <v/>
      </c>
      <c r="L153" s="92" t="str">
        <f t="shared" ca="1" si="35"/>
        <v/>
      </c>
      <c r="M153" s="258" t="str">
        <f t="shared" ca="1" si="35"/>
        <v/>
      </c>
      <c r="N153" s="259" t="str">
        <f t="shared" ca="1" si="17"/>
        <v/>
      </c>
      <c r="O153" s="92" t="str">
        <f t="shared" ca="1" si="17"/>
        <v/>
      </c>
      <c r="P153" s="92"/>
      <c r="Q153" s="92" t="str">
        <f t="shared" ca="1" si="33"/>
        <v/>
      </c>
      <c r="R153" s="257" t="str">
        <f t="shared" ca="1" si="33"/>
        <v/>
      </c>
      <c r="S153" s="248" t="str">
        <f t="shared" ca="1" si="36"/>
        <v/>
      </c>
      <c r="T153" s="92" t="str">
        <f t="shared" ca="1" si="36"/>
        <v/>
      </c>
      <c r="U153" s="92" t="str">
        <f t="shared" ca="1" si="18"/>
        <v/>
      </c>
      <c r="V153" s="92" t="str">
        <f t="shared" ca="1" si="18"/>
        <v/>
      </c>
      <c r="W153" s="92" t="str">
        <f t="shared" ca="1" si="18"/>
        <v/>
      </c>
      <c r="X153" s="257" t="str">
        <f t="shared" ca="1" si="18"/>
        <v/>
      </c>
      <c r="Y153" s="248" t="str">
        <f t="shared" ca="1" si="37"/>
        <v/>
      </c>
      <c r="Z153" s="92" t="str">
        <f t="shared" ca="1" si="37"/>
        <v/>
      </c>
      <c r="AA153" s="92" t="str">
        <f t="shared" ca="1" si="19"/>
        <v/>
      </c>
      <c r="AB153" s="345" t="str">
        <f t="shared" ca="1" si="31"/>
        <v/>
      </c>
      <c r="AC153" s="257" t="str">
        <f t="shared" ca="1" si="31"/>
        <v/>
      </c>
      <c r="AD153" s="248" t="str">
        <f t="shared" ca="1" si="34"/>
        <v/>
      </c>
      <c r="AE153" s="257" t="str">
        <f t="shared" ca="1" si="34"/>
        <v/>
      </c>
      <c r="AF153" s="248" t="str">
        <f t="shared" ca="1" si="34"/>
        <v/>
      </c>
      <c r="AG153" s="257" t="str">
        <f t="shared" ca="1" si="34"/>
        <v/>
      </c>
      <c r="AH153" s="92"/>
      <c r="AI153" s="92" t="str">
        <f t="shared" ca="1" si="20"/>
        <v/>
      </c>
      <c r="AK153" s="92">
        <f t="shared" ca="1" si="21"/>
        <v>0</v>
      </c>
      <c r="AL153" s="12">
        <f t="shared" ca="1" si="22"/>
        <v>0</v>
      </c>
      <c r="AM153" s="12">
        <f t="shared" ca="1" si="23"/>
        <v>0</v>
      </c>
      <c r="AN153" s="12">
        <f t="shared" ca="1" si="24"/>
        <v>0</v>
      </c>
      <c r="AO153" s="12">
        <f t="shared" ca="1" si="25"/>
        <v>0</v>
      </c>
      <c r="AP153" s="12" t="str">
        <f t="shared" ca="1" si="26"/>
        <v/>
      </c>
      <c r="AQ153" s="12" t="str">
        <f t="shared" ca="1" si="27"/>
        <v/>
      </c>
      <c r="AR153" s="12" t="str">
        <f t="shared" ca="1" si="28"/>
        <v/>
      </c>
      <c r="AS153" s="12" t="str">
        <f t="shared" ca="1" si="29"/>
        <v/>
      </c>
    </row>
    <row r="154" spans="1:45" ht="14.3">
      <c r="A154">
        <f t="shared" si="32"/>
        <v>213</v>
      </c>
      <c r="B154" t="str">
        <f t="shared" ca="1" si="11"/>
        <v xml:space="preserve"> </v>
      </c>
      <c r="C154" t="b">
        <f t="shared" ca="1" si="12"/>
        <v>0</v>
      </c>
      <c r="D154" s="248" t="str">
        <f t="shared" ref="D154:D185" ca="1" si="38">IF($C154=FALSE,"",INDIRECT("Installations!" &amp; D$120 &amp; $A154))</f>
        <v/>
      </c>
      <c r="E154" s="92" t="str">
        <f t="shared" ca="1" si="13"/>
        <v/>
      </c>
      <c r="F154" s="92" t="str">
        <f t="shared" ca="1" si="14"/>
        <v/>
      </c>
      <c r="G154" s="257" t="str">
        <f t="shared" ca="1" si="15"/>
        <v/>
      </c>
      <c r="H154" s="248" t="str">
        <f t="shared" ca="1" si="15"/>
        <v/>
      </c>
      <c r="I154" s="92" t="str">
        <f t="shared" ca="1" si="15"/>
        <v/>
      </c>
      <c r="J154" s="92" t="str">
        <f t="shared" ca="1" si="16"/>
        <v/>
      </c>
      <c r="K154" s="92" t="str">
        <f t="shared" ca="1" si="35"/>
        <v/>
      </c>
      <c r="L154" s="92" t="str">
        <f t="shared" ca="1" si="35"/>
        <v/>
      </c>
      <c r="M154" s="258" t="str">
        <f t="shared" ca="1" si="35"/>
        <v/>
      </c>
      <c r="N154" s="259" t="str">
        <f t="shared" ca="1" si="17"/>
        <v/>
      </c>
      <c r="O154" s="92" t="str">
        <f t="shared" ca="1" si="17"/>
        <v/>
      </c>
      <c r="P154" s="92"/>
      <c r="Q154" s="92" t="str">
        <f t="shared" ca="1" si="33"/>
        <v/>
      </c>
      <c r="R154" s="257" t="str">
        <f t="shared" ca="1" si="33"/>
        <v/>
      </c>
      <c r="S154" s="248" t="str">
        <f t="shared" ca="1" si="36"/>
        <v/>
      </c>
      <c r="T154" s="92" t="str">
        <f t="shared" ca="1" si="36"/>
        <v/>
      </c>
      <c r="U154" s="92" t="str">
        <f t="shared" ca="1" si="18"/>
        <v/>
      </c>
      <c r="V154" s="92" t="str">
        <f t="shared" ca="1" si="18"/>
        <v/>
      </c>
      <c r="W154" s="92" t="str">
        <f t="shared" ca="1" si="18"/>
        <v/>
      </c>
      <c r="X154" s="257" t="str">
        <f t="shared" ca="1" si="18"/>
        <v/>
      </c>
      <c r="Y154" s="248" t="str">
        <f t="shared" ca="1" si="37"/>
        <v/>
      </c>
      <c r="Z154" s="92" t="str">
        <f t="shared" ca="1" si="37"/>
        <v/>
      </c>
      <c r="AA154" s="92" t="str">
        <f t="shared" ca="1" si="19"/>
        <v/>
      </c>
      <c r="AB154" s="345" t="str">
        <f t="shared" ca="1" si="31"/>
        <v/>
      </c>
      <c r="AC154" s="257" t="str">
        <f t="shared" ca="1" si="31"/>
        <v/>
      </c>
      <c r="AD154" s="248" t="str">
        <f t="shared" ca="1" si="34"/>
        <v/>
      </c>
      <c r="AE154" s="257" t="str">
        <f t="shared" ca="1" si="34"/>
        <v/>
      </c>
      <c r="AF154" s="248" t="str">
        <f t="shared" ca="1" si="34"/>
        <v/>
      </c>
      <c r="AG154" s="257" t="str">
        <f t="shared" ca="1" si="34"/>
        <v/>
      </c>
      <c r="AH154" s="92"/>
      <c r="AI154" s="92" t="str">
        <f t="shared" ca="1" si="20"/>
        <v/>
      </c>
      <c r="AK154" s="92">
        <f t="shared" ca="1" si="21"/>
        <v>0</v>
      </c>
      <c r="AL154" s="12">
        <f t="shared" ca="1" si="22"/>
        <v>0</v>
      </c>
      <c r="AM154" s="12">
        <f t="shared" ca="1" si="23"/>
        <v>0</v>
      </c>
      <c r="AN154" s="12">
        <f t="shared" ca="1" si="24"/>
        <v>0</v>
      </c>
      <c r="AO154" s="12">
        <f t="shared" ca="1" si="25"/>
        <v>0</v>
      </c>
      <c r="AP154" s="12" t="str">
        <f t="shared" ca="1" si="26"/>
        <v/>
      </c>
      <c r="AQ154" s="12" t="str">
        <f t="shared" ca="1" si="27"/>
        <v/>
      </c>
      <c r="AR154" s="12" t="str">
        <f t="shared" ca="1" si="28"/>
        <v/>
      </c>
      <c r="AS154" s="12" t="str">
        <f t="shared" ca="1" si="29"/>
        <v/>
      </c>
    </row>
    <row r="155" spans="1:45" ht="14.3">
      <c r="A155">
        <f t="shared" si="32"/>
        <v>218</v>
      </c>
      <c r="B155" t="str">
        <f t="shared" ca="1" si="11"/>
        <v xml:space="preserve"> </v>
      </c>
      <c r="C155" t="b">
        <f t="shared" ca="1" si="12"/>
        <v>0</v>
      </c>
      <c r="D155" s="248" t="str">
        <f t="shared" ca="1" si="38"/>
        <v/>
      </c>
      <c r="E155" s="92" t="str">
        <f t="shared" ca="1" si="13"/>
        <v/>
      </c>
      <c r="F155" s="92" t="str">
        <f t="shared" ca="1" si="14"/>
        <v/>
      </c>
      <c r="G155" s="257" t="str">
        <f t="shared" ref="G155:I186" ca="1" si="39">IF($C155=FALSE,"",INDIRECT("Installations!" &amp; G$120 &amp; $A155+1))</f>
        <v/>
      </c>
      <c r="H155" s="248" t="str">
        <f t="shared" ca="1" si="39"/>
        <v/>
      </c>
      <c r="I155" s="92" t="str">
        <f t="shared" ca="1" si="39"/>
        <v/>
      </c>
      <c r="J155" s="92" t="str">
        <f t="shared" ca="1" si="16"/>
        <v/>
      </c>
      <c r="K155" s="92" t="str">
        <f t="shared" ca="1" si="35"/>
        <v/>
      </c>
      <c r="L155" s="92" t="str">
        <f t="shared" ca="1" si="35"/>
        <v/>
      </c>
      <c r="M155" s="258" t="str">
        <f t="shared" ca="1" si="35"/>
        <v/>
      </c>
      <c r="N155" s="259" t="str">
        <f t="shared" ref="N155:O186" ca="1" si="40">IF($C155=FALSE,"",INDIRECT("Installations!" &amp; N$120 &amp; $A155+1))</f>
        <v/>
      </c>
      <c r="O155" s="92" t="str">
        <f t="shared" ca="1" si="40"/>
        <v/>
      </c>
      <c r="P155" s="92"/>
      <c r="Q155" s="92" t="str">
        <f t="shared" ca="1" si="33"/>
        <v/>
      </c>
      <c r="R155" s="257" t="str">
        <f t="shared" ca="1" si="33"/>
        <v/>
      </c>
      <c r="S155" s="248" t="str">
        <f t="shared" ca="1" si="36"/>
        <v/>
      </c>
      <c r="T155" s="92" t="str">
        <f t="shared" ca="1" si="36"/>
        <v/>
      </c>
      <c r="U155" s="92" t="str">
        <f t="shared" ref="U155:X186" ca="1" si="41">IF($C155=FALSE,"",INDIRECT("Installations!" &amp; U$120 &amp; $A155+U$118))</f>
        <v/>
      </c>
      <c r="V155" s="92" t="str">
        <f t="shared" ca="1" si="41"/>
        <v/>
      </c>
      <c r="W155" s="92" t="str">
        <f t="shared" ca="1" si="41"/>
        <v/>
      </c>
      <c r="X155" s="257" t="str">
        <f t="shared" ca="1" si="41"/>
        <v/>
      </c>
      <c r="Y155" s="248" t="str">
        <f t="shared" ca="1" si="37"/>
        <v/>
      </c>
      <c r="Z155" s="92" t="str">
        <f t="shared" ca="1" si="37"/>
        <v/>
      </c>
      <c r="AA155" s="92" t="str">
        <f t="shared" ca="1" si="19"/>
        <v/>
      </c>
      <c r="AB155" s="345" t="str">
        <f t="shared" ca="1" si="31"/>
        <v/>
      </c>
      <c r="AC155" s="257" t="str">
        <f t="shared" ca="1" si="31"/>
        <v/>
      </c>
      <c r="AD155" s="248" t="str">
        <f t="shared" ca="1" si="34"/>
        <v/>
      </c>
      <c r="AE155" s="257" t="str">
        <f t="shared" ca="1" si="34"/>
        <v/>
      </c>
      <c r="AF155" s="248" t="str">
        <f t="shared" ca="1" si="34"/>
        <v/>
      </c>
      <c r="AG155" s="257" t="str">
        <f t="shared" ca="1" si="34"/>
        <v/>
      </c>
      <c r="AH155" s="92"/>
      <c r="AI155" s="92" t="str">
        <f t="shared" ca="1" si="20"/>
        <v/>
      </c>
      <c r="AK155" s="92">
        <f t="shared" ca="1" si="21"/>
        <v>0</v>
      </c>
      <c r="AL155" s="12">
        <f t="shared" ca="1" si="22"/>
        <v>0</v>
      </c>
      <c r="AM155" s="12">
        <f t="shared" ca="1" si="23"/>
        <v>0</v>
      </c>
      <c r="AN155" s="12">
        <f t="shared" ca="1" si="24"/>
        <v>0</v>
      </c>
      <c r="AO155" s="12">
        <f t="shared" ca="1" si="25"/>
        <v>0</v>
      </c>
      <c r="AP155" s="12" t="str">
        <f t="shared" ca="1" si="26"/>
        <v/>
      </c>
      <c r="AQ155" s="12" t="str">
        <f t="shared" ca="1" si="27"/>
        <v/>
      </c>
      <c r="AR155" s="12" t="str">
        <f t="shared" ca="1" si="28"/>
        <v/>
      </c>
      <c r="AS155" s="12" t="str">
        <f t="shared" ca="1" si="29"/>
        <v/>
      </c>
    </row>
    <row r="156" spans="1:45" ht="14.3">
      <c r="A156">
        <f t="shared" si="32"/>
        <v>223</v>
      </c>
      <c r="B156" t="str">
        <f t="shared" ca="1" si="11"/>
        <v xml:space="preserve"> </v>
      </c>
      <c r="C156" t="b">
        <f t="shared" ca="1" si="12"/>
        <v>0</v>
      </c>
      <c r="D156" s="248" t="str">
        <f t="shared" ca="1" si="38"/>
        <v/>
      </c>
      <c r="E156" s="92" t="str">
        <f t="shared" ca="1" si="13"/>
        <v/>
      </c>
      <c r="F156" s="92" t="str">
        <f t="shared" ca="1" si="14"/>
        <v/>
      </c>
      <c r="G156" s="257" t="str">
        <f t="shared" ca="1" si="39"/>
        <v/>
      </c>
      <c r="H156" s="248" t="str">
        <f t="shared" ca="1" si="39"/>
        <v/>
      </c>
      <c r="I156" s="92" t="str">
        <f t="shared" ca="1" si="39"/>
        <v/>
      </c>
      <c r="J156" s="92" t="str">
        <f t="shared" ca="1" si="16"/>
        <v/>
      </c>
      <c r="K156" s="92" t="str">
        <f t="shared" ca="1" si="35"/>
        <v/>
      </c>
      <c r="L156" s="92" t="str">
        <f t="shared" ca="1" si="35"/>
        <v/>
      </c>
      <c r="M156" s="258" t="str">
        <f t="shared" ca="1" si="35"/>
        <v/>
      </c>
      <c r="N156" s="259" t="str">
        <f t="shared" ca="1" si="40"/>
        <v/>
      </c>
      <c r="O156" s="92" t="str">
        <f t="shared" ca="1" si="40"/>
        <v/>
      </c>
      <c r="P156" s="92"/>
      <c r="Q156" s="92" t="str">
        <f t="shared" ca="1" si="33"/>
        <v/>
      </c>
      <c r="R156" s="257" t="str">
        <f t="shared" ca="1" si="33"/>
        <v/>
      </c>
      <c r="S156" s="248" t="str">
        <f t="shared" ca="1" si="36"/>
        <v/>
      </c>
      <c r="T156" s="92" t="str">
        <f t="shared" ca="1" si="36"/>
        <v/>
      </c>
      <c r="U156" s="92" t="str">
        <f t="shared" ca="1" si="41"/>
        <v/>
      </c>
      <c r="V156" s="92" t="str">
        <f t="shared" ca="1" si="41"/>
        <v/>
      </c>
      <c r="W156" s="92" t="str">
        <f t="shared" ca="1" si="41"/>
        <v/>
      </c>
      <c r="X156" s="257" t="str">
        <f t="shared" ca="1" si="41"/>
        <v/>
      </c>
      <c r="Y156" s="248" t="str">
        <f t="shared" ca="1" si="37"/>
        <v/>
      </c>
      <c r="Z156" s="92" t="str">
        <f t="shared" ca="1" si="37"/>
        <v/>
      </c>
      <c r="AA156" s="92" t="str">
        <f t="shared" ca="1" si="19"/>
        <v/>
      </c>
      <c r="AB156" s="345" t="str">
        <f t="shared" ca="1" si="31"/>
        <v/>
      </c>
      <c r="AC156" s="257" t="str">
        <f t="shared" ca="1" si="31"/>
        <v/>
      </c>
      <c r="AD156" s="248" t="str">
        <f t="shared" ca="1" si="34"/>
        <v/>
      </c>
      <c r="AE156" s="257" t="str">
        <f t="shared" ca="1" si="34"/>
        <v/>
      </c>
      <c r="AF156" s="248" t="str">
        <f t="shared" ca="1" si="34"/>
        <v/>
      </c>
      <c r="AG156" s="257" t="str">
        <f t="shared" ca="1" si="34"/>
        <v/>
      </c>
      <c r="AH156" s="92"/>
      <c r="AI156" s="92" t="str">
        <f t="shared" ca="1" si="20"/>
        <v/>
      </c>
      <c r="AK156" s="92">
        <f t="shared" ca="1" si="21"/>
        <v>0</v>
      </c>
      <c r="AL156" s="12">
        <f t="shared" ca="1" si="22"/>
        <v>0</v>
      </c>
      <c r="AM156" s="12">
        <f t="shared" ca="1" si="23"/>
        <v>0</v>
      </c>
      <c r="AN156" s="12">
        <f t="shared" ca="1" si="24"/>
        <v>0</v>
      </c>
      <c r="AO156" s="12">
        <f t="shared" ca="1" si="25"/>
        <v>0</v>
      </c>
      <c r="AP156" s="12" t="str">
        <f t="shared" ca="1" si="26"/>
        <v/>
      </c>
      <c r="AQ156" s="12" t="str">
        <f t="shared" ca="1" si="27"/>
        <v/>
      </c>
      <c r="AR156" s="12" t="str">
        <f t="shared" ca="1" si="28"/>
        <v/>
      </c>
      <c r="AS156" s="12" t="str">
        <f t="shared" ca="1" si="29"/>
        <v/>
      </c>
    </row>
    <row r="157" spans="1:45" ht="14.3">
      <c r="A157">
        <f t="shared" si="32"/>
        <v>228</v>
      </c>
      <c r="B157" t="str">
        <f t="shared" ca="1" si="11"/>
        <v xml:space="preserve"> </v>
      </c>
      <c r="C157" t="b">
        <f t="shared" ca="1" si="12"/>
        <v>0</v>
      </c>
      <c r="D157" s="248" t="str">
        <f t="shared" ca="1" si="38"/>
        <v/>
      </c>
      <c r="E157" s="92" t="str">
        <f t="shared" ca="1" si="13"/>
        <v/>
      </c>
      <c r="F157" s="92" t="str">
        <f t="shared" ca="1" si="14"/>
        <v/>
      </c>
      <c r="G157" s="257" t="str">
        <f t="shared" ca="1" si="39"/>
        <v/>
      </c>
      <c r="H157" s="248" t="str">
        <f t="shared" ca="1" si="39"/>
        <v/>
      </c>
      <c r="I157" s="92" t="str">
        <f t="shared" ca="1" si="39"/>
        <v/>
      </c>
      <c r="J157" s="92" t="str">
        <f t="shared" ca="1" si="16"/>
        <v/>
      </c>
      <c r="K157" s="92" t="str">
        <f t="shared" ca="1" si="35"/>
        <v/>
      </c>
      <c r="L157" s="92" t="str">
        <f t="shared" ca="1" si="35"/>
        <v/>
      </c>
      <c r="M157" s="258" t="str">
        <f t="shared" ca="1" si="35"/>
        <v/>
      </c>
      <c r="N157" s="259" t="str">
        <f t="shared" ca="1" si="40"/>
        <v/>
      </c>
      <c r="O157" s="92" t="str">
        <f t="shared" ca="1" si="40"/>
        <v/>
      </c>
      <c r="P157" s="92"/>
      <c r="Q157" s="92" t="str">
        <f t="shared" ca="1" si="33"/>
        <v/>
      </c>
      <c r="R157" s="257" t="str">
        <f t="shared" ca="1" si="33"/>
        <v/>
      </c>
      <c r="S157" s="248" t="str">
        <f t="shared" ca="1" si="36"/>
        <v/>
      </c>
      <c r="T157" s="92" t="str">
        <f t="shared" ca="1" si="36"/>
        <v/>
      </c>
      <c r="U157" s="92" t="str">
        <f t="shared" ca="1" si="41"/>
        <v/>
      </c>
      <c r="V157" s="92" t="str">
        <f t="shared" ca="1" si="41"/>
        <v/>
      </c>
      <c r="W157" s="92" t="str">
        <f t="shared" ca="1" si="41"/>
        <v/>
      </c>
      <c r="X157" s="257" t="str">
        <f t="shared" ca="1" si="41"/>
        <v/>
      </c>
      <c r="Y157" s="248" t="str">
        <f t="shared" ca="1" si="37"/>
        <v/>
      </c>
      <c r="Z157" s="92" t="str">
        <f t="shared" ca="1" si="37"/>
        <v/>
      </c>
      <c r="AA157" s="92" t="str">
        <f t="shared" ca="1" si="19"/>
        <v/>
      </c>
      <c r="AB157" s="345" t="str">
        <f t="shared" ca="1" si="31"/>
        <v/>
      </c>
      <c r="AC157" s="257" t="str">
        <f t="shared" ca="1" si="31"/>
        <v/>
      </c>
      <c r="AD157" s="248" t="str">
        <f t="shared" ca="1" si="34"/>
        <v/>
      </c>
      <c r="AE157" s="257" t="str">
        <f t="shared" ca="1" si="34"/>
        <v/>
      </c>
      <c r="AF157" s="248" t="str">
        <f t="shared" ca="1" si="34"/>
        <v/>
      </c>
      <c r="AG157" s="257" t="str">
        <f t="shared" ca="1" si="34"/>
        <v/>
      </c>
      <c r="AH157" s="92"/>
      <c r="AI157" s="92" t="str">
        <f t="shared" ca="1" si="20"/>
        <v/>
      </c>
      <c r="AK157" s="92">
        <f t="shared" ca="1" si="21"/>
        <v>0</v>
      </c>
      <c r="AL157" s="12">
        <f t="shared" ca="1" si="22"/>
        <v>0</v>
      </c>
      <c r="AM157" s="12">
        <f t="shared" ca="1" si="23"/>
        <v>0</v>
      </c>
      <c r="AN157" s="12">
        <f t="shared" ca="1" si="24"/>
        <v>0</v>
      </c>
      <c r="AO157" s="12">
        <f t="shared" ca="1" si="25"/>
        <v>0</v>
      </c>
      <c r="AP157" s="12" t="str">
        <f t="shared" ca="1" si="26"/>
        <v/>
      </c>
      <c r="AQ157" s="12" t="str">
        <f t="shared" ca="1" si="27"/>
        <v/>
      </c>
      <c r="AR157" s="12" t="str">
        <f t="shared" ca="1" si="28"/>
        <v/>
      </c>
      <c r="AS157" s="12" t="str">
        <f t="shared" ca="1" si="29"/>
        <v/>
      </c>
    </row>
    <row r="158" spans="1:45" ht="14.3">
      <c r="A158">
        <f t="shared" si="32"/>
        <v>233</v>
      </c>
      <c r="B158" t="str">
        <f t="shared" ca="1" si="11"/>
        <v xml:space="preserve"> </v>
      </c>
      <c r="C158" t="b">
        <f t="shared" ca="1" si="12"/>
        <v>0</v>
      </c>
      <c r="D158" s="248" t="str">
        <f t="shared" ca="1" si="38"/>
        <v/>
      </c>
      <c r="E158" s="92" t="str">
        <f t="shared" ca="1" si="13"/>
        <v/>
      </c>
      <c r="F158" s="92" t="str">
        <f t="shared" ca="1" si="14"/>
        <v/>
      </c>
      <c r="G158" s="257" t="str">
        <f t="shared" ca="1" si="39"/>
        <v/>
      </c>
      <c r="H158" s="248" t="str">
        <f t="shared" ca="1" si="39"/>
        <v/>
      </c>
      <c r="I158" s="92" t="str">
        <f t="shared" ca="1" si="39"/>
        <v/>
      </c>
      <c r="J158" s="92" t="str">
        <f t="shared" ca="1" si="16"/>
        <v/>
      </c>
      <c r="K158" s="92" t="str">
        <f t="shared" ca="1" si="35"/>
        <v/>
      </c>
      <c r="L158" s="92" t="str">
        <f t="shared" ca="1" si="35"/>
        <v/>
      </c>
      <c r="M158" s="258" t="str">
        <f t="shared" ca="1" si="35"/>
        <v/>
      </c>
      <c r="N158" s="259" t="str">
        <f t="shared" ca="1" si="40"/>
        <v/>
      </c>
      <c r="O158" s="92" t="str">
        <f t="shared" ca="1" si="40"/>
        <v/>
      </c>
      <c r="P158" s="92"/>
      <c r="Q158" s="92" t="str">
        <f t="shared" ca="1" si="33"/>
        <v/>
      </c>
      <c r="R158" s="257" t="str">
        <f t="shared" ca="1" si="33"/>
        <v/>
      </c>
      <c r="S158" s="248" t="str">
        <f t="shared" ca="1" si="36"/>
        <v/>
      </c>
      <c r="T158" s="92" t="str">
        <f t="shared" ca="1" si="36"/>
        <v/>
      </c>
      <c r="U158" s="92" t="str">
        <f t="shared" ca="1" si="41"/>
        <v/>
      </c>
      <c r="V158" s="92" t="str">
        <f t="shared" ca="1" si="41"/>
        <v/>
      </c>
      <c r="W158" s="92" t="str">
        <f t="shared" ca="1" si="41"/>
        <v/>
      </c>
      <c r="X158" s="257" t="str">
        <f t="shared" ca="1" si="41"/>
        <v/>
      </c>
      <c r="Y158" s="248" t="str">
        <f t="shared" ca="1" si="37"/>
        <v/>
      </c>
      <c r="Z158" s="92" t="str">
        <f t="shared" ca="1" si="37"/>
        <v/>
      </c>
      <c r="AA158" s="92" t="str">
        <f t="shared" ca="1" si="19"/>
        <v/>
      </c>
      <c r="AB158" s="345" t="str">
        <f t="shared" ref="AB158:AC183" ca="1" si="42">IF($C158=FALSE,"",INDIRECT("Installations!" &amp; AB$120 &amp; $A158+2))</f>
        <v/>
      </c>
      <c r="AC158" s="257" t="str">
        <f t="shared" ca="1" si="42"/>
        <v/>
      </c>
      <c r="AD158" s="248" t="str">
        <f t="shared" ca="1" si="34"/>
        <v/>
      </c>
      <c r="AE158" s="257" t="str">
        <f t="shared" ca="1" si="34"/>
        <v/>
      </c>
      <c r="AF158" s="248" t="str">
        <f t="shared" ca="1" si="34"/>
        <v/>
      </c>
      <c r="AG158" s="257" t="str">
        <f t="shared" ca="1" si="34"/>
        <v/>
      </c>
      <c r="AH158" s="92"/>
      <c r="AI158" s="92" t="str">
        <f t="shared" ca="1" si="20"/>
        <v/>
      </c>
      <c r="AK158" s="92">
        <f t="shared" ca="1" si="21"/>
        <v>0</v>
      </c>
      <c r="AL158" s="12">
        <f t="shared" ca="1" si="22"/>
        <v>0</v>
      </c>
      <c r="AM158" s="12">
        <f t="shared" ca="1" si="23"/>
        <v>0</v>
      </c>
      <c r="AN158" s="12">
        <f t="shared" ca="1" si="24"/>
        <v>0</v>
      </c>
      <c r="AO158" s="12">
        <f t="shared" ca="1" si="25"/>
        <v>0</v>
      </c>
      <c r="AP158" s="12" t="str">
        <f t="shared" ca="1" si="26"/>
        <v/>
      </c>
      <c r="AQ158" s="12" t="str">
        <f t="shared" ca="1" si="27"/>
        <v/>
      </c>
      <c r="AR158" s="12" t="str">
        <f t="shared" ca="1" si="28"/>
        <v/>
      </c>
      <c r="AS158" s="12" t="str">
        <f t="shared" ca="1" si="29"/>
        <v/>
      </c>
    </row>
    <row r="159" spans="1:45" ht="14.3">
      <c r="A159">
        <f t="shared" si="32"/>
        <v>238</v>
      </c>
      <c r="B159" t="str">
        <f t="shared" ca="1" si="11"/>
        <v xml:space="preserve"> </v>
      </c>
      <c r="C159" t="b">
        <f t="shared" ca="1" si="12"/>
        <v>0</v>
      </c>
      <c r="D159" s="248" t="str">
        <f t="shared" ca="1" si="38"/>
        <v/>
      </c>
      <c r="E159" s="92" t="str">
        <f t="shared" ca="1" si="13"/>
        <v/>
      </c>
      <c r="F159" s="92" t="str">
        <f t="shared" ca="1" si="14"/>
        <v/>
      </c>
      <c r="G159" s="257" t="str">
        <f t="shared" ca="1" si="39"/>
        <v/>
      </c>
      <c r="H159" s="248" t="str">
        <f t="shared" ca="1" si="39"/>
        <v/>
      </c>
      <c r="I159" s="92" t="str">
        <f t="shared" ca="1" si="39"/>
        <v/>
      </c>
      <c r="J159" s="92" t="str">
        <f t="shared" ca="1" si="16"/>
        <v/>
      </c>
      <c r="K159" s="92" t="str">
        <f t="shared" ca="1" si="35"/>
        <v/>
      </c>
      <c r="L159" s="92" t="str">
        <f t="shared" ca="1" si="35"/>
        <v/>
      </c>
      <c r="M159" s="258" t="str">
        <f t="shared" ca="1" si="35"/>
        <v/>
      </c>
      <c r="N159" s="259" t="str">
        <f t="shared" ca="1" si="40"/>
        <v/>
      </c>
      <c r="O159" s="92" t="str">
        <f t="shared" ca="1" si="40"/>
        <v/>
      </c>
      <c r="P159" s="92"/>
      <c r="Q159" s="92" t="str">
        <f t="shared" ca="1" si="33"/>
        <v/>
      </c>
      <c r="R159" s="257" t="str">
        <f t="shared" ca="1" si="33"/>
        <v/>
      </c>
      <c r="S159" s="248" t="str">
        <f t="shared" ca="1" si="36"/>
        <v/>
      </c>
      <c r="T159" s="92" t="str">
        <f t="shared" ca="1" si="36"/>
        <v/>
      </c>
      <c r="U159" s="92" t="str">
        <f t="shared" ca="1" si="41"/>
        <v/>
      </c>
      <c r="V159" s="92" t="str">
        <f t="shared" ca="1" si="41"/>
        <v/>
      </c>
      <c r="W159" s="92" t="str">
        <f t="shared" ca="1" si="41"/>
        <v/>
      </c>
      <c r="X159" s="257" t="str">
        <f t="shared" ca="1" si="41"/>
        <v/>
      </c>
      <c r="Y159" s="248" t="str">
        <f t="shared" ca="1" si="37"/>
        <v/>
      </c>
      <c r="Z159" s="92" t="str">
        <f t="shared" ca="1" si="37"/>
        <v/>
      </c>
      <c r="AA159" s="92" t="str">
        <f t="shared" ca="1" si="19"/>
        <v/>
      </c>
      <c r="AB159" s="345" t="str">
        <f t="shared" ca="1" si="42"/>
        <v/>
      </c>
      <c r="AC159" s="257" t="str">
        <f t="shared" ca="1" si="42"/>
        <v/>
      </c>
      <c r="AD159" s="248" t="str">
        <f t="shared" ca="1" si="34"/>
        <v/>
      </c>
      <c r="AE159" s="257" t="str">
        <f t="shared" ca="1" si="34"/>
        <v/>
      </c>
      <c r="AF159" s="248" t="str">
        <f t="shared" ca="1" si="34"/>
        <v/>
      </c>
      <c r="AG159" s="257" t="str">
        <f t="shared" ca="1" si="34"/>
        <v/>
      </c>
      <c r="AH159" s="92"/>
      <c r="AI159" s="92" t="str">
        <f t="shared" ca="1" si="20"/>
        <v/>
      </c>
      <c r="AK159" s="92">
        <f t="shared" ca="1" si="21"/>
        <v>0</v>
      </c>
      <c r="AL159" s="12">
        <f t="shared" ca="1" si="22"/>
        <v>0</v>
      </c>
      <c r="AM159" s="12">
        <f t="shared" ca="1" si="23"/>
        <v>0</v>
      </c>
      <c r="AN159" s="12">
        <f t="shared" ca="1" si="24"/>
        <v>0</v>
      </c>
      <c r="AO159" s="12">
        <f t="shared" ca="1" si="25"/>
        <v>0</v>
      </c>
      <c r="AP159" s="12" t="str">
        <f t="shared" ca="1" si="26"/>
        <v/>
      </c>
      <c r="AQ159" s="12" t="str">
        <f t="shared" ca="1" si="27"/>
        <v/>
      </c>
      <c r="AR159" s="12" t="str">
        <f t="shared" ca="1" si="28"/>
        <v/>
      </c>
      <c r="AS159" s="12" t="str">
        <f t="shared" ca="1" si="29"/>
        <v/>
      </c>
    </row>
    <row r="160" spans="1:45" ht="14.3">
      <c r="A160">
        <f>A159+5</f>
        <v>243</v>
      </c>
      <c r="B160" t="str">
        <f t="shared" ca="1" si="11"/>
        <v xml:space="preserve"> </v>
      </c>
      <c r="C160" t="b">
        <f t="shared" ca="1" si="12"/>
        <v>0</v>
      </c>
      <c r="D160" s="248" t="str">
        <f t="shared" ca="1" si="38"/>
        <v/>
      </c>
      <c r="E160" s="92" t="str">
        <f t="shared" ca="1" si="13"/>
        <v/>
      </c>
      <c r="F160" s="92" t="str">
        <f t="shared" ca="1" si="14"/>
        <v/>
      </c>
      <c r="G160" s="257" t="str">
        <f t="shared" ca="1" si="39"/>
        <v/>
      </c>
      <c r="H160" s="248" t="str">
        <f t="shared" ca="1" si="39"/>
        <v/>
      </c>
      <c r="I160" s="92" t="str">
        <f t="shared" ca="1" si="39"/>
        <v/>
      </c>
      <c r="J160" s="92" t="str">
        <f t="shared" ca="1" si="16"/>
        <v/>
      </c>
      <c r="K160" s="92" t="str">
        <f t="shared" ca="1" si="35"/>
        <v/>
      </c>
      <c r="L160" s="92" t="str">
        <f t="shared" ca="1" si="35"/>
        <v/>
      </c>
      <c r="M160" s="258" t="str">
        <f t="shared" ca="1" si="35"/>
        <v/>
      </c>
      <c r="N160" s="259" t="str">
        <f t="shared" ca="1" si="40"/>
        <v/>
      </c>
      <c r="O160" s="92" t="str">
        <f t="shared" ca="1" si="40"/>
        <v/>
      </c>
      <c r="P160" s="92"/>
      <c r="Q160" s="92" t="str">
        <f t="shared" ca="1" si="33"/>
        <v/>
      </c>
      <c r="R160" s="257" t="str">
        <f t="shared" ca="1" si="33"/>
        <v/>
      </c>
      <c r="S160" s="248" t="str">
        <f t="shared" ca="1" si="36"/>
        <v/>
      </c>
      <c r="T160" s="92" t="str">
        <f t="shared" ca="1" si="36"/>
        <v/>
      </c>
      <c r="U160" s="92" t="str">
        <f t="shared" ca="1" si="41"/>
        <v/>
      </c>
      <c r="V160" s="92" t="str">
        <f t="shared" ca="1" si="41"/>
        <v/>
      </c>
      <c r="W160" s="92" t="str">
        <f t="shared" ca="1" si="41"/>
        <v/>
      </c>
      <c r="X160" s="257" t="str">
        <f t="shared" ca="1" si="41"/>
        <v/>
      </c>
      <c r="Y160" s="248" t="str">
        <f t="shared" ca="1" si="37"/>
        <v/>
      </c>
      <c r="Z160" s="92" t="str">
        <f t="shared" ca="1" si="37"/>
        <v/>
      </c>
      <c r="AA160" s="92" t="str">
        <f t="shared" ca="1" si="19"/>
        <v/>
      </c>
      <c r="AB160" s="345" t="str">
        <f t="shared" ca="1" si="42"/>
        <v/>
      </c>
      <c r="AC160" s="257" t="str">
        <f t="shared" ca="1" si="42"/>
        <v/>
      </c>
      <c r="AD160" s="248" t="str">
        <f t="shared" ca="1" si="34"/>
        <v/>
      </c>
      <c r="AE160" s="257" t="str">
        <f t="shared" ca="1" si="34"/>
        <v/>
      </c>
      <c r="AF160" s="248" t="str">
        <f t="shared" ca="1" si="34"/>
        <v/>
      </c>
      <c r="AG160" s="257" t="str">
        <f t="shared" ca="1" si="34"/>
        <v/>
      </c>
      <c r="AH160" s="92"/>
      <c r="AI160" s="92" t="str">
        <f t="shared" ca="1" si="20"/>
        <v/>
      </c>
      <c r="AK160" s="92">
        <f t="shared" ca="1" si="21"/>
        <v>0</v>
      </c>
      <c r="AL160" s="12">
        <f t="shared" ca="1" si="22"/>
        <v>0</v>
      </c>
      <c r="AM160" s="12">
        <f t="shared" ca="1" si="23"/>
        <v>0</v>
      </c>
      <c r="AN160" s="12">
        <f t="shared" ca="1" si="24"/>
        <v>0</v>
      </c>
      <c r="AO160" s="12">
        <f t="shared" ca="1" si="25"/>
        <v>0</v>
      </c>
      <c r="AP160" s="12" t="str">
        <f t="shared" ca="1" si="26"/>
        <v/>
      </c>
      <c r="AQ160" s="12" t="str">
        <f t="shared" ca="1" si="27"/>
        <v/>
      </c>
      <c r="AR160" s="12" t="str">
        <f t="shared" ca="1" si="28"/>
        <v/>
      </c>
      <c r="AS160" s="12" t="str">
        <f t="shared" ca="1" si="29"/>
        <v/>
      </c>
    </row>
    <row r="161" spans="1:45" ht="14.3">
      <c r="A161" s="610">
        <f>A160+8</f>
        <v>251</v>
      </c>
      <c r="B161" t="str">
        <f t="shared" ca="1" si="11"/>
        <v xml:space="preserve"> </v>
      </c>
      <c r="C161" t="b">
        <f t="shared" ca="1" si="12"/>
        <v>0</v>
      </c>
      <c r="D161" s="248" t="str">
        <f t="shared" ca="1" si="38"/>
        <v/>
      </c>
      <c r="E161" s="92" t="str">
        <f t="shared" ca="1" si="13"/>
        <v/>
      </c>
      <c r="F161" s="92" t="str">
        <f t="shared" ca="1" si="14"/>
        <v/>
      </c>
      <c r="G161" s="257" t="str">
        <f t="shared" ca="1" si="39"/>
        <v/>
      </c>
      <c r="H161" s="248" t="str">
        <f t="shared" ca="1" si="39"/>
        <v/>
      </c>
      <c r="I161" s="92" t="str">
        <f t="shared" ca="1" si="39"/>
        <v/>
      </c>
      <c r="J161" s="92" t="str">
        <f t="shared" ca="1" si="16"/>
        <v/>
      </c>
      <c r="K161" s="92" t="str">
        <f t="shared" ca="1" si="35"/>
        <v/>
      </c>
      <c r="L161" s="92" t="str">
        <f t="shared" ca="1" si="35"/>
        <v/>
      </c>
      <c r="M161" s="258" t="str">
        <f t="shared" ca="1" si="35"/>
        <v/>
      </c>
      <c r="N161" s="259" t="str">
        <f t="shared" ca="1" si="40"/>
        <v/>
      </c>
      <c r="O161" s="92" t="str">
        <f t="shared" ca="1" si="40"/>
        <v/>
      </c>
      <c r="P161" s="92"/>
      <c r="Q161" s="92" t="str">
        <f t="shared" ca="1" si="33"/>
        <v/>
      </c>
      <c r="R161" s="257" t="str">
        <f t="shared" ca="1" si="33"/>
        <v/>
      </c>
      <c r="S161" s="248" t="str">
        <f t="shared" ca="1" si="36"/>
        <v/>
      </c>
      <c r="T161" s="92" t="str">
        <f t="shared" ca="1" si="36"/>
        <v/>
      </c>
      <c r="U161" s="92" t="str">
        <f t="shared" ca="1" si="41"/>
        <v/>
      </c>
      <c r="V161" s="92" t="str">
        <f t="shared" ca="1" si="41"/>
        <v/>
      </c>
      <c r="W161" s="92" t="str">
        <f t="shared" ca="1" si="41"/>
        <v/>
      </c>
      <c r="X161" s="257" t="str">
        <f t="shared" ca="1" si="41"/>
        <v/>
      </c>
      <c r="Y161" s="248" t="str">
        <f t="shared" ca="1" si="37"/>
        <v/>
      </c>
      <c r="Z161" s="92" t="str">
        <f t="shared" ca="1" si="37"/>
        <v/>
      </c>
      <c r="AA161" s="92" t="str">
        <f t="shared" ca="1" si="19"/>
        <v/>
      </c>
      <c r="AB161" s="345" t="str">
        <f t="shared" ca="1" si="42"/>
        <v/>
      </c>
      <c r="AC161" s="257" t="str">
        <f t="shared" ca="1" si="42"/>
        <v/>
      </c>
      <c r="AD161" s="248" t="str">
        <f t="shared" ca="1" si="34"/>
        <v/>
      </c>
      <c r="AE161" s="257" t="str">
        <f t="shared" ca="1" si="34"/>
        <v/>
      </c>
      <c r="AF161" s="248" t="str">
        <f t="shared" ca="1" si="34"/>
        <v/>
      </c>
      <c r="AG161" s="257" t="str">
        <f t="shared" ca="1" si="34"/>
        <v/>
      </c>
      <c r="AH161" s="92"/>
      <c r="AI161" s="92" t="str">
        <f t="shared" ca="1" si="20"/>
        <v/>
      </c>
      <c r="AK161" s="92">
        <f t="shared" ca="1" si="21"/>
        <v>0</v>
      </c>
      <c r="AL161" s="12">
        <f t="shared" ca="1" si="22"/>
        <v>0</v>
      </c>
      <c r="AM161" s="12">
        <f t="shared" ca="1" si="23"/>
        <v>0</v>
      </c>
      <c r="AN161" s="12">
        <f t="shared" ca="1" si="24"/>
        <v>0</v>
      </c>
      <c r="AO161" s="12">
        <f t="shared" ca="1" si="25"/>
        <v>0</v>
      </c>
      <c r="AP161" s="12" t="str">
        <f t="shared" ca="1" si="26"/>
        <v/>
      </c>
      <c r="AQ161" s="12" t="str">
        <f t="shared" ca="1" si="27"/>
        <v/>
      </c>
      <c r="AR161" s="12" t="str">
        <f t="shared" ca="1" si="28"/>
        <v/>
      </c>
      <c r="AS161" s="12" t="str">
        <f t="shared" ca="1" si="29"/>
        <v/>
      </c>
    </row>
    <row r="162" spans="1:45" ht="14.3">
      <c r="A162">
        <f>A161+5</f>
        <v>256</v>
      </c>
      <c r="B162" t="str">
        <f t="shared" ca="1" si="11"/>
        <v xml:space="preserve"> </v>
      </c>
      <c r="C162" t="b">
        <f t="shared" ca="1" si="12"/>
        <v>0</v>
      </c>
      <c r="D162" s="248" t="str">
        <f t="shared" ca="1" si="38"/>
        <v/>
      </c>
      <c r="E162" s="92" t="str">
        <f t="shared" ca="1" si="13"/>
        <v/>
      </c>
      <c r="F162" s="92" t="str">
        <f t="shared" ca="1" si="14"/>
        <v/>
      </c>
      <c r="G162" s="257" t="str">
        <f t="shared" ca="1" si="39"/>
        <v/>
      </c>
      <c r="H162" s="248" t="str">
        <f t="shared" ca="1" si="39"/>
        <v/>
      </c>
      <c r="I162" s="92" t="str">
        <f t="shared" ca="1" si="39"/>
        <v/>
      </c>
      <c r="J162" s="92" t="str">
        <f t="shared" ca="1" si="16"/>
        <v/>
      </c>
      <c r="K162" s="92" t="str">
        <f t="shared" ref="K162:M181" ca="1" si="43">IF($C162=FALSE,"",INDIRECT("Installations!" &amp; K$120 &amp; $A162))</f>
        <v/>
      </c>
      <c r="L162" s="92" t="str">
        <f t="shared" ca="1" si="43"/>
        <v/>
      </c>
      <c r="M162" s="258" t="str">
        <f t="shared" ca="1" si="43"/>
        <v/>
      </c>
      <c r="N162" s="259" t="str">
        <f t="shared" ca="1" si="40"/>
        <v/>
      </c>
      <c r="O162" s="92" t="str">
        <f t="shared" ca="1" si="40"/>
        <v/>
      </c>
      <c r="P162" s="92"/>
      <c r="Q162" s="92" t="str">
        <f t="shared" ca="1" si="33"/>
        <v/>
      </c>
      <c r="R162" s="257" t="str">
        <f t="shared" ca="1" si="33"/>
        <v/>
      </c>
      <c r="S162" s="248" t="str">
        <f t="shared" ref="S162:T181" ca="1" si="44">IF($C162=FALSE,"",INDIRECT("Installations!" &amp; S$120 &amp; $A162+2))</f>
        <v/>
      </c>
      <c r="T162" s="92" t="str">
        <f t="shared" ca="1" si="44"/>
        <v/>
      </c>
      <c r="U162" s="92" t="str">
        <f t="shared" ca="1" si="41"/>
        <v/>
      </c>
      <c r="V162" s="92" t="str">
        <f t="shared" ca="1" si="41"/>
        <v/>
      </c>
      <c r="W162" s="92" t="str">
        <f t="shared" ca="1" si="41"/>
        <v/>
      </c>
      <c r="X162" s="257" t="str">
        <f t="shared" ca="1" si="41"/>
        <v/>
      </c>
      <c r="Y162" s="248" t="str">
        <f t="shared" ref="Y162:Z181" ca="1" si="45">IF($C162=FALSE,"",INDIRECT("Installations!" &amp; Y$120 &amp; $A162+2))</f>
        <v/>
      </c>
      <c r="Z162" s="92" t="str">
        <f t="shared" ca="1" si="45"/>
        <v/>
      </c>
      <c r="AA162" s="92" t="str">
        <f t="shared" ca="1" si="19"/>
        <v/>
      </c>
      <c r="AB162" s="345" t="str">
        <f t="shared" ca="1" si="42"/>
        <v/>
      </c>
      <c r="AC162" s="257" t="str">
        <f t="shared" ca="1" si="42"/>
        <v/>
      </c>
      <c r="AD162" s="248" t="str">
        <f t="shared" ca="1" si="34"/>
        <v/>
      </c>
      <c r="AE162" s="257" t="str">
        <f t="shared" ca="1" si="34"/>
        <v/>
      </c>
      <c r="AF162" s="248" t="str">
        <f t="shared" ca="1" si="34"/>
        <v/>
      </c>
      <c r="AG162" s="257" t="str">
        <f t="shared" ca="1" si="34"/>
        <v/>
      </c>
      <c r="AH162" s="92"/>
      <c r="AI162" s="92" t="str">
        <f t="shared" ca="1" si="20"/>
        <v/>
      </c>
      <c r="AK162" s="92">
        <f t="shared" ca="1" si="21"/>
        <v>0</v>
      </c>
      <c r="AL162" s="12">
        <f t="shared" ca="1" si="22"/>
        <v>0</v>
      </c>
      <c r="AM162" s="12">
        <f t="shared" ca="1" si="23"/>
        <v>0</v>
      </c>
      <c r="AN162" s="12">
        <f t="shared" ca="1" si="24"/>
        <v>0</v>
      </c>
      <c r="AO162" s="12">
        <f t="shared" ca="1" si="25"/>
        <v>0</v>
      </c>
      <c r="AP162" s="12" t="str">
        <f t="shared" ca="1" si="26"/>
        <v/>
      </c>
      <c r="AQ162" s="12" t="str">
        <f t="shared" ca="1" si="27"/>
        <v/>
      </c>
      <c r="AR162" s="12" t="str">
        <f t="shared" ca="1" si="28"/>
        <v/>
      </c>
      <c r="AS162" s="12" t="str">
        <f t="shared" ca="1" si="29"/>
        <v/>
      </c>
    </row>
    <row r="163" spans="1:45" ht="14.3">
      <c r="A163">
        <f t="shared" si="32"/>
        <v>261</v>
      </c>
      <c r="B163" t="str">
        <f t="shared" ca="1" si="11"/>
        <v xml:space="preserve"> </v>
      </c>
      <c r="C163" t="b">
        <f t="shared" ca="1" si="12"/>
        <v>0</v>
      </c>
      <c r="D163" s="248" t="str">
        <f t="shared" ca="1" si="38"/>
        <v/>
      </c>
      <c r="E163" s="92" t="str">
        <f t="shared" ca="1" si="13"/>
        <v/>
      </c>
      <c r="F163" s="92" t="str">
        <f t="shared" ca="1" si="14"/>
        <v/>
      </c>
      <c r="G163" s="257" t="str">
        <f t="shared" ca="1" si="39"/>
        <v/>
      </c>
      <c r="H163" s="248" t="str">
        <f t="shared" ca="1" si="39"/>
        <v/>
      </c>
      <c r="I163" s="92" t="str">
        <f t="shared" ca="1" si="39"/>
        <v/>
      </c>
      <c r="J163" s="92" t="str">
        <f t="shared" ca="1" si="16"/>
        <v/>
      </c>
      <c r="K163" s="92" t="str">
        <f t="shared" ca="1" si="43"/>
        <v/>
      </c>
      <c r="L163" s="92" t="str">
        <f t="shared" ca="1" si="43"/>
        <v/>
      </c>
      <c r="M163" s="258" t="str">
        <f t="shared" ca="1" si="43"/>
        <v/>
      </c>
      <c r="N163" s="259" t="str">
        <f t="shared" ca="1" si="40"/>
        <v/>
      </c>
      <c r="O163" s="92" t="str">
        <f t="shared" ca="1" si="40"/>
        <v/>
      </c>
      <c r="P163" s="92"/>
      <c r="Q163" s="92" t="str">
        <f t="shared" ca="1" si="33"/>
        <v/>
      </c>
      <c r="R163" s="257" t="str">
        <f t="shared" ca="1" si="33"/>
        <v/>
      </c>
      <c r="S163" s="248" t="str">
        <f t="shared" ca="1" si="44"/>
        <v/>
      </c>
      <c r="T163" s="92" t="str">
        <f t="shared" ca="1" si="44"/>
        <v/>
      </c>
      <c r="U163" s="92" t="str">
        <f t="shared" ca="1" si="41"/>
        <v/>
      </c>
      <c r="V163" s="92" t="str">
        <f t="shared" ca="1" si="41"/>
        <v/>
      </c>
      <c r="W163" s="92" t="str">
        <f t="shared" ca="1" si="41"/>
        <v/>
      </c>
      <c r="X163" s="257" t="str">
        <f t="shared" ca="1" si="41"/>
        <v/>
      </c>
      <c r="Y163" s="248" t="str">
        <f t="shared" ca="1" si="45"/>
        <v/>
      </c>
      <c r="Z163" s="92" t="str">
        <f t="shared" ca="1" si="45"/>
        <v/>
      </c>
      <c r="AA163" s="92" t="str">
        <f t="shared" ca="1" si="19"/>
        <v/>
      </c>
      <c r="AB163" s="345" t="str">
        <f t="shared" ca="1" si="42"/>
        <v/>
      </c>
      <c r="AC163" s="257" t="str">
        <f t="shared" ca="1" si="42"/>
        <v/>
      </c>
      <c r="AD163" s="248" t="str">
        <f t="shared" ca="1" si="34"/>
        <v/>
      </c>
      <c r="AE163" s="257" t="str">
        <f t="shared" ca="1" si="34"/>
        <v/>
      </c>
      <c r="AF163" s="248" t="str">
        <f t="shared" ca="1" si="34"/>
        <v/>
      </c>
      <c r="AG163" s="257" t="str">
        <f t="shared" ca="1" si="34"/>
        <v/>
      </c>
      <c r="AH163" s="92"/>
      <c r="AI163" s="92" t="str">
        <f t="shared" ca="1" si="20"/>
        <v/>
      </c>
      <c r="AK163" s="92">
        <f t="shared" ca="1" si="21"/>
        <v>0</v>
      </c>
      <c r="AL163" s="12">
        <f t="shared" ca="1" si="22"/>
        <v>0</v>
      </c>
      <c r="AM163" s="12">
        <f t="shared" ca="1" si="23"/>
        <v>0</v>
      </c>
      <c r="AN163" s="12">
        <f t="shared" ca="1" si="24"/>
        <v>0</v>
      </c>
      <c r="AO163" s="12">
        <f t="shared" ca="1" si="25"/>
        <v>0</v>
      </c>
      <c r="AP163" s="12" t="str">
        <f t="shared" ca="1" si="26"/>
        <v/>
      </c>
      <c r="AQ163" s="12" t="str">
        <f t="shared" ca="1" si="27"/>
        <v/>
      </c>
      <c r="AR163" s="12" t="str">
        <f t="shared" ca="1" si="28"/>
        <v/>
      </c>
      <c r="AS163" s="12" t="str">
        <f t="shared" ca="1" si="29"/>
        <v/>
      </c>
    </row>
    <row r="164" spans="1:45" ht="14.3">
      <c r="A164">
        <f t="shared" si="32"/>
        <v>266</v>
      </c>
      <c r="B164" t="str">
        <f t="shared" ca="1" si="11"/>
        <v xml:space="preserve"> </v>
      </c>
      <c r="C164" t="b">
        <f t="shared" ca="1" si="12"/>
        <v>0</v>
      </c>
      <c r="D164" s="248" t="str">
        <f t="shared" ca="1" si="38"/>
        <v/>
      </c>
      <c r="E164" s="92" t="str">
        <f t="shared" ca="1" si="13"/>
        <v/>
      </c>
      <c r="F164" s="92" t="str">
        <f t="shared" ca="1" si="14"/>
        <v/>
      </c>
      <c r="G164" s="257" t="str">
        <f t="shared" ca="1" si="39"/>
        <v/>
      </c>
      <c r="H164" s="248" t="str">
        <f t="shared" ca="1" si="39"/>
        <v/>
      </c>
      <c r="I164" s="92" t="str">
        <f t="shared" ca="1" si="39"/>
        <v/>
      </c>
      <c r="J164" s="92" t="str">
        <f t="shared" ca="1" si="16"/>
        <v/>
      </c>
      <c r="K164" s="92" t="str">
        <f t="shared" ca="1" si="43"/>
        <v/>
      </c>
      <c r="L164" s="92" t="str">
        <f t="shared" ca="1" si="43"/>
        <v/>
      </c>
      <c r="M164" s="258" t="str">
        <f t="shared" ca="1" si="43"/>
        <v/>
      </c>
      <c r="N164" s="259" t="str">
        <f t="shared" ca="1" si="40"/>
        <v/>
      </c>
      <c r="O164" s="92" t="str">
        <f t="shared" ca="1" si="40"/>
        <v/>
      </c>
      <c r="P164" s="92"/>
      <c r="Q164" s="92" t="str">
        <f t="shared" ca="1" si="33"/>
        <v/>
      </c>
      <c r="R164" s="257" t="str">
        <f t="shared" ca="1" si="33"/>
        <v/>
      </c>
      <c r="S164" s="248" t="str">
        <f t="shared" ca="1" si="44"/>
        <v/>
      </c>
      <c r="T164" s="92" t="str">
        <f t="shared" ca="1" si="44"/>
        <v/>
      </c>
      <c r="U164" s="92" t="str">
        <f t="shared" ca="1" si="41"/>
        <v/>
      </c>
      <c r="V164" s="92" t="str">
        <f t="shared" ca="1" si="41"/>
        <v/>
      </c>
      <c r="W164" s="92" t="str">
        <f t="shared" ca="1" si="41"/>
        <v/>
      </c>
      <c r="X164" s="257" t="str">
        <f t="shared" ca="1" si="41"/>
        <v/>
      </c>
      <c r="Y164" s="248" t="str">
        <f t="shared" ca="1" si="45"/>
        <v/>
      </c>
      <c r="Z164" s="92" t="str">
        <f t="shared" ca="1" si="45"/>
        <v/>
      </c>
      <c r="AA164" s="92" t="str">
        <f t="shared" ca="1" si="19"/>
        <v/>
      </c>
      <c r="AB164" s="345" t="str">
        <f t="shared" ca="1" si="42"/>
        <v/>
      </c>
      <c r="AC164" s="257" t="str">
        <f t="shared" ca="1" si="42"/>
        <v/>
      </c>
      <c r="AD164" s="248" t="str">
        <f t="shared" ca="1" si="34"/>
        <v/>
      </c>
      <c r="AE164" s="257" t="str">
        <f t="shared" ca="1" si="34"/>
        <v/>
      </c>
      <c r="AF164" s="248" t="str">
        <f t="shared" ca="1" si="34"/>
        <v/>
      </c>
      <c r="AG164" s="257" t="str">
        <f t="shared" ca="1" si="34"/>
        <v/>
      </c>
      <c r="AH164" s="92"/>
      <c r="AI164" s="92" t="str">
        <f t="shared" ca="1" si="20"/>
        <v/>
      </c>
      <c r="AK164" s="92">
        <f t="shared" ca="1" si="21"/>
        <v>0</v>
      </c>
      <c r="AL164" s="12">
        <f t="shared" ca="1" si="22"/>
        <v>0</v>
      </c>
      <c r="AM164" s="12">
        <f t="shared" ca="1" si="23"/>
        <v>0</v>
      </c>
      <c r="AN164" s="12">
        <f t="shared" ca="1" si="24"/>
        <v>0</v>
      </c>
      <c r="AO164" s="12">
        <f t="shared" ca="1" si="25"/>
        <v>0</v>
      </c>
      <c r="AP164" s="12" t="str">
        <f t="shared" ca="1" si="26"/>
        <v/>
      </c>
      <c r="AQ164" s="12" t="str">
        <f t="shared" ca="1" si="27"/>
        <v/>
      </c>
      <c r="AR164" s="12" t="str">
        <f t="shared" ca="1" si="28"/>
        <v/>
      </c>
      <c r="AS164" s="12" t="str">
        <f t="shared" ca="1" si="29"/>
        <v/>
      </c>
    </row>
    <row r="165" spans="1:45" ht="14.3">
      <c r="A165">
        <f t="shared" si="32"/>
        <v>271</v>
      </c>
      <c r="B165" t="str">
        <f t="shared" ca="1" si="11"/>
        <v xml:space="preserve"> </v>
      </c>
      <c r="C165" t="b">
        <f t="shared" ca="1" si="12"/>
        <v>0</v>
      </c>
      <c r="D165" s="248" t="str">
        <f t="shared" ca="1" si="38"/>
        <v/>
      </c>
      <c r="E165" s="92" t="str">
        <f t="shared" ca="1" si="13"/>
        <v/>
      </c>
      <c r="F165" s="92" t="str">
        <f t="shared" ca="1" si="14"/>
        <v/>
      </c>
      <c r="G165" s="257" t="str">
        <f t="shared" ca="1" si="39"/>
        <v/>
      </c>
      <c r="H165" s="248" t="str">
        <f t="shared" ca="1" si="39"/>
        <v/>
      </c>
      <c r="I165" s="92" t="str">
        <f t="shared" ca="1" si="39"/>
        <v/>
      </c>
      <c r="J165" s="92" t="str">
        <f t="shared" ca="1" si="16"/>
        <v/>
      </c>
      <c r="K165" s="92" t="str">
        <f t="shared" ca="1" si="43"/>
        <v/>
      </c>
      <c r="L165" s="92" t="str">
        <f t="shared" ca="1" si="43"/>
        <v/>
      </c>
      <c r="M165" s="258" t="str">
        <f t="shared" ca="1" si="43"/>
        <v/>
      </c>
      <c r="N165" s="259" t="str">
        <f t="shared" ca="1" si="40"/>
        <v/>
      </c>
      <c r="O165" s="92" t="str">
        <f t="shared" ca="1" si="40"/>
        <v/>
      </c>
      <c r="P165" s="92"/>
      <c r="Q165" s="92" t="str">
        <f t="shared" ca="1" si="33"/>
        <v/>
      </c>
      <c r="R165" s="257" t="str">
        <f t="shared" ca="1" si="33"/>
        <v/>
      </c>
      <c r="S165" s="248" t="str">
        <f t="shared" ca="1" si="44"/>
        <v/>
      </c>
      <c r="T165" s="92" t="str">
        <f t="shared" ca="1" si="44"/>
        <v/>
      </c>
      <c r="U165" s="92" t="str">
        <f t="shared" ca="1" si="41"/>
        <v/>
      </c>
      <c r="V165" s="92" t="str">
        <f t="shared" ca="1" si="41"/>
        <v/>
      </c>
      <c r="W165" s="92" t="str">
        <f t="shared" ca="1" si="41"/>
        <v/>
      </c>
      <c r="X165" s="257" t="str">
        <f t="shared" ca="1" si="41"/>
        <v/>
      </c>
      <c r="Y165" s="248" t="str">
        <f t="shared" ca="1" si="45"/>
        <v/>
      </c>
      <c r="Z165" s="92" t="str">
        <f t="shared" ca="1" si="45"/>
        <v/>
      </c>
      <c r="AA165" s="92" t="str">
        <f t="shared" ca="1" si="19"/>
        <v/>
      </c>
      <c r="AB165" s="345" t="str">
        <f t="shared" ca="1" si="42"/>
        <v/>
      </c>
      <c r="AC165" s="257" t="str">
        <f t="shared" ca="1" si="42"/>
        <v/>
      </c>
      <c r="AD165" s="248" t="str">
        <f t="shared" ca="1" si="34"/>
        <v/>
      </c>
      <c r="AE165" s="257" t="str">
        <f t="shared" ca="1" si="34"/>
        <v/>
      </c>
      <c r="AF165" s="248" t="str">
        <f t="shared" ca="1" si="34"/>
        <v/>
      </c>
      <c r="AG165" s="257" t="str">
        <f t="shared" ca="1" si="34"/>
        <v/>
      </c>
      <c r="AH165" s="92"/>
      <c r="AI165" s="92" t="str">
        <f t="shared" ca="1" si="20"/>
        <v/>
      </c>
      <c r="AK165" s="92">
        <f t="shared" ca="1" si="21"/>
        <v>0</v>
      </c>
      <c r="AL165" s="12">
        <f t="shared" ca="1" si="22"/>
        <v>0</v>
      </c>
      <c r="AM165" s="12">
        <f t="shared" ca="1" si="23"/>
        <v>0</v>
      </c>
      <c r="AN165" s="12">
        <f t="shared" ca="1" si="24"/>
        <v>0</v>
      </c>
      <c r="AO165" s="12">
        <f t="shared" ca="1" si="25"/>
        <v>0</v>
      </c>
      <c r="AP165" s="12" t="str">
        <f t="shared" ca="1" si="26"/>
        <v/>
      </c>
      <c r="AQ165" s="12" t="str">
        <f t="shared" ca="1" si="27"/>
        <v/>
      </c>
      <c r="AR165" s="12" t="str">
        <f t="shared" ca="1" si="28"/>
        <v/>
      </c>
      <c r="AS165" s="12" t="str">
        <f t="shared" ca="1" si="29"/>
        <v/>
      </c>
    </row>
    <row r="166" spans="1:45" ht="14.3">
      <c r="A166">
        <f t="shared" si="32"/>
        <v>276</v>
      </c>
      <c r="B166" t="str">
        <f t="shared" ca="1" si="11"/>
        <v xml:space="preserve"> </v>
      </c>
      <c r="C166" t="b">
        <f t="shared" ca="1" si="12"/>
        <v>0</v>
      </c>
      <c r="D166" s="248" t="str">
        <f t="shared" ca="1" si="38"/>
        <v/>
      </c>
      <c r="E166" s="92" t="str">
        <f t="shared" ca="1" si="13"/>
        <v/>
      </c>
      <c r="F166" s="92" t="str">
        <f t="shared" ca="1" si="14"/>
        <v/>
      </c>
      <c r="G166" s="257" t="str">
        <f t="shared" ca="1" si="39"/>
        <v/>
      </c>
      <c r="H166" s="248" t="str">
        <f t="shared" ca="1" si="39"/>
        <v/>
      </c>
      <c r="I166" s="92" t="str">
        <f t="shared" ca="1" si="39"/>
        <v/>
      </c>
      <c r="J166" s="92" t="str">
        <f t="shared" ca="1" si="16"/>
        <v/>
      </c>
      <c r="K166" s="92" t="str">
        <f t="shared" ca="1" si="43"/>
        <v/>
      </c>
      <c r="L166" s="92" t="str">
        <f t="shared" ca="1" si="43"/>
        <v/>
      </c>
      <c r="M166" s="258" t="str">
        <f t="shared" ca="1" si="43"/>
        <v/>
      </c>
      <c r="N166" s="259" t="str">
        <f t="shared" ca="1" si="40"/>
        <v/>
      </c>
      <c r="O166" s="92" t="str">
        <f t="shared" ca="1" si="40"/>
        <v/>
      </c>
      <c r="P166" s="92"/>
      <c r="Q166" s="92" t="str">
        <f t="shared" ca="1" si="33"/>
        <v/>
      </c>
      <c r="R166" s="257" t="str">
        <f t="shared" ca="1" si="33"/>
        <v/>
      </c>
      <c r="S166" s="248" t="str">
        <f t="shared" ca="1" si="44"/>
        <v/>
      </c>
      <c r="T166" s="92" t="str">
        <f t="shared" ca="1" si="44"/>
        <v/>
      </c>
      <c r="U166" s="92" t="str">
        <f t="shared" ca="1" si="41"/>
        <v/>
      </c>
      <c r="V166" s="92" t="str">
        <f t="shared" ca="1" si="41"/>
        <v/>
      </c>
      <c r="W166" s="92" t="str">
        <f t="shared" ca="1" si="41"/>
        <v/>
      </c>
      <c r="X166" s="257" t="str">
        <f t="shared" ca="1" si="41"/>
        <v/>
      </c>
      <c r="Y166" s="248" t="str">
        <f t="shared" ca="1" si="45"/>
        <v/>
      </c>
      <c r="Z166" s="92" t="str">
        <f t="shared" ca="1" si="45"/>
        <v/>
      </c>
      <c r="AA166" s="92" t="str">
        <f t="shared" ca="1" si="19"/>
        <v/>
      </c>
      <c r="AB166" s="345" t="str">
        <f t="shared" ca="1" si="42"/>
        <v/>
      </c>
      <c r="AC166" s="257" t="str">
        <f t="shared" ca="1" si="42"/>
        <v/>
      </c>
      <c r="AD166" s="248" t="str">
        <f t="shared" ca="1" si="34"/>
        <v/>
      </c>
      <c r="AE166" s="257" t="str">
        <f t="shared" ca="1" si="34"/>
        <v/>
      </c>
      <c r="AF166" s="248" t="str">
        <f t="shared" ca="1" si="34"/>
        <v/>
      </c>
      <c r="AG166" s="257" t="str">
        <f t="shared" ca="1" si="34"/>
        <v/>
      </c>
      <c r="AH166" s="92"/>
      <c r="AI166" s="92" t="str">
        <f t="shared" ca="1" si="20"/>
        <v/>
      </c>
      <c r="AK166" s="92">
        <f t="shared" ca="1" si="21"/>
        <v>0</v>
      </c>
      <c r="AL166" s="12">
        <f t="shared" ca="1" si="22"/>
        <v>0</v>
      </c>
      <c r="AM166" s="12">
        <f t="shared" ca="1" si="23"/>
        <v>0</v>
      </c>
      <c r="AN166" s="12">
        <f t="shared" ca="1" si="24"/>
        <v>0</v>
      </c>
      <c r="AO166" s="12">
        <f t="shared" ca="1" si="25"/>
        <v>0</v>
      </c>
      <c r="AP166" s="12" t="str">
        <f t="shared" ca="1" si="26"/>
        <v/>
      </c>
      <c r="AQ166" s="12" t="str">
        <f t="shared" ca="1" si="27"/>
        <v/>
      </c>
      <c r="AR166" s="12" t="str">
        <f t="shared" ca="1" si="28"/>
        <v/>
      </c>
      <c r="AS166" s="12" t="str">
        <f t="shared" ca="1" si="29"/>
        <v/>
      </c>
    </row>
    <row r="167" spans="1:45" ht="14.3">
      <c r="A167">
        <f t="shared" si="32"/>
        <v>281</v>
      </c>
      <c r="B167" t="str">
        <f t="shared" ca="1" si="11"/>
        <v xml:space="preserve"> </v>
      </c>
      <c r="C167" t="b">
        <f t="shared" ca="1" si="12"/>
        <v>0</v>
      </c>
      <c r="D167" s="248" t="str">
        <f t="shared" ca="1" si="38"/>
        <v/>
      </c>
      <c r="E167" s="92" t="str">
        <f t="shared" ca="1" si="13"/>
        <v/>
      </c>
      <c r="F167" s="92" t="str">
        <f t="shared" ca="1" si="14"/>
        <v/>
      </c>
      <c r="G167" s="257" t="str">
        <f t="shared" ca="1" si="39"/>
        <v/>
      </c>
      <c r="H167" s="248" t="str">
        <f t="shared" ca="1" si="39"/>
        <v/>
      </c>
      <c r="I167" s="92" t="str">
        <f t="shared" ca="1" si="39"/>
        <v/>
      </c>
      <c r="J167" s="92" t="str">
        <f t="shared" ca="1" si="16"/>
        <v/>
      </c>
      <c r="K167" s="92" t="str">
        <f t="shared" ca="1" si="43"/>
        <v/>
      </c>
      <c r="L167" s="92" t="str">
        <f t="shared" ca="1" si="43"/>
        <v/>
      </c>
      <c r="M167" s="258" t="str">
        <f t="shared" ca="1" si="43"/>
        <v/>
      </c>
      <c r="N167" s="259" t="str">
        <f t="shared" ca="1" si="40"/>
        <v/>
      </c>
      <c r="O167" s="92" t="str">
        <f t="shared" ca="1" si="40"/>
        <v/>
      </c>
      <c r="P167" s="92"/>
      <c r="Q167" s="92" t="str">
        <f t="shared" ca="1" si="33"/>
        <v/>
      </c>
      <c r="R167" s="257" t="str">
        <f t="shared" ca="1" si="33"/>
        <v/>
      </c>
      <c r="S167" s="248" t="str">
        <f t="shared" ca="1" si="44"/>
        <v/>
      </c>
      <c r="T167" s="92" t="str">
        <f t="shared" ca="1" si="44"/>
        <v/>
      </c>
      <c r="U167" s="92" t="str">
        <f t="shared" ca="1" si="41"/>
        <v/>
      </c>
      <c r="V167" s="92" t="str">
        <f t="shared" ca="1" si="41"/>
        <v/>
      </c>
      <c r="W167" s="92" t="str">
        <f t="shared" ca="1" si="41"/>
        <v/>
      </c>
      <c r="X167" s="257" t="str">
        <f t="shared" ca="1" si="41"/>
        <v/>
      </c>
      <c r="Y167" s="248" t="str">
        <f t="shared" ca="1" si="45"/>
        <v/>
      </c>
      <c r="Z167" s="92" t="str">
        <f t="shared" ca="1" si="45"/>
        <v/>
      </c>
      <c r="AA167" s="92" t="str">
        <f t="shared" ca="1" si="19"/>
        <v/>
      </c>
      <c r="AB167" s="345" t="str">
        <f t="shared" ca="1" si="42"/>
        <v/>
      </c>
      <c r="AC167" s="257" t="str">
        <f t="shared" ca="1" si="42"/>
        <v/>
      </c>
      <c r="AD167" s="248" t="str">
        <f t="shared" ca="1" si="34"/>
        <v/>
      </c>
      <c r="AE167" s="257" t="str">
        <f t="shared" ca="1" si="34"/>
        <v/>
      </c>
      <c r="AF167" s="248" t="str">
        <f t="shared" ca="1" si="34"/>
        <v/>
      </c>
      <c r="AG167" s="257" t="str">
        <f t="shared" ca="1" si="34"/>
        <v/>
      </c>
      <c r="AH167" s="92"/>
      <c r="AI167" s="92" t="str">
        <f t="shared" ca="1" si="20"/>
        <v/>
      </c>
      <c r="AK167" s="92">
        <f t="shared" ca="1" si="21"/>
        <v>0</v>
      </c>
      <c r="AL167" s="12">
        <f t="shared" ca="1" si="22"/>
        <v>0</v>
      </c>
      <c r="AM167" s="12">
        <f t="shared" ca="1" si="23"/>
        <v>0</v>
      </c>
      <c r="AN167" s="12">
        <f t="shared" ca="1" si="24"/>
        <v>0</v>
      </c>
      <c r="AO167" s="12">
        <f t="shared" ca="1" si="25"/>
        <v>0</v>
      </c>
      <c r="AP167" s="12" t="str">
        <f t="shared" ca="1" si="26"/>
        <v/>
      </c>
      <c r="AQ167" s="12" t="str">
        <f t="shared" ca="1" si="27"/>
        <v/>
      </c>
      <c r="AR167" s="12" t="str">
        <f t="shared" ca="1" si="28"/>
        <v/>
      </c>
      <c r="AS167" s="12" t="str">
        <f t="shared" ca="1" si="29"/>
        <v/>
      </c>
    </row>
    <row r="168" spans="1:45" ht="14.3">
      <c r="A168">
        <f t="shared" si="32"/>
        <v>286</v>
      </c>
      <c r="B168" t="str">
        <f t="shared" ca="1" si="11"/>
        <v xml:space="preserve"> </v>
      </c>
      <c r="C168" t="b">
        <f t="shared" ca="1" si="12"/>
        <v>0</v>
      </c>
      <c r="D168" s="248" t="str">
        <f t="shared" ca="1" si="38"/>
        <v/>
      </c>
      <c r="E168" s="92" t="str">
        <f t="shared" ca="1" si="13"/>
        <v/>
      </c>
      <c r="F168" s="92" t="str">
        <f t="shared" ca="1" si="14"/>
        <v/>
      </c>
      <c r="G168" s="257" t="str">
        <f t="shared" ca="1" si="39"/>
        <v/>
      </c>
      <c r="H168" s="248" t="str">
        <f t="shared" ca="1" si="39"/>
        <v/>
      </c>
      <c r="I168" s="92" t="str">
        <f t="shared" ca="1" si="39"/>
        <v/>
      </c>
      <c r="J168" s="92" t="str">
        <f t="shared" ca="1" si="16"/>
        <v/>
      </c>
      <c r="K168" s="92" t="str">
        <f t="shared" ca="1" si="43"/>
        <v/>
      </c>
      <c r="L168" s="92" t="str">
        <f t="shared" ca="1" si="43"/>
        <v/>
      </c>
      <c r="M168" s="258" t="str">
        <f t="shared" ca="1" si="43"/>
        <v/>
      </c>
      <c r="N168" s="259" t="str">
        <f t="shared" ca="1" si="40"/>
        <v/>
      </c>
      <c r="O168" s="92" t="str">
        <f t="shared" ca="1" si="40"/>
        <v/>
      </c>
      <c r="P168" s="92"/>
      <c r="Q168" s="92" t="str">
        <f t="shared" ca="1" si="33"/>
        <v/>
      </c>
      <c r="R168" s="257" t="str">
        <f t="shared" ca="1" si="33"/>
        <v/>
      </c>
      <c r="S168" s="248" t="str">
        <f t="shared" ca="1" si="44"/>
        <v/>
      </c>
      <c r="T168" s="92" t="str">
        <f t="shared" ca="1" si="44"/>
        <v/>
      </c>
      <c r="U168" s="92" t="str">
        <f t="shared" ca="1" si="41"/>
        <v/>
      </c>
      <c r="V168" s="92" t="str">
        <f t="shared" ca="1" si="41"/>
        <v/>
      </c>
      <c r="W168" s="92" t="str">
        <f t="shared" ca="1" si="41"/>
        <v/>
      </c>
      <c r="X168" s="257" t="str">
        <f t="shared" ca="1" si="41"/>
        <v/>
      </c>
      <c r="Y168" s="248" t="str">
        <f t="shared" ca="1" si="45"/>
        <v/>
      </c>
      <c r="Z168" s="92" t="str">
        <f t="shared" ca="1" si="45"/>
        <v/>
      </c>
      <c r="AA168" s="92" t="str">
        <f t="shared" ca="1" si="19"/>
        <v/>
      </c>
      <c r="AB168" s="345" t="str">
        <f t="shared" ca="1" si="42"/>
        <v/>
      </c>
      <c r="AC168" s="257" t="str">
        <f t="shared" ca="1" si="42"/>
        <v/>
      </c>
      <c r="AD168" s="248" t="str">
        <f t="shared" ca="1" si="34"/>
        <v/>
      </c>
      <c r="AE168" s="257" t="str">
        <f t="shared" ca="1" si="34"/>
        <v/>
      </c>
      <c r="AF168" s="248" t="str">
        <f t="shared" ca="1" si="34"/>
        <v/>
      </c>
      <c r="AG168" s="257" t="str">
        <f t="shared" ca="1" si="34"/>
        <v/>
      </c>
      <c r="AH168" s="92"/>
      <c r="AI168" s="92" t="str">
        <f t="shared" ca="1" si="20"/>
        <v/>
      </c>
      <c r="AK168" s="92">
        <f t="shared" ca="1" si="21"/>
        <v>0</v>
      </c>
      <c r="AL168" s="12">
        <f t="shared" ca="1" si="22"/>
        <v>0</v>
      </c>
      <c r="AM168" s="12">
        <f t="shared" ca="1" si="23"/>
        <v>0</v>
      </c>
      <c r="AN168" s="12">
        <f t="shared" ca="1" si="24"/>
        <v>0</v>
      </c>
      <c r="AO168" s="12">
        <f t="shared" ca="1" si="25"/>
        <v>0</v>
      </c>
      <c r="AP168" s="12" t="str">
        <f t="shared" ca="1" si="26"/>
        <v/>
      </c>
      <c r="AQ168" s="12" t="str">
        <f t="shared" ca="1" si="27"/>
        <v/>
      </c>
      <c r="AR168" s="12" t="str">
        <f t="shared" ca="1" si="28"/>
        <v/>
      </c>
      <c r="AS168" s="12" t="str">
        <f t="shared" ca="1" si="29"/>
        <v/>
      </c>
    </row>
    <row r="169" spans="1:45" ht="14.3">
      <c r="A169">
        <f t="shared" si="32"/>
        <v>291</v>
      </c>
      <c r="B169" t="str">
        <f t="shared" ca="1" si="11"/>
        <v xml:space="preserve"> </v>
      </c>
      <c r="C169" t="b">
        <f t="shared" ca="1" si="12"/>
        <v>0</v>
      </c>
      <c r="D169" s="248" t="str">
        <f t="shared" ca="1" si="38"/>
        <v/>
      </c>
      <c r="E169" s="92" t="str">
        <f t="shared" ca="1" si="13"/>
        <v/>
      </c>
      <c r="F169" s="92" t="str">
        <f t="shared" ca="1" si="14"/>
        <v/>
      </c>
      <c r="G169" s="257" t="str">
        <f t="shared" ca="1" si="39"/>
        <v/>
      </c>
      <c r="H169" s="248" t="str">
        <f t="shared" ca="1" si="39"/>
        <v/>
      </c>
      <c r="I169" s="92" t="str">
        <f t="shared" ca="1" si="39"/>
        <v/>
      </c>
      <c r="J169" s="92" t="str">
        <f t="shared" ca="1" si="16"/>
        <v/>
      </c>
      <c r="K169" s="92" t="str">
        <f t="shared" ca="1" si="43"/>
        <v/>
      </c>
      <c r="L169" s="92" t="str">
        <f t="shared" ca="1" si="43"/>
        <v/>
      </c>
      <c r="M169" s="258" t="str">
        <f t="shared" ca="1" si="43"/>
        <v/>
      </c>
      <c r="N169" s="259" t="str">
        <f t="shared" ca="1" si="40"/>
        <v/>
      </c>
      <c r="O169" s="92" t="str">
        <f t="shared" ca="1" si="40"/>
        <v/>
      </c>
      <c r="P169" s="92"/>
      <c r="Q169" s="92" t="str">
        <f t="shared" ca="1" si="33"/>
        <v/>
      </c>
      <c r="R169" s="257" t="str">
        <f t="shared" ca="1" si="33"/>
        <v/>
      </c>
      <c r="S169" s="248" t="str">
        <f t="shared" ca="1" si="44"/>
        <v/>
      </c>
      <c r="T169" s="92" t="str">
        <f t="shared" ca="1" si="44"/>
        <v/>
      </c>
      <c r="U169" s="92" t="str">
        <f t="shared" ca="1" si="41"/>
        <v/>
      </c>
      <c r="V169" s="92" t="str">
        <f t="shared" ca="1" si="41"/>
        <v/>
      </c>
      <c r="W169" s="92" t="str">
        <f t="shared" ca="1" si="41"/>
        <v/>
      </c>
      <c r="X169" s="257" t="str">
        <f t="shared" ca="1" si="41"/>
        <v/>
      </c>
      <c r="Y169" s="248" t="str">
        <f t="shared" ca="1" si="45"/>
        <v/>
      </c>
      <c r="Z169" s="92" t="str">
        <f t="shared" ca="1" si="45"/>
        <v/>
      </c>
      <c r="AA169" s="92" t="str">
        <f t="shared" ca="1" si="19"/>
        <v/>
      </c>
      <c r="AB169" s="345" t="str">
        <f t="shared" ca="1" si="42"/>
        <v/>
      </c>
      <c r="AC169" s="257" t="str">
        <f t="shared" ca="1" si="42"/>
        <v/>
      </c>
      <c r="AD169" s="248" t="str">
        <f t="shared" ca="1" si="34"/>
        <v/>
      </c>
      <c r="AE169" s="257" t="str">
        <f t="shared" ca="1" si="34"/>
        <v/>
      </c>
      <c r="AF169" s="248" t="str">
        <f t="shared" ca="1" si="34"/>
        <v/>
      </c>
      <c r="AG169" s="257" t="str">
        <f t="shared" ca="1" si="34"/>
        <v/>
      </c>
      <c r="AH169" s="92"/>
      <c r="AI169" s="92" t="str">
        <f t="shared" ca="1" si="20"/>
        <v/>
      </c>
      <c r="AK169" s="92">
        <f t="shared" ca="1" si="21"/>
        <v>0</v>
      </c>
      <c r="AL169" s="12">
        <f t="shared" ca="1" si="22"/>
        <v>0</v>
      </c>
      <c r="AM169" s="12">
        <f t="shared" ca="1" si="23"/>
        <v>0</v>
      </c>
      <c r="AN169" s="12">
        <f t="shared" ca="1" si="24"/>
        <v>0</v>
      </c>
      <c r="AO169" s="12">
        <f t="shared" ca="1" si="25"/>
        <v>0</v>
      </c>
      <c r="AP169" s="12" t="str">
        <f t="shared" ca="1" si="26"/>
        <v/>
      </c>
      <c r="AQ169" s="12" t="str">
        <f t="shared" ca="1" si="27"/>
        <v/>
      </c>
      <c r="AR169" s="12" t="str">
        <f t="shared" ca="1" si="28"/>
        <v/>
      </c>
      <c r="AS169" s="12" t="str">
        <f t="shared" ca="1" si="29"/>
        <v/>
      </c>
    </row>
    <row r="170" spans="1:45" ht="14.3">
      <c r="A170">
        <f t="shared" si="32"/>
        <v>296</v>
      </c>
      <c r="B170" t="str">
        <f t="shared" ca="1" si="11"/>
        <v xml:space="preserve"> </v>
      </c>
      <c r="C170" t="b">
        <f t="shared" ca="1" si="12"/>
        <v>0</v>
      </c>
      <c r="D170" s="248" t="str">
        <f t="shared" ca="1" si="38"/>
        <v/>
      </c>
      <c r="E170" s="92" t="str">
        <f t="shared" ca="1" si="13"/>
        <v/>
      </c>
      <c r="F170" s="92" t="str">
        <f t="shared" ca="1" si="14"/>
        <v/>
      </c>
      <c r="G170" s="257" t="str">
        <f t="shared" ca="1" si="39"/>
        <v/>
      </c>
      <c r="H170" s="248" t="str">
        <f t="shared" ca="1" si="39"/>
        <v/>
      </c>
      <c r="I170" s="92" t="str">
        <f t="shared" ca="1" si="39"/>
        <v/>
      </c>
      <c r="J170" s="92" t="str">
        <f t="shared" ca="1" si="16"/>
        <v/>
      </c>
      <c r="K170" s="92" t="str">
        <f t="shared" ca="1" si="43"/>
        <v/>
      </c>
      <c r="L170" s="92" t="str">
        <f t="shared" ca="1" si="43"/>
        <v/>
      </c>
      <c r="M170" s="258" t="str">
        <f t="shared" ca="1" si="43"/>
        <v/>
      </c>
      <c r="N170" s="259" t="str">
        <f t="shared" ca="1" si="40"/>
        <v/>
      </c>
      <c r="O170" s="92" t="str">
        <f t="shared" ca="1" si="40"/>
        <v/>
      </c>
      <c r="P170" s="92"/>
      <c r="Q170" s="92" t="str">
        <f t="shared" ca="1" si="33"/>
        <v/>
      </c>
      <c r="R170" s="257" t="str">
        <f t="shared" ca="1" si="33"/>
        <v/>
      </c>
      <c r="S170" s="248" t="str">
        <f t="shared" ca="1" si="44"/>
        <v/>
      </c>
      <c r="T170" s="92" t="str">
        <f t="shared" ca="1" si="44"/>
        <v/>
      </c>
      <c r="U170" s="92" t="str">
        <f t="shared" ca="1" si="41"/>
        <v/>
      </c>
      <c r="V170" s="92" t="str">
        <f t="shared" ca="1" si="41"/>
        <v/>
      </c>
      <c r="W170" s="92" t="str">
        <f t="shared" ca="1" si="41"/>
        <v/>
      </c>
      <c r="X170" s="257" t="str">
        <f t="shared" ca="1" si="41"/>
        <v/>
      </c>
      <c r="Y170" s="248" t="str">
        <f t="shared" ca="1" si="45"/>
        <v/>
      </c>
      <c r="Z170" s="92" t="str">
        <f t="shared" ca="1" si="45"/>
        <v/>
      </c>
      <c r="AA170" s="92" t="str">
        <f t="shared" ca="1" si="19"/>
        <v/>
      </c>
      <c r="AB170" s="345" t="str">
        <f t="shared" ca="1" si="42"/>
        <v/>
      </c>
      <c r="AC170" s="257" t="str">
        <f t="shared" ca="1" si="42"/>
        <v/>
      </c>
      <c r="AD170" s="248" t="str">
        <f t="shared" ca="1" si="34"/>
        <v/>
      </c>
      <c r="AE170" s="257" t="str">
        <f t="shared" ca="1" si="34"/>
        <v/>
      </c>
      <c r="AF170" s="248" t="str">
        <f t="shared" ca="1" si="34"/>
        <v/>
      </c>
      <c r="AG170" s="257" t="str">
        <f t="shared" ca="1" si="34"/>
        <v/>
      </c>
      <c r="AH170" s="92"/>
      <c r="AI170" s="92" t="str">
        <f t="shared" ca="1" si="20"/>
        <v/>
      </c>
      <c r="AK170" s="92">
        <f t="shared" ca="1" si="21"/>
        <v>0</v>
      </c>
      <c r="AL170" s="12">
        <f t="shared" ca="1" si="22"/>
        <v>0</v>
      </c>
      <c r="AM170" s="12">
        <f t="shared" ca="1" si="23"/>
        <v>0</v>
      </c>
      <c r="AN170" s="12">
        <f t="shared" ca="1" si="24"/>
        <v>0</v>
      </c>
      <c r="AO170" s="12">
        <f t="shared" ca="1" si="25"/>
        <v>0</v>
      </c>
      <c r="AP170" s="12" t="str">
        <f t="shared" ca="1" si="26"/>
        <v/>
      </c>
      <c r="AQ170" s="12" t="str">
        <f t="shared" ca="1" si="27"/>
        <v/>
      </c>
      <c r="AR170" s="12" t="str">
        <f t="shared" ca="1" si="28"/>
        <v/>
      </c>
      <c r="AS170" s="12" t="str">
        <f t="shared" ca="1" si="29"/>
        <v/>
      </c>
    </row>
    <row r="171" spans="1:45" ht="14.3">
      <c r="A171">
        <f t="shared" si="32"/>
        <v>301</v>
      </c>
      <c r="B171" t="str">
        <f t="shared" ca="1" si="11"/>
        <v xml:space="preserve"> </v>
      </c>
      <c r="C171" t="b">
        <f t="shared" ca="1" si="12"/>
        <v>0</v>
      </c>
      <c r="D171" s="248" t="str">
        <f t="shared" ca="1" si="38"/>
        <v/>
      </c>
      <c r="E171" s="92" t="str">
        <f t="shared" ca="1" si="13"/>
        <v/>
      </c>
      <c r="F171" s="92" t="str">
        <f t="shared" ca="1" si="14"/>
        <v/>
      </c>
      <c r="G171" s="257" t="str">
        <f t="shared" ca="1" si="39"/>
        <v/>
      </c>
      <c r="H171" s="248" t="str">
        <f t="shared" ca="1" si="39"/>
        <v/>
      </c>
      <c r="I171" s="92" t="str">
        <f t="shared" ca="1" si="39"/>
        <v/>
      </c>
      <c r="J171" s="92" t="str">
        <f t="shared" ca="1" si="16"/>
        <v/>
      </c>
      <c r="K171" s="92" t="str">
        <f t="shared" ca="1" si="43"/>
        <v/>
      </c>
      <c r="L171" s="92" t="str">
        <f t="shared" ca="1" si="43"/>
        <v/>
      </c>
      <c r="M171" s="258" t="str">
        <f t="shared" ca="1" si="43"/>
        <v/>
      </c>
      <c r="N171" s="259" t="str">
        <f t="shared" ca="1" si="40"/>
        <v/>
      </c>
      <c r="O171" s="92" t="str">
        <f t="shared" ca="1" si="40"/>
        <v/>
      </c>
      <c r="P171" s="92"/>
      <c r="Q171" s="92" t="str">
        <f t="shared" ca="1" si="33"/>
        <v/>
      </c>
      <c r="R171" s="257" t="str">
        <f t="shared" ca="1" si="33"/>
        <v/>
      </c>
      <c r="S171" s="248" t="str">
        <f t="shared" ca="1" si="44"/>
        <v/>
      </c>
      <c r="T171" s="92" t="str">
        <f t="shared" ca="1" si="44"/>
        <v/>
      </c>
      <c r="U171" s="92" t="str">
        <f t="shared" ca="1" si="41"/>
        <v/>
      </c>
      <c r="V171" s="92" t="str">
        <f t="shared" ca="1" si="41"/>
        <v/>
      </c>
      <c r="W171" s="92" t="str">
        <f t="shared" ca="1" si="41"/>
        <v/>
      </c>
      <c r="X171" s="257" t="str">
        <f t="shared" ca="1" si="41"/>
        <v/>
      </c>
      <c r="Y171" s="248" t="str">
        <f t="shared" ca="1" si="45"/>
        <v/>
      </c>
      <c r="Z171" s="92" t="str">
        <f t="shared" ca="1" si="45"/>
        <v/>
      </c>
      <c r="AA171" s="92" t="str">
        <f t="shared" ca="1" si="19"/>
        <v/>
      </c>
      <c r="AB171" s="345" t="str">
        <f t="shared" ca="1" si="42"/>
        <v/>
      </c>
      <c r="AC171" s="257" t="str">
        <f t="shared" ca="1" si="42"/>
        <v/>
      </c>
      <c r="AD171" s="248" t="str">
        <f t="shared" ca="1" si="34"/>
        <v/>
      </c>
      <c r="AE171" s="257" t="str">
        <f t="shared" ca="1" si="34"/>
        <v/>
      </c>
      <c r="AF171" s="248" t="str">
        <f t="shared" ca="1" si="34"/>
        <v/>
      </c>
      <c r="AG171" s="257" t="str">
        <f t="shared" ca="1" si="34"/>
        <v/>
      </c>
      <c r="AH171" s="92"/>
      <c r="AI171" s="92" t="str">
        <f t="shared" ca="1" si="20"/>
        <v/>
      </c>
      <c r="AK171" s="92">
        <f t="shared" ca="1" si="21"/>
        <v>0</v>
      </c>
      <c r="AL171" s="12">
        <f t="shared" ca="1" si="22"/>
        <v>0</v>
      </c>
      <c r="AM171" s="12">
        <f t="shared" ca="1" si="23"/>
        <v>0</v>
      </c>
      <c r="AN171" s="12">
        <f t="shared" ca="1" si="24"/>
        <v>0</v>
      </c>
      <c r="AO171" s="12">
        <f t="shared" ca="1" si="25"/>
        <v>0</v>
      </c>
      <c r="AP171" s="12" t="str">
        <f t="shared" ca="1" si="26"/>
        <v/>
      </c>
      <c r="AQ171" s="12" t="str">
        <f t="shared" ca="1" si="27"/>
        <v/>
      </c>
      <c r="AR171" s="12" t="str">
        <f t="shared" ca="1" si="28"/>
        <v/>
      </c>
      <c r="AS171" s="12" t="str">
        <f t="shared" ca="1" si="29"/>
        <v/>
      </c>
    </row>
    <row r="172" spans="1:45" ht="14.3">
      <c r="A172">
        <f t="shared" si="32"/>
        <v>306</v>
      </c>
      <c r="B172" t="str">
        <f t="shared" ca="1" si="11"/>
        <v xml:space="preserve"> </v>
      </c>
      <c r="C172" t="b">
        <f t="shared" ca="1" si="12"/>
        <v>0</v>
      </c>
      <c r="D172" s="248" t="str">
        <f t="shared" ca="1" si="38"/>
        <v/>
      </c>
      <c r="E172" s="92" t="str">
        <f t="shared" ca="1" si="13"/>
        <v/>
      </c>
      <c r="F172" s="92" t="str">
        <f t="shared" ca="1" si="14"/>
        <v/>
      </c>
      <c r="G172" s="257" t="str">
        <f t="shared" ca="1" si="39"/>
        <v/>
      </c>
      <c r="H172" s="248" t="str">
        <f t="shared" ca="1" si="39"/>
        <v/>
      </c>
      <c r="I172" s="92" t="str">
        <f t="shared" ca="1" si="39"/>
        <v/>
      </c>
      <c r="J172" s="92" t="str">
        <f t="shared" ca="1" si="16"/>
        <v/>
      </c>
      <c r="K172" s="92" t="str">
        <f t="shared" ca="1" si="43"/>
        <v/>
      </c>
      <c r="L172" s="92" t="str">
        <f t="shared" ca="1" si="43"/>
        <v/>
      </c>
      <c r="M172" s="258" t="str">
        <f t="shared" ca="1" si="43"/>
        <v/>
      </c>
      <c r="N172" s="259" t="str">
        <f t="shared" ca="1" si="40"/>
        <v/>
      </c>
      <c r="O172" s="92" t="str">
        <f t="shared" ca="1" si="40"/>
        <v/>
      </c>
      <c r="P172" s="92"/>
      <c r="Q172" s="92" t="str">
        <f t="shared" ca="1" si="33"/>
        <v/>
      </c>
      <c r="R172" s="257" t="str">
        <f t="shared" ca="1" si="33"/>
        <v/>
      </c>
      <c r="S172" s="248" t="str">
        <f t="shared" ca="1" si="44"/>
        <v/>
      </c>
      <c r="T172" s="92" t="str">
        <f t="shared" ca="1" si="44"/>
        <v/>
      </c>
      <c r="U172" s="92" t="str">
        <f t="shared" ca="1" si="41"/>
        <v/>
      </c>
      <c r="V172" s="92" t="str">
        <f t="shared" ca="1" si="41"/>
        <v/>
      </c>
      <c r="W172" s="92" t="str">
        <f t="shared" ca="1" si="41"/>
        <v/>
      </c>
      <c r="X172" s="257" t="str">
        <f t="shared" ca="1" si="41"/>
        <v/>
      </c>
      <c r="Y172" s="248" t="str">
        <f t="shared" ca="1" si="45"/>
        <v/>
      </c>
      <c r="Z172" s="92" t="str">
        <f t="shared" ca="1" si="45"/>
        <v/>
      </c>
      <c r="AA172" s="92" t="str">
        <f t="shared" ca="1" si="19"/>
        <v/>
      </c>
      <c r="AB172" s="345" t="str">
        <f t="shared" ca="1" si="42"/>
        <v/>
      </c>
      <c r="AC172" s="257" t="str">
        <f t="shared" ca="1" si="42"/>
        <v/>
      </c>
      <c r="AD172" s="248" t="str">
        <f t="shared" ca="1" si="34"/>
        <v/>
      </c>
      <c r="AE172" s="257" t="str">
        <f t="shared" ca="1" si="34"/>
        <v/>
      </c>
      <c r="AF172" s="248" t="str">
        <f t="shared" ca="1" si="34"/>
        <v/>
      </c>
      <c r="AG172" s="257" t="str">
        <f t="shared" ca="1" si="34"/>
        <v/>
      </c>
      <c r="AH172" s="92"/>
      <c r="AI172" s="92" t="str">
        <f t="shared" ca="1" si="20"/>
        <v/>
      </c>
      <c r="AK172" s="92">
        <f t="shared" ca="1" si="21"/>
        <v>0</v>
      </c>
      <c r="AL172" s="12">
        <f t="shared" ca="1" si="22"/>
        <v>0</v>
      </c>
      <c r="AM172" s="12">
        <f t="shared" ca="1" si="23"/>
        <v>0</v>
      </c>
      <c r="AN172" s="12">
        <f t="shared" ca="1" si="24"/>
        <v>0</v>
      </c>
      <c r="AO172" s="12">
        <f t="shared" ca="1" si="25"/>
        <v>0</v>
      </c>
      <c r="AP172" s="12" t="str">
        <f t="shared" ca="1" si="26"/>
        <v/>
      </c>
      <c r="AQ172" s="12" t="str">
        <f t="shared" ca="1" si="27"/>
        <v/>
      </c>
      <c r="AR172" s="12" t="str">
        <f t="shared" ca="1" si="28"/>
        <v/>
      </c>
      <c r="AS172" s="12" t="str">
        <f t="shared" ca="1" si="29"/>
        <v/>
      </c>
    </row>
    <row r="173" spans="1:45" ht="14.3">
      <c r="A173">
        <f t="shared" si="32"/>
        <v>311</v>
      </c>
      <c r="B173" t="str">
        <f t="shared" ca="1" si="11"/>
        <v xml:space="preserve"> </v>
      </c>
      <c r="C173" t="b">
        <f t="shared" ca="1" si="12"/>
        <v>0</v>
      </c>
      <c r="D173" s="248" t="str">
        <f t="shared" ca="1" si="38"/>
        <v/>
      </c>
      <c r="E173" s="92" t="str">
        <f t="shared" ca="1" si="13"/>
        <v/>
      </c>
      <c r="F173" s="92" t="str">
        <f t="shared" ca="1" si="14"/>
        <v/>
      </c>
      <c r="G173" s="257" t="str">
        <f t="shared" ca="1" si="39"/>
        <v/>
      </c>
      <c r="H173" s="248" t="str">
        <f t="shared" ca="1" si="39"/>
        <v/>
      </c>
      <c r="I173" s="92" t="str">
        <f t="shared" ca="1" si="39"/>
        <v/>
      </c>
      <c r="J173" s="92" t="str">
        <f t="shared" ca="1" si="16"/>
        <v/>
      </c>
      <c r="K173" s="92" t="str">
        <f t="shared" ca="1" si="43"/>
        <v/>
      </c>
      <c r="L173" s="92" t="str">
        <f t="shared" ca="1" si="43"/>
        <v/>
      </c>
      <c r="M173" s="258" t="str">
        <f t="shared" ca="1" si="43"/>
        <v/>
      </c>
      <c r="N173" s="259" t="str">
        <f t="shared" ca="1" si="40"/>
        <v/>
      </c>
      <c r="O173" s="92" t="str">
        <f t="shared" ca="1" si="40"/>
        <v/>
      </c>
      <c r="P173" s="92"/>
      <c r="Q173" s="92" t="str">
        <f t="shared" ca="1" si="33"/>
        <v/>
      </c>
      <c r="R173" s="257" t="str">
        <f t="shared" ca="1" si="33"/>
        <v/>
      </c>
      <c r="S173" s="248" t="str">
        <f t="shared" ca="1" si="44"/>
        <v/>
      </c>
      <c r="T173" s="92" t="str">
        <f t="shared" ca="1" si="44"/>
        <v/>
      </c>
      <c r="U173" s="92" t="str">
        <f t="shared" ca="1" si="41"/>
        <v/>
      </c>
      <c r="V173" s="92" t="str">
        <f t="shared" ca="1" si="41"/>
        <v/>
      </c>
      <c r="W173" s="92" t="str">
        <f t="shared" ca="1" si="41"/>
        <v/>
      </c>
      <c r="X173" s="257" t="str">
        <f t="shared" ca="1" si="41"/>
        <v/>
      </c>
      <c r="Y173" s="248" t="str">
        <f t="shared" ca="1" si="45"/>
        <v/>
      </c>
      <c r="Z173" s="92" t="str">
        <f t="shared" ca="1" si="45"/>
        <v/>
      </c>
      <c r="AA173" s="92" t="str">
        <f t="shared" ca="1" si="19"/>
        <v/>
      </c>
      <c r="AB173" s="345" t="str">
        <f t="shared" ca="1" si="42"/>
        <v/>
      </c>
      <c r="AC173" s="257" t="str">
        <f t="shared" ca="1" si="42"/>
        <v/>
      </c>
      <c r="AD173" s="248" t="str">
        <f t="shared" ca="1" si="34"/>
        <v/>
      </c>
      <c r="AE173" s="257" t="str">
        <f t="shared" ca="1" si="34"/>
        <v/>
      </c>
      <c r="AF173" s="248" t="str">
        <f t="shared" ca="1" si="34"/>
        <v/>
      </c>
      <c r="AG173" s="257" t="str">
        <f t="shared" ca="1" si="34"/>
        <v/>
      </c>
      <c r="AH173" s="92"/>
      <c r="AI173" s="92" t="str">
        <f t="shared" ca="1" si="20"/>
        <v/>
      </c>
      <c r="AK173" s="92">
        <f t="shared" ca="1" si="21"/>
        <v>0</v>
      </c>
      <c r="AL173" s="12">
        <f t="shared" ca="1" si="22"/>
        <v>0</v>
      </c>
      <c r="AM173" s="12">
        <f t="shared" ca="1" si="23"/>
        <v>0</v>
      </c>
      <c r="AN173" s="12">
        <f t="shared" ca="1" si="24"/>
        <v>0</v>
      </c>
      <c r="AO173" s="12">
        <f t="shared" ca="1" si="25"/>
        <v>0</v>
      </c>
      <c r="AP173" s="12" t="str">
        <f t="shared" ca="1" si="26"/>
        <v/>
      </c>
      <c r="AQ173" s="12" t="str">
        <f t="shared" ca="1" si="27"/>
        <v/>
      </c>
      <c r="AR173" s="12" t="str">
        <f t="shared" ca="1" si="28"/>
        <v/>
      </c>
      <c r="AS173" s="12" t="str">
        <f t="shared" ca="1" si="29"/>
        <v/>
      </c>
    </row>
    <row r="174" spans="1:45" ht="14.3">
      <c r="A174">
        <f t="shared" si="32"/>
        <v>316</v>
      </c>
      <c r="B174" t="str">
        <f t="shared" ca="1" si="11"/>
        <v xml:space="preserve"> </v>
      </c>
      <c r="C174" t="b">
        <f t="shared" ca="1" si="12"/>
        <v>0</v>
      </c>
      <c r="D174" s="248" t="str">
        <f t="shared" ca="1" si="38"/>
        <v/>
      </c>
      <c r="E174" s="92" t="str">
        <f t="shared" ca="1" si="13"/>
        <v/>
      </c>
      <c r="F174" s="92" t="str">
        <f t="shared" ca="1" si="14"/>
        <v/>
      </c>
      <c r="G174" s="257" t="str">
        <f t="shared" ca="1" si="39"/>
        <v/>
      </c>
      <c r="H174" s="248" t="str">
        <f t="shared" ca="1" si="39"/>
        <v/>
      </c>
      <c r="I174" s="92" t="str">
        <f t="shared" ca="1" si="39"/>
        <v/>
      </c>
      <c r="J174" s="92" t="str">
        <f t="shared" ca="1" si="16"/>
        <v/>
      </c>
      <c r="K174" s="92" t="str">
        <f t="shared" ca="1" si="43"/>
        <v/>
      </c>
      <c r="L174" s="92" t="str">
        <f t="shared" ca="1" si="43"/>
        <v/>
      </c>
      <c r="M174" s="258" t="str">
        <f t="shared" ca="1" si="43"/>
        <v/>
      </c>
      <c r="N174" s="259" t="str">
        <f t="shared" ca="1" si="40"/>
        <v/>
      </c>
      <c r="O174" s="92" t="str">
        <f t="shared" ca="1" si="40"/>
        <v/>
      </c>
      <c r="P174" s="92"/>
      <c r="Q174" s="92" t="str">
        <f t="shared" ca="1" si="33"/>
        <v/>
      </c>
      <c r="R174" s="257" t="str">
        <f t="shared" ca="1" si="33"/>
        <v/>
      </c>
      <c r="S174" s="248" t="str">
        <f t="shared" ca="1" si="44"/>
        <v/>
      </c>
      <c r="T174" s="92" t="str">
        <f t="shared" ca="1" si="44"/>
        <v/>
      </c>
      <c r="U174" s="92" t="str">
        <f t="shared" ca="1" si="41"/>
        <v/>
      </c>
      <c r="V174" s="92" t="str">
        <f t="shared" ca="1" si="41"/>
        <v/>
      </c>
      <c r="W174" s="92" t="str">
        <f t="shared" ca="1" si="41"/>
        <v/>
      </c>
      <c r="X174" s="257" t="str">
        <f t="shared" ca="1" si="41"/>
        <v/>
      </c>
      <c r="Y174" s="248" t="str">
        <f t="shared" ca="1" si="45"/>
        <v/>
      </c>
      <c r="Z174" s="92" t="str">
        <f t="shared" ca="1" si="45"/>
        <v/>
      </c>
      <c r="AA174" s="92" t="str">
        <f t="shared" ca="1" si="19"/>
        <v/>
      </c>
      <c r="AB174" s="345" t="str">
        <f t="shared" ca="1" si="42"/>
        <v/>
      </c>
      <c r="AC174" s="257" t="str">
        <f t="shared" ca="1" si="42"/>
        <v/>
      </c>
      <c r="AD174" s="248" t="str">
        <f t="shared" ca="1" si="34"/>
        <v/>
      </c>
      <c r="AE174" s="257" t="str">
        <f t="shared" ca="1" si="34"/>
        <v/>
      </c>
      <c r="AF174" s="248" t="str">
        <f t="shared" ca="1" si="34"/>
        <v/>
      </c>
      <c r="AG174" s="257" t="str">
        <f t="shared" ca="1" si="34"/>
        <v/>
      </c>
      <c r="AH174" s="92"/>
      <c r="AI174" s="92" t="str">
        <f t="shared" ca="1" si="20"/>
        <v/>
      </c>
      <c r="AK174" s="92">
        <f t="shared" ca="1" si="21"/>
        <v>0</v>
      </c>
      <c r="AL174" s="12">
        <f t="shared" ca="1" si="22"/>
        <v>0</v>
      </c>
      <c r="AM174" s="12">
        <f t="shared" ca="1" si="23"/>
        <v>0</v>
      </c>
      <c r="AN174" s="12">
        <f t="shared" ca="1" si="24"/>
        <v>0</v>
      </c>
      <c r="AO174" s="12">
        <f t="shared" ca="1" si="25"/>
        <v>0</v>
      </c>
      <c r="AP174" s="12" t="str">
        <f t="shared" ca="1" si="26"/>
        <v/>
      </c>
      <c r="AQ174" s="12" t="str">
        <f t="shared" ca="1" si="27"/>
        <v/>
      </c>
      <c r="AR174" s="12" t="str">
        <f t="shared" ca="1" si="28"/>
        <v/>
      </c>
      <c r="AS174" s="12" t="str">
        <f t="shared" ca="1" si="29"/>
        <v/>
      </c>
    </row>
    <row r="175" spans="1:45" ht="14.3">
      <c r="A175">
        <f>A174+5</f>
        <v>321</v>
      </c>
      <c r="B175" t="str">
        <f t="shared" ca="1" si="11"/>
        <v xml:space="preserve"> </v>
      </c>
      <c r="C175" t="b">
        <f t="shared" ca="1" si="12"/>
        <v>0</v>
      </c>
      <c r="D175" s="248" t="str">
        <f t="shared" ca="1" si="38"/>
        <v/>
      </c>
      <c r="E175" s="92" t="str">
        <f t="shared" ca="1" si="13"/>
        <v/>
      </c>
      <c r="F175" s="92" t="str">
        <f t="shared" ca="1" si="14"/>
        <v/>
      </c>
      <c r="G175" s="257" t="str">
        <f t="shared" ca="1" si="39"/>
        <v/>
      </c>
      <c r="H175" s="248" t="str">
        <f t="shared" ca="1" si="39"/>
        <v/>
      </c>
      <c r="I175" s="92" t="str">
        <f t="shared" ca="1" si="39"/>
        <v/>
      </c>
      <c r="J175" s="92" t="str">
        <f t="shared" ca="1" si="16"/>
        <v/>
      </c>
      <c r="K175" s="92" t="str">
        <f t="shared" ca="1" si="43"/>
        <v/>
      </c>
      <c r="L175" s="92" t="str">
        <f t="shared" ca="1" si="43"/>
        <v/>
      </c>
      <c r="M175" s="258" t="str">
        <f t="shared" ca="1" si="43"/>
        <v/>
      </c>
      <c r="N175" s="259" t="str">
        <f t="shared" ca="1" si="40"/>
        <v/>
      </c>
      <c r="O175" s="92" t="str">
        <f t="shared" ca="1" si="40"/>
        <v/>
      </c>
      <c r="P175" s="92"/>
      <c r="Q175" s="92" t="str">
        <f t="shared" ca="1" si="33"/>
        <v/>
      </c>
      <c r="R175" s="257" t="str">
        <f t="shared" ca="1" si="33"/>
        <v/>
      </c>
      <c r="S175" s="248" t="str">
        <f t="shared" ca="1" si="44"/>
        <v/>
      </c>
      <c r="T175" s="92" t="str">
        <f t="shared" ca="1" si="44"/>
        <v/>
      </c>
      <c r="U175" s="92" t="str">
        <f t="shared" ca="1" si="41"/>
        <v/>
      </c>
      <c r="V175" s="92" t="str">
        <f t="shared" ca="1" si="41"/>
        <v/>
      </c>
      <c r="W175" s="92" t="str">
        <f t="shared" ca="1" si="41"/>
        <v/>
      </c>
      <c r="X175" s="257" t="str">
        <f t="shared" ca="1" si="41"/>
        <v/>
      </c>
      <c r="Y175" s="248" t="str">
        <f t="shared" ca="1" si="45"/>
        <v/>
      </c>
      <c r="Z175" s="92" t="str">
        <f t="shared" ca="1" si="45"/>
        <v/>
      </c>
      <c r="AA175" s="92" t="str">
        <f t="shared" ca="1" si="19"/>
        <v/>
      </c>
      <c r="AB175" s="345" t="str">
        <f t="shared" ca="1" si="42"/>
        <v/>
      </c>
      <c r="AC175" s="257" t="str">
        <f t="shared" ca="1" si="42"/>
        <v/>
      </c>
      <c r="AD175" s="248" t="str">
        <f t="shared" ca="1" si="34"/>
        <v/>
      </c>
      <c r="AE175" s="257" t="str">
        <f t="shared" ca="1" si="34"/>
        <v/>
      </c>
      <c r="AF175" s="248" t="str">
        <f t="shared" ca="1" si="34"/>
        <v/>
      </c>
      <c r="AG175" s="257" t="str">
        <f t="shared" ca="1" si="34"/>
        <v/>
      </c>
      <c r="AH175" s="92"/>
      <c r="AI175" s="92" t="str">
        <f t="shared" ca="1" si="20"/>
        <v/>
      </c>
      <c r="AK175" s="92">
        <f t="shared" ca="1" si="21"/>
        <v>0</v>
      </c>
      <c r="AL175" s="12">
        <f t="shared" ca="1" si="22"/>
        <v>0</v>
      </c>
      <c r="AM175" s="12">
        <f t="shared" ca="1" si="23"/>
        <v>0</v>
      </c>
      <c r="AN175" s="12">
        <f t="shared" ca="1" si="24"/>
        <v>0</v>
      </c>
      <c r="AO175" s="12">
        <f t="shared" ca="1" si="25"/>
        <v>0</v>
      </c>
      <c r="AP175" s="12" t="str">
        <f t="shared" ca="1" si="26"/>
        <v/>
      </c>
      <c r="AQ175" s="12" t="str">
        <f t="shared" ca="1" si="27"/>
        <v/>
      </c>
      <c r="AR175" s="12" t="str">
        <f t="shared" ca="1" si="28"/>
        <v/>
      </c>
      <c r="AS175" s="12" t="str">
        <f t="shared" ca="1" si="29"/>
        <v/>
      </c>
    </row>
    <row r="176" spans="1:45" ht="14.3">
      <c r="A176" s="610">
        <f>A175+8</f>
        <v>329</v>
      </c>
      <c r="B176" t="str">
        <f t="shared" ca="1" si="11"/>
        <v xml:space="preserve"> </v>
      </c>
      <c r="C176" t="b">
        <f t="shared" ca="1" si="12"/>
        <v>0</v>
      </c>
      <c r="D176" s="248" t="str">
        <f t="shared" ca="1" si="38"/>
        <v/>
      </c>
      <c r="E176" s="92" t="str">
        <f t="shared" ca="1" si="13"/>
        <v/>
      </c>
      <c r="F176" s="92" t="str">
        <f t="shared" ca="1" si="14"/>
        <v/>
      </c>
      <c r="G176" s="257" t="str">
        <f t="shared" ca="1" si="39"/>
        <v/>
      </c>
      <c r="H176" s="248" t="str">
        <f t="shared" ca="1" si="39"/>
        <v/>
      </c>
      <c r="I176" s="92" t="str">
        <f t="shared" ca="1" si="39"/>
        <v/>
      </c>
      <c r="J176" s="92" t="str">
        <f t="shared" ca="1" si="16"/>
        <v/>
      </c>
      <c r="K176" s="92" t="str">
        <f t="shared" ca="1" si="43"/>
        <v/>
      </c>
      <c r="L176" s="92" t="str">
        <f t="shared" ca="1" si="43"/>
        <v/>
      </c>
      <c r="M176" s="258" t="str">
        <f t="shared" ca="1" si="43"/>
        <v/>
      </c>
      <c r="N176" s="259" t="str">
        <f t="shared" ca="1" si="40"/>
        <v/>
      </c>
      <c r="O176" s="92" t="str">
        <f t="shared" ca="1" si="40"/>
        <v/>
      </c>
      <c r="P176" s="92"/>
      <c r="Q176" s="92" t="str">
        <f t="shared" ca="1" si="33"/>
        <v/>
      </c>
      <c r="R176" s="257" t="str">
        <f t="shared" ca="1" si="33"/>
        <v/>
      </c>
      <c r="S176" s="248" t="str">
        <f t="shared" ca="1" si="44"/>
        <v/>
      </c>
      <c r="T176" s="92" t="str">
        <f t="shared" ca="1" si="44"/>
        <v/>
      </c>
      <c r="U176" s="92" t="str">
        <f t="shared" ca="1" si="41"/>
        <v/>
      </c>
      <c r="V176" s="92" t="str">
        <f t="shared" ca="1" si="41"/>
        <v/>
      </c>
      <c r="W176" s="92" t="str">
        <f t="shared" ca="1" si="41"/>
        <v/>
      </c>
      <c r="X176" s="257" t="str">
        <f t="shared" ca="1" si="41"/>
        <v/>
      </c>
      <c r="Y176" s="248" t="str">
        <f t="shared" ca="1" si="45"/>
        <v/>
      </c>
      <c r="Z176" s="92" t="str">
        <f t="shared" ca="1" si="45"/>
        <v/>
      </c>
      <c r="AA176" s="92" t="str">
        <f t="shared" ca="1" si="19"/>
        <v/>
      </c>
      <c r="AB176" s="345" t="str">
        <f t="shared" ca="1" si="42"/>
        <v/>
      </c>
      <c r="AC176" s="257" t="str">
        <f t="shared" ca="1" si="42"/>
        <v/>
      </c>
      <c r="AD176" s="248" t="str">
        <f t="shared" ca="1" si="34"/>
        <v/>
      </c>
      <c r="AE176" s="257" t="str">
        <f t="shared" ca="1" si="34"/>
        <v/>
      </c>
      <c r="AF176" s="248" t="str">
        <f t="shared" ca="1" si="34"/>
        <v/>
      </c>
      <c r="AG176" s="257" t="str">
        <f t="shared" ca="1" si="34"/>
        <v/>
      </c>
      <c r="AH176" s="92"/>
      <c r="AI176" s="92" t="str">
        <f t="shared" ca="1" si="20"/>
        <v/>
      </c>
      <c r="AK176" s="92">
        <f t="shared" ca="1" si="21"/>
        <v>0</v>
      </c>
      <c r="AL176" s="12">
        <f t="shared" ca="1" si="22"/>
        <v>0</v>
      </c>
      <c r="AM176" s="12">
        <f t="shared" ca="1" si="23"/>
        <v>0</v>
      </c>
      <c r="AN176" s="12">
        <f t="shared" ca="1" si="24"/>
        <v>0</v>
      </c>
      <c r="AO176" s="12">
        <f t="shared" ca="1" si="25"/>
        <v>0</v>
      </c>
      <c r="AP176" s="12" t="str">
        <f t="shared" ca="1" si="26"/>
        <v/>
      </c>
      <c r="AQ176" s="12" t="str">
        <f t="shared" ca="1" si="27"/>
        <v/>
      </c>
      <c r="AR176" s="12" t="str">
        <f t="shared" ca="1" si="28"/>
        <v/>
      </c>
      <c r="AS176" s="12" t="str">
        <f t="shared" ca="1" si="29"/>
        <v/>
      </c>
    </row>
    <row r="177" spans="1:45" ht="14.3">
      <c r="A177">
        <f>A176+5</f>
        <v>334</v>
      </c>
      <c r="B177" t="str">
        <f t="shared" ca="1" si="11"/>
        <v xml:space="preserve"> </v>
      </c>
      <c r="C177" t="b">
        <f t="shared" ca="1" si="12"/>
        <v>0</v>
      </c>
      <c r="D177" s="248" t="str">
        <f t="shared" ca="1" si="38"/>
        <v/>
      </c>
      <c r="E177" s="92" t="str">
        <f t="shared" ca="1" si="13"/>
        <v/>
      </c>
      <c r="F177" s="92" t="str">
        <f t="shared" ca="1" si="14"/>
        <v/>
      </c>
      <c r="G177" s="257" t="str">
        <f t="shared" ca="1" si="39"/>
        <v/>
      </c>
      <c r="H177" s="248" t="str">
        <f t="shared" ca="1" si="39"/>
        <v/>
      </c>
      <c r="I177" s="92" t="str">
        <f t="shared" ca="1" si="39"/>
        <v/>
      </c>
      <c r="J177" s="92" t="str">
        <f t="shared" ca="1" si="16"/>
        <v/>
      </c>
      <c r="K177" s="92" t="str">
        <f t="shared" ca="1" si="43"/>
        <v/>
      </c>
      <c r="L177" s="92" t="str">
        <f t="shared" ca="1" si="43"/>
        <v/>
      </c>
      <c r="M177" s="258" t="str">
        <f t="shared" ca="1" si="43"/>
        <v/>
      </c>
      <c r="N177" s="259" t="str">
        <f t="shared" ca="1" si="40"/>
        <v/>
      </c>
      <c r="O177" s="92" t="str">
        <f t="shared" ca="1" si="40"/>
        <v/>
      </c>
      <c r="P177" s="92"/>
      <c r="Q177" s="92" t="str">
        <f t="shared" ca="1" si="33"/>
        <v/>
      </c>
      <c r="R177" s="257" t="str">
        <f t="shared" ca="1" si="33"/>
        <v/>
      </c>
      <c r="S177" s="248" t="str">
        <f t="shared" ca="1" si="44"/>
        <v/>
      </c>
      <c r="T177" s="92" t="str">
        <f t="shared" ca="1" si="44"/>
        <v/>
      </c>
      <c r="U177" s="92" t="str">
        <f t="shared" ca="1" si="41"/>
        <v/>
      </c>
      <c r="V177" s="92" t="str">
        <f t="shared" ca="1" si="41"/>
        <v/>
      </c>
      <c r="W177" s="92" t="str">
        <f t="shared" ca="1" si="41"/>
        <v/>
      </c>
      <c r="X177" s="257" t="str">
        <f t="shared" ca="1" si="41"/>
        <v/>
      </c>
      <c r="Y177" s="248" t="str">
        <f t="shared" ca="1" si="45"/>
        <v/>
      </c>
      <c r="Z177" s="92" t="str">
        <f t="shared" ca="1" si="45"/>
        <v/>
      </c>
      <c r="AA177" s="92" t="str">
        <f t="shared" ca="1" si="19"/>
        <v/>
      </c>
      <c r="AB177" s="345" t="str">
        <f t="shared" ca="1" si="42"/>
        <v/>
      </c>
      <c r="AC177" s="257" t="str">
        <f t="shared" ca="1" si="42"/>
        <v/>
      </c>
      <c r="AD177" s="248" t="str">
        <f t="shared" ca="1" si="34"/>
        <v/>
      </c>
      <c r="AE177" s="257" t="str">
        <f t="shared" ca="1" si="34"/>
        <v/>
      </c>
      <c r="AF177" s="248" t="str">
        <f t="shared" ca="1" si="34"/>
        <v/>
      </c>
      <c r="AG177" s="257" t="str">
        <f t="shared" ca="1" si="34"/>
        <v/>
      </c>
      <c r="AH177" s="92"/>
      <c r="AI177" s="92" t="str">
        <f t="shared" ca="1" si="20"/>
        <v/>
      </c>
      <c r="AK177" s="92">
        <f t="shared" ca="1" si="21"/>
        <v>0</v>
      </c>
      <c r="AL177" s="12">
        <f t="shared" ca="1" si="22"/>
        <v>0</v>
      </c>
      <c r="AM177" s="12">
        <f t="shared" ca="1" si="23"/>
        <v>0</v>
      </c>
      <c r="AN177" s="12">
        <f t="shared" ca="1" si="24"/>
        <v>0</v>
      </c>
      <c r="AO177" s="12">
        <f t="shared" ca="1" si="25"/>
        <v>0</v>
      </c>
      <c r="AP177" s="12" t="str">
        <f t="shared" ca="1" si="26"/>
        <v/>
      </c>
      <c r="AQ177" s="12" t="str">
        <f t="shared" ca="1" si="27"/>
        <v/>
      </c>
      <c r="AR177" s="12" t="str">
        <f t="shared" ca="1" si="28"/>
        <v/>
      </c>
      <c r="AS177" s="12" t="str">
        <f t="shared" ca="1" si="29"/>
        <v/>
      </c>
    </row>
    <row r="178" spans="1:45" ht="14.3">
      <c r="A178">
        <f t="shared" si="32"/>
        <v>339</v>
      </c>
      <c r="B178" t="str">
        <f t="shared" ca="1" si="11"/>
        <v xml:space="preserve"> </v>
      </c>
      <c r="C178" t="b">
        <f t="shared" ca="1" si="12"/>
        <v>0</v>
      </c>
      <c r="D178" s="248" t="str">
        <f t="shared" ca="1" si="38"/>
        <v/>
      </c>
      <c r="E178" s="92" t="str">
        <f t="shared" ca="1" si="13"/>
        <v/>
      </c>
      <c r="F178" s="92" t="str">
        <f t="shared" ca="1" si="14"/>
        <v/>
      </c>
      <c r="G178" s="257" t="str">
        <f t="shared" ca="1" si="39"/>
        <v/>
      </c>
      <c r="H178" s="248" t="str">
        <f t="shared" ca="1" si="39"/>
        <v/>
      </c>
      <c r="I178" s="92" t="str">
        <f t="shared" ca="1" si="39"/>
        <v/>
      </c>
      <c r="J178" s="92" t="str">
        <f t="shared" ca="1" si="16"/>
        <v/>
      </c>
      <c r="K178" s="92" t="str">
        <f t="shared" ca="1" si="43"/>
        <v/>
      </c>
      <c r="L178" s="92" t="str">
        <f t="shared" ca="1" si="43"/>
        <v/>
      </c>
      <c r="M178" s="258" t="str">
        <f t="shared" ca="1" si="43"/>
        <v/>
      </c>
      <c r="N178" s="259" t="str">
        <f t="shared" ca="1" si="40"/>
        <v/>
      </c>
      <c r="O178" s="92" t="str">
        <f t="shared" ca="1" si="40"/>
        <v/>
      </c>
      <c r="P178" s="92"/>
      <c r="Q178" s="92" t="str">
        <f t="shared" ca="1" si="33"/>
        <v/>
      </c>
      <c r="R178" s="257" t="str">
        <f t="shared" ca="1" si="33"/>
        <v/>
      </c>
      <c r="S178" s="248" t="str">
        <f t="shared" ca="1" si="44"/>
        <v/>
      </c>
      <c r="T178" s="92" t="str">
        <f t="shared" ca="1" si="44"/>
        <v/>
      </c>
      <c r="U178" s="92" t="str">
        <f t="shared" ca="1" si="41"/>
        <v/>
      </c>
      <c r="V178" s="92" t="str">
        <f t="shared" ca="1" si="41"/>
        <v/>
      </c>
      <c r="W178" s="92" t="str">
        <f t="shared" ca="1" si="41"/>
        <v/>
      </c>
      <c r="X178" s="257" t="str">
        <f t="shared" ca="1" si="41"/>
        <v/>
      </c>
      <c r="Y178" s="248" t="str">
        <f t="shared" ca="1" si="45"/>
        <v/>
      </c>
      <c r="Z178" s="92" t="str">
        <f t="shared" ca="1" si="45"/>
        <v/>
      </c>
      <c r="AA178" s="92" t="str">
        <f t="shared" ca="1" si="19"/>
        <v/>
      </c>
      <c r="AB178" s="345" t="str">
        <f t="shared" ca="1" si="42"/>
        <v/>
      </c>
      <c r="AC178" s="257" t="str">
        <f t="shared" ca="1" si="42"/>
        <v/>
      </c>
      <c r="AD178" s="248" t="str">
        <f t="shared" ca="1" si="34"/>
        <v/>
      </c>
      <c r="AE178" s="257" t="str">
        <f t="shared" ca="1" si="34"/>
        <v/>
      </c>
      <c r="AF178" s="248" t="str">
        <f t="shared" ca="1" si="34"/>
        <v/>
      </c>
      <c r="AG178" s="257" t="str">
        <f t="shared" ca="1" si="34"/>
        <v/>
      </c>
      <c r="AH178" s="92"/>
      <c r="AI178" s="92" t="str">
        <f t="shared" ca="1" si="20"/>
        <v/>
      </c>
      <c r="AK178" s="92">
        <f t="shared" ca="1" si="21"/>
        <v>0</v>
      </c>
      <c r="AL178" s="12">
        <f t="shared" ca="1" si="22"/>
        <v>0</v>
      </c>
      <c r="AM178" s="12">
        <f t="shared" ca="1" si="23"/>
        <v>0</v>
      </c>
      <c r="AN178" s="12">
        <f t="shared" ca="1" si="24"/>
        <v>0</v>
      </c>
      <c r="AO178" s="12">
        <f t="shared" ca="1" si="25"/>
        <v>0</v>
      </c>
      <c r="AP178" s="12" t="str">
        <f t="shared" ca="1" si="26"/>
        <v/>
      </c>
      <c r="AQ178" s="12" t="str">
        <f t="shared" ca="1" si="27"/>
        <v/>
      </c>
      <c r="AR178" s="12" t="str">
        <f t="shared" ca="1" si="28"/>
        <v/>
      </c>
      <c r="AS178" s="12" t="str">
        <f t="shared" ca="1" si="29"/>
        <v/>
      </c>
    </row>
    <row r="179" spans="1:45" ht="14.3">
      <c r="A179">
        <f t="shared" si="32"/>
        <v>344</v>
      </c>
      <c r="B179" t="str">
        <f t="shared" ca="1" si="11"/>
        <v xml:space="preserve"> </v>
      </c>
      <c r="C179" t="b">
        <f t="shared" ca="1" si="12"/>
        <v>0</v>
      </c>
      <c r="D179" s="248" t="str">
        <f t="shared" ca="1" si="38"/>
        <v/>
      </c>
      <c r="E179" s="92" t="str">
        <f t="shared" ca="1" si="13"/>
        <v/>
      </c>
      <c r="F179" s="92" t="str">
        <f t="shared" ca="1" si="14"/>
        <v/>
      </c>
      <c r="G179" s="257" t="str">
        <f t="shared" ca="1" si="39"/>
        <v/>
      </c>
      <c r="H179" s="248" t="str">
        <f t="shared" ca="1" si="39"/>
        <v/>
      </c>
      <c r="I179" s="92" t="str">
        <f t="shared" ca="1" si="39"/>
        <v/>
      </c>
      <c r="J179" s="92" t="str">
        <f t="shared" ca="1" si="16"/>
        <v/>
      </c>
      <c r="K179" s="92" t="str">
        <f t="shared" ca="1" si="43"/>
        <v/>
      </c>
      <c r="L179" s="92" t="str">
        <f t="shared" ca="1" si="43"/>
        <v/>
      </c>
      <c r="M179" s="258" t="str">
        <f t="shared" ca="1" si="43"/>
        <v/>
      </c>
      <c r="N179" s="259" t="str">
        <f t="shared" ca="1" si="40"/>
        <v/>
      </c>
      <c r="O179" s="92" t="str">
        <f t="shared" ca="1" si="40"/>
        <v/>
      </c>
      <c r="P179" s="92"/>
      <c r="Q179" s="92" t="str">
        <f t="shared" ca="1" si="33"/>
        <v/>
      </c>
      <c r="R179" s="257" t="str">
        <f t="shared" ca="1" si="33"/>
        <v/>
      </c>
      <c r="S179" s="248" t="str">
        <f t="shared" ca="1" si="44"/>
        <v/>
      </c>
      <c r="T179" s="92" t="str">
        <f t="shared" ca="1" si="44"/>
        <v/>
      </c>
      <c r="U179" s="92" t="str">
        <f t="shared" ca="1" si="41"/>
        <v/>
      </c>
      <c r="V179" s="92" t="str">
        <f t="shared" ca="1" si="41"/>
        <v/>
      </c>
      <c r="W179" s="92" t="str">
        <f t="shared" ca="1" si="41"/>
        <v/>
      </c>
      <c r="X179" s="257" t="str">
        <f t="shared" ca="1" si="41"/>
        <v/>
      </c>
      <c r="Y179" s="248" t="str">
        <f t="shared" ca="1" si="45"/>
        <v/>
      </c>
      <c r="Z179" s="92" t="str">
        <f t="shared" ca="1" si="45"/>
        <v/>
      </c>
      <c r="AA179" s="92" t="str">
        <f t="shared" ca="1" si="19"/>
        <v/>
      </c>
      <c r="AB179" s="345" t="str">
        <f t="shared" ca="1" si="42"/>
        <v/>
      </c>
      <c r="AC179" s="257" t="str">
        <f t="shared" ca="1" si="42"/>
        <v/>
      </c>
      <c r="AD179" s="248" t="str">
        <f t="shared" ca="1" si="34"/>
        <v/>
      </c>
      <c r="AE179" s="257" t="str">
        <f t="shared" ca="1" si="34"/>
        <v/>
      </c>
      <c r="AF179" s="248" t="str">
        <f t="shared" ca="1" si="34"/>
        <v/>
      </c>
      <c r="AG179" s="257" t="str">
        <f t="shared" ca="1" si="34"/>
        <v/>
      </c>
      <c r="AH179" s="92"/>
      <c r="AI179" s="92" t="str">
        <f t="shared" ca="1" si="20"/>
        <v/>
      </c>
      <c r="AK179" s="92">
        <f t="shared" ca="1" si="21"/>
        <v>0</v>
      </c>
      <c r="AL179" s="12">
        <f t="shared" ca="1" si="22"/>
        <v>0</v>
      </c>
      <c r="AM179" s="12">
        <f t="shared" ca="1" si="23"/>
        <v>0</v>
      </c>
      <c r="AN179" s="12">
        <f t="shared" ca="1" si="24"/>
        <v>0</v>
      </c>
      <c r="AO179" s="12">
        <f t="shared" ca="1" si="25"/>
        <v>0</v>
      </c>
      <c r="AP179" s="12" t="str">
        <f t="shared" ca="1" si="26"/>
        <v/>
      </c>
      <c r="AQ179" s="12" t="str">
        <f t="shared" ca="1" si="27"/>
        <v/>
      </c>
      <c r="AR179" s="12" t="str">
        <f t="shared" ca="1" si="28"/>
        <v/>
      </c>
      <c r="AS179" s="12" t="str">
        <f t="shared" ca="1" si="29"/>
        <v/>
      </c>
    </row>
    <row r="180" spans="1:45" ht="14.3">
      <c r="A180">
        <f t="shared" si="32"/>
        <v>349</v>
      </c>
      <c r="B180" t="str">
        <f t="shared" ca="1" si="11"/>
        <v xml:space="preserve"> </v>
      </c>
      <c r="C180" t="b">
        <f t="shared" ca="1" si="12"/>
        <v>0</v>
      </c>
      <c r="D180" s="248" t="str">
        <f t="shared" ca="1" si="38"/>
        <v/>
      </c>
      <c r="E180" s="92" t="str">
        <f t="shared" ca="1" si="13"/>
        <v/>
      </c>
      <c r="F180" s="92" t="str">
        <f t="shared" ca="1" si="14"/>
        <v/>
      </c>
      <c r="G180" s="257" t="str">
        <f t="shared" ca="1" si="39"/>
        <v/>
      </c>
      <c r="H180" s="248" t="str">
        <f t="shared" ca="1" si="39"/>
        <v/>
      </c>
      <c r="I180" s="92" t="str">
        <f t="shared" ca="1" si="39"/>
        <v/>
      </c>
      <c r="J180" s="92" t="str">
        <f t="shared" ca="1" si="16"/>
        <v/>
      </c>
      <c r="K180" s="92" t="str">
        <f t="shared" ca="1" si="43"/>
        <v/>
      </c>
      <c r="L180" s="92" t="str">
        <f t="shared" ca="1" si="43"/>
        <v/>
      </c>
      <c r="M180" s="258" t="str">
        <f t="shared" ca="1" si="43"/>
        <v/>
      </c>
      <c r="N180" s="259" t="str">
        <f t="shared" ca="1" si="40"/>
        <v/>
      </c>
      <c r="O180" s="92" t="str">
        <f t="shared" ca="1" si="40"/>
        <v/>
      </c>
      <c r="P180" s="92"/>
      <c r="Q180" s="92" t="str">
        <f t="shared" ca="1" si="33"/>
        <v/>
      </c>
      <c r="R180" s="257" t="str">
        <f t="shared" ca="1" si="33"/>
        <v/>
      </c>
      <c r="S180" s="248" t="str">
        <f t="shared" ca="1" si="44"/>
        <v/>
      </c>
      <c r="T180" s="92" t="str">
        <f t="shared" ca="1" si="44"/>
        <v/>
      </c>
      <c r="U180" s="92" t="str">
        <f t="shared" ca="1" si="41"/>
        <v/>
      </c>
      <c r="V180" s="92" t="str">
        <f t="shared" ca="1" si="41"/>
        <v/>
      </c>
      <c r="W180" s="92" t="str">
        <f t="shared" ca="1" si="41"/>
        <v/>
      </c>
      <c r="X180" s="257" t="str">
        <f t="shared" ca="1" si="41"/>
        <v/>
      </c>
      <c r="Y180" s="248" t="str">
        <f t="shared" ca="1" si="45"/>
        <v/>
      </c>
      <c r="Z180" s="92" t="str">
        <f t="shared" ca="1" si="45"/>
        <v/>
      </c>
      <c r="AA180" s="92" t="str">
        <f t="shared" ca="1" si="19"/>
        <v/>
      </c>
      <c r="AB180" s="345" t="str">
        <f t="shared" ca="1" si="42"/>
        <v/>
      </c>
      <c r="AC180" s="257" t="str">
        <f t="shared" ca="1" si="42"/>
        <v/>
      </c>
      <c r="AD180" s="248" t="str">
        <f t="shared" ca="1" si="34"/>
        <v/>
      </c>
      <c r="AE180" s="257" t="str">
        <f t="shared" ca="1" si="34"/>
        <v/>
      </c>
      <c r="AF180" s="248" t="str">
        <f t="shared" ca="1" si="34"/>
        <v/>
      </c>
      <c r="AG180" s="257" t="str">
        <f t="shared" ca="1" si="34"/>
        <v/>
      </c>
      <c r="AH180" s="92"/>
      <c r="AI180" s="92" t="str">
        <f t="shared" ca="1" si="20"/>
        <v/>
      </c>
      <c r="AK180" s="92">
        <f t="shared" ca="1" si="21"/>
        <v>0</v>
      </c>
      <c r="AL180" s="12">
        <f t="shared" ca="1" si="22"/>
        <v>0</v>
      </c>
      <c r="AM180" s="12">
        <f t="shared" ca="1" si="23"/>
        <v>0</v>
      </c>
      <c r="AN180" s="12">
        <f t="shared" ca="1" si="24"/>
        <v>0</v>
      </c>
      <c r="AO180" s="12">
        <f t="shared" ca="1" si="25"/>
        <v>0</v>
      </c>
      <c r="AP180" s="12" t="str">
        <f t="shared" ca="1" si="26"/>
        <v/>
      </c>
      <c r="AQ180" s="12" t="str">
        <f t="shared" ca="1" si="27"/>
        <v/>
      </c>
      <c r="AR180" s="12" t="str">
        <f t="shared" ca="1" si="28"/>
        <v/>
      </c>
      <c r="AS180" s="12" t="str">
        <f t="shared" ca="1" si="29"/>
        <v/>
      </c>
    </row>
    <row r="181" spans="1:45" ht="14.3">
      <c r="A181">
        <f t="shared" si="32"/>
        <v>354</v>
      </c>
      <c r="B181" t="str">
        <f t="shared" ca="1" si="11"/>
        <v xml:space="preserve"> </v>
      </c>
      <c r="C181" t="b">
        <f t="shared" ca="1" si="12"/>
        <v>0</v>
      </c>
      <c r="D181" s="248" t="str">
        <f t="shared" ca="1" si="38"/>
        <v/>
      </c>
      <c r="E181" s="92" t="str">
        <f t="shared" ca="1" si="13"/>
        <v/>
      </c>
      <c r="F181" s="92" t="str">
        <f t="shared" ca="1" si="14"/>
        <v/>
      </c>
      <c r="G181" s="257" t="str">
        <f t="shared" ca="1" si="39"/>
        <v/>
      </c>
      <c r="H181" s="248" t="str">
        <f t="shared" ca="1" si="39"/>
        <v/>
      </c>
      <c r="I181" s="92" t="str">
        <f t="shared" ca="1" si="39"/>
        <v/>
      </c>
      <c r="J181" s="92" t="str">
        <f t="shared" ca="1" si="16"/>
        <v/>
      </c>
      <c r="K181" s="92" t="str">
        <f t="shared" ca="1" si="43"/>
        <v/>
      </c>
      <c r="L181" s="92" t="str">
        <f t="shared" ca="1" si="43"/>
        <v/>
      </c>
      <c r="M181" s="258" t="str">
        <f t="shared" ca="1" si="43"/>
        <v/>
      </c>
      <c r="N181" s="259" t="str">
        <f t="shared" ca="1" si="40"/>
        <v/>
      </c>
      <c r="O181" s="92" t="str">
        <f t="shared" ca="1" si="40"/>
        <v/>
      </c>
      <c r="P181" s="92"/>
      <c r="Q181" s="92" t="str">
        <f t="shared" ca="1" si="33"/>
        <v/>
      </c>
      <c r="R181" s="257" t="str">
        <f t="shared" ca="1" si="33"/>
        <v/>
      </c>
      <c r="S181" s="248" t="str">
        <f t="shared" ca="1" si="44"/>
        <v/>
      </c>
      <c r="T181" s="92" t="str">
        <f t="shared" ca="1" si="44"/>
        <v/>
      </c>
      <c r="U181" s="92" t="str">
        <f t="shared" ca="1" si="41"/>
        <v/>
      </c>
      <c r="V181" s="92" t="str">
        <f t="shared" ca="1" si="41"/>
        <v/>
      </c>
      <c r="W181" s="92" t="str">
        <f t="shared" ca="1" si="41"/>
        <v/>
      </c>
      <c r="X181" s="257" t="str">
        <f t="shared" ca="1" si="41"/>
        <v/>
      </c>
      <c r="Y181" s="248" t="str">
        <f t="shared" ca="1" si="45"/>
        <v/>
      </c>
      <c r="Z181" s="92" t="str">
        <f t="shared" ca="1" si="45"/>
        <v/>
      </c>
      <c r="AA181" s="92" t="str">
        <f t="shared" ca="1" si="19"/>
        <v/>
      </c>
      <c r="AB181" s="345" t="str">
        <f t="shared" ca="1" si="42"/>
        <v/>
      </c>
      <c r="AC181" s="257" t="str">
        <f t="shared" ca="1" si="42"/>
        <v/>
      </c>
      <c r="AD181" s="248" t="str">
        <f t="shared" ca="1" si="34"/>
        <v/>
      </c>
      <c r="AE181" s="257" t="str">
        <f t="shared" ca="1" si="34"/>
        <v/>
      </c>
      <c r="AF181" s="248" t="str">
        <f t="shared" ca="1" si="34"/>
        <v/>
      </c>
      <c r="AG181" s="257" t="str">
        <f t="shared" ca="1" si="34"/>
        <v/>
      </c>
      <c r="AH181" s="92"/>
      <c r="AI181" s="92" t="str">
        <f t="shared" ca="1" si="20"/>
        <v/>
      </c>
      <c r="AK181" s="92">
        <f t="shared" ca="1" si="21"/>
        <v>0</v>
      </c>
      <c r="AL181" s="12">
        <f t="shared" ca="1" si="22"/>
        <v>0</v>
      </c>
      <c r="AM181" s="12">
        <f t="shared" ca="1" si="23"/>
        <v>0</v>
      </c>
      <c r="AN181" s="12">
        <f t="shared" ca="1" si="24"/>
        <v>0</v>
      </c>
      <c r="AO181" s="12">
        <f t="shared" ca="1" si="25"/>
        <v>0</v>
      </c>
      <c r="AP181" s="12" t="str">
        <f t="shared" ca="1" si="26"/>
        <v/>
      </c>
      <c r="AQ181" s="12" t="str">
        <f t="shared" ca="1" si="27"/>
        <v/>
      </c>
      <c r="AR181" s="12" t="str">
        <f t="shared" ca="1" si="28"/>
        <v/>
      </c>
      <c r="AS181" s="12" t="str">
        <f t="shared" ca="1" si="29"/>
        <v/>
      </c>
    </row>
    <row r="182" spans="1:45" ht="14.3">
      <c r="A182">
        <f t="shared" si="32"/>
        <v>359</v>
      </c>
      <c r="B182" t="str">
        <f t="shared" ca="1" si="11"/>
        <v xml:space="preserve"> </v>
      </c>
      <c r="C182" t="b">
        <f t="shared" ca="1" si="12"/>
        <v>0</v>
      </c>
      <c r="D182" s="248" t="str">
        <f t="shared" ca="1" si="38"/>
        <v/>
      </c>
      <c r="E182" s="92" t="str">
        <f t="shared" ca="1" si="13"/>
        <v/>
      </c>
      <c r="F182" s="92" t="str">
        <f t="shared" ca="1" si="14"/>
        <v/>
      </c>
      <c r="G182" s="257" t="str">
        <f t="shared" ca="1" si="39"/>
        <v/>
      </c>
      <c r="H182" s="248" t="str">
        <f t="shared" ca="1" si="39"/>
        <v/>
      </c>
      <c r="I182" s="92" t="str">
        <f t="shared" ca="1" si="39"/>
        <v/>
      </c>
      <c r="J182" s="92" t="str">
        <f t="shared" ca="1" si="16"/>
        <v/>
      </c>
      <c r="K182" s="92" t="str">
        <f t="shared" ref="K182:M201" ca="1" si="46">IF($C182=FALSE,"",INDIRECT("Installations!" &amp; K$120 &amp; $A182))</f>
        <v/>
      </c>
      <c r="L182" s="92" t="str">
        <f t="shared" ca="1" si="46"/>
        <v/>
      </c>
      <c r="M182" s="258" t="str">
        <f t="shared" ca="1" si="46"/>
        <v/>
      </c>
      <c r="N182" s="259" t="str">
        <f t="shared" ca="1" si="40"/>
        <v/>
      </c>
      <c r="O182" s="92" t="str">
        <f t="shared" ca="1" si="40"/>
        <v/>
      </c>
      <c r="P182" s="92"/>
      <c r="Q182" s="92" t="str">
        <f t="shared" ca="1" si="33"/>
        <v/>
      </c>
      <c r="R182" s="257" t="str">
        <f t="shared" ca="1" si="33"/>
        <v/>
      </c>
      <c r="S182" s="248" t="str">
        <f t="shared" ref="S182:T201" ca="1" si="47">IF($C182=FALSE,"",INDIRECT("Installations!" &amp; S$120 &amp; $A182+2))</f>
        <v/>
      </c>
      <c r="T182" s="92" t="str">
        <f t="shared" ca="1" si="47"/>
        <v/>
      </c>
      <c r="U182" s="92" t="str">
        <f t="shared" ca="1" si="41"/>
        <v/>
      </c>
      <c r="V182" s="92" t="str">
        <f t="shared" ca="1" si="41"/>
        <v/>
      </c>
      <c r="W182" s="92" t="str">
        <f t="shared" ca="1" si="41"/>
        <v/>
      </c>
      <c r="X182" s="257" t="str">
        <f t="shared" ca="1" si="41"/>
        <v/>
      </c>
      <c r="Y182" s="248" t="str">
        <f t="shared" ref="Y182:Z201" ca="1" si="48">IF($C182=FALSE,"",INDIRECT("Installations!" &amp; Y$120 &amp; $A182+2))</f>
        <v/>
      </c>
      <c r="Z182" s="92" t="str">
        <f t="shared" ca="1" si="48"/>
        <v/>
      </c>
      <c r="AA182" s="92" t="str">
        <f t="shared" ca="1" si="19"/>
        <v/>
      </c>
      <c r="AB182" s="345" t="str">
        <f t="shared" ca="1" si="42"/>
        <v/>
      </c>
      <c r="AC182" s="257" t="str">
        <f t="shared" ca="1" si="42"/>
        <v/>
      </c>
      <c r="AD182" s="248" t="str">
        <f t="shared" ca="1" si="34"/>
        <v/>
      </c>
      <c r="AE182" s="257" t="str">
        <f t="shared" ca="1" si="34"/>
        <v/>
      </c>
      <c r="AF182" s="248" t="str">
        <f t="shared" ca="1" si="34"/>
        <v/>
      </c>
      <c r="AG182" s="257" t="str">
        <f t="shared" ca="1" si="34"/>
        <v/>
      </c>
      <c r="AH182" s="92"/>
      <c r="AI182" s="92" t="str">
        <f t="shared" ca="1" si="20"/>
        <v/>
      </c>
      <c r="AK182" s="92">
        <f t="shared" ca="1" si="21"/>
        <v>0</v>
      </c>
      <c r="AL182" s="12">
        <f t="shared" ca="1" si="22"/>
        <v>0</v>
      </c>
      <c r="AM182" s="12">
        <f t="shared" ca="1" si="23"/>
        <v>0</v>
      </c>
      <c r="AN182" s="12">
        <f t="shared" ca="1" si="24"/>
        <v>0</v>
      </c>
      <c r="AO182" s="12">
        <f t="shared" ca="1" si="25"/>
        <v>0</v>
      </c>
      <c r="AP182" s="12" t="str">
        <f t="shared" ca="1" si="26"/>
        <v/>
      </c>
      <c r="AQ182" s="12" t="str">
        <f t="shared" ca="1" si="27"/>
        <v/>
      </c>
      <c r="AR182" s="12" t="str">
        <f t="shared" ca="1" si="28"/>
        <v/>
      </c>
      <c r="AS182" s="12" t="str">
        <f t="shared" ca="1" si="29"/>
        <v/>
      </c>
    </row>
    <row r="183" spans="1:45" ht="14.3">
      <c r="A183">
        <f t="shared" si="32"/>
        <v>364</v>
      </c>
      <c r="B183" t="str">
        <f t="shared" ca="1" si="11"/>
        <v xml:space="preserve"> </v>
      </c>
      <c r="C183" t="b">
        <f t="shared" ca="1" si="12"/>
        <v>0</v>
      </c>
      <c r="D183" s="248" t="str">
        <f t="shared" ca="1" si="38"/>
        <v/>
      </c>
      <c r="E183" s="92" t="str">
        <f t="shared" ca="1" si="13"/>
        <v/>
      </c>
      <c r="F183" s="92" t="str">
        <f t="shared" ca="1" si="14"/>
        <v/>
      </c>
      <c r="G183" s="257" t="str">
        <f t="shared" ca="1" si="39"/>
        <v/>
      </c>
      <c r="H183" s="248" t="str">
        <f t="shared" ca="1" si="39"/>
        <v/>
      </c>
      <c r="I183" s="92" t="str">
        <f t="shared" ca="1" si="39"/>
        <v/>
      </c>
      <c r="J183" s="92" t="str">
        <f t="shared" ca="1" si="16"/>
        <v/>
      </c>
      <c r="K183" s="92" t="str">
        <f t="shared" ca="1" si="46"/>
        <v/>
      </c>
      <c r="L183" s="92" t="str">
        <f t="shared" ca="1" si="46"/>
        <v/>
      </c>
      <c r="M183" s="258" t="str">
        <f t="shared" ca="1" si="46"/>
        <v/>
      </c>
      <c r="N183" s="259" t="str">
        <f t="shared" ca="1" si="40"/>
        <v/>
      </c>
      <c r="O183" s="92" t="str">
        <f t="shared" ca="1" si="40"/>
        <v/>
      </c>
      <c r="P183" s="92"/>
      <c r="Q183" s="92" t="str">
        <f t="shared" ca="1" si="33"/>
        <v/>
      </c>
      <c r="R183" s="257" t="str">
        <f t="shared" ca="1" si="33"/>
        <v/>
      </c>
      <c r="S183" s="248" t="str">
        <f t="shared" ca="1" si="47"/>
        <v/>
      </c>
      <c r="T183" s="92" t="str">
        <f t="shared" ca="1" si="47"/>
        <v/>
      </c>
      <c r="U183" s="92" t="str">
        <f t="shared" ca="1" si="41"/>
        <v/>
      </c>
      <c r="V183" s="92" t="str">
        <f t="shared" ca="1" si="41"/>
        <v/>
      </c>
      <c r="W183" s="92" t="str">
        <f t="shared" ca="1" si="41"/>
        <v/>
      </c>
      <c r="X183" s="257" t="str">
        <f t="shared" ca="1" si="41"/>
        <v/>
      </c>
      <c r="Y183" s="248" t="str">
        <f t="shared" ca="1" si="48"/>
        <v/>
      </c>
      <c r="Z183" s="92" t="str">
        <f t="shared" ca="1" si="48"/>
        <v/>
      </c>
      <c r="AA183" s="92" t="str">
        <f t="shared" ca="1" si="19"/>
        <v/>
      </c>
      <c r="AB183" s="345" t="str">
        <f t="shared" ca="1" si="42"/>
        <v/>
      </c>
      <c r="AC183" s="257" t="str">
        <f t="shared" ca="1" si="42"/>
        <v/>
      </c>
      <c r="AD183" s="248" t="str">
        <f t="shared" ca="1" si="34"/>
        <v/>
      </c>
      <c r="AE183" s="257" t="str">
        <f t="shared" ca="1" si="34"/>
        <v/>
      </c>
      <c r="AF183" s="248" t="str">
        <f t="shared" ca="1" si="34"/>
        <v/>
      </c>
      <c r="AG183" s="257" t="str">
        <f t="shared" ca="1" si="34"/>
        <v/>
      </c>
      <c r="AH183" s="92"/>
      <c r="AI183" s="92" t="str">
        <f t="shared" ca="1" si="20"/>
        <v/>
      </c>
      <c r="AK183" s="92">
        <f t="shared" ca="1" si="21"/>
        <v>0</v>
      </c>
      <c r="AL183" s="12">
        <f t="shared" ca="1" si="22"/>
        <v>0</v>
      </c>
      <c r="AM183" s="12">
        <f t="shared" ca="1" si="23"/>
        <v>0</v>
      </c>
      <c r="AN183" s="12">
        <f t="shared" ca="1" si="24"/>
        <v>0</v>
      </c>
      <c r="AO183" s="12">
        <f t="shared" ca="1" si="25"/>
        <v>0</v>
      </c>
      <c r="AP183" s="12" t="str">
        <f t="shared" ca="1" si="26"/>
        <v/>
      </c>
      <c r="AQ183" s="12" t="str">
        <f t="shared" ca="1" si="27"/>
        <v/>
      </c>
      <c r="AR183" s="12" t="str">
        <f t="shared" ca="1" si="28"/>
        <v/>
      </c>
      <c r="AS183" s="12" t="str">
        <f t="shared" ca="1" si="29"/>
        <v/>
      </c>
    </row>
    <row r="184" spans="1:45" ht="14.3">
      <c r="A184">
        <f t="shared" si="32"/>
        <v>369</v>
      </c>
      <c r="B184" t="str">
        <f t="shared" ca="1" si="11"/>
        <v xml:space="preserve"> </v>
      </c>
      <c r="C184" t="b">
        <f t="shared" ca="1" si="12"/>
        <v>0</v>
      </c>
      <c r="D184" s="248" t="str">
        <f t="shared" ca="1" si="38"/>
        <v/>
      </c>
      <c r="E184" s="92" t="str">
        <f t="shared" ca="1" si="13"/>
        <v/>
      </c>
      <c r="F184" s="92" t="str">
        <f t="shared" ca="1" si="14"/>
        <v/>
      </c>
      <c r="G184" s="257" t="str">
        <f t="shared" ca="1" si="39"/>
        <v/>
      </c>
      <c r="H184" s="248" t="str">
        <f t="shared" ca="1" si="39"/>
        <v/>
      </c>
      <c r="I184" s="92" t="str">
        <f t="shared" ca="1" si="39"/>
        <v/>
      </c>
      <c r="J184" s="92" t="str">
        <f t="shared" ca="1" si="16"/>
        <v/>
      </c>
      <c r="K184" s="92" t="str">
        <f t="shared" ca="1" si="46"/>
        <v/>
      </c>
      <c r="L184" s="92" t="str">
        <f t="shared" ca="1" si="46"/>
        <v/>
      </c>
      <c r="M184" s="258" t="str">
        <f t="shared" ca="1" si="46"/>
        <v/>
      </c>
      <c r="N184" s="259" t="str">
        <f t="shared" ca="1" si="40"/>
        <v/>
      </c>
      <c r="O184" s="92" t="str">
        <f t="shared" ca="1" si="40"/>
        <v/>
      </c>
      <c r="P184" s="92"/>
      <c r="Q184" s="92" t="str">
        <f t="shared" ca="1" si="33"/>
        <v/>
      </c>
      <c r="R184" s="257" t="str">
        <f t="shared" ca="1" si="33"/>
        <v/>
      </c>
      <c r="S184" s="248" t="str">
        <f t="shared" ca="1" si="47"/>
        <v/>
      </c>
      <c r="T184" s="92" t="str">
        <f t="shared" ca="1" si="47"/>
        <v/>
      </c>
      <c r="U184" s="92" t="str">
        <f t="shared" ca="1" si="41"/>
        <v/>
      </c>
      <c r="V184" s="92" t="str">
        <f t="shared" ca="1" si="41"/>
        <v/>
      </c>
      <c r="W184" s="92" t="str">
        <f t="shared" ca="1" si="41"/>
        <v/>
      </c>
      <c r="X184" s="257" t="str">
        <f t="shared" ca="1" si="41"/>
        <v/>
      </c>
      <c r="Y184" s="248" t="str">
        <f t="shared" ca="1" si="48"/>
        <v/>
      </c>
      <c r="Z184" s="92" t="str">
        <f t="shared" ca="1" si="48"/>
        <v/>
      </c>
      <c r="AA184" s="92" t="str">
        <f t="shared" ca="1" si="19"/>
        <v/>
      </c>
      <c r="AB184" s="345" t="str">
        <f t="shared" ref="AB184:AC208" ca="1" si="49">IF($C184=FALSE,"",INDIRECT("Installations!" &amp; AB$120 &amp; $A184+2))</f>
        <v/>
      </c>
      <c r="AC184" s="257" t="str">
        <f t="shared" ca="1" si="49"/>
        <v/>
      </c>
      <c r="AD184" s="248" t="str">
        <f t="shared" ca="1" si="34"/>
        <v/>
      </c>
      <c r="AE184" s="257" t="str">
        <f t="shared" ca="1" si="34"/>
        <v/>
      </c>
      <c r="AF184" s="248" t="str">
        <f t="shared" ca="1" si="34"/>
        <v/>
      </c>
      <c r="AG184" s="257" t="str">
        <f t="shared" ca="1" si="34"/>
        <v/>
      </c>
      <c r="AH184" s="92"/>
      <c r="AI184" s="92" t="str">
        <f t="shared" ca="1" si="20"/>
        <v/>
      </c>
      <c r="AK184" s="92">
        <f t="shared" ca="1" si="21"/>
        <v>0</v>
      </c>
      <c r="AL184" s="12">
        <f t="shared" ca="1" si="22"/>
        <v>0</v>
      </c>
      <c r="AM184" s="12">
        <f t="shared" ca="1" si="23"/>
        <v>0</v>
      </c>
      <c r="AN184" s="12">
        <f t="shared" ca="1" si="24"/>
        <v>0</v>
      </c>
      <c r="AO184" s="12">
        <f t="shared" ca="1" si="25"/>
        <v>0</v>
      </c>
      <c r="AP184" s="12" t="str">
        <f t="shared" ca="1" si="26"/>
        <v/>
      </c>
      <c r="AQ184" s="12" t="str">
        <f t="shared" ca="1" si="27"/>
        <v/>
      </c>
      <c r="AR184" s="12" t="str">
        <f t="shared" ca="1" si="28"/>
        <v/>
      </c>
      <c r="AS184" s="12" t="str">
        <f t="shared" ca="1" si="29"/>
        <v/>
      </c>
    </row>
    <row r="185" spans="1:45" ht="14.3">
      <c r="A185">
        <f t="shared" si="32"/>
        <v>374</v>
      </c>
      <c r="B185" t="str">
        <f t="shared" ca="1" si="11"/>
        <v xml:space="preserve"> </v>
      </c>
      <c r="C185" t="b">
        <f t="shared" ca="1" si="12"/>
        <v>0</v>
      </c>
      <c r="D185" s="248" t="str">
        <f t="shared" ca="1" si="38"/>
        <v/>
      </c>
      <c r="E185" s="92" t="str">
        <f t="shared" ca="1" si="13"/>
        <v/>
      </c>
      <c r="F185" s="92" t="str">
        <f t="shared" ca="1" si="14"/>
        <v/>
      </c>
      <c r="G185" s="257" t="str">
        <f t="shared" ca="1" si="39"/>
        <v/>
      </c>
      <c r="H185" s="248" t="str">
        <f t="shared" ca="1" si="39"/>
        <v/>
      </c>
      <c r="I185" s="92" t="str">
        <f t="shared" ca="1" si="39"/>
        <v/>
      </c>
      <c r="J185" s="92" t="str">
        <f t="shared" ca="1" si="16"/>
        <v/>
      </c>
      <c r="K185" s="92" t="str">
        <f t="shared" ca="1" si="46"/>
        <v/>
      </c>
      <c r="L185" s="92" t="str">
        <f t="shared" ca="1" si="46"/>
        <v/>
      </c>
      <c r="M185" s="258" t="str">
        <f t="shared" ca="1" si="46"/>
        <v/>
      </c>
      <c r="N185" s="259" t="str">
        <f t="shared" ca="1" si="40"/>
        <v/>
      </c>
      <c r="O185" s="92" t="str">
        <f t="shared" ca="1" si="40"/>
        <v/>
      </c>
      <c r="P185" s="92"/>
      <c r="Q185" s="92" t="str">
        <f t="shared" ca="1" si="33"/>
        <v/>
      </c>
      <c r="R185" s="257" t="str">
        <f t="shared" ca="1" si="33"/>
        <v/>
      </c>
      <c r="S185" s="248" t="str">
        <f t="shared" ca="1" si="47"/>
        <v/>
      </c>
      <c r="T185" s="92" t="str">
        <f t="shared" ca="1" si="47"/>
        <v/>
      </c>
      <c r="U185" s="92" t="str">
        <f t="shared" ca="1" si="41"/>
        <v/>
      </c>
      <c r="V185" s="92" t="str">
        <f t="shared" ca="1" si="41"/>
        <v/>
      </c>
      <c r="W185" s="92" t="str">
        <f t="shared" ca="1" si="41"/>
        <v/>
      </c>
      <c r="X185" s="257" t="str">
        <f t="shared" ca="1" si="41"/>
        <v/>
      </c>
      <c r="Y185" s="248" t="str">
        <f t="shared" ca="1" si="48"/>
        <v/>
      </c>
      <c r="Z185" s="92" t="str">
        <f t="shared" ca="1" si="48"/>
        <v/>
      </c>
      <c r="AA185" s="92" t="str">
        <f t="shared" ca="1" si="19"/>
        <v/>
      </c>
      <c r="AB185" s="345" t="str">
        <f t="shared" ca="1" si="49"/>
        <v/>
      </c>
      <c r="AC185" s="257" t="str">
        <f t="shared" ca="1" si="49"/>
        <v/>
      </c>
      <c r="AD185" s="248" t="str">
        <f t="shared" ca="1" si="34"/>
        <v/>
      </c>
      <c r="AE185" s="257" t="str">
        <f t="shared" ca="1" si="34"/>
        <v/>
      </c>
      <c r="AF185" s="248" t="str">
        <f t="shared" ca="1" si="34"/>
        <v/>
      </c>
      <c r="AG185" s="257" t="str">
        <f t="shared" ca="1" si="34"/>
        <v/>
      </c>
      <c r="AH185" s="92"/>
      <c r="AI185" s="92" t="str">
        <f t="shared" ca="1" si="20"/>
        <v/>
      </c>
      <c r="AK185" s="92">
        <f t="shared" ca="1" si="21"/>
        <v>0</v>
      </c>
      <c r="AL185" s="12">
        <f t="shared" ca="1" si="22"/>
        <v>0</v>
      </c>
      <c r="AM185" s="12">
        <f t="shared" ca="1" si="23"/>
        <v>0</v>
      </c>
      <c r="AN185" s="12">
        <f t="shared" ca="1" si="24"/>
        <v>0</v>
      </c>
      <c r="AO185" s="12">
        <f t="shared" ca="1" si="25"/>
        <v>0</v>
      </c>
      <c r="AP185" s="12" t="str">
        <f t="shared" ca="1" si="26"/>
        <v/>
      </c>
      <c r="AQ185" s="12" t="str">
        <f t="shared" ca="1" si="27"/>
        <v/>
      </c>
      <c r="AR185" s="12" t="str">
        <f t="shared" ca="1" si="28"/>
        <v/>
      </c>
      <c r="AS185" s="12" t="str">
        <f t="shared" ca="1" si="29"/>
        <v/>
      </c>
    </row>
    <row r="186" spans="1:45" ht="14.3">
      <c r="A186">
        <f t="shared" si="32"/>
        <v>379</v>
      </c>
      <c r="B186" t="str">
        <f t="shared" ca="1" si="11"/>
        <v xml:space="preserve"> </v>
      </c>
      <c r="C186" t="b">
        <f t="shared" ca="1" si="12"/>
        <v>0</v>
      </c>
      <c r="D186" s="248" t="str">
        <f t="shared" ref="D186:D217" ca="1" si="50">IF($C186=FALSE,"",INDIRECT("Installations!" &amp; D$120 &amp; $A186))</f>
        <v/>
      </c>
      <c r="E186" s="92" t="str">
        <f t="shared" ca="1" si="13"/>
        <v/>
      </c>
      <c r="F186" s="92" t="str">
        <f t="shared" ca="1" si="14"/>
        <v/>
      </c>
      <c r="G186" s="257" t="str">
        <f t="shared" ca="1" si="39"/>
        <v/>
      </c>
      <c r="H186" s="248" t="str">
        <f t="shared" ca="1" si="39"/>
        <v/>
      </c>
      <c r="I186" s="92" t="str">
        <f t="shared" ca="1" si="39"/>
        <v/>
      </c>
      <c r="J186" s="92" t="str">
        <f t="shared" ca="1" si="16"/>
        <v/>
      </c>
      <c r="K186" s="92" t="str">
        <f t="shared" ca="1" si="46"/>
        <v/>
      </c>
      <c r="L186" s="92" t="str">
        <f t="shared" ca="1" si="46"/>
        <v/>
      </c>
      <c r="M186" s="258" t="str">
        <f t="shared" ca="1" si="46"/>
        <v/>
      </c>
      <c r="N186" s="259" t="str">
        <f t="shared" ca="1" si="40"/>
        <v/>
      </c>
      <c r="O186" s="92" t="str">
        <f t="shared" ca="1" si="40"/>
        <v/>
      </c>
      <c r="P186" s="92"/>
      <c r="Q186" s="92" t="str">
        <f t="shared" ca="1" si="33"/>
        <v/>
      </c>
      <c r="R186" s="257" t="str">
        <f t="shared" ca="1" si="33"/>
        <v/>
      </c>
      <c r="S186" s="248" t="str">
        <f t="shared" ca="1" si="47"/>
        <v/>
      </c>
      <c r="T186" s="92" t="str">
        <f t="shared" ca="1" si="47"/>
        <v/>
      </c>
      <c r="U186" s="92" t="str">
        <f t="shared" ca="1" si="41"/>
        <v/>
      </c>
      <c r="V186" s="92" t="str">
        <f t="shared" ca="1" si="41"/>
        <v/>
      </c>
      <c r="W186" s="92" t="str">
        <f t="shared" ca="1" si="41"/>
        <v/>
      </c>
      <c r="X186" s="257" t="str">
        <f t="shared" ca="1" si="41"/>
        <v/>
      </c>
      <c r="Y186" s="248" t="str">
        <f t="shared" ca="1" si="48"/>
        <v/>
      </c>
      <c r="Z186" s="92" t="str">
        <f t="shared" ca="1" si="48"/>
        <v/>
      </c>
      <c r="AA186" s="92" t="str">
        <f t="shared" ca="1" si="19"/>
        <v/>
      </c>
      <c r="AB186" s="345" t="str">
        <f t="shared" ca="1" si="49"/>
        <v/>
      </c>
      <c r="AC186" s="257" t="str">
        <f t="shared" ca="1" si="49"/>
        <v/>
      </c>
      <c r="AD186" s="248" t="str">
        <f t="shared" ca="1" si="34"/>
        <v/>
      </c>
      <c r="AE186" s="257" t="str">
        <f t="shared" ca="1" si="34"/>
        <v/>
      </c>
      <c r="AF186" s="248" t="str">
        <f t="shared" ca="1" si="34"/>
        <v/>
      </c>
      <c r="AG186" s="257" t="str">
        <f t="shared" ca="1" si="34"/>
        <v/>
      </c>
      <c r="AH186" s="92"/>
      <c r="AI186" s="92" t="str">
        <f t="shared" ca="1" si="20"/>
        <v/>
      </c>
      <c r="AK186" s="92">
        <f t="shared" ca="1" si="21"/>
        <v>0</v>
      </c>
      <c r="AL186" s="12">
        <f t="shared" ca="1" si="22"/>
        <v>0</v>
      </c>
      <c r="AM186" s="12">
        <f t="shared" ca="1" si="23"/>
        <v>0</v>
      </c>
      <c r="AN186" s="12">
        <f t="shared" ca="1" si="24"/>
        <v>0</v>
      </c>
      <c r="AO186" s="12">
        <f t="shared" ca="1" si="25"/>
        <v>0</v>
      </c>
      <c r="AP186" s="12" t="str">
        <f t="shared" ca="1" si="26"/>
        <v/>
      </c>
      <c r="AQ186" s="12" t="str">
        <f t="shared" ca="1" si="27"/>
        <v/>
      </c>
      <c r="AR186" s="12" t="str">
        <f t="shared" ca="1" si="28"/>
        <v/>
      </c>
      <c r="AS186" s="12" t="str">
        <f t="shared" ca="1" si="29"/>
        <v/>
      </c>
    </row>
    <row r="187" spans="1:45" ht="14.3">
      <c r="A187">
        <f t="shared" si="32"/>
        <v>384</v>
      </c>
      <c r="B187" t="str">
        <f t="shared" ref="B187:B250" ca="1" si="51">INDIRECT("Installations!" &amp; B$121 &amp; $A187)</f>
        <v xml:space="preserve"> </v>
      </c>
      <c r="C187" t="b">
        <f t="shared" ref="C187:C250" ca="1" si="52">IF(INDIRECT("Installations!" &amp; C$121 &amp; $A187)=TRUE,TRUE,FALSE)</f>
        <v>0</v>
      </c>
      <c r="D187" s="248" t="str">
        <f t="shared" ca="1" si="50"/>
        <v/>
      </c>
      <c r="E187" s="92" t="str">
        <f t="shared" ref="E187:E250" ca="1" si="53">IF($C187=FALSE,"",INDIRECT("Installations!" &amp; E$120 &amp; $A187+1))</f>
        <v/>
      </c>
      <c r="F187" s="92" t="str">
        <f t="shared" ref="F187:F250" ca="1" si="54">IF($C187=FALSE,"",INDIRECT("Installations!" &amp; F$120 &amp; $A187+2))</f>
        <v/>
      </c>
      <c r="G187" s="257" t="str">
        <f t="shared" ref="G187:I218" ca="1" si="55">IF($C187=FALSE,"",INDIRECT("Installations!" &amp; G$120 &amp; $A187+1))</f>
        <v/>
      </c>
      <c r="H187" s="248" t="str">
        <f t="shared" ca="1" si="55"/>
        <v/>
      </c>
      <c r="I187" s="92" t="str">
        <f t="shared" ca="1" si="55"/>
        <v/>
      </c>
      <c r="J187" s="92" t="str">
        <f t="shared" ref="J187:J250" ca="1" si="56">IF($C187=FALSE,"",INDIRECT("Installations!" &amp; J$120 &amp; $A187+3))</f>
        <v/>
      </c>
      <c r="K187" s="92" t="str">
        <f t="shared" ca="1" si="46"/>
        <v/>
      </c>
      <c r="L187" s="92" t="str">
        <f t="shared" ca="1" si="46"/>
        <v/>
      </c>
      <c r="M187" s="258" t="str">
        <f t="shared" ca="1" si="46"/>
        <v/>
      </c>
      <c r="N187" s="259" t="str">
        <f t="shared" ref="N187:O218" ca="1" si="57">IF($C187=FALSE,"",INDIRECT("Installations!" &amp; N$120 &amp; $A187+1))</f>
        <v/>
      </c>
      <c r="O187" s="92" t="str">
        <f t="shared" ca="1" si="57"/>
        <v/>
      </c>
      <c r="P187" s="92"/>
      <c r="Q187" s="92" t="str">
        <f t="shared" ca="1" si="33"/>
        <v/>
      </c>
      <c r="R187" s="257" t="str">
        <f t="shared" ca="1" si="33"/>
        <v/>
      </c>
      <c r="S187" s="248" t="str">
        <f t="shared" ca="1" si="47"/>
        <v/>
      </c>
      <c r="T187" s="92" t="str">
        <f t="shared" ca="1" si="47"/>
        <v/>
      </c>
      <c r="U187" s="92" t="str">
        <f t="shared" ref="U187:X218" ca="1" si="58">IF($C187=FALSE,"",INDIRECT("Installations!" &amp; U$120 &amp; $A187+U$118))</f>
        <v/>
      </c>
      <c r="V187" s="92" t="str">
        <f t="shared" ca="1" si="58"/>
        <v/>
      </c>
      <c r="W187" s="92" t="str">
        <f t="shared" ca="1" si="58"/>
        <v/>
      </c>
      <c r="X187" s="257" t="str">
        <f t="shared" ca="1" si="58"/>
        <v/>
      </c>
      <c r="Y187" s="248" t="str">
        <f t="shared" ca="1" si="48"/>
        <v/>
      </c>
      <c r="Z187" s="92" t="str">
        <f t="shared" ca="1" si="48"/>
        <v/>
      </c>
      <c r="AA187" s="92" t="str">
        <f t="shared" ref="AA187:AA250" ca="1" si="59">IF($C187=FALSE,"",INDIRECT("Installations!" &amp; AA$120 &amp; $A187+AA$118))</f>
        <v/>
      </c>
      <c r="AB187" s="345" t="str">
        <f t="shared" ca="1" si="49"/>
        <v/>
      </c>
      <c r="AC187" s="257" t="str">
        <f t="shared" ca="1" si="49"/>
        <v/>
      </c>
      <c r="AD187" s="248" t="str">
        <f t="shared" ca="1" si="34"/>
        <v/>
      </c>
      <c r="AE187" s="257" t="str">
        <f t="shared" ca="1" si="34"/>
        <v/>
      </c>
      <c r="AF187" s="248" t="str">
        <f t="shared" ca="1" si="34"/>
        <v/>
      </c>
      <c r="AG187" s="257" t="str">
        <f t="shared" ca="1" si="34"/>
        <v/>
      </c>
      <c r="AH187" s="92"/>
      <c r="AI187" s="92" t="str">
        <f t="shared" ref="AI187:AI250" ca="1" si="60">T187</f>
        <v/>
      </c>
      <c r="AK187" s="92">
        <f t="shared" ref="AK187:AK250" ca="1" si="61">VLOOKUP(AI187,J$66:R$115,3,FALSE)</f>
        <v>0</v>
      </c>
      <c r="AL187" s="12">
        <f t="shared" ref="AL187:AL250" ca="1" si="62">VLOOKUP($AI187,$J$66:$R$115,5,FALSE)</f>
        <v>0</v>
      </c>
      <c r="AM187" s="12">
        <f t="shared" ref="AM187:AM250" ca="1" si="63">VLOOKUP($AI187,$J$66:$R$115,8,FALSE)</f>
        <v>0</v>
      </c>
      <c r="AN187" s="12">
        <f t="shared" ref="AN187:AN250" ca="1" si="64">VLOOKUP($AI187,$J$66:$R$115,6,FALSE)</f>
        <v>0</v>
      </c>
      <c r="AO187" s="12">
        <f t="shared" ref="AO187:AO250" ca="1" si="65">VLOOKUP($AI187,$J$66:$R$115,7,FALSE)</f>
        <v>0</v>
      </c>
      <c r="AP187" s="12" t="str">
        <f t="shared" ref="AP187:AP250" ca="1" si="66">VLOOKUP($AI187,$J$66:$R$115,9,FALSE)</f>
        <v/>
      </c>
      <c r="AQ187" s="12" t="str">
        <f t="shared" ref="AQ187:AQ250" ca="1" si="67">IFERROR(ROUND(IF($C187=FALSE,"",INDIRECT("Installations!" &amp; AQ$120 &amp; $A187)),0),"")</f>
        <v/>
      </c>
      <c r="AR187" s="12" t="str">
        <f t="shared" ref="AR187:AR250" ca="1" si="68">IF($C187=FALSE,"",INDIRECT("Installations!" &amp; AR$120 &amp; $A187+3))</f>
        <v/>
      </c>
      <c r="AS187" s="12" t="str">
        <f t="shared" ref="AS187:AS250" ca="1" si="69">IF($C187=FALSE,"",INDIRECT("Installations!" &amp; AS$120 &amp; $A187+2))</f>
        <v/>
      </c>
    </row>
    <row r="188" spans="1:45" ht="14.3">
      <c r="A188">
        <f t="shared" si="32"/>
        <v>389</v>
      </c>
      <c r="B188" t="str">
        <f t="shared" ca="1" si="51"/>
        <v xml:space="preserve"> </v>
      </c>
      <c r="C188" t="b">
        <f t="shared" ca="1" si="52"/>
        <v>0</v>
      </c>
      <c r="D188" s="248" t="str">
        <f t="shared" ca="1" si="50"/>
        <v/>
      </c>
      <c r="E188" s="92" t="str">
        <f t="shared" ca="1" si="53"/>
        <v/>
      </c>
      <c r="F188" s="92" t="str">
        <f t="shared" ca="1" si="54"/>
        <v/>
      </c>
      <c r="G188" s="257" t="str">
        <f t="shared" ca="1" si="55"/>
        <v/>
      </c>
      <c r="H188" s="248" t="str">
        <f t="shared" ca="1" si="55"/>
        <v/>
      </c>
      <c r="I188" s="92" t="str">
        <f t="shared" ca="1" si="55"/>
        <v/>
      </c>
      <c r="J188" s="92" t="str">
        <f t="shared" ca="1" si="56"/>
        <v/>
      </c>
      <c r="K188" s="92" t="str">
        <f t="shared" ca="1" si="46"/>
        <v/>
      </c>
      <c r="L188" s="92" t="str">
        <f t="shared" ca="1" si="46"/>
        <v/>
      </c>
      <c r="M188" s="258" t="str">
        <f t="shared" ca="1" si="46"/>
        <v/>
      </c>
      <c r="N188" s="259" t="str">
        <f t="shared" ca="1" si="57"/>
        <v/>
      </c>
      <c r="O188" s="92" t="str">
        <f t="shared" ca="1" si="57"/>
        <v/>
      </c>
      <c r="P188" s="92"/>
      <c r="Q188" s="92" t="str">
        <f t="shared" ca="1" si="33"/>
        <v/>
      </c>
      <c r="R188" s="257" t="str">
        <f t="shared" ca="1" si="33"/>
        <v/>
      </c>
      <c r="S188" s="248" t="str">
        <f t="shared" ca="1" si="47"/>
        <v/>
      </c>
      <c r="T188" s="92" t="str">
        <f t="shared" ca="1" si="47"/>
        <v/>
      </c>
      <c r="U188" s="92" t="str">
        <f t="shared" ca="1" si="58"/>
        <v/>
      </c>
      <c r="V188" s="92" t="str">
        <f t="shared" ca="1" si="58"/>
        <v/>
      </c>
      <c r="W188" s="92" t="str">
        <f t="shared" ca="1" si="58"/>
        <v/>
      </c>
      <c r="X188" s="257" t="str">
        <f t="shared" ca="1" si="58"/>
        <v/>
      </c>
      <c r="Y188" s="248" t="str">
        <f t="shared" ca="1" si="48"/>
        <v/>
      </c>
      <c r="Z188" s="92" t="str">
        <f t="shared" ca="1" si="48"/>
        <v/>
      </c>
      <c r="AA188" s="92" t="str">
        <f t="shared" ca="1" si="59"/>
        <v/>
      </c>
      <c r="AB188" s="345" t="str">
        <f t="shared" ca="1" si="49"/>
        <v/>
      </c>
      <c r="AC188" s="257" t="str">
        <f t="shared" ca="1" si="49"/>
        <v/>
      </c>
      <c r="AD188" s="248" t="str">
        <f t="shared" ca="1" si="34"/>
        <v/>
      </c>
      <c r="AE188" s="257" t="str">
        <f t="shared" ca="1" si="34"/>
        <v/>
      </c>
      <c r="AF188" s="248" t="str">
        <f t="shared" ca="1" si="34"/>
        <v/>
      </c>
      <c r="AG188" s="257" t="str">
        <f t="shared" ca="1" si="34"/>
        <v/>
      </c>
      <c r="AH188" s="92"/>
      <c r="AI188" s="92" t="str">
        <f t="shared" ca="1" si="60"/>
        <v/>
      </c>
      <c r="AK188" s="92">
        <f t="shared" ca="1" si="61"/>
        <v>0</v>
      </c>
      <c r="AL188" s="12">
        <f t="shared" ca="1" si="62"/>
        <v>0</v>
      </c>
      <c r="AM188" s="12">
        <f t="shared" ca="1" si="63"/>
        <v>0</v>
      </c>
      <c r="AN188" s="12">
        <f t="shared" ca="1" si="64"/>
        <v>0</v>
      </c>
      <c r="AO188" s="12">
        <f t="shared" ca="1" si="65"/>
        <v>0</v>
      </c>
      <c r="AP188" s="12" t="str">
        <f t="shared" ca="1" si="66"/>
        <v/>
      </c>
      <c r="AQ188" s="12" t="str">
        <f t="shared" ca="1" si="67"/>
        <v/>
      </c>
      <c r="AR188" s="12" t="str">
        <f t="shared" ca="1" si="68"/>
        <v/>
      </c>
      <c r="AS188" s="12" t="str">
        <f t="shared" ca="1" si="69"/>
        <v/>
      </c>
    </row>
    <row r="189" spans="1:45" ht="14.3">
      <c r="A189">
        <f t="shared" si="32"/>
        <v>394</v>
      </c>
      <c r="B189" t="str">
        <f t="shared" ca="1" si="51"/>
        <v xml:space="preserve"> </v>
      </c>
      <c r="C189" t="b">
        <f t="shared" ca="1" si="52"/>
        <v>0</v>
      </c>
      <c r="D189" s="248" t="str">
        <f t="shared" ca="1" si="50"/>
        <v/>
      </c>
      <c r="E189" s="92" t="str">
        <f t="shared" ca="1" si="53"/>
        <v/>
      </c>
      <c r="F189" s="92" t="str">
        <f t="shared" ca="1" si="54"/>
        <v/>
      </c>
      <c r="G189" s="257" t="str">
        <f t="shared" ca="1" si="55"/>
        <v/>
      </c>
      <c r="H189" s="248" t="str">
        <f t="shared" ca="1" si="55"/>
        <v/>
      </c>
      <c r="I189" s="92" t="str">
        <f t="shared" ca="1" si="55"/>
        <v/>
      </c>
      <c r="J189" s="92" t="str">
        <f t="shared" ca="1" si="56"/>
        <v/>
      </c>
      <c r="K189" s="92" t="str">
        <f t="shared" ca="1" si="46"/>
        <v/>
      </c>
      <c r="L189" s="92" t="str">
        <f t="shared" ca="1" si="46"/>
        <v/>
      </c>
      <c r="M189" s="258" t="str">
        <f t="shared" ca="1" si="46"/>
        <v/>
      </c>
      <c r="N189" s="259" t="str">
        <f t="shared" ca="1" si="57"/>
        <v/>
      </c>
      <c r="O189" s="92" t="str">
        <f t="shared" ca="1" si="57"/>
        <v/>
      </c>
      <c r="P189" s="92"/>
      <c r="Q189" s="92" t="str">
        <f t="shared" ca="1" si="33"/>
        <v/>
      </c>
      <c r="R189" s="257" t="str">
        <f t="shared" ca="1" si="33"/>
        <v/>
      </c>
      <c r="S189" s="248" t="str">
        <f t="shared" ca="1" si="47"/>
        <v/>
      </c>
      <c r="T189" s="92" t="str">
        <f t="shared" ca="1" si="47"/>
        <v/>
      </c>
      <c r="U189" s="92" t="str">
        <f t="shared" ca="1" si="58"/>
        <v/>
      </c>
      <c r="V189" s="92" t="str">
        <f t="shared" ca="1" si="58"/>
        <v/>
      </c>
      <c r="W189" s="92" t="str">
        <f t="shared" ca="1" si="58"/>
        <v/>
      </c>
      <c r="X189" s="257" t="str">
        <f t="shared" ca="1" si="58"/>
        <v/>
      </c>
      <c r="Y189" s="248" t="str">
        <f t="shared" ca="1" si="48"/>
        <v/>
      </c>
      <c r="Z189" s="92" t="str">
        <f t="shared" ca="1" si="48"/>
        <v/>
      </c>
      <c r="AA189" s="92" t="str">
        <f t="shared" ca="1" si="59"/>
        <v/>
      </c>
      <c r="AB189" s="345" t="str">
        <f t="shared" ca="1" si="49"/>
        <v/>
      </c>
      <c r="AC189" s="257" t="str">
        <f t="shared" ca="1" si="49"/>
        <v/>
      </c>
      <c r="AD189" s="248" t="str">
        <f t="shared" ca="1" si="34"/>
        <v/>
      </c>
      <c r="AE189" s="257" t="str">
        <f t="shared" ca="1" si="34"/>
        <v/>
      </c>
      <c r="AF189" s="248" t="str">
        <f t="shared" ca="1" si="34"/>
        <v/>
      </c>
      <c r="AG189" s="257" t="str">
        <f t="shared" ca="1" si="34"/>
        <v/>
      </c>
      <c r="AH189" s="92"/>
      <c r="AI189" s="92" t="str">
        <f t="shared" ca="1" si="60"/>
        <v/>
      </c>
      <c r="AK189" s="92">
        <f t="shared" ca="1" si="61"/>
        <v>0</v>
      </c>
      <c r="AL189" s="12">
        <f t="shared" ca="1" si="62"/>
        <v>0</v>
      </c>
      <c r="AM189" s="12">
        <f t="shared" ca="1" si="63"/>
        <v>0</v>
      </c>
      <c r="AN189" s="12">
        <f t="shared" ca="1" si="64"/>
        <v>0</v>
      </c>
      <c r="AO189" s="12">
        <f t="shared" ca="1" si="65"/>
        <v>0</v>
      </c>
      <c r="AP189" s="12" t="str">
        <f t="shared" ca="1" si="66"/>
        <v/>
      </c>
      <c r="AQ189" s="12" t="str">
        <f t="shared" ca="1" si="67"/>
        <v/>
      </c>
      <c r="AR189" s="12" t="str">
        <f t="shared" ca="1" si="68"/>
        <v/>
      </c>
      <c r="AS189" s="12" t="str">
        <f t="shared" ca="1" si="69"/>
        <v/>
      </c>
    </row>
    <row r="190" spans="1:45" ht="14.3">
      <c r="A190">
        <f>A189+5</f>
        <v>399</v>
      </c>
      <c r="B190" t="str">
        <f t="shared" ca="1" si="51"/>
        <v xml:space="preserve"> </v>
      </c>
      <c r="C190" t="b">
        <f t="shared" ca="1" si="52"/>
        <v>0</v>
      </c>
      <c r="D190" s="248" t="str">
        <f t="shared" ca="1" si="50"/>
        <v/>
      </c>
      <c r="E190" s="92" t="str">
        <f t="shared" ca="1" si="53"/>
        <v/>
      </c>
      <c r="F190" s="92" t="str">
        <f t="shared" ca="1" si="54"/>
        <v/>
      </c>
      <c r="G190" s="257" t="str">
        <f t="shared" ca="1" si="55"/>
        <v/>
      </c>
      <c r="H190" s="248" t="str">
        <f t="shared" ca="1" si="55"/>
        <v/>
      </c>
      <c r="I190" s="92" t="str">
        <f t="shared" ca="1" si="55"/>
        <v/>
      </c>
      <c r="J190" s="92" t="str">
        <f t="shared" ca="1" si="56"/>
        <v/>
      </c>
      <c r="K190" s="92" t="str">
        <f t="shared" ca="1" si="46"/>
        <v/>
      </c>
      <c r="L190" s="92" t="str">
        <f t="shared" ca="1" si="46"/>
        <v/>
      </c>
      <c r="M190" s="258" t="str">
        <f t="shared" ca="1" si="46"/>
        <v/>
      </c>
      <c r="N190" s="259" t="str">
        <f t="shared" ca="1" si="57"/>
        <v/>
      </c>
      <c r="O190" s="92" t="str">
        <f t="shared" ca="1" si="57"/>
        <v/>
      </c>
      <c r="P190" s="92"/>
      <c r="Q190" s="92" t="str">
        <f t="shared" ca="1" si="33"/>
        <v/>
      </c>
      <c r="R190" s="257" t="str">
        <f t="shared" ca="1" si="33"/>
        <v/>
      </c>
      <c r="S190" s="248" t="str">
        <f t="shared" ca="1" si="47"/>
        <v/>
      </c>
      <c r="T190" s="92" t="str">
        <f t="shared" ca="1" si="47"/>
        <v/>
      </c>
      <c r="U190" s="92" t="str">
        <f t="shared" ca="1" si="58"/>
        <v/>
      </c>
      <c r="V190" s="92" t="str">
        <f t="shared" ca="1" si="58"/>
        <v/>
      </c>
      <c r="W190" s="92" t="str">
        <f t="shared" ca="1" si="58"/>
        <v/>
      </c>
      <c r="X190" s="257" t="str">
        <f t="shared" ca="1" si="58"/>
        <v/>
      </c>
      <c r="Y190" s="248" t="str">
        <f t="shared" ca="1" si="48"/>
        <v/>
      </c>
      <c r="Z190" s="92" t="str">
        <f t="shared" ca="1" si="48"/>
        <v/>
      </c>
      <c r="AA190" s="92" t="str">
        <f t="shared" ca="1" si="59"/>
        <v/>
      </c>
      <c r="AB190" s="345" t="str">
        <f t="shared" ca="1" si="49"/>
        <v/>
      </c>
      <c r="AC190" s="257" t="str">
        <f t="shared" ca="1" si="49"/>
        <v/>
      </c>
      <c r="AD190" s="248" t="str">
        <f t="shared" ca="1" si="34"/>
        <v/>
      </c>
      <c r="AE190" s="257" t="str">
        <f t="shared" ca="1" si="34"/>
        <v/>
      </c>
      <c r="AF190" s="248" t="str">
        <f t="shared" ca="1" si="34"/>
        <v/>
      </c>
      <c r="AG190" s="257" t="str">
        <f t="shared" ca="1" si="34"/>
        <v/>
      </c>
      <c r="AH190" s="92"/>
      <c r="AI190" s="92" t="str">
        <f t="shared" ca="1" si="60"/>
        <v/>
      </c>
      <c r="AK190" s="92">
        <f t="shared" ca="1" si="61"/>
        <v>0</v>
      </c>
      <c r="AL190" s="12">
        <f t="shared" ca="1" si="62"/>
        <v>0</v>
      </c>
      <c r="AM190" s="12">
        <f t="shared" ca="1" si="63"/>
        <v>0</v>
      </c>
      <c r="AN190" s="12">
        <f t="shared" ca="1" si="64"/>
        <v>0</v>
      </c>
      <c r="AO190" s="12">
        <f t="shared" ca="1" si="65"/>
        <v>0</v>
      </c>
      <c r="AP190" s="12" t="str">
        <f t="shared" ca="1" si="66"/>
        <v/>
      </c>
      <c r="AQ190" s="12" t="str">
        <f t="shared" ca="1" si="67"/>
        <v/>
      </c>
      <c r="AR190" s="12" t="str">
        <f t="shared" ca="1" si="68"/>
        <v/>
      </c>
      <c r="AS190" s="12" t="str">
        <f t="shared" ca="1" si="69"/>
        <v/>
      </c>
    </row>
    <row r="191" spans="1:45" ht="14.3">
      <c r="A191" s="610">
        <f>A190+8</f>
        <v>407</v>
      </c>
      <c r="B191" t="str">
        <f t="shared" ca="1" si="51"/>
        <v xml:space="preserve"> </v>
      </c>
      <c r="C191" t="b">
        <f t="shared" ca="1" si="52"/>
        <v>0</v>
      </c>
      <c r="D191" s="248" t="str">
        <f t="shared" ca="1" si="50"/>
        <v/>
      </c>
      <c r="E191" s="92" t="str">
        <f t="shared" ca="1" si="53"/>
        <v/>
      </c>
      <c r="F191" s="92" t="str">
        <f t="shared" ca="1" si="54"/>
        <v/>
      </c>
      <c r="G191" s="257" t="str">
        <f t="shared" ca="1" si="55"/>
        <v/>
      </c>
      <c r="H191" s="248" t="str">
        <f t="shared" ca="1" si="55"/>
        <v/>
      </c>
      <c r="I191" s="92" t="str">
        <f t="shared" ca="1" si="55"/>
        <v/>
      </c>
      <c r="J191" s="92" t="str">
        <f t="shared" ca="1" si="56"/>
        <v/>
      </c>
      <c r="K191" s="92" t="str">
        <f t="shared" ca="1" si="46"/>
        <v/>
      </c>
      <c r="L191" s="92" t="str">
        <f t="shared" ca="1" si="46"/>
        <v/>
      </c>
      <c r="M191" s="258" t="str">
        <f t="shared" ca="1" si="46"/>
        <v/>
      </c>
      <c r="N191" s="259" t="str">
        <f t="shared" ca="1" si="57"/>
        <v/>
      </c>
      <c r="O191" s="92" t="str">
        <f t="shared" ca="1" si="57"/>
        <v/>
      </c>
      <c r="P191" s="92"/>
      <c r="Q191" s="92" t="str">
        <f t="shared" ca="1" si="33"/>
        <v/>
      </c>
      <c r="R191" s="257" t="str">
        <f t="shared" ca="1" si="33"/>
        <v/>
      </c>
      <c r="S191" s="248" t="str">
        <f t="shared" ca="1" si="47"/>
        <v/>
      </c>
      <c r="T191" s="92" t="str">
        <f t="shared" ca="1" si="47"/>
        <v/>
      </c>
      <c r="U191" s="92" t="str">
        <f t="shared" ca="1" si="58"/>
        <v/>
      </c>
      <c r="V191" s="92" t="str">
        <f t="shared" ca="1" si="58"/>
        <v/>
      </c>
      <c r="W191" s="92" t="str">
        <f t="shared" ca="1" si="58"/>
        <v/>
      </c>
      <c r="X191" s="257" t="str">
        <f t="shared" ca="1" si="58"/>
        <v/>
      </c>
      <c r="Y191" s="248" t="str">
        <f t="shared" ca="1" si="48"/>
        <v/>
      </c>
      <c r="Z191" s="92" t="str">
        <f t="shared" ca="1" si="48"/>
        <v/>
      </c>
      <c r="AA191" s="92" t="str">
        <f t="shared" ca="1" si="59"/>
        <v/>
      </c>
      <c r="AB191" s="345" t="str">
        <f t="shared" ca="1" si="49"/>
        <v/>
      </c>
      <c r="AC191" s="257" t="str">
        <f t="shared" ca="1" si="49"/>
        <v/>
      </c>
      <c r="AD191" s="248" t="str">
        <f t="shared" ca="1" si="34"/>
        <v/>
      </c>
      <c r="AE191" s="257" t="str">
        <f t="shared" ca="1" si="34"/>
        <v/>
      </c>
      <c r="AF191" s="248" t="str">
        <f t="shared" ca="1" si="34"/>
        <v/>
      </c>
      <c r="AG191" s="257" t="str">
        <f t="shared" ca="1" si="34"/>
        <v/>
      </c>
      <c r="AH191" s="92"/>
      <c r="AI191" s="92" t="str">
        <f t="shared" ca="1" si="60"/>
        <v/>
      </c>
      <c r="AK191" s="92">
        <f t="shared" ca="1" si="61"/>
        <v>0</v>
      </c>
      <c r="AL191" s="12">
        <f t="shared" ca="1" si="62"/>
        <v>0</v>
      </c>
      <c r="AM191" s="12">
        <f t="shared" ca="1" si="63"/>
        <v>0</v>
      </c>
      <c r="AN191" s="12">
        <f t="shared" ca="1" si="64"/>
        <v>0</v>
      </c>
      <c r="AO191" s="12">
        <f t="shared" ca="1" si="65"/>
        <v>0</v>
      </c>
      <c r="AP191" s="12" t="str">
        <f t="shared" ca="1" si="66"/>
        <v/>
      </c>
      <c r="AQ191" s="12" t="str">
        <f t="shared" ca="1" si="67"/>
        <v/>
      </c>
      <c r="AR191" s="12" t="str">
        <f t="shared" ca="1" si="68"/>
        <v/>
      </c>
      <c r="AS191" s="12" t="str">
        <f t="shared" ca="1" si="69"/>
        <v/>
      </c>
    </row>
    <row r="192" spans="1:45" ht="14.3">
      <c r="A192">
        <f>A191+5</f>
        <v>412</v>
      </c>
      <c r="B192" t="str">
        <f t="shared" ca="1" si="51"/>
        <v xml:space="preserve"> </v>
      </c>
      <c r="C192" t="b">
        <f t="shared" ca="1" si="52"/>
        <v>0</v>
      </c>
      <c r="D192" s="248" t="str">
        <f t="shared" ca="1" si="50"/>
        <v/>
      </c>
      <c r="E192" s="92" t="str">
        <f t="shared" ca="1" si="53"/>
        <v/>
      </c>
      <c r="F192" s="92" t="str">
        <f t="shared" ca="1" si="54"/>
        <v/>
      </c>
      <c r="G192" s="257" t="str">
        <f t="shared" ca="1" si="55"/>
        <v/>
      </c>
      <c r="H192" s="248" t="str">
        <f t="shared" ca="1" si="55"/>
        <v/>
      </c>
      <c r="I192" s="92" t="str">
        <f t="shared" ca="1" si="55"/>
        <v/>
      </c>
      <c r="J192" s="92" t="str">
        <f t="shared" ca="1" si="56"/>
        <v/>
      </c>
      <c r="K192" s="92" t="str">
        <f t="shared" ca="1" si="46"/>
        <v/>
      </c>
      <c r="L192" s="92" t="str">
        <f t="shared" ca="1" si="46"/>
        <v/>
      </c>
      <c r="M192" s="258" t="str">
        <f t="shared" ca="1" si="46"/>
        <v/>
      </c>
      <c r="N192" s="259" t="str">
        <f t="shared" ca="1" si="57"/>
        <v/>
      </c>
      <c r="O192" s="92" t="str">
        <f t="shared" ca="1" si="57"/>
        <v/>
      </c>
      <c r="P192" s="92"/>
      <c r="Q192" s="92" t="str">
        <f t="shared" ca="1" si="33"/>
        <v/>
      </c>
      <c r="R192" s="257" t="str">
        <f t="shared" ca="1" si="33"/>
        <v/>
      </c>
      <c r="S192" s="248" t="str">
        <f t="shared" ca="1" si="47"/>
        <v/>
      </c>
      <c r="T192" s="92" t="str">
        <f t="shared" ca="1" si="47"/>
        <v/>
      </c>
      <c r="U192" s="92" t="str">
        <f t="shared" ca="1" si="58"/>
        <v/>
      </c>
      <c r="V192" s="92" t="str">
        <f t="shared" ca="1" si="58"/>
        <v/>
      </c>
      <c r="W192" s="92" t="str">
        <f t="shared" ca="1" si="58"/>
        <v/>
      </c>
      <c r="X192" s="257" t="str">
        <f t="shared" ca="1" si="58"/>
        <v/>
      </c>
      <c r="Y192" s="248" t="str">
        <f t="shared" ca="1" si="48"/>
        <v/>
      </c>
      <c r="Z192" s="92" t="str">
        <f t="shared" ca="1" si="48"/>
        <v/>
      </c>
      <c r="AA192" s="92" t="str">
        <f t="shared" ca="1" si="59"/>
        <v/>
      </c>
      <c r="AB192" s="345" t="str">
        <f t="shared" ca="1" si="49"/>
        <v/>
      </c>
      <c r="AC192" s="257" t="str">
        <f t="shared" ca="1" si="49"/>
        <v/>
      </c>
      <c r="AD192" s="248" t="str">
        <f t="shared" ca="1" si="34"/>
        <v/>
      </c>
      <c r="AE192" s="257" t="str">
        <f t="shared" ca="1" si="34"/>
        <v/>
      </c>
      <c r="AF192" s="248" t="str">
        <f t="shared" ca="1" si="34"/>
        <v/>
      </c>
      <c r="AG192" s="257" t="str">
        <f t="shared" ca="1" si="34"/>
        <v/>
      </c>
      <c r="AH192" s="92"/>
      <c r="AI192" s="92" t="str">
        <f t="shared" ca="1" si="60"/>
        <v/>
      </c>
      <c r="AK192" s="92">
        <f t="shared" ca="1" si="61"/>
        <v>0</v>
      </c>
      <c r="AL192" s="12">
        <f t="shared" ca="1" si="62"/>
        <v>0</v>
      </c>
      <c r="AM192" s="12">
        <f t="shared" ca="1" si="63"/>
        <v>0</v>
      </c>
      <c r="AN192" s="12">
        <f t="shared" ca="1" si="64"/>
        <v>0</v>
      </c>
      <c r="AO192" s="12">
        <f t="shared" ca="1" si="65"/>
        <v>0</v>
      </c>
      <c r="AP192" s="12" t="str">
        <f t="shared" ca="1" si="66"/>
        <v/>
      </c>
      <c r="AQ192" s="12" t="str">
        <f t="shared" ca="1" si="67"/>
        <v/>
      </c>
      <c r="AR192" s="12" t="str">
        <f t="shared" ca="1" si="68"/>
        <v/>
      </c>
      <c r="AS192" s="12" t="str">
        <f t="shared" ca="1" si="69"/>
        <v/>
      </c>
    </row>
    <row r="193" spans="1:45" ht="14.3">
      <c r="A193">
        <f t="shared" si="32"/>
        <v>417</v>
      </c>
      <c r="B193" t="str">
        <f t="shared" ca="1" si="51"/>
        <v xml:space="preserve"> </v>
      </c>
      <c r="C193" t="b">
        <f t="shared" ca="1" si="52"/>
        <v>0</v>
      </c>
      <c r="D193" s="248" t="str">
        <f t="shared" ca="1" si="50"/>
        <v/>
      </c>
      <c r="E193" s="92" t="str">
        <f t="shared" ca="1" si="53"/>
        <v/>
      </c>
      <c r="F193" s="92" t="str">
        <f t="shared" ca="1" si="54"/>
        <v/>
      </c>
      <c r="G193" s="257" t="str">
        <f t="shared" ca="1" si="55"/>
        <v/>
      </c>
      <c r="H193" s="248" t="str">
        <f t="shared" ca="1" si="55"/>
        <v/>
      </c>
      <c r="I193" s="92" t="str">
        <f t="shared" ca="1" si="55"/>
        <v/>
      </c>
      <c r="J193" s="92" t="str">
        <f t="shared" ca="1" si="56"/>
        <v/>
      </c>
      <c r="K193" s="92" t="str">
        <f t="shared" ca="1" si="46"/>
        <v/>
      </c>
      <c r="L193" s="92" t="str">
        <f t="shared" ca="1" si="46"/>
        <v/>
      </c>
      <c r="M193" s="258" t="str">
        <f t="shared" ca="1" si="46"/>
        <v/>
      </c>
      <c r="N193" s="259" t="str">
        <f t="shared" ca="1" si="57"/>
        <v/>
      </c>
      <c r="O193" s="92" t="str">
        <f t="shared" ca="1" si="57"/>
        <v/>
      </c>
      <c r="P193" s="92"/>
      <c r="Q193" s="92" t="str">
        <f t="shared" ca="1" si="33"/>
        <v/>
      </c>
      <c r="R193" s="257" t="str">
        <f t="shared" ca="1" si="33"/>
        <v/>
      </c>
      <c r="S193" s="248" t="str">
        <f t="shared" ca="1" si="47"/>
        <v/>
      </c>
      <c r="T193" s="92" t="str">
        <f t="shared" ca="1" si="47"/>
        <v/>
      </c>
      <c r="U193" s="92" t="str">
        <f t="shared" ca="1" si="58"/>
        <v/>
      </c>
      <c r="V193" s="92" t="str">
        <f t="shared" ca="1" si="58"/>
        <v/>
      </c>
      <c r="W193" s="92" t="str">
        <f t="shared" ca="1" si="58"/>
        <v/>
      </c>
      <c r="X193" s="257" t="str">
        <f t="shared" ca="1" si="58"/>
        <v/>
      </c>
      <c r="Y193" s="248" t="str">
        <f t="shared" ca="1" si="48"/>
        <v/>
      </c>
      <c r="Z193" s="92" t="str">
        <f t="shared" ca="1" si="48"/>
        <v/>
      </c>
      <c r="AA193" s="92" t="str">
        <f t="shared" ca="1" si="59"/>
        <v/>
      </c>
      <c r="AB193" s="345" t="str">
        <f t="shared" ca="1" si="49"/>
        <v/>
      </c>
      <c r="AC193" s="257" t="str">
        <f t="shared" ca="1" si="49"/>
        <v/>
      </c>
      <c r="AD193" s="248" t="str">
        <f t="shared" ca="1" si="34"/>
        <v/>
      </c>
      <c r="AE193" s="257" t="str">
        <f t="shared" ca="1" si="34"/>
        <v/>
      </c>
      <c r="AF193" s="248" t="str">
        <f t="shared" ca="1" si="34"/>
        <v/>
      </c>
      <c r="AG193" s="257" t="str">
        <f t="shared" ca="1" si="34"/>
        <v/>
      </c>
      <c r="AH193" s="92"/>
      <c r="AI193" s="92" t="str">
        <f t="shared" ca="1" si="60"/>
        <v/>
      </c>
      <c r="AK193" s="92">
        <f t="shared" ca="1" si="61"/>
        <v>0</v>
      </c>
      <c r="AL193" s="12">
        <f t="shared" ca="1" si="62"/>
        <v>0</v>
      </c>
      <c r="AM193" s="12">
        <f t="shared" ca="1" si="63"/>
        <v>0</v>
      </c>
      <c r="AN193" s="12">
        <f t="shared" ca="1" si="64"/>
        <v>0</v>
      </c>
      <c r="AO193" s="12">
        <f t="shared" ca="1" si="65"/>
        <v>0</v>
      </c>
      <c r="AP193" s="12" t="str">
        <f t="shared" ca="1" si="66"/>
        <v/>
      </c>
      <c r="AQ193" s="12" t="str">
        <f t="shared" ca="1" si="67"/>
        <v/>
      </c>
      <c r="AR193" s="12" t="str">
        <f t="shared" ca="1" si="68"/>
        <v/>
      </c>
      <c r="AS193" s="12" t="str">
        <f t="shared" ca="1" si="69"/>
        <v/>
      </c>
    </row>
    <row r="194" spans="1:45" ht="14.3">
      <c r="A194">
        <f t="shared" si="32"/>
        <v>422</v>
      </c>
      <c r="B194" t="str">
        <f t="shared" ca="1" si="51"/>
        <v xml:space="preserve"> </v>
      </c>
      <c r="C194" t="b">
        <f t="shared" ca="1" si="52"/>
        <v>0</v>
      </c>
      <c r="D194" s="248" t="str">
        <f t="shared" ca="1" si="50"/>
        <v/>
      </c>
      <c r="E194" s="92" t="str">
        <f t="shared" ca="1" si="53"/>
        <v/>
      </c>
      <c r="F194" s="92" t="str">
        <f t="shared" ca="1" si="54"/>
        <v/>
      </c>
      <c r="G194" s="257" t="str">
        <f t="shared" ca="1" si="55"/>
        <v/>
      </c>
      <c r="H194" s="248" t="str">
        <f t="shared" ca="1" si="55"/>
        <v/>
      </c>
      <c r="I194" s="92" t="str">
        <f t="shared" ca="1" si="55"/>
        <v/>
      </c>
      <c r="J194" s="92" t="str">
        <f t="shared" ca="1" si="56"/>
        <v/>
      </c>
      <c r="K194" s="92" t="str">
        <f t="shared" ca="1" si="46"/>
        <v/>
      </c>
      <c r="L194" s="92" t="str">
        <f t="shared" ca="1" si="46"/>
        <v/>
      </c>
      <c r="M194" s="258" t="str">
        <f t="shared" ca="1" si="46"/>
        <v/>
      </c>
      <c r="N194" s="259" t="str">
        <f t="shared" ca="1" si="57"/>
        <v/>
      </c>
      <c r="O194" s="92" t="str">
        <f t="shared" ca="1" si="57"/>
        <v/>
      </c>
      <c r="P194" s="92"/>
      <c r="Q194" s="92" t="str">
        <f t="shared" ca="1" si="33"/>
        <v/>
      </c>
      <c r="R194" s="257" t="str">
        <f t="shared" ca="1" si="33"/>
        <v/>
      </c>
      <c r="S194" s="248" t="str">
        <f t="shared" ca="1" si="47"/>
        <v/>
      </c>
      <c r="T194" s="92" t="str">
        <f t="shared" ca="1" si="47"/>
        <v/>
      </c>
      <c r="U194" s="92" t="str">
        <f t="shared" ca="1" si="58"/>
        <v/>
      </c>
      <c r="V194" s="92" t="str">
        <f t="shared" ca="1" si="58"/>
        <v/>
      </c>
      <c r="W194" s="92" t="str">
        <f t="shared" ca="1" si="58"/>
        <v/>
      </c>
      <c r="X194" s="257" t="str">
        <f t="shared" ca="1" si="58"/>
        <v/>
      </c>
      <c r="Y194" s="248" t="str">
        <f t="shared" ca="1" si="48"/>
        <v/>
      </c>
      <c r="Z194" s="92" t="str">
        <f t="shared" ca="1" si="48"/>
        <v/>
      </c>
      <c r="AA194" s="92" t="str">
        <f t="shared" ca="1" si="59"/>
        <v/>
      </c>
      <c r="AB194" s="345" t="str">
        <f t="shared" ca="1" si="49"/>
        <v/>
      </c>
      <c r="AC194" s="257" t="str">
        <f t="shared" ca="1" si="49"/>
        <v/>
      </c>
      <c r="AD194" s="248" t="str">
        <f t="shared" ca="1" si="34"/>
        <v/>
      </c>
      <c r="AE194" s="257" t="str">
        <f t="shared" ca="1" si="34"/>
        <v/>
      </c>
      <c r="AF194" s="248" t="str">
        <f t="shared" ca="1" si="34"/>
        <v/>
      </c>
      <c r="AG194" s="257" t="str">
        <f t="shared" ca="1" si="34"/>
        <v/>
      </c>
      <c r="AH194" s="92"/>
      <c r="AI194" s="92" t="str">
        <f t="shared" ca="1" si="60"/>
        <v/>
      </c>
      <c r="AK194" s="92">
        <f t="shared" ca="1" si="61"/>
        <v>0</v>
      </c>
      <c r="AL194" s="12">
        <f t="shared" ca="1" si="62"/>
        <v>0</v>
      </c>
      <c r="AM194" s="12">
        <f t="shared" ca="1" si="63"/>
        <v>0</v>
      </c>
      <c r="AN194" s="12">
        <f t="shared" ca="1" si="64"/>
        <v>0</v>
      </c>
      <c r="AO194" s="12">
        <f t="shared" ca="1" si="65"/>
        <v>0</v>
      </c>
      <c r="AP194" s="12" t="str">
        <f t="shared" ca="1" si="66"/>
        <v/>
      </c>
      <c r="AQ194" s="12" t="str">
        <f t="shared" ca="1" si="67"/>
        <v/>
      </c>
      <c r="AR194" s="12" t="str">
        <f t="shared" ca="1" si="68"/>
        <v/>
      </c>
      <c r="AS194" s="12" t="str">
        <f t="shared" ca="1" si="69"/>
        <v/>
      </c>
    </row>
    <row r="195" spans="1:45" ht="14.3">
      <c r="A195">
        <f t="shared" si="32"/>
        <v>427</v>
      </c>
      <c r="B195" t="str">
        <f t="shared" ca="1" si="51"/>
        <v xml:space="preserve"> </v>
      </c>
      <c r="C195" t="b">
        <f t="shared" ca="1" si="52"/>
        <v>0</v>
      </c>
      <c r="D195" s="248" t="str">
        <f t="shared" ca="1" si="50"/>
        <v/>
      </c>
      <c r="E195" s="92" t="str">
        <f t="shared" ca="1" si="53"/>
        <v/>
      </c>
      <c r="F195" s="92" t="str">
        <f t="shared" ca="1" si="54"/>
        <v/>
      </c>
      <c r="G195" s="257" t="str">
        <f t="shared" ca="1" si="55"/>
        <v/>
      </c>
      <c r="H195" s="248" t="str">
        <f t="shared" ca="1" si="55"/>
        <v/>
      </c>
      <c r="I195" s="92" t="str">
        <f t="shared" ca="1" si="55"/>
        <v/>
      </c>
      <c r="J195" s="92" t="str">
        <f t="shared" ca="1" si="56"/>
        <v/>
      </c>
      <c r="K195" s="92" t="str">
        <f t="shared" ca="1" si="46"/>
        <v/>
      </c>
      <c r="L195" s="92" t="str">
        <f t="shared" ca="1" si="46"/>
        <v/>
      </c>
      <c r="M195" s="258" t="str">
        <f t="shared" ca="1" si="46"/>
        <v/>
      </c>
      <c r="N195" s="259" t="str">
        <f t="shared" ca="1" si="57"/>
        <v/>
      </c>
      <c r="O195" s="92" t="str">
        <f t="shared" ca="1" si="57"/>
        <v/>
      </c>
      <c r="P195" s="92"/>
      <c r="Q195" s="92" t="str">
        <f t="shared" ca="1" si="33"/>
        <v/>
      </c>
      <c r="R195" s="257" t="str">
        <f t="shared" ca="1" si="33"/>
        <v/>
      </c>
      <c r="S195" s="248" t="str">
        <f t="shared" ca="1" si="47"/>
        <v/>
      </c>
      <c r="T195" s="92" t="str">
        <f t="shared" ca="1" si="47"/>
        <v/>
      </c>
      <c r="U195" s="92" t="str">
        <f t="shared" ca="1" si="58"/>
        <v/>
      </c>
      <c r="V195" s="92" t="str">
        <f t="shared" ca="1" si="58"/>
        <v/>
      </c>
      <c r="W195" s="92" t="str">
        <f t="shared" ca="1" si="58"/>
        <v/>
      </c>
      <c r="X195" s="257" t="str">
        <f t="shared" ca="1" si="58"/>
        <v/>
      </c>
      <c r="Y195" s="248" t="str">
        <f t="shared" ca="1" si="48"/>
        <v/>
      </c>
      <c r="Z195" s="92" t="str">
        <f t="shared" ca="1" si="48"/>
        <v/>
      </c>
      <c r="AA195" s="92" t="str">
        <f t="shared" ca="1" si="59"/>
        <v/>
      </c>
      <c r="AB195" s="345" t="str">
        <f t="shared" ca="1" si="49"/>
        <v/>
      </c>
      <c r="AC195" s="257" t="str">
        <f t="shared" ca="1" si="49"/>
        <v/>
      </c>
      <c r="AD195" s="248" t="str">
        <f t="shared" ca="1" si="34"/>
        <v/>
      </c>
      <c r="AE195" s="257" t="str">
        <f t="shared" ca="1" si="34"/>
        <v/>
      </c>
      <c r="AF195" s="248" t="str">
        <f t="shared" ca="1" si="34"/>
        <v/>
      </c>
      <c r="AG195" s="257" t="str">
        <f t="shared" ca="1" si="34"/>
        <v/>
      </c>
      <c r="AH195" s="92"/>
      <c r="AI195" s="92" t="str">
        <f t="shared" ca="1" si="60"/>
        <v/>
      </c>
      <c r="AK195" s="92">
        <f t="shared" ca="1" si="61"/>
        <v>0</v>
      </c>
      <c r="AL195" s="12">
        <f t="shared" ca="1" si="62"/>
        <v>0</v>
      </c>
      <c r="AM195" s="12">
        <f t="shared" ca="1" si="63"/>
        <v>0</v>
      </c>
      <c r="AN195" s="12">
        <f t="shared" ca="1" si="64"/>
        <v>0</v>
      </c>
      <c r="AO195" s="12">
        <f t="shared" ca="1" si="65"/>
        <v>0</v>
      </c>
      <c r="AP195" s="12" t="str">
        <f t="shared" ca="1" si="66"/>
        <v/>
      </c>
      <c r="AQ195" s="12" t="str">
        <f t="shared" ca="1" si="67"/>
        <v/>
      </c>
      <c r="AR195" s="12" t="str">
        <f t="shared" ca="1" si="68"/>
        <v/>
      </c>
      <c r="AS195" s="12" t="str">
        <f t="shared" ca="1" si="69"/>
        <v/>
      </c>
    </row>
    <row r="196" spans="1:45" ht="14.3">
      <c r="A196">
        <f t="shared" si="32"/>
        <v>432</v>
      </c>
      <c r="B196" t="str">
        <f t="shared" ca="1" si="51"/>
        <v xml:space="preserve"> </v>
      </c>
      <c r="C196" t="b">
        <f t="shared" ca="1" si="52"/>
        <v>0</v>
      </c>
      <c r="D196" s="248" t="str">
        <f t="shared" ca="1" si="50"/>
        <v/>
      </c>
      <c r="E196" s="92" t="str">
        <f t="shared" ca="1" si="53"/>
        <v/>
      </c>
      <c r="F196" s="92" t="str">
        <f t="shared" ca="1" si="54"/>
        <v/>
      </c>
      <c r="G196" s="257" t="str">
        <f t="shared" ca="1" si="55"/>
        <v/>
      </c>
      <c r="H196" s="248" t="str">
        <f t="shared" ca="1" si="55"/>
        <v/>
      </c>
      <c r="I196" s="92" t="str">
        <f t="shared" ca="1" si="55"/>
        <v/>
      </c>
      <c r="J196" s="92" t="str">
        <f t="shared" ca="1" si="56"/>
        <v/>
      </c>
      <c r="K196" s="92" t="str">
        <f t="shared" ca="1" si="46"/>
        <v/>
      </c>
      <c r="L196" s="92" t="str">
        <f t="shared" ca="1" si="46"/>
        <v/>
      </c>
      <c r="M196" s="258" t="str">
        <f t="shared" ca="1" si="46"/>
        <v/>
      </c>
      <c r="N196" s="259" t="str">
        <f t="shared" ca="1" si="57"/>
        <v/>
      </c>
      <c r="O196" s="92" t="str">
        <f t="shared" ca="1" si="57"/>
        <v/>
      </c>
      <c r="P196" s="92"/>
      <c r="Q196" s="92" t="str">
        <f t="shared" ca="1" si="33"/>
        <v/>
      </c>
      <c r="R196" s="257" t="str">
        <f t="shared" ca="1" si="33"/>
        <v/>
      </c>
      <c r="S196" s="248" t="str">
        <f t="shared" ca="1" si="47"/>
        <v/>
      </c>
      <c r="T196" s="92" t="str">
        <f t="shared" ca="1" si="47"/>
        <v/>
      </c>
      <c r="U196" s="92" t="str">
        <f t="shared" ca="1" si="58"/>
        <v/>
      </c>
      <c r="V196" s="92" t="str">
        <f t="shared" ca="1" si="58"/>
        <v/>
      </c>
      <c r="W196" s="92" t="str">
        <f t="shared" ca="1" si="58"/>
        <v/>
      </c>
      <c r="X196" s="257" t="str">
        <f t="shared" ca="1" si="58"/>
        <v/>
      </c>
      <c r="Y196" s="248" t="str">
        <f t="shared" ca="1" si="48"/>
        <v/>
      </c>
      <c r="Z196" s="92" t="str">
        <f t="shared" ca="1" si="48"/>
        <v/>
      </c>
      <c r="AA196" s="92" t="str">
        <f t="shared" ca="1" si="59"/>
        <v/>
      </c>
      <c r="AB196" s="345" t="str">
        <f t="shared" ca="1" si="49"/>
        <v/>
      </c>
      <c r="AC196" s="257" t="str">
        <f t="shared" ca="1" si="49"/>
        <v/>
      </c>
      <c r="AD196" s="248" t="str">
        <f t="shared" ca="1" si="34"/>
        <v/>
      </c>
      <c r="AE196" s="257" t="str">
        <f t="shared" ca="1" si="34"/>
        <v/>
      </c>
      <c r="AF196" s="248" t="str">
        <f t="shared" ca="1" si="34"/>
        <v/>
      </c>
      <c r="AG196" s="257" t="str">
        <f t="shared" ca="1" si="34"/>
        <v/>
      </c>
      <c r="AH196" s="92"/>
      <c r="AI196" s="92" t="str">
        <f t="shared" ca="1" si="60"/>
        <v/>
      </c>
      <c r="AK196" s="92">
        <f t="shared" ca="1" si="61"/>
        <v>0</v>
      </c>
      <c r="AL196" s="12">
        <f t="shared" ca="1" si="62"/>
        <v>0</v>
      </c>
      <c r="AM196" s="12">
        <f t="shared" ca="1" si="63"/>
        <v>0</v>
      </c>
      <c r="AN196" s="12">
        <f t="shared" ca="1" si="64"/>
        <v>0</v>
      </c>
      <c r="AO196" s="12">
        <f t="shared" ca="1" si="65"/>
        <v>0</v>
      </c>
      <c r="AP196" s="12" t="str">
        <f t="shared" ca="1" si="66"/>
        <v/>
      </c>
      <c r="AQ196" s="12" t="str">
        <f t="shared" ca="1" si="67"/>
        <v/>
      </c>
      <c r="AR196" s="12" t="str">
        <f t="shared" ca="1" si="68"/>
        <v/>
      </c>
      <c r="AS196" s="12" t="str">
        <f t="shared" ca="1" si="69"/>
        <v/>
      </c>
    </row>
    <row r="197" spans="1:45" ht="14.3">
      <c r="A197">
        <f t="shared" si="32"/>
        <v>437</v>
      </c>
      <c r="B197" t="str">
        <f t="shared" ca="1" si="51"/>
        <v xml:space="preserve"> </v>
      </c>
      <c r="C197" t="b">
        <f t="shared" ca="1" si="52"/>
        <v>0</v>
      </c>
      <c r="D197" s="248" t="str">
        <f t="shared" ca="1" si="50"/>
        <v/>
      </c>
      <c r="E197" s="92" t="str">
        <f t="shared" ca="1" si="53"/>
        <v/>
      </c>
      <c r="F197" s="92" t="str">
        <f t="shared" ca="1" si="54"/>
        <v/>
      </c>
      <c r="G197" s="257" t="str">
        <f t="shared" ca="1" si="55"/>
        <v/>
      </c>
      <c r="H197" s="248" t="str">
        <f t="shared" ca="1" si="55"/>
        <v/>
      </c>
      <c r="I197" s="92" t="str">
        <f t="shared" ca="1" si="55"/>
        <v/>
      </c>
      <c r="J197" s="92" t="str">
        <f t="shared" ca="1" si="56"/>
        <v/>
      </c>
      <c r="K197" s="92" t="str">
        <f t="shared" ca="1" si="46"/>
        <v/>
      </c>
      <c r="L197" s="92" t="str">
        <f t="shared" ca="1" si="46"/>
        <v/>
      </c>
      <c r="M197" s="258" t="str">
        <f t="shared" ca="1" si="46"/>
        <v/>
      </c>
      <c r="N197" s="259" t="str">
        <f t="shared" ca="1" si="57"/>
        <v/>
      </c>
      <c r="O197" s="92" t="str">
        <f t="shared" ca="1" si="57"/>
        <v/>
      </c>
      <c r="P197" s="92"/>
      <c r="Q197" s="92" t="str">
        <f t="shared" ca="1" si="33"/>
        <v/>
      </c>
      <c r="R197" s="257" t="str">
        <f t="shared" ca="1" si="33"/>
        <v/>
      </c>
      <c r="S197" s="248" t="str">
        <f t="shared" ca="1" si="47"/>
        <v/>
      </c>
      <c r="T197" s="92" t="str">
        <f t="shared" ca="1" si="47"/>
        <v/>
      </c>
      <c r="U197" s="92" t="str">
        <f t="shared" ca="1" si="58"/>
        <v/>
      </c>
      <c r="V197" s="92" t="str">
        <f t="shared" ca="1" si="58"/>
        <v/>
      </c>
      <c r="W197" s="92" t="str">
        <f t="shared" ca="1" si="58"/>
        <v/>
      </c>
      <c r="X197" s="257" t="str">
        <f t="shared" ca="1" si="58"/>
        <v/>
      </c>
      <c r="Y197" s="248" t="str">
        <f t="shared" ca="1" si="48"/>
        <v/>
      </c>
      <c r="Z197" s="92" t="str">
        <f t="shared" ca="1" si="48"/>
        <v/>
      </c>
      <c r="AA197" s="92" t="str">
        <f t="shared" ca="1" si="59"/>
        <v/>
      </c>
      <c r="AB197" s="345" t="str">
        <f t="shared" ca="1" si="49"/>
        <v/>
      </c>
      <c r="AC197" s="257" t="str">
        <f t="shared" ca="1" si="49"/>
        <v/>
      </c>
      <c r="AD197" s="248" t="str">
        <f t="shared" ca="1" si="34"/>
        <v/>
      </c>
      <c r="AE197" s="257" t="str">
        <f t="shared" ca="1" si="34"/>
        <v/>
      </c>
      <c r="AF197" s="248" t="str">
        <f t="shared" ca="1" si="34"/>
        <v/>
      </c>
      <c r="AG197" s="257" t="str">
        <f t="shared" ca="1" si="34"/>
        <v/>
      </c>
      <c r="AH197" s="92"/>
      <c r="AI197" s="92" t="str">
        <f t="shared" ca="1" si="60"/>
        <v/>
      </c>
      <c r="AK197" s="92">
        <f t="shared" ca="1" si="61"/>
        <v>0</v>
      </c>
      <c r="AL197" s="12">
        <f t="shared" ca="1" si="62"/>
        <v>0</v>
      </c>
      <c r="AM197" s="12">
        <f t="shared" ca="1" si="63"/>
        <v>0</v>
      </c>
      <c r="AN197" s="12">
        <f t="shared" ca="1" si="64"/>
        <v>0</v>
      </c>
      <c r="AO197" s="12">
        <f t="shared" ca="1" si="65"/>
        <v>0</v>
      </c>
      <c r="AP197" s="12" t="str">
        <f t="shared" ca="1" si="66"/>
        <v/>
      </c>
      <c r="AQ197" s="12" t="str">
        <f t="shared" ca="1" si="67"/>
        <v/>
      </c>
      <c r="AR197" s="12" t="str">
        <f t="shared" ca="1" si="68"/>
        <v/>
      </c>
      <c r="AS197" s="12" t="str">
        <f t="shared" ca="1" si="69"/>
        <v/>
      </c>
    </row>
    <row r="198" spans="1:45" ht="14.3">
      <c r="A198">
        <f t="shared" ref="A198:A261" si="70">A197+5</f>
        <v>442</v>
      </c>
      <c r="B198" t="str">
        <f t="shared" ca="1" si="51"/>
        <v xml:space="preserve"> </v>
      </c>
      <c r="C198" t="b">
        <f t="shared" ca="1" si="52"/>
        <v>0</v>
      </c>
      <c r="D198" s="248" t="str">
        <f t="shared" ca="1" si="50"/>
        <v/>
      </c>
      <c r="E198" s="92" t="str">
        <f t="shared" ca="1" si="53"/>
        <v/>
      </c>
      <c r="F198" s="92" t="str">
        <f t="shared" ca="1" si="54"/>
        <v/>
      </c>
      <c r="G198" s="257" t="str">
        <f t="shared" ca="1" si="55"/>
        <v/>
      </c>
      <c r="H198" s="248" t="str">
        <f t="shared" ca="1" si="55"/>
        <v/>
      </c>
      <c r="I198" s="92" t="str">
        <f t="shared" ca="1" si="55"/>
        <v/>
      </c>
      <c r="J198" s="92" t="str">
        <f t="shared" ca="1" si="56"/>
        <v/>
      </c>
      <c r="K198" s="92" t="str">
        <f t="shared" ca="1" si="46"/>
        <v/>
      </c>
      <c r="L198" s="92" t="str">
        <f t="shared" ca="1" si="46"/>
        <v/>
      </c>
      <c r="M198" s="258" t="str">
        <f t="shared" ca="1" si="46"/>
        <v/>
      </c>
      <c r="N198" s="259" t="str">
        <f t="shared" ca="1" si="57"/>
        <v/>
      </c>
      <c r="O198" s="92" t="str">
        <f t="shared" ca="1" si="57"/>
        <v/>
      </c>
      <c r="P198" s="92"/>
      <c r="Q198" s="92" t="str">
        <f t="shared" ca="1" si="33"/>
        <v/>
      </c>
      <c r="R198" s="257" t="str">
        <f t="shared" ca="1" si="33"/>
        <v/>
      </c>
      <c r="S198" s="248" t="str">
        <f t="shared" ca="1" si="47"/>
        <v/>
      </c>
      <c r="T198" s="92" t="str">
        <f t="shared" ca="1" si="47"/>
        <v/>
      </c>
      <c r="U198" s="92" t="str">
        <f t="shared" ca="1" si="58"/>
        <v/>
      </c>
      <c r="V198" s="92" t="str">
        <f t="shared" ca="1" si="58"/>
        <v/>
      </c>
      <c r="W198" s="92" t="str">
        <f t="shared" ca="1" si="58"/>
        <v/>
      </c>
      <c r="X198" s="257" t="str">
        <f t="shared" ca="1" si="58"/>
        <v/>
      </c>
      <c r="Y198" s="248" t="str">
        <f t="shared" ca="1" si="48"/>
        <v/>
      </c>
      <c r="Z198" s="92" t="str">
        <f t="shared" ca="1" si="48"/>
        <v/>
      </c>
      <c r="AA198" s="92" t="str">
        <f t="shared" ca="1" si="59"/>
        <v/>
      </c>
      <c r="AB198" s="345" t="str">
        <f t="shared" ca="1" si="49"/>
        <v/>
      </c>
      <c r="AC198" s="257" t="str">
        <f t="shared" ca="1" si="49"/>
        <v/>
      </c>
      <c r="AD198" s="248" t="str">
        <f t="shared" ca="1" si="34"/>
        <v/>
      </c>
      <c r="AE198" s="257" t="str">
        <f t="shared" ca="1" si="34"/>
        <v/>
      </c>
      <c r="AF198" s="248" t="str">
        <f t="shared" ca="1" si="34"/>
        <v/>
      </c>
      <c r="AG198" s="257" t="str">
        <f t="shared" ca="1" si="34"/>
        <v/>
      </c>
      <c r="AH198" s="92"/>
      <c r="AI198" s="92" t="str">
        <f t="shared" ca="1" si="60"/>
        <v/>
      </c>
      <c r="AK198" s="92">
        <f t="shared" ca="1" si="61"/>
        <v>0</v>
      </c>
      <c r="AL198" s="12">
        <f t="shared" ca="1" si="62"/>
        <v>0</v>
      </c>
      <c r="AM198" s="12">
        <f t="shared" ca="1" si="63"/>
        <v>0</v>
      </c>
      <c r="AN198" s="12">
        <f t="shared" ca="1" si="64"/>
        <v>0</v>
      </c>
      <c r="AO198" s="12">
        <f t="shared" ca="1" si="65"/>
        <v>0</v>
      </c>
      <c r="AP198" s="12" t="str">
        <f t="shared" ca="1" si="66"/>
        <v/>
      </c>
      <c r="AQ198" s="12" t="str">
        <f t="shared" ca="1" si="67"/>
        <v/>
      </c>
      <c r="AR198" s="12" t="str">
        <f t="shared" ca="1" si="68"/>
        <v/>
      </c>
      <c r="AS198" s="12" t="str">
        <f t="shared" ca="1" si="69"/>
        <v/>
      </c>
    </row>
    <row r="199" spans="1:45" ht="14.3">
      <c r="A199">
        <f t="shared" si="70"/>
        <v>447</v>
      </c>
      <c r="B199" t="str">
        <f t="shared" ca="1" si="51"/>
        <v xml:space="preserve"> </v>
      </c>
      <c r="C199" t="b">
        <f t="shared" ca="1" si="52"/>
        <v>0</v>
      </c>
      <c r="D199" s="248" t="str">
        <f t="shared" ca="1" si="50"/>
        <v/>
      </c>
      <c r="E199" s="92" t="str">
        <f t="shared" ca="1" si="53"/>
        <v/>
      </c>
      <c r="F199" s="92" t="str">
        <f t="shared" ca="1" si="54"/>
        <v/>
      </c>
      <c r="G199" s="257" t="str">
        <f t="shared" ca="1" si="55"/>
        <v/>
      </c>
      <c r="H199" s="248" t="str">
        <f t="shared" ca="1" si="55"/>
        <v/>
      </c>
      <c r="I199" s="92" t="str">
        <f t="shared" ca="1" si="55"/>
        <v/>
      </c>
      <c r="J199" s="92" t="str">
        <f t="shared" ca="1" si="56"/>
        <v/>
      </c>
      <c r="K199" s="92" t="str">
        <f t="shared" ca="1" si="46"/>
        <v/>
      </c>
      <c r="L199" s="92" t="str">
        <f t="shared" ca="1" si="46"/>
        <v/>
      </c>
      <c r="M199" s="258" t="str">
        <f t="shared" ca="1" si="46"/>
        <v/>
      </c>
      <c r="N199" s="259" t="str">
        <f t="shared" ca="1" si="57"/>
        <v/>
      </c>
      <c r="O199" s="92" t="str">
        <f t="shared" ca="1" si="57"/>
        <v/>
      </c>
      <c r="P199" s="92"/>
      <c r="Q199" s="92" t="str">
        <f t="shared" ca="1" si="33"/>
        <v/>
      </c>
      <c r="R199" s="257" t="str">
        <f t="shared" ca="1" si="33"/>
        <v/>
      </c>
      <c r="S199" s="248" t="str">
        <f t="shared" ca="1" si="47"/>
        <v/>
      </c>
      <c r="T199" s="92" t="str">
        <f t="shared" ca="1" si="47"/>
        <v/>
      </c>
      <c r="U199" s="92" t="str">
        <f t="shared" ca="1" si="58"/>
        <v/>
      </c>
      <c r="V199" s="92" t="str">
        <f t="shared" ca="1" si="58"/>
        <v/>
      </c>
      <c r="W199" s="92" t="str">
        <f t="shared" ca="1" si="58"/>
        <v/>
      </c>
      <c r="X199" s="257" t="str">
        <f t="shared" ca="1" si="58"/>
        <v/>
      </c>
      <c r="Y199" s="248" t="str">
        <f t="shared" ca="1" si="48"/>
        <v/>
      </c>
      <c r="Z199" s="92" t="str">
        <f t="shared" ca="1" si="48"/>
        <v/>
      </c>
      <c r="AA199" s="92" t="str">
        <f t="shared" ca="1" si="59"/>
        <v/>
      </c>
      <c r="AB199" s="345" t="str">
        <f t="shared" ca="1" si="49"/>
        <v/>
      </c>
      <c r="AC199" s="257" t="str">
        <f t="shared" ca="1" si="49"/>
        <v/>
      </c>
      <c r="AD199" s="248" t="str">
        <f t="shared" ca="1" si="34"/>
        <v/>
      </c>
      <c r="AE199" s="257" t="str">
        <f t="shared" ca="1" si="34"/>
        <v/>
      </c>
      <c r="AF199" s="248" t="str">
        <f t="shared" ca="1" si="34"/>
        <v/>
      </c>
      <c r="AG199" s="257" t="str">
        <f t="shared" ca="1" si="34"/>
        <v/>
      </c>
      <c r="AH199" s="92"/>
      <c r="AI199" s="92" t="str">
        <f t="shared" ca="1" si="60"/>
        <v/>
      </c>
      <c r="AK199" s="92">
        <f t="shared" ca="1" si="61"/>
        <v>0</v>
      </c>
      <c r="AL199" s="12">
        <f t="shared" ca="1" si="62"/>
        <v>0</v>
      </c>
      <c r="AM199" s="12">
        <f t="shared" ca="1" si="63"/>
        <v>0</v>
      </c>
      <c r="AN199" s="12">
        <f t="shared" ca="1" si="64"/>
        <v>0</v>
      </c>
      <c r="AO199" s="12">
        <f t="shared" ca="1" si="65"/>
        <v>0</v>
      </c>
      <c r="AP199" s="12" t="str">
        <f t="shared" ca="1" si="66"/>
        <v/>
      </c>
      <c r="AQ199" s="12" t="str">
        <f t="shared" ca="1" si="67"/>
        <v/>
      </c>
      <c r="AR199" s="12" t="str">
        <f t="shared" ca="1" si="68"/>
        <v/>
      </c>
      <c r="AS199" s="12" t="str">
        <f t="shared" ca="1" si="69"/>
        <v/>
      </c>
    </row>
    <row r="200" spans="1:45" ht="14.3">
      <c r="A200">
        <f t="shared" si="70"/>
        <v>452</v>
      </c>
      <c r="B200" t="str">
        <f t="shared" ca="1" si="51"/>
        <v xml:space="preserve"> </v>
      </c>
      <c r="C200" t="b">
        <f t="shared" ca="1" si="52"/>
        <v>0</v>
      </c>
      <c r="D200" s="248" t="str">
        <f t="shared" ca="1" si="50"/>
        <v/>
      </c>
      <c r="E200" s="92" t="str">
        <f t="shared" ca="1" si="53"/>
        <v/>
      </c>
      <c r="F200" s="92" t="str">
        <f t="shared" ca="1" si="54"/>
        <v/>
      </c>
      <c r="G200" s="257" t="str">
        <f t="shared" ca="1" si="55"/>
        <v/>
      </c>
      <c r="H200" s="248" t="str">
        <f t="shared" ca="1" si="55"/>
        <v/>
      </c>
      <c r="I200" s="92" t="str">
        <f t="shared" ca="1" si="55"/>
        <v/>
      </c>
      <c r="J200" s="92" t="str">
        <f t="shared" ca="1" si="56"/>
        <v/>
      </c>
      <c r="K200" s="92" t="str">
        <f t="shared" ca="1" si="46"/>
        <v/>
      </c>
      <c r="L200" s="92" t="str">
        <f t="shared" ca="1" si="46"/>
        <v/>
      </c>
      <c r="M200" s="258" t="str">
        <f t="shared" ca="1" si="46"/>
        <v/>
      </c>
      <c r="N200" s="259" t="str">
        <f t="shared" ca="1" si="57"/>
        <v/>
      </c>
      <c r="O200" s="92" t="str">
        <f t="shared" ca="1" si="57"/>
        <v/>
      </c>
      <c r="P200" s="92"/>
      <c r="Q200" s="92" t="str">
        <f t="shared" ca="1" si="33"/>
        <v/>
      </c>
      <c r="R200" s="257" t="str">
        <f t="shared" ca="1" si="33"/>
        <v/>
      </c>
      <c r="S200" s="248" t="str">
        <f t="shared" ca="1" si="47"/>
        <v/>
      </c>
      <c r="T200" s="92" t="str">
        <f t="shared" ca="1" si="47"/>
        <v/>
      </c>
      <c r="U200" s="92" t="str">
        <f t="shared" ca="1" si="58"/>
        <v/>
      </c>
      <c r="V200" s="92" t="str">
        <f t="shared" ca="1" si="58"/>
        <v/>
      </c>
      <c r="W200" s="92" t="str">
        <f t="shared" ca="1" si="58"/>
        <v/>
      </c>
      <c r="X200" s="257" t="str">
        <f t="shared" ca="1" si="58"/>
        <v/>
      </c>
      <c r="Y200" s="248" t="str">
        <f t="shared" ca="1" si="48"/>
        <v/>
      </c>
      <c r="Z200" s="92" t="str">
        <f t="shared" ca="1" si="48"/>
        <v/>
      </c>
      <c r="AA200" s="92" t="str">
        <f t="shared" ca="1" si="59"/>
        <v/>
      </c>
      <c r="AB200" s="345" t="str">
        <f t="shared" ca="1" si="49"/>
        <v/>
      </c>
      <c r="AC200" s="257" t="str">
        <f t="shared" ca="1" si="49"/>
        <v/>
      </c>
      <c r="AD200" s="248" t="str">
        <f t="shared" ca="1" si="34"/>
        <v/>
      </c>
      <c r="AE200" s="257" t="str">
        <f t="shared" ca="1" si="34"/>
        <v/>
      </c>
      <c r="AF200" s="248" t="str">
        <f t="shared" ca="1" si="34"/>
        <v/>
      </c>
      <c r="AG200" s="257" t="str">
        <f t="shared" ca="1" si="34"/>
        <v/>
      </c>
      <c r="AH200" s="92"/>
      <c r="AI200" s="92" t="str">
        <f t="shared" ca="1" si="60"/>
        <v/>
      </c>
      <c r="AK200" s="92">
        <f t="shared" ca="1" si="61"/>
        <v>0</v>
      </c>
      <c r="AL200" s="12">
        <f t="shared" ca="1" si="62"/>
        <v>0</v>
      </c>
      <c r="AM200" s="12">
        <f t="shared" ca="1" si="63"/>
        <v>0</v>
      </c>
      <c r="AN200" s="12">
        <f t="shared" ca="1" si="64"/>
        <v>0</v>
      </c>
      <c r="AO200" s="12">
        <f t="shared" ca="1" si="65"/>
        <v>0</v>
      </c>
      <c r="AP200" s="12" t="str">
        <f t="shared" ca="1" si="66"/>
        <v/>
      </c>
      <c r="AQ200" s="12" t="str">
        <f t="shared" ca="1" si="67"/>
        <v/>
      </c>
      <c r="AR200" s="12" t="str">
        <f t="shared" ca="1" si="68"/>
        <v/>
      </c>
      <c r="AS200" s="12" t="str">
        <f t="shared" ca="1" si="69"/>
        <v/>
      </c>
    </row>
    <row r="201" spans="1:45" ht="14.3">
      <c r="A201">
        <f t="shared" si="70"/>
        <v>457</v>
      </c>
      <c r="B201" t="str">
        <f t="shared" ca="1" si="51"/>
        <v xml:space="preserve"> </v>
      </c>
      <c r="C201" t="b">
        <f t="shared" ca="1" si="52"/>
        <v>0</v>
      </c>
      <c r="D201" s="248" t="str">
        <f t="shared" ca="1" si="50"/>
        <v/>
      </c>
      <c r="E201" s="92" t="str">
        <f t="shared" ca="1" si="53"/>
        <v/>
      </c>
      <c r="F201" s="92" t="str">
        <f t="shared" ca="1" si="54"/>
        <v/>
      </c>
      <c r="G201" s="257" t="str">
        <f t="shared" ca="1" si="55"/>
        <v/>
      </c>
      <c r="H201" s="248" t="str">
        <f t="shared" ca="1" si="55"/>
        <v/>
      </c>
      <c r="I201" s="92" t="str">
        <f t="shared" ca="1" si="55"/>
        <v/>
      </c>
      <c r="J201" s="92" t="str">
        <f t="shared" ca="1" si="56"/>
        <v/>
      </c>
      <c r="K201" s="92" t="str">
        <f t="shared" ca="1" si="46"/>
        <v/>
      </c>
      <c r="L201" s="92" t="str">
        <f t="shared" ca="1" si="46"/>
        <v/>
      </c>
      <c r="M201" s="258" t="str">
        <f t="shared" ca="1" si="46"/>
        <v/>
      </c>
      <c r="N201" s="259" t="str">
        <f t="shared" ca="1" si="57"/>
        <v/>
      </c>
      <c r="O201" s="92" t="str">
        <f t="shared" ca="1" si="57"/>
        <v/>
      </c>
      <c r="P201" s="92"/>
      <c r="Q201" s="92" t="str">
        <f t="shared" ca="1" si="33"/>
        <v/>
      </c>
      <c r="R201" s="257" t="str">
        <f t="shared" ca="1" si="33"/>
        <v/>
      </c>
      <c r="S201" s="248" t="str">
        <f t="shared" ca="1" si="47"/>
        <v/>
      </c>
      <c r="T201" s="92" t="str">
        <f t="shared" ca="1" si="47"/>
        <v/>
      </c>
      <c r="U201" s="92" t="str">
        <f t="shared" ca="1" si="58"/>
        <v/>
      </c>
      <c r="V201" s="92" t="str">
        <f t="shared" ca="1" si="58"/>
        <v/>
      </c>
      <c r="W201" s="92" t="str">
        <f t="shared" ca="1" si="58"/>
        <v/>
      </c>
      <c r="X201" s="257" t="str">
        <f t="shared" ca="1" si="58"/>
        <v/>
      </c>
      <c r="Y201" s="248" t="str">
        <f t="shared" ca="1" si="48"/>
        <v/>
      </c>
      <c r="Z201" s="92" t="str">
        <f t="shared" ca="1" si="48"/>
        <v/>
      </c>
      <c r="AA201" s="92" t="str">
        <f t="shared" ca="1" si="59"/>
        <v/>
      </c>
      <c r="AB201" s="345" t="str">
        <f t="shared" ca="1" si="49"/>
        <v/>
      </c>
      <c r="AC201" s="257" t="str">
        <f t="shared" ca="1" si="49"/>
        <v/>
      </c>
      <c r="AD201" s="248" t="str">
        <f t="shared" ca="1" si="34"/>
        <v/>
      </c>
      <c r="AE201" s="257" t="str">
        <f t="shared" ca="1" si="34"/>
        <v/>
      </c>
      <c r="AF201" s="248" t="str">
        <f t="shared" ca="1" si="34"/>
        <v/>
      </c>
      <c r="AG201" s="257" t="str">
        <f t="shared" ref="AD201:AG264" ca="1" si="71">IF($C201=FALSE,"",INDIRECT("Installations!" &amp; AG$120 &amp; $A201))</f>
        <v/>
      </c>
      <c r="AH201" s="92"/>
      <c r="AI201" s="92" t="str">
        <f t="shared" ca="1" si="60"/>
        <v/>
      </c>
      <c r="AK201" s="92">
        <f t="shared" ca="1" si="61"/>
        <v>0</v>
      </c>
      <c r="AL201" s="12">
        <f t="shared" ca="1" si="62"/>
        <v>0</v>
      </c>
      <c r="AM201" s="12">
        <f t="shared" ca="1" si="63"/>
        <v>0</v>
      </c>
      <c r="AN201" s="12">
        <f t="shared" ca="1" si="64"/>
        <v>0</v>
      </c>
      <c r="AO201" s="12">
        <f t="shared" ca="1" si="65"/>
        <v>0</v>
      </c>
      <c r="AP201" s="12" t="str">
        <f t="shared" ca="1" si="66"/>
        <v/>
      </c>
      <c r="AQ201" s="12" t="str">
        <f t="shared" ca="1" si="67"/>
        <v/>
      </c>
      <c r="AR201" s="12" t="str">
        <f t="shared" ca="1" si="68"/>
        <v/>
      </c>
      <c r="AS201" s="12" t="str">
        <f t="shared" ca="1" si="69"/>
        <v/>
      </c>
    </row>
    <row r="202" spans="1:45" ht="14.3">
      <c r="A202">
        <f t="shared" si="70"/>
        <v>462</v>
      </c>
      <c r="B202" t="str">
        <f t="shared" ca="1" si="51"/>
        <v xml:space="preserve"> </v>
      </c>
      <c r="C202" t="b">
        <f t="shared" ca="1" si="52"/>
        <v>0</v>
      </c>
      <c r="D202" s="248" t="str">
        <f t="shared" ca="1" si="50"/>
        <v/>
      </c>
      <c r="E202" s="92" t="str">
        <f t="shared" ca="1" si="53"/>
        <v/>
      </c>
      <c r="F202" s="92" t="str">
        <f t="shared" ca="1" si="54"/>
        <v/>
      </c>
      <c r="G202" s="257" t="str">
        <f t="shared" ca="1" si="55"/>
        <v/>
      </c>
      <c r="H202" s="248" t="str">
        <f t="shared" ca="1" si="55"/>
        <v/>
      </c>
      <c r="I202" s="92" t="str">
        <f t="shared" ca="1" si="55"/>
        <v/>
      </c>
      <c r="J202" s="92" t="str">
        <f t="shared" ca="1" si="56"/>
        <v/>
      </c>
      <c r="K202" s="92" t="str">
        <f t="shared" ref="K202:M221" ca="1" si="72">IF($C202=FALSE,"",INDIRECT("Installations!" &amp; K$120 &amp; $A202))</f>
        <v/>
      </c>
      <c r="L202" s="92" t="str">
        <f t="shared" ca="1" si="72"/>
        <v/>
      </c>
      <c r="M202" s="258" t="str">
        <f t="shared" ca="1" si="72"/>
        <v/>
      </c>
      <c r="N202" s="259" t="str">
        <f t="shared" ca="1" si="57"/>
        <v/>
      </c>
      <c r="O202" s="92" t="str">
        <f t="shared" ca="1" si="57"/>
        <v/>
      </c>
      <c r="P202" s="92"/>
      <c r="Q202" s="92" t="str">
        <f t="shared" ref="Q202:R265" ca="1" si="73">IF($C202=FALSE,"",INDIRECT("Installations!" &amp; Q$120 &amp; $A202))</f>
        <v/>
      </c>
      <c r="R202" s="257" t="str">
        <f t="shared" ca="1" si="73"/>
        <v/>
      </c>
      <c r="S202" s="248" t="str">
        <f t="shared" ref="S202:T221" ca="1" si="74">IF($C202=FALSE,"",INDIRECT("Installations!" &amp; S$120 &amp; $A202+2))</f>
        <v/>
      </c>
      <c r="T202" s="92" t="str">
        <f t="shared" ca="1" si="74"/>
        <v/>
      </c>
      <c r="U202" s="92" t="str">
        <f t="shared" ca="1" si="58"/>
        <v/>
      </c>
      <c r="V202" s="92" t="str">
        <f t="shared" ca="1" si="58"/>
        <v/>
      </c>
      <c r="W202" s="92" t="str">
        <f t="shared" ca="1" si="58"/>
        <v/>
      </c>
      <c r="X202" s="257" t="str">
        <f t="shared" ca="1" si="58"/>
        <v/>
      </c>
      <c r="Y202" s="248" t="str">
        <f t="shared" ref="Y202:Z221" ca="1" si="75">IF($C202=FALSE,"",INDIRECT("Installations!" &amp; Y$120 &amp; $A202+2))</f>
        <v/>
      </c>
      <c r="Z202" s="92" t="str">
        <f t="shared" ca="1" si="75"/>
        <v/>
      </c>
      <c r="AA202" s="92" t="str">
        <f t="shared" ca="1" si="59"/>
        <v/>
      </c>
      <c r="AB202" s="345" t="str">
        <f t="shared" ca="1" si="49"/>
        <v/>
      </c>
      <c r="AC202" s="257" t="str">
        <f t="shared" ca="1" si="49"/>
        <v/>
      </c>
      <c r="AD202" s="248" t="str">
        <f t="shared" ca="1" si="71"/>
        <v/>
      </c>
      <c r="AE202" s="257" t="str">
        <f t="shared" ca="1" si="71"/>
        <v/>
      </c>
      <c r="AF202" s="248" t="str">
        <f t="shared" ca="1" si="71"/>
        <v/>
      </c>
      <c r="AG202" s="257" t="str">
        <f t="shared" ca="1" si="71"/>
        <v/>
      </c>
      <c r="AH202" s="92"/>
      <c r="AI202" s="92" t="str">
        <f t="shared" ca="1" si="60"/>
        <v/>
      </c>
      <c r="AK202" s="92">
        <f t="shared" ca="1" si="61"/>
        <v>0</v>
      </c>
      <c r="AL202" s="12">
        <f t="shared" ca="1" si="62"/>
        <v>0</v>
      </c>
      <c r="AM202" s="12">
        <f t="shared" ca="1" si="63"/>
        <v>0</v>
      </c>
      <c r="AN202" s="12">
        <f t="shared" ca="1" si="64"/>
        <v>0</v>
      </c>
      <c r="AO202" s="12">
        <f t="shared" ca="1" si="65"/>
        <v>0</v>
      </c>
      <c r="AP202" s="12" t="str">
        <f t="shared" ca="1" si="66"/>
        <v/>
      </c>
      <c r="AQ202" s="12" t="str">
        <f t="shared" ca="1" si="67"/>
        <v/>
      </c>
      <c r="AR202" s="12" t="str">
        <f t="shared" ca="1" si="68"/>
        <v/>
      </c>
      <c r="AS202" s="12" t="str">
        <f t="shared" ca="1" si="69"/>
        <v/>
      </c>
    </row>
    <row r="203" spans="1:45" ht="14.3">
      <c r="A203">
        <f t="shared" si="70"/>
        <v>467</v>
      </c>
      <c r="B203" t="str">
        <f t="shared" ca="1" si="51"/>
        <v xml:space="preserve"> </v>
      </c>
      <c r="C203" t="b">
        <f t="shared" ca="1" si="52"/>
        <v>0</v>
      </c>
      <c r="D203" s="248" t="str">
        <f t="shared" ca="1" si="50"/>
        <v/>
      </c>
      <c r="E203" s="92" t="str">
        <f t="shared" ca="1" si="53"/>
        <v/>
      </c>
      <c r="F203" s="92" t="str">
        <f t="shared" ca="1" si="54"/>
        <v/>
      </c>
      <c r="G203" s="257" t="str">
        <f t="shared" ca="1" si="55"/>
        <v/>
      </c>
      <c r="H203" s="248" t="str">
        <f t="shared" ca="1" si="55"/>
        <v/>
      </c>
      <c r="I203" s="92" t="str">
        <f t="shared" ca="1" si="55"/>
        <v/>
      </c>
      <c r="J203" s="92" t="str">
        <f t="shared" ca="1" si="56"/>
        <v/>
      </c>
      <c r="K203" s="92" t="str">
        <f t="shared" ca="1" si="72"/>
        <v/>
      </c>
      <c r="L203" s="92" t="str">
        <f t="shared" ca="1" si="72"/>
        <v/>
      </c>
      <c r="M203" s="258" t="str">
        <f t="shared" ca="1" si="72"/>
        <v/>
      </c>
      <c r="N203" s="259" t="str">
        <f t="shared" ca="1" si="57"/>
        <v/>
      </c>
      <c r="O203" s="92" t="str">
        <f t="shared" ca="1" si="57"/>
        <v/>
      </c>
      <c r="P203" s="92"/>
      <c r="Q203" s="92" t="str">
        <f t="shared" ca="1" si="73"/>
        <v/>
      </c>
      <c r="R203" s="257" t="str">
        <f t="shared" ca="1" si="73"/>
        <v/>
      </c>
      <c r="S203" s="248" t="str">
        <f t="shared" ca="1" si="74"/>
        <v/>
      </c>
      <c r="T203" s="92" t="str">
        <f t="shared" ca="1" si="74"/>
        <v/>
      </c>
      <c r="U203" s="92" t="str">
        <f t="shared" ca="1" si="58"/>
        <v/>
      </c>
      <c r="V203" s="92" t="str">
        <f t="shared" ca="1" si="58"/>
        <v/>
      </c>
      <c r="W203" s="92" t="str">
        <f t="shared" ca="1" si="58"/>
        <v/>
      </c>
      <c r="X203" s="257" t="str">
        <f t="shared" ca="1" si="58"/>
        <v/>
      </c>
      <c r="Y203" s="248" t="str">
        <f t="shared" ca="1" si="75"/>
        <v/>
      </c>
      <c r="Z203" s="92" t="str">
        <f t="shared" ca="1" si="75"/>
        <v/>
      </c>
      <c r="AA203" s="92" t="str">
        <f t="shared" ca="1" si="59"/>
        <v/>
      </c>
      <c r="AB203" s="345" t="str">
        <f t="shared" ca="1" si="49"/>
        <v/>
      </c>
      <c r="AC203" s="257" t="str">
        <f t="shared" ca="1" si="49"/>
        <v/>
      </c>
      <c r="AD203" s="248" t="str">
        <f t="shared" ca="1" si="71"/>
        <v/>
      </c>
      <c r="AE203" s="257" t="str">
        <f t="shared" ca="1" si="71"/>
        <v/>
      </c>
      <c r="AF203" s="248" t="str">
        <f t="shared" ca="1" si="71"/>
        <v/>
      </c>
      <c r="AG203" s="257" t="str">
        <f t="shared" ca="1" si="71"/>
        <v/>
      </c>
      <c r="AH203" s="92"/>
      <c r="AI203" s="92" t="str">
        <f t="shared" ca="1" si="60"/>
        <v/>
      </c>
      <c r="AK203" s="92">
        <f t="shared" ca="1" si="61"/>
        <v>0</v>
      </c>
      <c r="AL203" s="12">
        <f t="shared" ca="1" si="62"/>
        <v>0</v>
      </c>
      <c r="AM203" s="12">
        <f t="shared" ca="1" si="63"/>
        <v>0</v>
      </c>
      <c r="AN203" s="12">
        <f t="shared" ca="1" si="64"/>
        <v>0</v>
      </c>
      <c r="AO203" s="12">
        <f t="shared" ca="1" si="65"/>
        <v>0</v>
      </c>
      <c r="AP203" s="12" t="str">
        <f t="shared" ca="1" si="66"/>
        <v/>
      </c>
      <c r="AQ203" s="12" t="str">
        <f t="shared" ca="1" si="67"/>
        <v/>
      </c>
      <c r="AR203" s="12" t="str">
        <f t="shared" ca="1" si="68"/>
        <v/>
      </c>
      <c r="AS203" s="12" t="str">
        <f t="shared" ca="1" si="69"/>
        <v/>
      </c>
    </row>
    <row r="204" spans="1:45" ht="14.3">
      <c r="A204">
        <f t="shared" si="70"/>
        <v>472</v>
      </c>
      <c r="B204" t="str">
        <f t="shared" ca="1" si="51"/>
        <v xml:space="preserve"> </v>
      </c>
      <c r="C204" t="b">
        <f t="shared" ca="1" si="52"/>
        <v>0</v>
      </c>
      <c r="D204" s="248" t="str">
        <f t="shared" ca="1" si="50"/>
        <v/>
      </c>
      <c r="E204" s="92" t="str">
        <f t="shared" ca="1" si="53"/>
        <v/>
      </c>
      <c r="F204" s="92" t="str">
        <f t="shared" ca="1" si="54"/>
        <v/>
      </c>
      <c r="G204" s="257" t="str">
        <f t="shared" ca="1" si="55"/>
        <v/>
      </c>
      <c r="H204" s="248" t="str">
        <f t="shared" ca="1" si="55"/>
        <v/>
      </c>
      <c r="I204" s="92" t="str">
        <f t="shared" ca="1" si="55"/>
        <v/>
      </c>
      <c r="J204" s="92" t="str">
        <f t="shared" ca="1" si="56"/>
        <v/>
      </c>
      <c r="K204" s="92" t="str">
        <f t="shared" ca="1" si="72"/>
        <v/>
      </c>
      <c r="L204" s="92" t="str">
        <f t="shared" ca="1" si="72"/>
        <v/>
      </c>
      <c r="M204" s="258" t="str">
        <f t="shared" ca="1" si="72"/>
        <v/>
      </c>
      <c r="N204" s="259" t="str">
        <f t="shared" ca="1" si="57"/>
        <v/>
      </c>
      <c r="O204" s="92" t="str">
        <f t="shared" ca="1" si="57"/>
        <v/>
      </c>
      <c r="P204" s="92"/>
      <c r="Q204" s="92" t="str">
        <f t="shared" ca="1" si="73"/>
        <v/>
      </c>
      <c r="R204" s="257" t="str">
        <f t="shared" ca="1" si="73"/>
        <v/>
      </c>
      <c r="S204" s="248" t="str">
        <f t="shared" ca="1" si="74"/>
        <v/>
      </c>
      <c r="T204" s="92" t="str">
        <f t="shared" ca="1" si="74"/>
        <v/>
      </c>
      <c r="U204" s="92" t="str">
        <f t="shared" ca="1" si="58"/>
        <v/>
      </c>
      <c r="V204" s="92" t="str">
        <f t="shared" ca="1" si="58"/>
        <v/>
      </c>
      <c r="W204" s="92" t="str">
        <f t="shared" ca="1" si="58"/>
        <v/>
      </c>
      <c r="X204" s="257" t="str">
        <f t="shared" ca="1" si="58"/>
        <v/>
      </c>
      <c r="Y204" s="248" t="str">
        <f t="shared" ca="1" si="75"/>
        <v/>
      </c>
      <c r="Z204" s="92" t="str">
        <f t="shared" ca="1" si="75"/>
        <v/>
      </c>
      <c r="AA204" s="92" t="str">
        <f t="shared" ca="1" si="59"/>
        <v/>
      </c>
      <c r="AB204" s="345" t="str">
        <f t="shared" ca="1" si="49"/>
        <v/>
      </c>
      <c r="AC204" s="257" t="str">
        <f t="shared" ca="1" si="49"/>
        <v/>
      </c>
      <c r="AD204" s="248" t="str">
        <f t="shared" ca="1" si="71"/>
        <v/>
      </c>
      <c r="AE204" s="257" t="str">
        <f t="shared" ca="1" si="71"/>
        <v/>
      </c>
      <c r="AF204" s="248" t="str">
        <f t="shared" ca="1" si="71"/>
        <v/>
      </c>
      <c r="AG204" s="257" t="str">
        <f t="shared" ca="1" si="71"/>
        <v/>
      </c>
      <c r="AH204" s="92"/>
      <c r="AI204" s="92" t="str">
        <f t="shared" ca="1" si="60"/>
        <v/>
      </c>
      <c r="AK204" s="92">
        <f t="shared" ca="1" si="61"/>
        <v>0</v>
      </c>
      <c r="AL204" s="12">
        <f t="shared" ca="1" si="62"/>
        <v>0</v>
      </c>
      <c r="AM204" s="12">
        <f t="shared" ca="1" si="63"/>
        <v>0</v>
      </c>
      <c r="AN204" s="12">
        <f t="shared" ca="1" si="64"/>
        <v>0</v>
      </c>
      <c r="AO204" s="12">
        <f t="shared" ca="1" si="65"/>
        <v>0</v>
      </c>
      <c r="AP204" s="12" t="str">
        <f t="shared" ca="1" si="66"/>
        <v/>
      </c>
      <c r="AQ204" s="12" t="str">
        <f t="shared" ca="1" si="67"/>
        <v/>
      </c>
      <c r="AR204" s="12" t="str">
        <f t="shared" ca="1" si="68"/>
        <v/>
      </c>
      <c r="AS204" s="12" t="str">
        <f t="shared" ca="1" si="69"/>
        <v/>
      </c>
    </row>
    <row r="205" spans="1:45" ht="14.3">
      <c r="A205">
        <f>A204+5</f>
        <v>477</v>
      </c>
      <c r="B205" t="str">
        <f t="shared" ca="1" si="51"/>
        <v xml:space="preserve"> </v>
      </c>
      <c r="C205" t="b">
        <f t="shared" ca="1" si="52"/>
        <v>0</v>
      </c>
      <c r="D205" s="248" t="str">
        <f t="shared" ca="1" si="50"/>
        <v/>
      </c>
      <c r="E205" s="92" t="str">
        <f t="shared" ca="1" si="53"/>
        <v/>
      </c>
      <c r="F205" s="92" t="str">
        <f t="shared" ca="1" si="54"/>
        <v/>
      </c>
      <c r="G205" s="257" t="str">
        <f t="shared" ca="1" si="55"/>
        <v/>
      </c>
      <c r="H205" s="248" t="str">
        <f t="shared" ca="1" si="55"/>
        <v/>
      </c>
      <c r="I205" s="92" t="str">
        <f t="shared" ca="1" si="55"/>
        <v/>
      </c>
      <c r="J205" s="92" t="str">
        <f t="shared" ca="1" si="56"/>
        <v/>
      </c>
      <c r="K205" s="92" t="str">
        <f t="shared" ca="1" si="72"/>
        <v/>
      </c>
      <c r="L205" s="92" t="str">
        <f t="shared" ca="1" si="72"/>
        <v/>
      </c>
      <c r="M205" s="258" t="str">
        <f t="shared" ca="1" si="72"/>
        <v/>
      </c>
      <c r="N205" s="259" t="str">
        <f t="shared" ca="1" si="57"/>
        <v/>
      </c>
      <c r="O205" s="92" t="str">
        <f t="shared" ca="1" si="57"/>
        <v/>
      </c>
      <c r="P205" s="92"/>
      <c r="Q205" s="92" t="str">
        <f t="shared" ca="1" si="73"/>
        <v/>
      </c>
      <c r="R205" s="257" t="str">
        <f t="shared" ca="1" si="73"/>
        <v/>
      </c>
      <c r="S205" s="248" t="str">
        <f t="shared" ca="1" si="74"/>
        <v/>
      </c>
      <c r="T205" s="92" t="str">
        <f t="shared" ca="1" si="74"/>
        <v/>
      </c>
      <c r="U205" s="92" t="str">
        <f t="shared" ca="1" si="58"/>
        <v/>
      </c>
      <c r="V205" s="92" t="str">
        <f t="shared" ca="1" si="58"/>
        <v/>
      </c>
      <c r="W205" s="92" t="str">
        <f t="shared" ca="1" si="58"/>
        <v/>
      </c>
      <c r="X205" s="257" t="str">
        <f t="shared" ca="1" si="58"/>
        <v/>
      </c>
      <c r="Y205" s="248" t="str">
        <f t="shared" ca="1" si="75"/>
        <v/>
      </c>
      <c r="Z205" s="92" t="str">
        <f t="shared" ca="1" si="75"/>
        <v/>
      </c>
      <c r="AA205" s="92" t="str">
        <f t="shared" ca="1" si="59"/>
        <v/>
      </c>
      <c r="AB205" s="345" t="str">
        <f t="shared" ca="1" si="49"/>
        <v/>
      </c>
      <c r="AC205" s="257" t="str">
        <f t="shared" ca="1" si="49"/>
        <v/>
      </c>
      <c r="AD205" s="248" t="str">
        <f t="shared" ca="1" si="71"/>
        <v/>
      </c>
      <c r="AE205" s="257" t="str">
        <f t="shared" ca="1" si="71"/>
        <v/>
      </c>
      <c r="AF205" s="248" t="str">
        <f t="shared" ca="1" si="71"/>
        <v/>
      </c>
      <c r="AG205" s="257" t="str">
        <f t="shared" ca="1" si="71"/>
        <v/>
      </c>
      <c r="AH205" s="92"/>
      <c r="AI205" s="92" t="str">
        <f t="shared" ca="1" si="60"/>
        <v/>
      </c>
      <c r="AK205" s="92">
        <f t="shared" ca="1" si="61"/>
        <v>0</v>
      </c>
      <c r="AL205" s="12">
        <f t="shared" ca="1" si="62"/>
        <v>0</v>
      </c>
      <c r="AM205" s="12">
        <f t="shared" ca="1" si="63"/>
        <v>0</v>
      </c>
      <c r="AN205" s="12">
        <f t="shared" ca="1" si="64"/>
        <v>0</v>
      </c>
      <c r="AO205" s="12">
        <f t="shared" ca="1" si="65"/>
        <v>0</v>
      </c>
      <c r="AP205" s="12" t="str">
        <f t="shared" ca="1" si="66"/>
        <v/>
      </c>
      <c r="AQ205" s="12" t="str">
        <f t="shared" ca="1" si="67"/>
        <v/>
      </c>
      <c r="AR205" s="12" t="str">
        <f t="shared" ca="1" si="68"/>
        <v/>
      </c>
      <c r="AS205" s="12" t="str">
        <f t="shared" ca="1" si="69"/>
        <v/>
      </c>
    </row>
    <row r="206" spans="1:45" ht="14.3">
      <c r="A206" s="610">
        <f>A205+8</f>
        <v>485</v>
      </c>
      <c r="B206" t="str">
        <f t="shared" ca="1" si="51"/>
        <v xml:space="preserve"> </v>
      </c>
      <c r="C206" t="b">
        <f t="shared" ca="1" si="52"/>
        <v>0</v>
      </c>
      <c r="D206" s="248" t="str">
        <f t="shared" ca="1" si="50"/>
        <v/>
      </c>
      <c r="E206" s="92" t="str">
        <f t="shared" ca="1" si="53"/>
        <v/>
      </c>
      <c r="F206" s="92" t="str">
        <f t="shared" ca="1" si="54"/>
        <v/>
      </c>
      <c r="G206" s="257" t="str">
        <f t="shared" ca="1" si="55"/>
        <v/>
      </c>
      <c r="H206" s="248" t="str">
        <f t="shared" ca="1" si="55"/>
        <v/>
      </c>
      <c r="I206" s="92" t="str">
        <f t="shared" ca="1" si="55"/>
        <v/>
      </c>
      <c r="J206" s="92" t="str">
        <f t="shared" ca="1" si="56"/>
        <v/>
      </c>
      <c r="K206" s="92" t="str">
        <f t="shared" ca="1" si="72"/>
        <v/>
      </c>
      <c r="L206" s="92" t="str">
        <f t="shared" ca="1" si="72"/>
        <v/>
      </c>
      <c r="M206" s="258" t="str">
        <f t="shared" ca="1" si="72"/>
        <v/>
      </c>
      <c r="N206" s="259" t="str">
        <f t="shared" ca="1" si="57"/>
        <v/>
      </c>
      <c r="O206" s="92" t="str">
        <f t="shared" ca="1" si="57"/>
        <v/>
      </c>
      <c r="P206" s="92"/>
      <c r="Q206" s="92" t="str">
        <f t="shared" ca="1" si="73"/>
        <v/>
      </c>
      <c r="R206" s="257" t="str">
        <f t="shared" ca="1" si="73"/>
        <v/>
      </c>
      <c r="S206" s="248" t="str">
        <f t="shared" ca="1" si="74"/>
        <v/>
      </c>
      <c r="T206" s="92" t="str">
        <f t="shared" ca="1" si="74"/>
        <v/>
      </c>
      <c r="U206" s="92" t="str">
        <f t="shared" ca="1" si="58"/>
        <v/>
      </c>
      <c r="V206" s="92" t="str">
        <f t="shared" ca="1" si="58"/>
        <v/>
      </c>
      <c r="W206" s="92" t="str">
        <f t="shared" ca="1" si="58"/>
        <v/>
      </c>
      <c r="X206" s="257" t="str">
        <f t="shared" ca="1" si="58"/>
        <v/>
      </c>
      <c r="Y206" s="248" t="str">
        <f t="shared" ca="1" si="75"/>
        <v/>
      </c>
      <c r="Z206" s="92" t="str">
        <f t="shared" ca="1" si="75"/>
        <v/>
      </c>
      <c r="AA206" s="92" t="str">
        <f t="shared" ca="1" si="59"/>
        <v/>
      </c>
      <c r="AB206" s="345" t="str">
        <f t="shared" ca="1" si="49"/>
        <v/>
      </c>
      <c r="AC206" s="257" t="str">
        <f t="shared" ca="1" si="49"/>
        <v/>
      </c>
      <c r="AD206" s="248" t="str">
        <f t="shared" ca="1" si="71"/>
        <v/>
      </c>
      <c r="AE206" s="257" t="str">
        <f t="shared" ca="1" si="71"/>
        <v/>
      </c>
      <c r="AF206" s="248" t="str">
        <f t="shared" ca="1" si="71"/>
        <v/>
      </c>
      <c r="AG206" s="257" t="str">
        <f t="shared" ca="1" si="71"/>
        <v/>
      </c>
      <c r="AH206" s="92"/>
      <c r="AI206" s="92" t="str">
        <f t="shared" ca="1" si="60"/>
        <v/>
      </c>
      <c r="AK206" s="92">
        <f t="shared" ca="1" si="61"/>
        <v>0</v>
      </c>
      <c r="AL206" s="12">
        <f t="shared" ca="1" si="62"/>
        <v>0</v>
      </c>
      <c r="AM206" s="12">
        <f t="shared" ca="1" si="63"/>
        <v>0</v>
      </c>
      <c r="AN206" s="12">
        <f t="shared" ca="1" si="64"/>
        <v>0</v>
      </c>
      <c r="AO206" s="12">
        <f t="shared" ca="1" si="65"/>
        <v>0</v>
      </c>
      <c r="AP206" s="12" t="str">
        <f t="shared" ca="1" si="66"/>
        <v/>
      </c>
      <c r="AQ206" s="12" t="str">
        <f t="shared" ca="1" si="67"/>
        <v/>
      </c>
      <c r="AR206" s="12" t="str">
        <f t="shared" ca="1" si="68"/>
        <v/>
      </c>
      <c r="AS206" s="12" t="str">
        <f t="shared" ca="1" si="69"/>
        <v/>
      </c>
    </row>
    <row r="207" spans="1:45" ht="14.3">
      <c r="A207">
        <f>A206+5</f>
        <v>490</v>
      </c>
      <c r="B207" t="str">
        <f t="shared" ca="1" si="51"/>
        <v xml:space="preserve"> </v>
      </c>
      <c r="C207" t="b">
        <f t="shared" ca="1" si="52"/>
        <v>0</v>
      </c>
      <c r="D207" s="248" t="str">
        <f t="shared" ca="1" si="50"/>
        <v/>
      </c>
      <c r="E207" s="92" t="str">
        <f t="shared" ca="1" si="53"/>
        <v/>
      </c>
      <c r="F207" s="92" t="str">
        <f t="shared" ca="1" si="54"/>
        <v/>
      </c>
      <c r="G207" s="257" t="str">
        <f t="shared" ca="1" si="55"/>
        <v/>
      </c>
      <c r="H207" s="248" t="str">
        <f t="shared" ca="1" si="55"/>
        <v/>
      </c>
      <c r="I207" s="92" t="str">
        <f t="shared" ca="1" si="55"/>
        <v/>
      </c>
      <c r="J207" s="92" t="str">
        <f t="shared" ca="1" si="56"/>
        <v/>
      </c>
      <c r="K207" s="92" t="str">
        <f t="shared" ca="1" si="72"/>
        <v/>
      </c>
      <c r="L207" s="92" t="str">
        <f t="shared" ca="1" si="72"/>
        <v/>
      </c>
      <c r="M207" s="258" t="str">
        <f t="shared" ca="1" si="72"/>
        <v/>
      </c>
      <c r="N207" s="259" t="str">
        <f t="shared" ca="1" si="57"/>
        <v/>
      </c>
      <c r="O207" s="92" t="str">
        <f t="shared" ca="1" si="57"/>
        <v/>
      </c>
      <c r="P207" s="92"/>
      <c r="Q207" s="92" t="str">
        <f t="shared" ca="1" si="73"/>
        <v/>
      </c>
      <c r="R207" s="257" t="str">
        <f t="shared" ca="1" si="73"/>
        <v/>
      </c>
      <c r="S207" s="248" t="str">
        <f t="shared" ca="1" si="74"/>
        <v/>
      </c>
      <c r="T207" s="92" t="str">
        <f t="shared" ca="1" si="74"/>
        <v/>
      </c>
      <c r="U207" s="92" t="str">
        <f t="shared" ca="1" si="58"/>
        <v/>
      </c>
      <c r="V207" s="92" t="str">
        <f t="shared" ca="1" si="58"/>
        <v/>
      </c>
      <c r="W207" s="92" t="str">
        <f t="shared" ca="1" si="58"/>
        <v/>
      </c>
      <c r="X207" s="257" t="str">
        <f t="shared" ca="1" si="58"/>
        <v/>
      </c>
      <c r="Y207" s="248" t="str">
        <f t="shared" ca="1" si="75"/>
        <v/>
      </c>
      <c r="Z207" s="92" t="str">
        <f t="shared" ca="1" si="75"/>
        <v/>
      </c>
      <c r="AA207" s="92" t="str">
        <f t="shared" ca="1" si="59"/>
        <v/>
      </c>
      <c r="AB207" s="345" t="str">
        <f t="shared" ca="1" si="49"/>
        <v/>
      </c>
      <c r="AC207" s="257" t="str">
        <f t="shared" ca="1" si="49"/>
        <v/>
      </c>
      <c r="AD207" s="248" t="str">
        <f t="shared" ca="1" si="71"/>
        <v/>
      </c>
      <c r="AE207" s="257" t="str">
        <f t="shared" ca="1" si="71"/>
        <v/>
      </c>
      <c r="AF207" s="248" t="str">
        <f t="shared" ca="1" si="71"/>
        <v/>
      </c>
      <c r="AG207" s="257" t="str">
        <f t="shared" ca="1" si="71"/>
        <v/>
      </c>
      <c r="AH207" s="92"/>
      <c r="AI207" s="92" t="str">
        <f t="shared" ca="1" si="60"/>
        <v/>
      </c>
      <c r="AK207" s="92">
        <f t="shared" ca="1" si="61"/>
        <v>0</v>
      </c>
      <c r="AL207" s="12">
        <f t="shared" ca="1" si="62"/>
        <v>0</v>
      </c>
      <c r="AM207" s="12">
        <f t="shared" ca="1" si="63"/>
        <v>0</v>
      </c>
      <c r="AN207" s="12">
        <f t="shared" ca="1" si="64"/>
        <v>0</v>
      </c>
      <c r="AO207" s="12">
        <f t="shared" ca="1" si="65"/>
        <v>0</v>
      </c>
      <c r="AP207" s="12" t="str">
        <f t="shared" ca="1" si="66"/>
        <v/>
      </c>
      <c r="AQ207" s="12" t="str">
        <f t="shared" ca="1" si="67"/>
        <v/>
      </c>
      <c r="AR207" s="12" t="str">
        <f t="shared" ca="1" si="68"/>
        <v/>
      </c>
      <c r="AS207" s="12" t="str">
        <f t="shared" ca="1" si="69"/>
        <v/>
      </c>
    </row>
    <row r="208" spans="1:45" ht="14.3">
      <c r="A208">
        <f t="shared" si="70"/>
        <v>495</v>
      </c>
      <c r="B208" t="str">
        <f t="shared" ca="1" si="51"/>
        <v xml:space="preserve"> </v>
      </c>
      <c r="C208" t="b">
        <f t="shared" ca="1" si="52"/>
        <v>0</v>
      </c>
      <c r="D208" s="248" t="str">
        <f t="shared" ca="1" si="50"/>
        <v/>
      </c>
      <c r="E208" s="92" t="str">
        <f t="shared" ca="1" si="53"/>
        <v/>
      </c>
      <c r="F208" s="92" t="str">
        <f t="shared" ca="1" si="54"/>
        <v/>
      </c>
      <c r="G208" s="257" t="str">
        <f t="shared" ca="1" si="55"/>
        <v/>
      </c>
      <c r="H208" s="248" t="str">
        <f t="shared" ca="1" si="55"/>
        <v/>
      </c>
      <c r="I208" s="92" t="str">
        <f t="shared" ca="1" si="55"/>
        <v/>
      </c>
      <c r="J208" s="92" t="str">
        <f t="shared" ca="1" si="56"/>
        <v/>
      </c>
      <c r="K208" s="92" t="str">
        <f t="shared" ca="1" si="72"/>
        <v/>
      </c>
      <c r="L208" s="92" t="str">
        <f t="shared" ca="1" si="72"/>
        <v/>
      </c>
      <c r="M208" s="258" t="str">
        <f t="shared" ca="1" si="72"/>
        <v/>
      </c>
      <c r="N208" s="259" t="str">
        <f t="shared" ca="1" si="57"/>
        <v/>
      </c>
      <c r="O208" s="92" t="str">
        <f t="shared" ca="1" si="57"/>
        <v/>
      </c>
      <c r="P208" s="92"/>
      <c r="Q208" s="92" t="str">
        <f t="shared" ca="1" si="73"/>
        <v/>
      </c>
      <c r="R208" s="257" t="str">
        <f t="shared" ca="1" si="73"/>
        <v/>
      </c>
      <c r="S208" s="248" t="str">
        <f t="shared" ca="1" si="74"/>
        <v/>
      </c>
      <c r="T208" s="92" t="str">
        <f t="shared" ca="1" si="74"/>
        <v/>
      </c>
      <c r="U208" s="92" t="str">
        <f t="shared" ca="1" si="58"/>
        <v/>
      </c>
      <c r="V208" s="92" t="str">
        <f t="shared" ca="1" si="58"/>
        <v/>
      </c>
      <c r="W208" s="92" t="str">
        <f t="shared" ca="1" si="58"/>
        <v/>
      </c>
      <c r="X208" s="257" t="str">
        <f t="shared" ca="1" si="58"/>
        <v/>
      </c>
      <c r="Y208" s="248" t="str">
        <f t="shared" ca="1" si="75"/>
        <v/>
      </c>
      <c r="Z208" s="92" t="str">
        <f t="shared" ca="1" si="75"/>
        <v/>
      </c>
      <c r="AA208" s="92" t="str">
        <f t="shared" ca="1" si="59"/>
        <v/>
      </c>
      <c r="AB208" s="345" t="str">
        <f t="shared" ca="1" si="49"/>
        <v/>
      </c>
      <c r="AC208" s="257" t="str">
        <f t="shared" ca="1" si="49"/>
        <v/>
      </c>
      <c r="AD208" s="248" t="str">
        <f t="shared" ca="1" si="71"/>
        <v/>
      </c>
      <c r="AE208" s="257" t="str">
        <f t="shared" ca="1" si="71"/>
        <v/>
      </c>
      <c r="AF208" s="248" t="str">
        <f t="shared" ca="1" si="71"/>
        <v/>
      </c>
      <c r="AG208" s="257" t="str">
        <f t="shared" ca="1" si="71"/>
        <v/>
      </c>
      <c r="AH208" s="92"/>
      <c r="AI208" s="92" t="str">
        <f t="shared" ca="1" si="60"/>
        <v/>
      </c>
      <c r="AK208" s="92">
        <f t="shared" ca="1" si="61"/>
        <v>0</v>
      </c>
      <c r="AL208" s="12">
        <f t="shared" ca="1" si="62"/>
        <v>0</v>
      </c>
      <c r="AM208" s="12">
        <f t="shared" ca="1" si="63"/>
        <v>0</v>
      </c>
      <c r="AN208" s="12">
        <f t="shared" ca="1" si="64"/>
        <v>0</v>
      </c>
      <c r="AO208" s="12">
        <f t="shared" ca="1" si="65"/>
        <v>0</v>
      </c>
      <c r="AP208" s="12" t="str">
        <f t="shared" ca="1" si="66"/>
        <v/>
      </c>
      <c r="AQ208" s="12" t="str">
        <f t="shared" ca="1" si="67"/>
        <v/>
      </c>
      <c r="AR208" s="12" t="str">
        <f t="shared" ca="1" si="68"/>
        <v/>
      </c>
      <c r="AS208" s="12" t="str">
        <f t="shared" ca="1" si="69"/>
        <v/>
      </c>
    </row>
    <row r="209" spans="1:45" ht="14.3">
      <c r="A209">
        <f t="shared" si="70"/>
        <v>500</v>
      </c>
      <c r="B209" t="str">
        <f t="shared" ca="1" si="51"/>
        <v xml:space="preserve"> </v>
      </c>
      <c r="C209" t="b">
        <f t="shared" ca="1" si="52"/>
        <v>0</v>
      </c>
      <c r="D209" s="248" t="str">
        <f t="shared" ca="1" si="50"/>
        <v/>
      </c>
      <c r="E209" s="92" t="str">
        <f t="shared" ca="1" si="53"/>
        <v/>
      </c>
      <c r="F209" s="92" t="str">
        <f t="shared" ca="1" si="54"/>
        <v/>
      </c>
      <c r="G209" s="257" t="str">
        <f t="shared" ca="1" si="55"/>
        <v/>
      </c>
      <c r="H209" s="248" t="str">
        <f t="shared" ca="1" si="55"/>
        <v/>
      </c>
      <c r="I209" s="92" t="str">
        <f t="shared" ca="1" si="55"/>
        <v/>
      </c>
      <c r="J209" s="92" t="str">
        <f t="shared" ca="1" si="56"/>
        <v/>
      </c>
      <c r="K209" s="92" t="str">
        <f t="shared" ca="1" si="72"/>
        <v/>
      </c>
      <c r="L209" s="92" t="str">
        <f t="shared" ca="1" si="72"/>
        <v/>
      </c>
      <c r="M209" s="258" t="str">
        <f t="shared" ca="1" si="72"/>
        <v/>
      </c>
      <c r="N209" s="259" t="str">
        <f t="shared" ca="1" si="57"/>
        <v/>
      </c>
      <c r="O209" s="92" t="str">
        <f t="shared" ca="1" si="57"/>
        <v/>
      </c>
      <c r="P209" s="92"/>
      <c r="Q209" s="92" t="str">
        <f t="shared" ca="1" si="73"/>
        <v/>
      </c>
      <c r="R209" s="257" t="str">
        <f t="shared" ca="1" si="73"/>
        <v/>
      </c>
      <c r="S209" s="248" t="str">
        <f t="shared" ca="1" si="74"/>
        <v/>
      </c>
      <c r="T209" s="92" t="str">
        <f t="shared" ca="1" si="74"/>
        <v/>
      </c>
      <c r="U209" s="92" t="str">
        <f t="shared" ca="1" si="58"/>
        <v/>
      </c>
      <c r="V209" s="92" t="str">
        <f t="shared" ca="1" si="58"/>
        <v/>
      </c>
      <c r="W209" s="92" t="str">
        <f t="shared" ca="1" si="58"/>
        <v/>
      </c>
      <c r="X209" s="257" t="str">
        <f t="shared" ca="1" si="58"/>
        <v/>
      </c>
      <c r="Y209" s="248" t="str">
        <f t="shared" ca="1" si="75"/>
        <v/>
      </c>
      <c r="Z209" s="92" t="str">
        <f t="shared" ca="1" si="75"/>
        <v/>
      </c>
      <c r="AA209" s="92" t="str">
        <f t="shared" ca="1" si="59"/>
        <v/>
      </c>
      <c r="AB209" s="345" t="str">
        <f t="shared" ref="AB209:AC234" ca="1" si="76">IF($C209=FALSE,"",INDIRECT("Installations!" &amp; AB$120 &amp; $A209+2))</f>
        <v/>
      </c>
      <c r="AC209" s="257" t="str">
        <f t="shared" ca="1" si="76"/>
        <v/>
      </c>
      <c r="AD209" s="248" t="str">
        <f t="shared" ca="1" si="71"/>
        <v/>
      </c>
      <c r="AE209" s="257" t="str">
        <f t="shared" ca="1" si="71"/>
        <v/>
      </c>
      <c r="AF209" s="248" t="str">
        <f t="shared" ca="1" si="71"/>
        <v/>
      </c>
      <c r="AG209" s="257" t="str">
        <f t="shared" ca="1" si="71"/>
        <v/>
      </c>
      <c r="AH209" s="92"/>
      <c r="AI209" s="92" t="str">
        <f t="shared" ca="1" si="60"/>
        <v/>
      </c>
      <c r="AK209" s="92">
        <f t="shared" ca="1" si="61"/>
        <v>0</v>
      </c>
      <c r="AL209" s="12">
        <f t="shared" ca="1" si="62"/>
        <v>0</v>
      </c>
      <c r="AM209" s="12">
        <f t="shared" ca="1" si="63"/>
        <v>0</v>
      </c>
      <c r="AN209" s="12">
        <f t="shared" ca="1" si="64"/>
        <v>0</v>
      </c>
      <c r="AO209" s="12">
        <f t="shared" ca="1" si="65"/>
        <v>0</v>
      </c>
      <c r="AP209" s="12" t="str">
        <f t="shared" ca="1" si="66"/>
        <v/>
      </c>
      <c r="AQ209" s="12" t="str">
        <f t="shared" ca="1" si="67"/>
        <v/>
      </c>
      <c r="AR209" s="12" t="str">
        <f t="shared" ca="1" si="68"/>
        <v/>
      </c>
      <c r="AS209" s="12" t="str">
        <f t="shared" ca="1" si="69"/>
        <v/>
      </c>
    </row>
    <row r="210" spans="1:45" ht="14.3">
      <c r="A210">
        <f t="shared" si="70"/>
        <v>505</v>
      </c>
      <c r="B210" t="str">
        <f t="shared" ca="1" si="51"/>
        <v xml:space="preserve"> </v>
      </c>
      <c r="C210" t="b">
        <f t="shared" ca="1" si="52"/>
        <v>0</v>
      </c>
      <c r="D210" s="248" t="str">
        <f t="shared" ca="1" si="50"/>
        <v/>
      </c>
      <c r="E210" s="92" t="str">
        <f t="shared" ca="1" si="53"/>
        <v/>
      </c>
      <c r="F210" s="92" t="str">
        <f t="shared" ca="1" si="54"/>
        <v/>
      </c>
      <c r="G210" s="257" t="str">
        <f t="shared" ca="1" si="55"/>
        <v/>
      </c>
      <c r="H210" s="248" t="str">
        <f t="shared" ca="1" si="55"/>
        <v/>
      </c>
      <c r="I210" s="92" t="str">
        <f t="shared" ca="1" si="55"/>
        <v/>
      </c>
      <c r="J210" s="92" t="str">
        <f t="shared" ca="1" si="56"/>
        <v/>
      </c>
      <c r="K210" s="92" t="str">
        <f t="shared" ca="1" si="72"/>
        <v/>
      </c>
      <c r="L210" s="92" t="str">
        <f t="shared" ca="1" si="72"/>
        <v/>
      </c>
      <c r="M210" s="258" t="str">
        <f t="shared" ca="1" si="72"/>
        <v/>
      </c>
      <c r="N210" s="259" t="str">
        <f t="shared" ca="1" si="57"/>
        <v/>
      </c>
      <c r="O210" s="92" t="str">
        <f t="shared" ca="1" si="57"/>
        <v/>
      </c>
      <c r="P210" s="92"/>
      <c r="Q210" s="92" t="str">
        <f t="shared" ca="1" si="73"/>
        <v/>
      </c>
      <c r="R210" s="257" t="str">
        <f t="shared" ca="1" si="73"/>
        <v/>
      </c>
      <c r="S210" s="248" t="str">
        <f t="shared" ca="1" si="74"/>
        <v/>
      </c>
      <c r="T210" s="92" t="str">
        <f t="shared" ca="1" si="74"/>
        <v/>
      </c>
      <c r="U210" s="92" t="str">
        <f t="shared" ca="1" si="58"/>
        <v/>
      </c>
      <c r="V210" s="92" t="str">
        <f t="shared" ca="1" si="58"/>
        <v/>
      </c>
      <c r="W210" s="92" t="str">
        <f t="shared" ca="1" si="58"/>
        <v/>
      </c>
      <c r="X210" s="257" t="str">
        <f t="shared" ca="1" si="58"/>
        <v/>
      </c>
      <c r="Y210" s="248" t="str">
        <f t="shared" ca="1" si="75"/>
        <v/>
      </c>
      <c r="Z210" s="92" t="str">
        <f t="shared" ca="1" si="75"/>
        <v/>
      </c>
      <c r="AA210" s="92" t="str">
        <f t="shared" ca="1" si="59"/>
        <v/>
      </c>
      <c r="AB210" s="345" t="str">
        <f t="shared" ca="1" si="76"/>
        <v/>
      </c>
      <c r="AC210" s="257" t="str">
        <f t="shared" ca="1" si="76"/>
        <v/>
      </c>
      <c r="AD210" s="248" t="str">
        <f t="shared" ca="1" si="71"/>
        <v/>
      </c>
      <c r="AE210" s="257" t="str">
        <f t="shared" ca="1" si="71"/>
        <v/>
      </c>
      <c r="AF210" s="248" t="str">
        <f t="shared" ca="1" si="71"/>
        <v/>
      </c>
      <c r="AG210" s="257" t="str">
        <f t="shared" ca="1" si="71"/>
        <v/>
      </c>
      <c r="AH210" s="92"/>
      <c r="AI210" s="92" t="str">
        <f t="shared" ca="1" si="60"/>
        <v/>
      </c>
      <c r="AK210" s="92">
        <f t="shared" ca="1" si="61"/>
        <v>0</v>
      </c>
      <c r="AL210" s="12">
        <f t="shared" ca="1" si="62"/>
        <v>0</v>
      </c>
      <c r="AM210" s="12">
        <f t="shared" ca="1" si="63"/>
        <v>0</v>
      </c>
      <c r="AN210" s="12">
        <f t="shared" ca="1" si="64"/>
        <v>0</v>
      </c>
      <c r="AO210" s="12">
        <f t="shared" ca="1" si="65"/>
        <v>0</v>
      </c>
      <c r="AP210" s="12" t="str">
        <f t="shared" ca="1" si="66"/>
        <v/>
      </c>
      <c r="AQ210" s="12" t="str">
        <f t="shared" ca="1" si="67"/>
        <v/>
      </c>
      <c r="AR210" s="12" t="str">
        <f t="shared" ca="1" si="68"/>
        <v/>
      </c>
      <c r="AS210" s="12" t="str">
        <f t="shared" ca="1" si="69"/>
        <v/>
      </c>
    </row>
    <row r="211" spans="1:45" ht="14.3">
      <c r="A211">
        <f t="shared" si="70"/>
        <v>510</v>
      </c>
      <c r="B211" t="str">
        <f t="shared" ca="1" si="51"/>
        <v xml:space="preserve"> </v>
      </c>
      <c r="C211" t="b">
        <f t="shared" ca="1" si="52"/>
        <v>0</v>
      </c>
      <c r="D211" s="248" t="str">
        <f t="shared" ca="1" si="50"/>
        <v/>
      </c>
      <c r="E211" s="92" t="str">
        <f t="shared" ca="1" si="53"/>
        <v/>
      </c>
      <c r="F211" s="92" t="str">
        <f t="shared" ca="1" si="54"/>
        <v/>
      </c>
      <c r="G211" s="257" t="str">
        <f t="shared" ca="1" si="55"/>
        <v/>
      </c>
      <c r="H211" s="248" t="str">
        <f t="shared" ca="1" si="55"/>
        <v/>
      </c>
      <c r="I211" s="92" t="str">
        <f t="shared" ca="1" si="55"/>
        <v/>
      </c>
      <c r="J211" s="92" t="str">
        <f t="shared" ca="1" si="56"/>
        <v/>
      </c>
      <c r="K211" s="92" t="str">
        <f t="shared" ca="1" si="72"/>
        <v/>
      </c>
      <c r="L211" s="92" t="str">
        <f t="shared" ca="1" si="72"/>
        <v/>
      </c>
      <c r="M211" s="258" t="str">
        <f t="shared" ca="1" si="72"/>
        <v/>
      </c>
      <c r="N211" s="259" t="str">
        <f t="shared" ca="1" si="57"/>
        <v/>
      </c>
      <c r="O211" s="92" t="str">
        <f t="shared" ca="1" si="57"/>
        <v/>
      </c>
      <c r="P211" s="92"/>
      <c r="Q211" s="92" t="str">
        <f t="shared" ca="1" si="73"/>
        <v/>
      </c>
      <c r="R211" s="257" t="str">
        <f t="shared" ca="1" si="73"/>
        <v/>
      </c>
      <c r="S211" s="248" t="str">
        <f t="shared" ca="1" si="74"/>
        <v/>
      </c>
      <c r="T211" s="92" t="str">
        <f t="shared" ca="1" si="74"/>
        <v/>
      </c>
      <c r="U211" s="92" t="str">
        <f t="shared" ca="1" si="58"/>
        <v/>
      </c>
      <c r="V211" s="92" t="str">
        <f t="shared" ca="1" si="58"/>
        <v/>
      </c>
      <c r="W211" s="92" t="str">
        <f t="shared" ca="1" si="58"/>
        <v/>
      </c>
      <c r="X211" s="257" t="str">
        <f t="shared" ca="1" si="58"/>
        <v/>
      </c>
      <c r="Y211" s="248" t="str">
        <f t="shared" ca="1" si="75"/>
        <v/>
      </c>
      <c r="Z211" s="92" t="str">
        <f t="shared" ca="1" si="75"/>
        <v/>
      </c>
      <c r="AA211" s="92" t="str">
        <f t="shared" ca="1" si="59"/>
        <v/>
      </c>
      <c r="AB211" s="345" t="str">
        <f t="shared" ca="1" si="76"/>
        <v/>
      </c>
      <c r="AC211" s="257" t="str">
        <f t="shared" ca="1" si="76"/>
        <v/>
      </c>
      <c r="AD211" s="248" t="str">
        <f t="shared" ca="1" si="71"/>
        <v/>
      </c>
      <c r="AE211" s="257" t="str">
        <f t="shared" ca="1" si="71"/>
        <v/>
      </c>
      <c r="AF211" s="248" t="str">
        <f t="shared" ca="1" si="71"/>
        <v/>
      </c>
      <c r="AG211" s="257" t="str">
        <f t="shared" ca="1" si="71"/>
        <v/>
      </c>
      <c r="AH211" s="92"/>
      <c r="AI211" s="92" t="str">
        <f t="shared" ca="1" si="60"/>
        <v/>
      </c>
      <c r="AK211" s="92">
        <f t="shared" ca="1" si="61"/>
        <v>0</v>
      </c>
      <c r="AL211" s="12">
        <f t="shared" ca="1" si="62"/>
        <v>0</v>
      </c>
      <c r="AM211" s="12">
        <f t="shared" ca="1" si="63"/>
        <v>0</v>
      </c>
      <c r="AN211" s="12">
        <f t="shared" ca="1" si="64"/>
        <v>0</v>
      </c>
      <c r="AO211" s="12">
        <f t="shared" ca="1" si="65"/>
        <v>0</v>
      </c>
      <c r="AP211" s="12" t="str">
        <f t="shared" ca="1" si="66"/>
        <v/>
      </c>
      <c r="AQ211" s="12" t="str">
        <f t="shared" ca="1" si="67"/>
        <v/>
      </c>
      <c r="AR211" s="12" t="str">
        <f t="shared" ca="1" si="68"/>
        <v/>
      </c>
      <c r="AS211" s="12" t="str">
        <f t="shared" ca="1" si="69"/>
        <v/>
      </c>
    </row>
    <row r="212" spans="1:45" ht="14.3">
      <c r="A212">
        <f t="shared" si="70"/>
        <v>515</v>
      </c>
      <c r="B212" t="str">
        <f t="shared" ca="1" si="51"/>
        <v xml:space="preserve"> </v>
      </c>
      <c r="C212" t="b">
        <f t="shared" ca="1" si="52"/>
        <v>0</v>
      </c>
      <c r="D212" s="248" t="str">
        <f t="shared" ca="1" si="50"/>
        <v/>
      </c>
      <c r="E212" s="92" t="str">
        <f t="shared" ca="1" si="53"/>
        <v/>
      </c>
      <c r="F212" s="92" t="str">
        <f t="shared" ca="1" si="54"/>
        <v/>
      </c>
      <c r="G212" s="257" t="str">
        <f t="shared" ca="1" si="55"/>
        <v/>
      </c>
      <c r="H212" s="248" t="str">
        <f t="shared" ca="1" si="55"/>
        <v/>
      </c>
      <c r="I212" s="92" t="str">
        <f t="shared" ca="1" si="55"/>
        <v/>
      </c>
      <c r="J212" s="92" t="str">
        <f t="shared" ca="1" si="56"/>
        <v/>
      </c>
      <c r="K212" s="92" t="str">
        <f t="shared" ca="1" si="72"/>
        <v/>
      </c>
      <c r="L212" s="92" t="str">
        <f t="shared" ca="1" si="72"/>
        <v/>
      </c>
      <c r="M212" s="258" t="str">
        <f t="shared" ca="1" si="72"/>
        <v/>
      </c>
      <c r="N212" s="259" t="str">
        <f t="shared" ca="1" si="57"/>
        <v/>
      </c>
      <c r="O212" s="92" t="str">
        <f t="shared" ca="1" si="57"/>
        <v/>
      </c>
      <c r="P212" s="92"/>
      <c r="Q212" s="92" t="str">
        <f t="shared" ca="1" si="73"/>
        <v/>
      </c>
      <c r="R212" s="257" t="str">
        <f t="shared" ca="1" si="73"/>
        <v/>
      </c>
      <c r="S212" s="248" t="str">
        <f t="shared" ca="1" si="74"/>
        <v/>
      </c>
      <c r="T212" s="92" t="str">
        <f t="shared" ca="1" si="74"/>
        <v/>
      </c>
      <c r="U212" s="92" t="str">
        <f t="shared" ca="1" si="58"/>
        <v/>
      </c>
      <c r="V212" s="92" t="str">
        <f t="shared" ca="1" si="58"/>
        <v/>
      </c>
      <c r="W212" s="92" t="str">
        <f t="shared" ca="1" si="58"/>
        <v/>
      </c>
      <c r="X212" s="257" t="str">
        <f t="shared" ca="1" si="58"/>
        <v/>
      </c>
      <c r="Y212" s="248" t="str">
        <f t="shared" ca="1" si="75"/>
        <v/>
      </c>
      <c r="Z212" s="92" t="str">
        <f t="shared" ca="1" si="75"/>
        <v/>
      </c>
      <c r="AA212" s="92" t="str">
        <f t="shared" ca="1" si="59"/>
        <v/>
      </c>
      <c r="AB212" s="345" t="str">
        <f t="shared" ca="1" si="76"/>
        <v/>
      </c>
      <c r="AC212" s="257" t="str">
        <f t="shared" ca="1" si="76"/>
        <v/>
      </c>
      <c r="AD212" s="248" t="str">
        <f t="shared" ca="1" si="71"/>
        <v/>
      </c>
      <c r="AE212" s="257" t="str">
        <f t="shared" ca="1" si="71"/>
        <v/>
      </c>
      <c r="AF212" s="248" t="str">
        <f t="shared" ca="1" si="71"/>
        <v/>
      </c>
      <c r="AG212" s="257" t="str">
        <f t="shared" ca="1" si="71"/>
        <v/>
      </c>
      <c r="AH212" s="92"/>
      <c r="AI212" s="92" t="str">
        <f t="shared" ca="1" si="60"/>
        <v/>
      </c>
      <c r="AK212" s="92">
        <f t="shared" ca="1" si="61"/>
        <v>0</v>
      </c>
      <c r="AL212" s="12">
        <f t="shared" ca="1" si="62"/>
        <v>0</v>
      </c>
      <c r="AM212" s="12">
        <f t="shared" ca="1" si="63"/>
        <v>0</v>
      </c>
      <c r="AN212" s="12">
        <f t="shared" ca="1" si="64"/>
        <v>0</v>
      </c>
      <c r="AO212" s="12">
        <f t="shared" ca="1" si="65"/>
        <v>0</v>
      </c>
      <c r="AP212" s="12" t="str">
        <f t="shared" ca="1" si="66"/>
        <v/>
      </c>
      <c r="AQ212" s="12" t="str">
        <f t="shared" ca="1" si="67"/>
        <v/>
      </c>
      <c r="AR212" s="12" t="str">
        <f t="shared" ca="1" si="68"/>
        <v/>
      </c>
      <c r="AS212" s="12" t="str">
        <f t="shared" ca="1" si="69"/>
        <v/>
      </c>
    </row>
    <row r="213" spans="1:45" ht="14.3">
      <c r="A213">
        <f t="shared" si="70"/>
        <v>520</v>
      </c>
      <c r="B213" t="str">
        <f t="shared" ca="1" si="51"/>
        <v xml:space="preserve"> </v>
      </c>
      <c r="C213" t="b">
        <f t="shared" ca="1" si="52"/>
        <v>0</v>
      </c>
      <c r="D213" s="248" t="str">
        <f t="shared" ca="1" si="50"/>
        <v/>
      </c>
      <c r="E213" s="92" t="str">
        <f t="shared" ca="1" si="53"/>
        <v/>
      </c>
      <c r="F213" s="92" t="str">
        <f t="shared" ca="1" si="54"/>
        <v/>
      </c>
      <c r="G213" s="257" t="str">
        <f t="shared" ca="1" si="55"/>
        <v/>
      </c>
      <c r="H213" s="248" t="str">
        <f t="shared" ca="1" si="55"/>
        <v/>
      </c>
      <c r="I213" s="92" t="str">
        <f t="shared" ca="1" si="55"/>
        <v/>
      </c>
      <c r="J213" s="92" t="str">
        <f t="shared" ca="1" si="56"/>
        <v/>
      </c>
      <c r="K213" s="92" t="str">
        <f t="shared" ca="1" si="72"/>
        <v/>
      </c>
      <c r="L213" s="92" t="str">
        <f t="shared" ca="1" si="72"/>
        <v/>
      </c>
      <c r="M213" s="258" t="str">
        <f t="shared" ca="1" si="72"/>
        <v/>
      </c>
      <c r="N213" s="259" t="str">
        <f t="shared" ca="1" si="57"/>
        <v/>
      </c>
      <c r="O213" s="92" t="str">
        <f t="shared" ca="1" si="57"/>
        <v/>
      </c>
      <c r="P213" s="92"/>
      <c r="Q213" s="92" t="str">
        <f t="shared" ca="1" si="73"/>
        <v/>
      </c>
      <c r="R213" s="257" t="str">
        <f t="shared" ca="1" si="73"/>
        <v/>
      </c>
      <c r="S213" s="248" t="str">
        <f t="shared" ca="1" si="74"/>
        <v/>
      </c>
      <c r="T213" s="92" t="str">
        <f t="shared" ca="1" si="74"/>
        <v/>
      </c>
      <c r="U213" s="92" t="str">
        <f t="shared" ca="1" si="58"/>
        <v/>
      </c>
      <c r="V213" s="92" t="str">
        <f t="shared" ca="1" si="58"/>
        <v/>
      </c>
      <c r="W213" s="92" t="str">
        <f t="shared" ca="1" si="58"/>
        <v/>
      </c>
      <c r="X213" s="257" t="str">
        <f t="shared" ca="1" si="58"/>
        <v/>
      </c>
      <c r="Y213" s="248" t="str">
        <f t="shared" ca="1" si="75"/>
        <v/>
      </c>
      <c r="Z213" s="92" t="str">
        <f t="shared" ca="1" si="75"/>
        <v/>
      </c>
      <c r="AA213" s="92" t="str">
        <f t="shared" ca="1" si="59"/>
        <v/>
      </c>
      <c r="AB213" s="345" t="str">
        <f t="shared" ca="1" si="76"/>
        <v/>
      </c>
      <c r="AC213" s="257" t="str">
        <f t="shared" ca="1" si="76"/>
        <v/>
      </c>
      <c r="AD213" s="248" t="str">
        <f t="shared" ca="1" si="71"/>
        <v/>
      </c>
      <c r="AE213" s="257" t="str">
        <f t="shared" ca="1" si="71"/>
        <v/>
      </c>
      <c r="AF213" s="248" t="str">
        <f t="shared" ca="1" si="71"/>
        <v/>
      </c>
      <c r="AG213" s="257" t="str">
        <f t="shared" ca="1" si="71"/>
        <v/>
      </c>
      <c r="AH213" s="92"/>
      <c r="AI213" s="92" t="str">
        <f t="shared" ca="1" si="60"/>
        <v/>
      </c>
      <c r="AK213" s="92">
        <f t="shared" ca="1" si="61"/>
        <v>0</v>
      </c>
      <c r="AL213" s="12">
        <f t="shared" ca="1" si="62"/>
        <v>0</v>
      </c>
      <c r="AM213" s="12">
        <f t="shared" ca="1" si="63"/>
        <v>0</v>
      </c>
      <c r="AN213" s="12">
        <f t="shared" ca="1" si="64"/>
        <v>0</v>
      </c>
      <c r="AO213" s="12">
        <f t="shared" ca="1" si="65"/>
        <v>0</v>
      </c>
      <c r="AP213" s="12" t="str">
        <f t="shared" ca="1" si="66"/>
        <v/>
      </c>
      <c r="AQ213" s="12" t="str">
        <f t="shared" ca="1" si="67"/>
        <v/>
      </c>
      <c r="AR213" s="12" t="str">
        <f t="shared" ca="1" si="68"/>
        <v/>
      </c>
      <c r="AS213" s="12" t="str">
        <f t="shared" ca="1" si="69"/>
        <v/>
      </c>
    </row>
    <row r="214" spans="1:45" ht="14.3">
      <c r="A214">
        <f t="shared" si="70"/>
        <v>525</v>
      </c>
      <c r="B214" t="str">
        <f t="shared" ca="1" si="51"/>
        <v xml:space="preserve"> </v>
      </c>
      <c r="C214" t="b">
        <f t="shared" ca="1" si="52"/>
        <v>0</v>
      </c>
      <c r="D214" s="248" t="str">
        <f t="shared" ca="1" si="50"/>
        <v/>
      </c>
      <c r="E214" s="92" t="str">
        <f t="shared" ca="1" si="53"/>
        <v/>
      </c>
      <c r="F214" s="92" t="str">
        <f t="shared" ca="1" si="54"/>
        <v/>
      </c>
      <c r="G214" s="257" t="str">
        <f t="shared" ca="1" si="55"/>
        <v/>
      </c>
      <c r="H214" s="248" t="str">
        <f t="shared" ca="1" si="55"/>
        <v/>
      </c>
      <c r="I214" s="92" t="str">
        <f t="shared" ca="1" si="55"/>
        <v/>
      </c>
      <c r="J214" s="92" t="str">
        <f t="shared" ca="1" si="56"/>
        <v/>
      </c>
      <c r="K214" s="92" t="str">
        <f t="shared" ca="1" si="72"/>
        <v/>
      </c>
      <c r="L214" s="92" t="str">
        <f t="shared" ca="1" si="72"/>
        <v/>
      </c>
      <c r="M214" s="258" t="str">
        <f t="shared" ca="1" si="72"/>
        <v/>
      </c>
      <c r="N214" s="259" t="str">
        <f t="shared" ca="1" si="57"/>
        <v/>
      </c>
      <c r="O214" s="92" t="str">
        <f t="shared" ca="1" si="57"/>
        <v/>
      </c>
      <c r="P214" s="92"/>
      <c r="Q214" s="92" t="str">
        <f t="shared" ca="1" si="73"/>
        <v/>
      </c>
      <c r="R214" s="257" t="str">
        <f t="shared" ca="1" si="73"/>
        <v/>
      </c>
      <c r="S214" s="248" t="str">
        <f t="shared" ca="1" si="74"/>
        <v/>
      </c>
      <c r="T214" s="92" t="str">
        <f t="shared" ca="1" si="74"/>
        <v/>
      </c>
      <c r="U214" s="92" t="str">
        <f t="shared" ca="1" si="58"/>
        <v/>
      </c>
      <c r="V214" s="92" t="str">
        <f t="shared" ca="1" si="58"/>
        <v/>
      </c>
      <c r="W214" s="92" t="str">
        <f t="shared" ca="1" si="58"/>
        <v/>
      </c>
      <c r="X214" s="257" t="str">
        <f t="shared" ca="1" si="58"/>
        <v/>
      </c>
      <c r="Y214" s="248" t="str">
        <f t="shared" ca="1" si="75"/>
        <v/>
      </c>
      <c r="Z214" s="92" t="str">
        <f t="shared" ca="1" si="75"/>
        <v/>
      </c>
      <c r="AA214" s="92" t="str">
        <f t="shared" ca="1" si="59"/>
        <v/>
      </c>
      <c r="AB214" s="345" t="str">
        <f t="shared" ca="1" si="76"/>
        <v/>
      </c>
      <c r="AC214" s="257" t="str">
        <f t="shared" ca="1" si="76"/>
        <v/>
      </c>
      <c r="AD214" s="248" t="str">
        <f t="shared" ca="1" si="71"/>
        <v/>
      </c>
      <c r="AE214" s="257" t="str">
        <f t="shared" ca="1" si="71"/>
        <v/>
      </c>
      <c r="AF214" s="248" t="str">
        <f t="shared" ca="1" si="71"/>
        <v/>
      </c>
      <c r="AG214" s="257" t="str">
        <f t="shared" ca="1" si="71"/>
        <v/>
      </c>
      <c r="AH214" s="92"/>
      <c r="AI214" s="92" t="str">
        <f t="shared" ca="1" si="60"/>
        <v/>
      </c>
      <c r="AK214" s="92">
        <f t="shared" ca="1" si="61"/>
        <v>0</v>
      </c>
      <c r="AL214" s="12">
        <f t="shared" ca="1" si="62"/>
        <v>0</v>
      </c>
      <c r="AM214" s="12">
        <f t="shared" ca="1" si="63"/>
        <v>0</v>
      </c>
      <c r="AN214" s="12">
        <f t="shared" ca="1" si="64"/>
        <v>0</v>
      </c>
      <c r="AO214" s="12">
        <f t="shared" ca="1" si="65"/>
        <v>0</v>
      </c>
      <c r="AP214" s="12" t="str">
        <f t="shared" ca="1" si="66"/>
        <v/>
      </c>
      <c r="AQ214" s="12" t="str">
        <f t="shared" ca="1" si="67"/>
        <v/>
      </c>
      <c r="AR214" s="12" t="str">
        <f t="shared" ca="1" si="68"/>
        <v/>
      </c>
      <c r="AS214" s="12" t="str">
        <f t="shared" ca="1" si="69"/>
        <v/>
      </c>
    </row>
    <row r="215" spans="1:45" ht="14.3">
      <c r="A215">
        <f t="shared" si="70"/>
        <v>530</v>
      </c>
      <c r="B215" t="str">
        <f t="shared" ca="1" si="51"/>
        <v xml:space="preserve"> </v>
      </c>
      <c r="C215" t="b">
        <f t="shared" ca="1" si="52"/>
        <v>0</v>
      </c>
      <c r="D215" s="248" t="str">
        <f t="shared" ca="1" si="50"/>
        <v/>
      </c>
      <c r="E215" s="92" t="str">
        <f t="shared" ca="1" si="53"/>
        <v/>
      </c>
      <c r="F215" s="92" t="str">
        <f t="shared" ca="1" si="54"/>
        <v/>
      </c>
      <c r="G215" s="257" t="str">
        <f t="shared" ca="1" si="55"/>
        <v/>
      </c>
      <c r="H215" s="248" t="str">
        <f t="shared" ca="1" si="55"/>
        <v/>
      </c>
      <c r="I215" s="92" t="str">
        <f t="shared" ca="1" si="55"/>
        <v/>
      </c>
      <c r="J215" s="92" t="str">
        <f t="shared" ca="1" si="56"/>
        <v/>
      </c>
      <c r="K215" s="92" t="str">
        <f t="shared" ca="1" si="72"/>
        <v/>
      </c>
      <c r="L215" s="92" t="str">
        <f t="shared" ca="1" si="72"/>
        <v/>
      </c>
      <c r="M215" s="258" t="str">
        <f t="shared" ca="1" si="72"/>
        <v/>
      </c>
      <c r="N215" s="259" t="str">
        <f t="shared" ca="1" si="57"/>
        <v/>
      </c>
      <c r="O215" s="92" t="str">
        <f t="shared" ca="1" si="57"/>
        <v/>
      </c>
      <c r="P215" s="92"/>
      <c r="Q215" s="92" t="str">
        <f t="shared" ca="1" si="73"/>
        <v/>
      </c>
      <c r="R215" s="257" t="str">
        <f t="shared" ca="1" si="73"/>
        <v/>
      </c>
      <c r="S215" s="248" t="str">
        <f t="shared" ca="1" si="74"/>
        <v/>
      </c>
      <c r="T215" s="92" t="str">
        <f t="shared" ca="1" si="74"/>
        <v/>
      </c>
      <c r="U215" s="92" t="str">
        <f t="shared" ca="1" si="58"/>
        <v/>
      </c>
      <c r="V215" s="92" t="str">
        <f t="shared" ca="1" si="58"/>
        <v/>
      </c>
      <c r="W215" s="92" t="str">
        <f t="shared" ca="1" si="58"/>
        <v/>
      </c>
      <c r="X215" s="257" t="str">
        <f t="shared" ca="1" si="58"/>
        <v/>
      </c>
      <c r="Y215" s="248" t="str">
        <f t="shared" ca="1" si="75"/>
        <v/>
      </c>
      <c r="Z215" s="92" t="str">
        <f t="shared" ca="1" si="75"/>
        <v/>
      </c>
      <c r="AA215" s="92" t="str">
        <f t="shared" ca="1" si="59"/>
        <v/>
      </c>
      <c r="AB215" s="345" t="str">
        <f t="shared" ca="1" si="76"/>
        <v/>
      </c>
      <c r="AC215" s="257" t="str">
        <f t="shared" ca="1" si="76"/>
        <v/>
      </c>
      <c r="AD215" s="248" t="str">
        <f t="shared" ca="1" si="71"/>
        <v/>
      </c>
      <c r="AE215" s="257" t="str">
        <f t="shared" ca="1" si="71"/>
        <v/>
      </c>
      <c r="AF215" s="248" t="str">
        <f t="shared" ca="1" si="71"/>
        <v/>
      </c>
      <c r="AG215" s="257" t="str">
        <f t="shared" ca="1" si="71"/>
        <v/>
      </c>
      <c r="AH215" s="92"/>
      <c r="AI215" s="92" t="str">
        <f t="shared" ca="1" si="60"/>
        <v/>
      </c>
      <c r="AK215" s="92">
        <f t="shared" ca="1" si="61"/>
        <v>0</v>
      </c>
      <c r="AL215" s="12">
        <f t="shared" ca="1" si="62"/>
        <v>0</v>
      </c>
      <c r="AM215" s="12">
        <f t="shared" ca="1" si="63"/>
        <v>0</v>
      </c>
      <c r="AN215" s="12">
        <f t="shared" ca="1" si="64"/>
        <v>0</v>
      </c>
      <c r="AO215" s="12">
        <f t="shared" ca="1" si="65"/>
        <v>0</v>
      </c>
      <c r="AP215" s="12" t="str">
        <f t="shared" ca="1" si="66"/>
        <v/>
      </c>
      <c r="AQ215" s="12" t="str">
        <f t="shared" ca="1" si="67"/>
        <v/>
      </c>
      <c r="AR215" s="12" t="str">
        <f t="shared" ca="1" si="68"/>
        <v/>
      </c>
      <c r="AS215" s="12" t="str">
        <f t="shared" ca="1" si="69"/>
        <v/>
      </c>
    </row>
    <row r="216" spans="1:45" ht="14.3">
      <c r="A216">
        <f t="shared" si="70"/>
        <v>535</v>
      </c>
      <c r="B216" t="str">
        <f t="shared" ca="1" si="51"/>
        <v xml:space="preserve"> </v>
      </c>
      <c r="C216" t="b">
        <f t="shared" ca="1" si="52"/>
        <v>0</v>
      </c>
      <c r="D216" s="248" t="str">
        <f t="shared" ca="1" si="50"/>
        <v/>
      </c>
      <c r="E216" s="92" t="str">
        <f t="shared" ca="1" si="53"/>
        <v/>
      </c>
      <c r="F216" s="92" t="str">
        <f t="shared" ca="1" si="54"/>
        <v/>
      </c>
      <c r="G216" s="257" t="str">
        <f t="shared" ca="1" si="55"/>
        <v/>
      </c>
      <c r="H216" s="248" t="str">
        <f t="shared" ca="1" si="55"/>
        <v/>
      </c>
      <c r="I216" s="92" t="str">
        <f t="shared" ca="1" si="55"/>
        <v/>
      </c>
      <c r="J216" s="92" t="str">
        <f t="shared" ca="1" si="56"/>
        <v/>
      </c>
      <c r="K216" s="92" t="str">
        <f t="shared" ca="1" si="72"/>
        <v/>
      </c>
      <c r="L216" s="92" t="str">
        <f t="shared" ca="1" si="72"/>
        <v/>
      </c>
      <c r="M216" s="258" t="str">
        <f t="shared" ca="1" si="72"/>
        <v/>
      </c>
      <c r="N216" s="259" t="str">
        <f t="shared" ca="1" si="57"/>
        <v/>
      </c>
      <c r="O216" s="92" t="str">
        <f t="shared" ca="1" si="57"/>
        <v/>
      </c>
      <c r="P216" s="92"/>
      <c r="Q216" s="92" t="str">
        <f t="shared" ca="1" si="73"/>
        <v/>
      </c>
      <c r="R216" s="257" t="str">
        <f t="shared" ca="1" si="73"/>
        <v/>
      </c>
      <c r="S216" s="248" t="str">
        <f t="shared" ca="1" si="74"/>
        <v/>
      </c>
      <c r="T216" s="92" t="str">
        <f t="shared" ca="1" si="74"/>
        <v/>
      </c>
      <c r="U216" s="92" t="str">
        <f t="shared" ca="1" si="58"/>
        <v/>
      </c>
      <c r="V216" s="92" t="str">
        <f t="shared" ca="1" si="58"/>
        <v/>
      </c>
      <c r="W216" s="92" t="str">
        <f t="shared" ca="1" si="58"/>
        <v/>
      </c>
      <c r="X216" s="257" t="str">
        <f t="shared" ca="1" si="58"/>
        <v/>
      </c>
      <c r="Y216" s="248" t="str">
        <f t="shared" ca="1" si="75"/>
        <v/>
      </c>
      <c r="Z216" s="92" t="str">
        <f t="shared" ca="1" si="75"/>
        <v/>
      </c>
      <c r="AA216" s="92" t="str">
        <f t="shared" ca="1" si="59"/>
        <v/>
      </c>
      <c r="AB216" s="345" t="str">
        <f t="shared" ca="1" si="76"/>
        <v/>
      </c>
      <c r="AC216" s="257" t="str">
        <f t="shared" ca="1" si="76"/>
        <v/>
      </c>
      <c r="AD216" s="248" t="str">
        <f t="shared" ca="1" si="71"/>
        <v/>
      </c>
      <c r="AE216" s="257" t="str">
        <f t="shared" ca="1" si="71"/>
        <v/>
      </c>
      <c r="AF216" s="248" t="str">
        <f t="shared" ca="1" si="71"/>
        <v/>
      </c>
      <c r="AG216" s="257" t="str">
        <f t="shared" ca="1" si="71"/>
        <v/>
      </c>
      <c r="AH216" s="92"/>
      <c r="AI216" s="92" t="str">
        <f t="shared" ca="1" si="60"/>
        <v/>
      </c>
      <c r="AK216" s="92">
        <f t="shared" ca="1" si="61"/>
        <v>0</v>
      </c>
      <c r="AL216" s="12">
        <f t="shared" ca="1" si="62"/>
        <v>0</v>
      </c>
      <c r="AM216" s="12">
        <f t="shared" ca="1" si="63"/>
        <v>0</v>
      </c>
      <c r="AN216" s="12">
        <f t="shared" ca="1" si="64"/>
        <v>0</v>
      </c>
      <c r="AO216" s="12">
        <f t="shared" ca="1" si="65"/>
        <v>0</v>
      </c>
      <c r="AP216" s="12" t="str">
        <f t="shared" ca="1" si="66"/>
        <v/>
      </c>
      <c r="AQ216" s="12" t="str">
        <f t="shared" ca="1" si="67"/>
        <v/>
      </c>
      <c r="AR216" s="12" t="str">
        <f t="shared" ca="1" si="68"/>
        <v/>
      </c>
      <c r="AS216" s="12" t="str">
        <f t="shared" ca="1" si="69"/>
        <v/>
      </c>
    </row>
    <row r="217" spans="1:45" ht="14.3">
      <c r="A217">
        <f t="shared" si="70"/>
        <v>540</v>
      </c>
      <c r="B217" t="str">
        <f t="shared" ca="1" si="51"/>
        <v xml:space="preserve"> </v>
      </c>
      <c r="C217" t="b">
        <f t="shared" ca="1" si="52"/>
        <v>0</v>
      </c>
      <c r="D217" s="248" t="str">
        <f t="shared" ca="1" si="50"/>
        <v/>
      </c>
      <c r="E217" s="92" t="str">
        <f t="shared" ca="1" si="53"/>
        <v/>
      </c>
      <c r="F217" s="92" t="str">
        <f t="shared" ca="1" si="54"/>
        <v/>
      </c>
      <c r="G217" s="257" t="str">
        <f t="shared" ca="1" si="55"/>
        <v/>
      </c>
      <c r="H217" s="248" t="str">
        <f t="shared" ca="1" si="55"/>
        <v/>
      </c>
      <c r="I217" s="92" t="str">
        <f t="shared" ca="1" si="55"/>
        <v/>
      </c>
      <c r="J217" s="92" t="str">
        <f t="shared" ca="1" si="56"/>
        <v/>
      </c>
      <c r="K217" s="92" t="str">
        <f t="shared" ca="1" si="72"/>
        <v/>
      </c>
      <c r="L217" s="92" t="str">
        <f t="shared" ca="1" si="72"/>
        <v/>
      </c>
      <c r="M217" s="258" t="str">
        <f t="shared" ca="1" si="72"/>
        <v/>
      </c>
      <c r="N217" s="259" t="str">
        <f t="shared" ca="1" si="57"/>
        <v/>
      </c>
      <c r="O217" s="92" t="str">
        <f t="shared" ca="1" si="57"/>
        <v/>
      </c>
      <c r="P217" s="92"/>
      <c r="Q217" s="92" t="str">
        <f t="shared" ca="1" si="73"/>
        <v/>
      </c>
      <c r="R217" s="257" t="str">
        <f t="shared" ca="1" si="73"/>
        <v/>
      </c>
      <c r="S217" s="248" t="str">
        <f t="shared" ca="1" si="74"/>
        <v/>
      </c>
      <c r="T217" s="92" t="str">
        <f t="shared" ca="1" si="74"/>
        <v/>
      </c>
      <c r="U217" s="92" t="str">
        <f t="shared" ca="1" si="58"/>
        <v/>
      </c>
      <c r="V217" s="92" t="str">
        <f t="shared" ca="1" si="58"/>
        <v/>
      </c>
      <c r="W217" s="92" t="str">
        <f t="shared" ca="1" si="58"/>
        <v/>
      </c>
      <c r="X217" s="257" t="str">
        <f t="shared" ca="1" si="58"/>
        <v/>
      </c>
      <c r="Y217" s="248" t="str">
        <f t="shared" ca="1" si="75"/>
        <v/>
      </c>
      <c r="Z217" s="92" t="str">
        <f t="shared" ca="1" si="75"/>
        <v/>
      </c>
      <c r="AA217" s="92" t="str">
        <f t="shared" ca="1" si="59"/>
        <v/>
      </c>
      <c r="AB217" s="345" t="str">
        <f t="shared" ca="1" si="76"/>
        <v/>
      </c>
      <c r="AC217" s="257" t="str">
        <f t="shared" ca="1" si="76"/>
        <v/>
      </c>
      <c r="AD217" s="248" t="str">
        <f t="shared" ca="1" si="71"/>
        <v/>
      </c>
      <c r="AE217" s="257" t="str">
        <f t="shared" ca="1" si="71"/>
        <v/>
      </c>
      <c r="AF217" s="248" t="str">
        <f t="shared" ca="1" si="71"/>
        <v/>
      </c>
      <c r="AG217" s="257" t="str">
        <f t="shared" ca="1" si="71"/>
        <v/>
      </c>
      <c r="AH217" s="92"/>
      <c r="AI217" s="92" t="str">
        <f t="shared" ca="1" si="60"/>
        <v/>
      </c>
      <c r="AK217" s="92">
        <f t="shared" ca="1" si="61"/>
        <v>0</v>
      </c>
      <c r="AL217" s="12">
        <f t="shared" ca="1" si="62"/>
        <v>0</v>
      </c>
      <c r="AM217" s="12">
        <f t="shared" ca="1" si="63"/>
        <v>0</v>
      </c>
      <c r="AN217" s="12">
        <f t="shared" ca="1" si="64"/>
        <v>0</v>
      </c>
      <c r="AO217" s="12">
        <f t="shared" ca="1" si="65"/>
        <v>0</v>
      </c>
      <c r="AP217" s="12" t="str">
        <f t="shared" ca="1" si="66"/>
        <v/>
      </c>
      <c r="AQ217" s="12" t="str">
        <f t="shared" ca="1" si="67"/>
        <v/>
      </c>
      <c r="AR217" s="12" t="str">
        <f t="shared" ca="1" si="68"/>
        <v/>
      </c>
      <c r="AS217" s="12" t="str">
        <f t="shared" ca="1" si="69"/>
        <v/>
      </c>
    </row>
    <row r="218" spans="1:45" ht="14.3">
      <c r="A218">
        <f t="shared" si="70"/>
        <v>545</v>
      </c>
      <c r="B218" t="str">
        <f t="shared" ca="1" si="51"/>
        <v xml:space="preserve"> </v>
      </c>
      <c r="C218" t="b">
        <f t="shared" ca="1" si="52"/>
        <v>0</v>
      </c>
      <c r="D218" s="248" t="str">
        <f t="shared" ref="D218:D249" ca="1" si="77">IF($C218=FALSE,"",INDIRECT("Installations!" &amp; D$120 &amp; $A218))</f>
        <v/>
      </c>
      <c r="E218" s="92" t="str">
        <f t="shared" ca="1" si="53"/>
        <v/>
      </c>
      <c r="F218" s="92" t="str">
        <f t="shared" ca="1" si="54"/>
        <v/>
      </c>
      <c r="G218" s="257" t="str">
        <f t="shared" ca="1" si="55"/>
        <v/>
      </c>
      <c r="H218" s="248" t="str">
        <f t="shared" ca="1" si="55"/>
        <v/>
      </c>
      <c r="I218" s="92" t="str">
        <f t="shared" ca="1" si="55"/>
        <v/>
      </c>
      <c r="J218" s="92" t="str">
        <f t="shared" ca="1" si="56"/>
        <v/>
      </c>
      <c r="K218" s="92" t="str">
        <f t="shared" ca="1" si="72"/>
        <v/>
      </c>
      <c r="L218" s="92" t="str">
        <f t="shared" ca="1" si="72"/>
        <v/>
      </c>
      <c r="M218" s="258" t="str">
        <f t="shared" ca="1" si="72"/>
        <v/>
      </c>
      <c r="N218" s="259" t="str">
        <f t="shared" ca="1" si="57"/>
        <v/>
      </c>
      <c r="O218" s="92" t="str">
        <f t="shared" ca="1" si="57"/>
        <v/>
      </c>
      <c r="P218" s="92"/>
      <c r="Q218" s="92" t="str">
        <f t="shared" ca="1" si="73"/>
        <v/>
      </c>
      <c r="R218" s="257" t="str">
        <f t="shared" ca="1" si="73"/>
        <v/>
      </c>
      <c r="S218" s="248" t="str">
        <f t="shared" ca="1" si="74"/>
        <v/>
      </c>
      <c r="T218" s="92" t="str">
        <f t="shared" ca="1" si="74"/>
        <v/>
      </c>
      <c r="U218" s="92" t="str">
        <f t="shared" ca="1" si="58"/>
        <v/>
      </c>
      <c r="V218" s="92" t="str">
        <f t="shared" ca="1" si="58"/>
        <v/>
      </c>
      <c r="W218" s="92" t="str">
        <f t="shared" ca="1" si="58"/>
        <v/>
      </c>
      <c r="X218" s="257" t="str">
        <f t="shared" ca="1" si="58"/>
        <v/>
      </c>
      <c r="Y218" s="248" t="str">
        <f t="shared" ca="1" si="75"/>
        <v/>
      </c>
      <c r="Z218" s="92" t="str">
        <f t="shared" ca="1" si="75"/>
        <v/>
      </c>
      <c r="AA218" s="92" t="str">
        <f t="shared" ca="1" si="59"/>
        <v/>
      </c>
      <c r="AB218" s="345" t="str">
        <f t="shared" ca="1" si="76"/>
        <v/>
      </c>
      <c r="AC218" s="257" t="str">
        <f t="shared" ca="1" si="76"/>
        <v/>
      </c>
      <c r="AD218" s="248" t="str">
        <f t="shared" ca="1" si="71"/>
        <v/>
      </c>
      <c r="AE218" s="257" t="str">
        <f t="shared" ca="1" si="71"/>
        <v/>
      </c>
      <c r="AF218" s="248" t="str">
        <f t="shared" ca="1" si="71"/>
        <v/>
      </c>
      <c r="AG218" s="257" t="str">
        <f t="shared" ca="1" si="71"/>
        <v/>
      </c>
      <c r="AH218" s="92"/>
      <c r="AI218" s="92" t="str">
        <f t="shared" ca="1" si="60"/>
        <v/>
      </c>
      <c r="AK218" s="92">
        <f t="shared" ca="1" si="61"/>
        <v>0</v>
      </c>
      <c r="AL218" s="12">
        <f t="shared" ca="1" si="62"/>
        <v>0</v>
      </c>
      <c r="AM218" s="12">
        <f t="shared" ca="1" si="63"/>
        <v>0</v>
      </c>
      <c r="AN218" s="12">
        <f t="shared" ca="1" si="64"/>
        <v>0</v>
      </c>
      <c r="AO218" s="12">
        <f t="shared" ca="1" si="65"/>
        <v>0</v>
      </c>
      <c r="AP218" s="12" t="str">
        <f t="shared" ca="1" si="66"/>
        <v/>
      </c>
      <c r="AQ218" s="12" t="str">
        <f t="shared" ca="1" si="67"/>
        <v/>
      </c>
      <c r="AR218" s="12" t="str">
        <f t="shared" ca="1" si="68"/>
        <v/>
      </c>
      <c r="AS218" s="12" t="str">
        <f t="shared" ca="1" si="69"/>
        <v/>
      </c>
    </row>
    <row r="219" spans="1:45" ht="14.3">
      <c r="A219">
        <f t="shared" si="70"/>
        <v>550</v>
      </c>
      <c r="B219" t="str">
        <f t="shared" ca="1" si="51"/>
        <v xml:space="preserve"> </v>
      </c>
      <c r="C219" t="b">
        <f t="shared" ca="1" si="52"/>
        <v>0</v>
      </c>
      <c r="D219" s="248" t="str">
        <f t="shared" ca="1" si="77"/>
        <v/>
      </c>
      <c r="E219" s="92" t="str">
        <f t="shared" ca="1" si="53"/>
        <v/>
      </c>
      <c r="F219" s="92" t="str">
        <f t="shared" ca="1" si="54"/>
        <v/>
      </c>
      <c r="G219" s="257" t="str">
        <f t="shared" ref="G219:I250" ca="1" si="78">IF($C219=FALSE,"",INDIRECT("Installations!" &amp; G$120 &amp; $A219+1))</f>
        <v/>
      </c>
      <c r="H219" s="248" t="str">
        <f t="shared" ca="1" si="78"/>
        <v/>
      </c>
      <c r="I219" s="92" t="str">
        <f t="shared" ca="1" si="78"/>
        <v/>
      </c>
      <c r="J219" s="92" t="str">
        <f t="shared" ca="1" si="56"/>
        <v/>
      </c>
      <c r="K219" s="92" t="str">
        <f t="shared" ca="1" si="72"/>
        <v/>
      </c>
      <c r="L219" s="92" t="str">
        <f t="shared" ca="1" si="72"/>
        <v/>
      </c>
      <c r="M219" s="258" t="str">
        <f t="shared" ca="1" si="72"/>
        <v/>
      </c>
      <c r="N219" s="259" t="str">
        <f t="shared" ref="N219:O250" ca="1" si="79">IF($C219=FALSE,"",INDIRECT("Installations!" &amp; N$120 &amp; $A219+1))</f>
        <v/>
      </c>
      <c r="O219" s="92" t="str">
        <f t="shared" ca="1" si="79"/>
        <v/>
      </c>
      <c r="P219" s="92"/>
      <c r="Q219" s="92" t="str">
        <f t="shared" ca="1" si="73"/>
        <v/>
      </c>
      <c r="R219" s="257" t="str">
        <f t="shared" ca="1" si="73"/>
        <v/>
      </c>
      <c r="S219" s="248" t="str">
        <f t="shared" ca="1" si="74"/>
        <v/>
      </c>
      <c r="T219" s="92" t="str">
        <f t="shared" ca="1" si="74"/>
        <v/>
      </c>
      <c r="U219" s="92" t="str">
        <f t="shared" ref="U219:X265" ca="1" si="80">IF($C219=FALSE,"",INDIRECT("Installations!" &amp; U$120 &amp; $A219+U$118))</f>
        <v/>
      </c>
      <c r="V219" s="92" t="str">
        <f t="shared" ca="1" si="80"/>
        <v/>
      </c>
      <c r="W219" s="92" t="str">
        <f t="shared" ca="1" si="80"/>
        <v/>
      </c>
      <c r="X219" s="257" t="str">
        <f t="shared" ca="1" si="80"/>
        <v/>
      </c>
      <c r="Y219" s="248" t="str">
        <f t="shared" ca="1" si="75"/>
        <v/>
      </c>
      <c r="Z219" s="92" t="str">
        <f t="shared" ca="1" si="75"/>
        <v/>
      </c>
      <c r="AA219" s="92" t="str">
        <f t="shared" ca="1" si="59"/>
        <v/>
      </c>
      <c r="AB219" s="345" t="str">
        <f t="shared" ca="1" si="76"/>
        <v/>
      </c>
      <c r="AC219" s="257" t="str">
        <f t="shared" ca="1" si="76"/>
        <v/>
      </c>
      <c r="AD219" s="248" t="str">
        <f t="shared" ca="1" si="71"/>
        <v/>
      </c>
      <c r="AE219" s="257" t="str">
        <f t="shared" ca="1" si="71"/>
        <v/>
      </c>
      <c r="AF219" s="248" t="str">
        <f t="shared" ca="1" si="71"/>
        <v/>
      </c>
      <c r="AG219" s="257" t="str">
        <f t="shared" ca="1" si="71"/>
        <v/>
      </c>
      <c r="AH219" s="92"/>
      <c r="AI219" s="92" t="str">
        <f t="shared" ca="1" si="60"/>
        <v/>
      </c>
      <c r="AK219" s="92">
        <f t="shared" ca="1" si="61"/>
        <v>0</v>
      </c>
      <c r="AL219" s="12">
        <f t="shared" ca="1" si="62"/>
        <v>0</v>
      </c>
      <c r="AM219" s="12">
        <f t="shared" ca="1" si="63"/>
        <v>0</v>
      </c>
      <c r="AN219" s="12">
        <f t="shared" ca="1" si="64"/>
        <v>0</v>
      </c>
      <c r="AO219" s="12">
        <f t="shared" ca="1" si="65"/>
        <v>0</v>
      </c>
      <c r="AP219" s="12" t="str">
        <f t="shared" ca="1" si="66"/>
        <v/>
      </c>
      <c r="AQ219" s="12" t="str">
        <f t="shared" ca="1" si="67"/>
        <v/>
      </c>
      <c r="AR219" s="12" t="str">
        <f t="shared" ca="1" si="68"/>
        <v/>
      </c>
      <c r="AS219" s="12" t="str">
        <f t="shared" ca="1" si="69"/>
        <v/>
      </c>
    </row>
    <row r="220" spans="1:45" ht="14.3">
      <c r="A220">
        <f>A219+5</f>
        <v>555</v>
      </c>
      <c r="B220" t="str">
        <f t="shared" ca="1" si="51"/>
        <v xml:space="preserve"> </v>
      </c>
      <c r="C220" t="b">
        <f t="shared" ca="1" si="52"/>
        <v>0</v>
      </c>
      <c r="D220" s="248" t="str">
        <f t="shared" ca="1" si="77"/>
        <v/>
      </c>
      <c r="E220" s="92" t="str">
        <f t="shared" ca="1" si="53"/>
        <v/>
      </c>
      <c r="F220" s="92" t="str">
        <f t="shared" ca="1" si="54"/>
        <v/>
      </c>
      <c r="G220" s="257" t="str">
        <f t="shared" ca="1" si="78"/>
        <v/>
      </c>
      <c r="H220" s="248" t="str">
        <f t="shared" ca="1" si="78"/>
        <v/>
      </c>
      <c r="I220" s="92" t="str">
        <f t="shared" ca="1" si="78"/>
        <v/>
      </c>
      <c r="J220" s="92" t="str">
        <f t="shared" ca="1" si="56"/>
        <v/>
      </c>
      <c r="K220" s="92" t="str">
        <f t="shared" ca="1" si="72"/>
        <v/>
      </c>
      <c r="L220" s="92" t="str">
        <f t="shared" ca="1" si="72"/>
        <v/>
      </c>
      <c r="M220" s="258" t="str">
        <f t="shared" ca="1" si="72"/>
        <v/>
      </c>
      <c r="N220" s="259" t="str">
        <f t="shared" ca="1" si="79"/>
        <v/>
      </c>
      <c r="O220" s="92" t="str">
        <f t="shared" ca="1" si="79"/>
        <v/>
      </c>
      <c r="P220" s="92"/>
      <c r="Q220" s="92" t="str">
        <f t="shared" ca="1" si="73"/>
        <v/>
      </c>
      <c r="R220" s="257" t="str">
        <f t="shared" ca="1" si="73"/>
        <v/>
      </c>
      <c r="S220" s="248" t="str">
        <f t="shared" ca="1" si="74"/>
        <v/>
      </c>
      <c r="T220" s="92" t="str">
        <f t="shared" ca="1" si="74"/>
        <v/>
      </c>
      <c r="U220" s="92" t="str">
        <f t="shared" ca="1" si="80"/>
        <v/>
      </c>
      <c r="V220" s="92" t="str">
        <f t="shared" ca="1" si="80"/>
        <v/>
      </c>
      <c r="W220" s="92" t="str">
        <f t="shared" ca="1" si="80"/>
        <v/>
      </c>
      <c r="X220" s="257" t="str">
        <f t="shared" ca="1" si="80"/>
        <v/>
      </c>
      <c r="Y220" s="248" t="str">
        <f t="shared" ca="1" si="75"/>
        <v/>
      </c>
      <c r="Z220" s="92" t="str">
        <f t="shared" ca="1" si="75"/>
        <v/>
      </c>
      <c r="AA220" s="92" t="str">
        <f t="shared" ca="1" si="59"/>
        <v/>
      </c>
      <c r="AB220" s="345" t="str">
        <f t="shared" ca="1" si="76"/>
        <v/>
      </c>
      <c r="AC220" s="257" t="str">
        <f t="shared" ca="1" si="76"/>
        <v/>
      </c>
      <c r="AD220" s="248" t="str">
        <f t="shared" ca="1" si="71"/>
        <v/>
      </c>
      <c r="AE220" s="257" t="str">
        <f t="shared" ca="1" si="71"/>
        <v/>
      </c>
      <c r="AF220" s="248" t="str">
        <f t="shared" ca="1" si="71"/>
        <v/>
      </c>
      <c r="AG220" s="257" t="str">
        <f t="shared" ca="1" si="71"/>
        <v/>
      </c>
      <c r="AH220" s="92"/>
      <c r="AI220" s="92" t="str">
        <f t="shared" ca="1" si="60"/>
        <v/>
      </c>
      <c r="AK220" s="92">
        <f t="shared" ca="1" si="61"/>
        <v>0</v>
      </c>
      <c r="AL220" s="12">
        <f t="shared" ca="1" si="62"/>
        <v>0</v>
      </c>
      <c r="AM220" s="12">
        <f t="shared" ca="1" si="63"/>
        <v>0</v>
      </c>
      <c r="AN220" s="12">
        <f t="shared" ca="1" si="64"/>
        <v>0</v>
      </c>
      <c r="AO220" s="12">
        <f t="shared" ca="1" si="65"/>
        <v>0</v>
      </c>
      <c r="AP220" s="12" t="str">
        <f t="shared" ca="1" si="66"/>
        <v/>
      </c>
      <c r="AQ220" s="12" t="str">
        <f t="shared" ca="1" si="67"/>
        <v/>
      </c>
      <c r="AR220" s="12" t="str">
        <f t="shared" ca="1" si="68"/>
        <v/>
      </c>
      <c r="AS220" s="12" t="str">
        <f t="shared" ca="1" si="69"/>
        <v/>
      </c>
    </row>
    <row r="221" spans="1:45" ht="14.3">
      <c r="A221" s="610">
        <f>A220+8</f>
        <v>563</v>
      </c>
      <c r="B221" t="str">
        <f t="shared" ca="1" si="51"/>
        <v xml:space="preserve"> </v>
      </c>
      <c r="C221" t="b">
        <f t="shared" ca="1" si="52"/>
        <v>0</v>
      </c>
      <c r="D221" s="248" t="str">
        <f t="shared" ca="1" si="77"/>
        <v/>
      </c>
      <c r="E221" s="92" t="str">
        <f t="shared" ca="1" si="53"/>
        <v/>
      </c>
      <c r="F221" s="92" t="str">
        <f t="shared" ca="1" si="54"/>
        <v/>
      </c>
      <c r="G221" s="257" t="str">
        <f t="shared" ca="1" si="78"/>
        <v/>
      </c>
      <c r="H221" s="248" t="str">
        <f t="shared" ca="1" si="78"/>
        <v/>
      </c>
      <c r="I221" s="92" t="str">
        <f t="shared" ca="1" si="78"/>
        <v/>
      </c>
      <c r="J221" s="92" t="str">
        <f t="shared" ca="1" si="56"/>
        <v/>
      </c>
      <c r="K221" s="92" t="str">
        <f t="shared" ca="1" si="72"/>
        <v/>
      </c>
      <c r="L221" s="92" t="str">
        <f t="shared" ca="1" si="72"/>
        <v/>
      </c>
      <c r="M221" s="258" t="str">
        <f t="shared" ca="1" si="72"/>
        <v/>
      </c>
      <c r="N221" s="259" t="str">
        <f t="shared" ca="1" si="79"/>
        <v/>
      </c>
      <c r="O221" s="92" t="str">
        <f t="shared" ca="1" si="79"/>
        <v/>
      </c>
      <c r="P221" s="92"/>
      <c r="Q221" s="92" t="str">
        <f t="shared" ca="1" si="73"/>
        <v/>
      </c>
      <c r="R221" s="257" t="str">
        <f t="shared" ca="1" si="73"/>
        <v/>
      </c>
      <c r="S221" s="248" t="str">
        <f t="shared" ca="1" si="74"/>
        <v/>
      </c>
      <c r="T221" s="92" t="str">
        <f t="shared" ca="1" si="74"/>
        <v/>
      </c>
      <c r="U221" s="92" t="str">
        <f t="shared" ca="1" si="80"/>
        <v/>
      </c>
      <c r="V221" s="92" t="str">
        <f t="shared" ca="1" si="80"/>
        <v/>
      </c>
      <c r="W221" s="92" t="str">
        <f t="shared" ca="1" si="80"/>
        <v/>
      </c>
      <c r="X221" s="257" t="str">
        <f t="shared" ca="1" si="80"/>
        <v/>
      </c>
      <c r="Y221" s="248" t="str">
        <f t="shared" ca="1" si="75"/>
        <v/>
      </c>
      <c r="Z221" s="92" t="str">
        <f t="shared" ca="1" si="75"/>
        <v/>
      </c>
      <c r="AA221" s="92" t="str">
        <f t="shared" ca="1" si="59"/>
        <v/>
      </c>
      <c r="AB221" s="345" t="str">
        <f t="shared" ca="1" si="76"/>
        <v/>
      </c>
      <c r="AC221" s="257" t="str">
        <f t="shared" ca="1" si="76"/>
        <v/>
      </c>
      <c r="AD221" s="248" t="str">
        <f t="shared" ca="1" si="71"/>
        <v/>
      </c>
      <c r="AE221" s="257" t="str">
        <f t="shared" ca="1" si="71"/>
        <v/>
      </c>
      <c r="AF221" s="248" t="str">
        <f t="shared" ca="1" si="71"/>
        <v/>
      </c>
      <c r="AG221" s="257" t="str">
        <f t="shared" ca="1" si="71"/>
        <v/>
      </c>
      <c r="AH221" s="92"/>
      <c r="AI221" s="92" t="str">
        <f t="shared" ca="1" si="60"/>
        <v/>
      </c>
      <c r="AK221" s="92">
        <f t="shared" ca="1" si="61"/>
        <v>0</v>
      </c>
      <c r="AL221" s="12">
        <f t="shared" ca="1" si="62"/>
        <v>0</v>
      </c>
      <c r="AM221" s="12">
        <f t="shared" ca="1" si="63"/>
        <v>0</v>
      </c>
      <c r="AN221" s="12">
        <f t="shared" ca="1" si="64"/>
        <v>0</v>
      </c>
      <c r="AO221" s="12">
        <f t="shared" ca="1" si="65"/>
        <v>0</v>
      </c>
      <c r="AP221" s="12" t="str">
        <f t="shared" ca="1" si="66"/>
        <v/>
      </c>
      <c r="AQ221" s="12" t="str">
        <f t="shared" ca="1" si="67"/>
        <v/>
      </c>
      <c r="AR221" s="12" t="str">
        <f t="shared" ca="1" si="68"/>
        <v/>
      </c>
      <c r="AS221" s="12" t="str">
        <f t="shared" ca="1" si="69"/>
        <v/>
      </c>
    </row>
    <row r="222" spans="1:45" ht="14.3">
      <c r="A222">
        <f>A221+5</f>
        <v>568</v>
      </c>
      <c r="B222" t="str">
        <f t="shared" ca="1" si="51"/>
        <v xml:space="preserve"> </v>
      </c>
      <c r="C222" t="b">
        <f t="shared" ca="1" si="52"/>
        <v>0</v>
      </c>
      <c r="D222" s="248" t="str">
        <f t="shared" ca="1" si="77"/>
        <v/>
      </c>
      <c r="E222" s="92" t="str">
        <f t="shared" ca="1" si="53"/>
        <v/>
      </c>
      <c r="F222" s="92" t="str">
        <f t="shared" ca="1" si="54"/>
        <v/>
      </c>
      <c r="G222" s="257" t="str">
        <f t="shared" ca="1" si="78"/>
        <v/>
      </c>
      <c r="H222" s="248" t="str">
        <f t="shared" ca="1" si="78"/>
        <v/>
      </c>
      <c r="I222" s="92" t="str">
        <f t="shared" ca="1" si="78"/>
        <v/>
      </c>
      <c r="J222" s="92" t="str">
        <f t="shared" ca="1" si="56"/>
        <v/>
      </c>
      <c r="K222" s="92" t="str">
        <f t="shared" ref="K222:M241" ca="1" si="81">IF($C222=FALSE,"",INDIRECT("Installations!" &amp; K$120 &amp; $A222))</f>
        <v/>
      </c>
      <c r="L222" s="92" t="str">
        <f t="shared" ca="1" si="81"/>
        <v/>
      </c>
      <c r="M222" s="258" t="str">
        <f t="shared" ca="1" si="81"/>
        <v/>
      </c>
      <c r="N222" s="259" t="str">
        <f t="shared" ca="1" si="79"/>
        <v/>
      </c>
      <c r="O222" s="92" t="str">
        <f t="shared" ca="1" si="79"/>
        <v/>
      </c>
      <c r="P222" s="92"/>
      <c r="Q222" s="92" t="str">
        <f t="shared" ca="1" si="73"/>
        <v/>
      </c>
      <c r="R222" s="257" t="str">
        <f t="shared" ca="1" si="73"/>
        <v/>
      </c>
      <c r="S222" s="248" t="str">
        <f t="shared" ref="S222:T241" ca="1" si="82">IF($C222=FALSE,"",INDIRECT("Installations!" &amp; S$120 &amp; $A222+2))</f>
        <v/>
      </c>
      <c r="T222" s="92" t="str">
        <f t="shared" ca="1" si="82"/>
        <v/>
      </c>
      <c r="U222" s="92" t="str">
        <f t="shared" ca="1" si="80"/>
        <v/>
      </c>
      <c r="V222" s="92" t="str">
        <f t="shared" ca="1" si="80"/>
        <v/>
      </c>
      <c r="W222" s="92" t="str">
        <f t="shared" ca="1" si="80"/>
        <v/>
      </c>
      <c r="X222" s="257" t="str">
        <f t="shared" ca="1" si="80"/>
        <v/>
      </c>
      <c r="Y222" s="248" t="str">
        <f t="shared" ref="Y222:Z241" ca="1" si="83">IF($C222=FALSE,"",INDIRECT("Installations!" &amp; Y$120 &amp; $A222+2))</f>
        <v/>
      </c>
      <c r="Z222" s="92" t="str">
        <f t="shared" ca="1" si="83"/>
        <v/>
      </c>
      <c r="AA222" s="92" t="str">
        <f t="shared" ca="1" si="59"/>
        <v/>
      </c>
      <c r="AB222" s="345" t="str">
        <f t="shared" ca="1" si="76"/>
        <v/>
      </c>
      <c r="AC222" s="257" t="str">
        <f t="shared" ca="1" si="76"/>
        <v/>
      </c>
      <c r="AD222" s="248" t="str">
        <f t="shared" ca="1" si="71"/>
        <v/>
      </c>
      <c r="AE222" s="257" t="str">
        <f t="shared" ca="1" si="71"/>
        <v/>
      </c>
      <c r="AF222" s="248" t="str">
        <f t="shared" ca="1" si="71"/>
        <v/>
      </c>
      <c r="AG222" s="257" t="str">
        <f t="shared" ca="1" si="71"/>
        <v/>
      </c>
      <c r="AH222" s="92"/>
      <c r="AI222" s="92" t="str">
        <f t="shared" ca="1" si="60"/>
        <v/>
      </c>
      <c r="AK222" s="92">
        <f t="shared" ca="1" si="61"/>
        <v>0</v>
      </c>
      <c r="AL222" s="12">
        <f t="shared" ca="1" si="62"/>
        <v>0</v>
      </c>
      <c r="AM222" s="12">
        <f t="shared" ca="1" si="63"/>
        <v>0</v>
      </c>
      <c r="AN222" s="12">
        <f t="shared" ca="1" si="64"/>
        <v>0</v>
      </c>
      <c r="AO222" s="12">
        <f t="shared" ca="1" si="65"/>
        <v>0</v>
      </c>
      <c r="AP222" s="12" t="str">
        <f t="shared" ca="1" si="66"/>
        <v/>
      </c>
      <c r="AQ222" s="12" t="str">
        <f t="shared" ca="1" si="67"/>
        <v/>
      </c>
      <c r="AR222" s="12" t="str">
        <f t="shared" ca="1" si="68"/>
        <v/>
      </c>
      <c r="AS222" s="12" t="str">
        <f t="shared" ca="1" si="69"/>
        <v/>
      </c>
    </row>
    <row r="223" spans="1:45" ht="14.3">
      <c r="A223">
        <f t="shared" si="70"/>
        <v>573</v>
      </c>
      <c r="B223" t="str">
        <f t="shared" ca="1" si="51"/>
        <v xml:space="preserve"> </v>
      </c>
      <c r="C223" t="b">
        <f t="shared" ca="1" si="52"/>
        <v>0</v>
      </c>
      <c r="D223" s="248" t="str">
        <f t="shared" ca="1" si="77"/>
        <v/>
      </c>
      <c r="E223" s="92" t="str">
        <f t="shared" ca="1" si="53"/>
        <v/>
      </c>
      <c r="F223" s="92" t="str">
        <f t="shared" ca="1" si="54"/>
        <v/>
      </c>
      <c r="G223" s="257" t="str">
        <f t="shared" ca="1" si="78"/>
        <v/>
      </c>
      <c r="H223" s="248" t="str">
        <f t="shared" ca="1" si="78"/>
        <v/>
      </c>
      <c r="I223" s="92" t="str">
        <f t="shared" ca="1" si="78"/>
        <v/>
      </c>
      <c r="J223" s="92" t="str">
        <f t="shared" ca="1" si="56"/>
        <v/>
      </c>
      <c r="K223" s="92" t="str">
        <f t="shared" ca="1" si="81"/>
        <v/>
      </c>
      <c r="L223" s="92" t="str">
        <f t="shared" ca="1" si="81"/>
        <v/>
      </c>
      <c r="M223" s="258" t="str">
        <f t="shared" ca="1" si="81"/>
        <v/>
      </c>
      <c r="N223" s="259" t="str">
        <f t="shared" ca="1" si="79"/>
        <v/>
      </c>
      <c r="O223" s="92" t="str">
        <f t="shared" ca="1" si="79"/>
        <v/>
      </c>
      <c r="P223" s="92"/>
      <c r="Q223" s="92" t="str">
        <f t="shared" ca="1" si="73"/>
        <v/>
      </c>
      <c r="R223" s="257" t="str">
        <f t="shared" ca="1" si="73"/>
        <v/>
      </c>
      <c r="S223" s="248" t="str">
        <f t="shared" ca="1" si="82"/>
        <v/>
      </c>
      <c r="T223" s="92" t="str">
        <f t="shared" ca="1" si="82"/>
        <v/>
      </c>
      <c r="U223" s="92" t="str">
        <f t="shared" ca="1" si="80"/>
        <v/>
      </c>
      <c r="V223" s="92" t="str">
        <f t="shared" ca="1" si="80"/>
        <v/>
      </c>
      <c r="W223" s="92" t="str">
        <f t="shared" ca="1" si="80"/>
        <v/>
      </c>
      <c r="X223" s="257" t="str">
        <f t="shared" ca="1" si="80"/>
        <v/>
      </c>
      <c r="Y223" s="248" t="str">
        <f t="shared" ca="1" si="83"/>
        <v/>
      </c>
      <c r="Z223" s="92" t="str">
        <f t="shared" ca="1" si="83"/>
        <v/>
      </c>
      <c r="AA223" s="92" t="str">
        <f t="shared" ca="1" si="59"/>
        <v/>
      </c>
      <c r="AB223" s="345" t="str">
        <f t="shared" ca="1" si="76"/>
        <v/>
      </c>
      <c r="AC223" s="257" t="str">
        <f t="shared" ca="1" si="76"/>
        <v/>
      </c>
      <c r="AD223" s="248" t="str">
        <f t="shared" ca="1" si="71"/>
        <v/>
      </c>
      <c r="AE223" s="257" t="str">
        <f t="shared" ca="1" si="71"/>
        <v/>
      </c>
      <c r="AF223" s="248" t="str">
        <f t="shared" ca="1" si="71"/>
        <v/>
      </c>
      <c r="AG223" s="257" t="str">
        <f t="shared" ca="1" si="71"/>
        <v/>
      </c>
      <c r="AH223" s="92"/>
      <c r="AI223" s="92" t="str">
        <f t="shared" ca="1" si="60"/>
        <v/>
      </c>
      <c r="AK223" s="92">
        <f t="shared" ca="1" si="61"/>
        <v>0</v>
      </c>
      <c r="AL223" s="12">
        <f t="shared" ca="1" si="62"/>
        <v>0</v>
      </c>
      <c r="AM223" s="12">
        <f t="shared" ca="1" si="63"/>
        <v>0</v>
      </c>
      <c r="AN223" s="12">
        <f t="shared" ca="1" si="64"/>
        <v>0</v>
      </c>
      <c r="AO223" s="12">
        <f t="shared" ca="1" si="65"/>
        <v>0</v>
      </c>
      <c r="AP223" s="12" t="str">
        <f t="shared" ca="1" si="66"/>
        <v/>
      </c>
      <c r="AQ223" s="12" t="str">
        <f t="shared" ca="1" si="67"/>
        <v/>
      </c>
      <c r="AR223" s="12" t="str">
        <f t="shared" ca="1" si="68"/>
        <v/>
      </c>
      <c r="AS223" s="12" t="str">
        <f t="shared" ca="1" si="69"/>
        <v/>
      </c>
    </row>
    <row r="224" spans="1:45" ht="14.3">
      <c r="A224">
        <f t="shared" si="70"/>
        <v>578</v>
      </c>
      <c r="B224" t="str">
        <f t="shared" ca="1" si="51"/>
        <v xml:space="preserve"> </v>
      </c>
      <c r="C224" t="b">
        <f t="shared" ca="1" si="52"/>
        <v>0</v>
      </c>
      <c r="D224" s="248" t="str">
        <f t="shared" ca="1" si="77"/>
        <v/>
      </c>
      <c r="E224" s="92" t="str">
        <f t="shared" ca="1" si="53"/>
        <v/>
      </c>
      <c r="F224" s="92" t="str">
        <f t="shared" ca="1" si="54"/>
        <v/>
      </c>
      <c r="G224" s="257" t="str">
        <f t="shared" ca="1" si="78"/>
        <v/>
      </c>
      <c r="H224" s="248" t="str">
        <f t="shared" ca="1" si="78"/>
        <v/>
      </c>
      <c r="I224" s="92" t="str">
        <f t="shared" ca="1" si="78"/>
        <v/>
      </c>
      <c r="J224" s="92" t="str">
        <f t="shared" ca="1" si="56"/>
        <v/>
      </c>
      <c r="K224" s="92" t="str">
        <f t="shared" ca="1" si="81"/>
        <v/>
      </c>
      <c r="L224" s="92" t="str">
        <f t="shared" ca="1" si="81"/>
        <v/>
      </c>
      <c r="M224" s="258" t="str">
        <f t="shared" ca="1" si="81"/>
        <v/>
      </c>
      <c r="N224" s="259" t="str">
        <f t="shared" ca="1" si="79"/>
        <v/>
      </c>
      <c r="O224" s="92" t="str">
        <f t="shared" ca="1" si="79"/>
        <v/>
      </c>
      <c r="P224" s="92"/>
      <c r="Q224" s="92" t="str">
        <f t="shared" ca="1" si="73"/>
        <v/>
      </c>
      <c r="R224" s="257" t="str">
        <f t="shared" ca="1" si="73"/>
        <v/>
      </c>
      <c r="S224" s="248" t="str">
        <f t="shared" ca="1" si="82"/>
        <v/>
      </c>
      <c r="T224" s="92" t="str">
        <f t="shared" ca="1" si="82"/>
        <v/>
      </c>
      <c r="U224" s="92" t="str">
        <f t="shared" ca="1" si="80"/>
        <v/>
      </c>
      <c r="V224" s="92" t="str">
        <f t="shared" ca="1" si="80"/>
        <v/>
      </c>
      <c r="W224" s="92" t="str">
        <f t="shared" ca="1" si="80"/>
        <v/>
      </c>
      <c r="X224" s="257" t="str">
        <f t="shared" ca="1" si="80"/>
        <v/>
      </c>
      <c r="Y224" s="248" t="str">
        <f t="shared" ca="1" si="83"/>
        <v/>
      </c>
      <c r="Z224" s="92" t="str">
        <f t="shared" ca="1" si="83"/>
        <v/>
      </c>
      <c r="AA224" s="92" t="str">
        <f t="shared" ca="1" si="59"/>
        <v/>
      </c>
      <c r="AB224" s="345" t="str">
        <f t="shared" ca="1" si="76"/>
        <v/>
      </c>
      <c r="AC224" s="257" t="str">
        <f t="shared" ca="1" si="76"/>
        <v/>
      </c>
      <c r="AD224" s="248" t="str">
        <f t="shared" ca="1" si="71"/>
        <v/>
      </c>
      <c r="AE224" s="257" t="str">
        <f t="shared" ca="1" si="71"/>
        <v/>
      </c>
      <c r="AF224" s="248" t="str">
        <f t="shared" ca="1" si="71"/>
        <v/>
      </c>
      <c r="AG224" s="257" t="str">
        <f t="shared" ca="1" si="71"/>
        <v/>
      </c>
      <c r="AH224" s="92"/>
      <c r="AI224" s="92" t="str">
        <f t="shared" ca="1" si="60"/>
        <v/>
      </c>
      <c r="AK224" s="92">
        <f t="shared" ca="1" si="61"/>
        <v>0</v>
      </c>
      <c r="AL224" s="12">
        <f t="shared" ca="1" si="62"/>
        <v>0</v>
      </c>
      <c r="AM224" s="12">
        <f t="shared" ca="1" si="63"/>
        <v>0</v>
      </c>
      <c r="AN224" s="12">
        <f t="shared" ca="1" si="64"/>
        <v>0</v>
      </c>
      <c r="AO224" s="12">
        <f t="shared" ca="1" si="65"/>
        <v>0</v>
      </c>
      <c r="AP224" s="12" t="str">
        <f t="shared" ca="1" si="66"/>
        <v/>
      </c>
      <c r="AQ224" s="12" t="str">
        <f t="shared" ca="1" si="67"/>
        <v/>
      </c>
      <c r="AR224" s="12" t="str">
        <f t="shared" ca="1" si="68"/>
        <v/>
      </c>
      <c r="AS224" s="12" t="str">
        <f t="shared" ca="1" si="69"/>
        <v/>
      </c>
    </row>
    <row r="225" spans="1:45" ht="14.3">
      <c r="A225">
        <f t="shared" si="70"/>
        <v>583</v>
      </c>
      <c r="B225" t="str">
        <f t="shared" ca="1" si="51"/>
        <v xml:space="preserve"> </v>
      </c>
      <c r="C225" t="b">
        <f t="shared" ca="1" si="52"/>
        <v>0</v>
      </c>
      <c r="D225" s="248" t="str">
        <f t="shared" ca="1" si="77"/>
        <v/>
      </c>
      <c r="E225" s="92" t="str">
        <f t="shared" ca="1" si="53"/>
        <v/>
      </c>
      <c r="F225" s="92" t="str">
        <f t="shared" ca="1" si="54"/>
        <v/>
      </c>
      <c r="G225" s="257" t="str">
        <f t="shared" ca="1" si="78"/>
        <v/>
      </c>
      <c r="H225" s="248" t="str">
        <f t="shared" ca="1" si="78"/>
        <v/>
      </c>
      <c r="I225" s="92" t="str">
        <f t="shared" ca="1" si="78"/>
        <v/>
      </c>
      <c r="J225" s="92" t="str">
        <f t="shared" ca="1" si="56"/>
        <v/>
      </c>
      <c r="K225" s="92" t="str">
        <f t="shared" ca="1" si="81"/>
        <v/>
      </c>
      <c r="L225" s="92" t="str">
        <f t="shared" ca="1" si="81"/>
        <v/>
      </c>
      <c r="M225" s="258" t="str">
        <f t="shared" ca="1" si="81"/>
        <v/>
      </c>
      <c r="N225" s="259" t="str">
        <f t="shared" ca="1" si="79"/>
        <v/>
      </c>
      <c r="O225" s="92" t="str">
        <f t="shared" ca="1" si="79"/>
        <v/>
      </c>
      <c r="P225" s="92"/>
      <c r="Q225" s="92" t="str">
        <f t="shared" ca="1" si="73"/>
        <v/>
      </c>
      <c r="R225" s="257" t="str">
        <f t="shared" ca="1" si="73"/>
        <v/>
      </c>
      <c r="S225" s="248" t="str">
        <f t="shared" ca="1" si="82"/>
        <v/>
      </c>
      <c r="T225" s="92" t="str">
        <f t="shared" ca="1" si="82"/>
        <v/>
      </c>
      <c r="U225" s="92" t="str">
        <f t="shared" ca="1" si="80"/>
        <v/>
      </c>
      <c r="V225" s="92" t="str">
        <f t="shared" ca="1" si="80"/>
        <v/>
      </c>
      <c r="W225" s="92" t="str">
        <f t="shared" ca="1" si="80"/>
        <v/>
      </c>
      <c r="X225" s="257" t="str">
        <f t="shared" ca="1" si="80"/>
        <v/>
      </c>
      <c r="Y225" s="248" t="str">
        <f t="shared" ca="1" si="83"/>
        <v/>
      </c>
      <c r="Z225" s="92" t="str">
        <f t="shared" ca="1" si="83"/>
        <v/>
      </c>
      <c r="AA225" s="92" t="str">
        <f t="shared" ca="1" si="59"/>
        <v/>
      </c>
      <c r="AB225" s="345" t="str">
        <f t="shared" ca="1" si="76"/>
        <v/>
      </c>
      <c r="AC225" s="257" t="str">
        <f t="shared" ca="1" si="76"/>
        <v/>
      </c>
      <c r="AD225" s="248" t="str">
        <f t="shared" ca="1" si="71"/>
        <v/>
      </c>
      <c r="AE225" s="257" t="str">
        <f t="shared" ca="1" si="71"/>
        <v/>
      </c>
      <c r="AF225" s="248" t="str">
        <f t="shared" ca="1" si="71"/>
        <v/>
      </c>
      <c r="AG225" s="257" t="str">
        <f t="shared" ca="1" si="71"/>
        <v/>
      </c>
      <c r="AH225" s="92"/>
      <c r="AI225" s="92" t="str">
        <f t="shared" ca="1" si="60"/>
        <v/>
      </c>
      <c r="AK225" s="92">
        <f t="shared" ca="1" si="61"/>
        <v>0</v>
      </c>
      <c r="AL225" s="12">
        <f t="shared" ca="1" si="62"/>
        <v>0</v>
      </c>
      <c r="AM225" s="12">
        <f t="shared" ca="1" si="63"/>
        <v>0</v>
      </c>
      <c r="AN225" s="12">
        <f t="shared" ca="1" si="64"/>
        <v>0</v>
      </c>
      <c r="AO225" s="12">
        <f t="shared" ca="1" si="65"/>
        <v>0</v>
      </c>
      <c r="AP225" s="12" t="str">
        <f t="shared" ca="1" si="66"/>
        <v/>
      </c>
      <c r="AQ225" s="12" t="str">
        <f t="shared" ca="1" si="67"/>
        <v/>
      </c>
      <c r="AR225" s="12" t="str">
        <f t="shared" ca="1" si="68"/>
        <v/>
      </c>
      <c r="AS225" s="12" t="str">
        <f t="shared" ca="1" si="69"/>
        <v/>
      </c>
    </row>
    <row r="226" spans="1:45" ht="14.3">
      <c r="A226">
        <f t="shared" si="70"/>
        <v>588</v>
      </c>
      <c r="B226" t="str">
        <f t="shared" ca="1" si="51"/>
        <v xml:space="preserve"> </v>
      </c>
      <c r="C226" t="b">
        <f t="shared" ca="1" si="52"/>
        <v>0</v>
      </c>
      <c r="D226" s="248" t="str">
        <f t="shared" ca="1" si="77"/>
        <v/>
      </c>
      <c r="E226" s="92" t="str">
        <f t="shared" ca="1" si="53"/>
        <v/>
      </c>
      <c r="F226" s="92" t="str">
        <f t="shared" ca="1" si="54"/>
        <v/>
      </c>
      <c r="G226" s="257" t="str">
        <f t="shared" ca="1" si="78"/>
        <v/>
      </c>
      <c r="H226" s="248" t="str">
        <f t="shared" ca="1" si="78"/>
        <v/>
      </c>
      <c r="I226" s="92" t="str">
        <f t="shared" ca="1" si="78"/>
        <v/>
      </c>
      <c r="J226" s="92" t="str">
        <f t="shared" ca="1" si="56"/>
        <v/>
      </c>
      <c r="K226" s="92" t="str">
        <f t="shared" ca="1" si="81"/>
        <v/>
      </c>
      <c r="L226" s="92" t="str">
        <f t="shared" ca="1" si="81"/>
        <v/>
      </c>
      <c r="M226" s="258" t="str">
        <f t="shared" ca="1" si="81"/>
        <v/>
      </c>
      <c r="N226" s="259" t="str">
        <f t="shared" ca="1" si="79"/>
        <v/>
      </c>
      <c r="O226" s="92" t="str">
        <f t="shared" ca="1" si="79"/>
        <v/>
      </c>
      <c r="P226" s="92"/>
      <c r="Q226" s="92" t="str">
        <f t="shared" ca="1" si="73"/>
        <v/>
      </c>
      <c r="R226" s="257" t="str">
        <f t="shared" ca="1" si="73"/>
        <v/>
      </c>
      <c r="S226" s="248" t="str">
        <f t="shared" ca="1" si="82"/>
        <v/>
      </c>
      <c r="T226" s="92" t="str">
        <f t="shared" ca="1" si="82"/>
        <v/>
      </c>
      <c r="U226" s="92" t="str">
        <f t="shared" ca="1" si="80"/>
        <v/>
      </c>
      <c r="V226" s="92" t="str">
        <f t="shared" ca="1" si="80"/>
        <v/>
      </c>
      <c r="W226" s="92" t="str">
        <f t="shared" ca="1" si="80"/>
        <v/>
      </c>
      <c r="X226" s="257" t="str">
        <f t="shared" ca="1" si="80"/>
        <v/>
      </c>
      <c r="Y226" s="248" t="str">
        <f t="shared" ca="1" si="83"/>
        <v/>
      </c>
      <c r="Z226" s="92" t="str">
        <f t="shared" ca="1" si="83"/>
        <v/>
      </c>
      <c r="AA226" s="92" t="str">
        <f t="shared" ca="1" si="59"/>
        <v/>
      </c>
      <c r="AB226" s="345" t="str">
        <f t="shared" ca="1" si="76"/>
        <v/>
      </c>
      <c r="AC226" s="257" t="str">
        <f t="shared" ca="1" si="76"/>
        <v/>
      </c>
      <c r="AD226" s="248" t="str">
        <f t="shared" ca="1" si="71"/>
        <v/>
      </c>
      <c r="AE226" s="257" t="str">
        <f t="shared" ca="1" si="71"/>
        <v/>
      </c>
      <c r="AF226" s="248" t="str">
        <f t="shared" ca="1" si="71"/>
        <v/>
      </c>
      <c r="AG226" s="257" t="str">
        <f t="shared" ca="1" si="71"/>
        <v/>
      </c>
      <c r="AH226" s="92"/>
      <c r="AI226" s="92" t="str">
        <f t="shared" ca="1" si="60"/>
        <v/>
      </c>
      <c r="AK226" s="92">
        <f t="shared" ca="1" si="61"/>
        <v>0</v>
      </c>
      <c r="AL226" s="12">
        <f t="shared" ca="1" si="62"/>
        <v>0</v>
      </c>
      <c r="AM226" s="12">
        <f t="shared" ca="1" si="63"/>
        <v>0</v>
      </c>
      <c r="AN226" s="12">
        <f t="shared" ca="1" si="64"/>
        <v>0</v>
      </c>
      <c r="AO226" s="12">
        <f t="shared" ca="1" si="65"/>
        <v>0</v>
      </c>
      <c r="AP226" s="12" t="str">
        <f t="shared" ca="1" si="66"/>
        <v/>
      </c>
      <c r="AQ226" s="12" t="str">
        <f t="shared" ca="1" si="67"/>
        <v/>
      </c>
      <c r="AR226" s="12" t="str">
        <f t="shared" ca="1" si="68"/>
        <v/>
      </c>
      <c r="AS226" s="12" t="str">
        <f t="shared" ca="1" si="69"/>
        <v/>
      </c>
    </row>
    <row r="227" spans="1:45" ht="14.3">
      <c r="A227">
        <f t="shared" si="70"/>
        <v>593</v>
      </c>
      <c r="B227" t="str">
        <f t="shared" ca="1" si="51"/>
        <v xml:space="preserve"> </v>
      </c>
      <c r="C227" t="b">
        <f t="shared" ca="1" si="52"/>
        <v>0</v>
      </c>
      <c r="D227" s="248" t="str">
        <f t="shared" ca="1" si="77"/>
        <v/>
      </c>
      <c r="E227" s="92" t="str">
        <f t="shared" ca="1" si="53"/>
        <v/>
      </c>
      <c r="F227" s="92" t="str">
        <f t="shared" ca="1" si="54"/>
        <v/>
      </c>
      <c r="G227" s="257" t="str">
        <f t="shared" ca="1" si="78"/>
        <v/>
      </c>
      <c r="H227" s="248" t="str">
        <f t="shared" ca="1" si="78"/>
        <v/>
      </c>
      <c r="I227" s="92" t="str">
        <f t="shared" ca="1" si="78"/>
        <v/>
      </c>
      <c r="J227" s="92" t="str">
        <f t="shared" ca="1" si="56"/>
        <v/>
      </c>
      <c r="K227" s="92" t="str">
        <f t="shared" ca="1" si="81"/>
        <v/>
      </c>
      <c r="L227" s="92" t="str">
        <f t="shared" ca="1" si="81"/>
        <v/>
      </c>
      <c r="M227" s="258" t="str">
        <f t="shared" ca="1" si="81"/>
        <v/>
      </c>
      <c r="N227" s="259" t="str">
        <f t="shared" ca="1" si="79"/>
        <v/>
      </c>
      <c r="O227" s="92" t="str">
        <f t="shared" ca="1" si="79"/>
        <v/>
      </c>
      <c r="P227" s="92"/>
      <c r="Q227" s="92" t="str">
        <f t="shared" ca="1" si="73"/>
        <v/>
      </c>
      <c r="R227" s="257" t="str">
        <f t="shared" ca="1" si="73"/>
        <v/>
      </c>
      <c r="S227" s="248" t="str">
        <f t="shared" ca="1" si="82"/>
        <v/>
      </c>
      <c r="T227" s="92" t="str">
        <f t="shared" ca="1" si="82"/>
        <v/>
      </c>
      <c r="U227" s="92" t="str">
        <f t="shared" ca="1" si="80"/>
        <v/>
      </c>
      <c r="V227" s="92" t="str">
        <f t="shared" ca="1" si="80"/>
        <v/>
      </c>
      <c r="W227" s="92" t="str">
        <f t="shared" ca="1" si="80"/>
        <v/>
      </c>
      <c r="X227" s="257" t="str">
        <f t="shared" ca="1" si="80"/>
        <v/>
      </c>
      <c r="Y227" s="248" t="str">
        <f t="shared" ca="1" si="83"/>
        <v/>
      </c>
      <c r="Z227" s="92" t="str">
        <f t="shared" ca="1" si="83"/>
        <v/>
      </c>
      <c r="AA227" s="92" t="str">
        <f t="shared" ca="1" si="59"/>
        <v/>
      </c>
      <c r="AB227" s="345" t="str">
        <f t="shared" ca="1" si="76"/>
        <v/>
      </c>
      <c r="AC227" s="257" t="str">
        <f t="shared" ca="1" si="76"/>
        <v/>
      </c>
      <c r="AD227" s="248" t="str">
        <f t="shared" ca="1" si="71"/>
        <v/>
      </c>
      <c r="AE227" s="257" t="str">
        <f t="shared" ca="1" si="71"/>
        <v/>
      </c>
      <c r="AF227" s="248" t="str">
        <f t="shared" ca="1" si="71"/>
        <v/>
      </c>
      <c r="AG227" s="257" t="str">
        <f t="shared" ca="1" si="71"/>
        <v/>
      </c>
      <c r="AH227" s="92"/>
      <c r="AI227" s="92" t="str">
        <f t="shared" ca="1" si="60"/>
        <v/>
      </c>
      <c r="AK227" s="92">
        <f t="shared" ca="1" si="61"/>
        <v>0</v>
      </c>
      <c r="AL227" s="12">
        <f t="shared" ca="1" si="62"/>
        <v>0</v>
      </c>
      <c r="AM227" s="12">
        <f t="shared" ca="1" si="63"/>
        <v>0</v>
      </c>
      <c r="AN227" s="12">
        <f t="shared" ca="1" si="64"/>
        <v>0</v>
      </c>
      <c r="AO227" s="12">
        <f t="shared" ca="1" si="65"/>
        <v>0</v>
      </c>
      <c r="AP227" s="12" t="str">
        <f t="shared" ca="1" si="66"/>
        <v/>
      </c>
      <c r="AQ227" s="12" t="str">
        <f t="shared" ca="1" si="67"/>
        <v/>
      </c>
      <c r="AR227" s="12" t="str">
        <f t="shared" ca="1" si="68"/>
        <v/>
      </c>
      <c r="AS227" s="12" t="str">
        <f t="shared" ca="1" si="69"/>
        <v/>
      </c>
    </row>
    <row r="228" spans="1:45" ht="14.3">
      <c r="A228">
        <f t="shared" si="70"/>
        <v>598</v>
      </c>
      <c r="B228" t="str">
        <f t="shared" ca="1" si="51"/>
        <v xml:space="preserve"> </v>
      </c>
      <c r="C228" t="b">
        <f t="shared" ca="1" si="52"/>
        <v>0</v>
      </c>
      <c r="D228" s="248" t="str">
        <f t="shared" ca="1" si="77"/>
        <v/>
      </c>
      <c r="E228" s="92" t="str">
        <f t="shared" ca="1" si="53"/>
        <v/>
      </c>
      <c r="F228" s="92" t="str">
        <f t="shared" ca="1" si="54"/>
        <v/>
      </c>
      <c r="G228" s="257" t="str">
        <f t="shared" ca="1" si="78"/>
        <v/>
      </c>
      <c r="H228" s="248" t="str">
        <f t="shared" ca="1" si="78"/>
        <v/>
      </c>
      <c r="I228" s="92" t="str">
        <f t="shared" ca="1" si="78"/>
        <v/>
      </c>
      <c r="J228" s="92" t="str">
        <f t="shared" ca="1" si="56"/>
        <v/>
      </c>
      <c r="K228" s="92" t="str">
        <f t="shared" ca="1" si="81"/>
        <v/>
      </c>
      <c r="L228" s="92" t="str">
        <f t="shared" ca="1" si="81"/>
        <v/>
      </c>
      <c r="M228" s="258" t="str">
        <f t="shared" ca="1" si="81"/>
        <v/>
      </c>
      <c r="N228" s="259" t="str">
        <f t="shared" ca="1" si="79"/>
        <v/>
      </c>
      <c r="O228" s="92" t="str">
        <f t="shared" ca="1" si="79"/>
        <v/>
      </c>
      <c r="P228" s="92"/>
      <c r="Q228" s="92" t="str">
        <f t="shared" ca="1" si="73"/>
        <v/>
      </c>
      <c r="R228" s="257" t="str">
        <f t="shared" ca="1" si="73"/>
        <v/>
      </c>
      <c r="S228" s="248" t="str">
        <f t="shared" ca="1" si="82"/>
        <v/>
      </c>
      <c r="T228" s="92" t="str">
        <f t="shared" ca="1" si="82"/>
        <v/>
      </c>
      <c r="U228" s="92" t="str">
        <f t="shared" ca="1" si="80"/>
        <v/>
      </c>
      <c r="V228" s="92" t="str">
        <f t="shared" ca="1" si="80"/>
        <v/>
      </c>
      <c r="W228" s="92" t="str">
        <f t="shared" ca="1" si="80"/>
        <v/>
      </c>
      <c r="X228" s="257" t="str">
        <f t="shared" ca="1" si="80"/>
        <v/>
      </c>
      <c r="Y228" s="248" t="str">
        <f t="shared" ca="1" si="83"/>
        <v/>
      </c>
      <c r="Z228" s="92" t="str">
        <f t="shared" ca="1" si="83"/>
        <v/>
      </c>
      <c r="AA228" s="92" t="str">
        <f t="shared" ca="1" si="59"/>
        <v/>
      </c>
      <c r="AB228" s="345" t="str">
        <f t="shared" ca="1" si="76"/>
        <v/>
      </c>
      <c r="AC228" s="257" t="str">
        <f t="shared" ca="1" si="76"/>
        <v/>
      </c>
      <c r="AD228" s="248" t="str">
        <f t="shared" ca="1" si="71"/>
        <v/>
      </c>
      <c r="AE228" s="257" t="str">
        <f t="shared" ca="1" si="71"/>
        <v/>
      </c>
      <c r="AF228" s="248" t="str">
        <f t="shared" ca="1" si="71"/>
        <v/>
      </c>
      <c r="AG228" s="257" t="str">
        <f t="shared" ca="1" si="71"/>
        <v/>
      </c>
      <c r="AH228" s="92"/>
      <c r="AI228" s="92" t="str">
        <f t="shared" ca="1" si="60"/>
        <v/>
      </c>
      <c r="AK228" s="92">
        <f t="shared" ca="1" si="61"/>
        <v>0</v>
      </c>
      <c r="AL228" s="12">
        <f t="shared" ca="1" si="62"/>
        <v>0</v>
      </c>
      <c r="AM228" s="12">
        <f t="shared" ca="1" si="63"/>
        <v>0</v>
      </c>
      <c r="AN228" s="12">
        <f t="shared" ca="1" si="64"/>
        <v>0</v>
      </c>
      <c r="AO228" s="12">
        <f t="shared" ca="1" si="65"/>
        <v>0</v>
      </c>
      <c r="AP228" s="12" t="str">
        <f t="shared" ca="1" si="66"/>
        <v/>
      </c>
      <c r="AQ228" s="12" t="str">
        <f t="shared" ca="1" si="67"/>
        <v/>
      </c>
      <c r="AR228" s="12" t="str">
        <f t="shared" ca="1" si="68"/>
        <v/>
      </c>
      <c r="AS228" s="12" t="str">
        <f t="shared" ca="1" si="69"/>
        <v/>
      </c>
    </row>
    <row r="229" spans="1:45" ht="14.3">
      <c r="A229">
        <f t="shared" si="70"/>
        <v>603</v>
      </c>
      <c r="B229" t="str">
        <f t="shared" ca="1" si="51"/>
        <v xml:space="preserve"> </v>
      </c>
      <c r="C229" t="b">
        <f t="shared" ca="1" si="52"/>
        <v>0</v>
      </c>
      <c r="D229" s="248" t="str">
        <f t="shared" ca="1" si="77"/>
        <v/>
      </c>
      <c r="E229" s="92" t="str">
        <f t="shared" ca="1" si="53"/>
        <v/>
      </c>
      <c r="F229" s="92" t="str">
        <f t="shared" ca="1" si="54"/>
        <v/>
      </c>
      <c r="G229" s="257" t="str">
        <f t="shared" ca="1" si="78"/>
        <v/>
      </c>
      <c r="H229" s="248" t="str">
        <f t="shared" ca="1" si="78"/>
        <v/>
      </c>
      <c r="I229" s="92" t="str">
        <f t="shared" ca="1" si="78"/>
        <v/>
      </c>
      <c r="J229" s="92" t="str">
        <f t="shared" ca="1" si="56"/>
        <v/>
      </c>
      <c r="K229" s="92" t="str">
        <f t="shared" ca="1" si="81"/>
        <v/>
      </c>
      <c r="L229" s="92" t="str">
        <f t="shared" ca="1" si="81"/>
        <v/>
      </c>
      <c r="M229" s="258" t="str">
        <f t="shared" ca="1" si="81"/>
        <v/>
      </c>
      <c r="N229" s="259" t="str">
        <f t="shared" ca="1" si="79"/>
        <v/>
      </c>
      <c r="O229" s="92" t="str">
        <f t="shared" ca="1" si="79"/>
        <v/>
      </c>
      <c r="P229" s="92"/>
      <c r="Q229" s="92" t="str">
        <f t="shared" ca="1" si="73"/>
        <v/>
      </c>
      <c r="R229" s="257" t="str">
        <f t="shared" ca="1" si="73"/>
        <v/>
      </c>
      <c r="S229" s="248" t="str">
        <f t="shared" ca="1" si="82"/>
        <v/>
      </c>
      <c r="T229" s="92" t="str">
        <f t="shared" ca="1" si="82"/>
        <v/>
      </c>
      <c r="U229" s="92" t="str">
        <f t="shared" ca="1" si="80"/>
        <v/>
      </c>
      <c r="V229" s="92" t="str">
        <f t="shared" ca="1" si="80"/>
        <v/>
      </c>
      <c r="W229" s="92" t="str">
        <f t="shared" ca="1" si="80"/>
        <v/>
      </c>
      <c r="X229" s="257" t="str">
        <f t="shared" ca="1" si="80"/>
        <v/>
      </c>
      <c r="Y229" s="248" t="str">
        <f t="shared" ca="1" si="83"/>
        <v/>
      </c>
      <c r="Z229" s="92" t="str">
        <f t="shared" ca="1" si="83"/>
        <v/>
      </c>
      <c r="AA229" s="92" t="str">
        <f t="shared" ca="1" si="59"/>
        <v/>
      </c>
      <c r="AB229" s="345" t="str">
        <f t="shared" ca="1" si="76"/>
        <v/>
      </c>
      <c r="AC229" s="257" t="str">
        <f t="shared" ca="1" si="76"/>
        <v/>
      </c>
      <c r="AD229" s="248" t="str">
        <f t="shared" ca="1" si="71"/>
        <v/>
      </c>
      <c r="AE229" s="257" t="str">
        <f t="shared" ca="1" si="71"/>
        <v/>
      </c>
      <c r="AF229" s="248" t="str">
        <f t="shared" ca="1" si="71"/>
        <v/>
      </c>
      <c r="AG229" s="257" t="str">
        <f t="shared" ca="1" si="71"/>
        <v/>
      </c>
      <c r="AH229" s="92"/>
      <c r="AI229" s="92" t="str">
        <f t="shared" ca="1" si="60"/>
        <v/>
      </c>
      <c r="AK229" s="92">
        <f t="shared" ca="1" si="61"/>
        <v>0</v>
      </c>
      <c r="AL229" s="12">
        <f t="shared" ca="1" si="62"/>
        <v>0</v>
      </c>
      <c r="AM229" s="12">
        <f t="shared" ca="1" si="63"/>
        <v>0</v>
      </c>
      <c r="AN229" s="12">
        <f t="shared" ca="1" si="64"/>
        <v>0</v>
      </c>
      <c r="AO229" s="12">
        <f t="shared" ca="1" si="65"/>
        <v>0</v>
      </c>
      <c r="AP229" s="12" t="str">
        <f t="shared" ca="1" si="66"/>
        <v/>
      </c>
      <c r="AQ229" s="12" t="str">
        <f t="shared" ca="1" si="67"/>
        <v/>
      </c>
      <c r="AR229" s="12" t="str">
        <f t="shared" ca="1" si="68"/>
        <v/>
      </c>
      <c r="AS229" s="12" t="str">
        <f t="shared" ca="1" si="69"/>
        <v/>
      </c>
    </row>
    <row r="230" spans="1:45" ht="14.3">
      <c r="A230">
        <f t="shared" si="70"/>
        <v>608</v>
      </c>
      <c r="B230" t="str">
        <f t="shared" ca="1" si="51"/>
        <v xml:space="preserve"> </v>
      </c>
      <c r="C230" t="b">
        <f t="shared" ca="1" si="52"/>
        <v>0</v>
      </c>
      <c r="D230" s="248" t="str">
        <f t="shared" ca="1" si="77"/>
        <v/>
      </c>
      <c r="E230" s="92" t="str">
        <f t="shared" ca="1" si="53"/>
        <v/>
      </c>
      <c r="F230" s="92" t="str">
        <f t="shared" ca="1" si="54"/>
        <v/>
      </c>
      <c r="G230" s="257" t="str">
        <f t="shared" ca="1" si="78"/>
        <v/>
      </c>
      <c r="H230" s="248" t="str">
        <f t="shared" ca="1" si="78"/>
        <v/>
      </c>
      <c r="I230" s="92" t="str">
        <f t="shared" ca="1" si="78"/>
        <v/>
      </c>
      <c r="J230" s="92" t="str">
        <f t="shared" ca="1" si="56"/>
        <v/>
      </c>
      <c r="K230" s="92" t="str">
        <f t="shared" ca="1" si="81"/>
        <v/>
      </c>
      <c r="L230" s="92" t="str">
        <f t="shared" ca="1" si="81"/>
        <v/>
      </c>
      <c r="M230" s="258" t="str">
        <f t="shared" ca="1" si="81"/>
        <v/>
      </c>
      <c r="N230" s="259" t="str">
        <f t="shared" ca="1" si="79"/>
        <v/>
      </c>
      <c r="O230" s="92" t="str">
        <f t="shared" ca="1" si="79"/>
        <v/>
      </c>
      <c r="P230" s="92"/>
      <c r="Q230" s="92" t="str">
        <f t="shared" ca="1" si="73"/>
        <v/>
      </c>
      <c r="R230" s="257" t="str">
        <f t="shared" ca="1" si="73"/>
        <v/>
      </c>
      <c r="S230" s="248" t="str">
        <f t="shared" ca="1" si="82"/>
        <v/>
      </c>
      <c r="T230" s="92" t="str">
        <f t="shared" ca="1" si="82"/>
        <v/>
      </c>
      <c r="U230" s="92" t="str">
        <f t="shared" ca="1" si="80"/>
        <v/>
      </c>
      <c r="V230" s="92" t="str">
        <f t="shared" ca="1" si="80"/>
        <v/>
      </c>
      <c r="W230" s="92" t="str">
        <f t="shared" ca="1" si="80"/>
        <v/>
      </c>
      <c r="X230" s="257" t="str">
        <f t="shared" ca="1" si="80"/>
        <v/>
      </c>
      <c r="Y230" s="248" t="str">
        <f t="shared" ca="1" si="83"/>
        <v/>
      </c>
      <c r="Z230" s="92" t="str">
        <f t="shared" ca="1" si="83"/>
        <v/>
      </c>
      <c r="AA230" s="92" t="str">
        <f t="shared" ca="1" si="59"/>
        <v/>
      </c>
      <c r="AB230" s="345" t="str">
        <f t="shared" ca="1" si="76"/>
        <v/>
      </c>
      <c r="AC230" s="257" t="str">
        <f t="shared" ca="1" si="76"/>
        <v/>
      </c>
      <c r="AD230" s="248" t="str">
        <f t="shared" ca="1" si="71"/>
        <v/>
      </c>
      <c r="AE230" s="257" t="str">
        <f t="shared" ca="1" si="71"/>
        <v/>
      </c>
      <c r="AF230" s="248" t="str">
        <f t="shared" ca="1" si="71"/>
        <v/>
      </c>
      <c r="AG230" s="257" t="str">
        <f t="shared" ca="1" si="71"/>
        <v/>
      </c>
      <c r="AH230" s="92"/>
      <c r="AI230" s="92" t="str">
        <f t="shared" ca="1" si="60"/>
        <v/>
      </c>
      <c r="AK230" s="92">
        <f t="shared" ca="1" si="61"/>
        <v>0</v>
      </c>
      <c r="AL230" s="12">
        <f t="shared" ca="1" si="62"/>
        <v>0</v>
      </c>
      <c r="AM230" s="12">
        <f t="shared" ca="1" si="63"/>
        <v>0</v>
      </c>
      <c r="AN230" s="12">
        <f t="shared" ca="1" si="64"/>
        <v>0</v>
      </c>
      <c r="AO230" s="12">
        <f t="shared" ca="1" si="65"/>
        <v>0</v>
      </c>
      <c r="AP230" s="12" t="str">
        <f t="shared" ca="1" si="66"/>
        <v/>
      </c>
      <c r="AQ230" s="12" t="str">
        <f t="shared" ca="1" si="67"/>
        <v/>
      </c>
      <c r="AR230" s="12" t="str">
        <f t="shared" ca="1" si="68"/>
        <v/>
      </c>
      <c r="AS230" s="12" t="str">
        <f t="shared" ca="1" si="69"/>
        <v/>
      </c>
    </row>
    <row r="231" spans="1:45" ht="14.3">
      <c r="A231">
        <f t="shared" si="70"/>
        <v>613</v>
      </c>
      <c r="B231" t="str">
        <f t="shared" ca="1" si="51"/>
        <v xml:space="preserve"> </v>
      </c>
      <c r="C231" t="b">
        <f t="shared" ca="1" si="52"/>
        <v>0</v>
      </c>
      <c r="D231" s="248" t="str">
        <f t="shared" ca="1" si="77"/>
        <v/>
      </c>
      <c r="E231" s="92" t="str">
        <f t="shared" ca="1" si="53"/>
        <v/>
      </c>
      <c r="F231" s="92" t="str">
        <f t="shared" ca="1" si="54"/>
        <v/>
      </c>
      <c r="G231" s="257" t="str">
        <f t="shared" ca="1" si="78"/>
        <v/>
      </c>
      <c r="H231" s="248" t="str">
        <f t="shared" ca="1" si="78"/>
        <v/>
      </c>
      <c r="I231" s="92" t="str">
        <f t="shared" ca="1" si="78"/>
        <v/>
      </c>
      <c r="J231" s="92" t="str">
        <f t="shared" ca="1" si="56"/>
        <v/>
      </c>
      <c r="K231" s="92" t="str">
        <f t="shared" ca="1" si="81"/>
        <v/>
      </c>
      <c r="L231" s="92" t="str">
        <f t="shared" ca="1" si="81"/>
        <v/>
      </c>
      <c r="M231" s="258" t="str">
        <f t="shared" ca="1" si="81"/>
        <v/>
      </c>
      <c r="N231" s="259" t="str">
        <f t="shared" ca="1" si="79"/>
        <v/>
      </c>
      <c r="O231" s="92" t="str">
        <f t="shared" ca="1" si="79"/>
        <v/>
      </c>
      <c r="P231" s="92"/>
      <c r="Q231" s="92" t="str">
        <f t="shared" ca="1" si="73"/>
        <v/>
      </c>
      <c r="R231" s="257" t="str">
        <f t="shared" ca="1" si="73"/>
        <v/>
      </c>
      <c r="S231" s="248" t="str">
        <f t="shared" ca="1" si="82"/>
        <v/>
      </c>
      <c r="T231" s="92" t="str">
        <f t="shared" ca="1" si="82"/>
        <v/>
      </c>
      <c r="U231" s="92" t="str">
        <f t="shared" ca="1" si="80"/>
        <v/>
      </c>
      <c r="V231" s="92" t="str">
        <f t="shared" ca="1" si="80"/>
        <v/>
      </c>
      <c r="W231" s="92" t="str">
        <f t="shared" ca="1" si="80"/>
        <v/>
      </c>
      <c r="X231" s="257" t="str">
        <f t="shared" ca="1" si="80"/>
        <v/>
      </c>
      <c r="Y231" s="248" t="str">
        <f t="shared" ca="1" si="83"/>
        <v/>
      </c>
      <c r="Z231" s="92" t="str">
        <f t="shared" ca="1" si="83"/>
        <v/>
      </c>
      <c r="AA231" s="92" t="str">
        <f t="shared" ca="1" si="59"/>
        <v/>
      </c>
      <c r="AB231" s="345" t="str">
        <f t="shared" ca="1" si="76"/>
        <v/>
      </c>
      <c r="AC231" s="257" t="str">
        <f t="shared" ca="1" si="76"/>
        <v/>
      </c>
      <c r="AD231" s="248" t="str">
        <f t="shared" ca="1" si="71"/>
        <v/>
      </c>
      <c r="AE231" s="257" t="str">
        <f t="shared" ca="1" si="71"/>
        <v/>
      </c>
      <c r="AF231" s="248" t="str">
        <f t="shared" ca="1" si="71"/>
        <v/>
      </c>
      <c r="AG231" s="257" t="str">
        <f t="shared" ca="1" si="71"/>
        <v/>
      </c>
      <c r="AH231" s="92"/>
      <c r="AI231" s="92" t="str">
        <f t="shared" ca="1" si="60"/>
        <v/>
      </c>
      <c r="AK231" s="92">
        <f t="shared" ca="1" si="61"/>
        <v>0</v>
      </c>
      <c r="AL231" s="12">
        <f t="shared" ca="1" si="62"/>
        <v>0</v>
      </c>
      <c r="AM231" s="12">
        <f t="shared" ca="1" si="63"/>
        <v>0</v>
      </c>
      <c r="AN231" s="12">
        <f t="shared" ca="1" si="64"/>
        <v>0</v>
      </c>
      <c r="AO231" s="12">
        <f t="shared" ca="1" si="65"/>
        <v>0</v>
      </c>
      <c r="AP231" s="12" t="str">
        <f t="shared" ca="1" si="66"/>
        <v/>
      </c>
      <c r="AQ231" s="12" t="str">
        <f t="shared" ca="1" si="67"/>
        <v/>
      </c>
      <c r="AR231" s="12" t="str">
        <f t="shared" ca="1" si="68"/>
        <v/>
      </c>
      <c r="AS231" s="12" t="str">
        <f t="shared" ca="1" si="69"/>
        <v/>
      </c>
    </row>
    <row r="232" spans="1:45" ht="14.3">
      <c r="A232">
        <f t="shared" si="70"/>
        <v>618</v>
      </c>
      <c r="B232" t="str">
        <f t="shared" ca="1" si="51"/>
        <v xml:space="preserve"> </v>
      </c>
      <c r="C232" t="b">
        <f t="shared" ca="1" si="52"/>
        <v>0</v>
      </c>
      <c r="D232" s="248" t="str">
        <f t="shared" ca="1" si="77"/>
        <v/>
      </c>
      <c r="E232" s="92" t="str">
        <f t="shared" ca="1" si="53"/>
        <v/>
      </c>
      <c r="F232" s="92" t="str">
        <f t="shared" ca="1" si="54"/>
        <v/>
      </c>
      <c r="G232" s="257" t="str">
        <f t="shared" ca="1" si="78"/>
        <v/>
      </c>
      <c r="H232" s="248" t="str">
        <f t="shared" ca="1" si="78"/>
        <v/>
      </c>
      <c r="I232" s="92" t="str">
        <f t="shared" ca="1" si="78"/>
        <v/>
      </c>
      <c r="J232" s="92" t="str">
        <f t="shared" ca="1" si="56"/>
        <v/>
      </c>
      <c r="K232" s="92" t="str">
        <f t="shared" ca="1" si="81"/>
        <v/>
      </c>
      <c r="L232" s="92" t="str">
        <f t="shared" ca="1" si="81"/>
        <v/>
      </c>
      <c r="M232" s="258" t="str">
        <f t="shared" ca="1" si="81"/>
        <v/>
      </c>
      <c r="N232" s="259" t="str">
        <f t="shared" ca="1" si="79"/>
        <v/>
      </c>
      <c r="O232" s="92" t="str">
        <f t="shared" ca="1" si="79"/>
        <v/>
      </c>
      <c r="P232" s="92"/>
      <c r="Q232" s="92" t="str">
        <f t="shared" ca="1" si="73"/>
        <v/>
      </c>
      <c r="R232" s="257" t="str">
        <f t="shared" ca="1" si="73"/>
        <v/>
      </c>
      <c r="S232" s="248" t="str">
        <f t="shared" ca="1" si="82"/>
        <v/>
      </c>
      <c r="T232" s="92" t="str">
        <f t="shared" ca="1" si="82"/>
        <v/>
      </c>
      <c r="U232" s="92" t="str">
        <f t="shared" ca="1" si="80"/>
        <v/>
      </c>
      <c r="V232" s="92" t="str">
        <f t="shared" ca="1" si="80"/>
        <v/>
      </c>
      <c r="W232" s="92" t="str">
        <f t="shared" ca="1" si="80"/>
        <v/>
      </c>
      <c r="X232" s="257" t="str">
        <f t="shared" ca="1" si="80"/>
        <v/>
      </c>
      <c r="Y232" s="248" t="str">
        <f t="shared" ca="1" si="83"/>
        <v/>
      </c>
      <c r="Z232" s="92" t="str">
        <f t="shared" ca="1" si="83"/>
        <v/>
      </c>
      <c r="AA232" s="92" t="str">
        <f t="shared" ca="1" si="59"/>
        <v/>
      </c>
      <c r="AB232" s="345" t="str">
        <f t="shared" ca="1" si="76"/>
        <v/>
      </c>
      <c r="AC232" s="257" t="str">
        <f t="shared" ca="1" si="76"/>
        <v/>
      </c>
      <c r="AD232" s="248" t="str">
        <f t="shared" ca="1" si="71"/>
        <v/>
      </c>
      <c r="AE232" s="257" t="str">
        <f t="shared" ca="1" si="71"/>
        <v/>
      </c>
      <c r="AF232" s="248" t="str">
        <f t="shared" ca="1" si="71"/>
        <v/>
      </c>
      <c r="AG232" s="257" t="str">
        <f t="shared" ca="1" si="71"/>
        <v/>
      </c>
      <c r="AH232" s="92"/>
      <c r="AI232" s="92" t="str">
        <f t="shared" ca="1" si="60"/>
        <v/>
      </c>
      <c r="AK232" s="92">
        <f t="shared" ca="1" si="61"/>
        <v>0</v>
      </c>
      <c r="AL232" s="12">
        <f t="shared" ca="1" si="62"/>
        <v>0</v>
      </c>
      <c r="AM232" s="12">
        <f t="shared" ca="1" si="63"/>
        <v>0</v>
      </c>
      <c r="AN232" s="12">
        <f t="shared" ca="1" si="64"/>
        <v>0</v>
      </c>
      <c r="AO232" s="12">
        <f t="shared" ca="1" si="65"/>
        <v>0</v>
      </c>
      <c r="AP232" s="12" t="str">
        <f t="shared" ca="1" si="66"/>
        <v/>
      </c>
      <c r="AQ232" s="12" t="str">
        <f t="shared" ca="1" si="67"/>
        <v/>
      </c>
      <c r="AR232" s="12" t="str">
        <f t="shared" ca="1" si="68"/>
        <v/>
      </c>
      <c r="AS232" s="12" t="str">
        <f t="shared" ca="1" si="69"/>
        <v/>
      </c>
    </row>
    <row r="233" spans="1:45" ht="14.3">
      <c r="A233">
        <f t="shared" si="70"/>
        <v>623</v>
      </c>
      <c r="B233" t="str">
        <f t="shared" ca="1" si="51"/>
        <v xml:space="preserve"> </v>
      </c>
      <c r="C233" t="b">
        <f t="shared" ca="1" si="52"/>
        <v>0</v>
      </c>
      <c r="D233" s="248" t="str">
        <f t="shared" ca="1" si="77"/>
        <v/>
      </c>
      <c r="E233" s="92" t="str">
        <f t="shared" ca="1" si="53"/>
        <v/>
      </c>
      <c r="F233" s="92" t="str">
        <f t="shared" ca="1" si="54"/>
        <v/>
      </c>
      <c r="G233" s="257" t="str">
        <f t="shared" ca="1" si="78"/>
        <v/>
      </c>
      <c r="H233" s="248" t="str">
        <f t="shared" ca="1" si="78"/>
        <v/>
      </c>
      <c r="I233" s="92" t="str">
        <f t="shared" ca="1" si="78"/>
        <v/>
      </c>
      <c r="J233" s="92" t="str">
        <f t="shared" ca="1" si="56"/>
        <v/>
      </c>
      <c r="K233" s="92" t="str">
        <f t="shared" ca="1" si="81"/>
        <v/>
      </c>
      <c r="L233" s="92" t="str">
        <f t="shared" ca="1" si="81"/>
        <v/>
      </c>
      <c r="M233" s="258" t="str">
        <f t="shared" ca="1" si="81"/>
        <v/>
      </c>
      <c r="N233" s="259" t="str">
        <f t="shared" ca="1" si="79"/>
        <v/>
      </c>
      <c r="O233" s="92" t="str">
        <f t="shared" ca="1" si="79"/>
        <v/>
      </c>
      <c r="P233" s="92"/>
      <c r="Q233" s="92" t="str">
        <f t="shared" ca="1" si="73"/>
        <v/>
      </c>
      <c r="R233" s="257" t="str">
        <f t="shared" ca="1" si="73"/>
        <v/>
      </c>
      <c r="S233" s="248" t="str">
        <f t="shared" ca="1" si="82"/>
        <v/>
      </c>
      <c r="T233" s="92" t="str">
        <f t="shared" ca="1" si="82"/>
        <v/>
      </c>
      <c r="U233" s="92" t="str">
        <f t="shared" ca="1" si="80"/>
        <v/>
      </c>
      <c r="V233" s="92" t="str">
        <f t="shared" ca="1" si="80"/>
        <v/>
      </c>
      <c r="W233" s="92" t="str">
        <f t="shared" ca="1" si="80"/>
        <v/>
      </c>
      <c r="X233" s="257" t="str">
        <f t="shared" ca="1" si="80"/>
        <v/>
      </c>
      <c r="Y233" s="248" t="str">
        <f t="shared" ca="1" si="83"/>
        <v/>
      </c>
      <c r="Z233" s="92" t="str">
        <f t="shared" ca="1" si="83"/>
        <v/>
      </c>
      <c r="AA233" s="92" t="str">
        <f t="shared" ca="1" si="59"/>
        <v/>
      </c>
      <c r="AB233" s="345" t="str">
        <f t="shared" ca="1" si="76"/>
        <v/>
      </c>
      <c r="AC233" s="257" t="str">
        <f t="shared" ca="1" si="76"/>
        <v/>
      </c>
      <c r="AD233" s="248" t="str">
        <f t="shared" ca="1" si="71"/>
        <v/>
      </c>
      <c r="AE233" s="257" t="str">
        <f t="shared" ca="1" si="71"/>
        <v/>
      </c>
      <c r="AF233" s="248" t="str">
        <f t="shared" ca="1" si="71"/>
        <v/>
      </c>
      <c r="AG233" s="257" t="str">
        <f t="shared" ca="1" si="71"/>
        <v/>
      </c>
      <c r="AH233" s="92"/>
      <c r="AI233" s="92" t="str">
        <f t="shared" ca="1" si="60"/>
        <v/>
      </c>
      <c r="AK233" s="92">
        <f t="shared" ca="1" si="61"/>
        <v>0</v>
      </c>
      <c r="AL233" s="12">
        <f t="shared" ca="1" si="62"/>
        <v>0</v>
      </c>
      <c r="AM233" s="12">
        <f t="shared" ca="1" si="63"/>
        <v>0</v>
      </c>
      <c r="AN233" s="12">
        <f t="shared" ca="1" si="64"/>
        <v>0</v>
      </c>
      <c r="AO233" s="12">
        <f t="shared" ca="1" si="65"/>
        <v>0</v>
      </c>
      <c r="AP233" s="12" t="str">
        <f t="shared" ca="1" si="66"/>
        <v/>
      </c>
      <c r="AQ233" s="12" t="str">
        <f t="shared" ca="1" si="67"/>
        <v/>
      </c>
      <c r="AR233" s="12" t="str">
        <f t="shared" ca="1" si="68"/>
        <v/>
      </c>
      <c r="AS233" s="12" t="str">
        <f t="shared" ca="1" si="69"/>
        <v/>
      </c>
    </row>
    <row r="234" spans="1:45" ht="14.3">
      <c r="A234">
        <f t="shared" si="70"/>
        <v>628</v>
      </c>
      <c r="B234" t="str">
        <f t="shared" ca="1" si="51"/>
        <v xml:space="preserve"> </v>
      </c>
      <c r="C234" t="b">
        <f t="shared" ca="1" si="52"/>
        <v>0</v>
      </c>
      <c r="D234" s="248" t="str">
        <f t="shared" ca="1" si="77"/>
        <v/>
      </c>
      <c r="E234" s="92" t="str">
        <f t="shared" ca="1" si="53"/>
        <v/>
      </c>
      <c r="F234" s="92" t="str">
        <f t="shared" ca="1" si="54"/>
        <v/>
      </c>
      <c r="G234" s="257" t="str">
        <f t="shared" ca="1" si="78"/>
        <v/>
      </c>
      <c r="H234" s="248" t="str">
        <f t="shared" ca="1" si="78"/>
        <v/>
      </c>
      <c r="I234" s="92" t="str">
        <f t="shared" ca="1" si="78"/>
        <v/>
      </c>
      <c r="J234" s="92" t="str">
        <f t="shared" ca="1" si="56"/>
        <v/>
      </c>
      <c r="K234" s="92" t="str">
        <f t="shared" ca="1" si="81"/>
        <v/>
      </c>
      <c r="L234" s="92" t="str">
        <f t="shared" ca="1" si="81"/>
        <v/>
      </c>
      <c r="M234" s="258" t="str">
        <f t="shared" ca="1" si="81"/>
        <v/>
      </c>
      <c r="N234" s="259" t="str">
        <f t="shared" ca="1" si="79"/>
        <v/>
      </c>
      <c r="O234" s="92" t="str">
        <f t="shared" ca="1" si="79"/>
        <v/>
      </c>
      <c r="P234" s="92"/>
      <c r="Q234" s="92" t="str">
        <f t="shared" ca="1" si="73"/>
        <v/>
      </c>
      <c r="R234" s="257" t="str">
        <f t="shared" ca="1" si="73"/>
        <v/>
      </c>
      <c r="S234" s="248" t="str">
        <f t="shared" ca="1" si="82"/>
        <v/>
      </c>
      <c r="T234" s="92" t="str">
        <f t="shared" ca="1" si="82"/>
        <v/>
      </c>
      <c r="U234" s="92" t="str">
        <f t="shared" ca="1" si="80"/>
        <v/>
      </c>
      <c r="V234" s="92" t="str">
        <f t="shared" ca="1" si="80"/>
        <v/>
      </c>
      <c r="W234" s="92" t="str">
        <f t="shared" ca="1" si="80"/>
        <v/>
      </c>
      <c r="X234" s="257" t="str">
        <f t="shared" ca="1" si="80"/>
        <v/>
      </c>
      <c r="Y234" s="248" t="str">
        <f t="shared" ca="1" si="83"/>
        <v/>
      </c>
      <c r="Z234" s="92" t="str">
        <f t="shared" ca="1" si="83"/>
        <v/>
      </c>
      <c r="AA234" s="92" t="str">
        <f t="shared" ca="1" si="59"/>
        <v/>
      </c>
      <c r="AB234" s="345" t="str">
        <f t="shared" ca="1" si="76"/>
        <v/>
      </c>
      <c r="AC234" s="257" t="str">
        <f t="shared" ca="1" si="76"/>
        <v/>
      </c>
      <c r="AD234" s="248" t="str">
        <f t="shared" ca="1" si="71"/>
        <v/>
      </c>
      <c r="AE234" s="257" t="str">
        <f t="shared" ca="1" si="71"/>
        <v/>
      </c>
      <c r="AF234" s="248" t="str">
        <f t="shared" ca="1" si="71"/>
        <v/>
      </c>
      <c r="AG234" s="257" t="str">
        <f t="shared" ca="1" si="71"/>
        <v/>
      </c>
      <c r="AH234" s="92"/>
      <c r="AI234" s="92" t="str">
        <f t="shared" ca="1" si="60"/>
        <v/>
      </c>
      <c r="AK234" s="92">
        <f t="shared" ca="1" si="61"/>
        <v>0</v>
      </c>
      <c r="AL234" s="12">
        <f t="shared" ca="1" si="62"/>
        <v>0</v>
      </c>
      <c r="AM234" s="12">
        <f t="shared" ca="1" si="63"/>
        <v>0</v>
      </c>
      <c r="AN234" s="12">
        <f t="shared" ca="1" si="64"/>
        <v>0</v>
      </c>
      <c r="AO234" s="12">
        <f t="shared" ca="1" si="65"/>
        <v>0</v>
      </c>
      <c r="AP234" s="12" t="str">
        <f t="shared" ca="1" si="66"/>
        <v/>
      </c>
      <c r="AQ234" s="12" t="str">
        <f t="shared" ca="1" si="67"/>
        <v/>
      </c>
      <c r="AR234" s="12" t="str">
        <f t="shared" ca="1" si="68"/>
        <v/>
      </c>
      <c r="AS234" s="12" t="str">
        <f t="shared" ca="1" si="69"/>
        <v/>
      </c>
    </row>
    <row r="235" spans="1:45" ht="14.3">
      <c r="A235">
        <f>A234+5</f>
        <v>633</v>
      </c>
      <c r="B235" t="str">
        <f t="shared" ca="1" si="51"/>
        <v xml:space="preserve"> </v>
      </c>
      <c r="C235" t="b">
        <f t="shared" ca="1" si="52"/>
        <v>0</v>
      </c>
      <c r="D235" s="248" t="str">
        <f t="shared" ca="1" si="77"/>
        <v/>
      </c>
      <c r="E235" s="92" t="str">
        <f t="shared" ca="1" si="53"/>
        <v/>
      </c>
      <c r="F235" s="92" t="str">
        <f t="shared" ca="1" si="54"/>
        <v/>
      </c>
      <c r="G235" s="257" t="str">
        <f t="shared" ca="1" si="78"/>
        <v/>
      </c>
      <c r="H235" s="248" t="str">
        <f t="shared" ca="1" si="78"/>
        <v/>
      </c>
      <c r="I235" s="92" t="str">
        <f t="shared" ca="1" si="78"/>
        <v/>
      </c>
      <c r="J235" s="92" t="str">
        <f t="shared" ca="1" si="56"/>
        <v/>
      </c>
      <c r="K235" s="92" t="str">
        <f t="shared" ca="1" si="81"/>
        <v/>
      </c>
      <c r="L235" s="92" t="str">
        <f t="shared" ca="1" si="81"/>
        <v/>
      </c>
      <c r="M235" s="258" t="str">
        <f t="shared" ca="1" si="81"/>
        <v/>
      </c>
      <c r="N235" s="259" t="str">
        <f t="shared" ca="1" si="79"/>
        <v/>
      </c>
      <c r="O235" s="92" t="str">
        <f t="shared" ca="1" si="79"/>
        <v/>
      </c>
      <c r="P235" s="92"/>
      <c r="Q235" s="92" t="str">
        <f t="shared" ca="1" si="73"/>
        <v/>
      </c>
      <c r="R235" s="257" t="str">
        <f t="shared" ca="1" si="73"/>
        <v/>
      </c>
      <c r="S235" s="248" t="str">
        <f t="shared" ca="1" si="82"/>
        <v/>
      </c>
      <c r="T235" s="92" t="str">
        <f t="shared" ca="1" si="82"/>
        <v/>
      </c>
      <c r="U235" s="92" t="str">
        <f t="shared" ca="1" si="80"/>
        <v/>
      </c>
      <c r="V235" s="92" t="str">
        <f t="shared" ca="1" si="80"/>
        <v/>
      </c>
      <c r="W235" s="92" t="str">
        <f t="shared" ca="1" si="80"/>
        <v/>
      </c>
      <c r="X235" s="257" t="str">
        <f t="shared" ca="1" si="80"/>
        <v/>
      </c>
      <c r="Y235" s="248" t="str">
        <f t="shared" ca="1" si="83"/>
        <v/>
      </c>
      <c r="Z235" s="92" t="str">
        <f t="shared" ca="1" si="83"/>
        <v/>
      </c>
      <c r="AA235" s="92" t="str">
        <f t="shared" ca="1" si="59"/>
        <v/>
      </c>
      <c r="AB235" s="345" t="str">
        <f t="shared" ref="AB235:AC259" ca="1" si="84">IF($C235=FALSE,"",INDIRECT("Installations!" &amp; AB$120 &amp; $A235+2))</f>
        <v/>
      </c>
      <c r="AC235" s="257" t="str">
        <f t="shared" ca="1" si="84"/>
        <v/>
      </c>
      <c r="AD235" s="248" t="str">
        <f t="shared" ca="1" si="71"/>
        <v/>
      </c>
      <c r="AE235" s="257" t="str">
        <f t="shared" ca="1" si="71"/>
        <v/>
      </c>
      <c r="AF235" s="248" t="str">
        <f t="shared" ca="1" si="71"/>
        <v/>
      </c>
      <c r="AG235" s="257" t="str">
        <f t="shared" ca="1" si="71"/>
        <v/>
      </c>
      <c r="AH235" s="92"/>
      <c r="AI235" s="92" t="str">
        <f t="shared" ca="1" si="60"/>
        <v/>
      </c>
      <c r="AK235" s="92">
        <f t="shared" ca="1" si="61"/>
        <v>0</v>
      </c>
      <c r="AL235" s="12">
        <f t="shared" ca="1" si="62"/>
        <v>0</v>
      </c>
      <c r="AM235" s="12">
        <f t="shared" ca="1" si="63"/>
        <v>0</v>
      </c>
      <c r="AN235" s="12">
        <f t="shared" ca="1" si="64"/>
        <v>0</v>
      </c>
      <c r="AO235" s="12">
        <f t="shared" ca="1" si="65"/>
        <v>0</v>
      </c>
      <c r="AP235" s="12" t="str">
        <f t="shared" ca="1" si="66"/>
        <v/>
      </c>
      <c r="AQ235" s="12" t="str">
        <f t="shared" ca="1" si="67"/>
        <v/>
      </c>
      <c r="AR235" s="12" t="str">
        <f t="shared" ca="1" si="68"/>
        <v/>
      </c>
      <c r="AS235" s="12" t="str">
        <f t="shared" ca="1" si="69"/>
        <v/>
      </c>
    </row>
    <row r="236" spans="1:45" ht="14.3">
      <c r="A236" s="610">
        <f>A235+8</f>
        <v>641</v>
      </c>
      <c r="B236" t="str">
        <f t="shared" ca="1" si="51"/>
        <v xml:space="preserve"> </v>
      </c>
      <c r="C236" t="b">
        <f t="shared" ca="1" si="52"/>
        <v>0</v>
      </c>
      <c r="D236" s="248" t="str">
        <f t="shared" ca="1" si="77"/>
        <v/>
      </c>
      <c r="E236" s="92" t="str">
        <f t="shared" ca="1" si="53"/>
        <v/>
      </c>
      <c r="F236" s="92" t="str">
        <f t="shared" ca="1" si="54"/>
        <v/>
      </c>
      <c r="G236" s="257" t="str">
        <f t="shared" ca="1" si="78"/>
        <v/>
      </c>
      <c r="H236" s="248" t="str">
        <f t="shared" ca="1" si="78"/>
        <v/>
      </c>
      <c r="I236" s="92" t="str">
        <f t="shared" ca="1" si="78"/>
        <v/>
      </c>
      <c r="J236" s="92" t="str">
        <f t="shared" ca="1" si="56"/>
        <v/>
      </c>
      <c r="K236" s="92" t="str">
        <f t="shared" ca="1" si="81"/>
        <v/>
      </c>
      <c r="L236" s="92" t="str">
        <f t="shared" ca="1" si="81"/>
        <v/>
      </c>
      <c r="M236" s="258" t="str">
        <f t="shared" ca="1" si="81"/>
        <v/>
      </c>
      <c r="N236" s="259" t="str">
        <f t="shared" ca="1" si="79"/>
        <v/>
      </c>
      <c r="O236" s="92" t="str">
        <f t="shared" ca="1" si="79"/>
        <v/>
      </c>
      <c r="P236" s="92"/>
      <c r="Q236" s="92" t="str">
        <f t="shared" ca="1" si="73"/>
        <v/>
      </c>
      <c r="R236" s="257" t="str">
        <f t="shared" ca="1" si="73"/>
        <v/>
      </c>
      <c r="S236" s="248" t="str">
        <f t="shared" ca="1" si="82"/>
        <v/>
      </c>
      <c r="T236" s="92" t="str">
        <f t="shared" ca="1" si="82"/>
        <v/>
      </c>
      <c r="U236" s="92" t="str">
        <f t="shared" ca="1" si="80"/>
        <v/>
      </c>
      <c r="V236" s="92" t="str">
        <f t="shared" ca="1" si="80"/>
        <v/>
      </c>
      <c r="W236" s="92" t="str">
        <f t="shared" ca="1" si="80"/>
        <v/>
      </c>
      <c r="X236" s="257" t="str">
        <f t="shared" ca="1" si="80"/>
        <v/>
      </c>
      <c r="Y236" s="248" t="str">
        <f t="shared" ca="1" si="83"/>
        <v/>
      </c>
      <c r="Z236" s="92" t="str">
        <f t="shared" ca="1" si="83"/>
        <v/>
      </c>
      <c r="AA236" s="92" t="str">
        <f t="shared" ca="1" si="59"/>
        <v/>
      </c>
      <c r="AB236" s="345" t="str">
        <f t="shared" ca="1" si="84"/>
        <v/>
      </c>
      <c r="AC236" s="257" t="str">
        <f t="shared" ca="1" si="84"/>
        <v/>
      </c>
      <c r="AD236" s="248" t="str">
        <f t="shared" ca="1" si="71"/>
        <v/>
      </c>
      <c r="AE236" s="257" t="str">
        <f t="shared" ca="1" si="71"/>
        <v/>
      </c>
      <c r="AF236" s="248" t="str">
        <f t="shared" ca="1" si="71"/>
        <v/>
      </c>
      <c r="AG236" s="257" t="str">
        <f t="shared" ca="1" si="71"/>
        <v/>
      </c>
      <c r="AH236" s="92"/>
      <c r="AI236" s="92" t="str">
        <f t="shared" ca="1" si="60"/>
        <v/>
      </c>
      <c r="AK236" s="92">
        <f t="shared" ca="1" si="61"/>
        <v>0</v>
      </c>
      <c r="AL236" s="12">
        <f t="shared" ca="1" si="62"/>
        <v>0</v>
      </c>
      <c r="AM236" s="12">
        <f t="shared" ca="1" si="63"/>
        <v>0</v>
      </c>
      <c r="AN236" s="12">
        <f t="shared" ca="1" si="64"/>
        <v>0</v>
      </c>
      <c r="AO236" s="12">
        <f t="shared" ca="1" si="65"/>
        <v>0</v>
      </c>
      <c r="AP236" s="12" t="str">
        <f t="shared" ca="1" si="66"/>
        <v/>
      </c>
      <c r="AQ236" s="12" t="str">
        <f t="shared" ca="1" si="67"/>
        <v/>
      </c>
      <c r="AR236" s="12" t="str">
        <f t="shared" ca="1" si="68"/>
        <v/>
      </c>
      <c r="AS236" s="12" t="str">
        <f t="shared" ca="1" si="69"/>
        <v/>
      </c>
    </row>
    <row r="237" spans="1:45" ht="14.3">
      <c r="A237">
        <f>A236+5</f>
        <v>646</v>
      </c>
      <c r="B237" t="str">
        <f t="shared" ca="1" si="51"/>
        <v xml:space="preserve"> </v>
      </c>
      <c r="C237" t="b">
        <f t="shared" ca="1" si="52"/>
        <v>0</v>
      </c>
      <c r="D237" s="248" t="str">
        <f t="shared" ca="1" si="77"/>
        <v/>
      </c>
      <c r="E237" s="92" t="str">
        <f t="shared" ca="1" si="53"/>
        <v/>
      </c>
      <c r="F237" s="92" t="str">
        <f t="shared" ca="1" si="54"/>
        <v/>
      </c>
      <c r="G237" s="257" t="str">
        <f t="shared" ca="1" si="78"/>
        <v/>
      </c>
      <c r="H237" s="248" t="str">
        <f t="shared" ca="1" si="78"/>
        <v/>
      </c>
      <c r="I237" s="92" t="str">
        <f t="shared" ca="1" si="78"/>
        <v/>
      </c>
      <c r="J237" s="92" t="str">
        <f t="shared" ca="1" si="56"/>
        <v/>
      </c>
      <c r="K237" s="92" t="str">
        <f t="shared" ca="1" si="81"/>
        <v/>
      </c>
      <c r="L237" s="92" t="str">
        <f t="shared" ca="1" si="81"/>
        <v/>
      </c>
      <c r="M237" s="258" t="str">
        <f t="shared" ca="1" si="81"/>
        <v/>
      </c>
      <c r="N237" s="259" t="str">
        <f t="shared" ca="1" si="79"/>
        <v/>
      </c>
      <c r="O237" s="92" t="str">
        <f t="shared" ca="1" si="79"/>
        <v/>
      </c>
      <c r="P237" s="92"/>
      <c r="Q237" s="92" t="str">
        <f t="shared" ca="1" si="73"/>
        <v/>
      </c>
      <c r="R237" s="257" t="str">
        <f t="shared" ca="1" si="73"/>
        <v/>
      </c>
      <c r="S237" s="248" t="str">
        <f t="shared" ca="1" si="82"/>
        <v/>
      </c>
      <c r="T237" s="92" t="str">
        <f t="shared" ca="1" si="82"/>
        <v/>
      </c>
      <c r="U237" s="92" t="str">
        <f t="shared" ca="1" si="80"/>
        <v/>
      </c>
      <c r="V237" s="92" t="str">
        <f t="shared" ca="1" si="80"/>
        <v/>
      </c>
      <c r="W237" s="92" t="str">
        <f t="shared" ca="1" si="80"/>
        <v/>
      </c>
      <c r="X237" s="257" t="str">
        <f t="shared" ca="1" si="80"/>
        <v/>
      </c>
      <c r="Y237" s="248" t="str">
        <f t="shared" ca="1" si="83"/>
        <v/>
      </c>
      <c r="Z237" s="92" t="str">
        <f t="shared" ca="1" si="83"/>
        <v/>
      </c>
      <c r="AA237" s="92" t="str">
        <f t="shared" ca="1" si="59"/>
        <v/>
      </c>
      <c r="AB237" s="345" t="str">
        <f t="shared" ca="1" si="84"/>
        <v/>
      </c>
      <c r="AC237" s="257" t="str">
        <f t="shared" ca="1" si="84"/>
        <v/>
      </c>
      <c r="AD237" s="248" t="str">
        <f t="shared" ca="1" si="71"/>
        <v/>
      </c>
      <c r="AE237" s="257" t="str">
        <f t="shared" ca="1" si="71"/>
        <v/>
      </c>
      <c r="AF237" s="248" t="str">
        <f t="shared" ca="1" si="71"/>
        <v/>
      </c>
      <c r="AG237" s="257" t="str">
        <f t="shared" ca="1" si="71"/>
        <v/>
      </c>
      <c r="AH237" s="92"/>
      <c r="AI237" s="92" t="str">
        <f t="shared" ca="1" si="60"/>
        <v/>
      </c>
      <c r="AK237" s="92">
        <f t="shared" ca="1" si="61"/>
        <v>0</v>
      </c>
      <c r="AL237" s="12">
        <f t="shared" ca="1" si="62"/>
        <v>0</v>
      </c>
      <c r="AM237" s="12">
        <f t="shared" ca="1" si="63"/>
        <v>0</v>
      </c>
      <c r="AN237" s="12">
        <f t="shared" ca="1" si="64"/>
        <v>0</v>
      </c>
      <c r="AO237" s="12">
        <f t="shared" ca="1" si="65"/>
        <v>0</v>
      </c>
      <c r="AP237" s="12" t="str">
        <f t="shared" ca="1" si="66"/>
        <v/>
      </c>
      <c r="AQ237" s="12" t="str">
        <f t="shared" ca="1" si="67"/>
        <v/>
      </c>
      <c r="AR237" s="12" t="str">
        <f t="shared" ca="1" si="68"/>
        <v/>
      </c>
      <c r="AS237" s="12" t="str">
        <f t="shared" ca="1" si="69"/>
        <v/>
      </c>
    </row>
    <row r="238" spans="1:45" ht="14.3">
      <c r="A238">
        <f t="shared" si="70"/>
        <v>651</v>
      </c>
      <c r="B238" t="str">
        <f t="shared" ca="1" si="51"/>
        <v xml:space="preserve"> </v>
      </c>
      <c r="C238" t="b">
        <f t="shared" ca="1" si="52"/>
        <v>0</v>
      </c>
      <c r="D238" s="248" t="str">
        <f t="shared" ca="1" si="77"/>
        <v/>
      </c>
      <c r="E238" s="92" t="str">
        <f t="shared" ca="1" si="53"/>
        <v/>
      </c>
      <c r="F238" s="92" t="str">
        <f t="shared" ca="1" si="54"/>
        <v/>
      </c>
      <c r="G238" s="257" t="str">
        <f t="shared" ca="1" si="78"/>
        <v/>
      </c>
      <c r="H238" s="248" t="str">
        <f t="shared" ca="1" si="78"/>
        <v/>
      </c>
      <c r="I238" s="92" t="str">
        <f t="shared" ca="1" si="78"/>
        <v/>
      </c>
      <c r="J238" s="92" t="str">
        <f t="shared" ca="1" si="56"/>
        <v/>
      </c>
      <c r="K238" s="92" t="str">
        <f t="shared" ca="1" si="81"/>
        <v/>
      </c>
      <c r="L238" s="92" t="str">
        <f t="shared" ca="1" si="81"/>
        <v/>
      </c>
      <c r="M238" s="258" t="str">
        <f t="shared" ca="1" si="81"/>
        <v/>
      </c>
      <c r="N238" s="259" t="str">
        <f t="shared" ca="1" si="79"/>
        <v/>
      </c>
      <c r="O238" s="92" t="str">
        <f t="shared" ca="1" si="79"/>
        <v/>
      </c>
      <c r="P238" s="92"/>
      <c r="Q238" s="92" t="str">
        <f t="shared" ca="1" si="73"/>
        <v/>
      </c>
      <c r="R238" s="257" t="str">
        <f t="shared" ca="1" si="73"/>
        <v/>
      </c>
      <c r="S238" s="248" t="str">
        <f t="shared" ca="1" si="82"/>
        <v/>
      </c>
      <c r="T238" s="92" t="str">
        <f t="shared" ca="1" si="82"/>
        <v/>
      </c>
      <c r="U238" s="92" t="str">
        <f t="shared" ca="1" si="80"/>
        <v/>
      </c>
      <c r="V238" s="92" t="str">
        <f t="shared" ca="1" si="80"/>
        <v/>
      </c>
      <c r="W238" s="92" t="str">
        <f t="shared" ca="1" si="80"/>
        <v/>
      </c>
      <c r="X238" s="257" t="str">
        <f t="shared" ca="1" si="80"/>
        <v/>
      </c>
      <c r="Y238" s="248" t="str">
        <f t="shared" ca="1" si="83"/>
        <v/>
      </c>
      <c r="Z238" s="92" t="str">
        <f t="shared" ca="1" si="83"/>
        <v/>
      </c>
      <c r="AA238" s="92" t="str">
        <f t="shared" ca="1" si="59"/>
        <v/>
      </c>
      <c r="AB238" s="345" t="str">
        <f t="shared" ca="1" si="84"/>
        <v/>
      </c>
      <c r="AC238" s="257" t="str">
        <f t="shared" ca="1" si="84"/>
        <v/>
      </c>
      <c r="AD238" s="248" t="str">
        <f t="shared" ca="1" si="71"/>
        <v/>
      </c>
      <c r="AE238" s="257" t="str">
        <f t="shared" ca="1" si="71"/>
        <v/>
      </c>
      <c r="AF238" s="248" t="str">
        <f t="shared" ca="1" si="71"/>
        <v/>
      </c>
      <c r="AG238" s="257" t="str">
        <f t="shared" ca="1" si="71"/>
        <v/>
      </c>
      <c r="AH238" s="92"/>
      <c r="AI238" s="92" t="str">
        <f t="shared" ca="1" si="60"/>
        <v/>
      </c>
      <c r="AK238" s="92">
        <f t="shared" ca="1" si="61"/>
        <v>0</v>
      </c>
      <c r="AL238" s="12">
        <f t="shared" ca="1" si="62"/>
        <v>0</v>
      </c>
      <c r="AM238" s="12">
        <f t="shared" ca="1" si="63"/>
        <v>0</v>
      </c>
      <c r="AN238" s="12">
        <f t="shared" ca="1" si="64"/>
        <v>0</v>
      </c>
      <c r="AO238" s="12">
        <f t="shared" ca="1" si="65"/>
        <v>0</v>
      </c>
      <c r="AP238" s="12" t="str">
        <f t="shared" ca="1" si="66"/>
        <v/>
      </c>
      <c r="AQ238" s="12" t="str">
        <f t="shared" ca="1" si="67"/>
        <v/>
      </c>
      <c r="AR238" s="12" t="str">
        <f t="shared" ca="1" si="68"/>
        <v/>
      </c>
      <c r="AS238" s="12" t="str">
        <f t="shared" ca="1" si="69"/>
        <v/>
      </c>
    </row>
    <row r="239" spans="1:45" ht="14.3">
      <c r="A239">
        <f t="shared" si="70"/>
        <v>656</v>
      </c>
      <c r="B239" t="str">
        <f t="shared" ca="1" si="51"/>
        <v xml:space="preserve"> </v>
      </c>
      <c r="C239" t="b">
        <f t="shared" ca="1" si="52"/>
        <v>0</v>
      </c>
      <c r="D239" s="248" t="str">
        <f t="shared" ca="1" si="77"/>
        <v/>
      </c>
      <c r="E239" s="92" t="str">
        <f t="shared" ca="1" si="53"/>
        <v/>
      </c>
      <c r="F239" s="92" t="str">
        <f t="shared" ca="1" si="54"/>
        <v/>
      </c>
      <c r="G239" s="257" t="str">
        <f t="shared" ca="1" si="78"/>
        <v/>
      </c>
      <c r="H239" s="248" t="str">
        <f t="shared" ca="1" si="78"/>
        <v/>
      </c>
      <c r="I239" s="92" t="str">
        <f t="shared" ca="1" si="78"/>
        <v/>
      </c>
      <c r="J239" s="92" t="str">
        <f t="shared" ca="1" si="56"/>
        <v/>
      </c>
      <c r="K239" s="92" t="str">
        <f t="shared" ca="1" si="81"/>
        <v/>
      </c>
      <c r="L239" s="92" t="str">
        <f t="shared" ca="1" si="81"/>
        <v/>
      </c>
      <c r="M239" s="258" t="str">
        <f t="shared" ca="1" si="81"/>
        <v/>
      </c>
      <c r="N239" s="259" t="str">
        <f t="shared" ca="1" si="79"/>
        <v/>
      </c>
      <c r="O239" s="92" t="str">
        <f t="shared" ca="1" si="79"/>
        <v/>
      </c>
      <c r="P239" s="92"/>
      <c r="Q239" s="92" t="str">
        <f t="shared" ca="1" si="73"/>
        <v/>
      </c>
      <c r="R239" s="257" t="str">
        <f t="shared" ca="1" si="73"/>
        <v/>
      </c>
      <c r="S239" s="248" t="str">
        <f t="shared" ca="1" si="82"/>
        <v/>
      </c>
      <c r="T239" s="92" t="str">
        <f t="shared" ca="1" si="82"/>
        <v/>
      </c>
      <c r="U239" s="92" t="str">
        <f t="shared" ca="1" si="80"/>
        <v/>
      </c>
      <c r="V239" s="92" t="str">
        <f t="shared" ca="1" si="80"/>
        <v/>
      </c>
      <c r="W239" s="92" t="str">
        <f t="shared" ca="1" si="80"/>
        <v/>
      </c>
      <c r="X239" s="257" t="str">
        <f t="shared" ca="1" si="80"/>
        <v/>
      </c>
      <c r="Y239" s="248" t="str">
        <f t="shared" ca="1" si="83"/>
        <v/>
      </c>
      <c r="Z239" s="92" t="str">
        <f t="shared" ca="1" si="83"/>
        <v/>
      </c>
      <c r="AA239" s="92" t="str">
        <f t="shared" ca="1" si="59"/>
        <v/>
      </c>
      <c r="AB239" s="345" t="str">
        <f t="shared" ca="1" si="84"/>
        <v/>
      </c>
      <c r="AC239" s="257" t="str">
        <f t="shared" ca="1" si="84"/>
        <v/>
      </c>
      <c r="AD239" s="248" t="str">
        <f t="shared" ca="1" si="71"/>
        <v/>
      </c>
      <c r="AE239" s="257" t="str">
        <f t="shared" ca="1" si="71"/>
        <v/>
      </c>
      <c r="AF239" s="248" t="str">
        <f t="shared" ca="1" si="71"/>
        <v/>
      </c>
      <c r="AG239" s="257" t="str">
        <f t="shared" ca="1" si="71"/>
        <v/>
      </c>
      <c r="AH239" s="92"/>
      <c r="AI239" s="92" t="str">
        <f t="shared" ca="1" si="60"/>
        <v/>
      </c>
      <c r="AK239" s="92">
        <f t="shared" ca="1" si="61"/>
        <v>0</v>
      </c>
      <c r="AL239" s="12">
        <f t="shared" ca="1" si="62"/>
        <v>0</v>
      </c>
      <c r="AM239" s="12">
        <f t="shared" ca="1" si="63"/>
        <v>0</v>
      </c>
      <c r="AN239" s="12">
        <f t="shared" ca="1" si="64"/>
        <v>0</v>
      </c>
      <c r="AO239" s="12">
        <f t="shared" ca="1" si="65"/>
        <v>0</v>
      </c>
      <c r="AP239" s="12" t="str">
        <f t="shared" ca="1" si="66"/>
        <v/>
      </c>
      <c r="AQ239" s="12" t="str">
        <f t="shared" ca="1" si="67"/>
        <v/>
      </c>
      <c r="AR239" s="12" t="str">
        <f t="shared" ca="1" si="68"/>
        <v/>
      </c>
      <c r="AS239" s="12" t="str">
        <f t="shared" ca="1" si="69"/>
        <v/>
      </c>
    </row>
    <row r="240" spans="1:45" ht="14.3">
      <c r="A240">
        <f t="shared" si="70"/>
        <v>661</v>
      </c>
      <c r="B240" t="str">
        <f t="shared" ca="1" si="51"/>
        <v xml:space="preserve"> </v>
      </c>
      <c r="C240" t="b">
        <f t="shared" ca="1" si="52"/>
        <v>0</v>
      </c>
      <c r="D240" s="248" t="str">
        <f t="shared" ca="1" si="77"/>
        <v/>
      </c>
      <c r="E240" s="92" t="str">
        <f t="shared" ca="1" si="53"/>
        <v/>
      </c>
      <c r="F240" s="92" t="str">
        <f t="shared" ca="1" si="54"/>
        <v/>
      </c>
      <c r="G240" s="257" t="str">
        <f t="shared" ca="1" si="78"/>
        <v/>
      </c>
      <c r="H240" s="248" t="str">
        <f t="shared" ca="1" si="78"/>
        <v/>
      </c>
      <c r="I240" s="92" t="str">
        <f t="shared" ca="1" si="78"/>
        <v/>
      </c>
      <c r="J240" s="92" t="str">
        <f t="shared" ca="1" si="56"/>
        <v/>
      </c>
      <c r="K240" s="92" t="str">
        <f t="shared" ca="1" si="81"/>
        <v/>
      </c>
      <c r="L240" s="92" t="str">
        <f t="shared" ca="1" si="81"/>
        <v/>
      </c>
      <c r="M240" s="258" t="str">
        <f t="shared" ca="1" si="81"/>
        <v/>
      </c>
      <c r="N240" s="259" t="str">
        <f t="shared" ca="1" si="79"/>
        <v/>
      </c>
      <c r="O240" s="92" t="str">
        <f t="shared" ca="1" si="79"/>
        <v/>
      </c>
      <c r="P240" s="92"/>
      <c r="Q240" s="92" t="str">
        <f t="shared" ca="1" si="73"/>
        <v/>
      </c>
      <c r="R240" s="257" t="str">
        <f t="shared" ca="1" si="73"/>
        <v/>
      </c>
      <c r="S240" s="248" t="str">
        <f t="shared" ca="1" si="82"/>
        <v/>
      </c>
      <c r="T240" s="92" t="str">
        <f t="shared" ca="1" si="82"/>
        <v/>
      </c>
      <c r="U240" s="92" t="str">
        <f t="shared" ca="1" si="80"/>
        <v/>
      </c>
      <c r="V240" s="92" t="str">
        <f t="shared" ca="1" si="80"/>
        <v/>
      </c>
      <c r="W240" s="92" t="str">
        <f t="shared" ca="1" si="80"/>
        <v/>
      </c>
      <c r="X240" s="257" t="str">
        <f t="shared" ca="1" si="80"/>
        <v/>
      </c>
      <c r="Y240" s="248" t="str">
        <f t="shared" ca="1" si="83"/>
        <v/>
      </c>
      <c r="Z240" s="92" t="str">
        <f t="shared" ca="1" si="83"/>
        <v/>
      </c>
      <c r="AA240" s="92" t="str">
        <f t="shared" ca="1" si="59"/>
        <v/>
      </c>
      <c r="AB240" s="345" t="str">
        <f t="shared" ca="1" si="84"/>
        <v/>
      </c>
      <c r="AC240" s="257" t="str">
        <f t="shared" ca="1" si="84"/>
        <v/>
      </c>
      <c r="AD240" s="248" t="str">
        <f t="shared" ca="1" si="71"/>
        <v/>
      </c>
      <c r="AE240" s="257" t="str">
        <f t="shared" ca="1" si="71"/>
        <v/>
      </c>
      <c r="AF240" s="248" t="str">
        <f t="shared" ca="1" si="71"/>
        <v/>
      </c>
      <c r="AG240" s="257" t="str">
        <f t="shared" ca="1" si="71"/>
        <v/>
      </c>
      <c r="AH240" s="92"/>
      <c r="AI240" s="92" t="str">
        <f t="shared" ca="1" si="60"/>
        <v/>
      </c>
      <c r="AK240" s="92">
        <f t="shared" ca="1" si="61"/>
        <v>0</v>
      </c>
      <c r="AL240" s="12">
        <f t="shared" ca="1" si="62"/>
        <v>0</v>
      </c>
      <c r="AM240" s="12">
        <f t="shared" ca="1" si="63"/>
        <v>0</v>
      </c>
      <c r="AN240" s="12">
        <f t="shared" ca="1" si="64"/>
        <v>0</v>
      </c>
      <c r="AO240" s="12">
        <f t="shared" ca="1" si="65"/>
        <v>0</v>
      </c>
      <c r="AP240" s="12" t="str">
        <f t="shared" ca="1" si="66"/>
        <v/>
      </c>
      <c r="AQ240" s="12" t="str">
        <f t="shared" ca="1" si="67"/>
        <v/>
      </c>
      <c r="AR240" s="12" t="str">
        <f t="shared" ca="1" si="68"/>
        <v/>
      </c>
      <c r="AS240" s="12" t="str">
        <f t="shared" ca="1" si="69"/>
        <v/>
      </c>
    </row>
    <row r="241" spans="1:45" ht="14.3">
      <c r="A241">
        <f t="shared" si="70"/>
        <v>666</v>
      </c>
      <c r="B241" t="str">
        <f t="shared" ca="1" si="51"/>
        <v xml:space="preserve"> </v>
      </c>
      <c r="C241" t="b">
        <f t="shared" ca="1" si="52"/>
        <v>0</v>
      </c>
      <c r="D241" s="248" t="str">
        <f t="shared" ca="1" si="77"/>
        <v/>
      </c>
      <c r="E241" s="92" t="str">
        <f t="shared" ca="1" si="53"/>
        <v/>
      </c>
      <c r="F241" s="92" t="str">
        <f t="shared" ca="1" si="54"/>
        <v/>
      </c>
      <c r="G241" s="257" t="str">
        <f t="shared" ca="1" si="78"/>
        <v/>
      </c>
      <c r="H241" s="248" t="str">
        <f t="shared" ca="1" si="78"/>
        <v/>
      </c>
      <c r="I241" s="92" t="str">
        <f t="shared" ca="1" si="78"/>
        <v/>
      </c>
      <c r="J241" s="92" t="str">
        <f t="shared" ca="1" si="56"/>
        <v/>
      </c>
      <c r="K241" s="92" t="str">
        <f t="shared" ca="1" si="81"/>
        <v/>
      </c>
      <c r="L241" s="92" t="str">
        <f t="shared" ca="1" si="81"/>
        <v/>
      </c>
      <c r="M241" s="258" t="str">
        <f t="shared" ca="1" si="81"/>
        <v/>
      </c>
      <c r="N241" s="259" t="str">
        <f t="shared" ca="1" si="79"/>
        <v/>
      </c>
      <c r="O241" s="92" t="str">
        <f t="shared" ca="1" si="79"/>
        <v/>
      </c>
      <c r="P241" s="92"/>
      <c r="Q241" s="92" t="str">
        <f t="shared" ca="1" si="73"/>
        <v/>
      </c>
      <c r="R241" s="257" t="str">
        <f t="shared" ca="1" si="73"/>
        <v/>
      </c>
      <c r="S241" s="248" t="str">
        <f t="shared" ca="1" si="82"/>
        <v/>
      </c>
      <c r="T241" s="92" t="str">
        <f t="shared" ca="1" si="82"/>
        <v/>
      </c>
      <c r="U241" s="92" t="str">
        <f t="shared" ca="1" si="80"/>
        <v/>
      </c>
      <c r="V241" s="92" t="str">
        <f t="shared" ca="1" si="80"/>
        <v/>
      </c>
      <c r="W241" s="92" t="str">
        <f t="shared" ca="1" si="80"/>
        <v/>
      </c>
      <c r="X241" s="257" t="str">
        <f t="shared" ca="1" si="80"/>
        <v/>
      </c>
      <c r="Y241" s="248" t="str">
        <f t="shared" ca="1" si="83"/>
        <v/>
      </c>
      <c r="Z241" s="92" t="str">
        <f t="shared" ca="1" si="83"/>
        <v/>
      </c>
      <c r="AA241" s="92" t="str">
        <f t="shared" ca="1" si="59"/>
        <v/>
      </c>
      <c r="AB241" s="345" t="str">
        <f t="shared" ca="1" si="84"/>
        <v/>
      </c>
      <c r="AC241" s="257" t="str">
        <f t="shared" ca="1" si="84"/>
        <v/>
      </c>
      <c r="AD241" s="248" t="str">
        <f t="shared" ca="1" si="71"/>
        <v/>
      </c>
      <c r="AE241" s="257" t="str">
        <f t="shared" ca="1" si="71"/>
        <v/>
      </c>
      <c r="AF241" s="248" t="str">
        <f t="shared" ca="1" si="71"/>
        <v/>
      </c>
      <c r="AG241" s="257" t="str">
        <f t="shared" ca="1" si="71"/>
        <v/>
      </c>
      <c r="AH241" s="92"/>
      <c r="AI241" s="92" t="str">
        <f t="shared" ca="1" si="60"/>
        <v/>
      </c>
      <c r="AK241" s="92">
        <f t="shared" ca="1" si="61"/>
        <v>0</v>
      </c>
      <c r="AL241" s="12">
        <f t="shared" ca="1" si="62"/>
        <v>0</v>
      </c>
      <c r="AM241" s="12">
        <f t="shared" ca="1" si="63"/>
        <v>0</v>
      </c>
      <c r="AN241" s="12">
        <f t="shared" ca="1" si="64"/>
        <v>0</v>
      </c>
      <c r="AO241" s="12">
        <f t="shared" ca="1" si="65"/>
        <v>0</v>
      </c>
      <c r="AP241" s="12" t="str">
        <f t="shared" ca="1" si="66"/>
        <v/>
      </c>
      <c r="AQ241" s="12" t="str">
        <f t="shared" ca="1" si="67"/>
        <v/>
      </c>
      <c r="AR241" s="12" t="str">
        <f t="shared" ca="1" si="68"/>
        <v/>
      </c>
      <c r="AS241" s="12" t="str">
        <f t="shared" ca="1" si="69"/>
        <v/>
      </c>
    </row>
    <row r="242" spans="1:45" ht="14.3">
      <c r="A242">
        <f t="shared" si="70"/>
        <v>671</v>
      </c>
      <c r="B242" t="str">
        <f t="shared" ca="1" si="51"/>
        <v xml:space="preserve"> </v>
      </c>
      <c r="C242" t="b">
        <f t="shared" ca="1" si="52"/>
        <v>0</v>
      </c>
      <c r="D242" s="248" t="str">
        <f t="shared" ca="1" si="77"/>
        <v/>
      </c>
      <c r="E242" s="92" t="str">
        <f t="shared" ca="1" si="53"/>
        <v/>
      </c>
      <c r="F242" s="92" t="str">
        <f t="shared" ca="1" si="54"/>
        <v/>
      </c>
      <c r="G242" s="257" t="str">
        <f t="shared" ca="1" si="78"/>
        <v/>
      </c>
      <c r="H242" s="248" t="str">
        <f t="shared" ca="1" si="78"/>
        <v/>
      </c>
      <c r="I242" s="92" t="str">
        <f t="shared" ca="1" si="78"/>
        <v/>
      </c>
      <c r="J242" s="92" t="str">
        <f t="shared" ca="1" si="56"/>
        <v/>
      </c>
      <c r="K242" s="92" t="str">
        <f t="shared" ref="K242:M265" ca="1" si="85">IF($C242=FALSE,"",INDIRECT("Installations!" &amp; K$120 &amp; $A242))</f>
        <v/>
      </c>
      <c r="L242" s="92" t="str">
        <f t="shared" ca="1" si="85"/>
        <v/>
      </c>
      <c r="M242" s="258" t="str">
        <f t="shared" ca="1" si="85"/>
        <v/>
      </c>
      <c r="N242" s="259" t="str">
        <f t="shared" ca="1" si="79"/>
        <v/>
      </c>
      <c r="O242" s="92" t="str">
        <f t="shared" ca="1" si="79"/>
        <v/>
      </c>
      <c r="P242" s="92"/>
      <c r="Q242" s="92" t="str">
        <f t="shared" ca="1" si="73"/>
        <v/>
      </c>
      <c r="R242" s="257" t="str">
        <f t="shared" ca="1" si="73"/>
        <v/>
      </c>
      <c r="S242" s="248" t="str">
        <f t="shared" ref="S242:T264" ca="1" si="86">IF($C242=FALSE,"",INDIRECT("Installations!" &amp; S$120 &amp; $A242+2))</f>
        <v/>
      </c>
      <c r="T242" s="92" t="str">
        <f t="shared" ca="1" si="86"/>
        <v/>
      </c>
      <c r="U242" s="92" t="str">
        <f t="shared" ca="1" si="80"/>
        <v/>
      </c>
      <c r="V242" s="92" t="str">
        <f t="shared" ca="1" si="80"/>
        <v/>
      </c>
      <c r="W242" s="92" t="str">
        <f t="shared" ca="1" si="80"/>
        <v/>
      </c>
      <c r="X242" s="257" t="str">
        <f t="shared" ca="1" si="80"/>
        <v/>
      </c>
      <c r="Y242" s="248" t="str">
        <f t="shared" ref="Y242:Z264" ca="1" si="87">IF($C242=FALSE,"",INDIRECT("Installations!" &amp; Y$120 &amp; $A242+2))</f>
        <v/>
      </c>
      <c r="Z242" s="92" t="str">
        <f t="shared" ca="1" si="87"/>
        <v/>
      </c>
      <c r="AA242" s="92" t="str">
        <f t="shared" ca="1" si="59"/>
        <v/>
      </c>
      <c r="AB242" s="345" t="str">
        <f t="shared" ca="1" si="84"/>
        <v/>
      </c>
      <c r="AC242" s="257" t="str">
        <f t="shared" ca="1" si="84"/>
        <v/>
      </c>
      <c r="AD242" s="248" t="str">
        <f t="shared" ca="1" si="71"/>
        <v/>
      </c>
      <c r="AE242" s="257" t="str">
        <f t="shared" ca="1" si="71"/>
        <v/>
      </c>
      <c r="AF242" s="248" t="str">
        <f t="shared" ca="1" si="71"/>
        <v/>
      </c>
      <c r="AG242" s="257" t="str">
        <f t="shared" ca="1" si="71"/>
        <v/>
      </c>
      <c r="AH242" s="92"/>
      <c r="AI242" s="92" t="str">
        <f t="shared" ca="1" si="60"/>
        <v/>
      </c>
      <c r="AK242" s="92">
        <f t="shared" ca="1" si="61"/>
        <v>0</v>
      </c>
      <c r="AL242" s="12">
        <f t="shared" ca="1" si="62"/>
        <v>0</v>
      </c>
      <c r="AM242" s="12">
        <f t="shared" ca="1" si="63"/>
        <v>0</v>
      </c>
      <c r="AN242" s="12">
        <f t="shared" ca="1" si="64"/>
        <v>0</v>
      </c>
      <c r="AO242" s="12">
        <f t="shared" ca="1" si="65"/>
        <v>0</v>
      </c>
      <c r="AP242" s="12" t="str">
        <f t="shared" ca="1" si="66"/>
        <v/>
      </c>
      <c r="AQ242" s="12" t="str">
        <f t="shared" ca="1" si="67"/>
        <v/>
      </c>
      <c r="AR242" s="12" t="str">
        <f t="shared" ca="1" si="68"/>
        <v/>
      </c>
      <c r="AS242" s="12" t="str">
        <f t="shared" ca="1" si="69"/>
        <v/>
      </c>
    </row>
    <row r="243" spans="1:45" ht="14.3">
      <c r="A243">
        <f t="shared" si="70"/>
        <v>676</v>
      </c>
      <c r="B243" t="str">
        <f t="shared" ca="1" si="51"/>
        <v xml:space="preserve"> </v>
      </c>
      <c r="C243" t="b">
        <f t="shared" ca="1" si="52"/>
        <v>0</v>
      </c>
      <c r="D243" s="248" t="str">
        <f t="shared" ca="1" si="77"/>
        <v/>
      </c>
      <c r="E243" s="92" t="str">
        <f t="shared" ca="1" si="53"/>
        <v/>
      </c>
      <c r="F243" s="92" t="str">
        <f t="shared" ca="1" si="54"/>
        <v/>
      </c>
      <c r="G243" s="257" t="str">
        <f t="shared" ca="1" si="78"/>
        <v/>
      </c>
      <c r="H243" s="248" t="str">
        <f t="shared" ca="1" si="78"/>
        <v/>
      </c>
      <c r="I243" s="92" t="str">
        <f t="shared" ca="1" si="78"/>
        <v/>
      </c>
      <c r="J243" s="92" t="str">
        <f t="shared" ca="1" si="56"/>
        <v/>
      </c>
      <c r="K243" s="92" t="str">
        <f t="shared" ca="1" si="85"/>
        <v/>
      </c>
      <c r="L243" s="92" t="str">
        <f t="shared" ca="1" si="85"/>
        <v/>
      </c>
      <c r="M243" s="258" t="str">
        <f t="shared" ca="1" si="85"/>
        <v/>
      </c>
      <c r="N243" s="259" t="str">
        <f t="shared" ca="1" si="79"/>
        <v/>
      </c>
      <c r="O243" s="92" t="str">
        <f t="shared" ca="1" si="79"/>
        <v/>
      </c>
      <c r="P243" s="92"/>
      <c r="Q243" s="92" t="str">
        <f t="shared" ca="1" si="73"/>
        <v/>
      </c>
      <c r="R243" s="257" t="str">
        <f t="shared" ca="1" si="73"/>
        <v/>
      </c>
      <c r="S243" s="248" t="str">
        <f t="shared" ca="1" si="86"/>
        <v/>
      </c>
      <c r="T243" s="92" t="str">
        <f t="shared" ca="1" si="86"/>
        <v/>
      </c>
      <c r="U243" s="92" t="str">
        <f t="shared" ca="1" si="80"/>
        <v/>
      </c>
      <c r="V243" s="92" t="str">
        <f t="shared" ca="1" si="80"/>
        <v/>
      </c>
      <c r="W243" s="92" t="str">
        <f t="shared" ca="1" si="80"/>
        <v/>
      </c>
      <c r="X243" s="257" t="str">
        <f t="shared" ca="1" si="80"/>
        <v/>
      </c>
      <c r="Y243" s="248" t="str">
        <f t="shared" ca="1" si="87"/>
        <v/>
      </c>
      <c r="Z243" s="92" t="str">
        <f t="shared" ca="1" si="87"/>
        <v/>
      </c>
      <c r="AA243" s="92" t="str">
        <f t="shared" ca="1" si="59"/>
        <v/>
      </c>
      <c r="AB243" s="345" t="str">
        <f t="shared" ca="1" si="84"/>
        <v/>
      </c>
      <c r="AC243" s="257" t="str">
        <f t="shared" ca="1" si="84"/>
        <v/>
      </c>
      <c r="AD243" s="248" t="str">
        <f t="shared" ca="1" si="71"/>
        <v/>
      </c>
      <c r="AE243" s="257" t="str">
        <f t="shared" ca="1" si="71"/>
        <v/>
      </c>
      <c r="AF243" s="248" t="str">
        <f t="shared" ca="1" si="71"/>
        <v/>
      </c>
      <c r="AG243" s="257" t="str">
        <f t="shared" ca="1" si="71"/>
        <v/>
      </c>
      <c r="AH243" s="92"/>
      <c r="AI243" s="92" t="str">
        <f t="shared" ca="1" si="60"/>
        <v/>
      </c>
      <c r="AK243" s="92">
        <f t="shared" ca="1" si="61"/>
        <v>0</v>
      </c>
      <c r="AL243" s="12">
        <f t="shared" ca="1" si="62"/>
        <v>0</v>
      </c>
      <c r="AM243" s="12">
        <f t="shared" ca="1" si="63"/>
        <v>0</v>
      </c>
      <c r="AN243" s="12">
        <f t="shared" ca="1" si="64"/>
        <v>0</v>
      </c>
      <c r="AO243" s="12">
        <f t="shared" ca="1" si="65"/>
        <v>0</v>
      </c>
      <c r="AP243" s="12" t="str">
        <f t="shared" ca="1" si="66"/>
        <v/>
      </c>
      <c r="AQ243" s="12" t="str">
        <f t="shared" ca="1" si="67"/>
        <v/>
      </c>
      <c r="AR243" s="12" t="str">
        <f t="shared" ca="1" si="68"/>
        <v/>
      </c>
      <c r="AS243" s="12" t="str">
        <f t="shared" ca="1" si="69"/>
        <v/>
      </c>
    </row>
    <row r="244" spans="1:45" ht="14.3">
      <c r="A244">
        <f t="shared" si="70"/>
        <v>681</v>
      </c>
      <c r="B244" t="str">
        <f t="shared" ca="1" si="51"/>
        <v xml:space="preserve"> </v>
      </c>
      <c r="C244" t="b">
        <f t="shared" ca="1" si="52"/>
        <v>0</v>
      </c>
      <c r="D244" s="248" t="str">
        <f t="shared" ca="1" si="77"/>
        <v/>
      </c>
      <c r="E244" s="92" t="str">
        <f t="shared" ca="1" si="53"/>
        <v/>
      </c>
      <c r="F244" s="92" t="str">
        <f t="shared" ca="1" si="54"/>
        <v/>
      </c>
      <c r="G244" s="257" t="str">
        <f t="shared" ca="1" si="78"/>
        <v/>
      </c>
      <c r="H244" s="248" t="str">
        <f t="shared" ca="1" si="78"/>
        <v/>
      </c>
      <c r="I244" s="92" t="str">
        <f t="shared" ca="1" si="78"/>
        <v/>
      </c>
      <c r="J244" s="92" t="str">
        <f t="shared" ca="1" si="56"/>
        <v/>
      </c>
      <c r="K244" s="92" t="str">
        <f t="shared" ca="1" si="85"/>
        <v/>
      </c>
      <c r="L244" s="92" t="str">
        <f t="shared" ca="1" si="85"/>
        <v/>
      </c>
      <c r="M244" s="258" t="str">
        <f t="shared" ca="1" si="85"/>
        <v/>
      </c>
      <c r="N244" s="259" t="str">
        <f t="shared" ca="1" si="79"/>
        <v/>
      </c>
      <c r="O244" s="92" t="str">
        <f t="shared" ca="1" si="79"/>
        <v/>
      </c>
      <c r="P244" s="92"/>
      <c r="Q244" s="92" t="str">
        <f t="shared" ca="1" si="73"/>
        <v/>
      </c>
      <c r="R244" s="257" t="str">
        <f t="shared" ca="1" si="73"/>
        <v/>
      </c>
      <c r="S244" s="248" t="str">
        <f t="shared" ca="1" si="86"/>
        <v/>
      </c>
      <c r="T244" s="92" t="str">
        <f t="shared" ca="1" si="86"/>
        <v/>
      </c>
      <c r="U244" s="92" t="str">
        <f t="shared" ca="1" si="80"/>
        <v/>
      </c>
      <c r="V244" s="92" t="str">
        <f t="shared" ca="1" si="80"/>
        <v/>
      </c>
      <c r="W244" s="92" t="str">
        <f t="shared" ca="1" si="80"/>
        <v/>
      </c>
      <c r="X244" s="257" t="str">
        <f t="shared" ca="1" si="80"/>
        <v/>
      </c>
      <c r="Y244" s="248" t="str">
        <f t="shared" ca="1" si="87"/>
        <v/>
      </c>
      <c r="Z244" s="92" t="str">
        <f t="shared" ca="1" si="87"/>
        <v/>
      </c>
      <c r="AA244" s="92" t="str">
        <f t="shared" ca="1" si="59"/>
        <v/>
      </c>
      <c r="AB244" s="345" t="str">
        <f t="shared" ca="1" si="84"/>
        <v/>
      </c>
      <c r="AC244" s="257" t="str">
        <f t="shared" ca="1" si="84"/>
        <v/>
      </c>
      <c r="AD244" s="248" t="str">
        <f t="shared" ca="1" si="71"/>
        <v/>
      </c>
      <c r="AE244" s="257" t="str">
        <f t="shared" ca="1" si="71"/>
        <v/>
      </c>
      <c r="AF244" s="248" t="str">
        <f t="shared" ca="1" si="71"/>
        <v/>
      </c>
      <c r="AG244" s="257" t="str">
        <f t="shared" ca="1" si="71"/>
        <v/>
      </c>
      <c r="AH244" s="92"/>
      <c r="AI244" s="92" t="str">
        <f t="shared" ca="1" si="60"/>
        <v/>
      </c>
      <c r="AK244" s="92">
        <f t="shared" ca="1" si="61"/>
        <v>0</v>
      </c>
      <c r="AL244" s="12">
        <f t="shared" ca="1" si="62"/>
        <v>0</v>
      </c>
      <c r="AM244" s="12">
        <f t="shared" ca="1" si="63"/>
        <v>0</v>
      </c>
      <c r="AN244" s="12">
        <f t="shared" ca="1" si="64"/>
        <v>0</v>
      </c>
      <c r="AO244" s="12">
        <f t="shared" ca="1" si="65"/>
        <v>0</v>
      </c>
      <c r="AP244" s="12" t="str">
        <f t="shared" ca="1" si="66"/>
        <v/>
      </c>
      <c r="AQ244" s="12" t="str">
        <f t="shared" ca="1" si="67"/>
        <v/>
      </c>
      <c r="AR244" s="12" t="str">
        <f t="shared" ca="1" si="68"/>
        <v/>
      </c>
      <c r="AS244" s="12" t="str">
        <f t="shared" ca="1" si="69"/>
        <v/>
      </c>
    </row>
    <row r="245" spans="1:45" ht="14.3">
      <c r="A245">
        <f t="shared" si="70"/>
        <v>686</v>
      </c>
      <c r="B245" t="str">
        <f t="shared" ca="1" si="51"/>
        <v xml:space="preserve"> </v>
      </c>
      <c r="C245" t="b">
        <f t="shared" ca="1" si="52"/>
        <v>0</v>
      </c>
      <c r="D245" s="248" t="str">
        <f t="shared" ca="1" si="77"/>
        <v/>
      </c>
      <c r="E245" s="92" t="str">
        <f t="shared" ca="1" si="53"/>
        <v/>
      </c>
      <c r="F245" s="92" t="str">
        <f t="shared" ca="1" si="54"/>
        <v/>
      </c>
      <c r="G245" s="257" t="str">
        <f t="shared" ca="1" si="78"/>
        <v/>
      </c>
      <c r="H245" s="248" t="str">
        <f t="shared" ca="1" si="78"/>
        <v/>
      </c>
      <c r="I245" s="92" t="str">
        <f t="shared" ca="1" si="78"/>
        <v/>
      </c>
      <c r="J245" s="92" t="str">
        <f t="shared" ca="1" si="56"/>
        <v/>
      </c>
      <c r="K245" s="92" t="str">
        <f t="shared" ca="1" si="85"/>
        <v/>
      </c>
      <c r="L245" s="92" t="str">
        <f t="shared" ca="1" si="85"/>
        <v/>
      </c>
      <c r="M245" s="258" t="str">
        <f t="shared" ca="1" si="85"/>
        <v/>
      </c>
      <c r="N245" s="259" t="str">
        <f t="shared" ca="1" si="79"/>
        <v/>
      </c>
      <c r="O245" s="92" t="str">
        <f t="shared" ca="1" si="79"/>
        <v/>
      </c>
      <c r="P245" s="92"/>
      <c r="Q245" s="92" t="str">
        <f t="shared" ca="1" si="73"/>
        <v/>
      </c>
      <c r="R245" s="257" t="str">
        <f t="shared" ca="1" si="73"/>
        <v/>
      </c>
      <c r="S245" s="248" t="str">
        <f t="shared" ca="1" si="86"/>
        <v/>
      </c>
      <c r="T245" s="92" t="str">
        <f t="shared" ca="1" si="86"/>
        <v/>
      </c>
      <c r="U245" s="92" t="str">
        <f t="shared" ca="1" si="80"/>
        <v/>
      </c>
      <c r="V245" s="92" t="str">
        <f t="shared" ca="1" si="80"/>
        <v/>
      </c>
      <c r="W245" s="92" t="str">
        <f t="shared" ca="1" si="80"/>
        <v/>
      </c>
      <c r="X245" s="257" t="str">
        <f t="shared" ca="1" si="80"/>
        <v/>
      </c>
      <c r="Y245" s="248" t="str">
        <f t="shared" ca="1" si="87"/>
        <v/>
      </c>
      <c r="Z245" s="92" t="str">
        <f t="shared" ca="1" si="87"/>
        <v/>
      </c>
      <c r="AA245" s="92" t="str">
        <f t="shared" ca="1" si="59"/>
        <v/>
      </c>
      <c r="AB245" s="345" t="str">
        <f t="shared" ca="1" si="84"/>
        <v/>
      </c>
      <c r="AC245" s="257" t="str">
        <f t="shared" ca="1" si="84"/>
        <v/>
      </c>
      <c r="AD245" s="248" t="str">
        <f t="shared" ca="1" si="71"/>
        <v/>
      </c>
      <c r="AE245" s="257" t="str">
        <f t="shared" ca="1" si="71"/>
        <v/>
      </c>
      <c r="AF245" s="248" t="str">
        <f t="shared" ca="1" si="71"/>
        <v/>
      </c>
      <c r="AG245" s="257" t="str">
        <f t="shared" ca="1" si="71"/>
        <v/>
      </c>
      <c r="AH245" s="92"/>
      <c r="AI245" s="92" t="str">
        <f t="shared" ca="1" si="60"/>
        <v/>
      </c>
      <c r="AK245" s="92">
        <f t="shared" ca="1" si="61"/>
        <v>0</v>
      </c>
      <c r="AL245" s="12">
        <f t="shared" ca="1" si="62"/>
        <v>0</v>
      </c>
      <c r="AM245" s="12">
        <f t="shared" ca="1" si="63"/>
        <v>0</v>
      </c>
      <c r="AN245" s="12">
        <f t="shared" ca="1" si="64"/>
        <v>0</v>
      </c>
      <c r="AO245" s="12">
        <f t="shared" ca="1" si="65"/>
        <v>0</v>
      </c>
      <c r="AP245" s="12" t="str">
        <f t="shared" ca="1" si="66"/>
        <v/>
      </c>
      <c r="AQ245" s="12" t="str">
        <f t="shared" ca="1" si="67"/>
        <v/>
      </c>
      <c r="AR245" s="12" t="str">
        <f t="shared" ca="1" si="68"/>
        <v/>
      </c>
      <c r="AS245" s="12" t="str">
        <f t="shared" ca="1" si="69"/>
        <v/>
      </c>
    </row>
    <row r="246" spans="1:45" ht="14.3">
      <c r="A246">
        <f t="shared" si="70"/>
        <v>691</v>
      </c>
      <c r="B246" t="str">
        <f t="shared" ca="1" si="51"/>
        <v xml:space="preserve"> </v>
      </c>
      <c r="C246" t="b">
        <f t="shared" ca="1" si="52"/>
        <v>0</v>
      </c>
      <c r="D246" s="248" t="str">
        <f t="shared" ca="1" si="77"/>
        <v/>
      </c>
      <c r="E246" s="92" t="str">
        <f t="shared" ca="1" si="53"/>
        <v/>
      </c>
      <c r="F246" s="92" t="str">
        <f t="shared" ca="1" si="54"/>
        <v/>
      </c>
      <c r="G246" s="257" t="str">
        <f t="shared" ca="1" si="78"/>
        <v/>
      </c>
      <c r="H246" s="248" t="str">
        <f t="shared" ca="1" si="78"/>
        <v/>
      </c>
      <c r="I246" s="92" t="str">
        <f t="shared" ca="1" si="78"/>
        <v/>
      </c>
      <c r="J246" s="92" t="str">
        <f t="shared" ca="1" si="56"/>
        <v/>
      </c>
      <c r="K246" s="92" t="str">
        <f t="shared" ca="1" si="85"/>
        <v/>
      </c>
      <c r="L246" s="92" t="str">
        <f t="shared" ca="1" si="85"/>
        <v/>
      </c>
      <c r="M246" s="258" t="str">
        <f t="shared" ca="1" si="85"/>
        <v/>
      </c>
      <c r="N246" s="259" t="str">
        <f t="shared" ca="1" si="79"/>
        <v/>
      </c>
      <c r="O246" s="92" t="str">
        <f t="shared" ca="1" si="79"/>
        <v/>
      </c>
      <c r="P246" s="92"/>
      <c r="Q246" s="92" t="str">
        <f t="shared" ca="1" si="73"/>
        <v/>
      </c>
      <c r="R246" s="257" t="str">
        <f t="shared" ca="1" si="73"/>
        <v/>
      </c>
      <c r="S246" s="248" t="str">
        <f t="shared" ca="1" si="86"/>
        <v/>
      </c>
      <c r="T246" s="92" t="str">
        <f t="shared" ca="1" si="86"/>
        <v/>
      </c>
      <c r="U246" s="92" t="str">
        <f t="shared" ca="1" si="80"/>
        <v/>
      </c>
      <c r="V246" s="92" t="str">
        <f t="shared" ca="1" si="80"/>
        <v/>
      </c>
      <c r="W246" s="92" t="str">
        <f t="shared" ca="1" si="80"/>
        <v/>
      </c>
      <c r="X246" s="257" t="str">
        <f t="shared" ca="1" si="80"/>
        <v/>
      </c>
      <c r="Y246" s="248" t="str">
        <f t="shared" ca="1" si="87"/>
        <v/>
      </c>
      <c r="Z246" s="92" t="str">
        <f t="shared" ca="1" si="87"/>
        <v/>
      </c>
      <c r="AA246" s="92" t="str">
        <f t="shared" ca="1" si="59"/>
        <v/>
      </c>
      <c r="AB246" s="345" t="str">
        <f t="shared" ca="1" si="84"/>
        <v/>
      </c>
      <c r="AC246" s="257" t="str">
        <f t="shared" ca="1" si="84"/>
        <v/>
      </c>
      <c r="AD246" s="248" t="str">
        <f t="shared" ca="1" si="71"/>
        <v/>
      </c>
      <c r="AE246" s="257" t="str">
        <f t="shared" ca="1" si="71"/>
        <v/>
      </c>
      <c r="AF246" s="248" t="str">
        <f t="shared" ca="1" si="71"/>
        <v/>
      </c>
      <c r="AG246" s="257" t="str">
        <f t="shared" ca="1" si="71"/>
        <v/>
      </c>
      <c r="AH246" s="92"/>
      <c r="AI246" s="92" t="str">
        <f t="shared" ca="1" si="60"/>
        <v/>
      </c>
      <c r="AK246" s="92">
        <f t="shared" ca="1" si="61"/>
        <v>0</v>
      </c>
      <c r="AL246" s="12">
        <f t="shared" ca="1" si="62"/>
        <v>0</v>
      </c>
      <c r="AM246" s="12">
        <f t="shared" ca="1" si="63"/>
        <v>0</v>
      </c>
      <c r="AN246" s="12">
        <f t="shared" ca="1" si="64"/>
        <v>0</v>
      </c>
      <c r="AO246" s="12">
        <f t="shared" ca="1" si="65"/>
        <v>0</v>
      </c>
      <c r="AP246" s="12" t="str">
        <f t="shared" ca="1" si="66"/>
        <v/>
      </c>
      <c r="AQ246" s="12" t="str">
        <f t="shared" ca="1" si="67"/>
        <v/>
      </c>
      <c r="AR246" s="12" t="str">
        <f t="shared" ca="1" si="68"/>
        <v/>
      </c>
      <c r="AS246" s="12" t="str">
        <f t="shared" ca="1" si="69"/>
        <v/>
      </c>
    </row>
    <row r="247" spans="1:45" ht="14.3">
      <c r="A247">
        <f t="shared" si="70"/>
        <v>696</v>
      </c>
      <c r="B247" t="str">
        <f t="shared" ca="1" si="51"/>
        <v xml:space="preserve"> </v>
      </c>
      <c r="C247" t="b">
        <f t="shared" ca="1" si="52"/>
        <v>0</v>
      </c>
      <c r="D247" s="248" t="str">
        <f t="shared" ca="1" si="77"/>
        <v/>
      </c>
      <c r="E247" s="92" t="str">
        <f t="shared" ca="1" si="53"/>
        <v/>
      </c>
      <c r="F247" s="92" t="str">
        <f t="shared" ca="1" si="54"/>
        <v/>
      </c>
      <c r="G247" s="257" t="str">
        <f t="shared" ca="1" si="78"/>
        <v/>
      </c>
      <c r="H247" s="248" t="str">
        <f t="shared" ca="1" si="78"/>
        <v/>
      </c>
      <c r="I247" s="92" t="str">
        <f t="shared" ca="1" si="78"/>
        <v/>
      </c>
      <c r="J247" s="92" t="str">
        <f t="shared" ca="1" si="56"/>
        <v/>
      </c>
      <c r="K247" s="92" t="str">
        <f t="shared" ca="1" si="85"/>
        <v/>
      </c>
      <c r="L247" s="92" t="str">
        <f t="shared" ca="1" si="85"/>
        <v/>
      </c>
      <c r="M247" s="258" t="str">
        <f t="shared" ca="1" si="85"/>
        <v/>
      </c>
      <c r="N247" s="259" t="str">
        <f t="shared" ca="1" si="79"/>
        <v/>
      </c>
      <c r="O247" s="92" t="str">
        <f t="shared" ca="1" si="79"/>
        <v/>
      </c>
      <c r="P247" s="92"/>
      <c r="Q247" s="92" t="str">
        <f t="shared" ca="1" si="73"/>
        <v/>
      </c>
      <c r="R247" s="257" t="str">
        <f t="shared" ca="1" si="73"/>
        <v/>
      </c>
      <c r="S247" s="248" t="str">
        <f t="shared" ca="1" si="86"/>
        <v/>
      </c>
      <c r="T247" s="92" t="str">
        <f t="shared" ca="1" si="86"/>
        <v/>
      </c>
      <c r="U247" s="92" t="str">
        <f t="shared" ca="1" si="80"/>
        <v/>
      </c>
      <c r="V247" s="92" t="str">
        <f t="shared" ca="1" si="80"/>
        <v/>
      </c>
      <c r="W247" s="92" t="str">
        <f t="shared" ca="1" si="80"/>
        <v/>
      </c>
      <c r="X247" s="257" t="str">
        <f t="shared" ca="1" si="80"/>
        <v/>
      </c>
      <c r="Y247" s="248" t="str">
        <f t="shared" ca="1" si="87"/>
        <v/>
      </c>
      <c r="Z247" s="92" t="str">
        <f t="shared" ca="1" si="87"/>
        <v/>
      </c>
      <c r="AA247" s="92" t="str">
        <f t="shared" ca="1" si="59"/>
        <v/>
      </c>
      <c r="AB247" s="345" t="str">
        <f t="shared" ca="1" si="84"/>
        <v/>
      </c>
      <c r="AC247" s="257" t="str">
        <f t="shared" ca="1" si="84"/>
        <v/>
      </c>
      <c r="AD247" s="248" t="str">
        <f t="shared" ca="1" si="71"/>
        <v/>
      </c>
      <c r="AE247" s="257" t="str">
        <f t="shared" ca="1" si="71"/>
        <v/>
      </c>
      <c r="AF247" s="248" t="str">
        <f t="shared" ca="1" si="71"/>
        <v/>
      </c>
      <c r="AG247" s="257" t="str">
        <f t="shared" ca="1" si="71"/>
        <v/>
      </c>
      <c r="AH247" s="92"/>
      <c r="AI247" s="92" t="str">
        <f t="shared" ca="1" si="60"/>
        <v/>
      </c>
      <c r="AK247" s="92">
        <f t="shared" ca="1" si="61"/>
        <v>0</v>
      </c>
      <c r="AL247" s="12">
        <f t="shared" ca="1" si="62"/>
        <v>0</v>
      </c>
      <c r="AM247" s="12">
        <f t="shared" ca="1" si="63"/>
        <v>0</v>
      </c>
      <c r="AN247" s="12">
        <f t="shared" ca="1" si="64"/>
        <v>0</v>
      </c>
      <c r="AO247" s="12">
        <f t="shared" ca="1" si="65"/>
        <v>0</v>
      </c>
      <c r="AP247" s="12" t="str">
        <f t="shared" ca="1" si="66"/>
        <v/>
      </c>
      <c r="AQ247" s="12" t="str">
        <f t="shared" ca="1" si="67"/>
        <v/>
      </c>
      <c r="AR247" s="12" t="str">
        <f t="shared" ca="1" si="68"/>
        <v/>
      </c>
      <c r="AS247" s="12" t="str">
        <f t="shared" ca="1" si="69"/>
        <v/>
      </c>
    </row>
    <row r="248" spans="1:45" ht="14.3">
      <c r="A248">
        <f t="shared" si="70"/>
        <v>701</v>
      </c>
      <c r="B248" t="str">
        <f t="shared" ca="1" si="51"/>
        <v xml:space="preserve"> </v>
      </c>
      <c r="C248" t="b">
        <f t="shared" ca="1" si="52"/>
        <v>0</v>
      </c>
      <c r="D248" s="248" t="str">
        <f t="shared" ca="1" si="77"/>
        <v/>
      </c>
      <c r="E248" s="92" t="str">
        <f t="shared" ca="1" si="53"/>
        <v/>
      </c>
      <c r="F248" s="92" t="str">
        <f t="shared" ca="1" si="54"/>
        <v/>
      </c>
      <c r="G248" s="257" t="str">
        <f t="shared" ca="1" si="78"/>
        <v/>
      </c>
      <c r="H248" s="248" t="str">
        <f t="shared" ca="1" si="78"/>
        <v/>
      </c>
      <c r="I248" s="92" t="str">
        <f t="shared" ca="1" si="78"/>
        <v/>
      </c>
      <c r="J248" s="92" t="str">
        <f t="shared" ca="1" si="56"/>
        <v/>
      </c>
      <c r="K248" s="92" t="str">
        <f t="shared" ca="1" si="85"/>
        <v/>
      </c>
      <c r="L248" s="92" t="str">
        <f t="shared" ca="1" si="85"/>
        <v/>
      </c>
      <c r="M248" s="258" t="str">
        <f t="shared" ca="1" si="85"/>
        <v/>
      </c>
      <c r="N248" s="259" t="str">
        <f t="shared" ca="1" si="79"/>
        <v/>
      </c>
      <c r="O248" s="92" t="str">
        <f t="shared" ca="1" si="79"/>
        <v/>
      </c>
      <c r="P248" s="92"/>
      <c r="Q248" s="92" t="str">
        <f t="shared" ca="1" si="73"/>
        <v/>
      </c>
      <c r="R248" s="257" t="str">
        <f t="shared" ca="1" si="73"/>
        <v/>
      </c>
      <c r="S248" s="248" t="str">
        <f t="shared" ca="1" si="86"/>
        <v/>
      </c>
      <c r="T248" s="92" t="str">
        <f t="shared" ca="1" si="86"/>
        <v/>
      </c>
      <c r="U248" s="92" t="str">
        <f t="shared" ca="1" si="80"/>
        <v/>
      </c>
      <c r="V248" s="92" t="str">
        <f t="shared" ca="1" si="80"/>
        <v/>
      </c>
      <c r="W248" s="92" t="str">
        <f t="shared" ca="1" si="80"/>
        <v/>
      </c>
      <c r="X248" s="257" t="str">
        <f t="shared" ca="1" si="80"/>
        <v/>
      </c>
      <c r="Y248" s="248" t="str">
        <f t="shared" ca="1" si="87"/>
        <v/>
      </c>
      <c r="Z248" s="92" t="str">
        <f t="shared" ca="1" si="87"/>
        <v/>
      </c>
      <c r="AA248" s="92" t="str">
        <f t="shared" ca="1" si="59"/>
        <v/>
      </c>
      <c r="AB248" s="345" t="str">
        <f t="shared" ca="1" si="84"/>
        <v/>
      </c>
      <c r="AC248" s="257" t="str">
        <f t="shared" ca="1" si="84"/>
        <v/>
      </c>
      <c r="AD248" s="248" t="str">
        <f t="shared" ca="1" si="71"/>
        <v/>
      </c>
      <c r="AE248" s="257" t="str">
        <f t="shared" ca="1" si="71"/>
        <v/>
      </c>
      <c r="AF248" s="248" t="str">
        <f t="shared" ca="1" si="71"/>
        <v/>
      </c>
      <c r="AG248" s="257" t="str">
        <f t="shared" ca="1" si="71"/>
        <v/>
      </c>
      <c r="AH248" s="92"/>
      <c r="AI248" s="92" t="str">
        <f t="shared" ca="1" si="60"/>
        <v/>
      </c>
      <c r="AK248" s="92">
        <f t="shared" ca="1" si="61"/>
        <v>0</v>
      </c>
      <c r="AL248" s="12">
        <f t="shared" ca="1" si="62"/>
        <v>0</v>
      </c>
      <c r="AM248" s="12">
        <f t="shared" ca="1" si="63"/>
        <v>0</v>
      </c>
      <c r="AN248" s="12">
        <f t="shared" ca="1" si="64"/>
        <v>0</v>
      </c>
      <c r="AO248" s="12">
        <f t="shared" ca="1" si="65"/>
        <v>0</v>
      </c>
      <c r="AP248" s="12" t="str">
        <f t="shared" ca="1" si="66"/>
        <v/>
      </c>
      <c r="AQ248" s="12" t="str">
        <f t="shared" ca="1" si="67"/>
        <v/>
      </c>
      <c r="AR248" s="12" t="str">
        <f t="shared" ca="1" si="68"/>
        <v/>
      </c>
      <c r="AS248" s="12" t="str">
        <f t="shared" ca="1" si="69"/>
        <v/>
      </c>
    </row>
    <row r="249" spans="1:45" ht="14.3">
      <c r="A249">
        <f t="shared" si="70"/>
        <v>706</v>
      </c>
      <c r="B249" t="str">
        <f t="shared" ca="1" si="51"/>
        <v xml:space="preserve"> </v>
      </c>
      <c r="C249" t="b">
        <f t="shared" ca="1" si="52"/>
        <v>0</v>
      </c>
      <c r="D249" s="248" t="str">
        <f t="shared" ca="1" si="77"/>
        <v/>
      </c>
      <c r="E249" s="92" t="str">
        <f t="shared" ca="1" si="53"/>
        <v/>
      </c>
      <c r="F249" s="92" t="str">
        <f t="shared" ca="1" si="54"/>
        <v/>
      </c>
      <c r="G249" s="257" t="str">
        <f t="shared" ca="1" si="78"/>
        <v/>
      </c>
      <c r="H249" s="248" t="str">
        <f t="shared" ca="1" si="78"/>
        <v/>
      </c>
      <c r="I249" s="92" t="str">
        <f t="shared" ca="1" si="78"/>
        <v/>
      </c>
      <c r="J249" s="92" t="str">
        <f t="shared" ca="1" si="56"/>
        <v/>
      </c>
      <c r="K249" s="92" t="str">
        <f t="shared" ca="1" si="85"/>
        <v/>
      </c>
      <c r="L249" s="92" t="str">
        <f t="shared" ca="1" si="85"/>
        <v/>
      </c>
      <c r="M249" s="258" t="str">
        <f t="shared" ca="1" si="85"/>
        <v/>
      </c>
      <c r="N249" s="259" t="str">
        <f t="shared" ca="1" si="79"/>
        <v/>
      </c>
      <c r="O249" s="92" t="str">
        <f t="shared" ca="1" si="79"/>
        <v/>
      </c>
      <c r="P249" s="92"/>
      <c r="Q249" s="92" t="str">
        <f t="shared" ca="1" si="73"/>
        <v/>
      </c>
      <c r="R249" s="257" t="str">
        <f t="shared" ca="1" si="73"/>
        <v/>
      </c>
      <c r="S249" s="248" t="str">
        <f t="shared" ca="1" si="86"/>
        <v/>
      </c>
      <c r="T249" s="92" t="str">
        <f t="shared" ca="1" si="86"/>
        <v/>
      </c>
      <c r="U249" s="92" t="str">
        <f t="shared" ca="1" si="80"/>
        <v/>
      </c>
      <c r="V249" s="92" t="str">
        <f t="shared" ca="1" si="80"/>
        <v/>
      </c>
      <c r="W249" s="92" t="str">
        <f t="shared" ca="1" si="80"/>
        <v/>
      </c>
      <c r="X249" s="257" t="str">
        <f t="shared" ca="1" si="80"/>
        <v/>
      </c>
      <c r="Y249" s="248" t="str">
        <f t="shared" ca="1" si="87"/>
        <v/>
      </c>
      <c r="Z249" s="92" t="str">
        <f t="shared" ca="1" si="87"/>
        <v/>
      </c>
      <c r="AA249" s="92" t="str">
        <f t="shared" ca="1" si="59"/>
        <v/>
      </c>
      <c r="AB249" s="345" t="str">
        <f t="shared" ca="1" si="84"/>
        <v/>
      </c>
      <c r="AC249" s="257" t="str">
        <f t="shared" ca="1" si="84"/>
        <v/>
      </c>
      <c r="AD249" s="248" t="str">
        <f t="shared" ca="1" si="71"/>
        <v/>
      </c>
      <c r="AE249" s="257" t="str">
        <f t="shared" ca="1" si="71"/>
        <v/>
      </c>
      <c r="AF249" s="248" t="str">
        <f t="shared" ca="1" si="71"/>
        <v/>
      </c>
      <c r="AG249" s="257" t="str">
        <f t="shared" ca="1" si="71"/>
        <v/>
      </c>
      <c r="AH249" s="92"/>
      <c r="AI249" s="92" t="str">
        <f t="shared" ca="1" si="60"/>
        <v/>
      </c>
      <c r="AK249" s="92">
        <f t="shared" ca="1" si="61"/>
        <v>0</v>
      </c>
      <c r="AL249" s="12">
        <f t="shared" ca="1" si="62"/>
        <v>0</v>
      </c>
      <c r="AM249" s="12">
        <f t="shared" ca="1" si="63"/>
        <v>0</v>
      </c>
      <c r="AN249" s="12">
        <f t="shared" ca="1" si="64"/>
        <v>0</v>
      </c>
      <c r="AO249" s="12">
        <f t="shared" ca="1" si="65"/>
        <v>0</v>
      </c>
      <c r="AP249" s="12" t="str">
        <f t="shared" ca="1" si="66"/>
        <v/>
      </c>
      <c r="AQ249" s="12" t="str">
        <f t="shared" ca="1" si="67"/>
        <v/>
      </c>
      <c r="AR249" s="12" t="str">
        <f t="shared" ca="1" si="68"/>
        <v/>
      </c>
      <c r="AS249" s="12" t="str">
        <f t="shared" ca="1" si="69"/>
        <v/>
      </c>
    </row>
    <row r="250" spans="1:45" ht="14.3">
      <c r="A250">
        <f>A249+5</f>
        <v>711</v>
      </c>
      <c r="B250" t="str">
        <f t="shared" ca="1" si="51"/>
        <v xml:space="preserve"> </v>
      </c>
      <c r="C250" t="b">
        <f t="shared" ca="1" si="52"/>
        <v>0</v>
      </c>
      <c r="D250" s="248" t="str">
        <f t="shared" ref="D250:D265" ca="1" si="88">IF($C250=FALSE,"",INDIRECT("Installations!" &amp; D$120 &amp; $A250))</f>
        <v/>
      </c>
      <c r="E250" s="92" t="str">
        <f t="shared" ca="1" si="53"/>
        <v/>
      </c>
      <c r="F250" s="92" t="str">
        <f t="shared" ca="1" si="54"/>
        <v/>
      </c>
      <c r="G250" s="257" t="str">
        <f t="shared" ca="1" si="78"/>
        <v/>
      </c>
      <c r="H250" s="248" t="str">
        <f t="shared" ca="1" si="78"/>
        <v/>
      </c>
      <c r="I250" s="92" t="str">
        <f t="shared" ca="1" si="78"/>
        <v/>
      </c>
      <c r="J250" s="92" t="str">
        <f t="shared" ca="1" si="56"/>
        <v/>
      </c>
      <c r="K250" s="92" t="str">
        <f t="shared" ca="1" si="85"/>
        <v/>
      </c>
      <c r="L250" s="92" t="str">
        <f t="shared" ca="1" si="85"/>
        <v/>
      </c>
      <c r="M250" s="258" t="str">
        <f t="shared" ca="1" si="85"/>
        <v/>
      </c>
      <c r="N250" s="259" t="str">
        <f t="shared" ca="1" si="79"/>
        <v/>
      </c>
      <c r="O250" s="92" t="str">
        <f t="shared" ca="1" si="79"/>
        <v/>
      </c>
      <c r="P250" s="92"/>
      <c r="Q250" s="92" t="str">
        <f t="shared" ca="1" si="73"/>
        <v/>
      </c>
      <c r="R250" s="257" t="str">
        <f t="shared" ca="1" si="73"/>
        <v/>
      </c>
      <c r="S250" s="248" t="str">
        <f t="shared" ca="1" si="86"/>
        <v/>
      </c>
      <c r="T250" s="92" t="str">
        <f t="shared" ca="1" si="86"/>
        <v/>
      </c>
      <c r="U250" s="92" t="str">
        <f t="shared" ca="1" si="80"/>
        <v/>
      </c>
      <c r="V250" s="92" t="str">
        <f t="shared" ca="1" si="80"/>
        <v/>
      </c>
      <c r="W250" s="92" t="str">
        <f t="shared" ca="1" si="80"/>
        <v/>
      </c>
      <c r="X250" s="257" t="str">
        <f t="shared" ca="1" si="80"/>
        <v/>
      </c>
      <c r="Y250" s="248" t="str">
        <f t="shared" ca="1" si="87"/>
        <v/>
      </c>
      <c r="Z250" s="92" t="str">
        <f t="shared" ca="1" si="87"/>
        <v/>
      </c>
      <c r="AA250" s="92" t="str">
        <f t="shared" ca="1" si="59"/>
        <v/>
      </c>
      <c r="AB250" s="345" t="str">
        <f t="shared" ca="1" si="84"/>
        <v/>
      </c>
      <c r="AC250" s="257" t="str">
        <f t="shared" ca="1" si="84"/>
        <v/>
      </c>
      <c r="AD250" s="248" t="str">
        <f t="shared" ca="1" si="71"/>
        <v/>
      </c>
      <c r="AE250" s="257" t="str">
        <f t="shared" ca="1" si="71"/>
        <v/>
      </c>
      <c r="AF250" s="248" t="str">
        <f t="shared" ca="1" si="71"/>
        <v/>
      </c>
      <c r="AG250" s="257" t="str">
        <f t="shared" ca="1" si="71"/>
        <v/>
      </c>
      <c r="AH250" s="92"/>
      <c r="AI250" s="92" t="str">
        <f t="shared" ca="1" si="60"/>
        <v/>
      </c>
      <c r="AK250" s="92">
        <f t="shared" ca="1" si="61"/>
        <v>0</v>
      </c>
      <c r="AL250" s="12">
        <f t="shared" ca="1" si="62"/>
        <v>0</v>
      </c>
      <c r="AM250" s="12">
        <f t="shared" ca="1" si="63"/>
        <v>0</v>
      </c>
      <c r="AN250" s="12">
        <f t="shared" ca="1" si="64"/>
        <v>0</v>
      </c>
      <c r="AO250" s="12">
        <f t="shared" ca="1" si="65"/>
        <v>0</v>
      </c>
      <c r="AP250" s="12" t="str">
        <f t="shared" ca="1" si="66"/>
        <v/>
      </c>
      <c r="AQ250" s="12" t="str">
        <f t="shared" ca="1" si="67"/>
        <v/>
      </c>
      <c r="AR250" s="12" t="str">
        <f t="shared" ca="1" si="68"/>
        <v/>
      </c>
      <c r="AS250" s="12" t="str">
        <f t="shared" ca="1" si="69"/>
        <v/>
      </c>
    </row>
    <row r="251" spans="1:45" ht="14.3">
      <c r="A251" s="610">
        <f>A250+8</f>
        <v>719</v>
      </c>
      <c r="B251" t="str">
        <f t="shared" ref="B251:B265" ca="1" si="89">INDIRECT("Installations!" &amp; B$121 &amp; $A251)</f>
        <v xml:space="preserve"> </v>
      </c>
      <c r="C251" t="b">
        <f t="shared" ref="C251:C265" ca="1" si="90">IF(INDIRECT("Installations!" &amp; C$121 &amp; $A251)=TRUE,TRUE,FALSE)</f>
        <v>0</v>
      </c>
      <c r="D251" s="248" t="str">
        <f t="shared" ca="1" si="88"/>
        <v/>
      </c>
      <c r="E251" s="92" t="str">
        <f t="shared" ref="E251:E265" ca="1" si="91">IF($C251=FALSE,"",INDIRECT("Installations!" &amp; E$120 &amp; $A251+1))</f>
        <v/>
      </c>
      <c r="F251" s="92" t="str">
        <f t="shared" ref="F251:F265" ca="1" si="92">IF($C251=FALSE,"",INDIRECT("Installations!" &amp; F$120 &amp; $A251+2))</f>
        <v/>
      </c>
      <c r="G251" s="257" t="str">
        <f t="shared" ref="G251:I265" ca="1" si="93">IF($C251=FALSE,"",INDIRECT("Installations!" &amp; G$120 &amp; $A251+1))</f>
        <v/>
      </c>
      <c r="H251" s="248" t="str">
        <f t="shared" ca="1" si="93"/>
        <v/>
      </c>
      <c r="I251" s="92" t="str">
        <f t="shared" ca="1" si="93"/>
        <v/>
      </c>
      <c r="J251" s="92" t="str">
        <f t="shared" ref="J251:J265" ca="1" si="94">IF($C251=FALSE,"",INDIRECT("Installations!" &amp; J$120 &amp; $A251+3))</f>
        <v/>
      </c>
      <c r="K251" s="92" t="str">
        <f t="shared" ca="1" si="85"/>
        <v/>
      </c>
      <c r="L251" s="92" t="str">
        <f t="shared" ca="1" si="85"/>
        <v/>
      </c>
      <c r="M251" s="258" t="str">
        <f t="shared" ca="1" si="85"/>
        <v/>
      </c>
      <c r="N251" s="259" t="str">
        <f t="shared" ref="N251:O265" ca="1" si="95">IF($C251=FALSE,"",INDIRECT("Installations!" &amp; N$120 &amp; $A251+1))</f>
        <v/>
      </c>
      <c r="O251" s="92" t="str">
        <f t="shared" ca="1" si="95"/>
        <v/>
      </c>
      <c r="P251" s="92"/>
      <c r="Q251" s="92" t="str">
        <f t="shared" ca="1" si="73"/>
        <v/>
      </c>
      <c r="R251" s="257" t="str">
        <f t="shared" ca="1" si="73"/>
        <v/>
      </c>
      <c r="S251" s="248" t="str">
        <f t="shared" ca="1" si="86"/>
        <v/>
      </c>
      <c r="T251" s="92" t="str">
        <f t="shared" ca="1" si="86"/>
        <v/>
      </c>
      <c r="U251" s="92" t="str">
        <f t="shared" ca="1" si="80"/>
        <v/>
      </c>
      <c r="V251" s="92" t="str">
        <f t="shared" ca="1" si="80"/>
        <v/>
      </c>
      <c r="W251" s="92" t="str">
        <f t="shared" ca="1" si="80"/>
        <v/>
      </c>
      <c r="X251" s="257" t="str">
        <f t="shared" ca="1" si="80"/>
        <v/>
      </c>
      <c r="Y251" s="248" t="str">
        <f t="shared" ca="1" si="87"/>
        <v/>
      </c>
      <c r="Z251" s="92" t="str">
        <f t="shared" ca="1" si="87"/>
        <v/>
      </c>
      <c r="AA251" s="92" t="str">
        <f t="shared" ref="AA251:AA265" ca="1" si="96">IF($C251=FALSE,"",INDIRECT("Installations!" &amp; AA$120 &amp; $A251+AA$118))</f>
        <v/>
      </c>
      <c r="AB251" s="345" t="str">
        <f t="shared" ca="1" si="84"/>
        <v/>
      </c>
      <c r="AC251" s="257" t="str">
        <f t="shared" ca="1" si="84"/>
        <v/>
      </c>
      <c r="AD251" s="248" t="str">
        <f t="shared" ca="1" si="71"/>
        <v/>
      </c>
      <c r="AE251" s="257" t="str">
        <f t="shared" ca="1" si="71"/>
        <v/>
      </c>
      <c r="AF251" s="248" t="str">
        <f t="shared" ca="1" si="71"/>
        <v/>
      </c>
      <c r="AG251" s="257" t="str">
        <f t="shared" ca="1" si="71"/>
        <v/>
      </c>
      <c r="AH251" s="92"/>
      <c r="AI251" s="92" t="str">
        <f t="shared" ref="AI251:AI265" ca="1" si="97">T251</f>
        <v/>
      </c>
      <c r="AK251" s="92">
        <f t="shared" ref="AK251:AK265" ca="1" si="98">VLOOKUP(AI251,J$66:R$115,3,FALSE)</f>
        <v>0</v>
      </c>
      <c r="AL251" s="12">
        <f t="shared" ref="AL251:AL265" ca="1" si="99">VLOOKUP($AI251,$J$66:$R$115,5,FALSE)</f>
        <v>0</v>
      </c>
      <c r="AM251" s="12">
        <f t="shared" ref="AM251:AM265" ca="1" si="100">VLOOKUP($AI251,$J$66:$R$115,8,FALSE)</f>
        <v>0</v>
      </c>
      <c r="AN251" s="12">
        <f t="shared" ref="AN251:AN265" ca="1" si="101">VLOOKUP($AI251,$J$66:$R$115,6,FALSE)</f>
        <v>0</v>
      </c>
      <c r="AO251" s="12">
        <f t="shared" ref="AO251:AO265" ca="1" si="102">VLOOKUP($AI251,$J$66:$R$115,7,FALSE)</f>
        <v>0</v>
      </c>
      <c r="AP251" s="12" t="str">
        <f t="shared" ref="AP251:AP265" ca="1" si="103">VLOOKUP($AI251,$J$66:$R$115,9,FALSE)</f>
        <v/>
      </c>
      <c r="AQ251" s="12" t="str">
        <f t="shared" ref="AQ251:AQ265" ca="1" si="104">IFERROR(ROUND(IF($C251=FALSE,"",INDIRECT("Installations!" &amp; AQ$120 &amp; $A251)),0),"")</f>
        <v/>
      </c>
      <c r="AR251" s="12" t="str">
        <f t="shared" ref="AR251:AR265" ca="1" si="105">IF($C251=FALSE,"",INDIRECT("Installations!" &amp; AR$120 &amp; $A251+3))</f>
        <v/>
      </c>
      <c r="AS251" s="12" t="str">
        <f t="shared" ref="AS251:AS265" ca="1" si="106">IF($C251=FALSE,"",INDIRECT("Installations!" &amp; AS$120 &amp; $A251+2))</f>
        <v/>
      </c>
    </row>
    <row r="252" spans="1:45" ht="14.3">
      <c r="A252">
        <f>A251+5</f>
        <v>724</v>
      </c>
      <c r="B252" t="str">
        <f t="shared" ca="1" si="89"/>
        <v xml:space="preserve"> </v>
      </c>
      <c r="C252" t="b">
        <f t="shared" ca="1" si="90"/>
        <v>0</v>
      </c>
      <c r="D252" s="248" t="str">
        <f t="shared" ca="1" si="88"/>
        <v/>
      </c>
      <c r="E252" s="92" t="str">
        <f t="shared" ca="1" si="91"/>
        <v/>
      </c>
      <c r="F252" s="92" t="str">
        <f t="shared" ca="1" si="92"/>
        <v/>
      </c>
      <c r="G252" s="257" t="str">
        <f t="shared" ca="1" si="93"/>
        <v/>
      </c>
      <c r="H252" s="248" t="str">
        <f t="shared" ca="1" si="93"/>
        <v/>
      </c>
      <c r="I252" s="92" t="str">
        <f t="shared" ca="1" si="93"/>
        <v/>
      </c>
      <c r="J252" s="92" t="str">
        <f t="shared" ca="1" si="94"/>
        <v/>
      </c>
      <c r="K252" s="92" t="str">
        <f t="shared" ca="1" si="85"/>
        <v/>
      </c>
      <c r="L252" s="92" t="str">
        <f t="shared" ca="1" si="85"/>
        <v/>
      </c>
      <c r="M252" s="258" t="str">
        <f t="shared" ca="1" si="85"/>
        <v/>
      </c>
      <c r="N252" s="259" t="str">
        <f t="shared" ca="1" si="95"/>
        <v/>
      </c>
      <c r="O252" s="92" t="str">
        <f t="shared" ca="1" si="95"/>
        <v/>
      </c>
      <c r="P252" s="92"/>
      <c r="Q252" s="92" t="str">
        <f t="shared" ca="1" si="73"/>
        <v/>
      </c>
      <c r="R252" s="257" t="str">
        <f t="shared" ca="1" si="73"/>
        <v/>
      </c>
      <c r="S252" s="248" t="str">
        <f t="shared" ca="1" si="86"/>
        <v/>
      </c>
      <c r="T252" s="92" t="str">
        <f t="shared" ca="1" si="86"/>
        <v/>
      </c>
      <c r="U252" s="92" t="str">
        <f t="shared" ca="1" si="80"/>
        <v/>
      </c>
      <c r="V252" s="92" t="str">
        <f t="shared" ca="1" si="80"/>
        <v/>
      </c>
      <c r="W252" s="92" t="str">
        <f t="shared" ca="1" si="80"/>
        <v/>
      </c>
      <c r="X252" s="257" t="str">
        <f t="shared" ca="1" si="80"/>
        <v/>
      </c>
      <c r="Y252" s="248" t="str">
        <f t="shared" ca="1" si="87"/>
        <v/>
      </c>
      <c r="Z252" s="92" t="str">
        <f t="shared" ca="1" si="87"/>
        <v/>
      </c>
      <c r="AA252" s="92" t="str">
        <f t="shared" ca="1" si="96"/>
        <v/>
      </c>
      <c r="AB252" s="345" t="str">
        <f t="shared" ca="1" si="84"/>
        <v/>
      </c>
      <c r="AC252" s="257" t="str">
        <f t="shared" ca="1" si="84"/>
        <v/>
      </c>
      <c r="AD252" s="248" t="str">
        <f t="shared" ca="1" si="71"/>
        <v/>
      </c>
      <c r="AE252" s="257" t="str">
        <f t="shared" ca="1" si="71"/>
        <v/>
      </c>
      <c r="AF252" s="248" t="str">
        <f t="shared" ca="1" si="71"/>
        <v/>
      </c>
      <c r="AG252" s="257" t="str">
        <f t="shared" ca="1" si="71"/>
        <v/>
      </c>
      <c r="AH252" s="92"/>
      <c r="AI252" s="92" t="str">
        <f t="shared" ca="1" si="97"/>
        <v/>
      </c>
      <c r="AK252" s="92">
        <f t="shared" ca="1" si="98"/>
        <v>0</v>
      </c>
      <c r="AL252" s="12">
        <f t="shared" ca="1" si="99"/>
        <v>0</v>
      </c>
      <c r="AM252" s="12">
        <f t="shared" ca="1" si="100"/>
        <v>0</v>
      </c>
      <c r="AN252" s="12">
        <f t="shared" ca="1" si="101"/>
        <v>0</v>
      </c>
      <c r="AO252" s="12">
        <f t="shared" ca="1" si="102"/>
        <v>0</v>
      </c>
      <c r="AP252" s="12" t="str">
        <f t="shared" ca="1" si="103"/>
        <v/>
      </c>
      <c r="AQ252" s="12" t="str">
        <f t="shared" ca="1" si="104"/>
        <v/>
      </c>
      <c r="AR252" s="12" t="str">
        <f t="shared" ca="1" si="105"/>
        <v/>
      </c>
      <c r="AS252" s="12" t="str">
        <f t="shared" ca="1" si="106"/>
        <v/>
      </c>
    </row>
    <row r="253" spans="1:45" ht="14.3">
      <c r="A253">
        <f t="shared" si="70"/>
        <v>729</v>
      </c>
      <c r="B253" t="str">
        <f t="shared" ca="1" si="89"/>
        <v xml:space="preserve"> </v>
      </c>
      <c r="C253" t="b">
        <f t="shared" ca="1" si="90"/>
        <v>0</v>
      </c>
      <c r="D253" s="248" t="str">
        <f t="shared" ca="1" si="88"/>
        <v/>
      </c>
      <c r="E253" s="92" t="str">
        <f t="shared" ca="1" si="91"/>
        <v/>
      </c>
      <c r="F253" s="92" t="str">
        <f t="shared" ca="1" si="92"/>
        <v/>
      </c>
      <c r="G253" s="257" t="str">
        <f t="shared" ca="1" si="93"/>
        <v/>
      </c>
      <c r="H253" s="248" t="str">
        <f t="shared" ca="1" si="93"/>
        <v/>
      </c>
      <c r="I253" s="92" t="str">
        <f t="shared" ca="1" si="93"/>
        <v/>
      </c>
      <c r="J253" s="92" t="str">
        <f t="shared" ca="1" si="94"/>
        <v/>
      </c>
      <c r="K253" s="92" t="str">
        <f t="shared" ca="1" si="85"/>
        <v/>
      </c>
      <c r="L253" s="92" t="str">
        <f t="shared" ca="1" si="85"/>
        <v/>
      </c>
      <c r="M253" s="258" t="str">
        <f t="shared" ca="1" si="85"/>
        <v/>
      </c>
      <c r="N253" s="259" t="str">
        <f t="shared" ca="1" si="95"/>
        <v/>
      </c>
      <c r="O253" s="92" t="str">
        <f t="shared" ca="1" si="95"/>
        <v/>
      </c>
      <c r="P253" s="92"/>
      <c r="Q253" s="92" t="str">
        <f t="shared" ca="1" si="73"/>
        <v/>
      </c>
      <c r="R253" s="257" t="str">
        <f t="shared" ca="1" si="73"/>
        <v/>
      </c>
      <c r="S253" s="248" t="str">
        <f t="shared" ca="1" si="86"/>
        <v/>
      </c>
      <c r="T253" s="92" t="str">
        <f t="shared" ca="1" si="86"/>
        <v/>
      </c>
      <c r="U253" s="92" t="str">
        <f t="shared" ca="1" si="80"/>
        <v/>
      </c>
      <c r="V253" s="92" t="str">
        <f t="shared" ca="1" si="80"/>
        <v/>
      </c>
      <c r="W253" s="92" t="str">
        <f t="shared" ca="1" si="80"/>
        <v/>
      </c>
      <c r="X253" s="257" t="str">
        <f t="shared" ca="1" si="80"/>
        <v/>
      </c>
      <c r="Y253" s="248" t="str">
        <f t="shared" ca="1" si="87"/>
        <v/>
      </c>
      <c r="Z253" s="92" t="str">
        <f t="shared" ca="1" si="87"/>
        <v/>
      </c>
      <c r="AA253" s="92" t="str">
        <f t="shared" ca="1" si="96"/>
        <v/>
      </c>
      <c r="AB253" s="345" t="str">
        <f t="shared" ca="1" si="84"/>
        <v/>
      </c>
      <c r="AC253" s="257" t="str">
        <f t="shared" ca="1" si="84"/>
        <v/>
      </c>
      <c r="AD253" s="248" t="str">
        <f t="shared" ca="1" si="71"/>
        <v/>
      </c>
      <c r="AE253" s="257" t="str">
        <f t="shared" ca="1" si="71"/>
        <v/>
      </c>
      <c r="AF253" s="248" t="str">
        <f t="shared" ca="1" si="71"/>
        <v/>
      </c>
      <c r="AG253" s="257" t="str">
        <f t="shared" ca="1" si="71"/>
        <v/>
      </c>
      <c r="AH253" s="92"/>
      <c r="AI253" s="92" t="str">
        <f t="shared" ca="1" si="97"/>
        <v/>
      </c>
      <c r="AK253" s="92">
        <f t="shared" ca="1" si="98"/>
        <v>0</v>
      </c>
      <c r="AL253" s="12">
        <f t="shared" ca="1" si="99"/>
        <v>0</v>
      </c>
      <c r="AM253" s="12">
        <f t="shared" ca="1" si="100"/>
        <v>0</v>
      </c>
      <c r="AN253" s="12">
        <f t="shared" ca="1" si="101"/>
        <v>0</v>
      </c>
      <c r="AO253" s="12">
        <f t="shared" ca="1" si="102"/>
        <v>0</v>
      </c>
      <c r="AP253" s="12" t="str">
        <f t="shared" ca="1" si="103"/>
        <v/>
      </c>
      <c r="AQ253" s="12" t="str">
        <f t="shared" ca="1" si="104"/>
        <v/>
      </c>
      <c r="AR253" s="12" t="str">
        <f t="shared" ca="1" si="105"/>
        <v/>
      </c>
      <c r="AS253" s="12" t="str">
        <f t="shared" ca="1" si="106"/>
        <v/>
      </c>
    </row>
    <row r="254" spans="1:45" ht="14.3">
      <c r="A254">
        <f t="shared" si="70"/>
        <v>734</v>
      </c>
      <c r="B254" t="str">
        <f t="shared" ca="1" si="89"/>
        <v xml:space="preserve"> </v>
      </c>
      <c r="C254" t="b">
        <f t="shared" ca="1" si="90"/>
        <v>0</v>
      </c>
      <c r="D254" s="248" t="str">
        <f t="shared" ca="1" si="88"/>
        <v/>
      </c>
      <c r="E254" s="92" t="str">
        <f t="shared" ca="1" si="91"/>
        <v/>
      </c>
      <c r="F254" s="92" t="str">
        <f t="shared" ca="1" si="92"/>
        <v/>
      </c>
      <c r="G254" s="257" t="str">
        <f t="shared" ca="1" si="93"/>
        <v/>
      </c>
      <c r="H254" s="248" t="str">
        <f t="shared" ca="1" si="93"/>
        <v/>
      </c>
      <c r="I254" s="92" t="str">
        <f t="shared" ca="1" si="93"/>
        <v/>
      </c>
      <c r="J254" s="92" t="str">
        <f t="shared" ca="1" si="94"/>
        <v/>
      </c>
      <c r="K254" s="92" t="str">
        <f t="shared" ca="1" si="85"/>
        <v/>
      </c>
      <c r="L254" s="92" t="str">
        <f t="shared" ca="1" si="85"/>
        <v/>
      </c>
      <c r="M254" s="258" t="str">
        <f t="shared" ca="1" si="85"/>
        <v/>
      </c>
      <c r="N254" s="259" t="str">
        <f t="shared" ca="1" si="95"/>
        <v/>
      </c>
      <c r="O254" s="92" t="str">
        <f t="shared" ca="1" si="95"/>
        <v/>
      </c>
      <c r="P254" s="92"/>
      <c r="Q254" s="92" t="str">
        <f t="shared" ca="1" si="73"/>
        <v/>
      </c>
      <c r="R254" s="257" t="str">
        <f t="shared" ca="1" si="73"/>
        <v/>
      </c>
      <c r="S254" s="248" t="str">
        <f t="shared" ca="1" si="86"/>
        <v/>
      </c>
      <c r="T254" s="92" t="str">
        <f t="shared" ca="1" si="86"/>
        <v/>
      </c>
      <c r="U254" s="92" t="str">
        <f t="shared" ca="1" si="80"/>
        <v/>
      </c>
      <c r="V254" s="92" t="str">
        <f t="shared" ca="1" si="80"/>
        <v/>
      </c>
      <c r="W254" s="92" t="str">
        <f t="shared" ca="1" si="80"/>
        <v/>
      </c>
      <c r="X254" s="257" t="str">
        <f t="shared" ca="1" si="80"/>
        <v/>
      </c>
      <c r="Y254" s="248" t="str">
        <f t="shared" ca="1" si="87"/>
        <v/>
      </c>
      <c r="Z254" s="92" t="str">
        <f t="shared" ca="1" si="87"/>
        <v/>
      </c>
      <c r="AA254" s="92" t="str">
        <f t="shared" ca="1" si="96"/>
        <v/>
      </c>
      <c r="AB254" s="345" t="str">
        <f t="shared" ca="1" si="84"/>
        <v/>
      </c>
      <c r="AC254" s="257" t="str">
        <f t="shared" ca="1" si="84"/>
        <v/>
      </c>
      <c r="AD254" s="248" t="str">
        <f t="shared" ca="1" si="71"/>
        <v/>
      </c>
      <c r="AE254" s="257" t="str">
        <f t="shared" ca="1" si="71"/>
        <v/>
      </c>
      <c r="AF254" s="248" t="str">
        <f t="shared" ca="1" si="71"/>
        <v/>
      </c>
      <c r="AG254" s="257" t="str">
        <f t="shared" ca="1" si="71"/>
        <v/>
      </c>
      <c r="AH254" s="92"/>
      <c r="AI254" s="92" t="str">
        <f t="shared" ca="1" si="97"/>
        <v/>
      </c>
      <c r="AK254" s="92">
        <f t="shared" ca="1" si="98"/>
        <v>0</v>
      </c>
      <c r="AL254" s="12">
        <f t="shared" ca="1" si="99"/>
        <v>0</v>
      </c>
      <c r="AM254" s="12">
        <f t="shared" ca="1" si="100"/>
        <v>0</v>
      </c>
      <c r="AN254" s="12">
        <f t="shared" ca="1" si="101"/>
        <v>0</v>
      </c>
      <c r="AO254" s="12">
        <f t="shared" ca="1" si="102"/>
        <v>0</v>
      </c>
      <c r="AP254" s="12" t="str">
        <f t="shared" ca="1" si="103"/>
        <v/>
      </c>
      <c r="AQ254" s="12" t="str">
        <f t="shared" ca="1" si="104"/>
        <v/>
      </c>
      <c r="AR254" s="12" t="str">
        <f t="shared" ca="1" si="105"/>
        <v/>
      </c>
      <c r="AS254" s="12" t="str">
        <f t="shared" ca="1" si="106"/>
        <v/>
      </c>
    </row>
    <row r="255" spans="1:45" ht="14.3">
      <c r="A255">
        <f t="shared" si="70"/>
        <v>739</v>
      </c>
      <c r="B255" t="str">
        <f t="shared" ca="1" si="89"/>
        <v xml:space="preserve"> </v>
      </c>
      <c r="C255" t="b">
        <f t="shared" ca="1" si="90"/>
        <v>0</v>
      </c>
      <c r="D255" s="248" t="str">
        <f t="shared" ca="1" si="88"/>
        <v/>
      </c>
      <c r="E255" s="92" t="str">
        <f t="shared" ca="1" si="91"/>
        <v/>
      </c>
      <c r="F255" s="92" t="str">
        <f t="shared" ca="1" si="92"/>
        <v/>
      </c>
      <c r="G255" s="257" t="str">
        <f t="shared" ca="1" si="93"/>
        <v/>
      </c>
      <c r="H255" s="248" t="str">
        <f t="shared" ca="1" si="93"/>
        <v/>
      </c>
      <c r="I255" s="92" t="str">
        <f t="shared" ca="1" si="93"/>
        <v/>
      </c>
      <c r="J255" s="92" t="str">
        <f t="shared" ca="1" si="94"/>
        <v/>
      </c>
      <c r="K255" s="92" t="str">
        <f t="shared" ca="1" si="85"/>
        <v/>
      </c>
      <c r="L255" s="92" t="str">
        <f t="shared" ca="1" si="85"/>
        <v/>
      </c>
      <c r="M255" s="258" t="str">
        <f t="shared" ca="1" si="85"/>
        <v/>
      </c>
      <c r="N255" s="259" t="str">
        <f t="shared" ca="1" si="95"/>
        <v/>
      </c>
      <c r="O255" s="92" t="str">
        <f t="shared" ca="1" si="95"/>
        <v/>
      </c>
      <c r="P255" s="92"/>
      <c r="Q255" s="92" t="str">
        <f t="shared" ca="1" si="73"/>
        <v/>
      </c>
      <c r="R255" s="257" t="str">
        <f t="shared" ca="1" si="73"/>
        <v/>
      </c>
      <c r="S255" s="248" t="str">
        <f t="shared" ca="1" si="86"/>
        <v/>
      </c>
      <c r="T255" s="92" t="str">
        <f t="shared" ca="1" si="86"/>
        <v/>
      </c>
      <c r="U255" s="92" t="str">
        <f t="shared" ca="1" si="80"/>
        <v/>
      </c>
      <c r="V255" s="92" t="str">
        <f t="shared" ca="1" si="80"/>
        <v/>
      </c>
      <c r="W255" s="92" t="str">
        <f t="shared" ca="1" si="80"/>
        <v/>
      </c>
      <c r="X255" s="257" t="str">
        <f t="shared" ca="1" si="80"/>
        <v/>
      </c>
      <c r="Y255" s="248" t="str">
        <f t="shared" ca="1" si="87"/>
        <v/>
      </c>
      <c r="Z255" s="92" t="str">
        <f t="shared" ca="1" si="87"/>
        <v/>
      </c>
      <c r="AA255" s="92" t="str">
        <f t="shared" ca="1" si="96"/>
        <v/>
      </c>
      <c r="AB255" s="345" t="str">
        <f t="shared" ca="1" si="84"/>
        <v/>
      </c>
      <c r="AC255" s="257" t="str">
        <f t="shared" ca="1" si="84"/>
        <v/>
      </c>
      <c r="AD255" s="248" t="str">
        <f t="shared" ca="1" si="71"/>
        <v/>
      </c>
      <c r="AE255" s="257" t="str">
        <f t="shared" ca="1" si="71"/>
        <v/>
      </c>
      <c r="AF255" s="248" t="str">
        <f t="shared" ca="1" si="71"/>
        <v/>
      </c>
      <c r="AG255" s="257" t="str">
        <f t="shared" ca="1" si="71"/>
        <v/>
      </c>
      <c r="AH255" s="92"/>
      <c r="AI255" s="92" t="str">
        <f t="shared" ca="1" si="97"/>
        <v/>
      </c>
      <c r="AK255" s="92">
        <f t="shared" ca="1" si="98"/>
        <v>0</v>
      </c>
      <c r="AL255" s="12">
        <f t="shared" ca="1" si="99"/>
        <v>0</v>
      </c>
      <c r="AM255" s="12">
        <f t="shared" ca="1" si="100"/>
        <v>0</v>
      </c>
      <c r="AN255" s="12">
        <f t="shared" ca="1" si="101"/>
        <v>0</v>
      </c>
      <c r="AO255" s="12">
        <f t="shared" ca="1" si="102"/>
        <v>0</v>
      </c>
      <c r="AP255" s="12" t="str">
        <f t="shared" ca="1" si="103"/>
        <v/>
      </c>
      <c r="AQ255" s="12" t="str">
        <f t="shared" ca="1" si="104"/>
        <v/>
      </c>
      <c r="AR255" s="12" t="str">
        <f t="shared" ca="1" si="105"/>
        <v/>
      </c>
      <c r="AS255" s="12" t="str">
        <f t="shared" ca="1" si="106"/>
        <v/>
      </c>
    </row>
    <row r="256" spans="1:45" ht="14.3">
      <c r="A256">
        <f t="shared" si="70"/>
        <v>744</v>
      </c>
      <c r="B256" t="str">
        <f t="shared" ca="1" si="89"/>
        <v xml:space="preserve"> </v>
      </c>
      <c r="C256" t="b">
        <f t="shared" ca="1" si="90"/>
        <v>0</v>
      </c>
      <c r="D256" s="248" t="str">
        <f t="shared" ca="1" si="88"/>
        <v/>
      </c>
      <c r="E256" s="92" t="str">
        <f t="shared" ca="1" si="91"/>
        <v/>
      </c>
      <c r="F256" s="92" t="str">
        <f t="shared" ca="1" si="92"/>
        <v/>
      </c>
      <c r="G256" s="257" t="str">
        <f t="shared" ca="1" si="93"/>
        <v/>
      </c>
      <c r="H256" s="248" t="str">
        <f t="shared" ca="1" si="93"/>
        <v/>
      </c>
      <c r="I256" s="92" t="str">
        <f t="shared" ca="1" si="93"/>
        <v/>
      </c>
      <c r="J256" s="92" t="str">
        <f t="shared" ca="1" si="94"/>
        <v/>
      </c>
      <c r="K256" s="92" t="str">
        <f t="shared" ca="1" si="85"/>
        <v/>
      </c>
      <c r="L256" s="92" t="str">
        <f t="shared" ca="1" si="85"/>
        <v/>
      </c>
      <c r="M256" s="258" t="str">
        <f t="shared" ca="1" si="85"/>
        <v/>
      </c>
      <c r="N256" s="259" t="str">
        <f t="shared" ca="1" si="95"/>
        <v/>
      </c>
      <c r="O256" s="92" t="str">
        <f t="shared" ca="1" si="95"/>
        <v/>
      </c>
      <c r="P256" s="92"/>
      <c r="Q256" s="92" t="str">
        <f t="shared" ca="1" si="73"/>
        <v/>
      </c>
      <c r="R256" s="257" t="str">
        <f t="shared" ca="1" si="73"/>
        <v/>
      </c>
      <c r="S256" s="248" t="str">
        <f t="shared" ca="1" si="86"/>
        <v/>
      </c>
      <c r="T256" s="92" t="str">
        <f t="shared" ca="1" si="86"/>
        <v/>
      </c>
      <c r="U256" s="92" t="str">
        <f t="shared" ca="1" si="80"/>
        <v/>
      </c>
      <c r="V256" s="92" t="str">
        <f t="shared" ca="1" si="80"/>
        <v/>
      </c>
      <c r="W256" s="92" t="str">
        <f t="shared" ca="1" si="80"/>
        <v/>
      </c>
      <c r="X256" s="257" t="str">
        <f t="shared" ca="1" si="80"/>
        <v/>
      </c>
      <c r="Y256" s="248" t="str">
        <f t="shared" ca="1" si="87"/>
        <v/>
      </c>
      <c r="Z256" s="92" t="str">
        <f t="shared" ca="1" si="87"/>
        <v/>
      </c>
      <c r="AA256" s="92" t="str">
        <f t="shared" ca="1" si="96"/>
        <v/>
      </c>
      <c r="AB256" s="345" t="str">
        <f t="shared" ca="1" si="84"/>
        <v/>
      </c>
      <c r="AC256" s="257" t="str">
        <f t="shared" ca="1" si="84"/>
        <v/>
      </c>
      <c r="AD256" s="248" t="str">
        <f t="shared" ca="1" si="71"/>
        <v/>
      </c>
      <c r="AE256" s="257" t="str">
        <f t="shared" ca="1" si="71"/>
        <v/>
      </c>
      <c r="AF256" s="248" t="str">
        <f t="shared" ca="1" si="71"/>
        <v/>
      </c>
      <c r="AG256" s="257" t="str">
        <f t="shared" ca="1" si="71"/>
        <v/>
      </c>
      <c r="AH256" s="92"/>
      <c r="AI256" s="92" t="str">
        <f t="shared" ca="1" si="97"/>
        <v/>
      </c>
      <c r="AK256" s="92">
        <f t="shared" ca="1" si="98"/>
        <v>0</v>
      </c>
      <c r="AL256" s="12">
        <f t="shared" ca="1" si="99"/>
        <v>0</v>
      </c>
      <c r="AM256" s="12">
        <f t="shared" ca="1" si="100"/>
        <v>0</v>
      </c>
      <c r="AN256" s="12">
        <f t="shared" ca="1" si="101"/>
        <v>0</v>
      </c>
      <c r="AO256" s="12">
        <f t="shared" ca="1" si="102"/>
        <v>0</v>
      </c>
      <c r="AP256" s="12" t="str">
        <f t="shared" ca="1" si="103"/>
        <v/>
      </c>
      <c r="AQ256" s="12" t="str">
        <f t="shared" ca="1" si="104"/>
        <v/>
      </c>
      <c r="AR256" s="12" t="str">
        <f t="shared" ca="1" si="105"/>
        <v/>
      </c>
      <c r="AS256" s="12" t="str">
        <f t="shared" ca="1" si="106"/>
        <v/>
      </c>
    </row>
    <row r="257" spans="1:45" ht="14.3">
      <c r="A257">
        <f t="shared" si="70"/>
        <v>749</v>
      </c>
      <c r="B257" t="str">
        <f t="shared" ca="1" si="89"/>
        <v xml:space="preserve"> </v>
      </c>
      <c r="C257" t="b">
        <f t="shared" ca="1" si="90"/>
        <v>0</v>
      </c>
      <c r="D257" s="248" t="str">
        <f t="shared" ca="1" si="88"/>
        <v/>
      </c>
      <c r="E257" s="92" t="str">
        <f t="shared" ca="1" si="91"/>
        <v/>
      </c>
      <c r="F257" s="92" t="str">
        <f t="shared" ca="1" si="92"/>
        <v/>
      </c>
      <c r="G257" s="257" t="str">
        <f t="shared" ca="1" si="93"/>
        <v/>
      </c>
      <c r="H257" s="248" t="str">
        <f t="shared" ca="1" si="93"/>
        <v/>
      </c>
      <c r="I257" s="92" t="str">
        <f t="shared" ca="1" si="93"/>
        <v/>
      </c>
      <c r="J257" s="92" t="str">
        <f t="shared" ca="1" si="94"/>
        <v/>
      </c>
      <c r="K257" s="92" t="str">
        <f t="shared" ca="1" si="85"/>
        <v/>
      </c>
      <c r="L257" s="92" t="str">
        <f t="shared" ca="1" si="85"/>
        <v/>
      </c>
      <c r="M257" s="258" t="str">
        <f t="shared" ca="1" si="85"/>
        <v/>
      </c>
      <c r="N257" s="259" t="str">
        <f t="shared" ca="1" si="95"/>
        <v/>
      </c>
      <c r="O257" s="92" t="str">
        <f t="shared" ca="1" si="95"/>
        <v/>
      </c>
      <c r="P257" s="92"/>
      <c r="Q257" s="92" t="str">
        <f t="shared" ca="1" si="73"/>
        <v/>
      </c>
      <c r="R257" s="257" t="str">
        <f t="shared" ca="1" si="73"/>
        <v/>
      </c>
      <c r="S257" s="248" t="str">
        <f t="shared" ca="1" si="86"/>
        <v/>
      </c>
      <c r="T257" s="92" t="str">
        <f t="shared" ca="1" si="86"/>
        <v/>
      </c>
      <c r="U257" s="92" t="str">
        <f t="shared" ca="1" si="80"/>
        <v/>
      </c>
      <c r="V257" s="92" t="str">
        <f t="shared" ca="1" si="80"/>
        <v/>
      </c>
      <c r="W257" s="92" t="str">
        <f t="shared" ca="1" si="80"/>
        <v/>
      </c>
      <c r="X257" s="257" t="str">
        <f t="shared" ca="1" si="80"/>
        <v/>
      </c>
      <c r="Y257" s="248" t="str">
        <f t="shared" ca="1" si="87"/>
        <v/>
      </c>
      <c r="Z257" s="92" t="str">
        <f t="shared" ca="1" si="87"/>
        <v/>
      </c>
      <c r="AA257" s="92" t="str">
        <f t="shared" ca="1" si="96"/>
        <v/>
      </c>
      <c r="AB257" s="345" t="str">
        <f t="shared" ca="1" si="84"/>
        <v/>
      </c>
      <c r="AC257" s="257" t="str">
        <f t="shared" ca="1" si="84"/>
        <v/>
      </c>
      <c r="AD257" s="248" t="str">
        <f t="shared" ca="1" si="71"/>
        <v/>
      </c>
      <c r="AE257" s="257" t="str">
        <f t="shared" ca="1" si="71"/>
        <v/>
      </c>
      <c r="AF257" s="248" t="str">
        <f t="shared" ca="1" si="71"/>
        <v/>
      </c>
      <c r="AG257" s="257" t="str">
        <f t="shared" ca="1" si="71"/>
        <v/>
      </c>
      <c r="AH257" s="92"/>
      <c r="AI257" s="92" t="str">
        <f t="shared" ca="1" si="97"/>
        <v/>
      </c>
      <c r="AK257" s="92">
        <f t="shared" ca="1" si="98"/>
        <v>0</v>
      </c>
      <c r="AL257" s="12">
        <f t="shared" ca="1" si="99"/>
        <v>0</v>
      </c>
      <c r="AM257" s="12">
        <f t="shared" ca="1" si="100"/>
        <v>0</v>
      </c>
      <c r="AN257" s="12">
        <f t="shared" ca="1" si="101"/>
        <v>0</v>
      </c>
      <c r="AO257" s="12">
        <f t="shared" ca="1" si="102"/>
        <v>0</v>
      </c>
      <c r="AP257" s="12" t="str">
        <f t="shared" ca="1" si="103"/>
        <v/>
      </c>
      <c r="AQ257" s="12" t="str">
        <f t="shared" ca="1" si="104"/>
        <v/>
      </c>
      <c r="AR257" s="12" t="str">
        <f t="shared" ca="1" si="105"/>
        <v/>
      </c>
      <c r="AS257" s="12" t="str">
        <f t="shared" ca="1" si="106"/>
        <v/>
      </c>
    </row>
    <row r="258" spans="1:45" ht="14.3">
      <c r="A258">
        <f t="shared" si="70"/>
        <v>754</v>
      </c>
      <c r="B258" t="str">
        <f t="shared" ca="1" si="89"/>
        <v xml:space="preserve"> </v>
      </c>
      <c r="C258" t="b">
        <f t="shared" ca="1" si="90"/>
        <v>0</v>
      </c>
      <c r="D258" s="248" t="str">
        <f t="shared" ca="1" si="88"/>
        <v/>
      </c>
      <c r="E258" s="92" t="str">
        <f t="shared" ca="1" si="91"/>
        <v/>
      </c>
      <c r="F258" s="92" t="str">
        <f t="shared" ca="1" si="92"/>
        <v/>
      </c>
      <c r="G258" s="257" t="str">
        <f t="shared" ca="1" si="93"/>
        <v/>
      </c>
      <c r="H258" s="248" t="str">
        <f t="shared" ca="1" si="93"/>
        <v/>
      </c>
      <c r="I258" s="92" t="str">
        <f t="shared" ca="1" si="93"/>
        <v/>
      </c>
      <c r="J258" s="92" t="str">
        <f t="shared" ca="1" si="94"/>
        <v/>
      </c>
      <c r="K258" s="92" t="str">
        <f t="shared" ca="1" si="85"/>
        <v/>
      </c>
      <c r="L258" s="92" t="str">
        <f t="shared" ca="1" si="85"/>
        <v/>
      </c>
      <c r="M258" s="258" t="str">
        <f t="shared" ca="1" si="85"/>
        <v/>
      </c>
      <c r="N258" s="259" t="str">
        <f t="shared" ca="1" si="95"/>
        <v/>
      </c>
      <c r="O258" s="92" t="str">
        <f t="shared" ca="1" si="95"/>
        <v/>
      </c>
      <c r="P258" s="92"/>
      <c r="Q258" s="92" t="str">
        <f t="shared" ca="1" si="73"/>
        <v/>
      </c>
      <c r="R258" s="257" t="str">
        <f t="shared" ca="1" si="73"/>
        <v/>
      </c>
      <c r="S258" s="248" t="str">
        <f t="shared" ca="1" si="86"/>
        <v/>
      </c>
      <c r="T258" s="92" t="str">
        <f t="shared" ca="1" si="86"/>
        <v/>
      </c>
      <c r="U258" s="92" t="str">
        <f t="shared" ca="1" si="80"/>
        <v/>
      </c>
      <c r="V258" s="92" t="str">
        <f t="shared" ca="1" si="80"/>
        <v/>
      </c>
      <c r="W258" s="92" t="str">
        <f t="shared" ca="1" si="80"/>
        <v/>
      </c>
      <c r="X258" s="257" t="str">
        <f t="shared" ca="1" si="80"/>
        <v/>
      </c>
      <c r="Y258" s="248" t="str">
        <f t="shared" ca="1" si="87"/>
        <v/>
      </c>
      <c r="Z258" s="92" t="str">
        <f t="shared" ca="1" si="87"/>
        <v/>
      </c>
      <c r="AA258" s="92" t="str">
        <f t="shared" ca="1" si="96"/>
        <v/>
      </c>
      <c r="AB258" s="345" t="str">
        <f t="shared" ca="1" si="84"/>
        <v/>
      </c>
      <c r="AC258" s="257" t="str">
        <f t="shared" ca="1" si="84"/>
        <v/>
      </c>
      <c r="AD258" s="248" t="str">
        <f t="shared" ca="1" si="71"/>
        <v/>
      </c>
      <c r="AE258" s="257" t="str">
        <f t="shared" ca="1" si="71"/>
        <v/>
      </c>
      <c r="AF258" s="248" t="str">
        <f t="shared" ca="1" si="71"/>
        <v/>
      </c>
      <c r="AG258" s="257" t="str">
        <f t="shared" ca="1" si="71"/>
        <v/>
      </c>
      <c r="AH258" s="92"/>
      <c r="AI258" s="92" t="str">
        <f t="shared" ca="1" si="97"/>
        <v/>
      </c>
      <c r="AK258" s="92">
        <f t="shared" ca="1" si="98"/>
        <v>0</v>
      </c>
      <c r="AL258" s="12">
        <f t="shared" ca="1" si="99"/>
        <v>0</v>
      </c>
      <c r="AM258" s="12">
        <f t="shared" ca="1" si="100"/>
        <v>0</v>
      </c>
      <c r="AN258" s="12">
        <f t="shared" ca="1" si="101"/>
        <v>0</v>
      </c>
      <c r="AO258" s="12">
        <f t="shared" ca="1" si="102"/>
        <v>0</v>
      </c>
      <c r="AP258" s="12" t="str">
        <f t="shared" ca="1" si="103"/>
        <v/>
      </c>
      <c r="AQ258" s="12" t="str">
        <f t="shared" ca="1" si="104"/>
        <v/>
      </c>
      <c r="AR258" s="12" t="str">
        <f t="shared" ca="1" si="105"/>
        <v/>
      </c>
      <c r="AS258" s="12" t="str">
        <f t="shared" ca="1" si="106"/>
        <v/>
      </c>
    </row>
    <row r="259" spans="1:45" ht="14.3">
      <c r="A259">
        <f t="shared" si="70"/>
        <v>759</v>
      </c>
      <c r="B259" t="str">
        <f t="shared" ca="1" si="89"/>
        <v xml:space="preserve"> </v>
      </c>
      <c r="C259" t="b">
        <f t="shared" ca="1" si="90"/>
        <v>0</v>
      </c>
      <c r="D259" s="248" t="str">
        <f t="shared" ca="1" si="88"/>
        <v/>
      </c>
      <c r="E259" s="92" t="str">
        <f t="shared" ca="1" si="91"/>
        <v/>
      </c>
      <c r="F259" s="92" t="str">
        <f t="shared" ca="1" si="92"/>
        <v/>
      </c>
      <c r="G259" s="257" t="str">
        <f t="shared" ca="1" si="93"/>
        <v/>
      </c>
      <c r="H259" s="248" t="str">
        <f t="shared" ca="1" si="93"/>
        <v/>
      </c>
      <c r="I259" s="92" t="str">
        <f t="shared" ca="1" si="93"/>
        <v/>
      </c>
      <c r="J259" s="92" t="str">
        <f t="shared" ca="1" si="94"/>
        <v/>
      </c>
      <c r="K259" s="92" t="str">
        <f t="shared" ca="1" si="85"/>
        <v/>
      </c>
      <c r="L259" s="92" t="str">
        <f t="shared" ca="1" si="85"/>
        <v/>
      </c>
      <c r="M259" s="258" t="str">
        <f t="shared" ca="1" si="85"/>
        <v/>
      </c>
      <c r="N259" s="259" t="str">
        <f t="shared" ca="1" si="95"/>
        <v/>
      </c>
      <c r="O259" s="92" t="str">
        <f t="shared" ca="1" si="95"/>
        <v/>
      </c>
      <c r="P259" s="92"/>
      <c r="Q259" s="92" t="str">
        <f t="shared" ca="1" si="73"/>
        <v/>
      </c>
      <c r="R259" s="257" t="str">
        <f t="shared" ca="1" si="73"/>
        <v/>
      </c>
      <c r="S259" s="248" t="str">
        <f t="shared" ca="1" si="86"/>
        <v/>
      </c>
      <c r="T259" s="92" t="str">
        <f t="shared" ca="1" si="86"/>
        <v/>
      </c>
      <c r="U259" s="92" t="str">
        <f t="shared" ca="1" si="80"/>
        <v/>
      </c>
      <c r="V259" s="92" t="str">
        <f t="shared" ca="1" si="80"/>
        <v/>
      </c>
      <c r="W259" s="92" t="str">
        <f t="shared" ca="1" si="80"/>
        <v/>
      </c>
      <c r="X259" s="257" t="str">
        <f t="shared" ca="1" si="80"/>
        <v/>
      </c>
      <c r="Y259" s="248" t="str">
        <f t="shared" ca="1" si="87"/>
        <v/>
      </c>
      <c r="Z259" s="92" t="str">
        <f t="shared" ca="1" si="87"/>
        <v/>
      </c>
      <c r="AA259" s="92" t="str">
        <f t="shared" ca="1" si="96"/>
        <v/>
      </c>
      <c r="AB259" s="345" t="str">
        <f t="shared" ca="1" si="84"/>
        <v/>
      </c>
      <c r="AC259" s="257" t="str">
        <f t="shared" ca="1" si="84"/>
        <v/>
      </c>
      <c r="AD259" s="248" t="str">
        <f t="shared" ca="1" si="71"/>
        <v/>
      </c>
      <c r="AE259" s="257" t="str">
        <f t="shared" ca="1" si="71"/>
        <v/>
      </c>
      <c r="AF259" s="248" t="str">
        <f t="shared" ca="1" si="71"/>
        <v/>
      </c>
      <c r="AG259" s="257" t="str">
        <f t="shared" ca="1" si="71"/>
        <v/>
      </c>
      <c r="AH259" s="92"/>
      <c r="AI259" s="92" t="str">
        <f t="shared" ca="1" si="97"/>
        <v/>
      </c>
      <c r="AK259" s="92">
        <f t="shared" ca="1" si="98"/>
        <v>0</v>
      </c>
      <c r="AL259" s="12">
        <f t="shared" ca="1" si="99"/>
        <v>0</v>
      </c>
      <c r="AM259" s="12">
        <f t="shared" ca="1" si="100"/>
        <v>0</v>
      </c>
      <c r="AN259" s="12">
        <f t="shared" ca="1" si="101"/>
        <v>0</v>
      </c>
      <c r="AO259" s="12">
        <f t="shared" ca="1" si="102"/>
        <v>0</v>
      </c>
      <c r="AP259" s="12" t="str">
        <f t="shared" ca="1" si="103"/>
        <v/>
      </c>
      <c r="AQ259" s="12" t="str">
        <f t="shared" ca="1" si="104"/>
        <v/>
      </c>
      <c r="AR259" s="12" t="str">
        <f t="shared" ca="1" si="105"/>
        <v/>
      </c>
      <c r="AS259" s="12" t="str">
        <f t="shared" ca="1" si="106"/>
        <v/>
      </c>
    </row>
    <row r="260" spans="1:45" ht="14.3">
      <c r="A260">
        <f t="shared" si="70"/>
        <v>764</v>
      </c>
      <c r="B260" t="str">
        <f t="shared" ca="1" si="89"/>
        <v xml:space="preserve"> </v>
      </c>
      <c r="C260" t="b">
        <f t="shared" ca="1" si="90"/>
        <v>0</v>
      </c>
      <c r="D260" s="248" t="str">
        <f t="shared" ca="1" si="88"/>
        <v/>
      </c>
      <c r="E260" s="92" t="str">
        <f t="shared" ca="1" si="91"/>
        <v/>
      </c>
      <c r="F260" s="92" t="str">
        <f t="shared" ca="1" si="92"/>
        <v/>
      </c>
      <c r="G260" s="257" t="str">
        <f t="shared" ca="1" si="93"/>
        <v/>
      </c>
      <c r="H260" s="248" t="str">
        <f t="shared" ca="1" si="93"/>
        <v/>
      </c>
      <c r="I260" s="92" t="str">
        <f t="shared" ca="1" si="93"/>
        <v/>
      </c>
      <c r="J260" s="92" t="str">
        <f t="shared" ca="1" si="94"/>
        <v/>
      </c>
      <c r="K260" s="92" t="str">
        <f t="shared" ca="1" si="85"/>
        <v/>
      </c>
      <c r="L260" s="92" t="str">
        <f t="shared" ca="1" si="85"/>
        <v/>
      </c>
      <c r="M260" s="258" t="str">
        <f t="shared" ca="1" si="85"/>
        <v/>
      </c>
      <c r="N260" s="259" t="str">
        <f t="shared" ca="1" si="95"/>
        <v/>
      </c>
      <c r="O260" s="92" t="str">
        <f t="shared" ca="1" si="95"/>
        <v/>
      </c>
      <c r="P260" s="92"/>
      <c r="Q260" s="92" t="str">
        <f t="shared" ca="1" si="73"/>
        <v/>
      </c>
      <c r="R260" s="257" t="str">
        <f t="shared" ca="1" si="73"/>
        <v/>
      </c>
      <c r="S260" s="248" t="str">
        <f t="shared" ca="1" si="86"/>
        <v/>
      </c>
      <c r="T260" s="92" t="str">
        <f t="shared" ca="1" si="86"/>
        <v/>
      </c>
      <c r="U260" s="92" t="str">
        <f t="shared" ca="1" si="80"/>
        <v/>
      </c>
      <c r="V260" s="92" t="str">
        <f t="shared" ca="1" si="80"/>
        <v/>
      </c>
      <c r="W260" s="92" t="str">
        <f t="shared" ca="1" si="80"/>
        <v/>
      </c>
      <c r="X260" s="257" t="str">
        <f t="shared" ca="1" si="80"/>
        <v/>
      </c>
      <c r="Y260" s="248" t="str">
        <f t="shared" ca="1" si="87"/>
        <v/>
      </c>
      <c r="Z260" s="92" t="str">
        <f t="shared" ca="1" si="87"/>
        <v/>
      </c>
      <c r="AA260" s="92" t="str">
        <f t="shared" ca="1" si="96"/>
        <v/>
      </c>
      <c r="AB260" s="345" t="str">
        <f t="shared" ref="AB260:AC265" ca="1" si="107">IF($C260=FALSE,"",INDIRECT("Installations!" &amp; AB$120 &amp; $A260+2))</f>
        <v/>
      </c>
      <c r="AC260" s="257" t="str">
        <f t="shared" ca="1" si="107"/>
        <v/>
      </c>
      <c r="AD260" s="248" t="str">
        <f t="shared" ca="1" si="71"/>
        <v/>
      </c>
      <c r="AE260" s="257" t="str">
        <f t="shared" ca="1" si="71"/>
        <v/>
      </c>
      <c r="AF260" s="248" t="str">
        <f t="shared" ca="1" si="71"/>
        <v/>
      </c>
      <c r="AG260" s="257" t="str">
        <f t="shared" ca="1" si="71"/>
        <v/>
      </c>
      <c r="AH260" s="92"/>
      <c r="AI260" s="92" t="str">
        <f t="shared" ca="1" si="97"/>
        <v/>
      </c>
      <c r="AK260" s="92">
        <f t="shared" ca="1" si="98"/>
        <v>0</v>
      </c>
      <c r="AL260" s="12">
        <f t="shared" ca="1" si="99"/>
        <v>0</v>
      </c>
      <c r="AM260" s="12">
        <f t="shared" ca="1" si="100"/>
        <v>0</v>
      </c>
      <c r="AN260" s="12">
        <f t="shared" ca="1" si="101"/>
        <v>0</v>
      </c>
      <c r="AO260" s="12">
        <f t="shared" ca="1" si="102"/>
        <v>0</v>
      </c>
      <c r="AP260" s="12" t="str">
        <f t="shared" ca="1" si="103"/>
        <v/>
      </c>
      <c r="AQ260" s="12" t="str">
        <f t="shared" ca="1" si="104"/>
        <v/>
      </c>
      <c r="AR260" s="12" t="str">
        <f t="shared" ca="1" si="105"/>
        <v/>
      </c>
      <c r="AS260" s="12" t="str">
        <f t="shared" ca="1" si="106"/>
        <v/>
      </c>
    </row>
    <row r="261" spans="1:45" ht="14.3">
      <c r="A261">
        <f t="shared" si="70"/>
        <v>769</v>
      </c>
      <c r="B261" t="str">
        <f t="shared" ca="1" si="89"/>
        <v xml:space="preserve"> </v>
      </c>
      <c r="C261" t="b">
        <f t="shared" ca="1" si="90"/>
        <v>0</v>
      </c>
      <c r="D261" s="248" t="str">
        <f t="shared" ca="1" si="88"/>
        <v/>
      </c>
      <c r="E261" s="92" t="str">
        <f t="shared" ca="1" si="91"/>
        <v/>
      </c>
      <c r="F261" s="92" t="str">
        <f t="shared" ca="1" si="92"/>
        <v/>
      </c>
      <c r="G261" s="257" t="str">
        <f t="shared" ca="1" si="93"/>
        <v/>
      </c>
      <c r="H261" s="248" t="str">
        <f t="shared" ca="1" si="93"/>
        <v/>
      </c>
      <c r="I261" s="92" t="str">
        <f t="shared" ca="1" si="93"/>
        <v/>
      </c>
      <c r="J261" s="92" t="str">
        <f t="shared" ca="1" si="94"/>
        <v/>
      </c>
      <c r="K261" s="92" t="str">
        <f t="shared" ca="1" si="85"/>
        <v/>
      </c>
      <c r="L261" s="92" t="str">
        <f t="shared" ca="1" si="85"/>
        <v/>
      </c>
      <c r="M261" s="258" t="str">
        <f t="shared" ca="1" si="85"/>
        <v/>
      </c>
      <c r="N261" s="259" t="str">
        <f t="shared" ca="1" si="95"/>
        <v/>
      </c>
      <c r="O261" s="92" t="str">
        <f t="shared" ca="1" si="95"/>
        <v/>
      </c>
      <c r="P261" s="92"/>
      <c r="Q261" s="92" t="str">
        <f t="shared" ca="1" si="73"/>
        <v/>
      </c>
      <c r="R261" s="257" t="str">
        <f t="shared" ca="1" si="73"/>
        <v/>
      </c>
      <c r="S261" s="248" t="str">
        <f t="shared" ca="1" si="86"/>
        <v/>
      </c>
      <c r="T261" s="92" t="str">
        <f t="shared" ca="1" si="86"/>
        <v/>
      </c>
      <c r="U261" s="92" t="str">
        <f t="shared" ca="1" si="80"/>
        <v/>
      </c>
      <c r="V261" s="92" t="str">
        <f t="shared" ca="1" si="80"/>
        <v/>
      </c>
      <c r="W261" s="92" t="str">
        <f t="shared" ca="1" si="80"/>
        <v/>
      </c>
      <c r="X261" s="257" t="str">
        <f t="shared" ca="1" si="80"/>
        <v/>
      </c>
      <c r="Y261" s="248" t="str">
        <f t="shared" ca="1" si="87"/>
        <v/>
      </c>
      <c r="Z261" s="92" t="str">
        <f t="shared" ca="1" si="87"/>
        <v/>
      </c>
      <c r="AA261" s="92" t="str">
        <f t="shared" ca="1" si="96"/>
        <v/>
      </c>
      <c r="AB261" s="345" t="str">
        <f t="shared" ca="1" si="107"/>
        <v/>
      </c>
      <c r="AC261" s="257" t="str">
        <f t="shared" ca="1" si="107"/>
        <v/>
      </c>
      <c r="AD261" s="248" t="str">
        <f t="shared" ca="1" si="71"/>
        <v/>
      </c>
      <c r="AE261" s="257" t="str">
        <f t="shared" ca="1" si="71"/>
        <v/>
      </c>
      <c r="AF261" s="248" t="str">
        <f t="shared" ca="1" si="71"/>
        <v/>
      </c>
      <c r="AG261" s="257" t="str">
        <f t="shared" ca="1" si="71"/>
        <v/>
      </c>
      <c r="AH261" s="92"/>
      <c r="AI261" s="92" t="str">
        <f t="shared" ca="1" si="97"/>
        <v/>
      </c>
      <c r="AK261" s="92">
        <f t="shared" ca="1" si="98"/>
        <v>0</v>
      </c>
      <c r="AL261" s="12">
        <f t="shared" ca="1" si="99"/>
        <v>0</v>
      </c>
      <c r="AM261" s="12">
        <f t="shared" ca="1" si="100"/>
        <v>0</v>
      </c>
      <c r="AN261" s="12">
        <f t="shared" ca="1" si="101"/>
        <v>0</v>
      </c>
      <c r="AO261" s="12">
        <f t="shared" ca="1" si="102"/>
        <v>0</v>
      </c>
      <c r="AP261" s="12" t="str">
        <f t="shared" ca="1" si="103"/>
        <v/>
      </c>
      <c r="AQ261" s="12" t="str">
        <f t="shared" ca="1" si="104"/>
        <v/>
      </c>
      <c r="AR261" s="12" t="str">
        <f t="shared" ca="1" si="105"/>
        <v/>
      </c>
      <c r="AS261" s="12" t="str">
        <f t="shared" ca="1" si="106"/>
        <v/>
      </c>
    </row>
    <row r="262" spans="1:45" ht="14.3">
      <c r="A262">
        <f>A261+5</f>
        <v>774</v>
      </c>
      <c r="B262" t="str">
        <f t="shared" ca="1" si="89"/>
        <v xml:space="preserve"> </v>
      </c>
      <c r="C262" t="b">
        <f t="shared" ca="1" si="90"/>
        <v>0</v>
      </c>
      <c r="D262" s="248" t="str">
        <f t="shared" ca="1" si="88"/>
        <v/>
      </c>
      <c r="E262" s="92" t="str">
        <f t="shared" ca="1" si="91"/>
        <v/>
      </c>
      <c r="F262" s="92" t="str">
        <f t="shared" ca="1" si="92"/>
        <v/>
      </c>
      <c r="G262" s="257" t="str">
        <f t="shared" ca="1" si="93"/>
        <v/>
      </c>
      <c r="H262" s="248" t="str">
        <f t="shared" ca="1" si="93"/>
        <v/>
      </c>
      <c r="I262" s="92" t="str">
        <f t="shared" ca="1" si="93"/>
        <v/>
      </c>
      <c r="J262" s="92" t="str">
        <f t="shared" ca="1" si="94"/>
        <v/>
      </c>
      <c r="K262" s="92" t="str">
        <f t="shared" ca="1" si="85"/>
        <v/>
      </c>
      <c r="L262" s="92" t="str">
        <f t="shared" ca="1" si="85"/>
        <v/>
      </c>
      <c r="M262" s="258" t="str">
        <f t="shared" ca="1" si="85"/>
        <v/>
      </c>
      <c r="N262" s="259" t="str">
        <f t="shared" ca="1" si="95"/>
        <v/>
      </c>
      <c r="O262" s="92" t="str">
        <f t="shared" ca="1" si="95"/>
        <v/>
      </c>
      <c r="P262" s="92"/>
      <c r="Q262" s="92" t="str">
        <f t="shared" ca="1" si="73"/>
        <v/>
      </c>
      <c r="R262" s="257" t="str">
        <f t="shared" ca="1" si="73"/>
        <v/>
      </c>
      <c r="S262" s="248" t="str">
        <f t="shared" ca="1" si="86"/>
        <v/>
      </c>
      <c r="T262" s="92" t="str">
        <f t="shared" ca="1" si="86"/>
        <v/>
      </c>
      <c r="U262" s="92" t="str">
        <f t="shared" ca="1" si="80"/>
        <v/>
      </c>
      <c r="V262" s="92" t="str">
        <f t="shared" ca="1" si="80"/>
        <v/>
      </c>
      <c r="W262" s="92" t="str">
        <f t="shared" ca="1" si="80"/>
        <v/>
      </c>
      <c r="X262" s="257" t="str">
        <f t="shared" ca="1" si="80"/>
        <v/>
      </c>
      <c r="Y262" s="248" t="str">
        <f t="shared" ca="1" si="87"/>
        <v/>
      </c>
      <c r="Z262" s="92" t="str">
        <f t="shared" ca="1" si="87"/>
        <v/>
      </c>
      <c r="AA262" s="92" t="str">
        <f t="shared" ca="1" si="96"/>
        <v/>
      </c>
      <c r="AB262" s="345" t="str">
        <f t="shared" ca="1" si="107"/>
        <v/>
      </c>
      <c r="AC262" s="257" t="str">
        <f t="shared" ca="1" si="107"/>
        <v/>
      </c>
      <c r="AD262" s="248" t="str">
        <f t="shared" ca="1" si="71"/>
        <v/>
      </c>
      <c r="AE262" s="257" t="str">
        <f t="shared" ca="1" si="71"/>
        <v/>
      </c>
      <c r="AF262" s="248" t="str">
        <f t="shared" ca="1" si="71"/>
        <v/>
      </c>
      <c r="AG262" s="257" t="str">
        <f t="shared" ca="1" si="71"/>
        <v/>
      </c>
      <c r="AH262" s="92"/>
      <c r="AI262" s="92" t="str">
        <f t="shared" ca="1" si="97"/>
        <v/>
      </c>
      <c r="AK262" s="92">
        <f t="shared" ca="1" si="98"/>
        <v>0</v>
      </c>
      <c r="AL262" s="12">
        <f t="shared" ca="1" si="99"/>
        <v>0</v>
      </c>
      <c r="AM262" s="12">
        <f t="shared" ca="1" si="100"/>
        <v>0</v>
      </c>
      <c r="AN262" s="12">
        <f t="shared" ca="1" si="101"/>
        <v>0</v>
      </c>
      <c r="AO262" s="12">
        <f t="shared" ca="1" si="102"/>
        <v>0</v>
      </c>
      <c r="AP262" s="12" t="str">
        <f t="shared" ca="1" si="103"/>
        <v/>
      </c>
      <c r="AQ262" s="12" t="str">
        <f t="shared" ca="1" si="104"/>
        <v/>
      </c>
      <c r="AR262" s="12" t="str">
        <f t="shared" ca="1" si="105"/>
        <v/>
      </c>
      <c r="AS262" s="12" t="str">
        <f t="shared" ca="1" si="106"/>
        <v/>
      </c>
    </row>
    <row r="263" spans="1:45" ht="14.3">
      <c r="A263">
        <f>A262+5</f>
        <v>779</v>
      </c>
      <c r="B263" t="str">
        <f t="shared" ca="1" si="89"/>
        <v xml:space="preserve"> </v>
      </c>
      <c r="C263" t="b">
        <f t="shared" ca="1" si="90"/>
        <v>0</v>
      </c>
      <c r="D263" s="248" t="str">
        <f t="shared" ca="1" si="88"/>
        <v/>
      </c>
      <c r="E263" s="92" t="str">
        <f t="shared" ca="1" si="91"/>
        <v/>
      </c>
      <c r="F263" s="92" t="str">
        <f t="shared" ca="1" si="92"/>
        <v/>
      </c>
      <c r="G263" s="257" t="str">
        <f t="shared" ca="1" si="93"/>
        <v/>
      </c>
      <c r="H263" s="248" t="str">
        <f t="shared" ca="1" si="93"/>
        <v/>
      </c>
      <c r="I263" s="92" t="str">
        <f t="shared" ca="1" si="93"/>
        <v/>
      </c>
      <c r="J263" s="92" t="str">
        <f t="shared" ca="1" si="94"/>
        <v/>
      </c>
      <c r="K263" s="92" t="str">
        <f t="shared" ca="1" si="85"/>
        <v/>
      </c>
      <c r="L263" s="92" t="str">
        <f t="shared" ca="1" si="85"/>
        <v/>
      </c>
      <c r="M263" s="258" t="str">
        <f t="shared" ca="1" si="85"/>
        <v/>
      </c>
      <c r="N263" s="259" t="str">
        <f t="shared" ca="1" si="95"/>
        <v/>
      </c>
      <c r="O263" s="92" t="str">
        <f t="shared" ca="1" si="95"/>
        <v/>
      </c>
      <c r="P263" s="92"/>
      <c r="Q263" s="92" t="str">
        <f t="shared" ca="1" si="73"/>
        <v/>
      </c>
      <c r="R263" s="257" t="str">
        <f t="shared" ca="1" si="73"/>
        <v/>
      </c>
      <c r="S263" s="248" t="str">
        <f t="shared" ca="1" si="86"/>
        <v/>
      </c>
      <c r="T263" s="92" t="str">
        <f t="shared" ca="1" si="86"/>
        <v/>
      </c>
      <c r="U263" s="92" t="str">
        <f t="shared" ca="1" si="80"/>
        <v/>
      </c>
      <c r="V263" s="92" t="str">
        <f t="shared" ca="1" si="80"/>
        <v/>
      </c>
      <c r="W263" s="92" t="str">
        <f t="shared" ca="1" si="80"/>
        <v/>
      </c>
      <c r="X263" s="257" t="str">
        <f t="shared" ca="1" si="80"/>
        <v/>
      </c>
      <c r="Y263" s="248" t="str">
        <f t="shared" ca="1" si="87"/>
        <v/>
      </c>
      <c r="Z263" s="92" t="str">
        <f t="shared" ca="1" si="87"/>
        <v/>
      </c>
      <c r="AA263" s="92" t="str">
        <f t="shared" ca="1" si="96"/>
        <v/>
      </c>
      <c r="AB263" s="345" t="str">
        <f t="shared" ca="1" si="107"/>
        <v/>
      </c>
      <c r="AC263" s="257" t="str">
        <f t="shared" ca="1" si="107"/>
        <v/>
      </c>
      <c r="AD263" s="248" t="str">
        <f t="shared" ca="1" si="71"/>
        <v/>
      </c>
      <c r="AE263" s="257" t="str">
        <f t="shared" ca="1" si="71"/>
        <v/>
      </c>
      <c r="AF263" s="248" t="str">
        <f t="shared" ca="1" si="71"/>
        <v/>
      </c>
      <c r="AG263" s="257" t="str">
        <f t="shared" ca="1" si="71"/>
        <v/>
      </c>
      <c r="AH263" s="92"/>
      <c r="AI263" s="92" t="str">
        <f t="shared" ca="1" si="97"/>
        <v/>
      </c>
      <c r="AK263" s="92">
        <f t="shared" ca="1" si="98"/>
        <v>0</v>
      </c>
      <c r="AL263" s="12">
        <f t="shared" ca="1" si="99"/>
        <v>0</v>
      </c>
      <c r="AM263" s="12">
        <f t="shared" ca="1" si="100"/>
        <v>0</v>
      </c>
      <c r="AN263" s="12">
        <f t="shared" ca="1" si="101"/>
        <v>0</v>
      </c>
      <c r="AO263" s="12">
        <f t="shared" ca="1" si="102"/>
        <v>0</v>
      </c>
      <c r="AP263" s="12" t="str">
        <f t="shared" ca="1" si="103"/>
        <v/>
      </c>
      <c r="AQ263" s="12" t="str">
        <f t="shared" ca="1" si="104"/>
        <v/>
      </c>
      <c r="AR263" s="12" t="str">
        <f t="shared" ca="1" si="105"/>
        <v/>
      </c>
      <c r="AS263" s="12" t="str">
        <f t="shared" ca="1" si="106"/>
        <v/>
      </c>
    </row>
    <row r="264" spans="1:45" ht="14.3">
      <c r="A264">
        <f>A263+5</f>
        <v>784</v>
      </c>
      <c r="B264" t="str">
        <f t="shared" ca="1" si="89"/>
        <v xml:space="preserve"> </v>
      </c>
      <c r="C264" t="b">
        <f t="shared" ca="1" si="90"/>
        <v>0</v>
      </c>
      <c r="D264" s="248" t="str">
        <f t="shared" ca="1" si="88"/>
        <v/>
      </c>
      <c r="E264" s="92" t="str">
        <f t="shared" ca="1" si="91"/>
        <v/>
      </c>
      <c r="F264" s="92" t="str">
        <f t="shared" ca="1" si="92"/>
        <v/>
      </c>
      <c r="G264" s="257" t="str">
        <f t="shared" ca="1" si="93"/>
        <v/>
      </c>
      <c r="H264" s="248" t="str">
        <f t="shared" ca="1" si="93"/>
        <v/>
      </c>
      <c r="I264" s="92" t="str">
        <f t="shared" ca="1" si="93"/>
        <v/>
      </c>
      <c r="J264" s="92" t="str">
        <f t="shared" ca="1" si="94"/>
        <v/>
      </c>
      <c r="K264" s="92" t="str">
        <f t="shared" ca="1" si="85"/>
        <v/>
      </c>
      <c r="L264" s="92" t="str">
        <f t="shared" ca="1" si="85"/>
        <v/>
      </c>
      <c r="M264" s="258" t="str">
        <f t="shared" ca="1" si="85"/>
        <v/>
      </c>
      <c r="N264" s="259" t="str">
        <f t="shared" ca="1" si="95"/>
        <v/>
      </c>
      <c r="O264" s="92" t="str">
        <f t="shared" ca="1" si="95"/>
        <v/>
      </c>
      <c r="P264" s="92"/>
      <c r="Q264" s="92" t="str">
        <f t="shared" ca="1" si="73"/>
        <v/>
      </c>
      <c r="R264" s="257" t="str">
        <f t="shared" ca="1" si="73"/>
        <v/>
      </c>
      <c r="S264" s="248" t="str">
        <f t="shared" ca="1" si="86"/>
        <v/>
      </c>
      <c r="T264" s="92" t="str">
        <f t="shared" ca="1" si="86"/>
        <v/>
      </c>
      <c r="U264" s="92" t="str">
        <f t="shared" ca="1" si="80"/>
        <v/>
      </c>
      <c r="V264" s="92" t="str">
        <f t="shared" ca="1" si="80"/>
        <v/>
      </c>
      <c r="W264" s="92" t="str">
        <f t="shared" ca="1" si="80"/>
        <v/>
      </c>
      <c r="X264" s="257" t="str">
        <f t="shared" ca="1" si="80"/>
        <v/>
      </c>
      <c r="Y264" s="248" t="str">
        <f t="shared" ca="1" si="87"/>
        <v/>
      </c>
      <c r="Z264" s="92" t="str">
        <f t="shared" ca="1" si="87"/>
        <v/>
      </c>
      <c r="AA264" s="92" t="str">
        <f t="shared" ca="1" si="96"/>
        <v/>
      </c>
      <c r="AB264" s="345" t="str">
        <f t="shared" ca="1" si="107"/>
        <v/>
      </c>
      <c r="AC264" s="257" t="str">
        <f t="shared" ca="1" si="107"/>
        <v/>
      </c>
      <c r="AD264" s="248" t="str">
        <f t="shared" ca="1" si="71"/>
        <v/>
      </c>
      <c r="AE264" s="257" t="str">
        <f t="shared" ca="1" si="71"/>
        <v/>
      </c>
      <c r="AF264" s="248" t="str">
        <f t="shared" ca="1" si="71"/>
        <v/>
      </c>
      <c r="AG264" s="257" t="str">
        <f t="shared" ca="1" si="71"/>
        <v/>
      </c>
      <c r="AH264" s="92"/>
      <c r="AI264" s="92" t="str">
        <f t="shared" ca="1" si="97"/>
        <v/>
      </c>
      <c r="AK264" s="92">
        <f t="shared" ca="1" si="98"/>
        <v>0</v>
      </c>
      <c r="AL264" s="12">
        <f t="shared" ca="1" si="99"/>
        <v>0</v>
      </c>
      <c r="AM264" s="12">
        <f t="shared" ca="1" si="100"/>
        <v>0</v>
      </c>
      <c r="AN264" s="12">
        <f t="shared" ca="1" si="101"/>
        <v>0</v>
      </c>
      <c r="AO264" s="12">
        <f t="shared" ca="1" si="102"/>
        <v>0</v>
      </c>
      <c r="AP264" s="12" t="str">
        <f t="shared" ca="1" si="103"/>
        <v/>
      </c>
      <c r="AQ264" s="12" t="str">
        <f t="shared" ca="1" si="104"/>
        <v/>
      </c>
      <c r="AR264" s="12" t="str">
        <f t="shared" ca="1" si="105"/>
        <v/>
      </c>
      <c r="AS264" s="12" t="str">
        <f t="shared" ca="1" si="106"/>
        <v/>
      </c>
    </row>
    <row r="265" spans="1:45" ht="14.3">
      <c r="A265">
        <f>A264+5</f>
        <v>789</v>
      </c>
      <c r="B265" t="str">
        <f t="shared" ca="1" si="89"/>
        <v xml:space="preserve"> </v>
      </c>
      <c r="C265" t="b">
        <f t="shared" ca="1" si="90"/>
        <v>0</v>
      </c>
      <c r="D265" s="248" t="str">
        <f t="shared" ca="1" si="88"/>
        <v/>
      </c>
      <c r="E265" s="92" t="str">
        <f t="shared" ca="1" si="91"/>
        <v/>
      </c>
      <c r="F265" s="92" t="str">
        <f t="shared" ca="1" si="92"/>
        <v/>
      </c>
      <c r="G265" s="257" t="str">
        <f t="shared" ca="1" si="93"/>
        <v/>
      </c>
      <c r="H265" s="248" t="str">
        <f t="shared" ca="1" si="93"/>
        <v/>
      </c>
      <c r="I265" s="92" t="str">
        <f t="shared" ca="1" si="93"/>
        <v/>
      </c>
      <c r="J265" s="92" t="str">
        <f t="shared" ca="1" si="94"/>
        <v/>
      </c>
      <c r="K265" s="92" t="str">
        <f t="shared" ca="1" si="85"/>
        <v/>
      </c>
      <c r="L265" s="92" t="str">
        <f t="shared" ca="1" si="85"/>
        <v/>
      </c>
      <c r="M265" s="258" t="str">
        <f t="shared" ca="1" si="85"/>
        <v/>
      </c>
      <c r="N265" s="259" t="str">
        <f t="shared" ca="1" si="95"/>
        <v/>
      </c>
      <c r="O265" s="92" t="str">
        <f t="shared" ca="1" si="95"/>
        <v/>
      </c>
      <c r="P265" s="92"/>
      <c r="Q265" s="92" t="str">
        <f t="shared" ca="1" si="73"/>
        <v/>
      </c>
      <c r="R265" s="257" t="str">
        <f t="shared" ca="1" si="73"/>
        <v/>
      </c>
      <c r="S265" s="248" t="str">
        <f t="shared" ref="S265:Z265" ca="1" si="108">IF($C265=FALSE,"",INDIRECT("Installations!" &amp; S$120 &amp; $A265+2))</f>
        <v/>
      </c>
      <c r="T265" s="92" t="str">
        <f t="shared" ca="1" si="108"/>
        <v/>
      </c>
      <c r="U265" s="92" t="str">
        <f t="shared" ca="1" si="80"/>
        <v/>
      </c>
      <c r="V265" s="92" t="str">
        <f t="shared" ca="1" si="80"/>
        <v/>
      </c>
      <c r="W265" s="92" t="str">
        <f t="shared" ca="1" si="80"/>
        <v/>
      </c>
      <c r="X265" s="257" t="str">
        <f t="shared" ca="1" si="80"/>
        <v/>
      </c>
      <c r="Y265" s="248" t="str">
        <f t="shared" ca="1" si="108"/>
        <v/>
      </c>
      <c r="Z265" s="92" t="str">
        <f t="shared" ca="1" si="108"/>
        <v/>
      </c>
      <c r="AA265" s="92" t="str">
        <f t="shared" ca="1" si="96"/>
        <v/>
      </c>
      <c r="AB265" s="345" t="str">
        <f t="shared" ca="1" si="107"/>
        <v/>
      </c>
      <c r="AC265" s="257" t="str">
        <f t="shared" ca="1" si="107"/>
        <v/>
      </c>
      <c r="AD265" s="248" t="str">
        <f t="shared" ref="AD265:AG265" ca="1" si="109">IF($C265=FALSE,"",INDIRECT("Installations!" &amp; AD$120 &amp; $A265))</f>
        <v/>
      </c>
      <c r="AE265" s="257" t="str">
        <f t="shared" ca="1" si="109"/>
        <v/>
      </c>
      <c r="AF265" s="248" t="str">
        <f t="shared" ca="1" si="109"/>
        <v/>
      </c>
      <c r="AG265" s="257" t="str">
        <f t="shared" ca="1" si="109"/>
        <v/>
      </c>
      <c r="AH265" s="92"/>
      <c r="AI265" s="92" t="str">
        <f t="shared" ca="1" si="97"/>
        <v/>
      </c>
      <c r="AK265" s="92">
        <f t="shared" ca="1" si="98"/>
        <v>0</v>
      </c>
      <c r="AL265" s="12">
        <f t="shared" ca="1" si="99"/>
        <v>0</v>
      </c>
      <c r="AM265" s="12">
        <f t="shared" ca="1" si="100"/>
        <v>0</v>
      </c>
      <c r="AN265" s="12">
        <f t="shared" ca="1" si="101"/>
        <v>0</v>
      </c>
      <c r="AO265" s="12">
        <f t="shared" ca="1" si="102"/>
        <v>0</v>
      </c>
      <c r="AP265" s="12" t="str">
        <f t="shared" ca="1" si="103"/>
        <v/>
      </c>
      <c r="AQ265" s="12" t="str">
        <f t="shared" ca="1" si="104"/>
        <v/>
      </c>
      <c r="AR265" s="12" t="str">
        <f t="shared" ca="1" si="105"/>
        <v/>
      </c>
      <c r="AS265" s="12" t="str">
        <f t="shared" ca="1" si="106"/>
        <v/>
      </c>
    </row>
    <row r="269" spans="1:45" ht="14.3">
      <c r="A269" t="s">
        <v>1552</v>
      </c>
    </row>
    <row r="270" spans="1:45" ht="14.3">
      <c r="B270" s="12" t="s">
        <v>1553</v>
      </c>
      <c r="C270" s="12" t="s">
        <v>1554</v>
      </c>
      <c r="D270" s="12" t="s">
        <v>1555</v>
      </c>
      <c r="E270" s="12" t="s">
        <v>1556</v>
      </c>
      <c r="G270" s="12" t="s">
        <v>1557</v>
      </c>
      <c r="H270" s="12" t="s">
        <v>1558</v>
      </c>
      <c r="I270" s="12" t="s">
        <v>1559</v>
      </c>
      <c r="J270" s="12" t="s">
        <v>1560</v>
      </c>
      <c r="K270" s="12" t="s">
        <v>1539</v>
      </c>
      <c r="L270" s="12" t="s">
        <v>439</v>
      </c>
      <c r="M270" s="12" t="s">
        <v>1561</v>
      </c>
      <c r="N270" s="12" t="s">
        <v>1542</v>
      </c>
    </row>
    <row r="271" spans="1:45" ht="14.3">
      <c r="B271" s="1153" t="s">
        <v>128</v>
      </c>
      <c r="C271" s="1153" t="s">
        <v>556</v>
      </c>
      <c r="D271" s="1153" t="s">
        <v>557</v>
      </c>
      <c r="E271" s="1152" t="s">
        <v>558</v>
      </c>
      <c r="F271" s="38"/>
      <c r="G271" s="1152" t="s">
        <v>545</v>
      </c>
      <c r="H271" s="1152" t="s">
        <v>591</v>
      </c>
      <c r="I271" s="1152" t="s">
        <v>547</v>
      </c>
      <c r="J271" s="1152" t="s">
        <v>548</v>
      </c>
      <c r="K271" s="1152" t="s">
        <v>549</v>
      </c>
      <c r="L271" s="1152" t="s">
        <v>550</v>
      </c>
      <c r="M271" s="1152" t="s">
        <v>551</v>
      </c>
      <c r="N271" s="1152" t="s">
        <v>552</v>
      </c>
    </row>
    <row r="272" spans="1:45" ht="14.3">
      <c r="A272" s="38">
        <v>39</v>
      </c>
      <c r="B272" s="337">
        <f ca="1">INDIRECT("'Building Area Installations'!" &amp; B$270 &amp; $A272)</f>
        <v>0</v>
      </c>
      <c r="C272" s="337">
        <f t="shared" ref="C272:N272" ca="1" si="110">INDIRECT("'Building Area Installations'!" &amp; C$270 &amp; $A272)</f>
        <v>0</v>
      </c>
      <c r="D272" s="337">
        <f t="shared" ca="1" si="110"/>
        <v>0</v>
      </c>
      <c r="E272" s="337">
        <f t="shared" ca="1" si="110"/>
        <v>0</v>
      </c>
      <c r="F272" s="38"/>
      <c r="G272" s="1155" t="e">
        <f t="shared" ca="1" si="110"/>
        <v>#N/A</v>
      </c>
      <c r="H272" s="1155" t="str">
        <f t="shared" ca="1" si="110"/>
        <v/>
      </c>
      <c r="I272" s="1155">
        <f t="shared" ca="1" si="110"/>
        <v>0</v>
      </c>
      <c r="J272" s="1155" t="e">
        <f t="shared" ca="1" si="110"/>
        <v>#N/A</v>
      </c>
      <c r="K272" s="1155">
        <f t="shared" ca="1" si="110"/>
        <v>0</v>
      </c>
      <c r="L272" s="1155">
        <f t="shared" ca="1" si="110"/>
        <v>0</v>
      </c>
      <c r="M272" s="1155">
        <f t="shared" ca="1" si="110"/>
        <v>0</v>
      </c>
      <c r="N272" s="1155">
        <f t="shared" ca="1" si="110"/>
        <v>0</v>
      </c>
    </row>
    <row r="273" spans="1:16" ht="14.3">
      <c r="A273" s="38"/>
      <c r="B273" s="38"/>
      <c r="C273" s="38"/>
      <c r="D273" s="38"/>
      <c r="E273" s="38"/>
      <c r="F273" s="38"/>
      <c r="G273" s="38"/>
      <c r="H273" s="38"/>
      <c r="I273" s="38"/>
      <c r="J273" s="38"/>
      <c r="K273" s="38"/>
      <c r="L273" s="38"/>
    </row>
    <row r="274" spans="1:16" ht="14.3">
      <c r="A274" s="38"/>
      <c r="B274" s="86" t="s">
        <v>1553</v>
      </c>
      <c r="C274" s="86" t="s">
        <v>1562</v>
      </c>
      <c r="D274" s="86" t="s">
        <v>1563</v>
      </c>
      <c r="E274" s="86" t="s">
        <v>1556</v>
      </c>
      <c r="F274" s="86" t="s">
        <v>1564</v>
      </c>
      <c r="G274" s="86" t="s">
        <v>1537</v>
      </c>
      <c r="H274" s="86" t="s">
        <v>1538</v>
      </c>
      <c r="I274" s="38"/>
      <c r="J274" s="86" t="s">
        <v>1557</v>
      </c>
      <c r="K274" s="86"/>
      <c r="L274" s="86" t="s">
        <v>1565</v>
      </c>
      <c r="M274" s="12" t="s">
        <v>1539</v>
      </c>
      <c r="N274" s="12" t="s">
        <v>439</v>
      </c>
      <c r="O274" s="12" t="s">
        <v>1561</v>
      </c>
      <c r="P274" s="12" t="s">
        <v>1542</v>
      </c>
    </row>
    <row r="275" spans="1:16" ht="14.3">
      <c r="A275" s="38"/>
      <c r="B275" s="37" t="s">
        <v>1566</v>
      </c>
      <c r="C275" s="101" t="s">
        <v>239</v>
      </c>
      <c r="D275" s="101" t="s">
        <v>194</v>
      </c>
      <c r="E275" s="1152" t="s">
        <v>558</v>
      </c>
      <c r="F275" s="1152" t="s">
        <v>1567</v>
      </c>
      <c r="G275" s="1152" t="s">
        <v>1568</v>
      </c>
      <c r="H275" s="1152" t="s">
        <v>408</v>
      </c>
      <c r="I275" s="38"/>
      <c r="J275" s="101" t="s">
        <v>568</v>
      </c>
      <c r="K275" s="101"/>
      <c r="L275" s="101" t="s">
        <v>569</v>
      </c>
      <c r="M275" s="1156" t="e">
        <f ca="1">ROUND((VLOOKUP($H272,Table_LPA_Building_Area[],8,FALSE)*O273)+(VLOOKUP($H272,Table_LPA_Building_Area[],9,FALSE)*(1-O273)),3)</f>
        <v>#N/A</v>
      </c>
      <c r="N275" s="101" t="s">
        <v>570</v>
      </c>
      <c r="O275" s="12"/>
      <c r="P275" s="101" t="s">
        <v>592</v>
      </c>
    </row>
    <row r="276" spans="1:16" ht="14.3">
      <c r="A276" s="38">
        <v>43</v>
      </c>
      <c r="B276" s="1154">
        <f t="shared" ref="B276:H286" ca="1" si="111">INDIRECT("'Building Area Installations'!" &amp; B$274 &amp; $A276)</f>
        <v>0</v>
      </c>
      <c r="C276" s="337">
        <f t="shared" ca="1" si="111"/>
        <v>0</v>
      </c>
      <c r="D276" s="337" t="str">
        <f t="shared" ca="1" si="111"/>
        <v/>
      </c>
      <c r="E276" s="337">
        <f t="shared" ca="1" si="111"/>
        <v>0</v>
      </c>
      <c r="F276" s="337">
        <f t="shared" ca="1" si="111"/>
        <v>0</v>
      </c>
      <c r="G276" s="337">
        <f t="shared" ca="1" si="111"/>
        <v>0</v>
      </c>
      <c r="H276" s="337">
        <f t="shared" ca="1" si="111"/>
        <v>0</v>
      </c>
      <c r="I276" s="38"/>
      <c r="J276" s="337">
        <f t="shared" ref="J276:J286" ca="1" si="112">INDIRECT("'Building Area Installations'!" &amp; J$274 &amp; $A276)</f>
        <v>0</v>
      </c>
      <c r="K276" s="38"/>
      <c r="L276" s="337">
        <f t="shared" ref="L276:P286" ca="1" si="113">INDIRECT("'Building Area Installations'!" &amp; L$274 &amp; $A276)</f>
        <v>0</v>
      </c>
      <c r="M276" s="1123" t="e">
        <f t="shared" ca="1" si="113"/>
        <v>#N/A</v>
      </c>
      <c r="N276" s="337">
        <f t="shared" ca="1" si="113"/>
        <v>0</v>
      </c>
      <c r="O276" s="337">
        <f t="shared" ca="1" si="113"/>
        <v>0</v>
      </c>
      <c r="P276" s="337">
        <f t="shared" ca="1" si="113"/>
        <v>0</v>
      </c>
    </row>
    <row r="277" spans="1:16" ht="14.3">
      <c r="A277" s="38">
        <v>44</v>
      </c>
      <c r="B277" s="1154">
        <f t="shared" ca="1" si="111"/>
        <v>0</v>
      </c>
      <c r="C277" s="337">
        <f t="shared" ca="1" si="111"/>
        <v>0</v>
      </c>
      <c r="D277" s="337" t="str">
        <f t="shared" ca="1" si="111"/>
        <v/>
      </c>
      <c r="E277" s="337">
        <f t="shared" ca="1" si="111"/>
        <v>0</v>
      </c>
      <c r="F277" s="337">
        <f t="shared" ca="1" si="111"/>
        <v>0</v>
      </c>
      <c r="G277" s="337">
        <f t="shared" ca="1" si="111"/>
        <v>0</v>
      </c>
      <c r="H277" s="337">
        <f t="shared" ca="1" si="111"/>
        <v>0</v>
      </c>
      <c r="I277" s="38"/>
      <c r="J277" s="337">
        <f t="shared" ca="1" si="112"/>
        <v>0</v>
      </c>
      <c r="K277" s="38"/>
      <c r="L277" s="337">
        <f t="shared" ca="1" si="113"/>
        <v>0</v>
      </c>
      <c r="M277" s="1123" t="e">
        <f t="shared" ca="1" si="113"/>
        <v>#N/A</v>
      </c>
      <c r="N277" s="337">
        <f t="shared" ca="1" si="113"/>
        <v>0</v>
      </c>
      <c r="O277" s="337">
        <f t="shared" ca="1" si="113"/>
        <v>0</v>
      </c>
      <c r="P277" s="337">
        <f t="shared" ca="1" si="113"/>
        <v>0</v>
      </c>
    </row>
    <row r="278" spans="1:16" ht="14.3">
      <c r="A278" s="38">
        <v>45</v>
      </c>
      <c r="B278" s="1154">
        <f t="shared" ca="1" si="111"/>
        <v>0</v>
      </c>
      <c r="C278" s="337">
        <f t="shared" ca="1" si="111"/>
        <v>0</v>
      </c>
      <c r="D278" s="337" t="str">
        <f t="shared" ca="1" si="111"/>
        <v/>
      </c>
      <c r="E278" s="337">
        <f t="shared" ca="1" si="111"/>
        <v>0</v>
      </c>
      <c r="F278" s="337">
        <f t="shared" ca="1" si="111"/>
        <v>0</v>
      </c>
      <c r="G278" s="337">
        <f t="shared" ca="1" si="111"/>
        <v>0</v>
      </c>
      <c r="H278" s="337">
        <f t="shared" ca="1" si="111"/>
        <v>0</v>
      </c>
      <c r="I278" s="38"/>
      <c r="J278" s="337">
        <f t="shared" ca="1" si="112"/>
        <v>0</v>
      </c>
      <c r="K278" s="38"/>
      <c r="L278" s="337">
        <f t="shared" ca="1" si="113"/>
        <v>0</v>
      </c>
      <c r="M278" s="1123" t="e">
        <f t="shared" ca="1" si="113"/>
        <v>#N/A</v>
      </c>
      <c r="N278" s="337">
        <f t="shared" ca="1" si="113"/>
        <v>0</v>
      </c>
      <c r="O278" s="337">
        <f t="shared" ca="1" si="113"/>
        <v>0</v>
      </c>
      <c r="P278" s="337">
        <f t="shared" ca="1" si="113"/>
        <v>0</v>
      </c>
    </row>
    <row r="279" spans="1:16" ht="14.3">
      <c r="A279" s="38">
        <v>46</v>
      </c>
      <c r="B279" s="1154">
        <f t="shared" ca="1" si="111"/>
        <v>0</v>
      </c>
      <c r="C279" s="337">
        <f t="shared" ca="1" si="111"/>
        <v>0</v>
      </c>
      <c r="D279" s="337" t="str">
        <f t="shared" ca="1" si="111"/>
        <v/>
      </c>
      <c r="E279" s="337">
        <f t="shared" ca="1" si="111"/>
        <v>0</v>
      </c>
      <c r="F279" s="337">
        <f t="shared" ca="1" si="111"/>
        <v>0</v>
      </c>
      <c r="G279" s="337">
        <f t="shared" ca="1" si="111"/>
        <v>0</v>
      </c>
      <c r="H279" s="337">
        <f t="shared" ca="1" si="111"/>
        <v>0</v>
      </c>
      <c r="I279" s="38"/>
      <c r="J279" s="337">
        <f t="shared" ca="1" si="112"/>
        <v>0</v>
      </c>
      <c r="K279" s="38"/>
      <c r="L279" s="337">
        <f t="shared" ca="1" si="113"/>
        <v>0</v>
      </c>
      <c r="M279" s="1123" t="e">
        <f t="shared" ca="1" si="113"/>
        <v>#N/A</v>
      </c>
      <c r="N279" s="337">
        <f t="shared" ca="1" si="113"/>
        <v>0</v>
      </c>
      <c r="O279" s="337">
        <f t="shared" ca="1" si="113"/>
        <v>0</v>
      </c>
      <c r="P279" s="337">
        <f t="shared" ca="1" si="113"/>
        <v>0</v>
      </c>
    </row>
    <row r="280" spans="1:16" ht="14.3">
      <c r="A280" s="38">
        <v>47</v>
      </c>
      <c r="B280" s="1154">
        <f t="shared" ca="1" si="111"/>
        <v>0</v>
      </c>
      <c r="C280" s="337">
        <f t="shared" ca="1" si="111"/>
        <v>0</v>
      </c>
      <c r="D280" s="337" t="str">
        <f t="shared" ca="1" si="111"/>
        <v/>
      </c>
      <c r="E280" s="337">
        <f t="shared" ca="1" si="111"/>
        <v>0</v>
      </c>
      <c r="F280" s="337">
        <f t="shared" ca="1" si="111"/>
        <v>0</v>
      </c>
      <c r="G280" s="337">
        <f t="shared" ca="1" si="111"/>
        <v>0</v>
      </c>
      <c r="H280" s="337">
        <f t="shared" ca="1" si="111"/>
        <v>0</v>
      </c>
      <c r="I280" s="38"/>
      <c r="J280" s="337">
        <f t="shared" ca="1" si="112"/>
        <v>0</v>
      </c>
      <c r="K280" s="38"/>
      <c r="L280" s="337">
        <f t="shared" ca="1" si="113"/>
        <v>0</v>
      </c>
      <c r="M280" s="1123" t="e">
        <f t="shared" ca="1" si="113"/>
        <v>#N/A</v>
      </c>
      <c r="N280" s="337">
        <f t="shared" ca="1" si="113"/>
        <v>0</v>
      </c>
      <c r="O280" s="337">
        <f t="shared" ca="1" si="113"/>
        <v>0</v>
      </c>
      <c r="P280" s="337">
        <f t="shared" ca="1" si="113"/>
        <v>0</v>
      </c>
    </row>
    <row r="281" spans="1:16" ht="14.3">
      <c r="A281" s="38">
        <v>48</v>
      </c>
      <c r="B281" s="1154">
        <f t="shared" ca="1" si="111"/>
        <v>0</v>
      </c>
      <c r="C281" s="337">
        <f t="shared" ca="1" si="111"/>
        <v>0</v>
      </c>
      <c r="D281" s="337" t="str">
        <f t="shared" ca="1" si="111"/>
        <v/>
      </c>
      <c r="E281" s="337">
        <f t="shared" ca="1" si="111"/>
        <v>0</v>
      </c>
      <c r="F281" s="337">
        <f t="shared" ca="1" si="111"/>
        <v>0</v>
      </c>
      <c r="G281" s="337">
        <f t="shared" ca="1" si="111"/>
        <v>0</v>
      </c>
      <c r="H281" s="337">
        <f t="shared" ca="1" si="111"/>
        <v>0</v>
      </c>
      <c r="I281" s="38"/>
      <c r="J281" s="337">
        <f t="shared" ca="1" si="112"/>
        <v>0</v>
      </c>
      <c r="K281" s="38"/>
      <c r="L281" s="337">
        <f t="shared" ca="1" si="113"/>
        <v>0</v>
      </c>
      <c r="M281" s="1123" t="e">
        <f t="shared" ca="1" si="113"/>
        <v>#N/A</v>
      </c>
      <c r="N281" s="337">
        <f t="shared" ca="1" si="113"/>
        <v>0</v>
      </c>
      <c r="O281" s="337">
        <f t="shared" ca="1" si="113"/>
        <v>0</v>
      </c>
      <c r="P281" s="337">
        <f t="shared" ca="1" si="113"/>
        <v>0</v>
      </c>
    </row>
    <row r="282" spans="1:16" ht="14.3">
      <c r="A282" s="38">
        <v>49</v>
      </c>
      <c r="B282" s="1154">
        <f t="shared" ca="1" si="111"/>
        <v>0</v>
      </c>
      <c r="C282" s="337">
        <f t="shared" ca="1" si="111"/>
        <v>0</v>
      </c>
      <c r="D282" s="337" t="str">
        <f t="shared" ca="1" si="111"/>
        <v/>
      </c>
      <c r="E282" s="337">
        <f t="shared" ca="1" si="111"/>
        <v>0</v>
      </c>
      <c r="F282" s="337">
        <f t="shared" ca="1" si="111"/>
        <v>0</v>
      </c>
      <c r="G282" s="337">
        <f t="shared" ca="1" si="111"/>
        <v>0</v>
      </c>
      <c r="H282" s="337">
        <f t="shared" ca="1" si="111"/>
        <v>0</v>
      </c>
      <c r="I282" s="38"/>
      <c r="J282" s="337">
        <f t="shared" ca="1" si="112"/>
        <v>0</v>
      </c>
      <c r="K282" s="38"/>
      <c r="L282" s="337">
        <f t="shared" ca="1" si="113"/>
        <v>0</v>
      </c>
      <c r="M282" s="1123" t="e">
        <f t="shared" ca="1" si="113"/>
        <v>#N/A</v>
      </c>
      <c r="N282" s="337">
        <f t="shared" ca="1" si="113"/>
        <v>0</v>
      </c>
      <c r="O282" s="337">
        <f t="shared" ca="1" si="113"/>
        <v>0</v>
      </c>
      <c r="P282" s="337">
        <f t="shared" ca="1" si="113"/>
        <v>0</v>
      </c>
    </row>
    <row r="283" spans="1:16" ht="14.3">
      <c r="A283" s="38">
        <v>50</v>
      </c>
      <c r="B283" s="1154">
        <f t="shared" ca="1" si="111"/>
        <v>0</v>
      </c>
      <c r="C283" s="337">
        <f t="shared" ca="1" si="111"/>
        <v>0</v>
      </c>
      <c r="D283" s="337" t="str">
        <f t="shared" ca="1" si="111"/>
        <v/>
      </c>
      <c r="E283" s="337">
        <f t="shared" ca="1" si="111"/>
        <v>0</v>
      </c>
      <c r="F283" s="337">
        <f t="shared" ca="1" si="111"/>
        <v>0</v>
      </c>
      <c r="G283" s="337">
        <f t="shared" ca="1" si="111"/>
        <v>0</v>
      </c>
      <c r="H283" s="337">
        <f t="shared" ca="1" si="111"/>
        <v>0</v>
      </c>
      <c r="I283" s="38"/>
      <c r="J283" s="337">
        <f t="shared" ca="1" si="112"/>
        <v>0</v>
      </c>
      <c r="K283" s="38"/>
      <c r="L283" s="337">
        <f t="shared" ca="1" si="113"/>
        <v>0</v>
      </c>
      <c r="M283" s="1123" t="e">
        <f t="shared" ca="1" si="113"/>
        <v>#N/A</v>
      </c>
      <c r="N283" s="337">
        <f t="shared" ca="1" si="113"/>
        <v>0</v>
      </c>
      <c r="O283" s="337">
        <f t="shared" ca="1" si="113"/>
        <v>0</v>
      </c>
      <c r="P283" s="337">
        <f t="shared" ca="1" si="113"/>
        <v>0</v>
      </c>
    </row>
    <row r="284" spans="1:16" ht="14.3">
      <c r="A284" s="38">
        <v>51</v>
      </c>
      <c r="B284" s="1154">
        <f t="shared" ca="1" si="111"/>
        <v>0</v>
      </c>
      <c r="C284" s="337">
        <f t="shared" ca="1" si="111"/>
        <v>0</v>
      </c>
      <c r="D284" s="337" t="str">
        <f t="shared" ca="1" si="111"/>
        <v/>
      </c>
      <c r="E284" s="337">
        <f t="shared" ca="1" si="111"/>
        <v>0</v>
      </c>
      <c r="F284" s="337">
        <f t="shared" ca="1" si="111"/>
        <v>0</v>
      </c>
      <c r="G284" s="337">
        <f t="shared" ca="1" si="111"/>
        <v>0</v>
      </c>
      <c r="H284" s="337">
        <f t="shared" ca="1" si="111"/>
        <v>0</v>
      </c>
      <c r="I284" s="38"/>
      <c r="J284" s="337">
        <f t="shared" ca="1" si="112"/>
        <v>0</v>
      </c>
      <c r="K284" s="38"/>
      <c r="L284" s="337">
        <f t="shared" ca="1" si="113"/>
        <v>0</v>
      </c>
      <c r="M284" s="1123" t="e">
        <f t="shared" ca="1" si="113"/>
        <v>#N/A</v>
      </c>
      <c r="N284" s="337">
        <f t="shared" ca="1" si="113"/>
        <v>0</v>
      </c>
      <c r="O284" s="337">
        <f t="shared" ca="1" si="113"/>
        <v>0</v>
      </c>
      <c r="P284" s="337">
        <f t="shared" ca="1" si="113"/>
        <v>0</v>
      </c>
    </row>
    <row r="285" spans="1:16" ht="14.3">
      <c r="A285" s="38">
        <v>52</v>
      </c>
      <c r="B285" s="1154">
        <f t="shared" ca="1" si="111"/>
        <v>0</v>
      </c>
      <c r="C285" s="337">
        <f t="shared" ca="1" si="111"/>
        <v>0</v>
      </c>
      <c r="D285" s="337" t="str">
        <f t="shared" ca="1" si="111"/>
        <v/>
      </c>
      <c r="E285" s="337">
        <f t="shared" ca="1" si="111"/>
        <v>0</v>
      </c>
      <c r="F285" s="337">
        <f t="shared" ca="1" si="111"/>
        <v>0</v>
      </c>
      <c r="G285" s="337">
        <f t="shared" ca="1" si="111"/>
        <v>0</v>
      </c>
      <c r="H285" s="337">
        <f t="shared" ca="1" si="111"/>
        <v>0</v>
      </c>
      <c r="I285" s="38"/>
      <c r="J285" s="337">
        <f t="shared" ca="1" si="112"/>
        <v>0</v>
      </c>
      <c r="K285" s="38"/>
      <c r="L285" s="337">
        <f t="shared" ca="1" si="113"/>
        <v>0</v>
      </c>
      <c r="M285" s="1123" t="e">
        <f t="shared" ca="1" si="113"/>
        <v>#N/A</v>
      </c>
      <c r="N285" s="337">
        <f t="shared" ca="1" si="113"/>
        <v>0</v>
      </c>
      <c r="O285" s="337">
        <f t="shared" ca="1" si="113"/>
        <v>0</v>
      </c>
      <c r="P285" s="337">
        <f t="shared" ca="1" si="113"/>
        <v>0</v>
      </c>
    </row>
    <row r="286" spans="1:16" ht="14.3">
      <c r="A286" s="38">
        <v>53</v>
      </c>
      <c r="B286" s="1154">
        <f t="shared" ca="1" si="111"/>
        <v>0</v>
      </c>
      <c r="C286" s="337">
        <f t="shared" ca="1" si="111"/>
        <v>0</v>
      </c>
      <c r="D286" s="337" t="str">
        <f t="shared" ca="1" si="111"/>
        <v/>
      </c>
      <c r="E286" s="337">
        <f t="shared" ca="1" si="111"/>
        <v>0</v>
      </c>
      <c r="F286" s="337">
        <f t="shared" ca="1" si="111"/>
        <v>0</v>
      </c>
      <c r="G286" s="337">
        <f t="shared" ca="1" si="111"/>
        <v>0</v>
      </c>
      <c r="H286" s="337">
        <f t="shared" ca="1" si="111"/>
        <v>0</v>
      </c>
      <c r="I286" s="38"/>
      <c r="J286" s="337">
        <f t="shared" ca="1" si="112"/>
        <v>0</v>
      </c>
      <c r="K286" s="38"/>
      <c r="L286" s="337">
        <f t="shared" ca="1" si="113"/>
        <v>0</v>
      </c>
      <c r="M286" s="1123" t="e">
        <f t="shared" ca="1" si="113"/>
        <v>#N/A</v>
      </c>
      <c r="N286" s="337">
        <f t="shared" ca="1" si="113"/>
        <v>0</v>
      </c>
      <c r="O286" s="337">
        <f t="shared" ca="1" si="113"/>
        <v>0</v>
      </c>
      <c r="P286" s="337">
        <f t="shared" ca="1" si="113"/>
        <v>0</v>
      </c>
    </row>
    <row r="287" spans="1:16" ht="14.3">
      <c r="B287" s="1154"/>
      <c r="C287" s="337"/>
      <c r="D287" s="337"/>
      <c r="E287" s="337"/>
      <c r="F287" s="337"/>
      <c r="G287" s="337"/>
      <c r="H287" s="337"/>
      <c r="I287" s="38"/>
      <c r="J287" s="337"/>
      <c r="K287" s="38"/>
      <c r="L287" s="337"/>
      <c r="M287" s="1123"/>
      <c r="N287" s="337"/>
      <c r="O287" s="337"/>
      <c r="P287" s="337"/>
    </row>
    <row r="288" spans="1:16" ht="14.3">
      <c r="A288" t="s">
        <v>1569</v>
      </c>
      <c r="B288" s="12" t="s">
        <v>1553</v>
      </c>
      <c r="C288" s="12" t="s">
        <v>1554</v>
      </c>
      <c r="D288" s="12" t="s">
        <v>1555</v>
      </c>
      <c r="E288" s="12" t="s">
        <v>1556</v>
      </c>
      <c r="G288" s="12" t="s">
        <v>1557</v>
      </c>
      <c r="H288" s="12" t="s">
        <v>1558</v>
      </c>
      <c r="I288" s="12" t="s">
        <v>1559</v>
      </c>
      <c r="J288" s="12" t="s">
        <v>1560</v>
      </c>
      <c r="K288" s="12" t="s">
        <v>1539</v>
      </c>
      <c r="L288" s="12" t="s">
        <v>439</v>
      </c>
      <c r="M288" s="12" t="s">
        <v>1561</v>
      </c>
      <c r="N288" s="12" t="s">
        <v>1542</v>
      </c>
    </row>
    <row r="289" spans="1:16" ht="14.3">
      <c r="B289" s="1153" t="s">
        <v>128</v>
      </c>
      <c r="C289" s="1153" t="s">
        <v>556</v>
      </c>
      <c r="D289" s="1153" t="s">
        <v>557</v>
      </c>
      <c r="E289" s="1152" t="s">
        <v>558</v>
      </c>
      <c r="F289" s="38"/>
      <c r="G289" s="1152" t="s">
        <v>545</v>
      </c>
      <c r="H289" s="1152" t="s">
        <v>591</v>
      </c>
      <c r="I289" s="1152" t="s">
        <v>547</v>
      </c>
      <c r="J289" s="1152" t="s">
        <v>548</v>
      </c>
      <c r="K289" s="1152" t="s">
        <v>549</v>
      </c>
      <c r="L289" s="1152" t="s">
        <v>550</v>
      </c>
      <c r="M289" s="1152" t="s">
        <v>551</v>
      </c>
      <c r="N289" s="1152" t="s">
        <v>552</v>
      </c>
    </row>
    <row r="290" spans="1:16" ht="14.3">
      <c r="A290" s="38">
        <v>58</v>
      </c>
      <c r="B290" s="337">
        <f ca="1">INDIRECT("'Building Area Installations'!" &amp; B$270 &amp; $A290)</f>
        <v>0</v>
      </c>
      <c r="C290" s="337">
        <f t="shared" ref="C290:E290" ca="1" si="114">INDIRECT("'Building Area Installations'!" &amp; C$270 &amp; $A290)</f>
        <v>0</v>
      </c>
      <c r="D290" s="337">
        <f t="shared" ca="1" si="114"/>
        <v>0</v>
      </c>
      <c r="E290" s="337">
        <f t="shared" ca="1" si="114"/>
        <v>0</v>
      </c>
      <c r="F290" s="38"/>
      <c r="G290" s="1155">
        <f t="shared" ref="G290:N290" ca="1" si="115">INDIRECT("'Building Area Installations'!" &amp; G$270 &amp; $A290)</f>
        <v>0</v>
      </c>
      <c r="H290" s="1155">
        <f t="shared" ca="1" si="115"/>
        <v>0</v>
      </c>
      <c r="I290" s="1155" t="e">
        <f t="shared" ca="1" si="115"/>
        <v>#N/A</v>
      </c>
      <c r="J290" s="1155">
        <f t="shared" ca="1" si="115"/>
        <v>0</v>
      </c>
      <c r="K290" s="1155" t="e">
        <f t="shared" ca="1" si="115"/>
        <v>#N/A</v>
      </c>
      <c r="L290" s="1155">
        <f t="shared" ca="1" si="115"/>
        <v>0</v>
      </c>
      <c r="M290" s="1155">
        <f t="shared" ca="1" si="115"/>
        <v>0</v>
      </c>
      <c r="N290" s="1155">
        <f t="shared" ca="1" si="115"/>
        <v>0</v>
      </c>
    </row>
    <row r="291" spans="1:16" ht="14.3">
      <c r="A291" s="38"/>
      <c r="B291" s="38"/>
      <c r="C291" s="38"/>
      <c r="D291" s="38"/>
      <c r="E291" s="38"/>
      <c r="F291" s="38"/>
      <c r="G291" s="38"/>
      <c r="H291" s="38"/>
      <c r="I291" s="38"/>
      <c r="J291" s="38"/>
      <c r="K291" s="38"/>
      <c r="L291" s="38"/>
    </row>
    <row r="292" spans="1:16" ht="14.3">
      <c r="A292" s="38"/>
      <c r="B292" s="86" t="s">
        <v>1553</v>
      </c>
      <c r="C292" s="86" t="s">
        <v>1562</v>
      </c>
      <c r="D292" s="86" t="s">
        <v>1563</v>
      </c>
      <c r="E292" s="86" t="s">
        <v>1556</v>
      </c>
      <c r="F292" s="86" t="s">
        <v>1564</v>
      </c>
      <c r="G292" s="86" t="s">
        <v>1537</v>
      </c>
      <c r="H292" s="86" t="s">
        <v>1538</v>
      </c>
      <c r="I292" s="38"/>
      <c r="J292" s="86" t="s">
        <v>1557</v>
      </c>
      <c r="K292" s="86"/>
      <c r="L292" s="86" t="s">
        <v>1565</v>
      </c>
      <c r="M292" s="12" t="s">
        <v>1539</v>
      </c>
      <c r="N292" s="12" t="s">
        <v>439</v>
      </c>
      <c r="O292" s="12" t="s">
        <v>1561</v>
      </c>
      <c r="P292" s="12" t="s">
        <v>1542</v>
      </c>
    </row>
    <row r="293" spans="1:16" ht="14.3">
      <c r="A293" s="38"/>
      <c r="B293" s="37" t="s">
        <v>1566</v>
      </c>
      <c r="C293" s="101" t="s">
        <v>239</v>
      </c>
      <c r="D293" s="101" t="s">
        <v>194</v>
      </c>
      <c r="E293" s="1152" t="s">
        <v>558</v>
      </c>
      <c r="F293" s="1152" t="s">
        <v>1567</v>
      </c>
      <c r="G293" s="1152" t="s">
        <v>1568</v>
      </c>
      <c r="H293" s="1152" t="s">
        <v>408</v>
      </c>
      <c r="I293" s="38"/>
      <c r="J293" s="101" t="s">
        <v>568</v>
      </c>
      <c r="K293" s="101"/>
      <c r="L293" s="101" t="s">
        <v>569</v>
      </c>
      <c r="M293" s="1156" t="e">
        <f ca="1">ROUND((VLOOKUP($H290,Table_LPA_Building_Area[],8,FALSE)*O291)+(VLOOKUP($H290,Table_LPA_Building_Area[],9,FALSE)*(1-O291)),3)</f>
        <v>#N/A</v>
      </c>
      <c r="N293" s="101" t="s">
        <v>570</v>
      </c>
      <c r="O293" s="12"/>
      <c r="P293" s="101" t="s">
        <v>592</v>
      </c>
    </row>
    <row r="294" spans="1:16" ht="14.3">
      <c r="A294" s="38">
        <v>62</v>
      </c>
      <c r="B294" s="1154">
        <f ca="1">INDIRECT("'Building Area Installations'!" &amp; B$274 &amp; $A294)</f>
        <v>0</v>
      </c>
      <c r="C294" s="337">
        <f t="shared" ref="C294:P304" ca="1" si="116">INDIRECT("'Building Area Installations'!" &amp; C$274 &amp; $A294)</f>
        <v>0</v>
      </c>
      <c r="D294" s="337" t="str">
        <f t="shared" ca="1" si="116"/>
        <v/>
      </c>
      <c r="E294" s="337">
        <f t="shared" ca="1" si="116"/>
        <v>0</v>
      </c>
      <c r="F294" s="337">
        <f t="shared" ca="1" si="116"/>
        <v>0</v>
      </c>
      <c r="G294" s="337">
        <f t="shared" ref="G294:H304" ca="1" si="117">INDIRECT("'Building Area Installations'!" &amp; G$274 &amp; $A294)</f>
        <v>0</v>
      </c>
      <c r="H294" s="337">
        <f t="shared" ca="1" si="117"/>
        <v>0</v>
      </c>
      <c r="I294" s="38"/>
      <c r="J294" s="337">
        <f t="shared" ca="1" si="116"/>
        <v>0</v>
      </c>
      <c r="K294" s="38"/>
      <c r="L294" s="337">
        <f t="shared" ca="1" si="116"/>
        <v>0</v>
      </c>
      <c r="M294" s="1123" t="e">
        <f t="shared" ca="1" si="116"/>
        <v>#N/A</v>
      </c>
      <c r="N294" s="337">
        <f t="shared" ca="1" si="116"/>
        <v>0</v>
      </c>
      <c r="O294" s="337">
        <f t="shared" ca="1" si="116"/>
        <v>0</v>
      </c>
      <c r="P294" s="337">
        <f t="shared" ca="1" si="116"/>
        <v>0</v>
      </c>
    </row>
    <row r="295" spans="1:16" ht="14.3">
      <c r="A295" s="38">
        <v>63</v>
      </c>
      <c r="B295" s="1154">
        <f t="shared" ref="B295:B304" ca="1" si="118">INDIRECT("'Building Area Installations'!" &amp; B$274 &amp; $A295)</f>
        <v>0</v>
      </c>
      <c r="C295" s="337">
        <f t="shared" ca="1" si="116"/>
        <v>0</v>
      </c>
      <c r="D295" s="337" t="str">
        <f t="shared" ca="1" si="116"/>
        <v/>
      </c>
      <c r="E295" s="337">
        <f t="shared" ca="1" si="116"/>
        <v>0</v>
      </c>
      <c r="F295" s="337">
        <f t="shared" ca="1" si="116"/>
        <v>0</v>
      </c>
      <c r="G295" s="337">
        <f t="shared" ca="1" si="117"/>
        <v>0</v>
      </c>
      <c r="H295" s="337">
        <f t="shared" ca="1" si="117"/>
        <v>0</v>
      </c>
      <c r="I295" s="38"/>
      <c r="J295" s="337">
        <f t="shared" ca="1" si="116"/>
        <v>0</v>
      </c>
      <c r="K295" s="38"/>
      <c r="L295" s="337">
        <f t="shared" ca="1" si="116"/>
        <v>0</v>
      </c>
      <c r="M295" s="1123" t="e">
        <f t="shared" ca="1" si="116"/>
        <v>#N/A</v>
      </c>
      <c r="N295" s="337">
        <f t="shared" ca="1" si="116"/>
        <v>0</v>
      </c>
      <c r="O295" s="337">
        <f t="shared" ca="1" si="116"/>
        <v>0</v>
      </c>
      <c r="P295" s="337">
        <f t="shared" ca="1" si="116"/>
        <v>0</v>
      </c>
    </row>
    <row r="296" spans="1:16" ht="14.3">
      <c r="A296" s="38">
        <v>64</v>
      </c>
      <c r="B296" s="1154">
        <f t="shared" ca="1" si="118"/>
        <v>0</v>
      </c>
      <c r="C296" s="337">
        <f t="shared" ca="1" si="116"/>
        <v>0</v>
      </c>
      <c r="D296" s="337" t="str">
        <f t="shared" ca="1" si="116"/>
        <v/>
      </c>
      <c r="E296" s="337">
        <f t="shared" ca="1" si="116"/>
        <v>0</v>
      </c>
      <c r="F296" s="337">
        <f t="shared" ca="1" si="116"/>
        <v>0</v>
      </c>
      <c r="G296" s="337">
        <f t="shared" ca="1" si="117"/>
        <v>0</v>
      </c>
      <c r="H296" s="337">
        <f t="shared" ca="1" si="117"/>
        <v>0</v>
      </c>
      <c r="I296" s="38"/>
      <c r="J296" s="337">
        <f t="shared" ca="1" si="116"/>
        <v>0</v>
      </c>
      <c r="K296" s="38"/>
      <c r="L296" s="337">
        <f t="shared" ca="1" si="116"/>
        <v>0</v>
      </c>
      <c r="M296" s="1123" t="e">
        <f t="shared" ca="1" si="116"/>
        <v>#N/A</v>
      </c>
      <c r="N296" s="337">
        <f t="shared" ca="1" si="116"/>
        <v>0</v>
      </c>
      <c r="O296" s="337">
        <f t="shared" ca="1" si="116"/>
        <v>0</v>
      </c>
      <c r="P296" s="337">
        <f t="shared" ca="1" si="116"/>
        <v>0</v>
      </c>
    </row>
    <row r="297" spans="1:16" ht="14.3">
      <c r="A297" s="38">
        <v>65</v>
      </c>
      <c r="B297" s="1154">
        <f t="shared" ca="1" si="118"/>
        <v>0</v>
      </c>
      <c r="C297" s="337">
        <f t="shared" ca="1" si="116"/>
        <v>0</v>
      </c>
      <c r="D297" s="337" t="str">
        <f t="shared" ca="1" si="116"/>
        <v/>
      </c>
      <c r="E297" s="337">
        <f t="shared" ca="1" si="116"/>
        <v>0</v>
      </c>
      <c r="F297" s="337">
        <f t="shared" ca="1" si="116"/>
        <v>0</v>
      </c>
      <c r="G297" s="337">
        <f t="shared" ca="1" si="117"/>
        <v>0</v>
      </c>
      <c r="H297" s="337">
        <f t="shared" ca="1" si="117"/>
        <v>0</v>
      </c>
      <c r="I297" s="38"/>
      <c r="J297" s="337">
        <f t="shared" ca="1" si="116"/>
        <v>0</v>
      </c>
      <c r="K297" s="38"/>
      <c r="L297" s="337">
        <f t="shared" ca="1" si="116"/>
        <v>0</v>
      </c>
      <c r="M297" s="1123" t="e">
        <f t="shared" ca="1" si="116"/>
        <v>#N/A</v>
      </c>
      <c r="N297" s="337">
        <f t="shared" ca="1" si="116"/>
        <v>0</v>
      </c>
      <c r="O297" s="337">
        <f t="shared" ca="1" si="116"/>
        <v>0</v>
      </c>
      <c r="P297" s="337">
        <f t="shared" ca="1" si="116"/>
        <v>0</v>
      </c>
    </row>
    <row r="298" spans="1:16" ht="14.3">
      <c r="A298" s="38">
        <v>66</v>
      </c>
      <c r="B298" s="1154">
        <f t="shared" ca="1" si="118"/>
        <v>0</v>
      </c>
      <c r="C298" s="337">
        <f t="shared" ca="1" si="116"/>
        <v>0</v>
      </c>
      <c r="D298" s="337" t="str">
        <f t="shared" ca="1" si="116"/>
        <v/>
      </c>
      <c r="E298" s="337">
        <f t="shared" ca="1" si="116"/>
        <v>0</v>
      </c>
      <c r="F298" s="337">
        <f t="shared" ca="1" si="116"/>
        <v>0</v>
      </c>
      <c r="G298" s="337">
        <f t="shared" ca="1" si="117"/>
        <v>0</v>
      </c>
      <c r="H298" s="337">
        <f t="shared" ca="1" si="117"/>
        <v>0</v>
      </c>
      <c r="I298" s="38"/>
      <c r="J298" s="337">
        <f t="shared" ca="1" si="116"/>
        <v>0</v>
      </c>
      <c r="K298" s="38"/>
      <c r="L298" s="337">
        <f t="shared" ca="1" si="116"/>
        <v>0</v>
      </c>
      <c r="M298" s="1123" t="e">
        <f t="shared" ca="1" si="116"/>
        <v>#N/A</v>
      </c>
      <c r="N298" s="337">
        <f t="shared" ca="1" si="116"/>
        <v>0</v>
      </c>
      <c r="O298" s="337">
        <f t="shared" ca="1" si="116"/>
        <v>0</v>
      </c>
      <c r="P298" s="337">
        <f t="shared" ca="1" si="116"/>
        <v>0</v>
      </c>
    </row>
    <row r="299" spans="1:16" ht="14.3">
      <c r="A299" s="38">
        <v>67</v>
      </c>
      <c r="B299" s="1154">
        <f t="shared" ca="1" si="118"/>
        <v>0</v>
      </c>
      <c r="C299" s="337">
        <f t="shared" ca="1" si="116"/>
        <v>0</v>
      </c>
      <c r="D299" s="337" t="str">
        <f t="shared" ca="1" si="116"/>
        <v/>
      </c>
      <c r="E299" s="337">
        <f t="shared" ca="1" si="116"/>
        <v>0</v>
      </c>
      <c r="F299" s="337">
        <f t="shared" ca="1" si="116"/>
        <v>0</v>
      </c>
      <c r="G299" s="337">
        <f t="shared" ca="1" si="117"/>
        <v>0</v>
      </c>
      <c r="H299" s="337">
        <f t="shared" ca="1" si="117"/>
        <v>0</v>
      </c>
      <c r="I299" s="38"/>
      <c r="J299" s="337">
        <f t="shared" ca="1" si="116"/>
        <v>0</v>
      </c>
      <c r="K299" s="38"/>
      <c r="L299" s="337">
        <f t="shared" ca="1" si="116"/>
        <v>0</v>
      </c>
      <c r="M299" s="1123" t="e">
        <f t="shared" ca="1" si="116"/>
        <v>#N/A</v>
      </c>
      <c r="N299" s="337">
        <f t="shared" ca="1" si="116"/>
        <v>0</v>
      </c>
      <c r="O299" s="337">
        <f t="shared" ca="1" si="116"/>
        <v>0</v>
      </c>
      <c r="P299" s="337">
        <f t="shared" ca="1" si="116"/>
        <v>0</v>
      </c>
    </row>
    <row r="300" spans="1:16" ht="14.3">
      <c r="A300" s="38">
        <v>68</v>
      </c>
      <c r="B300" s="1154">
        <f t="shared" ca="1" si="118"/>
        <v>0</v>
      </c>
      <c r="C300" s="337">
        <f t="shared" ca="1" si="116"/>
        <v>0</v>
      </c>
      <c r="D300" s="337" t="str">
        <f t="shared" ca="1" si="116"/>
        <v/>
      </c>
      <c r="E300" s="337">
        <f t="shared" ca="1" si="116"/>
        <v>0</v>
      </c>
      <c r="F300" s="337">
        <f t="shared" ca="1" si="116"/>
        <v>0</v>
      </c>
      <c r="G300" s="337">
        <f t="shared" ca="1" si="117"/>
        <v>0</v>
      </c>
      <c r="H300" s="337">
        <f t="shared" ca="1" si="117"/>
        <v>0</v>
      </c>
      <c r="I300" s="38"/>
      <c r="J300" s="337">
        <f t="shared" ca="1" si="116"/>
        <v>0</v>
      </c>
      <c r="K300" s="38"/>
      <c r="L300" s="337">
        <f t="shared" ca="1" si="116"/>
        <v>0</v>
      </c>
      <c r="M300" s="1123" t="e">
        <f t="shared" ca="1" si="116"/>
        <v>#N/A</v>
      </c>
      <c r="N300" s="337">
        <f t="shared" ca="1" si="116"/>
        <v>0</v>
      </c>
      <c r="O300" s="337">
        <f t="shared" ca="1" si="116"/>
        <v>0</v>
      </c>
      <c r="P300" s="337">
        <f t="shared" ca="1" si="116"/>
        <v>0</v>
      </c>
    </row>
    <row r="301" spans="1:16" ht="14.3">
      <c r="A301" s="38">
        <v>69</v>
      </c>
      <c r="B301" s="1154">
        <f t="shared" ca="1" si="118"/>
        <v>0</v>
      </c>
      <c r="C301" s="337">
        <f t="shared" ca="1" si="116"/>
        <v>0</v>
      </c>
      <c r="D301" s="337" t="str">
        <f t="shared" ca="1" si="116"/>
        <v/>
      </c>
      <c r="E301" s="337">
        <f t="shared" ca="1" si="116"/>
        <v>0</v>
      </c>
      <c r="F301" s="337">
        <f t="shared" ca="1" si="116"/>
        <v>0</v>
      </c>
      <c r="G301" s="337">
        <f t="shared" ca="1" si="117"/>
        <v>0</v>
      </c>
      <c r="H301" s="337">
        <f t="shared" ca="1" si="117"/>
        <v>0</v>
      </c>
      <c r="I301" s="38"/>
      <c r="J301" s="337">
        <f t="shared" ca="1" si="116"/>
        <v>0</v>
      </c>
      <c r="K301" s="38"/>
      <c r="L301" s="337">
        <f t="shared" ca="1" si="116"/>
        <v>0</v>
      </c>
      <c r="M301" s="1123" t="e">
        <f t="shared" ca="1" si="116"/>
        <v>#N/A</v>
      </c>
      <c r="N301" s="337">
        <f t="shared" ca="1" si="116"/>
        <v>0</v>
      </c>
      <c r="O301" s="337">
        <f t="shared" ca="1" si="116"/>
        <v>0</v>
      </c>
      <c r="P301" s="337">
        <f t="shared" ca="1" si="116"/>
        <v>0</v>
      </c>
    </row>
    <row r="302" spans="1:16" ht="14.3">
      <c r="A302" s="38">
        <v>70</v>
      </c>
      <c r="B302" s="1154">
        <f t="shared" ca="1" si="118"/>
        <v>0</v>
      </c>
      <c r="C302" s="337">
        <f t="shared" ca="1" si="116"/>
        <v>0</v>
      </c>
      <c r="D302" s="337" t="str">
        <f t="shared" ca="1" si="116"/>
        <v/>
      </c>
      <c r="E302" s="337">
        <f t="shared" ca="1" si="116"/>
        <v>0</v>
      </c>
      <c r="F302" s="337">
        <f t="shared" ca="1" si="116"/>
        <v>0</v>
      </c>
      <c r="G302" s="337">
        <f t="shared" ca="1" si="117"/>
        <v>0</v>
      </c>
      <c r="H302" s="337">
        <f t="shared" ca="1" si="117"/>
        <v>0</v>
      </c>
      <c r="I302" s="38"/>
      <c r="J302" s="337">
        <f t="shared" ca="1" si="116"/>
        <v>0</v>
      </c>
      <c r="K302" s="38"/>
      <c r="L302" s="337">
        <f t="shared" ca="1" si="116"/>
        <v>0</v>
      </c>
      <c r="M302" s="1123" t="e">
        <f t="shared" ca="1" si="116"/>
        <v>#N/A</v>
      </c>
      <c r="N302" s="337">
        <f t="shared" ca="1" si="116"/>
        <v>0</v>
      </c>
      <c r="O302" s="337">
        <f t="shared" ca="1" si="116"/>
        <v>0</v>
      </c>
      <c r="P302" s="337">
        <f t="shared" ca="1" si="116"/>
        <v>0</v>
      </c>
    </row>
    <row r="303" spans="1:16" ht="14.3">
      <c r="A303" s="1097">
        <v>71</v>
      </c>
      <c r="B303" s="1154">
        <f t="shared" ca="1" si="118"/>
        <v>0</v>
      </c>
      <c r="C303" s="337">
        <f t="shared" ca="1" si="116"/>
        <v>0</v>
      </c>
      <c r="D303" s="337" t="str">
        <f t="shared" ca="1" si="116"/>
        <v/>
      </c>
      <c r="E303" s="337">
        <f t="shared" ca="1" si="116"/>
        <v>0</v>
      </c>
      <c r="F303" s="337">
        <f t="shared" ca="1" si="116"/>
        <v>0</v>
      </c>
      <c r="G303" s="337">
        <f t="shared" ca="1" si="117"/>
        <v>0</v>
      </c>
      <c r="H303" s="337">
        <f t="shared" ca="1" si="117"/>
        <v>0</v>
      </c>
      <c r="I303" s="38"/>
      <c r="J303" s="337">
        <f t="shared" ca="1" si="116"/>
        <v>0</v>
      </c>
      <c r="K303" s="38"/>
      <c r="L303" s="337">
        <f t="shared" ca="1" si="116"/>
        <v>0</v>
      </c>
      <c r="M303" s="1123" t="e">
        <f t="shared" ca="1" si="116"/>
        <v>#N/A</v>
      </c>
      <c r="N303" s="337">
        <f t="shared" ca="1" si="116"/>
        <v>0</v>
      </c>
      <c r="O303" s="337">
        <f t="shared" ca="1" si="116"/>
        <v>0</v>
      </c>
      <c r="P303" s="337">
        <f t="shared" ca="1" si="116"/>
        <v>0</v>
      </c>
    </row>
    <row r="304" spans="1:16" ht="14.3">
      <c r="A304" s="1097">
        <v>72</v>
      </c>
      <c r="B304" s="1154">
        <f t="shared" ca="1" si="118"/>
        <v>0</v>
      </c>
      <c r="C304" s="337">
        <f t="shared" ca="1" si="116"/>
        <v>0</v>
      </c>
      <c r="D304" s="337" t="str">
        <f t="shared" ca="1" si="116"/>
        <v/>
      </c>
      <c r="E304" s="337">
        <f t="shared" ca="1" si="116"/>
        <v>0</v>
      </c>
      <c r="F304" s="337">
        <f t="shared" ca="1" si="116"/>
        <v>0</v>
      </c>
      <c r="G304" s="337">
        <f t="shared" ca="1" si="117"/>
        <v>0</v>
      </c>
      <c r="H304" s="337">
        <f t="shared" ca="1" si="117"/>
        <v>0</v>
      </c>
      <c r="J304" s="337">
        <f t="shared" ca="1" si="116"/>
        <v>0</v>
      </c>
      <c r="L304" s="337">
        <f t="shared" ca="1" si="116"/>
        <v>0</v>
      </c>
      <c r="M304" s="1123" t="e">
        <f t="shared" ca="1" si="116"/>
        <v>#N/A</v>
      </c>
      <c r="N304" s="337">
        <f t="shared" ca="1" si="116"/>
        <v>0</v>
      </c>
      <c r="O304" s="337">
        <f t="shared" ca="1" si="116"/>
        <v>0</v>
      </c>
      <c r="P304" s="337">
        <f t="shared" ca="1" si="116"/>
        <v>0</v>
      </c>
    </row>
    <row r="305" spans="1:3" ht="14.3">
      <c r="A305" s="950"/>
    </row>
    <row r="306" spans="1:3" ht="14.3">
      <c r="A306" s="950"/>
      <c r="B306" s="950"/>
      <c r="C306" s="950"/>
    </row>
    <row r="344" spans="1:753" ht="14.3">
      <c r="A344" t="str">
        <f>A1</f>
        <v>Application (1)</v>
      </c>
      <c r="DL344">
        <f t="shared" ref="DL344" si="119">DM1</f>
        <v>0</v>
      </c>
    </row>
    <row r="345" spans="1:753" ht="14.3">
      <c r="A345" t="str">
        <f t="shared" ref="A345:O358" si="120">A2</f>
        <v>ApplicationNumber</v>
      </c>
      <c r="B345" t="str">
        <f t="shared" si="120"/>
        <v>Parent Application Id</v>
      </c>
      <c r="C345" t="str">
        <f t="shared" si="120"/>
        <v>Calculate Formula</v>
      </c>
      <c r="D345" t="str">
        <f t="shared" si="120"/>
        <v>Customer Information</v>
      </c>
      <c r="V345" t="str">
        <f t="shared" ref="V345:AP345" si="121">V2</f>
        <v>Contractor Information</v>
      </c>
      <c r="AD345" t="str">
        <f t="shared" si="121"/>
        <v>Partner Information</v>
      </c>
      <c r="AP345" t="str">
        <f t="shared" si="121"/>
        <v>Project Information</v>
      </c>
      <c r="BN345" t="str">
        <f>BO2</f>
        <v>Payee Information</v>
      </c>
      <c r="BW345" t="str">
        <f t="shared" ref="BW345:BX348" si="122">BX2</f>
        <v>Custom Measures</v>
      </c>
      <c r="BX345" t="str">
        <f t="shared" si="122"/>
        <v>Custom Measure</v>
      </c>
      <c r="CM345" t="str">
        <f t="shared" ref="CM345:DM345" si="123">CN2</f>
        <v>End Measure Group</v>
      </c>
      <c r="CN345" t="str">
        <f t="shared" si="123"/>
        <v>PSE Representative and Email Information</v>
      </c>
      <c r="CQ345" t="str">
        <f t="shared" si="123"/>
        <v>Application Status</v>
      </c>
      <c r="CS345" t="str">
        <f t="shared" si="123"/>
        <v>Task Status</v>
      </c>
      <c r="CT345" t="str">
        <f t="shared" si="123"/>
        <v>Calculate Formula</v>
      </c>
      <c r="CU345" t="str">
        <f t="shared" si="123"/>
        <v>PSE Representative and Email Information</v>
      </c>
      <c r="CZ345" t="str">
        <f t="shared" si="123"/>
        <v>Scope Of Work and Savings Analysis Overview</v>
      </c>
      <c r="DL345" t="str">
        <f t="shared" si="123"/>
        <v>Custom Measures</v>
      </c>
      <c r="DM345" t="str">
        <f t="shared" si="123"/>
        <v>Custom Measure</v>
      </c>
      <c r="FL345" t="str">
        <f t="shared" ref="FL345:FW345" si="124">FM2</f>
        <v>End Measure Group</v>
      </c>
      <c r="FM345" t="str">
        <f t="shared" si="124"/>
        <v>Additional Grant Attachment Verification Items</v>
      </c>
      <c r="FS345" t="str">
        <f t="shared" si="124"/>
        <v>Site Visit</v>
      </c>
      <c r="FW345" t="str">
        <f t="shared" si="124"/>
        <v>Project Information</v>
      </c>
      <c r="HM345" t="str">
        <f t="shared" ref="HM345:JH345" si="125">HN2</f>
        <v>Customer Section</v>
      </c>
      <c r="IE345" t="str">
        <f t="shared" si="125"/>
        <v>Submitting Application Contractor</v>
      </c>
      <c r="IM345" t="str">
        <f t="shared" si="125"/>
        <v>Partner Information</v>
      </c>
      <c r="IY345" t="str">
        <f t="shared" si="125"/>
        <v>Payee (Sent to SAP)</v>
      </c>
      <c r="JH345" t="str">
        <f t="shared" si="125"/>
        <v>Project Totals</v>
      </c>
      <c r="JL345" t="str">
        <f t="shared" ref="JL345:LK345" si="126">JM2</f>
        <v>Scope of Work Template</v>
      </c>
      <c r="JM345" t="str">
        <f t="shared" si="126"/>
        <v>Duplicate Project Check</v>
      </c>
      <c r="JO345" t="str">
        <f t="shared" si="126"/>
        <v>Application Status</v>
      </c>
      <c r="JS345" t="str">
        <f t="shared" si="126"/>
        <v>Status</v>
      </c>
      <c r="JT345" t="str">
        <f t="shared" si="126"/>
        <v>Calculate Formula</v>
      </c>
      <c r="JU345" t="str">
        <f t="shared" si="126"/>
        <v>PSE Representative and Email Information</v>
      </c>
      <c r="JY345" t="str">
        <f t="shared" si="126"/>
        <v>Customer Section</v>
      </c>
      <c r="KQ345" t="str">
        <f t="shared" si="126"/>
        <v>Submitting Application Contractor</v>
      </c>
      <c r="KY345" t="str">
        <f t="shared" si="126"/>
        <v>Partner Information</v>
      </c>
      <c r="LK345" t="str">
        <f t="shared" si="126"/>
        <v>Project Information</v>
      </c>
      <c r="MU345" t="str">
        <f t="shared" ref="MU345:MV345" si="127">MV2</f>
        <v>Custom Measures</v>
      </c>
      <c r="MV345" t="str">
        <f t="shared" si="127"/>
        <v>Custom Measure</v>
      </c>
      <c r="OJ345" t="str">
        <f t="shared" ref="OJ345:QI345" si="128">OK2</f>
        <v>End Measure Group</v>
      </c>
      <c r="OK345" t="str">
        <f t="shared" si="128"/>
        <v>Project Totals</v>
      </c>
      <c r="OO345" t="str">
        <f t="shared" si="128"/>
        <v>Scope Of Work and Savings Analysis Overview</v>
      </c>
      <c r="OY345" t="str">
        <f t="shared" si="128"/>
        <v>Additional Verification Requirements Other Grant Attachment Items</v>
      </c>
      <c r="PE345" t="str">
        <f t="shared" si="128"/>
        <v>Application Status</v>
      </c>
      <c r="PF345" t="str">
        <f t="shared" si="128"/>
        <v>Task Status</v>
      </c>
      <c r="PG345" t="str">
        <f t="shared" si="128"/>
        <v>Calculate Formula</v>
      </c>
      <c r="PH345" t="str">
        <f t="shared" si="128"/>
        <v>PSE Representative and Email Information</v>
      </c>
      <c r="PR345" t="str">
        <f t="shared" si="128"/>
        <v>Payment Request Coversheet</v>
      </c>
      <c r="PX345" t="str">
        <f t="shared" si="128"/>
        <v>Payee Info For Payment Request</v>
      </c>
      <c r="QI345" t="str">
        <f t="shared" si="128"/>
        <v>SAP Vendor Maintenance Information (when the Contractor is the Payee)</v>
      </c>
      <c r="QV345" t="str">
        <f t="shared" ref="QV345:RK345" si="129">QW2</f>
        <v>Project Information</v>
      </c>
      <c r="RJ345" t="str">
        <f t="shared" si="129"/>
        <v>Custom Measures</v>
      </c>
      <c r="RK345" t="str">
        <f t="shared" si="129"/>
        <v>Custom Measure</v>
      </c>
      <c r="TN345" t="str">
        <f t="shared" ref="TN345:VS345" si="130">TO2</f>
        <v>End Measure Group</v>
      </c>
      <c r="TO345" t="str">
        <f t="shared" si="130"/>
        <v>Project Totals</v>
      </c>
      <c r="UD345" t="str">
        <f t="shared" si="130"/>
        <v>Contract Admin - Final Documents Upload</v>
      </c>
      <c r="UI345" t="str">
        <f t="shared" si="130"/>
        <v>Contract Admin - Payment Approvers</v>
      </c>
      <c r="UM345" t="str">
        <f t="shared" si="130"/>
        <v>Customer</v>
      </c>
      <c r="VG345" t="str">
        <f t="shared" si="130"/>
        <v>Contractor</v>
      </c>
      <c r="VN345" t="str">
        <f t="shared" si="130"/>
        <v>Grant Information</v>
      </c>
      <c r="VS345" t="str">
        <f t="shared" si="130"/>
        <v>Application Status</v>
      </c>
      <c r="VX345" t="str">
        <f t="shared" ref="VX345:XH345" si="131">VY2</f>
        <v>Task Status</v>
      </c>
      <c r="VY345" t="str">
        <f t="shared" si="131"/>
        <v>Calculate Formula</v>
      </c>
      <c r="VZ345" t="str">
        <f t="shared" si="131"/>
        <v>PSE Representative and Email Information</v>
      </c>
      <c r="WG345" t="str">
        <f t="shared" si="131"/>
        <v>Grant Information</v>
      </c>
      <c r="XC345" t="str">
        <f t="shared" si="131"/>
        <v>Grant Agreement Inputs</v>
      </c>
      <c r="XF345" t="str">
        <f t="shared" si="131"/>
        <v>Grant Document</v>
      </c>
      <c r="XH345" t="str">
        <f t="shared" si="131"/>
        <v>Project Information</v>
      </c>
      <c r="YU345" t="str">
        <f t="shared" ref="YU345:AAO345" si="132">YV2</f>
        <v>Custom Measures</v>
      </c>
      <c r="YV345" t="str">
        <f t="shared" si="132"/>
        <v>Custom Measure</v>
      </c>
      <c r="AAJ345" t="str">
        <f t="shared" si="132"/>
        <v>End Measure Group</v>
      </c>
      <c r="AAK345" t="str">
        <f t="shared" si="132"/>
        <v>Project Totals</v>
      </c>
      <c r="AAO345" t="str">
        <f t="shared" si="132"/>
        <v>Submitting Application Contractor</v>
      </c>
      <c r="AAW345" t="str">
        <f t="shared" ref="AAW345:ABY345" si="133">AAX2</f>
        <v>Payee (Sent to SAP)</v>
      </c>
      <c r="ABG345" t="str">
        <f t="shared" si="133"/>
        <v>SAP Vendor Maintenance Lookup</v>
      </c>
      <c r="ABT345" t="str">
        <f t="shared" si="133"/>
        <v>Application Status</v>
      </c>
      <c r="ABY345" t="str">
        <f t="shared" si="133"/>
        <v>Status</v>
      </c>
    </row>
    <row r="346" spans="1:753" ht="14.3">
      <c r="A346" t="str">
        <f t="shared" si="120"/>
        <v>ApplicationNumber</v>
      </c>
      <c r="B346" t="str">
        <f t="shared" si="120"/>
        <v>Parent Application Id</v>
      </c>
      <c r="C346" t="str">
        <f t="shared" si="120"/>
        <v>Calculate Formula</v>
      </c>
      <c r="D346" t="str">
        <f t="shared" si="120"/>
        <v>PSE Account Number</v>
      </c>
      <c r="E346" t="str">
        <f t="shared" si="120"/>
        <v>Business Partner #</v>
      </c>
      <c r="F346" t="str">
        <f t="shared" si="120"/>
        <v>Business Name</v>
      </c>
      <c r="G346" t="str">
        <f t="shared" si="120"/>
        <v>Customer Company Name</v>
      </c>
      <c r="H346" t="str">
        <f t="shared" si="120"/>
        <v>Mailing Address 1</v>
      </c>
      <c r="I346" t="str">
        <f t="shared" si="120"/>
        <v>Mailing Address 2</v>
      </c>
      <c r="J346" t="str">
        <f t="shared" si="120"/>
        <v>Mailing City</v>
      </c>
      <c r="K346" t="str">
        <f t="shared" si="120"/>
        <v>Mailing State</v>
      </c>
      <c r="L346" t="str">
        <f t="shared" si="120"/>
        <v>Mailing Zip</v>
      </c>
      <c r="M346" t="str">
        <f t="shared" si="120"/>
        <v>Premise Number</v>
      </c>
      <c r="N346" t="str">
        <f t="shared" si="120"/>
        <v>Service Address 1</v>
      </c>
      <c r="O346" t="str">
        <f t="shared" si="120"/>
        <v>Service City</v>
      </c>
      <c r="P346" t="str">
        <f t="shared" ref="P346:BK346" si="134">P3</f>
        <v>Service State</v>
      </c>
      <c r="Q346" t="str">
        <f t="shared" si="134"/>
        <v>Service Zip</v>
      </c>
      <c r="R346" t="str">
        <f t="shared" si="134"/>
        <v>Phone Number</v>
      </c>
      <c r="S346" t="str">
        <f t="shared" si="134"/>
        <v>Email</v>
      </c>
      <c r="T346" t="str">
        <f t="shared" si="134"/>
        <v>Utility Meter Num</v>
      </c>
      <c r="U346" t="str">
        <f t="shared" si="134"/>
        <v>Bill Country</v>
      </c>
      <c r="V346" t="str">
        <f t="shared" si="134"/>
        <v>Business Name</v>
      </c>
      <c r="W346" t="str">
        <f t="shared" si="134"/>
        <v>Company URL</v>
      </c>
      <c r="X346" t="str">
        <f t="shared" si="134"/>
        <v>Primary Contact First Name</v>
      </c>
      <c r="Y346" t="str">
        <f t="shared" si="134"/>
        <v>Primary Contact Last Name</v>
      </c>
      <c r="Z346" t="str">
        <f t="shared" si="134"/>
        <v>Contact Phone Number</v>
      </c>
      <c r="AA346" t="str">
        <f t="shared" si="134"/>
        <v>Contact Email</v>
      </c>
      <c r="AB346" t="str">
        <f t="shared" si="134"/>
        <v>Partner Number</v>
      </c>
      <c r="AC346" t="str">
        <f t="shared" si="134"/>
        <v>Service Type</v>
      </c>
      <c r="AD346" t="str">
        <f t="shared" si="134"/>
        <v>Company URL</v>
      </c>
      <c r="AE346" t="str">
        <f t="shared" si="134"/>
        <v>Company Name</v>
      </c>
      <c r="AF346" t="str">
        <f t="shared" si="134"/>
        <v>Vendor Maintenance Number</v>
      </c>
      <c r="AG346" t="str">
        <f t="shared" si="134"/>
        <v>Phone Number</v>
      </c>
      <c r="AH346" t="str">
        <f t="shared" si="134"/>
        <v>Email</v>
      </c>
      <c r="AI346" t="str">
        <f t="shared" si="134"/>
        <v>Mailing Address</v>
      </c>
      <c r="AJ346" t="str">
        <f t="shared" si="134"/>
        <v>Mailing Address 2</v>
      </c>
      <c r="AK346" t="str">
        <f t="shared" si="134"/>
        <v>Mailing City</v>
      </c>
      <c r="AL346" t="str">
        <f t="shared" si="134"/>
        <v>Mailing State</v>
      </c>
      <c r="AM346" t="str">
        <f t="shared" si="134"/>
        <v>Mailing Zip</v>
      </c>
      <c r="AN346" t="str">
        <f t="shared" si="134"/>
        <v>SAP Vendor Information</v>
      </c>
      <c r="AO346" t="str">
        <f t="shared" si="134"/>
        <v>Service Type</v>
      </c>
      <c r="AP346" t="str">
        <f t="shared" si="134"/>
        <v>CSY Project Number</v>
      </c>
      <c r="AQ346" t="str">
        <f t="shared" si="134"/>
        <v>CSY Grant Number</v>
      </c>
      <c r="AR346" t="str">
        <f t="shared" si="134"/>
        <v>Business Name</v>
      </c>
      <c r="AS346" t="str">
        <f t="shared" si="134"/>
        <v>Primary Customer Contact Person</v>
      </c>
      <c r="AT346" t="str">
        <f t="shared" si="134"/>
        <v>Primary Customer Contact Email</v>
      </c>
      <c r="AU346" t="str">
        <f t="shared" si="134"/>
        <v>Primary Customer Contact Phone</v>
      </c>
      <c r="AV346" t="str">
        <f t="shared" si="134"/>
        <v>Secondary Contact (if different than above)</v>
      </c>
      <c r="AW346" t="str">
        <f t="shared" si="134"/>
        <v>Secondary Contact Email (if different than above)</v>
      </c>
      <c r="AX346" t="str">
        <f t="shared" si="134"/>
        <v>Secondary Contact Phone (if different than above)</v>
      </c>
      <c r="AY346" t="str">
        <f t="shared" si="134"/>
        <v>User Role</v>
      </c>
      <c r="AZ346" t="str">
        <f t="shared" si="134"/>
        <v>Project Name</v>
      </c>
      <c r="BA346" t="str">
        <f t="shared" si="134"/>
        <v>Project Street Address</v>
      </c>
      <c r="BB346" t="str">
        <f t="shared" si="134"/>
        <v>Project City</v>
      </c>
      <c r="BC346" t="str">
        <f t="shared" si="134"/>
        <v>Project State</v>
      </c>
      <c r="BD346" t="str">
        <f t="shared" si="134"/>
        <v>Project Zip</v>
      </c>
      <c r="BE346" t="str">
        <f t="shared" si="134"/>
        <v>Project Folder on H</v>
      </c>
      <c r="BF346" t="str">
        <f t="shared" si="134"/>
        <v>Tell us about your project</v>
      </c>
      <c r="BG346" t="str">
        <f t="shared" si="134"/>
        <v>Estimated Cost</v>
      </c>
      <c r="BH346" t="str">
        <f t="shared" si="134"/>
        <v>Estimated Energy Savings</v>
      </c>
      <c r="BI346" t="str">
        <f t="shared" si="134"/>
        <v>Estimated Start Date</v>
      </c>
      <c r="BJ346" t="str">
        <f t="shared" si="134"/>
        <v>PSE Business Types</v>
      </c>
      <c r="BK346" t="str">
        <f t="shared" si="134"/>
        <v>Project Type</v>
      </c>
      <c r="BL346" t="str">
        <f>BM3</f>
        <v>Electric Meter Number</v>
      </c>
      <c r="BM346" t="str">
        <f>BN3</f>
        <v>Gas Meter Number</v>
      </c>
      <c r="BN346" t="str">
        <f>BO3</f>
        <v>Company Name</v>
      </c>
      <c r="BO346" t="str">
        <f t="shared" ref="BO346:BV348" si="135">BP3</f>
        <v>Attention To</v>
      </c>
      <c r="BP346" t="str">
        <f t="shared" si="135"/>
        <v>Vendor Information</v>
      </c>
      <c r="BQ346" t="str">
        <f t="shared" si="135"/>
        <v>Address 1</v>
      </c>
      <c r="BR346" t="str">
        <f t="shared" si="135"/>
        <v>Address 2</v>
      </c>
      <c r="BS346" t="str">
        <f t="shared" si="135"/>
        <v>City</v>
      </c>
      <c r="BT346" t="str">
        <f t="shared" si="135"/>
        <v>State</v>
      </c>
      <c r="BU346" t="str">
        <f t="shared" si="135"/>
        <v>Zip</v>
      </c>
      <c r="BV346" t="str">
        <f t="shared" si="135"/>
        <v>SAP Payment Type</v>
      </c>
      <c r="BW346" t="str">
        <f t="shared" si="122"/>
        <v/>
      </c>
      <c r="BX346" t="str">
        <f t="shared" si="122"/>
        <v>Library Measure Name</v>
      </c>
      <c r="BY346" t="str">
        <f t="shared" ref="BY346:CA348" si="136">BZ3</f>
        <v>Library Measure Ref#</v>
      </c>
      <c r="BZ346" t="str">
        <f t="shared" si="136"/>
        <v>Full or Incr?</v>
      </c>
      <c r="CA346" t="str">
        <f t="shared" si="136"/>
        <v>Est'd Completion Date</v>
      </c>
      <c r="CB346" t="str">
        <f t="shared" ref="CB346:EM346" si="137">CC3</f>
        <v>Measure Cost Electric</v>
      </c>
      <c r="CC346" t="str">
        <f t="shared" si="137"/>
        <v>Electric Load Type</v>
      </c>
      <c r="CD346" t="str">
        <f t="shared" si="137"/>
        <v>kWh Savings Estimated</v>
      </c>
      <c r="CE346" t="str">
        <f t="shared" si="137"/>
        <v>Library Measure Life kWh</v>
      </c>
      <c r="CF346" t="str">
        <f t="shared" si="137"/>
        <v>Entered Measure Life kWh</v>
      </c>
      <c r="CG346" t="str">
        <f t="shared" si="137"/>
        <v>Grant Amount Electric</v>
      </c>
      <c r="CH346" t="str">
        <f t="shared" si="137"/>
        <v>Baseline Electric Energy Use</v>
      </c>
      <c r="CI346" t="str">
        <f t="shared" si="137"/>
        <v>kW Reduction</v>
      </c>
      <c r="CJ346" t="str">
        <f t="shared" si="137"/>
        <v>Total Measure Cost</v>
      </c>
      <c r="CK346" t="str">
        <f t="shared" si="137"/>
        <v>Grant Percent of Measure Cost</v>
      </c>
      <c r="CL346" t="str">
        <f t="shared" si="137"/>
        <v>Savings % of base</v>
      </c>
      <c r="CM346" t="str">
        <f t="shared" si="137"/>
        <v/>
      </c>
      <c r="CN346" t="str">
        <f t="shared" si="137"/>
        <v>Supervisor/Program Manager</v>
      </c>
      <c r="CO346" t="str">
        <f t="shared" si="137"/>
        <v>Supervisor/Program Manager Email</v>
      </c>
      <c r="CP346" t="str">
        <f t="shared" si="137"/>
        <v>Skip "New Project" Email to Supervisor</v>
      </c>
      <c r="CQ346" t="str">
        <f t="shared" si="137"/>
        <v>Application Status</v>
      </c>
      <c r="CR346" t="str">
        <f t="shared" si="137"/>
        <v>Comments</v>
      </c>
      <c r="CS346" t="str">
        <f t="shared" si="137"/>
        <v>Task Status</v>
      </c>
      <c r="CT346" t="str">
        <f t="shared" si="137"/>
        <v>Calculate Formula</v>
      </c>
      <c r="CU346" t="str">
        <f t="shared" si="137"/>
        <v>EME Name</v>
      </c>
      <c r="CV346" t="str">
        <f t="shared" si="137"/>
        <v>QC Reviewer</v>
      </c>
      <c r="CW346" t="str">
        <f t="shared" si="137"/>
        <v>QC Assigned Date</v>
      </c>
      <c r="CX346" t="str">
        <f t="shared" si="137"/>
        <v>Payment Approver</v>
      </c>
      <c r="CY346" t="str">
        <f t="shared" si="137"/>
        <v>Supervisor/Program Manager</v>
      </c>
      <c r="CZ346" t="str">
        <f t="shared" si="137"/>
        <v>Are you revising an existing grant?</v>
      </c>
      <c r="DA346" t="str">
        <f t="shared" si="137"/>
        <v>Cause of Revision</v>
      </c>
      <c r="DB346" t="str">
        <f t="shared" si="137"/>
        <v>Grant Customer Participant</v>
      </c>
      <c r="DC346" t="str">
        <f t="shared" si="137"/>
        <v>Grant Contractor Participant</v>
      </c>
      <c r="DD346" t="str">
        <f t="shared" si="137"/>
        <v>Background Information (Essential to Understanding Context of Project)</v>
      </c>
      <c r="DE346" t="str">
        <f t="shared" si="137"/>
        <v>Project Specification for Grant Attachment</v>
      </c>
      <c r="DF346" t="str">
        <f t="shared" si="137"/>
        <v>Baseline Assumptions</v>
      </c>
      <c r="DG346" t="str">
        <f t="shared" si="137"/>
        <v>Proposed Assumptions</v>
      </c>
      <c r="DH346" t="str">
        <f t="shared" si="137"/>
        <v>Energy Analysis Methodology</v>
      </c>
      <c r="DI346" t="str">
        <f t="shared" si="137"/>
        <v>Washington State Energy Code Compliance Check</v>
      </c>
      <c r="DJ346" t="str">
        <f t="shared" si="137"/>
        <v>Verification Plan for Grant Attachment</v>
      </c>
      <c r="DK346" t="str">
        <f t="shared" si="137"/>
        <v>Operating Hours Rationale</v>
      </c>
      <c r="DL346" t="str">
        <f t="shared" si="137"/>
        <v/>
      </c>
      <c r="DM346" t="str">
        <f t="shared" si="137"/>
        <v>Library Measure Name</v>
      </c>
      <c r="DN346" t="str">
        <f t="shared" si="137"/>
        <v>Library Measure Ref#</v>
      </c>
      <c r="DO346" t="str">
        <f t="shared" si="137"/>
        <v>Full or Incr?</v>
      </c>
      <c r="DP346" t="str">
        <f t="shared" si="137"/>
        <v>Spacer-TaxBenefits</v>
      </c>
      <c r="DQ346" t="str">
        <f t="shared" si="137"/>
        <v>Est'd Completion Date</v>
      </c>
      <c r="DR346" t="str">
        <f t="shared" si="137"/>
        <v>Spacer-NTG Ratio</v>
      </c>
      <c r="DS346" t="str">
        <f t="shared" si="137"/>
        <v>Measure Cost Electric</v>
      </c>
      <c r="DT346" t="str">
        <f t="shared" si="137"/>
        <v>Electric Load Type</v>
      </c>
      <c r="DU346" t="str">
        <f t="shared" si="137"/>
        <v>kWh Savings Estimated</v>
      </c>
      <c r="DV346" t="str">
        <f t="shared" si="137"/>
        <v>Library Measure Life kWh</v>
      </c>
      <c r="DW346" t="str">
        <f t="shared" si="137"/>
        <v>Entered Measure Life kWh</v>
      </c>
      <c r="DX346" t="str">
        <f t="shared" si="137"/>
        <v>Calc Measure Life Electric</v>
      </c>
      <c r="DY346" t="str">
        <f t="shared" si="137"/>
        <v>Grant Amount Electric</v>
      </c>
      <c r="DZ346" t="str">
        <f t="shared" si="137"/>
        <v>Spacer-TRC Electric</v>
      </c>
      <c r="EA346" t="str">
        <f t="shared" si="137"/>
        <v>Baseline Electric Energy Use</v>
      </c>
      <c r="EB346" t="str">
        <f t="shared" si="137"/>
        <v>Spacer-TRC Therm</v>
      </c>
      <c r="EC346" t="str">
        <f t="shared" si="137"/>
        <v>kW Reduction</v>
      </c>
      <c r="ED346" t="str">
        <f t="shared" si="137"/>
        <v>Spacer-Realization Rate</v>
      </c>
      <c r="EE346" t="str">
        <f t="shared" si="137"/>
        <v>Total Measure Cost</v>
      </c>
      <c r="EF346" t="str">
        <f t="shared" si="137"/>
        <v>Grant Percent of Measure Cost</v>
      </c>
      <c r="EG346" t="str">
        <f t="shared" si="137"/>
        <v>Savings % of base</v>
      </c>
      <c r="EH346" t="str">
        <f t="shared" si="137"/>
        <v>Custom Electric Base Total</v>
      </c>
      <c r="EI346" t="str">
        <f t="shared" si="137"/>
        <v>Custom Electric Save Total</v>
      </c>
      <c r="EJ346" t="str">
        <f t="shared" si="137"/>
        <v>Validation Check</v>
      </c>
      <c r="EK346" t="str">
        <f t="shared" si="137"/>
        <v>Validation Error Message</v>
      </c>
      <c r="EL346" t="str">
        <f t="shared" si="137"/>
        <v>Spacer-Full Avoided Cost</v>
      </c>
      <c r="EM346" t="str">
        <f t="shared" si="137"/>
        <v>Spacer-Full Avoided Cost Measure Life Therm</v>
      </c>
      <c r="EN346" t="str">
        <f t="shared" ref="EN346:GY346" si="138">EO3</f>
        <v>Spacer-Full Avoided Cost Measure Life Electric</v>
      </c>
      <c r="EO346" t="str">
        <f t="shared" si="138"/>
        <v>Missing Info</v>
      </c>
      <c r="EP346" t="str">
        <f t="shared" si="138"/>
        <v>Custom Gas Save Base</v>
      </c>
      <c r="EQ346" t="str">
        <f t="shared" si="138"/>
        <v>Custom Gas Base Total</v>
      </c>
      <c r="ER346" t="str">
        <f t="shared" si="138"/>
        <v>Custom Gas Save Total</v>
      </c>
      <c r="ES346" t="str">
        <f t="shared" si="138"/>
        <v>Total Incentive Grant Estimated</v>
      </c>
      <c r="ET346" t="str">
        <f t="shared" si="138"/>
        <v>Missing Information Description</v>
      </c>
      <c r="EU346" t="str">
        <f t="shared" si="138"/>
        <v>Spacer-Full Avoided Cost Therm</v>
      </c>
      <c r="EV346" t="str">
        <f t="shared" si="138"/>
        <v>Therm Incentive Grant</v>
      </c>
      <c r="EW346" t="str">
        <f t="shared" si="138"/>
        <v>kWh Incentive Grant</v>
      </c>
      <c r="EX346" t="str">
        <f t="shared" si="138"/>
        <v>Therm Savings</v>
      </c>
      <c r="EY346" t="str">
        <f t="shared" si="138"/>
        <v>kWh Savings</v>
      </c>
      <c r="EZ346" t="str">
        <f t="shared" si="138"/>
        <v>Therm Measure Cost</v>
      </c>
      <c r="FA346" t="str">
        <f t="shared" si="138"/>
        <v>kWh Measure Cost</v>
      </c>
      <c r="FB346" t="str">
        <f t="shared" si="138"/>
        <v>Verification Needed</v>
      </c>
      <c r="FC346" t="str">
        <f t="shared" si="138"/>
        <v>UOM Type</v>
      </c>
      <c r="FD346" t="str">
        <f t="shared" si="138"/>
        <v>Measure Cost Therm</v>
      </c>
      <c r="FE346" t="str">
        <f t="shared" si="138"/>
        <v>Gas Load Type</v>
      </c>
      <c r="FF346" t="str">
        <f t="shared" si="138"/>
        <v>Therm Savings Estimated</v>
      </c>
      <c r="FG346" t="str">
        <f t="shared" si="138"/>
        <v>Library Measure Life Therm</v>
      </c>
      <c r="FH346" t="str">
        <f t="shared" si="138"/>
        <v>Entered Measure Life Therm</v>
      </c>
      <c r="FI346" t="str">
        <f t="shared" si="138"/>
        <v>Calc Measure Life Therm</v>
      </c>
      <c r="FJ346" t="str">
        <f t="shared" si="138"/>
        <v>Grant Amount Therm</v>
      </c>
      <c r="FK346" t="str">
        <f t="shared" si="138"/>
        <v>Baseline Therm Energy Use</v>
      </c>
      <c r="FL346" t="str">
        <f t="shared" si="138"/>
        <v/>
      </c>
      <c r="FM346" t="str">
        <f t="shared" si="138"/>
        <v>Other1</v>
      </c>
      <c r="FN346" t="str">
        <f t="shared" si="138"/>
        <v>Other2</v>
      </c>
      <c r="FO346" t="str">
        <f t="shared" si="138"/>
        <v>Other3</v>
      </c>
      <c r="FP346" t="str">
        <f t="shared" si="138"/>
        <v>Other4</v>
      </c>
      <c r="FQ346" t="str">
        <f t="shared" si="138"/>
        <v>Other5</v>
      </c>
      <c r="FR346" t="str">
        <f t="shared" si="138"/>
        <v>Other6</v>
      </c>
      <c r="FS346" t="str">
        <f t="shared" si="138"/>
        <v>Date of Verification</v>
      </c>
      <c r="FT346" t="str">
        <f t="shared" si="138"/>
        <v>Attended by: Name1/Company1</v>
      </c>
      <c r="FU346" t="str">
        <f t="shared" si="138"/>
        <v>Attended by: Name2/Company2</v>
      </c>
      <c r="FV346" t="str">
        <f t="shared" si="138"/>
        <v>Attended by: Name3/Company3</v>
      </c>
      <c r="FW346" t="str">
        <f t="shared" si="138"/>
        <v>CSY Project Number</v>
      </c>
      <c r="FX346" t="str">
        <f t="shared" si="138"/>
        <v>CSY Grant Number</v>
      </c>
      <c r="FY346" t="str">
        <f t="shared" si="138"/>
        <v>Grant Type</v>
      </c>
      <c r="FZ346" t="str">
        <f t="shared" si="138"/>
        <v>Annual kWh</v>
      </c>
      <c r="GA346" t="str">
        <f t="shared" si="138"/>
        <v>Annual Therms</v>
      </c>
      <c r="GB346" t="str">
        <f t="shared" si="138"/>
        <v>Peak kW Demand</v>
      </c>
      <c r="GC346" t="str">
        <f t="shared" si="138"/>
        <v>Facility or Affected Area sf</v>
      </c>
      <c r="GD346" t="str">
        <f t="shared" si="138"/>
        <v>Primary Customer Contact Person</v>
      </c>
      <c r="GE346" t="str">
        <f t="shared" si="138"/>
        <v>Primary Customer Contact Email</v>
      </c>
      <c r="GF346" t="str">
        <f t="shared" si="138"/>
        <v>Primary Customer Contact Phone</v>
      </c>
      <c r="GG346" t="str">
        <f t="shared" si="138"/>
        <v>Business Name</v>
      </c>
      <c r="GH346" t="str">
        <f t="shared" si="138"/>
        <v>Secondary Contact (if different than above)</v>
      </c>
      <c r="GI346" t="str">
        <f t="shared" si="138"/>
        <v>Secondary Contact Email (if different than above)</v>
      </c>
      <c r="GJ346" t="str">
        <f t="shared" si="138"/>
        <v>Secondary Contact Phone (if different than above)</v>
      </c>
      <c r="GK346" t="str">
        <f t="shared" si="138"/>
        <v>Project Service Address</v>
      </c>
      <c r="GL346" t="str">
        <f t="shared" si="138"/>
        <v>Project City</v>
      </c>
      <c r="GM346" t="str">
        <f t="shared" si="138"/>
        <v>Project State</v>
      </c>
      <c r="GN346" t="str">
        <f t="shared" si="138"/>
        <v>Project Zip</v>
      </c>
      <c r="GO346" t="str">
        <f t="shared" si="138"/>
        <v>Contractor Business Name</v>
      </c>
      <c r="GP346" t="str">
        <f t="shared" si="138"/>
        <v>Contractor Full Name</v>
      </c>
      <c r="GQ346" t="str">
        <f t="shared" si="138"/>
        <v>Contractor Phone</v>
      </c>
      <c r="GR346" t="str">
        <f t="shared" si="138"/>
        <v>Contractor Email</v>
      </c>
      <c r="GS346" t="str">
        <f t="shared" si="138"/>
        <v>Installing Contractor Business name (if different than above)</v>
      </c>
      <c r="GT346" t="str">
        <f t="shared" si="138"/>
        <v>Installing Contractor Full Name (if different than above)</v>
      </c>
      <c r="GU346" t="str">
        <f t="shared" si="138"/>
        <v>Installing Contractor Phone (if different than above)</v>
      </c>
      <c r="GV346" t="str">
        <f t="shared" si="138"/>
        <v>Installing Contractor Email (if different than above)</v>
      </c>
      <c r="GW346" t="str">
        <f t="shared" si="138"/>
        <v>Project Name</v>
      </c>
      <c r="GX346" t="str">
        <f t="shared" si="138"/>
        <v>Project Folder on H</v>
      </c>
      <c r="GY346" t="str">
        <f t="shared" si="138"/>
        <v>Short Project Description</v>
      </c>
      <c r="GZ346" t="str">
        <f t="shared" ref="GZ346:JK346" si="139">HA3</f>
        <v>PSE Business Types</v>
      </c>
      <c r="HA346" t="str">
        <f t="shared" si="139"/>
        <v>PSE Account Number (Electric)</v>
      </c>
      <c r="HB346" t="str">
        <f t="shared" si="139"/>
        <v>PSE Account Number (Gas)</v>
      </c>
      <c r="HC346" t="str">
        <f t="shared" si="139"/>
        <v>Electric Meter Number</v>
      </c>
      <c r="HD346" t="str">
        <f t="shared" si="139"/>
        <v>Gas Meter Number</v>
      </c>
      <c r="HE346" t="str">
        <f t="shared" si="139"/>
        <v>Electric Rate Schedule</v>
      </c>
      <c r="HF346" t="str">
        <f t="shared" si="139"/>
        <v>Gas Rate Schedule</v>
      </c>
      <c r="HG346" t="str">
        <f t="shared" si="139"/>
        <v>Have you been working with a PSE Engineer? If so, who?</v>
      </c>
      <c r="HH346" t="str">
        <f t="shared" si="139"/>
        <v>Authorization to release Energy Use &amp; Billing Information</v>
      </c>
      <c r="HI346" t="str">
        <f t="shared" si="139"/>
        <v>Estimated Energy Savings</v>
      </c>
      <c r="HJ346" t="str">
        <f t="shared" si="139"/>
        <v>Project Type</v>
      </c>
      <c r="HK346" t="str">
        <f t="shared" si="139"/>
        <v>Estimated Installed Cost</v>
      </c>
      <c r="HL346" t="str">
        <f t="shared" si="139"/>
        <v>Estimated Start Date</v>
      </c>
      <c r="HM346" t="str">
        <f t="shared" si="139"/>
        <v>PSE Account Number</v>
      </c>
      <c r="HN346" t="str">
        <f t="shared" si="139"/>
        <v>Bill Country</v>
      </c>
      <c r="HO346" t="str">
        <f t="shared" si="139"/>
        <v>Business Name</v>
      </c>
      <c r="HP346" t="str">
        <f t="shared" si="139"/>
        <v>Customer Company Name</v>
      </c>
      <c r="HQ346" t="str">
        <f t="shared" si="139"/>
        <v>Customer Number</v>
      </c>
      <c r="HR346" t="str">
        <f t="shared" si="139"/>
        <v>Mailing Address 1</v>
      </c>
      <c r="HS346" t="str">
        <f t="shared" si="139"/>
        <v>Mailing Address 2</v>
      </c>
      <c r="HT346" t="str">
        <f t="shared" si="139"/>
        <v>Mailing City</v>
      </c>
      <c r="HU346" t="str">
        <f t="shared" si="139"/>
        <v>Mailing State</v>
      </c>
      <c r="HV346" t="str">
        <f t="shared" si="139"/>
        <v>Mailing Zip</v>
      </c>
      <c r="HW346" t="str">
        <f t="shared" si="139"/>
        <v>Premise Number</v>
      </c>
      <c r="HX346" t="str">
        <f t="shared" si="139"/>
        <v>Service Address 1</v>
      </c>
      <c r="HY346" t="str">
        <f t="shared" si="139"/>
        <v>Service City</v>
      </c>
      <c r="HZ346" t="str">
        <f t="shared" si="139"/>
        <v>Service State</v>
      </c>
      <c r="IA346" t="str">
        <f t="shared" si="139"/>
        <v>Service Zip</v>
      </c>
      <c r="IB346" t="str">
        <f t="shared" si="139"/>
        <v>Phone Number</v>
      </c>
      <c r="IC346" t="str">
        <f t="shared" si="139"/>
        <v>Email</v>
      </c>
      <c r="ID346" t="str">
        <f t="shared" si="139"/>
        <v>Utility Meter Num</v>
      </c>
      <c r="IE346" t="str">
        <f t="shared" si="139"/>
        <v>Business Name</v>
      </c>
      <c r="IF346" t="str">
        <f t="shared" si="139"/>
        <v>Company URL</v>
      </c>
      <c r="IG346" t="str">
        <f t="shared" si="139"/>
        <v>Primary Contact First Name</v>
      </c>
      <c r="IH346" t="str">
        <f t="shared" si="139"/>
        <v>Primary Contact Last Name</v>
      </c>
      <c r="II346" t="str">
        <f t="shared" si="139"/>
        <v>Contact Phone Number</v>
      </c>
      <c r="IJ346" t="str">
        <f t="shared" si="139"/>
        <v>Contact Email</v>
      </c>
      <c r="IK346" t="str">
        <f t="shared" si="139"/>
        <v>Partner Number</v>
      </c>
      <c r="IL346" t="str">
        <f t="shared" si="139"/>
        <v>Service Type</v>
      </c>
      <c r="IM346" t="str">
        <f t="shared" si="139"/>
        <v>Company URL</v>
      </c>
      <c r="IN346" t="str">
        <f t="shared" si="139"/>
        <v>Company Name</v>
      </c>
      <c r="IO346" t="str">
        <f t="shared" si="139"/>
        <v>Vendor Maintenance Number</v>
      </c>
      <c r="IP346" t="str">
        <f t="shared" si="139"/>
        <v>Phone Number</v>
      </c>
      <c r="IQ346" t="str">
        <f t="shared" si="139"/>
        <v>Email</v>
      </c>
      <c r="IR346" t="str">
        <f t="shared" si="139"/>
        <v>Mailing Address</v>
      </c>
      <c r="IS346" t="str">
        <f t="shared" si="139"/>
        <v>Mailing Address 2</v>
      </c>
      <c r="IT346" t="str">
        <f t="shared" si="139"/>
        <v>Mailing City</v>
      </c>
      <c r="IU346" t="str">
        <f t="shared" si="139"/>
        <v>Mailing State</v>
      </c>
      <c r="IV346" t="str">
        <f t="shared" si="139"/>
        <v>Mailing Zip</v>
      </c>
      <c r="IW346" t="str">
        <f t="shared" si="139"/>
        <v>SAP Vendor Information</v>
      </c>
      <c r="IX346" t="str">
        <f t="shared" si="139"/>
        <v>Service Type</v>
      </c>
      <c r="IY346" t="str">
        <f t="shared" si="139"/>
        <v>Company Name</v>
      </c>
      <c r="IZ346" t="str">
        <f t="shared" si="139"/>
        <v>Attention To</v>
      </c>
      <c r="JA346" t="str">
        <f t="shared" si="139"/>
        <v>Vendor Information</v>
      </c>
      <c r="JB346" t="str">
        <f t="shared" si="139"/>
        <v>Address1</v>
      </c>
      <c r="JC346" t="str">
        <f t="shared" si="139"/>
        <v>Address2</v>
      </c>
      <c r="JD346" t="str">
        <f t="shared" si="139"/>
        <v>City</v>
      </c>
      <c r="JE346" t="str">
        <f t="shared" si="139"/>
        <v>State</v>
      </c>
      <c r="JF346" t="str">
        <f t="shared" si="139"/>
        <v>Zip</v>
      </c>
      <c r="JG346" t="str">
        <f t="shared" si="139"/>
        <v>Payment Choice</v>
      </c>
      <c r="JH346" t="str">
        <f t="shared" si="139"/>
        <v>Total kWh Savings</v>
      </c>
      <c r="JI346" t="str">
        <f t="shared" si="139"/>
        <v>Total Therm Savings</v>
      </c>
      <c r="JJ346" t="str">
        <f t="shared" si="139"/>
        <v>Total Incentive</v>
      </c>
      <c r="JK346" t="str">
        <f t="shared" si="139"/>
        <v>Total Measure Cost</v>
      </c>
      <c r="JL346" t="str">
        <f t="shared" ref="JL346:LW346" si="140">JM3</f>
        <v>SOW</v>
      </c>
      <c r="JM346" t="str">
        <f t="shared" si="140"/>
        <v>Premise Check</v>
      </c>
      <c r="JN346" t="str">
        <f t="shared" si="140"/>
        <v>Duplicate Project Check Confirmed?</v>
      </c>
      <c r="JO346" t="str">
        <f t="shared" si="140"/>
        <v>Application Status</v>
      </c>
      <c r="JP346" t="str">
        <f t="shared" si="140"/>
        <v>Rejection Reasons to be Included in Email</v>
      </c>
      <c r="JQ346" t="str">
        <f t="shared" si="140"/>
        <v>Form Notes</v>
      </c>
      <c r="JR346" t="str">
        <f t="shared" si="140"/>
        <v>CI User Role</v>
      </c>
      <c r="JS346" t="str">
        <f t="shared" si="140"/>
        <v>Task Status</v>
      </c>
      <c r="JT346" t="str">
        <f t="shared" si="140"/>
        <v>Calculate Formula</v>
      </c>
      <c r="JU346" t="str">
        <f t="shared" si="140"/>
        <v>EME Name</v>
      </c>
      <c r="JV346" t="str">
        <f t="shared" si="140"/>
        <v>QC Reviewer</v>
      </c>
      <c r="JW346" t="str">
        <f t="shared" si="140"/>
        <v>QC Assigned Date</v>
      </c>
      <c r="JX346" t="str">
        <f t="shared" si="140"/>
        <v>Payment Approver</v>
      </c>
      <c r="JY346" t="str">
        <f t="shared" si="140"/>
        <v>PSE Account Number</v>
      </c>
      <c r="JZ346" t="str">
        <f t="shared" si="140"/>
        <v>Bill Country</v>
      </c>
      <c r="KA346" t="str">
        <f t="shared" si="140"/>
        <v>Business Name</v>
      </c>
      <c r="KB346" t="str">
        <f t="shared" si="140"/>
        <v>Customer Company Name</v>
      </c>
      <c r="KC346" t="str">
        <f t="shared" si="140"/>
        <v>Customer Number</v>
      </c>
      <c r="KD346" t="str">
        <f t="shared" si="140"/>
        <v>Mailing Address 1</v>
      </c>
      <c r="KE346" t="str">
        <f t="shared" si="140"/>
        <v>Mailing Address 2</v>
      </c>
      <c r="KF346" t="str">
        <f t="shared" si="140"/>
        <v>Mailing City</v>
      </c>
      <c r="KG346" t="str">
        <f t="shared" si="140"/>
        <v>Mailing State</v>
      </c>
      <c r="KH346" t="str">
        <f t="shared" si="140"/>
        <v>Mailing Zip</v>
      </c>
      <c r="KI346" t="str">
        <f t="shared" si="140"/>
        <v>Premise Number</v>
      </c>
      <c r="KJ346" t="str">
        <f t="shared" si="140"/>
        <v>Service Address 1</v>
      </c>
      <c r="KK346" t="str">
        <f t="shared" si="140"/>
        <v>Service City</v>
      </c>
      <c r="KL346" t="str">
        <f t="shared" si="140"/>
        <v>Service State</v>
      </c>
      <c r="KM346" t="str">
        <f t="shared" si="140"/>
        <v>Service Zip</v>
      </c>
      <c r="KN346" t="str">
        <f t="shared" si="140"/>
        <v>Phone Number</v>
      </c>
      <c r="KO346" t="str">
        <f t="shared" si="140"/>
        <v>Email</v>
      </c>
      <c r="KP346" t="str">
        <f t="shared" si="140"/>
        <v>Utility Meter Num</v>
      </c>
      <c r="KQ346" t="str">
        <f t="shared" si="140"/>
        <v>Business Name</v>
      </c>
      <c r="KR346" t="str">
        <f t="shared" si="140"/>
        <v>Company URL</v>
      </c>
      <c r="KS346" t="str">
        <f t="shared" si="140"/>
        <v>Primary Contact First Name</v>
      </c>
      <c r="KT346" t="str">
        <f t="shared" si="140"/>
        <v>Primary Contact Last Name</v>
      </c>
      <c r="KU346" t="str">
        <f t="shared" si="140"/>
        <v>Contact Phone Number</v>
      </c>
      <c r="KV346" t="str">
        <f t="shared" si="140"/>
        <v>Contact Email</v>
      </c>
      <c r="KW346" t="str">
        <f t="shared" si="140"/>
        <v>Partner Number</v>
      </c>
      <c r="KX346" t="str">
        <f t="shared" si="140"/>
        <v>Service Type</v>
      </c>
      <c r="KY346" t="str">
        <f t="shared" si="140"/>
        <v>Company URL</v>
      </c>
      <c r="KZ346" t="str">
        <f t="shared" si="140"/>
        <v>Company Name</v>
      </c>
      <c r="LA346" t="str">
        <f t="shared" si="140"/>
        <v>Vendor Maintenance Number</v>
      </c>
      <c r="LB346" t="str">
        <f t="shared" si="140"/>
        <v>Phone Number</v>
      </c>
      <c r="LC346" t="str">
        <f t="shared" si="140"/>
        <v>Email</v>
      </c>
      <c r="LD346" t="str">
        <f t="shared" si="140"/>
        <v>Mailing Address</v>
      </c>
      <c r="LE346" t="str">
        <f t="shared" si="140"/>
        <v>Mailing Address 2</v>
      </c>
      <c r="LF346" t="str">
        <f t="shared" si="140"/>
        <v>Mailing City</v>
      </c>
      <c r="LG346" t="str">
        <f t="shared" si="140"/>
        <v>Mailing State</v>
      </c>
      <c r="LH346" t="str">
        <f t="shared" si="140"/>
        <v>Mailing Zip</v>
      </c>
      <c r="LI346" t="str">
        <f t="shared" si="140"/>
        <v>SAP Vendor Information</v>
      </c>
      <c r="LJ346" t="str">
        <f t="shared" si="140"/>
        <v>Service Type</v>
      </c>
      <c r="LK346" t="str">
        <f t="shared" si="140"/>
        <v>CSY Project Number</v>
      </c>
      <c r="LL346" t="str">
        <f t="shared" si="140"/>
        <v>CSY Grant Number</v>
      </c>
      <c r="LM346" t="str">
        <f t="shared" si="140"/>
        <v>Primary Customer Contact Person</v>
      </c>
      <c r="LN346" t="str">
        <f t="shared" si="140"/>
        <v>Primary Customer Contact Email</v>
      </c>
      <c r="LO346" t="str">
        <f t="shared" si="140"/>
        <v>Primary Customer Contact Phone</v>
      </c>
      <c r="LP346" t="str">
        <f t="shared" si="140"/>
        <v>Business Name</v>
      </c>
      <c r="LQ346" t="str">
        <f t="shared" si="140"/>
        <v>Secondary Contact (if different than above)</v>
      </c>
      <c r="LR346" t="str">
        <f t="shared" si="140"/>
        <v>Secondary Contact Email (if different than above)</v>
      </c>
      <c r="LS346" t="str">
        <f t="shared" si="140"/>
        <v>Secondary Contact Phone (if different than above)</v>
      </c>
      <c r="LT346" t="str">
        <f t="shared" si="140"/>
        <v>Project Street Address</v>
      </c>
      <c r="LU346" t="str">
        <f t="shared" si="140"/>
        <v>Project City</v>
      </c>
      <c r="LV346" t="str">
        <f t="shared" si="140"/>
        <v>Project State</v>
      </c>
      <c r="LW346" t="str">
        <f t="shared" si="140"/>
        <v>Project Zip</v>
      </c>
      <c r="LX346" t="str">
        <f t="shared" ref="LX346:OI346" si="141">LY3</f>
        <v>Contractor Business Name</v>
      </c>
      <c r="LY346" t="str">
        <f t="shared" si="141"/>
        <v>Contractor Full Name</v>
      </c>
      <c r="LZ346" t="str">
        <f t="shared" si="141"/>
        <v>Contractor Phone</v>
      </c>
      <c r="MA346" t="str">
        <f t="shared" si="141"/>
        <v>Contractor Email</v>
      </c>
      <c r="MB346" t="str">
        <f t="shared" si="141"/>
        <v>Estimated Installed Cost</v>
      </c>
      <c r="MC346" t="str">
        <f t="shared" si="141"/>
        <v>Installing Contractor Business name (if different than above)</v>
      </c>
      <c r="MD346" t="str">
        <f t="shared" si="141"/>
        <v>Installing Contractor Full Name (if different than above)</v>
      </c>
      <c r="ME346" t="str">
        <f t="shared" si="141"/>
        <v>Project Name</v>
      </c>
      <c r="MF346" t="str">
        <f t="shared" si="141"/>
        <v>Project Folder on H</v>
      </c>
      <c r="MG346" t="str">
        <f t="shared" si="141"/>
        <v>Grant Type</v>
      </c>
      <c r="MH346" t="str">
        <f t="shared" si="141"/>
        <v>Short Project Description</v>
      </c>
      <c r="MI346" t="str">
        <f t="shared" si="141"/>
        <v>PSE Business Types</v>
      </c>
      <c r="MJ346" t="str">
        <f t="shared" si="141"/>
        <v>Authorization to release Energy Use &amp; Billing Information</v>
      </c>
      <c r="MK346" t="str">
        <f t="shared" si="141"/>
        <v>Electric Meter Number</v>
      </c>
      <c r="ML346" t="str">
        <f t="shared" si="141"/>
        <v>Installing Contractor Email (if different than above)</v>
      </c>
      <c r="MM346" t="str">
        <f t="shared" si="141"/>
        <v>Electric Rate Schedule</v>
      </c>
      <c r="MN346" t="str">
        <f t="shared" si="141"/>
        <v>Installing Contractor Phone (if different than above)</v>
      </c>
      <c r="MO346" t="str">
        <f t="shared" si="141"/>
        <v>PSE Account Number (Electric)</v>
      </c>
      <c r="MP346" t="str">
        <f t="shared" si="141"/>
        <v>PSE Account Number (Gas)</v>
      </c>
      <c r="MQ346" t="str">
        <f t="shared" si="141"/>
        <v>Gas Meter Number</v>
      </c>
      <c r="MR346" t="str">
        <f t="shared" si="141"/>
        <v>Gas Rate Schedule</v>
      </c>
      <c r="MS346" t="str">
        <f t="shared" si="141"/>
        <v>Estimated Start Date</v>
      </c>
      <c r="MT346" t="str">
        <f t="shared" si="141"/>
        <v>Have you been working with a PSE Engineer? If so, who?</v>
      </c>
      <c r="MU346" t="str">
        <f t="shared" si="141"/>
        <v/>
      </c>
      <c r="MV346" t="str">
        <f t="shared" si="141"/>
        <v>Library Measure Name</v>
      </c>
      <c r="MW346" t="str">
        <f t="shared" si="141"/>
        <v>Total Measure Cost</v>
      </c>
      <c r="MX346" t="str">
        <f t="shared" si="141"/>
        <v>Measure Cost Electric</v>
      </c>
      <c r="MY346" t="str">
        <f t="shared" si="141"/>
        <v>Measure Cost Therm</v>
      </c>
      <c r="MZ346" t="str">
        <f t="shared" si="141"/>
        <v>Electric Load Type</v>
      </c>
      <c r="NA346" t="str">
        <f t="shared" si="141"/>
        <v>Gas Load Type</v>
      </c>
      <c r="NB346" t="str">
        <f t="shared" si="141"/>
        <v>kWh Savings Estimated</v>
      </c>
      <c r="NC346" t="str">
        <f t="shared" si="141"/>
        <v>Therm Savings Estimated</v>
      </c>
      <c r="ND346" t="str">
        <f t="shared" si="141"/>
        <v>Entered Measure Life kWh</v>
      </c>
      <c r="NE346" t="str">
        <f t="shared" si="141"/>
        <v>Entered Measure Life Therm</v>
      </c>
      <c r="NF346" t="str">
        <f t="shared" si="141"/>
        <v>Calc Measure Life Electric</v>
      </c>
      <c r="NG346" t="str">
        <f t="shared" si="141"/>
        <v>Measure Life Therm</v>
      </c>
      <c r="NH346" t="str">
        <f t="shared" si="141"/>
        <v>Grant Amount Electric</v>
      </c>
      <c r="NI346" t="str">
        <f t="shared" si="141"/>
        <v>Grant Amount Therm</v>
      </c>
      <c r="NJ346" t="str">
        <f t="shared" si="141"/>
        <v>Baseline Electric Energy Use</v>
      </c>
      <c r="NK346" t="str">
        <f t="shared" si="141"/>
        <v>Baseline Therm Energy Use</v>
      </c>
      <c r="NL346" t="str">
        <f t="shared" si="141"/>
        <v>Grant Percent of Measure Cost</v>
      </c>
      <c r="NM346" t="str">
        <f t="shared" si="141"/>
        <v>Total Incentive Grant Estimated</v>
      </c>
      <c r="NN346" t="str">
        <f t="shared" si="141"/>
        <v>Completion Date Estimated</v>
      </c>
      <c r="NO346" t="str">
        <f t="shared" si="141"/>
        <v>Full or Incr?</v>
      </c>
      <c r="NP346" t="str">
        <f t="shared" si="141"/>
        <v>kW Reduction</v>
      </c>
      <c r="NQ346" t="str">
        <f t="shared" si="141"/>
        <v>TRC Therm</v>
      </c>
      <c r="NR346" t="str">
        <f t="shared" si="141"/>
        <v>Savings % of base</v>
      </c>
      <c r="NS346" t="str">
        <f t="shared" si="141"/>
        <v>Missing Info</v>
      </c>
      <c r="NT346" t="str">
        <f t="shared" si="141"/>
        <v>Custom Electric Base Total</v>
      </c>
      <c r="NU346" t="str">
        <f t="shared" si="141"/>
        <v>Custom Electric Save Total</v>
      </c>
      <c r="NV346" t="str">
        <f t="shared" si="141"/>
        <v>Validation Check</v>
      </c>
      <c r="NW346" t="str">
        <f t="shared" si="141"/>
        <v>Validation Error Message</v>
      </c>
      <c r="NX346" t="str">
        <f t="shared" si="141"/>
        <v>TRC Electric</v>
      </c>
      <c r="NY346" t="str">
        <f t="shared" si="141"/>
        <v>Missing Information Description</v>
      </c>
      <c r="NZ346" t="str">
        <f t="shared" si="141"/>
        <v>Therm Incentive Grant</v>
      </c>
      <c r="OA346" t="str">
        <f t="shared" si="141"/>
        <v>kWh Incentive Grant</v>
      </c>
      <c r="OB346" t="str">
        <f t="shared" si="141"/>
        <v>Therm Savings</v>
      </c>
      <c r="OC346" t="str">
        <f t="shared" si="141"/>
        <v>kWh Savings</v>
      </c>
      <c r="OD346" t="str">
        <f t="shared" si="141"/>
        <v>kWh Measure Cost</v>
      </c>
      <c r="OE346" t="str">
        <f t="shared" si="141"/>
        <v>Verification Needed</v>
      </c>
      <c r="OF346" t="str">
        <f t="shared" si="141"/>
        <v>UOM Type</v>
      </c>
      <c r="OG346" t="str">
        <f t="shared" si="141"/>
        <v>Therm Measure Cost</v>
      </c>
      <c r="OH346" t="str">
        <f t="shared" si="141"/>
        <v>Library Measure Ref#</v>
      </c>
      <c r="OI346" t="str">
        <f t="shared" si="141"/>
        <v>Library Measure Life kWh</v>
      </c>
      <c r="OJ346" t="str">
        <f t="shared" ref="OJ346:QU346" si="142">OK3</f>
        <v/>
      </c>
      <c r="OK346" t="str">
        <f t="shared" si="142"/>
        <v>Total kWh Savings</v>
      </c>
      <c r="OL346" t="str">
        <f t="shared" si="142"/>
        <v>Total Therm Savings</v>
      </c>
      <c r="OM346" t="str">
        <f t="shared" si="142"/>
        <v>Total Incentive</v>
      </c>
      <c r="ON346" t="str">
        <f t="shared" si="142"/>
        <v>Total Estimated Installed Cost</v>
      </c>
      <c r="OO346" t="str">
        <f t="shared" si="142"/>
        <v>Grant Revision</v>
      </c>
      <c r="OP346" t="str">
        <f t="shared" si="142"/>
        <v>Revision Necessary</v>
      </c>
      <c r="OQ346" t="str">
        <f t="shared" si="142"/>
        <v>Project Background</v>
      </c>
      <c r="OR346" t="str">
        <f t="shared" si="142"/>
        <v>Project Specs</v>
      </c>
      <c r="OS346" t="str">
        <f t="shared" si="142"/>
        <v>Verification Plan</v>
      </c>
      <c r="OT346" t="str">
        <f t="shared" si="142"/>
        <v>Lighting Operating Hours Rational</v>
      </c>
      <c r="OU346" t="str">
        <f t="shared" si="142"/>
        <v>Baseline Assumptions</v>
      </c>
      <c r="OV346" t="str">
        <f t="shared" si="142"/>
        <v>Proposed Assumptions</v>
      </c>
      <c r="OW346" t="str">
        <f t="shared" si="142"/>
        <v>Energy Analysis Methodology</v>
      </c>
      <c r="OX346" t="str">
        <f t="shared" si="142"/>
        <v>Compliance Check</v>
      </c>
      <c r="OY346" t="str">
        <f t="shared" si="142"/>
        <v>Other1</v>
      </c>
      <c r="OZ346" t="str">
        <f t="shared" si="142"/>
        <v>Other2</v>
      </c>
      <c r="PA346" t="str">
        <f t="shared" si="142"/>
        <v>Other3</v>
      </c>
      <c r="PB346" t="str">
        <f t="shared" si="142"/>
        <v>Other4</v>
      </c>
      <c r="PC346" t="str">
        <f t="shared" si="142"/>
        <v>Other5</v>
      </c>
      <c r="PD346" t="str">
        <f t="shared" si="142"/>
        <v>Other6</v>
      </c>
      <c r="PE346" t="str">
        <f t="shared" si="142"/>
        <v>Application Status</v>
      </c>
      <c r="PF346" t="str">
        <f t="shared" si="142"/>
        <v>Status</v>
      </c>
      <c r="PG346" t="str">
        <f t="shared" si="142"/>
        <v>Calculate Formula</v>
      </c>
      <c r="PH346" t="str">
        <f t="shared" si="142"/>
        <v>Current Payment Group</v>
      </c>
      <c r="PI346" t="str">
        <f t="shared" si="142"/>
        <v>Payment Approver</v>
      </c>
      <c r="PJ346" t="str">
        <f t="shared" si="142"/>
        <v>EME Name</v>
      </c>
      <c r="PK346" t="str">
        <f t="shared" si="142"/>
        <v>EME Email</v>
      </c>
      <c r="PL346" t="str">
        <f t="shared" si="142"/>
        <v>QC Reviewer</v>
      </c>
      <c r="PM346" t="str">
        <f t="shared" si="142"/>
        <v>QC Assigned Date</v>
      </c>
      <c r="PN346" t="str">
        <f t="shared" si="142"/>
        <v xml:space="preserve">Payment QC Reviewer </v>
      </c>
      <c r="PO346" t="str">
        <f t="shared" si="142"/>
        <v>Payment QC Assigned Date</v>
      </c>
      <c r="PP346" t="str">
        <f t="shared" si="142"/>
        <v>Payment QC Reviewer Email</v>
      </c>
      <c r="PQ346" t="str">
        <f t="shared" si="142"/>
        <v>Payment Approver Email</v>
      </c>
      <c r="PR346" t="str">
        <f t="shared" si="142"/>
        <v>Final Inspection Name</v>
      </c>
      <c r="PS346" t="str">
        <f t="shared" si="142"/>
        <v>Final Inspection Date</v>
      </c>
      <c r="PT346" t="str">
        <f t="shared" si="142"/>
        <v>Check Attention To</v>
      </c>
      <c r="PU346" t="str">
        <f t="shared" si="142"/>
        <v>EME Payment Comments</v>
      </c>
      <c r="PV346" t="str">
        <f t="shared" si="142"/>
        <v>Payment Request CoverSheet</v>
      </c>
      <c r="PW346" t="str">
        <f t="shared" si="142"/>
        <v>Grant Attachment</v>
      </c>
      <c r="PX346" t="str">
        <f t="shared" si="142"/>
        <v>SAP VM #</v>
      </c>
      <c r="PY346" t="str">
        <f t="shared" si="142"/>
        <v>Payment description</v>
      </c>
      <c r="PZ346" t="str">
        <f t="shared" si="142"/>
        <v>Make Check Payable To</v>
      </c>
      <c r="QA346" t="str">
        <f t="shared" si="142"/>
        <v>Attention To</v>
      </c>
      <c r="QB346" t="str">
        <f t="shared" si="142"/>
        <v>Address1</v>
      </c>
      <c r="QC346" t="str">
        <f t="shared" si="142"/>
        <v>Address2</v>
      </c>
      <c r="QD346" t="str">
        <f t="shared" si="142"/>
        <v>City</v>
      </c>
      <c r="QE346" t="str">
        <f t="shared" si="142"/>
        <v>State</v>
      </c>
      <c r="QF346" t="str">
        <f t="shared" si="142"/>
        <v>Zip</v>
      </c>
      <c r="QG346" t="str">
        <f t="shared" si="142"/>
        <v>Country</v>
      </c>
      <c r="QH346" t="str">
        <f t="shared" si="142"/>
        <v>Payment Choice</v>
      </c>
      <c r="QI346" t="str">
        <f t="shared" si="142"/>
        <v>VM# Confirmed in SAP?</v>
      </c>
      <c r="QJ346" t="str">
        <f t="shared" si="142"/>
        <v>Company URL</v>
      </c>
      <c r="QK346" t="str">
        <f t="shared" si="142"/>
        <v>Company Name</v>
      </c>
      <c r="QL346" t="str">
        <f t="shared" si="142"/>
        <v>Vendor Maintenance Number</v>
      </c>
      <c r="QM346" t="str">
        <f t="shared" si="142"/>
        <v>Phone Number</v>
      </c>
      <c r="QN346" t="str">
        <f t="shared" si="142"/>
        <v>Email</v>
      </c>
      <c r="QO346" t="str">
        <f t="shared" si="142"/>
        <v>Mailing Address 1</v>
      </c>
      <c r="QP346" t="str">
        <f t="shared" si="142"/>
        <v>Mailing Address 2</v>
      </c>
      <c r="QQ346" t="str">
        <f t="shared" si="142"/>
        <v>Mailing City</v>
      </c>
      <c r="QR346" t="str">
        <f t="shared" si="142"/>
        <v>Mailing State</v>
      </c>
      <c r="QS346" t="str">
        <f t="shared" si="142"/>
        <v>Mailing Zip</v>
      </c>
      <c r="QT346" t="str">
        <f t="shared" si="142"/>
        <v>SAP Vendor Information</v>
      </c>
      <c r="QU346" t="str">
        <f t="shared" si="142"/>
        <v>Service Type</v>
      </c>
      <c r="QV346" t="str">
        <f t="shared" ref="QV346:TG346" si="143">QW3</f>
        <v>CSY Project Number</v>
      </c>
      <c r="QW346" t="str">
        <f t="shared" si="143"/>
        <v>CSY Grant Number</v>
      </c>
      <c r="QX346" t="str">
        <f t="shared" si="143"/>
        <v>Grant Type</v>
      </c>
      <c r="QY346" t="str">
        <f t="shared" si="143"/>
        <v>Project Name</v>
      </c>
      <c r="QZ346" t="str">
        <f t="shared" si="143"/>
        <v>Project Folder on H</v>
      </c>
      <c r="RA346" t="str">
        <f t="shared" si="143"/>
        <v>Primary Customer Contact Person</v>
      </c>
      <c r="RB346" t="str">
        <f t="shared" si="143"/>
        <v>Primary Customer Contact Email</v>
      </c>
      <c r="RC346" t="str">
        <f t="shared" si="143"/>
        <v>Primary Customer Contact Phone</v>
      </c>
      <c r="RD346" t="str">
        <f t="shared" si="143"/>
        <v>PSE Business Types</v>
      </c>
      <c r="RE346" t="str">
        <f t="shared" si="143"/>
        <v>Total Electric Usage</v>
      </c>
      <c r="RF346" t="str">
        <f t="shared" si="143"/>
        <v>Facility or Affected Area sf</v>
      </c>
      <c r="RG346" t="str">
        <f t="shared" si="143"/>
        <v>Electric Rate Schedule</v>
      </c>
      <c r="RH346" t="str">
        <f t="shared" si="143"/>
        <v>Total Therm Usage</v>
      </c>
      <c r="RI346" t="str">
        <f t="shared" si="143"/>
        <v>Gas Rate Schedule</v>
      </c>
      <c r="RJ346" t="str">
        <f t="shared" si="143"/>
        <v/>
      </c>
      <c r="RK346" t="str">
        <f t="shared" si="143"/>
        <v>Library Measure Name</v>
      </c>
      <c r="RL346" t="str">
        <f t="shared" si="143"/>
        <v>Installer</v>
      </c>
      <c r="RM346" t="str">
        <f t="shared" si="143"/>
        <v>Installation Date</v>
      </c>
      <c r="RN346" t="str">
        <f t="shared" si="143"/>
        <v>Payment Group Assignment</v>
      </c>
      <c r="RO346" t="str">
        <f t="shared" si="143"/>
        <v>Completion Date Estimated</v>
      </c>
      <c r="RP346" t="str">
        <f t="shared" si="143"/>
        <v>UOM Type</v>
      </c>
      <c r="RQ346" t="str">
        <f t="shared" si="143"/>
        <v>Full or Incr?</v>
      </c>
      <c r="RR346" t="str">
        <f t="shared" si="143"/>
        <v>TRC Therm</v>
      </c>
      <c r="RS346" t="str">
        <f t="shared" si="143"/>
        <v>Measure Cost Electric Estimated</v>
      </c>
      <c r="RT346" t="str">
        <f t="shared" si="143"/>
        <v>Measure Cost Therm Estimated</v>
      </c>
      <c r="RU346" t="str">
        <f t="shared" si="143"/>
        <v>kWh Savings Estimated</v>
      </c>
      <c r="RV346" t="str">
        <f t="shared" si="143"/>
        <v>Therm Savings Estimated</v>
      </c>
      <c r="RW346" t="str">
        <f t="shared" si="143"/>
        <v>Grant Amount Electric</v>
      </c>
      <c r="RX346" t="str">
        <f t="shared" si="143"/>
        <v>Grant Amount Therm</v>
      </c>
      <c r="RY346" t="str">
        <f t="shared" si="143"/>
        <v>Total Measure Cost Estimated</v>
      </c>
      <c r="RZ346" t="str">
        <f t="shared" si="143"/>
        <v>Total Incentive Grant Estimated</v>
      </c>
      <c r="SA346" t="str">
        <f t="shared" si="143"/>
        <v>Grant Percent of Measure Cost</v>
      </c>
      <c r="SB346" t="str">
        <f t="shared" si="143"/>
        <v>Calc Measure Life Electric</v>
      </c>
      <c r="SC346" t="str">
        <f t="shared" si="143"/>
        <v>Measure Cost Final (Electric)</v>
      </c>
      <c r="SD346" t="str">
        <f t="shared" si="143"/>
        <v>Measure Cost Final (Therm)</v>
      </c>
      <c r="SE346" t="str">
        <f t="shared" si="143"/>
        <v>Final Savings (Electric)</v>
      </c>
      <c r="SF346" t="str">
        <f t="shared" si="143"/>
        <v>Final Savings (Therm)</v>
      </c>
      <c r="SG346" t="str">
        <f t="shared" si="143"/>
        <v>Final Grant Amount (Electric)</v>
      </c>
      <c r="SH346" t="str">
        <f t="shared" si="143"/>
        <v>Final Grant Amount (Therm)</v>
      </c>
      <c r="SI346" t="str">
        <f t="shared" si="143"/>
        <v>Total Measure Cost (Final)</v>
      </c>
      <c r="SJ346" t="str">
        <f t="shared" si="143"/>
        <v>Total Incentive (Final)</v>
      </c>
      <c r="SK346" t="str">
        <f t="shared" si="143"/>
        <v>Payment QC Validation Error Message</v>
      </c>
      <c r="SL346" t="str">
        <f t="shared" si="143"/>
        <v>Business Validation Error Message</v>
      </c>
      <c r="SM346" t="str">
        <f t="shared" si="143"/>
        <v>Validation Check</v>
      </c>
      <c r="SN346" t="str">
        <f t="shared" si="143"/>
        <v>Baseline Therm Energy Use</v>
      </c>
      <c r="SO346" t="str">
        <f t="shared" si="143"/>
        <v>Gas Load Type</v>
      </c>
      <c r="SP346" t="str">
        <f t="shared" si="143"/>
        <v>Verification Needed</v>
      </c>
      <c r="SQ346" t="str">
        <f t="shared" si="143"/>
        <v>Payment QC Conditions, please select if true:</v>
      </c>
      <c r="SR346" t="str">
        <f t="shared" si="143"/>
        <v>Date Sent to Payment QC Reviewer</v>
      </c>
      <c r="SS346" t="str">
        <f t="shared" si="143"/>
        <v>Payment QC Reviewer, if needed</v>
      </c>
      <c r="ST346" t="str">
        <f t="shared" si="143"/>
        <v>Payment QC package signed off (date)</v>
      </c>
      <c r="SU346" t="str">
        <f t="shared" si="143"/>
        <v>Ready to Pay ?</v>
      </c>
      <c r="SV346" t="str">
        <f t="shared" si="143"/>
        <v>Entered Measure Life Therm</v>
      </c>
      <c r="SW346" t="str">
        <f t="shared" si="143"/>
        <v>Measure Life Therm</v>
      </c>
      <c r="SX346" t="str">
        <f t="shared" si="143"/>
        <v>Payment Group 1 Incentive</v>
      </c>
      <c r="SY346" t="str">
        <f t="shared" si="143"/>
        <v>Payment Group 2 Incentive</v>
      </c>
      <c r="SZ346" t="str">
        <f t="shared" si="143"/>
        <v>Payment Group 3 Incentive</v>
      </c>
      <c r="TA346" t="str">
        <f t="shared" si="143"/>
        <v>Payment Group 4 Incentive</v>
      </c>
      <c r="TB346" t="str">
        <f t="shared" si="143"/>
        <v>Payment Group 5 Incentive</v>
      </c>
      <c r="TC346" t="str">
        <f t="shared" si="143"/>
        <v>Payment Group 6 Incentive</v>
      </c>
      <c r="TD346" t="str">
        <f t="shared" si="143"/>
        <v>Library Measure Ref#</v>
      </c>
      <c r="TE346" t="str">
        <f t="shared" si="143"/>
        <v>kW Reduction</v>
      </c>
      <c r="TF346" t="str">
        <f t="shared" si="143"/>
        <v>Savings % of base</v>
      </c>
      <c r="TG346" t="str">
        <f t="shared" si="143"/>
        <v>Custom Electric Save Total</v>
      </c>
      <c r="TH346" t="str">
        <f t="shared" ref="TH346:VS346" si="144">TI3</f>
        <v>Custom Electric Base Total</v>
      </c>
      <c r="TI346" t="str">
        <f t="shared" si="144"/>
        <v>Entered Measure Life</v>
      </c>
      <c r="TJ346" t="str">
        <f t="shared" si="144"/>
        <v>TRC Electric</v>
      </c>
      <c r="TK346" t="str">
        <f t="shared" si="144"/>
        <v>Baseline Electric Energy Use</v>
      </c>
      <c r="TL346" t="str">
        <f t="shared" si="144"/>
        <v>Electric Load Type</v>
      </c>
      <c r="TM346" t="str">
        <f t="shared" si="144"/>
        <v>Library Measure Life kWh</v>
      </c>
      <c r="TN346" t="str">
        <f t="shared" si="144"/>
        <v/>
      </c>
      <c r="TO346" t="str">
        <f t="shared" si="144"/>
        <v>Total kWh Savings Estimated</v>
      </c>
      <c r="TP346" t="str">
        <f t="shared" si="144"/>
        <v>Total Therm Savings Estimated</v>
      </c>
      <c r="TQ346" t="str">
        <f t="shared" si="144"/>
        <v>Total Incentive Estimated</v>
      </c>
      <c r="TR346" t="str">
        <f t="shared" si="144"/>
        <v>Total Measure Cost Estimated</v>
      </c>
      <c r="TS346" t="str">
        <f t="shared" si="144"/>
        <v>kWh Incentive - Project</v>
      </c>
      <c r="TT346" t="str">
        <f t="shared" si="144"/>
        <v>kWh Savings - Project</v>
      </c>
      <c r="TU346" t="str">
        <f t="shared" si="144"/>
        <v>Therm Incentive - Project</v>
      </c>
      <c r="TV346" t="str">
        <f t="shared" si="144"/>
        <v>Therm Savings - Project</v>
      </c>
      <c r="TW346" t="str">
        <f t="shared" si="144"/>
        <v>Payment Group 1 Incentive Total</v>
      </c>
      <c r="TX346" t="str">
        <f t="shared" si="144"/>
        <v>Payment Group 2 Incentive Total</v>
      </c>
      <c r="TY346" t="str">
        <f t="shared" si="144"/>
        <v>Payment Group 3 Incentive Total</v>
      </c>
      <c r="TZ346" t="str">
        <f t="shared" si="144"/>
        <v>Payment Group 4 Incentive Total</v>
      </c>
      <c r="UA346" t="str">
        <f t="shared" si="144"/>
        <v>Payment Group 5 Incentive Total</v>
      </c>
      <c r="UB346" t="str">
        <f t="shared" si="144"/>
        <v>Payment Group 6 Incentive Total</v>
      </c>
      <c r="UC346" t="str">
        <f t="shared" si="144"/>
        <v>Cumulative Incentives Readied for Payment</v>
      </c>
      <c r="UD346" t="str">
        <f t="shared" si="144"/>
        <v>Upload Payment Request Package(s)</v>
      </c>
      <c r="UE346" t="str">
        <f t="shared" si="144"/>
        <v>SAP Invoice Date</v>
      </c>
      <c r="UF346" t="str">
        <f t="shared" si="144"/>
        <v>Invoice Number</v>
      </c>
      <c r="UG346" t="str">
        <f t="shared" si="144"/>
        <v>SAP Check Description</v>
      </c>
      <c r="UH346" t="str">
        <f t="shared" si="144"/>
        <v>SAP Payment</v>
      </c>
      <c r="UI346" t="str">
        <f t="shared" si="144"/>
        <v>Payment Auth Level 1</v>
      </c>
      <c r="UJ346" t="str">
        <f t="shared" si="144"/>
        <v>Payment Auth Level 2</v>
      </c>
      <c r="UK346" t="str">
        <f t="shared" si="144"/>
        <v>Payment Authorization OK</v>
      </c>
      <c r="UL346" t="str">
        <f t="shared" si="144"/>
        <v>Populates Payment Description</v>
      </c>
      <c r="UM346" t="str">
        <f t="shared" si="144"/>
        <v>Customer Company Name</v>
      </c>
      <c r="UN346" t="str">
        <f t="shared" si="144"/>
        <v>Bill Account Number</v>
      </c>
      <c r="UO346" t="str">
        <f t="shared" si="144"/>
        <v>Site Number</v>
      </c>
      <c r="UP346" t="str">
        <f t="shared" si="144"/>
        <v>Site Address 1</v>
      </c>
      <c r="UQ346" t="str">
        <f t="shared" si="144"/>
        <v>Site Address 2</v>
      </c>
      <c r="UR346" t="str">
        <f t="shared" si="144"/>
        <v>Site City</v>
      </c>
      <c r="US346" t="str">
        <f t="shared" si="144"/>
        <v>Site State/Province</v>
      </c>
      <c r="UT346" t="str">
        <f t="shared" si="144"/>
        <v>Site Zip/Postal Code</v>
      </c>
      <c r="UU346" t="str">
        <f t="shared" si="144"/>
        <v>First Name</v>
      </c>
      <c r="UV346" t="str">
        <f t="shared" si="144"/>
        <v>Last Name</v>
      </c>
      <c r="UW346" t="str">
        <f t="shared" si="144"/>
        <v>Contact Title/Position</v>
      </c>
      <c r="UX346" t="str">
        <f t="shared" si="144"/>
        <v>Bill Address 1</v>
      </c>
      <c r="UY346" t="str">
        <f t="shared" si="144"/>
        <v>Bill Address 2</v>
      </c>
      <c r="UZ346" t="str">
        <f t="shared" si="144"/>
        <v>Bill City</v>
      </c>
      <c r="VA346" t="str">
        <f t="shared" si="144"/>
        <v>Bill State/Province</v>
      </c>
      <c r="VB346" t="str">
        <f t="shared" si="144"/>
        <v>Bill Zip/Postal Code</v>
      </c>
      <c r="VC346" t="str">
        <f t="shared" si="144"/>
        <v>Phone Number</v>
      </c>
      <c r="VD346" t="str">
        <f t="shared" si="144"/>
        <v>Alt Phone Num</v>
      </c>
      <c r="VE346" t="str">
        <f t="shared" si="144"/>
        <v>Email</v>
      </c>
      <c r="VF346" t="str">
        <f t="shared" si="144"/>
        <v>Customer Number</v>
      </c>
      <c r="VG346" t="str">
        <f t="shared" si="144"/>
        <v>Business Name</v>
      </c>
      <c r="VH346" t="str">
        <f t="shared" si="144"/>
        <v>Company URL</v>
      </c>
      <c r="VI346" t="str">
        <f t="shared" si="144"/>
        <v>Primary Contact First Name</v>
      </c>
      <c r="VJ346" t="str">
        <f t="shared" si="144"/>
        <v>Primary Contact Last Name</v>
      </c>
      <c r="VK346" t="str">
        <f t="shared" si="144"/>
        <v>Contact Phone Number</v>
      </c>
      <c r="VL346" t="str">
        <f t="shared" si="144"/>
        <v>Contact Email</v>
      </c>
      <c r="VM346" t="str">
        <f t="shared" si="144"/>
        <v>Service Type</v>
      </c>
      <c r="VN346" t="str">
        <f t="shared" si="144"/>
        <v>Grant Number</v>
      </c>
      <c r="VO346" t="str">
        <f t="shared" si="144"/>
        <v>Grant PSE Signee</v>
      </c>
      <c r="VP346" t="str">
        <f t="shared" si="144"/>
        <v>Grant PSE Signee 2nd</v>
      </c>
      <c r="VQ346" t="str">
        <f t="shared" si="144"/>
        <v>Presigned Grant Uploaded Date</v>
      </c>
      <c r="VR346" t="str">
        <f t="shared" si="144"/>
        <v>Executed Grant Date</v>
      </c>
      <c r="VS346" t="str">
        <f t="shared" si="144"/>
        <v>Application Status</v>
      </c>
      <c r="VT346" t="str">
        <f t="shared" ref="VT346:YE346" si="145">VU3</f>
        <v>Project Notes</v>
      </c>
      <c r="VU346" t="str">
        <f t="shared" si="145"/>
        <v>Validation Error Message</v>
      </c>
      <c r="VV346" t="str">
        <f t="shared" si="145"/>
        <v>Project State</v>
      </c>
      <c r="VW346" t="str">
        <f t="shared" si="145"/>
        <v>Login Name</v>
      </c>
      <c r="VX346" t="str">
        <f t="shared" si="145"/>
        <v>Task Status</v>
      </c>
      <c r="VY346" t="str">
        <f t="shared" si="145"/>
        <v>Calculate Formula</v>
      </c>
      <c r="VZ346" t="str">
        <f t="shared" si="145"/>
        <v>EME</v>
      </c>
      <c r="WA346" t="str">
        <f t="shared" si="145"/>
        <v>EME Email</v>
      </c>
      <c r="WB346" t="str">
        <f t="shared" si="145"/>
        <v>QC Reviewer</v>
      </c>
      <c r="WC346" t="str">
        <f t="shared" si="145"/>
        <v>QC Assigned Date</v>
      </c>
      <c r="WD346" t="str">
        <f t="shared" si="145"/>
        <v>QC Reviewer Email</v>
      </c>
      <c r="WE346" t="str">
        <f t="shared" si="145"/>
        <v>Payment Approver</v>
      </c>
      <c r="WF346" t="str">
        <f t="shared" si="145"/>
        <v>Payment Approver Email</v>
      </c>
      <c r="WG346" t="str">
        <f t="shared" si="145"/>
        <v>QC Package &amp; other docs</v>
      </c>
      <c r="WH346" t="str">
        <f t="shared" si="145"/>
        <v>Grant Revision (Y/N)?</v>
      </c>
      <c r="WI346" t="str">
        <f t="shared" si="145"/>
        <v>Grant Number</v>
      </c>
      <c r="WJ346" t="str">
        <f t="shared" si="145"/>
        <v>LOA Project</v>
      </c>
      <c r="WK346" t="str">
        <f t="shared" si="145"/>
        <v>Grant PSE Signee</v>
      </c>
      <c r="WL346" t="str">
        <f t="shared" si="145"/>
        <v>Grant Sent to Signee Date</v>
      </c>
      <c r="WM346" t="str">
        <f t="shared" si="145"/>
        <v>PSE Signee Return Date</v>
      </c>
      <c r="WN346" t="str">
        <f t="shared" si="145"/>
        <v>Grant PSE Signee Title</v>
      </c>
      <c r="WO346" t="str">
        <f t="shared" si="145"/>
        <v>Grant PSE Signee 2nd</v>
      </c>
      <c r="WP346" t="str">
        <f t="shared" si="145"/>
        <v>Grant PSE Signee Date 2nd</v>
      </c>
      <c r="WQ346" t="str">
        <f t="shared" si="145"/>
        <v>Grant PSE Signee Title 2nd</v>
      </c>
      <c r="WR346" t="str">
        <f t="shared" si="145"/>
        <v>Signing Authority Valid?</v>
      </c>
      <c r="WS346" t="str">
        <f t="shared" si="145"/>
        <v>Sox compliance verified</v>
      </c>
      <c r="WT346" t="str">
        <f t="shared" si="145"/>
        <v>TIN &amp; VM# &amp; Grant Match?</v>
      </c>
      <c r="WU346" t="str">
        <f t="shared" si="145"/>
        <v>Presigned Grant Date</v>
      </c>
      <c r="WV346" t="str">
        <f t="shared" si="145"/>
        <v>Presigned Grant Uploaded Date</v>
      </c>
      <c r="WW346" t="str">
        <f t="shared" si="145"/>
        <v>Pre Signed Grant Agreement</v>
      </c>
      <c r="WX346" t="str">
        <f t="shared" si="145"/>
        <v>Executed Grant Date</v>
      </c>
      <c r="WY346" t="str">
        <f t="shared" si="145"/>
        <v>Executed Grant Agreement</v>
      </c>
      <c r="WZ346" t="str">
        <f t="shared" si="145"/>
        <v>Grant Notes</v>
      </c>
      <c r="XA346" t="str">
        <f t="shared" si="145"/>
        <v>Grant Revision Number</v>
      </c>
      <c r="XB346" t="str">
        <f t="shared" si="145"/>
        <v>Email Bypass</v>
      </c>
      <c r="XC346" t="str">
        <f t="shared" si="145"/>
        <v>Customer Name</v>
      </c>
      <c r="XD346" t="str">
        <f t="shared" si="145"/>
        <v>Contractor Name</v>
      </c>
      <c r="XE346" t="str">
        <f t="shared" si="145"/>
        <v>Grant Agreement Contact Emails</v>
      </c>
      <c r="XF346" t="str">
        <f t="shared" si="145"/>
        <v>Combined Grant Agreement</v>
      </c>
      <c r="XG346" t="str">
        <f t="shared" si="145"/>
        <v>Grant Attachment</v>
      </c>
      <c r="XH346" t="str">
        <f t="shared" si="145"/>
        <v>CSY Project Number</v>
      </c>
      <c r="XI346" t="str">
        <f t="shared" si="145"/>
        <v>CSY Grant Number</v>
      </c>
      <c r="XJ346" t="str">
        <f t="shared" si="145"/>
        <v>Primary Customer Contact Person</v>
      </c>
      <c r="XK346" t="str">
        <f t="shared" si="145"/>
        <v>Primary Customer Contact Email</v>
      </c>
      <c r="XL346" t="str">
        <f t="shared" si="145"/>
        <v>Primary Customer Contact Phone</v>
      </c>
      <c r="XM346" t="str">
        <f t="shared" si="145"/>
        <v>Business Name</v>
      </c>
      <c r="XN346" t="str">
        <f t="shared" si="145"/>
        <v>Secondary Contact (if different than above)</v>
      </c>
      <c r="XO346" t="str">
        <f t="shared" si="145"/>
        <v>Secondary Contact Email (if different than above)</v>
      </c>
      <c r="XP346" t="str">
        <f t="shared" si="145"/>
        <v>Secondary Contact Phone (if different than above)</v>
      </c>
      <c r="XQ346" t="str">
        <f t="shared" si="145"/>
        <v>Project Street Address</v>
      </c>
      <c r="XR346" t="str">
        <f t="shared" si="145"/>
        <v>Project City</v>
      </c>
      <c r="XS346" t="str">
        <f t="shared" si="145"/>
        <v>Project State</v>
      </c>
      <c r="XT346" t="str">
        <f t="shared" si="145"/>
        <v>Project Zip</v>
      </c>
      <c r="XU346" t="str">
        <f t="shared" si="145"/>
        <v>Grant Type</v>
      </c>
      <c r="XV346" t="str">
        <f t="shared" si="145"/>
        <v>Contractor Business Name</v>
      </c>
      <c r="XW346" t="str">
        <f t="shared" si="145"/>
        <v>Contractor Full Name</v>
      </c>
      <c r="XX346" t="str">
        <f t="shared" si="145"/>
        <v>Annual kWh</v>
      </c>
      <c r="XY346" t="str">
        <f t="shared" si="145"/>
        <v>Annual Therms</v>
      </c>
      <c r="XZ346" t="str">
        <f t="shared" si="145"/>
        <v>Contractor Phone</v>
      </c>
      <c r="YA346" t="str">
        <f t="shared" si="145"/>
        <v>Contractor Email</v>
      </c>
      <c r="YB346" t="str">
        <f t="shared" si="145"/>
        <v>Installing Contractor Business name (if different than above)</v>
      </c>
      <c r="YC346" t="str">
        <f t="shared" si="145"/>
        <v>Installing Contractor Full Name (if different than above)</v>
      </c>
      <c r="YD346" t="str">
        <f t="shared" si="145"/>
        <v>Installing Contractor Phone (if different than above)</v>
      </c>
      <c r="YE346" t="str">
        <f t="shared" si="145"/>
        <v>Installing Contractor Email (if different than above)</v>
      </c>
      <c r="YF346" t="str">
        <f t="shared" ref="YF346:AAQ346" si="146">YG3</f>
        <v>Project Name</v>
      </c>
      <c r="YG346" t="str">
        <f t="shared" si="146"/>
        <v>Project Folder on H</v>
      </c>
      <c r="YH346" t="str">
        <f t="shared" si="146"/>
        <v>Short Project Description</v>
      </c>
      <c r="YI346" t="str">
        <f t="shared" si="146"/>
        <v>Estimated Installed Cost</v>
      </c>
      <c r="YJ346" t="str">
        <f t="shared" si="146"/>
        <v>Estimated Start Date</v>
      </c>
      <c r="YK346" t="str">
        <f t="shared" si="146"/>
        <v>Have you been working with a PSE Engineer? If so, who?</v>
      </c>
      <c r="YL346" t="str">
        <f t="shared" si="146"/>
        <v>PSE Business Types</v>
      </c>
      <c r="YM346" t="str">
        <f t="shared" si="146"/>
        <v>PSE Account Number (Electric)</v>
      </c>
      <c r="YN346" t="str">
        <f t="shared" si="146"/>
        <v>Facility or Affected Area sf</v>
      </c>
      <c r="YO346" t="str">
        <f t="shared" si="146"/>
        <v>Authorization to release Energy Use &amp; Billing Information</v>
      </c>
      <c r="YP346" t="str">
        <f t="shared" si="146"/>
        <v>Electric Meter Number</v>
      </c>
      <c r="YQ346" t="str">
        <f t="shared" si="146"/>
        <v>Electric Rate Schedule</v>
      </c>
      <c r="YR346" t="str">
        <f t="shared" si="146"/>
        <v>Gas Meter Number</v>
      </c>
      <c r="YS346" t="str">
        <f t="shared" si="146"/>
        <v>Gas Rate Schedule</v>
      </c>
      <c r="YT346" t="str">
        <f t="shared" si="146"/>
        <v>PSE Account Number (Gas)</v>
      </c>
      <c r="YU346" t="str">
        <f t="shared" si="146"/>
        <v/>
      </c>
      <c r="YV346" t="str">
        <f t="shared" si="146"/>
        <v>Library Measure Name</v>
      </c>
      <c r="YW346" t="str">
        <f t="shared" si="146"/>
        <v>kW Reduction</v>
      </c>
      <c r="YX346" t="str">
        <f t="shared" si="146"/>
        <v>Est'd Completion Date</v>
      </c>
      <c r="YY346" t="str">
        <f t="shared" si="146"/>
        <v>Measure Cost Therm</v>
      </c>
      <c r="YZ346" t="str">
        <f t="shared" si="146"/>
        <v>Measure Cost Electric</v>
      </c>
      <c r="ZA346" t="str">
        <f t="shared" si="146"/>
        <v>Electric Load Type</v>
      </c>
      <c r="ZB346" t="str">
        <f t="shared" si="146"/>
        <v>kWh Savings Estimated</v>
      </c>
      <c r="ZC346" t="str">
        <f t="shared" si="146"/>
        <v>Library Measure life kWh</v>
      </c>
      <c r="ZD346" t="str">
        <f t="shared" si="146"/>
        <v>Grant Amount Electric</v>
      </c>
      <c r="ZE346" t="str">
        <f t="shared" si="146"/>
        <v>Entered Measure Life kWh</v>
      </c>
      <c r="ZF346" t="str">
        <f t="shared" si="146"/>
        <v>Total Measure Cost</v>
      </c>
      <c r="ZG346" t="str">
        <f t="shared" si="146"/>
        <v>Calc Measure Life Electric</v>
      </c>
      <c r="ZH346" t="str">
        <f t="shared" si="146"/>
        <v>Baseline Electric Energy Use</v>
      </c>
      <c r="ZI346" t="str">
        <f t="shared" si="146"/>
        <v>TRC Therm</v>
      </c>
      <c r="ZJ346" t="str">
        <f t="shared" si="146"/>
        <v>Missing Info</v>
      </c>
      <c r="ZK346" t="str">
        <f t="shared" si="146"/>
        <v>Grant Percent of Measure Cost</v>
      </c>
      <c r="ZL346" t="str">
        <f t="shared" si="146"/>
        <v>Savings % of base</v>
      </c>
      <c r="ZM346" t="str">
        <f t="shared" si="146"/>
        <v>Custom Electric Base Total</v>
      </c>
      <c r="ZN346" t="str">
        <f t="shared" si="146"/>
        <v>Custom Electric Save Total</v>
      </c>
      <c r="ZO346" t="str">
        <f t="shared" si="146"/>
        <v>Validation Check</v>
      </c>
      <c r="ZP346" t="str">
        <f t="shared" si="146"/>
        <v>Validation Error Message</v>
      </c>
      <c r="ZQ346" t="str">
        <f t="shared" si="146"/>
        <v>TRC Electric</v>
      </c>
      <c r="ZR346" t="str">
        <f t="shared" si="146"/>
        <v>Therm Measure Cost</v>
      </c>
      <c r="ZS346" t="str">
        <f t="shared" si="146"/>
        <v>Grant Amount Therm</v>
      </c>
      <c r="ZT346" t="str">
        <f t="shared" si="146"/>
        <v>Gas Load Type</v>
      </c>
      <c r="ZU346" t="str">
        <f t="shared" si="146"/>
        <v>Therm Savings Estimated</v>
      </c>
      <c r="ZV346" t="str">
        <f t="shared" si="146"/>
        <v>Entered Measure Life Therm</v>
      </c>
      <c r="ZW346" t="str">
        <f t="shared" si="146"/>
        <v>Measure Life Therm</v>
      </c>
      <c r="ZX346" t="str">
        <f t="shared" si="146"/>
        <v>Baseline Therm Energy Use</v>
      </c>
      <c r="ZY346" t="str">
        <f t="shared" si="146"/>
        <v>Missing Information Description</v>
      </c>
      <c r="ZZ346" t="str">
        <f t="shared" si="146"/>
        <v>Therm Incentive Grant</v>
      </c>
      <c r="AAA346" t="str">
        <f t="shared" si="146"/>
        <v>kWh Incentive Grant</v>
      </c>
      <c r="AAB346" t="str">
        <f t="shared" si="146"/>
        <v>Therm Savings</v>
      </c>
      <c r="AAC346" t="str">
        <f t="shared" si="146"/>
        <v>kWh Savings</v>
      </c>
      <c r="AAD346" t="str">
        <f t="shared" si="146"/>
        <v>Verification Needed</v>
      </c>
      <c r="AAE346" t="str">
        <f t="shared" si="146"/>
        <v>kWh Measure Cost</v>
      </c>
      <c r="AAF346" t="str">
        <f t="shared" si="146"/>
        <v>UOM Type</v>
      </c>
      <c r="AAG346" t="str">
        <f t="shared" si="146"/>
        <v>Total Incentive Grant Estimated</v>
      </c>
      <c r="AAH346" t="str">
        <f t="shared" si="146"/>
        <v>Library Measure Ref#</v>
      </c>
      <c r="AAI346" t="str">
        <f t="shared" si="146"/>
        <v>Full or Incr?</v>
      </c>
      <c r="AAJ346" t="str">
        <f t="shared" si="146"/>
        <v/>
      </c>
      <c r="AAK346" t="str">
        <f t="shared" si="146"/>
        <v>Total kWh Savings</v>
      </c>
      <c r="AAL346" t="str">
        <f t="shared" si="146"/>
        <v>Total Therm Savings</v>
      </c>
      <c r="AAM346" t="str">
        <f t="shared" si="146"/>
        <v>Total Incentive</v>
      </c>
      <c r="AAN346" t="str">
        <f t="shared" si="146"/>
        <v>Total Measure Cost</v>
      </c>
      <c r="AAO346" t="str">
        <f t="shared" si="146"/>
        <v>Business Name</v>
      </c>
      <c r="AAP346" t="str">
        <f t="shared" si="146"/>
        <v>Company URL</v>
      </c>
      <c r="AAQ346" t="str">
        <f t="shared" si="146"/>
        <v>Primary Contact First Name</v>
      </c>
      <c r="AAR346" t="str">
        <f t="shared" ref="AAR346:ABY346" si="147">AAS3</f>
        <v>Primary Contact Last Name</v>
      </c>
      <c r="AAS346" t="str">
        <f t="shared" si="147"/>
        <v>Contact Phone Number</v>
      </c>
      <c r="AAT346" t="str">
        <f t="shared" si="147"/>
        <v>Contact Email</v>
      </c>
      <c r="AAU346" t="str">
        <f t="shared" si="147"/>
        <v>Partner Number</v>
      </c>
      <c r="AAV346" t="str">
        <f t="shared" si="147"/>
        <v>Service Type</v>
      </c>
      <c r="AAW346" t="str">
        <f t="shared" si="147"/>
        <v>SAP VM #</v>
      </c>
      <c r="AAX346" t="str">
        <f t="shared" si="147"/>
        <v>Placeholder</v>
      </c>
      <c r="AAY346" t="str">
        <f t="shared" si="147"/>
        <v>Make Check Payable To</v>
      </c>
      <c r="AAZ346" t="str">
        <f t="shared" si="147"/>
        <v>Address1</v>
      </c>
      <c r="ABA346" t="str">
        <f t="shared" si="147"/>
        <v>Address2</v>
      </c>
      <c r="ABB346" t="str">
        <f t="shared" si="147"/>
        <v>City</v>
      </c>
      <c r="ABC346" t="str">
        <f t="shared" si="147"/>
        <v>State</v>
      </c>
      <c r="ABD346" t="str">
        <f t="shared" si="147"/>
        <v>Zip</v>
      </c>
      <c r="ABE346" t="str">
        <f t="shared" si="147"/>
        <v>Attention To</v>
      </c>
      <c r="ABF346" t="str">
        <f t="shared" si="147"/>
        <v>Payment Choice</v>
      </c>
      <c r="ABG346" t="str">
        <f t="shared" si="147"/>
        <v>VM# Confirmed in SAP?</v>
      </c>
      <c r="ABH346" t="str">
        <f t="shared" si="147"/>
        <v>Company URL</v>
      </c>
      <c r="ABI346" t="str">
        <f t="shared" si="147"/>
        <v>Company Name</v>
      </c>
      <c r="ABJ346" t="str">
        <f t="shared" si="147"/>
        <v>Vendor Maintenance Number</v>
      </c>
      <c r="ABK346" t="str">
        <f t="shared" si="147"/>
        <v>Phone Number</v>
      </c>
      <c r="ABL346" t="str">
        <f t="shared" si="147"/>
        <v>Email</v>
      </c>
      <c r="ABM346" t="str">
        <f t="shared" si="147"/>
        <v>Mailing Address 1</v>
      </c>
      <c r="ABN346" t="str">
        <f t="shared" si="147"/>
        <v>Mailing Address 2</v>
      </c>
      <c r="ABO346" t="str">
        <f t="shared" si="147"/>
        <v>Mailing City</v>
      </c>
      <c r="ABP346" t="str">
        <f t="shared" si="147"/>
        <v>Mailing State</v>
      </c>
      <c r="ABQ346" t="str">
        <f t="shared" si="147"/>
        <v>Mailing Zip</v>
      </c>
      <c r="ABR346" t="str">
        <f t="shared" si="147"/>
        <v>SAP Vendor Information</v>
      </c>
      <c r="ABS346" t="str">
        <f t="shared" si="147"/>
        <v>Service Type</v>
      </c>
      <c r="ABT346" t="str">
        <f t="shared" si="147"/>
        <v>Application Status</v>
      </c>
      <c r="ABU346" t="str">
        <f t="shared" si="147"/>
        <v>Project State</v>
      </c>
      <c r="ABV346" t="str">
        <f t="shared" si="147"/>
        <v>Validation Error Message</v>
      </c>
      <c r="ABW346" t="str">
        <f t="shared" si="147"/>
        <v>Validation Check</v>
      </c>
      <c r="ABX346" t="str">
        <f t="shared" si="147"/>
        <v>Project Notes</v>
      </c>
      <c r="ABY346" t="str">
        <f t="shared" si="147"/>
        <v>Status</v>
      </c>
    </row>
    <row r="347" spans="1:753" ht="14.3">
      <c r="C347" t="b">
        <f t="shared" si="120"/>
        <v>1</v>
      </c>
      <c r="D347" s="233">
        <f t="shared" ca="1" si="120"/>
        <v>0</v>
      </c>
      <c r="F347">
        <f t="shared" ca="1" si="120"/>
        <v>0</v>
      </c>
      <c r="G347">
        <f t="shared" ca="1" si="120"/>
        <v>0</v>
      </c>
      <c r="H347">
        <f t="shared" ca="1" si="120"/>
        <v>0</v>
      </c>
      <c r="J347">
        <f t="shared" ca="1" si="120"/>
        <v>0</v>
      </c>
      <c r="K347" t="str">
        <f t="shared" ca="1" si="120"/>
        <v>WA</v>
      </c>
      <c r="L347">
        <f t="shared" ca="1" si="120"/>
        <v>0</v>
      </c>
      <c r="N347">
        <f t="shared" ca="1" si="120"/>
        <v>0</v>
      </c>
      <c r="O347">
        <f t="shared" ca="1" si="120"/>
        <v>0</v>
      </c>
      <c r="P347" t="str">
        <f t="shared" ref="P347:BK347" ca="1" si="148">P4</f>
        <v>WA</v>
      </c>
      <c r="Q347">
        <f t="shared" ca="1" si="148"/>
        <v>0</v>
      </c>
      <c r="R347">
        <f t="shared" ca="1" si="148"/>
        <v>0</v>
      </c>
      <c r="S347">
        <f t="shared" ca="1" si="148"/>
        <v>0</v>
      </c>
      <c r="T347">
        <f t="shared" ca="1" si="148"/>
        <v>0</v>
      </c>
      <c r="V347" t="str">
        <f t="shared" ca="1" si="148"/>
        <v/>
      </c>
      <c r="X347" t="str">
        <f t="shared" ca="1" si="148"/>
        <v/>
      </c>
      <c r="Y347" t="str">
        <f t="shared" ca="1" si="148"/>
        <v/>
      </c>
      <c r="Z347" t="str">
        <f t="shared" ca="1" si="148"/>
        <v/>
      </c>
      <c r="AA347" t="str">
        <f t="shared" ca="1" si="148"/>
        <v/>
      </c>
      <c r="AC347" t="str">
        <f t="shared" si="148"/>
        <v>Contractor</v>
      </c>
      <c r="AE347" t="str">
        <f t="shared" ca="1" si="148"/>
        <v/>
      </c>
      <c r="AG347" t="str">
        <f t="shared" ca="1" si="148"/>
        <v/>
      </c>
      <c r="AH347" t="str">
        <f t="shared" ca="1" si="148"/>
        <v/>
      </c>
      <c r="AI347" t="str">
        <f t="shared" ca="1" si="148"/>
        <v/>
      </c>
      <c r="AK347" t="str">
        <f t="shared" ca="1" si="148"/>
        <v/>
      </c>
      <c r="AL347" t="str">
        <f t="shared" ca="1" si="148"/>
        <v/>
      </c>
      <c r="AM347" t="str">
        <f t="shared" ca="1" si="148"/>
        <v/>
      </c>
      <c r="AP347">
        <f t="shared" si="148"/>
        <v>0</v>
      </c>
      <c r="AR347">
        <f t="shared" ca="1" si="148"/>
        <v>0</v>
      </c>
      <c r="AS347">
        <f t="shared" ca="1" si="148"/>
        <v>0</v>
      </c>
      <c r="AT347">
        <f t="shared" ca="1" si="148"/>
        <v>0</v>
      </c>
      <c r="AU347">
        <f t="shared" ca="1" si="148"/>
        <v>0</v>
      </c>
      <c r="AV347">
        <f t="shared" ca="1" si="148"/>
        <v>0</v>
      </c>
      <c r="AW347">
        <f t="shared" ca="1" si="148"/>
        <v>0</v>
      </c>
      <c r="AX347">
        <f t="shared" ca="1" si="148"/>
        <v>0</v>
      </c>
      <c r="AZ347">
        <f t="shared" ca="1" si="148"/>
        <v>0</v>
      </c>
      <c r="BA347">
        <f t="shared" ca="1" si="148"/>
        <v>0</v>
      </c>
      <c r="BB347">
        <f t="shared" ca="1" si="148"/>
        <v>0</v>
      </c>
      <c r="BC347" t="str">
        <f t="shared" ca="1" si="148"/>
        <v>WA</v>
      </c>
      <c r="BD347" s="92">
        <f t="shared" ca="1" si="148"/>
        <v>0</v>
      </c>
      <c r="BF347">
        <f t="shared" ca="1" si="148"/>
        <v>0</v>
      </c>
      <c r="BG347" s="325">
        <f t="shared" ca="1" si="148"/>
        <v>0</v>
      </c>
      <c r="BH347">
        <f t="shared" ca="1" si="148"/>
        <v>0</v>
      </c>
      <c r="BI347" s="1370">
        <f t="shared" ca="1" si="148"/>
        <v>0</v>
      </c>
      <c r="BJ347" t="str">
        <f t="shared" ca="1" si="148"/>
        <v/>
      </c>
      <c r="BK347" t="str">
        <f t="shared" ca="1" si="148"/>
        <v>Commercial/Industrial</v>
      </c>
      <c r="BL347">
        <f ca="1">BM4</f>
        <v>0</v>
      </c>
      <c r="BN347">
        <f ca="1">BO4</f>
        <v>0</v>
      </c>
      <c r="BO347" t="str">
        <f t="shared" ca="1" si="135"/>
        <v/>
      </c>
      <c r="BP347">
        <f t="shared" si="135"/>
        <v>0</v>
      </c>
      <c r="BQ347" t="str">
        <f t="shared" ca="1" si="135"/>
        <v/>
      </c>
      <c r="BR347">
        <f t="shared" si="135"/>
        <v>0</v>
      </c>
      <c r="BS347" t="str">
        <f t="shared" ca="1" si="135"/>
        <v/>
      </c>
      <c r="BT347" t="str">
        <f t="shared" ca="1" si="135"/>
        <v/>
      </c>
      <c r="BU347" t="str">
        <f t="shared" ca="1" si="135"/>
        <v/>
      </c>
      <c r="BV347" t="str">
        <f t="shared" si="135"/>
        <v>Check Payment</v>
      </c>
      <c r="BW347">
        <f t="shared" si="122"/>
        <v>0</v>
      </c>
      <c r="BX347" t="str">
        <f t="shared" ca="1" si="122"/>
        <v>Lighting - Custom</v>
      </c>
      <c r="BY347">
        <f t="shared" ca="1" si="136"/>
        <v>10059</v>
      </c>
      <c r="BZ347" t="str">
        <f t="shared" ca="1" si="136"/>
        <v>Full</v>
      </c>
      <c r="CA347" s="1370">
        <f t="shared" ca="1" si="136"/>
        <v>0</v>
      </c>
      <c r="CB347" s="368">
        <f t="shared" ref="CB347:EM347" ca="1" si="149">CC4</f>
        <v>0</v>
      </c>
      <c r="CC347" t="str">
        <f t="shared" si="149"/>
        <v>Lighting</v>
      </c>
      <c r="CD347">
        <f t="shared" ca="1" si="149"/>
        <v>0</v>
      </c>
      <c r="CE347">
        <f t="shared" si="149"/>
        <v>0</v>
      </c>
      <c r="CF347">
        <f t="shared" ca="1" si="149"/>
        <v>0</v>
      </c>
      <c r="CG347">
        <f t="shared" ca="1" si="149"/>
        <v>0</v>
      </c>
      <c r="CH347">
        <f t="shared" ca="1" si="149"/>
        <v>0</v>
      </c>
      <c r="CI347">
        <f t="shared" ca="1" si="149"/>
        <v>0</v>
      </c>
      <c r="CJ347">
        <f t="shared" ca="1" si="149"/>
        <v>0</v>
      </c>
      <c r="CK347">
        <f t="shared" ca="1" si="149"/>
        <v>2</v>
      </c>
      <c r="CL347">
        <f t="shared" ca="1" si="149"/>
        <v>0</v>
      </c>
      <c r="CM347">
        <f t="shared" si="149"/>
        <v>0</v>
      </c>
      <c r="CN347">
        <f t="shared" si="149"/>
        <v>0</v>
      </c>
      <c r="CO347">
        <f t="shared" si="149"/>
        <v>0</v>
      </c>
      <c r="CP347">
        <f t="shared" si="149"/>
        <v>0</v>
      </c>
      <c r="CQ347">
        <f t="shared" si="149"/>
        <v>0</v>
      </c>
      <c r="CR347">
        <f t="shared" si="149"/>
        <v>0</v>
      </c>
      <c r="CS347">
        <f t="shared" si="149"/>
        <v>0</v>
      </c>
      <c r="CT347">
        <f t="shared" si="149"/>
        <v>0</v>
      </c>
      <c r="CU347">
        <f t="shared" si="149"/>
        <v>0</v>
      </c>
      <c r="CV347">
        <f t="shared" si="149"/>
        <v>0</v>
      </c>
      <c r="CW347">
        <f t="shared" si="149"/>
        <v>0</v>
      </c>
      <c r="CX347">
        <f t="shared" si="149"/>
        <v>0</v>
      </c>
      <c r="CY347">
        <f t="shared" si="149"/>
        <v>0</v>
      </c>
      <c r="CZ347">
        <f t="shared" si="149"/>
        <v>0</v>
      </c>
      <c r="DA347">
        <f t="shared" si="149"/>
        <v>0</v>
      </c>
      <c r="DB347">
        <f t="shared" si="149"/>
        <v>0</v>
      </c>
      <c r="DC347">
        <f t="shared" si="149"/>
        <v>0</v>
      </c>
      <c r="DD347">
        <f t="shared" si="149"/>
        <v>0</v>
      </c>
      <c r="DE347">
        <f t="shared" si="149"/>
        <v>0</v>
      </c>
      <c r="DF347">
        <f t="shared" si="149"/>
        <v>0</v>
      </c>
      <c r="DG347">
        <f t="shared" si="149"/>
        <v>0</v>
      </c>
      <c r="DH347">
        <f t="shared" si="149"/>
        <v>0</v>
      </c>
      <c r="DI347">
        <f t="shared" si="149"/>
        <v>0</v>
      </c>
      <c r="DJ347">
        <f t="shared" si="149"/>
        <v>0</v>
      </c>
      <c r="DK347">
        <f t="shared" si="149"/>
        <v>0</v>
      </c>
      <c r="DL347">
        <f t="shared" si="149"/>
        <v>0</v>
      </c>
      <c r="DM347">
        <f t="shared" si="149"/>
        <v>0</v>
      </c>
      <c r="DN347">
        <f t="shared" si="149"/>
        <v>0</v>
      </c>
      <c r="DO347">
        <f t="shared" si="149"/>
        <v>0</v>
      </c>
      <c r="DP347">
        <f t="shared" si="149"/>
        <v>0</v>
      </c>
      <c r="DQ347">
        <f t="shared" si="149"/>
        <v>0</v>
      </c>
      <c r="DR347">
        <f t="shared" si="149"/>
        <v>0</v>
      </c>
      <c r="DS347">
        <f t="shared" si="149"/>
        <v>0</v>
      </c>
      <c r="DT347">
        <f t="shared" si="149"/>
        <v>0</v>
      </c>
      <c r="DU347">
        <f t="shared" si="149"/>
        <v>0</v>
      </c>
      <c r="DV347">
        <f t="shared" si="149"/>
        <v>0</v>
      </c>
      <c r="DW347">
        <f t="shared" si="149"/>
        <v>0</v>
      </c>
      <c r="DX347">
        <f t="shared" si="149"/>
        <v>0</v>
      </c>
      <c r="DY347">
        <f t="shared" si="149"/>
        <v>0</v>
      </c>
      <c r="DZ347">
        <f t="shared" si="149"/>
        <v>0</v>
      </c>
      <c r="EA347">
        <f t="shared" si="149"/>
        <v>0</v>
      </c>
      <c r="EB347">
        <f t="shared" si="149"/>
        <v>0</v>
      </c>
      <c r="EC347">
        <f t="shared" si="149"/>
        <v>0</v>
      </c>
      <c r="ED347">
        <f t="shared" si="149"/>
        <v>0</v>
      </c>
      <c r="EE347">
        <f t="shared" si="149"/>
        <v>0</v>
      </c>
      <c r="EF347">
        <f t="shared" si="149"/>
        <v>0</v>
      </c>
      <c r="EG347">
        <f t="shared" si="149"/>
        <v>0</v>
      </c>
      <c r="EH347">
        <f t="shared" si="149"/>
        <v>0</v>
      </c>
      <c r="EI347">
        <f t="shared" si="149"/>
        <v>0</v>
      </c>
      <c r="EJ347">
        <f t="shared" si="149"/>
        <v>0</v>
      </c>
      <c r="EK347">
        <f t="shared" si="149"/>
        <v>0</v>
      </c>
      <c r="EL347">
        <f t="shared" si="149"/>
        <v>0</v>
      </c>
      <c r="EM347">
        <f t="shared" si="149"/>
        <v>0</v>
      </c>
      <c r="EN347">
        <f t="shared" ref="EN347:GY347" si="150">EO4</f>
        <v>0</v>
      </c>
      <c r="EO347">
        <f t="shared" si="150"/>
        <v>0</v>
      </c>
      <c r="EP347">
        <f t="shared" si="150"/>
        <v>0</v>
      </c>
      <c r="EQ347">
        <f t="shared" si="150"/>
        <v>0</v>
      </c>
      <c r="ER347">
        <f t="shared" si="150"/>
        <v>0</v>
      </c>
      <c r="ES347">
        <f t="shared" si="150"/>
        <v>0</v>
      </c>
      <c r="ET347">
        <f t="shared" si="150"/>
        <v>0</v>
      </c>
      <c r="EU347">
        <f t="shared" si="150"/>
        <v>0</v>
      </c>
      <c r="EV347">
        <f t="shared" si="150"/>
        <v>0</v>
      </c>
      <c r="EW347">
        <f t="shared" si="150"/>
        <v>0</v>
      </c>
      <c r="EX347">
        <f t="shared" si="150"/>
        <v>0</v>
      </c>
      <c r="EY347">
        <f t="shared" si="150"/>
        <v>0</v>
      </c>
      <c r="EZ347">
        <f t="shared" si="150"/>
        <v>0</v>
      </c>
      <c r="FA347">
        <f t="shared" si="150"/>
        <v>0</v>
      </c>
      <c r="FB347">
        <f t="shared" si="150"/>
        <v>0</v>
      </c>
      <c r="FC347">
        <f t="shared" si="150"/>
        <v>0</v>
      </c>
      <c r="FD347">
        <f t="shared" si="150"/>
        <v>0</v>
      </c>
      <c r="FE347">
        <f t="shared" si="150"/>
        <v>0</v>
      </c>
      <c r="FF347">
        <f t="shared" si="150"/>
        <v>0</v>
      </c>
      <c r="FG347">
        <f t="shared" si="150"/>
        <v>0</v>
      </c>
      <c r="FH347">
        <f t="shared" si="150"/>
        <v>0</v>
      </c>
      <c r="FI347">
        <f t="shared" si="150"/>
        <v>0</v>
      </c>
      <c r="FJ347">
        <f t="shared" si="150"/>
        <v>0</v>
      </c>
      <c r="FK347">
        <f t="shared" si="150"/>
        <v>0</v>
      </c>
      <c r="FL347">
        <f t="shared" si="150"/>
        <v>0</v>
      </c>
      <c r="FM347">
        <f t="shared" si="150"/>
        <v>0</v>
      </c>
      <c r="FN347">
        <f t="shared" si="150"/>
        <v>0</v>
      </c>
      <c r="FO347">
        <f t="shared" si="150"/>
        <v>0</v>
      </c>
      <c r="FP347">
        <f t="shared" si="150"/>
        <v>0</v>
      </c>
      <c r="FQ347">
        <f t="shared" si="150"/>
        <v>0</v>
      </c>
      <c r="FR347">
        <f t="shared" si="150"/>
        <v>0</v>
      </c>
      <c r="FS347">
        <f t="shared" si="150"/>
        <v>0</v>
      </c>
      <c r="FT347">
        <f t="shared" si="150"/>
        <v>0</v>
      </c>
      <c r="FU347">
        <f t="shared" si="150"/>
        <v>0</v>
      </c>
      <c r="FV347">
        <f t="shared" si="150"/>
        <v>0</v>
      </c>
      <c r="FW347">
        <f t="shared" si="150"/>
        <v>0</v>
      </c>
      <c r="FX347">
        <f t="shared" si="150"/>
        <v>0</v>
      </c>
      <c r="FY347">
        <f t="shared" si="150"/>
        <v>0</v>
      </c>
      <c r="FZ347">
        <f t="shared" si="150"/>
        <v>0</v>
      </c>
      <c r="GA347">
        <f t="shared" si="150"/>
        <v>0</v>
      </c>
      <c r="GB347">
        <f t="shared" si="150"/>
        <v>0</v>
      </c>
      <c r="GC347">
        <f t="shared" si="150"/>
        <v>0</v>
      </c>
      <c r="GD347">
        <f t="shared" si="150"/>
        <v>0</v>
      </c>
      <c r="GE347">
        <f t="shared" si="150"/>
        <v>0</v>
      </c>
      <c r="GF347">
        <f t="shared" si="150"/>
        <v>0</v>
      </c>
      <c r="GG347">
        <f t="shared" si="150"/>
        <v>0</v>
      </c>
      <c r="GH347">
        <f t="shared" si="150"/>
        <v>0</v>
      </c>
      <c r="GI347">
        <f t="shared" si="150"/>
        <v>0</v>
      </c>
      <c r="GJ347">
        <f t="shared" si="150"/>
        <v>0</v>
      </c>
      <c r="GK347">
        <f t="shared" si="150"/>
        <v>0</v>
      </c>
      <c r="GL347">
        <f t="shared" si="150"/>
        <v>0</v>
      </c>
      <c r="GM347">
        <f t="shared" si="150"/>
        <v>0</v>
      </c>
      <c r="GN347">
        <f t="shared" si="150"/>
        <v>0</v>
      </c>
      <c r="GO347" t="str">
        <f t="shared" ca="1" si="150"/>
        <v/>
      </c>
      <c r="GP347" t="str">
        <f t="shared" ca="1" si="150"/>
        <v/>
      </c>
      <c r="GQ347" t="str">
        <f t="shared" ca="1" si="150"/>
        <v/>
      </c>
      <c r="GR347" t="str">
        <f t="shared" ca="1" si="150"/>
        <v/>
      </c>
      <c r="GS347">
        <f t="shared" si="150"/>
        <v>0</v>
      </c>
      <c r="GT347">
        <f t="shared" si="150"/>
        <v>0</v>
      </c>
      <c r="GU347">
        <f t="shared" si="150"/>
        <v>0</v>
      </c>
      <c r="GV347">
        <f t="shared" si="150"/>
        <v>0</v>
      </c>
      <c r="GW347">
        <f t="shared" si="150"/>
        <v>0</v>
      </c>
      <c r="GX347">
        <f t="shared" si="150"/>
        <v>0</v>
      </c>
      <c r="GY347">
        <f t="shared" si="150"/>
        <v>0</v>
      </c>
      <c r="GZ347">
        <f t="shared" ref="GZ347:JK347" si="151">HA4</f>
        <v>0</v>
      </c>
      <c r="HA347">
        <f t="shared" si="151"/>
        <v>0</v>
      </c>
      <c r="HB347">
        <f t="shared" si="151"/>
        <v>0</v>
      </c>
      <c r="HC347">
        <f t="shared" si="151"/>
        <v>0</v>
      </c>
      <c r="HD347">
        <f t="shared" si="151"/>
        <v>0</v>
      </c>
      <c r="HE347">
        <f t="shared" si="151"/>
        <v>0</v>
      </c>
      <c r="HF347">
        <f t="shared" si="151"/>
        <v>0</v>
      </c>
      <c r="HG347">
        <f t="shared" si="151"/>
        <v>0</v>
      </c>
      <c r="HH347">
        <f t="shared" si="151"/>
        <v>0</v>
      </c>
      <c r="HI347">
        <f t="shared" si="151"/>
        <v>0</v>
      </c>
      <c r="HJ347">
        <f t="shared" si="151"/>
        <v>0</v>
      </c>
      <c r="HK347">
        <f t="shared" si="151"/>
        <v>0</v>
      </c>
      <c r="HL347">
        <f t="shared" si="151"/>
        <v>0</v>
      </c>
      <c r="HM347">
        <f t="shared" si="151"/>
        <v>0</v>
      </c>
      <c r="HN347">
        <f t="shared" si="151"/>
        <v>0</v>
      </c>
      <c r="HO347">
        <f t="shared" si="151"/>
        <v>0</v>
      </c>
      <c r="HP347">
        <f t="shared" si="151"/>
        <v>0</v>
      </c>
      <c r="HQ347">
        <f t="shared" si="151"/>
        <v>0</v>
      </c>
      <c r="HR347">
        <f t="shared" si="151"/>
        <v>0</v>
      </c>
      <c r="HS347">
        <f t="shared" si="151"/>
        <v>0</v>
      </c>
      <c r="HT347">
        <f t="shared" si="151"/>
        <v>0</v>
      </c>
      <c r="HU347">
        <f t="shared" si="151"/>
        <v>0</v>
      </c>
      <c r="HV347">
        <f t="shared" si="151"/>
        <v>0</v>
      </c>
      <c r="HW347">
        <f t="shared" si="151"/>
        <v>0</v>
      </c>
      <c r="HX347">
        <f t="shared" si="151"/>
        <v>0</v>
      </c>
      <c r="HY347">
        <f t="shared" si="151"/>
        <v>0</v>
      </c>
      <c r="HZ347">
        <f t="shared" si="151"/>
        <v>0</v>
      </c>
      <c r="IA347">
        <f t="shared" si="151"/>
        <v>0</v>
      </c>
      <c r="IB347">
        <f t="shared" si="151"/>
        <v>0</v>
      </c>
      <c r="IC347">
        <f t="shared" si="151"/>
        <v>0</v>
      </c>
      <c r="ID347">
        <f t="shared" si="151"/>
        <v>0</v>
      </c>
      <c r="IE347">
        <f t="shared" si="151"/>
        <v>0</v>
      </c>
      <c r="IF347">
        <f t="shared" si="151"/>
        <v>0</v>
      </c>
      <c r="IG347">
        <f t="shared" si="151"/>
        <v>0</v>
      </c>
      <c r="IH347">
        <f t="shared" si="151"/>
        <v>0</v>
      </c>
      <c r="II347">
        <f t="shared" si="151"/>
        <v>0</v>
      </c>
      <c r="IJ347">
        <f t="shared" si="151"/>
        <v>0</v>
      </c>
      <c r="IK347">
        <f t="shared" si="151"/>
        <v>0</v>
      </c>
      <c r="IL347">
        <f t="shared" si="151"/>
        <v>0</v>
      </c>
      <c r="IM347">
        <f t="shared" si="151"/>
        <v>0</v>
      </c>
      <c r="IN347">
        <f t="shared" si="151"/>
        <v>0</v>
      </c>
      <c r="IO347">
        <f t="shared" si="151"/>
        <v>0</v>
      </c>
      <c r="IP347">
        <f t="shared" si="151"/>
        <v>0</v>
      </c>
      <c r="IQ347">
        <f t="shared" si="151"/>
        <v>0</v>
      </c>
      <c r="IR347">
        <f t="shared" si="151"/>
        <v>0</v>
      </c>
      <c r="IS347">
        <f t="shared" si="151"/>
        <v>0</v>
      </c>
      <c r="IT347">
        <f t="shared" si="151"/>
        <v>0</v>
      </c>
      <c r="IU347">
        <f t="shared" si="151"/>
        <v>0</v>
      </c>
      <c r="IV347">
        <f t="shared" si="151"/>
        <v>0</v>
      </c>
      <c r="IW347">
        <f t="shared" si="151"/>
        <v>0</v>
      </c>
      <c r="IX347">
        <f t="shared" si="151"/>
        <v>0</v>
      </c>
      <c r="IY347">
        <f t="shared" si="151"/>
        <v>0</v>
      </c>
      <c r="IZ347">
        <f t="shared" si="151"/>
        <v>0</v>
      </c>
      <c r="JA347">
        <f t="shared" si="151"/>
        <v>0</v>
      </c>
      <c r="JB347">
        <f t="shared" si="151"/>
        <v>0</v>
      </c>
      <c r="JC347">
        <f t="shared" si="151"/>
        <v>0</v>
      </c>
      <c r="JD347">
        <f t="shared" si="151"/>
        <v>0</v>
      </c>
      <c r="JE347">
        <f t="shared" si="151"/>
        <v>0</v>
      </c>
      <c r="JF347">
        <f t="shared" si="151"/>
        <v>0</v>
      </c>
      <c r="JG347">
        <f t="shared" si="151"/>
        <v>0</v>
      </c>
      <c r="JH347">
        <f t="shared" si="151"/>
        <v>0</v>
      </c>
      <c r="JI347">
        <f t="shared" si="151"/>
        <v>0</v>
      </c>
      <c r="JJ347">
        <f t="shared" si="151"/>
        <v>0</v>
      </c>
      <c r="JK347">
        <f t="shared" si="151"/>
        <v>0</v>
      </c>
      <c r="JL347">
        <f t="shared" ref="JL347:LW347" si="152">JM4</f>
        <v>0</v>
      </c>
      <c r="JM347">
        <f t="shared" si="152"/>
        <v>0</v>
      </c>
      <c r="JN347">
        <f t="shared" si="152"/>
        <v>0</v>
      </c>
      <c r="JO347">
        <f t="shared" si="152"/>
        <v>0</v>
      </c>
      <c r="JP347">
        <f t="shared" si="152"/>
        <v>0</v>
      </c>
      <c r="JQ347">
        <f t="shared" si="152"/>
        <v>0</v>
      </c>
      <c r="JR347">
        <f t="shared" si="152"/>
        <v>0</v>
      </c>
      <c r="JS347">
        <f t="shared" si="152"/>
        <v>0</v>
      </c>
      <c r="JT347">
        <f t="shared" si="152"/>
        <v>0</v>
      </c>
      <c r="JU347">
        <f t="shared" si="152"/>
        <v>0</v>
      </c>
      <c r="JV347">
        <f t="shared" si="152"/>
        <v>0</v>
      </c>
      <c r="JW347">
        <f t="shared" si="152"/>
        <v>0</v>
      </c>
      <c r="JX347">
        <f t="shared" si="152"/>
        <v>0</v>
      </c>
      <c r="JY347">
        <f t="shared" si="152"/>
        <v>0</v>
      </c>
      <c r="JZ347">
        <f t="shared" si="152"/>
        <v>0</v>
      </c>
      <c r="KA347">
        <f t="shared" si="152"/>
        <v>0</v>
      </c>
      <c r="KB347">
        <f t="shared" si="152"/>
        <v>0</v>
      </c>
      <c r="KC347">
        <f t="shared" si="152"/>
        <v>0</v>
      </c>
      <c r="KD347">
        <f t="shared" si="152"/>
        <v>0</v>
      </c>
      <c r="KE347">
        <f t="shared" si="152"/>
        <v>0</v>
      </c>
      <c r="KF347">
        <f t="shared" si="152"/>
        <v>0</v>
      </c>
      <c r="KG347">
        <f t="shared" si="152"/>
        <v>0</v>
      </c>
      <c r="KH347">
        <f t="shared" si="152"/>
        <v>0</v>
      </c>
      <c r="KI347">
        <f t="shared" si="152"/>
        <v>0</v>
      </c>
      <c r="KJ347">
        <f t="shared" si="152"/>
        <v>0</v>
      </c>
      <c r="KK347">
        <f t="shared" si="152"/>
        <v>0</v>
      </c>
      <c r="KL347">
        <f t="shared" si="152"/>
        <v>0</v>
      </c>
      <c r="KM347">
        <f t="shared" si="152"/>
        <v>0</v>
      </c>
      <c r="KN347">
        <f t="shared" si="152"/>
        <v>0</v>
      </c>
      <c r="KO347">
        <f t="shared" si="152"/>
        <v>0</v>
      </c>
      <c r="KP347">
        <f t="shared" si="152"/>
        <v>0</v>
      </c>
      <c r="KQ347">
        <f t="shared" si="152"/>
        <v>0</v>
      </c>
      <c r="KR347">
        <f t="shared" si="152"/>
        <v>0</v>
      </c>
      <c r="KS347">
        <f t="shared" si="152"/>
        <v>0</v>
      </c>
      <c r="KT347">
        <f t="shared" si="152"/>
        <v>0</v>
      </c>
      <c r="KU347">
        <f t="shared" si="152"/>
        <v>0</v>
      </c>
      <c r="KV347">
        <f t="shared" si="152"/>
        <v>0</v>
      </c>
      <c r="KW347">
        <f t="shared" si="152"/>
        <v>0</v>
      </c>
      <c r="KX347">
        <f t="shared" si="152"/>
        <v>0</v>
      </c>
      <c r="KY347">
        <f t="shared" si="152"/>
        <v>0</v>
      </c>
      <c r="KZ347">
        <f t="shared" si="152"/>
        <v>0</v>
      </c>
      <c r="LA347">
        <f t="shared" si="152"/>
        <v>0</v>
      </c>
      <c r="LB347">
        <f t="shared" si="152"/>
        <v>0</v>
      </c>
      <c r="LC347">
        <f t="shared" si="152"/>
        <v>0</v>
      </c>
      <c r="LD347">
        <f t="shared" si="152"/>
        <v>0</v>
      </c>
      <c r="LE347">
        <f t="shared" si="152"/>
        <v>0</v>
      </c>
      <c r="LF347">
        <f t="shared" si="152"/>
        <v>0</v>
      </c>
      <c r="LG347">
        <f t="shared" si="152"/>
        <v>0</v>
      </c>
      <c r="LH347">
        <f t="shared" si="152"/>
        <v>0</v>
      </c>
      <c r="LI347">
        <f t="shared" si="152"/>
        <v>0</v>
      </c>
      <c r="LJ347">
        <f t="shared" si="152"/>
        <v>0</v>
      </c>
      <c r="LK347">
        <f t="shared" si="152"/>
        <v>0</v>
      </c>
      <c r="LL347">
        <f t="shared" si="152"/>
        <v>0</v>
      </c>
      <c r="LM347">
        <f t="shared" si="152"/>
        <v>0</v>
      </c>
      <c r="LN347">
        <f t="shared" si="152"/>
        <v>0</v>
      </c>
      <c r="LO347">
        <f t="shared" si="152"/>
        <v>0</v>
      </c>
      <c r="LP347">
        <f t="shared" si="152"/>
        <v>0</v>
      </c>
      <c r="LQ347">
        <f t="shared" si="152"/>
        <v>0</v>
      </c>
      <c r="LR347">
        <f t="shared" si="152"/>
        <v>0</v>
      </c>
      <c r="LS347">
        <f t="shared" si="152"/>
        <v>0</v>
      </c>
      <c r="LT347">
        <f t="shared" si="152"/>
        <v>0</v>
      </c>
      <c r="LU347">
        <f t="shared" si="152"/>
        <v>0</v>
      </c>
      <c r="LV347">
        <f t="shared" si="152"/>
        <v>0</v>
      </c>
      <c r="LW347">
        <f t="shared" si="152"/>
        <v>0</v>
      </c>
      <c r="LX347">
        <f t="shared" ref="LX347:OI347" si="153">LY4</f>
        <v>0</v>
      </c>
      <c r="LY347">
        <f t="shared" si="153"/>
        <v>0</v>
      </c>
      <c r="LZ347">
        <f t="shared" si="153"/>
        <v>0</v>
      </c>
      <c r="MA347">
        <f t="shared" si="153"/>
        <v>0</v>
      </c>
      <c r="MB347">
        <f t="shared" si="153"/>
        <v>0</v>
      </c>
      <c r="MC347">
        <f t="shared" si="153"/>
        <v>0</v>
      </c>
      <c r="MD347">
        <f t="shared" si="153"/>
        <v>0</v>
      </c>
      <c r="ME347">
        <f t="shared" si="153"/>
        <v>0</v>
      </c>
      <c r="MF347">
        <f t="shared" si="153"/>
        <v>0</v>
      </c>
      <c r="MG347">
        <f t="shared" si="153"/>
        <v>0</v>
      </c>
      <c r="MH347">
        <f t="shared" si="153"/>
        <v>0</v>
      </c>
      <c r="MI347">
        <f t="shared" si="153"/>
        <v>0</v>
      </c>
      <c r="MJ347">
        <f t="shared" si="153"/>
        <v>0</v>
      </c>
      <c r="MK347">
        <f t="shared" si="153"/>
        <v>0</v>
      </c>
      <c r="ML347">
        <f t="shared" si="153"/>
        <v>0</v>
      </c>
      <c r="MM347">
        <f t="shared" si="153"/>
        <v>0</v>
      </c>
      <c r="MN347">
        <f t="shared" si="153"/>
        <v>0</v>
      </c>
      <c r="MO347">
        <f t="shared" si="153"/>
        <v>0</v>
      </c>
      <c r="MP347">
        <f t="shared" si="153"/>
        <v>0</v>
      </c>
      <c r="MQ347">
        <f t="shared" si="153"/>
        <v>0</v>
      </c>
      <c r="MR347">
        <f t="shared" si="153"/>
        <v>0</v>
      </c>
      <c r="MS347">
        <f t="shared" si="153"/>
        <v>0</v>
      </c>
      <c r="MT347">
        <f t="shared" si="153"/>
        <v>0</v>
      </c>
      <c r="MU347">
        <f t="shared" si="153"/>
        <v>0</v>
      </c>
      <c r="MV347">
        <f t="shared" si="153"/>
        <v>0</v>
      </c>
      <c r="MW347">
        <f t="shared" si="153"/>
        <v>0</v>
      </c>
      <c r="MX347">
        <f t="shared" si="153"/>
        <v>0</v>
      </c>
      <c r="MY347">
        <f t="shared" si="153"/>
        <v>0</v>
      </c>
      <c r="MZ347">
        <f t="shared" si="153"/>
        <v>0</v>
      </c>
      <c r="NA347">
        <f t="shared" si="153"/>
        <v>0</v>
      </c>
      <c r="NB347">
        <f t="shared" si="153"/>
        <v>0</v>
      </c>
      <c r="NC347">
        <f t="shared" si="153"/>
        <v>0</v>
      </c>
      <c r="ND347">
        <f t="shared" si="153"/>
        <v>0</v>
      </c>
      <c r="NE347">
        <f t="shared" si="153"/>
        <v>0</v>
      </c>
      <c r="NF347">
        <f t="shared" si="153"/>
        <v>0</v>
      </c>
      <c r="NG347">
        <f t="shared" si="153"/>
        <v>0</v>
      </c>
      <c r="NH347">
        <f t="shared" si="153"/>
        <v>0</v>
      </c>
      <c r="NI347">
        <f t="shared" si="153"/>
        <v>0</v>
      </c>
      <c r="NJ347">
        <f t="shared" si="153"/>
        <v>0</v>
      </c>
      <c r="NK347">
        <f t="shared" si="153"/>
        <v>0</v>
      </c>
      <c r="NL347">
        <f t="shared" si="153"/>
        <v>0</v>
      </c>
      <c r="NM347">
        <f t="shared" si="153"/>
        <v>0</v>
      </c>
      <c r="NN347">
        <f t="shared" si="153"/>
        <v>0</v>
      </c>
      <c r="NO347">
        <f t="shared" si="153"/>
        <v>0</v>
      </c>
      <c r="NP347">
        <f t="shared" si="153"/>
        <v>0</v>
      </c>
      <c r="NQ347">
        <f t="shared" si="153"/>
        <v>0</v>
      </c>
      <c r="NR347">
        <f t="shared" si="153"/>
        <v>0</v>
      </c>
      <c r="NS347">
        <f t="shared" si="153"/>
        <v>0</v>
      </c>
      <c r="NT347">
        <f t="shared" si="153"/>
        <v>0</v>
      </c>
      <c r="NU347">
        <f t="shared" si="153"/>
        <v>0</v>
      </c>
      <c r="NV347">
        <f t="shared" si="153"/>
        <v>0</v>
      </c>
      <c r="NW347">
        <f t="shared" si="153"/>
        <v>0</v>
      </c>
      <c r="NX347">
        <f t="shared" si="153"/>
        <v>0</v>
      </c>
      <c r="NY347">
        <f t="shared" si="153"/>
        <v>0</v>
      </c>
      <c r="NZ347">
        <f t="shared" si="153"/>
        <v>0</v>
      </c>
      <c r="OA347">
        <f t="shared" si="153"/>
        <v>0</v>
      </c>
      <c r="OB347">
        <f t="shared" si="153"/>
        <v>0</v>
      </c>
      <c r="OC347">
        <f t="shared" si="153"/>
        <v>0</v>
      </c>
      <c r="OD347">
        <f t="shared" si="153"/>
        <v>0</v>
      </c>
      <c r="OE347">
        <f t="shared" si="153"/>
        <v>0</v>
      </c>
      <c r="OF347">
        <f t="shared" si="153"/>
        <v>0</v>
      </c>
      <c r="OG347">
        <f t="shared" si="153"/>
        <v>0</v>
      </c>
      <c r="OH347">
        <f t="shared" si="153"/>
        <v>0</v>
      </c>
      <c r="OI347">
        <f t="shared" si="153"/>
        <v>0</v>
      </c>
      <c r="OJ347">
        <f t="shared" ref="OJ347:QU347" si="154">OK4</f>
        <v>0</v>
      </c>
      <c r="OK347">
        <f t="shared" si="154"/>
        <v>0</v>
      </c>
      <c r="OL347">
        <f t="shared" si="154"/>
        <v>0</v>
      </c>
      <c r="OM347">
        <f t="shared" si="154"/>
        <v>0</v>
      </c>
      <c r="ON347">
        <f t="shared" si="154"/>
        <v>0</v>
      </c>
      <c r="OO347">
        <f t="shared" si="154"/>
        <v>0</v>
      </c>
      <c r="OP347">
        <f t="shared" si="154"/>
        <v>0</v>
      </c>
      <c r="OQ347">
        <f t="shared" si="154"/>
        <v>0</v>
      </c>
      <c r="OR347">
        <f t="shared" si="154"/>
        <v>0</v>
      </c>
      <c r="OS347">
        <f t="shared" si="154"/>
        <v>0</v>
      </c>
      <c r="OT347">
        <f t="shared" si="154"/>
        <v>0</v>
      </c>
      <c r="OU347">
        <f t="shared" si="154"/>
        <v>0</v>
      </c>
      <c r="OV347">
        <f t="shared" si="154"/>
        <v>0</v>
      </c>
      <c r="OW347">
        <f t="shared" si="154"/>
        <v>0</v>
      </c>
      <c r="OX347">
        <f t="shared" si="154"/>
        <v>0</v>
      </c>
      <c r="OY347">
        <f t="shared" si="154"/>
        <v>0</v>
      </c>
      <c r="OZ347">
        <f t="shared" si="154"/>
        <v>0</v>
      </c>
      <c r="PA347">
        <f t="shared" si="154"/>
        <v>0</v>
      </c>
      <c r="PB347">
        <f t="shared" si="154"/>
        <v>0</v>
      </c>
      <c r="PC347">
        <f t="shared" si="154"/>
        <v>0</v>
      </c>
      <c r="PD347">
        <f t="shared" si="154"/>
        <v>0</v>
      </c>
      <c r="PE347">
        <f t="shared" si="154"/>
        <v>0</v>
      </c>
      <c r="PF347">
        <f t="shared" si="154"/>
        <v>0</v>
      </c>
      <c r="PG347">
        <f t="shared" si="154"/>
        <v>0</v>
      </c>
      <c r="PH347">
        <f t="shared" si="154"/>
        <v>0</v>
      </c>
      <c r="PI347">
        <f t="shared" si="154"/>
        <v>0</v>
      </c>
      <c r="PJ347">
        <f t="shared" si="154"/>
        <v>0</v>
      </c>
      <c r="PK347">
        <f t="shared" si="154"/>
        <v>0</v>
      </c>
      <c r="PL347">
        <f t="shared" si="154"/>
        <v>0</v>
      </c>
      <c r="PM347">
        <f t="shared" si="154"/>
        <v>0</v>
      </c>
      <c r="PN347">
        <f t="shared" si="154"/>
        <v>0</v>
      </c>
      <c r="PO347">
        <f t="shared" si="154"/>
        <v>0</v>
      </c>
      <c r="PP347">
        <f t="shared" si="154"/>
        <v>0</v>
      </c>
      <c r="PQ347">
        <f t="shared" si="154"/>
        <v>0</v>
      </c>
      <c r="PR347">
        <f t="shared" si="154"/>
        <v>0</v>
      </c>
      <c r="PS347">
        <f t="shared" si="154"/>
        <v>0</v>
      </c>
      <c r="PT347">
        <f t="shared" si="154"/>
        <v>0</v>
      </c>
      <c r="PU347">
        <f t="shared" si="154"/>
        <v>0</v>
      </c>
      <c r="PV347">
        <f t="shared" si="154"/>
        <v>0</v>
      </c>
      <c r="PW347">
        <f t="shared" si="154"/>
        <v>0</v>
      </c>
      <c r="PX347">
        <f t="shared" si="154"/>
        <v>0</v>
      </c>
      <c r="PY347">
        <f t="shared" si="154"/>
        <v>0</v>
      </c>
      <c r="PZ347">
        <f t="shared" si="154"/>
        <v>0</v>
      </c>
      <c r="QA347">
        <f t="shared" si="154"/>
        <v>0</v>
      </c>
      <c r="QB347">
        <f t="shared" si="154"/>
        <v>0</v>
      </c>
      <c r="QC347">
        <f t="shared" si="154"/>
        <v>0</v>
      </c>
      <c r="QD347">
        <f t="shared" si="154"/>
        <v>0</v>
      </c>
      <c r="QE347">
        <f t="shared" si="154"/>
        <v>0</v>
      </c>
      <c r="QF347">
        <f t="shared" si="154"/>
        <v>0</v>
      </c>
      <c r="QG347">
        <f t="shared" si="154"/>
        <v>0</v>
      </c>
      <c r="QH347">
        <f t="shared" si="154"/>
        <v>0</v>
      </c>
      <c r="QI347">
        <f t="shared" si="154"/>
        <v>0</v>
      </c>
      <c r="QJ347">
        <f t="shared" si="154"/>
        <v>0</v>
      </c>
      <c r="QK347">
        <f t="shared" si="154"/>
        <v>0</v>
      </c>
      <c r="QL347">
        <f t="shared" si="154"/>
        <v>0</v>
      </c>
      <c r="QM347">
        <f t="shared" si="154"/>
        <v>0</v>
      </c>
      <c r="QN347">
        <f t="shared" si="154"/>
        <v>0</v>
      </c>
      <c r="QO347">
        <f t="shared" si="154"/>
        <v>0</v>
      </c>
      <c r="QP347">
        <f t="shared" si="154"/>
        <v>0</v>
      </c>
      <c r="QQ347">
        <f t="shared" si="154"/>
        <v>0</v>
      </c>
      <c r="QR347">
        <f t="shared" si="154"/>
        <v>0</v>
      </c>
      <c r="QS347">
        <f t="shared" si="154"/>
        <v>0</v>
      </c>
      <c r="QT347">
        <f t="shared" si="154"/>
        <v>0</v>
      </c>
      <c r="QU347">
        <f t="shared" si="154"/>
        <v>0</v>
      </c>
      <c r="QV347">
        <f t="shared" ref="QV347:TG347" si="155">QW4</f>
        <v>0</v>
      </c>
      <c r="QW347">
        <f t="shared" si="155"/>
        <v>0</v>
      </c>
      <c r="QX347">
        <f t="shared" si="155"/>
        <v>0</v>
      </c>
      <c r="QY347">
        <f t="shared" si="155"/>
        <v>0</v>
      </c>
      <c r="QZ347">
        <f t="shared" si="155"/>
        <v>0</v>
      </c>
      <c r="RA347">
        <f t="shared" si="155"/>
        <v>0</v>
      </c>
      <c r="RB347">
        <f t="shared" si="155"/>
        <v>0</v>
      </c>
      <c r="RC347">
        <f t="shared" si="155"/>
        <v>0</v>
      </c>
      <c r="RD347">
        <f t="shared" si="155"/>
        <v>0</v>
      </c>
      <c r="RE347">
        <f t="shared" si="155"/>
        <v>0</v>
      </c>
      <c r="RF347">
        <f t="shared" si="155"/>
        <v>0</v>
      </c>
      <c r="RG347">
        <f t="shared" si="155"/>
        <v>0</v>
      </c>
      <c r="RH347">
        <f t="shared" si="155"/>
        <v>0</v>
      </c>
      <c r="RI347">
        <f t="shared" si="155"/>
        <v>0</v>
      </c>
      <c r="RJ347">
        <f t="shared" si="155"/>
        <v>0</v>
      </c>
      <c r="RK347">
        <f t="shared" si="155"/>
        <v>0</v>
      </c>
      <c r="RL347">
        <f t="shared" si="155"/>
        <v>0</v>
      </c>
      <c r="RM347">
        <f t="shared" si="155"/>
        <v>0</v>
      </c>
      <c r="RN347">
        <f t="shared" si="155"/>
        <v>0</v>
      </c>
      <c r="RO347">
        <f t="shared" si="155"/>
        <v>0</v>
      </c>
      <c r="RP347">
        <f t="shared" si="155"/>
        <v>0</v>
      </c>
      <c r="RQ347">
        <f t="shared" si="155"/>
        <v>0</v>
      </c>
      <c r="RR347">
        <f t="shared" si="155"/>
        <v>0</v>
      </c>
      <c r="RS347">
        <f t="shared" si="155"/>
        <v>0</v>
      </c>
      <c r="RT347">
        <f t="shared" si="155"/>
        <v>0</v>
      </c>
      <c r="RU347">
        <f t="shared" si="155"/>
        <v>0</v>
      </c>
      <c r="RV347">
        <f t="shared" si="155"/>
        <v>0</v>
      </c>
      <c r="RW347">
        <f t="shared" si="155"/>
        <v>0</v>
      </c>
      <c r="RX347">
        <f t="shared" si="155"/>
        <v>0</v>
      </c>
      <c r="RY347">
        <f t="shared" si="155"/>
        <v>0</v>
      </c>
      <c r="RZ347">
        <f t="shared" si="155"/>
        <v>0</v>
      </c>
      <c r="SA347">
        <f t="shared" si="155"/>
        <v>0</v>
      </c>
      <c r="SB347">
        <f t="shared" si="155"/>
        <v>0</v>
      </c>
      <c r="SC347">
        <f t="shared" si="155"/>
        <v>0</v>
      </c>
      <c r="SD347">
        <f t="shared" si="155"/>
        <v>0</v>
      </c>
      <c r="SE347">
        <f t="shared" si="155"/>
        <v>0</v>
      </c>
      <c r="SF347">
        <f t="shared" si="155"/>
        <v>0</v>
      </c>
      <c r="SG347">
        <f t="shared" si="155"/>
        <v>0</v>
      </c>
      <c r="SH347">
        <f t="shared" si="155"/>
        <v>0</v>
      </c>
      <c r="SI347">
        <f t="shared" si="155"/>
        <v>0</v>
      </c>
      <c r="SJ347">
        <f t="shared" si="155"/>
        <v>0</v>
      </c>
      <c r="SK347">
        <f t="shared" si="155"/>
        <v>0</v>
      </c>
      <c r="SL347">
        <f t="shared" si="155"/>
        <v>0</v>
      </c>
      <c r="SM347">
        <f t="shared" si="155"/>
        <v>0</v>
      </c>
      <c r="SN347">
        <f t="shared" si="155"/>
        <v>0</v>
      </c>
      <c r="SO347">
        <f t="shared" si="155"/>
        <v>0</v>
      </c>
      <c r="SP347">
        <f t="shared" si="155"/>
        <v>0</v>
      </c>
      <c r="SQ347">
        <f t="shared" si="155"/>
        <v>0</v>
      </c>
      <c r="SR347">
        <f t="shared" si="155"/>
        <v>0</v>
      </c>
      <c r="SS347">
        <f t="shared" si="155"/>
        <v>0</v>
      </c>
      <c r="ST347">
        <f t="shared" si="155"/>
        <v>0</v>
      </c>
      <c r="SU347">
        <f t="shared" si="155"/>
        <v>0</v>
      </c>
      <c r="SV347">
        <f t="shared" si="155"/>
        <v>0</v>
      </c>
      <c r="SW347">
        <f t="shared" si="155"/>
        <v>0</v>
      </c>
      <c r="SX347">
        <f t="shared" si="155"/>
        <v>0</v>
      </c>
      <c r="SY347">
        <f t="shared" si="155"/>
        <v>0</v>
      </c>
      <c r="SZ347">
        <f t="shared" si="155"/>
        <v>0</v>
      </c>
      <c r="TA347">
        <f t="shared" si="155"/>
        <v>0</v>
      </c>
      <c r="TB347">
        <f t="shared" si="155"/>
        <v>0</v>
      </c>
      <c r="TC347">
        <f t="shared" si="155"/>
        <v>0</v>
      </c>
      <c r="TD347">
        <f t="shared" si="155"/>
        <v>0</v>
      </c>
      <c r="TE347">
        <f t="shared" si="155"/>
        <v>0</v>
      </c>
      <c r="TF347">
        <f t="shared" si="155"/>
        <v>0</v>
      </c>
      <c r="TG347">
        <f t="shared" si="155"/>
        <v>0</v>
      </c>
      <c r="TH347">
        <f t="shared" ref="TH347:VS347" si="156">TI4</f>
        <v>0</v>
      </c>
      <c r="TI347">
        <f t="shared" si="156"/>
        <v>0</v>
      </c>
      <c r="TJ347">
        <f t="shared" si="156"/>
        <v>0</v>
      </c>
      <c r="TK347">
        <f t="shared" si="156"/>
        <v>0</v>
      </c>
      <c r="TL347">
        <f t="shared" si="156"/>
        <v>0</v>
      </c>
      <c r="TM347">
        <f t="shared" si="156"/>
        <v>0</v>
      </c>
      <c r="TN347">
        <f t="shared" si="156"/>
        <v>0</v>
      </c>
      <c r="TO347">
        <f t="shared" si="156"/>
        <v>0</v>
      </c>
      <c r="TP347">
        <f t="shared" si="156"/>
        <v>0</v>
      </c>
      <c r="TQ347">
        <f t="shared" si="156"/>
        <v>0</v>
      </c>
      <c r="TR347">
        <f t="shared" si="156"/>
        <v>0</v>
      </c>
      <c r="TS347">
        <f t="shared" si="156"/>
        <v>0</v>
      </c>
      <c r="TT347">
        <f t="shared" si="156"/>
        <v>0</v>
      </c>
      <c r="TU347">
        <f t="shared" si="156"/>
        <v>0</v>
      </c>
      <c r="TV347">
        <f t="shared" si="156"/>
        <v>0</v>
      </c>
      <c r="TW347">
        <f t="shared" si="156"/>
        <v>0</v>
      </c>
      <c r="TX347">
        <f t="shared" si="156"/>
        <v>0</v>
      </c>
      <c r="TY347">
        <f t="shared" si="156"/>
        <v>0</v>
      </c>
      <c r="TZ347">
        <f t="shared" si="156"/>
        <v>0</v>
      </c>
      <c r="UA347">
        <f t="shared" si="156"/>
        <v>0</v>
      </c>
      <c r="UB347">
        <f t="shared" si="156"/>
        <v>0</v>
      </c>
      <c r="UC347">
        <f t="shared" si="156"/>
        <v>0</v>
      </c>
      <c r="UD347">
        <f t="shared" si="156"/>
        <v>0</v>
      </c>
      <c r="UE347">
        <f t="shared" si="156"/>
        <v>0</v>
      </c>
      <c r="UF347">
        <f t="shared" si="156"/>
        <v>0</v>
      </c>
      <c r="UG347">
        <f t="shared" si="156"/>
        <v>0</v>
      </c>
      <c r="UH347">
        <f t="shared" si="156"/>
        <v>0</v>
      </c>
      <c r="UI347">
        <f t="shared" si="156"/>
        <v>0</v>
      </c>
      <c r="UJ347">
        <f t="shared" si="156"/>
        <v>0</v>
      </c>
      <c r="UK347">
        <f t="shared" si="156"/>
        <v>0</v>
      </c>
      <c r="UL347">
        <f t="shared" si="156"/>
        <v>0</v>
      </c>
      <c r="UM347">
        <f t="shared" si="156"/>
        <v>0</v>
      </c>
      <c r="UN347">
        <f t="shared" si="156"/>
        <v>0</v>
      </c>
      <c r="UO347">
        <f t="shared" si="156"/>
        <v>0</v>
      </c>
      <c r="UP347">
        <f t="shared" si="156"/>
        <v>0</v>
      </c>
      <c r="UQ347">
        <f t="shared" si="156"/>
        <v>0</v>
      </c>
      <c r="UR347">
        <f t="shared" si="156"/>
        <v>0</v>
      </c>
      <c r="US347">
        <f t="shared" si="156"/>
        <v>0</v>
      </c>
      <c r="UT347">
        <f t="shared" si="156"/>
        <v>0</v>
      </c>
      <c r="UU347">
        <f t="shared" si="156"/>
        <v>0</v>
      </c>
      <c r="UV347">
        <f t="shared" si="156"/>
        <v>0</v>
      </c>
      <c r="UW347">
        <f t="shared" si="156"/>
        <v>0</v>
      </c>
      <c r="UX347">
        <f t="shared" si="156"/>
        <v>0</v>
      </c>
      <c r="UY347">
        <f t="shared" si="156"/>
        <v>0</v>
      </c>
      <c r="UZ347">
        <f t="shared" si="156"/>
        <v>0</v>
      </c>
      <c r="VA347">
        <f t="shared" si="156"/>
        <v>0</v>
      </c>
      <c r="VB347">
        <f t="shared" si="156"/>
        <v>0</v>
      </c>
      <c r="VC347">
        <f t="shared" si="156"/>
        <v>0</v>
      </c>
      <c r="VD347">
        <f t="shared" si="156"/>
        <v>0</v>
      </c>
      <c r="VE347">
        <f t="shared" si="156"/>
        <v>0</v>
      </c>
      <c r="VF347">
        <f t="shared" si="156"/>
        <v>0</v>
      </c>
      <c r="VG347">
        <f t="shared" si="156"/>
        <v>0</v>
      </c>
      <c r="VH347">
        <f t="shared" si="156"/>
        <v>0</v>
      </c>
      <c r="VI347">
        <f t="shared" si="156"/>
        <v>0</v>
      </c>
      <c r="VJ347">
        <f t="shared" si="156"/>
        <v>0</v>
      </c>
      <c r="VK347">
        <f t="shared" si="156"/>
        <v>0</v>
      </c>
      <c r="VL347">
        <f t="shared" si="156"/>
        <v>0</v>
      </c>
      <c r="VM347">
        <f t="shared" si="156"/>
        <v>0</v>
      </c>
      <c r="VN347">
        <f t="shared" si="156"/>
        <v>0</v>
      </c>
      <c r="VO347">
        <f t="shared" si="156"/>
        <v>0</v>
      </c>
      <c r="VP347">
        <f t="shared" si="156"/>
        <v>0</v>
      </c>
      <c r="VQ347">
        <f t="shared" si="156"/>
        <v>0</v>
      </c>
      <c r="VR347">
        <f t="shared" si="156"/>
        <v>0</v>
      </c>
      <c r="VS347">
        <f t="shared" si="156"/>
        <v>0</v>
      </c>
      <c r="VT347">
        <f t="shared" ref="VT347:YE347" si="157">VU4</f>
        <v>0</v>
      </c>
      <c r="VU347">
        <f t="shared" si="157"/>
        <v>0</v>
      </c>
      <c r="VV347">
        <f t="shared" si="157"/>
        <v>0</v>
      </c>
      <c r="VW347">
        <f t="shared" si="157"/>
        <v>0</v>
      </c>
      <c r="VX347">
        <f t="shared" si="157"/>
        <v>0</v>
      </c>
      <c r="VY347">
        <f t="shared" si="157"/>
        <v>0</v>
      </c>
      <c r="VZ347">
        <f t="shared" si="157"/>
        <v>0</v>
      </c>
      <c r="WA347">
        <f t="shared" si="157"/>
        <v>0</v>
      </c>
      <c r="WB347">
        <f t="shared" si="157"/>
        <v>0</v>
      </c>
      <c r="WC347">
        <f t="shared" si="157"/>
        <v>0</v>
      </c>
      <c r="WD347">
        <f t="shared" si="157"/>
        <v>0</v>
      </c>
      <c r="WE347">
        <f t="shared" si="157"/>
        <v>0</v>
      </c>
      <c r="WF347">
        <f t="shared" si="157"/>
        <v>0</v>
      </c>
      <c r="WG347">
        <f t="shared" si="157"/>
        <v>0</v>
      </c>
      <c r="WH347">
        <f t="shared" si="157"/>
        <v>0</v>
      </c>
      <c r="WI347">
        <f t="shared" si="157"/>
        <v>0</v>
      </c>
      <c r="WJ347">
        <f t="shared" si="157"/>
        <v>0</v>
      </c>
      <c r="WK347">
        <f t="shared" si="157"/>
        <v>0</v>
      </c>
      <c r="WL347">
        <f t="shared" si="157"/>
        <v>0</v>
      </c>
      <c r="WM347">
        <f t="shared" si="157"/>
        <v>0</v>
      </c>
      <c r="WN347">
        <f t="shared" si="157"/>
        <v>0</v>
      </c>
      <c r="WO347">
        <f t="shared" si="157"/>
        <v>0</v>
      </c>
      <c r="WP347">
        <f t="shared" si="157"/>
        <v>0</v>
      </c>
      <c r="WQ347">
        <f t="shared" si="157"/>
        <v>0</v>
      </c>
      <c r="WR347">
        <f t="shared" si="157"/>
        <v>0</v>
      </c>
      <c r="WS347">
        <f t="shared" si="157"/>
        <v>0</v>
      </c>
      <c r="WT347">
        <f t="shared" si="157"/>
        <v>0</v>
      </c>
      <c r="WU347">
        <f t="shared" si="157"/>
        <v>0</v>
      </c>
      <c r="WV347">
        <f t="shared" si="157"/>
        <v>0</v>
      </c>
      <c r="WW347">
        <f t="shared" si="157"/>
        <v>0</v>
      </c>
      <c r="WX347">
        <f t="shared" si="157"/>
        <v>0</v>
      </c>
      <c r="WY347">
        <f t="shared" si="157"/>
        <v>0</v>
      </c>
      <c r="WZ347">
        <f t="shared" si="157"/>
        <v>0</v>
      </c>
      <c r="XA347">
        <f t="shared" si="157"/>
        <v>0</v>
      </c>
      <c r="XB347">
        <f t="shared" si="157"/>
        <v>0</v>
      </c>
      <c r="XC347">
        <f t="shared" si="157"/>
        <v>0</v>
      </c>
      <c r="XD347">
        <f t="shared" si="157"/>
        <v>0</v>
      </c>
      <c r="XE347">
        <f t="shared" si="157"/>
        <v>0</v>
      </c>
      <c r="XF347">
        <f t="shared" si="157"/>
        <v>0</v>
      </c>
      <c r="XG347">
        <f t="shared" si="157"/>
        <v>0</v>
      </c>
      <c r="XH347">
        <f t="shared" si="157"/>
        <v>0</v>
      </c>
      <c r="XI347">
        <f t="shared" si="157"/>
        <v>0</v>
      </c>
      <c r="XJ347">
        <f t="shared" si="157"/>
        <v>0</v>
      </c>
      <c r="XK347">
        <f t="shared" si="157"/>
        <v>0</v>
      </c>
      <c r="XL347">
        <f t="shared" si="157"/>
        <v>0</v>
      </c>
      <c r="XM347">
        <f t="shared" si="157"/>
        <v>0</v>
      </c>
      <c r="XN347">
        <f t="shared" si="157"/>
        <v>0</v>
      </c>
      <c r="XO347">
        <f t="shared" si="157"/>
        <v>0</v>
      </c>
      <c r="XP347">
        <f t="shared" si="157"/>
        <v>0</v>
      </c>
      <c r="XQ347">
        <f t="shared" si="157"/>
        <v>0</v>
      </c>
      <c r="XR347">
        <f t="shared" si="157"/>
        <v>0</v>
      </c>
      <c r="XS347">
        <f t="shared" si="157"/>
        <v>0</v>
      </c>
      <c r="XT347">
        <f t="shared" si="157"/>
        <v>0</v>
      </c>
      <c r="XU347">
        <f t="shared" si="157"/>
        <v>0</v>
      </c>
      <c r="XV347">
        <f t="shared" si="157"/>
        <v>0</v>
      </c>
      <c r="XW347">
        <f t="shared" si="157"/>
        <v>0</v>
      </c>
      <c r="XX347">
        <f t="shared" si="157"/>
        <v>0</v>
      </c>
      <c r="XY347">
        <f t="shared" si="157"/>
        <v>0</v>
      </c>
      <c r="XZ347">
        <f t="shared" si="157"/>
        <v>0</v>
      </c>
      <c r="YA347">
        <f t="shared" si="157"/>
        <v>0</v>
      </c>
      <c r="YB347">
        <f t="shared" si="157"/>
        <v>0</v>
      </c>
      <c r="YC347">
        <f t="shared" si="157"/>
        <v>0</v>
      </c>
      <c r="YD347">
        <f t="shared" si="157"/>
        <v>0</v>
      </c>
      <c r="YE347">
        <f t="shared" si="157"/>
        <v>0</v>
      </c>
      <c r="YF347">
        <f t="shared" ref="YF347:AAQ347" si="158">YG4</f>
        <v>0</v>
      </c>
      <c r="YG347">
        <f t="shared" si="158"/>
        <v>0</v>
      </c>
      <c r="YH347">
        <f t="shared" si="158"/>
        <v>0</v>
      </c>
      <c r="YI347">
        <f t="shared" si="158"/>
        <v>0</v>
      </c>
      <c r="YJ347">
        <f t="shared" si="158"/>
        <v>0</v>
      </c>
      <c r="YK347">
        <f t="shared" si="158"/>
        <v>0</v>
      </c>
      <c r="YL347">
        <f t="shared" si="158"/>
        <v>0</v>
      </c>
      <c r="YM347">
        <f t="shared" si="158"/>
        <v>0</v>
      </c>
      <c r="YN347">
        <f t="shared" si="158"/>
        <v>0</v>
      </c>
      <c r="YO347">
        <f t="shared" si="158"/>
        <v>0</v>
      </c>
      <c r="YP347">
        <f t="shared" si="158"/>
        <v>0</v>
      </c>
      <c r="YQ347">
        <f t="shared" si="158"/>
        <v>0</v>
      </c>
      <c r="YR347">
        <f t="shared" si="158"/>
        <v>0</v>
      </c>
      <c r="YS347">
        <f t="shared" si="158"/>
        <v>0</v>
      </c>
      <c r="YT347">
        <f t="shared" si="158"/>
        <v>0</v>
      </c>
      <c r="YU347">
        <f t="shared" si="158"/>
        <v>0</v>
      </c>
      <c r="YV347">
        <f t="shared" si="158"/>
        <v>0</v>
      </c>
      <c r="YW347">
        <f t="shared" si="158"/>
        <v>0</v>
      </c>
      <c r="YX347">
        <f t="shared" si="158"/>
        <v>0</v>
      </c>
      <c r="YY347">
        <f t="shared" si="158"/>
        <v>0</v>
      </c>
      <c r="YZ347">
        <f t="shared" si="158"/>
        <v>0</v>
      </c>
      <c r="ZA347">
        <f t="shared" si="158"/>
        <v>0</v>
      </c>
      <c r="ZB347">
        <f t="shared" si="158"/>
        <v>0</v>
      </c>
      <c r="ZC347">
        <f t="shared" si="158"/>
        <v>0</v>
      </c>
      <c r="ZD347">
        <f t="shared" si="158"/>
        <v>0</v>
      </c>
      <c r="ZE347">
        <f t="shared" si="158"/>
        <v>0</v>
      </c>
      <c r="ZF347">
        <f t="shared" si="158"/>
        <v>0</v>
      </c>
      <c r="ZG347">
        <f t="shared" si="158"/>
        <v>0</v>
      </c>
      <c r="ZH347">
        <f t="shared" si="158"/>
        <v>0</v>
      </c>
      <c r="ZI347">
        <f t="shared" si="158"/>
        <v>0</v>
      </c>
      <c r="ZJ347">
        <f t="shared" si="158"/>
        <v>0</v>
      </c>
      <c r="ZK347">
        <f t="shared" si="158"/>
        <v>0</v>
      </c>
      <c r="ZL347">
        <f t="shared" si="158"/>
        <v>0</v>
      </c>
      <c r="ZM347">
        <f t="shared" si="158"/>
        <v>0</v>
      </c>
      <c r="ZN347">
        <f t="shared" si="158"/>
        <v>0</v>
      </c>
      <c r="ZO347">
        <f t="shared" si="158"/>
        <v>0</v>
      </c>
      <c r="ZP347">
        <f t="shared" si="158"/>
        <v>0</v>
      </c>
      <c r="ZQ347">
        <f t="shared" si="158"/>
        <v>0</v>
      </c>
      <c r="ZR347">
        <f t="shared" si="158"/>
        <v>0</v>
      </c>
      <c r="ZS347">
        <f t="shared" si="158"/>
        <v>0</v>
      </c>
      <c r="ZT347">
        <f t="shared" si="158"/>
        <v>0</v>
      </c>
      <c r="ZU347">
        <f t="shared" si="158"/>
        <v>0</v>
      </c>
      <c r="ZV347">
        <f t="shared" si="158"/>
        <v>0</v>
      </c>
      <c r="ZW347">
        <f t="shared" si="158"/>
        <v>0</v>
      </c>
      <c r="ZX347">
        <f t="shared" si="158"/>
        <v>0</v>
      </c>
      <c r="ZY347">
        <f t="shared" si="158"/>
        <v>0</v>
      </c>
      <c r="ZZ347">
        <f t="shared" si="158"/>
        <v>0</v>
      </c>
      <c r="AAA347">
        <f t="shared" si="158"/>
        <v>0</v>
      </c>
      <c r="AAB347">
        <f t="shared" si="158"/>
        <v>0</v>
      </c>
      <c r="AAC347">
        <f t="shared" si="158"/>
        <v>0</v>
      </c>
      <c r="AAD347">
        <f t="shared" si="158"/>
        <v>0</v>
      </c>
      <c r="AAE347">
        <f t="shared" si="158"/>
        <v>0</v>
      </c>
      <c r="AAF347">
        <f t="shared" si="158"/>
        <v>0</v>
      </c>
      <c r="AAG347">
        <f t="shared" si="158"/>
        <v>0</v>
      </c>
      <c r="AAH347">
        <f t="shared" si="158"/>
        <v>0</v>
      </c>
      <c r="AAI347">
        <f t="shared" si="158"/>
        <v>0</v>
      </c>
      <c r="AAJ347">
        <f t="shared" si="158"/>
        <v>0</v>
      </c>
      <c r="AAK347">
        <f t="shared" si="158"/>
        <v>0</v>
      </c>
      <c r="AAL347">
        <f t="shared" si="158"/>
        <v>0</v>
      </c>
      <c r="AAM347">
        <f t="shared" si="158"/>
        <v>0</v>
      </c>
      <c r="AAN347">
        <f t="shared" si="158"/>
        <v>0</v>
      </c>
      <c r="AAO347">
        <f t="shared" si="158"/>
        <v>0</v>
      </c>
      <c r="AAP347">
        <f t="shared" si="158"/>
        <v>0</v>
      </c>
      <c r="AAQ347">
        <f t="shared" si="158"/>
        <v>0</v>
      </c>
      <c r="AAR347">
        <f t="shared" ref="AAR347:ABY347" si="159">AAS4</f>
        <v>0</v>
      </c>
      <c r="AAS347">
        <f t="shared" si="159"/>
        <v>0</v>
      </c>
      <c r="AAT347">
        <f t="shared" si="159"/>
        <v>0</v>
      </c>
      <c r="AAU347">
        <f t="shared" si="159"/>
        <v>0</v>
      </c>
      <c r="AAV347">
        <f t="shared" si="159"/>
        <v>0</v>
      </c>
      <c r="AAW347">
        <f t="shared" si="159"/>
        <v>0</v>
      </c>
      <c r="AAX347">
        <f t="shared" si="159"/>
        <v>0</v>
      </c>
      <c r="AAY347">
        <f t="shared" si="159"/>
        <v>0</v>
      </c>
      <c r="AAZ347">
        <f t="shared" si="159"/>
        <v>0</v>
      </c>
      <c r="ABA347">
        <f t="shared" si="159"/>
        <v>0</v>
      </c>
      <c r="ABB347">
        <f t="shared" si="159"/>
        <v>0</v>
      </c>
      <c r="ABC347">
        <f t="shared" si="159"/>
        <v>0</v>
      </c>
      <c r="ABD347">
        <f t="shared" si="159"/>
        <v>0</v>
      </c>
      <c r="ABE347">
        <f t="shared" si="159"/>
        <v>0</v>
      </c>
      <c r="ABF347">
        <f t="shared" si="159"/>
        <v>0</v>
      </c>
      <c r="ABG347">
        <f t="shared" si="159"/>
        <v>0</v>
      </c>
      <c r="ABH347">
        <f t="shared" si="159"/>
        <v>0</v>
      </c>
      <c r="ABI347">
        <f t="shared" si="159"/>
        <v>0</v>
      </c>
      <c r="ABJ347">
        <f t="shared" si="159"/>
        <v>0</v>
      </c>
      <c r="ABK347">
        <f t="shared" si="159"/>
        <v>0</v>
      </c>
      <c r="ABL347">
        <f t="shared" si="159"/>
        <v>0</v>
      </c>
      <c r="ABM347">
        <f t="shared" si="159"/>
        <v>0</v>
      </c>
      <c r="ABN347">
        <f t="shared" si="159"/>
        <v>0</v>
      </c>
      <c r="ABO347">
        <f t="shared" si="159"/>
        <v>0</v>
      </c>
      <c r="ABP347">
        <f t="shared" si="159"/>
        <v>0</v>
      </c>
      <c r="ABQ347">
        <f t="shared" si="159"/>
        <v>0</v>
      </c>
      <c r="ABR347">
        <f t="shared" si="159"/>
        <v>0</v>
      </c>
      <c r="ABS347">
        <f t="shared" si="159"/>
        <v>0</v>
      </c>
      <c r="ABT347">
        <f t="shared" si="159"/>
        <v>0</v>
      </c>
      <c r="ABU347">
        <f t="shared" si="159"/>
        <v>0</v>
      </c>
      <c r="ABV347">
        <f t="shared" si="159"/>
        <v>0</v>
      </c>
      <c r="ABW347">
        <f t="shared" si="159"/>
        <v>0</v>
      </c>
      <c r="ABX347">
        <f t="shared" si="159"/>
        <v>0</v>
      </c>
      <c r="ABY347">
        <f t="shared" si="159"/>
        <v>0</v>
      </c>
    </row>
    <row r="348" spans="1:753" ht="14.3">
      <c r="C348" t="b">
        <f t="shared" si="120"/>
        <v>1</v>
      </c>
      <c r="D348" s="233">
        <f t="shared" ca="1" si="120"/>
        <v>0</v>
      </c>
      <c r="F348">
        <f t="shared" ca="1" si="120"/>
        <v>0</v>
      </c>
      <c r="G348">
        <f t="shared" ca="1" si="120"/>
        <v>0</v>
      </c>
      <c r="H348">
        <f t="shared" ca="1" si="120"/>
        <v>0</v>
      </c>
      <c r="J348">
        <f t="shared" ca="1" si="120"/>
        <v>0</v>
      </c>
      <c r="K348" t="str">
        <f t="shared" ca="1" si="120"/>
        <v>WA</v>
      </c>
      <c r="L348">
        <f t="shared" ca="1" si="120"/>
        <v>0</v>
      </c>
      <c r="N348">
        <f t="shared" ca="1" si="120"/>
        <v>0</v>
      </c>
      <c r="O348">
        <f t="shared" ca="1" si="120"/>
        <v>0</v>
      </c>
      <c r="P348" t="str">
        <f t="shared" ref="P348:BK348" ca="1" si="160">P5</f>
        <v>WA</v>
      </c>
      <c r="Q348">
        <f t="shared" ca="1" si="160"/>
        <v>0</v>
      </c>
      <c r="R348">
        <f t="shared" ca="1" si="160"/>
        <v>0</v>
      </c>
      <c r="S348">
        <f t="shared" ca="1" si="160"/>
        <v>0</v>
      </c>
      <c r="T348">
        <f t="shared" ca="1" si="160"/>
        <v>0</v>
      </c>
      <c r="V348" t="str">
        <f t="shared" ca="1" si="160"/>
        <v/>
      </c>
      <c r="X348" t="str">
        <f t="shared" ca="1" si="160"/>
        <v/>
      </c>
      <c r="Y348" t="str">
        <f t="shared" ca="1" si="160"/>
        <v/>
      </c>
      <c r="Z348" t="str">
        <f t="shared" ca="1" si="160"/>
        <v/>
      </c>
      <c r="AA348" t="str">
        <f t="shared" ca="1" si="160"/>
        <v/>
      </c>
      <c r="AC348" t="str">
        <f t="shared" si="160"/>
        <v>Contractor</v>
      </c>
      <c r="AE348" t="str">
        <f t="shared" ca="1" si="160"/>
        <v/>
      </c>
      <c r="AG348" t="str">
        <f t="shared" ca="1" si="160"/>
        <v/>
      </c>
      <c r="AH348" t="str">
        <f t="shared" ca="1" si="160"/>
        <v/>
      </c>
      <c r="AI348" t="str">
        <f t="shared" ca="1" si="160"/>
        <v/>
      </c>
      <c r="AK348" t="str">
        <f t="shared" ca="1" si="160"/>
        <v/>
      </c>
      <c r="AL348" t="str">
        <f t="shared" ca="1" si="160"/>
        <v/>
      </c>
      <c r="AM348" t="str">
        <f t="shared" ca="1" si="160"/>
        <v/>
      </c>
      <c r="AP348">
        <f t="shared" si="160"/>
        <v>0</v>
      </c>
      <c r="AR348">
        <f t="shared" ca="1" si="160"/>
        <v>0</v>
      </c>
      <c r="AS348">
        <f t="shared" ca="1" si="160"/>
        <v>0</v>
      </c>
      <c r="AT348">
        <f t="shared" ca="1" si="160"/>
        <v>0</v>
      </c>
      <c r="AU348">
        <f t="shared" ca="1" si="160"/>
        <v>0</v>
      </c>
      <c r="AV348">
        <f t="shared" ca="1" si="160"/>
        <v>0</v>
      </c>
      <c r="AW348">
        <f t="shared" ca="1" si="160"/>
        <v>0</v>
      </c>
      <c r="AX348">
        <f t="shared" ca="1" si="160"/>
        <v>0</v>
      </c>
      <c r="AZ348">
        <f t="shared" ca="1" si="160"/>
        <v>0</v>
      </c>
      <c r="BA348">
        <f t="shared" ca="1" si="160"/>
        <v>0</v>
      </c>
      <c r="BB348">
        <f t="shared" ca="1" si="160"/>
        <v>0</v>
      </c>
      <c r="BC348" t="str">
        <f t="shared" ca="1" si="160"/>
        <v>WA</v>
      </c>
      <c r="BD348" s="92">
        <f t="shared" ca="1" si="160"/>
        <v>0</v>
      </c>
      <c r="BF348">
        <f t="shared" ca="1" si="160"/>
        <v>0</v>
      </c>
      <c r="BG348" s="325">
        <f t="shared" ca="1" si="160"/>
        <v>0</v>
      </c>
      <c r="BH348">
        <f t="shared" ca="1" si="160"/>
        <v>0</v>
      </c>
      <c r="BI348" s="1370">
        <f t="shared" ca="1" si="160"/>
        <v>0</v>
      </c>
      <c r="BJ348" t="str">
        <f t="shared" ca="1" si="160"/>
        <v/>
      </c>
      <c r="BK348" t="str">
        <f t="shared" ca="1" si="160"/>
        <v>Commercial/Industrial</v>
      </c>
      <c r="BL348">
        <f ca="1">BM5</f>
        <v>0</v>
      </c>
      <c r="BN348">
        <f ca="1">BO5</f>
        <v>0</v>
      </c>
      <c r="BO348" t="str">
        <f t="shared" ca="1" si="135"/>
        <v/>
      </c>
      <c r="BP348">
        <f t="shared" si="135"/>
        <v>0</v>
      </c>
      <c r="BQ348" t="str">
        <f t="shared" ca="1" si="135"/>
        <v/>
      </c>
      <c r="BR348">
        <f t="shared" si="135"/>
        <v>0</v>
      </c>
      <c r="BS348" t="str">
        <f t="shared" ca="1" si="135"/>
        <v/>
      </c>
      <c r="BT348" t="str">
        <f t="shared" ca="1" si="135"/>
        <v/>
      </c>
      <c r="BU348" t="str">
        <f t="shared" ca="1" si="135"/>
        <v/>
      </c>
      <c r="BV348" t="str">
        <f t="shared" si="135"/>
        <v>Check Payment</v>
      </c>
      <c r="BW348">
        <f t="shared" si="122"/>
        <v>0</v>
      </c>
      <c r="BX348" t="str">
        <f t="shared" si="122"/>
        <v>Lighting - Performance - Custom</v>
      </c>
      <c r="BY348">
        <f t="shared" si="136"/>
        <v>12334</v>
      </c>
      <c r="BZ348" t="str">
        <f t="shared" ca="1" si="136"/>
        <v>Full</v>
      </c>
      <c r="CA348" s="1370">
        <f t="shared" ca="1" si="136"/>
        <v>0</v>
      </c>
      <c r="CB348" s="368">
        <f t="shared" ref="CB348:EM348" ca="1" si="161">CC5</f>
        <v>0</v>
      </c>
      <c r="CC348" t="str">
        <f t="shared" si="161"/>
        <v>Lighting</v>
      </c>
      <c r="CD348">
        <f t="shared" ca="1" si="161"/>
        <v>0</v>
      </c>
      <c r="CE348">
        <f t="shared" si="161"/>
        <v>0</v>
      </c>
      <c r="CF348">
        <f t="shared" si="161"/>
        <v>10</v>
      </c>
      <c r="CG348">
        <f t="shared" ca="1" si="161"/>
        <v>0</v>
      </c>
      <c r="CH348">
        <f t="shared" ca="1" si="161"/>
        <v>0</v>
      </c>
      <c r="CI348">
        <f t="shared" si="161"/>
        <v>0</v>
      </c>
      <c r="CJ348">
        <f t="shared" ca="1" si="161"/>
        <v>0</v>
      </c>
      <c r="CK348">
        <f t="shared" ca="1" si="161"/>
        <v>2</v>
      </c>
      <c r="CL348">
        <f t="shared" ca="1" si="161"/>
        <v>0</v>
      </c>
      <c r="CM348">
        <f t="shared" si="161"/>
        <v>0</v>
      </c>
      <c r="CN348">
        <f t="shared" si="161"/>
        <v>0</v>
      </c>
      <c r="CO348">
        <f t="shared" si="161"/>
        <v>0</v>
      </c>
      <c r="CP348">
        <f t="shared" si="161"/>
        <v>0</v>
      </c>
      <c r="CQ348">
        <f t="shared" si="161"/>
        <v>0</v>
      </c>
      <c r="CR348">
        <f t="shared" si="161"/>
        <v>0</v>
      </c>
      <c r="CS348">
        <f t="shared" si="161"/>
        <v>0</v>
      </c>
      <c r="CT348">
        <f t="shared" si="161"/>
        <v>0</v>
      </c>
      <c r="CU348">
        <f t="shared" si="161"/>
        <v>0</v>
      </c>
      <c r="CV348">
        <f t="shared" si="161"/>
        <v>0</v>
      </c>
      <c r="CW348">
        <f t="shared" si="161"/>
        <v>0</v>
      </c>
      <c r="CX348">
        <f t="shared" si="161"/>
        <v>0</v>
      </c>
      <c r="CY348">
        <f t="shared" si="161"/>
        <v>0</v>
      </c>
      <c r="CZ348">
        <f t="shared" si="161"/>
        <v>0</v>
      </c>
      <c r="DA348">
        <f t="shared" si="161"/>
        <v>0</v>
      </c>
      <c r="DB348">
        <f t="shared" si="161"/>
        <v>0</v>
      </c>
      <c r="DC348">
        <f t="shared" si="161"/>
        <v>0</v>
      </c>
      <c r="DD348">
        <f t="shared" si="161"/>
        <v>0</v>
      </c>
      <c r="DE348">
        <f t="shared" si="161"/>
        <v>0</v>
      </c>
      <c r="DF348">
        <f t="shared" si="161"/>
        <v>0</v>
      </c>
      <c r="DG348">
        <f t="shared" si="161"/>
        <v>0</v>
      </c>
      <c r="DH348">
        <f t="shared" si="161"/>
        <v>0</v>
      </c>
      <c r="DI348">
        <f t="shared" si="161"/>
        <v>0</v>
      </c>
      <c r="DJ348">
        <f t="shared" si="161"/>
        <v>0</v>
      </c>
      <c r="DK348">
        <f t="shared" si="161"/>
        <v>0</v>
      </c>
      <c r="DL348">
        <f t="shared" si="161"/>
        <v>0</v>
      </c>
      <c r="DM348">
        <f t="shared" si="161"/>
        <v>0</v>
      </c>
      <c r="DN348">
        <f t="shared" si="161"/>
        <v>0</v>
      </c>
      <c r="DO348">
        <f t="shared" si="161"/>
        <v>0</v>
      </c>
      <c r="DP348">
        <f t="shared" si="161"/>
        <v>0</v>
      </c>
      <c r="DQ348">
        <f t="shared" si="161"/>
        <v>0</v>
      </c>
      <c r="DR348">
        <f t="shared" si="161"/>
        <v>0</v>
      </c>
      <c r="DS348">
        <f t="shared" si="161"/>
        <v>0</v>
      </c>
      <c r="DT348">
        <f t="shared" si="161"/>
        <v>0</v>
      </c>
      <c r="DU348">
        <f t="shared" si="161"/>
        <v>0</v>
      </c>
      <c r="DV348">
        <f t="shared" si="161"/>
        <v>0</v>
      </c>
      <c r="DW348">
        <f t="shared" si="161"/>
        <v>0</v>
      </c>
      <c r="DX348">
        <f t="shared" si="161"/>
        <v>0</v>
      </c>
      <c r="DY348">
        <f t="shared" si="161"/>
        <v>0</v>
      </c>
      <c r="DZ348">
        <f t="shared" si="161"/>
        <v>0</v>
      </c>
      <c r="EA348">
        <f t="shared" si="161"/>
        <v>0</v>
      </c>
      <c r="EB348">
        <f t="shared" si="161"/>
        <v>0</v>
      </c>
      <c r="EC348">
        <f t="shared" si="161"/>
        <v>0</v>
      </c>
      <c r="ED348">
        <f t="shared" si="161"/>
        <v>0</v>
      </c>
      <c r="EE348">
        <f t="shared" si="161"/>
        <v>0</v>
      </c>
      <c r="EF348">
        <f t="shared" si="161"/>
        <v>0</v>
      </c>
      <c r="EG348">
        <f t="shared" si="161"/>
        <v>0</v>
      </c>
      <c r="EH348">
        <f t="shared" si="161"/>
        <v>0</v>
      </c>
      <c r="EI348">
        <f t="shared" si="161"/>
        <v>0</v>
      </c>
      <c r="EJ348">
        <f t="shared" si="161"/>
        <v>0</v>
      </c>
      <c r="EK348">
        <f t="shared" si="161"/>
        <v>0</v>
      </c>
      <c r="EL348">
        <f t="shared" si="161"/>
        <v>0</v>
      </c>
      <c r="EM348">
        <f t="shared" si="161"/>
        <v>0</v>
      </c>
      <c r="EN348">
        <f t="shared" ref="EN348:GY348" si="162">EO5</f>
        <v>0</v>
      </c>
      <c r="EO348">
        <f t="shared" si="162"/>
        <v>0</v>
      </c>
      <c r="EP348">
        <f t="shared" si="162"/>
        <v>0</v>
      </c>
      <c r="EQ348">
        <f t="shared" si="162"/>
        <v>0</v>
      </c>
      <c r="ER348">
        <f t="shared" si="162"/>
        <v>0</v>
      </c>
      <c r="ES348">
        <f t="shared" si="162"/>
        <v>0</v>
      </c>
      <c r="ET348">
        <f t="shared" si="162"/>
        <v>0</v>
      </c>
      <c r="EU348">
        <f t="shared" si="162"/>
        <v>0</v>
      </c>
      <c r="EV348">
        <f t="shared" si="162"/>
        <v>0</v>
      </c>
      <c r="EW348">
        <f t="shared" si="162"/>
        <v>0</v>
      </c>
      <c r="EX348">
        <f t="shared" si="162"/>
        <v>0</v>
      </c>
      <c r="EY348">
        <f t="shared" si="162"/>
        <v>0</v>
      </c>
      <c r="EZ348">
        <f t="shared" si="162"/>
        <v>0</v>
      </c>
      <c r="FA348">
        <f t="shared" si="162"/>
        <v>0</v>
      </c>
      <c r="FB348">
        <f t="shared" si="162"/>
        <v>0</v>
      </c>
      <c r="FC348">
        <f t="shared" si="162"/>
        <v>0</v>
      </c>
      <c r="FD348">
        <f t="shared" si="162"/>
        <v>0</v>
      </c>
      <c r="FE348">
        <f t="shared" si="162"/>
        <v>0</v>
      </c>
      <c r="FF348">
        <f t="shared" si="162"/>
        <v>0</v>
      </c>
      <c r="FG348">
        <f t="shared" si="162"/>
        <v>0</v>
      </c>
      <c r="FH348">
        <f t="shared" si="162"/>
        <v>0</v>
      </c>
      <c r="FI348">
        <f t="shared" si="162"/>
        <v>0</v>
      </c>
      <c r="FJ348">
        <f t="shared" si="162"/>
        <v>0</v>
      </c>
      <c r="FK348">
        <f t="shared" si="162"/>
        <v>0</v>
      </c>
      <c r="FL348">
        <f t="shared" si="162"/>
        <v>0</v>
      </c>
      <c r="FM348">
        <f t="shared" si="162"/>
        <v>0</v>
      </c>
      <c r="FN348">
        <f t="shared" si="162"/>
        <v>0</v>
      </c>
      <c r="FO348">
        <f t="shared" si="162"/>
        <v>0</v>
      </c>
      <c r="FP348">
        <f t="shared" si="162"/>
        <v>0</v>
      </c>
      <c r="FQ348">
        <f t="shared" si="162"/>
        <v>0</v>
      </c>
      <c r="FR348">
        <f t="shared" si="162"/>
        <v>0</v>
      </c>
      <c r="FS348">
        <f t="shared" si="162"/>
        <v>0</v>
      </c>
      <c r="FT348">
        <f t="shared" si="162"/>
        <v>0</v>
      </c>
      <c r="FU348">
        <f t="shared" si="162"/>
        <v>0</v>
      </c>
      <c r="FV348">
        <f t="shared" si="162"/>
        <v>0</v>
      </c>
      <c r="FW348">
        <f t="shared" si="162"/>
        <v>0</v>
      </c>
      <c r="FX348">
        <f t="shared" si="162"/>
        <v>0</v>
      </c>
      <c r="FY348">
        <f t="shared" si="162"/>
        <v>0</v>
      </c>
      <c r="FZ348">
        <f t="shared" si="162"/>
        <v>0</v>
      </c>
      <c r="GA348">
        <f t="shared" si="162"/>
        <v>0</v>
      </c>
      <c r="GB348">
        <f t="shared" si="162"/>
        <v>0</v>
      </c>
      <c r="GC348">
        <f t="shared" si="162"/>
        <v>0</v>
      </c>
      <c r="GD348">
        <f t="shared" si="162"/>
        <v>0</v>
      </c>
      <c r="GE348">
        <f t="shared" si="162"/>
        <v>0</v>
      </c>
      <c r="GF348">
        <f t="shared" si="162"/>
        <v>0</v>
      </c>
      <c r="GG348">
        <f t="shared" si="162"/>
        <v>0</v>
      </c>
      <c r="GH348">
        <f t="shared" si="162"/>
        <v>0</v>
      </c>
      <c r="GI348">
        <f t="shared" si="162"/>
        <v>0</v>
      </c>
      <c r="GJ348">
        <f t="shared" si="162"/>
        <v>0</v>
      </c>
      <c r="GK348">
        <f t="shared" si="162"/>
        <v>0</v>
      </c>
      <c r="GL348">
        <f t="shared" si="162"/>
        <v>0</v>
      </c>
      <c r="GM348">
        <f t="shared" si="162"/>
        <v>0</v>
      </c>
      <c r="GN348">
        <f t="shared" si="162"/>
        <v>0</v>
      </c>
      <c r="GO348" t="str">
        <f t="shared" ca="1" si="162"/>
        <v/>
      </c>
      <c r="GP348" t="str">
        <f t="shared" ca="1" si="162"/>
        <v/>
      </c>
      <c r="GQ348" t="str">
        <f t="shared" ca="1" si="162"/>
        <v/>
      </c>
      <c r="GR348" t="str">
        <f t="shared" ca="1" si="162"/>
        <v/>
      </c>
      <c r="GS348">
        <f t="shared" si="162"/>
        <v>0</v>
      </c>
      <c r="GT348">
        <f t="shared" si="162"/>
        <v>0</v>
      </c>
      <c r="GU348">
        <f t="shared" si="162"/>
        <v>0</v>
      </c>
      <c r="GV348">
        <f t="shared" si="162"/>
        <v>0</v>
      </c>
      <c r="GW348">
        <f t="shared" si="162"/>
        <v>0</v>
      </c>
      <c r="GX348">
        <f t="shared" si="162"/>
        <v>0</v>
      </c>
      <c r="GY348">
        <f t="shared" si="162"/>
        <v>0</v>
      </c>
      <c r="GZ348">
        <f t="shared" ref="GZ348:JK348" si="163">HA5</f>
        <v>0</v>
      </c>
      <c r="HA348">
        <f t="shared" si="163"/>
        <v>0</v>
      </c>
      <c r="HB348">
        <f t="shared" si="163"/>
        <v>0</v>
      </c>
      <c r="HC348">
        <f t="shared" si="163"/>
        <v>0</v>
      </c>
      <c r="HD348">
        <f t="shared" si="163"/>
        <v>0</v>
      </c>
      <c r="HE348">
        <f t="shared" si="163"/>
        <v>0</v>
      </c>
      <c r="HF348">
        <f t="shared" si="163"/>
        <v>0</v>
      </c>
      <c r="HG348">
        <f t="shared" si="163"/>
        <v>0</v>
      </c>
      <c r="HH348">
        <f t="shared" si="163"/>
        <v>0</v>
      </c>
      <c r="HI348">
        <f t="shared" si="163"/>
        <v>0</v>
      </c>
      <c r="HJ348">
        <f t="shared" si="163"/>
        <v>0</v>
      </c>
      <c r="HK348">
        <f t="shared" si="163"/>
        <v>0</v>
      </c>
      <c r="HL348">
        <f t="shared" si="163"/>
        <v>0</v>
      </c>
      <c r="HM348">
        <f t="shared" si="163"/>
        <v>0</v>
      </c>
      <c r="HN348">
        <f t="shared" si="163"/>
        <v>0</v>
      </c>
      <c r="HO348">
        <f t="shared" si="163"/>
        <v>0</v>
      </c>
      <c r="HP348">
        <f t="shared" si="163"/>
        <v>0</v>
      </c>
      <c r="HQ348">
        <f t="shared" si="163"/>
        <v>0</v>
      </c>
      <c r="HR348">
        <f t="shared" si="163"/>
        <v>0</v>
      </c>
      <c r="HS348">
        <f t="shared" si="163"/>
        <v>0</v>
      </c>
      <c r="HT348">
        <f t="shared" si="163"/>
        <v>0</v>
      </c>
      <c r="HU348">
        <f t="shared" si="163"/>
        <v>0</v>
      </c>
      <c r="HV348">
        <f t="shared" si="163"/>
        <v>0</v>
      </c>
      <c r="HW348">
        <f t="shared" si="163"/>
        <v>0</v>
      </c>
      <c r="HX348">
        <f t="shared" si="163"/>
        <v>0</v>
      </c>
      <c r="HY348">
        <f t="shared" si="163"/>
        <v>0</v>
      </c>
      <c r="HZ348">
        <f t="shared" si="163"/>
        <v>0</v>
      </c>
      <c r="IA348">
        <f t="shared" si="163"/>
        <v>0</v>
      </c>
      <c r="IB348">
        <f t="shared" si="163"/>
        <v>0</v>
      </c>
      <c r="IC348">
        <f t="shared" si="163"/>
        <v>0</v>
      </c>
      <c r="ID348">
        <f t="shared" si="163"/>
        <v>0</v>
      </c>
      <c r="IE348">
        <f t="shared" si="163"/>
        <v>0</v>
      </c>
      <c r="IF348">
        <f t="shared" si="163"/>
        <v>0</v>
      </c>
      <c r="IG348">
        <f t="shared" si="163"/>
        <v>0</v>
      </c>
      <c r="IH348">
        <f t="shared" si="163"/>
        <v>0</v>
      </c>
      <c r="II348">
        <f t="shared" si="163"/>
        <v>0</v>
      </c>
      <c r="IJ348">
        <f t="shared" si="163"/>
        <v>0</v>
      </c>
      <c r="IK348">
        <f t="shared" si="163"/>
        <v>0</v>
      </c>
      <c r="IL348">
        <f t="shared" si="163"/>
        <v>0</v>
      </c>
      <c r="IM348">
        <f t="shared" si="163"/>
        <v>0</v>
      </c>
      <c r="IN348">
        <f t="shared" si="163"/>
        <v>0</v>
      </c>
      <c r="IO348">
        <f t="shared" si="163"/>
        <v>0</v>
      </c>
      <c r="IP348">
        <f t="shared" si="163"/>
        <v>0</v>
      </c>
      <c r="IQ348">
        <f t="shared" si="163"/>
        <v>0</v>
      </c>
      <c r="IR348">
        <f t="shared" si="163"/>
        <v>0</v>
      </c>
      <c r="IS348">
        <f t="shared" si="163"/>
        <v>0</v>
      </c>
      <c r="IT348">
        <f t="shared" si="163"/>
        <v>0</v>
      </c>
      <c r="IU348">
        <f t="shared" si="163"/>
        <v>0</v>
      </c>
      <c r="IV348">
        <f t="shared" si="163"/>
        <v>0</v>
      </c>
      <c r="IW348">
        <f t="shared" si="163"/>
        <v>0</v>
      </c>
      <c r="IX348">
        <f t="shared" si="163"/>
        <v>0</v>
      </c>
      <c r="IY348">
        <f t="shared" si="163"/>
        <v>0</v>
      </c>
      <c r="IZ348">
        <f t="shared" si="163"/>
        <v>0</v>
      </c>
      <c r="JA348">
        <f t="shared" si="163"/>
        <v>0</v>
      </c>
      <c r="JB348">
        <f t="shared" si="163"/>
        <v>0</v>
      </c>
      <c r="JC348">
        <f t="shared" si="163"/>
        <v>0</v>
      </c>
      <c r="JD348">
        <f t="shared" si="163"/>
        <v>0</v>
      </c>
      <c r="JE348">
        <f t="shared" si="163"/>
        <v>0</v>
      </c>
      <c r="JF348">
        <f t="shared" si="163"/>
        <v>0</v>
      </c>
      <c r="JG348">
        <f t="shared" si="163"/>
        <v>0</v>
      </c>
      <c r="JH348">
        <f t="shared" si="163"/>
        <v>0</v>
      </c>
      <c r="JI348">
        <f t="shared" si="163"/>
        <v>0</v>
      </c>
      <c r="JJ348">
        <f t="shared" si="163"/>
        <v>0</v>
      </c>
      <c r="JK348">
        <f t="shared" si="163"/>
        <v>0</v>
      </c>
      <c r="JL348">
        <f t="shared" ref="JL348:LW348" si="164">JM5</f>
        <v>0</v>
      </c>
      <c r="JM348">
        <f t="shared" si="164"/>
        <v>0</v>
      </c>
      <c r="JN348">
        <f t="shared" si="164"/>
        <v>0</v>
      </c>
      <c r="JO348">
        <f t="shared" si="164"/>
        <v>0</v>
      </c>
      <c r="JP348">
        <f t="shared" si="164"/>
        <v>0</v>
      </c>
      <c r="JQ348">
        <f t="shared" si="164"/>
        <v>0</v>
      </c>
      <c r="JR348">
        <f t="shared" si="164"/>
        <v>0</v>
      </c>
      <c r="JS348">
        <f t="shared" si="164"/>
        <v>0</v>
      </c>
      <c r="JT348">
        <f t="shared" si="164"/>
        <v>0</v>
      </c>
      <c r="JU348">
        <f t="shared" si="164"/>
        <v>0</v>
      </c>
      <c r="JV348">
        <f t="shared" si="164"/>
        <v>0</v>
      </c>
      <c r="JW348">
        <f t="shared" si="164"/>
        <v>0</v>
      </c>
      <c r="JX348">
        <f t="shared" si="164"/>
        <v>0</v>
      </c>
      <c r="JY348">
        <f t="shared" si="164"/>
        <v>0</v>
      </c>
      <c r="JZ348">
        <f t="shared" si="164"/>
        <v>0</v>
      </c>
      <c r="KA348">
        <f t="shared" si="164"/>
        <v>0</v>
      </c>
      <c r="KB348">
        <f t="shared" si="164"/>
        <v>0</v>
      </c>
      <c r="KC348">
        <f t="shared" si="164"/>
        <v>0</v>
      </c>
      <c r="KD348">
        <f t="shared" si="164"/>
        <v>0</v>
      </c>
      <c r="KE348">
        <f t="shared" si="164"/>
        <v>0</v>
      </c>
      <c r="KF348">
        <f t="shared" si="164"/>
        <v>0</v>
      </c>
      <c r="KG348">
        <f t="shared" si="164"/>
        <v>0</v>
      </c>
      <c r="KH348">
        <f t="shared" si="164"/>
        <v>0</v>
      </c>
      <c r="KI348">
        <f t="shared" si="164"/>
        <v>0</v>
      </c>
      <c r="KJ348">
        <f t="shared" si="164"/>
        <v>0</v>
      </c>
      <c r="KK348">
        <f t="shared" si="164"/>
        <v>0</v>
      </c>
      <c r="KL348">
        <f t="shared" si="164"/>
        <v>0</v>
      </c>
      <c r="KM348">
        <f t="shared" si="164"/>
        <v>0</v>
      </c>
      <c r="KN348">
        <f t="shared" si="164"/>
        <v>0</v>
      </c>
      <c r="KO348">
        <f t="shared" si="164"/>
        <v>0</v>
      </c>
      <c r="KP348">
        <f t="shared" si="164"/>
        <v>0</v>
      </c>
      <c r="KQ348">
        <f t="shared" si="164"/>
        <v>0</v>
      </c>
      <c r="KR348">
        <f t="shared" si="164"/>
        <v>0</v>
      </c>
      <c r="KS348">
        <f t="shared" si="164"/>
        <v>0</v>
      </c>
      <c r="KT348">
        <f t="shared" si="164"/>
        <v>0</v>
      </c>
      <c r="KU348">
        <f t="shared" si="164"/>
        <v>0</v>
      </c>
      <c r="KV348">
        <f t="shared" si="164"/>
        <v>0</v>
      </c>
      <c r="KW348">
        <f t="shared" si="164"/>
        <v>0</v>
      </c>
      <c r="KX348">
        <f t="shared" si="164"/>
        <v>0</v>
      </c>
      <c r="KY348">
        <f t="shared" si="164"/>
        <v>0</v>
      </c>
      <c r="KZ348">
        <f t="shared" si="164"/>
        <v>0</v>
      </c>
      <c r="LA348">
        <f t="shared" si="164"/>
        <v>0</v>
      </c>
      <c r="LB348">
        <f t="shared" si="164"/>
        <v>0</v>
      </c>
      <c r="LC348">
        <f t="shared" si="164"/>
        <v>0</v>
      </c>
      <c r="LD348">
        <f t="shared" si="164"/>
        <v>0</v>
      </c>
      <c r="LE348">
        <f t="shared" si="164"/>
        <v>0</v>
      </c>
      <c r="LF348">
        <f t="shared" si="164"/>
        <v>0</v>
      </c>
      <c r="LG348">
        <f t="shared" si="164"/>
        <v>0</v>
      </c>
      <c r="LH348">
        <f t="shared" si="164"/>
        <v>0</v>
      </c>
      <c r="LI348">
        <f t="shared" si="164"/>
        <v>0</v>
      </c>
      <c r="LJ348">
        <f t="shared" si="164"/>
        <v>0</v>
      </c>
      <c r="LK348">
        <f t="shared" si="164"/>
        <v>0</v>
      </c>
      <c r="LL348">
        <f t="shared" si="164"/>
        <v>0</v>
      </c>
      <c r="LM348">
        <f t="shared" si="164"/>
        <v>0</v>
      </c>
      <c r="LN348">
        <f t="shared" si="164"/>
        <v>0</v>
      </c>
      <c r="LO348">
        <f t="shared" si="164"/>
        <v>0</v>
      </c>
      <c r="LP348">
        <f t="shared" si="164"/>
        <v>0</v>
      </c>
      <c r="LQ348">
        <f t="shared" si="164"/>
        <v>0</v>
      </c>
      <c r="LR348">
        <f t="shared" si="164"/>
        <v>0</v>
      </c>
      <c r="LS348">
        <f t="shared" si="164"/>
        <v>0</v>
      </c>
      <c r="LT348">
        <f t="shared" si="164"/>
        <v>0</v>
      </c>
      <c r="LU348">
        <f t="shared" si="164"/>
        <v>0</v>
      </c>
      <c r="LV348">
        <f t="shared" si="164"/>
        <v>0</v>
      </c>
      <c r="LW348">
        <f t="shared" si="164"/>
        <v>0</v>
      </c>
      <c r="LX348">
        <f t="shared" ref="LX348:OI348" si="165">LY5</f>
        <v>0</v>
      </c>
      <c r="LY348">
        <f t="shared" si="165"/>
        <v>0</v>
      </c>
      <c r="LZ348">
        <f t="shared" si="165"/>
        <v>0</v>
      </c>
      <c r="MA348">
        <f t="shared" si="165"/>
        <v>0</v>
      </c>
      <c r="MB348">
        <f t="shared" si="165"/>
        <v>0</v>
      </c>
      <c r="MC348">
        <f t="shared" si="165"/>
        <v>0</v>
      </c>
      <c r="MD348">
        <f t="shared" si="165"/>
        <v>0</v>
      </c>
      <c r="ME348">
        <f t="shared" si="165"/>
        <v>0</v>
      </c>
      <c r="MF348">
        <f t="shared" si="165"/>
        <v>0</v>
      </c>
      <c r="MG348">
        <f t="shared" si="165"/>
        <v>0</v>
      </c>
      <c r="MH348">
        <f t="shared" si="165"/>
        <v>0</v>
      </c>
      <c r="MI348">
        <f t="shared" si="165"/>
        <v>0</v>
      </c>
      <c r="MJ348">
        <f t="shared" si="165"/>
        <v>0</v>
      </c>
      <c r="MK348">
        <f t="shared" si="165"/>
        <v>0</v>
      </c>
      <c r="ML348">
        <f t="shared" si="165"/>
        <v>0</v>
      </c>
      <c r="MM348">
        <f t="shared" si="165"/>
        <v>0</v>
      </c>
      <c r="MN348">
        <f t="shared" si="165"/>
        <v>0</v>
      </c>
      <c r="MO348">
        <f t="shared" si="165"/>
        <v>0</v>
      </c>
      <c r="MP348">
        <f t="shared" si="165"/>
        <v>0</v>
      </c>
      <c r="MQ348">
        <f t="shared" si="165"/>
        <v>0</v>
      </c>
      <c r="MR348">
        <f t="shared" si="165"/>
        <v>0</v>
      </c>
      <c r="MS348">
        <f t="shared" si="165"/>
        <v>0</v>
      </c>
      <c r="MT348">
        <f t="shared" si="165"/>
        <v>0</v>
      </c>
      <c r="MU348">
        <f t="shared" si="165"/>
        <v>0</v>
      </c>
      <c r="MV348">
        <f t="shared" si="165"/>
        <v>0</v>
      </c>
      <c r="MW348">
        <f t="shared" si="165"/>
        <v>0</v>
      </c>
      <c r="MX348">
        <f t="shared" si="165"/>
        <v>0</v>
      </c>
      <c r="MY348">
        <f t="shared" si="165"/>
        <v>0</v>
      </c>
      <c r="MZ348">
        <f t="shared" si="165"/>
        <v>0</v>
      </c>
      <c r="NA348">
        <f t="shared" si="165"/>
        <v>0</v>
      </c>
      <c r="NB348">
        <f t="shared" si="165"/>
        <v>0</v>
      </c>
      <c r="NC348">
        <f t="shared" si="165"/>
        <v>0</v>
      </c>
      <c r="ND348">
        <f t="shared" si="165"/>
        <v>0</v>
      </c>
      <c r="NE348">
        <f t="shared" si="165"/>
        <v>0</v>
      </c>
      <c r="NF348">
        <f t="shared" si="165"/>
        <v>0</v>
      </c>
      <c r="NG348">
        <f t="shared" si="165"/>
        <v>0</v>
      </c>
      <c r="NH348">
        <f t="shared" si="165"/>
        <v>0</v>
      </c>
      <c r="NI348">
        <f t="shared" si="165"/>
        <v>0</v>
      </c>
      <c r="NJ348">
        <f t="shared" si="165"/>
        <v>0</v>
      </c>
      <c r="NK348">
        <f t="shared" si="165"/>
        <v>0</v>
      </c>
      <c r="NL348">
        <f t="shared" si="165"/>
        <v>0</v>
      </c>
      <c r="NM348">
        <f t="shared" si="165"/>
        <v>0</v>
      </c>
      <c r="NN348">
        <f t="shared" si="165"/>
        <v>0</v>
      </c>
      <c r="NO348">
        <f t="shared" si="165"/>
        <v>0</v>
      </c>
      <c r="NP348">
        <f t="shared" si="165"/>
        <v>0</v>
      </c>
      <c r="NQ348">
        <f t="shared" si="165"/>
        <v>0</v>
      </c>
      <c r="NR348">
        <f t="shared" si="165"/>
        <v>0</v>
      </c>
      <c r="NS348">
        <f t="shared" si="165"/>
        <v>0</v>
      </c>
      <c r="NT348">
        <f t="shared" si="165"/>
        <v>0</v>
      </c>
      <c r="NU348">
        <f t="shared" si="165"/>
        <v>0</v>
      </c>
      <c r="NV348">
        <f t="shared" si="165"/>
        <v>0</v>
      </c>
      <c r="NW348">
        <f t="shared" si="165"/>
        <v>0</v>
      </c>
      <c r="NX348">
        <f t="shared" si="165"/>
        <v>0</v>
      </c>
      <c r="NY348">
        <f t="shared" si="165"/>
        <v>0</v>
      </c>
      <c r="NZ348">
        <f t="shared" si="165"/>
        <v>0</v>
      </c>
      <c r="OA348">
        <f t="shared" si="165"/>
        <v>0</v>
      </c>
      <c r="OB348">
        <f t="shared" si="165"/>
        <v>0</v>
      </c>
      <c r="OC348">
        <f t="shared" si="165"/>
        <v>0</v>
      </c>
      <c r="OD348">
        <f t="shared" si="165"/>
        <v>0</v>
      </c>
      <c r="OE348">
        <f t="shared" si="165"/>
        <v>0</v>
      </c>
      <c r="OF348">
        <f t="shared" si="165"/>
        <v>0</v>
      </c>
      <c r="OG348">
        <f t="shared" si="165"/>
        <v>0</v>
      </c>
      <c r="OH348">
        <f t="shared" si="165"/>
        <v>0</v>
      </c>
      <c r="OI348">
        <f t="shared" si="165"/>
        <v>0</v>
      </c>
      <c r="OJ348">
        <f t="shared" ref="OJ348:QU348" si="166">OK5</f>
        <v>0</v>
      </c>
      <c r="OK348">
        <f t="shared" si="166"/>
        <v>0</v>
      </c>
      <c r="OL348">
        <f t="shared" si="166"/>
        <v>0</v>
      </c>
      <c r="OM348">
        <f t="shared" si="166"/>
        <v>0</v>
      </c>
      <c r="ON348">
        <f t="shared" si="166"/>
        <v>0</v>
      </c>
      <c r="OO348">
        <f t="shared" si="166"/>
        <v>0</v>
      </c>
      <c r="OP348">
        <f t="shared" si="166"/>
        <v>0</v>
      </c>
      <c r="OQ348">
        <f t="shared" si="166"/>
        <v>0</v>
      </c>
      <c r="OR348">
        <f t="shared" si="166"/>
        <v>0</v>
      </c>
      <c r="OS348">
        <f t="shared" si="166"/>
        <v>0</v>
      </c>
      <c r="OT348">
        <f t="shared" si="166"/>
        <v>0</v>
      </c>
      <c r="OU348">
        <f t="shared" si="166"/>
        <v>0</v>
      </c>
      <c r="OV348">
        <f t="shared" si="166"/>
        <v>0</v>
      </c>
      <c r="OW348">
        <f t="shared" si="166"/>
        <v>0</v>
      </c>
      <c r="OX348">
        <f t="shared" si="166"/>
        <v>0</v>
      </c>
      <c r="OY348">
        <f t="shared" si="166"/>
        <v>0</v>
      </c>
      <c r="OZ348">
        <f t="shared" si="166"/>
        <v>0</v>
      </c>
      <c r="PA348">
        <f t="shared" si="166"/>
        <v>0</v>
      </c>
      <c r="PB348">
        <f t="shared" si="166"/>
        <v>0</v>
      </c>
      <c r="PC348">
        <f t="shared" si="166"/>
        <v>0</v>
      </c>
      <c r="PD348">
        <f t="shared" si="166"/>
        <v>0</v>
      </c>
      <c r="PE348">
        <f t="shared" si="166"/>
        <v>0</v>
      </c>
      <c r="PF348">
        <f t="shared" si="166"/>
        <v>0</v>
      </c>
      <c r="PG348">
        <f t="shared" si="166"/>
        <v>0</v>
      </c>
      <c r="PH348">
        <f t="shared" si="166"/>
        <v>0</v>
      </c>
      <c r="PI348">
        <f t="shared" si="166"/>
        <v>0</v>
      </c>
      <c r="PJ348">
        <f t="shared" si="166"/>
        <v>0</v>
      </c>
      <c r="PK348">
        <f t="shared" si="166"/>
        <v>0</v>
      </c>
      <c r="PL348">
        <f t="shared" si="166"/>
        <v>0</v>
      </c>
      <c r="PM348">
        <f t="shared" si="166"/>
        <v>0</v>
      </c>
      <c r="PN348">
        <f t="shared" si="166"/>
        <v>0</v>
      </c>
      <c r="PO348">
        <f t="shared" si="166"/>
        <v>0</v>
      </c>
      <c r="PP348">
        <f t="shared" si="166"/>
        <v>0</v>
      </c>
      <c r="PQ348">
        <f t="shared" si="166"/>
        <v>0</v>
      </c>
      <c r="PR348">
        <f t="shared" si="166"/>
        <v>0</v>
      </c>
      <c r="PS348">
        <f t="shared" si="166"/>
        <v>0</v>
      </c>
      <c r="PT348">
        <f t="shared" si="166"/>
        <v>0</v>
      </c>
      <c r="PU348">
        <f t="shared" si="166"/>
        <v>0</v>
      </c>
      <c r="PV348">
        <f t="shared" si="166"/>
        <v>0</v>
      </c>
      <c r="PW348">
        <f t="shared" si="166"/>
        <v>0</v>
      </c>
      <c r="PX348">
        <f t="shared" si="166"/>
        <v>0</v>
      </c>
      <c r="PY348">
        <f t="shared" si="166"/>
        <v>0</v>
      </c>
      <c r="PZ348">
        <f t="shared" si="166"/>
        <v>0</v>
      </c>
      <c r="QA348">
        <f t="shared" si="166"/>
        <v>0</v>
      </c>
      <c r="QB348">
        <f t="shared" si="166"/>
        <v>0</v>
      </c>
      <c r="QC348">
        <f t="shared" si="166"/>
        <v>0</v>
      </c>
      <c r="QD348">
        <f t="shared" si="166"/>
        <v>0</v>
      </c>
      <c r="QE348">
        <f t="shared" si="166"/>
        <v>0</v>
      </c>
      <c r="QF348">
        <f t="shared" si="166"/>
        <v>0</v>
      </c>
      <c r="QG348">
        <f t="shared" si="166"/>
        <v>0</v>
      </c>
      <c r="QH348">
        <f t="shared" si="166"/>
        <v>0</v>
      </c>
      <c r="QI348">
        <f t="shared" si="166"/>
        <v>0</v>
      </c>
      <c r="QJ348">
        <f t="shared" si="166"/>
        <v>0</v>
      </c>
      <c r="QK348">
        <f t="shared" si="166"/>
        <v>0</v>
      </c>
      <c r="QL348">
        <f t="shared" si="166"/>
        <v>0</v>
      </c>
      <c r="QM348">
        <f t="shared" si="166"/>
        <v>0</v>
      </c>
      <c r="QN348">
        <f t="shared" si="166"/>
        <v>0</v>
      </c>
      <c r="QO348">
        <f t="shared" si="166"/>
        <v>0</v>
      </c>
      <c r="QP348">
        <f t="shared" si="166"/>
        <v>0</v>
      </c>
      <c r="QQ348">
        <f t="shared" si="166"/>
        <v>0</v>
      </c>
      <c r="QR348">
        <f t="shared" si="166"/>
        <v>0</v>
      </c>
      <c r="QS348">
        <f t="shared" si="166"/>
        <v>0</v>
      </c>
      <c r="QT348">
        <f t="shared" si="166"/>
        <v>0</v>
      </c>
      <c r="QU348">
        <f t="shared" si="166"/>
        <v>0</v>
      </c>
      <c r="QV348">
        <f t="shared" ref="QV348:TG348" si="167">QW5</f>
        <v>0</v>
      </c>
      <c r="QW348">
        <f t="shared" si="167"/>
        <v>0</v>
      </c>
      <c r="QX348">
        <f t="shared" si="167"/>
        <v>0</v>
      </c>
      <c r="QY348">
        <f t="shared" si="167"/>
        <v>0</v>
      </c>
      <c r="QZ348">
        <f t="shared" si="167"/>
        <v>0</v>
      </c>
      <c r="RA348">
        <f t="shared" si="167"/>
        <v>0</v>
      </c>
      <c r="RB348">
        <f t="shared" si="167"/>
        <v>0</v>
      </c>
      <c r="RC348">
        <f t="shared" si="167"/>
        <v>0</v>
      </c>
      <c r="RD348">
        <f t="shared" si="167"/>
        <v>0</v>
      </c>
      <c r="RE348">
        <f t="shared" si="167"/>
        <v>0</v>
      </c>
      <c r="RF348">
        <f t="shared" si="167"/>
        <v>0</v>
      </c>
      <c r="RG348">
        <f t="shared" si="167"/>
        <v>0</v>
      </c>
      <c r="RH348">
        <f t="shared" si="167"/>
        <v>0</v>
      </c>
      <c r="RI348">
        <f t="shared" si="167"/>
        <v>0</v>
      </c>
      <c r="RJ348">
        <f t="shared" si="167"/>
        <v>0</v>
      </c>
      <c r="RK348">
        <f t="shared" si="167"/>
        <v>0</v>
      </c>
      <c r="RL348">
        <f t="shared" si="167"/>
        <v>0</v>
      </c>
      <c r="RM348">
        <f t="shared" si="167"/>
        <v>0</v>
      </c>
      <c r="RN348">
        <f t="shared" si="167"/>
        <v>0</v>
      </c>
      <c r="RO348">
        <f t="shared" si="167"/>
        <v>0</v>
      </c>
      <c r="RP348">
        <f t="shared" si="167"/>
        <v>0</v>
      </c>
      <c r="RQ348">
        <f t="shared" si="167"/>
        <v>0</v>
      </c>
      <c r="RR348">
        <f t="shared" si="167"/>
        <v>0</v>
      </c>
      <c r="RS348">
        <f t="shared" si="167"/>
        <v>0</v>
      </c>
      <c r="RT348">
        <f t="shared" si="167"/>
        <v>0</v>
      </c>
      <c r="RU348">
        <f t="shared" si="167"/>
        <v>0</v>
      </c>
      <c r="RV348">
        <f t="shared" si="167"/>
        <v>0</v>
      </c>
      <c r="RW348">
        <f t="shared" si="167"/>
        <v>0</v>
      </c>
      <c r="RX348">
        <f t="shared" si="167"/>
        <v>0</v>
      </c>
      <c r="RY348">
        <f t="shared" si="167"/>
        <v>0</v>
      </c>
      <c r="RZ348">
        <f t="shared" si="167"/>
        <v>0</v>
      </c>
      <c r="SA348">
        <f t="shared" si="167"/>
        <v>0</v>
      </c>
      <c r="SB348">
        <f t="shared" si="167"/>
        <v>0</v>
      </c>
      <c r="SC348">
        <f t="shared" si="167"/>
        <v>0</v>
      </c>
      <c r="SD348">
        <f t="shared" si="167"/>
        <v>0</v>
      </c>
      <c r="SE348">
        <f t="shared" si="167"/>
        <v>0</v>
      </c>
      <c r="SF348">
        <f t="shared" si="167"/>
        <v>0</v>
      </c>
      <c r="SG348">
        <f t="shared" si="167"/>
        <v>0</v>
      </c>
      <c r="SH348">
        <f t="shared" si="167"/>
        <v>0</v>
      </c>
      <c r="SI348">
        <f t="shared" si="167"/>
        <v>0</v>
      </c>
      <c r="SJ348">
        <f t="shared" si="167"/>
        <v>0</v>
      </c>
      <c r="SK348">
        <f t="shared" si="167"/>
        <v>0</v>
      </c>
      <c r="SL348">
        <f t="shared" si="167"/>
        <v>0</v>
      </c>
      <c r="SM348">
        <f t="shared" si="167"/>
        <v>0</v>
      </c>
      <c r="SN348">
        <f t="shared" si="167"/>
        <v>0</v>
      </c>
      <c r="SO348">
        <f t="shared" si="167"/>
        <v>0</v>
      </c>
      <c r="SP348">
        <f t="shared" si="167"/>
        <v>0</v>
      </c>
      <c r="SQ348">
        <f t="shared" si="167"/>
        <v>0</v>
      </c>
      <c r="SR348">
        <f t="shared" si="167"/>
        <v>0</v>
      </c>
      <c r="SS348">
        <f t="shared" si="167"/>
        <v>0</v>
      </c>
      <c r="ST348">
        <f t="shared" si="167"/>
        <v>0</v>
      </c>
      <c r="SU348">
        <f t="shared" si="167"/>
        <v>0</v>
      </c>
      <c r="SV348">
        <f t="shared" si="167"/>
        <v>0</v>
      </c>
      <c r="SW348">
        <f t="shared" si="167"/>
        <v>0</v>
      </c>
      <c r="SX348">
        <f t="shared" si="167"/>
        <v>0</v>
      </c>
      <c r="SY348">
        <f t="shared" si="167"/>
        <v>0</v>
      </c>
      <c r="SZ348">
        <f t="shared" si="167"/>
        <v>0</v>
      </c>
      <c r="TA348">
        <f t="shared" si="167"/>
        <v>0</v>
      </c>
      <c r="TB348">
        <f t="shared" si="167"/>
        <v>0</v>
      </c>
      <c r="TC348">
        <f t="shared" si="167"/>
        <v>0</v>
      </c>
      <c r="TD348">
        <f t="shared" si="167"/>
        <v>0</v>
      </c>
      <c r="TE348">
        <f t="shared" si="167"/>
        <v>0</v>
      </c>
      <c r="TF348">
        <f t="shared" si="167"/>
        <v>0</v>
      </c>
      <c r="TG348">
        <f t="shared" si="167"/>
        <v>0</v>
      </c>
      <c r="TH348">
        <f t="shared" ref="TH348:VS348" si="168">TI5</f>
        <v>0</v>
      </c>
      <c r="TI348">
        <f t="shared" si="168"/>
        <v>0</v>
      </c>
      <c r="TJ348">
        <f t="shared" si="168"/>
        <v>0</v>
      </c>
      <c r="TK348">
        <f t="shared" si="168"/>
        <v>0</v>
      </c>
      <c r="TL348">
        <f t="shared" si="168"/>
        <v>0</v>
      </c>
      <c r="TM348">
        <f t="shared" si="168"/>
        <v>0</v>
      </c>
      <c r="TN348">
        <f t="shared" si="168"/>
        <v>0</v>
      </c>
      <c r="TO348">
        <f t="shared" si="168"/>
        <v>0</v>
      </c>
      <c r="TP348">
        <f t="shared" si="168"/>
        <v>0</v>
      </c>
      <c r="TQ348">
        <f t="shared" si="168"/>
        <v>0</v>
      </c>
      <c r="TR348">
        <f t="shared" si="168"/>
        <v>0</v>
      </c>
      <c r="TS348">
        <f t="shared" si="168"/>
        <v>0</v>
      </c>
      <c r="TT348">
        <f t="shared" si="168"/>
        <v>0</v>
      </c>
      <c r="TU348">
        <f t="shared" si="168"/>
        <v>0</v>
      </c>
      <c r="TV348">
        <f t="shared" si="168"/>
        <v>0</v>
      </c>
      <c r="TW348">
        <f t="shared" si="168"/>
        <v>0</v>
      </c>
      <c r="TX348">
        <f t="shared" si="168"/>
        <v>0</v>
      </c>
      <c r="TY348">
        <f t="shared" si="168"/>
        <v>0</v>
      </c>
      <c r="TZ348">
        <f t="shared" si="168"/>
        <v>0</v>
      </c>
      <c r="UA348">
        <f t="shared" si="168"/>
        <v>0</v>
      </c>
      <c r="UB348">
        <f t="shared" si="168"/>
        <v>0</v>
      </c>
      <c r="UC348">
        <f t="shared" si="168"/>
        <v>0</v>
      </c>
      <c r="UD348">
        <f t="shared" si="168"/>
        <v>0</v>
      </c>
      <c r="UE348">
        <f t="shared" si="168"/>
        <v>0</v>
      </c>
      <c r="UF348">
        <f t="shared" si="168"/>
        <v>0</v>
      </c>
      <c r="UG348">
        <f t="shared" si="168"/>
        <v>0</v>
      </c>
      <c r="UH348">
        <f t="shared" si="168"/>
        <v>0</v>
      </c>
      <c r="UI348">
        <f t="shared" si="168"/>
        <v>0</v>
      </c>
      <c r="UJ348">
        <f t="shared" si="168"/>
        <v>0</v>
      </c>
      <c r="UK348">
        <f t="shared" si="168"/>
        <v>0</v>
      </c>
      <c r="UL348">
        <f t="shared" si="168"/>
        <v>0</v>
      </c>
      <c r="UM348">
        <f t="shared" si="168"/>
        <v>0</v>
      </c>
      <c r="UN348">
        <f t="shared" si="168"/>
        <v>0</v>
      </c>
      <c r="UO348">
        <f t="shared" si="168"/>
        <v>0</v>
      </c>
      <c r="UP348">
        <f t="shared" si="168"/>
        <v>0</v>
      </c>
      <c r="UQ348">
        <f t="shared" si="168"/>
        <v>0</v>
      </c>
      <c r="UR348">
        <f t="shared" si="168"/>
        <v>0</v>
      </c>
      <c r="US348">
        <f t="shared" si="168"/>
        <v>0</v>
      </c>
      <c r="UT348">
        <f t="shared" si="168"/>
        <v>0</v>
      </c>
      <c r="UU348">
        <f t="shared" si="168"/>
        <v>0</v>
      </c>
      <c r="UV348">
        <f t="shared" si="168"/>
        <v>0</v>
      </c>
      <c r="UW348">
        <f t="shared" si="168"/>
        <v>0</v>
      </c>
      <c r="UX348">
        <f t="shared" si="168"/>
        <v>0</v>
      </c>
      <c r="UY348">
        <f t="shared" si="168"/>
        <v>0</v>
      </c>
      <c r="UZ348">
        <f t="shared" si="168"/>
        <v>0</v>
      </c>
      <c r="VA348">
        <f t="shared" si="168"/>
        <v>0</v>
      </c>
      <c r="VB348">
        <f t="shared" si="168"/>
        <v>0</v>
      </c>
      <c r="VC348">
        <f t="shared" si="168"/>
        <v>0</v>
      </c>
      <c r="VD348">
        <f t="shared" si="168"/>
        <v>0</v>
      </c>
      <c r="VE348">
        <f t="shared" si="168"/>
        <v>0</v>
      </c>
      <c r="VF348">
        <f t="shared" si="168"/>
        <v>0</v>
      </c>
      <c r="VG348">
        <f t="shared" si="168"/>
        <v>0</v>
      </c>
      <c r="VH348">
        <f t="shared" si="168"/>
        <v>0</v>
      </c>
      <c r="VI348">
        <f t="shared" si="168"/>
        <v>0</v>
      </c>
      <c r="VJ348">
        <f t="shared" si="168"/>
        <v>0</v>
      </c>
      <c r="VK348">
        <f t="shared" si="168"/>
        <v>0</v>
      </c>
      <c r="VL348">
        <f t="shared" si="168"/>
        <v>0</v>
      </c>
      <c r="VM348">
        <f t="shared" si="168"/>
        <v>0</v>
      </c>
      <c r="VN348">
        <f t="shared" si="168"/>
        <v>0</v>
      </c>
      <c r="VO348">
        <f t="shared" si="168"/>
        <v>0</v>
      </c>
      <c r="VP348">
        <f t="shared" si="168"/>
        <v>0</v>
      </c>
      <c r="VQ348">
        <f t="shared" si="168"/>
        <v>0</v>
      </c>
      <c r="VR348">
        <f t="shared" si="168"/>
        <v>0</v>
      </c>
      <c r="VS348">
        <f t="shared" si="168"/>
        <v>0</v>
      </c>
      <c r="VT348">
        <f t="shared" ref="VT348:YE348" si="169">VU5</f>
        <v>0</v>
      </c>
      <c r="VU348">
        <f t="shared" si="169"/>
        <v>0</v>
      </c>
      <c r="VV348">
        <f t="shared" si="169"/>
        <v>0</v>
      </c>
      <c r="VW348">
        <f t="shared" si="169"/>
        <v>0</v>
      </c>
      <c r="VX348">
        <f t="shared" si="169"/>
        <v>0</v>
      </c>
      <c r="VY348">
        <f t="shared" si="169"/>
        <v>0</v>
      </c>
      <c r="VZ348">
        <f t="shared" si="169"/>
        <v>0</v>
      </c>
      <c r="WA348">
        <f t="shared" si="169"/>
        <v>0</v>
      </c>
      <c r="WB348">
        <f t="shared" si="169"/>
        <v>0</v>
      </c>
      <c r="WC348">
        <f t="shared" si="169"/>
        <v>0</v>
      </c>
      <c r="WD348">
        <f t="shared" si="169"/>
        <v>0</v>
      </c>
      <c r="WE348">
        <f t="shared" si="169"/>
        <v>0</v>
      </c>
      <c r="WF348">
        <f t="shared" si="169"/>
        <v>0</v>
      </c>
      <c r="WG348">
        <f t="shared" si="169"/>
        <v>0</v>
      </c>
      <c r="WH348">
        <f t="shared" si="169"/>
        <v>0</v>
      </c>
      <c r="WI348">
        <f t="shared" si="169"/>
        <v>0</v>
      </c>
      <c r="WJ348">
        <f t="shared" si="169"/>
        <v>0</v>
      </c>
      <c r="WK348">
        <f t="shared" si="169"/>
        <v>0</v>
      </c>
      <c r="WL348">
        <f t="shared" si="169"/>
        <v>0</v>
      </c>
      <c r="WM348">
        <f t="shared" si="169"/>
        <v>0</v>
      </c>
      <c r="WN348">
        <f t="shared" si="169"/>
        <v>0</v>
      </c>
      <c r="WO348">
        <f t="shared" si="169"/>
        <v>0</v>
      </c>
      <c r="WP348">
        <f t="shared" si="169"/>
        <v>0</v>
      </c>
      <c r="WQ348">
        <f t="shared" si="169"/>
        <v>0</v>
      </c>
      <c r="WR348">
        <f t="shared" si="169"/>
        <v>0</v>
      </c>
      <c r="WS348">
        <f t="shared" si="169"/>
        <v>0</v>
      </c>
      <c r="WT348">
        <f t="shared" si="169"/>
        <v>0</v>
      </c>
      <c r="WU348">
        <f t="shared" si="169"/>
        <v>0</v>
      </c>
      <c r="WV348">
        <f t="shared" si="169"/>
        <v>0</v>
      </c>
      <c r="WW348">
        <f t="shared" si="169"/>
        <v>0</v>
      </c>
      <c r="WX348">
        <f t="shared" si="169"/>
        <v>0</v>
      </c>
      <c r="WY348">
        <f t="shared" si="169"/>
        <v>0</v>
      </c>
      <c r="WZ348">
        <f t="shared" si="169"/>
        <v>0</v>
      </c>
      <c r="XA348">
        <f t="shared" si="169"/>
        <v>0</v>
      </c>
      <c r="XB348">
        <f t="shared" si="169"/>
        <v>0</v>
      </c>
      <c r="XC348">
        <f t="shared" si="169"/>
        <v>0</v>
      </c>
      <c r="XD348">
        <f t="shared" si="169"/>
        <v>0</v>
      </c>
      <c r="XE348">
        <f t="shared" si="169"/>
        <v>0</v>
      </c>
      <c r="XF348">
        <f t="shared" si="169"/>
        <v>0</v>
      </c>
      <c r="XG348">
        <f t="shared" si="169"/>
        <v>0</v>
      </c>
      <c r="XH348">
        <f t="shared" si="169"/>
        <v>0</v>
      </c>
      <c r="XI348">
        <f t="shared" si="169"/>
        <v>0</v>
      </c>
      <c r="XJ348">
        <f t="shared" si="169"/>
        <v>0</v>
      </c>
      <c r="XK348">
        <f t="shared" si="169"/>
        <v>0</v>
      </c>
      <c r="XL348">
        <f t="shared" si="169"/>
        <v>0</v>
      </c>
      <c r="XM348">
        <f t="shared" si="169"/>
        <v>0</v>
      </c>
      <c r="XN348">
        <f t="shared" si="169"/>
        <v>0</v>
      </c>
      <c r="XO348">
        <f t="shared" si="169"/>
        <v>0</v>
      </c>
      <c r="XP348">
        <f t="shared" si="169"/>
        <v>0</v>
      </c>
      <c r="XQ348">
        <f t="shared" si="169"/>
        <v>0</v>
      </c>
      <c r="XR348">
        <f t="shared" si="169"/>
        <v>0</v>
      </c>
      <c r="XS348">
        <f t="shared" si="169"/>
        <v>0</v>
      </c>
      <c r="XT348">
        <f t="shared" si="169"/>
        <v>0</v>
      </c>
      <c r="XU348">
        <f t="shared" si="169"/>
        <v>0</v>
      </c>
      <c r="XV348">
        <f t="shared" si="169"/>
        <v>0</v>
      </c>
      <c r="XW348">
        <f t="shared" si="169"/>
        <v>0</v>
      </c>
      <c r="XX348">
        <f t="shared" si="169"/>
        <v>0</v>
      </c>
      <c r="XY348">
        <f t="shared" si="169"/>
        <v>0</v>
      </c>
      <c r="XZ348">
        <f t="shared" si="169"/>
        <v>0</v>
      </c>
      <c r="YA348">
        <f t="shared" si="169"/>
        <v>0</v>
      </c>
      <c r="YB348">
        <f t="shared" si="169"/>
        <v>0</v>
      </c>
      <c r="YC348">
        <f t="shared" si="169"/>
        <v>0</v>
      </c>
      <c r="YD348">
        <f t="shared" si="169"/>
        <v>0</v>
      </c>
      <c r="YE348">
        <f t="shared" si="169"/>
        <v>0</v>
      </c>
      <c r="YF348">
        <f t="shared" ref="YF348:AAQ348" si="170">YG5</f>
        <v>0</v>
      </c>
      <c r="YG348">
        <f t="shared" si="170"/>
        <v>0</v>
      </c>
      <c r="YH348">
        <f t="shared" si="170"/>
        <v>0</v>
      </c>
      <c r="YI348">
        <f t="shared" si="170"/>
        <v>0</v>
      </c>
      <c r="YJ348">
        <f t="shared" si="170"/>
        <v>0</v>
      </c>
      <c r="YK348">
        <f t="shared" si="170"/>
        <v>0</v>
      </c>
      <c r="YL348">
        <f t="shared" si="170"/>
        <v>0</v>
      </c>
      <c r="YM348">
        <f t="shared" si="170"/>
        <v>0</v>
      </c>
      <c r="YN348">
        <f t="shared" si="170"/>
        <v>0</v>
      </c>
      <c r="YO348">
        <f t="shared" si="170"/>
        <v>0</v>
      </c>
      <c r="YP348">
        <f t="shared" si="170"/>
        <v>0</v>
      </c>
      <c r="YQ348">
        <f t="shared" si="170"/>
        <v>0</v>
      </c>
      <c r="YR348">
        <f t="shared" si="170"/>
        <v>0</v>
      </c>
      <c r="YS348">
        <f t="shared" si="170"/>
        <v>0</v>
      </c>
      <c r="YT348">
        <f t="shared" si="170"/>
        <v>0</v>
      </c>
      <c r="YU348">
        <f t="shared" si="170"/>
        <v>0</v>
      </c>
      <c r="YV348">
        <f t="shared" si="170"/>
        <v>0</v>
      </c>
      <c r="YW348">
        <f t="shared" si="170"/>
        <v>0</v>
      </c>
      <c r="YX348">
        <f t="shared" si="170"/>
        <v>0</v>
      </c>
      <c r="YY348">
        <f t="shared" si="170"/>
        <v>0</v>
      </c>
      <c r="YZ348">
        <f t="shared" si="170"/>
        <v>0</v>
      </c>
      <c r="ZA348">
        <f t="shared" si="170"/>
        <v>0</v>
      </c>
      <c r="ZB348">
        <f t="shared" si="170"/>
        <v>0</v>
      </c>
      <c r="ZC348">
        <f t="shared" si="170"/>
        <v>0</v>
      </c>
      <c r="ZD348">
        <f t="shared" si="170"/>
        <v>0</v>
      </c>
      <c r="ZE348">
        <f t="shared" si="170"/>
        <v>0</v>
      </c>
      <c r="ZF348">
        <f t="shared" si="170"/>
        <v>0</v>
      </c>
      <c r="ZG348">
        <f t="shared" si="170"/>
        <v>0</v>
      </c>
      <c r="ZH348">
        <f t="shared" si="170"/>
        <v>0</v>
      </c>
      <c r="ZI348">
        <f t="shared" si="170"/>
        <v>0</v>
      </c>
      <c r="ZJ348">
        <f t="shared" si="170"/>
        <v>0</v>
      </c>
      <c r="ZK348">
        <f t="shared" si="170"/>
        <v>0</v>
      </c>
      <c r="ZL348">
        <f t="shared" si="170"/>
        <v>0</v>
      </c>
      <c r="ZM348">
        <f t="shared" si="170"/>
        <v>0</v>
      </c>
      <c r="ZN348">
        <f t="shared" si="170"/>
        <v>0</v>
      </c>
      <c r="ZO348">
        <f t="shared" si="170"/>
        <v>0</v>
      </c>
      <c r="ZP348">
        <f t="shared" si="170"/>
        <v>0</v>
      </c>
      <c r="ZQ348">
        <f t="shared" si="170"/>
        <v>0</v>
      </c>
      <c r="ZR348">
        <f t="shared" si="170"/>
        <v>0</v>
      </c>
      <c r="ZS348">
        <f t="shared" si="170"/>
        <v>0</v>
      </c>
      <c r="ZT348">
        <f t="shared" si="170"/>
        <v>0</v>
      </c>
      <c r="ZU348">
        <f t="shared" si="170"/>
        <v>0</v>
      </c>
      <c r="ZV348">
        <f t="shared" si="170"/>
        <v>0</v>
      </c>
      <c r="ZW348">
        <f t="shared" si="170"/>
        <v>0</v>
      </c>
      <c r="ZX348">
        <f t="shared" si="170"/>
        <v>0</v>
      </c>
      <c r="ZY348">
        <f t="shared" si="170"/>
        <v>0</v>
      </c>
      <c r="ZZ348">
        <f t="shared" si="170"/>
        <v>0</v>
      </c>
      <c r="AAA348">
        <f t="shared" si="170"/>
        <v>0</v>
      </c>
      <c r="AAB348">
        <f t="shared" si="170"/>
        <v>0</v>
      </c>
      <c r="AAC348">
        <f t="shared" si="170"/>
        <v>0</v>
      </c>
      <c r="AAD348">
        <f t="shared" si="170"/>
        <v>0</v>
      </c>
      <c r="AAE348">
        <f t="shared" si="170"/>
        <v>0</v>
      </c>
      <c r="AAF348">
        <f t="shared" si="170"/>
        <v>0</v>
      </c>
      <c r="AAG348">
        <f t="shared" si="170"/>
        <v>0</v>
      </c>
      <c r="AAH348">
        <f t="shared" si="170"/>
        <v>0</v>
      </c>
      <c r="AAI348">
        <f t="shared" si="170"/>
        <v>0</v>
      </c>
      <c r="AAJ348">
        <f t="shared" si="170"/>
        <v>0</v>
      </c>
      <c r="AAK348">
        <f t="shared" si="170"/>
        <v>0</v>
      </c>
      <c r="AAL348">
        <f t="shared" si="170"/>
        <v>0</v>
      </c>
      <c r="AAM348">
        <f t="shared" si="170"/>
        <v>0</v>
      </c>
      <c r="AAN348">
        <f t="shared" si="170"/>
        <v>0</v>
      </c>
      <c r="AAO348">
        <f t="shared" si="170"/>
        <v>0</v>
      </c>
      <c r="AAP348">
        <f t="shared" si="170"/>
        <v>0</v>
      </c>
      <c r="AAQ348">
        <f t="shared" si="170"/>
        <v>0</v>
      </c>
      <c r="AAR348">
        <f t="shared" ref="AAR348:ABY348" si="171">AAS5</f>
        <v>0</v>
      </c>
      <c r="AAS348">
        <f t="shared" si="171"/>
        <v>0</v>
      </c>
      <c r="AAT348">
        <f t="shared" si="171"/>
        <v>0</v>
      </c>
      <c r="AAU348">
        <f t="shared" si="171"/>
        <v>0</v>
      </c>
      <c r="AAV348">
        <f t="shared" si="171"/>
        <v>0</v>
      </c>
      <c r="AAW348">
        <f t="shared" si="171"/>
        <v>0</v>
      </c>
      <c r="AAX348">
        <f t="shared" si="171"/>
        <v>0</v>
      </c>
      <c r="AAY348">
        <f t="shared" si="171"/>
        <v>0</v>
      </c>
      <c r="AAZ348">
        <f t="shared" si="171"/>
        <v>0</v>
      </c>
      <c r="ABA348">
        <f t="shared" si="171"/>
        <v>0</v>
      </c>
      <c r="ABB348">
        <f t="shared" si="171"/>
        <v>0</v>
      </c>
      <c r="ABC348">
        <f t="shared" si="171"/>
        <v>0</v>
      </c>
      <c r="ABD348">
        <f t="shared" si="171"/>
        <v>0</v>
      </c>
      <c r="ABE348">
        <f t="shared" si="171"/>
        <v>0</v>
      </c>
      <c r="ABF348">
        <f t="shared" si="171"/>
        <v>0</v>
      </c>
      <c r="ABG348">
        <f t="shared" si="171"/>
        <v>0</v>
      </c>
      <c r="ABH348">
        <f t="shared" si="171"/>
        <v>0</v>
      </c>
      <c r="ABI348">
        <f t="shared" si="171"/>
        <v>0</v>
      </c>
      <c r="ABJ348">
        <f t="shared" si="171"/>
        <v>0</v>
      </c>
      <c r="ABK348">
        <f t="shared" si="171"/>
        <v>0</v>
      </c>
      <c r="ABL348">
        <f t="shared" si="171"/>
        <v>0</v>
      </c>
      <c r="ABM348">
        <f t="shared" si="171"/>
        <v>0</v>
      </c>
      <c r="ABN348">
        <f t="shared" si="171"/>
        <v>0</v>
      </c>
      <c r="ABO348">
        <f t="shared" si="171"/>
        <v>0</v>
      </c>
      <c r="ABP348">
        <f t="shared" si="171"/>
        <v>0</v>
      </c>
      <c r="ABQ348">
        <f t="shared" si="171"/>
        <v>0</v>
      </c>
      <c r="ABR348">
        <f t="shared" si="171"/>
        <v>0</v>
      </c>
      <c r="ABS348">
        <f t="shared" si="171"/>
        <v>0</v>
      </c>
      <c r="ABT348">
        <f t="shared" si="171"/>
        <v>0</v>
      </c>
      <c r="ABU348">
        <f t="shared" si="171"/>
        <v>0</v>
      </c>
      <c r="ABV348">
        <f t="shared" si="171"/>
        <v>0</v>
      </c>
      <c r="ABW348">
        <f t="shared" si="171"/>
        <v>0</v>
      </c>
      <c r="ABX348">
        <f t="shared" si="171"/>
        <v>0</v>
      </c>
      <c r="ABY348">
        <f t="shared" si="171"/>
        <v>0</v>
      </c>
    </row>
    <row r="349" spans="1:753" ht="14.3">
      <c r="A349" t="str">
        <f t="shared" si="120"/>
        <v>DATA2024</v>
      </c>
      <c r="B349" t="str">
        <f t="shared" si="120"/>
        <v>Business Lighting 2024</v>
      </c>
      <c r="C349" t="str">
        <f t="shared" si="120"/>
        <v>2024 STANDARD</v>
      </c>
      <c r="D349" t="str">
        <f t="shared" si="120"/>
        <v>2024</v>
      </c>
      <c r="E349" t="str">
        <f t="shared" si="120"/>
        <v>V24-02</v>
      </c>
      <c r="AE349" t="str">
        <f t="shared" ref="AE349:BY349" si="172">AE6</f>
        <v>Yearly Hours</v>
      </c>
      <c r="BX349" t="str">
        <f t="shared" ca="1" si="172"/>
        <v>Lighting - Custom</v>
      </c>
      <c r="BY349">
        <f t="shared" ca="1" si="172"/>
        <v>10059</v>
      </c>
    </row>
    <row r="350" spans="1:753" ht="14.3">
      <c r="A350" t="str">
        <f t="shared" ca="1" si="120"/>
        <v>Business Lighting ─ STANDARD V24-02 ─ Valid through 06/30/2024</v>
      </c>
      <c r="AE350">
        <f t="shared" ref="AE350" ca="1" si="173">AE7</f>
        <v>0</v>
      </c>
    </row>
    <row r="351" spans="1:753" ht="14.3">
      <c r="A351" t="str">
        <f t="shared" si="120"/>
        <v>Project</v>
      </c>
      <c r="E351" t="str">
        <f t="shared" si="120"/>
        <v>Project</v>
      </c>
      <c r="M351" t="str">
        <f t="shared" si="120"/>
        <v>Project Owner</v>
      </c>
      <c r="U351" t="str">
        <f t="shared" ref="U351:BX351" si="174">U8</f>
        <v>Contractor</v>
      </c>
      <c r="AE351" t="str">
        <f t="shared" si="174"/>
        <v>Vendor</v>
      </c>
      <c r="AM351" t="str">
        <f t="shared" si="174"/>
        <v>Signature</v>
      </c>
      <c r="AY351" t="str">
        <f t="shared" si="174"/>
        <v>LOA</v>
      </c>
      <c r="BC351" t="str">
        <f t="shared" si="174"/>
        <v>Submitter</v>
      </c>
      <c r="BX351" t="str">
        <f t="shared" ca="1" si="174"/>
        <v>RETROFIT</v>
      </c>
    </row>
    <row r="352" spans="1:753" ht="14.3">
      <c r="A352" t="str">
        <f t="shared" si="120"/>
        <v>Project Type</v>
      </c>
      <c r="B352" t="str">
        <f t="shared" si="120"/>
        <v xml:space="preserve">Rate Schedule </v>
      </c>
      <c r="C352" t="str">
        <f t="shared" si="120"/>
        <v>Building Type</v>
      </c>
      <c r="D352" t="str">
        <f t="shared" si="120"/>
        <v>PSE Business Type</v>
      </c>
      <c r="E352" t="str">
        <f t="shared" si="120"/>
        <v>Project Name</v>
      </c>
      <c r="F352" t="str">
        <f t="shared" si="120"/>
        <v>Business Name</v>
      </c>
      <c r="G352" t="str">
        <f t="shared" si="120"/>
        <v>PSE Account</v>
      </c>
      <c r="H352" t="str">
        <f t="shared" si="120"/>
        <v>Electric Meter</v>
      </c>
      <c r="I352" t="str">
        <f t="shared" si="120"/>
        <v>Project Site Address</v>
      </c>
      <c r="J352" t="str">
        <f t="shared" si="120"/>
        <v>City</v>
      </c>
      <c r="K352" t="str">
        <f t="shared" si="120"/>
        <v>State</v>
      </c>
      <c r="L352" t="str">
        <f t="shared" si="120"/>
        <v>Zip</v>
      </c>
      <c r="M352" t="str">
        <f t="shared" si="120"/>
        <v>Company</v>
      </c>
      <c r="N352" t="str">
        <f t="shared" si="120"/>
        <v>Name</v>
      </c>
      <c r="O352" t="str">
        <f t="shared" si="120"/>
        <v>Email</v>
      </c>
      <c r="P352" t="str">
        <f t="shared" ref="P352:BX352" si="175">P9</f>
        <v>Phone</v>
      </c>
      <c r="Q352" t="str">
        <f t="shared" si="175"/>
        <v>Address 2</v>
      </c>
      <c r="R352" t="str">
        <f t="shared" si="175"/>
        <v>City 2</v>
      </c>
      <c r="S352" t="str">
        <f t="shared" si="175"/>
        <v>State 2</v>
      </c>
      <c r="T352" t="str">
        <f t="shared" si="175"/>
        <v>Zip 2</v>
      </c>
      <c r="U352" t="str">
        <f t="shared" si="175"/>
        <v>Installed By</v>
      </c>
      <c r="V352" t="str">
        <f t="shared" si="175"/>
        <v>Notes</v>
      </c>
      <c r="W352" t="str">
        <f t="shared" si="175"/>
        <v>Contractor</v>
      </c>
      <c r="X352" t="str">
        <f t="shared" si="175"/>
        <v>Contact</v>
      </c>
      <c r="Y352" t="str">
        <f t="shared" si="175"/>
        <v>Email</v>
      </c>
      <c r="Z352" t="str">
        <f t="shared" si="175"/>
        <v>Phone</v>
      </c>
      <c r="AA352" t="str">
        <f t="shared" si="175"/>
        <v>Address</v>
      </c>
      <c r="AB352" t="str">
        <f t="shared" si="175"/>
        <v>City</v>
      </c>
      <c r="AC352" t="str">
        <f t="shared" si="175"/>
        <v>State</v>
      </c>
      <c r="AD352" t="str">
        <f t="shared" si="175"/>
        <v>Zip</v>
      </c>
      <c r="AE352" t="str">
        <f t="shared" si="175"/>
        <v>Vendor</v>
      </c>
      <c r="AF352" t="str">
        <f t="shared" si="175"/>
        <v>Contact</v>
      </c>
      <c r="AG352" t="str">
        <f t="shared" si="175"/>
        <v>Email</v>
      </c>
      <c r="AH352" t="str">
        <f t="shared" si="175"/>
        <v>Phone</v>
      </c>
      <c r="AI352" t="str">
        <f t="shared" si="175"/>
        <v>Address</v>
      </c>
      <c r="AJ352" t="str">
        <f t="shared" si="175"/>
        <v>City</v>
      </c>
      <c r="AK352" t="str">
        <f t="shared" si="175"/>
        <v>State</v>
      </c>
      <c r="AL352" t="str">
        <f t="shared" si="175"/>
        <v>Zip</v>
      </c>
      <c r="AM352" t="str">
        <f t="shared" si="175"/>
        <v>Payee Company</v>
      </c>
      <c r="AN352" t="str">
        <f t="shared" si="175"/>
        <v>Check Payable</v>
      </c>
      <c r="AO352" t="str">
        <f t="shared" si="175"/>
        <v>Contact</v>
      </c>
      <c r="AP352" t="str">
        <f t="shared" si="175"/>
        <v>Email</v>
      </c>
      <c r="AQ352" t="str">
        <f t="shared" si="175"/>
        <v>Phone</v>
      </c>
      <c r="AR352" t="str">
        <f t="shared" si="175"/>
        <v>Address</v>
      </c>
      <c r="AS352" t="str">
        <f t="shared" si="175"/>
        <v>City</v>
      </c>
      <c r="AT352" t="str">
        <f t="shared" si="175"/>
        <v>State</v>
      </c>
      <c r="AU352" t="str">
        <f t="shared" si="175"/>
        <v>Zip</v>
      </c>
      <c r="AV352" t="str">
        <f t="shared" si="175"/>
        <v>Printed Name</v>
      </c>
      <c r="AW352" t="str">
        <f t="shared" si="175"/>
        <v>Company Name</v>
      </c>
      <c r="AX352" t="str">
        <f t="shared" si="175"/>
        <v>Date Signed</v>
      </c>
      <c r="AY352" t="str">
        <f t="shared" si="175"/>
        <v>Company</v>
      </c>
      <c r="AZ352" t="str">
        <f t="shared" si="175"/>
        <v>Name</v>
      </c>
      <c r="BA352" t="str">
        <f t="shared" si="175"/>
        <v>Email</v>
      </c>
      <c r="BB352" t="str">
        <f t="shared" si="175"/>
        <v>Phone</v>
      </c>
      <c r="BC352" t="str">
        <f t="shared" si="175"/>
        <v>Submitted by</v>
      </c>
      <c r="BD352" t="str">
        <f t="shared" si="175"/>
        <v>Company</v>
      </c>
      <c r="BE352" t="str">
        <f t="shared" si="175"/>
        <v>Contact</v>
      </c>
      <c r="BF352" t="str">
        <f t="shared" si="175"/>
        <v>Email</v>
      </c>
      <c r="BG352" t="str">
        <f t="shared" si="175"/>
        <v>Phone</v>
      </c>
      <c r="BH352" t="str">
        <f t="shared" si="175"/>
        <v>Address</v>
      </c>
      <c r="BI352" t="str">
        <f t="shared" si="175"/>
        <v>City</v>
      </c>
      <c r="BJ352" t="str">
        <f t="shared" si="175"/>
        <v>State</v>
      </c>
      <c r="BK352" t="str">
        <f t="shared" si="175"/>
        <v>Zip</v>
      </c>
      <c r="BX352" t="str">
        <f t="shared" ca="1" si="175"/>
        <v>None</v>
      </c>
    </row>
    <row r="353" spans="1:757" ht="14.3">
      <c r="A353" t="str">
        <f t="shared" ca="1" si="120"/>
        <v>Commercial/Industrial</v>
      </c>
      <c r="B353">
        <f t="shared" ca="1" si="120"/>
        <v>0</v>
      </c>
      <c r="C353">
        <f t="shared" ca="1" si="120"/>
        <v>0</v>
      </c>
      <c r="D353" t="str">
        <f t="shared" ca="1" si="120"/>
        <v/>
      </c>
      <c r="E353">
        <f t="shared" ca="1" si="120"/>
        <v>0</v>
      </c>
      <c r="F353">
        <f t="shared" ca="1" si="120"/>
        <v>0</v>
      </c>
      <c r="G353" s="233">
        <f t="shared" ca="1" si="120"/>
        <v>0</v>
      </c>
      <c r="H353">
        <f t="shared" ca="1" si="120"/>
        <v>0</v>
      </c>
      <c r="I353">
        <f t="shared" ca="1" si="120"/>
        <v>0</v>
      </c>
      <c r="J353">
        <f t="shared" ca="1" si="120"/>
        <v>0</v>
      </c>
      <c r="K353" t="str">
        <f t="shared" ca="1" si="120"/>
        <v>WA</v>
      </c>
      <c r="L353">
        <f t="shared" ca="1" si="120"/>
        <v>0</v>
      </c>
      <c r="M353">
        <f t="shared" ca="1" si="120"/>
        <v>0</v>
      </c>
      <c r="N353">
        <f t="shared" ca="1" si="120"/>
        <v>0</v>
      </c>
      <c r="O353">
        <f t="shared" ca="1" si="120"/>
        <v>0</v>
      </c>
      <c r="P353">
        <f t="shared" ref="P353:BK353" ca="1" si="176">P10</f>
        <v>0</v>
      </c>
      <c r="Q353">
        <f t="shared" ca="1" si="176"/>
        <v>0</v>
      </c>
      <c r="R353">
        <f t="shared" ca="1" si="176"/>
        <v>0</v>
      </c>
      <c r="S353" t="str">
        <f t="shared" ca="1" si="176"/>
        <v>WA</v>
      </c>
      <c r="T353">
        <f t="shared" ca="1" si="176"/>
        <v>0</v>
      </c>
      <c r="U353" t="str">
        <f t="shared" ca="1" si="176"/>
        <v>- Choose Installed By -</v>
      </c>
      <c r="V353">
        <f t="shared" ca="1" si="176"/>
        <v>0</v>
      </c>
      <c r="W353" t="str">
        <f t="shared" ca="1" si="176"/>
        <v/>
      </c>
      <c r="X353" t="str">
        <f t="shared" ca="1" si="176"/>
        <v/>
      </c>
      <c r="Y353" t="str">
        <f t="shared" ca="1" si="176"/>
        <v/>
      </c>
      <c r="Z353" t="str">
        <f t="shared" ca="1" si="176"/>
        <v/>
      </c>
      <c r="AA353" t="str">
        <f t="shared" ca="1" si="176"/>
        <v/>
      </c>
      <c r="AB353" t="str">
        <f t="shared" ca="1" si="176"/>
        <v/>
      </c>
      <c r="AC353" t="str">
        <f t="shared" ca="1" si="176"/>
        <v/>
      </c>
      <c r="AD353" t="str">
        <f t="shared" ca="1" si="176"/>
        <v/>
      </c>
      <c r="AE353">
        <f t="shared" ca="1" si="176"/>
        <v>0</v>
      </c>
      <c r="AF353">
        <f t="shared" ca="1" si="176"/>
        <v>0</v>
      </c>
      <c r="AG353">
        <f t="shared" ca="1" si="176"/>
        <v>0</v>
      </c>
      <c r="AH353">
        <f t="shared" ca="1" si="176"/>
        <v>0</v>
      </c>
      <c r="AI353">
        <f t="shared" ca="1" si="176"/>
        <v>0</v>
      </c>
      <c r="AJ353">
        <f t="shared" ca="1" si="176"/>
        <v>0</v>
      </c>
      <c r="AK353">
        <f t="shared" ca="1" si="176"/>
        <v>0</v>
      </c>
      <c r="AL353">
        <f t="shared" ca="1" si="176"/>
        <v>0</v>
      </c>
      <c r="AV353">
        <f t="shared" ca="1" si="176"/>
        <v>0</v>
      </c>
      <c r="AW353">
        <f t="shared" ca="1" si="176"/>
        <v>0</v>
      </c>
      <c r="AX353">
        <f t="shared" ca="1" si="176"/>
        <v>0</v>
      </c>
      <c r="AY353">
        <f t="shared" ca="1" si="176"/>
        <v>0</v>
      </c>
      <c r="AZ353">
        <f t="shared" ca="1" si="176"/>
        <v>0</v>
      </c>
      <c r="BA353">
        <f t="shared" ca="1" si="176"/>
        <v>0</v>
      </c>
      <c r="BB353">
        <f t="shared" ca="1" si="176"/>
        <v>0</v>
      </c>
      <c r="BC353" t="str">
        <f t="shared" ca="1" si="176"/>
        <v>- Choose Submitted By -</v>
      </c>
      <c r="BD353" t="str">
        <f t="shared" ca="1" si="176"/>
        <v/>
      </c>
      <c r="BE353" t="str">
        <f t="shared" ca="1" si="176"/>
        <v/>
      </c>
      <c r="BF353" t="str">
        <f t="shared" ca="1" si="176"/>
        <v/>
      </c>
      <c r="BG353" t="str">
        <f t="shared" ca="1" si="176"/>
        <v/>
      </c>
      <c r="BH353" t="str">
        <f t="shared" ca="1" si="176"/>
        <v/>
      </c>
      <c r="BI353" t="str">
        <f t="shared" ca="1" si="176"/>
        <v/>
      </c>
      <c r="BJ353" t="str">
        <f t="shared" ca="1" si="176"/>
        <v/>
      </c>
      <c r="BK353" t="str">
        <f t="shared" ca="1" si="176"/>
        <v/>
      </c>
    </row>
    <row r="354" spans="1:757" ht="14.3">
      <c r="A354" t="str">
        <f t="shared" ca="1" si="120"/>
        <v>RETROFIT</v>
      </c>
      <c r="BX354" t="str">
        <f t="shared" ref="BX354:BY354" si="177">BX11</f>
        <v>Lighting - Custom</v>
      </c>
      <c r="BY354">
        <f t="shared" si="177"/>
        <v>10059</v>
      </c>
    </row>
    <row r="355" spans="1:757" ht="14.3">
      <c r="B355" t="str">
        <f t="shared" si="120"/>
        <v>LLLC?</v>
      </c>
      <c r="C355" t="str">
        <f t="shared" ca="1" si="120"/>
        <v>No</v>
      </c>
      <c r="AL355" t="str">
        <f t="shared" ref="AL355:BY355" si="178">AL12</f>
        <v>Grant for Fixtures</v>
      </c>
      <c r="AM355" t="str">
        <f t="shared" ca="1" si="178"/>
        <v/>
      </c>
      <c r="AN355">
        <f t="shared" ca="1" si="178"/>
        <v>0</v>
      </c>
      <c r="AO355" t="str">
        <f t="shared" ca="1" si="178"/>
        <v/>
      </c>
      <c r="AP355" t="str">
        <f t="shared" ca="1" si="178"/>
        <v/>
      </c>
      <c r="AQ355" t="str">
        <f t="shared" ca="1" si="178"/>
        <v/>
      </c>
      <c r="AR355" t="str">
        <f t="shared" ca="1" si="178"/>
        <v/>
      </c>
      <c r="AS355" t="str">
        <f t="shared" ca="1" si="178"/>
        <v/>
      </c>
      <c r="AT355" t="str">
        <f t="shared" ca="1" si="178"/>
        <v/>
      </c>
      <c r="AU355" t="str">
        <f t="shared" ca="1" si="178"/>
        <v/>
      </c>
      <c r="AV355">
        <f t="shared" ca="1" si="178"/>
        <v>0</v>
      </c>
      <c r="AX355" t="str">
        <f t="shared" si="178"/>
        <v>Estimated Completion Date</v>
      </c>
      <c r="BX355" t="str">
        <f t="shared" si="178"/>
        <v>Lighting - Base - Custom</v>
      </c>
      <c r="BY355">
        <f t="shared" si="178"/>
        <v>12323</v>
      </c>
    </row>
    <row r="356" spans="1:757" ht="14.3">
      <c r="O356" t="str">
        <f t="shared" si="120"/>
        <v>Autofund</v>
      </c>
      <c r="AL356" t="str">
        <f t="shared" ref="AL356:BY356" si="179">AL13</f>
        <v>Grant for LLLC</v>
      </c>
      <c r="AM356" t="str">
        <f t="shared" ca="1" si="179"/>
        <v/>
      </c>
      <c r="AN356">
        <f t="shared" ca="1" si="179"/>
        <v>0</v>
      </c>
      <c r="AO356" t="str">
        <f t="shared" ca="1" si="179"/>
        <v/>
      </c>
      <c r="AP356" t="str">
        <f t="shared" ca="1" si="179"/>
        <v/>
      </c>
      <c r="AQ356" t="str">
        <f t="shared" ca="1" si="179"/>
        <v/>
      </c>
      <c r="AR356" t="str">
        <f t="shared" ca="1" si="179"/>
        <v/>
      </c>
      <c r="AS356" t="str">
        <f t="shared" ca="1" si="179"/>
        <v/>
      </c>
      <c r="AT356" t="str">
        <f t="shared" ca="1" si="179"/>
        <v/>
      </c>
      <c r="AU356" t="str">
        <f t="shared" ca="1" si="179"/>
        <v/>
      </c>
      <c r="AV356">
        <f t="shared" ca="1" si="179"/>
        <v>0</v>
      </c>
      <c r="AX356" s="1370">
        <f t="shared" ca="1" si="179"/>
        <v>0</v>
      </c>
      <c r="BX356" t="str">
        <f t="shared" si="179"/>
        <v>Lighting - Performance - Custom</v>
      </c>
      <c r="BY356">
        <f t="shared" si="179"/>
        <v>12334</v>
      </c>
    </row>
    <row r="357" spans="1:757" ht="14.3">
      <c r="A357" t="str">
        <f t="shared" si="120"/>
        <v>Installations</v>
      </c>
      <c r="B357" s="92" t="str">
        <f t="shared" si="120"/>
        <v>Material Cost</v>
      </c>
      <c r="C357" s="92" t="str">
        <f t="shared" si="120"/>
        <v>Labor Cost</v>
      </c>
      <c r="D357" s="92" t="str">
        <f t="shared" si="120"/>
        <v>Misc Cost</v>
      </c>
      <c r="E357" s="92" t="str">
        <f t="shared" si="120"/>
        <v>Tax Rate</v>
      </c>
      <c r="F357" s="92" t="str">
        <f t="shared" si="120"/>
        <v>Total Cost</v>
      </c>
      <c r="G357" s="92" t="str">
        <f t="shared" si="120"/>
        <v>Incentive</v>
      </c>
      <c r="H357" s="92" t="str">
        <f t="shared" si="120"/>
        <v>Existing Usage</v>
      </c>
      <c r="I357" s="92" t="str">
        <f t="shared" si="120"/>
        <v>New Usage</v>
      </c>
      <c r="J357" s="92" t="str">
        <f t="shared" si="120"/>
        <v>Savings</v>
      </c>
      <c r="K357" s="92" t="str">
        <f t="shared" si="120"/>
        <v>Existing kW</v>
      </c>
      <c r="L357" s="92" t="str">
        <f t="shared" si="120"/>
        <v>New kW</v>
      </c>
      <c r="M357" s="92" t="str">
        <f t="shared" si="120"/>
        <v>kWSavings</v>
      </c>
      <c r="N357" s="92" t="str">
        <f t="shared" si="120"/>
        <v>Measure Life</v>
      </c>
      <c r="O357" s="92" t="str">
        <f t="shared" si="120"/>
        <v>TRC</v>
      </c>
      <c r="P357" s="92" t="str">
        <f t="shared" ref="P357:BY357" si="180">P14</f>
        <v>TLED Incentive</v>
      </c>
      <c r="Q357" s="92" t="str">
        <f t="shared" si="180"/>
        <v>TLED Qty</v>
      </c>
      <c r="R357" s="92" t="str">
        <f t="shared" si="180"/>
        <v>ALC Bonus</v>
      </c>
      <c r="S357" s="92" t="str">
        <f t="shared" si="180"/>
        <v>Cost Effective Incentive</v>
      </c>
      <c r="T357" s="92" t="str">
        <f t="shared" si="180"/>
        <v>Total Incentive</v>
      </c>
      <c r="U357" s="92" t="str">
        <f t="shared" si="180"/>
        <v>ALC Savings</v>
      </c>
      <c r="V357" s="92" t="str">
        <f t="shared" si="180"/>
        <v>ALC Baseline</v>
      </c>
      <c r="X357" t="str">
        <f t="shared" si="180"/>
        <v>Pre Inspection Date:</v>
      </c>
      <c r="Y357" s="1370">
        <f t="shared" ca="1" si="180"/>
        <v>0</v>
      </c>
      <c r="BG357" t="str">
        <f t="shared" si="180"/>
        <v>Building Area Type</v>
      </c>
      <c r="BH357" t="str">
        <f t="shared" si="180"/>
        <v>LPD (w/ft2)</v>
      </c>
      <c r="BK357" t="str">
        <f t="shared" si="180"/>
        <v>Building Area Type</v>
      </c>
      <c r="BL357" t="str">
        <f t="shared" si="180"/>
        <v>LPD</v>
      </c>
      <c r="BM357" t="str">
        <f t="shared" si="180"/>
        <v>PSE DSM Type</v>
      </c>
      <c r="BX357" t="str">
        <f t="shared" si="180"/>
        <v>Lighting - Tenant Improvement - Custom</v>
      </c>
      <c r="BY357">
        <f t="shared" si="180"/>
        <v>13224</v>
      </c>
    </row>
    <row r="358" spans="1:757" ht="14.3">
      <c r="B358" s="325">
        <f t="shared" ca="1" si="120"/>
        <v>0</v>
      </c>
      <c r="C358" s="325">
        <f t="shared" ca="1" si="120"/>
        <v>0</v>
      </c>
      <c r="D358" s="325">
        <f t="shared" ca="1" si="120"/>
        <v>0</v>
      </c>
      <c r="E358" s="92">
        <f t="shared" ca="1" si="120"/>
        <v>0</v>
      </c>
      <c r="F358" s="325">
        <f t="shared" ca="1" si="120"/>
        <v>0</v>
      </c>
      <c r="G358" s="325">
        <f t="shared" ca="1" si="120"/>
        <v>0</v>
      </c>
      <c r="H358" s="92">
        <f t="shared" ca="1" si="120"/>
        <v>0</v>
      </c>
      <c r="I358" s="92">
        <f t="shared" ca="1" si="120"/>
        <v>0</v>
      </c>
      <c r="J358" s="92">
        <f t="shared" ca="1" si="120"/>
        <v>0</v>
      </c>
      <c r="K358" s="92">
        <f t="shared" ca="1" si="120"/>
        <v>0</v>
      </c>
      <c r="L358" s="92">
        <f t="shared" ca="1" si="120"/>
        <v>0</v>
      </c>
      <c r="M358" s="92">
        <f t="shared" ca="1" si="120"/>
        <v>0</v>
      </c>
      <c r="N358" s="92">
        <f t="shared" ca="1" si="120"/>
        <v>0</v>
      </c>
      <c r="O358" s="92">
        <f t="shared" ca="1" si="120"/>
        <v>0</v>
      </c>
      <c r="P358" s="325">
        <f t="shared" ref="P358:BY359" ca="1" si="181">P15</f>
        <v>0</v>
      </c>
      <c r="Q358" s="92">
        <f t="shared" ca="1" si="181"/>
        <v>0</v>
      </c>
      <c r="R358" s="325">
        <f t="shared" ca="1" si="181"/>
        <v>0</v>
      </c>
      <c r="S358" s="325">
        <f t="shared" ca="1" si="181"/>
        <v>0</v>
      </c>
      <c r="T358" s="325">
        <f t="shared" ca="1" si="181"/>
        <v>0</v>
      </c>
      <c r="U358" s="92">
        <f t="shared" ca="1" si="181"/>
        <v>0</v>
      </c>
      <c r="V358" s="92">
        <f t="shared" ca="1" si="181"/>
        <v>0</v>
      </c>
      <c r="X358" t="str">
        <f t="shared" si="181"/>
        <v>Est Payment Date:</v>
      </c>
      <c r="Y358" s="1370">
        <f t="shared" ca="1" si="181"/>
        <v>0</v>
      </c>
      <c r="AL358" t="str">
        <f t="shared" si="181"/>
        <v>Company Name to release Energy Use and Billing Information to</v>
      </c>
      <c r="AM358">
        <f t="shared" ca="1" si="181"/>
        <v>0</v>
      </c>
      <c r="BG358" t="str">
        <f t="shared" si="181"/>
        <v>- Choose Type -</v>
      </c>
      <c r="BH358">
        <f t="shared" ref="BH358:BI358" si="182">BH15</f>
        <v>0</v>
      </c>
      <c r="BI358" t="str">
        <f t="shared" si="182"/>
        <v>- Choose Type -</v>
      </c>
      <c r="BX358" t="str">
        <f t="shared" si="181"/>
        <v>Lighting - Street - Custom</v>
      </c>
      <c r="BY358">
        <f t="shared" si="181"/>
        <v>10074</v>
      </c>
    </row>
    <row r="359" spans="1:757" ht="14.3">
      <c r="BG359" t="str">
        <f t="shared" si="181"/>
        <v>Automotive facility</v>
      </c>
      <c r="BH359">
        <f t="shared" ref="BH359:BI359" si="183">BH16</f>
        <v>0.82</v>
      </c>
      <c r="BI359" t="str">
        <f t="shared" si="183"/>
        <v>Retail</v>
      </c>
      <c r="BK359" t="str">
        <f t="shared" ref="BK359:BM359" si="184">BK16</f>
        <v>Automotive facility</v>
      </c>
      <c r="BL359">
        <f t="shared" si="184"/>
        <v>0.64</v>
      </c>
      <c r="BM359" t="str">
        <f t="shared" si="184"/>
        <v>Retail</v>
      </c>
    </row>
    <row r="362" spans="1:757" ht="14.3">
      <c r="A362" s="1319" t="s">
        <v>1104</v>
      </c>
      <c r="B362" s="1319"/>
      <c r="C362" s="1319"/>
      <c r="D362" s="1319"/>
      <c r="E362" s="1319"/>
      <c r="F362" s="1319"/>
      <c r="G362" s="1319"/>
      <c r="H362" s="1319"/>
      <c r="I362" s="1319"/>
      <c r="J362" s="1319"/>
      <c r="K362" s="1319"/>
      <c r="L362" s="1319"/>
      <c r="M362" s="1319"/>
      <c r="N362" s="1319"/>
      <c r="O362" s="1319"/>
      <c r="P362" s="1319"/>
      <c r="Q362" s="1319"/>
      <c r="R362" s="1319"/>
      <c r="S362" s="1319"/>
      <c r="T362" s="1319"/>
      <c r="U362" s="1319"/>
      <c r="V362" s="1319"/>
      <c r="W362" s="1319"/>
      <c r="X362" s="1319"/>
      <c r="Y362" s="1319"/>
      <c r="Z362" s="1319"/>
      <c r="AA362" s="1319"/>
      <c r="AB362" s="1319"/>
      <c r="AC362" s="1319"/>
      <c r="AD362" s="1319"/>
      <c r="AE362" s="1319"/>
      <c r="AF362" s="1319"/>
      <c r="AG362" s="1319"/>
      <c r="AH362" s="1319"/>
      <c r="AI362" s="1319"/>
      <c r="AJ362" s="1319"/>
      <c r="AK362" s="1319"/>
      <c r="AL362" s="1319"/>
      <c r="AM362" s="1319"/>
      <c r="AN362" s="1319"/>
      <c r="AO362" s="1319"/>
      <c r="AP362" s="1319"/>
      <c r="AQ362" s="1319"/>
      <c r="AR362" s="1319"/>
      <c r="AS362" s="1319"/>
      <c r="AT362" s="1319"/>
      <c r="AU362" s="1319"/>
      <c r="AV362" s="1319"/>
      <c r="AW362" s="1319"/>
      <c r="AX362" s="1319"/>
      <c r="AY362" s="1319"/>
      <c r="AZ362" s="1319"/>
      <c r="BA362" s="1319"/>
      <c r="BB362" s="1319"/>
      <c r="BC362" s="1319"/>
      <c r="BD362" s="1319"/>
      <c r="BE362" s="1319"/>
      <c r="BF362" s="1319"/>
      <c r="BG362" s="1319"/>
      <c r="BH362" s="1319"/>
      <c r="BI362" s="1319"/>
      <c r="BJ362" s="1319"/>
      <c r="BK362" s="1319"/>
      <c r="BL362" s="1319"/>
      <c r="BM362" s="1319"/>
      <c r="BN362" s="1319"/>
      <c r="BO362" s="1319"/>
      <c r="BP362" s="1319"/>
      <c r="BQ362" s="1319"/>
      <c r="BR362" s="1319"/>
      <c r="BS362" s="1319"/>
      <c r="BT362" s="1319"/>
      <c r="BU362" s="1319"/>
      <c r="BV362" s="1319"/>
      <c r="BW362" s="1319"/>
      <c r="BX362" s="1319"/>
      <c r="BY362" s="1319"/>
      <c r="BZ362" s="1319"/>
      <c r="CA362" s="1319"/>
      <c r="CB362" s="1319"/>
      <c r="CC362" s="1319"/>
      <c r="CD362" s="1319"/>
      <c r="CE362" s="1319"/>
      <c r="CF362" s="1319"/>
      <c r="CG362" s="1319"/>
      <c r="CH362" s="1319"/>
      <c r="CI362" s="1319"/>
      <c r="CJ362" s="1319"/>
      <c r="CK362" s="1319"/>
      <c r="CL362" s="1319"/>
      <c r="CM362" s="1319"/>
      <c r="CN362" s="1319"/>
      <c r="CO362" s="1319"/>
      <c r="CP362" s="1319"/>
      <c r="CQ362" s="1319"/>
      <c r="CR362" s="1319"/>
      <c r="CS362" s="1319"/>
      <c r="CT362" s="1319" t="s">
        <v>1570</v>
      </c>
      <c r="CU362" s="1319"/>
      <c r="CV362" s="1319"/>
      <c r="CW362" s="1319"/>
      <c r="CX362" s="1319"/>
      <c r="CY362" s="1319"/>
      <c r="CZ362" s="1319"/>
      <c r="DA362" s="1319"/>
      <c r="DB362" s="1319"/>
      <c r="DC362" s="1319"/>
      <c r="DD362" s="1319"/>
      <c r="DE362" s="1319"/>
      <c r="DF362" s="1319"/>
      <c r="DG362" s="1319"/>
      <c r="DH362" s="1319"/>
      <c r="DI362" s="1319"/>
      <c r="DJ362" s="1319"/>
      <c r="DK362" s="1319"/>
      <c r="DL362" s="1319"/>
      <c r="DM362" s="1319"/>
      <c r="DN362" s="1319"/>
      <c r="DO362" s="1319"/>
      <c r="DP362" s="1319"/>
      <c r="DQ362" s="1319"/>
      <c r="DR362" s="1319"/>
      <c r="DS362" s="1319"/>
      <c r="DT362" s="1319"/>
      <c r="DU362" s="1319"/>
      <c r="DV362" s="1319"/>
      <c r="DW362" s="1319"/>
      <c r="DX362" s="1319"/>
      <c r="DY362" s="1319"/>
      <c r="DZ362" s="1319"/>
      <c r="EA362" s="1319"/>
      <c r="EB362" s="1319"/>
      <c r="EC362" s="1319"/>
      <c r="ED362" s="1319"/>
      <c r="EE362" s="1319"/>
      <c r="EF362" s="1319"/>
      <c r="EG362" s="1319"/>
      <c r="EH362" s="1319"/>
      <c r="EI362" s="1319"/>
      <c r="EJ362" s="1319"/>
      <c r="EK362" s="1319"/>
      <c r="EL362" s="1319"/>
      <c r="EM362" s="1319"/>
      <c r="EN362" s="1319"/>
      <c r="EO362" s="1319"/>
      <c r="EP362" s="1319"/>
      <c r="EQ362" s="1319"/>
      <c r="ER362" s="1319"/>
      <c r="ES362" s="1319"/>
      <c r="ET362" s="1319"/>
      <c r="EU362" s="1319"/>
      <c r="EV362" s="1319"/>
      <c r="EW362" s="1319"/>
      <c r="EX362" s="1319"/>
      <c r="EY362" s="1319"/>
      <c r="EZ362" s="1319"/>
      <c r="FA362" s="1319"/>
      <c r="FB362" s="1319"/>
      <c r="FC362" s="1319"/>
      <c r="FD362" s="1319"/>
      <c r="FE362" s="1319"/>
      <c r="FF362" s="1319"/>
      <c r="FG362" s="1319"/>
      <c r="FH362" s="1319"/>
      <c r="FI362" s="1319"/>
      <c r="FJ362" s="1319"/>
      <c r="FK362" s="1319"/>
      <c r="FL362" s="1319"/>
      <c r="FM362" s="1319"/>
      <c r="FN362" s="1319"/>
      <c r="FO362" s="1319"/>
      <c r="FP362" s="1319"/>
      <c r="FQ362" s="1319"/>
      <c r="FR362" s="1319"/>
      <c r="FS362" s="1319"/>
      <c r="FT362" s="1319"/>
      <c r="FU362" s="1319"/>
      <c r="FV362" s="1319"/>
      <c r="FW362" s="1319"/>
      <c r="FX362" s="1319"/>
      <c r="FY362" s="1319"/>
      <c r="FZ362" s="1319"/>
      <c r="GA362" s="1319"/>
      <c r="GB362" s="1319"/>
      <c r="GC362" s="1319"/>
      <c r="GD362" s="1319"/>
      <c r="GE362" s="1319"/>
      <c r="GF362" s="1319"/>
      <c r="GG362" s="1319"/>
      <c r="GH362" s="1319"/>
      <c r="GI362" s="1319"/>
      <c r="GJ362" s="1319"/>
      <c r="GK362" s="1319"/>
      <c r="GL362" s="1319"/>
      <c r="GM362" s="1319"/>
      <c r="GN362" s="1319"/>
      <c r="GO362" s="1319"/>
      <c r="GP362" s="1319"/>
      <c r="GQ362" s="1319"/>
      <c r="GR362" s="1319"/>
      <c r="GS362" s="1319"/>
      <c r="GT362" s="1319"/>
      <c r="GU362" s="1319"/>
      <c r="GV362" s="1319"/>
      <c r="GW362" s="1319"/>
      <c r="GX362" s="1319"/>
      <c r="GY362" s="1319"/>
      <c r="GZ362" s="1319"/>
      <c r="HA362" s="1319"/>
      <c r="HB362" s="1319"/>
      <c r="HC362" s="1319"/>
      <c r="HD362" s="1319"/>
      <c r="HE362" s="1319"/>
      <c r="HF362" s="1319"/>
      <c r="HG362" s="1319"/>
      <c r="HH362" s="1319"/>
      <c r="HI362" s="1319"/>
      <c r="HJ362" s="1319"/>
      <c r="HK362" s="1319"/>
      <c r="HL362" s="1319"/>
      <c r="HM362" s="1319"/>
      <c r="HN362" s="1319"/>
      <c r="HO362" s="1319"/>
      <c r="HP362" s="1319"/>
      <c r="HQ362" s="1319"/>
      <c r="HR362" s="1319"/>
      <c r="HS362" s="1319"/>
      <c r="HT362" s="1319"/>
      <c r="HU362" s="1319"/>
      <c r="HV362" s="1319"/>
      <c r="HW362" s="1319"/>
      <c r="HX362" s="1319"/>
      <c r="HY362" s="1319"/>
      <c r="HZ362" s="1319"/>
      <c r="IA362" s="1319"/>
      <c r="IB362" s="1319"/>
      <c r="IC362" s="1319"/>
      <c r="ID362" s="1319"/>
      <c r="IE362" s="1319"/>
      <c r="IF362" s="1319"/>
      <c r="IG362" s="1319"/>
      <c r="IH362" s="1319"/>
      <c r="II362" s="1319"/>
      <c r="IJ362" s="1319"/>
      <c r="IK362" s="1319"/>
      <c r="IL362" s="1319"/>
      <c r="IM362" s="1319"/>
      <c r="IN362" s="1319"/>
      <c r="IO362" s="1319"/>
      <c r="IP362" s="1319"/>
      <c r="IQ362" s="1319"/>
      <c r="IR362" s="1319"/>
      <c r="IS362" s="1319"/>
      <c r="IT362" s="1319"/>
      <c r="IU362" s="1319"/>
      <c r="IV362" s="1319"/>
      <c r="IW362" s="1319"/>
      <c r="IX362" s="1319"/>
      <c r="IY362" s="1319"/>
      <c r="IZ362" s="1319"/>
      <c r="JA362" s="1319"/>
      <c r="JB362" s="1319"/>
      <c r="JC362" s="1319"/>
      <c r="JD362" s="1319"/>
      <c r="JE362" s="1319"/>
      <c r="JF362" s="1319"/>
      <c r="JG362" s="1319"/>
      <c r="JH362" s="1319"/>
      <c r="JI362" s="1319"/>
      <c r="JJ362" s="1319"/>
      <c r="JK362" s="1319"/>
      <c r="JL362" s="1319"/>
      <c r="JM362" s="1319"/>
      <c r="JN362" s="1319"/>
      <c r="JO362" s="1319"/>
      <c r="JP362" s="1319"/>
      <c r="JQ362" s="1319"/>
      <c r="JR362" s="1319"/>
      <c r="JS362" s="1319"/>
      <c r="JT362" s="1319"/>
      <c r="JU362" s="1319" t="s">
        <v>1571</v>
      </c>
      <c r="JV362" s="1319"/>
      <c r="JW362" s="1319"/>
      <c r="JX362" s="1319"/>
      <c r="JY362" s="1319"/>
      <c r="JZ362" s="1319"/>
      <c r="KA362" s="1319"/>
      <c r="KB362" s="1319"/>
      <c r="KC362" s="1319"/>
      <c r="KD362" s="1319"/>
      <c r="KE362" s="1319"/>
      <c r="KF362" s="1319"/>
      <c r="KG362" s="1319"/>
      <c r="KH362" s="1319"/>
      <c r="KI362" s="1319"/>
      <c r="KJ362" s="1319"/>
      <c r="KK362" s="1319"/>
      <c r="KL362" s="1319"/>
      <c r="KM362" s="1319"/>
      <c r="KN362" s="1319"/>
      <c r="KO362" s="1319"/>
      <c r="KP362" s="1319"/>
      <c r="KQ362" s="1319"/>
      <c r="KR362" s="1319"/>
      <c r="KS362" s="1319"/>
      <c r="KT362" s="1319"/>
      <c r="KU362" s="1319"/>
      <c r="KV362" s="1319"/>
      <c r="KW362" s="1319"/>
      <c r="KX362" s="1319"/>
      <c r="KY362" s="1319"/>
      <c r="KZ362" s="1319"/>
      <c r="LA362" s="1319"/>
      <c r="LB362" s="1319"/>
      <c r="LC362" s="1319"/>
      <c r="LD362" s="1319"/>
      <c r="LE362" s="1319"/>
      <c r="LF362" s="1319"/>
      <c r="LG362" s="1319"/>
      <c r="LH362" s="1319"/>
      <c r="LI362" s="1319"/>
      <c r="LJ362" s="1319"/>
      <c r="LK362" s="1319"/>
      <c r="LL362" s="1319"/>
      <c r="LM362" s="1319"/>
      <c r="LN362" s="1319"/>
      <c r="LO362" s="1319"/>
      <c r="LP362" s="1319"/>
      <c r="LQ362" s="1319"/>
      <c r="LR362" s="1319"/>
      <c r="LS362" s="1319"/>
      <c r="LT362" s="1319"/>
      <c r="LU362" s="1319"/>
      <c r="LV362" s="1319"/>
      <c r="LW362" s="1319"/>
      <c r="LX362" s="1319"/>
      <c r="LY362" s="1319"/>
      <c r="LZ362" s="1319"/>
      <c r="MA362" s="1319"/>
      <c r="MB362" s="1319"/>
      <c r="MC362" s="1319"/>
      <c r="MD362" s="1319"/>
      <c r="ME362" s="1319"/>
      <c r="MF362" s="1319"/>
      <c r="MG362" s="1319"/>
      <c r="MH362" s="1319"/>
      <c r="MI362" s="1319"/>
      <c r="MJ362" s="1319"/>
      <c r="MK362" s="1319"/>
      <c r="ML362" s="1319"/>
      <c r="MM362" s="1319"/>
      <c r="MN362" s="1319"/>
      <c r="MO362" s="1319"/>
      <c r="MP362" s="1319"/>
      <c r="MQ362" s="1319"/>
      <c r="MR362" s="1319"/>
      <c r="MS362" s="1319"/>
      <c r="MT362" s="1319"/>
      <c r="MU362" s="1319"/>
      <c r="MV362" s="1319"/>
      <c r="MW362" s="1319"/>
      <c r="MX362" s="1319"/>
      <c r="MY362" s="1319"/>
      <c r="MZ362" s="1319"/>
      <c r="NA362" s="1319"/>
      <c r="NB362" s="1319"/>
      <c r="NC362" s="1319"/>
      <c r="ND362" s="1319"/>
      <c r="NE362" s="1319"/>
      <c r="NF362" s="1319"/>
      <c r="NG362" s="1319"/>
      <c r="NH362" s="1319"/>
      <c r="NI362" s="1319"/>
      <c r="NJ362" s="1319"/>
      <c r="NK362" s="1319"/>
      <c r="NL362" s="1319"/>
      <c r="NM362" s="1319"/>
      <c r="NN362" s="1319"/>
      <c r="NO362" s="1319"/>
      <c r="NP362" s="1319"/>
      <c r="NQ362" s="1319"/>
      <c r="NR362" s="1319"/>
      <c r="NS362" s="1319"/>
      <c r="NT362" s="1319"/>
      <c r="NU362" s="1319"/>
      <c r="NV362" s="1319"/>
      <c r="NW362" s="1319"/>
      <c r="NX362" s="1319"/>
      <c r="NY362" s="1319"/>
      <c r="NZ362" s="1319"/>
      <c r="OA362" s="1319"/>
      <c r="OB362" s="1319"/>
      <c r="OC362" s="1319"/>
      <c r="OD362" s="1319"/>
      <c r="OE362" s="1319"/>
      <c r="OF362" s="1319"/>
      <c r="OG362" s="1319"/>
      <c r="OH362" s="1319"/>
      <c r="OI362" s="1319"/>
      <c r="OJ362" s="1319"/>
      <c r="OK362" s="1319"/>
      <c r="OL362" s="1319"/>
      <c r="OM362" s="1319"/>
      <c r="ON362" s="1319"/>
      <c r="OO362" s="1319"/>
      <c r="OP362" s="1319"/>
      <c r="OQ362" s="1319"/>
      <c r="OR362" s="1319"/>
      <c r="OS362" s="1319"/>
      <c r="OT362" s="1319"/>
      <c r="OU362" s="1319"/>
      <c r="OV362" s="1319"/>
      <c r="OW362" s="1319"/>
      <c r="OX362" s="1319"/>
      <c r="OY362" s="1319"/>
      <c r="OZ362" s="1319"/>
      <c r="PA362" s="1319"/>
      <c r="PB362" s="1319"/>
      <c r="PC362" s="1319"/>
      <c r="PD362" s="1319"/>
      <c r="PE362" s="1319"/>
      <c r="PF362" s="1319"/>
      <c r="PG362" s="1319"/>
      <c r="PH362" s="1319"/>
      <c r="PI362" s="1319" t="s">
        <v>1572</v>
      </c>
      <c r="PJ362" s="1319"/>
      <c r="PK362" s="1319"/>
      <c r="PL362" s="1319"/>
      <c r="PM362" s="1319"/>
      <c r="PN362" s="1319"/>
      <c r="PO362" s="1319"/>
      <c r="PP362" s="1319"/>
      <c r="PQ362" s="1319"/>
      <c r="PR362" s="1319"/>
      <c r="PS362" s="1319"/>
      <c r="PT362" s="1319"/>
      <c r="PU362" s="1319"/>
      <c r="PV362" s="1319"/>
      <c r="PW362" s="1319"/>
      <c r="PX362" s="1319"/>
      <c r="PY362" s="1319"/>
      <c r="PZ362" s="1319"/>
      <c r="QA362" s="1319"/>
      <c r="QB362" s="1319"/>
      <c r="QC362" s="1319"/>
      <c r="QD362" s="1319"/>
      <c r="QE362" s="1319"/>
      <c r="QF362" s="1319"/>
      <c r="QG362" s="1319"/>
      <c r="QH362" s="1319"/>
      <c r="QI362" s="1319"/>
      <c r="QJ362" s="1319"/>
      <c r="QK362" s="1319"/>
      <c r="QL362" s="1319"/>
      <c r="QM362" s="1319"/>
      <c r="QN362" s="1319"/>
      <c r="QO362" s="1319"/>
      <c r="QP362" s="1319"/>
      <c r="QQ362" s="1319"/>
      <c r="QR362" s="1319"/>
      <c r="QS362" s="1319"/>
      <c r="QT362" s="1319"/>
      <c r="QU362" s="1319"/>
      <c r="QV362" s="1319"/>
      <c r="QW362" s="1319"/>
      <c r="QX362" s="1319"/>
      <c r="QY362" s="1319"/>
      <c r="QZ362" s="1319"/>
      <c r="RA362" s="1319"/>
      <c r="RB362" s="1319"/>
      <c r="RC362" s="1319"/>
      <c r="RD362" s="1319"/>
      <c r="RE362" s="1319"/>
      <c r="RF362" s="1319"/>
      <c r="RG362" s="1319"/>
      <c r="RH362" s="1319"/>
      <c r="RI362" s="1319"/>
      <c r="RJ362" s="1319"/>
      <c r="RK362" s="1319"/>
      <c r="RL362" s="1319"/>
      <c r="RM362" s="1319"/>
      <c r="RN362" s="1319"/>
      <c r="RO362" s="1319"/>
      <c r="RP362" s="1319"/>
      <c r="RQ362" s="1319"/>
      <c r="RR362" s="1319"/>
      <c r="RS362" s="1319"/>
      <c r="RT362" s="1319"/>
      <c r="RU362" s="1319"/>
      <c r="RV362" s="1319"/>
      <c r="RW362" s="1319"/>
      <c r="RX362" s="1319"/>
      <c r="RY362" s="1319"/>
      <c r="RZ362" s="1319"/>
      <c r="SA362" s="1319"/>
      <c r="SB362" s="1319"/>
      <c r="SC362" s="1319"/>
      <c r="SD362" s="1319"/>
      <c r="SE362" s="1319"/>
      <c r="SF362" s="1319"/>
      <c r="SG362" s="1319"/>
      <c r="SH362" s="1319"/>
      <c r="SI362" s="1319"/>
      <c r="SJ362" s="1319"/>
      <c r="SK362" s="1319"/>
      <c r="SL362" s="1319"/>
      <c r="SM362" s="1319"/>
      <c r="SN362" s="1319"/>
      <c r="SO362" s="1319"/>
      <c r="SP362" s="1319"/>
      <c r="SQ362" s="1319"/>
      <c r="SR362" s="1319"/>
      <c r="SS362" s="1319"/>
      <c r="ST362" s="1319"/>
      <c r="SU362" s="1319"/>
      <c r="SV362" s="1319"/>
      <c r="SW362" s="1319"/>
      <c r="SX362" s="1319"/>
      <c r="SY362" s="1319"/>
      <c r="SZ362" s="1319"/>
      <c r="TA362" s="1319"/>
      <c r="TB362" s="1319"/>
      <c r="TC362" s="1319"/>
      <c r="TD362" s="1319"/>
      <c r="TE362" s="1319"/>
      <c r="TF362" s="1319"/>
      <c r="TG362" s="1319"/>
      <c r="TH362" s="1319"/>
      <c r="TI362" s="1319"/>
      <c r="TJ362" s="1319"/>
      <c r="TK362" s="1319"/>
      <c r="TL362" s="1319"/>
      <c r="TM362" s="1319"/>
      <c r="TN362" s="1319"/>
      <c r="TO362" s="1319"/>
      <c r="TP362" s="1319"/>
      <c r="TQ362" s="1319"/>
      <c r="TR362" s="1319"/>
      <c r="TS362" s="1319"/>
      <c r="TT362" s="1319"/>
      <c r="TU362" s="1319"/>
      <c r="TV362" s="1319"/>
      <c r="TW362" s="1319"/>
      <c r="TX362" s="1319"/>
      <c r="TY362" s="1319"/>
      <c r="TZ362" s="1319"/>
      <c r="UA362" s="1319"/>
      <c r="UB362" s="1319"/>
      <c r="UC362" s="1319"/>
      <c r="UD362" s="1319"/>
      <c r="UE362" s="1319"/>
      <c r="UF362" s="1319"/>
      <c r="UG362" s="1319"/>
      <c r="UH362" s="1319"/>
      <c r="UI362" s="1319"/>
      <c r="UJ362" s="1319"/>
      <c r="UK362" s="1319"/>
      <c r="UL362" s="1319"/>
      <c r="UM362" s="1319"/>
      <c r="UN362" s="1319"/>
      <c r="UO362" s="1319"/>
      <c r="UP362" s="1319"/>
      <c r="UQ362" s="1319"/>
      <c r="UR362" s="1319"/>
      <c r="US362" s="1319"/>
      <c r="UT362" s="1319"/>
      <c r="UU362" s="1319"/>
      <c r="UV362" s="1319"/>
      <c r="UW362" s="1319"/>
      <c r="UX362" s="1319"/>
      <c r="UY362" s="1319"/>
      <c r="UZ362" s="1319"/>
      <c r="VA362" s="1319"/>
      <c r="VB362" s="1319"/>
      <c r="VC362" s="1319"/>
      <c r="VD362" s="1319"/>
      <c r="VE362" s="1319"/>
      <c r="VF362" s="1319"/>
      <c r="VG362" s="1319"/>
      <c r="VH362" s="1319"/>
      <c r="VI362" s="1319"/>
      <c r="VJ362" s="1319"/>
      <c r="VK362" s="1319"/>
      <c r="VL362" s="1319"/>
      <c r="VM362" s="1319"/>
      <c r="VN362" s="1319"/>
      <c r="VO362" s="1319"/>
      <c r="VP362" s="1319"/>
      <c r="VQ362" s="1319"/>
      <c r="VR362" s="1319"/>
      <c r="VS362" s="1319"/>
      <c r="VT362" s="1319"/>
      <c r="VU362" s="1319"/>
      <c r="VV362" s="1319"/>
      <c r="VW362" s="1319"/>
      <c r="VX362" s="1319"/>
      <c r="VY362" s="1319"/>
      <c r="VZ362" s="1319"/>
      <c r="WA362" s="1319"/>
      <c r="WB362" s="1319" t="s">
        <v>1573</v>
      </c>
      <c r="WC362" s="1319"/>
      <c r="WD362" s="1319"/>
      <c r="WE362" s="1319"/>
      <c r="WF362" s="1319"/>
      <c r="WG362" s="1319"/>
      <c r="WH362" s="1319"/>
      <c r="WI362" s="1319"/>
      <c r="WJ362" s="1319"/>
      <c r="WK362" s="1319"/>
      <c r="WL362" s="1319"/>
      <c r="WM362" s="1319"/>
      <c r="WN362" s="1319"/>
      <c r="WO362" s="1319"/>
      <c r="WP362" s="1319"/>
      <c r="WQ362" s="1319"/>
      <c r="WR362" s="1319"/>
      <c r="WS362" s="1319"/>
      <c r="WT362" s="1319"/>
      <c r="WU362" s="1319"/>
      <c r="WV362" s="1319"/>
      <c r="WW362" s="1319"/>
      <c r="WX362" s="1319"/>
      <c r="WY362" s="1319"/>
      <c r="WZ362" s="1319"/>
      <c r="XA362" s="1319"/>
      <c r="XB362" s="1319"/>
      <c r="XC362" s="1319"/>
      <c r="XD362" s="1319"/>
      <c r="XE362" s="1319"/>
      <c r="XF362" s="1319"/>
      <c r="XG362" s="1319"/>
      <c r="XH362" s="1319"/>
      <c r="XI362" s="1319"/>
      <c r="XJ362" s="1319"/>
      <c r="XK362" s="1319"/>
      <c r="XL362" s="1319"/>
      <c r="XM362" s="1319"/>
      <c r="XN362" s="1319"/>
      <c r="XO362" s="1319"/>
      <c r="XP362" s="1319"/>
      <c r="XQ362" s="1319"/>
      <c r="XR362" s="1319"/>
      <c r="XS362" s="1319"/>
      <c r="XT362" s="1319"/>
      <c r="XU362" s="1319"/>
      <c r="XV362" s="1319"/>
      <c r="XW362" s="1319"/>
      <c r="XX362" s="1319"/>
      <c r="XY362" s="1319"/>
      <c r="XZ362" s="1319"/>
      <c r="YA362" s="1319"/>
      <c r="YB362" s="1319"/>
      <c r="YC362" s="1319"/>
      <c r="YD362" s="1319"/>
      <c r="YE362" s="1319"/>
      <c r="YF362" s="1319"/>
      <c r="YG362" s="1319"/>
      <c r="YH362" s="1319"/>
      <c r="YI362" s="1319"/>
      <c r="YJ362" s="1319"/>
      <c r="YK362" s="1319"/>
      <c r="YL362" s="1319"/>
      <c r="YM362" s="1319"/>
      <c r="YN362" s="1319"/>
      <c r="YO362" s="1319"/>
      <c r="YP362" s="1319"/>
      <c r="YQ362" s="1319"/>
      <c r="YR362" s="1319"/>
      <c r="YS362" s="1319"/>
      <c r="YT362" s="1319"/>
      <c r="YU362" s="1319"/>
      <c r="YV362" s="1319"/>
      <c r="YW362" s="1319"/>
      <c r="YX362" s="1319"/>
      <c r="YY362" s="1319"/>
      <c r="YZ362" s="1319"/>
      <c r="ZA362" s="1319"/>
      <c r="ZB362" s="1319"/>
      <c r="ZC362" s="1319"/>
      <c r="ZD362" s="1319"/>
      <c r="ZE362" s="1319"/>
      <c r="ZF362" s="1319"/>
      <c r="ZG362" s="1319"/>
      <c r="ZH362" s="1319"/>
      <c r="ZI362" s="1319"/>
      <c r="ZJ362" s="1319"/>
      <c r="ZK362" s="1319"/>
      <c r="ZL362" s="1319"/>
      <c r="ZM362" s="1319"/>
      <c r="ZN362" s="1319"/>
      <c r="ZO362" s="1319"/>
      <c r="ZP362" s="1319"/>
      <c r="ZQ362" s="1319"/>
      <c r="ZR362" s="1319"/>
      <c r="ZS362" s="1319"/>
      <c r="ZT362" s="1319"/>
      <c r="ZU362" s="1319"/>
      <c r="ZV362" s="1319"/>
      <c r="ZW362" s="1319"/>
      <c r="ZX362" s="1319"/>
      <c r="ZY362" s="1319"/>
      <c r="ZZ362" s="1319"/>
      <c r="AAA362" s="1319"/>
      <c r="AAB362" s="1319"/>
      <c r="AAC362" s="1319"/>
      <c r="AAD362" s="1319"/>
      <c r="AAE362" s="1319"/>
      <c r="AAF362" s="1319"/>
      <c r="AAG362" s="1319"/>
      <c r="AAH362" s="1319"/>
      <c r="AAI362" s="1319"/>
      <c r="AAJ362" s="1319"/>
      <c r="AAK362" s="1319"/>
      <c r="AAL362" s="1319"/>
      <c r="AAM362" s="1319"/>
      <c r="AAN362" s="1319"/>
      <c r="AAO362" s="1319"/>
      <c r="AAP362" s="1319"/>
      <c r="AAQ362" s="1319"/>
      <c r="AAR362" s="1319"/>
      <c r="AAS362" s="1319"/>
      <c r="AAT362" s="1319"/>
      <c r="AAU362" s="1319"/>
      <c r="AAV362" s="1319"/>
      <c r="AAW362" s="1319"/>
      <c r="AAX362" s="1319"/>
      <c r="AAY362" s="1319"/>
      <c r="AAZ362" s="1319"/>
      <c r="ABA362" s="1319"/>
      <c r="ABB362" s="1319"/>
      <c r="ABC362" s="1319"/>
      <c r="ABD362" s="1319"/>
      <c r="ABE362" s="1319"/>
      <c r="ABF362" s="1319"/>
      <c r="ABG362" s="1319"/>
      <c r="ABH362" s="1319"/>
      <c r="ABI362" s="1319"/>
      <c r="ABJ362" s="1319"/>
      <c r="ABK362" s="1319"/>
      <c r="ABL362" s="1319"/>
      <c r="ABM362" s="1319"/>
      <c r="ABN362" s="1319"/>
      <c r="ABO362" s="1319"/>
      <c r="ABP362" s="1319"/>
      <c r="ABQ362" s="1319"/>
      <c r="ABR362" s="1319"/>
      <c r="ABS362" s="1319"/>
      <c r="ABT362" s="1319"/>
      <c r="ABU362" s="1319"/>
      <c r="ABV362" s="1319"/>
      <c r="ABW362" s="1319"/>
      <c r="ABX362" s="1319"/>
      <c r="ABY362" s="1319"/>
      <c r="ABZ362" s="1319"/>
      <c r="ACA362" s="1319"/>
      <c r="ACB362" s="1319"/>
      <c r="ACC362" s="1319"/>
    </row>
    <row r="363" spans="1:757" ht="14.3">
      <c r="A363" s="1319" t="s">
        <v>1105</v>
      </c>
      <c r="B363" s="1319" t="s">
        <v>1106</v>
      </c>
      <c r="C363" s="1319" t="s">
        <v>1107</v>
      </c>
      <c r="D363" s="1319" t="s">
        <v>1055</v>
      </c>
      <c r="E363" s="1319"/>
      <c r="F363" s="1319"/>
      <c r="G363" s="1319"/>
      <c r="H363" s="1319"/>
      <c r="I363" s="1319"/>
      <c r="J363" s="1319"/>
      <c r="K363" s="1319"/>
      <c r="L363" s="1319"/>
      <c r="M363" s="1319"/>
      <c r="N363" s="1319"/>
      <c r="O363" s="1319"/>
      <c r="P363" s="1319"/>
      <c r="Q363" s="1319"/>
      <c r="R363" s="1319"/>
      <c r="S363" s="1319"/>
      <c r="T363" s="1319"/>
      <c r="U363" s="1319"/>
      <c r="V363" s="1319" t="s">
        <v>1063</v>
      </c>
      <c r="W363" s="1319"/>
      <c r="X363" s="1319"/>
      <c r="Y363" s="1319"/>
      <c r="Z363" s="1319"/>
      <c r="AA363" s="1319"/>
      <c r="AB363" s="1319"/>
      <c r="AC363" s="1319"/>
      <c r="AD363" s="1319" t="s">
        <v>1040</v>
      </c>
      <c r="AE363" s="1319"/>
      <c r="AF363" s="1319"/>
      <c r="AG363" s="1319"/>
      <c r="AH363" s="1319"/>
      <c r="AI363" s="1319"/>
      <c r="AJ363" s="1319"/>
      <c r="AK363" s="1319"/>
      <c r="AL363" s="1319"/>
      <c r="AM363" s="1319"/>
      <c r="AN363" s="1319"/>
      <c r="AO363" s="1319"/>
      <c r="AP363" s="1319" t="s">
        <v>1002</v>
      </c>
      <c r="AQ363" s="1319"/>
      <c r="AR363" s="1319"/>
      <c r="AS363" s="1319"/>
      <c r="AT363" s="1319"/>
      <c r="AU363" s="1319"/>
      <c r="AV363" s="1319"/>
      <c r="AW363" s="1319"/>
      <c r="AX363" s="1319"/>
      <c r="AY363" s="1319"/>
      <c r="AZ363" s="1319"/>
      <c r="BA363" s="1319"/>
      <c r="BB363" s="1319"/>
      <c r="BC363" s="1319"/>
      <c r="BD363" s="1319"/>
      <c r="BE363" s="1319"/>
      <c r="BF363" s="1319"/>
      <c r="BG363" s="1319"/>
      <c r="BH363" s="1319"/>
      <c r="BI363" s="1319"/>
      <c r="BJ363" s="1319"/>
      <c r="BK363" s="1319"/>
      <c r="BL363" s="1319"/>
      <c r="BM363" s="1319"/>
      <c r="BN363" s="1319"/>
      <c r="BO363" s="1319" t="s">
        <v>1074</v>
      </c>
      <c r="BP363" s="1319"/>
      <c r="BQ363" s="1319"/>
      <c r="BR363" s="1319"/>
      <c r="BS363" s="1319"/>
      <c r="BT363" s="1319"/>
      <c r="BU363" s="1319"/>
      <c r="BV363" s="1319"/>
      <c r="BW363" s="1319" t="s">
        <v>1108</v>
      </c>
      <c r="BX363" s="1319" t="s">
        <v>1089</v>
      </c>
      <c r="BY363" s="1319"/>
      <c r="BZ363" s="1319"/>
      <c r="CA363" s="1319"/>
      <c r="CB363" s="1319"/>
      <c r="CC363" s="1319"/>
      <c r="CD363" s="1319"/>
      <c r="CE363" s="1319"/>
      <c r="CF363" s="1319"/>
      <c r="CG363" s="1319"/>
      <c r="CH363" s="1319"/>
      <c r="CI363" s="1319"/>
      <c r="CJ363" s="1319"/>
      <c r="CK363" s="1319"/>
      <c r="CL363" s="1319"/>
      <c r="CM363" s="1319" t="s">
        <v>1109</v>
      </c>
      <c r="CN363" s="1319" t="s">
        <v>898</v>
      </c>
      <c r="CO363" s="1319"/>
      <c r="CP363" s="1319"/>
      <c r="CQ363" s="1319" t="s">
        <v>1110</v>
      </c>
      <c r="CR363" s="1319"/>
      <c r="CS363" s="1319" t="s">
        <v>1111</v>
      </c>
      <c r="CT363" s="1319" t="s">
        <v>1107</v>
      </c>
      <c r="CU363" s="1319" t="s">
        <v>898</v>
      </c>
      <c r="CV363" s="1319"/>
      <c r="CW363" s="1319"/>
      <c r="CX363" s="1319"/>
      <c r="CY363" s="1319"/>
      <c r="CZ363" s="1319" t="s">
        <v>1112</v>
      </c>
      <c r="DA363" s="1319"/>
      <c r="DB363" s="1319"/>
      <c r="DC363" s="1319"/>
      <c r="DD363" s="1319"/>
      <c r="DE363" s="1319"/>
      <c r="DF363" s="1319"/>
      <c r="DG363" s="1319"/>
      <c r="DH363" s="1319"/>
      <c r="DI363" s="1319"/>
      <c r="DJ363" s="1319"/>
      <c r="DK363" s="1319"/>
      <c r="DL363" s="1319" t="s">
        <v>1108</v>
      </c>
      <c r="DM363" s="1319" t="s">
        <v>1089</v>
      </c>
      <c r="DN363" s="1319"/>
      <c r="DO363" s="1319"/>
      <c r="DP363" s="1319"/>
      <c r="DQ363" s="1319"/>
      <c r="DR363" s="1319"/>
      <c r="DS363" s="1319"/>
      <c r="DT363" s="1319"/>
      <c r="DU363" s="1319"/>
      <c r="DV363" s="1319"/>
      <c r="DW363" s="1319"/>
      <c r="DX363" s="1319"/>
      <c r="DY363" s="1319"/>
      <c r="DZ363" s="1319"/>
      <c r="EA363" s="1319"/>
      <c r="EB363" s="1319"/>
      <c r="EC363" s="1319"/>
      <c r="ED363" s="1319"/>
      <c r="EE363" s="1319"/>
      <c r="EF363" s="1319"/>
      <c r="EG363" s="1319"/>
      <c r="EH363" s="1319"/>
      <c r="EI363" s="1319"/>
      <c r="EJ363" s="1319"/>
      <c r="EK363" s="1319"/>
      <c r="EL363" s="1319"/>
      <c r="EM363" s="1319"/>
      <c r="EN363" s="1319"/>
      <c r="EO363" s="1319"/>
      <c r="EP363" s="1319"/>
      <c r="EQ363" s="1319"/>
      <c r="ER363" s="1319"/>
      <c r="ES363" s="1319"/>
      <c r="ET363" s="1319"/>
      <c r="EU363" s="1319"/>
      <c r="EV363" s="1319"/>
      <c r="EW363" s="1319"/>
      <c r="EX363" s="1319"/>
      <c r="EY363" s="1319"/>
      <c r="EZ363" s="1319"/>
      <c r="FA363" s="1319"/>
      <c r="FB363" s="1319"/>
      <c r="FC363" s="1319"/>
      <c r="FD363" s="1319"/>
      <c r="FE363" s="1319"/>
      <c r="FF363" s="1319"/>
      <c r="FG363" s="1319"/>
      <c r="FH363" s="1319"/>
      <c r="FI363" s="1319"/>
      <c r="FJ363" s="1319"/>
      <c r="FK363" s="1319"/>
      <c r="FL363" s="1319" t="s">
        <v>1109</v>
      </c>
      <c r="FM363" s="1319" t="s">
        <v>990</v>
      </c>
      <c r="FN363" s="1319"/>
      <c r="FO363" s="1319"/>
      <c r="FP363" s="1319"/>
      <c r="FQ363" s="1319"/>
      <c r="FR363" s="1319"/>
      <c r="FS363" s="1319" t="s">
        <v>997</v>
      </c>
      <c r="FT363" s="1319"/>
      <c r="FU363" s="1319"/>
      <c r="FV363" s="1319"/>
      <c r="FW363" s="1319" t="s">
        <v>1002</v>
      </c>
      <c r="FX363" s="1319"/>
      <c r="FY363" s="1319"/>
      <c r="FZ363" s="1319"/>
      <c r="GA363" s="1319"/>
      <c r="GB363" s="1319"/>
      <c r="GC363" s="1319"/>
      <c r="GD363" s="1319"/>
      <c r="GE363" s="1319"/>
      <c r="GF363" s="1319"/>
      <c r="GG363" s="1319"/>
      <c r="GH363" s="1319"/>
      <c r="GI363" s="1319"/>
      <c r="GJ363" s="1319"/>
      <c r="GK363" s="1319"/>
      <c r="GL363" s="1319"/>
      <c r="GM363" s="1319"/>
      <c r="GN363" s="1319"/>
      <c r="GO363" s="1319"/>
      <c r="GP363" s="1319"/>
      <c r="GQ363" s="1319"/>
      <c r="GR363" s="1319"/>
      <c r="GS363" s="1319"/>
      <c r="GT363" s="1319"/>
      <c r="GU363" s="1319"/>
      <c r="GV363" s="1319"/>
      <c r="GW363" s="1319"/>
      <c r="GX363" s="1319"/>
      <c r="GY363" s="1319"/>
      <c r="GZ363" s="1319"/>
      <c r="HA363" s="1319"/>
      <c r="HB363" s="1319"/>
      <c r="HC363" s="1319"/>
      <c r="HD363" s="1319"/>
      <c r="HE363" s="1319"/>
      <c r="HF363" s="1319"/>
      <c r="HG363" s="1319"/>
      <c r="HH363" s="1319"/>
      <c r="HI363" s="1319"/>
      <c r="HJ363" s="1319"/>
      <c r="HK363" s="1319"/>
      <c r="HL363" s="1319"/>
      <c r="HM363" s="1319" t="s">
        <v>1028</v>
      </c>
      <c r="HN363" s="1319"/>
      <c r="HO363" s="1319"/>
      <c r="HP363" s="1319"/>
      <c r="HQ363" s="1319"/>
      <c r="HR363" s="1319"/>
      <c r="HS363" s="1319"/>
      <c r="HT363" s="1319"/>
      <c r="HU363" s="1319"/>
      <c r="HV363" s="1319"/>
      <c r="HW363" s="1319"/>
      <c r="HX363" s="1319"/>
      <c r="HY363" s="1319"/>
      <c r="HZ363" s="1319"/>
      <c r="IA363" s="1319"/>
      <c r="IB363" s="1319"/>
      <c r="IC363" s="1319"/>
      <c r="ID363" s="1319"/>
      <c r="IE363" s="1319" t="s">
        <v>1030</v>
      </c>
      <c r="IF363" s="1319"/>
      <c r="IG363" s="1319"/>
      <c r="IH363" s="1319"/>
      <c r="II363" s="1319"/>
      <c r="IJ363" s="1319"/>
      <c r="IK363" s="1319"/>
      <c r="IL363" s="1319"/>
      <c r="IM363" s="1319"/>
      <c r="IN363" s="1319" t="s">
        <v>1040</v>
      </c>
      <c r="IO363" s="1319"/>
      <c r="IP363" s="1319"/>
      <c r="IQ363" s="1319"/>
      <c r="IR363" s="1319"/>
      <c r="IS363" s="1319"/>
      <c r="IT363" s="1319"/>
      <c r="IU363" s="1319"/>
      <c r="IV363" s="1319"/>
      <c r="IW363" s="1319"/>
      <c r="IX363" s="1319"/>
      <c r="IY363" s="1319"/>
      <c r="IZ363" s="1319" t="s">
        <v>1043</v>
      </c>
      <c r="JA363" s="1319"/>
      <c r="JB363" s="1319"/>
      <c r="JC363" s="1319"/>
      <c r="JD363" s="1319"/>
      <c r="JE363" s="1319"/>
      <c r="JF363" s="1319"/>
      <c r="JG363" s="1319"/>
      <c r="JH363" s="1319"/>
      <c r="JI363" s="1319" t="s">
        <v>956</v>
      </c>
      <c r="JJ363" s="1319"/>
      <c r="JK363" s="1319"/>
      <c r="JL363" s="1319"/>
      <c r="JM363" s="1319" t="s">
        <v>1113</v>
      </c>
      <c r="JN363" s="1319" t="s">
        <v>1114</v>
      </c>
      <c r="JO363" s="1319"/>
      <c r="JP363" s="1319" t="s">
        <v>1110</v>
      </c>
      <c r="JQ363" s="1319"/>
      <c r="JR363" s="1319"/>
      <c r="JS363" s="1319"/>
      <c r="JT363" s="1319" t="s">
        <v>1115</v>
      </c>
      <c r="JU363" s="1319" t="s">
        <v>1107</v>
      </c>
      <c r="JV363" s="1319" t="s">
        <v>898</v>
      </c>
      <c r="JW363" s="1319"/>
      <c r="JX363" s="1319"/>
      <c r="JY363" s="1319"/>
      <c r="JZ363" s="1319" t="s">
        <v>1028</v>
      </c>
      <c r="KA363" s="1319"/>
      <c r="KB363" s="1319"/>
      <c r="KC363" s="1319"/>
      <c r="KD363" s="1319"/>
      <c r="KE363" s="1319"/>
      <c r="KF363" s="1319"/>
      <c r="KG363" s="1319"/>
      <c r="KH363" s="1319"/>
      <c r="KI363" s="1319"/>
      <c r="KJ363" s="1319"/>
      <c r="KK363" s="1319"/>
      <c r="KL363" s="1319"/>
      <c r="KM363" s="1319"/>
      <c r="KN363" s="1319"/>
      <c r="KO363" s="1319"/>
      <c r="KP363" s="1319"/>
      <c r="KQ363" s="1319"/>
      <c r="KR363" s="1319" t="s">
        <v>1030</v>
      </c>
      <c r="KS363" s="1319"/>
      <c r="KT363" s="1319"/>
      <c r="KU363" s="1319"/>
      <c r="KV363" s="1319"/>
      <c r="KW363" s="1319"/>
      <c r="KX363" s="1319"/>
      <c r="KY363" s="1319"/>
      <c r="KZ363" s="1319"/>
      <c r="LA363" s="1319" t="s">
        <v>1040</v>
      </c>
      <c r="LB363" s="1319"/>
      <c r="LC363" s="1319"/>
      <c r="LD363" s="1319"/>
      <c r="LE363" s="1319"/>
      <c r="LF363" s="1319"/>
      <c r="LG363" s="1319"/>
      <c r="LH363" s="1319"/>
      <c r="LI363" s="1319"/>
      <c r="LJ363" s="1319"/>
      <c r="LK363" s="1319"/>
      <c r="LL363" s="1319"/>
      <c r="LM363" s="1319" t="s">
        <v>1002</v>
      </c>
      <c r="LN363" s="1319"/>
      <c r="LO363" s="1319"/>
      <c r="LP363" s="1319"/>
      <c r="LQ363" s="1319"/>
      <c r="LR363" s="1319"/>
      <c r="LS363" s="1319"/>
      <c r="LT363" s="1319"/>
      <c r="LU363" s="1319"/>
      <c r="LV363" s="1319"/>
      <c r="LW363" s="1319"/>
      <c r="LX363" s="1319"/>
      <c r="LY363" s="1319"/>
      <c r="LZ363" s="1319"/>
      <c r="MA363" s="1319"/>
      <c r="MB363" s="1319"/>
      <c r="MC363" s="1319"/>
      <c r="MD363" s="1319"/>
      <c r="ME363" s="1319"/>
      <c r="MF363" s="1319"/>
      <c r="MG363" s="1319"/>
      <c r="MH363" s="1319"/>
      <c r="MI363" s="1319"/>
      <c r="MJ363" s="1319"/>
      <c r="MK363" s="1319"/>
      <c r="ML363" s="1319"/>
      <c r="MM363" s="1319"/>
      <c r="MN363" s="1319"/>
      <c r="MO363" s="1319"/>
      <c r="MP363" s="1319"/>
      <c r="MQ363" s="1319"/>
      <c r="MR363" s="1319"/>
      <c r="MS363" s="1319"/>
      <c r="MT363" s="1319"/>
      <c r="MU363" s="1319"/>
      <c r="MV363" s="1319"/>
      <c r="MW363" s="1319" t="s">
        <v>1108</v>
      </c>
      <c r="MX363" s="1319" t="s">
        <v>1089</v>
      </c>
      <c r="MY363" s="1319"/>
      <c r="MZ363" s="1319"/>
      <c r="NA363" s="1319"/>
      <c r="NB363" s="1319"/>
      <c r="NC363" s="1319"/>
      <c r="ND363" s="1319"/>
      <c r="NE363" s="1319"/>
      <c r="NF363" s="1319"/>
      <c r="NG363" s="1319"/>
      <c r="NH363" s="1319"/>
      <c r="NI363" s="1319"/>
      <c r="NJ363" s="1319"/>
      <c r="NK363" s="1319"/>
      <c r="NL363" s="1319"/>
      <c r="NM363" s="1319"/>
      <c r="NN363" s="1319"/>
      <c r="NO363" s="1319"/>
      <c r="NP363" s="1319"/>
      <c r="NQ363" s="1319"/>
      <c r="NR363" s="1319"/>
      <c r="NS363" s="1319"/>
      <c r="NT363" s="1319"/>
      <c r="NU363" s="1319"/>
      <c r="NV363" s="1319"/>
      <c r="NW363" s="1319"/>
      <c r="NX363" s="1319"/>
      <c r="NY363" s="1319"/>
      <c r="NZ363" s="1319"/>
      <c r="OA363" s="1319"/>
      <c r="OB363" s="1319"/>
      <c r="OC363" s="1319"/>
      <c r="OD363" s="1319"/>
      <c r="OE363" s="1319"/>
      <c r="OF363" s="1319"/>
      <c r="OG363" s="1319"/>
      <c r="OH363" s="1319"/>
      <c r="OI363" s="1319"/>
      <c r="OJ363" s="1319"/>
      <c r="OK363" s="1319"/>
      <c r="OL363" s="1319" t="s">
        <v>1109</v>
      </c>
      <c r="OM363" s="1319" t="s">
        <v>956</v>
      </c>
      <c r="ON363" s="1319"/>
      <c r="OO363" s="1319"/>
      <c r="OP363" s="1319"/>
      <c r="OQ363" s="1319" t="s">
        <v>1112</v>
      </c>
      <c r="OR363" s="1319"/>
      <c r="OS363" s="1319"/>
      <c r="OT363" s="1319"/>
      <c r="OU363" s="1319"/>
      <c r="OV363" s="1319"/>
      <c r="OW363" s="1319"/>
      <c r="OX363" s="1319"/>
      <c r="OY363" s="1319"/>
      <c r="OZ363" s="1319"/>
      <c r="PA363" s="1319" t="s">
        <v>1116</v>
      </c>
      <c r="PB363" s="1319"/>
      <c r="PC363" s="1319"/>
      <c r="PD363" s="1319"/>
      <c r="PE363" s="1319"/>
      <c r="PF363" s="1319"/>
      <c r="PG363" s="1319" t="s">
        <v>1110</v>
      </c>
      <c r="PH363" s="1319" t="s">
        <v>1111</v>
      </c>
      <c r="PI363" s="1319" t="s">
        <v>1107</v>
      </c>
      <c r="PJ363" s="1319" t="s">
        <v>898</v>
      </c>
      <c r="PK363" s="1319"/>
      <c r="PL363" s="1319"/>
      <c r="PM363" s="1319"/>
      <c r="PN363" s="1319"/>
      <c r="PO363" s="1319"/>
      <c r="PP363" s="1319"/>
      <c r="PQ363" s="1319"/>
      <c r="PR363" s="1319"/>
      <c r="PS363" s="1319"/>
      <c r="PT363" s="1319" t="s">
        <v>1117</v>
      </c>
      <c r="PU363" s="1319"/>
      <c r="PV363" s="1319"/>
      <c r="PW363" s="1319"/>
      <c r="PX363" s="1319"/>
      <c r="PY363" s="1319"/>
      <c r="PZ363" s="1319" t="s">
        <v>1118</v>
      </c>
      <c r="QA363" s="1319"/>
      <c r="QB363" s="1319"/>
      <c r="QC363" s="1319"/>
      <c r="QD363" s="1319"/>
      <c r="QE363" s="1319"/>
      <c r="QF363" s="1319"/>
      <c r="QG363" s="1319"/>
      <c r="QH363" s="1319"/>
      <c r="QI363" s="1319"/>
      <c r="QJ363" s="1319"/>
      <c r="QK363" s="1319" t="s">
        <v>1119</v>
      </c>
      <c r="QL363" s="1319"/>
      <c r="QM363" s="1319"/>
      <c r="QN363" s="1319"/>
      <c r="QO363" s="1319"/>
      <c r="QP363" s="1319"/>
      <c r="QQ363" s="1319"/>
      <c r="QR363" s="1319"/>
      <c r="QS363" s="1319"/>
      <c r="QT363" s="1319"/>
      <c r="QU363" s="1319"/>
      <c r="QV363" s="1319"/>
      <c r="QW363" s="1319"/>
      <c r="QX363" s="1319" t="s">
        <v>1002</v>
      </c>
      <c r="QY363" s="1319"/>
      <c r="QZ363" s="1319"/>
      <c r="RA363" s="1319"/>
      <c r="RB363" s="1319"/>
      <c r="RC363" s="1319"/>
      <c r="RD363" s="1319"/>
      <c r="RE363" s="1319"/>
      <c r="RF363" s="1319"/>
      <c r="RG363" s="1319"/>
      <c r="RH363" s="1319"/>
      <c r="RI363" s="1319"/>
      <c r="RJ363" s="1319"/>
      <c r="RK363" s="1319"/>
      <c r="RL363" s="1319" t="s">
        <v>1108</v>
      </c>
      <c r="RM363" s="1319" t="s">
        <v>1089</v>
      </c>
      <c r="RN363" s="1319"/>
      <c r="RO363" s="1319"/>
      <c r="RP363" s="1319"/>
      <c r="RQ363" s="1319"/>
      <c r="RR363" s="1319"/>
      <c r="RS363" s="1319"/>
      <c r="RT363" s="1319"/>
      <c r="RU363" s="1319"/>
      <c r="RV363" s="1319"/>
      <c r="RW363" s="1319"/>
      <c r="RX363" s="1319"/>
      <c r="RY363" s="1319"/>
      <c r="RZ363" s="1319"/>
      <c r="SA363" s="1319"/>
      <c r="SB363" s="1319"/>
      <c r="SC363" s="1319"/>
      <c r="SD363" s="1319"/>
      <c r="SE363" s="1319"/>
      <c r="SF363" s="1319"/>
      <c r="SG363" s="1319"/>
      <c r="SH363" s="1319"/>
      <c r="SI363" s="1319"/>
      <c r="SJ363" s="1319"/>
      <c r="SK363" s="1319"/>
      <c r="SL363" s="1319"/>
      <c r="SM363" s="1319"/>
      <c r="SN363" s="1319"/>
      <c r="SO363" s="1319"/>
      <c r="SP363" s="1319"/>
      <c r="SQ363" s="1319"/>
      <c r="SR363" s="1319"/>
      <c r="SS363" s="1319"/>
      <c r="ST363" s="1319"/>
      <c r="SU363" s="1319"/>
      <c r="SV363" s="1319"/>
      <c r="SW363" s="1319"/>
      <c r="SX363" s="1319"/>
      <c r="SY363" s="1319"/>
      <c r="SZ363" s="1319"/>
      <c r="TA363" s="1319"/>
      <c r="TB363" s="1319"/>
      <c r="TC363" s="1319"/>
      <c r="TD363" s="1319"/>
      <c r="TE363" s="1319"/>
      <c r="TF363" s="1319"/>
      <c r="TG363" s="1319"/>
      <c r="TH363" s="1319"/>
      <c r="TI363" s="1319"/>
      <c r="TJ363" s="1319"/>
      <c r="TK363" s="1319"/>
      <c r="TL363" s="1319"/>
      <c r="TM363" s="1319"/>
      <c r="TN363" s="1319"/>
      <c r="TO363" s="1319"/>
      <c r="TP363" s="1319" t="s">
        <v>1109</v>
      </c>
      <c r="TQ363" s="1319" t="s">
        <v>956</v>
      </c>
      <c r="TR363" s="1319"/>
      <c r="TS363" s="1319"/>
      <c r="TT363" s="1319"/>
      <c r="TU363" s="1319"/>
      <c r="TV363" s="1319"/>
      <c r="TW363" s="1319"/>
      <c r="TX363" s="1319"/>
      <c r="TY363" s="1319"/>
      <c r="TZ363" s="1319"/>
      <c r="UA363" s="1319"/>
      <c r="UB363" s="1319"/>
      <c r="UC363" s="1319"/>
      <c r="UD363" s="1319"/>
      <c r="UE363" s="1319"/>
      <c r="UF363" s="1319" t="s">
        <v>1120</v>
      </c>
      <c r="UG363" s="1319"/>
      <c r="UH363" s="1319"/>
      <c r="UI363" s="1319"/>
      <c r="UJ363" s="1319"/>
      <c r="UK363" s="1319" t="s">
        <v>1121</v>
      </c>
      <c r="UL363" s="1319"/>
      <c r="UM363" s="1319"/>
      <c r="UN363" s="1319"/>
      <c r="UO363" s="1319" t="s">
        <v>174</v>
      </c>
      <c r="UP363" s="1319"/>
      <c r="UQ363" s="1319"/>
      <c r="UR363" s="1319"/>
      <c r="US363" s="1319"/>
      <c r="UT363" s="1319"/>
      <c r="UU363" s="1319"/>
      <c r="UV363" s="1319"/>
      <c r="UW363" s="1319"/>
      <c r="UX363" s="1319"/>
      <c r="UY363" s="1319"/>
      <c r="UZ363" s="1319"/>
      <c r="VA363" s="1319"/>
      <c r="VB363" s="1319"/>
      <c r="VC363" s="1319"/>
      <c r="VD363" s="1319"/>
      <c r="VE363" s="1319"/>
      <c r="VF363" s="1319"/>
      <c r="VG363" s="1319"/>
      <c r="VH363" s="1319"/>
      <c r="VI363" s="1319" t="s">
        <v>467</v>
      </c>
      <c r="VJ363" s="1319"/>
      <c r="VK363" s="1319"/>
      <c r="VL363" s="1319"/>
      <c r="VM363" s="1319"/>
      <c r="VN363" s="1319"/>
      <c r="VO363" s="1319"/>
      <c r="VP363" s="1319"/>
      <c r="VQ363" s="1319" t="s">
        <v>1122</v>
      </c>
      <c r="VR363" s="1319"/>
      <c r="VS363" s="1319"/>
      <c r="VT363" s="1319"/>
      <c r="VU363" s="1319"/>
      <c r="VV363" s="1319" t="s">
        <v>1110</v>
      </c>
      <c r="VW363" s="1319"/>
      <c r="VX363" s="1319"/>
      <c r="VY363" s="1319"/>
      <c r="VZ363" s="1319"/>
      <c r="WA363" s="1319" t="s">
        <v>1111</v>
      </c>
      <c r="WB363" s="1319" t="s">
        <v>1107</v>
      </c>
      <c r="WC363" s="1319" t="s">
        <v>898</v>
      </c>
      <c r="WD363" s="1319"/>
      <c r="WE363" s="1319"/>
      <c r="WF363" s="1319"/>
      <c r="WG363" s="1319"/>
      <c r="WH363" s="1319"/>
      <c r="WI363" s="1319"/>
      <c r="WJ363" s="1319" t="s">
        <v>1122</v>
      </c>
      <c r="WK363" s="1319"/>
      <c r="WL363" s="1319"/>
      <c r="WM363" s="1319"/>
      <c r="WN363" s="1319"/>
      <c r="WO363" s="1319"/>
      <c r="WP363" s="1319"/>
      <c r="WQ363" s="1319"/>
      <c r="WR363" s="1319"/>
      <c r="WS363" s="1319"/>
      <c r="WT363" s="1319"/>
      <c r="WU363" s="1319"/>
      <c r="WV363" s="1319"/>
      <c r="WW363" s="1319"/>
      <c r="WX363" s="1319"/>
      <c r="WY363" s="1319"/>
      <c r="WZ363" s="1319"/>
      <c r="XA363" s="1319"/>
      <c r="XB363" s="1319"/>
      <c r="XC363" s="1319"/>
      <c r="XD363" s="1319"/>
      <c r="XE363" s="1319"/>
      <c r="XF363" s="1319" t="s">
        <v>1123</v>
      </c>
      <c r="XG363" s="1319"/>
      <c r="XH363" s="1319"/>
      <c r="XI363" s="1319" t="s">
        <v>1124</v>
      </c>
      <c r="XJ363" s="1319"/>
      <c r="XK363" s="1319" t="s">
        <v>1002</v>
      </c>
      <c r="XL363" s="1319"/>
      <c r="XM363" s="1319"/>
      <c r="XN363" s="1319"/>
      <c r="XO363" s="1319"/>
      <c r="XP363" s="1319"/>
      <c r="XQ363" s="1319"/>
      <c r="XR363" s="1319"/>
      <c r="XS363" s="1319"/>
      <c r="XT363" s="1319"/>
      <c r="XU363" s="1319"/>
      <c r="XV363" s="1319"/>
      <c r="XW363" s="1319"/>
      <c r="XX363" s="1319"/>
      <c r="XY363" s="1319"/>
      <c r="XZ363" s="1319"/>
      <c r="YA363" s="1319"/>
      <c r="YB363" s="1319"/>
      <c r="YC363" s="1319"/>
      <c r="YD363" s="1319"/>
      <c r="YE363" s="1319"/>
      <c r="YF363" s="1319"/>
      <c r="YG363" s="1319"/>
      <c r="YH363" s="1319"/>
      <c r="YI363" s="1319"/>
      <c r="YJ363" s="1319"/>
      <c r="YK363" s="1319"/>
      <c r="YL363" s="1319"/>
      <c r="YM363" s="1319"/>
      <c r="YN363" s="1319"/>
      <c r="YO363" s="1319"/>
      <c r="YP363" s="1319"/>
      <c r="YQ363" s="1319"/>
      <c r="YR363" s="1319"/>
      <c r="YS363" s="1319"/>
      <c r="YT363" s="1319"/>
      <c r="YU363" s="1319"/>
      <c r="YV363" s="1319"/>
      <c r="YW363" s="1319"/>
      <c r="YX363" s="1319" t="s">
        <v>1108</v>
      </c>
      <c r="YY363" s="1319" t="s">
        <v>1089</v>
      </c>
      <c r="YZ363" s="1319"/>
      <c r="ZA363" s="1319"/>
      <c r="ZB363" s="1319"/>
      <c r="ZC363" s="1319"/>
      <c r="ZD363" s="1319"/>
      <c r="ZE363" s="1319"/>
      <c r="ZF363" s="1319"/>
      <c r="ZG363" s="1319"/>
      <c r="ZH363" s="1319"/>
      <c r="ZI363" s="1319"/>
      <c r="ZJ363" s="1319"/>
      <c r="ZK363" s="1319"/>
      <c r="ZL363" s="1319"/>
      <c r="ZM363" s="1319"/>
      <c r="ZN363" s="1319"/>
      <c r="ZO363" s="1319"/>
      <c r="ZP363" s="1319"/>
      <c r="ZQ363" s="1319"/>
      <c r="ZR363" s="1319"/>
      <c r="ZS363" s="1319"/>
      <c r="ZT363" s="1319"/>
      <c r="ZU363" s="1319"/>
      <c r="ZV363" s="1319"/>
      <c r="ZW363" s="1319"/>
      <c r="ZX363" s="1319"/>
      <c r="ZY363" s="1319"/>
      <c r="ZZ363" s="1319"/>
      <c r="AAA363" s="1319"/>
      <c r="AAB363" s="1319"/>
      <c r="AAC363" s="1319"/>
      <c r="AAD363" s="1319"/>
      <c r="AAE363" s="1319"/>
      <c r="AAF363" s="1319"/>
      <c r="AAG363" s="1319"/>
      <c r="AAH363" s="1319"/>
      <c r="AAI363" s="1319"/>
      <c r="AAJ363" s="1319"/>
      <c r="AAK363" s="1319"/>
      <c r="AAL363" s="1319"/>
      <c r="AAM363" s="1319" t="s">
        <v>1109</v>
      </c>
      <c r="AAN363" s="1319" t="s">
        <v>956</v>
      </c>
      <c r="AAO363" s="1319"/>
      <c r="AAP363" s="1319"/>
      <c r="AAQ363" s="1319"/>
      <c r="AAR363" s="1319" t="s">
        <v>1043</v>
      </c>
      <c r="AAS363" s="1319"/>
      <c r="AAT363" s="1319"/>
      <c r="AAU363" s="1319"/>
      <c r="AAV363" s="1319"/>
      <c r="AAW363" s="1319"/>
      <c r="AAX363" s="1319"/>
      <c r="AAY363" s="1319"/>
      <c r="AAZ363" s="1319"/>
      <c r="ABA363" s="1319"/>
      <c r="ABB363" s="1319" t="s">
        <v>1030</v>
      </c>
      <c r="ABC363" s="1319"/>
      <c r="ABD363" s="1319"/>
      <c r="ABE363" s="1319"/>
      <c r="ABF363" s="1319"/>
      <c r="ABG363" s="1319"/>
      <c r="ABH363" s="1319"/>
      <c r="ABI363" s="1319"/>
      <c r="ABJ363" s="1319"/>
      <c r="ABK363" s="1319" t="s">
        <v>1125</v>
      </c>
      <c r="ABL363" s="1319"/>
      <c r="ABM363" s="1319"/>
      <c r="ABN363" s="1319"/>
      <c r="ABO363" s="1319"/>
      <c r="ABP363" s="1319"/>
      <c r="ABQ363" s="1319"/>
      <c r="ABR363" s="1319"/>
      <c r="ABS363" s="1319"/>
      <c r="ABT363" s="1319"/>
      <c r="ABU363" s="1319"/>
      <c r="ABV363" s="1319"/>
      <c r="ABW363" s="1319"/>
      <c r="ABX363" s="1319" t="s">
        <v>1110</v>
      </c>
      <c r="ABY363" s="1319"/>
      <c r="ABZ363" s="1319"/>
      <c r="ACA363" s="1319"/>
      <c r="ACB363" s="1319"/>
      <c r="ACC363" s="1319" t="s">
        <v>1115</v>
      </c>
    </row>
    <row r="364" spans="1:757" ht="14.3">
      <c r="A364" s="1319" t="s">
        <v>1105</v>
      </c>
      <c r="B364" s="1319" t="s">
        <v>1106</v>
      </c>
      <c r="C364" s="1319" t="s">
        <v>1107</v>
      </c>
      <c r="D364" s="1319" t="s">
        <v>1126</v>
      </c>
      <c r="E364" s="1319" t="s">
        <v>1127</v>
      </c>
      <c r="F364" s="1319" t="s">
        <v>659</v>
      </c>
      <c r="G364" s="1319" t="s">
        <v>1128</v>
      </c>
      <c r="H364" s="1319" t="s">
        <v>1129</v>
      </c>
      <c r="I364" s="1319" t="s">
        <v>1130</v>
      </c>
      <c r="J364" s="1319" t="s">
        <v>1131</v>
      </c>
      <c r="K364" s="1319" t="s">
        <v>1132</v>
      </c>
      <c r="L364" s="1319" t="s">
        <v>1133</v>
      </c>
      <c r="M364" s="1319" t="s">
        <v>1134</v>
      </c>
      <c r="N364" s="1319" t="s">
        <v>1135</v>
      </c>
      <c r="O364" s="1319" t="s">
        <v>1136</v>
      </c>
      <c r="P364" s="1319" t="s">
        <v>1137</v>
      </c>
      <c r="Q364" s="1319" t="s">
        <v>1138</v>
      </c>
      <c r="R364" s="1319" t="s">
        <v>1139</v>
      </c>
      <c r="S364" s="1319" t="s">
        <v>121</v>
      </c>
      <c r="T364" s="1319" t="s">
        <v>1140</v>
      </c>
      <c r="U364" s="1319" t="s">
        <v>1141</v>
      </c>
      <c r="V364" s="1319" t="s">
        <v>659</v>
      </c>
      <c r="W364" s="1319" t="s">
        <v>1142</v>
      </c>
      <c r="X364" s="1319" t="s">
        <v>1143</v>
      </c>
      <c r="Y364" s="1319" t="s">
        <v>1144</v>
      </c>
      <c r="Z364" s="1319" t="s">
        <v>1145</v>
      </c>
      <c r="AA364" s="1319" t="s">
        <v>1146</v>
      </c>
      <c r="AB364" s="1319" t="s">
        <v>1147</v>
      </c>
      <c r="AC364" s="1319" t="s">
        <v>1148</v>
      </c>
      <c r="AD364" s="1319" t="s">
        <v>1142</v>
      </c>
      <c r="AE364" s="1319" t="s">
        <v>180</v>
      </c>
      <c r="AF364" s="1319" t="s">
        <v>1149</v>
      </c>
      <c r="AG364" s="1319" t="s">
        <v>1139</v>
      </c>
      <c r="AH364" s="1319" t="s">
        <v>121</v>
      </c>
      <c r="AI364" s="1319" t="s">
        <v>1150</v>
      </c>
      <c r="AJ364" s="1319" t="s">
        <v>1130</v>
      </c>
      <c r="AK364" s="1319" t="s">
        <v>1131</v>
      </c>
      <c r="AL364" s="1319" t="s">
        <v>1132</v>
      </c>
      <c r="AM364" s="1319" t="s">
        <v>1133</v>
      </c>
      <c r="AN364" s="1319" t="s">
        <v>1151</v>
      </c>
      <c r="AO364" s="1319" t="s">
        <v>1148</v>
      </c>
      <c r="AP364" s="1319" t="s">
        <v>1152</v>
      </c>
      <c r="AQ364" s="1319" t="s">
        <v>1153</v>
      </c>
      <c r="AR364" s="1319" t="s">
        <v>659</v>
      </c>
      <c r="AS364" s="1319" t="s">
        <v>1154</v>
      </c>
      <c r="AT364" s="1319" t="s">
        <v>1155</v>
      </c>
      <c r="AU364" s="1319" t="s">
        <v>1156</v>
      </c>
      <c r="AV364" s="1319" t="s">
        <v>1157</v>
      </c>
      <c r="AW364" s="1319" t="s">
        <v>1158</v>
      </c>
      <c r="AX364" s="1319" t="s">
        <v>1159</v>
      </c>
      <c r="AY364" s="1319" t="s">
        <v>1160</v>
      </c>
      <c r="AZ364" s="1319" t="s">
        <v>657</v>
      </c>
      <c r="BA364" s="1319" t="s">
        <v>1161</v>
      </c>
      <c r="BB364" s="1319" t="s">
        <v>664</v>
      </c>
      <c r="BC364" s="1319" t="s">
        <v>1162</v>
      </c>
      <c r="BD364" s="1319" t="s">
        <v>667</v>
      </c>
      <c r="BE364" s="1319" t="s">
        <v>1163</v>
      </c>
      <c r="BF364" s="1319" t="s">
        <v>1164</v>
      </c>
      <c r="BG364" s="1319" t="s">
        <v>1165</v>
      </c>
      <c r="BH364" s="1319" t="s">
        <v>1166</v>
      </c>
      <c r="BI364" s="1319" t="s">
        <v>1167</v>
      </c>
      <c r="BJ364" s="1319" t="s">
        <v>1478</v>
      </c>
      <c r="BK364" s="1319" t="s">
        <v>1168</v>
      </c>
      <c r="BL364" s="1319" t="s">
        <v>107</v>
      </c>
      <c r="BM364" s="1319" t="s">
        <v>1170</v>
      </c>
      <c r="BN364" s="1319" t="s">
        <v>1171</v>
      </c>
      <c r="BO364" s="1319" t="s">
        <v>180</v>
      </c>
      <c r="BP364" s="1319" t="s">
        <v>1172</v>
      </c>
      <c r="BQ364" s="1319" t="s">
        <v>1173</v>
      </c>
      <c r="BR364" s="1319" t="s">
        <v>1174</v>
      </c>
      <c r="BS364" s="1319" t="s">
        <v>1175</v>
      </c>
      <c r="BT364" s="1319" t="s">
        <v>131</v>
      </c>
      <c r="BU364" s="1319" t="s">
        <v>134</v>
      </c>
      <c r="BV364" s="1319" t="s">
        <v>137</v>
      </c>
      <c r="BW364" s="1319"/>
      <c r="BX364" s="1319" t="s">
        <v>1178</v>
      </c>
      <c r="BY364" s="1319" t="s">
        <v>1179</v>
      </c>
      <c r="BZ364" s="1319" t="s">
        <v>1180</v>
      </c>
      <c r="CA364" s="1319" t="s">
        <v>1181</v>
      </c>
      <c r="CB364" s="1319" t="s">
        <v>1182</v>
      </c>
      <c r="CC364" s="1319" t="s">
        <v>1075</v>
      </c>
      <c r="CD364" s="1319" t="s">
        <v>1183</v>
      </c>
      <c r="CE364" s="1319" t="s">
        <v>1184</v>
      </c>
      <c r="CF364" s="1319" t="s">
        <v>1185</v>
      </c>
      <c r="CG364" s="1319" t="s">
        <v>1186</v>
      </c>
      <c r="CH364" s="1319" t="s">
        <v>1187</v>
      </c>
      <c r="CI364" s="1319" t="s">
        <v>1188</v>
      </c>
      <c r="CJ364" s="1319" t="s">
        <v>1189</v>
      </c>
      <c r="CK364" s="1319" t="s">
        <v>1190</v>
      </c>
      <c r="CL364" s="1319" t="s">
        <v>1191</v>
      </c>
      <c r="CM364" s="1319"/>
      <c r="CN364" s="1319" t="s">
        <v>1192</v>
      </c>
      <c r="CO364" s="1319" t="s">
        <v>1193</v>
      </c>
      <c r="CP364" s="1319" t="s">
        <v>1194</v>
      </c>
      <c r="CQ364" s="1319" t="s">
        <v>1110</v>
      </c>
      <c r="CR364" s="1319" t="s">
        <v>1195</v>
      </c>
      <c r="CS364" s="1319" t="s">
        <v>1111</v>
      </c>
      <c r="CT364" s="1319" t="s">
        <v>1107</v>
      </c>
      <c r="CU364" s="1319" t="s">
        <v>1196</v>
      </c>
      <c r="CV364" s="1319" t="s">
        <v>1197</v>
      </c>
      <c r="CW364" s="1319" t="s">
        <v>1198</v>
      </c>
      <c r="CX364" s="1319" t="s">
        <v>1199</v>
      </c>
      <c r="CY364" s="1319" t="s">
        <v>1192</v>
      </c>
      <c r="CZ364" s="1319" t="s">
        <v>1200</v>
      </c>
      <c r="DA364" s="1319" t="s">
        <v>1201</v>
      </c>
      <c r="DB364" s="1319" t="s">
        <v>1202</v>
      </c>
      <c r="DC364" s="1319" t="s">
        <v>1203</v>
      </c>
      <c r="DD364" s="1319" t="s">
        <v>1204</v>
      </c>
      <c r="DE364" s="1319" t="s">
        <v>1205</v>
      </c>
      <c r="DF364" s="1319" t="s">
        <v>1206</v>
      </c>
      <c r="DG364" s="1319" t="s">
        <v>1207</v>
      </c>
      <c r="DH364" s="1319" t="s">
        <v>1208</v>
      </c>
      <c r="DI364" s="1319" t="s">
        <v>1209</v>
      </c>
      <c r="DJ364" s="1319" t="s">
        <v>1210</v>
      </c>
      <c r="DK364" s="1319" t="s">
        <v>1211</v>
      </c>
      <c r="DL364" s="1319"/>
      <c r="DM364" s="1319" t="s">
        <v>1178</v>
      </c>
      <c r="DN364" s="1319" t="s">
        <v>1179</v>
      </c>
      <c r="DO364" s="1319" t="s">
        <v>1180</v>
      </c>
      <c r="DP364" s="1319" t="s">
        <v>1181</v>
      </c>
      <c r="DQ364" s="1319" t="s">
        <v>1212</v>
      </c>
      <c r="DR364" s="1319" t="s">
        <v>1213</v>
      </c>
      <c r="DS364" s="1319" t="s">
        <v>1182</v>
      </c>
      <c r="DT364" s="1319" t="s">
        <v>1075</v>
      </c>
      <c r="DU364" s="1319" t="s">
        <v>1183</v>
      </c>
      <c r="DV364" s="1319" t="s">
        <v>1184</v>
      </c>
      <c r="DW364" s="1319" t="s">
        <v>1185</v>
      </c>
      <c r="DX364" s="1319" t="s">
        <v>1214</v>
      </c>
      <c r="DY364" s="1319" t="s">
        <v>1186</v>
      </c>
      <c r="DZ364" s="1319" t="s">
        <v>1187</v>
      </c>
      <c r="EA364" s="1319" t="s">
        <v>1188</v>
      </c>
      <c r="EB364" s="1319" t="s">
        <v>1215</v>
      </c>
      <c r="EC364" s="1319" t="s">
        <v>1216</v>
      </c>
      <c r="ED364" s="1319" t="s">
        <v>1217</v>
      </c>
      <c r="EE364" s="1319" t="s">
        <v>1189</v>
      </c>
      <c r="EF364" s="1319" t="s">
        <v>1190</v>
      </c>
      <c r="EG364" s="1319" t="s">
        <v>1191</v>
      </c>
      <c r="EH364" s="1319" t="s">
        <v>1218</v>
      </c>
      <c r="EI364" s="1319" t="s">
        <v>1219</v>
      </c>
      <c r="EJ364" s="1319" t="s">
        <v>1220</v>
      </c>
      <c r="EK364" s="1319" t="s">
        <v>1221</v>
      </c>
      <c r="EL364" s="1319" t="s">
        <v>1222</v>
      </c>
      <c r="EM364" s="1319" t="s">
        <v>1223</v>
      </c>
      <c r="EN364" s="1319" t="s">
        <v>1224</v>
      </c>
      <c r="EO364" s="1319" t="s">
        <v>1225</v>
      </c>
      <c r="EP364" s="1319" t="s">
        <v>1226</v>
      </c>
      <c r="EQ364" s="1319" t="s">
        <v>1227</v>
      </c>
      <c r="ER364" s="1319" t="s">
        <v>1228</v>
      </c>
      <c r="ES364" s="1319" t="s">
        <v>1229</v>
      </c>
      <c r="ET364" s="1319" t="s">
        <v>1230</v>
      </c>
      <c r="EU364" s="1319" t="s">
        <v>1231</v>
      </c>
      <c r="EV364" s="1319" t="s">
        <v>1232</v>
      </c>
      <c r="EW364" s="1319" t="s">
        <v>1233</v>
      </c>
      <c r="EX364" s="1319" t="s">
        <v>1234</v>
      </c>
      <c r="EY364" s="1319" t="s">
        <v>474</v>
      </c>
      <c r="EZ364" s="1319" t="s">
        <v>1235</v>
      </c>
      <c r="FA364" s="1319" t="s">
        <v>1236</v>
      </c>
      <c r="FB364" s="1319" t="s">
        <v>1237</v>
      </c>
      <c r="FC364" s="1319" t="s">
        <v>1238</v>
      </c>
      <c r="FD364" s="1319" t="s">
        <v>1239</v>
      </c>
      <c r="FE364" s="1319" t="s">
        <v>1240</v>
      </c>
      <c r="FF364" s="1319" t="s">
        <v>1241</v>
      </c>
      <c r="FG364" s="1319" t="s">
        <v>1242</v>
      </c>
      <c r="FH364" s="1319" t="s">
        <v>1243</v>
      </c>
      <c r="FI364" s="1319" t="s">
        <v>1244</v>
      </c>
      <c r="FJ364" s="1319" t="s">
        <v>1245</v>
      </c>
      <c r="FK364" s="1319" t="s">
        <v>1246</v>
      </c>
      <c r="FL364" s="1319"/>
      <c r="FM364" s="1319" t="s">
        <v>1247</v>
      </c>
      <c r="FN364" s="1319" t="s">
        <v>1248</v>
      </c>
      <c r="FO364" s="1319" t="s">
        <v>1249</v>
      </c>
      <c r="FP364" s="1319" t="s">
        <v>1250</v>
      </c>
      <c r="FQ364" s="1319" t="s">
        <v>1251</v>
      </c>
      <c r="FR364" s="1319" t="s">
        <v>1252</v>
      </c>
      <c r="FS364" s="1319" t="s">
        <v>1253</v>
      </c>
      <c r="FT364" s="1319" t="s">
        <v>1254</v>
      </c>
      <c r="FU364" s="1319" t="s">
        <v>1255</v>
      </c>
      <c r="FV364" s="1319" t="s">
        <v>1256</v>
      </c>
      <c r="FW364" s="1319" t="s">
        <v>1152</v>
      </c>
      <c r="FX364" s="1319" t="s">
        <v>1153</v>
      </c>
      <c r="FY364" s="1319" t="s">
        <v>1257</v>
      </c>
      <c r="FZ364" s="1319" t="s">
        <v>1258</v>
      </c>
      <c r="GA364" s="1319" t="s">
        <v>1259</v>
      </c>
      <c r="GB364" s="1319" t="s">
        <v>1260</v>
      </c>
      <c r="GC364" s="1319" t="s">
        <v>1261</v>
      </c>
      <c r="GD364" s="1319" t="s">
        <v>1154</v>
      </c>
      <c r="GE364" s="1319" t="s">
        <v>1155</v>
      </c>
      <c r="GF364" s="1319" t="s">
        <v>1156</v>
      </c>
      <c r="GG364" s="1319" t="s">
        <v>659</v>
      </c>
      <c r="GH364" s="1319" t="s">
        <v>1157</v>
      </c>
      <c r="GI364" s="1319" t="s">
        <v>1158</v>
      </c>
      <c r="GJ364" s="1319" t="s">
        <v>1159</v>
      </c>
      <c r="GK364" s="1319" t="s">
        <v>1161</v>
      </c>
      <c r="GL364" s="1319" t="s">
        <v>664</v>
      </c>
      <c r="GM364" s="1319" t="s">
        <v>1162</v>
      </c>
      <c r="GN364" s="1319" t="s">
        <v>667</v>
      </c>
      <c r="GO364" s="1319" t="s">
        <v>1263</v>
      </c>
      <c r="GP364" s="1319" t="s">
        <v>1264</v>
      </c>
      <c r="GQ364" s="1319" t="s">
        <v>1265</v>
      </c>
      <c r="GR364" s="1319" t="s">
        <v>1266</v>
      </c>
      <c r="GS364" s="1319" t="s">
        <v>1267</v>
      </c>
      <c r="GT364" s="1319" t="s">
        <v>1268</v>
      </c>
      <c r="GU364" s="1319" t="s">
        <v>1269</v>
      </c>
      <c r="GV364" s="1319" t="s">
        <v>1270</v>
      </c>
      <c r="GW364" s="1319" t="s">
        <v>657</v>
      </c>
      <c r="GX364" s="1319" t="s">
        <v>1163</v>
      </c>
      <c r="GY364" s="1319" t="s">
        <v>1271</v>
      </c>
      <c r="GZ364" s="1319" t="s">
        <v>1168</v>
      </c>
      <c r="HA364" s="1319" t="s">
        <v>1272</v>
      </c>
      <c r="HB364" s="1319" t="s">
        <v>1170</v>
      </c>
      <c r="HC364" s="1319" t="s">
        <v>1274</v>
      </c>
      <c r="HD364" s="1319" t="s">
        <v>1276</v>
      </c>
      <c r="HE364" s="1319" t="s">
        <v>1277</v>
      </c>
      <c r="HF364" s="1319" t="s">
        <v>1166</v>
      </c>
      <c r="HG364" s="1319" t="s">
        <v>107</v>
      </c>
      <c r="HH364" s="1319" t="s">
        <v>1273</v>
      </c>
      <c r="HI364" s="1319" t="s">
        <v>1171</v>
      </c>
      <c r="HJ364" s="1319" t="s">
        <v>1275</v>
      </c>
      <c r="HK364" s="1319" t="s">
        <v>1278</v>
      </c>
      <c r="HL364" s="1319" t="s">
        <v>1167</v>
      </c>
      <c r="HM364" s="1319" t="s">
        <v>1126</v>
      </c>
      <c r="HN364" s="1319" t="s">
        <v>1141</v>
      </c>
      <c r="HO364" s="1319" t="s">
        <v>659</v>
      </c>
      <c r="HP364" s="1319" t="s">
        <v>1128</v>
      </c>
      <c r="HQ364" s="1319" t="s">
        <v>1279</v>
      </c>
      <c r="HR364" s="1319" t="s">
        <v>1129</v>
      </c>
      <c r="HS364" s="1319" t="s">
        <v>1130</v>
      </c>
      <c r="HT364" s="1319" t="s">
        <v>1131</v>
      </c>
      <c r="HU364" s="1319" t="s">
        <v>1132</v>
      </c>
      <c r="HV364" s="1319" t="s">
        <v>1133</v>
      </c>
      <c r="HW364" s="1319" t="s">
        <v>1134</v>
      </c>
      <c r="HX364" s="1319" t="s">
        <v>1135</v>
      </c>
      <c r="HY364" s="1319" t="s">
        <v>1136</v>
      </c>
      <c r="HZ364" s="1319" t="s">
        <v>1137</v>
      </c>
      <c r="IA364" s="1319" t="s">
        <v>1138</v>
      </c>
      <c r="IB364" s="1319" t="s">
        <v>1139</v>
      </c>
      <c r="IC364" s="1319" t="s">
        <v>121</v>
      </c>
      <c r="ID364" s="1319" t="s">
        <v>1140</v>
      </c>
      <c r="IE364" s="1319" t="s">
        <v>659</v>
      </c>
      <c r="IF364" s="1319" t="s">
        <v>1142</v>
      </c>
      <c r="IG364" s="1319" t="s">
        <v>1143</v>
      </c>
      <c r="IH364" s="1319" t="s">
        <v>1144</v>
      </c>
      <c r="II364" s="1319" t="s">
        <v>1145</v>
      </c>
      <c r="IJ364" s="1319" t="s">
        <v>1146</v>
      </c>
      <c r="IK364" s="1319" t="s">
        <v>1147</v>
      </c>
      <c r="IL364" s="1319" t="s">
        <v>1148</v>
      </c>
      <c r="IM364" s="1319" t="s">
        <v>1574</v>
      </c>
      <c r="IN364" s="1319" t="s">
        <v>1142</v>
      </c>
      <c r="IO364" s="1319" t="s">
        <v>180</v>
      </c>
      <c r="IP364" s="1319" t="s">
        <v>1149</v>
      </c>
      <c r="IQ364" s="1319" t="s">
        <v>1139</v>
      </c>
      <c r="IR364" s="1319" t="s">
        <v>121</v>
      </c>
      <c r="IS364" s="1319" t="s">
        <v>1150</v>
      </c>
      <c r="IT364" s="1319" t="s">
        <v>1130</v>
      </c>
      <c r="IU364" s="1319" t="s">
        <v>1131</v>
      </c>
      <c r="IV364" s="1319" t="s">
        <v>1132</v>
      </c>
      <c r="IW364" s="1319" t="s">
        <v>1133</v>
      </c>
      <c r="IX364" s="1319" t="s">
        <v>1151</v>
      </c>
      <c r="IY364" s="1319" t="s">
        <v>1148</v>
      </c>
      <c r="IZ364" s="1319" t="s">
        <v>180</v>
      </c>
      <c r="JA364" s="1319" t="s">
        <v>1172</v>
      </c>
      <c r="JB364" s="1319" t="s">
        <v>1173</v>
      </c>
      <c r="JC364" s="1319" t="s">
        <v>1280</v>
      </c>
      <c r="JD364" s="1319" t="s">
        <v>1281</v>
      </c>
      <c r="JE364" s="1319" t="s">
        <v>131</v>
      </c>
      <c r="JF364" s="1319" t="s">
        <v>134</v>
      </c>
      <c r="JG364" s="1319" t="s">
        <v>137</v>
      </c>
      <c r="JH364" s="1319" t="s">
        <v>1282</v>
      </c>
      <c r="JI364" s="1319" t="s">
        <v>1283</v>
      </c>
      <c r="JJ364" s="1319" t="s">
        <v>1284</v>
      </c>
      <c r="JK364" s="1319" t="s">
        <v>1285</v>
      </c>
      <c r="JL364" s="1319" t="s">
        <v>1189</v>
      </c>
      <c r="JM364" s="1319" t="s">
        <v>1286</v>
      </c>
      <c r="JN364" s="1319" t="s">
        <v>1287</v>
      </c>
      <c r="JO364" s="1319" t="s">
        <v>1288</v>
      </c>
      <c r="JP364" s="1319" t="s">
        <v>1110</v>
      </c>
      <c r="JQ364" s="1319" t="s">
        <v>1289</v>
      </c>
      <c r="JR364" s="1319" t="s">
        <v>1290</v>
      </c>
      <c r="JS364" s="1319" t="s">
        <v>1291</v>
      </c>
      <c r="JT364" s="1319" t="s">
        <v>1111</v>
      </c>
      <c r="JU364" s="1319" t="s">
        <v>1107</v>
      </c>
      <c r="JV364" s="1319" t="s">
        <v>1196</v>
      </c>
      <c r="JW364" s="1319" t="s">
        <v>1197</v>
      </c>
      <c r="JX364" s="1319" t="s">
        <v>1198</v>
      </c>
      <c r="JY364" s="1319" t="s">
        <v>1199</v>
      </c>
      <c r="JZ364" s="1319" t="s">
        <v>1126</v>
      </c>
      <c r="KA364" s="1319" t="s">
        <v>1141</v>
      </c>
      <c r="KB364" s="1319" t="s">
        <v>659</v>
      </c>
      <c r="KC364" s="1319" t="s">
        <v>1128</v>
      </c>
      <c r="KD364" s="1319" t="s">
        <v>1279</v>
      </c>
      <c r="KE364" s="1319" t="s">
        <v>1129</v>
      </c>
      <c r="KF364" s="1319" t="s">
        <v>1130</v>
      </c>
      <c r="KG364" s="1319" t="s">
        <v>1131</v>
      </c>
      <c r="KH364" s="1319" t="s">
        <v>1132</v>
      </c>
      <c r="KI364" s="1319" t="s">
        <v>1133</v>
      </c>
      <c r="KJ364" s="1319" t="s">
        <v>1134</v>
      </c>
      <c r="KK364" s="1319" t="s">
        <v>1135</v>
      </c>
      <c r="KL364" s="1319" t="s">
        <v>1136</v>
      </c>
      <c r="KM364" s="1319" t="s">
        <v>1137</v>
      </c>
      <c r="KN364" s="1319" t="s">
        <v>1138</v>
      </c>
      <c r="KO364" s="1319" t="s">
        <v>1139</v>
      </c>
      <c r="KP364" s="1319" t="s">
        <v>121</v>
      </c>
      <c r="KQ364" s="1319" t="s">
        <v>1140</v>
      </c>
      <c r="KR364" s="1319" t="s">
        <v>659</v>
      </c>
      <c r="KS364" s="1319" t="s">
        <v>1142</v>
      </c>
      <c r="KT364" s="1319" t="s">
        <v>1143</v>
      </c>
      <c r="KU364" s="1319" t="s">
        <v>1144</v>
      </c>
      <c r="KV364" s="1319" t="s">
        <v>1145</v>
      </c>
      <c r="KW364" s="1319" t="s">
        <v>1146</v>
      </c>
      <c r="KX364" s="1319" t="s">
        <v>1147</v>
      </c>
      <c r="KY364" s="1319" t="s">
        <v>1148</v>
      </c>
      <c r="KZ364" s="1319" t="s">
        <v>1574</v>
      </c>
      <c r="LA364" s="1319" t="s">
        <v>1142</v>
      </c>
      <c r="LB364" s="1319" t="s">
        <v>180</v>
      </c>
      <c r="LC364" s="1319" t="s">
        <v>1149</v>
      </c>
      <c r="LD364" s="1319" t="s">
        <v>1139</v>
      </c>
      <c r="LE364" s="1319" t="s">
        <v>121</v>
      </c>
      <c r="LF364" s="1319" t="s">
        <v>1150</v>
      </c>
      <c r="LG364" s="1319" t="s">
        <v>1130</v>
      </c>
      <c r="LH364" s="1319" t="s">
        <v>1131</v>
      </c>
      <c r="LI364" s="1319" t="s">
        <v>1132</v>
      </c>
      <c r="LJ364" s="1319" t="s">
        <v>1133</v>
      </c>
      <c r="LK364" s="1319" t="s">
        <v>1151</v>
      </c>
      <c r="LL364" s="1319" t="s">
        <v>1148</v>
      </c>
      <c r="LM364" s="1319" t="s">
        <v>1152</v>
      </c>
      <c r="LN364" s="1319" t="s">
        <v>1153</v>
      </c>
      <c r="LO364" s="1319" t="s">
        <v>1575</v>
      </c>
      <c r="LP364" s="1319" t="s">
        <v>1155</v>
      </c>
      <c r="LQ364" s="1319" t="s">
        <v>1156</v>
      </c>
      <c r="LR364" s="1319" t="s">
        <v>659</v>
      </c>
      <c r="LS364" s="1319" t="s">
        <v>1157</v>
      </c>
      <c r="LT364" s="1319" t="s">
        <v>1158</v>
      </c>
      <c r="LU364" s="1319" t="s">
        <v>1159</v>
      </c>
      <c r="LV364" s="1319" t="s">
        <v>1135</v>
      </c>
      <c r="LW364" s="1319" t="s">
        <v>1136</v>
      </c>
      <c r="LX364" s="1319" t="s">
        <v>1137</v>
      </c>
      <c r="LY364" s="1319" t="s">
        <v>1138</v>
      </c>
      <c r="LZ364" s="1319" t="s">
        <v>1263</v>
      </c>
      <c r="MA364" s="1319" t="s">
        <v>1264</v>
      </c>
      <c r="MB364" s="1319" t="s">
        <v>1265</v>
      </c>
      <c r="MC364" s="1319" t="s">
        <v>1266</v>
      </c>
      <c r="MD364" s="1319" t="s">
        <v>1278</v>
      </c>
      <c r="ME364" s="1319" t="s">
        <v>1267</v>
      </c>
      <c r="MF364" s="1319" t="s">
        <v>1268</v>
      </c>
      <c r="MG364" s="1319" t="s">
        <v>657</v>
      </c>
      <c r="MH364" s="1319" t="s">
        <v>939</v>
      </c>
      <c r="MI364" s="1319" t="s">
        <v>1257</v>
      </c>
      <c r="MJ364" s="1319" t="s">
        <v>1271</v>
      </c>
      <c r="MK364" s="1319" t="s">
        <v>1168</v>
      </c>
      <c r="ML364" s="1319" t="s">
        <v>1277</v>
      </c>
      <c r="MM364" s="1319" t="s">
        <v>1170</v>
      </c>
      <c r="MN364" s="1319" t="s">
        <v>1270</v>
      </c>
      <c r="MO364" s="1319" t="s">
        <v>1274</v>
      </c>
      <c r="MP364" s="1319" t="s">
        <v>1269</v>
      </c>
      <c r="MQ364" s="1319" t="s">
        <v>1272</v>
      </c>
      <c r="MR364" s="1319" t="s">
        <v>1273</v>
      </c>
      <c r="MS364" s="1319" t="s">
        <v>1171</v>
      </c>
      <c r="MT364" s="1319" t="s">
        <v>1275</v>
      </c>
      <c r="MU364" s="1319" t="s">
        <v>1167</v>
      </c>
      <c r="MV364" s="1319" t="s">
        <v>1276</v>
      </c>
      <c r="MW364" s="1319"/>
      <c r="MX364" s="1319" t="s">
        <v>1178</v>
      </c>
      <c r="MY364" s="1319" t="s">
        <v>1189</v>
      </c>
      <c r="MZ364" s="1319" t="s">
        <v>1182</v>
      </c>
      <c r="NA364" s="1319" t="s">
        <v>1239</v>
      </c>
      <c r="NB364" s="1319" t="s">
        <v>1075</v>
      </c>
      <c r="NC364" s="1319" t="s">
        <v>1240</v>
      </c>
      <c r="ND364" s="1319" t="s">
        <v>1183</v>
      </c>
      <c r="NE364" s="1319" t="s">
        <v>1241</v>
      </c>
      <c r="NF364" s="1319" t="s">
        <v>1185</v>
      </c>
      <c r="NG364" s="1319" t="s">
        <v>1243</v>
      </c>
      <c r="NH364" s="1319" t="s">
        <v>1214</v>
      </c>
      <c r="NI364" s="1319" t="s">
        <v>1292</v>
      </c>
      <c r="NJ364" s="1319" t="s">
        <v>1186</v>
      </c>
      <c r="NK364" s="1319" t="s">
        <v>1245</v>
      </c>
      <c r="NL364" s="1319" t="s">
        <v>1187</v>
      </c>
      <c r="NM364" s="1319" t="s">
        <v>1246</v>
      </c>
      <c r="NN364" s="1319" t="s">
        <v>1190</v>
      </c>
      <c r="NO364" s="1319" t="s">
        <v>1229</v>
      </c>
      <c r="NP364" s="1319" t="s">
        <v>1293</v>
      </c>
      <c r="NQ364" s="1319" t="s">
        <v>1180</v>
      </c>
      <c r="NR364" s="1319" t="s">
        <v>1188</v>
      </c>
      <c r="NS364" s="1319" t="s">
        <v>1294</v>
      </c>
      <c r="NT364" s="1319" t="s">
        <v>1191</v>
      </c>
      <c r="NU364" s="1319" t="s">
        <v>1225</v>
      </c>
      <c r="NV364" s="1319" t="s">
        <v>1218</v>
      </c>
      <c r="NW364" s="1319" t="s">
        <v>1219</v>
      </c>
      <c r="NX364" s="1319" t="s">
        <v>1220</v>
      </c>
      <c r="NY364" s="1319" t="s">
        <v>1221</v>
      </c>
      <c r="NZ364" s="1319" t="s">
        <v>1295</v>
      </c>
      <c r="OA364" s="1319" t="s">
        <v>1230</v>
      </c>
      <c r="OB364" s="1319" t="s">
        <v>1232</v>
      </c>
      <c r="OC364" s="1319" t="s">
        <v>1233</v>
      </c>
      <c r="OD364" s="1319" t="s">
        <v>1234</v>
      </c>
      <c r="OE364" s="1319" t="s">
        <v>474</v>
      </c>
      <c r="OF364" s="1319" t="s">
        <v>1236</v>
      </c>
      <c r="OG364" s="1319" t="s">
        <v>1237</v>
      </c>
      <c r="OH364" s="1319" t="s">
        <v>1238</v>
      </c>
      <c r="OI364" s="1319" t="s">
        <v>1235</v>
      </c>
      <c r="OJ364" s="1319" t="s">
        <v>1179</v>
      </c>
      <c r="OK364" s="1319" t="s">
        <v>1184</v>
      </c>
      <c r="OL364" s="1319"/>
      <c r="OM364" s="1319" t="s">
        <v>1283</v>
      </c>
      <c r="ON364" s="1319" t="s">
        <v>1284</v>
      </c>
      <c r="OO364" s="1319" t="s">
        <v>1285</v>
      </c>
      <c r="OP364" s="1319" t="s">
        <v>1296</v>
      </c>
      <c r="OQ364" s="1319" t="s">
        <v>1297</v>
      </c>
      <c r="OR364" s="1319" t="s">
        <v>1298</v>
      </c>
      <c r="OS364" s="1319" t="s">
        <v>1299</v>
      </c>
      <c r="OT364" s="1319" t="s">
        <v>1300</v>
      </c>
      <c r="OU364" s="1319" t="s">
        <v>1301</v>
      </c>
      <c r="OV364" s="1319" t="s">
        <v>1302</v>
      </c>
      <c r="OW364" s="1319" t="s">
        <v>1206</v>
      </c>
      <c r="OX364" s="1319" t="s">
        <v>1207</v>
      </c>
      <c r="OY364" s="1319" t="s">
        <v>1208</v>
      </c>
      <c r="OZ364" s="1319" t="s">
        <v>1303</v>
      </c>
      <c r="PA364" s="1319" t="s">
        <v>1247</v>
      </c>
      <c r="PB364" s="1319" t="s">
        <v>1248</v>
      </c>
      <c r="PC364" s="1319" t="s">
        <v>1249</v>
      </c>
      <c r="PD364" s="1319" t="s">
        <v>1250</v>
      </c>
      <c r="PE364" s="1319" t="s">
        <v>1251</v>
      </c>
      <c r="PF364" s="1319" t="s">
        <v>1252</v>
      </c>
      <c r="PG364" s="1319" t="s">
        <v>1110</v>
      </c>
      <c r="PH364" s="1319" t="s">
        <v>1115</v>
      </c>
      <c r="PI364" s="1319" t="s">
        <v>1107</v>
      </c>
      <c r="PJ364" s="1319" t="s">
        <v>1304</v>
      </c>
      <c r="PK364" s="1319" t="s">
        <v>1199</v>
      </c>
      <c r="PL364" s="1319" t="s">
        <v>1196</v>
      </c>
      <c r="PM364" s="1319" t="s">
        <v>1305</v>
      </c>
      <c r="PN364" s="1319" t="s">
        <v>1197</v>
      </c>
      <c r="PO364" s="1319" t="s">
        <v>1198</v>
      </c>
      <c r="PP364" s="1319" t="s">
        <v>1306</v>
      </c>
      <c r="PQ364" s="1319" t="s">
        <v>1576</v>
      </c>
      <c r="PR364" s="1319" t="s">
        <v>1308</v>
      </c>
      <c r="PS364" s="1319" t="s">
        <v>1309</v>
      </c>
      <c r="PT364" s="1319" t="s">
        <v>1310</v>
      </c>
      <c r="PU364" s="1319" t="s">
        <v>1311</v>
      </c>
      <c r="PV364" s="1319" t="s">
        <v>1312</v>
      </c>
      <c r="PW364" s="1319" t="s">
        <v>1313</v>
      </c>
      <c r="PX364" s="1319" t="s">
        <v>1314</v>
      </c>
      <c r="PY364" s="1319" t="s">
        <v>1315</v>
      </c>
      <c r="PZ364" s="1319" t="s">
        <v>1316</v>
      </c>
      <c r="QA364" s="1319" t="s">
        <v>1317</v>
      </c>
      <c r="QB364" s="1319" t="s">
        <v>1318</v>
      </c>
      <c r="QC364" s="1319" t="s">
        <v>1172</v>
      </c>
      <c r="QD364" s="1319" t="s">
        <v>1280</v>
      </c>
      <c r="QE364" s="1319" t="s">
        <v>1281</v>
      </c>
      <c r="QF364" s="1319" t="s">
        <v>131</v>
      </c>
      <c r="QG364" s="1319" t="s">
        <v>134</v>
      </c>
      <c r="QH364" s="1319" t="s">
        <v>137</v>
      </c>
      <c r="QI364" s="1319" t="s">
        <v>1319</v>
      </c>
      <c r="QJ364" s="1319" t="s">
        <v>1282</v>
      </c>
      <c r="QK364" s="1319" t="s">
        <v>1320</v>
      </c>
      <c r="QL364" s="1319" t="s">
        <v>1142</v>
      </c>
      <c r="QM364" s="1319" t="s">
        <v>180</v>
      </c>
      <c r="QN364" s="1319" t="s">
        <v>1149</v>
      </c>
      <c r="QO364" s="1319" t="s">
        <v>1139</v>
      </c>
      <c r="QP364" s="1319" t="s">
        <v>121</v>
      </c>
      <c r="QQ364" s="1319" t="s">
        <v>1129</v>
      </c>
      <c r="QR364" s="1319" t="s">
        <v>1130</v>
      </c>
      <c r="QS364" s="1319" t="s">
        <v>1131</v>
      </c>
      <c r="QT364" s="1319" t="s">
        <v>1132</v>
      </c>
      <c r="QU364" s="1319" t="s">
        <v>1133</v>
      </c>
      <c r="QV364" s="1319" t="s">
        <v>1151</v>
      </c>
      <c r="QW364" s="1319" t="s">
        <v>1148</v>
      </c>
      <c r="QX364" s="1319" t="s">
        <v>1152</v>
      </c>
      <c r="QY364" s="1319" t="s">
        <v>1153</v>
      </c>
      <c r="QZ364" s="1319" t="s">
        <v>1257</v>
      </c>
      <c r="RA364" s="1319" t="s">
        <v>657</v>
      </c>
      <c r="RB364" s="1319" t="s">
        <v>1163</v>
      </c>
      <c r="RC364" s="1319" t="s">
        <v>1154</v>
      </c>
      <c r="RD364" s="1319" t="s">
        <v>1155</v>
      </c>
      <c r="RE364" s="1319" t="s">
        <v>1156</v>
      </c>
      <c r="RF364" s="1319" t="s">
        <v>1168</v>
      </c>
      <c r="RG364" s="1319" t="s">
        <v>1321</v>
      </c>
      <c r="RH364" s="1319" t="s">
        <v>1261</v>
      </c>
      <c r="RI364" s="1319" t="s">
        <v>1274</v>
      </c>
      <c r="RJ364" s="1319" t="s">
        <v>1322</v>
      </c>
      <c r="RK364" s="1319" t="s">
        <v>1275</v>
      </c>
      <c r="RL364" s="1319"/>
      <c r="RM364" s="1319" t="s">
        <v>1178</v>
      </c>
      <c r="RN364" s="1319" t="s">
        <v>1323</v>
      </c>
      <c r="RO364" s="1319" t="s">
        <v>1324</v>
      </c>
      <c r="RP364" s="1319" t="s">
        <v>1325</v>
      </c>
      <c r="RQ364" s="1319" t="s">
        <v>1293</v>
      </c>
      <c r="RR364" s="1319" t="s">
        <v>1238</v>
      </c>
      <c r="RS364" s="1319" t="s">
        <v>1180</v>
      </c>
      <c r="RT364" s="1319" t="s">
        <v>1294</v>
      </c>
      <c r="RU364" s="1319" t="s">
        <v>1326</v>
      </c>
      <c r="RV364" s="1319" t="s">
        <v>1327</v>
      </c>
      <c r="RW364" s="1319" t="s">
        <v>1183</v>
      </c>
      <c r="RX364" s="1319" t="s">
        <v>1241</v>
      </c>
      <c r="RY364" s="1319" t="s">
        <v>1186</v>
      </c>
      <c r="RZ364" s="1319" t="s">
        <v>1245</v>
      </c>
      <c r="SA364" s="1319" t="s">
        <v>1328</v>
      </c>
      <c r="SB364" s="1319" t="s">
        <v>1229</v>
      </c>
      <c r="SC364" s="1319" t="s">
        <v>1190</v>
      </c>
      <c r="SD364" s="1319" t="s">
        <v>1214</v>
      </c>
      <c r="SE364" s="1319" t="s">
        <v>1329</v>
      </c>
      <c r="SF364" s="1319" t="s">
        <v>1330</v>
      </c>
      <c r="SG364" s="1319" t="s">
        <v>1331</v>
      </c>
      <c r="SH364" s="1319" t="s">
        <v>1333</v>
      </c>
      <c r="SI364" s="1319" t="s">
        <v>1332</v>
      </c>
      <c r="SJ364" s="1319" t="s">
        <v>1334</v>
      </c>
      <c r="SK364" s="1319" t="s">
        <v>1335</v>
      </c>
      <c r="SL364" s="1319" t="s">
        <v>1336</v>
      </c>
      <c r="SM364" s="1319" t="s">
        <v>1337</v>
      </c>
      <c r="SN364" s="1319" t="s">
        <v>1338</v>
      </c>
      <c r="SO364" s="1319" t="s">
        <v>1220</v>
      </c>
      <c r="SP364" s="1319" t="s">
        <v>1246</v>
      </c>
      <c r="SQ364" s="1319" t="s">
        <v>1240</v>
      </c>
      <c r="SR364" s="1319" t="s">
        <v>1237</v>
      </c>
      <c r="SS364" s="1319" t="s">
        <v>1339</v>
      </c>
      <c r="ST364" s="1319" t="s">
        <v>1340</v>
      </c>
      <c r="SU364" s="1319" t="s">
        <v>1341</v>
      </c>
      <c r="SV364" s="1319" t="s">
        <v>1342</v>
      </c>
      <c r="SW364" s="1319" t="s">
        <v>1343</v>
      </c>
      <c r="SX364" s="1319" t="s">
        <v>1243</v>
      </c>
      <c r="SY364" s="1319" t="s">
        <v>1292</v>
      </c>
      <c r="SZ364" s="1319" t="s">
        <v>1344</v>
      </c>
      <c r="TA364" s="1319" t="s">
        <v>1345</v>
      </c>
      <c r="TB364" s="1319" t="s">
        <v>1346</v>
      </c>
      <c r="TC364" s="1319" t="s">
        <v>1347</v>
      </c>
      <c r="TD364" s="1319" t="s">
        <v>1348</v>
      </c>
      <c r="TE364" s="1319" t="s">
        <v>1349</v>
      </c>
      <c r="TF364" s="1319" t="s">
        <v>1179</v>
      </c>
      <c r="TG364" s="1319" t="s">
        <v>1188</v>
      </c>
      <c r="TH364" s="1319" t="s">
        <v>1191</v>
      </c>
      <c r="TI364" s="1319" t="s">
        <v>1219</v>
      </c>
      <c r="TJ364" s="1319" t="s">
        <v>1218</v>
      </c>
      <c r="TK364" s="1319" t="s">
        <v>1350</v>
      </c>
      <c r="TL364" s="1319" t="s">
        <v>1295</v>
      </c>
      <c r="TM364" s="1319" t="s">
        <v>1187</v>
      </c>
      <c r="TN364" s="1319" t="s">
        <v>1075</v>
      </c>
      <c r="TO364" s="1319" t="s">
        <v>1184</v>
      </c>
      <c r="TP364" s="1319"/>
      <c r="TQ364" s="1319" t="s">
        <v>1351</v>
      </c>
      <c r="TR364" s="1319" t="s">
        <v>1352</v>
      </c>
      <c r="TS364" s="1319" t="s">
        <v>1353</v>
      </c>
      <c r="TT364" s="1319" t="s">
        <v>1328</v>
      </c>
      <c r="TU364" s="1319" t="s">
        <v>1354</v>
      </c>
      <c r="TV364" s="1319" t="s">
        <v>1355</v>
      </c>
      <c r="TW364" s="1319" t="s">
        <v>1356</v>
      </c>
      <c r="TX364" s="1319" t="s">
        <v>1357</v>
      </c>
      <c r="TY364" s="1319" t="s">
        <v>1358</v>
      </c>
      <c r="TZ364" s="1319" t="s">
        <v>1359</v>
      </c>
      <c r="UA364" s="1319" t="s">
        <v>1360</v>
      </c>
      <c r="UB364" s="1319" t="s">
        <v>1361</v>
      </c>
      <c r="UC364" s="1319" t="s">
        <v>1362</v>
      </c>
      <c r="UD364" s="1319" t="s">
        <v>1363</v>
      </c>
      <c r="UE364" s="1319" t="s">
        <v>1364</v>
      </c>
      <c r="UF364" s="1319" t="s">
        <v>1365</v>
      </c>
      <c r="UG364" s="1319" t="s">
        <v>1366</v>
      </c>
      <c r="UH364" s="1319" t="s">
        <v>1367</v>
      </c>
      <c r="UI364" s="1319" t="s">
        <v>1368</v>
      </c>
      <c r="UJ364" s="1319" t="s">
        <v>1369</v>
      </c>
      <c r="UK364" s="1319" t="s">
        <v>1370</v>
      </c>
      <c r="UL364" s="1319" t="s">
        <v>1371</v>
      </c>
      <c r="UM364" s="1319" t="s">
        <v>1372</v>
      </c>
      <c r="UN364" s="1319" t="s">
        <v>1373</v>
      </c>
      <c r="UO364" s="1319" t="s">
        <v>1128</v>
      </c>
      <c r="UP364" s="1319" t="s">
        <v>1374</v>
      </c>
      <c r="UQ364" s="1319" t="s">
        <v>1375</v>
      </c>
      <c r="UR364" s="1319" t="s">
        <v>1376</v>
      </c>
      <c r="US364" s="1319" t="s">
        <v>1377</v>
      </c>
      <c r="UT364" s="1319" t="s">
        <v>1378</v>
      </c>
      <c r="UU364" s="1319" t="s">
        <v>1379</v>
      </c>
      <c r="UV364" s="1319" t="s">
        <v>1380</v>
      </c>
      <c r="UW364" s="1319" t="s">
        <v>1381</v>
      </c>
      <c r="UX364" s="1319" t="s">
        <v>1382</v>
      </c>
      <c r="UY364" s="1319" t="s">
        <v>1383</v>
      </c>
      <c r="UZ364" s="1319" t="s">
        <v>1384</v>
      </c>
      <c r="VA364" s="1319" t="s">
        <v>1385</v>
      </c>
      <c r="VB364" s="1319" t="s">
        <v>1386</v>
      </c>
      <c r="VC364" s="1319" t="s">
        <v>1387</v>
      </c>
      <c r="VD364" s="1319" t="s">
        <v>1388</v>
      </c>
      <c r="VE364" s="1319" t="s">
        <v>1139</v>
      </c>
      <c r="VF364" s="1319" t="s">
        <v>1389</v>
      </c>
      <c r="VG364" s="1319" t="s">
        <v>121</v>
      </c>
      <c r="VH364" s="1319" t="s">
        <v>1279</v>
      </c>
      <c r="VI364" s="1319" t="s">
        <v>659</v>
      </c>
      <c r="VJ364" s="1319" t="s">
        <v>1142</v>
      </c>
      <c r="VK364" s="1319" t="s">
        <v>1143</v>
      </c>
      <c r="VL364" s="1319" t="s">
        <v>1144</v>
      </c>
      <c r="VM364" s="1319" t="s">
        <v>1145</v>
      </c>
      <c r="VN364" s="1319" t="s">
        <v>1146</v>
      </c>
      <c r="VO364" s="1319" t="s">
        <v>1148</v>
      </c>
      <c r="VP364" s="1319" t="s">
        <v>1574</v>
      </c>
      <c r="VQ364" s="1319" t="s">
        <v>1390</v>
      </c>
      <c r="VR364" s="1319" t="s">
        <v>1391</v>
      </c>
      <c r="VS364" s="1319" t="s">
        <v>1392</v>
      </c>
      <c r="VT364" s="1319" t="s">
        <v>1393</v>
      </c>
      <c r="VU364" s="1319" t="s">
        <v>1394</v>
      </c>
      <c r="VV364" s="1319" t="s">
        <v>1110</v>
      </c>
      <c r="VW364" s="1319" t="s">
        <v>141</v>
      </c>
      <c r="VX364" s="1319" t="s">
        <v>1221</v>
      </c>
      <c r="VY364" s="1319" t="s">
        <v>1162</v>
      </c>
      <c r="VZ364" s="1319" t="s">
        <v>1395</v>
      </c>
      <c r="WA364" s="1319" t="s">
        <v>1111</v>
      </c>
      <c r="WB364" s="1319" t="s">
        <v>1107</v>
      </c>
      <c r="WC364" s="1319" t="s">
        <v>1396</v>
      </c>
      <c r="WD364" s="1319" t="s">
        <v>1305</v>
      </c>
      <c r="WE364" s="1319" t="s">
        <v>1197</v>
      </c>
      <c r="WF364" s="1319" t="s">
        <v>1198</v>
      </c>
      <c r="WG364" s="1319" t="s">
        <v>1397</v>
      </c>
      <c r="WH364" s="1319" t="s">
        <v>1199</v>
      </c>
      <c r="WI364" s="1319" t="s">
        <v>1309</v>
      </c>
      <c r="WJ364" s="1319" t="s">
        <v>1398</v>
      </c>
      <c r="WK364" s="1319" t="s">
        <v>1399</v>
      </c>
      <c r="WL364" s="1319" t="s">
        <v>1390</v>
      </c>
      <c r="WM364" s="1319" t="s">
        <v>1400</v>
      </c>
      <c r="WN364" s="1319" t="s">
        <v>1391</v>
      </c>
      <c r="WO364" s="1319" t="s">
        <v>1401</v>
      </c>
      <c r="WP364" s="1319" t="s">
        <v>1402</v>
      </c>
      <c r="WQ364" s="1319" t="s">
        <v>1403</v>
      </c>
      <c r="WR364" s="1319" t="s">
        <v>1392</v>
      </c>
      <c r="WS364" s="1319" t="s">
        <v>1404</v>
      </c>
      <c r="WT364" s="1319" t="s">
        <v>1405</v>
      </c>
      <c r="WU364" s="1319" t="s">
        <v>1406</v>
      </c>
      <c r="WV364" s="1319" t="s">
        <v>1407</v>
      </c>
      <c r="WW364" s="1319" t="s">
        <v>1408</v>
      </c>
      <c r="WX364" s="1319" t="s">
        <v>1409</v>
      </c>
      <c r="WY364" s="1319" t="s">
        <v>1393</v>
      </c>
      <c r="WZ364" s="1319" t="s">
        <v>1410</v>
      </c>
      <c r="XA364" s="1319" t="s">
        <v>1394</v>
      </c>
      <c r="XB364" s="1319" t="s">
        <v>1411</v>
      </c>
      <c r="XC364" s="1319" t="s">
        <v>1412</v>
      </c>
      <c r="XD364" s="1319" t="s">
        <v>1413</v>
      </c>
      <c r="XE364" s="1319" t="s">
        <v>1414</v>
      </c>
      <c r="XF364" s="1319" t="s">
        <v>1415</v>
      </c>
      <c r="XG364" s="1319" t="s">
        <v>1416</v>
      </c>
      <c r="XH364" s="1319" t="s">
        <v>1417</v>
      </c>
      <c r="XI364" s="1319" t="s">
        <v>1418</v>
      </c>
      <c r="XJ364" s="1319" t="s">
        <v>1315</v>
      </c>
      <c r="XK364" s="1319" t="s">
        <v>1152</v>
      </c>
      <c r="XL364" s="1319" t="s">
        <v>1153</v>
      </c>
      <c r="XM364" s="1319" t="s">
        <v>1575</v>
      </c>
      <c r="XN364" s="1319" t="s">
        <v>1155</v>
      </c>
      <c r="XO364" s="1319" t="s">
        <v>1156</v>
      </c>
      <c r="XP364" s="1319" t="s">
        <v>659</v>
      </c>
      <c r="XQ364" s="1319" t="s">
        <v>1157</v>
      </c>
      <c r="XR364" s="1319" t="s">
        <v>1158</v>
      </c>
      <c r="XS364" s="1319" t="s">
        <v>1159</v>
      </c>
      <c r="XT364" s="1319" t="s">
        <v>1161</v>
      </c>
      <c r="XU364" s="1319" t="s">
        <v>664</v>
      </c>
      <c r="XV364" s="1319" t="s">
        <v>1162</v>
      </c>
      <c r="XW364" s="1319" t="s">
        <v>667</v>
      </c>
      <c r="XX364" s="1319" t="s">
        <v>1257</v>
      </c>
      <c r="XY364" s="1319" t="s">
        <v>1263</v>
      </c>
      <c r="XZ364" s="1319" t="s">
        <v>1264</v>
      </c>
      <c r="YA364" s="1319" t="s">
        <v>1258</v>
      </c>
      <c r="YB364" s="1319" t="s">
        <v>1259</v>
      </c>
      <c r="YC364" s="1319" t="s">
        <v>1265</v>
      </c>
      <c r="YD364" s="1319" t="s">
        <v>1266</v>
      </c>
      <c r="YE364" s="1319" t="s">
        <v>1267</v>
      </c>
      <c r="YF364" s="1319" t="s">
        <v>1268</v>
      </c>
      <c r="YG364" s="1319" t="s">
        <v>1269</v>
      </c>
      <c r="YH364" s="1319" t="s">
        <v>1270</v>
      </c>
      <c r="YI364" s="1319" t="s">
        <v>657</v>
      </c>
      <c r="YJ364" s="1319" t="s">
        <v>1163</v>
      </c>
      <c r="YK364" s="1319" t="s">
        <v>1271</v>
      </c>
      <c r="YL364" s="1319" t="s">
        <v>1278</v>
      </c>
      <c r="YM364" s="1319" t="s">
        <v>1167</v>
      </c>
      <c r="YN364" s="1319" t="s">
        <v>1276</v>
      </c>
      <c r="YO364" s="1319" t="s">
        <v>1168</v>
      </c>
      <c r="YP364" s="1319" t="s">
        <v>1272</v>
      </c>
      <c r="YQ364" s="1319" t="s">
        <v>1261</v>
      </c>
      <c r="YR364" s="1319" t="s">
        <v>1277</v>
      </c>
      <c r="YS364" s="1319" t="s">
        <v>1170</v>
      </c>
      <c r="YT364" s="1319" t="s">
        <v>1274</v>
      </c>
      <c r="YU364" s="1319" t="s">
        <v>1171</v>
      </c>
      <c r="YV364" s="1319" t="s">
        <v>1275</v>
      </c>
      <c r="YW364" s="1319" t="s">
        <v>1273</v>
      </c>
      <c r="YX364" s="1319"/>
      <c r="YY364" s="1319" t="s">
        <v>1178</v>
      </c>
      <c r="YZ364" s="1319" t="s">
        <v>1188</v>
      </c>
      <c r="ZA364" s="1319" t="s">
        <v>1181</v>
      </c>
      <c r="ZB364" s="1319" t="s">
        <v>1239</v>
      </c>
      <c r="ZC364" s="1319" t="s">
        <v>1182</v>
      </c>
      <c r="ZD364" s="1319" t="s">
        <v>1075</v>
      </c>
      <c r="ZE364" s="1319" t="s">
        <v>1183</v>
      </c>
      <c r="ZF364" s="1319" t="s">
        <v>1419</v>
      </c>
      <c r="ZG364" s="1319" t="s">
        <v>1186</v>
      </c>
      <c r="ZH364" s="1319" t="s">
        <v>1185</v>
      </c>
      <c r="ZI364" s="1319" t="s">
        <v>1189</v>
      </c>
      <c r="ZJ364" s="1319" t="s">
        <v>1214</v>
      </c>
      <c r="ZK364" s="1319" t="s">
        <v>1187</v>
      </c>
      <c r="ZL364" s="1319" t="s">
        <v>1294</v>
      </c>
      <c r="ZM364" s="1319" t="s">
        <v>1225</v>
      </c>
      <c r="ZN364" s="1319" t="s">
        <v>1190</v>
      </c>
      <c r="ZO364" s="1319" t="s">
        <v>1191</v>
      </c>
      <c r="ZP364" s="1319" t="s">
        <v>1218</v>
      </c>
      <c r="ZQ364" s="1319" t="s">
        <v>1219</v>
      </c>
      <c r="ZR364" s="1319" t="s">
        <v>1220</v>
      </c>
      <c r="ZS364" s="1319" t="s">
        <v>1221</v>
      </c>
      <c r="ZT364" s="1319" t="s">
        <v>1295</v>
      </c>
      <c r="ZU364" s="1319" t="s">
        <v>1235</v>
      </c>
      <c r="ZV364" s="1319" t="s">
        <v>1245</v>
      </c>
      <c r="ZW364" s="1319" t="s">
        <v>1240</v>
      </c>
      <c r="ZX364" s="1319" t="s">
        <v>1241</v>
      </c>
      <c r="ZY364" s="1319" t="s">
        <v>1243</v>
      </c>
      <c r="ZZ364" s="1319" t="s">
        <v>1292</v>
      </c>
      <c r="AAA364" s="1319" t="s">
        <v>1246</v>
      </c>
      <c r="AAB364" s="1319" t="s">
        <v>1230</v>
      </c>
      <c r="AAC364" s="1319" t="s">
        <v>1232</v>
      </c>
      <c r="AAD364" s="1319" t="s">
        <v>1233</v>
      </c>
      <c r="AAE364" s="1319" t="s">
        <v>1234</v>
      </c>
      <c r="AAF364" s="1319" t="s">
        <v>474</v>
      </c>
      <c r="AAG364" s="1319" t="s">
        <v>1237</v>
      </c>
      <c r="AAH364" s="1319" t="s">
        <v>1236</v>
      </c>
      <c r="AAI364" s="1319" t="s">
        <v>1238</v>
      </c>
      <c r="AAJ364" s="1319" t="s">
        <v>1229</v>
      </c>
      <c r="AAK364" s="1319" t="s">
        <v>1179</v>
      </c>
      <c r="AAL364" s="1319" t="s">
        <v>1180</v>
      </c>
      <c r="AAM364" s="1319"/>
      <c r="AAN364" s="1319" t="s">
        <v>1283</v>
      </c>
      <c r="AAO364" s="1319" t="s">
        <v>1284</v>
      </c>
      <c r="AAP364" s="1319" t="s">
        <v>1285</v>
      </c>
      <c r="AAQ364" s="1319" t="s">
        <v>1189</v>
      </c>
      <c r="AAR364" s="1319" t="s">
        <v>1316</v>
      </c>
      <c r="AAS364" s="1319" t="s">
        <v>1420</v>
      </c>
      <c r="AAT364" s="1319" t="s">
        <v>1318</v>
      </c>
      <c r="AAU364" s="1319" t="s">
        <v>1280</v>
      </c>
      <c r="AAV364" s="1319" t="s">
        <v>1281</v>
      </c>
      <c r="AAW364" s="1319" t="s">
        <v>131</v>
      </c>
      <c r="AAX364" s="1319" t="s">
        <v>134</v>
      </c>
      <c r="AAY364" s="1319" t="s">
        <v>137</v>
      </c>
      <c r="AAZ364" s="1319" t="s">
        <v>1172</v>
      </c>
      <c r="ABA364" s="1319" t="s">
        <v>1282</v>
      </c>
      <c r="ABB364" s="1319" t="s">
        <v>659</v>
      </c>
      <c r="ABC364" s="1319" t="s">
        <v>1142</v>
      </c>
      <c r="ABD364" s="1319" t="s">
        <v>1143</v>
      </c>
      <c r="ABE364" s="1319" t="s">
        <v>1144</v>
      </c>
      <c r="ABF364" s="1319" t="s">
        <v>1145</v>
      </c>
      <c r="ABG364" s="1319" t="s">
        <v>1146</v>
      </c>
      <c r="ABH364" s="1319" t="s">
        <v>1147</v>
      </c>
      <c r="ABI364" s="1319" t="s">
        <v>1148</v>
      </c>
      <c r="ABJ364" s="1319" t="s">
        <v>1574</v>
      </c>
      <c r="ABK364" s="1319" t="s">
        <v>1320</v>
      </c>
      <c r="ABL364" s="1319" t="s">
        <v>1142</v>
      </c>
      <c r="ABM364" s="1319" t="s">
        <v>180</v>
      </c>
      <c r="ABN364" s="1319" t="s">
        <v>1149</v>
      </c>
      <c r="ABO364" s="1319" t="s">
        <v>1139</v>
      </c>
      <c r="ABP364" s="1319" t="s">
        <v>121</v>
      </c>
      <c r="ABQ364" s="1319" t="s">
        <v>1129</v>
      </c>
      <c r="ABR364" s="1319" t="s">
        <v>1130</v>
      </c>
      <c r="ABS364" s="1319" t="s">
        <v>1131</v>
      </c>
      <c r="ABT364" s="1319" t="s">
        <v>1132</v>
      </c>
      <c r="ABU364" s="1319" t="s">
        <v>1133</v>
      </c>
      <c r="ABV364" s="1319" t="s">
        <v>1151</v>
      </c>
      <c r="ABW364" s="1319" t="s">
        <v>1148</v>
      </c>
      <c r="ABX364" s="1319" t="s">
        <v>1110</v>
      </c>
      <c r="ABY364" s="1319" t="s">
        <v>1162</v>
      </c>
      <c r="ABZ364" s="1319" t="s">
        <v>1221</v>
      </c>
      <c r="ACA364" s="1319" t="s">
        <v>1220</v>
      </c>
      <c r="ACB364" s="1319" t="s">
        <v>141</v>
      </c>
      <c r="ACC364" s="1319" t="s">
        <v>1115</v>
      </c>
    </row>
    <row r="365" spans="1:757" ht="14.3">
      <c r="A365" t="str">
        <f ca="1" xml:space="preserve"> "BL - " &amp; AZ365</f>
        <v>BL - 0</v>
      </c>
      <c r="C365" t="b">
        <f t="shared" ref="C365:T365" si="185">C347</f>
        <v>1</v>
      </c>
      <c r="D365" s="233">
        <f t="shared" ca="1" si="185"/>
        <v>0</v>
      </c>
      <c r="F365">
        <f t="shared" ca="1" si="185"/>
        <v>0</v>
      </c>
      <c r="G365">
        <f t="shared" ca="1" si="185"/>
        <v>0</v>
      </c>
      <c r="H365">
        <f t="shared" ca="1" si="185"/>
        <v>0</v>
      </c>
      <c r="J365">
        <f t="shared" ca="1" si="185"/>
        <v>0</v>
      </c>
      <c r="K365" t="str">
        <f t="shared" ca="1" si="185"/>
        <v>WA</v>
      </c>
      <c r="L365">
        <f t="shared" ca="1" si="185"/>
        <v>0</v>
      </c>
      <c r="N365">
        <f t="shared" ca="1" si="185"/>
        <v>0</v>
      </c>
      <c r="O365">
        <f t="shared" ca="1" si="185"/>
        <v>0</v>
      </c>
      <c r="P365" t="str">
        <f t="shared" ca="1" si="185"/>
        <v>WA</v>
      </c>
      <c r="Q365">
        <f t="shared" ca="1" si="185"/>
        <v>0</v>
      </c>
      <c r="R365">
        <f t="shared" ca="1" si="185"/>
        <v>0</v>
      </c>
      <c r="S365">
        <f t="shared" ca="1" si="185"/>
        <v>0</v>
      </c>
      <c r="T365">
        <f t="shared" ca="1" si="185"/>
        <v>0</v>
      </c>
      <c r="V365" t="str">
        <f t="shared" ref="V365:AG365" ca="1" si="186">V347</f>
        <v/>
      </c>
      <c r="X365" t="str">
        <f t="shared" ca="1" si="186"/>
        <v/>
      </c>
      <c r="Y365" t="str">
        <f t="shared" ca="1" si="186"/>
        <v/>
      </c>
      <c r="Z365" t="str">
        <f t="shared" ca="1" si="186"/>
        <v/>
      </c>
      <c r="AA365" t="str">
        <f t="shared" ca="1" si="186"/>
        <v/>
      </c>
      <c r="AC365" t="str">
        <f t="shared" si="186"/>
        <v>Contractor</v>
      </c>
      <c r="AE365" t="str">
        <f t="shared" ca="1" si="186"/>
        <v/>
      </c>
      <c r="AG365" t="str">
        <f t="shared" ca="1" si="186"/>
        <v/>
      </c>
      <c r="AH365" t="str">
        <f t="shared" ref="AH365:AP365" ca="1" si="187">AH347</f>
        <v/>
      </c>
      <c r="AI365" t="str">
        <f t="shared" ca="1" si="187"/>
        <v/>
      </c>
      <c r="AK365" t="str">
        <f t="shared" ca="1" si="187"/>
        <v/>
      </c>
      <c r="AL365" t="str">
        <f t="shared" ca="1" si="187"/>
        <v/>
      </c>
      <c r="AM365" t="str">
        <f t="shared" ca="1" si="187"/>
        <v/>
      </c>
      <c r="AP365">
        <f t="shared" si="187"/>
        <v>0</v>
      </c>
      <c r="AR365">
        <f t="shared" ref="AR365:AS365" ca="1" si="188">AR347</f>
        <v>0</v>
      </c>
      <c r="AS365">
        <f t="shared" ca="1" si="188"/>
        <v>0</v>
      </c>
      <c r="AT365">
        <f t="shared" ref="AT365:AX365" ca="1" si="189">AT347</f>
        <v>0</v>
      </c>
      <c r="AU365">
        <f t="shared" ca="1" si="189"/>
        <v>0</v>
      </c>
      <c r="AV365">
        <f t="shared" ca="1" si="189"/>
        <v>0</v>
      </c>
      <c r="AW365">
        <f t="shared" ca="1" si="189"/>
        <v>0</v>
      </c>
      <c r="AX365">
        <f t="shared" ca="1" si="189"/>
        <v>0</v>
      </c>
      <c r="AZ365">
        <f t="shared" ref="AZ365:BC365" ca="1" si="190">AZ347</f>
        <v>0</v>
      </c>
      <c r="BA365">
        <f t="shared" ca="1" si="190"/>
        <v>0</v>
      </c>
      <c r="BB365">
        <f t="shared" ca="1" si="190"/>
        <v>0</v>
      </c>
      <c r="BC365" t="str">
        <f t="shared" ca="1" si="190"/>
        <v>WA</v>
      </c>
      <c r="BD365" s="92">
        <f t="shared" ref="BD365:BI365" ca="1" si="191">BD347</f>
        <v>0</v>
      </c>
      <c r="BF365">
        <f t="shared" ca="1" si="191"/>
        <v>0</v>
      </c>
      <c r="BG365" s="325">
        <f t="shared" ca="1" si="191"/>
        <v>0</v>
      </c>
      <c r="BH365">
        <f t="shared" ca="1" si="191"/>
        <v>0</v>
      </c>
      <c r="BI365" s="1370">
        <f t="shared" ca="1" si="191"/>
        <v>0</v>
      </c>
      <c r="BK365" t="str">
        <f ca="1">BJ347</f>
        <v/>
      </c>
      <c r="BL365" t="str">
        <f ca="1">BK347</f>
        <v>Commercial/Industrial</v>
      </c>
      <c r="BM365">
        <f t="shared" ref="BM365" ca="1" si="192">BL347</f>
        <v>0</v>
      </c>
      <c r="BO365">
        <f t="shared" ref="BO365" ca="1" si="193">BN347</f>
        <v>0</v>
      </c>
      <c r="BP365" t="str">
        <f t="shared" ref="BP365:BQ365" ca="1" si="194">BO347</f>
        <v/>
      </c>
      <c r="BQ365">
        <f t="shared" si="194"/>
        <v>0</v>
      </c>
      <c r="BR365" t="str">
        <f t="shared" ref="BR365:BT365" ca="1" si="195">BQ347</f>
        <v/>
      </c>
      <c r="BS365">
        <f t="shared" si="195"/>
        <v>0</v>
      </c>
      <c r="BT365" t="str">
        <f t="shared" ca="1" si="195"/>
        <v/>
      </c>
      <c r="BU365" t="str">
        <f t="shared" ref="BU365:BV365" ca="1" si="196">BT347</f>
        <v/>
      </c>
      <c r="BV365" t="str">
        <f t="shared" ca="1" si="196"/>
        <v/>
      </c>
      <c r="BX365" t="str">
        <f ca="1">BX347</f>
        <v>Lighting - Custom</v>
      </c>
      <c r="BY365">
        <f ca="1">BY347</f>
        <v>10059</v>
      </c>
      <c r="BZ365" t="str">
        <f t="shared" ref="BZ365:CF365" ca="1" si="197">BZ347</f>
        <v>Full</v>
      </c>
      <c r="CA365" s="1370">
        <f t="shared" ca="1" si="197"/>
        <v>0</v>
      </c>
      <c r="CB365" s="368">
        <f t="shared" ca="1" si="197"/>
        <v>0</v>
      </c>
      <c r="CC365" t="str">
        <f t="shared" si="197"/>
        <v>Lighting</v>
      </c>
      <c r="CD365">
        <f t="shared" ca="1" si="197"/>
        <v>0</v>
      </c>
      <c r="CE365">
        <f t="shared" si="197"/>
        <v>0</v>
      </c>
      <c r="CF365">
        <f t="shared" ca="1" si="197"/>
        <v>0</v>
      </c>
      <c r="CG365">
        <f t="shared" ref="CG365:CL365" ca="1" si="198">CG347</f>
        <v>0</v>
      </c>
      <c r="CH365">
        <f t="shared" ca="1" si="198"/>
        <v>0</v>
      </c>
      <c r="CI365">
        <f t="shared" ca="1" si="198"/>
        <v>0</v>
      </c>
      <c r="CJ365">
        <f t="shared" ca="1" si="198"/>
        <v>0</v>
      </c>
      <c r="CK365">
        <f t="shared" ca="1" si="198"/>
        <v>2</v>
      </c>
      <c r="CL365">
        <f t="shared" ca="1" si="198"/>
        <v>0</v>
      </c>
    </row>
    <row r="366" spans="1:757" ht="14.3">
      <c r="A366" t="str">
        <f t="shared" ref="A366" ca="1" si="199" xml:space="preserve"> "BL - " &amp; AZ366</f>
        <v>BL - 0</v>
      </c>
      <c r="C366" t="b">
        <f t="shared" ref="C366:T366" si="200">C348</f>
        <v>1</v>
      </c>
      <c r="D366" s="233">
        <f t="shared" ca="1" si="200"/>
        <v>0</v>
      </c>
      <c r="F366">
        <f t="shared" ca="1" si="200"/>
        <v>0</v>
      </c>
      <c r="G366">
        <f t="shared" ca="1" si="200"/>
        <v>0</v>
      </c>
      <c r="H366">
        <f t="shared" ca="1" si="200"/>
        <v>0</v>
      </c>
      <c r="J366">
        <f t="shared" ca="1" si="200"/>
        <v>0</v>
      </c>
      <c r="K366" t="str">
        <f t="shared" ca="1" si="200"/>
        <v>WA</v>
      </c>
      <c r="L366">
        <f t="shared" ca="1" si="200"/>
        <v>0</v>
      </c>
      <c r="N366">
        <f t="shared" ca="1" si="200"/>
        <v>0</v>
      </c>
      <c r="O366">
        <f t="shared" ca="1" si="200"/>
        <v>0</v>
      </c>
      <c r="P366" t="str">
        <f t="shared" ca="1" si="200"/>
        <v>WA</v>
      </c>
      <c r="Q366">
        <f t="shared" ca="1" si="200"/>
        <v>0</v>
      </c>
      <c r="R366">
        <f t="shared" ca="1" si="200"/>
        <v>0</v>
      </c>
      <c r="S366">
        <f t="shared" ca="1" si="200"/>
        <v>0</v>
      </c>
      <c r="T366">
        <f t="shared" ca="1" si="200"/>
        <v>0</v>
      </c>
      <c r="V366" t="str">
        <f t="shared" ref="V366:AG366" ca="1" si="201">V348</f>
        <v/>
      </c>
      <c r="X366" t="str">
        <f t="shared" ca="1" si="201"/>
        <v/>
      </c>
      <c r="Y366" t="str">
        <f t="shared" ca="1" si="201"/>
        <v/>
      </c>
      <c r="Z366" t="str">
        <f t="shared" ca="1" si="201"/>
        <v/>
      </c>
      <c r="AA366" t="str">
        <f t="shared" ca="1" si="201"/>
        <v/>
      </c>
      <c r="AC366" t="str">
        <f t="shared" si="201"/>
        <v>Contractor</v>
      </c>
      <c r="AE366" t="str">
        <f t="shared" ca="1" si="201"/>
        <v/>
      </c>
      <c r="AG366" t="str">
        <f t="shared" ca="1" si="201"/>
        <v/>
      </c>
      <c r="AH366" t="str">
        <f t="shared" ref="AH366:AP366" ca="1" si="202">AH348</f>
        <v/>
      </c>
      <c r="AI366" t="str">
        <f t="shared" ca="1" si="202"/>
        <v/>
      </c>
      <c r="AK366" t="str">
        <f t="shared" ca="1" si="202"/>
        <v/>
      </c>
      <c r="AL366" t="str">
        <f t="shared" ca="1" si="202"/>
        <v/>
      </c>
      <c r="AM366" t="str">
        <f t="shared" ca="1" si="202"/>
        <v/>
      </c>
      <c r="AP366">
        <f t="shared" si="202"/>
        <v>0</v>
      </c>
      <c r="AR366">
        <f t="shared" ref="AR366:AS366" ca="1" si="203">AR348</f>
        <v>0</v>
      </c>
      <c r="AS366">
        <f t="shared" ca="1" si="203"/>
        <v>0</v>
      </c>
      <c r="AT366">
        <f t="shared" ref="AT366:AX366" ca="1" si="204">AT348</f>
        <v>0</v>
      </c>
      <c r="AU366">
        <f t="shared" ca="1" si="204"/>
        <v>0</v>
      </c>
      <c r="AV366">
        <f t="shared" ca="1" si="204"/>
        <v>0</v>
      </c>
      <c r="AW366">
        <f t="shared" ca="1" si="204"/>
        <v>0</v>
      </c>
      <c r="AX366">
        <f t="shared" ca="1" si="204"/>
        <v>0</v>
      </c>
      <c r="AZ366">
        <f t="shared" ref="AZ366:BC366" ca="1" si="205">AZ348</f>
        <v>0</v>
      </c>
      <c r="BA366">
        <f t="shared" ca="1" si="205"/>
        <v>0</v>
      </c>
      <c r="BB366">
        <f t="shared" ca="1" si="205"/>
        <v>0</v>
      </c>
      <c r="BC366" t="str">
        <f t="shared" ca="1" si="205"/>
        <v>WA</v>
      </c>
      <c r="BD366" s="92">
        <f t="shared" ref="BD366:BI366" ca="1" si="206">BD348</f>
        <v>0</v>
      </c>
      <c r="BF366">
        <f t="shared" ca="1" si="206"/>
        <v>0</v>
      </c>
      <c r="BG366" s="325">
        <f t="shared" ca="1" si="206"/>
        <v>0</v>
      </c>
      <c r="BH366">
        <f t="shared" ca="1" si="206"/>
        <v>0</v>
      </c>
      <c r="BI366" s="1370">
        <f t="shared" ca="1" si="206"/>
        <v>0</v>
      </c>
      <c r="BK366" t="str">
        <f ca="1">BJ348</f>
        <v/>
      </c>
      <c r="BL366" t="str">
        <f ca="1">BK348</f>
        <v>Commercial/Industrial</v>
      </c>
      <c r="BM366">
        <f t="shared" ref="BM366" ca="1" si="207">BL348</f>
        <v>0</v>
      </c>
      <c r="BO366">
        <f t="shared" ref="BO366" ca="1" si="208">BN348</f>
        <v>0</v>
      </c>
      <c r="BP366" t="str">
        <f t="shared" ref="BP366:BQ366" ca="1" si="209">BO348</f>
        <v/>
      </c>
      <c r="BQ366">
        <f t="shared" si="209"/>
        <v>0</v>
      </c>
      <c r="BR366" t="str">
        <f t="shared" ref="BR366:BT366" ca="1" si="210">BQ348</f>
        <v/>
      </c>
      <c r="BS366">
        <f t="shared" si="210"/>
        <v>0</v>
      </c>
      <c r="BT366" t="str">
        <f t="shared" ca="1" si="210"/>
        <v/>
      </c>
      <c r="BU366" t="str">
        <f t="shared" ref="BU366:BV366" ca="1" si="211">BT348</f>
        <v/>
      </c>
      <c r="BV366" t="str">
        <f t="shared" ca="1" si="211"/>
        <v/>
      </c>
      <c r="BX366" t="str">
        <f t="shared" ref="BX366:BY367" si="212">BX348</f>
        <v>Lighting - Performance - Custom</v>
      </c>
      <c r="BY366">
        <f t="shared" si="212"/>
        <v>12334</v>
      </c>
      <c r="BZ366" t="str">
        <f t="shared" ref="BZ366:CF366" ca="1" si="213">BZ348</f>
        <v>Full</v>
      </c>
      <c r="CA366" s="1370">
        <f t="shared" ca="1" si="213"/>
        <v>0</v>
      </c>
      <c r="CB366" s="368">
        <f t="shared" ca="1" si="213"/>
        <v>0</v>
      </c>
      <c r="CC366" t="str">
        <f t="shared" si="213"/>
        <v>Lighting</v>
      </c>
      <c r="CD366">
        <f t="shared" ca="1" si="213"/>
        <v>0</v>
      </c>
      <c r="CE366">
        <f t="shared" si="213"/>
        <v>0</v>
      </c>
      <c r="CF366">
        <f t="shared" si="213"/>
        <v>10</v>
      </c>
      <c r="CG366">
        <f t="shared" ref="CG366:CL366" ca="1" si="214">CG348</f>
        <v>0</v>
      </c>
      <c r="CH366">
        <f t="shared" ca="1" si="214"/>
        <v>0</v>
      </c>
      <c r="CI366">
        <f t="shared" si="214"/>
        <v>0</v>
      </c>
      <c r="CJ366">
        <f t="shared" ca="1" si="214"/>
        <v>0</v>
      </c>
      <c r="CK366">
        <f t="shared" ca="1" si="214"/>
        <v>2</v>
      </c>
      <c r="CL366">
        <f t="shared" ca="1" si="214"/>
        <v>0</v>
      </c>
    </row>
    <row r="367" spans="1:757" ht="14.3">
      <c r="BX367" t="str">
        <f t="shared" ca="1" si="212"/>
        <v>Lighting - Custom</v>
      </c>
      <c r="BY367">
        <f t="shared" ca="1" si="212"/>
        <v>10059</v>
      </c>
    </row>
  </sheetData>
  <sheetProtection algorithmName="SHA-512" hashValue="B727NtYMDNEVs4VjbCySVQwMOTJ8IaxSAtEsqqI2gpC5q2GfXVP6yRkngXpRXwbJRpZcFEdqC0ZNqPU/6xzZsg==" saltValue="hIt4p5dqpGBB8WfJemY/Vw==" spinCount="100000" sheet="1" objects="1" scenarios="1"/>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AJ118"/>
  <sheetViews>
    <sheetView zoomScale="80" zoomScaleNormal="80" workbookViewId="0">
      <selection activeCell="L36" sqref="L36"/>
    </sheetView>
  </sheetViews>
  <sheetFormatPr defaultRowHeight="14.3"/>
  <cols>
    <col min="1" max="1" width="14.125" customWidth="1"/>
    <col min="2" max="2" width="27.375" customWidth="1"/>
    <col min="3" max="3" width="10.375" customWidth="1"/>
    <col min="4" max="4" width="13.125" customWidth="1"/>
    <col min="5" max="33" width="10.375" customWidth="1"/>
    <col min="34" max="36" width="10.625" customWidth="1"/>
  </cols>
  <sheetData>
    <row r="1" spans="1:35" s="507" customFormat="1" ht="19.05">
      <c r="A1" s="506">
        <f>__Retrofit_TI_NC</f>
        <v>0</v>
      </c>
      <c r="B1" s="383" t="str">
        <f>Installations!B20</f>
        <v>Retrofit - Existing lighting is baseline</v>
      </c>
      <c r="C1" s="383"/>
      <c r="E1" s="963" t="s">
        <v>1577</v>
      </c>
      <c r="F1" s="964" t="b">
        <f>Lookup!K12</f>
        <v>1</v>
      </c>
      <c r="H1" s="963" t="s">
        <v>1578</v>
      </c>
      <c r="I1" s="964" t="b">
        <f>IF(Project!AA36=98110,TRUE,FALSE)</f>
        <v>0</v>
      </c>
    </row>
    <row r="2" spans="1:35" ht="85.6">
      <c r="A2" s="344"/>
      <c r="B2" s="2" t="s">
        <v>1579</v>
      </c>
      <c r="C2" s="111" t="s">
        <v>1580</v>
      </c>
      <c r="D2" s="111" t="s">
        <v>1581</v>
      </c>
      <c r="E2" s="111" t="s">
        <v>1582</v>
      </c>
      <c r="F2" s="111" t="s">
        <v>1583</v>
      </c>
      <c r="G2" s="111" t="s">
        <v>1492</v>
      </c>
      <c r="H2" s="111" t="s">
        <v>205</v>
      </c>
      <c r="I2" s="111" t="s">
        <v>1494</v>
      </c>
      <c r="J2" s="111" t="s">
        <v>1584</v>
      </c>
      <c r="K2" s="111" t="s">
        <v>1585</v>
      </c>
      <c r="L2" s="111" t="s">
        <v>1586</v>
      </c>
      <c r="M2" s="111" t="s">
        <v>1587</v>
      </c>
      <c r="N2" s="111" t="s">
        <v>1588</v>
      </c>
      <c r="O2" s="111" t="s">
        <v>1589</v>
      </c>
      <c r="P2" s="111" t="s">
        <v>1499</v>
      </c>
      <c r="Q2" s="111" t="s">
        <v>1590</v>
      </c>
      <c r="R2" s="111" t="s">
        <v>1591</v>
      </c>
      <c r="S2" s="111" t="s">
        <v>1592</v>
      </c>
      <c r="T2" s="111" t="s">
        <v>1507</v>
      </c>
      <c r="U2" s="111" t="s">
        <v>1508</v>
      </c>
      <c r="V2" s="111" t="s">
        <v>1509</v>
      </c>
      <c r="W2" s="264" t="s">
        <v>1510</v>
      </c>
      <c r="Y2" s="111" t="s">
        <v>1584</v>
      </c>
      <c r="Z2" s="111" t="s">
        <v>1448</v>
      </c>
      <c r="AA2" s="134" t="s">
        <v>1511</v>
      </c>
      <c r="AC2" s="111" t="s">
        <v>470</v>
      </c>
      <c r="AD2" s="111" t="s">
        <v>1505</v>
      </c>
      <c r="AE2" s="111" t="s">
        <v>1506</v>
      </c>
      <c r="AF2" s="111" t="s">
        <v>415</v>
      </c>
      <c r="AG2" s="111" t="s">
        <v>1189</v>
      </c>
    </row>
    <row r="3" spans="1:35">
      <c r="A3" s="2644" t="s">
        <v>361</v>
      </c>
      <c r="B3" s="755" t="s">
        <v>1593</v>
      </c>
      <c r="C3" s="756">
        <f>IF($A$1=2,C28,IF($A$1=1,C23,IF($F$1=TRUE,C18,C8)))</f>
        <v>0</v>
      </c>
      <c r="D3" s="756">
        <f>IF($A$1=2,D28,IF($A$1=1,D23,IF($F$1=TRUE,D18,D8)))</f>
        <v>0</v>
      </c>
      <c r="E3" s="757">
        <f>IF($A$1=2,E28,IF($A$1=1,E23,IF($F$1=TRUE,E18,E8)))</f>
        <v>2</v>
      </c>
      <c r="F3" s="758" t="b">
        <f>IF($A$1=2,F28,IF($A$1=1,F23,IF($F$1=TRUE,F18,F8)))</f>
        <v>0</v>
      </c>
      <c r="G3" s="757">
        <f>IF($A$1=2,G28,IF($A$1=1,G23,IF($F$1=TRUE,G18,G8)))</f>
        <v>0</v>
      </c>
      <c r="H3" s="757">
        <f t="shared" ref="H3:S3" si="0">IF($A$1=2,H28,IF($A$1=1,H23,IF($F$1=TRUE,IF($I$1=FALSE,H18,H13),H8)))</f>
        <v>0</v>
      </c>
      <c r="I3" s="756">
        <f t="shared" si="0"/>
        <v>0</v>
      </c>
      <c r="J3" s="756">
        <f t="shared" si="0"/>
        <v>0</v>
      </c>
      <c r="K3" s="759">
        <f t="shared" si="0"/>
        <v>0</v>
      </c>
      <c r="L3" s="1001">
        <f t="shared" si="0"/>
        <v>0</v>
      </c>
      <c r="M3" s="1001" t="str">
        <f t="shared" si="0"/>
        <v/>
      </c>
      <c r="N3" s="756">
        <f t="shared" si="0"/>
        <v>0</v>
      </c>
      <c r="O3" s="758">
        <f t="shared" si="0"/>
        <v>0</v>
      </c>
      <c r="P3" s="756">
        <f t="shared" si="0"/>
        <v>0</v>
      </c>
      <c r="Q3" s="1002" t="str">
        <f t="shared" si="0"/>
        <v>N/A</v>
      </c>
      <c r="R3" s="1002" t="str">
        <f t="shared" si="0"/>
        <v>N/A</v>
      </c>
      <c r="S3" s="758" t="e">
        <f t="shared" si="0"/>
        <v>#DIV/0!</v>
      </c>
      <c r="T3" s="756">
        <f>IF($A$1=2,T28,IF($A$1=1,T23,IF($F$1=TRUE,IF($I$1=FALSE,T18,T13),T8)))</f>
        <v>0</v>
      </c>
      <c r="U3" s="756">
        <f t="shared" ref="U3:AG3" si="1">IF($A$1=2,U28,IF($A$1=1,U23,IF($F$1=TRUE,IF($I$1=FALSE,U18,U13),U8)))</f>
        <v>0</v>
      </c>
      <c r="V3" s="756">
        <f t="shared" si="1"/>
        <v>0</v>
      </c>
      <c r="W3" s="756">
        <f t="shared" si="1"/>
        <v>0</v>
      </c>
      <c r="X3" s="760"/>
      <c r="Y3" s="756">
        <f t="shared" si="1"/>
        <v>0</v>
      </c>
      <c r="Z3" s="761">
        <f>IF($A$1=2,Z28,IF($A$1=1,Z23,IF($F$1=TRUE,IF($I$1=FALSE,Z18,Z13),Z8)))</f>
        <v>0</v>
      </c>
      <c r="AA3" s="756">
        <f t="shared" si="1"/>
        <v>0</v>
      </c>
      <c r="AB3" s="760"/>
      <c r="AC3" s="756">
        <f t="shared" si="1"/>
        <v>0</v>
      </c>
      <c r="AD3" s="756">
        <f t="shared" si="1"/>
        <v>0</v>
      </c>
      <c r="AE3" s="756">
        <f t="shared" si="1"/>
        <v>0</v>
      </c>
      <c r="AF3" s="756">
        <f t="shared" si="1"/>
        <v>0</v>
      </c>
      <c r="AG3" s="756">
        <f t="shared" si="1"/>
        <v>0</v>
      </c>
    </row>
    <row r="4" spans="1:35">
      <c r="A4" s="2644"/>
      <c r="B4" s="750" t="s">
        <v>1452</v>
      </c>
      <c r="C4" s="745">
        <f>AF$80</f>
        <v>0</v>
      </c>
      <c r="D4" s="745">
        <f>C4*(1+Z3)</f>
        <v>0</v>
      </c>
      <c r="E4" s="746">
        <v>2</v>
      </c>
      <c r="F4" s="746" t="b">
        <f>F3</f>
        <v>0</v>
      </c>
      <c r="G4" s="762">
        <f>SUM(J$58:J$69)</f>
        <v>0</v>
      </c>
      <c r="H4" s="746">
        <v>10</v>
      </c>
      <c r="I4" s="745"/>
      <c r="J4" s="745">
        <f t="shared" ref="J4:K6" si="2">IF($A$1=2,J29,IF($A$1=1,J24,IF($F$1=TRUE,IF($I$1=FALSE,J19,J14),J9)))</f>
        <v>0</v>
      </c>
      <c r="K4" s="763">
        <f t="shared" si="2"/>
        <v>0</v>
      </c>
      <c r="L4" s="748"/>
      <c r="M4" s="746"/>
      <c r="N4" s="745"/>
      <c r="O4" s="746"/>
      <c r="P4" s="745">
        <f>IF($A$1=2,P29,IF($A$1=1,P24,IF($F$1=TRUE,IF($I$1=FALSE,P19,P14),P9)))</f>
        <v>0</v>
      </c>
      <c r="Q4" s="746"/>
      <c r="R4" s="746"/>
      <c r="S4" s="746"/>
      <c r="T4" s="746"/>
      <c r="U4" s="746"/>
      <c r="V4" s="746"/>
      <c r="W4" s="746"/>
      <c r="X4" s="746"/>
      <c r="Y4" s="746"/>
      <c r="Z4" s="746"/>
      <c r="AA4" s="746"/>
      <c r="AB4" s="746"/>
      <c r="AC4" s="745">
        <f>IF($A$1=2,AC29,IF($A$1=1,AC24,IF($F$1=TRUE,IF($I$1=FALSE,AC19,AC14),AC9)))</f>
        <v>0</v>
      </c>
      <c r="AD4" s="745">
        <f>IF($A$1=2,AD29,IF($A$1=1,AD24,IF($F$1=TRUE,IF($I$1=FALSE,AD19,AD14),AD9)))</f>
        <v>0</v>
      </c>
      <c r="AE4" s="745">
        <f>IF($A$1=2,AE29,IF($A$1=1,AE24,IF($F$1=TRUE,IF($I$1=FALSE,AE19,AE14),AE9)))</f>
        <v>0</v>
      </c>
      <c r="AF4" s="745">
        <f>IF($A$1=2,AF29,IF($A$1=1,AF24,IF($F$1=TRUE,IF($I$1=FALSE,AF19,AF14),AF9)))</f>
        <v>0</v>
      </c>
      <c r="AG4" s="745">
        <f>IF($A$1=2,AG29,IF($A$1=1,AG24,IF($F$1=TRUE,IF($I$1=FALSE,AG19,AG14),AG9)))</f>
        <v>0</v>
      </c>
    </row>
    <row r="5" spans="1:35">
      <c r="A5" s="2644"/>
      <c r="B5" s="764" t="s">
        <v>1594</v>
      </c>
      <c r="C5" s="765"/>
      <c r="D5" s="765"/>
      <c r="E5" s="766">
        <f>IF(OR($A$1=2,$A$1=1),E25,IF($F$1=TRUE,E20,E10))</f>
        <v>0</v>
      </c>
      <c r="F5" s="766" t="b">
        <f>F3</f>
        <v>0</v>
      </c>
      <c r="G5" s="767"/>
      <c r="H5" s="766"/>
      <c r="I5" s="765"/>
      <c r="J5" s="765">
        <f t="shared" si="2"/>
        <v>0</v>
      </c>
      <c r="K5" s="768">
        <f t="shared" si="2"/>
        <v>0</v>
      </c>
      <c r="L5" s="769"/>
      <c r="M5" s="766"/>
      <c r="N5" s="765"/>
      <c r="O5" s="766"/>
      <c r="P5" s="765">
        <f>IF($A$1=2,P30,IF($A$1=1,P25,IF($F$1=TRUE,IF($I$1=FALSE,P20,P15),P10)))</f>
        <v>0</v>
      </c>
      <c r="Q5" s="766"/>
      <c r="R5" s="766"/>
      <c r="S5" s="766"/>
      <c r="T5" s="766"/>
      <c r="U5" s="766"/>
      <c r="V5" s="766"/>
      <c r="W5" s="766"/>
      <c r="X5" s="766"/>
      <c r="Y5" s="766"/>
      <c r="Z5" s="766"/>
      <c r="AA5" s="766"/>
      <c r="AB5" s="766"/>
      <c r="AC5" s="765"/>
      <c r="AD5" s="765"/>
      <c r="AE5" s="765"/>
      <c r="AF5" s="765"/>
      <c r="AG5" s="765"/>
    </row>
    <row r="6" spans="1:35">
      <c r="A6" s="2645"/>
      <c r="B6" s="770" t="s">
        <v>1285</v>
      </c>
      <c r="C6" s="771">
        <f>C3+C4</f>
        <v>0</v>
      </c>
      <c r="D6" s="771">
        <f>D3+D4</f>
        <v>0</v>
      </c>
      <c r="E6" s="772">
        <v>2</v>
      </c>
      <c r="F6" s="772" t="b">
        <f>F3</f>
        <v>0</v>
      </c>
      <c r="G6" s="773">
        <f>G3+G4</f>
        <v>0</v>
      </c>
      <c r="H6" s="772">
        <f>IFERROR(ROUND(((G3*H3)+(G4*H4))/G6,0),0)</f>
        <v>0</v>
      </c>
      <c r="I6" s="771">
        <f>I3</f>
        <v>0</v>
      </c>
      <c r="J6" s="771">
        <f t="shared" si="2"/>
        <v>0</v>
      </c>
      <c r="K6" s="774">
        <f t="shared" si="2"/>
        <v>0</v>
      </c>
      <c r="L6" s="775"/>
      <c r="M6" s="772"/>
      <c r="N6" s="771"/>
      <c r="O6" s="772"/>
      <c r="P6" s="771">
        <f>IF($A$1=2,P31,IF($A$1=1,P26,IF($F$1=TRUE,IF($I$1=FALSE,P21,P16),P11)))</f>
        <v>0</v>
      </c>
      <c r="Q6" s="772" t="str">
        <f>IF($A$1=2,Q31,IF($A$1=1,Q26,IF($F$1=TRUE,IF($I$1=FALSE,Q21,Q16),Q11)))</f>
        <v>N/A</v>
      </c>
      <c r="R6" s="772" t="str">
        <f>IF($A$1=2,R31,IF($A$1=1,R26,IF($F$1=TRUE,IF($I$1=FALSE,R21,R16),R11)))</f>
        <v>N/A</v>
      </c>
      <c r="S6" s="772"/>
      <c r="T6" s="772"/>
      <c r="U6" s="772"/>
      <c r="V6" s="772"/>
      <c r="W6" s="772"/>
      <c r="X6" s="772"/>
      <c r="Y6" s="772"/>
      <c r="Z6" s="772"/>
      <c r="AA6" s="772"/>
      <c r="AB6" s="772"/>
      <c r="AC6" s="771">
        <f>IF($A$1=2,AC31,IF($A$1=1,AC26,IF($F$1=TRUE,IF($I$1=FALSE,AC21,AC16),AC11)))</f>
        <v>0</v>
      </c>
      <c r="AD6" s="771">
        <f>IF($A$1=2,AD31,IF($A$1=1,AD26,IF($F$1=TRUE,IF($I$1=FALSE,AD21,AD16),AD11)))</f>
        <v>0</v>
      </c>
      <c r="AE6" s="771">
        <f>IF($A$1=2,AE31,IF($A$1=1,AE26,IF($F$1=TRUE,IF($I$1=FALSE,AE21,AE16),AE11)))</f>
        <v>0</v>
      </c>
      <c r="AF6" s="771">
        <f>IF($A$1=2,AF31,IF($A$1=1,AF26,IF($F$1=TRUE,IF($I$1=FALSE,AF21,AF16),AF11)))</f>
        <v>0</v>
      </c>
      <c r="AG6" s="776">
        <f>IF($A$1=2,AG31,IF($A$1=1,AG26,IF($F$1=TRUE,IF($I$1=FALSE,AG21,AG16),AG11)))</f>
        <v>0</v>
      </c>
    </row>
    <row r="7" spans="1:35">
      <c r="I7" s="187"/>
    </row>
    <row r="8" spans="1:35" hidden="1">
      <c r="A8" s="2649" t="s">
        <v>1595</v>
      </c>
      <c r="B8" s="777" t="s">
        <v>1593</v>
      </c>
      <c r="C8" s="778">
        <f>IFERROR(AF$78,0)</f>
        <v>0</v>
      </c>
      <c r="D8" s="778">
        <f>ROUND(C8*(1+Z8),0)</f>
        <v>0</v>
      </c>
      <c r="E8" s="779">
        <v>2</v>
      </c>
      <c r="F8" s="779" t="b">
        <f>K$47</f>
        <v>0</v>
      </c>
      <c r="G8" s="780">
        <f>AE$78</f>
        <v>0</v>
      </c>
      <c r="H8" s="781">
        <f>AJ$78</f>
        <v>0</v>
      </c>
      <c r="I8" s="778">
        <f>IF(F8=FALSE,0,ROUND(AD$78*K$48*12,0))</f>
        <v>0</v>
      </c>
      <c r="J8" s="778">
        <f>IF(K$46=FALSE,0,IF(Y8&lt;0,0,Y8))</f>
        <v>0</v>
      </c>
      <c r="K8" s="782">
        <f>IFERROR(ROUND(J8/D8,2),0)</f>
        <v>0</v>
      </c>
      <c r="L8" s="783">
        <f>AI$78</f>
        <v>0</v>
      </c>
      <c r="M8" s="779" t="str">
        <f>IF(G8=0,"",IF(K8=K$43,"Up",IF(OR(J8=U8,L8=0.85*N8*100/G8),"Flat","Down")))</f>
        <v/>
      </c>
      <c r="N8" s="778">
        <f>IF(H8=0,0,ROUND(G8*HLOOKUP(E8,Lookup!BN$3:BO$33,H8+1,FALSE)/100,0))</f>
        <v>0</v>
      </c>
      <c r="O8" s="784">
        <f>IF(H8=0,0,IF(C8=0,0,ROUND(N8/(((1+K$40)*C8)/(1+K$39)),2)))</f>
        <v>0</v>
      </c>
      <c r="P8" s="778">
        <f>IF(G8=0,0,ROUND((G8*F8/100)+I8,0))</f>
        <v>0</v>
      </c>
      <c r="Q8" s="779" t="str">
        <f>IF(H8="",0,IF(F8*G8&gt;0,ROUND(D8/P8,1),"N/A"))</f>
        <v>N/A</v>
      </c>
      <c r="R8" s="779" t="str">
        <f>IF(H8="",0,IF(F8*G8&gt;0,ROUND((D8-J8)/P8,1),"N/A"))</f>
        <v>N/A</v>
      </c>
      <c r="S8" s="784" t="e">
        <f>N8/(J8*$K$37)</f>
        <v>#DIV/0!</v>
      </c>
      <c r="T8" s="778">
        <f>IFERROR(ROUND(K$43*(D8-(T$82*Lookup!K$17)),0),0)</f>
        <v>0</v>
      </c>
      <c r="U8" s="778">
        <f>IFERROR(ROUND(L8*G8,0),0)</f>
        <v>0</v>
      </c>
      <c r="V8" s="778">
        <f>IFERROR(ROUND((K$42*C8)-(K$42*AA8),0),0)</f>
        <v>0</v>
      </c>
      <c r="W8" s="778">
        <f>ROUND(N8*0.85,0)</f>
        <v>0</v>
      </c>
      <c r="X8" s="777"/>
      <c r="Y8" s="778">
        <f>IF(F8=0,0,IF(H8="",0,IF(Q8&lt;1,0,MIN(T8:W8))))</f>
        <v>0</v>
      </c>
      <c r="Z8" s="785">
        <f>Installations!E24</f>
        <v>0</v>
      </c>
      <c r="AA8" s="778">
        <f>ROUND(IF(N8="",0,(N8/K$41)*((1+K$39)/(1+K$40))),0)</f>
        <v>0</v>
      </c>
      <c r="AB8" s="777"/>
      <c r="AC8" s="778">
        <f>M$82+K$78</f>
        <v>0</v>
      </c>
      <c r="AD8" s="778">
        <f>Q$82+R$82</f>
        <v>0</v>
      </c>
      <c r="AE8" s="778">
        <f>SUM(AC8:AD8)</f>
        <v>0</v>
      </c>
      <c r="AF8" s="786">
        <f>AE8*Z8</f>
        <v>0</v>
      </c>
      <c r="AG8" s="778">
        <f>SUM(AE8:AF8)</f>
        <v>0</v>
      </c>
      <c r="AI8" t="s">
        <v>1596</v>
      </c>
    </row>
    <row r="9" spans="1:35" hidden="1">
      <c r="A9" s="2650"/>
      <c r="B9" s="787" t="s">
        <v>1452</v>
      </c>
      <c r="C9" s="788">
        <f>AF$80</f>
        <v>0</v>
      </c>
      <c r="D9" s="789">
        <f>C9*(1+Z8)</f>
        <v>0</v>
      </c>
      <c r="E9" s="790">
        <v>2</v>
      </c>
      <c r="F9" s="790" t="b">
        <f>F8</f>
        <v>0</v>
      </c>
      <c r="G9" s="791">
        <f>SUM(J$58:J$69)</f>
        <v>0</v>
      </c>
      <c r="H9" s="790">
        <v>10</v>
      </c>
      <c r="I9" s="787"/>
      <c r="J9" s="788">
        <f>IFERROR(IF(F9=FALSE,0,G$49),0)</f>
        <v>0</v>
      </c>
      <c r="K9" s="792">
        <f>IFERROR(ROUND(J9/D9,2),0)</f>
        <v>0</v>
      </c>
      <c r="L9" s="787"/>
      <c r="M9" s="787"/>
      <c r="N9" s="787"/>
      <c r="O9" s="787"/>
      <c r="P9" s="788">
        <f>IF(G9=0,0,ROUND((G9*F9/100)+I9,0))</f>
        <v>0</v>
      </c>
      <c r="Q9" s="787"/>
      <c r="R9" s="787"/>
      <c r="S9" s="1011"/>
      <c r="T9" s="787"/>
      <c r="U9" s="787"/>
      <c r="V9" s="793"/>
      <c r="W9" s="787"/>
      <c r="X9" s="787"/>
      <c r="Y9" s="787"/>
      <c r="Z9" s="787"/>
      <c r="AA9" s="787"/>
      <c r="AB9" s="787"/>
      <c r="AC9" s="788">
        <f>K$80</f>
        <v>0</v>
      </c>
      <c r="AD9" s="788">
        <f>R$80</f>
        <v>0</v>
      </c>
      <c r="AE9" s="788">
        <f>SUM(AC9:AD9)</f>
        <v>0</v>
      </c>
      <c r="AF9" s="789">
        <f>AE9*Z8</f>
        <v>0</v>
      </c>
      <c r="AG9" s="788">
        <f>SUM(AE9:AF9)</f>
        <v>0</v>
      </c>
    </row>
    <row r="10" spans="1:35" hidden="1">
      <c r="A10" s="2650"/>
      <c r="B10" s="777" t="s">
        <v>1594</v>
      </c>
      <c r="C10" s="777"/>
      <c r="D10" s="777"/>
      <c r="E10" s="779"/>
      <c r="F10" s="779" t="b">
        <f>F8</f>
        <v>0</v>
      </c>
      <c r="G10" s="779"/>
      <c r="H10" s="777"/>
      <c r="I10" s="777"/>
      <c r="J10" s="778">
        <f>IF(J8=0,0,IF(F10=FALSE,0,Installations!W26+Installations!W28+Installations!W30+Installations!W32+Installations!W34))</f>
        <v>0</v>
      </c>
      <c r="K10" s="782">
        <f>IFERROR(ROUND(J10/D10,2),0)</f>
        <v>0</v>
      </c>
      <c r="L10" s="777"/>
      <c r="M10" s="777"/>
      <c r="N10" s="777"/>
      <c r="O10" s="777"/>
      <c r="P10" s="777"/>
      <c r="Q10" s="777"/>
      <c r="R10" s="777"/>
      <c r="S10" s="777"/>
      <c r="T10" s="777"/>
      <c r="U10" s="777"/>
      <c r="V10" s="794"/>
      <c r="W10" s="777"/>
      <c r="X10" s="777"/>
      <c r="Y10" s="777"/>
      <c r="Z10" s="777"/>
      <c r="AA10" s="777"/>
      <c r="AB10" s="777"/>
      <c r="AC10" s="777"/>
      <c r="AD10" s="779"/>
      <c r="AE10" s="777"/>
      <c r="AF10" s="786"/>
      <c r="AG10" s="778"/>
    </row>
    <row r="11" spans="1:35" hidden="1">
      <c r="A11" s="2651"/>
      <c r="B11" s="795" t="s">
        <v>1285</v>
      </c>
      <c r="C11" s="796">
        <f>C8+C9</f>
        <v>0</v>
      </c>
      <c r="D11" s="796">
        <f>D8+D9</f>
        <v>0</v>
      </c>
      <c r="E11" s="797">
        <v>2</v>
      </c>
      <c r="F11" s="797" t="b">
        <f>F8</f>
        <v>0</v>
      </c>
      <c r="G11" s="798">
        <f>G8+G9</f>
        <v>0</v>
      </c>
      <c r="H11" s="797">
        <f>IFERROR(ROUND(((G8*H8)+(G9*H9))/G11,0),0)</f>
        <v>0</v>
      </c>
      <c r="I11" s="796">
        <f>I8</f>
        <v>0</v>
      </c>
      <c r="J11" s="796">
        <f>J8+J9+J10</f>
        <v>0</v>
      </c>
      <c r="K11" s="799">
        <f>IFERROR(ROUND(J11/D11,2),0)</f>
        <v>0</v>
      </c>
      <c r="L11" s="795"/>
      <c r="M11" s="795"/>
      <c r="N11" s="795"/>
      <c r="O11" s="795"/>
      <c r="P11" s="796">
        <f>IF(G11=0,0,ROUND((G11*F11/100)+I11,0))</f>
        <v>0</v>
      </c>
      <c r="Q11" s="797" t="str">
        <f>IF(H11="",0,IF(F11*G11&gt;0,ROUND(D11/P11,1),"N/A"))</f>
        <v>N/A</v>
      </c>
      <c r="R11" s="800" t="str">
        <f>IF(H11="",0,IF(F11*G11&gt;0,ROUND((D11-J11)/P11,1),"N/A"))</f>
        <v>N/A</v>
      </c>
      <c r="S11" s="795"/>
      <c r="T11" s="795"/>
      <c r="U11" s="795"/>
      <c r="V11" s="795"/>
      <c r="W11" s="795"/>
      <c r="X11" s="795"/>
      <c r="Y11" s="795"/>
      <c r="Z11" s="795"/>
      <c r="AA11" s="795"/>
      <c r="AB11" s="795"/>
      <c r="AC11" s="796">
        <f>SUM(AC8:AC10)</f>
        <v>0</v>
      </c>
      <c r="AD11" s="796">
        <f>SUM(AD8:AD10)</f>
        <v>0</v>
      </c>
      <c r="AE11" s="796">
        <f>SUM(AC11:AD11)</f>
        <v>0</v>
      </c>
      <c r="AF11" s="801">
        <f>AE11*Z$8</f>
        <v>0</v>
      </c>
      <c r="AG11" s="796">
        <f>SUM(AE11:AF11)</f>
        <v>0</v>
      </c>
    </row>
    <row r="12" spans="1:35" hidden="1">
      <c r="A12" s="92"/>
      <c r="C12" s="95"/>
      <c r="D12" s="95"/>
      <c r="E12" s="12"/>
      <c r="F12" s="12"/>
      <c r="G12" s="127"/>
      <c r="H12" s="12"/>
      <c r="I12" s="95"/>
      <c r="J12" s="95"/>
      <c r="K12" s="61"/>
      <c r="L12" s="104"/>
      <c r="M12" s="12"/>
      <c r="N12" s="95"/>
      <c r="O12" s="222"/>
      <c r="P12" s="95"/>
      <c r="Q12" s="12"/>
      <c r="R12" s="12"/>
      <c r="T12" s="95"/>
      <c r="U12" s="95"/>
      <c r="V12" s="95"/>
      <c r="W12" s="95"/>
      <c r="Y12" s="95"/>
      <c r="Z12" s="98"/>
      <c r="AA12" s="95"/>
      <c r="AC12" s="95"/>
      <c r="AD12" s="95"/>
      <c r="AE12" s="95"/>
      <c r="AF12" s="115"/>
      <c r="AG12" s="95"/>
    </row>
    <row r="13" spans="1:35">
      <c r="A13" s="2652" t="s">
        <v>1597</v>
      </c>
      <c r="B13" s="802" t="s">
        <v>1593</v>
      </c>
      <c r="C13" s="803">
        <f>IFERROR(AF$78,0)</f>
        <v>0</v>
      </c>
      <c r="D13" s="803">
        <f>ROUND(C13*(1+Z13),0)</f>
        <v>0</v>
      </c>
      <c r="E13" s="804">
        <f>E8</f>
        <v>2</v>
      </c>
      <c r="F13" s="804" t="b">
        <f>K$47</f>
        <v>0</v>
      </c>
      <c r="G13" s="805">
        <f>AE$78</f>
        <v>0</v>
      </c>
      <c r="H13" s="806">
        <f>AJ$78</f>
        <v>0</v>
      </c>
      <c r="I13" s="803">
        <f>IF(F13=FALSE,0,ROUND(AD$78*K$48*12,0))</f>
        <v>0</v>
      </c>
      <c r="J13" s="803">
        <f>IF(K$46=FALSE,0,IF(Y13&lt;0,0,Y13))</f>
        <v>0</v>
      </c>
      <c r="K13" s="807">
        <f>IFERROR(ROUND(J13/D13,2),0)</f>
        <v>0</v>
      </c>
      <c r="L13" s="808">
        <f>AI$78</f>
        <v>0</v>
      </c>
      <c r="M13" s="804" t="str">
        <f>IF(G13=0,"",IF(K13=K$43,"Up",IF(OR(J13=U13,L13=0.85*N13*100/G13),"Flat","Down")))</f>
        <v/>
      </c>
      <c r="N13" s="803">
        <f>IF(H13=0,0,(ROUND(G13*HLOOKUP(E13,Lookup!CB$3:CC$33,H13+1,FALSE)/100,0)+Q$44))</f>
        <v>0</v>
      </c>
      <c r="O13" s="809">
        <f>IF(H13=0,0,IF(C13=0,0,ROUND(N13/(((1+K$40)*C13)/(1+K$39)),2)))</f>
        <v>0</v>
      </c>
      <c r="P13" s="803">
        <f>IF(G13=0,0,ROUND((G13*F13/100)+I13+Q$43,0))</f>
        <v>0</v>
      </c>
      <c r="Q13" s="804" t="str">
        <f>IF(H13="",0,IF(F13*G13&gt;0,ROUND(D13/P13,1),"N/A"))</f>
        <v>N/A</v>
      </c>
      <c r="R13" s="804" t="str">
        <f>IF(H13="",0,IF(F13*G13&gt;0,ROUND((D13-J13)/P13,1),"N/A"))</f>
        <v>N/A</v>
      </c>
      <c r="S13" s="809" t="e">
        <f>N13/(J13*$K$37)</f>
        <v>#DIV/0!</v>
      </c>
      <c r="T13" s="803">
        <f>IFERROR(ROUND(K$43*(D13-(T$82*Lookup!K$17)),0),0)</f>
        <v>0</v>
      </c>
      <c r="U13" s="803">
        <f>IFERROR(ROUND(L13*G13,0),0)</f>
        <v>0</v>
      </c>
      <c r="V13" s="803">
        <f>IFERROR(ROUND((K$42*C13)-(K$42*AA13),0),0)</f>
        <v>0</v>
      </c>
      <c r="W13" s="803">
        <f>ROUND(N13*0.85,0)</f>
        <v>0</v>
      </c>
      <c r="X13" s="802"/>
      <c r="Y13" s="803">
        <f>IF(F13=0,0,IF(H13="",0,IF(Q13&lt;1,0,MIN(T13:W13))))</f>
        <v>0</v>
      </c>
      <c r="Z13" s="810">
        <f>Installations!E24</f>
        <v>0</v>
      </c>
      <c r="AA13" s="803">
        <f>ROUND(IF(N13="",0,(N13/K$41)*((1+K$39)/(1+K$40))),0)</f>
        <v>0</v>
      </c>
      <c r="AB13" s="802"/>
      <c r="AC13" s="803">
        <f>M$82+K$78</f>
        <v>0</v>
      </c>
      <c r="AD13" s="803">
        <f>Q$82+R$82</f>
        <v>0</v>
      </c>
      <c r="AE13" s="803">
        <f>SUM(AC13:AD13)</f>
        <v>0</v>
      </c>
      <c r="AF13" s="811">
        <f>AE13*Z13</f>
        <v>0</v>
      </c>
      <c r="AG13" s="803">
        <f>SUM(AE13:AF13)</f>
        <v>0</v>
      </c>
      <c r="AI13" t="s">
        <v>1598</v>
      </c>
    </row>
    <row r="14" spans="1:35">
      <c r="A14" s="2653"/>
      <c r="B14" s="812" t="s">
        <v>1452</v>
      </c>
      <c r="C14" s="813">
        <f>AF$80</f>
        <v>0</v>
      </c>
      <c r="D14" s="814">
        <f>C14*(1+Z13)</f>
        <v>0</v>
      </c>
      <c r="E14" s="815">
        <v>2</v>
      </c>
      <c r="F14" s="815" t="b">
        <f>F13</f>
        <v>0</v>
      </c>
      <c r="G14" s="816">
        <f>SUM(J$58:J$69)</f>
        <v>0</v>
      </c>
      <c r="H14" s="815">
        <v>10</v>
      </c>
      <c r="I14" s="812"/>
      <c r="J14" s="813">
        <f>IFERROR(IF(F14=FALSE,0,G$49),0)</f>
        <v>0</v>
      </c>
      <c r="K14" s="817">
        <f>IFERROR(ROUND(J14/D14,2),0)</f>
        <v>0</v>
      </c>
      <c r="L14" s="812"/>
      <c r="M14" s="812"/>
      <c r="N14" s="812"/>
      <c r="O14" s="812"/>
      <c r="P14" s="813">
        <f>IF(G14=0,0,ROUND((G14*F14/100)+I14,0))</f>
        <v>0</v>
      </c>
      <c r="Q14" s="812"/>
      <c r="R14" s="812"/>
      <c r="S14" s="1012"/>
      <c r="T14" s="812"/>
      <c r="U14" s="812"/>
      <c r="V14" s="818"/>
      <c r="W14" s="812"/>
      <c r="X14" s="812"/>
      <c r="Y14" s="812"/>
      <c r="Z14" s="812"/>
      <c r="AA14" s="812"/>
      <c r="AB14" s="812"/>
      <c r="AC14" s="813">
        <f>K$80</f>
        <v>0</v>
      </c>
      <c r="AD14" s="813">
        <f>R$80</f>
        <v>0</v>
      </c>
      <c r="AE14" s="813">
        <f>SUM(AC14:AD14)</f>
        <v>0</v>
      </c>
      <c r="AF14" s="814">
        <f>AE14*Z13</f>
        <v>0</v>
      </c>
      <c r="AG14" s="813">
        <f>SUM(AE14:AF14)</f>
        <v>0</v>
      </c>
    </row>
    <row r="15" spans="1:35">
      <c r="A15" s="2653"/>
      <c r="B15" s="802" t="s">
        <v>1594</v>
      </c>
      <c r="C15" s="802"/>
      <c r="D15" s="802"/>
      <c r="E15" s="804"/>
      <c r="F15" s="804" t="b">
        <f>F13</f>
        <v>0</v>
      </c>
      <c r="G15" s="804"/>
      <c r="H15" s="802"/>
      <c r="I15" s="802"/>
      <c r="J15" s="803">
        <f>IF(J13=0,0,IF(F15=FALSE,0,Installations!W26+Installations!W28+Installations!W30+Installations!W32+Installations!W34))</f>
        <v>0</v>
      </c>
      <c r="K15" s="807">
        <f>IFERROR(ROUND(J15/D15,2),0)</f>
        <v>0</v>
      </c>
      <c r="L15" s="802"/>
      <c r="M15" s="802"/>
      <c r="N15" s="802"/>
      <c r="O15" s="802"/>
      <c r="P15" s="802"/>
      <c r="Q15" s="802"/>
      <c r="R15" s="802"/>
      <c r="S15" s="802"/>
      <c r="T15" s="802"/>
      <c r="U15" s="802"/>
      <c r="V15" s="819"/>
      <c r="W15" s="802"/>
      <c r="X15" s="802"/>
      <c r="Y15" s="802"/>
      <c r="Z15" s="802"/>
      <c r="AA15" s="802"/>
      <c r="AB15" s="802"/>
      <c r="AC15" s="802"/>
      <c r="AD15" s="804"/>
      <c r="AE15" s="802"/>
      <c r="AF15" s="811"/>
      <c r="AG15" s="803"/>
    </row>
    <row r="16" spans="1:35">
      <c r="A16" s="2654"/>
      <c r="B16" s="820" t="s">
        <v>1285</v>
      </c>
      <c r="C16" s="821">
        <f>C13+C14</f>
        <v>0</v>
      </c>
      <c r="D16" s="821">
        <f>D13+D14</f>
        <v>0</v>
      </c>
      <c r="E16" s="822">
        <v>2</v>
      </c>
      <c r="F16" s="822" t="b">
        <f>F13</f>
        <v>0</v>
      </c>
      <c r="G16" s="823">
        <f>G13+G14</f>
        <v>0</v>
      </c>
      <c r="H16" s="822">
        <f>IFERROR(ROUND(((G13*H13)+(G14*H14))/G16,0),0)</f>
        <v>0</v>
      </c>
      <c r="I16" s="821">
        <f>I13</f>
        <v>0</v>
      </c>
      <c r="J16" s="821">
        <f>J13+J14+J15</f>
        <v>0</v>
      </c>
      <c r="K16" s="824">
        <f>IFERROR(ROUND(J16/D16,2),0)</f>
        <v>0</v>
      </c>
      <c r="L16" s="820"/>
      <c r="M16" s="820"/>
      <c r="N16" s="820"/>
      <c r="O16" s="820"/>
      <c r="P16" s="821">
        <f>IF(G16=0,0,ROUND((G16*F16/100)+I16+Q$43,0))</f>
        <v>0</v>
      </c>
      <c r="Q16" s="822" t="str">
        <f>IF(H16="",0,IF(F16*G16&gt;0,ROUND(D16/P16,1),"N/A"))</f>
        <v>N/A</v>
      </c>
      <c r="R16" s="825" t="str">
        <f>IF(H16="",0,IF(F16*G16&gt;0,ROUND((D16-J16)/P16,1),"N/A"))</f>
        <v>N/A</v>
      </c>
      <c r="S16" s="820"/>
      <c r="T16" s="820"/>
      <c r="U16" s="820"/>
      <c r="V16" s="820"/>
      <c r="W16" s="820"/>
      <c r="X16" s="820"/>
      <c r="Y16" s="820"/>
      <c r="Z16" s="820"/>
      <c r="AA16" s="820"/>
      <c r="AB16" s="820"/>
      <c r="AC16" s="821">
        <f>SUM(AC13:AC15)</f>
        <v>0</v>
      </c>
      <c r="AD16" s="821">
        <f>SUM(AD13:AD15)</f>
        <v>0</v>
      </c>
      <c r="AE16" s="821">
        <f>SUM(AC16:AD16)</f>
        <v>0</v>
      </c>
      <c r="AF16" s="826">
        <f>AE16*Z$8</f>
        <v>0</v>
      </c>
      <c r="AG16" s="821">
        <f>SUM(AE16:AF16)</f>
        <v>0</v>
      </c>
    </row>
    <row r="17" spans="1:33">
      <c r="E17" s="12"/>
      <c r="F17" s="12"/>
      <c r="G17" s="12"/>
      <c r="H17" s="430"/>
      <c r="L17" s="430"/>
      <c r="N17" s="95"/>
      <c r="AD17" s="12"/>
      <c r="AF17" s="115"/>
      <c r="AG17" s="95"/>
    </row>
    <row r="18" spans="1:33">
      <c r="A18" s="2655" t="s">
        <v>1599</v>
      </c>
      <c r="B18" s="751" t="s">
        <v>1593</v>
      </c>
      <c r="C18" s="827">
        <f>IFERROR(AF$78,0)</f>
        <v>0</v>
      </c>
      <c r="D18" s="827">
        <f>ROUND(C18*(1+Z18),0)</f>
        <v>0</v>
      </c>
      <c r="E18" s="753">
        <f>E8</f>
        <v>2</v>
      </c>
      <c r="F18" s="753" t="b">
        <f>K$47</f>
        <v>0</v>
      </c>
      <c r="G18" s="828">
        <f>AE$78</f>
        <v>0</v>
      </c>
      <c r="H18" s="829">
        <f>AJ$78</f>
        <v>0</v>
      </c>
      <c r="I18" s="827">
        <f>IF(F18=FALSE,0,ROUND(AD$78*K$48*12,0))</f>
        <v>0</v>
      </c>
      <c r="J18" s="827">
        <f>IF(K$46=FALSE,0,IF(Y18&lt;0,0,Y18))</f>
        <v>0</v>
      </c>
      <c r="K18" s="830">
        <f>IFERROR(ROUND(J18/D18,2),0)</f>
        <v>0</v>
      </c>
      <c r="L18" s="831">
        <f>AI$78</f>
        <v>0</v>
      </c>
      <c r="M18" s="753" t="str">
        <f>IF(G18=0,"",IF(K18=K$43,"Up",IF(OR(J18=U18,L18=0.85*N18*100/G18),"Flat","Down")))</f>
        <v/>
      </c>
      <c r="N18" s="827">
        <f>IF(H18=0,0,(ROUND(G18*HLOOKUP(E18,Lookup!BN$3:BO$33,H18+1,FALSE)/100,0)+Q$44))</f>
        <v>0</v>
      </c>
      <c r="O18" s="832">
        <f>IF(H18=0,0,IF(C18=0,0,ROUND(N18/(((1+K$40)*C18)/(1+K$39)),2)))</f>
        <v>0</v>
      </c>
      <c r="P18" s="827">
        <f>IF(G18=0,0,ROUND((G18*F18/100)+I18+Q$43,0))</f>
        <v>0</v>
      </c>
      <c r="Q18" s="753" t="str">
        <f>IF(H18="",0,IF(F18*G18&gt;0,ROUND(D18/P18,1),"N/A"))</f>
        <v>N/A</v>
      </c>
      <c r="R18" s="753" t="str">
        <f>IF(H18="",0,IF(F18*G18&gt;0,ROUND((D18-J18)/P18,1),"N/A"))</f>
        <v>N/A</v>
      </c>
      <c r="S18" s="832" t="e">
        <f>N18/(J18*$K$37)</f>
        <v>#DIV/0!</v>
      </c>
      <c r="T18" s="827">
        <f>IFERROR(ROUND(K$43*(D18-(T$82*Lookup!K$17)),0),0)</f>
        <v>0</v>
      </c>
      <c r="U18" s="827">
        <f>IFERROR(ROUND(L18*G18,0),0)</f>
        <v>0</v>
      </c>
      <c r="V18" s="827">
        <f>IFERROR(ROUND((K$42*C18)-(K$42*AA18),0),0)</f>
        <v>0</v>
      </c>
      <c r="W18" s="827">
        <f>ROUND(N18*0.85,0)</f>
        <v>0</v>
      </c>
      <c r="X18" s="827"/>
      <c r="Y18" s="827">
        <f>IF(F18=0,0,IF(H18="",0,IF(Q18&lt;1,0,MIN(T18:W18))))</f>
        <v>0</v>
      </c>
      <c r="Z18" s="833">
        <f>Installations!E24</f>
        <v>0</v>
      </c>
      <c r="AA18" s="827">
        <f>ROUND(IF(N18="",0,(N18/K$41)*((1+K$39)/(1+K$40))),0)</f>
        <v>0</v>
      </c>
      <c r="AB18" s="827"/>
      <c r="AC18" s="827">
        <f>M$82+K$78</f>
        <v>0</v>
      </c>
      <c r="AD18" s="827">
        <f>Q$82+R$82</f>
        <v>0</v>
      </c>
      <c r="AE18" s="827">
        <f>SUM(AC18:AD18)</f>
        <v>0</v>
      </c>
      <c r="AF18" s="754">
        <f>AE18*Z18</f>
        <v>0</v>
      </c>
      <c r="AG18" s="827">
        <f>SUM(AE18:AF18)</f>
        <v>0</v>
      </c>
    </row>
    <row r="19" spans="1:33">
      <c r="A19" s="2656"/>
      <c r="B19" s="834" t="s">
        <v>1452</v>
      </c>
      <c r="C19" s="835">
        <f>AF$80</f>
        <v>0</v>
      </c>
      <c r="D19" s="836">
        <f>C19*(1+Z18)</f>
        <v>0</v>
      </c>
      <c r="E19" s="837">
        <v>2</v>
      </c>
      <c r="F19" s="837" t="b">
        <f>F18</f>
        <v>0</v>
      </c>
      <c r="G19" s="838">
        <f>SUM(J$58:J$69)</f>
        <v>0</v>
      </c>
      <c r="H19" s="837">
        <v>10</v>
      </c>
      <c r="I19" s="834"/>
      <c r="J19" s="835">
        <f>IFERROR(IF(F19=FALSE,0,G$49),0)</f>
        <v>0</v>
      </c>
      <c r="K19" s="839">
        <f>IFERROR(ROUND(J19/D19,2),0)</f>
        <v>0</v>
      </c>
      <c r="L19" s="834"/>
      <c r="M19" s="834"/>
      <c r="N19" s="834"/>
      <c r="O19" s="834"/>
      <c r="P19" s="835">
        <f>IF(G19=0,0,ROUND((G19*F19/100)+I19,0))</f>
        <v>0</v>
      </c>
      <c r="Q19" s="834"/>
      <c r="R19" s="834"/>
      <c r="S19" s="1013"/>
      <c r="T19" s="834"/>
      <c r="U19" s="834"/>
      <c r="V19" s="840"/>
      <c r="W19" s="834"/>
      <c r="X19" s="834"/>
      <c r="Y19" s="834"/>
      <c r="Z19" s="834"/>
      <c r="AA19" s="834"/>
      <c r="AB19" s="834"/>
      <c r="AC19" s="835">
        <f>K$80</f>
        <v>0</v>
      </c>
      <c r="AD19" s="835">
        <f>R$80</f>
        <v>0</v>
      </c>
      <c r="AE19" s="835">
        <f>SUM(AC19:AD19)</f>
        <v>0</v>
      </c>
      <c r="AF19" s="836">
        <f>AE19*Z18</f>
        <v>0</v>
      </c>
      <c r="AG19" s="835">
        <f>SUM(AE19:AF19)</f>
        <v>0</v>
      </c>
    </row>
    <row r="20" spans="1:33">
      <c r="A20" s="2656"/>
      <c r="B20" s="751" t="s">
        <v>1594</v>
      </c>
      <c r="C20" s="751"/>
      <c r="D20" s="751"/>
      <c r="E20" s="753"/>
      <c r="F20" s="753" t="b">
        <f>F18</f>
        <v>0</v>
      </c>
      <c r="G20" s="753"/>
      <c r="H20" s="751"/>
      <c r="I20" s="751"/>
      <c r="J20" s="827">
        <f>IF(J18=0,0,IF(F20=FALSE,0,Installations!W26+Installations!W28+Installations!W30+Installations!W32+Installations!W34))</f>
        <v>0</v>
      </c>
      <c r="K20" s="830">
        <f>IFERROR(ROUND(J20/D20,2),0)</f>
        <v>0</v>
      </c>
      <c r="L20" s="751"/>
      <c r="M20" s="751"/>
      <c r="N20" s="751"/>
      <c r="O20" s="751"/>
      <c r="P20" s="751"/>
      <c r="Q20" s="751"/>
      <c r="R20" s="751"/>
      <c r="S20" s="751"/>
      <c r="T20" s="751"/>
      <c r="U20" s="751"/>
      <c r="V20" s="841"/>
      <c r="W20" s="751"/>
      <c r="X20" s="751"/>
      <c r="Y20" s="751"/>
      <c r="Z20" s="751"/>
      <c r="AA20" s="751"/>
      <c r="AB20" s="751"/>
      <c r="AC20" s="751"/>
      <c r="AD20" s="753"/>
      <c r="AE20" s="751"/>
      <c r="AF20" s="754"/>
      <c r="AG20" s="827"/>
    </row>
    <row r="21" spans="1:33">
      <c r="A21" s="2657"/>
      <c r="B21" s="842" t="s">
        <v>1285</v>
      </c>
      <c r="C21" s="843">
        <f>C18+C19</f>
        <v>0</v>
      </c>
      <c r="D21" s="843">
        <f>D18+D19</f>
        <v>0</v>
      </c>
      <c r="E21" s="844">
        <v>2</v>
      </c>
      <c r="F21" s="844" t="b">
        <f>F18</f>
        <v>0</v>
      </c>
      <c r="G21" s="845">
        <f>G18+G19</f>
        <v>0</v>
      </c>
      <c r="H21" s="844">
        <f>IFERROR(ROUND(((G18*H18)+(G19*H19))/G21,0),0)</f>
        <v>0</v>
      </c>
      <c r="I21" s="843">
        <f>I18</f>
        <v>0</v>
      </c>
      <c r="J21" s="843">
        <f>J18+J19+J20</f>
        <v>0</v>
      </c>
      <c r="K21" s="846">
        <f>IFERROR(ROUND(J21/D21,2),0)</f>
        <v>0</v>
      </c>
      <c r="L21" s="842"/>
      <c r="M21" s="842"/>
      <c r="N21" s="842"/>
      <c r="O21" s="842"/>
      <c r="P21" s="843">
        <f>IF(G21=0,0,ROUND((G21*F21/100)+I21+Q$43,0))</f>
        <v>0</v>
      </c>
      <c r="Q21" s="844" t="str">
        <f>IF(H21="",0,IF(F21*G21&gt;0,ROUND(D21/P21,1),"N/A"))</f>
        <v>N/A</v>
      </c>
      <c r="R21" s="847" t="str">
        <f>IF(H21="",0,IF(F21*G21&gt;0,ROUND((D21-J21)/P21,1),"N/A"))</f>
        <v>N/A</v>
      </c>
      <c r="S21" s="842"/>
      <c r="T21" s="842"/>
      <c r="U21" s="842"/>
      <c r="V21" s="842"/>
      <c r="W21" s="842"/>
      <c r="X21" s="842"/>
      <c r="Y21" s="842"/>
      <c r="Z21" s="842"/>
      <c r="AA21" s="842"/>
      <c r="AB21" s="842"/>
      <c r="AC21" s="843">
        <f>SUM(AC18:AC20)</f>
        <v>0</v>
      </c>
      <c r="AD21" s="843">
        <f>SUM(AD18:AD20)</f>
        <v>0</v>
      </c>
      <c r="AE21" s="843">
        <f>SUM(AC21:AD21)</f>
        <v>0</v>
      </c>
      <c r="AF21" s="848">
        <f>AE21*Z$8</f>
        <v>0</v>
      </c>
      <c r="AG21" s="843">
        <f>SUM(AE21:AF21)</f>
        <v>0</v>
      </c>
    </row>
    <row r="22" spans="1:33">
      <c r="E22" s="12"/>
      <c r="F22" s="12"/>
      <c r="G22" s="12"/>
      <c r="H22" s="430"/>
      <c r="L22" s="430"/>
      <c r="N22" s="95"/>
      <c r="V22" s="495"/>
      <c r="AD22" s="12"/>
      <c r="AF22" s="115"/>
      <c r="AG22" s="116"/>
    </row>
    <row r="23" spans="1:33">
      <c r="A23" s="2646" t="s">
        <v>1600</v>
      </c>
      <c r="B23" s="849" t="s">
        <v>1593</v>
      </c>
      <c r="C23" s="850">
        <f>G23*L23</f>
        <v>0</v>
      </c>
      <c r="D23" s="850">
        <f>ROUND(C23*(1+Z23),0)</f>
        <v>0</v>
      </c>
      <c r="E23" s="851">
        <f>E13</f>
        <v>2</v>
      </c>
      <c r="F23" s="851" t="b">
        <f>K$47</f>
        <v>0</v>
      </c>
      <c r="G23" s="852">
        <f>AE$78</f>
        <v>0</v>
      </c>
      <c r="H23" s="853">
        <f>AJ$78</f>
        <v>0</v>
      </c>
      <c r="I23" s="850">
        <f>IF(F23=FALSE,0,ROUND(AD$78*K$48*12,0))</f>
        <v>0</v>
      </c>
      <c r="J23" s="850">
        <f>IF(K$46=FALSE,0,IF(Y23&lt;0,0,Y23))</f>
        <v>0</v>
      </c>
      <c r="K23" s="854">
        <f>IFERROR(ROUND(J23/D23,2),0)</f>
        <v>0</v>
      </c>
      <c r="L23" s="855">
        <f>AI$78</f>
        <v>0</v>
      </c>
      <c r="M23" s="851" t="str">
        <f>IF(G23=0,"",IF(K23=K$43,"Up",IF(OR(J23=U23,L23=0.85*N23*100/G23),"Flat","Down")))</f>
        <v/>
      </c>
      <c r="N23" s="850">
        <f>IF(H23=0,0,(ROUND(G23*HLOOKUP(E23,Lookup!BN$3:BO$33,H23+1,FALSE)/100,0)+Q49))</f>
        <v>0</v>
      </c>
      <c r="O23" s="856">
        <f>IF(H23=0,0,IF(C23=0,0,ROUND(N23/(((1+K$40)*C23)/(1+K$39)),2)))</f>
        <v>0</v>
      </c>
      <c r="P23" s="850">
        <f>IF(G23=0,0,ROUND((G23*F23/100)+I23+Q48,0))</f>
        <v>0</v>
      </c>
      <c r="Q23" s="851" t="str">
        <f>IF(H23="",0,IF(F23*G23&gt;0,ROUND(D23/P23,1),"N/A"))</f>
        <v>N/A</v>
      </c>
      <c r="R23" s="851" t="str">
        <f>IF(H23="",0,IF(F23*G23&gt;0,ROUND((D23-J23)/P23,1),"N/A"))</f>
        <v>N/A</v>
      </c>
      <c r="S23" s="856" t="e">
        <f>N23/(J23*$K$37)</f>
        <v>#DIV/0!</v>
      </c>
      <c r="T23" s="850"/>
      <c r="U23" s="850">
        <f>IFERROR(ROUND(L23*G23,0),0)</f>
        <v>0</v>
      </c>
      <c r="V23" s="850"/>
      <c r="W23" s="850"/>
      <c r="X23" s="850"/>
      <c r="Y23" s="850">
        <f>U23</f>
        <v>0</v>
      </c>
      <c r="Z23" s="857">
        <f>Installations!E24</f>
        <v>0</v>
      </c>
      <c r="AA23" s="850">
        <f>ROUND(IF(N23="",0,(N23/K$41)*((1+K$39)/(1+K$40))),0)</f>
        <v>0</v>
      </c>
      <c r="AB23" s="850"/>
      <c r="AC23" s="850">
        <f>M$82+K$78</f>
        <v>0</v>
      </c>
      <c r="AD23" s="850">
        <f>Q$82+R$82</f>
        <v>0</v>
      </c>
      <c r="AE23" s="850">
        <f>SUM(AC23:AD23)</f>
        <v>0</v>
      </c>
      <c r="AF23" s="858">
        <f>AE23*Z23</f>
        <v>0</v>
      </c>
      <c r="AG23" s="850">
        <f>SUM(AE23:AF23)</f>
        <v>0</v>
      </c>
    </row>
    <row r="24" spans="1:33">
      <c r="A24" s="2647"/>
      <c r="B24" s="859" t="s">
        <v>1452</v>
      </c>
      <c r="C24" s="860">
        <f>AF$80</f>
        <v>0</v>
      </c>
      <c r="D24" s="861">
        <f>C24*(1+Z23)</f>
        <v>0</v>
      </c>
      <c r="E24" s="862">
        <v>2</v>
      </c>
      <c r="F24" s="862" t="b">
        <f>F23</f>
        <v>0</v>
      </c>
      <c r="G24" s="863">
        <f>SUM(J$58:J$69)</f>
        <v>0</v>
      </c>
      <c r="H24" s="862">
        <v>10</v>
      </c>
      <c r="I24" s="859"/>
      <c r="J24" s="860">
        <f>IFERROR(IF(F24=FALSE,0,G$49),0)</f>
        <v>0</v>
      </c>
      <c r="K24" s="864">
        <f>IFERROR(ROUND(J24/D24,2),0)</f>
        <v>0</v>
      </c>
      <c r="L24" s="859"/>
      <c r="M24" s="859"/>
      <c r="N24" s="859"/>
      <c r="O24" s="859"/>
      <c r="P24" s="860">
        <f>IF(G24=0,0,ROUND((G24*F24/100)+I24,0))</f>
        <v>0</v>
      </c>
      <c r="Q24" s="859"/>
      <c r="R24" s="859"/>
      <c r="S24" s="859"/>
      <c r="T24" s="859"/>
      <c r="U24" s="859"/>
      <c r="V24" s="865"/>
      <c r="W24" s="859"/>
      <c r="X24" s="859"/>
      <c r="Y24" s="859"/>
      <c r="Z24" s="859"/>
      <c r="AA24" s="859"/>
      <c r="AB24" s="859"/>
      <c r="AC24" s="860">
        <f>K$80</f>
        <v>0</v>
      </c>
      <c r="AD24" s="860">
        <f>R$80</f>
        <v>0</v>
      </c>
      <c r="AE24" s="860">
        <f>SUM(AC24:AD24)</f>
        <v>0</v>
      </c>
      <c r="AF24" s="861">
        <f>AE24*Z23</f>
        <v>0</v>
      </c>
      <c r="AG24" s="860">
        <f>SUM(AE24:AF24)</f>
        <v>0</v>
      </c>
    </row>
    <row r="25" spans="1:33">
      <c r="A25" s="2647"/>
      <c r="B25" s="849" t="s">
        <v>1594</v>
      </c>
      <c r="C25" s="850">
        <f>J25</f>
        <v>0</v>
      </c>
      <c r="D25" s="850">
        <f>C25</f>
        <v>0</v>
      </c>
      <c r="E25" s="851"/>
      <c r="F25" s="851" t="b">
        <f>F23</f>
        <v>0</v>
      </c>
      <c r="G25" s="851"/>
      <c r="H25" s="849"/>
      <c r="I25" s="849"/>
      <c r="J25" s="850">
        <f>IF(J23=0,0,IF(F25=FALSE,0,Installations!W26+Installations!W28+Installations!W30+Installations!W32+Installations!W34))</f>
        <v>0</v>
      </c>
      <c r="K25" s="854">
        <f>IFERROR(ROUND(J25/D25,2),0)</f>
        <v>0</v>
      </c>
      <c r="L25" s="849"/>
      <c r="M25" s="849"/>
      <c r="N25" s="849"/>
      <c r="O25" s="849"/>
      <c r="P25" s="849"/>
      <c r="Q25" s="849"/>
      <c r="R25" s="849"/>
      <c r="S25" s="849"/>
      <c r="T25" s="849"/>
      <c r="U25" s="849"/>
      <c r="V25" s="866"/>
      <c r="W25" s="849"/>
      <c r="X25" s="849"/>
      <c r="Y25" s="849"/>
      <c r="Z25" s="849"/>
      <c r="AA25" s="849"/>
      <c r="AB25" s="849"/>
      <c r="AC25" s="849"/>
      <c r="AD25" s="851"/>
      <c r="AE25" s="849"/>
      <c r="AF25" s="858"/>
      <c r="AG25" s="850"/>
    </row>
    <row r="26" spans="1:33">
      <c r="A26" s="2648"/>
      <c r="B26" s="867" t="s">
        <v>1285</v>
      </c>
      <c r="C26" s="868">
        <f>C23+C24+C25</f>
        <v>0</v>
      </c>
      <c r="D26" s="868">
        <f>D23+D24+D25</f>
        <v>0</v>
      </c>
      <c r="E26" s="869">
        <v>2</v>
      </c>
      <c r="F26" s="869" t="b">
        <f>F23</f>
        <v>0</v>
      </c>
      <c r="G26" s="870">
        <f>G23+G24</f>
        <v>0</v>
      </c>
      <c r="H26" s="869">
        <f>IFERROR(ROUND(((G23*H23)+(G24*H24))/G26,0),0)</f>
        <v>0</v>
      </c>
      <c r="I26" s="868">
        <f>I23</f>
        <v>0</v>
      </c>
      <c r="J26" s="868">
        <f>J23+J24+J25</f>
        <v>0</v>
      </c>
      <c r="K26" s="871">
        <f>IFERROR(ROUND(J26/D26,2),0)</f>
        <v>0</v>
      </c>
      <c r="L26" s="867"/>
      <c r="M26" s="867"/>
      <c r="N26" s="867"/>
      <c r="O26" s="867"/>
      <c r="P26" s="868">
        <f>IF(G26=0,0,ROUND((G26*F26/100)+I26,0))</f>
        <v>0</v>
      </c>
      <c r="Q26" s="869" t="str">
        <f>IF(H26="",0,IF(F26*G26&gt;0,ROUND(D26/P26,1),"N/A"))</f>
        <v>N/A</v>
      </c>
      <c r="R26" s="872" t="str">
        <f>IF(H26="",0,IF(F26*G26&gt;0,ROUND((D26-J26)/P26,1),"N/A"))</f>
        <v>N/A</v>
      </c>
      <c r="S26" s="867"/>
      <c r="T26" s="867"/>
      <c r="U26" s="867"/>
      <c r="V26" s="867"/>
      <c r="W26" s="867"/>
      <c r="X26" s="867"/>
      <c r="Y26" s="867"/>
      <c r="Z26" s="867"/>
      <c r="AA26" s="867"/>
      <c r="AB26" s="867"/>
      <c r="AC26" s="868">
        <f>SUM(AC23:AC25)</f>
        <v>0</v>
      </c>
      <c r="AD26" s="868">
        <f>SUM(AD23:AD25)</f>
        <v>0</v>
      </c>
      <c r="AE26" s="868">
        <f>SUM(AC26:AD26)</f>
        <v>0</v>
      </c>
      <c r="AF26" s="873">
        <f>AE26*Z$8</f>
        <v>0</v>
      </c>
      <c r="AG26" s="868">
        <f>SUM(AE26:AF26)</f>
        <v>0</v>
      </c>
    </row>
    <row r="27" spans="1:33">
      <c r="E27" s="12"/>
      <c r="F27" s="12"/>
      <c r="G27" s="12"/>
      <c r="H27" s="430"/>
      <c r="I27" s="12"/>
      <c r="J27" s="95"/>
      <c r="L27" s="430"/>
      <c r="N27" s="95"/>
      <c r="V27" s="495"/>
      <c r="AD27" s="12"/>
      <c r="AF27" s="115"/>
      <c r="AG27" s="116"/>
    </row>
    <row r="28" spans="1:33">
      <c r="A28" s="2646" t="s">
        <v>1601</v>
      </c>
      <c r="B28" s="849" t="s">
        <v>1593</v>
      </c>
      <c r="C28" s="850">
        <f>G28*L28</f>
        <v>0</v>
      </c>
      <c r="D28" s="850">
        <f>ROUND(C28*(1+Z28),0)</f>
        <v>0</v>
      </c>
      <c r="E28" s="851">
        <f>E18</f>
        <v>2</v>
      </c>
      <c r="F28" s="851" t="b">
        <f>K$47</f>
        <v>0</v>
      </c>
      <c r="G28" s="852">
        <f>AE$78</f>
        <v>0</v>
      </c>
      <c r="H28" s="853">
        <f>AJ$78</f>
        <v>0</v>
      </c>
      <c r="I28" s="850">
        <f>IF(F28=FALSE,0,ROUND(AD$78*K$48*12,0))</f>
        <v>0</v>
      </c>
      <c r="J28" s="850">
        <f>IF(K$46=FALSE,0,IF(Y28&lt;0,0,Y28))</f>
        <v>0</v>
      </c>
      <c r="K28" s="854">
        <f>IFERROR(ROUND(J28/D28,2),0)</f>
        <v>0</v>
      </c>
      <c r="L28" s="855">
        <f>AI$78</f>
        <v>0</v>
      </c>
      <c r="M28" s="851" t="str">
        <f>IF(G28=0,"",IF(K28=K$43,"Up",IF(OR(J28=U28,L28=0.85*N28*100/G28),"Flat","Down")))</f>
        <v/>
      </c>
      <c r="N28" s="850">
        <f>IF(H28=0,0,(ROUND(G28*HLOOKUP(E28,Lookup!BN$3:BO$33,H28+1,FALSE)/100,0)+Q54))</f>
        <v>0</v>
      </c>
      <c r="O28" s="856">
        <f>IF(H28=0,0,IF(C28=0,0,ROUND(N28/(((1+K$40)*C28)/(1+K$39)),2)))</f>
        <v>0</v>
      </c>
      <c r="P28" s="850">
        <f>IF(G28=0,0,ROUND((G28*F28/100)+I28+Q53,0))</f>
        <v>0</v>
      </c>
      <c r="Q28" s="851" t="str">
        <f>IF(H28="",0,IF(F28*G28&gt;0,ROUND(D28/P28,1),"N/A"))</f>
        <v>N/A</v>
      </c>
      <c r="R28" s="851" t="str">
        <f>IF(H28="",0,IF(F28*G28&gt;0,ROUND((D28-J28)/P28,1),"N/A"))</f>
        <v>N/A</v>
      </c>
      <c r="S28" s="856" t="e">
        <f>N28/(J28*$K$37)</f>
        <v>#DIV/0!</v>
      </c>
      <c r="T28" s="850"/>
      <c r="U28" s="850">
        <f>IFERROR(ROUND(L28*G28,0),0)</f>
        <v>0</v>
      </c>
      <c r="V28" s="850"/>
      <c r="W28" s="850"/>
      <c r="X28" s="850"/>
      <c r="Y28" s="850">
        <f>U28</f>
        <v>0</v>
      </c>
      <c r="Z28" s="857">
        <f>Installations!E24</f>
        <v>0</v>
      </c>
      <c r="AA28" s="850">
        <f>ROUND(IF(N28="",0,(N28/K$41)*((1+K$39)/(1+K$40))),0)</f>
        <v>0</v>
      </c>
      <c r="AB28" s="850"/>
      <c r="AC28" s="850">
        <f>M$82+K$78</f>
        <v>0</v>
      </c>
      <c r="AD28" s="850">
        <f>Q$82+R$82</f>
        <v>0</v>
      </c>
      <c r="AE28" s="850">
        <f>SUM(AC28:AD28)</f>
        <v>0</v>
      </c>
      <c r="AF28" s="858">
        <f>AE28*Z28</f>
        <v>0</v>
      </c>
      <c r="AG28" s="850">
        <f>SUM(AE28:AF28)</f>
        <v>0</v>
      </c>
    </row>
    <row r="29" spans="1:33">
      <c r="A29" s="2647"/>
      <c r="B29" s="859" t="s">
        <v>1452</v>
      </c>
      <c r="C29" s="860">
        <f>AF$80</f>
        <v>0</v>
      </c>
      <c r="D29" s="861">
        <f>C29*(1+Z28)</f>
        <v>0</v>
      </c>
      <c r="E29" s="862">
        <v>2</v>
      </c>
      <c r="F29" s="862" t="b">
        <f>F28</f>
        <v>0</v>
      </c>
      <c r="G29" s="863">
        <f>SUM(J$58:J$69)</f>
        <v>0</v>
      </c>
      <c r="H29" s="862">
        <v>10</v>
      </c>
      <c r="I29" s="859"/>
      <c r="J29" s="860">
        <v>0</v>
      </c>
      <c r="K29" s="864">
        <f>IFERROR(ROUND(J29/D29,2),0)</f>
        <v>0</v>
      </c>
      <c r="L29" s="859"/>
      <c r="M29" s="859"/>
      <c r="N29" s="859"/>
      <c r="O29" s="859"/>
      <c r="P29" s="860">
        <f>IF(G29=0,0,ROUND((G29*F29/100)+I29,0))</f>
        <v>0</v>
      </c>
      <c r="Q29" s="859"/>
      <c r="R29" s="859"/>
      <c r="S29" s="859"/>
      <c r="T29" s="859"/>
      <c r="U29" s="859"/>
      <c r="V29" s="865"/>
      <c r="W29" s="859"/>
      <c r="X29" s="859"/>
      <c r="Y29" s="859"/>
      <c r="Z29" s="859"/>
      <c r="AA29" s="859"/>
      <c r="AB29" s="859"/>
      <c r="AC29" s="860">
        <f>K$80</f>
        <v>0</v>
      </c>
      <c r="AD29" s="860">
        <f>R$80</f>
        <v>0</v>
      </c>
      <c r="AE29" s="860">
        <f>SUM(AC29:AD29)</f>
        <v>0</v>
      </c>
      <c r="AF29" s="861">
        <f>AE29*Z28</f>
        <v>0</v>
      </c>
      <c r="AG29" s="860">
        <f>SUM(AE29:AF29)</f>
        <v>0</v>
      </c>
    </row>
    <row r="30" spans="1:33">
      <c r="A30" s="2647"/>
      <c r="B30" s="849" t="s">
        <v>1594</v>
      </c>
      <c r="C30" s="850">
        <f>J30</f>
        <v>0</v>
      </c>
      <c r="D30" s="850">
        <f>C30</f>
        <v>0</v>
      </c>
      <c r="E30" s="851"/>
      <c r="F30" s="851" t="b">
        <f>F28</f>
        <v>0</v>
      </c>
      <c r="G30" s="851"/>
      <c r="H30" s="849"/>
      <c r="I30" s="849"/>
      <c r="J30" s="850">
        <f>IF(J28=0,0,IF(F30=FALSE,0,Installations!W26+Installations!W28+Installations!W30+Installations!W32+Installations!W34))</f>
        <v>0</v>
      </c>
      <c r="K30" s="854">
        <f>IFERROR(ROUND(J30/D30,2),0)</f>
        <v>0</v>
      </c>
      <c r="L30" s="849"/>
      <c r="M30" s="849"/>
      <c r="N30" s="849"/>
      <c r="O30" s="849"/>
      <c r="P30" s="849"/>
      <c r="Q30" s="849"/>
      <c r="R30" s="849"/>
      <c r="S30" s="849"/>
      <c r="T30" s="849"/>
      <c r="U30" s="849"/>
      <c r="V30" s="866"/>
      <c r="W30" s="849"/>
      <c r="X30" s="849"/>
      <c r="Y30" s="849"/>
      <c r="Z30" s="849"/>
      <c r="AA30" s="849"/>
      <c r="AB30" s="849"/>
      <c r="AC30" s="849"/>
      <c r="AD30" s="851"/>
      <c r="AE30" s="849"/>
      <c r="AF30" s="858"/>
      <c r="AG30" s="850"/>
    </row>
    <row r="31" spans="1:33">
      <c r="A31" s="2648"/>
      <c r="B31" s="867" t="s">
        <v>1285</v>
      </c>
      <c r="C31" s="868">
        <f>C28+C29+C30</f>
        <v>0</v>
      </c>
      <c r="D31" s="868">
        <f>D28+D29+D30</f>
        <v>0</v>
      </c>
      <c r="E31" s="869">
        <v>2</v>
      </c>
      <c r="F31" s="869" t="b">
        <f>F28</f>
        <v>0</v>
      </c>
      <c r="G31" s="870">
        <f>G28+G29</f>
        <v>0</v>
      </c>
      <c r="H31" s="869">
        <f>IFERROR(ROUND(((G28*H28)+(G29*H29))/G31,0),0)</f>
        <v>0</v>
      </c>
      <c r="I31" s="868">
        <f>I28</f>
        <v>0</v>
      </c>
      <c r="J31" s="868">
        <f>J28+J29+J30</f>
        <v>0</v>
      </c>
      <c r="K31" s="871">
        <f>IFERROR(ROUND(J31/D31,2),0)</f>
        <v>0</v>
      </c>
      <c r="L31" s="867"/>
      <c r="M31" s="867"/>
      <c r="N31" s="867"/>
      <c r="O31" s="867"/>
      <c r="P31" s="868">
        <f>IF(G31=0,0,ROUND((G31*F31/100)+I31,0))</f>
        <v>0</v>
      </c>
      <c r="Q31" s="869" t="str">
        <f>IF(H31="",0,IF(F31*G31&gt;0,ROUND(D31/P31,1),"N/A"))</f>
        <v>N/A</v>
      </c>
      <c r="R31" s="872" t="str">
        <f>IF(H31="",0,IF(F31*G31&gt;0,ROUND((D31-J31)/P31,1),"N/A"))</f>
        <v>N/A</v>
      </c>
      <c r="S31" s="867"/>
      <c r="T31" s="867"/>
      <c r="U31" s="867"/>
      <c r="V31" s="867"/>
      <c r="W31" s="867"/>
      <c r="X31" s="867"/>
      <c r="Y31" s="867"/>
      <c r="Z31" s="867"/>
      <c r="AA31" s="867"/>
      <c r="AB31" s="867"/>
      <c r="AC31" s="868">
        <f>SUM(AC28:AC30)</f>
        <v>0</v>
      </c>
      <c r="AD31" s="868">
        <f>SUM(AD28:AD30)</f>
        <v>0</v>
      </c>
      <c r="AE31" s="868">
        <f>SUM(AC31:AD31)</f>
        <v>0</v>
      </c>
      <c r="AF31" s="873">
        <f>AE31*Z$8</f>
        <v>0</v>
      </c>
      <c r="AG31" s="868">
        <f>SUM(AE31:AF31)</f>
        <v>0</v>
      </c>
    </row>
    <row r="32" spans="1:33">
      <c r="I32" s="187"/>
    </row>
    <row r="33" spans="2:27">
      <c r="G33" s="368"/>
      <c r="I33" s="187"/>
    </row>
    <row r="34" spans="2:27">
      <c r="I34" s="187"/>
    </row>
    <row r="35" spans="2:27">
      <c r="I35" s="187"/>
    </row>
    <row r="36" spans="2:27">
      <c r="M36" s="1014"/>
    </row>
    <row r="37" spans="2:27">
      <c r="K37" s="222">
        <f>K39+K40+1</f>
        <v>1.2197</v>
      </c>
      <c r="M37" s="1015"/>
    </row>
    <row r="38" spans="2:27">
      <c r="B38" s="50" t="s">
        <v>1602</v>
      </c>
      <c r="AA38" t="s">
        <v>1603</v>
      </c>
    </row>
    <row r="39" spans="2:27" ht="14.95" thickBot="1">
      <c r="B39" s="874" t="str">
        <f>Lookup!AT2</f>
        <v>_Lookup_Fixture_Type</v>
      </c>
      <c r="C39" s="874" t="str">
        <f>Lookup!AV2</f>
        <v>Incentive</v>
      </c>
      <c r="H39">
        <v>6.9699999999999998E-2</v>
      </c>
      <c r="J39" s="128" t="s">
        <v>1604</v>
      </c>
      <c r="K39" s="875">
        <v>6.9699999999999998E-2</v>
      </c>
      <c r="L39" s="129"/>
      <c r="M39" s="221"/>
    </row>
    <row r="40" spans="2:27">
      <c r="B40" s="647" t="str">
        <f>Lookup!AT3</f>
        <v>New Fixture</v>
      </c>
      <c r="C40" s="876">
        <f>Lookup!AV3</f>
        <v>0.3</v>
      </c>
      <c r="H40">
        <v>0.15</v>
      </c>
      <c r="J40" s="128" t="s">
        <v>1605</v>
      </c>
      <c r="K40" s="877">
        <v>0.15</v>
      </c>
      <c r="L40" s="130"/>
      <c r="M40" s="221"/>
      <c r="O40" s="473"/>
      <c r="P40" s="474"/>
      <c r="Q40" s="474"/>
      <c r="R40" s="474"/>
      <c r="S40" s="474"/>
      <c r="T40" s="474"/>
      <c r="U40" s="474"/>
      <c r="V40" s="475"/>
      <c r="X40" s="473"/>
      <c r="Y40" s="474"/>
      <c r="Z40" s="474"/>
      <c r="AA40" s="475"/>
    </row>
    <row r="41" spans="2:27">
      <c r="B41" s="647" t="str">
        <f>Lookup!AT4</f>
        <v>Complete Retrofit Kit</v>
      </c>
      <c r="C41" s="876">
        <f>Lookup!AV4</f>
        <v>0.3</v>
      </c>
      <c r="H41">
        <v>0.5</v>
      </c>
      <c r="J41" s="128" t="s">
        <v>1606</v>
      </c>
      <c r="K41" s="1340">
        <v>0.4</v>
      </c>
      <c r="L41" s="131"/>
      <c r="O41" s="476"/>
      <c r="P41" s="9"/>
      <c r="Q41" s="572" t="s">
        <v>1599</v>
      </c>
      <c r="R41" s="9"/>
      <c r="S41" s="9"/>
      <c r="T41" s="9"/>
      <c r="U41" s="9"/>
      <c r="V41" s="478"/>
      <c r="X41" s="476"/>
      <c r="Y41" s="477" t="str">
        <f>Project!H24</f>
        <v>RETROFIT</v>
      </c>
      <c r="Z41" s="9"/>
      <c r="AA41" s="478"/>
    </row>
    <row r="42" spans="2:27">
      <c r="B42" s="647" t="str">
        <f>Lookup!AT5</f>
        <v>Component Retrofit Kit</v>
      </c>
      <c r="C42" s="876">
        <f>Lookup!AV5</f>
        <v>0.17</v>
      </c>
      <c r="H42">
        <v>-0.5</v>
      </c>
      <c r="J42" s="128" t="s">
        <v>1607</v>
      </c>
      <c r="K42" s="1339">
        <v>-0.4</v>
      </c>
      <c r="L42" t="s">
        <v>1608</v>
      </c>
      <c r="O42" s="476"/>
      <c r="P42" s="502" t="s">
        <v>1609</v>
      </c>
      <c r="Q42" s="878">
        <v>3.2169999999999997E-2</v>
      </c>
      <c r="R42" s="503"/>
      <c r="S42" s="9"/>
      <c r="T42" s="9"/>
      <c r="U42" s="9"/>
      <c r="V42" s="478"/>
      <c r="X42" s="476"/>
      <c r="Y42" s="138" t="str">
        <f>F51</f>
        <v>Final Baseline</v>
      </c>
      <c r="Z42" s="479">
        <f>F82</f>
        <v>0</v>
      </c>
      <c r="AA42" s="480"/>
    </row>
    <row r="43" spans="2:27">
      <c r="B43" s="879" t="str">
        <f>Lookup!AT6</f>
        <v>TLED (Plug and Play)</v>
      </c>
      <c r="C43" s="880">
        <f>Lookup!AV6</f>
        <v>4</v>
      </c>
      <c r="E43" s="881">
        <f>C58+C59</f>
        <v>0</v>
      </c>
      <c r="F43" s="881">
        <f>C64+C65</f>
        <v>0</v>
      </c>
      <c r="H43">
        <v>0.7</v>
      </c>
      <c r="J43" s="128" t="s">
        <v>1610</v>
      </c>
      <c r="K43" s="729">
        <f>IF(Lookup!G2=0,0.7,1)</f>
        <v>0.7</v>
      </c>
      <c r="O43" s="476"/>
      <c r="P43" s="502" t="s">
        <v>1611</v>
      </c>
      <c r="Q43" s="882">
        <f>Q42*G18</f>
        <v>0</v>
      </c>
      <c r="R43" s="504" t="s">
        <v>1612</v>
      </c>
      <c r="S43" s="9"/>
      <c r="T43" s="9"/>
      <c r="U43" s="9"/>
      <c r="V43" s="478"/>
      <c r="X43" s="476"/>
      <c r="Y43" s="138" t="str">
        <f>G51</f>
        <v>New kWh</v>
      </c>
      <c r="Z43" s="479">
        <f>I82</f>
        <v>0</v>
      </c>
      <c r="AA43" s="480"/>
    </row>
    <row r="44" spans="2:27">
      <c r="B44" s="879" t="str">
        <f>Lookup!AT7</f>
        <v>TLED (Ballast ByPass)</v>
      </c>
      <c r="C44" s="880">
        <f>Lookup!AV7</f>
        <v>4</v>
      </c>
      <c r="E44" s="881">
        <f>C60+C61</f>
        <v>0</v>
      </c>
      <c r="F44" s="881">
        <f>C66+C67</f>
        <v>0</v>
      </c>
      <c r="O44" s="476"/>
      <c r="P44" s="502" t="s">
        <v>1613</v>
      </c>
      <c r="Q44" s="882">
        <f>PV($K$39,H18,-Q43)</f>
        <v>0</v>
      </c>
      <c r="R44" s="504" t="s">
        <v>1614</v>
      </c>
      <c r="S44" s="9"/>
      <c r="T44" s="9"/>
      <c r="U44" s="9"/>
      <c r="V44" s="478"/>
      <c r="X44" s="476"/>
      <c r="Y44" s="138" t="str">
        <f>O51</f>
        <v>Total Saved kWh</v>
      </c>
      <c r="Z44" s="479">
        <f>Z42-Z43</f>
        <v>0</v>
      </c>
      <c r="AA44" s="481" t="e">
        <f>Z44/Z42</f>
        <v>#DIV/0!</v>
      </c>
    </row>
    <row r="45" spans="2:27">
      <c r="B45" s="879" t="str">
        <f>Lookup!AT8</f>
        <v>TLED (External)</v>
      </c>
      <c r="C45" s="880">
        <f>Lookup!AV8</f>
        <v>4</v>
      </c>
      <c r="E45" s="881">
        <f>C62+C63</f>
        <v>0</v>
      </c>
      <c r="F45" s="881">
        <f>C68+C69</f>
        <v>0</v>
      </c>
      <c r="J45" s="50" t="s">
        <v>1615</v>
      </c>
      <c r="O45" s="476"/>
      <c r="P45" s="9"/>
      <c r="Q45" s="9"/>
      <c r="R45" s="9"/>
      <c r="S45" s="9"/>
      <c r="T45" s="9"/>
      <c r="U45" s="9"/>
      <c r="V45" s="478"/>
      <c r="X45" s="476"/>
      <c r="Y45" s="138" t="s">
        <v>1616</v>
      </c>
      <c r="Z45" s="9"/>
      <c r="AA45" s="482">
        <v>0.05</v>
      </c>
    </row>
    <row r="46" spans="2:27" ht="14.95" thickBot="1">
      <c r="B46" s="647" t="str">
        <f>Lookup!AT9</f>
        <v>CFL-LED Retrofit Lamp</v>
      </c>
      <c r="C46" s="876">
        <f>Lookup!AV9</f>
        <v>0.17</v>
      </c>
      <c r="E46" s="883">
        <f>Lookup!K2</f>
        <v>4</v>
      </c>
      <c r="F46" s="883">
        <f>Lookup!K10</f>
        <v>2</v>
      </c>
      <c r="J46" s="134" t="s">
        <v>1617</v>
      </c>
      <c r="K46" s="884" t="b">
        <f>IF(Project!H26=0,FALSE,Project!H26)</f>
        <v>0</v>
      </c>
      <c r="O46" s="483"/>
      <c r="P46" s="505"/>
      <c r="Q46" s="505"/>
      <c r="R46" s="505"/>
      <c r="S46" s="505"/>
      <c r="T46" s="505"/>
      <c r="U46" s="505"/>
      <c r="V46" s="486"/>
      <c r="X46" s="483"/>
      <c r="Y46" s="484" t="str">
        <f>J2</f>
        <v>Electric Grant Amount</v>
      </c>
      <c r="Z46" s="485" t="e">
        <f>IF(AND(Y41&lt;&gt;"Retrofit",AA44&gt;AA45),U8,J8)</f>
        <v>#DIV/0!</v>
      </c>
      <c r="AA46" s="486"/>
    </row>
    <row r="47" spans="2:27">
      <c r="B47" s="647" t="str">
        <f>Lookup!AT10</f>
        <v>HID-LED Retrofit lamp</v>
      </c>
      <c r="C47" s="876">
        <f>Lookup!AV10</f>
        <v>0.17</v>
      </c>
      <c r="D47" s="187" t="s">
        <v>340</v>
      </c>
      <c r="E47" s="881">
        <f>SUM(E43:E45)</f>
        <v>0</v>
      </c>
      <c r="F47" s="881">
        <f>SUM(F43:F45)</f>
        <v>0</v>
      </c>
      <c r="G47" s="634">
        <f>SUM(E47:F47)</f>
        <v>0</v>
      </c>
      <c r="J47" s="134" t="s">
        <v>1618</v>
      </c>
      <c r="K47" s="135" t="b">
        <f>IFERROR(ROUND(Project!H28,2),FALSE)</f>
        <v>0</v>
      </c>
    </row>
    <row r="48" spans="2:27">
      <c r="B48" s="647" t="str">
        <f>Lookup!AT11</f>
        <v>TLED Controls</v>
      </c>
      <c r="C48" s="876">
        <f>Lookup!AV11</f>
        <v>0.2</v>
      </c>
      <c r="D48" s="187"/>
      <c r="E48" s="881"/>
      <c r="F48" s="881"/>
      <c r="J48" s="134" t="s">
        <v>1619</v>
      </c>
      <c r="K48" s="885" t="str">
        <f>Project!H30</f>
        <v/>
      </c>
    </row>
    <row r="49" spans="1:36">
      <c r="B49" s="647" t="str">
        <f>Lookup!AT12</f>
        <v>Fixture Removed</v>
      </c>
      <c r="C49" s="876">
        <f>Lookup!AV12</f>
        <v>0.3</v>
      </c>
      <c r="D49" s="187" t="s">
        <v>257</v>
      </c>
      <c r="E49" s="883">
        <f>E46*E47</f>
        <v>0</v>
      </c>
      <c r="F49" s="883">
        <f>F47*F46</f>
        <v>0</v>
      </c>
      <c r="G49" s="883">
        <f>SUM(E49:F49)</f>
        <v>0</v>
      </c>
    </row>
    <row r="51" spans="1:36" ht="42.8">
      <c r="A51" s="874" t="str">
        <f>Installations!BI878</f>
        <v>Control Bonus</v>
      </c>
      <c r="B51" s="886" t="str">
        <f>Installations!BJ878</f>
        <v>Fixture/Lamp Type</v>
      </c>
      <c r="C51" s="874" t="str">
        <f>Installations!BK878</f>
        <v>Fixture /Lamp Qty*</v>
      </c>
      <c r="D51" s="874" t="str">
        <f>Installations!BL878</f>
        <v>Original kWh</v>
      </c>
      <c r="E51" s="887" t="str">
        <f>Installations!BM878</f>
        <v>Control Reduction</v>
      </c>
      <c r="F51" s="887" t="str">
        <f>Installations!BN878</f>
        <v>Final Baseline</v>
      </c>
      <c r="G51" s="887" t="str">
        <f>Installations!BO878</f>
        <v>New kWh</v>
      </c>
      <c r="H51" s="887" t="str">
        <f>Installations!BP878</f>
        <v>New Control Saved</v>
      </c>
      <c r="I51" s="887" t="str">
        <f>Installations!BQ878</f>
        <v>New Controlled</v>
      </c>
      <c r="J51" s="874" t="str">
        <f>Installations!BR878</f>
        <v>Fixture Saved kWh</v>
      </c>
      <c r="K51" s="874" t="str">
        <f>Installations!BS878</f>
        <v>Fixture Cost</v>
      </c>
      <c r="L51" s="874" t="str">
        <f>Installations!BT878</f>
        <v>Control Saved kWh</v>
      </c>
      <c r="M51" s="874" t="str">
        <f>Installations!BU878</f>
        <v>Control Cost</v>
      </c>
      <c r="N51" s="112"/>
      <c r="O51" s="874" t="str">
        <f>Installations!BW878</f>
        <v>Total Saved kWh</v>
      </c>
      <c r="P51" s="874" t="str">
        <f>Installations!BX878</f>
        <v>Fixture + Control Cost</v>
      </c>
      <c r="Q51" s="874" t="str">
        <f>Installations!BY878</f>
        <v>Control Est. Labor Cost</v>
      </c>
      <c r="R51" s="874" t="str">
        <f>Installations!BZ878</f>
        <v>Fixture Est. Labor Cost</v>
      </c>
      <c r="S51" s="874" t="str">
        <f>Installations!CA878</f>
        <v>Labor Misc. Est. Cost</v>
      </c>
      <c r="T51" s="874" t="str">
        <f>Installations!CB878</f>
        <v>ALC Qty</v>
      </c>
      <c r="U51" s="887" t="str">
        <f>Installations!CC878</f>
        <v>ALC Base kWh</v>
      </c>
      <c r="V51" s="887" t="str">
        <f>Installations!CD878</f>
        <v>LLLC Control kWh</v>
      </c>
      <c r="W51" s="113"/>
      <c r="X51" s="874" t="str">
        <f>Installations!CF878</f>
        <v>Original kW</v>
      </c>
      <c r="Y51" s="874" t="str">
        <f>Installations!CG878</f>
        <v>New kW</v>
      </c>
      <c r="Z51" s="874" t="str">
        <f>Installations!CH878</f>
        <v>Saved kW</v>
      </c>
      <c r="AB51" s="874" t="str">
        <f>Installations!CJ878</f>
        <v>Measure Life</v>
      </c>
      <c r="AD51" s="874" t="s">
        <v>1620</v>
      </c>
      <c r="AE51" s="874" t="s">
        <v>1621</v>
      </c>
      <c r="AF51" s="874" t="s">
        <v>1622</v>
      </c>
      <c r="AG51" s="874" t="s">
        <v>1623</v>
      </c>
      <c r="AH51" s="874" t="s">
        <v>1624</v>
      </c>
      <c r="AI51" s="874" t="s">
        <v>257</v>
      </c>
      <c r="AJ51" s="132" t="s">
        <v>205</v>
      </c>
    </row>
    <row r="52" spans="1:36">
      <c r="A52" s="634" t="str">
        <f>Installations!BI880</f>
        <v>Yes</v>
      </c>
      <c r="B52" s="647" t="str">
        <f>Installations!BJ880</f>
        <v>New Fixture</v>
      </c>
      <c r="C52" s="634">
        <f>Installations!BK880</f>
        <v>0</v>
      </c>
      <c r="D52" s="888">
        <f>Installations!BL880</f>
        <v>0</v>
      </c>
      <c r="E52" s="888">
        <f>Installations!BM880</f>
        <v>0</v>
      </c>
      <c r="F52" s="888">
        <f>Installations!BN880</f>
        <v>0</v>
      </c>
      <c r="G52" s="888">
        <f>Installations!BO880</f>
        <v>0</v>
      </c>
      <c r="H52" s="888">
        <f>Installations!BP880</f>
        <v>0</v>
      </c>
      <c r="I52" s="888">
        <f>Installations!BQ880</f>
        <v>0</v>
      </c>
      <c r="J52" s="888">
        <f>Installations!BR880</f>
        <v>0</v>
      </c>
      <c r="K52" s="889">
        <f>Installations!BS880</f>
        <v>0</v>
      </c>
      <c r="L52" s="634">
        <f>Installations!BT880</f>
        <v>0</v>
      </c>
      <c r="M52" s="889">
        <f>Installations!BU880</f>
        <v>0</v>
      </c>
      <c r="N52" s="91"/>
      <c r="O52" s="888">
        <f>Installations!BW880</f>
        <v>0</v>
      </c>
      <c r="P52" s="889">
        <f>Installations!BX880</f>
        <v>0</v>
      </c>
      <c r="Q52" s="889">
        <f>Installations!BY880</f>
        <v>0</v>
      </c>
      <c r="R52" s="889">
        <f>Installations!BZ880</f>
        <v>0</v>
      </c>
      <c r="S52" s="889">
        <f>Installations!CA880</f>
        <v>0</v>
      </c>
      <c r="T52" s="634">
        <f>Installations!CB880</f>
        <v>0</v>
      </c>
      <c r="U52" s="634">
        <f>Installations!CC880</f>
        <v>0</v>
      </c>
      <c r="V52" s="634">
        <f>Installations!CD880</f>
        <v>0</v>
      </c>
      <c r="W52" s="114"/>
      <c r="X52" s="634">
        <f>Installations!CF880</f>
        <v>0</v>
      </c>
      <c r="Y52" s="634">
        <f>Installations!CG880</f>
        <v>0</v>
      </c>
      <c r="Z52" s="634">
        <f>Installations!CH880</f>
        <v>0</v>
      </c>
      <c r="AB52" s="634" t="str">
        <f>IF(AND(J52=0,L52&gt;0),10,Installations!CJ880)</f>
        <v/>
      </c>
      <c r="AD52" s="634">
        <f t="shared" ref="AD52:AD57" si="3">Z52</f>
        <v>0</v>
      </c>
      <c r="AE52" s="888">
        <f t="shared" ref="AE52:AE57" si="4">O52</f>
        <v>0</v>
      </c>
      <c r="AF52" s="889">
        <f t="shared" ref="AF52:AF57" si="5">K52+M52+S52</f>
        <v>0</v>
      </c>
      <c r="AG52" s="876">
        <f>IF(LEFT(B52,4)="TLED",VLOOKUP("TLED Controls",B$40:C$48,2,FALSE)+IF(A52="Yes",Lookup!K$6,0),VLOOKUP(B52,B$40:C$48,2,FALSE)+IF(A52="Yes",Lookup!K$6,0))</f>
        <v>0.5</v>
      </c>
      <c r="AH52" s="890">
        <f t="shared" ref="AH52:AH76" si="6">IFERROR(AE52/AE$78,0)</f>
        <v>0</v>
      </c>
      <c r="AI52" s="883">
        <f>AG52*AH52</f>
        <v>0</v>
      </c>
      <c r="AJ52" s="891" t="str">
        <f>IFERROR(AB52*AH52,"")</f>
        <v/>
      </c>
    </row>
    <row r="53" spans="1:36">
      <c r="A53" s="634" t="str">
        <f>Installations!BI881</f>
        <v>No</v>
      </c>
      <c r="B53" s="647" t="str">
        <f>Installations!BJ881</f>
        <v>New Fixture</v>
      </c>
      <c r="C53" s="634">
        <f>Installations!BK881</f>
        <v>0</v>
      </c>
      <c r="D53" s="888">
        <f>Installations!BL881</f>
        <v>0</v>
      </c>
      <c r="E53" s="888">
        <f>Installations!BM881</f>
        <v>0</v>
      </c>
      <c r="F53" s="888">
        <f>Installations!BN881</f>
        <v>0</v>
      </c>
      <c r="G53" s="888">
        <f>Installations!BO881</f>
        <v>0</v>
      </c>
      <c r="H53" s="888">
        <f>Installations!BP881</f>
        <v>0</v>
      </c>
      <c r="I53" s="888">
        <f>Installations!BQ881</f>
        <v>0</v>
      </c>
      <c r="J53" s="888">
        <f>Installations!BR881</f>
        <v>0</v>
      </c>
      <c r="K53" s="889">
        <f>Installations!BS881</f>
        <v>0</v>
      </c>
      <c r="L53" s="634">
        <f>Installations!BT881</f>
        <v>0</v>
      </c>
      <c r="M53" s="889">
        <f>Installations!BU881</f>
        <v>0</v>
      </c>
      <c r="N53" s="91"/>
      <c r="O53" s="888">
        <f>Installations!BW881</f>
        <v>0</v>
      </c>
      <c r="P53" s="889">
        <f>Installations!BX881</f>
        <v>0</v>
      </c>
      <c r="Q53" s="889">
        <f>Installations!BY881</f>
        <v>0</v>
      </c>
      <c r="R53" s="889">
        <f>Installations!BZ881</f>
        <v>0</v>
      </c>
      <c r="S53" s="889">
        <f>Installations!CA881</f>
        <v>0</v>
      </c>
      <c r="T53" s="634">
        <f>Installations!CB881</f>
        <v>0</v>
      </c>
      <c r="U53" s="634">
        <f>Installations!CC881</f>
        <v>0</v>
      </c>
      <c r="V53" s="634">
        <f>Installations!CD881</f>
        <v>0</v>
      </c>
      <c r="W53" s="114"/>
      <c r="X53" s="634">
        <f>Installations!CF881</f>
        <v>0</v>
      </c>
      <c r="Y53" s="634">
        <f>Installations!CG881</f>
        <v>0</v>
      </c>
      <c r="Z53" s="634">
        <f>Installations!CH881</f>
        <v>0</v>
      </c>
      <c r="AB53" s="634" t="str">
        <f>Installations!CJ881</f>
        <v/>
      </c>
      <c r="AD53" s="634">
        <f t="shared" si="3"/>
        <v>0</v>
      </c>
      <c r="AE53" s="888">
        <f t="shared" si="4"/>
        <v>0</v>
      </c>
      <c r="AF53" s="889">
        <f t="shared" si="5"/>
        <v>0</v>
      </c>
      <c r="AG53" s="876">
        <f>IF(LEFT(B53,4)="TLED",VLOOKUP("TLED Controls",B$40:C$48,2,FALSE)+IF(A53="Yes",Lookup!K$6,0),VLOOKUP(B53,B$40:C$48,2,FALSE)+IF(A53="Yes",Lookup!K$6,0))</f>
        <v>0.3</v>
      </c>
      <c r="AH53" s="890">
        <f t="shared" si="6"/>
        <v>0</v>
      </c>
      <c r="AI53" s="883">
        <f t="shared" ref="AI53:AI73" si="7">AG53*AH53</f>
        <v>0</v>
      </c>
      <c r="AJ53" s="891" t="str">
        <f t="shared" ref="AJ53:AJ73" si="8">IFERROR(AB53*AH53,"")</f>
        <v/>
      </c>
    </row>
    <row r="54" spans="1:36">
      <c r="A54" s="634" t="str">
        <f>Installations!BI882</f>
        <v>Yes</v>
      </c>
      <c r="B54" s="647" t="str">
        <f>Installations!BJ882</f>
        <v>Complete Retrofit Kit</v>
      </c>
      <c r="C54" s="634">
        <f>Installations!BK882</f>
        <v>0</v>
      </c>
      <c r="D54" s="888">
        <f>Installations!BL882</f>
        <v>0</v>
      </c>
      <c r="E54" s="888">
        <f>Installations!BM882</f>
        <v>0</v>
      </c>
      <c r="F54" s="888">
        <f>Installations!BN882</f>
        <v>0</v>
      </c>
      <c r="G54" s="888">
        <f>Installations!BO882</f>
        <v>0</v>
      </c>
      <c r="H54" s="888">
        <f>Installations!BP882</f>
        <v>0</v>
      </c>
      <c r="I54" s="888">
        <f>Installations!BQ882</f>
        <v>0</v>
      </c>
      <c r="J54" s="888">
        <f>Installations!BR882</f>
        <v>0</v>
      </c>
      <c r="K54" s="889">
        <f>Installations!BS882</f>
        <v>0</v>
      </c>
      <c r="L54" s="634">
        <f>Installations!BT882</f>
        <v>0</v>
      </c>
      <c r="M54" s="889">
        <f>Installations!BU882</f>
        <v>0</v>
      </c>
      <c r="N54" s="91"/>
      <c r="O54" s="888">
        <f>Installations!BW882</f>
        <v>0</v>
      </c>
      <c r="P54" s="889">
        <f>Installations!BX882</f>
        <v>0</v>
      </c>
      <c r="Q54" s="889">
        <f>Installations!BY882</f>
        <v>0</v>
      </c>
      <c r="R54" s="889">
        <f>Installations!BZ882</f>
        <v>0</v>
      </c>
      <c r="S54" s="889">
        <f>Installations!CA882</f>
        <v>0</v>
      </c>
      <c r="T54" s="634">
        <f>Installations!CB882</f>
        <v>0</v>
      </c>
      <c r="U54" s="634">
        <f>Installations!CC882</f>
        <v>0</v>
      </c>
      <c r="V54" s="634">
        <f>Installations!CD882</f>
        <v>0</v>
      </c>
      <c r="W54" s="114"/>
      <c r="X54" s="634">
        <f>Installations!CF882</f>
        <v>0</v>
      </c>
      <c r="Y54" s="634">
        <f>Installations!CG882</f>
        <v>0</v>
      </c>
      <c r="Z54" s="634">
        <f>Installations!CH882</f>
        <v>0</v>
      </c>
      <c r="AB54" s="634" t="str">
        <f>IF(AND(J54=0,L54&gt;0),10,Installations!CJ882)</f>
        <v/>
      </c>
      <c r="AD54" s="634">
        <f t="shared" si="3"/>
        <v>0</v>
      </c>
      <c r="AE54" s="888">
        <f t="shared" si="4"/>
        <v>0</v>
      </c>
      <c r="AF54" s="889">
        <f t="shared" si="5"/>
        <v>0</v>
      </c>
      <c r="AG54" s="876">
        <f>IF(LEFT(B54,4)="TLED",VLOOKUP("TLED Controls",B$40:C$48,2,FALSE)+IF(A54="Yes",Lookup!K$6,0),VLOOKUP(B54,B$40:C$48,2,FALSE)+IF(A54="Yes",Lookup!K$6,0))</f>
        <v>0.5</v>
      </c>
      <c r="AH54" s="890">
        <f t="shared" si="6"/>
        <v>0</v>
      </c>
      <c r="AI54" s="883">
        <f t="shared" si="7"/>
        <v>0</v>
      </c>
      <c r="AJ54" s="891" t="str">
        <f t="shared" si="8"/>
        <v/>
      </c>
    </row>
    <row r="55" spans="1:36">
      <c r="A55" s="634" t="str">
        <f>Installations!BI883</f>
        <v>No</v>
      </c>
      <c r="B55" s="647" t="str">
        <f>Installations!BJ883</f>
        <v>Complete Retrofit Kit</v>
      </c>
      <c r="C55" s="634">
        <f>Installations!BK883</f>
        <v>0</v>
      </c>
      <c r="D55" s="888">
        <f>Installations!BL883</f>
        <v>0</v>
      </c>
      <c r="E55" s="888">
        <f>Installations!BM883</f>
        <v>0</v>
      </c>
      <c r="F55" s="888">
        <f>Installations!BN883</f>
        <v>0</v>
      </c>
      <c r="G55" s="888">
        <f>Installations!BO883</f>
        <v>0</v>
      </c>
      <c r="H55" s="888">
        <f>Installations!BP883</f>
        <v>0</v>
      </c>
      <c r="I55" s="888">
        <f>Installations!BQ883</f>
        <v>0</v>
      </c>
      <c r="J55" s="888">
        <f>Installations!BR883</f>
        <v>0</v>
      </c>
      <c r="K55" s="889">
        <f>Installations!BS883</f>
        <v>0</v>
      </c>
      <c r="L55" s="634">
        <f>Installations!BT883</f>
        <v>0</v>
      </c>
      <c r="M55" s="889">
        <f>Installations!BU883</f>
        <v>0</v>
      </c>
      <c r="N55" s="91"/>
      <c r="O55" s="888">
        <f>Installations!BW883</f>
        <v>0</v>
      </c>
      <c r="P55" s="889">
        <f>Installations!BX883</f>
        <v>0</v>
      </c>
      <c r="Q55" s="889">
        <f>Installations!BY883</f>
        <v>0</v>
      </c>
      <c r="R55" s="889">
        <f>Installations!BZ883</f>
        <v>0</v>
      </c>
      <c r="S55" s="889">
        <f>Installations!CA883</f>
        <v>0</v>
      </c>
      <c r="T55" s="634">
        <f>Installations!CB883</f>
        <v>0</v>
      </c>
      <c r="U55" s="634">
        <f>Installations!CC883</f>
        <v>0</v>
      </c>
      <c r="V55" s="634">
        <f>Installations!CD883</f>
        <v>0</v>
      </c>
      <c r="W55" s="114"/>
      <c r="X55" s="634">
        <f>Installations!CF883</f>
        <v>0</v>
      </c>
      <c r="Y55" s="634">
        <f>Installations!CG883</f>
        <v>0</v>
      </c>
      <c r="Z55" s="634">
        <f>Installations!CH883</f>
        <v>0</v>
      </c>
      <c r="AB55" s="634" t="str">
        <f>Installations!CJ883</f>
        <v/>
      </c>
      <c r="AD55" s="634">
        <f t="shared" si="3"/>
        <v>0</v>
      </c>
      <c r="AE55" s="888">
        <f t="shared" si="4"/>
        <v>0</v>
      </c>
      <c r="AF55" s="889">
        <f t="shared" si="5"/>
        <v>0</v>
      </c>
      <c r="AG55" s="876">
        <f>IF(LEFT(B55,4)="TLED",VLOOKUP("TLED Controls",B$40:C$48,2,FALSE)+IF(A55="Yes",Lookup!K$6,0),VLOOKUP(B55,B$40:C$48,2,FALSE)+IF(A55="Yes",Lookup!K$6,0))</f>
        <v>0.3</v>
      </c>
      <c r="AH55" s="890">
        <f t="shared" si="6"/>
        <v>0</v>
      </c>
      <c r="AI55" s="883">
        <f t="shared" si="7"/>
        <v>0</v>
      </c>
      <c r="AJ55" s="891" t="str">
        <f t="shared" si="8"/>
        <v/>
      </c>
    </row>
    <row r="56" spans="1:36">
      <c r="A56" s="634" t="str">
        <f>Installations!BI884</f>
        <v>Yes</v>
      </c>
      <c r="B56" s="647" t="str">
        <f>Installations!BJ884</f>
        <v>Component Retrofit Kit</v>
      </c>
      <c r="C56" s="634">
        <f>Installations!BK884</f>
        <v>0</v>
      </c>
      <c r="D56" s="888">
        <f>Installations!BL884</f>
        <v>0</v>
      </c>
      <c r="E56" s="888">
        <f>Installations!BM884</f>
        <v>0</v>
      </c>
      <c r="F56" s="888">
        <f>Installations!BN884</f>
        <v>0</v>
      </c>
      <c r="G56" s="888">
        <f>Installations!BO884</f>
        <v>0</v>
      </c>
      <c r="H56" s="888">
        <f>Installations!BP884</f>
        <v>0</v>
      </c>
      <c r="I56" s="888">
        <f>Installations!BQ884</f>
        <v>0</v>
      </c>
      <c r="J56" s="888">
        <f>Installations!BR884</f>
        <v>0</v>
      </c>
      <c r="K56" s="889">
        <f>Installations!BS884</f>
        <v>0</v>
      </c>
      <c r="L56" s="634">
        <f>Installations!BT884</f>
        <v>0</v>
      </c>
      <c r="M56" s="889">
        <f>Installations!BU884</f>
        <v>0</v>
      </c>
      <c r="N56" s="91"/>
      <c r="O56" s="888">
        <f>Installations!BW884</f>
        <v>0</v>
      </c>
      <c r="P56" s="889">
        <f>Installations!BX884</f>
        <v>0</v>
      </c>
      <c r="Q56" s="889">
        <f>Installations!BY884</f>
        <v>0</v>
      </c>
      <c r="R56" s="889">
        <f>Installations!BZ884</f>
        <v>0</v>
      </c>
      <c r="S56" s="889">
        <f>Installations!CA884</f>
        <v>0</v>
      </c>
      <c r="T56" s="634">
        <f>Installations!CB884</f>
        <v>0</v>
      </c>
      <c r="U56" s="634">
        <f>Installations!CC884</f>
        <v>0</v>
      </c>
      <c r="V56" s="634">
        <f>Installations!CD884</f>
        <v>0</v>
      </c>
      <c r="W56" s="114"/>
      <c r="X56" s="634">
        <f>Installations!CF884</f>
        <v>0</v>
      </c>
      <c r="Y56" s="634">
        <f>Installations!CG884</f>
        <v>0</v>
      </c>
      <c r="Z56" s="634">
        <f>Installations!CH884</f>
        <v>0</v>
      </c>
      <c r="AB56" s="634" t="str">
        <f>IF(AND(J56=0,L56&gt;0),10,Installations!CJ884)</f>
        <v/>
      </c>
      <c r="AD56" s="634">
        <f t="shared" si="3"/>
        <v>0</v>
      </c>
      <c r="AE56" s="888">
        <f t="shared" si="4"/>
        <v>0</v>
      </c>
      <c r="AF56" s="889">
        <f t="shared" si="5"/>
        <v>0</v>
      </c>
      <c r="AG56" s="876">
        <f>IF(LEFT(B56,4)="TLED",VLOOKUP("TLED Controls",B$40:C$48,2,FALSE)+IF(A56="Yes",Lookup!K$6,0),VLOOKUP(B56,B$40:C$48,2,FALSE)+IF(A56="Yes",Lookup!K$6,0))</f>
        <v>0.37</v>
      </c>
      <c r="AH56" s="890">
        <f t="shared" si="6"/>
        <v>0</v>
      </c>
      <c r="AI56" s="883">
        <f t="shared" si="7"/>
        <v>0</v>
      </c>
      <c r="AJ56" s="891" t="str">
        <f t="shared" si="8"/>
        <v/>
      </c>
    </row>
    <row r="57" spans="1:36">
      <c r="A57" s="634" t="str">
        <f>Installations!BI885</f>
        <v>No</v>
      </c>
      <c r="B57" s="647" t="str">
        <f>Installations!BJ885</f>
        <v>Component Retrofit Kit</v>
      </c>
      <c r="C57" s="634">
        <f>Installations!BK885</f>
        <v>0</v>
      </c>
      <c r="D57" s="888">
        <f>Installations!BL885</f>
        <v>0</v>
      </c>
      <c r="E57" s="888">
        <f>Installations!BM885</f>
        <v>0</v>
      </c>
      <c r="F57" s="888">
        <f>Installations!BN885</f>
        <v>0</v>
      </c>
      <c r="G57" s="888">
        <f>Installations!BO885</f>
        <v>0</v>
      </c>
      <c r="H57" s="888">
        <f>Installations!BP885</f>
        <v>0</v>
      </c>
      <c r="I57" s="888">
        <f>Installations!BQ885</f>
        <v>0</v>
      </c>
      <c r="J57" s="888">
        <f>Installations!BR885</f>
        <v>0</v>
      </c>
      <c r="K57" s="889">
        <f>Installations!BS885</f>
        <v>0</v>
      </c>
      <c r="L57" s="634">
        <f>Installations!BT885</f>
        <v>0</v>
      </c>
      <c r="M57" s="889">
        <f>Installations!BU885</f>
        <v>0</v>
      </c>
      <c r="N57" s="91"/>
      <c r="O57" s="888">
        <f>Installations!BW885</f>
        <v>0</v>
      </c>
      <c r="P57" s="889">
        <f>Installations!BX885</f>
        <v>0</v>
      </c>
      <c r="Q57" s="889">
        <f>Installations!BY885</f>
        <v>0</v>
      </c>
      <c r="R57" s="889">
        <f>Installations!BZ885</f>
        <v>0</v>
      </c>
      <c r="S57" s="889">
        <f>Installations!CA885</f>
        <v>0</v>
      </c>
      <c r="T57" s="634">
        <f>Installations!CB885</f>
        <v>0</v>
      </c>
      <c r="U57" s="634">
        <f>Installations!CC885</f>
        <v>0</v>
      </c>
      <c r="V57" s="634">
        <f>Installations!CD885</f>
        <v>0</v>
      </c>
      <c r="W57" s="114"/>
      <c r="X57" s="634">
        <f>Installations!CF885</f>
        <v>0</v>
      </c>
      <c r="Y57" s="634">
        <f>Installations!CG885</f>
        <v>0</v>
      </c>
      <c r="Z57" s="634">
        <f>Installations!CH885</f>
        <v>0</v>
      </c>
      <c r="AB57" s="634" t="str">
        <f>Installations!CJ885</f>
        <v/>
      </c>
      <c r="AD57" s="634">
        <f t="shared" si="3"/>
        <v>0</v>
      </c>
      <c r="AE57" s="888">
        <f t="shared" si="4"/>
        <v>0</v>
      </c>
      <c r="AF57" s="889">
        <f t="shared" si="5"/>
        <v>0</v>
      </c>
      <c r="AG57" s="876">
        <f>IF(LEFT(B57,4)="TLED",VLOOKUP("TLED Controls",B$40:C$48,2,FALSE)+IF(A57="Yes",Lookup!K$6,0),VLOOKUP(B57,B$40:C$48,2,FALSE)+IF(A57="Yes",Lookup!K$6,0))</f>
        <v>0.17</v>
      </c>
      <c r="AH57" s="890">
        <f t="shared" si="6"/>
        <v>0</v>
      </c>
      <c r="AI57" s="883">
        <f t="shared" si="7"/>
        <v>0</v>
      </c>
      <c r="AJ57" s="891" t="str">
        <f t="shared" si="8"/>
        <v/>
      </c>
    </row>
    <row r="58" spans="1:36">
      <c r="A58" s="881" t="str">
        <f>Installations!BI886</f>
        <v>Yes</v>
      </c>
      <c r="B58" s="879" t="str">
        <f>Installations!BJ886</f>
        <v>TLED (Plug and Play)</v>
      </c>
      <c r="C58" s="881">
        <f>Installations!BK886</f>
        <v>0</v>
      </c>
      <c r="D58" s="892">
        <f>Installations!BL886</f>
        <v>0</v>
      </c>
      <c r="E58" s="892">
        <f>Installations!BM886</f>
        <v>0</v>
      </c>
      <c r="F58" s="892">
        <f>Installations!BN886</f>
        <v>0</v>
      </c>
      <c r="G58" s="892">
        <f>Installations!BO886</f>
        <v>0</v>
      </c>
      <c r="H58" s="892">
        <f>Installations!BP886</f>
        <v>0</v>
      </c>
      <c r="I58" s="892">
        <f>Installations!BQ886</f>
        <v>0</v>
      </c>
      <c r="J58" s="892">
        <f>Installations!BR886</f>
        <v>0</v>
      </c>
      <c r="K58" s="893">
        <f>Installations!BS886</f>
        <v>0</v>
      </c>
      <c r="L58" s="881">
        <f>Installations!BT886</f>
        <v>0</v>
      </c>
      <c r="M58" s="893">
        <f>Installations!BU886</f>
        <v>0</v>
      </c>
      <c r="N58" s="91"/>
      <c r="O58" s="881">
        <f>Installations!BW886</f>
        <v>0</v>
      </c>
      <c r="P58" s="893">
        <f>Installations!BX886</f>
        <v>0</v>
      </c>
      <c r="Q58" s="893">
        <f>Installations!BY886</f>
        <v>0</v>
      </c>
      <c r="R58" s="893">
        <f>Installations!BZ886</f>
        <v>0</v>
      </c>
      <c r="S58" s="893">
        <f>Installations!CA886</f>
        <v>0</v>
      </c>
      <c r="T58" s="881">
        <f>Installations!CB886</f>
        <v>0</v>
      </c>
      <c r="U58" s="881">
        <f>Installations!CC886</f>
        <v>0</v>
      </c>
      <c r="V58" s="881">
        <f>Installations!CD886</f>
        <v>0</v>
      </c>
      <c r="W58" s="114"/>
      <c r="X58" s="881">
        <f>Installations!CF886</f>
        <v>0</v>
      </c>
      <c r="Y58" s="881">
        <f>Installations!CG886</f>
        <v>0</v>
      </c>
      <c r="Z58" s="881">
        <f>Installations!CH886</f>
        <v>0</v>
      </c>
      <c r="AB58" s="881" t="str">
        <f>IF(AND(J58=0,L58&gt;0),10,Installations!CJ886)</f>
        <v/>
      </c>
      <c r="AD58" s="760"/>
      <c r="AE58" s="892">
        <f t="shared" ref="AE58:AE63" si="9">L58</f>
        <v>0</v>
      </c>
      <c r="AF58" s="893">
        <f t="shared" ref="AF58:AF63" si="10">IF(LEFT(B58,4)="TLED",M58+Q58,M58)</f>
        <v>0</v>
      </c>
      <c r="AG58" s="894">
        <f>IF(LEFT(B58,4)="TLED",VLOOKUP("TLED Controls",B$40:C$48,2,FALSE)+IF(A58="Yes",Lookup!K$6,0),VLOOKUP(B58,B$40:C$48,2,FALSE)+IF(A58="Yes",Lookup!K$6,0))</f>
        <v>0.4</v>
      </c>
      <c r="AH58" s="890">
        <f t="shared" si="6"/>
        <v>0</v>
      </c>
      <c r="AI58" s="883">
        <f t="shared" si="7"/>
        <v>0</v>
      </c>
      <c r="AJ58" s="891" t="str">
        <f t="shared" si="8"/>
        <v/>
      </c>
    </row>
    <row r="59" spans="1:36">
      <c r="A59" s="881" t="str">
        <f>Installations!BI887</f>
        <v>No</v>
      </c>
      <c r="B59" s="879" t="str">
        <f>Installations!BJ887</f>
        <v>TLED (Plug and Play)</v>
      </c>
      <c r="C59" s="881">
        <f>Installations!BK887</f>
        <v>0</v>
      </c>
      <c r="D59" s="892">
        <f>Installations!BL887</f>
        <v>0</v>
      </c>
      <c r="E59" s="892">
        <f>Installations!BM887</f>
        <v>0</v>
      </c>
      <c r="F59" s="892">
        <f>Installations!BN887</f>
        <v>0</v>
      </c>
      <c r="G59" s="892">
        <f>Installations!BO887</f>
        <v>0</v>
      </c>
      <c r="H59" s="892">
        <f>Installations!BP887</f>
        <v>0</v>
      </c>
      <c r="I59" s="892">
        <f>Installations!BQ887</f>
        <v>0</v>
      </c>
      <c r="J59" s="892">
        <f>Installations!BR887</f>
        <v>0</v>
      </c>
      <c r="K59" s="893">
        <f>Installations!BS887</f>
        <v>0</v>
      </c>
      <c r="L59" s="881">
        <f>Installations!BT887</f>
        <v>0</v>
      </c>
      <c r="M59" s="893">
        <f>Installations!BU887</f>
        <v>0</v>
      </c>
      <c r="N59" s="91"/>
      <c r="O59" s="881">
        <f>Installations!BW887</f>
        <v>0</v>
      </c>
      <c r="P59" s="893">
        <f>Installations!BX887</f>
        <v>0</v>
      </c>
      <c r="Q59" s="893">
        <f>Installations!BY887</f>
        <v>0</v>
      </c>
      <c r="R59" s="893">
        <f>Installations!BZ887</f>
        <v>0</v>
      </c>
      <c r="S59" s="893">
        <f>Installations!CA887</f>
        <v>0</v>
      </c>
      <c r="T59" s="881">
        <f>Installations!CB887</f>
        <v>0</v>
      </c>
      <c r="U59" s="881">
        <f>Installations!CC887</f>
        <v>0</v>
      </c>
      <c r="V59" s="881">
        <f>Installations!CD887</f>
        <v>0</v>
      </c>
      <c r="W59" s="114"/>
      <c r="X59" s="881">
        <f>Installations!CF887</f>
        <v>0</v>
      </c>
      <c r="Y59" s="881">
        <f>Installations!CG887</f>
        <v>0</v>
      </c>
      <c r="Z59" s="881">
        <f>Installations!CH887</f>
        <v>0</v>
      </c>
      <c r="AB59" s="881" t="str">
        <f>Installations!CJ887</f>
        <v/>
      </c>
      <c r="AD59" s="760"/>
      <c r="AE59" s="892">
        <f t="shared" si="9"/>
        <v>0</v>
      </c>
      <c r="AF59" s="893">
        <f t="shared" si="10"/>
        <v>0</v>
      </c>
      <c r="AG59" s="894">
        <f>IF(LEFT(B59,4)="TLED",VLOOKUP("TLED Controls",B$40:C$48,2,FALSE)+IF(A59="Yes",Lookup!K$6,0),VLOOKUP(B59,B$40:C$48,2,FALSE)+IF(A59="Yes",Lookup!K$6,0))</f>
        <v>0.2</v>
      </c>
      <c r="AH59" s="890">
        <f t="shared" si="6"/>
        <v>0</v>
      </c>
      <c r="AI59" s="883">
        <f t="shared" si="7"/>
        <v>0</v>
      </c>
      <c r="AJ59" s="891" t="str">
        <f t="shared" si="8"/>
        <v/>
      </c>
    </row>
    <row r="60" spans="1:36">
      <c r="A60" s="881" t="str">
        <f>Installations!BI888</f>
        <v>Yes</v>
      </c>
      <c r="B60" s="879" t="str">
        <f>Installations!BJ888</f>
        <v>TLED (Ballast ByPass)</v>
      </c>
      <c r="C60" s="881">
        <f>Installations!BK888</f>
        <v>0</v>
      </c>
      <c r="D60" s="892">
        <f>Installations!BL888</f>
        <v>0</v>
      </c>
      <c r="E60" s="892">
        <f>Installations!BM888</f>
        <v>0</v>
      </c>
      <c r="F60" s="892">
        <f>Installations!BN888</f>
        <v>0</v>
      </c>
      <c r="G60" s="892">
        <f>Installations!BO888</f>
        <v>0</v>
      </c>
      <c r="H60" s="892">
        <f>Installations!BP888</f>
        <v>0</v>
      </c>
      <c r="I60" s="892">
        <f>Installations!BQ888</f>
        <v>0</v>
      </c>
      <c r="J60" s="892">
        <f>Installations!BR888</f>
        <v>0</v>
      </c>
      <c r="K60" s="893">
        <f>Installations!BS888</f>
        <v>0</v>
      </c>
      <c r="L60" s="881">
        <f>Installations!BT888</f>
        <v>0</v>
      </c>
      <c r="M60" s="893">
        <f>Installations!BU888</f>
        <v>0</v>
      </c>
      <c r="N60" s="91"/>
      <c r="O60" s="881">
        <f>Installations!BW888</f>
        <v>0</v>
      </c>
      <c r="P60" s="893">
        <f>Installations!BX888</f>
        <v>0</v>
      </c>
      <c r="Q60" s="893">
        <f>Installations!BY888</f>
        <v>0</v>
      </c>
      <c r="R60" s="893">
        <f>Installations!BZ888</f>
        <v>0</v>
      </c>
      <c r="S60" s="893">
        <f>Installations!CA888</f>
        <v>0</v>
      </c>
      <c r="T60" s="881">
        <f>Installations!CB888</f>
        <v>0</v>
      </c>
      <c r="U60" s="881">
        <f>Installations!CC888</f>
        <v>0</v>
      </c>
      <c r="V60" s="881">
        <f>Installations!CD888</f>
        <v>0</v>
      </c>
      <c r="W60" s="114"/>
      <c r="X60" s="881">
        <f>Installations!CF888</f>
        <v>0</v>
      </c>
      <c r="Y60" s="881">
        <f>Installations!CG888</f>
        <v>0</v>
      </c>
      <c r="Z60" s="881">
        <f>Installations!CH888</f>
        <v>0</v>
      </c>
      <c r="AB60" s="881" t="str">
        <f>IF(AND(J60=0,L60&gt;0),10,Installations!CJ888)</f>
        <v/>
      </c>
      <c r="AD60" s="760"/>
      <c r="AE60" s="892">
        <f t="shared" si="9"/>
        <v>0</v>
      </c>
      <c r="AF60" s="893">
        <f t="shared" si="10"/>
        <v>0</v>
      </c>
      <c r="AG60" s="894">
        <f>IF(LEFT(B60,4)="TLED",VLOOKUP("TLED Controls",B$40:C$48,2,FALSE)+IF(A60="Yes",Lookup!K$6,0),VLOOKUP(B60,B$40:C$48,2,FALSE)+IF(A60="Yes",Lookup!K$6,0))</f>
        <v>0.4</v>
      </c>
      <c r="AH60" s="890">
        <f t="shared" si="6"/>
        <v>0</v>
      </c>
      <c r="AI60" s="883">
        <f t="shared" si="7"/>
        <v>0</v>
      </c>
      <c r="AJ60" s="891" t="str">
        <f t="shared" si="8"/>
        <v/>
      </c>
    </row>
    <row r="61" spans="1:36">
      <c r="A61" s="881" t="str">
        <f>Installations!BI889</f>
        <v>No</v>
      </c>
      <c r="B61" s="879" t="str">
        <f>Installations!BJ889</f>
        <v>TLED (Ballast ByPass)</v>
      </c>
      <c r="C61" s="881">
        <f>Installations!BK889</f>
        <v>0</v>
      </c>
      <c r="D61" s="892">
        <f>Installations!BL889</f>
        <v>0</v>
      </c>
      <c r="E61" s="892">
        <f>Installations!BM889</f>
        <v>0</v>
      </c>
      <c r="F61" s="892">
        <f>Installations!BN889</f>
        <v>0</v>
      </c>
      <c r="G61" s="892">
        <f>Installations!BO889</f>
        <v>0</v>
      </c>
      <c r="H61" s="892">
        <f>Installations!BP889</f>
        <v>0</v>
      </c>
      <c r="I61" s="892">
        <f>Installations!BQ889</f>
        <v>0</v>
      </c>
      <c r="J61" s="892">
        <f>Installations!BR889</f>
        <v>0</v>
      </c>
      <c r="K61" s="893">
        <f>Installations!BS889</f>
        <v>0</v>
      </c>
      <c r="L61" s="881">
        <f>Installations!BT889</f>
        <v>0</v>
      </c>
      <c r="M61" s="893">
        <f>Installations!BU889</f>
        <v>0</v>
      </c>
      <c r="N61" s="91"/>
      <c r="O61" s="881">
        <f>Installations!BW889</f>
        <v>0</v>
      </c>
      <c r="P61" s="893">
        <f>Installations!BX889</f>
        <v>0</v>
      </c>
      <c r="Q61" s="893">
        <f>Installations!BY889</f>
        <v>0</v>
      </c>
      <c r="R61" s="893">
        <f>Installations!BZ889</f>
        <v>0</v>
      </c>
      <c r="S61" s="893">
        <f>Installations!CA889</f>
        <v>0</v>
      </c>
      <c r="T61" s="881">
        <f>Installations!CB889</f>
        <v>0</v>
      </c>
      <c r="U61" s="881">
        <f>Installations!CC889</f>
        <v>0</v>
      </c>
      <c r="V61" s="881">
        <f>Installations!CD889</f>
        <v>0</v>
      </c>
      <c r="W61" s="114"/>
      <c r="X61" s="881">
        <f>Installations!CF889</f>
        <v>0</v>
      </c>
      <c r="Y61" s="881">
        <f>Installations!CG889</f>
        <v>0</v>
      </c>
      <c r="Z61" s="881">
        <f>Installations!CH889</f>
        <v>0</v>
      </c>
      <c r="AB61" s="881" t="str">
        <f>Installations!CJ889</f>
        <v/>
      </c>
      <c r="AD61" s="760"/>
      <c r="AE61" s="892">
        <f t="shared" si="9"/>
        <v>0</v>
      </c>
      <c r="AF61" s="893">
        <f t="shared" si="10"/>
        <v>0</v>
      </c>
      <c r="AG61" s="894">
        <f>IF(LEFT(B61,4)="TLED",VLOOKUP("TLED Controls",B$40:C$48,2,FALSE)+IF(A61="Yes",Lookup!K$6,0),VLOOKUP(B61,B$40:C$48,2,FALSE)+IF(A61="Yes",Lookup!K$6,0))</f>
        <v>0.2</v>
      </c>
      <c r="AH61" s="890">
        <f t="shared" si="6"/>
        <v>0</v>
      </c>
      <c r="AI61" s="883">
        <f t="shared" si="7"/>
        <v>0</v>
      </c>
      <c r="AJ61" s="891" t="str">
        <f t="shared" si="8"/>
        <v/>
      </c>
    </row>
    <row r="62" spans="1:36">
      <c r="A62" s="881" t="str">
        <f>Installations!BI890</f>
        <v>Yes</v>
      </c>
      <c r="B62" s="879" t="str">
        <f>Installations!BJ890</f>
        <v>TLED (External)</v>
      </c>
      <c r="C62" s="881">
        <f>Installations!BK890</f>
        <v>0</v>
      </c>
      <c r="D62" s="892">
        <f>Installations!BL890</f>
        <v>0</v>
      </c>
      <c r="E62" s="892">
        <f>Installations!BM890</f>
        <v>0</v>
      </c>
      <c r="F62" s="892">
        <f>Installations!BN890</f>
        <v>0</v>
      </c>
      <c r="G62" s="892">
        <f>Installations!BO890</f>
        <v>0</v>
      </c>
      <c r="H62" s="892">
        <f>Installations!BP890</f>
        <v>0</v>
      </c>
      <c r="I62" s="892">
        <f>Installations!BQ890</f>
        <v>0</v>
      </c>
      <c r="J62" s="892">
        <f>Installations!BR890</f>
        <v>0</v>
      </c>
      <c r="K62" s="893">
        <f>Installations!BS890</f>
        <v>0</v>
      </c>
      <c r="L62" s="881">
        <f>Installations!BT890</f>
        <v>0</v>
      </c>
      <c r="M62" s="893">
        <f>Installations!BU890</f>
        <v>0</v>
      </c>
      <c r="N62" s="91"/>
      <c r="O62" s="881">
        <f>Installations!BW890</f>
        <v>0</v>
      </c>
      <c r="P62" s="893">
        <f>Installations!BX890</f>
        <v>0</v>
      </c>
      <c r="Q62" s="893">
        <f>Installations!BY890</f>
        <v>0</v>
      </c>
      <c r="R62" s="893">
        <f>Installations!BZ890</f>
        <v>0</v>
      </c>
      <c r="S62" s="893">
        <f>Installations!CA890</f>
        <v>0</v>
      </c>
      <c r="T62" s="881">
        <f>Installations!CB890</f>
        <v>0</v>
      </c>
      <c r="U62" s="881">
        <f>Installations!CC890</f>
        <v>0</v>
      </c>
      <c r="V62" s="881">
        <f>Installations!CD890</f>
        <v>0</v>
      </c>
      <c r="W62" s="114"/>
      <c r="X62" s="881">
        <f>Installations!CF890</f>
        <v>0</v>
      </c>
      <c r="Y62" s="881">
        <f>Installations!CG890</f>
        <v>0</v>
      </c>
      <c r="Z62" s="881">
        <f>Installations!CH890</f>
        <v>0</v>
      </c>
      <c r="AB62" s="881" t="str">
        <f>IF(AND(J62=0,L62&gt;0),10,Installations!CJ890)</f>
        <v/>
      </c>
      <c r="AD62" s="760"/>
      <c r="AE62" s="892">
        <f t="shared" si="9"/>
        <v>0</v>
      </c>
      <c r="AF62" s="893">
        <f t="shared" si="10"/>
        <v>0</v>
      </c>
      <c r="AG62" s="894">
        <f>IF(LEFT(B62,4)="TLED",VLOOKUP("TLED Controls",B$40:C$48,2,FALSE)+IF(A62="Yes",Lookup!K$6,0),VLOOKUP(B62,B$40:C$48,2,FALSE)+IF(A62="Yes",Lookup!K$6,0))</f>
        <v>0.4</v>
      </c>
      <c r="AH62" s="890">
        <f t="shared" si="6"/>
        <v>0</v>
      </c>
      <c r="AI62" s="883">
        <f t="shared" si="7"/>
        <v>0</v>
      </c>
      <c r="AJ62" s="891" t="str">
        <f t="shared" si="8"/>
        <v/>
      </c>
    </row>
    <row r="63" spans="1:36">
      <c r="A63" s="881" t="str">
        <f>Installations!BI891</f>
        <v>No</v>
      </c>
      <c r="B63" s="879" t="str">
        <f>Installations!BJ891</f>
        <v>TLED (External)</v>
      </c>
      <c r="C63" s="881">
        <f>Installations!BK891</f>
        <v>0</v>
      </c>
      <c r="D63" s="892">
        <f>Installations!BL891</f>
        <v>0</v>
      </c>
      <c r="E63" s="892">
        <f>Installations!BM891</f>
        <v>0</v>
      </c>
      <c r="F63" s="892">
        <f>Installations!BN891</f>
        <v>0</v>
      </c>
      <c r="G63" s="892">
        <f>Installations!BO891</f>
        <v>0</v>
      </c>
      <c r="H63" s="892">
        <f>Installations!BP891</f>
        <v>0</v>
      </c>
      <c r="I63" s="892">
        <f>Installations!BQ891</f>
        <v>0</v>
      </c>
      <c r="J63" s="892">
        <f>Installations!BR891</f>
        <v>0</v>
      </c>
      <c r="K63" s="893">
        <f>Installations!BS891</f>
        <v>0</v>
      </c>
      <c r="L63" s="881">
        <f>Installations!BT891</f>
        <v>0</v>
      </c>
      <c r="M63" s="893">
        <f>Installations!BU891</f>
        <v>0</v>
      </c>
      <c r="N63" s="91"/>
      <c r="O63" s="881">
        <f>Installations!BW891</f>
        <v>0</v>
      </c>
      <c r="P63" s="893">
        <f>Installations!BX891</f>
        <v>0</v>
      </c>
      <c r="Q63" s="893">
        <f>Installations!BY891</f>
        <v>0</v>
      </c>
      <c r="R63" s="893">
        <f>Installations!BZ891</f>
        <v>0</v>
      </c>
      <c r="S63" s="893">
        <f>Installations!CA891</f>
        <v>0</v>
      </c>
      <c r="T63" s="881">
        <f>Installations!CB891</f>
        <v>0</v>
      </c>
      <c r="U63" s="881">
        <f>Installations!CC891</f>
        <v>0</v>
      </c>
      <c r="V63" s="881">
        <f>Installations!CD891</f>
        <v>0</v>
      </c>
      <c r="W63" s="114"/>
      <c r="X63" s="881">
        <f>Installations!CF891</f>
        <v>0</v>
      </c>
      <c r="Y63" s="881">
        <f>Installations!CG891</f>
        <v>0</v>
      </c>
      <c r="Z63" s="881">
        <f>Installations!CH891</f>
        <v>0</v>
      </c>
      <c r="AB63" s="881" t="str">
        <f>Installations!CJ891</f>
        <v/>
      </c>
      <c r="AD63" s="760"/>
      <c r="AE63" s="892">
        <f t="shared" si="9"/>
        <v>0</v>
      </c>
      <c r="AF63" s="893">
        <f t="shared" si="10"/>
        <v>0</v>
      </c>
      <c r="AG63" s="894">
        <f>IF(LEFT(B63,4)="TLED",VLOOKUP("TLED Controls",B$40:C$48,2,FALSE)+IF(A63="Yes",Lookup!K$6,0),VLOOKUP(B63,B$40:C$48,2,FALSE)+IF(A63="Yes",Lookup!K$6,0))</f>
        <v>0.2</v>
      </c>
      <c r="AH63" s="890">
        <f t="shared" si="6"/>
        <v>0</v>
      </c>
      <c r="AI63" s="883">
        <f t="shared" si="7"/>
        <v>0</v>
      </c>
      <c r="AJ63" s="891" t="str">
        <f t="shared" si="8"/>
        <v/>
      </c>
    </row>
    <row r="64" spans="1:36">
      <c r="A64" s="881" t="str">
        <f>Installations!BI899</f>
        <v>Yes</v>
      </c>
      <c r="B64" s="881" t="str">
        <f>Installations!BJ899</f>
        <v>TLED-TLED (Plug and Play)</v>
      </c>
      <c r="C64" s="881">
        <f>Installations!BK899</f>
        <v>0</v>
      </c>
      <c r="D64" s="881">
        <f>Installations!BL899</f>
        <v>0</v>
      </c>
      <c r="E64" s="881">
        <f>Installations!BM899</f>
        <v>0</v>
      </c>
      <c r="F64" s="881">
        <f>Installations!BN899</f>
        <v>0</v>
      </c>
      <c r="G64" s="881">
        <f>Installations!BO899</f>
        <v>0</v>
      </c>
      <c r="H64" s="881">
        <f>Installations!BP899</f>
        <v>0</v>
      </c>
      <c r="I64" s="881">
        <f>Installations!BQ899</f>
        <v>0</v>
      </c>
      <c r="J64" s="881">
        <f>Installations!BR899</f>
        <v>0</v>
      </c>
      <c r="K64" s="893">
        <f>Installations!BS899</f>
        <v>0</v>
      </c>
      <c r="L64" s="881">
        <f>Installations!BT899</f>
        <v>0</v>
      </c>
      <c r="M64" s="893">
        <f>Installations!BU899</f>
        <v>0</v>
      </c>
      <c r="O64" s="881">
        <f>Installations!BW899</f>
        <v>0</v>
      </c>
      <c r="P64" s="893">
        <f>Installations!BX899</f>
        <v>0</v>
      </c>
      <c r="Q64" s="893">
        <f>Installations!BY899</f>
        <v>0</v>
      </c>
      <c r="R64" s="893">
        <f>Installations!BZ899</f>
        <v>0</v>
      </c>
      <c r="S64" s="893">
        <f>Installations!CA899</f>
        <v>0</v>
      </c>
      <c r="T64" s="881">
        <f>Installations!CB899</f>
        <v>0</v>
      </c>
      <c r="U64" s="881">
        <f>Installations!CC899</f>
        <v>0</v>
      </c>
      <c r="V64" s="881">
        <f>Installations!CD899</f>
        <v>0</v>
      </c>
      <c r="X64" s="881">
        <f>Installations!CF899</f>
        <v>0</v>
      </c>
      <c r="Y64" s="881">
        <f>Installations!CG899</f>
        <v>0</v>
      </c>
      <c r="Z64" s="881">
        <f>Installations!CH899</f>
        <v>0</v>
      </c>
      <c r="AB64" s="881" t="str">
        <f>IF(AND(J64=0,L64&gt;0),10,Installations!CJ899)</f>
        <v/>
      </c>
      <c r="AD64" s="760"/>
      <c r="AE64" s="892">
        <f t="shared" ref="AE64:AE69" si="11">L64</f>
        <v>0</v>
      </c>
      <c r="AF64" s="893">
        <f t="shared" ref="AF64:AF69" si="12">IF(LEFT(B64,4)="TLED",M64+Q64,M64)</f>
        <v>0</v>
      </c>
      <c r="AG64" s="894">
        <f>IF(LEFT(B64,4)="TLED",VLOOKUP("TLED Controls",B$40:C$48,2,FALSE)+IF(A64="Yes",Lookup!K$6,0),VLOOKUP(B64,B$40:C$48,2,FALSE)+IF(A64="Yes",Lookup!K$6,0))</f>
        <v>0.4</v>
      </c>
      <c r="AH64" s="890">
        <f t="shared" si="6"/>
        <v>0</v>
      </c>
      <c r="AI64" s="883">
        <f t="shared" ref="AI64:AI69" si="13">AG64*AH64</f>
        <v>0</v>
      </c>
      <c r="AJ64" s="891" t="str">
        <f t="shared" ref="AJ64:AJ69" si="14">IFERROR(AB64*AH64,"")</f>
        <v/>
      </c>
    </row>
    <row r="65" spans="1:36">
      <c r="A65" s="881" t="str">
        <f>Installations!BI900</f>
        <v>No</v>
      </c>
      <c r="B65" s="881" t="str">
        <f>Installations!BJ900</f>
        <v>TLED-TLED (Plug and Play)</v>
      </c>
      <c r="C65" s="881">
        <f>Installations!BK900</f>
        <v>0</v>
      </c>
      <c r="D65" s="881">
        <f>Installations!BL900</f>
        <v>0</v>
      </c>
      <c r="E65" s="881">
        <f>Installations!BM900</f>
        <v>0</v>
      </c>
      <c r="F65" s="881">
        <f>Installations!BN900</f>
        <v>0</v>
      </c>
      <c r="G65" s="881">
        <f>Installations!BO900</f>
        <v>0</v>
      </c>
      <c r="H65" s="881">
        <f>Installations!BP900</f>
        <v>0</v>
      </c>
      <c r="I65" s="881">
        <f>Installations!BQ900</f>
        <v>0</v>
      </c>
      <c r="J65" s="881">
        <f>Installations!BR900</f>
        <v>0</v>
      </c>
      <c r="K65" s="893">
        <f>Installations!BS900</f>
        <v>0</v>
      </c>
      <c r="L65" s="881">
        <f>Installations!BT900</f>
        <v>0</v>
      </c>
      <c r="M65" s="893">
        <f>Installations!BU900</f>
        <v>0</v>
      </c>
      <c r="O65" s="881">
        <f>Installations!BW900</f>
        <v>0</v>
      </c>
      <c r="P65" s="893">
        <f>Installations!BX900</f>
        <v>0</v>
      </c>
      <c r="Q65" s="893">
        <f>Installations!BY900</f>
        <v>0</v>
      </c>
      <c r="R65" s="893">
        <f>Installations!BZ900</f>
        <v>0</v>
      </c>
      <c r="S65" s="893">
        <f>Installations!CA900</f>
        <v>0</v>
      </c>
      <c r="T65" s="881">
        <f>Installations!CB900</f>
        <v>0</v>
      </c>
      <c r="U65" s="881">
        <f>Installations!CC900</f>
        <v>0</v>
      </c>
      <c r="V65" s="881">
        <f>Installations!CD900</f>
        <v>0</v>
      </c>
      <c r="X65" s="881">
        <f>Installations!CF900</f>
        <v>0</v>
      </c>
      <c r="Y65" s="881">
        <f>Installations!CG900</f>
        <v>0</v>
      </c>
      <c r="Z65" s="881">
        <f>Installations!CH900</f>
        <v>0</v>
      </c>
      <c r="AB65" s="881" t="str">
        <f>Installations!CJ900</f>
        <v/>
      </c>
      <c r="AD65" s="760"/>
      <c r="AE65" s="892">
        <f t="shared" si="11"/>
        <v>0</v>
      </c>
      <c r="AF65" s="893">
        <f t="shared" si="12"/>
        <v>0</v>
      </c>
      <c r="AG65" s="894">
        <f>IF(LEFT(B65,4)="TLED",VLOOKUP("TLED Controls",B$40:C$48,2,FALSE)+IF(A65="Yes",Lookup!K$6,0),VLOOKUP(B65,B$40:C$48,2,FALSE)+IF(A65="Yes",Lookup!K$6,0))</f>
        <v>0.2</v>
      </c>
      <c r="AH65" s="890">
        <f t="shared" si="6"/>
        <v>0</v>
      </c>
      <c r="AI65" s="883">
        <f t="shared" si="13"/>
        <v>0</v>
      </c>
      <c r="AJ65" s="891" t="str">
        <f t="shared" si="14"/>
        <v/>
      </c>
    </row>
    <row r="66" spans="1:36">
      <c r="A66" s="881" t="str">
        <f>Installations!BI901</f>
        <v>Yes</v>
      </c>
      <c r="B66" s="881" t="str">
        <f>Installations!BJ901</f>
        <v>TLED-TLED (Ballast ByPass)</v>
      </c>
      <c r="C66" s="881">
        <f>Installations!BK901</f>
        <v>0</v>
      </c>
      <c r="D66" s="881">
        <f>Installations!BL901</f>
        <v>0</v>
      </c>
      <c r="E66" s="881">
        <f>Installations!BM901</f>
        <v>0</v>
      </c>
      <c r="F66" s="881">
        <f>Installations!BN901</f>
        <v>0</v>
      </c>
      <c r="G66" s="881">
        <f>Installations!BO901</f>
        <v>0</v>
      </c>
      <c r="H66" s="881">
        <f>Installations!BP901</f>
        <v>0</v>
      </c>
      <c r="I66" s="881">
        <f>Installations!BQ901</f>
        <v>0</v>
      </c>
      <c r="J66" s="881">
        <f>Installations!BR901</f>
        <v>0</v>
      </c>
      <c r="K66" s="893">
        <f>Installations!BS901</f>
        <v>0</v>
      </c>
      <c r="L66" s="881">
        <f>Installations!BT901</f>
        <v>0</v>
      </c>
      <c r="M66" s="893">
        <f>Installations!BU901</f>
        <v>0</v>
      </c>
      <c r="O66" s="881">
        <f>Installations!BW901</f>
        <v>0</v>
      </c>
      <c r="P66" s="893">
        <f>Installations!BX901</f>
        <v>0</v>
      </c>
      <c r="Q66" s="893">
        <f>Installations!BY901</f>
        <v>0</v>
      </c>
      <c r="R66" s="893">
        <f>Installations!BZ901</f>
        <v>0</v>
      </c>
      <c r="S66" s="893">
        <f>Installations!CA901</f>
        <v>0</v>
      </c>
      <c r="T66" s="881">
        <f>Installations!CB901</f>
        <v>0</v>
      </c>
      <c r="U66" s="881">
        <f>Installations!CC901</f>
        <v>0</v>
      </c>
      <c r="V66" s="881">
        <f>Installations!CD901</f>
        <v>0</v>
      </c>
      <c r="X66" s="881">
        <f>Installations!CF901</f>
        <v>0</v>
      </c>
      <c r="Y66" s="881">
        <f>Installations!CG901</f>
        <v>0</v>
      </c>
      <c r="Z66" s="881">
        <f>Installations!CH901</f>
        <v>0</v>
      </c>
      <c r="AB66" s="881" t="str">
        <f>IF(AND(J66=0,L66&gt;0),10,Installations!CJ901)</f>
        <v/>
      </c>
      <c r="AD66" s="760"/>
      <c r="AE66" s="892">
        <f t="shared" si="11"/>
        <v>0</v>
      </c>
      <c r="AF66" s="893">
        <f t="shared" si="12"/>
        <v>0</v>
      </c>
      <c r="AG66" s="894">
        <f>IF(LEFT(B66,4)="TLED",VLOOKUP("TLED Controls",B$40:C$48,2,FALSE)+IF(A66="Yes",Lookup!K$6,0),VLOOKUP(B66,B$40:C$48,2,FALSE)+IF(A66="Yes",Lookup!K$6,0))</f>
        <v>0.4</v>
      </c>
      <c r="AH66" s="890">
        <f t="shared" si="6"/>
        <v>0</v>
      </c>
      <c r="AI66" s="883">
        <f t="shared" si="13"/>
        <v>0</v>
      </c>
      <c r="AJ66" s="891" t="str">
        <f t="shared" si="14"/>
        <v/>
      </c>
    </row>
    <row r="67" spans="1:36">
      <c r="A67" s="881" t="str">
        <f>Installations!BI902</f>
        <v>No</v>
      </c>
      <c r="B67" s="881" t="str">
        <f>Installations!BJ902</f>
        <v>TLED-TLED (Ballast ByPass)</v>
      </c>
      <c r="C67" s="881">
        <f>Installations!BK902</f>
        <v>0</v>
      </c>
      <c r="D67" s="881">
        <f>Installations!BL902</f>
        <v>0</v>
      </c>
      <c r="E67" s="881">
        <f>Installations!BM902</f>
        <v>0</v>
      </c>
      <c r="F67" s="881">
        <f>Installations!BN902</f>
        <v>0</v>
      </c>
      <c r="G67" s="881">
        <f>Installations!BO902</f>
        <v>0</v>
      </c>
      <c r="H67" s="881">
        <f>Installations!BP902</f>
        <v>0</v>
      </c>
      <c r="I67" s="881">
        <f>Installations!BQ902</f>
        <v>0</v>
      </c>
      <c r="J67" s="881">
        <f>Installations!BR902</f>
        <v>0</v>
      </c>
      <c r="K67" s="893">
        <f>Installations!BS902</f>
        <v>0</v>
      </c>
      <c r="L67" s="881">
        <f>Installations!BT902</f>
        <v>0</v>
      </c>
      <c r="M67" s="893">
        <f>Installations!BU902</f>
        <v>0</v>
      </c>
      <c r="O67" s="881">
        <f>Installations!BW902</f>
        <v>0</v>
      </c>
      <c r="P67" s="893">
        <f>Installations!BX902</f>
        <v>0</v>
      </c>
      <c r="Q67" s="893">
        <f>Installations!BY902</f>
        <v>0</v>
      </c>
      <c r="R67" s="893">
        <f>Installations!BZ902</f>
        <v>0</v>
      </c>
      <c r="S67" s="893">
        <f>Installations!CA902</f>
        <v>0</v>
      </c>
      <c r="T67" s="881">
        <f>Installations!CB902</f>
        <v>0</v>
      </c>
      <c r="U67" s="881">
        <f>Installations!CC902</f>
        <v>0</v>
      </c>
      <c r="V67" s="881">
        <f>Installations!CD902</f>
        <v>0</v>
      </c>
      <c r="X67" s="881">
        <f>Installations!CF902</f>
        <v>0</v>
      </c>
      <c r="Y67" s="881">
        <f>Installations!CG902</f>
        <v>0</v>
      </c>
      <c r="Z67" s="881">
        <f>Installations!CH902</f>
        <v>0</v>
      </c>
      <c r="AB67" s="881" t="str">
        <f>Installations!CJ902</f>
        <v/>
      </c>
      <c r="AD67" s="760"/>
      <c r="AE67" s="892">
        <f t="shared" si="11"/>
        <v>0</v>
      </c>
      <c r="AF67" s="893">
        <f t="shared" si="12"/>
        <v>0</v>
      </c>
      <c r="AG67" s="894">
        <f>IF(LEFT(B67,4)="TLED",VLOOKUP("TLED Controls",B$40:C$48,2,FALSE)+IF(A67="Yes",Lookup!K$6,0),VLOOKUP(B67,B$40:C$48,2,FALSE)+IF(A67="Yes",Lookup!K$6,0))</f>
        <v>0.2</v>
      </c>
      <c r="AH67" s="890">
        <f t="shared" si="6"/>
        <v>0</v>
      </c>
      <c r="AI67" s="883">
        <f t="shared" si="13"/>
        <v>0</v>
      </c>
      <c r="AJ67" s="891" t="str">
        <f t="shared" si="14"/>
        <v/>
      </c>
    </row>
    <row r="68" spans="1:36">
      <c r="A68" s="881" t="str">
        <f>Installations!BI903</f>
        <v>Yes</v>
      </c>
      <c r="B68" s="881" t="str">
        <f>Installations!BJ903</f>
        <v>TLED-TLED (External)</v>
      </c>
      <c r="C68" s="881">
        <f>Installations!BK903</f>
        <v>0</v>
      </c>
      <c r="D68" s="881">
        <f>Installations!BL903</f>
        <v>0</v>
      </c>
      <c r="E68" s="881">
        <f>Installations!BM903</f>
        <v>0</v>
      </c>
      <c r="F68" s="881">
        <f>Installations!BN903</f>
        <v>0</v>
      </c>
      <c r="G68" s="881">
        <f>Installations!BO903</f>
        <v>0</v>
      </c>
      <c r="H68" s="881">
        <f>Installations!BP903</f>
        <v>0</v>
      </c>
      <c r="I68" s="881">
        <f>Installations!BQ903</f>
        <v>0</v>
      </c>
      <c r="J68" s="881">
        <f>Installations!BR903</f>
        <v>0</v>
      </c>
      <c r="K68" s="893">
        <f>Installations!BS903</f>
        <v>0</v>
      </c>
      <c r="L68" s="881">
        <f>Installations!BT903</f>
        <v>0</v>
      </c>
      <c r="M68" s="893">
        <f>Installations!BU903</f>
        <v>0</v>
      </c>
      <c r="O68" s="881">
        <f>Installations!BW903</f>
        <v>0</v>
      </c>
      <c r="P68" s="893">
        <f>Installations!BX903</f>
        <v>0</v>
      </c>
      <c r="Q68" s="893">
        <f>Installations!BY903</f>
        <v>0</v>
      </c>
      <c r="R68" s="893">
        <f>Installations!BZ903</f>
        <v>0</v>
      </c>
      <c r="S68" s="893">
        <f>Installations!CA903</f>
        <v>0</v>
      </c>
      <c r="T68" s="881">
        <f>Installations!CB903</f>
        <v>0</v>
      </c>
      <c r="U68" s="881">
        <f>Installations!CC903</f>
        <v>0</v>
      </c>
      <c r="V68" s="881">
        <f>Installations!CD903</f>
        <v>0</v>
      </c>
      <c r="X68" s="881">
        <f>Installations!CF903</f>
        <v>0</v>
      </c>
      <c r="Y68" s="881">
        <f>Installations!CG903</f>
        <v>0</v>
      </c>
      <c r="Z68" s="881">
        <f>Installations!CH903</f>
        <v>0</v>
      </c>
      <c r="AB68" s="881" t="str">
        <f>IF(AND(J68=0,L68&gt;0),10,Installations!CJ903)</f>
        <v/>
      </c>
      <c r="AD68" s="760"/>
      <c r="AE68" s="892">
        <f t="shared" si="11"/>
        <v>0</v>
      </c>
      <c r="AF68" s="893">
        <f t="shared" si="12"/>
        <v>0</v>
      </c>
      <c r="AG68" s="894">
        <f>IF(LEFT(B68,4)="TLED",VLOOKUP("TLED Controls",B$40:C$48,2,FALSE)+IF(A68="Yes",Lookup!K$6,0),VLOOKUP(B68,B$40:C$48,2,FALSE)+IF(A68="Yes",Lookup!K$6,0))</f>
        <v>0.4</v>
      </c>
      <c r="AH68" s="890">
        <f t="shared" si="6"/>
        <v>0</v>
      </c>
      <c r="AI68" s="883">
        <f t="shared" si="13"/>
        <v>0</v>
      </c>
      <c r="AJ68" s="891" t="str">
        <f t="shared" si="14"/>
        <v/>
      </c>
    </row>
    <row r="69" spans="1:36">
      <c r="A69" s="881" t="str">
        <f>Installations!BI904</f>
        <v>No</v>
      </c>
      <c r="B69" s="881" t="str">
        <f>Installations!BJ904</f>
        <v>TLED-TLED (External)</v>
      </c>
      <c r="C69" s="881">
        <f>Installations!BK904</f>
        <v>0</v>
      </c>
      <c r="D69" s="881">
        <f>Installations!BL904</f>
        <v>0</v>
      </c>
      <c r="E69" s="881">
        <f>Installations!BM904</f>
        <v>0</v>
      </c>
      <c r="F69" s="881">
        <f>Installations!BN904</f>
        <v>0</v>
      </c>
      <c r="G69" s="881">
        <f>Installations!BO904</f>
        <v>0</v>
      </c>
      <c r="H69" s="881">
        <f>Installations!BP904</f>
        <v>0</v>
      </c>
      <c r="I69" s="881">
        <f>Installations!BQ904</f>
        <v>0</v>
      </c>
      <c r="J69" s="881">
        <f>Installations!BR904</f>
        <v>0</v>
      </c>
      <c r="K69" s="893">
        <f>Installations!BS904</f>
        <v>0</v>
      </c>
      <c r="L69" s="881">
        <f>Installations!BT904</f>
        <v>0</v>
      </c>
      <c r="M69" s="893">
        <f>Installations!BU904</f>
        <v>0</v>
      </c>
      <c r="O69" s="881">
        <f>Installations!BW904</f>
        <v>0</v>
      </c>
      <c r="P69" s="893">
        <f>Installations!BX904</f>
        <v>0</v>
      </c>
      <c r="Q69" s="893">
        <f>Installations!BY904</f>
        <v>0</v>
      </c>
      <c r="R69" s="893">
        <f>Installations!BZ904</f>
        <v>0</v>
      </c>
      <c r="S69" s="893">
        <f>Installations!CA904</f>
        <v>0</v>
      </c>
      <c r="T69" s="881">
        <f>Installations!CB904</f>
        <v>0</v>
      </c>
      <c r="U69" s="881">
        <f>Installations!CC904</f>
        <v>0</v>
      </c>
      <c r="V69" s="881">
        <f>Installations!CD904</f>
        <v>0</v>
      </c>
      <c r="X69" s="881">
        <f>Installations!CF904</f>
        <v>0</v>
      </c>
      <c r="Y69" s="881">
        <f>Installations!CG904</f>
        <v>0</v>
      </c>
      <c r="Z69" s="881">
        <f>Installations!CH904</f>
        <v>0</v>
      </c>
      <c r="AB69" s="881" t="str">
        <f>Installations!CJ904</f>
        <v/>
      </c>
      <c r="AD69" s="760"/>
      <c r="AE69" s="892">
        <f t="shared" si="11"/>
        <v>0</v>
      </c>
      <c r="AF69" s="893">
        <f t="shared" si="12"/>
        <v>0</v>
      </c>
      <c r="AG69" s="894">
        <f>IF(LEFT(B69,4)="TLED",VLOOKUP("TLED Controls",B$40:C$48,2,FALSE)+IF(A69="Yes",Lookup!K$6,0),VLOOKUP(B69,B$40:C$48,2,FALSE)+IF(A69="Yes",Lookup!K$6,0))</f>
        <v>0.2</v>
      </c>
      <c r="AH69" s="890">
        <f t="shared" si="6"/>
        <v>0</v>
      </c>
      <c r="AI69" s="883">
        <f t="shared" si="13"/>
        <v>0</v>
      </c>
      <c r="AJ69" s="891" t="str">
        <f t="shared" si="14"/>
        <v/>
      </c>
    </row>
    <row r="70" spans="1:36">
      <c r="A70" s="634" t="str">
        <f>Installations!BI892</f>
        <v>Yes</v>
      </c>
      <c r="B70" s="647" t="str">
        <f>Installations!BJ892</f>
        <v>CFL-LED Retrofit Lamp</v>
      </c>
      <c r="C70" s="634">
        <f>Installations!BK892</f>
        <v>0</v>
      </c>
      <c r="D70" s="888">
        <f>Installations!BL892</f>
        <v>0</v>
      </c>
      <c r="E70" s="888">
        <f>Installations!BM892</f>
        <v>0</v>
      </c>
      <c r="F70" s="888">
        <f>Installations!BN892</f>
        <v>0</v>
      </c>
      <c r="G70" s="888">
        <f>Installations!BO892</f>
        <v>0</v>
      </c>
      <c r="H70" s="888">
        <f>Installations!BP892</f>
        <v>0</v>
      </c>
      <c r="I70" s="888">
        <f>Installations!BQ892</f>
        <v>0</v>
      </c>
      <c r="J70" s="888">
        <f>Installations!BR892</f>
        <v>0</v>
      </c>
      <c r="K70" s="889">
        <f>Installations!BS892</f>
        <v>0</v>
      </c>
      <c r="L70" s="634">
        <f>Installations!BT892</f>
        <v>0</v>
      </c>
      <c r="M70" s="889">
        <f>Installations!BU892</f>
        <v>0</v>
      </c>
      <c r="N70" s="91"/>
      <c r="O70" s="888">
        <f>Installations!BW892</f>
        <v>0</v>
      </c>
      <c r="P70" s="889">
        <f>Installations!BX892</f>
        <v>0</v>
      </c>
      <c r="Q70" s="889">
        <f>Installations!BY892</f>
        <v>0</v>
      </c>
      <c r="R70" s="889">
        <f>Installations!BZ892</f>
        <v>0</v>
      </c>
      <c r="S70" s="889">
        <f>Installations!CA892</f>
        <v>0</v>
      </c>
      <c r="T70" s="634">
        <f>Installations!CB892</f>
        <v>0</v>
      </c>
      <c r="U70" s="634">
        <f>Installations!CC892</f>
        <v>0</v>
      </c>
      <c r="V70" s="634">
        <f>Installations!CD892</f>
        <v>0</v>
      </c>
      <c r="W70" s="114"/>
      <c r="X70" s="634">
        <f>Installations!CF892</f>
        <v>0</v>
      </c>
      <c r="Y70" s="634">
        <f>Installations!CG892</f>
        <v>0</v>
      </c>
      <c r="Z70" s="634">
        <f>Installations!CH892</f>
        <v>0</v>
      </c>
      <c r="AB70" s="634" t="str">
        <f>IF(AND(J70=0,L70&gt;0),10,Installations!CJ892)</f>
        <v/>
      </c>
      <c r="AD70" s="634">
        <f t="shared" ref="AD70:AD76" si="15">Z70</f>
        <v>0</v>
      </c>
      <c r="AE70" s="888">
        <f t="shared" ref="AE70:AE76" si="16">O70</f>
        <v>0</v>
      </c>
      <c r="AF70" s="889">
        <f t="shared" ref="AF70:AF76" si="17">K70+M70+S70</f>
        <v>0</v>
      </c>
      <c r="AG70" s="876">
        <f>IF(LEFT(B70,4)="TLED",VLOOKUP("TLED Controls",B$40:C$48,2,FALSE)+IF(A70="Yes",Lookup!K$6,0),VLOOKUP(B70,B$40:C$48,2,FALSE)+IF(A70="Yes",Lookup!K$6,0))</f>
        <v>0.37</v>
      </c>
      <c r="AH70" s="890">
        <f t="shared" si="6"/>
        <v>0</v>
      </c>
      <c r="AI70" s="883">
        <f t="shared" si="7"/>
        <v>0</v>
      </c>
      <c r="AJ70" s="891" t="str">
        <f t="shared" si="8"/>
        <v/>
      </c>
    </row>
    <row r="71" spans="1:36">
      <c r="A71" s="634" t="str">
        <f>Installations!BI893</f>
        <v>No</v>
      </c>
      <c r="B71" s="647" t="str">
        <f>Installations!BJ893</f>
        <v>CFL-LED Retrofit Lamp</v>
      </c>
      <c r="C71" s="634">
        <f>Installations!BK893</f>
        <v>0</v>
      </c>
      <c r="D71" s="888">
        <f>Installations!BL893</f>
        <v>0</v>
      </c>
      <c r="E71" s="888">
        <f>Installations!BM893</f>
        <v>0</v>
      </c>
      <c r="F71" s="888">
        <f>Installations!BN893</f>
        <v>0</v>
      </c>
      <c r="G71" s="888">
        <f>Installations!BO893</f>
        <v>0</v>
      </c>
      <c r="H71" s="888">
        <f>Installations!BP893</f>
        <v>0</v>
      </c>
      <c r="I71" s="888">
        <f>Installations!BQ893</f>
        <v>0</v>
      </c>
      <c r="J71" s="888">
        <f>Installations!BR893</f>
        <v>0</v>
      </c>
      <c r="K71" s="889">
        <f>Installations!BS893</f>
        <v>0</v>
      </c>
      <c r="L71" s="634">
        <f>Installations!BT893</f>
        <v>0</v>
      </c>
      <c r="M71" s="889">
        <f>Installations!BU893</f>
        <v>0</v>
      </c>
      <c r="N71" s="91"/>
      <c r="O71" s="888">
        <f>Installations!BW893</f>
        <v>0</v>
      </c>
      <c r="P71" s="889">
        <f>Installations!BX893</f>
        <v>0</v>
      </c>
      <c r="Q71" s="889">
        <f>Installations!BY893</f>
        <v>0</v>
      </c>
      <c r="R71" s="889">
        <f>Installations!BZ893</f>
        <v>0</v>
      </c>
      <c r="S71" s="889">
        <f>Installations!CA893</f>
        <v>0</v>
      </c>
      <c r="T71" s="634">
        <f>Installations!CB893</f>
        <v>0</v>
      </c>
      <c r="U71" s="634">
        <f>Installations!CC893</f>
        <v>0</v>
      </c>
      <c r="V71" s="634">
        <f>Installations!CD893</f>
        <v>0</v>
      </c>
      <c r="W71" s="114"/>
      <c r="X71" s="634">
        <f>Installations!CF893</f>
        <v>0</v>
      </c>
      <c r="Y71" s="634">
        <f>Installations!CG893</f>
        <v>0</v>
      </c>
      <c r="Z71" s="634">
        <f>Installations!CH893</f>
        <v>0</v>
      </c>
      <c r="AB71" s="634" t="str">
        <f>Installations!CJ893</f>
        <v/>
      </c>
      <c r="AD71" s="634">
        <f t="shared" si="15"/>
        <v>0</v>
      </c>
      <c r="AE71" s="888">
        <f t="shared" si="16"/>
        <v>0</v>
      </c>
      <c r="AF71" s="889">
        <f t="shared" si="17"/>
        <v>0</v>
      </c>
      <c r="AG71" s="876">
        <f>IF(LEFT(B71,4)="TLED",VLOOKUP("TLED Controls",B$40:C$48,2,FALSE)+IF(A71="Yes",Lookup!K$6,0),VLOOKUP(B71,B$40:C$48,2,FALSE)+IF(A71="Yes",Lookup!K$6,0))</f>
        <v>0.17</v>
      </c>
      <c r="AH71" s="890">
        <f t="shared" si="6"/>
        <v>0</v>
      </c>
      <c r="AI71" s="883">
        <f t="shared" si="7"/>
        <v>0</v>
      </c>
      <c r="AJ71" s="891" t="str">
        <f t="shared" si="8"/>
        <v/>
      </c>
    </row>
    <row r="72" spans="1:36">
      <c r="A72" s="634" t="str">
        <f>Installations!BI894</f>
        <v>Yes</v>
      </c>
      <c r="B72" s="647" t="str">
        <f>Installations!BJ894</f>
        <v>HID-LED Retrofit lamp</v>
      </c>
      <c r="C72" s="634">
        <f>Installations!BK894</f>
        <v>0</v>
      </c>
      <c r="D72" s="888">
        <f>Installations!BL894</f>
        <v>0</v>
      </c>
      <c r="E72" s="888">
        <f>Installations!BM894</f>
        <v>0</v>
      </c>
      <c r="F72" s="888">
        <f>Installations!BN894</f>
        <v>0</v>
      </c>
      <c r="G72" s="888">
        <f>Installations!BO894</f>
        <v>0</v>
      </c>
      <c r="H72" s="888">
        <f>Installations!BP894</f>
        <v>0</v>
      </c>
      <c r="I72" s="888">
        <f>Installations!BQ894</f>
        <v>0</v>
      </c>
      <c r="J72" s="888">
        <f>Installations!BR894</f>
        <v>0</v>
      </c>
      <c r="K72" s="889">
        <f>Installations!BS894</f>
        <v>0</v>
      </c>
      <c r="L72" s="634">
        <f>Installations!BT894</f>
        <v>0</v>
      </c>
      <c r="M72" s="889">
        <f>Installations!BU894</f>
        <v>0</v>
      </c>
      <c r="N72" s="91"/>
      <c r="O72" s="888">
        <f>Installations!BW894</f>
        <v>0</v>
      </c>
      <c r="P72" s="889">
        <f>Installations!BX894</f>
        <v>0</v>
      </c>
      <c r="Q72" s="889">
        <f>Installations!BY894</f>
        <v>0</v>
      </c>
      <c r="R72" s="889">
        <f>Installations!BZ894</f>
        <v>0</v>
      </c>
      <c r="S72" s="889">
        <f>Installations!CA894</f>
        <v>0</v>
      </c>
      <c r="T72" s="634">
        <f>Installations!CB894</f>
        <v>0</v>
      </c>
      <c r="U72" s="634">
        <f>Installations!CC894</f>
        <v>0</v>
      </c>
      <c r="V72" s="634">
        <f>Installations!CD894</f>
        <v>0</v>
      </c>
      <c r="W72" s="114"/>
      <c r="X72" s="634">
        <f>Installations!CF894</f>
        <v>0</v>
      </c>
      <c r="Y72" s="634">
        <f>Installations!CG894</f>
        <v>0</v>
      </c>
      <c r="Z72" s="634">
        <f>Installations!CH894</f>
        <v>0</v>
      </c>
      <c r="AB72" s="634" t="str">
        <f>IF(AND(J72=0,L72&gt;0),10,Installations!CJ894)</f>
        <v/>
      </c>
      <c r="AD72" s="634">
        <f t="shared" si="15"/>
        <v>0</v>
      </c>
      <c r="AE72" s="888">
        <f t="shared" si="16"/>
        <v>0</v>
      </c>
      <c r="AF72" s="889">
        <f t="shared" si="17"/>
        <v>0</v>
      </c>
      <c r="AG72" s="876">
        <f>IF(LEFT(B72,4)="TLED",VLOOKUP("TLED Controls",B$40:C$48,2,FALSE)+IF(A72="Yes",Lookup!K$6,0),VLOOKUP(B72,B$40:C$48,2,FALSE)+IF(A72="Yes",Lookup!K$6,0))</f>
        <v>0.37</v>
      </c>
      <c r="AH72" s="890">
        <f t="shared" si="6"/>
        <v>0</v>
      </c>
      <c r="AI72" s="883">
        <f t="shared" si="7"/>
        <v>0</v>
      </c>
      <c r="AJ72" s="891" t="str">
        <f t="shared" si="8"/>
        <v/>
      </c>
    </row>
    <row r="73" spans="1:36">
      <c r="A73" s="634" t="str">
        <f>Installations!BI895</f>
        <v>No</v>
      </c>
      <c r="B73" s="647" t="str">
        <f>Installations!BJ895</f>
        <v>HID-LED Retrofit lamp</v>
      </c>
      <c r="C73" s="634">
        <f>Installations!BK895</f>
        <v>0</v>
      </c>
      <c r="D73" s="888">
        <f>Installations!BL895</f>
        <v>0</v>
      </c>
      <c r="E73" s="888">
        <f>Installations!BM895</f>
        <v>0</v>
      </c>
      <c r="F73" s="888">
        <f>Installations!BN895</f>
        <v>0</v>
      </c>
      <c r="G73" s="888">
        <f>Installations!BO895</f>
        <v>0</v>
      </c>
      <c r="H73" s="888">
        <f>Installations!BP895</f>
        <v>0</v>
      </c>
      <c r="I73" s="888">
        <f>Installations!BQ895</f>
        <v>0</v>
      </c>
      <c r="J73" s="888">
        <f>Installations!BR895</f>
        <v>0</v>
      </c>
      <c r="K73" s="889">
        <f>Installations!BS895</f>
        <v>0</v>
      </c>
      <c r="L73" s="634">
        <f>Installations!BT895</f>
        <v>0</v>
      </c>
      <c r="M73" s="889">
        <f>Installations!BU895</f>
        <v>0</v>
      </c>
      <c r="N73" s="91"/>
      <c r="O73" s="888">
        <f>Installations!BW895</f>
        <v>0</v>
      </c>
      <c r="P73" s="889">
        <f>Installations!BX895</f>
        <v>0</v>
      </c>
      <c r="Q73" s="889">
        <f>Installations!BY895</f>
        <v>0</v>
      </c>
      <c r="R73" s="889">
        <f>Installations!BZ895</f>
        <v>0</v>
      </c>
      <c r="S73" s="889">
        <f>Installations!CA895</f>
        <v>0</v>
      </c>
      <c r="T73" s="634">
        <f>Installations!CB895</f>
        <v>0</v>
      </c>
      <c r="U73" s="634">
        <f>Installations!CC895</f>
        <v>0</v>
      </c>
      <c r="V73" s="634">
        <f>Installations!CD895</f>
        <v>0</v>
      </c>
      <c r="W73" s="114"/>
      <c r="X73" s="634">
        <f>Installations!CF895</f>
        <v>0</v>
      </c>
      <c r="Y73" s="634">
        <f>Installations!CG895</f>
        <v>0</v>
      </c>
      <c r="Z73" s="634">
        <f>Installations!CH895</f>
        <v>0</v>
      </c>
      <c r="AB73" s="634" t="str">
        <f>Installations!CJ895</f>
        <v/>
      </c>
      <c r="AD73" s="634">
        <f t="shared" si="15"/>
        <v>0</v>
      </c>
      <c r="AE73" s="888">
        <f t="shared" si="16"/>
        <v>0</v>
      </c>
      <c r="AF73" s="889">
        <f t="shared" si="17"/>
        <v>0</v>
      </c>
      <c r="AG73" s="876">
        <f>IF(LEFT(B73,4)="TLED",VLOOKUP("TLED Controls",B$40:C$48,2,FALSE)+IF(A73="Yes",Lookup!K$6,0),VLOOKUP(B73,B$40:C$48,2,FALSE)+IF(A73="Yes",Lookup!K$6,0))</f>
        <v>0.17</v>
      </c>
      <c r="AH73" s="890">
        <f t="shared" si="6"/>
        <v>0</v>
      </c>
      <c r="AI73" s="883">
        <f t="shared" si="7"/>
        <v>0</v>
      </c>
      <c r="AJ73" s="891" t="str">
        <f t="shared" si="8"/>
        <v/>
      </c>
    </row>
    <row r="74" spans="1:36">
      <c r="A74" s="634" t="str">
        <f>Installations!BI896</f>
        <v>No</v>
      </c>
      <c r="B74" s="647" t="str">
        <f>Installations!BJ896</f>
        <v>Fixture Removed</v>
      </c>
      <c r="C74" s="634">
        <f>Installations!BK896</f>
        <v>0</v>
      </c>
      <c r="D74" s="888">
        <f>Installations!BL896</f>
        <v>0</v>
      </c>
      <c r="E74" s="888">
        <f>Installations!BM896</f>
        <v>0</v>
      </c>
      <c r="F74" s="888">
        <f>Installations!BN896</f>
        <v>0</v>
      </c>
      <c r="G74" s="888">
        <f>Installations!BO896</f>
        <v>0</v>
      </c>
      <c r="H74" s="888">
        <f>Installations!BP896</f>
        <v>0</v>
      </c>
      <c r="I74" s="888">
        <f>Installations!BQ896</f>
        <v>0</v>
      </c>
      <c r="J74" s="888">
        <f>Installations!BR896</f>
        <v>0</v>
      </c>
      <c r="K74" s="889">
        <f>Installations!BS896</f>
        <v>0</v>
      </c>
      <c r="L74" s="634">
        <f>Installations!BT896</f>
        <v>0</v>
      </c>
      <c r="M74" s="889">
        <f>Installations!BU896</f>
        <v>0</v>
      </c>
      <c r="O74" s="888">
        <f>Installations!BW896</f>
        <v>0</v>
      </c>
      <c r="P74" s="889">
        <f>Installations!BX896</f>
        <v>0</v>
      </c>
      <c r="Q74" s="889">
        <f>Installations!BY896</f>
        <v>0</v>
      </c>
      <c r="R74" s="889">
        <f>Installations!BZ896</f>
        <v>0</v>
      </c>
      <c r="S74" s="889">
        <f>Installations!CA896</f>
        <v>0</v>
      </c>
      <c r="T74" s="634">
        <f>Installations!CB896</f>
        <v>0</v>
      </c>
      <c r="U74" s="634">
        <f>Installations!CC896</f>
        <v>0</v>
      </c>
      <c r="V74" s="634">
        <f>Installations!CD896</f>
        <v>0</v>
      </c>
      <c r="X74" s="634">
        <f>Installations!CF896</f>
        <v>0</v>
      </c>
      <c r="Y74" s="634">
        <f>Installations!CG896</f>
        <v>0</v>
      </c>
      <c r="Z74" s="634">
        <f>Installations!CH896</f>
        <v>0</v>
      </c>
      <c r="AB74" s="634" t="str">
        <f>Installations!CJ896</f>
        <v/>
      </c>
      <c r="AD74" s="634">
        <f t="shared" si="15"/>
        <v>0</v>
      </c>
      <c r="AE74" s="888">
        <f t="shared" si="16"/>
        <v>0</v>
      </c>
      <c r="AF74" s="889">
        <f t="shared" si="17"/>
        <v>0</v>
      </c>
      <c r="AG74" s="876">
        <f>C49</f>
        <v>0.3</v>
      </c>
      <c r="AH74" s="890">
        <f t="shared" si="6"/>
        <v>0</v>
      </c>
      <c r="AI74" s="883">
        <f>AG74*AH74</f>
        <v>0</v>
      </c>
      <c r="AJ74" s="891" t="str">
        <f>IFERROR(AB74*AH74,"")</f>
        <v/>
      </c>
    </row>
    <row r="75" spans="1:36">
      <c r="A75" s="634" t="str">
        <f>Installations!BI897</f>
        <v>Yes</v>
      </c>
      <c r="B75" s="647" t="str">
        <f>Installations!BJ897</f>
        <v>Existing</v>
      </c>
      <c r="C75" s="634">
        <f>Installations!BK897</f>
        <v>0</v>
      </c>
      <c r="D75" s="888">
        <f>Installations!BL897</f>
        <v>0</v>
      </c>
      <c r="E75" s="888">
        <f>Installations!BM897</f>
        <v>0</v>
      </c>
      <c r="F75" s="888">
        <f>Installations!BN897</f>
        <v>0</v>
      </c>
      <c r="G75" s="888">
        <f>Installations!BO897</f>
        <v>0</v>
      </c>
      <c r="H75" s="888">
        <f>Installations!BP897</f>
        <v>0</v>
      </c>
      <c r="I75" s="888">
        <f>Installations!BQ897</f>
        <v>0</v>
      </c>
      <c r="J75" s="888">
        <f>Installations!BR897</f>
        <v>0</v>
      </c>
      <c r="K75" s="889">
        <f>Installations!BS897</f>
        <v>0</v>
      </c>
      <c r="L75" s="634">
        <f>Installations!BT897</f>
        <v>0</v>
      </c>
      <c r="M75" s="889">
        <f>Installations!BU897</f>
        <v>0</v>
      </c>
      <c r="O75" s="888">
        <f>Installations!BW897</f>
        <v>0</v>
      </c>
      <c r="P75" s="889">
        <f>Installations!BX897</f>
        <v>0</v>
      </c>
      <c r="Q75" s="889">
        <f>Installations!BY897</f>
        <v>0</v>
      </c>
      <c r="R75" s="889">
        <f>Installations!BZ897</f>
        <v>0</v>
      </c>
      <c r="S75" s="889">
        <f>Installations!CA897</f>
        <v>0</v>
      </c>
      <c r="T75" s="634">
        <f>Installations!CB897</f>
        <v>0</v>
      </c>
      <c r="U75" s="634">
        <f>Installations!CC897</f>
        <v>0</v>
      </c>
      <c r="V75" s="634">
        <f>Installations!CD897</f>
        <v>0</v>
      </c>
      <c r="X75" s="634">
        <f>Installations!CF897</f>
        <v>0</v>
      </c>
      <c r="Y75" s="634">
        <f>Installations!CG897</f>
        <v>0</v>
      </c>
      <c r="Z75" s="634">
        <f>Installations!CH897</f>
        <v>0</v>
      </c>
      <c r="AB75" s="634" t="str">
        <f>IF(AND(J75=0,L75&gt;0),10,Installations!CJ897)</f>
        <v/>
      </c>
      <c r="AD75" s="634">
        <f t="shared" si="15"/>
        <v>0</v>
      </c>
      <c r="AE75" s="888">
        <f t="shared" si="16"/>
        <v>0</v>
      </c>
      <c r="AF75" s="889">
        <f t="shared" si="17"/>
        <v>0</v>
      </c>
      <c r="AG75" s="876">
        <v>0.22500000000000001</v>
      </c>
      <c r="AH75" s="890">
        <f t="shared" si="6"/>
        <v>0</v>
      </c>
      <c r="AI75" s="883">
        <f>AG75*AH75</f>
        <v>0</v>
      </c>
      <c r="AJ75" s="891" t="str">
        <f>IFERROR(AB75*AH75,"")</f>
        <v/>
      </c>
    </row>
    <row r="76" spans="1:36">
      <c r="A76" s="634" t="str">
        <f>Installations!BI898</f>
        <v>No</v>
      </c>
      <c r="B76" s="647" t="str">
        <f>Installations!BJ898</f>
        <v>Existing</v>
      </c>
      <c r="C76" s="634">
        <f>Installations!BK898</f>
        <v>0</v>
      </c>
      <c r="D76" s="888">
        <f>Installations!BL898</f>
        <v>0</v>
      </c>
      <c r="E76" s="888">
        <f>Installations!BM898</f>
        <v>0</v>
      </c>
      <c r="F76" s="888">
        <f>Installations!BN898</f>
        <v>0</v>
      </c>
      <c r="G76" s="888">
        <f>Installations!BO898</f>
        <v>0</v>
      </c>
      <c r="H76" s="888">
        <f>Installations!BP898</f>
        <v>0</v>
      </c>
      <c r="I76" s="888">
        <f>Installations!BQ898</f>
        <v>0</v>
      </c>
      <c r="J76" s="888">
        <f>Installations!BR898</f>
        <v>0</v>
      </c>
      <c r="K76" s="889">
        <f>Installations!BS898</f>
        <v>0</v>
      </c>
      <c r="L76" s="634">
        <f>Installations!BT898</f>
        <v>0</v>
      </c>
      <c r="M76" s="889">
        <f>Installations!BU898</f>
        <v>0</v>
      </c>
      <c r="O76" s="888">
        <f>Installations!BW898</f>
        <v>0</v>
      </c>
      <c r="P76" s="889">
        <f>Installations!BX898</f>
        <v>0</v>
      </c>
      <c r="Q76" s="889">
        <f>Installations!BY898</f>
        <v>0</v>
      </c>
      <c r="R76" s="889">
        <f>Installations!BZ898</f>
        <v>0</v>
      </c>
      <c r="S76" s="889">
        <f>Installations!CA898</f>
        <v>0</v>
      </c>
      <c r="T76" s="634">
        <f>Installations!CB898</f>
        <v>0</v>
      </c>
      <c r="U76" s="634">
        <f>Installations!CC898</f>
        <v>0</v>
      </c>
      <c r="V76" s="634">
        <f>Installations!CD898</f>
        <v>0</v>
      </c>
      <c r="X76" s="634">
        <f>Installations!CF898</f>
        <v>0</v>
      </c>
      <c r="Y76" s="634">
        <f>Installations!CG898</f>
        <v>0</v>
      </c>
      <c r="Z76" s="634">
        <f>Installations!CH898</f>
        <v>0</v>
      </c>
      <c r="AB76" s="634" t="str">
        <f>Installations!CJ898</f>
        <v/>
      </c>
      <c r="AD76" s="634">
        <f t="shared" si="15"/>
        <v>0</v>
      </c>
      <c r="AE76" s="888">
        <f t="shared" si="16"/>
        <v>0</v>
      </c>
      <c r="AF76" s="889">
        <f t="shared" si="17"/>
        <v>0</v>
      </c>
      <c r="AG76" s="876">
        <v>0</v>
      </c>
      <c r="AH76" s="890">
        <f t="shared" si="6"/>
        <v>0</v>
      </c>
      <c r="AI76" s="883">
        <f>AG76*AH76</f>
        <v>0</v>
      </c>
      <c r="AJ76" s="891" t="str">
        <f>IFERROR(AB76*AH76,"")</f>
        <v/>
      </c>
    </row>
    <row r="77" spans="1:36">
      <c r="AI77" s="634"/>
      <c r="AJ77" s="634"/>
    </row>
    <row r="78" spans="1:36">
      <c r="D78" s="888">
        <f t="shared" ref="D78:M78" si="18">SUM(D52:D57)+SUM(D70:D74)</f>
        <v>0</v>
      </c>
      <c r="E78" s="888">
        <f t="shared" si="18"/>
        <v>0</v>
      </c>
      <c r="F78" s="888">
        <f t="shared" si="18"/>
        <v>0</v>
      </c>
      <c r="G78" s="888">
        <f t="shared" si="18"/>
        <v>0</v>
      </c>
      <c r="H78" s="888">
        <f t="shared" si="18"/>
        <v>0</v>
      </c>
      <c r="I78" s="888">
        <f t="shared" si="18"/>
        <v>0</v>
      </c>
      <c r="J78" s="888">
        <f t="shared" si="18"/>
        <v>0</v>
      </c>
      <c r="K78" s="889">
        <f t="shared" si="18"/>
        <v>0</v>
      </c>
      <c r="L78" s="634">
        <f t="shared" si="18"/>
        <v>0</v>
      </c>
      <c r="M78" s="889">
        <f t="shared" si="18"/>
        <v>0</v>
      </c>
      <c r="O78" s="888">
        <f t="shared" ref="O78:V78" si="19">SUM(O52:O57)+SUM(O70:O74)</f>
        <v>0</v>
      </c>
      <c r="P78" s="889">
        <f t="shared" si="19"/>
        <v>0</v>
      </c>
      <c r="Q78" s="889">
        <f t="shared" si="19"/>
        <v>0</v>
      </c>
      <c r="R78" s="889">
        <f t="shared" si="19"/>
        <v>0</v>
      </c>
      <c r="S78" s="889">
        <f t="shared" si="19"/>
        <v>0</v>
      </c>
      <c r="T78" s="634">
        <f t="shared" si="19"/>
        <v>0</v>
      </c>
      <c r="U78" s="888">
        <f t="shared" si="19"/>
        <v>0</v>
      </c>
      <c r="V78" s="888">
        <f t="shared" si="19"/>
        <v>0</v>
      </c>
      <c r="X78" s="634">
        <f>SUM(X52:X57)+SUM(X70:X74)</f>
        <v>0</v>
      </c>
      <c r="Y78" s="634">
        <f>SUM(Y52:Y57)+SUM(Y70:Y74)</f>
        <v>0</v>
      </c>
      <c r="Z78" s="634">
        <f>SUM(Z52:Z57)+SUM(Z70:Z74)</f>
        <v>0</v>
      </c>
      <c r="AB78" s="634">
        <f>AJ78</f>
        <v>0</v>
      </c>
      <c r="AD78" s="726">
        <f>SUM(AD52:AD74)</f>
        <v>0</v>
      </c>
      <c r="AE78" s="888">
        <f>SUM(AE52:AE76)</f>
        <v>0</v>
      </c>
      <c r="AF78" s="889">
        <f>SUM(AF52:AF76)</f>
        <v>0</v>
      </c>
      <c r="AH78" s="890">
        <f>SUM(AH52:AH76)</f>
        <v>0</v>
      </c>
      <c r="AI78" s="883">
        <f>ROUND(SUM(AI52:AI76),3)</f>
        <v>0</v>
      </c>
      <c r="AJ78" s="891">
        <f>ROUND(SUM(AJ52:AJ76),0)</f>
        <v>0</v>
      </c>
    </row>
    <row r="80" spans="1:36">
      <c r="B80" s="187" t="s">
        <v>218</v>
      </c>
      <c r="C80" s="881">
        <f>SUM(C58:C69)</f>
        <v>0</v>
      </c>
      <c r="D80" s="881">
        <f t="shared" ref="D80:M80" si="20">SUM(D58:D69)</f>
        <v>0</v>
      </c>
      <c r="E80" s="881">
        <f t="shared" si="20"/>
        <v>0</v>
      </c>
      <c r="F80" s="881">
        <f t="shared" si="20"/>
        <v>0</v>
      </c>
      <c r="G80" s="881">
        <f t="shared" si="20"/>
        <v>0</v>
      </c>
      <c r="H80" s="881">
        <f t="shared" si="20"/>
        <v>0</v>
      </c>
      <c r="I80" s="881">
        <f t="shared" si="20"/>
        <v>0</v>
      </c>
      <c r="J80" s="881">
        <f t="shared" si="20"/>
        <v>0</v>
      </c>
      <c r="K80" s="893">
        <f t="shared" si="20"/>
        <v>0</v>
      </c>
      <c r="L80" s="881">
        <f t="shared" si="20"/>
        <v>0</v>
      </c>
      <c r="M80" s="893">
        <f t="shared" si="20"/>
        <v>0</v>
      </c>
      <c r="O80" s="892">
        <f>SUM(O58:O69)</f>
        <v>0</v>
      </c>
      <c r="P80" s="893">
        <f t="shared" ref="P80:V80" si="21">SUM(P58:P69)</f>
        <v>0</v>
      </c>
      <c r="Q80" s="893">
        <f t="shared" si="21"/>
        <v>0</v>
      </c>
      <c r="R80" s="893">
        <f t="shared" si="21"/>
        <v>0</v>
      </c>
      <c r="S80" s="893">
        <f t="shared" si="21"/>
        <v>0</v>
      </c>
      <c r="T80" s="892">
        <f t="shared" si="21"/>
        <v>0</v>
      </c>
      <c r="U80" s="892">
        <f t="shared" si="21"/>
        <v>0</v>
      </c>
      <c r="V80" s="892">
        <f t="shared" si="21"/>
        <v>0</v>
      </c>
      <c r="X80" s="881">
        <f>SUM(X58:X69)</f>
        <v>0</v>
      </c>
      <c r="Y80" s="881">
        <f>SUM(Y58:Y69)</f>
        <v>0</v>
      </c>
      <c r="Z80" s="881">
        <f>SUM(Z58:Z69)</f>
        <v>0</v>
      </c>
      <c r="AB80" s="881">
        <v>10</v>
      </c>
      <c r="AE80" s="12" t="s">
        <v>218</v>
      </c>
      <c r="AF80" s="893">
        <f>SUM(P58:P69)+SUM(S58:S69)-SUM(Q58:Q69)-SUM(M58:M69)</f>
        <v>0</v>
      </c>
      <c r="AG80" s="893"/>
    </row>
    <row r="81" spans="2:32">
      <c r="P81" s="116"/>
      <c r="AE81" s="12" t="s">
        <v>340</v>
      </c>
      <c r="AF81" s="95">
        <f>AF78+AF80</f>
        <v>0</v>
      </c>
    </row>
    <row r="82" spans="2:32">
      <c r="D82" s="888">
        <f t="shared" ref="D82:G82" si="22">IF(__Retrofit_TI_NC=0,SUM(D52:D76),SUM(D52:D76)+D96)</f>
        <v>0</v>
      </c>
      <c r="E82" s="888">
        <f t="shared" si="22"/>
        <v>0</v>
      </c>
      <c r="F82" s="888">
        <f t="shared" si="22"/>
        <v>0</v>
      </c>
      <c r="G82" s="888">
        <f t="shared" si="22"/>
        <v>0</v>
      </c>
      <c r="H82" s="888">
        <f>IF(__Retrofit_TI_NC=0,SUM(H52:H76),SUM(H52:H76)+H96)</f>
        <v>0</v>
      </c>
      <c r="I82" s="888">
        <f>IF(__Retrofit_TI_NC=0,SUM(I52:I76),SUM(I52:I76)+I96)</f>
        <v>0</v>
      </c>
      <c r="J82" s="888">
        <f>IF(IF(__Retrofit_TI_NC=0,SUM(J52:J76),SUM(J52:J76)+J96)&lt;=0,AE78/2,IF(__Retrofit_TI_NC=0,SUM(J52:J76),SUM(J52:J76)+J96))</f>
        <v>0</v>
      </c>
      <c r="K82" s="889">
        <f>SUM(K52:K76)</f>
        <v>0</v>
      </c>
      <c r="L82" s="888">
        <f>IF(__Retrofit_TI_NC=0,SUM(L52:L76),SUM(L52:L76)+L96)</f>
        <v>0</v>
      </c>
      <c r="M82" s="889">
        <f>SUM(M52:M76)</f>
        <v>0</v>
      </c>
      <c r="O82" s="888">
        <f>IF(__Retrofit_TI_NC=0,SUM(O52:O76),SUM(O52:O76)+O96)</f>
        <v>0</v>
      </c>
      <c r="P82" s="889">
        <f>SUM(P52:P74)</f>
        <v>0</v>
      </c>
      <c r="Q82" s="889">
        <f>SUM(Q52:Q74)</f>
        <v>0</v>
      </c>
      <c r="R82" s="889">
        <f>SUM(R52:R74)</f>
        <v>0</v>
      </c>
      <c r="S82" s="889">
        <f>SUM(S52:S74)</f>
        <v>0</v>
      </c>
      <c r="T82" s="888">
        <f>SUM(T52:T76)</f>
        <v>0</v>
      </c>
      <c r="U82" s="888">
        <f>SUM(U52:U76)</f>
        <v>0</v>
      </c>
      <c r="V82" s="888">
        <f>SUM(V52:V76)</f>
        <v>0</v>
      </c>
      <c r="X82" s="726">
        <f>SUM(X52:X76)</f>
        <v>0</v>
      </c>
      <c r="Y82" s="726">
        <f>SUM(Y52:Y76)</f>
        <v>0</v>
      </c>
      <c r="Z82" s="726">
        <f>SUM(Z52:Z76)</f>
        <v>0</v>
      </c>
    </row>
    <row r="84" spans="2:32">
      <c r="I84" s="50" t="s">
        <v>1625</v>
      </c>
      <c r="J84" s="499" t="s">
        <v>1626</v>
      </c>
      <c r="S84" s="187" t="s">
        <v>1627</v>
      </c>
      <c r="T84" s="888">
        <f>IF(IF(__Retrofit_TI_NC=0,SUM(J52:J76),SUM(J52:J76)+J96)&lt;=0,AE78/2,Installations!CD909+U99)</f>
        <v>0</v>
      </c>
      <c r="U84" s="127"/>
      <c r="V84" s="1321" t="s">
        <v>1628</v>
      </c>
      <c r="W84" s="499" t="s">
        <v>1629</v>
      </c>
    </row>
    <row r="85" spans="2:32">
      <c r="I85" s="50"/>
      <c r="J85" s="50" t="s">
        <v>1630</v>
      </c>
      <c r="S85" s="187" t="s">
        <v>1631</v>
      </c>
      <c r="T85" s="888">
        <f>Installations!CC908+U100</f>
        <v>0</v>
      </c>
      <c r="U85" s="127"/>
      <c r="V85" s="127"/>
    </row>
    <row r="86" spans="2:32">
      <c r="S86" s="187"/>
      <c r="T86" s="127"/>
      <c r="U86" s="127"/>
      <c r="V86" s="127"/>
    </row>
    <row r="87" spans="2:32" ht="42.8">
      <c r="D87" s="1136" t="s">
        <v>261</v>
      </c>
      <c r="E87" s="1136" t="s">
        <v>262</v>
      </c>
      <c r="F87" s="1136" t="s">
        <v>263</v>
      </c>
      <c r="G87" s="1136" t="s">
        <v>403</v>
      </c>
      <c r="H87" s="1136" t="s">
        <v>445</v>
      </c>
      <c r="I87" s="1136" t="s">
        <v>446</v>
      </c>
      <c r="J87" s="1136" t="s">
        <v>267</v>
      </c>
      <c r="K87" s="1136" t="s">
        <v>268</v>
      </c>
      <c r="L87" s="1136" t="s">
        <v>269</v>
      </c>
      <c r="M87" s="1136" t="s">
        <v>270</v>
      </c>
      <c r="N87" s="1136"/>
      <c r="O87" s="1136" t="s">
        <v>271</v>
      </c>
      <c r="R87" s="1136" t="s">
        <v>1632</v>
      </c>
      <c r="S87" s="1136" t="s">
        <v>1633</v>
      </c>
      <c r="T87" s="1136" t="s">
        <v>1634</v>
      </c>
      <c r="U87" s="1136" t="s">
        <v>570</v>
      </c>
    </row>
    <row r="89" spans="2:32">
      <c r="B89" t="s">
        <v>1635</v>
      </c>
      <c r="D89" s="888">
        <f>SUM(D52:D76)</f>
        <v>0</v>
      </c>
      <c r="E89" s="888">
        <f t="shared" ref="E89:G89" si="23">SUM(E52:E76)</f>
        <v>0</v>
      </c>
      <c r="F89" s="888">
        <f t="shared" si="23"/>
        <v>0</v>
      </c>
      <c r="G89" s="888">
        <f t="shared" si="23"/>
        <v>0</v>
      </c>
      <c r="H89" s="888">
        <f t="shared" ref="H89:M89" si="24">SUM(H52:H76)</f>
        <v>0</v>
      </c>
      <c r="I89" s="888">
        <f t="shared" si="24"/>
        <v>0</v>
      </c>
      <c r="J89" s="888">
        <f t="shared" si="24"/>
        <v>0</v>
      </c>
      <c r="K89" s="888">
        <f t="shared" si="24"/>
        <v>0</v>
      </c>
      <c r="L89" s="888">
        <f t="shared" si="24"/>
        <v>0</v>
      </c>
      <c r="M89" s="888">
        <f t="shared" si="24"/>
        <v>0</v>
      </c>
      <c r="O89" s="888">
        <f>SUM(O52:O76)</f>
        <v>0</v>
      </c>
      <c r="R89" s="888">
        <f>SUM(V52:V76)</f>
        <v>0</v>
      </c>
      <c r="S89" s="888">
        <f>SUM(W52:W76)</f>
        <v>0</v>
      </c>
    </row>
    <row r="91" spans="2:32">
      <c r="B91" t="s">
        <v>1636</v>
      </c>
      <c r="C91" t="s">
        <v>234</v>
      </c>
      <c r="D91" s="888">
        <f>'Building Area Installations'!AC39</f>
        <v>0</v>
      </c>
      <c r="E91" s="888" t="e">
        <f>ROUND(D91*$K$91,0)</f>
        <v>#N/A</v>
      </c>
      <c r="F91" s="892">
        <f>'Building Area Installations'!AE39</f>
        <v>0</v>
      </c>
      <c r="G91" s="888">
        <f>'Building Area Installations'!W73</f>
        <v>0</v>
      </c>
      <c r="H91" s="888">
        <f>'Building Area Installations'!AV73</f>
        <v>0</v>
      </c>
      <c r="I91" s="892">
        <f>'Building Area Installations'!AG73</f>
        <v>0</v>
      </c>
      <c r="J91" s="888">
        <f>O91-H91</f>
        <v>0</v>
      </c>
      <c r="K91" s="61" t="e">
        <f>'Building Area Installations'!AA39</f>
        <v>#N/A</v>
      </c>
      <c r="O91" s="888">
        <f>F91-I91</f>
        <v>0</v>
      </c>
      <c r="R91" s="892">
        <f t="shared" ref="R91:S95" si="25">F91</f>
        <v>0</v>
      </c>
      <c r="S91" s="888">
        <f t="shared" si="25"/>
        <v>0</v>
      </c>
      <c r="T91" s="888">
        <f>'Building Area Installations'!AS73</f>
        <v>0</v>
      </c>
      <c r="U91" s="888">
        <f>'Building Area Installations'!AV73</f>
        <v>0</v>
      </c>
    </row>
    <row r="92" spans="2:32">
      <c r="C92" t="s">
        <v>218</v>
      </c>
      <c r="D92" s="888">
        <f>'Building Area Installations'!BR73</f>
        <v>0</v>
      </c>
      <c r="E92" s="888" t="e">
        <f>ROUND(D92*$K$91,0)</f>
        <v>#N/A</v>
      </c>
      <c r="F92" s="892">
        <f>'Building Area Installations'!BS73</f>
        <v>0</v>
      </c>
      <c r="G92" s="888">
        <f>'Building Area Installations'!BT73</f>
        <v>0</v>
      </c>
      <c r="H92" s="888"/>
      <c r="I92" s="892">
        <f>'Building Area Installations'!BU73</f>
        <v>0</v>
      </c>
      <c r="J92" s="888">
        <f>F92-I92</f>
        <v>0</v>
      </c>
      <c r="N92" s="888">
        <f>F92-I92</f>
        <v>0</v>
      </c>
      <c r="R92" s="892">
        <f t="shared" si="25"/>
        <v>0</v>
      </c>
      <c r="S92" s="888">
        <f t="shared" si="25"/>
        <v>0</v>
      </c>
      <c r="T92" s="888"/>
      <c r="U92" s="888"/>
    </row>
    <row r="93" spans="2:32">
      <c r="D93" s="888"/>
      <c r="E93" s="888"/>
      <c r="F93" s="892"/>
      <c r="G93" s="888"/>
      <c r="H93" s="888"/>
      <c r="I93" s="892"/>
      <c r="J93" s="888"/>
      <c r="R93" s="892">
        <f t="shared" si="25"/>
        <v>0</v>
      </c>
      <c r="S93" s="888">
        <f t="shared" si="25"/>
        <v>0</v>
      </c>
      <c r="T93" s="888"/>
      <c r="U93" s="888"/>
    </row>
    <row r="94" spans="2:32">
      <c r="B94" t="s">
        <v>1637</v>
      </c>
      <c r="C94" t="s">
        <v>234</v>
      </c>
      <c r="D94" s="888">
        <f>'Building Area Installations'!AC78</f>
        <v>0</v>
      </c>
      <c r="E94" s="888" t="e">
        <f>ROUND(D94*'Building Area Installations'!AA78,0)</f>
        <v>#N/A</v>
      </c>
      <c r="F94" s="892">
        <f>'Building Area Installations'!AE78</f>
        <v>0</v>
      </c>
      <c r="G94" s="888">
        <f>'Building Area Installations'!W112</f>
        <v>0</v>
      </c>
      <c r="H94" s="888">
        <f>G94-I94</f>
        <v>0</v>
      </c>
      <c r="I94" s="892">
        <f>'Building Area Installations'!AG112</f>
        <v>0</v>
      </c>
      <c r="J94" s="888">
        <f>O94-H94</f>
        <v>0</v>
      </c>
      <c r="O94" s="888">
        <f>F94-I94</f>
        <v>0</v>
      </c>
      <c r="R94" s="892">
        <f t="shared" si="25"/>
        <v>0</v>
      </c>
      <c r="S94" s="888">
        <f t="shared" si="25"/>
        <v>0</v>
      </c>
      <c r="T94" s="888">
        <f>'Building Area Installations'!AS112</f>
        <v>0</v>
      </c>
      <c r="U94" s="888">
        <f>'Building Area Installations'!AV112</f>
        <v>0</v>
      </c>
    </row>
    <row r="95" spans="2:32" ht="14.95" thickBot="1">
      <c r="C95" t="s">
        <v>218</v>
      </c>
      <c r="D95" s="888">
        <f>'Building Area Installations'!BR112</f>
        <v>0</v>
      </c>
      <c r="E95" s="888" t="e">
        <f>ROUND(D95*$K$91,0)</f>
        <v>#N/A</v>
      </c>
      <c r="F95" s="892">
        <f>'Building Area Installations'!BS112</f>
        <v>0</v>
      </c>
      <c r="G95" s="888">
        <f>'Building Area Installations'!BT112</f>
        <v>0</v>
      </c>
      <c r="H95" s="888"/>
      <c r="I95" s="892">
        <f>'Building Area Installations'!BU112</f>
        <v>0</v>
      </c>
      <c r="J95" s="888">
        <f>F95-I95</f>
        <v>0</v>
      </c>
      <c r="N95" s="888">
        <f>F95-I95</f>
        <v>0</v>
      </c>
      <c r="R95" s="892">
        <f t="shared" si="25"/>
        <v>0</v>
      </c>
      <c r="S95" s="888">
        <f t="shared" si="25"/>
        <v>0</v>
      </c>
      <c r="T95" s="888"/>
      <c r="U95" s="888"/>
    </row>
    <row r="96" spans="2:32" ht="14.95" thickBot="1">
      <c r="D96" s="1121">
        <f t="shared" ref="D96:G96" si="26">SUM(D91:D95)</f>
        <v>0</v>
      </c>
      <c r="E96" s="1121" t="e">
        <f t="shared" si="26"/>
        <v>#N/A</v>
      </c>
      <c r="F96" s="1122">
        <f t="shared" si="26"/>
        <v>0</v>
      </c>
      <c r="G96" s="1121">
        <f t="shared" si="26"/>
        <v>0</v>
      </c>
      <c r="H96" s="1121">
        <f>SUM(H91:H95)</f>
        <v>0</v>
      </c>
      <c r="I96" s="1122">
        <f>SUM(I91:I95)</f>
        <v>0</v>
      </c>
      <c r="J96" s="1121">
        <f>J91+J94</f>
        <v>0</v>
      </c>
      <c r="L96" s="1121">
        <f>H96</f>
        <v>0</v>
      </c>
      <c r="N96" s="1121">
        <f>J92+N95</f>
        <v>0</v>
      </c>
      <c r="O96" s="1121">
        <f>J96+L96+N96</f>
        <v>0</v>
      </c>
      <c r="R96" s="1122">
        <f>SUM(R91:R95)</f>
        <v>0</v>
      </c>
      <c r="S96" s="1121">
        <f>SUM(S91:S95)</f>
        <v>0</v>
      </c>
      <c r="T96" s="1121">
        <f>SUM(T91:T95)</f>
        <v>0</v>
      </c>
      <c r="U96" s="1121">
        <f>SUM(U91:U95)</f>
        <v>0</v>
      </c>
    </row>
    <row r="97" spans="1:32">
      <c r="N97" t="s">
        <v>1638</v>
      </c>
    </row>
    <row r="98" spans="1:32">
      <c r="G98" s="127">
        <f>D96-G96</f>
        <v>0</v>
      </c>
      <c r="J98" s="127">
        <f>F96-I96</f>
        <v>0</v>
      </c>
      <c r="T98" s="2" t="s">
        <v>1639</v>
      </c>
    </row>
    <row r="99" spans="1:32">
      <c r="T99" s="187" t="s">
        <v>1627</v>
      </c>
      <c r="U99" s="888">
        <f>U100-('Building Area Installations'!AC73+'Building Area Installations'!AC112)</f>
        <v>0</v>
      </c>
    </row>
    <row r="100" spans="1:32">
      <c r="T100" s="187" t="s">
        <v>1631</v>
      </c>
      <c r="U100" s="888">
        <f>'Building Area Installations'!AE73+'Building Area Installations'!AE112</f>
        <v>0</v>
      </c>
    </row>
    <row r="101" spans="1:32">
      <c r="B101" s="187" t="s">
        <v>1640</v>
      </c>
      <c r="C101" s="12">
        <f t="shared" ref="C101" si="27">SUM(C64:C69)</f>
        <v>0</v>
      </c>
    </row>
    <row r="102" spans="1:32">
      <c r="D102" s="12">
        <f t="shared" ref="D102:M102" si="28">SUM(D64:D69)</f>
        <v>0</v>
      </c>
      <c r="E102" s="12">
        <f t="shared" si="28"/>
        <v>0</v>
      </c>
      <c r="F102" s="12">
        <f t="shared" si="28"/>
        <v>0</v>
      </c>
      <c r="G102" s="12">
        <f t="shared" si="28"/>
        <v>0</v>
      </c>
      <c r="H102" s="12">
        <f t="shared" si="28"/>
        <v>0</v>
      </c>
      <c r="I102" s="12">
        <f t="shared" si="28"/>
        <v>0</v>
      </c>
      <c r="J102" s="12">
        <f t="shared" si="28"/>
        <v>0</v>
      </c>
      <c r="K102" s="12">
        <f t="shared" si="28"/>
        <v>0</v>
      </c>
      <c r="L102" s="12">
        <f t="shared" si="28"/>
        <v>0</v>
      </c>
      <c r="M102" s="12">
        <f t="shared" si="28"/>
        <v>0</v>
      </c>
      <c r="O102" s="12">
        <f>SUM(O64:O69)</f>
        <v>0</v>
      </c>
      <c r="P102" s="95">
        <f>SUM(P64:P69)</f>
        <v>0</v>
      </c>
      <c r="Q102" s="95">
        <f t="shared" ref="Q102:V102" si="29">SUM(Q64:Q69)</f>
        <v>0</v>
      </c>
      <c r="R102" s="95">
        <f t="shared" si="29"/>
        <v>0</v>
      </c>
      <c r="S102" s="95">
        <f t="shared" si="29"/>
        <v>0</v>
      </c>
      <c r="T102" s="12">
        <f t="shared" si="29"/>
        <v>0</v>
      </c>
      <c r="U102" s="12">
        <f t="shared" si="29"/>
        <v>0</v>
      </c>
      <c r="V102" s="12">
        <f t="shared" si="29"/>
        <v>0</v>
      </c>
      <c r="X102" s="12">
        <f>SUM(X64:X69)</f>
        <v>0</v>
      </c>
      <c r="Y102" s="12">
        <f>SUM(Y64:Y69)</f>
        <v>0</v>
      </c>
      <c r="Z102" s="12">
        <f>SUM(Z64:Z69)</f>
        <v>0</v>
      </c>
      <c r="AB102" s="12">
        <v>10</v>
      </c>
      <c r="AE102" s="12">
        <f>SUM(AE64:AE69)</f>
        <v>0</v>
      </c>
      <c r="AF102" s="95">
        <f>SUM(AF64:AF69)</f>
        <v>0</v>
      </c>
    </row>
    <row r="103" spans="1:32">
      <c r="B103" s="187" t="s">
        <v>1641</v>
      </c>
      <c r="C103" s="127">
        <f>D80+D102</f>
        <v>0</v>
      </c>
    </row>
    <row r="104" spans="1:32">
      <c r="D104" s="127">
        <f t="shared" ref="D104:M104" si="30">E80+E102</f>
        <v>0</v>
      </c>
      <c r="E104" s="127">
        <f t="shared" si="30"/>
        <v>0</v>
      </c>
      <c r="F104" s="127">
        <f t="shared" si="30"/>
        <v>0</v>
      </c>
      <c r="G104" s="127">
        <f t="shared" si="30"/>
        <v>0</v>
      </c>
      <c r="H104" s="127">
        <f t="shared" si="30"/>
        <v>0</v>
      </c>
      <c r="I104" s="127">
        <f t="shared" si="30"/>
        <v>0</v>
      </c>
      <c r="J104" s="127">
        <f t="shared" si="30"/>
        <v>0</v>
      </c>
      <c r="K104" s="127">
        <f t="shared" si="30"/>
        <v>0</v>
      </c>
      <c r="L104" s="127">
        <f t="shared" si="30"/>
        <v>0</v>
      </c>
      <c r="M104" s="127">
        <f t="shared" si="30"/>
        <v>0</v>
      </c>
    </row>
    <row r="107" spans="1:32">
      <c r="B107" s="496" t="s">
        <v>1609</v>
      </c>
      <c r="C107" s="895">
        <v>3.2169999999999997E-2</v>
      </c>
    </row>
    <row r="108" spans="1:32">
      <c r="A108" s="889">
        <f>AA8</f>
        <v>0</v>
      </c>
      <c r="B108" s="496" t="s">
        <v>1611</v>
      </c>
      <c r="C108" s="896">
        <f>C107*G11</f>
        <v>0</v>
      </c>
      <c r="D108" s="497"/>
    </row>
    <row r="109" spans="1:32">
      <c r="A109" s="889">
        <f>N8</f>
        <v>0</v>
      </c>
      <c r="B109" s="496" t="s">
        <v>1613</v>
      </c>
      <c r="C109" s="896">
        <f>PV($K$39,H8,-C108)</f>
        <v>0</v>
      </c>
      <c r="D109" s="498" t="s">
        <v>1612</v>
      </c>
    </row>
    <row r="110" spans="1:32">
      <c r="A110" s="726">
        <f>O8</f>
        <v>0</v>
      </c>
      <c r="B110" s="496" t="s">
        <v>1642</v>
      </c>
      <c r="C110" s="896">
        <f>(C111/K$41)*((1+K$39)/(1+K$40))</f>
        <v>0</v>
      </c>
      <c r="D110" s="498" t="s">
        <v>1614</v>
      </c>
    </row>
    <row r="111" spans="1:32">
      <c r="A111" s="889">
        <f>T8</f>
        <v>0</v>
      </c>
      <c r="B111" s="496" t="s">
        <v>1643</v>
      </c>
      <c r="C111" s="896">
        <f>C109+N8</f>
        <v>0</v>
      </c>
      <c r="D111" s="499" t="s">
        <v>1644</v>
      </c>
    </row>
    <row r="112" spans="1:32">
      <c r="A112" s="889">
        <f>U8</f>
        <v>0</v>
      </c>
      <c r="B112" s="496" t="s">
        <v>1645</v>
      </c>
      <c r="C112" s="897" t="e">
        <f>ROUND(C111/(((1+K40)*C8)/(1+K39)),2)</f>
        <v>#DIV/0!</v>
      </c>
      <c r="D112" s="498" t="s">
        <v>1646</v>
      </c>
    </row>
    <row r="113" spans="1:4">
      <c r="A113" s="889">
        <f>V8</f>
        <v>0</v>
      </c>
      <c r="B113" s="500" t="s">
        <v>1507</v>
      </c>
      <c r="C113" s="896">
        <f>D8*K43</f>
        <v>0</v>
      </c>
      <c r="D113" s="498" t="s">
        <v>1647</v>
      </c>
    </row>
    <row r="114" spans="1:4">
      <c r="A114" s="889">
        <f>W8</f>
        <v>0</v>
      </c>
      <c r="B114" s="500" t="s">
        <v>1508</v>
      </c>
      <c r="C114" s="896">
        <f>G8*L8</f>
        <v>0</v>
      </c>
      <c r="D114" s="497"/>
    </row>
    <row r="115" spans="1:4">
      <c r="B115" s="500" t="s">
        <v>1509</v>
      </c>
      <c r="C115" s="896">
        <f>(K42*C8)-(K42*C110)</f>
        <v>0</v>
      </c>
      <c r="D115" s="497"/>
    </row>
    <row r="116" spans="1:4">
      <c r="A116" s="501">
        <f>MIN(A111:A114)</f>
        <v>0</v>
      </c>
      <c r="B116" s="496" t="s">
        <v>1648</v>
      </c>
      <c r="C116" s="896">
        <f>C111*0.85</f>
        <v>0</v>
      </c>
      <c r="D116" s="499" t="s">
        <v>1649</v>
      </c>
    </row>
    <row r="117" spans="1:4">
      <c r="D117" s="497"/>
    </row>
    <row r="118" spans="1:4">
      <c r="C118" s="501">
        <f>MIN(C113:C116)</f>
        <v>0</v>
      </c>
    </row>
  </sheetData>
  <sheetProtection algorithmName="SHA-512" hashValue="2o/cNUNhuP0QpI57tAS7s7MFGPr/JcTA4iQ8Pg0/HM54YxXnqQ7OZZuENzCrf+PEgiEMmTPOpvlktlbQ47EN9w==" saltValue="Motrx6KAvplalzFtvFMhTA==" spinCount="100000" sheet="1" objects="1" scenarios="1"/>
  <mergeCells count="6">
    <mergeCell ref="A3:A6"/>
    <mergeCell ref="A28:A31"/>
    <mergeCell ref="A8:A11"/>
    <mergeCell ref="A13:A16"/>
    <mergeCell ref="A18:A21"/>
    <mergeCell ref="A23:A26"/>
  </mergeCells>
  <conditionalFormatting sqref="Y46:Z46">
    <cfRule type="expression" dxfId="44" priority="1">
      <formula>$Y$41="Retrofit"</formula>
    </cfRule>
  </conditionalFormatting>
  <pageMargins left="0.7" right="0.7" top="0.75" bottom="0.75" header="0.3" footer="0.3"/>
  <pageSetup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7"/>
  <sheetViews>
    <sheetView workbookViewId="0">
      <selection activeCell="K237" sqref="K237"/>
    </sheetView>
  </sheetViews>
  <sheetFormatPr defaultRowHeight="14.3"/>
  <cols>
    <col min="1" max="1" width="46.375" bestFit="1" customWidth="1"/>
    <col min="2" max="2" width="46.375" customWidth="1"/>
    <col min="3" max="3" width="18.625" bestFit="1" customWidth="1"/>
    <col min="4" max="4" width="25.375" bestFit="1" customWidth="1"/>
    <col min="5" max="5" width="26.375" bestFit="1" customWidth="1"/>
    <col min="6" max="6" width="7.625" bestFit="1" customWidth="1"/>
  </cols>
  <sheetData>
    <row r="1" spans="1:12">
      <c r="C1" t="s">
        <v>1650</v>
      </c>
    </row>
    <row r="3" spans="1:12">
      <c r="E3" t="s">
        <v>225</v>
      </c>
    </row>
    <row r="4" spans="1:12">
      <c r="A4" t="str">
        <f>CONCATENATE(C4," - ",D4," ",E4)</f>
        <v>No Existing Fixture - Fixture Removed Fixture Removed</v>
      </c>
      <c r="B4" t="str">
        <f>D4</f>
        <v>Fixture Removed</v>
      </c>
      <c r="C4" t="s">
        <v>1651</v>
      </c>
      <c r="D4" t="s">
        <v>225</v>
      </c>
      <c r="E4" t="s">
        <v>225</v>
      </c>
      <c r="F4">
        <v>0</v>
      </c>
      <c r="G4" t="str">
        <f t="shared" ref="G4:G72" si="0">CONCATENATE(C4," - ",D4)</f>
        <v>No Existing Fixture - Fixture Removed</v>
      </c>
    </row>
    <row r="6" spans="1:12">
      <c r="E6" t="s">
        <v>614</v>
      </c>
    </row>
    <row r="7" spans="1:12">
      <c r="A7" t="str">
        <f>CONCATENATE(C7," - ",D7," ",E7)</f>
        <v>Exit Sign - Exit Sign Existing Exit Sign (Inc or FL)</v>
      </c>
      <c r="B7" t="str">
        <f>CONCATENATE(C7," - ",E7)</f>
        <v>Exit Sign - Existing Exit Sign (Inc or FL)</v>
      </c>
      <c r="C7" t="s">
        <v>614</v>
      </c>
      <c r="D7" t="s">
        <v>614</v>
      </c>
      <c r="E7" t="s">
        <v>1652</v>
      </c>
      <c r="F7">
        <v>20</v>
      </c>
      <c r="G7" t="str">
        <f>CONCATENATE(C7," - ",D7)</f>
        <v>Exit Sign - Exit Sign</v>
      </c>
    </row>
    <row r="8" spans="1:12">
      <c r="A8" t="str">
        <f t="shared" ref="A8:A82" si="1">CONCATENATE(C8," - ",D8," ",E8)</f>
        <v>Exit Sign - Exit Sign New LED Exit Sign</v>
      </c>
      <c r="B8" t="str">
        <f>CONCATENATE(C8," - ",E8)</f>
        <v>Exit Sign - New LED Exit Sign</v>
      </c>
      <c r="C8" t="s">
        <v>614</v>
      </c>
      <c r="D8" t="s">
        <v>614</v>
      </c>
      <c r="E8" t="s">
        <v>1653</v>
      </c>
      <c r="F8">
        <v>2.5</v>
      </c>
      <c r="G8" t="str">
        <f t="shared" si="0"/>
        <v>Exit Sign - Exit Sign</v>
      </c>
    </row>
    <row r="10" spans="1:12">
      <c r="A10" s="1" t="s">
        <v>1654</v>
      </c>
      <c r="B10" s="1"/>
      <c r="C10" s="1"/>
      <c r="D10" s="1"/>
      <c r="E10" s="1"/>
      <c r="F10" s="1"/>
    </row>
    <row r="11" spans="1:12">
      <c r="A11" t="str">
        <f>CONCATENATE(C11," - ",D11)</f>
        <v>Existing TLED - TLED (Plug and Play)</v>
      </c>
      <c r="B11" t="str">
        <f>A11</f>
        <v>Existing TLED - TLED (Plug and Play)</v>
      </c>
      <c r="C11" t="s">
        <v>1654</v>
      </c>
      <c r="D11" t="s">
        <v>249</v>
      </c>
      <c r="F11">
        <v>15</v>
      </c>
      <c r="G11" t="str">
        <f>CONCATENATE(C11," - ",D11)</f>
        <v>Existing TLED - TLED (Plug and Play)</v>
      </c>
    </row>
    <row r="12" spans="1:12">
      <c r="A12" t="str">
        <f>CONCATENATE(C12," - ",D12)</f>
        <v>Existing TLED - TLED (Ballast ByPass)</v>
      </c>
      <c r="B12" t="str">
        <f>A12</f>
        <v>Existing TLED - TLED (Ballast ByPass)</v>
      </c>
      <c r="C12" t="s">
        <v>1654</v>
      </c>
      <c r="D12" t="s">
        <v>452</v>
      </c>
      <c r="F12">
        <v>15</v>
      </c>
      <c r="G12" t="str">
        <f>CONCATENATE(C12," - ",D12)</f>
        <v>Existing TLED - TLED (Ballast ByPass)</v>
      </c>
      <c r="L12" t="s">
        <v>1655</v>
      </c>
    </row>
    <row r="13" spans="1:12">
      <c r="A13" t="str">
        <f>CONCATENATE(C13," - ",D13)</f>
        <v>Existing TLED - TLED (External)</v>
      </c>
      <c r="B13" t="str">
        <f>A13</f>
        <v>Existing TLED - TLED (External)</v>
      </c>
      <c r="C13" t="s">
        <v>1654</v>
      </c>
      <c r="D13" t="s">
        <v>453</v>
      </c>
      <c r="F13">
        <v>15</v>
      </c>
      <c r="G13" t="str">
        <f>CONCATENATE(C13," - ",D13)</f>
        <v>Existing TLED - TLED (External)</v>
      </c>
      <c r="L13" t="s">
        <v>1656</v>
      </c>
    </row>
    <row r="15" spans="1:12">
      <c r="A15" s="1" t="s">
        <v>1657</v>
      </c>
      <c r="B15" s="1"/>
      <c r="C15" s="1"/>
      <c r="D15" s="1"/>
      <c r="E15" s="1"/>
      <c r="F15" s="1"/>
    </row>
    <row r="16" spans="1:12">
      <c r="A16" t="str">
        <f t="shared" si="1"/>
        <v>Incandescent - Halogen A 25W</v>
      </c>
      <c r="B16" t="str">
        <f>CONCATENATE(C16," - ",E16)</f>
        <v>Incandescent - 25W</v>
      </c>
      <c r="C16" t="s">
        <v>1658</v>
      </c>
      <c r="D16" t="s">
        <v>1659</v>
      </c>
      <c r="E16" t="s">
        <v>1660</v>
      </c>
      <c r="F16">
        <v>25</v>
      </c>
      <c r="G16" t="str">
        <f t="shared" si="0"/>
        <v>Incandescent - Halogen A</v>
      </c>
    </row>
    <row r="17" spans="1:7">
      <c r="A17" t="str">
        <f t="shared" si="1"/>
        <v>Incandescent - Halogen A 29W</v>
      </c>
      <c r="B17" t="str">
        <f t="shared" ref="B17:B60" si="2">CONCATENATE(C17," - ",E17)</f>
        <v>Incandescent - 29W</v>
      </c>
      <c r="C17" t="s">
        <v>1658</v>
      </c>
      <c r="D17" t="s">
        <v>1659</v>
      </c>
      <c r="E17" t="s">
        <v>1661</v>
      </c>
      <c r="F17">
        <v>29</v>
      </c>
      <c r="G17" t="str">
        <f t="shared" si="0"/>
        <v>Incandescent - Halogen A</v>
      </c>
    </row>
    <row r="18" spans="1:7">
      <c r="A18" t="str">
        <f t="shared" si="1"/>
        <v>Incandescent - Halogen A 40W</v>
      </c>
      <c r="B18" t="str">
        <f t="shared" si="2"/>
        <v>Incandescent - 40W</v>
      </c>
      <c r="C18" t="s">
        <v>1658</v>
      </c>
      <c r="D18" t="s">
        <v>1659</v>
      </c>
      <c r="E18" t="s">
        <v>1662</v>
      </c>
      <c r="F18">
        <v>40</v>
      </c>
      <c r="G18" t="str">
        <f t="shared" si="0"/>
        <v>Incandescent - Halogen A</v>
      </c>
    </row>
    <row r="19" spans="1:7">
      <c r="A19" t="str">
        <f t="shared" si="1"/>
        <v>Incandescent - Halogen A 43W</v>
      </c>
      <c r="B19" t="str">
        <f t="shared" si="2"/>
        <v>Incandescent - 43W</v>
      </c>
      <c r="C19" t="s">
        <v>1658</v>
      </c>
      <c r="D19" t="s">
        <v>1659</v>
      </c>
      <c r="E19" t="s">
        <v>1663</v>
      </c>
      <c r="F19">
        <v>43</v>
      </c>
      <c r="G19" t="str">
        <f t="shared" si="0"/>
        <v>Incandescent - Halogen A</v>
      </c>
    </row>
    <row r="20" spans="1:7">
      <c r="A20" t="str">
        <f t="shared" si="1"/>
        <v>Incandescent - Halogen A 53W</v>
      </c>
      <c r="B20" t="str">
        <f t="shared" si="2"/>
        <v>Incandescent - 53W</v>
      </c>
      <c r="C20" t="s">
        <v>1658</v>
      </c>
      <c r="D20" t="s">
        <v>1659</v>
      </c>
      <c r="E20" t="s">
        <v>1664</v>
      </c>
      <c r="F20">
        <v>53</v>
      </c>
      <c r="G20" t="str">
        <f t="shared" si="0"/>
        <v>Incandescent - Halogen A</v>
      </c>
    </row>
    <row r="21" spans="1:7">
      <c r="A21" t="str">
        <f t="shared" si="1"/>
        <v>Incandescent - Halogen A 72W</v>
      </c>
      <c r="B21" t="str">
        <f t="shared" si="2"/>
        <v>Incandescent - 72W</v>
      </c>
      <c r="C21" t="s">
        <v>1658</v>
      </c>
      <c r="D21" t="s">
        <v>1659</v>
      </c>
      <c r="E21" t="s">
        <v>1665</v>
      </c>
      <c r="F21">
        <v>72</v>
      </c>
      <c r="G21" t="str">
        <f t="shared" si="0"/>
        <v>Incandescent - Halogen A</v>
      </c>
    </row>
    <row r="23" spans="1:7">
      <c r="A23" s="1" t="s">
        <v>1666</v>
      </c>
      <c r="B23" s="1"/>
      <c r="C23" s="1"/>
      <c r="D23" s="1"/>
      <c r="E23" s="1"/>
      <c r="F23" s="1"/>
    </row>
    <row r="24" spans="1:7">
      <c r="A24" t="str">
        <f t="shared" si="1"/>
        <v>Incandescent - Halogen PAR 11W</v>
      </c>
      <c r="B24" t="str">
        <f t="shared" si="2"/>
        <v>Incandescent - 11W</v>
      </c>
      <c r="C24" t="s">
        <v>1658</v>
      </c>
      <c r="D24" t="s">
        <v>1666</v>
      </c>
      <c r="E24" t="s">
        <v>1667</v>
      </c>
      <c r="F24">
        <v>11</v>
      </c>
      <c r="G24" t="str">
        <f t="shared" si="0"/>
        <v>Incandescent - Halogen PAR</v>
      </c>
    </row>
    <row r="25" spans="1:7">
      <c r="A25" t="str">
        <f t="shared" si="1"/>
        <v>Incandescent - Halogen PAR 20W</v>
      </c>
      <c r="B25" t="str">
        <f t="shared" si="2"/>
        <v>Incandescent - 20W</v>
      </c>
      <c r="C25" t="s">
        <v>1658</v>
      </c>
      <c r="D25" t="s">
        <v>1666</v>
      </c>
      <c r="E25" t="s">
        <v>1668</v>
      </c>
      <c r="F25">
        <v>20</v>
      </c>
      <c r="G25" t="str">
        <f t="shared" si="0"/>
        <v>Incandescent - Halogen PAR</v>
      </c>
    </row>
    <row r="26" spans="1:7">
      <c r="A26" t="str">
        <f t="shared" si="1"/>
        <v>Incandescent - Halogen PAR 25W</v>
      </c>
      <c r="B26" t="str">
        <f t="shared" si="2"/>
        <v>Incandescent - 25W</v>
      </c>
      <c r="C26" t="s">
        <v>1658</v>
      </c>
      <c r="D26" t="s">
        <v>1666</v>
      </c>
      <c r="E26" t="s">
        <v>1660</v>
      </c>
      <c r="F26">
        <v>25</v>
      </c>
      <c r="G26" t="str">
        <f t="shared" si="0"/>
        <v>Incandescent - Halogen PAR</v>
      </c>
    </row>
    <row r="27" spans="1:7">
      <c r="A27" t="str">
        <f t="shared" si="1"/>
        <v>Incandescent - Halogen PAR 36W</v>
      </c>
      <c r="B27" t="str">
        <f t="shared" si="2"/>
        <v>Incandescent - 36W</v>
      </c>
      <c r="C27" t="s">
        <v>1658</v>
      </c>
      <c r="D27" t="s">
        <v>1666</v>
      </c>
      <c r="E27" t="s">
        <v>1669</v>
      </c>
      <c r="F27">
        <v>36</v>
      </c>
      <c r="G27" t="str">
        <f t="shared" si="0"/>
        <v>Incandescent - Halogen PAR</v>
      </c>
    </row>
    <row r="28" spans="1:7">
      <c r="A28" t="str">
        <f t="shared" si="1"/>
        <v>Incandescent - Halogen PAR 39W</v>
      </c>
      <c r="B28" t="str">
        <f t="shared" si="2"/>
        <v>Incandescent - 39W</v>
      </c>
      <c r="C28" t="s">
        <v>1658</v>
      </c>
      <c r="D28" t="s">
        <v>1666</v>
      </c>
      <c r="E28" t="s">
        <v>1670</v>
      </c>
      <c r="F28">
        <v>39</v>
      </c>
      <c r="G28" t="str">
        <f t="shared" si="0"/>
        <v>Incandescent - Halogen PAR</v>
      </c>
    </row>
    <row r="29" spans="1:7">
      <c r="A29" t="str">
        <f t="shared" si="1"/>
        <v>Incandescent - Halogen PAR 45W</v>
      </c>
      <c r="B29" t="str">
        <f t="shared" si="2"/>
        <v>Incandescent - 45W</v>
      </c>
      <c r="C29" t="s">
        <v>1658</v>
      </c>
      <c r="D29" t="s">
        <v>1666</v>
      </c>
      <c r="E29" t="s">
        <v>1671</v>
      </c>
      <c r="F29">
        <v>45</v>
      </c>
      <c r="G29" t="str">
        <f t="shared" si="0"/>
        <v>Incandescent - Halogen PAR</v>
      </c>
    </row>
    <row r="30" spans="1:7">
      <c r="A30" t="str">
        <f t="shared" si="1"/>
        <v>Incandescent - Halogen PAR 50W</v>
      </c>
      <c r="B30" t="str">
        <f t="shared" si="2"/>
        <v>Incandescent - 50W</v>
      </c>
      <c r="C30" t="s">
        <v>1658</v>
      </c>
      <c r="D30" t="s">
        <v>1666</v>
      </c>
      <c r="E30" t="s">
        <v>1672</v>
      </c>
      <c r="F30">
        <v>50</v>
      </c>
      <c r="G30" t="str">
        <f t="shared" si="0"/>
        <v>Incandescent - Halogen PAR</v>
      </c>
    </row>
    <row r="31" spans="1:7">
      <c r="A31" t="str">
        <f t="shared" si="1"/>
        <v>Incandescent - Halogen PAR 55W</v>
      </c>
      <c r="B31" t="str">
        <f t="shared" si="2"/>
        <v>Incandescent - 55W</v>
      </c>
      <c r="C31" t="s">
        <v>1658</v>
      </c>
      <c r="D31" t="s">
        <v>1666</v>
      </c>
      <c r="E31" t="s">
        <v>1673</v>
      </c>
      <c r="F31">
        <v>55</v>
      </c>
      <c r="G31" t="str">
        <f t="shared" si="0"/>
        <v>Incandescent - Halogen PAR</v>
      </c>
    </row>
    <row r="32" spans="1:7">
      <c r="A32" t="str">
        <f t="shared" si="1"/>
        <v>Incandescent - Halogen PAR 60W</v>
      </c>
      <c r="B32" t="str">
        <f t="shared" si="2"/>
        <v>Incandescent - 60W</v>
      </c>
      <c r="C32" t="s">
        <v>1658</v>
      </c>
      <c r="D32" t="s">
        <v>1666</v>
      </c>
      <c r="E32" t="s">
        <v>1674</v>
      </c>
      <c r="F32">
        <v>60</v>
      </c>
      <c r="G32" t="str">
        <f t="shared" si="0"/>
        <v>Incandescent - Halogen PAR</v>
      </c>
    </row>
    <row r="33" spans="1:7">
      <c r="A33" t="str">
        <f t="shared" si="1"/>
        <v>Incandescent - Halogen PAR 70W</v>
      </c>
      <c r="B33" t="str">
        <f t="shared" si="2"/>
        <v>Incandescent - 70W</v>
      </c>
      <c r="C33" t="s">
        <v>1658</v>
      </c>
      <c r="D33" t="s">
        <v>1666</v>
      </c>
      <c r="E33" t="s">
        <v>1675</v>
      </c>
      <c r="F33">
        <v>70</v>
      </c>
      <c r="G33" t="str">
        <f t="shared" si="0"/>
        <v>Incandescent - Halogen PAR</v>
      </c>
    </row>
    <row r="34" spans="1:7">
      <c r="A34" t="str">
        <f t="shared" si="1"/>
        <v>Incandescent - Halogen PAR 83W</v>
      </c>
      <c r="B34" t="str">
        <f t="shared" si="2"/>
        <v>Incandescent - 83W</v>
      </c>
      <c r="C34" t="s">
        <v>1658</v>
      </c>
      <c r="D34" t="s">
        <v>1666</v>
      </c>
      <c r="E34" t="s">
        <v>1676</v>
      </c>
      <c r="F34">
        <v>83</v>
      </c>
      <c r="G34" t="str">
        <f t="shared" si="0"/>
        <v>Incandescent - Halogen PAR</v>
      </c>
    </row>
    <row r="35" spans="1:7">
      <c r="A35" t="str">
        <f t="shared" si="1"/>
        <v>Incandescent - Halogen PAR 100W</v>
      </c>
      <c r="B35" t="str">
        <f t="shared" si="2"/>
        <v>Incandescent - 100W</v>
      </c>
      <c r="C35" t="s">
        <v>1658</v>
      </c>
      <c r="D35" t="s">
        <v>1666</v>
      </c>
      <c r="E35" t="s">
        <v>1677</v>
      </c>
      <c r="F35">
        <v>100</v>
      </c>
      <c r="G35" t="str">
        <f t="shared" si="0"/>
        <v>Incandescent - Halogen PAR</v>
      </c>
    </row>
    <row r="37" spans="1:7">
      <c r="A37" s="1" t="s">
        <v>1678</v>
      </c>
      <c r="B37" s="1"/>
      <c r="C37" s="1"/>
      <c r="D37" s="1"/>
      <c r="E37" s="1"/>
      <c r="F37" s="1"/>
    </row>
    <row r="38" spans="1:7">
      <c r="A38" t="str">
        <f t="shared" si="1"/>
        <v>Incandescent - Halogen MR &amp; AR111 10W</v>
      </c>
      <c r="B38" t="str">
        <f t="shared" si="2"/>
        <v>Incandescent - 10W</v>
      </c>
      <c r="C38" t="s">
        <v>1658</v>
      </c>
      <c r="D38" t="s">
        <v>1678</v>
      </c>
      <c r="E38" t="s">
        <v>1679</v>
      </c>
      <c r="F38">
        <v>10</v>
      </c>
      <c r="G38" t="str">
        <f t="shared" si="0"/>
        <v>Incandescent - Halogen MR &amp; AR111</v>
      </c>
    </row>
    <row r="39" spans="1:7">
      <c r="A39" t="str">
        <f t="shared" si="1"/>
        <v>Incandescent - Halogen MR &amp; AR111 20W</v>
      </c>
      <c r="B39" t="str">
        <f t="shared" si="2"/>
        <v>Incandescent - 20W</v>
      </c>
      <c r="C39" t="s">
        <v>1658</v>
      </c>
      <c r="D39" t="s">
        <v>1678</v>
      </c>
      <c r="E39" t="s">
        <v>1668</v>
      </c>
      <c r="F39">
        <v>20</v>
      </c>
      <c r="G39" t="str">
        <f t="shared" si="0"/>
        <v>Incandescent - Halogen MR &amp; AR111</v>
      </c>
    </row>
    <row r="40" spans="1:7">
      <c r="A40" t="str">
        <f t="shared" si="1"/>
        <v>Incandescent - Halogen MR &amp; AR111 25W</v>
      </c>
      <c r="B40" t="str">
        <f t="shared" si="2"/>
        <v>Incandescent - 25W</v>
      </c>
      <c r="C40" t="s">
        <v>1658</v>
      </c>
      <c r="D40" t="s">
        <v>1678</v>
      </c>
      <c r="E40" t="s">
        <v>1660</v>
      </c>
      <c r="F40">
        <v>25</v>
      </c>
      <c r="G40" t="str">
        <f t="shared" si="0"/>
        <v>Incandescent - Halogen MR &amp; AR111</v>
      </c>
    </row>
    <row r="41" spans="1:7">
      <c r="A41" t="str">
        <f t="shared" si="1"/>
        <v>Incandescent - Halogen MR &amp; AR111 30W</v>
      </c>
      <c r="B41" t="str">
        <f t="shared" si="2"/>
        <v>Incandescent - 30W</v>
      </c>
      <c r="C41" t="s">
        <v>1658</v>
      </c>
      <c r="D41" t="s">
        <v>1678</v>
      </c>
      <c r="E41" t="s">
        <v>1680</v>
      </c>
      <c r="F41">
        <v>30</v>
      </c>
      <c r="G41" t="str">
        <f t="shared" si="0"/>
        <v>Incandescent - Halogen MR &amp; AR111</v>
      </c>
    </row>
    <row r="42" spans="1:7">
      <c r="A42" t="str">
        <f t="shared" si="1"/>
        <v>Incandescent - Halogen MR &amp; AR111 35W</v>
      </c>
      <c r="B42" t="str">
        <f t="shared" si="2"/>
        <v>Incandescent - 35W</v>
      </c>
      <c r="C42" t="s">
        <v>1658</v>
      </c>
      <c r="D42" t="s">
        <v>1678</v>
      </c>
      <c r="E42" t="s">
        <v>1681</v>
      </c>
      <c r="F42">
        <v>35</v>
      </c>
      <c r="G42" t="str">
        <f t="shared" si="0"/>
        <v>Incandescent - Halogen MR &amp; AR111</v>
      </c>
    </row>
    <row r="43" spans="1:7">
      <c r="A43" t="str">
        <f t="shared" si="1"/>
        <v>Incandescent - Halogen MR &amp; AR111 45W</v>
      </c>
      <c r="B43" t="str">
        <f t="shared" si="2"/>
        <v>Incandescent - 45W</v>
      </c>
      <c r="C43" t="s">
        <v>1658</v>
      </c>
      <c r="D43" t="s">
        <v>1678</v>
      </c>
      <c r="E43" t="s">
        <v>1671</v>
      </c>
      <c r="F43">
        <v>45</v>
      </c>
      <c r="G43" t="str">
        <f t="shared" si="0"/>
        <v>Incandescent - Halogen MR &amp; AR111</v>
      </c>
    </row>
    <row r="44" spans="1:7">
      <c r="A44" t="str">
        <f t="shared" si="1"/>
        <v>Incandescent - Halogen MR &amp; AR111 50W</v>
      </c>
      <c r="B44" t="str">
        <f t="shared" si="2"/>
        <v>Incandescent - 50W</v>
      </c>
      <c r="C44" t="s">
        <v>1658</v>
      </c>
      <c r="D44" t="s">
        <v>1678</v>
      </c>
      <c r="E44" t="s">
        <v>1672</v>
      </c>
      <c r="F44">
        <v>50</v>
      </c>
      <c r="G44" t="str">
        <f t="shared" si="0"/>
        <v>Incandescent - Halogen MR &amp; AR111</v>
      </c>
    </row>
    <row r="45" spans="1:7">
      <c r="A45" t="str">
        <f t="shared" si="1"/>
        <v>Incandescent - Halogen MR &amp; AR111 75W</v>
      </c>
      <c r="B45" t="str">
        <f t="shared" si="2"/>
        <v>Incandescent - 75W</v>
      </c>
      <c r="C45" t="s">
        <v>1658</v>
      </c>
      <c r="D45" t="s">
        <v>1678</v>
      </c>
      <c r="E45" t="s">
        <v>1682</v>
      </c>
      <c r="F45">
        <v>75</v>
      </c>
      <c r="G45" t="str">
        <f t="shared" si="0"/>
        <v>Incandescent - Halogen MR &amp; AR111</v>
      </c>
    </row>
    <row r="47" spans="1:7">
      <c r="A47" s="1" t="s">
        <v>1658</v>
      </c>
      <c r="B47" s="1"/>
      <c r="C47" s="1"/>
      <c r="D47" s="1"/>
      <c r="E47" s="1"/>
      <c r="F47" s="1"/>
    </row>
    <row r="48" spans="1:7">
      <c r="A48" t="str">
        <f t="shared" si="1"/>
        <v>Incandescent - Incandescent 15W</v>
      </c>
      <c r="B48" t="str">
        <f t="shared" si="2"/>
        <v>Incandescent - 15W</v>
      </c>
      <c r="C48" t="s">
        <v>1658</v>
      </c>
      <c r="D48" t="s">
        <v>1658</v>
      </c>
      <c r="E48" t="s">
        <v>1683</v>
      </c>
      <c r="F48">
        <v>15</v>
      </c>
      <c r="G48" t="str">
        <f t="shared" si="0"/>
        <v>Incandescent - Incandescent</v>
      </c>
    </row>
    <row r="49" spans="1:7">
      <c r="A49" t="str">
        <f t="shared" si="1"/>
        <v>Incandescent - Incandescent 25W</v>
      </c>
      <c r="B49" t="str">
        <f t="shared" si="2"/>
        <v>Incandescent - 25W</v>
      </c>
      <c r="C49" t="s">
        <v>1658</v>
      </c>
      <c r="D49" t="s">
        <v>1658</v>
      </c>
      <c r="E49" t="s">
        <v>1660</v>
      </c>
      <c r="F49">
        <v>25</v>
      </c>
      <c r="G49" t="str">
        <f t="shared" si="0"/>
        <v>Incandescent - Incandescent</v>
      </c>
    </row>
    <row r="50" spans="1:7">
      <c r="A50" t="str">
        <f t="shared" si="1"/>
        <v>Incandescent - Incandescent 40W</v>
      </c>
      <c r="B50" t="str">
        <f t="shared" si="2"/>
        <v>Incandescent - 40W</v>
      </c>
      <c r="C50" t="s">
        <v>1658</v>
      </c>
      <c r="D50" t="s">
        <v>1658</v>
      </c>
      <c r="E50" t="s">
        <v>1662</v>
      </c>
      <c r="F50">
        <v>40</v>
      </c>
      <c r="G50" t="str">
        <f t="shared" si="0"/>
        <v>Incandescent - Incandescent</v>
      </c>
    </row>
    <row r="51" spans="1:7">
      <c r="A51" t="str">
        <f t="shared" si="1"/>
        <v>Incandescent - Incandescent 50W</v>
      </c>
      <c r="B51" t="str">
        <f t="shared" si="2"/>
        <v>Incandescent - 50W</v>
      </c>
      <c r="C51" t="s">
        <v>1658</v>
      </c>
      <c r="D51" t="s">
        <v>1658</v>
      </c>
      <c r="E51" t="s">
        <v>1672</v>
      </c>
      <c r="F51">
        <v>50</v>
      </c>
      <c r="G51" t="str">
        <f t="shared" si="0"/>
        <v>Incandescent - Incandescent</v>
      </c>
    </row>
    <row r="52" spans="1:7">
      <c r="A52" t="str">
        <f t="shared" si="1"/>
        <v>Incandescent - Incandescent 60W</v>
      </c>
      <c r="B52" t="str">
        <f t="shared" si="2"/>
        <v>Incandescent - 60W</v>
      </c>
      <c r="C52" t="s">
        <v>1658</v>
      </c>
      <c r="D52" t="s">
        <v>1658</v>
      </c>
      <c r="E52" t="s">
        <v>1674</v>
      </c>
      <c r="F52">
        <v>60</v>
      </c>
      <c r="G52" t="str">
        <f t="shared" si="0"/>
        <v>Incandescent - Incandescent</v>
      </c>
    </row>
    <row r="53" spans="1:7">
      <c r="A53" t="str">
        <f t="shared" si="1"/>
        <v>Incandescent - Incandescent 75W</v>
      </c>
      <c r="B53" t="str">
        <f t="shared" si="2"/>
        <v>Incandescent - 75W</v>
      </c>
      <c r="C53" t="s">
        <v>1658</v>
      </c>
      <c r="D53" t="s">
        <v>1658</v>
      </c>
      <c r="E53" t="s">
        <v>1682</v>
      </c>
      <c r="F53">
        <v>75</v>
      </c>
      <c r="G53" t="str">
        <f t="shared" si="0"/>
        <v>Incandescent - Incandescent</v>
      </c>
    </row>
    <row r="54" spans="1:7">
      <c r="A54" t="str">
        <f t="shared" si="1"/>
        <v>Incandescent - Incandescent 100W</v>
      </c>
      <c r="B54" t="str">
        <f t="shared" si="2"/>
        <v>Incandescent - 100W</v>
      </c>
      <c r="C54" t="s">
        <v>1658</v>
      </c>
      <c r="D54" t="s">
        <v>1658</v>
      </c>
      <c r="E54" t="s">
        <v>1677</v>
      </c>
      <c r="F54">
        <v>100</v>
      </c>
      <c r="G54" t="str">
        <f t="shared" si="0"/>
        <v>Incandescent - Incandescent</v>
      </c>
    </row>
    <row r="55" spans="1:7">
      <c r="A55" t="str">
        <f t="shared" si="1"/>
        <v>Incandescent - Incandescent 120W</v>
      </c>
      <c r="B55" t="str">
        <f t="shared" si="2"/>
        <v>Incandescent - 120W</v>
      </c>
      <c r="C55" t="s">
        <v>1658</v>
      </c>
      <c r="D55" t="s">
        <v>1658</v>
      </c>
      <c r="E55" t="s">
        <v>1684</v>
      </c>
      <c r="F55">
        <v>120</v>
      </c>
      <c r="G55" t="str">
        <f t="shared" si="0"/>
        <v>Incandescent - Incandescent</v>
      </c>
    </row>
    <row r="56" spans="1:7">
      <c r="A56" t="str">
        <f t="shared" si="1"/>
        <v>Incandescent - Incandescent 150W</v>
      </c>
      <c r="B56" t="str">
        <f t="shared" si="2"/>
        <v>Incandescent - 150W</v>
      </c>
      <c r="C56" t="s">
        <v>1658</v>
      </c>
      <c r="D56" t="s">
        <v>1658</v>
      </c>
      <c r="E56" t="s">
        <v>1685</v>
      </c>
      <c r="F56">
        <v>150</v>
      </c>
      <c r="G56" t="str">
        <f t="shared" si="0"/>
        <v>Incandescent - Incandescent</v>
      </c>
    </row>
    <row r="57" spans="1:7">
      <c r="A57" t="str">
        <f t="shared" si="1"/>
        <v>Incandescent - Incandescent 200W</v>
      </c>
      <c r="B57" t="str">
        <f t="shared" si="2"/>
        <v>Incandescent - 200W</v>
      </c>
      <c r="C57" t="s">
        <v>1658</v>
      </c>
      <c r="D57" t="s">
        <v>1658</v>
      </c>
      <c r="E57" t="s">
        <v>1686</v>
      </c>
      <c r="F57">
        <v>200</v>
      </c>
      <c r="G57" t="str">
        <f t="shared" si="0"/>
        <v>Incandescent - Incandescent</v>
      </c>
    </row>
    <row r="58" spans="1:7">
      <c r="A58" t="str">
        <f>CONCATENATE(C58," - ",D58," ",E58)</f>
        <v>Incandescent - Incandescent 250W</v>
      </c>
      <c r="B58" t="str">
        <f t="shared" si="2"/>
        <v>Incandescent - 250W</v>
      </c>
      <c r="C58" t="s">
        <v>1658</v>
      </c>
      <c r="D58" t="s">
        <v>1658</v>
      </c>
      <c r="E58" t="s">
        <v>1687</v>
      </c>
      <c r="F58">
        <v>250</v>
      </c>
      <c r="G58" t="str">
        <f t="shared" si="0"/>
        <v>Incandescent - Incandescent</v>
      </c>
    </row>
    <row r="59" spans="1:7">
      <c r="A59" t="str">
        <f>CONCATENATE(C59," - ",D59," ",E59)</f>
        <v>Incandescent - Incandescent 300W</v>
      </c>
      <c r="B59" t="str">
        <f t="shared" si="2"/>
        <v>Incandescent - 300W</v>
      </c>
      <c r="C59" t="s">
        <v>1658</v>
      </c>
      <c r="D59" t="s">
        <v>1658</v>
      </c>
      <c r="E59" t="s">
        <v>1688</v>
      </c>
      <c r="F59">
        <v>300</v>
      </c>
      <c r="G59" t="str">
        <f t="shared" si="0"/>
        <v>Incandescent - Incandescent</v>
      </c>
    </row>
    <row r="60" spans="1:7">
      <c r="A60" t="str">
        <f>CONCATENATE(C60," - ",D60," ",E60)</f>
        <v>Incandescent - Incandescent 500W</v>
      </c>
      <c r="B60" t="str">
        <f t="shared" si="2"/>
        <v>Incandescent - 500W</v>
      </c>
      <c r="C60" t="s">
        <v>1658</v>
      </c>
      <c r="D60" t="s">
        <v>1658</v>
      </c>
      <c r="E60" t="s">
        <v>1689</v>
      </c>
      <c r="F60">
        <v>500</v>
      </c>
      <c r="G60" t="str">
        <f t="shared" si="0"/>
        <v>Incandescent - Incandescent</v>
      </c>
    </row>
    <row r="62" spans="1:7">
      <c r="A62" s="1" t="s">
        <v>1690</v>
      </c>
      <c r="B62" s="1"/>
      <c r="C62" s="1"/>
      <c r="D62" s="1"/>
      <c r="E62" s="1"/>
      <c r="F62" s="1"/>
    </row>
    <row r="63" spans="1:7">
      <c r="A63" t="str">
        <f t="shared" ref="A63:A71" si="3">CONCATENATE(C63," - ",D63," ",E63)</f>
        <v>Fluorescent - T12 4-foot 1-Lamp</v>
      </c>
      <c r="B63" t="str">
        <f t="shared" ref="B63:B72" si="4">CONCATENATE(C63," - ",D63," ",E63)</f>
        <v>Fluorescent - T12 4-foot 1-Lamp</v>
      </c>
      <c r="C63" t="s">
        <v>254</v>
      </c>
      <c r="D63" t="s">
        <v>1691</v>
      </c>
      <c r="E63" t="s">
        <v>1692</v>
      </c>
      <c r="F63">
        <v>37</v>
      </c>
      <c r="G63" t="str">
        <f t="shared" si="0"/>
        <v>Fluorescent - T12</v>
      </c>
    </row>
    <row r="64" spans="1:7">
      <c r="A64" t="str">
        <f t="shared" si="3"/>
        <v>Fluorescent - T12 4-foot 2-Lamp</v>
      </c>
      <c r="B64" t="str">
        <f t="shared" si="4"/>
        <v>Fluorescent - T12 4-foot 2-Lamp</v>
      </c>
      <c r="C64" t="s">
        <v>254</v>
      </c>
      <c r="D64" t="s">
        <v>1691</v>
      </c>
      <c r="E64" t="s">
        <v>1693</v>
      </c>
      <c r="F64">
        <v>75</v>
      </c>
      <c r="G64" t="str">
        <f t="shared" si="0"/>
        <v>Fluorescent - T12</v>
      </c>
    </row>
    <row r="65" spans="1:7">
      <c r="A65" t="str">
        <f t="shared" si="3"/>
        <v>Fluorescent - T12 4-foot 3-Lamp</v>
      </c>
      <c r="B65" t="str">
        <f t="shared" si="4"/>
        <v>Fluorescent - T12 4-foot 3-Lamp</v>
      </c>
      <c r="C65" t="s">
        <v>254</v>
      </c>
      <c r="D65" t="s">
        <v>1691</v>
      </c>
      <c r="E65" t="s">
        <v>1694</v>
      </c>
      <c r="F65">
        <v>112</v>
      </c>
      <c r="G65" t="str">
        <f t="shared" si="0"/>
        <v>Fluorescent - T12</v>
      </c>
    </row>
    <row r="66" spans="1:7">
      <c r="A66" t="str">
        <f t="shared" si="3"/>
        <v>Fluorescent - T12 4-foot 4-Lamp</v>
      </c>
      <c r="B66" t="str">
        <f t="shared" si="4"/>
        <v>Fluorescent - T12 4-foot 4-Lamp</v>
      </c>
      <c r="C66" t="s">
        <v>254</v>
      </c>
      <c r="D66" t="s">
        <v>1691</v>
      </c>
      <c r="E66" t="s">
        <v>1695</v>
      </c>
      <c r="F66">
        <v>150</v>
      </c>
      <c r="G66" t="str">
        <f t="shared" si="0"/>
        <v>Fluorescent - T12</v>
      </c>
    </row>
    <row r="67" spans="1:7">
      <c r="A67" t="str">
        <f t="shared" si="3"/>
        <v>Fluorescent - T12 4-foot 6-Lamp</v>
      </c>
      <c r="B67" t="str">
        <f t="shared" si="4"/>
        <v>Fluorescent - T12 4-foot 6-Lamp</v>
      </c>
      <c r="C67" t="s">
        <v>254</v>
      </c>
      <c r="D67" t="s">
        <v>1691</v>
      </c>
      <c r="E67" t="s">
        <v>1696</v>
      </c>
      <c r="F67">
        <v>225</v>
      </c>
      <c r="G67" t="str">
        <f t="shared" si="0"/>
        <v>Fluorescent - T12</v>
      </c>
    </row>
    <row r="68" spans="1:7">
      <c r="A68" t="str">
        <f t="shared" si="3"/>
        <v>Fluorescent - T12 3-foot 1-Lamp</v>
      </c>
      <c r="B68" t="str">
        <f t="shared" si="4"/>
        <v>Fluorescent - T12 3-foot 1-Lamp</v>
      </c>
      <c r="C68" t="s">
        <v>254</v>
      </c>
      <c r="D68" t="s">
        <v>1691</v>
      </c>
      <c r="E68" t="s">
        <v>1697</v>
      </c>
      <c r="F68">
        <v>41</v>
      </c>
      <c r="G68" t="str">
        <f t="shared" si="0"/>
        <v>Fluorescent - T12</v>
      </c>
    </row>
    <row r="69" spans="1:7">
      <c r="A69" t="str">
        <f t="shared" si="3"/>
        <v>Fluorescent - T12 3-foot 2-Lamp</v>
      </c>
      <c r="B69" t="str">
        <f t="shared" si="4"/>
        <v>Fluorescent - T12 3-foot 2-Lamp</v>
      </c>
      <c r="C69" t="s">
        <v>254</v>
      </c>
      <c r="D69" t="s">
        <v>1691</v>
      </c>
      <c r="E69" t="s">
        <v>1698</v>
      </c>
      <c r="F69">
        <v>83</v>
      </c>
      <c r="G69" t="str">
        <f t="shared" si="0"/>
        <v>Fluorescent - T12</v>
      </c>
    </row>
    <row r="70" spans="1:7">
      <c r="A70" t="str">
        <f t="shared" si="3"/>
        <v>Fluorescent - T12 3-foot 3-Lamp</v>
      </c>
      <c r="B70" t="str">
        <f t="shared" si="4"/>
        <v>Fluorescent - T12 3-foot 3-Lamp</v>
      </c>
      <c r="C70" t="s">
        <v>254</v>
      </c>
      <c r="D70" t="s">
        <v>1691</v>
      </c>
      <c r="E70" t="s">
        <v>1699</v>
      </c>
      <c r="F70">
        <v>124</v>
      </c>
      <c r="G70" t="str">
        <f t="shared" si="0"/>
        <v>Fluorescent - T12</v>
      </c>
    </row>
    <row r="71" spans="1:7">
      <c r="A71" t="str">
        <f t="shared" si="3"/>
        <v>Fluorescent - T12 3-foot 4-Lamp</v>
      </c>
      <c r="B71" t="str">
        <f t="shared" si="4"/>
        <v>Fluorescent - T12 3-foot 4-Lamp</v>
      </c>
      <c r="C71" t="s">
        <v>254</v>
      </c>
      <c r="D71" t="s">
        <v>1691</v>
      </c>
      <c r="E71" t="s">
        <v>1700</v>
      </c>
      <c r="F71">
        <v>166</v>
      </c>
      <c r="G71" t="str">
        <f t="shared" si="0"/>
        <v>Fluorescent - T12</v>
      </c>
    </row>
    <row r="72" spans="1:7">
      <c r="A72" t="str">
        <f t="shared" si="1"/>
        <v>Fluorescent - T12 2-foot 1-Lamp</v>
      </c>
      <c r="B72" t="str">
        <f t="shared" si="4"/>
        <v>Fluorescent - T12 2-foot 1-Lamp</v>
      </c>
      <c r="C72" t="s">
        <v>254</v>
      </c>
      <c r="D72" t="s">
        <v>1691</v>
      </c>
      <c r="E72" t="s">
        <v>1701</v>
      </c>
      <c r="F72">
        <v>25</v>
      </c>
      <c r="G72" t="str">
        <f t="shared" si="0"/>
        <v>Fluorescent - T12</v>
      </c>
    </row>
    <row r="73" spans="1:7">
      <c r="A73" t="str">
        <f t="shared" si="1"/>
        <v>Fluorescent - T12 2-foot 2-Lamp</v>
      </c>
      <c r="B73" t="str">
        <f t="shared" ref="B73:B119" si="5">CONCATENATE(C73," - ",D73," ",E73)</f>
        <v>Fluorescent - T12 2-foot 2-Lamp</v>
      </c>
      <c r="C73" t="s">
        <v>254</v>
      </c>
      <c r="D73" t="s">
        <v>1691</v>
      </c>
      <c r="E73" t="s">
        <v>1702</v>
      </c>
      <c r="F73">
        <v>50</v>
      </c>
      <c r="G73" t="str">
        <f t="shared" ref="G73:G136" si="6">CONCATENATE(C73," - ",D73)</f>
        <v>Fluorescent - T12</v>
      </c>
    </row>
    <row r="74" spans="1:7">
      <c r="A74" t="str">
        <f t="shared" si="1"/>
        <v>Fluorescent - T12 2-foot 3-Lamp</v>
      </c>
      <c r="B74" t="str">
        <f t="shared" si="5"/>
        <v>Fluorescent - T12 2-foot 3-Lamp</v>
      </c>
      <c r="C74" t="s">
        <v>254</v>
      </c>
      <c r="D74" t="s">
        <v>1691</v>
      </c>
      <c r="E74" t="s">
        <v>1703</v>
      </c>
      <c r="F74">
        <v>75</v>
      </c>
      <c r="G74" t="str">
        <f t="shared" si="6"/>
        <v>Fluorescent - T12</v>
      </c>
    </row>
    <row r="75" spans="1:7">
      <c r="A75" t="str">
        <f t="shared" si="1"/>
        <v>Fluorescent - T12 2-foot 4-Lamp</v>
      </c>
      <c r="B75" t="str">
        <f t="shared" si="5"/>
        <v>Fluorescent - T12 2-foot 4-Lamp</v>
      </c>
      <c r="C75" t="s">
        <v>254</v>
      </c>
      <c r="D75" t="s">
        <v>1691</v>
      </c>
      <c r="E75" t="s">
        <v>1704</v>
      </c>
      <c r="F75">
        <v>100</v>
      </c>
      <c r="G75" t="str">
        <f t="shared" si="6"/>
        <v>Fluorescent - T12</v>
      </c>
    </row>
    <row r="77" spans="1:7">
      <c r="A77" s="1" t="s">
        <v>1705</v>
      </c>
      <c r="B77" s="1"/>
      <c r="C77" s="1"/>
      <c r="D77" s="1"/>
      <c r="E77" s="1"/>
      <c r="F77" s="1"/>
    </row>
    <row r="78" spans="1:7">
      <c r="A78" t="str">
        <f>CONCATENATE(C78," - ",D78," ",E78)</f>
        <v>Fluorescent - T12 Slimline 8-foot 1-Lamp</v>
      </c>
      <c r="B78" t="str">
        <f>CONCATENATE(C78," - ",D78," ",E78)</f>
        <v>Fluorescent - T12 Slimline 8-foot 1-Lamp</v>
      </c>
      <c r="C78" t="s">
        <v>254</v>
      </c>
      <c r="D78" t="s">
        <v>1706</v>
      </c>
      <c r="E78" t="s">
        <v>1707</v>
      </c>
      <c r="F78">
        <v>74</v>
      </c>
      <c r="G78" t="str">
        <f t="shared" si="6"/>
        <v>Fluorescent - T12 Slimline</v>
      </c>
    </row>
    <row r="79" spans="1:7">
      <c r="A79" t="str">
        <f>CONCATENATE(C79," - ",D79," ",E79)</f>
        <v>Fluorescent - T12 Slimline 8-foot 2-Lamp</v>
      </c>
      <c r="B79" t="str">
        <f>CONCATENATE(C79," - ",D79," ",E79)</f>
        <v>Fluorescent - T12 Slimline 8-foot 2-Lamp</v>
      </c>
      <c r="C79" t="s">
        <v>254</v>
      </c>
      <c r="D79" t="s">
        <v>1706</v>
      </c>
      <c r="E79" t="s">
        <v>1708</v>
      </c>
      <c r="F79">
        <v>148</v>
      </c>
      <c r="G79" t="str">
        <f t="shared" si="6"/>
        <v>Fluorescent - T12 Slimline</v>
      </c>
    </row>
    <row r="80" spans="1:7">
      <c r="A80" t="str">
        <f>CONCATENATE(C80," - ",D80," ",E80)</f>
        <v>Fluorescent - T12 Slimline 8-foot 3-Lamp</v>
      </c>
      <c r="B80" t="str">
        <f>CONCATENATE(C80," - ",D80," ",E80)</f>
        <v>Fluorescent - T12 Slimline 8-foot 3-Lamp</v>
      </c>
      <c r="C80" t="s">
        <v>254</v>
      </c>
      <c r="D80" t="s">
        <v>1706</v>
      </c>
      <c r="E80" t="s">
        <v>1709</v>
      </c>
      <c r="F80">
        <v>222</v>
      </c>
      <c r="G80" t="str">
        <f t="shared" si="6"/>
        <v>Fluorescent - T12 Slimline</v>
      </c>
    </row>
    <row r="81" spans="1:7">
      <c r="A81" t="str">
        <f>CONCATENATE(C81," - ",D81," ",E81)</f>
        <v>Fluorescent - T12 Slimline 8-foot 4-Lamp</v>
      </c>
      <c r="B81" t="str">
        <f>CONCATENATE(C81," - ",D81," ",E81)</f>
        <v>Fluorescent - T12 Slimline 8-foot 4-Lamp</v>
      </c>
      <c r="C81" t="s">
        <v>254</v>
      </c>
      <c r="D81" t="s">
        <v>1706</v>
      </c>
      <c r="E81" t="s">
        <v>1710</v>
      </c>
      <c r="F81">
        <v>296</v>
      </c>
      <c r="G81" t="str">
        <f t="shared" si="6"/>
        <v>Fluorescent - T12 Slimline</v>
      </c>
    </row>
    <row r="82" spans="1:7">
      <c r="A82" t="str">
        <f t="shared" si="1"/>
        <v>Fluorescent - T12 Slimline 6-foot 1-Lamp</v>
      </c>
      <c r="B82" t="str">
        <f t="shared" si="5"/>
        <v>Fluorescent - T12 Slimline 6-foot 1-Lamp</v>
      </c>
      <c r="C82" t="s">
        <v>254</v>
      </c>
      <c r="D82" t="s">
        <v>1706</v>
      </c>
      <c r="E82" t="s">
        <v>1711</v>
      </c>
      <c r="F82">
        <v>80</v>
      </c>
      <c r="G82" t="str">
        <f t="shared" si="6"/>
        <v>Fluorescent - T12 Slimline</v>
      </c>
    </row>
    <row r="83" spans="1:7">
      <c r="A83" t="str">
        <f t="shared" ref="A83:A113" si="7">CONCATENATE(C83," - ",D83," ",E83)</f>
        <v>Fluorescent - T12 Slimline 6-foot 2-Lamp</v>
      </c>
      <c r="B83" t="str">
        <f t="shared" si="5"/>
        <v>Fluorescent - T12 Slimline 6-foot 2-Lamp</v>
      </c>
      <c r="C83" t="s">
        <v>254</v>
      </c>
      <c r="D83" t="s">
        <v>1706</v>
      </c>
      <c r="E83" t="s">
        <v>1712</v>
      </c>
      <c r="F83">
        <v>160</v>
      </c>
      <c r="G83" t="str">
        <f t="shared" si="6"/>
        <v>Fluorescent - T12 Slimline</v>
      </c>
    </row>
    <row r="84" spans="1:7">
      <c r="A84" t="str">
        <f t="shared" si="7"/>
        <v>Fluorescent - T12 Slimline 6-foot 3-Lamp</v>
      </c>
      <c r="B84" t="str">
        <f t="shared" si="5"/>
        <v>Fluorescent - T12 Slimline 6-foot 3-Lamp</v>
      </c>
      <c r="C84" t="s">
        <v>254</v>
      </c>
      <c r="D84" t="s">
        <v>1706</v>
      </c>
      <c r="E84" t="s">
        <v>1713</v>
      </c>
      <c r="F84">
        <v>240</v>
      </c>
      <c r="G84" t="str">
        <f t="shared" si="6"/>
        <v>Fluorescent - T12 Slimline</v>
      </c>
    </row>
    <row r="85" spans="1:7">
      <c r="A85" t="str">
        <f t="shared" si="7"/>
        <v>Fluorescent - T12 Slimline 6-foot 4-Lamp</v>
      </c>
      <c r="B85" t="str">
        <f t="shared" si="5"/>
        <v>Fluorescent - T12 Slimline 6-foot 4-Lamp</v>
      </c>
      <c r="C85" t="s">
        <v>254</v>
      </c>
      <c r="D85" t="s">
        <v>1706</v>
      </c>
      <c r="E85" t="s">
        <v>1714</v>
      </c>
      <c r="F85">
        <v>320</v>
      </c>
      <c r="G85" t="str">
        <f t="shared" si="6"/>
        <v>Fluorescent - T12 Slimline</v>
      </c>
    </row>
    <row r="87" spans="1:7">
      <c r="A87" s="1" t="s">
        <v>1715</v>
      </c>
      <c r="B87" s="1"/>
      <c r="C87" s="1"/>
      <c r="D87" s="1"/>
      <c r="E87" s="1"/>
      <c r="F87" s="1"/>
    </row>
    <row r="88" spans="1:7">
      <c r="A88" t="str">
        <f>CONCATENATE(C88," - ",D88," ",E88)</f>
        <v>Fluorescent - T12 HO 8-foot 1-Lamp</v>
      </c>
      <c r="B88" t="str">
        <f>CONCATENATE(C88," - ",D88," ",E88)</f>
        <v>Fluorescent - T12 HO 8-foot 1-Lamp</v>
      </c>
      <c r="C88" t="s">
        <v>254</v>
      </c>
      <c r="D88" t="s">
        <v>1715</v>
      </c>
      <c r="E88" t="s">
        <v>1707</v>
      </c>
      <c r="F88">
        <v>105</v>
      </c>
      <c r="G88" t="str">
        <f t="shared" si="6"/>
        <v>Fluorescent - T12 HO</v>
      </c>
    </row>
    <row r="89" spans="1:7">
      <c r="A89" t="str">
        <f>CONCATENATE(C89," - ",D89," ",E89)</f>
        <v>Fluorescent - T12 HO 8-foot 2-Lamp</v>
      </c>
      <c r="B89" t="str">
        <f>CONCATENATE(C89," - ",D89," ",E89)</f>
        <v>Fluorescent - T12 HO 8-foot 2-Lamp</v>
      </c>
      <c r="C89" t="s">
        <v>254</v>
      </c>
      <c r="D89" t="s">
        <v>1715</v>
      </c>
      <c r="E89" t="s">
        <v>1708</v>
      </c>
      <c r="F89">
        <v>209</v>
      </c>
      <c r="G89" t="str">
        <f t="shared" si="6"/>
        <v>Fluorescent - T12 HO</v>
      </c>
    </row>
    <row r="90" spans="1:7">
      <c r="A90" t="str">
        <f>CONCATENATE(C90," - ",D90," ",E90)</f>
        <v>Fluorescent - T12 HO 8-foot 3-Lamp</v>
      </c>
      <c r="B90" t="str">
        <f>CONCATENATE(C90," - ",D90," ",E90)</f>
        <v>Fluorescent - T12 HO 8-foot 3-Lamp</v>
      </c>
      <c r="C90" t="s">
        <v>254</v>
      </c>
      <c r="D90" t="s">
        <v>1715</v>
      </c>
      <c r="E90" t="s">
        <v>1709</v>
      </c>
      <c r="F90">
        <v>314</v>
      </c>
      <c r="G90" t="str">
        <f t="shared" si="6"/>
        <v>Fluorescent - T12 HO</v>
      </c>
    </row>
    <row r="91" spans="1:7">
      <c r="A91" t="str">
        <f>CONCATENATE(C91," - ",D91," ",E91)</f>
        <v>Fluorescent - T12 HO 8-foot 4-Lamp</v>
      </c>
      <c r="B91" t="str">
        <f>CONCATENATE(C91," - ",D91," ",E91)</f>
        <v>Fluorescent - T12 HO 8-foot 4-Lamp</v>
      </c>
      <c r="C91" t="s">
        <v>254</v>
      </c>
      <c r="D91" t="s">
        <v>1715</v>
      </c>
      <c r="E91" t="s">
        <v>1710</v>
      </c>
      <c r="F91">
        <v>418</v>
      </c>
      <c r="G91" t="str">
        <f t="shared" si="6"/>
        <v>Fluorescent - T12 HO</v>
      </c>
    </row>
    <row r="92" spans="1:7">
      <c r="A92" t="str">
        <f t="shared" si="7"/>
        <v>Fluorescent - T12 HO 4-foot 1-Lamp</v>
      </c>
      <c r="B92" t="str">
        <f t="shared" si="5"/>
        <v>Fluorescent - T12 HO 4-foot 1-Lamp</v>
      </c>
      <c r="C92" t="s">
        <v>254</v>
      </c>
      <c r="D92" t="s">
        <v>1715</v>
      </c>
      <c r="E92" t="s">
        <v>1692</v>
      </c>
      <c r="F92">
        <v>72</v>
      </c>
      <c r="G92" t="str">
        <f t="shared" si="6"/>
        <v>Fluorescent - T12 HO</v>
      </c>
    </row>
    <row r="93" spans="1:7">
      <c r="A93" t="str">
        <f t="shared" si="7"/>
        <v>Fluorescent - T12 HO 4-foot 2-Lamp</v>
      </c>
      <c r="B93" t="str">
        <f t="shared" si="5"/>
        <v>Fluorescent - T12 HO 4-foot 2-Lamp</v>
      </c>
      <c r="C93" t="s">
        <v>254</v>
      </c>
      <c r="D93" t="s">
        <v>1715</v>
      </c>
      <c r="E93" t="s">
        <v>1693</v>
      </c>
      <c r="F93">
        <v>144</v>
      </c>
      <c r="G93" t="str">
        <f t="shared" si="6"/>
        <v>Fluorescent - T12 HO</v>
      </c>
    </row>
    <row r="94" spans="1:7">
      <c r="A94" t="str">
        <f t="shared" si="7"/>
        <v>Fluorescent - T12 HO 4-foot 3-Lamp</v>
      </c>
      <c r="B94" t="str">
        <f t="shared" si="5"/>
        <v>Fluorescent - T12 HO 4-foot 3-Lamp</v>
      </c>
      <c r="C94" t="s">
        <v>254</v>
      </c>
      <c r="D94" t="s">
        <v>1715</v>
      </c>
      <c r="E94" t="s">
        <v>1694</v>
      </c>
      <c r="F94">
        <v>216</v>
      </c>
      <c r="G94" t="str">
        <f t="shared" si="6"/>
        <v>Fluorescent - T12 HO</v>
      </c>
    </row>
    <row r="95" spans="1:7">
      <c r="A95" t="str">
        <f t="shared" si="7"/>
        <v>Fluorescent - T12 HO 4-foot 4-Lamp</v>
      </c>
      <c r="B95" t="str">
        <f t="shared" si="5"/>
        <v>Fluorescent - T12 HO 4-foot 4-Lamp</v>
      </c>
      <c r="C95" t="s">
        <v>254</v>
      </c>
      <c r="D95" t="s">
        <v>1715</v>
      </c>
      <c r="E95" t="s">
        <v>1695</v>
      </c>
      <c r="F95">
        <v>288</v>
      </c>
      <c r="G95" t="str">
        <f t="shared" si="6"/>
        <v>Fluorescent - T12 HO</v>
      </c>
    </row>
    <row r="97" spans="1:7">
      <c r="E97" t="s">
        <v>1716</v>
      </c>
    </row>
    <row r="98" spans="1:7">
      <c r="A98" t="str">
        <f t="shared" si="7"/>
        <v>Fluorescent - T8 2-foot 1-Lamp</v>
      </c>
      <c r="B98" t="str">
        <f t="shared" si="5"/>
        <v>Fluorescent - T8 2-foot 1-Lamp</v>
      </c>
      <c r="C98" t="s">
        <v>254</v>
      </c>
      <c r="D98" t="s">
        <v>1716</v>
      </c>
      <c r="E98" t="s">
        <v>1717</v>
      </c>
      <c r="F98">
        <v>17</v>
      </c>
      <c r="G98" t="str">
        <f t="shared" si="6"/>
        <v>Fluorescent - T8 2-foot</v>
      </c>
    </row>
    <row r="99" spans="1:7">
      <c r="A99" t="str">
        <f t="shared" si="7"/>
        <v>Fluorescent - T8 2-foot 2-Lamp</v>
      </c>
      <c r="B99" t="str">
        <f t="shared" si="5"/>
        <v>Fluorescent - T8 2-foot 2-Lamp</v>
      </c>
      <c r="C99" t="s">
        <v>254</v>
      </c>
      <c r="D99" t="s">
        <v>1716</v>
      </c>
      <c r="E99" t="s">
        <v>612</v>
      </c>
      <c r="F99">
        <v>31</v>
      </c>
      <c r="G99" t="str">
        <f t="shared" si="6"/>
        <v>Fluorescent - T8 2-foot</v>
      </c>
    </row>
    <row r="100" spans="1:7">
      <c r="A100" t="str">
        <f t="shared" si="7"/>
        <v>Fluorescent - T8 2-foot 3-Lamp</v>
      </c>
      <c r="B100" t="str">
        <f t="shared" si="5"/>
        <v>Fluorescent - T8 2-foot 3-Lamp</v>
      </c>
      <c r="C100" t="s">
        <v>254</v>
      </c>
      <c r="D100" t="s">
        <v>1716</v>
      </c>
      <c r="E100" t="s">
        <v>256</v>
      </c>
      <c r="F100">
        <v>48</v>
      </c>
      <c r="G100" t="str">
        <f t="shared" si="6"/>
        <v>Fluorescent - T8 2-foot</v>
      </c>
    </row>
    <row r="101" spans="1:7">
      <c r="A101" t="str">
        <f t="shared" si="7"/>
        <v>Fluorescent - T8 2-foot 4-Lamp</v>
      </c>
      <c r="B101" t="str">
        <f t="shared" si="5"/>
        <v>Fluorescent - T8 2-foot 4-Lamp</v>
      </c>
      <c r="C101" t="s">
        <v>254</v>
      </c>
      <c r="D101" t="s">
        <v>1716</v>
      </c>
      <c r="E101" t="s">
        <v>604</v>
      </c>
      <c r="F101">
        <v>64</v>
      </c>
      <c r="G101" t="str">
        <f t="shared" si="6"/>
        <v>Fluorescent - T8 2-foot</v>
      </c>
    </row>
    <row r="103" spans="1:7">
      <c r="E103" t="s">
        <v>1718</v>
      </c>
    </row>
    <row r="104" spans="1:7">
      <c r="A104" t="str">
        <f t="shared" si="7"/>
        <v>Fluorescent - T8 3-foot 1-Lamp</v>
      </c>
      <c r="B104" t="str">
        <f t="shared" si="5"/>
        <v>Fluorescent - T8 3-foot 1-Lamp</v>
      </c>
      <c r="C104" t="s">
        <v>254</v>
      </c>
      <c r="D104" t="s">
        <v>1718</v>
      </c>
      <c r="E104" t="s">
        <v>1717</v>
      </c>
      <c r="F104">
        <v>26</v>
      </c>
      <c r="G104" t="str">
        <f t="shared" si="6"/>
        <v>Fluorescent - T8 3-foot</v>
      </c>
    </row>
    <row r="105" spans="1:7">
      <c r="A105" t="str">
        <f t="shared" si="7"/>
        <v>Fluorescent - T8 3-foot 2-Lamp</v>
      </c>
      <c r="B105" t="str">
        <f t="shared" si="5"/>
        <v>Fluorescent - T8 3-foot 2-Lamp</v>
      </c>
      <c r="C105" t="s">
        <v>254</v>
      </c>
      <c r="D105" t="s">
        <v>1718</v>
      </c>
      <c r="E105" t="s">
        <v>612</v>
      </c>
      <c r="F105">
        <v>44</v>
      </c>
      <c r="G105" t="str">
        <f t="shared" si="6"/>
        <v>Fluorescent - T8 3-foot</v>
      </c>
    </row>
    <row r="106" spans="1:7">
      <c r="A106" t="str">
        <f t="shared" si="7"/>
        <v>Fluorescent - T8 3-foot 3-Lamp</v>
      </c>
      <c r="B106" t="str">
        <f t="shared" si="5"/>
        <v>Fluorescent - T8 3-foot 3-Lamp</v>
      </c>
      <c r="C106" t="s">
        <v>254</v>
      </c>
      <c r="D106" t="s">
        <v>1718</v>
      </c>
      <c r="E106" t="s">
        <v>256</v>
      </c>
      <c r="F106">
        <v>67</v>
      </c>
      <c r="G106" t="str">
        <f t="shared" si="6"/>
        <v>Fluorescent - T8 3-foot</v>
      </c>
    </row>
    <row r="107" spans="1:7">
      <c r="A107" t="str">
        <f t="shared" si="7"/>
        <v>Fluorescent - T8 3-foot 4-Lamp</v>
      </c>
      <c r="B107" t="str">
        <f t="shared" si="5"/>
        <v>Fluorescent - T8 3-foot 4-Lamp</v>
      </c>
      <c r="C107" t="s">
        <v>254</v>
      </c>
      <c r="D107" t="s">
        <v>1718</v>
      </c>
      <c r="E107" t="s">
        <v>604</v>
      </c>
      <c r="F107">
        <v>89</v>
      </c>
      <c r="G107" t="str">
        <f t="shared" si="6"/>
        <v>Fluorescent - T8 3-foot</v>
      </c>
    </row>
    <row r="108" spans="1:7">
      <c r="B108" t="str">
        <f t="shared" si="5"/>
        <v xml:space="preserve"> -  </v>
      </c>
    </row>
    <row r="109" spans="1:7">
      <c r="B109" t="str">
        <f t="shared" si="5"/>
        <v xml:space="preserve"> -  T8 4-foot (Magnetic)</v>
      </c>
      <c r="E109" t="s">
        <v>1719</v>
      </c>
    </row>
    <row r="110" spans="1:7">
      <c r="A110" t="str">
        <f t="shared" si="7"/>
        <v>Fluorescent - T8 4-foot (Magnetic NOT COMMON) 1-Lamp</v>
      </c>
      <c r="B110" t="str">
        <f t="shared" si="5"/>
        <v>Fluorescent - T8 4-foot (Magnetic NOT COMMON) 1-Lamp</v>
      </c>
      <c r="C110" t="s">
        <v>254</v>
      </c>
      <c r="D110" t="s">
        <v>1720</v>
      </c>
      <c r="E110" t="s">
        <v>1717</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254</v>
      </c>
      <c r="D111" t="s">
        <v>1720</v>
      </c>
      <c r="E111" t="s">
        <v>612</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254</v>
      </c>
      <c r="D112" t="s">
        <v>1720</v>
      </c>
      <c r="E112" t="s">
        <v>256</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254</v>
      </c>
      <c r="D113" t="s">
        <v>1720</v>
      </c>
      <c r="E113" t="s">
        <v>604</v>
      </c>
      <c r="F113">
        <v>142</v>
      </c>
      <c r="G113" t="str">
        <f t="shared" si="6"/>
        <v>Fluorescent - T8 4-foot (Magnetic NOT COMMON)</v>
      </c>
    </row>
    <row r="115" spans="1:7">
      <c r="A115" s="1" t="s">
        <v>255</v>
      </c>
      <c r="B115" s="1"/>
      <c r="C115" s="1"/>
      <c r="D115" s="1"/>
      <c r="E115" s="1"/>
      <c r="F115" s="1"/>
    </row>
    <row r="116" spans="1:7">
      <c r="A116" t="str">
        <f t="shared" ref="A116:A121" si="8">CONCATENATE(C116," - ",D116," ",E116)</f>
        <v>Fluorescent - T8 4-foot (Electronic) 1-Lamp</v>
      </c>
      <c r="B116" t="str">
        <f t="shared" si="5"/>
        <v>Fluorescent - T8 4-foot (Electronic) 1-Lamp</v>
      </c>
      <c r="C116" t="s">
        <v>254</v>
      </c>
      <c r="D116" t="s">
        <v>255</v>
      </c>
      <c r="E116" t="s">
        <v>1717</v>
      </c>
      <c r="F116">
        <v>31</v>
      </c>
      <c r="G116" t="str">
        <f t="shared" si="6"/>
        <v>Fluorescent - T8 4-foot (Electronic)</v>
      </c>
    </row>
    <row r="117" spans="1:7">
      <c r="A117" t="str">
        <f t="shared" si="8"/>
        <v>Fluorescent - T8 4-foot (Electronic) 2-Lamp</v>
      </c>
      <c r="B117" t="str">
        <f t="shared" si="5"/>
        <v>Fluorescent - T8 4-foot (Electronic) 2-Lamp</v>
      </c>
      <c r="C117" t="s">
        <v>254</v>
      </c>
      <c r="D117" t="s">
        <v>255</v>
      </c>
      <c r="E117" t="s">
        <v>612</v>
      </c>
      <c r="F117">
        <v>59</v>
      </c>
      <c r="G117" t="str">
        <f t="shared" si="6"/>
        <v>Fluorescent - T8 4-foot (Electronic)</v>
      </c>
    </row>
    <row r="118" spans="1:7">
      <c r="A118" t="str">
        <f t="shared" si="8"/>
        <v>Fluorescent - T8 4-foot (Electronic) 3-Lamp</v>
      </c>
      <c r="B118" t="str">
        <f t="shared" si="5"/>
        <v>Fluorescent - T8 4-foot (Electronic) 3-Lamp</v>
      </c>
      <c r="C118" t="s">
        <v>254</v>
      </c>
      <c r="D118" t="s">
        <v>255</v>
      </c>
      <c r="E118" t="s">
        <v>256</v>
      </c>
      <c r="F118">
        <v>90</v>
      </c>
      <c r="G118" t="str">
        <f t="shared" si="6"/>
        <v>Fluorescent - T8 4-foot (Electronic)</v>
      </c>
    </row>
    <row r="119" spans="1:7">
      <c r="A119" t="str">
        <f t="shared" si="8"/>
        <v>Fluorescent - T8 4-foot (Electronic) 4-Lamp</v>
      </c>
      <c r="B119" t="str">
        <f t="shared" si="5"/>
        <v>Fluorescent - T8 4-foot (Electronic) 4-Lamp</v>
      </c>
      <c r="C119" t="s">
        <v>254</v>
      </c>
      <c r="D119" t="s">
        <v>255</v>
      </c>
      <c r="E119" t="s">
        <v>604</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254</v>
      </c>
      <c r="D120" t="s">
        <v>255</v>
      </c>
      <c r="E120" t="s">
        <v>1721</v>
      </c>
      <c r="F120">
        <v>149</v>
      </c>
      <c r="G120" t="str">
        <f t="shared" si="6"/>
        <v>Fluorescent - T8 4-foot (Electronic)</v>
      </c>
    </row>
    <row r="121" spans="1:7">
      <c r="A121" t="str">
        <f t="shared" si="8"/>
        <v>Fluorescent - T8 4-foot (Electronic) 6-Lamp</v>
      </c>
      <c r="B121" t="str">
        <f t="shared" si="9"/>
        <v>Fluorescent - T8 4-foot (Electronic) 6-Lamp</v>
      </c>
      <c r="C121" t="s">
        <v>254</v>
      </c>
      <c r="D121" t="s">
        <v>255</v>
      </c>
      <c r="E121" t="s">
        <v>1722</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254</v>
      </c>
      <c r="D122" t="s">
        <v>255</v>
      </c>
      <c r="E122" t="s">
        <v>1723</v>
      </c>
      <c r="F122">
        <v>228</v>
      </c>
      <c r="G122" t="str">
        <f t="shared" si="6"/>
        <v>Fluorescent - T8 4-foot (Electronic)</v>
      </c>
    </row>
    <row r="124" spans="1:7">
      <c r="E124" t="s">
        <v>1724</v>
      </c>
    </row>
    <row r="125" spans="1:7">
      <c r="A125" t="str">
        <f t="shared" si="10"/>
        <v>Fluorescent - T8 5-foot 1-Lamp</v>
      </c>
      <c r="B125" t="str">
        <f t="shared" si="9"/>
        <v>Fluorescent - T8 5-foot 1-Lamp</v>
      </c>
      <c r="C125" t="s">
        <v>254</v>
      </c>
      <c r="D125" t="s">
        <v>1724</v>
      </c>
      <c r="E125" t="s">
        <v>1717</v>
      </c>
      <c r="F125">
        <v>42</v>
      </c>
      <c r="G125" t="str">
        <f t="shared" si="6"/>
        <v>Fluorescent - T8 5-foot</v>
      </c>
    </row>
    <row r="126" spans="1:7">
      <c r="A126" t="str">
        <f t="shared" si="10"/>
        <v>Fluorescent - T8 5-foot 2-Lamp</v>
      </c>
      <c r="B126" t="str">
        <f t="shared" si="9"/>
        <v>Fluorescent - T8 5-foot 2-Lamp</v>
      </c>
      <c r="C126" t="s">
        <v>254</v>
      </c>
      <c r="D126" t="s">
        <v>1724</v>
      </c>
      <c r="E126" t="s">
        <v>612</v>
      </c>
      <c r="F126">
        <v>77</v>
      </c>
      <c r="G126" t="str">
        <f t="shared" si="6"/>
        <v>Fluorescent - T8 5-foot</v>
      </c>
    </row>
    <row r="127" spans="1:7">
      <c r="A127" t="str">
        <f t="shared" si="10"/>
        <v>Fluorescent - T8 5-foot 3-Lamp</v>
      </c>
      <c r="B127" t="str">
        <f t="shared" si="9"/>
        <v>Fluorescent - T8 5-foot 3-Lamp</v>
      </c>
      <c r="C127" t="s">
        <v>254</v>
      </c>
      <c r="D127" t="s">
        <v>1724</v>
      </c>
      <c r="E127" t="s">
        <v>256</v>
      </c>
      <c r="F127">
        <v>112</v>
      </c>
      <c r="G127" t="str">
        <f t="shared" si="6"/>
        <v>Fluorescent - T8 5-foot</v>
      </c>
    </row>
    <row r="128" spans="1:7">
      <c r="A128" t="str">
        <f t="shared" si="10"/>
        <v>Fluorescent - T8 5-foot 4-Lamp</v>
      </c>
      <c r="B128" t="str">
        <f t="shared" si="9"/>
        <v>Fluorescent - T8 5-foot 4-Lamp</v>
      </c>
      <c r="C128" t="s">
        <v>254</v>
      </c>
      <c r="D128" t="s">
        <v>1724</v>
      </c>
      <c r="E128" t="s">
        <v>604</v>
      </c>
      <c r="F128">
        <v>144</v>
      </c>
      <c r="G128" t="str">
        <f t="shared" si="6"/>
        <v>Fluorescent - T8 5-foot</v>
      </c>
    </row>
    <row r="129" spans="1:7">
      <c r="A129" t="str">
        <f t="shared" si="10"/>
        <v>Fluorescent - T8 5-foot 6-Lamp</v>
      </c>
      <c r="B129" t="str">
        <f t="shared" si="9"/>
        <v>Fluorescent - T8 5-foot 6-Lamp</v>
      </c>
      <c r="C129" t="s">
        <v>254</v>
      </c>
      <c r="D129" t="s">
        <v>1724</v>
      </c>
      <c r="E129" t="s">
        <v>1722</v>
      </c>
      <c r="F129">
        <v>224</v>
      </c>
      <c r="G129" t="str">
        <f t="shared" si="6"/>
        <v>Fluorescent - T8 5-foot</v>
      </c>
    </row>
    <row r="131" spans="1:7">
      <c r="E131" t="s">
        <v>1725</v>
      </c>
    </row>
    <row r="132" spans="1:7">
      <c r="A132" t="str">
        <f t="shared" si="10"/>
        <v>Fluorescent - T8 Slimline 8-foot 1-Lamp</v>
      </c>
      <c r="B132" t="str">
        <f t="shared" si="9"/>
        <v>Fluorescent - T8 Slimline 8-foot 1-Lamp</v>
      </c>
      <c r="C132" t="s">
        <v>254</v>
      </c>
      <c r="D132" t="s">
        <v>1726</v>
      </c>
      <c r="E132" t="s">
        <v>1707</v>
      </c>
      <c r="F132">
        <v>67</v>
      </c>
      <c r="G132" t="str">
        <f t="shared" si="6"/>
        <v>Fluorescent - T8 Slimline</v>
      </c>
    </row>
    <row r="133" spans="1:7">
      <c r="A133" t="str">
        <f t="shared" si="10"/>
        <v>Fluorescent - T8 Slimline 8-foot 2-Lamp</v>
      </c>
      <c r="B133" t="str">
        <f t="shared" si="9"/>
        <v>Fluorescent - T8 Slimline 8-foot 2-Lamp</v>
      </c>
      <c r="C133" t="s">
        <v>254</v>
      </c>
      <c r="D133" t="s">
        <v>1726</v>
      </c>
      <c r="E133" t="s">
        <v>1708</v>
      </c>
      <c r="F133">
        <v>107</v>
      </c>
      <c r="G133" t="str">
        <f t="shared" si="6"/>
        <v>Fluorescent - T8 Slimline</v>
      </c>
    </row>
    <row r="134" spans="1:7">
      <c r="A134" t="str">
        <f t="shared" si="10"/>
        <v>Fluorescent - T8 Slimline 8-foot 3-Lamp</v>
      </c>
      <c r="B134" t="str">
        <f t="shared" si="9"/>
        <v>Fluorescent - T8 Slimline 8-foot 3-Lamp</v>
      </c>
      <c r="C134" t="s">
        <v>254</v>
      </c>
      <c r="D134" t="s">
        <v>1726</v>
      </c>
      <c r="E134" t="s">
        <v>1709</v>
      </c>
      <c r="F134">
        <v>174</v>
      </c>
      <c r="G134" t="str">
        <f t="shared" si="6"/>
        <v>Fluorescent - T8 Slimline</v>
      </c>
    </row>
    <row r="135" spans="1:7">
      <c r="A135" t="str">
        <f t="shared" si="10"/>
        <v>Fluorescent - T8 Slimline 8-foot 4-Lamp</v>
      </c>
      <c r="B135" t="str">
        <f t="shared" si="9"/>
        <v>Fluorescent - T8 Slimline 8-foot 4-Lamp</v>
      </c>
      <c r="C135" t="s">
        <v>254</v>
      </c>
      <c r="D135" t="s">
        <v>1726</v>
      </c>
      <c r="E135" t="s">
        <v>1710</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254</v>
      </c>
      <c r="D136" t="s">
        <v>1726</v>
      </c>
      <c r="E136" t="s">
        <v>1727</v>
      </c>
      <c r="F136">
        <v>64</v>
      </c>
      <c r="G136" t="str">
        <f t="shared" si="6"/>
        <v>Fluorescent - T8 Slimline</v>
      </c>
    </row>
    <row r="137" spans="1:7">
      <c r="A137" t="str">
        <f t="shared" si="11"/>
        <v>Fluorescent - T8 Slimline 8-foot 2-Lamp/ES</v>
      </c>
      <c r="B137" t="str">
        <f t="shared" si="12"/>
        <v>Fluorescent - T8 Slimline 8-foot 2-Lamp/ES</v>
      </c>
      <c r="C137" t="s">
        <v>254</v>
      </c>
      <c r="D137" t="s">
        <v>1726</v>
      </c>
      <c r="E137" t="s">
        <v>1728</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254</v>
      </c>
      <c r="D138" t="s">
        <v>1726</v>
      </c>
      <c r="E138" t="s">
        <v>1729</v>
      </c>
      <c r="F138">
        <v>167</v>
      </c>
      <c r="G138" t="str">
        <f t="shared" si="13"/>
        <v>Fluorescent - T8 Slimline</v>
      </c>
    </row>
    <row r="139" spans="1:7">
      <c r="A139" t="str">
        <f t="shared" si="11"/>
        <v>Fluorescent - T8 Slimline 8-foot 4-Lamp/ES</v>
      </c>
      <c r="B139" t="str">
        <f t="shared" si="12"/>
        <v>Fluorescent - T8 Slimline 8-foot 4-Lamp/ES</v>
      </c>
      <c r="C139" t="s">
        <v>254</v>
      </c>
      <c r="D139" t="s">
        <v>1726</v>
      </c>
      <c r="E139" t="s">
        <v>1730</v>
      </c>
      <c r="F139">
        <v>206</v>
      </c>
      <c r="G139" t="str">
        <f t="shared" si="13"/>
        <v>Fluorescent - T8 Slimline</v>
      </c>
    </row>
    <row r="140" spans="1:7">
      <c r="A140" t="str">
        <f t="shared" si="11"/>
        <v>Fluorescent - T8 Slimline 6-foot 1-Lamp</v>
      </c>
      <c r="B140" t="str">
        <f t="shared" si="12"/>
        <v>Fluorescent - T8 Slimline 6-foot 1-Lamp</v>
      </c>
      <c r="C140" t="s">
        <v>254</v>
      </c>
      <c r="D140" t="s">
        <v>1726</v>
      </c>
      <c r="E140" t="s">
        <v>1711</v>
      </c>
      <c r="F140">
        <v>54</v>
      </c>
      <c r="G140" t="str">
        <f t="shared" si="13"/>
        <v>Fluorescent - T8 Slimline</v>
      </c>
    </row>
    <row r="141" spans="1:7">
      <c r="A141" t="str">
        <f t="shared" si="11"/>
        <v>Fluorescent - T8 Slimline 6-foot 2-Lamp</v>
      </c>
      <c r="B141" t="str">
        <f t="shared" si="12"/>
        <v>Fluorescent - T8 Slimline 6-foot 2-Lamp</v>
      </c>
      <c r="C141" t="s">
        <v>254</v>
      </c>
      <c r="D141" t="s">
        <v>1726</v>
      </c>
      <c r="E141" t="s">
        <v>1712</v>
      </c>
      <c r="F141">
        <v>88</v>
      </c>
      <c r="G141" t="str">
        <f t="shared" si="13"/>
        <v>Fluorescent - T8 Slimline</v>
      </c>
    </row>
    <row r="142" spans="1:7">
      <c r="A142" t="str">
        <f t="shared" si="11"/>
        <v>Fluorescent - T8 Slimline 6-foot 3-Lamp</v>
      </c>
      <c r="B142" t="str">
        <f t="shared" si="12"/>
        <v>Fluorescent - T8 Slimline 6-foot 3-Lamp</v>
      </c>
      <c r="C142" t="s">
        <v>254</v>
      </c>
      <c r="D142" t="s">
        <v>1726</v>
      </c>
      <c r="E142" t="s">
        <v>1713</v>
      </c>
      <c r="F142">
        <v>142</v>
      </c>
      <c r="G142" t="str">
        <f t="shared" si="13"/>
        <v>Fluorescent - T8 Slimline</v>
      </c>
    </row>
    <row r="143" spans="1:7">
      <c r="A143" t="str">
        <f t="shared" si="11"/>
        <v>Fluorescent - T8 Slimline 6-foot 4-Lamp</v>
      </c>
      <c r="B143" t="str">
        <f t="shared" si="12"/>
        <v>Fluorescent - T8 Slimline 6-foot 4-Lamp</v>
      </c>
      <c r="C143" t="s">
        <v>254</v>
      </c>
      <c r="D143" t="s">
        <v>1726</v>
      </c>
      <c r="E143" t="s">
        <v>1714</v>
      </c>
      <c r="F143">
        <v>176</v>
      </c>
      <c r="G143" t="str">
        <f t="shared" si="13"/>
        <v>Fluorescent - T8 Slimline</v>
      </c>
    </row>
    <row r="145" spans="1:7">
      <c r="E145" t="s">
        <v>1731</v>
      </c>
    </row>
    <row r="146" spans="1:7">
      <c r="A146" t="str">
        <f t="shared" si="10"/>
        <v>Fluorescent - T8 HO 4-foot 1-Lamp</v>
      </c>
      <c r="B146" t="str">
        <f t="shared" si="9"/>
        <v>Fluorescent - T8 HO 4-foot 1-Lamp</v>
      </c>
      <c r="C146" t="s">
        <v>254</v>
      </c>
      <c r="D146" t="s">
        <v>1732</v>
      </c>
      <c r="E146" t="s">
        <v>1692</v>
      </c>
      <c r="F146">
        <v>59</v>
      </c>
      <c r="G146" t="str">
        <f t="shared" si="13"/>
        <v>Fluorescent - T8 HO</v>
      </c>
    </row>
    <row r="147" spans="1:7">
      <c r="A147" t="str">
        <f t="shared" si="10"/>
        <v>Fluorescent - T8 HO 4-foot 2-Lamp</v>
      </c>
      <c r="B147" t="str">
        <f t="shared" si="9"/>
        <v>Fluorescent - T8 HO 4-foot 2-Lamp</v>
      </c>
      <c r="C147" t="s">
        <v>254</v>
      </c>
      <c r="D147" t="s">
        <v>1732</v>
      </c>
      <c r="E147" t="s">
        <v>1693</v>
      </c>
      <c r="F147">
        <v>98</v>
      </c>
      <c r="G147" t="str">
        <f t="shared" si="13"/>
        <v>Fluorescent - T8 HO</v>
      </c>
    </row>
    <row r="148" spans="1:7">
      <c r="A148" t="str">
        <f t="shared" si="10"/>
        <v>Fluorescent - T8 HO 4-foot 3-Lamp</v>
      </c>
      <c r="B148" t="str">
        <f t="shared" si="9"/>
        <v>Fluorescent - T8 HO 4-foot 3-Lamp</v>
      </c>
      <c r="C148" t="s">
        <v>254</v>
      </c>
      <c r="D148" t="s">
        <v>1732</v>
      </c>
      <c r="E148" t="s">
        <v>1694</v>
      </c>
      <c r="F148">
        <v>157</v>
      </c>
      <c r="G148" t="str">
        <f t="shared" si="13"/>
        <v>Fluorescent - T8 HO</v>
      </c>
    </row>
    <row r="149" spans="1:7">
      <c r="A149" t="str">
        <f t="shared" si="10"/>
        <v>Fluorescent - T8 HO 4-foot 4-Lamp</v>
      </c>
      <c r="B149" t="str">
        <f t="shared" si="9"/>
        <v>Fluorescent - T8 HO 4-foot 4-Lamp</v>
      </c>
      <c r="C149" t="s">
        <v>254</v>
      </c>
      <c r="D149" t="s">
        <v>1732</v>
      </c>
      <c r="E149" t="s">
        <v>1695</v>
      </c>
      <c r="F149">
        <v>196</v>
      </c>
      <c r="G149" t="str">
        <f t="shared" si="13"/>
        <v>Fluorescent - T8 HO</v>
      </c>
    </row>
    <row r="150" spans="1:7">
      <c r="A150" t="str">
        <f t="shared" si="10"/>
        <v>Fluorescent - T8 HO 8-foot 1-Lamp</v>
      </c>
      <c r="B150" t="str">
        <f t="shared" si="9"/>
        <v>Fluorescent - T8 HO 8-foot 1-Lamp</v>
      </c>
      <c r="C150" t="s">
        <v>254</v>
      </c>
      <c r="D150" t="s">
        <v>1732</v>
      </c>
      <c r="E150" t="s">
        <v>1707</v>
      </c>
      <c r="F150">
        <v>100</v>
      </c>
      <c r="G150" t="str">
        <f t="shared" si="13"/>
        <v>Fluorescent - T8 HO</v>
      </c>
    </row>
    <row r="151" spans="1:7">
      <c r="A151" t="str">
        <f t="shared" si="10"/>
        <v>Fluorescent - T8 HO 8-foot 2-Lamp</v>
      </c>
      <c r="B151" t="str">
        <f t="shared" si="9"/>
        <v>Fluorescent - T8 HO 8-foot 2-Lamp</v>
      </c>
      <c r="C151" t="s">
        <v>254</v>
      </c>
      <c r="D151" t="s">
        <v>1732</v>
      </c>
      <c r="E151" t="s">
        <v>1708</v>
      </c>
      <c r="F151">
        <v>185</v>
      </c>
      <c r="G151" t="str">
        <f t="shared" si="13"/>
        <v>Fluorescent - T8 HO</v>
      </c>
    </row>
    <row r="152" spans="1:7">
      <c r="A152" t="str">
        <f t="shared" si="10"/>
        <v>Fluorescent - T8 HO 8-foot 3-Lamp</v>
      </c>
      <c r="B152" t="str">
        <f t="shared" si="9"/>
        <v>Fluorescent - T8 HO 8-foot 3-Lamp</v>
      </c>
      <c r="C152" t="s">
        <v>254</v>
      </c>
      <c r="D152" t="s">
        <v>1732</v>
      </c>
      <c r="E152" t="s">
        <v>1709</v>
      </c>
      <c r="F152">
        <v>285</v>
      </c>
      <c r="G152" t="str">
        <f t="shared" si="13"/>
        <v>Fluorescent - T8 HO</v>
      </c>
    </row>
    <row r="153" spans="1:7">
      <c r="A153" t="str">
        <f t="shared" si="10"/>
        <v>Fluorescent - T8 HO 8-foot 4-Lamp</v>
      </c>
      <c r="B153" t="str">
        <f t="shared" si="9"/>
        <v>Fluorescent - T8 HO 8-foot 4-Lamp</v>
      </c>
      <c r="C153" t="s">
        <v>254</v>
      </c>
      <c r="D153" t="s">
        <v>1732</v>
      </c>
      <c r="E153" t="s">
        <v>1710</v>
      </c>
      <c r="F153">
        <v>370</v>
      </c>
      <c r="G153" t="str">
        <f t="shared" si="13"/>
        <v>Fluorescent - T8 HO</v>
      </c>
    </row>
    <row r="155" spans="1:7">
      <c r="E155" t="s">
        <v>1733</v>
      </c>
    </row>
    <row r="156" spans="1:7">
      <c r="A156" t="str">
        <f t="shared" si="10"/>
        <v>Fluorescent - T8 4-foot (32W High Perf) 1-Lamp/LBF</v>
      </c>
      <c r="B156" t="str">
        <f t="shared" si="9"/>
        <v>Fluorescent - T8 4-foot (32W High Perf) 1-Lamp/LBF</v>
      </c>
      <c r="C156" t="s">
        <v>254</v>
      </c>
      <c r="D156" t="s">
        <v>1733</v>
      </c>
      <c r="E156" t="s">
        <v>1734</v>
      </c>
      <c r="F156">
        <v>24</v>
      </c>
      <c r="G156" t="str">
        <f t="shared" si="13"/>
        <v>Fluorescent - T8 4-foot (32W High Perf)</v>
      </c>
    </row>
    <row r="157" spans="1:7">
      <c r="A157" t="str">
        <f t="shared" si="10"/>
        <v>Fluorescent - T8 4-foot (32W High Perf) 1-Lamp/NBF</v>
      </c>
      <c r="B157" t="str">
        <f t="shared" si="9"/>
        <v>Fluorescent - T8 4-foot (32W High Perf) 1-Lamp/NBF</v>
      </c>
      <c r="C157" t="s">
        <v>254</v>
      </c>
      <c r="D157" t="s">
        <v>1733</v>
      </c>
      <c r="E157" t="s">
        <v>1735</v>
      </c>
      <c r="F157">
        <v>28</v>
      </c>
      <c r="G157" t="str">
        <f t="shared" si="13"/>
        <v>Fluorescent - T8 4-foot (32W High Perf)</v>
      </c>
    </row>
    <row r="158" spans="1:7">
      <c r="A158" t="str">
        <f t="shared" si="10"/>
        <v>Fluorescent - T8 4-foot (32W High Perf) 1-Lamp/HBF</v>
      </c>
      <c r="B158" t="str">
        <f t="shared" si="9"/>
        <v>Fluorescent - T8 4-foot (32W High Perf) 1-Lamp/HBF</v>
      </c>
      <c r="C158" t="s">
        <v>254</v>
      </c>
      <c r="D158" t="s">
        <v>1733</v>
      </c>
      <c r="E158" t="s">
        <v>1736</v>
      </c>
      <c r="F158">
        <v>36</v>
      </c>
      <c r="G158" t="str">
        <f t="shared" si="13"/>
        <v>Fluorescent - T8 4-foot (32W High Perf)</v>
      </c>
    </row>
    <row r="160" spans="1:7">
      <c r="A160" t="str">
        <f t="shared" si="10"/>
        <v>Fluorescent - T8 4-foot (32W High Perf) 2-Lamp/LBF</v>
      </c>
      <c r="B160" t="str">
        <f t="shared" si="9"/>
        <v>Fluorescent - T8 4-foot (32W High Perf) 2-Lamp/LBF</v>
      </c>
      <c r="C160" t="s">
        <v>254</v>
      </c>
      <c r="D160" t="s">
        <v>1733</v>
      </c>
      <c r="E160" t="s">
        <v>1737</v>
      </c>
      <c r="F160">
        <v>48</v>
      </c>
      <c r="G160" t="str">
        <f t="shared" si="13"/>
        <v>Fluorescent - T8 4-foot (32W High Perf)</v>
      </c>
    </row>
    <row r="161" spans="1:7">
      <c r="A161" t="str">
        <f t="shared" si="10"/>
        <v>Fluorescent - T8 4-foot (32W High Perf) 2-Lamp/NBF</v>
      </c>
      <c r="B161" t="str">
        <f t="shared" si="9"/>
        <v>Fluorescent - T8 4-foot (32W High Perf) 2-Lamp/NBF</v>
      </c>
      <c r="C161" t="s">
        <v>254</v>
      </c>
      <c r="D161" t="s">
        <v>1733</v>
      </c>
      <c r="E161" t="s">
        <v>1738</v>
      </c>
      <c r="F161">
        <v>55</v>
      </c>
      <c r="G161" t="str">
        <f t="shared" si="13"/>
        <v>Fluorescent - T8 4-foot (32W High Perf)</v>
      </c>
    </row>
    <row r="162" spans="1:7">
      <c r="A162" t="str">
        <f t="shared" si="10"/>
        <v>Fluorescent - T8 4-foot (32W High Perf) 2-Lamp/HBF</v>
      </c>
      <c r="B162" t="str">
        <f t="shared" si="9"/>
        <v>Fluorescent - T8 4-foot (32W High Perf) 2-Lamp/HBF</v>
      </c>
      <c r="C162" t="s">
        <v>254</v>
      </c>
      <c r="D162" t="s">
        <v>1733</v>
      </c>
      <c r="E162" t="s">
        <v>1739</v>
      </c>
      <c r="F162">
        <v>73</v>
      </c>
      <c r="G162" t="str">
        <f t="shared" si="13"/>
        <v>Fluorescent - T8 4-foot (32W High Perf)</v>
      </c>
    </row>
    <row r="164" spans="1:7">
      <c r="A164" t="str">
        <f t="shared" si="10"/>
        <v>Fluorescent - T8 4-foot (32W High Perf) 3-Lamp/LBF</v>
      </c>
      <c r="B164" t="str">
        <f t="shared" si="9"/>
        <v>Fluorescent - T8 4-foot (32W High Perf) 3-Lamp/LBF</v>
      </c>
      <c r="C164" t="s">
        <v>254</v>
      </c>
      <c r="D164" t="s">
        <v>1733</v>
      </c>
      <c r="E164" t="s">
        <v>1740</v>
      </c>
      <c r="F164">
        <v>72</v>
      </c>
      <c r="G164" t="str">
        <f t="shared" si="13"/>
        <v>Fluorescent - T8 4-foot (32W High Perf)</v>
      </c>
    </row>
    <row r="165" spans="1:7">
      <c r="A165" t="str">
        <f t="shared" si="10"/>
        <v>Fluorescent - T8 4-foot (32W High Perf) 3-Lamp/NBF</v>
      </c>
      <c r="B165" t="str">
        <f t="shared" si="9"/>
        <v>Fluorescent - T8 4-foot (32W High Perf) 3-Lamp/NBF</v>
      </c>
      <c r="C165" t="s">
        <v>254</v>
      </c>
      <c r="D165" t="s">
        <v>1733</v>
      </c>
      <c r="E165" t="s">
        <v>1741</v>
      </c>
      <c r="F165">
        <v>83</v>
      </c>
      <c r="G165" t="str">
        <f t="shared" si="13"/>
        <v>Fluorescent - T8 4-foot (32W High Perf)</v>
      </c>
    </row>
    <row r="166" spans="1:7">
      <c r="A166" t="str">
        <f t="shared" si="10"/>
        <v>Fluorescent - T8 4-foot (32W High Perf) 3-Lamp/HBF</v>
      </c>
      <c r="B166" t="str">
        <f t="shared" si="9"/>
        <v>Fluorescent - T8 4-foot (32W High Perf) 3-Lamp/HBF</v>
      </c>
      <c r="C166" t="s">
        <v>254</v>
      </c>
      <c r="D166" t="s">
        <v>1733</v>
      </c>
      <c r="E166" t="s">
        <v>1742</v>
      </c>
      <c r="F166">
        <v>109</v>
      </c>
      <c r="G166" t="str">
        <f t="shared" si="13"/>
        <v>Fluorescent - T8 4-foot (32W High Perf)</v>
      </c>
    </row>
    <row r="168" spans="1:7">
      <c r="A168" t="str">
        <f t="shared" si="10"/>
        <v>Fluorescent - T8 4-foot (32W High Perf) 4-Lamp/LBF</v>
      </c>
      <c r="B168" t="str">
        <f t="shared" si="9"/>
        <v>Fluorescent - T8 4-foot (32W High Perf) 4-Lamp/LBF</v>
      </c>
      <c r="C168" t="s">
        <v>254</v>
      </c>
      <c r="D168" t="s">
        <v>1733</v>
      </c>
      <c r="E168" t="s">
        <v>1743</v>
      </c>
      <c r="F168">
        <v>96</v>
      </c>
      <c r="G168" t="str">
        <f t="shared" si="13"/>
        <v>Fluorescent - T8 4-foot (32W High Perf)</v>
      </c>
    </row>
    <row r="169" spans="1:7">
      <c r="A169" t="str">
        <f t="shared" si="10"/>
        <v>Fluorescent - T8 4-foot (32W High Perf) 4-Lamp/NBF</v>
      </c>
      <c r="B169" t="str">
        <f t="shared" si="9"/>
        <v>Fluorescent - T8 4-foot (32W High Perf) 4-Lamp/NBF</v>
      </c>
      <c r="C169" t="s">
        <v>254</v>
      </c>
      <c r="D169" t="s">
        <v>1733</v>
      </c>
      <c r="E169" t="s">
        <v>1744</v>
      </c>
      <c r="F169">
        <v>110</v>
      </c>
      <c r="G169" t="str">
        <f t="shared" si="13"/>
        <v>Fluorescent - T8 4-foot (32W High Perf)</v>
      </c>
    </row>
    <row r="170" spans="1:7">
      <c r="A170" t="str">
        <f t="shared" si="10"/>
        <v>Fluorescent - T8 4-foot (32W High Perf) 4-Lamp/HBF</v>
      </c>
      <c r="B170" t="str">
        <f t="shared" si="9"/>
        <v>Fluorescent - T8 4-foot (32W High Perf) 4-Lamp/HBF</v>
      </c>
      <c r="C170" t="s">
        <v>254</v>
      </c>
      <c r="D170" t="s">
        <v>1733</v>
      </c>
      <c r="E170" t="s">
        <v>1745</v>
      </c>
      <c r="F170">
        <v>146</v>
      </c>
      <c r="G170" t="str">
        <f t="shared" si="13"/>
        <v>Fluorescent - T8 4-foot (32W High Perf)</v>
      </c>
    </row>
    <row r="172" spans="1:7">
      <c r="A172" t="str">
        <f t="shared" si="10"/>
        <v>Fluorescent - T8 4-foot (32W High Perf) 6-Lamp/LBF</v>
      </c>
      <c r="B172" t="str">
        <f t="shared" si="9"/>
        <v>Fluorescent - T8 4-foot (32W High Perf) 6-Lamp/LBF</v>
      </c>
      <c r="C172" t="s">
        <v>254</v>
      </c>
      <c r="D172" t="s">
        <v>1733</v>
      </c>
      <c r="E172" t="s">
        <v>1746</v>
      </c>
      <c r="F172">
        <v>144</v>
      </c>
      <c r="G172" t="str">
        <f t="shared" si="13"/>
        <v>Fluorescent - T8 4-foot (32W High Perf)</v>
      </c>
    </row>
    <row r="173" spans="1:7">
      <c r="A173" t="str">
        <f t="shared" si="10"/>
        <v>Fluorescent - T8 4-foot (32W High Perf) 6-Lamp/NBF</v>
      </c>
      <c r="B173" t="str">
        <f t="shared" si="9"/>
        <v>Fluorescent - T8 4-foot (32W High Perf) 6-Lamp/NBF</v>
      </c>
      <c r="C173" t="s">
        <v>254</v>
      </c>
      <c r="D173" t="s">
        <v>1733</v>
      </c>
      <c r="E173" t="s">
        <v>1747</v>
      </c>
      <c r="F173">
        <v>165</v>
      </c>
      <c r="G173" t="str">
        <f t="shared" si="13"/>
        <v>Fluorescent - T8 4-foot (32W High Perf)</v>
      </c>
    </row>
    <row r="174" spans="1:7">
      <c r="A174" t="str">
        <f t="shared" si="10"/>
        <v>Fluorescent - T8 4-foot (32W High Perf) 6-Lamp/HBF</v>
      </c>
      <c r="B174" t="str">
        <f t="shared" si="9"/>
        <v>Fluorescent - T8 4-foot (32W High Perf) 6-Lamp/HBF</v>
      </c>
      <c r="C174" t="s">
        <v>254</v>
      </c>
      <c r="D174" t="s">
        <v>1733</v>
      </c>
      <c r="E174" t="s">
        <v>1748</v>
      </c>
      <c r="F174">
        <v>219</v>
      </c>
      <c r="G174" t="str">
        <f t="shared" si="13"/>
        <v>Fluorescent - T8 4-foot (32W High Perf)</v>
      </c>
    </row>
    <row r="176" spans="1:7">
      <c r="E176" t="s">
        <v>1749</v>
      </c>
    </row>
    <row r="177" spans="1:7">
      <c r="A177" t="str">
        <f t="shared" si="10"/>
        <v>Fluorescent - T8 (4-foot 28W) 1-Lamp/LBF</v>
      </c>
      <c r="B177" t="str">
        <f t="shared" si="9"/>
        <v>Fluorescent - T8 (4-foot 28W) 1-Lamp/LBF</v>
      </c>
      <c r="C177" t="s">
        <v>254</v>
      </c>
      <c r="D177" t="s">
        <v>1750</v>
      </c>
      <c r="E177" t="s">
        <v>1734</v>
      </c>
      <c r="F177">
        <v>22</v>
      </c>
      <c r="G177" t="str">
        <f t="shared" si="13"/>
        <v>Fluorescent - T8 (4-foot 28W)</v>
      </c>
    </row>
    <row r="178" spans="1:7">
      <c r="A178" t="str">
        <f t="shared" si="10"/>
        <v>Fluorescent - T8 (4-foot 28W) 1-Lamp/NBF</v>
      </c>
      <c r="B178" t="str">
        <f t="shared" si="9"/>
        <v>Fluorescent - T8 (4-foot 28W) 1-Lamp/NBF</v>
      </c>
      <c r="C178" t="s">
        <v>254</v>
      </c>
      <c r="D178" t="s">
        <v>1750</v>
      </c>
      <c r="E178" t="s">
        <v>1735</v>
      </c>
      <c r="F178">
        <v>25</v>
      </c>
      <c r="G178" t="str">
        <f t="shared" si="13"/>
        <v>Fluorescent - T8 (4-foot 28W)</v>
      </c>
    </row>
    <row r="179" spans="1:7">
      <c r="A179" t="str">
        <f t="shared" si="10"/>
        <v>Fluorescent - T8 (4-foot 28W) 1-Lamp/HBF</v>
      </c>
      <c r="B179" t="str">
        <f t="shared" ref="B179:B247" si="14">CONCATENATE(C179," - ",D179," ",E179)</f>
        <v>Fluorescent - T8 (4-foot 28W) 1-Lamp/HBF</v>
      </c>
      <c r="C179" t="s">
        <v>254</v>
      </c>
      <c r="D179" t="s">
        <v>1750</v>
      </c>
      <c r="E179" t="s">
        <v>1736</v>
      </c>
      <c r="F179">
        <v>33</v>
      </c>
      <c r="G179" t="str">
        <f t="shared" si="13"/>
        <v>Fluorescent - T8 (4-foot 28W)</v>
      </c>
    </row>
    <row r="181" spans="1:7">
      <c r="A181" t="str">
        <f t="shared" si="10"/>
        <v>Fluorescent - T8 (4-foot 28W) 2-Lamp/LBF</v>
      </c>
      <c r="B181" t="str">
        <f t="shared" si="14"/>
        <v>Fluorescent - T8 (4-foot 28W) 2-Lamp/LBF</v>
      </c>
      <c r="C181" t="s">
        <v>254</v>
      </c>
      <c r="D181" t="s">
        <v>1750</v>
      </c>
      <c r="E181" t="s">
        <v>1737</v>
      </c>
      <c r="F181">
        <v>42</v>
      </c>
      <c r="G181" t="str">
        <f t="shared" si="13"/>
        <v>Fluorescent - T8 (4-foot 28W)</v>
      </c>
    </row>
    <row r="182" spans="1:7">
      <c r="A182" t="str">
        <f t="shared" si="10"/>
        <v>Fluorescent - T8 (4-foot 28W) 2-Lamp/NBF</v>
      </c>
      <c r="B182" t="str">
        <f t="shared" si="14"/>
        <v>Fluorescent - T8 (4-foot 28W) 2-Lamp/NBF</v>
      </c>
      <c r="C182" t="s">
        <v>254</v>
      </c>
      <c r="D182" t="s">
        <v>1750</v>
      </c>
      <c r="E182" t="s">
        <v>1738</v>
      </c>
      <c r="F182">
        <v>48</v>
      </c>
      <c r="G182" t="str">
        <f t="shared" si="13"/>
        <v>Fluorescent - T8 (4-foot 28W)</v>
      </c>
    </row>
    <row r="183" spans="1:7">
      <c r="A183" t="str">
        <f t="shared" si="10"/>
        <v>Fluorescent - T8 (4-foot 28W) 2-Lamp/HBF</v>
      </c>
      <c r="B183" t="str">
        <f t="shared" si="14"/>
        <v>Fluorescent - T8 (4-foot 28W) 2-Lamp/HBF</v>
      </c>
      <c r="C183" t="s">
        <v>254</v>
      </c>
      <c r="D183" t="s">
        <v>1750</v>
      </c>
      <c r="E183" t="s">
        <v>1739</v>
      </c>
      <c r="F183">
        <v>65</v>
      </c>
      <c r="G183" t="str">
        <f t="shared" si="13"/>
        <v>Fluorescent - T8 (4-foot 28W)</v>
      </c>
    </row>
    <row r="185" spans="1:7">
      <c r="A185" t="str">
        <f t="shared" si="10"/>
        <v>Fluorescent - T8 (4-foot 28W) 3-Lamp/LBF</v>
      </c>
      <c r="B185" t="str">
        <f t="shared" si="14"/>
        <v>Fluorescent - T8 (4-foot 28W) 3-Lamp/LBF</v>
      </c>
      <c r="C185" t="s">
        <v>254</v>
      </c>
      <c r="D185" t="s">
        <v>1750</v>
      </c>
      <c r="E185" t="s">
        <v>1740</v>
      </c>
      <c r="F185">
        <v>64</v>
      </c>
      <c r="G185" t="str">
        <f t="shared" si="13"/>
        <v>Fluorescent - T8 (4-foot 28W)</v>
      </c>
    </row>
    <row r="186" spans="1:7">
      <c r="A186" t="str">
        <f t="shared" si="10"/>
        <v>Fluorescent - T8 (4-foot 28W) 3-Lamp/NBF</v>
      </c>
      <c r="B186" t="str">
        <f t="shared" si="14"/>
        <v>Fluorescent - T8 (4-foot 28W) 3-Lamp/NBF</v>
      </c>
      <c r="C186" t="s">
        <v>254</v>
      </c>
      <c r="D186" t="s">
        <v>1750</v>
      </c>
      <c r="E186" t="s">
        <v>1741</v>
      </c>
      <c r="F186">
        <v>72</v>
      </c>
      <c r="G186" t="str">
        <f t="shared" si="13"/>
        <v>Fluorescent - T8 (4-foot 28W)</v>
      </c>
    </row>
    <row r="187" spans="1:7">
      <c r="A187" t="str">
        <f t="shared" si="10"/>
        <v>Fluorescent - T8 (4-foot 28W) 3-Lamp/HBF</v>
      </c>
      <c r="B187" t="str">
        <f t="shared" si="14"/>
        <v>Fluorescent - T8 (4-foot 28W) 3-Lamp/HBF</v>
      </c>
      <c r="C187" t="s">
        <v>254</v>
      </c>
      <c r="D187" t="s">
        <v>1750</v>
      </c>
      <c r="E187" t="s">
        <v>1742</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254</v>
      </c>
      <c r="D189" t="s">
        <v>1750</v>
      </c>
      <c r="E189" t="s">
        <v>1743</v>
      </c>
      <c r="F189">
        <v>84</v>
      </c>
      <c r="G189" t="str">
        <f t="shared" si="13"/>
        <v>Fluorescent - T8 (4-foot 28W)</v>
      </c>
    </row>
    <row r="190" spans="1:7">
      <c r="A190" t="str">
        <f t="shared" si="15"/>
        <v>Fluorescent - T8 (4-foot 28W) 4-Lamp/NBF</v>
      </c>
      <c r="B190" t="str">
        <f t="shared" si="14"/>
        <v>Fluorescent - T8 (4-foot 28W) 4-Lamp/NBF</v>
      </c>
      <c r="C190" t="s">
        <v>254</v>
      </c>
      <c r="D190" t="s">
        <v>1750</v>
      </c>
      <c r="E190" t="s">
        <v>1744</v>
      </c>
      <c r="F190">
        <v>96</v>
      </c>
      <c r="G190" t="str">
        <f t="shared" si="13"/>
        <v>Fluorescent - T8 (4-foot 28W)</v>
      </c>
    </row>
    <row r="191" spans="1:7">
      <c r="A191" t="str">
        <f t="shared" si="15"/>
        <v>Fluorescent - T8 (4-foot 28W) 4-Lamp/HBF</v>
      </c>
      <c r="B191" t="str">
        <f t="shared" si="14"/>
        <v>Fluorescent - T8 (4-foot 28W) 4-Lamp/HBF</v>
      </c>
      <c r="C191" t="s">
        <v>254</v>
      </c>
      <c r="D191" t="s">
        <v>1750</v>
      </c>
      <c r="E191" t="s">
        <v>1745</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254</v>
      </c>
      <c r="D193" t="s">
        <v>1750</v>
      </c>
      <c r="E193" t="s">
        <v>1746</v>
      </c>
      <c r="F193">
        <v>128</v>
      </c>
      <c r="G193" t="str">
        <f t="shared" si="13"/>
        <v>Fluorescent - T8 (4-foot 28W)</v>
      </c>
    </row>
    <row r="194" spans="1:7">
      <c r="A194" t="str">
        <f t="shared" si="15"/>
        <v>Fluorescent - T8 (4-foot 28W) 6-Lamp/NBF</v>
      </c>
      <c r="B194" t="str">
        <f t="shared" si="14"/>
        <v>Fluorescent - T8 (4-foot 28W) 6-Lamp/NBF</v>
      </c>
      <c r="C194" t="s">
        <v>254</v>
      </c>
      <c r="D194" t="s">
        <v>1750</v>
      </c>
      <c r="E194" t="s">
        <v>1747</v>
      </c>
      <c r="F194">
        <v>144</v>
      </c>
      <c r="G194" t="str">
        <f t="shared" si="13"/>
        <v>Fluorescent - T8 (4-foot 28W)</v>
      </c>
    </row>
    <row r="195" spans="1:7">
      <c r="A195" t="str">
        <f t="shared" si="15"/>
        <v>Fluorescent - T8 (4-foot 28W) 6-Lamp/HBF</v>
      </c>
      <c r="B195" t="str">
        <f t="shared" si="14"/>
        <v>Fluorescent - T8 (4-foot 28W) 6-Lamp/HBF</v>
      </c>
      <c r="C195" t="s">
        <v>254</v>
      </c>
      <c r="D195" t="s">
        <v>1750</v>
      </c>
      <c r="E195" t="s">
        <v>1748</v>
      </c>
      <c r="F195">
        <v>198</v>
      </c>
      <c r="G195" t="str">
        <f t="shared" si="13"/>
        <v>Fluorescent - T8 (4-foot 28W)</v>
      </c>
    </row>
    <row r="197" spans="1:7">
      <c r="E197" t="s">
        <v>1751</v>
      </c>
    </row>
    <row r="198" spans="1:7">
      <c r="A198" t="str">
        <f>CONCATENATE(C198," - ",D198," ",E198)</f>
        <v>Fluorescent - T8 (4-foot 25W) 1-Lamp/LBF</v>
      </c>
      <c r="B198" t="str">
        <f t="shared" si="14"/>
        <v>Fluorescent - T8 (4-foot 25W) 1-Lamp/LBF</v>
      </c>
      <c r="C198" t="s">
        <v>254</v>
      </c>
      <c r="D198" t="s">
        <v>1751</v>
      </c>
      <c r="E198" t="s">
        <v>1734</v>
      </c>
      <c r="F198">
        <v>21</v>
      </c>
      <c r="G198" t="str">
        <f t="shared" si="13"/>
        <v>Fluorescent - T8 (4-foot 25W)</v>
      </c>
    </row>
    <row r="199" spans="1:7">
      <c r="A199" t="str">
        <f>CONCATENATE(C199," - ",D199," ",E199)</f>
        <v>Fluorescent - T8 (4-foot 25W) 1-Lamp/NBF</v>
      </c>
      <c r="B199" t="str">
        <f t="shared" si="14"/>
        <v>Fluorescent - T8 (4-foot 25W) 1-Lamp/NBF</v>
      </c>
      <c r="C199" t="s">
        <v>254</v>
      </c>
      <c r="D199" t="s">
        <v>1751</v>
      </c>
      <c r="E199" t="s">
        <v>1735</v>
      </c>
      <c r="F199">
        <v>23</v>
      </c>
      <c r="G199" t="str">
        <f t="shared" si="13"/>
        <v>Fluorescent - T8 (4-foot 25W)</v>
      </c>
    </row>
    <row r="200" spans="1:7">
      <c r="A200" t="str">
        <f>CONCATENATE(C200," - ",D200," ",E200)</f>
        <v>Fluorescent - T8 (4-foot 25W) 1-Lamp/HBF</v>
      </c>
      <c r="B200" t="str">
        <f t="shared" si="14"/>
        <v>Fluorescent - T8 (4-foot 25W) 1-Lamp/HBF</v>
      </c>
      <c r="C200" t="s">
        <v>254</v>
      </c>
      <c r="D200" t="s">
        <v>1751</v>
      </c>
      <c r="E200" t="s">
        <v>1736</v>
      </c>
      <c r="F200">
        <v>32</v>
      </c>
      <c r="G200" t="str">
        <f t="shared" si="13"/>
        <v>Fluorescent - T8 (4-foot 25W)</v>
      </c>
    </row>
    <row r="202" spans="1:7">
      <c r="A202" t="str">
        <f>CONCATENATE(C202," - ",D202," ",E202)</f>
        <v>Fluorescent - T8 (4-foot 25W) 2-Lamp/LBF</v>
      </c>
      <c r="B202" t="str">
        <f t="shared" si="14"/>
        <v>Fluorescent - T8 (4-foot 25W) 2-Lamp/LBF</v>
      </c>
      <c r="C202" t="s">
        <v>254</v>
      </c>
      <c r="D202" t="s">
        <v>1751</v>
      </c>
      <c r="E202" t="s">
        <v>1737</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254</v>
      </c>
      <c r="D203" t="s">
        <v>1751</v>
      </c>
      <c r="E203" t="s">
        <v>1738</v>
      </c>
      <c r="F203">
        <v>44</v>
      </c>
      <c r="G203" t="str">
        <f t="shared" si="16"/>
        <v>Fluorescent - T8 (4-foot 25W)</v>
      </c>
    </row>
    <row r="204" spans="1:7">
      <c r="A204" t="str">
        <f>CONCATENATE(C204," - ",D204," ",E204)</f>
        <v>Fluorescent - T8 (4-foot 25W) 2-Lamp/HBF</v>
      </c>
      <c r="B204" t="str">
        <f t="shared" si="14"/>
        <v>Fluorescent - T8 (4-foot 25W) 2-Lamp/HBF</v>
      </c>
      <c r="C204" t="s">
        <v>254</v>
      </c>
      <c r="D204" t="s">
        <v>1751</v>
      </c>
      <c r="E204" t="s">
        <v>1739</v>
      </c>
      <c r="F204">
        <v>60</v>
      </c>
      <c r="G204" t="str">
        <f t="shared" si="16"/>
        <v>Fluorescent - T8 (4-foot 25W)</v>
      </c>
    </row>
    <row r="206" spans="1:7">
      <c r="A206" t="str">
        <f>CONCATENATE(C206," - ",D206," ",E206)</f>
        <v>Fluorescent - T8 (4-foot 25W) 3-Lamp/LBF</v>
      </c>
      <c r="B206" t="str">
        <f t="shared" si="14"/>
        <v>Fluorescent - T8 (4-foot 25W) 3-Lamp/LBF</v>
      </c>
      <c r="C206" t="s">
        <v>254</v>
      </c>
      <c r="D206" t="s">
        <v>1751</v>
      </c>
      <c r="E206" t="s">
        <v>1740</v>
      </c>
      <c r="F206">
        <v>58</v>
      </c>
      <c r="G206" t="str">
        <f t="shared" si="16"/>
        <v>Fluorescent - T8 (4-foot 25W)</v>
      </c>
    </row>
    <row r="207" spans="1:7">
      <c r="A207" t="str">
        <f>CONCATENATE(C207," - ",D207," ",E207)</f>
        <v>Fluorescent - T8 (4-foot 25W) 3-Lamp/NBF</v>
      </c>
      <c r="B207" t="str">
        <f t="shared" si="14"/>
        <v>Fluorescent - T8 (4-foot 25W) 3-Lamp/NBF</v>
      </c>
      <c r="C207" t="s">
        <v>254</v>
      </c>
      <c r="D207" t="s">
        <v>1751</v>
      </c>
      <c r="E207" t="s">
        <v>1741</v>
      </c>
      <c r="F207">
        <v>65</v>
      </c>
      <c r="G207" t="str">
        <f t="shared" si="16"/>
        <v>Fluorescent - T8 (4-foot 25W)</v>
      </c>
    </row>
    <row r="208" spans="1:7">
      <c r="A208" t="str">
        <f>CONCATENATE(C208," - ",D208," ",E208)</f>
        <v>Fluorescent - T8 (4-foot 25W) 3-Lamp/HBF</v>
      </c>
      <c r="B208" t="str">
        <f t="shared" si="14"/>
        <v>Fluorescent - T8 (4-foot 25W) 3-Lamp/HBF</v>
      </c>
      <c r="C208" t="s">
        <v>254</v>
      </c>
      <c r="D208" t="s">
        <v>1751</v>
      </c>
      <c r="E208" t="s">
        <v>1742</v>
      </c>
      <c r="F208">
        <v>95</v>
      </c>
      <c r="G208" t="str">
        <f t="shared" si="16"/>
        <v>Fluorescent - T8 (4-foot 25W)</v>
      </c>
    </row>
    <row r="210" spans="1:7">
      <c r="A210" t="str">
        <f>CONCATENATE(C210," - ",D210," ",E210)</f>
        <v>Fluorescent - T8 (4-foot 25W) 4-Lamp/LBF</v>
      </c>
      <c r="B210" t="str">
        <f t="shared" si="14"/>
        <v>Fluorescent - T8 (4-foot 25W) 4-Lamp/LBF</v>
      </c>
      <c r="C210" t="s">
        <v>254</v>
      </c>
      <c r="D210" t="s">
        <v>1751</v>
      </c>
      <c r="E210" t="s">
        <v>1743</v>
      </c>
      <c r="F210">
        <v>77</v>
      </c>
      <c r="G210" t="str">
        <f t="shared" si="16"/>
        <v>Fluorescent - T8 (4-foot 25W)</v>
      </c>
    </row>
    <row r="211" spans="1:7">
      <c r="A211" t="str">
        <f>CONCATENATE(C211," - ",D211," ",E211)</f>
        <v>Fluorescent - T8 (4-foot 25W) 4-Lamp/NBF</v>
      </c>
      <c r="B211" t="str">
        <f t="shared" si="14"/>
        <v>Fluorescent - T8 (4-foot 25W) 4-Lamp/NBF</v>
      </c>
      <c r="C211" t="s">
        <v>254</v>
      </c>
      <c r="D211" t="s">
        <v>1751</v>
      </c>
      <c r="E211" t="s">
        <v>1744</v>
      </c>
      <c r="F211">
        <v>87</v>
      </c>
      <c r="G211" t="str">
        <f t="shared" si="16"/>
        <v>Fluorescent - T8 (4-foot 25W)</v>
      </c>
    </row>
    <row r="212" spans="1:7">
      <c r="A212" t="str">
        <f>CONCATENATE(C212," - ",D212," ",E212)</f>
        <v>Fluorescent - T8 (4-foot 25W) 4-Lamp/HBF</v>
      </c>
      <c r="B212" t="str">
        <f t="shared" si="14"/>
        <v>Fluorescent - T8 (4-foot 25W) 4-Lamp/HBF</v>
      </c>
      <c r="C212" t="s">
        <v>254</v>
      </c>
      <c r="D212" t="s">
        <v>1751</v>
      </c>
      <c r="E212" t="s">
        <v>1745</v>
      </c>
      <c r="F212">
        <v>124</v>
      </c>
      <c r="G212" t="str">
        <f t="shared" si="16"/>
        <v>Fluorescent - T8 (4-foot 25W)</v>
      </c>
    </row>
    <row r="214" spans="1:7">
      <c r="A214" t="str">
        <f>CONCATENATE(C214," - ",D214," ",E214)</f>
        <v>Fluorescent - T8 (4-foot 25W) 6-Lamp/LBF</v>
      </c>
      <c r="B214" t="str">
        <f t="shared" si="14"/>
        <v>Fluorescent - T8 (4-foot 25W) 6-Lamp/LBF</v>
      </c>
      <c r="C214" t="s">
        <v>254</v>
      </c>
      <c r="D214" t="s">
        <v>1751</v>
      </c>
      <c r="E214" t="s">
        <v>1746</v>
      </c>
      <c r="F214">
        <v>116</v>
      </c>
      <c r="G214" t="str">
        <f t="shared" si="16"/>
        <v>Fluorescent - T8 (4-foot 25W)</v>
      </c>
    </row>
    <row r="215" spans="1:7">
      <c r="A215" t="str">
        <f>CONCATENATE(C215," - ",D215," ",E215)</f>
        <v>Fluorescent - T8 (4-foot 25W) 6-Lamp/NBF</v>
      </c>
      <c r="B215" t="str">
        <f t="shared" si="14"/>
        <v>Fluorescent - T8 (4-foot 25W) 6-Lamp/NBF</v>
      </c>
      <c r="C215" t="s">
        <v>254</v>
      </c>
      <c r="D215" t="s">
        <v>1751</v>
      </c>
      <c r="E215" t="s">
        <v>1747</v>
      </c>
      <c r="F215">
        <v>130</v>
      </c>
      <c r="G215" t="str">
        <f t="shared" si="16"/>
        <v>Fluorescent - T8 (4-foot 25W)</v>
      </c>
    </row>
    <row r="216" spans="1:7">
      <c r="A216" t="str">
        <f>CONCATENATE(C216," - ",D216," ",E216)</f>
        <v>Fluorescent - T8 (4-foot 25W) 6-Lamp/HBF</v>
      </c>
      <c r="B216" t="str">
        <f t="shared" si="14"/>
        <v>Fluorescent - T8 (4-foot 25W) 6-Lamp/HBF</v>
      </c>
      <c r="C216" t="s">
        <v>254</v>
      </c>
      <c r="D216" t="s">
        <v>1751</v>
      </c>
      <c r="E216" t="s">
        <v>1748</v>
      </c>
      <c r="F216">
        <v>190</v>
      </c>
      <c r="G216" t="str">
        <f>CONCATENATE(C216," - ",D216)</f>
        <v>Fluorescent - T8 (4-foot 25W)</v>
      </c>
    </row>
    <row r="218" spans="1:7">
      <c r="A218" s="1" t="s">
        <v>1752</v>
      </c>
      <c r="B218" s="1"/>
      <c r="C218" s="1"/>
      <c r="D218" s="1"/>
      <c r="E218" s="1"/>
      <c r="F218" s="1"/>
    </row>
    <row r="219" spans="1:7">
      <c r="A219" t="str">
        <f t="shared" ref="A219:A229" si="17">CONCATENATE(C219," - ",D219," ",E219)</f>
        <v>Fluorescent - T5 2-foot 1-Lamp</v>
      </c>
      <c r="B219" t="str">
        <f t="shared" si="14"/>
        <v>Fluorescent - T5 2-foot 1-Lamp</v>
      </c>
      <c r="C219" t="s">
        <v>254</v>
      </c>
      <c r="D219" t="s">
        <v>1752</v>
      </c>
      <c r="E219" t="s">
        <v>1701</v>
      </c>
      <c r="F219">
        <v>19</v>
      </c>
      <c r="G219" t="str">
        <f t="shared" ref="G219:G228" si="18">CONCATENATE(C219," - ",D219)</f>
        <v>Fluorescent - T5</v>
      </c>
    </row>
    <row r="220" spans="1:7">
      <c r="A220" t="str">
        <f t="shared" si="17"/>
        <v>Fluorescent - T5 2-foot 2-Lamp</v>
      </c>
      <c r="B220" t="str">
        <f t="shared" si="14"/>
        <v>Fluorescent - T5 2-foot 2-Lamp</v>
      </c>
      <c r="C220" t="s">
        <v>254</v>
      </c>
      <c r="D220" t="s">
        <v>1752</v>
      </c>
      <c r="E220" t="s">
        <v>1702</v>
      </c>
      <c r="F220">
        <v>34</v>
      </c>
      <c r="G220" t="str">
        <f t="shared" si="18"/>
        <v>Fluorescent - T5</v>
      </c>
    </row>
    <row r="221" spans="1:7">
      <c r="A221" t="str">
        <f t="shared" si="17"/>
        <v>Fluorescent - T5 3-foot 1-Lamp</v>
      </c>
      <c r="B221" t="str">
        <f t="shared" si="14"/>
        <v>Fluorescent - T5 3-foot 1-Lamp</v>
      </c>
      <c r="C221" t="s">
        <v>254</v>
      </c>
      <c r="D221" t="s">
        <v>1752</v>
      </c>
      <c r="E221" t="s">
        <v>1697</v>
      </c>
      <c r="F221">
        <v>26</v>
      </c>
      <c r="G221" t="str">
        <f t="shared" si="18"/>
        <v>Fluorescent - T5</v>
      </c>
    </row>
    <row r="222" spans="1:7">
      <c r="A222" t="str">
        <f t="shared" si="17"/>
        <v>Fluorescent - T5 3-foot 2-Lamp</v>
      </c>
      <c r="B222" t="str">
        <f t="shared" si="14"/>
        <v>Fluorescent - T5 3-foot 2-Lamp</v>
      </c>
      <c r="C222" t="s">
        <v>254</v>
      </c>
      <c r="D222" t="s">
        <v>1752</v>
      </c>
      <c r="E222" t="s">
        <v>1698</v>
      </c>
      <c r="F222">
        <v>48</v>
      </c>
      <c r="G222" t="str">
        <f t="shared" si="18"/>
        <v>Fluorescent - T5</v>
      </c>
    </row>
    <row r="223" spans="1:7">
      <c r="A223" t="str">
        <f t="shared" si="17"/>
        <v>Fluorescent - T5 4-foot 25W 1-Lamp</v>
      </c>
      <c r="B223" t="str">
        <f t="shared" si="14"/>
        <v>Fluorescent - T5 4-foot 25W 1-Lamp</v>
      </c>
      <c r="C223" t="s">
        <v>254</v>
      </c>
      <c r="D223" t="s">
        <v>1752</v>
      </c>
      <c r="E223" t="s">
        <v>1753</v>
      </c>
      <c r="F223">
        <v>30</v>
      </c>
      <c r="G223" t="str">
        <f t="shared" si="18"/>
        <v>Fluorescent - T5</v>
      </c>
    </row>
    <row r="224" spans="1:7">
      <c r="A224" t="str">
        <f t="shared" ref="A224:A226" si="19">CONCATENATE(C224," - ",D224," ",E224)</f>
        <v>Fluorescent - T5 4-foot 25W 2-Lamp</v>
      </c>
      <c r="B224" t="str">
        <f t="shared" ref="B224:B226" si="20">CONCATENATE(C224," - ",D224," ",E224)</f>
        <v>Fluorescent - T5 4-foot 25W 2-Lamp</v>
      </c>
      <c r="C224" t="s">
        <v>254</v>
      </c>
      <c r="D224" t="s">
        <v>1752</v>
      </c>
      <c r="E224" t="s">
        <v>1754</v>
      </c>
      <c r="F224">
        <v>33</v>
      </c>
      <c r="G224" t="str">
        <f t="shared" ref="G224:G225" si="21">CONCATENATE(C224," - ",D224)</f>
        <v>Fluorescent - T5</v>
      </c>
    </row>
    <row r="225" spans="1:11">
      <c r="A225" t="str">
        <f t="shared" si="19"/>
        <v>Fluorescent - T5 4-foot 28W 1-Lamp</v>
      </c>
      <c r="B225" t="str">
        <f t="shared" si="20"/>
        <v>Fluorescent - T5 4-foot 28W 1-Lamp</v>
      </c>
      <c r="C225" t="s">
        <v>254</v>
      </c>
      <c r="D225" t="s">
        <v>1752</v>
      </c>
      <c r="E225" t="s">
        <v>1755</v>
      </c>
      <c r="F225">
        <v>58</v>
      </c>
      <c r="G225" t="str">
        <f t="shared" si="21"/>
        <v>Fluorescent - T5</v>
      </c>
    </row>
    <row r="226" spans="1:11">
      <c r="A226" t="str">
        <f t="shared" si="19"/>
        <v>Fluorescent - T5 4-foot 28W 2-Lamp</v>
      </c>
      <c r="B226" t="str">
        <f t="shared" si="20"/>
        <v>Fluorescent - T5 4-foot 28W 2-Lamp</v>
      </c>
      <c r="C226" t="s">
        <v>254</v>
      </c>
      <c r="D226" t="s">
        <v>1752</v>
      </c>
      <c r="E226" t="s">
        <v>1756</v>
      </c>
      <c r="F226">
        <v>64</v>
      </c>
      <c r="G226" t="str">
        <f>CONCATENATE(C226," - ",D226)</f>
        <v>Fluorescent - T5</v>
      </c>
    </row>
    <row r="227" spans="1:11">
      <c r="A227" t="str">
        <f t="shared" si="17"/>
        <v>Fluorescent - T5 40W PLL Twin Tube 1-Lamp</v>
      </c>
      <c r="B227" t="str">
        <f t="shared" si="14"/>
        <v>Fluorescent - T5 40W PLL Twin Tube 1-Lamp</v>
      </c>
      <c r="C227" t="s">
        <v>254</v>
      </c>
      <c r="D227" t="s">
        <v>1752</v>
      </c>
      <c r="E227" t="s">
        <v>1757</v>
      </c>
      <c r="F227">
        <v>41</v>
      </c>
      <c r="G227" t="str">
        <f t="shared" si="18"/>
        <v>Fluorescent - T5</v>
      </c>
      <c r="K227" s="542" t="s">
        <v>1758</v>
      </c>
    </row>
    <row r="228" spans="1:11">
      <c r="A228" t="str">
        <f t="shared" si="17"/>
        <v>Fluorescent - T5 40W PLL Twin Tube 2-Lamp</v>
      </c>
      <c r="B228" t="str">
        <f t="shared" si="14"/>
        <v>Fluorescent - T5 40W PLL Twin Tube 2-Lamp</v>
      </c>
      <c r="C228" t="s">
        <v>254</v>
      </c>
      <c r="D228" t="s">
        <v>1752</v>
      </c>
      <c r="E228" t="s">
        <v>1759</v>
      </c>
      <c r="F228">
        <v>68</v>
      </c>
      <c r="G228" t="str">
        <f t="shared" si="18"/>
        <v>Fluorescent - T5</v>
      </c>
      <c r="K228" s="542" t="s">
        <v>1758</v>
      </c>
    </row>
    <row r="229" spans="1:11">
      <c r="A229" t="str">
        <f t="shared" si="17"/>
        <v>Fluorescent - T5 40W PLL Twin Tube 3-Lamp</v>
      </c>
      <c r="B229" t="str">
        <f t="shared" si="14"/>
        <v>Fluorescent - T5 40W PLL Twin Tube 3-Lamp</v>
      </c>
      <c r="C229" t="s">
        <v>254</v>
      </c>
      <c r="D229" t="s">
        <v>1752</v>
      </c>
      <c r="E229" t="s">
        <v>1760</v>
      </c>
      <c r="F229">
        <v>99</v>
      </c>
      <c r="G229" t="str">
        <f>CONCATENATE(C229," - ",D229)</f>
        <v>Fluorescent - T5</v>
      </c>
      <c r="K229" s="542" t="s">
        <v>1761</v>
      </c>
    </row>
    <row r="231" spans="1:11">
      <c r="A231" s="1" t="s">
        <v>1762</v>
      </c>
      <c r="B231" s="1"/>
      <c r="C231" s="1"/>
      <c r="D231" s="1"/>
      <c r="E231" s="1"/>
      <c r="F231" s="1"/>
    </row>
    <row r="232" spans="1:11">
      <c r="A232" t="str">
        <f t="shared" ref="A232:A247" si="22">CONCATENATE(C232," - ",D232," ",E232)</f>
        <v>Fluorescent - T5HO 4-foot 54W 1-Lamp</v>
      </c>
      <c r="B232" t="str">
        <f t="shared" ref="B232:B239" si="23">CONCATENATE(C232," - ",D232," ",E232)</f>
        <v>Fluorescent - T5HO 4-foot 54W 1-Lamp</v>
      </c>
      <c r="C232" t="s">
        <v>254</v>
      </c>
      <c r="D232" t="s">
        <v>1762</v>
      </c>
      <c r="E232" t="s">
        <v>1763</v>
      </c>
      <c r="F232">
        <v>60</v>
      </c>
      <c r="G232" t="str">
        <f t="shared" ref="G232:G246" si="24">CONCATENATE(C232," - ",D232)</f>
        <v>Fluorescent - T5HO</v>
      </c>
    </row>
    <row r="233" spans="1:11">
      <c r="A233" t="str">
        <f t="shared" si="22"/>
        <v>Fluorescent - T5HO 4-foot 54W 2-Lamp</v>
      </c>
      <c r="B233" t="str">
        <f t="shared" si="23"/>
        <v>Fluorescent - T5HO 4-foot 54W 2-Lamp</v>
      </c>
      <c r="C233" t="s">
        <v>254</v>
      </c>
      <c r="D233" t="s">
        <v>1762</v>
      </c>
      <c r="E233" t="s">
        <v>1764</v>
      </c>
      <c r="F233">
        <v>117</v>
      </c>
      <c r="G233" t="str">
        <f t="shared" si="24"/>
        <v>Fluorescent - T5HO</v>
      </c>
    </row>
    <row r="234" spans="1:11">
      <c r="A234" t="str">
        <f t="shared" si="22"/>
        <v>Fluorescent - T5HO 4-foot 54W 3-Lamp</v>
      </c>
      <c r="B234" t="str">
        <f t="shared" si="23"/>
        <v>Fluorescent - T5HO 4-foot 54W 3-Lamp</v>
      </c>
      <c r="C234" t="s">
        <v>254</v>
      </c>
      <c r="D234" t="s">
        <v>1762</v>
      </c>
      <c r="E234" t="s">
        <v>1765</v>
      </c>
      <c r="F234">
        <v>176</v>
      </c>
      <c r="G234" t="str">
        <f t="shared" si="24"/>
        <v>Fluorescent - T5HO</v>
      </c>
    </row>
    <row r="235" spans="1:11">
      <c r="A235" t="str">
        <f t="shared" si="22"/>
        <v>Fluorescent - T5HO 4-foot 54W 4-Lamp</v>
      </c>
      <c r="B235" t="str">
        <f t="shared" si="23"/>
        <v>Fluorescent - T5HO 4-foot 54W 4-Lamp</v>
      </c>
      <c r="C235" t="s">
        <v>254</v>
      </c>
      <c r="D235" t="s">
        <v>1762</v>
      </c>
      <c r="E235" t="s">
        <v>1766</v>
      </c>
      <c r="F235">
        <v>235</v>
      </c>
      <c r="G235" t="str">
        <f t="shared" si="24"/>
        <v>Fluorescent - T5HO</v>
      </c>
    </row>
    <row r="236" spans="1:11">
      <c r="A236" t="str">
        <f t="shared" si="22"/>
        <v>Fluorescent - T5HO 4-foot 54W 5-Lamp</v>
      </c>
      <c r="B236" t="str">
        <f t="shared" si="23"/>
        <v>Fluorescent - T5HO 4-foot 54W 5-Lamp</v>
      </c>
      <c r="C236" t="s">
        <v>254</v>
      </c>
      <c r="D236" t="s">
        <v>1762</v>
      </c>
      <c r="E236" t="s">
        <v>1767</v>
      </c>
      <c r="F236">
        <v>293</v>
      </c>
      <c r="G236" t="str">
        <f t="shared" si="24"/>
        <v>Fluorescent - T5HO</v>
      </c>
    </row>
    <row r="237" spans="1:11">
      <c r="A237" t="str">
        <f t="shared" si="22"/>
        <v>Fluorescent - T5HO 4-foot 54W 6-Lamp</v>
      </c>
      <c r="B237" t="str">
        <f t="shared" si="23"/>
        <v>Fluorescent - T5HO 4-foot 54W 6-Lamp</v>
      </c>
      <c r="C237" t="s">
        <v>254</v>
      </c>
      <c r="D237" t="s">
        <v>1762</v>
      </c>
      <c r="E237" t="s">
        <v>1768</v>
      </c>
      <c r="F237">
        <v>352</v>
      </c>
      <c r="G237" t="str">
        <f t="shared" si="24"/>
        <v>Fluorescent - T5HO</v>
      </c>
    </row>
    <row r="238" spans="1:11">
      <c r="A238" t="str">
        <f t="shared" si="22"/>
        <v>Fluorescent - T5HO 4-foot 49W 1-Lamp</v>
      </c>
      <c r="B238" t="str">
        <f t="shared" si="23"/>
        <v>Fluorescent - T5HO 4-foot 49W 1-Lamp</v>
      </c>
      <c r="C238" t="s">
        <v>254</v>
      </c>
      <c r="D238" t="s">
        <v>1762</v>
      </c>
      <c r="E238" t="s">
        <v>1769</v>
      </c>
      <c r="F238">
        <v>57</v>
      </c>
      <c r="G238" t="str">
        <f t="shared" si="24"/>
        <v>Fluorescent - T5HO</v>
      </c>
    </row>
    <row r="239" spans="1:11">
      <c r="A239" t="str">
        <f t="shared" si="22"/>
        <v>Fluorescent - T5HO 4-foot 49W 2-Lamp</v>
      </c>
      <c r="B239" t="str">
        <f t="shared" si="23"/>
        <v>Fluorescent - T5HO 4-foot 49W 2-Lamp</v>
      </c>
      <c r="C239" t="s">
        <v>254</v>
      </c>
      <c r="D239" t="s">
        <v>1762</v>
      </c>
      <c r="E239" t="s">
        <v>1770</v>
      </c>
      <c r="F239">
        <v>109</v>
      </c>
      <c r="G239" t="str">
        <f t="shared" si="24"/>
        <v>Fluorescent - T5HO</v>
      </c>
    </row>
    <row r="240" spans="1:11">
      <c r="A240" t="str">
        <f t="shared" si="22"/>
        <v>Fluorescent - T5HO 4-foot 49W 3-Lamp</v>
      </c>
      <c r="B240" t="str">
        <f>CONCATENATE(C240," - ",D240," ",E240)</f>
        <v>Fluorescent - T5HO 4-foot 49W 3-Lamp</v>
      </c>
      <c r="C240" t="s">
        <v>254</v>
      </c>
      <c r="D240" t="s">
        <v>1762</v>
      </c>
      <c r="E240" t="s">
        <v>1771</v>
      </c>
      <c r="F240">
        <v>162</v>
      </c>
      <c r="G240" t="str">
        <f t="shared" si="24"/>
        <v>Fluorescent - T5HO</v>
      </c>
    </row>
    <row r="241" spans="1:7">
      <c r="A241" t="str">
        <f t="shared" si="22"/>
        <v>Fluorescent - T5HO 4-foot 49W 4-Lamp</v>
      </c>
      <c r="B241" t="str">
        <f>CONCATENATE(C241," - ",D241," ",E241)</f>
        <v>Fluorescent - T5HO 4-foot 49W 4-Lamp</v>
      </c>
      <c r="C241" t="s">
        <v>254</v>
      </c>
      <c r="D241" t="s">
        <v>1762</v>
      </c>
      <c r="E241" t="s">
        <v>1772</v>
      </c>
      <c r="F241">
        <v>224</v>
      </c>
      <c r="G241" t="str">
        <f t="shared" si="24"/>
        <v>Fluorescent - T5HO</v>
      </c>
    </row>
    <row r="242" spans="1:7">
      <c r="A242" t="str">
        <f t="shared" si="22"/>
        <v>Fluorescent - T5HO 4-foot 49W 5-Lamp</v>
      </c>
      <c r="B242" t="str">
        <f>CONCATENATE(C242," - ",D242," ",E242)</f>
        <v>Fluorescent - T5HO 4-foot 49W 5-Lamp</v>
      </c>
      <c r="C242" t="s">
        <v>254</v>
      </c>
      <c r="D242" t="s">
        <v>1762</v>
      </c>
      <c r="E242" t="s">
        <v>1773</v>
      </c>
      <c r="F242">
        <v>271</v>
      </c>
      <c r="G242" t="str">
        <f t="shared" si="24"/>
        <v>Fluorescent - T5HO</v>
      </c>
    </row>
    <row r="243" spans="1:7">
      <c r="A243" t="str">
        <f t="shared" si="22"/>
        <v>Fluorescent - T5HO 4-foot 49W 6-Lamp</v>
      </c>
      <c r="B243" t="str">
        <f>CONCATENATE(C243," - ",D243," ",E243)</f>
        <v>Fluorescent - T5HO 4-foot 49W 6-Lamp</v>
      </c>
      <c r="C243" t="s">
        <v>254</v>
      </c>
      <c r="D243" t="s">
        <v>1762</v>
      </c>
      <c r="E243" t="s">
        <v>1774</v>
      </c>
      <c r="F243">
        <v>333</v>
      </c>
      <c r="G243" t="str">
        <f t="shared" si="24"/>
        <v>Fluorescent - T5HO</v>
      </c>
    </row>
    <row r="244" spans="1:7">
      <c r="A244" t="str">
        <f t="shared" si="22"/>
        <v>Fluorescent - T5HO 2-foot 1-Lamp</v>
      </c>
      <c r="B244" t="str">
        <f t="shared" si="14"/>
        <v>Fluorescent - T5HO 2-foot 1-Lamp</v>
      </c>
      <c r="C244" t="s">
        <v>254</v>
      </c>
      <c r="D244" t="s">
        <v>1762</v>
      </c>
      <c r="E244" t="s">
        <v>1701</v>
      </c>
      <c r="F244">
        <v>29</v>
      </c>
      <c r="G244" t="str">
        <f t="shared" si="24"/>
        <v>Fluorescent - T5HO</v>
      </c>
    </row>
    <row r="245" spans="1:7">
      <c r="A245" t="str">
        <f t="shared" si="22"/>
        <v>Fluorescent - T5HO 2-foot 2-Lamp</v>
      </c>
      <c r="B245" t="str">
        <f t="shared" si="14"/>
        <v>Fluorescent - T5HO 2-foot 2-Lamp</v>
      </c>
      <c r="C245" t="s">
        <v>254</v>
      </c>
      <c r="D245" t="s">
        <v>1762</v>
      </c>
      <c r="E245" t="s">
        <v>1702</v>
      </c>
      <c r="F245">
        <v>52</v>
      </c>
      <c r="G245" t="str">
        <f t="shared" si="24"/>
        <v>Fluorescent - T5HO</v>
      </c>
    </row>
    <row r="246" spans="1:7">
      <c r="A246" t="str">
        <f t="shared" si="22"/>
        <v>Fluorescent - T5HO 3-foot 1-Lamp</v>
      </c>
      <c r="B246" t="str">
        <f t="shared" si="14"/>
        <v>Fluorescent - T5HO 3-foot 1-Lamp</v>
      </c>
      <c r="C246" t="s">
        <v>254</v>
      </c>
      <c r="D246" t="s">
        <v>1762</v>
      </c>
      <c r="E246" t="s">
        <v>1697</v>
      </c>
      <c r="F246">
        <v>43</v>
      </c>
      <c r="G246" t="str">
        <f t="shared" si="24"/>
        <v>Fluorescent - T5HO</v>
      </c>
    </row>
    <row r="247" spans="1:7">
      <c r="A247" t="str">
        <f t="shared" si="22"/>
        <v>Fluorescent - T5HO 3-foot 2-Lamp</v>
      </c>
      <c r="B247" t="str">
        <f t="shared" si="14"/>
        <v>Fluorescent - T5HO 3-foot 2-Lamp</v>
      </c>
      <c r="C247" t="s">
        <v>254</v>
      </c>
      <c r="D247" t="s">
        <v>1762</v>
      </c>
      <c r="E247" t="s">
        <v>1698</v>
      </c>
      <c r="F247">
        <v>87</v>
      </c>
      <c r="G247" t="str">
        <f>CONCATENATE(C247," - ",D247)</f>
        <v>Fluorescent - T5HO</v>
      </c>
    </row>
    <row r="249" spans="1:7">
      <c r="E249" t="s">
        <v>1775</v>
      </c>
    </row>
    <row r="250" spans="1:7">
      <c r="A250" t="str">
        <f>CONCATENATE(C250," - ",D250," ",E250)</f>
        <v>Induction - Induction 40W</v>
      </c>
      <c r="B250" t="str">
        <f>CONCATENATE(C250," - ",E250)</f>
        <v>Induction - 40W</v>
      </c>
      <c r="C250" t="s">
        <v>1775</v>
      </c>
      <c r="D250" t="s">
        <v>1775</v>
      </c>
      <c r="E250" t="s">
        <v>1662</v>
      </c>
      <c r="F250">
        <v>41</v>
      </c>
      <c r="G250" t="str">
        <f t="shared" ref="G250:G258" si="25">CONCATENATE(C250," - ",D250)</f>
        <v>Induction - Induction</v>
      </c>
    </row>
    <row r="251" spans="1:7">
      <c r="A251" t="str">
        <f t="shared" ref="A251:A259" si="26">CONCATENATE(C251," - ",D251," ",E251)</f>
        <v>Induction - Induction 55W</v>
      </c>
      <c r="B251" t="str">
        <f>CONCATENATE(C251," - ",E251)</f>
        <v>Induction - 55W</v>
      </c>
      <c r="C251" t="s">
        <v>1775</v>
      </c>
      <c r="D251" t="s">
        <v>1775</v>
      </c>
      <c r="E251" t="s">
        <v>1673</v>
      </c>
      <c r="F251">
        <v>55</v>
      </c>
      <c r="G251" t="str">
        <f t="shared" si="25"/>
        <v>Induction - Induction</v>
      </c>
    </row>
    <row r="252" spans="1:7">
      <c r="A252" t="str">
        <f t="shared" si="26"/>
        <v>Induction - Induction 80W</v>
      </c>
      <c r="B252" t="str">
        <f>CONCATENATE(C252," - ",E252)</f>
        <v>Induction - 80W</v>
      </c>
      <c r="C252" t="s">
        <v>1775</v>
      </c>
      <c r="D252" t="s">
        <v>1775</v>
      </c>
      <c r="E252" t="s">
        <v>1776</v>
      </c>
      <c r="F252">
        <v>82</v>
      </c>
      <c r="G252" t="str">
        <f t="shared" si="25"/>
        <v>Induction - Induction</v>
      </c>
    </row>
    <row r="253" spans="1:7">
      <c r="A253" t="str">
        <f t="shared" si="26"/>
        <v>Induction - Induction 85W</v>
      </c>
      <c r="B253" t="str">
        <f t="shared" ref="B253:B306" si="27">CONCATENATE(C253," - ",E253)</f>
        <v>Induction - 85W</v>
      </c>
      <c r="C253" t="s">
        <v>1775</v>
      </c>
      <c r="D253" t="s">
        <v>1775</v>
      </c>
      <c r="E253" t="s">
        <v>1777</v>
      </c>
      <c r="F253">
        <v>85</v>
      </c>
      <c r="G253" t="str">
        <f t="shared" si="25"/>
        <v>Induction - Induction</v>
      </c>
    </row>
    <row r="254" spans="1:7">
      <c r="A254" t="str">
        <f t="shared" si="26"/>
        <v>Induction - Induction 100W</v>
      </c>
      <c r="B254" t="str">
        <f t="shared" si="27"/>
        <v>Induction - 100W</v>
      </c>
      <c r="C254" t="s">
        <v>1775</v>
      </c>
      <c r="D254" t="s">
        <v>1775</v>
      </c>
      <c r="E254" t="s">
        <v>1677</v>
      </c>
      <c r="F254">
        <v>102</v>
      </c>
      <c r="G254" t="str">
        <f t="shared" si="25"/>
        <v>Induction - Induction</v>
      </c>
    </row>
    <row r="255" spans="1:7">
      <c r="A255" t="str">
        <f t="shared" si="26"/>
        <v>Induction - Induction 120W</v>
      </c>
      <c r="B255" t="str">
        <f t="shared" si="27"/>
        <v>Induction - 120W</v>
      </c>
      <c r="C255" t="s">
        <v>1775</v>
      </c>
      <c r="D255" t="s">
        <v>1775</v>
      </c>
      <c r="E255" t="s">
        <v>1684</v>
      </c>
      <c r="F255">
        <v>122</v>
      </c>
      <c r="G255" t="str">
        <f t="shared" si="25"/>
        <v>Induction - Induction</v>
      </c>
    </row>
    <row r="256" spans="1:7">
      <c r="A256" t="str">
        <f t="shared" si="26"/>
        <v>Induction - Induction 165W</v>
      </c>
      <c r="B256" t="str">
        <f t="shared" si="27"/>
        <v>Induction - 165W</v>
      </c>
      <c r="C256" t="s">
        <v>1775</v>
      </c>
      <c r="D256" t="s">
        <v>1775</v>
      </c>
      <c r="E256" t="s">
        <v>1778</v>
      </c>
      <c r="F256">
        <v>165</v>
      </c>
      <c r="G256" t="str">
        <f t="shared" si="25"/>
        <v>Induction - Induction</v>
      </c>
    </row>
    <row r="257" spans="1:7">
      <c r="A257" t="str">
        <f t="shared" si="26"/>
        <v>Induction - Induction 200W</v>
      </c>
      <c r="B257" t="str">
        <f t="shared" si="27"/>
        <v>Induction - 200W</v>
      </c>
      <c r="C257" t="s">
        <v>1775</v>
      </c>
      <c r="D257" t="s">
        <v>1775</v>
      </c>
      <c r="E257" t="s">
        <v>1686</v>
      </c>
      <c r="F257">
        <v>204</v>
      </c>
      <c r="G257" t="str">
        <f t="shared" si="25"/>
        <v>Induction - Induction</v>
      </c>
    </row>
    <row r="258" spans="1:7">
      <c r="A258" t="str">
        <f t="shared" si="26"/>
        <v>Induction - Induction 300W</v>
      </c>
      <c r="B258" t="str">
        <f t="shared" si="27"/>
        <v>Induction - 300W</v>
      </c>
      <c r="C258" t="s">
        <v>1775</v>
      </c>
      <c r="D258" t="s">
        <v>1775</v>
      </c>
      <c r="E258" t="s">
        <v>1688</v>
      </c>
      <c r="F258">
        <v>306</v>
      </c>
      <c r="G258" t="str">
        <f t="shared" si="25"/>
        <v>Induction - Induction</v>
      </c>
    </row>
    <row r="259" spans="1:7">
      <c r="A259" t="str">
        <f t="shared" si="26"/>
        <v>Induction - Induction 400W</v>
      </c>
      <c r="B259" t="str">
        <f t="shared" si="27"/>
        <v>Induction - 400W</v>
      </c>
      <c r="C259" t="s">
        <v>1775</v>
      </c>
      <c r="D259" t="s">
        <v>1775</v>
      </c>
      <c r="E259" t="s">
        <v>1779</v>
      </c>
      <c r="F259">
        <v>408</v>
      </c>
      <c r="G259" t="str">
        <f>CONCATENATE(C259," - ",D259)</f>
        <v>Induction - Induction</v>
      </c>
    </row>
    <row r="262" spans="1:7">
      <c r="A262" t="str">
        <f t="shared" ref="A262:A271" si="28">CONCATENATE(C262," - ",D262," ",E262)</f>
        <v>HID - High Pressure Sodium HPS 35W</v>
      </c>
      <c r="B262" t="str">
        <f t="shared" si="27"/>
        <v>HID - HPS 35W</v>
      </c>
      <c r="C262" t="s">
        <v>606</v>
      </c>
      <c r="D262" t="s">
        <v>610</v>
      </c>
      <c r="E262" t="s">
        <v>1780</v>
      </c>
      <c r="F262">
        <v>45</v>
      </c>
      <c r="G262" t="str">
        <f>CONCATENATE(C262," - ",D262)</f>
        <v>HID - High Pressure Sodium</v>
      </c>
    </row>
    <row r="263" spans="1:7">
      <c r="A263" t="str">
        <f t="shared" si="28"/>
        <v>HID - High Pressure Sodium HPS 50W</v>
      </c>
      <c r="B263" t="str">
        <f t="shared" si="27"/>
        <v>HID - HPS 50W</v>
      </c>
      <c r="C263" t="s">
        <v>606</v>
      </c>
      <c r="D263" t="s">
        <v>610</v>
      </c>
      <c r="E263" t="s">
        <v>1781</v>
      </c>
      <c r="F263">
        <v>68</v>
      </c>
      <c r="G263" t="str">
        <f t="shared" ref="G263:G271" si="29">CONCATENATE(C263," - ",D263)</f>
        <v>HID - High Pressure Sodium</v>
      </c>
    </row>
    <row r="264" spans="1:7">
      <c r="A264" t="str">
        <f t="shared" si="28"/>
        <v>HID - High Pressure Sodium HPS 70W</v>
      </c>
      <c r="B264" t="str">
        <f t="shared" si="27"/>
        <v>HID - HPS 70W</v>
      </c>
      <c r="C264" t="s">
        <v>606</v>
      </c>
      <c r="D264" t="s">
        <v>610</v>
      </c>
      <c r="E264" t="s">
        <v>1782</v>
      </c>
      <c r="F264">
        <v>86</v>
      </c>
      <c r="G264" t="str">
        <f t="shared" si="29"/>
        <v>HID - High Pressure Sodium</v>
      </c>
    </row>
    <row r="265" spans="1:7">
      <c r="A265" t="str">
        <f t="shared" si="28"/>
        <v>HID - High Pressure Sodium HPS 100W</v>
      </c>
      <c r="B265" t="str">
        <f t="shared" si="27"/>
        <v>HID - HPS 100W</v>
      </c>
      <c r="C265" t="s">
        <v>606</v>
      </c>
      <c r="D265" t="s">
        <v>610</v>
      </c>
      <c r="E265" t="s">
        <v>1783</v>
      </c>
      <c r="F265">
        <v>120</v>
      </c>
      <c r="G265" t="str">
        <f t="shared" si="29"/>
        <v>HID - High Pressure Sodium</v>
      </c>
    </row>
    <row r="266" spans="1:7">
      <c r="A266" t="str">
        <f t="shared" si="28"/>
        <v>HID - High Pressure Sodium HPS 150W</v>
      </c>
      <c r="B266" t="str">
        <f t="shared" si="27"/>
        <v>HID - HPS 150W</v>
      </c>
      <c r="C266" t="s">
        <v>606</v>
      </c>
      <c r="D266" t="s">
        <v>610</v>
      </c>
      <c r="E266" t="s">
        <v>611</v>
      </c>
      <c r="F266">
        <v>170</v>
      </c>
      <c r="G266" t="str">
        <f t="shared" si="29"/>
        <v>HID - High Pressure Sodium</v>
      </c>
    </row>
    <row r="267" spans="1:7">
      <c r="A267" t="str">
        <f t="shared" si="28"/>
        <v>HID - High Pressure Sodium HPS 200W</v>
      </c>
      <c r="B267" t="str">
        <f t="shared" si="27"/>
        <v>HID - HPS 200W</v>
      </c>
      <c r="C267" t="s">
        <v>606</v>
      </c>
      <c r="D267" t="s">
        <v>610</v>
      </c>
      <c r="E267" t="s">
        <v>1784</v>
      </c>
      <c r="F267">
        <v>245</v>
      </c>
      <c r="G267" t="str">
        <f t="shared" si="29"/>
        <v>HID - High Pressure Sodium</v>
      </c>
    </row>
    <row r="268" spans="1:7">
      <c r="A268" t="str">
        <f t="shared" si="28"/>
        <v>HID - High Pressure Sodium HPS 250W</v>
      </c>
      <c r="B268" t="str">
        <f t="shared" si="27"/>
        <v>HID - HPS 250W</v>
      </c>
      <c r="C268" t="s">
        <v>606</v>
      </c>
      <c r="D268" t="s">
        <v>610</v>
      </c>
      <c r="E268" t="s">
        <v>1785</v>
      </c>
      <c r="F268">
        <v>295</v>
      </c>
      <c r="G268" t="str">
        <f t="shared" si="29"/>
        <v>HID - High Pressure Sodium</v>
      </c>
    </row>
    <row r="269" spans="1:7">
      <c r="A269" t="str">
        <f t="shared" si="28"/>
        <v>HID - High Pressure Sodium HPS 310W</v>
      </c>
      <c r="B269" t="str">
        <f t="shared" si="27"/>
        <v>HID - HPS 310W</v>
      </c>
      <c r="C269" t="s">
        <v>606</v>
      </c>
      <c r="D269" t="s">
        <v>610</v>
      </c>
      <c r="E269" t="s">
        <v>1786</v>
      </c>
      <c r="F269">
        <v>365</v>
      </c>
      <c r="G269" t="str">
        <f t="shared" si="29"/>
        <v>HID - High Pressure Sodium</v>
      </c>
    </row>
    <row r="270" spans="1:7">
      <c r="A270" t="str">
        <f t="shared" si="28"/>
        <v>HID - High Pressure Sodium HPS 400W</v>
      </c>
      <c r="B270" t="str">
        <f t="shared" si="27"/>
        <v>HID - HPS 400W</v>
      </c>
      <c r="C270" t="s">
        <v>606</v>
      </c>
      <c r="D270" t="s">
        <v>610</v>
      </c>
      <c r="E270" t="s">
        <v>1787</v>
      </c>
      <c r="F270">
        <v>457</v>
      </c>
      <c r="G270" t="str">
        <f t="shared" si="29"/>
        <v>HID - High Pressure Sodium</v>
      </c>
    </row>
    <row r="271" spans="1:7">
      <c r="A271" t="str">
        <f t="shared" si="28"/>
        <v>HID - High Pressure Sodium HPS 1000W</v>
      </c>
      <c r="B271" t="str">
        <f t="shared" si="27"/>
        <v>HID - HPS 1000W</v>
      </c>
      <c r="C271" t="s">
        <v>606</v>
      </c>
      <c r="D271" t="s">
        <v>610</v>
      </c>
      <c r="E271" t="s">
        <v>1788</v>
      </c>
      <c r="F271">
        <v>1100</v>
      </c>
      <c r="G271" t="str">
        <f t="shared" si="29"/>
        <v>HID - High Pressure Sodium</v>
      </c>
    </row>
    <row r="272" spans="1:7">
      <c r="B272" t="str">
        <f t="shared" si="27"/>
        <v xml:space="preserve"> - </v>
      </c>
    </row>
    <row r="273" spans="1:7">
      <c r="B273" t="str">
        <f t="shared" si="27"/>
        <v xml:space="preserve"> - Metal Halide</v>
      </c>
      <c r="E273" t="s">
        <v>607</v>
      </c>
    </row>
    <row r="274" spans="1:7">
      <c r="A274" t="str">
        <f t="shared" ref="A274:A339" si="30">CONCATENATE(C274," - ",D274," ",E274)</f>
        <v>HID - Metal Halide CMH 20W</v>
      </c>
      <c r="B274" t="str">
        <f t="shared" si="27"/>
        <v>HID - CMH 20W</v>
      </c>
      <c r="C274" t="s">
        <v>606</v>
      </c>
      <c r="D274" t="s">
        <v>607</v>
      </c>
      <c r="E274" t="s">
        <v>1789</v>
      </c>
      <c r="F274">
        <v>28</v>
      </c>
      <c r="G274" t="str">
        <f t="shared" ref="G274:G299" si="31">CONCATENATE(C274," - ",D274)</f>
        <v>HID - Metal Halide</v>
      </c>
    </row>
    <row r="275" spans="1:7">
      <c r="A275" t="str">
        <f t="shared" si="30"/>
        <v>HID - Metal Halide CMH 39W</v>
      </c>
      <c r="B275" t="str">
        <f t="shared" si="27"/>
        <v>HID - CMH 39W</v>
      </c>
      <c r="C275" t="s">
        <v>606</v>
      </c>
      <c r="D275" t="s">
        <v>607</v>
      </c>
      <c r="E275" t="s">
        <v>1790</v>
      </c>
      <c r="F275">
        <v>45</v>
      </c>
      <c r="G275" t="str">
        <f t="shared" si="31"/>
        <v>HID - Metal Halide</v>
      </c>
    </row>
    <row r="276" spans="1:7">
      <c r="A276" t="str">
        <f t="shared" si="30"/>
        <v>HID - Metal Halide MH 35/39W</v>
      </c>
      <c r="B276" t="str">
        <f t="shared" si="27"/>
        <v>HID - MH 35/39W</v>
      </c>
      <c r="C276" t="s">
        <v>606</v>
      </c>
      <c r="D276" t="s">
        <v>607</v>
      </c>
      <c r="E276" t="s">
        <v>1791</v>
      </c>
      <c r="F276">
        <v>56</v>
      </c>
      <c r="G276" t="str">
        <f t="shared" si="31"/>
        <v>HID - Metal Halide</v>
      </c>
    </row>
    <row r="277" spans="1:7">
      <c r="A277" t="str">
        <f t="shared" si="30"/>
        <v>HID - Metal Halide CMH 50W</v>
      </c>
      <c r="B277" t="str">
        <f t="shared" si="27"/>
        <v>HID - CMH 50W</v>
      </c>
      <c r="C277" t="s">
        <v>606</v>
      </c>
      <c r="D277" t="s">
        <v>607</v>
      </c>
      <c r="E277" t="s">
        <v>1792</v>
      </c>
      <c r="F277">
        <v>55</v>
      </c>
      <c r="G277" t="str">
        <f t="shared" si="31"/>
        <v>HID - Metal Halide</v>
      </c>
    </row>
    <row r="278" spans="1:7">
      <c r="A278" t="str">
        <f t="shared" si="30"/>
        <v>HID - Metal Halide MH 50W</v>
      </c>
      <c r="B278" t="str">
        <f t="shared" si="27"/>
        <v>HID - MH 50W</v>
      </c>
      <c r="C278" t="s">
        <v>606</v>
      </c>
      <c r="D278" t="s">
        <v>607</v>
      </c>
      <c r="E278" t="s">
        <v>1793</v>
      </c>
      <c r="F278">
        <v>62</v>
      </c>
      <c r="G278" t="str">
        <f t="shared" si="31"/>
        <v>HID - Metal Halide</v>
      </c>
    </row>
    <row r="279" spans="1:7">
      <c r="A279" t="str">
        <f t="shared" si="30"/>
        <v>HID - Metal Halide CMH 70W</v>
      </c>
      <c r="B279" t="str">
        <f t="shared" si="27"/>
        <v>HID - CMH 70W</v>
      </c>
      <c r="C279" t="s">
        <v>606</v>
      </c>
      <c r="D279" t="s">
        <v>607</v>
      </c>
      <c r="E279" t="s">
        <v>1794</v>
      </c>
      <c r="F279">
        <v>80</v>
      </c>
      <c r="G279" t="str">
        <f t="shared" si="31"/>
        <v>HID - Metal Halide</v>
      </c>
    </row>
    <row r="280" spans="1:7">
      <c r="A280" t="str">
        <f t="shared" si="30"/>
        <v>HID - Metal Halide MH 70W</v>
      </c>
      <c r="B280" t="str">
        <f t="shared" si="27"/>
        <v>HID - MH 70W</v>
      </c>
      <c r="C280" t="s">
        <v>606</v>
      </c>
      <c r="D280" t="s">
        <v>607</v>
      </c>
      <c r="E280" t="s">
        <v>1795</v>
      </c>
      <c r="F280">
        <v>90</v>
      </c>
      <c r="G280" t="str">
        <f t="shared" si="31"/>
        <v>HID - Metal Halide</v>
      </c>
    </row>
    <row r="281" spans="1:7">
      <c r="A281" t="str">
        <f t="shared" si="30"/>
        <v>HID - Metal Halide MH 100W</v>
      </c>
      <c r="B281" t="str">
        <f t="shared" si="27"/>
        <v>HID - MH 100W</v>
      </c>
      <c r="C281" t="s">
        <v>606</v>
      </c>
      <c r="D281" t="s">
        <v>607</v>
      </c>
      <c r="E281" t="s">
        <v>1796</v>
      </c>
      <c r="F281">
        <v>129</v>
      </c>
      <c r="G281" t="str">
        <f t="shared" si="31"/>
        <v>HID - Metal Halide</v>
      </c>
    </row>
    <row r="282" spans="1:7">
      <c r="A282" t="str">
        <f t="shared" si="30"/>
        <v>HID - Metal Halide CMH 150W</v>
      </c>
      <c r="B282" t="str">
        <f t="shared" si="27"/>
        <v>HID - CMH 150W</v>
      </c>
      <c r="C282" t="s">
        <v>606</v>
      </c>
      <c r="D282" t="s">
        <v>607</v>
      </c>
      <c r="E282" t="s">
        <v>1797</v>
      </c>
      <c r="F282">
        <v>168</v>
      </c>
      <c r="G282" t="str">
        <f t="shared" si="31"/>
        <v>HID - Metal Halide</v>
      </c>
    </row>
    <row r="283" spans="1:7">
      <c r="A283" t="str">
        <f t="shared" si="30"/>
        <v>HID - Metal Halide MH 150W</v>
      </c>
      <c r="B283" t="str">
        <f t="shared" si="27"/>
        <v>HID - MH 150W</v>
      </c>
      <c r="C283" t="s">
        <v>606</v>
      </c>
      <c r="D283" t="s">
        <v>607</v>
      </c>
      <c r="E283" t="s">
        <v>1798</v>
      </c>
      <c r="F283">
        <v>185</v>
      </c>
      <c r="G283" t="str">
        <f t="shared" si="31"/>
        <v>HID - Metal Halide</v>
      </c>
    </row>
    <row r="284" spans="1:7">
      <c r="A284" t="str">
        <f t="shared" si="30"/>
        <v>HID - Metal Halide MH 175W</v>
      </c>
      <c r="B284" t="str">
        <f t="shared" si="27"/>
        <v>HID - MH 175W</v>
      </c>
      <c r="C284" t="s">
        <v>606</v>
      </c>
      <c r="D284" t="s">
        <v>607</v>
      </c>
      <c r="E284" t="s">
        <v>1799</v>
      </c>
      <c r="F284">
        <v>210</v>
      </c>
      <c r="G284" t="str">
        <f t="shared" si="31"/>
        <v>HID - Metal Halide</v>
      </c>
    </row>
    <row r="285" spans="1:7">
      <c r="A285" t="str">
        <f t="shared" si="30"/>
        <v>HID - Metal Halide MH PS 200W</v>
      </c>
      <c r="B285" t="str">
        <f t="shared" si="27"/>
        <v>HID - MH PS 200W</v>
      </c>
      <c r="C285" t="s">
        <v>606</v>
      </c>
      <c r="D285" t="s">
        <v>607</v>
      </c>
      <c r="E285" t="s">
        <v>1800</v>
      </c>
      <c r="F285">
        <v>232</v>
      </c>
      <c r="G285" t="str">
        <f t="shared" si="31"/>
        <v>HID - Metal Halide</v>
      </c>
    </row>
    <row r="286" spans="1:7">
      <c r="A286" t="str">
        <f t="shared" si="30"/>
        <v>HID - Metal Halide MH 250W</v>
      </c>
      <c r="B286" t="str">
        <f t="shared" si="27"/>
        <v>HID - MH 250W</v>
      </c>
      <c r="C286" t="s">
        <v>606</v>
      </c>
      <c r="D286" t="s">
        <v>607</v>
      </c>
      <c r="E286" t="s">
        <v>608</v>
      </c>
      <c r="F286">
        <v>291</v>
      </c>
      <c r="G286" t="str">
        <f t="shared" si="31"/>
        <v>HID - Metal Halide</v>
      </c>
    </row>
    <row r="287" spans="1:7">
      <c r="A287" t="str">
        <f t="shared" si="30"/>
        <v>HID - Metal Halide MH PS 250W</v>
      </c>
      <c r="B287" t="str">
        <f t="shared" si="27"/>
        <v>HID - MH PS 250W</v>
      </c>
      <c r="C287" t="s">
        <v>606</v>
      </c>
      <c r="D287" t="s">
        <v>607</v>
      </c>
      <c r="E287" t="s">
        <v>1801</v>
      </c>
      <c r="F287">
        <v>291</v>
      </c>
      <c r="G287" t="str">
        <f t="shared" si="31"/>
        <v>HID - Metal Halide</v>
      </c>
    </row>
    <row r="288" spans="1:7">
      <c r="A288" t="str">
        <f t="shared" si="30"/>
        <v>HID - Metal Halide MH 300W</v>
      </c>
      <c r="B288" t="str">
        <f t="shared" si="27"/>
        <v>HID - MH 300W</v>
      </c>
      <c r="C288" t="s">
        <v>606</v>
      </c>
      <c r="D288" t="s">
        <v>607</v>
      </c>
      <c r="E288" t="s">
        <v>1802</v>
      </c>
      <c r="F288">
        <v>342</v>
      </c>
      <c r="G288" t="str">
        <f t="shared" si="31"/>
        <v>HID - Metal Halide</v>
      </c>
    </row>
    <row r="289" spans="1:7">
      <c r="A289" t="str">
        <f t="shared" si="30"/>
        <v>HID - Metal Halide MH PS 300W</v>
      </c>
      <c r="B289" t="str">
        <f t="shared" si="27"/>
        <v>HID - MH PS 300W</v>
      </c>
      <c r="C289" t="s">
        <v>606</v>
      </c>
      <c r="D289" t="s">
        <v>607</v>
      </c>
      <c r="E289" t="s">
        <v>1803</v>
      </c>
      <c r="F289">
        <v>342</v>
      </c>
      <c r="G289" t="str">
        <f t="shared" si="31"/>
        <v>HID - Metal Halide</v>
      </c>
    </row>
    <row r="290" spans="1:7">
      <c r="A290" t="str">
        <f t="shared" si="30"/>
        <v>HID - Metal Halide MH PS 320W</v>
      </c>
      <c r="B290" t="str">
        <f t="shared" si="27"/>
        <v>HID - MH PS 320W</v>
      </c>
      <c r="C290" t="s">
        <v>606</v>
      </c>
      <c r="D290" t="s">
        <v>607</v>
      </c>
      <c r="E290" t="s">
        <v>1804</v>
      </c>
      <c r="F290">
        <v>368</v>
      </c>
      <c r="G290" t="str">
        <f t="shared" si="31"/>
        <v>HID - Metal Halide</v>
      </c>
    </row>
    <row r="291" spans="1:7">
      <c r="A291" t="str">
        <f t="shared" si="30"/>
        <v>HID - Metal Halide MH PS 350W</v>
      </c>
      <c r="B291" t="str">
        <f t="shared" si="27"/>
        <v>HID - MH PS 350W</v>
      </c>
      <c r="C291" t="s">
        <v>606</v>
      </c>
      <c r="D291" t="s">
        <v>607</v>
      </c>
      <c r="E291" t="s">
        <v>1805</v>
      </c>
      <c r="F291">
        <v>397</v>
      </c>
      <c r="G291" t="str">
        <f t="shared" si="31"/>
        <v>HID - Metal Halide</v>
      </c>
    </row>
    <row r="292" spans="1:7">
      <c r="A292" t="str">
        <f t="shared" si="30"/>
        <v>HID - Metal Halide MH 400W Magnetic ballast</v>
      </c>
      <c r="B292" t="str">
        <f t="shared" si="27"/>
        <v>HID - MH 400W Magnetic ballast</v>
      </c>
      <c r="C292" t="s">
        <v>606</v>
      </c>
      <c r="D292" t="s">
        <v>607</v>
      </c>
      <c r="E292" t="s">
        <v>1806</v>
      </c>
      <c r="F292">
        <v>458</v>
      </c>
      <c r="G292" t="str">
        <f t="shared" si="31"/>
        <v>HID - Metal Halide</v>
      </c>
    </row>
    <row r="293" spans="1:7">
      <c r="A293" t="str">
        <f t="shared" si="30"/>
        <v>HID - Metal Halide MH 400W Electronic ballast</v>
      </c>
      <c r="B293" t="str">
        <f t="shared" si="27"/>
        <v>HID - MH 400W Electronic ballast</v>
      </c>
      <c r="C293" t="s">
        <v>606</v>
      </c>
      <c r="D293" t="s">
        <v>607</v>
      </c>
      <c r="E293" t="s">
        <v>1807</v>
      </c>
      <c r="F293">
        <v>428</v>
      </c>
      <c r="G293" t="str">
        <f t="shared" si="31"/>
        <v>HID - Metal Halide</v>
      </c>
    </row>
    <row r="294" spans="1:7">
      <c r="A294" t="str">
        <f t="shared" si="30"/>
        <v>HID - Metal Halide MH PS 400W</v>
      </c>
      <c r="B294" t="str">
        <f t="shared" si="27"/>
        <v>HID - MH PS 400W</v>
      </c>
      <c r="C294" t="s">
        <v>606</v>
      </c>
      <c r="D294" t="s">
        <v>607</v>
      </c>
      <c r="E294" t="s">
        <v>1808</v>
      </c>
      <c r="F294">
        <v>452</v>
      </c>
      <c r="G294" t="str">
        <f t="shared" si="31"/>
        <v>HID - Metal Halide</v>
      </c>
    </row>
    <row r="295" spans="1:7">
      <c r="A295" t="str">
        <f t="shared" si="30"/>
        <v>HID - Metal Halide MH PS 450W</v>
      </c>
      <c r="B295" t="str">
        <f t="shared" si="27"/>
        <v>HID - MH PS 450W</v>
      </c>
      <c r="C295" t="s">
        <v>606</v>
      </c>
      <c r="D295" t="s">
        <v>607</v>
      </c>
      <c r="E295" t="s">
        <v>1809</v>
      </c>
      <c r="F295">
        <v>508</v>
      </c>
      <c r="G295" t="str">
        <f t="shared" si="31"/>
        <v>HID - Metal Halide</v>
      </c>
    </row>
    <row r="296" spans="1:7">
      <c r="A296" t="str">
        <f t="shared" si="30"/>
        <v>HID - Metal Halide MH PS 750W</v>
      </c>
      <c r="B296" t="str">
        <f t="shared" si="27"/>
        <v>HID - MH PS 750W</v>
      </c>
      <c r="C296" t="s">
        <v>606</v>
      </c>
      <c r="D296" t="s">
        <v>607</v>
      </c>
      <c r="E296" t="s">
        <v>1810</v>
      </c>
      <c r="F296">
        <v>818</v>
      </c>
      <c r="G296" t="str">
        <f t="shared" si="31"/>
        <v>HID - Metal Halide</v>
      </c>
    </row>
    <row r="297" spans="1:7">
      <c r="A297" t="str">
        <f t="shared" si="30"/>
        <v>HID - Metal Halide MH PS 875W</v>
      </c>
      <c r="B297" t="str">
        <f t="shared" si="27"/>
        <v>HID - MH PS 875W</v>
      </c>
      <c r="C297" t="s">
        <v>606</v>
      </c>
      <c r="D297" t="s">
        <v>607</v>
      </c>
      <c r="E297" t="s">
        <v>1811</v>
      </c>
      <c r="F297">
        <v>940</v>
      </c>
      <c r="G297" t="str">
        <f t="shared" si="31"/>
        <v>HID - Metal Halide</v>
      </c>
    </row>
    <row r="298" spans="1:7">
      <c r="A298" t="str">
        <f t="shared" si="30"/>
        <v>HID - Metal Halide MH 1000W</v>
      </c>
      <c r="B298" t="str">
        <f t="shared" si="27"/>
        <v>HID - MH 1000W</v>
      </c>
      <c r="C298" t="s">
        <v>606</v>
      </c>
      <c r="D298" t="s">
        <v>607</v>
      </c>
      <c r="E298" t="s">
        <v>1812</v>
      </c>
      <c r="F298">
        <v>1080</v>
      </c>
      <c r="G298" t="str">
        <f t="shared" si="31"/>
        <v>HID - Metal Halide</v>
      </c>
    </row>
    <row r="299" spans="1:7">
      <c r="A299" t="str">
        <f t="shared" si="30"/>
        <v>HID - Metal Halide MH 1500W</v>
      </c>
      <c r="B299" t="str">
        <f t="shared" si="27"/>
        <v>HID - MH 1500W</v>
      </c>
      <c r="C299" t="s">
        <v>606</v>
      </c>
      <c r="D299" t="s">
        <v>607</v>
      </c>
      <c r="E299" t="s">
        <v>1813</v>
      </c>
      <c r="F299">
        <v>1610</v>
      </c>
      <c r="G299" t="str">
        <f t="shared" si="31"/>
        <v>HID - Metal Halide</v>
      </c>
    </row>
    <row r="301" spans="1:7">
      <c r="E301" t="s">
        <v>1814</v>
      </c>
    </row>
    <row r="302" spans="1:7">
      <c r="A302" t="str">
        <f t="shared" si="30"/>
        <v>HID - Mercury Vapor MV, 100 Watt Lamp</v>
      </c>
      <c r="B302" t="str">
        <f t="shared" si="27"/>
        <v>HID - MV, 100 Watt Lamp</v>
      </c>
      <c r="C302" t="s">
        <v>606</v>
      </c>
      <c r="D302" t="s">
        <v>1814</v>
      </c>
      <c r="E302" t="s">
        <v>1815</v>
      </c>
      <c r="F302">
        <v>125</v>
      </c>
      <c r="G302" t="str">
        <f>CONCATENATE(C302," - ",D302)</f>
        <v>HID - Mercury Vapor</v>
      </c>
    </row>
    <row r="303" spans="1:7">
      <c r="A303" t="str">
        <f t="shared" si="30"/>
        <v>HID - Mercury Vapor MV, 175 Watt Lamp</v>
      </c>
      <c r="B303" t="str">
        <f t="shared" si="27"/>
        <v>HID - MV, 175 Watt Lamp</v>
      </c>
      <c r="C303" t="s">
        <v>606</v>
      </c>
      <c r="D303" t="s">
        <v>1814</v>
      </c>
      <c r="E303" t="s">
        <v>1816</v>
      </c>
      <c r="F303">
        <v>205</v>
      </c>
      <c r="G303" t="str">
        <f>CONCATENATE(C303," - ",D303)</f>
        <v>HID - Mercury Vapor</v>
      </c>
    </row>
    <row r="304" spans="1:7">
      <c r="A304" t="str">
        <f t="shared" si="30"/>
        <v>HID - Mercury Vapor MV, 250 Watt Lamp</v>
      </c>
      <c r="B304" t="str">
        <f t="shared" si="27"/>
        <v>HID - MV, 250 Watt Lamp</v>
      </c>
      <c r="C304" t="s">
        <v>606</v>
      </c>
      <c r="D304" t="s">
        <v>1814</v>
      </c>
      <c r="E304" t="s">
        <v>1817</v>
      </c>
      <c r="F304">
        <v>285</v>
      </c>
      <c r="G304" t="str">
        <f>CONCATENATE(C304," - ",D304)</f>
        <v>HID - Mercury Vapor</v>
      </c>
    </row>
    <row r="305" spans="1:7">
      <c r="A305" t="str">
        <f t="shared" si="30"/>
        <v>HID - Mercury Vapor MV, 400 Watt Lamp</v>
      </c>
      <c r="B305" t="str">
        <f t="shared" si="27"/>
        <v>HID - MV, 400 Watt Lamp</v>
      </c>
      <c r="C305" t="s">
        <v>606</v>
      </c>
      <c r="D305" t="s">
        <v>1814</v>
      </c>
      <c r="E305" t="s">
        <v>1818</v>
      </c>
      <c r="F305">
        <v>454</v>
      </c>
      <c r="G305" t="str">
        <f>CONCATENATE(C305," - ",D305)</f>
        <v>HID - Mercury Vapor</v>
      </c>
    </row>
    <row r="306" spans="1:7">
      <c r="A306" t="str">
        <f t="shared" si="30"/>
        <v>HID - Mercury Vapor MV, 1000 Watt Lamp</v>
      </c>
      <c r="B306" t="str">
        <f t="shared" si="27"/>
        <v>HID - MV, 1000 Watt Lamp</v>
      </c>
      <c r="C306" t="s">
        <v>606</v>
      </c>
      <c r="D306" t="s">
        <v>1814</v>
      </c>
      <c r="E306" t="s">
        <v>1819</v>
      </c>
      <c r="F306">
        <v>1080</v>
      </c>
      <c r="G306" t="str">
        <f>CONCATENATE(C306," - ",D306)</f>
        <v>HID - Mercury Vapor</v>
      </c>
    </row>
    <row r="308" spans="1:7">
      <c r="E308" t="s">
        <v>1820</v>
      </c>
    </row>
    <row r="309" spans="1:7">
      <c r="A309" t="str">
        <f t="shared" si="30"/>
        <v>Fluorescent - CFL - Pin Base 5W, 1-lamp Magnetic</v>
      </c>
      <c r="B309" t="str">
        <f>CONCATENATE(C309," - ",D309," ",E309)</f>
        <v>Fluorescent - CFL - Pin Base 5W, 1-lamp Magnetic</v>
      </c>
      <c r="C309" t="s">
        <v>254</v>
      </c>
      <c r="D309" t="s">
        <v>1821</v>
      </c>
      <c r="E309" t="s">
        <v>1822</v>
      </c>
      <c r="F309">
        <v>9</v>
      </c>
      <c r="G309" t="str">
        <f t="shared" ref="G309:G330" si="32">CONCATENATE(C309," - ",D309)</f>
        <v>Fluorescent - CFL - Pin Base</v>
      </c>
    </row>
    <row r="310" spans="1:7">
      <c r="A310" t="str">
        <f t="shared" si="30"/>
        <v>Fluorescent - CFL - Pin Base 5W, 2-lamp Magnetic</v>
      </c>
      <c r="B310" t="str">
        <f t="shared" ref="B310:B330" si="33">CONCATENATE(C310," - ",D310," ",E310)</f>
        <v>Fluorescent - CFL - Pin Base 5W, 2-lamp Magnetic</v>
      </c>
      <c r="C310" t="s">
        <v>254</v>
      </c>
      <c r="D310" t="s">
        <v>1821</v>
      </c>
      <c r="E310" t="s">
        <v>1823</v>
      </c>
      <c r="F310">
        <v>18</v>
      </c>
      <c r="G310" t="str">
        <f t="shared" si="32"/>
        <v>Fluorescent - CFL - Pin Base</v>
      </c>
    </row>
    <row r="311" spans="1:7">
      <c r="A311" t="str">
        <f t="shared" si="30"/>
        <v>Fluorescent - CFL - Pin Base 7W, 1-lamp Magnetic</v>
      </c>
      <c r="B311" t="str">
        <f t="shared" si="33"/>
        <v>Fluorescent - CFL - Pin Base 7W, 1-lamp Magnetic</v>
      </c>
      <c r="C311" t="s">
        <v>254</v>
      </c>
      <c r="D311" t="s">
        <v>1821</v>
      </c>
      <c r="E311" t="s">
        <v>1824</v>
      </c>
      <c r="F311">
        <v>9</v>
      </c>
      <c r="G311" t="str">
        <f t="shared" si="32"/>
        <v>Fluorescent - CFL - Pin Base</v>
      </c>
    </row>
    <row r="312" spans="1:7">
      <c r="A312" t="str">
        <f t="shared" si="30"/>
        <v>Fluorescent - CFL - Pin Base 7W, 2-lamp Magnetic</v>
      </c>
      <c r="B312" t="str">
        <f t="shared" si="33"/>
        <v>Fluorescent - CFL - Pin Base 7W, 2-lamp Magnetic</v>
      </c>
      <c r="C312" t="s">
        <v>254</v>
      </c>
      <c r="D312" t="s">
        <v>1821</v>
      </c>
      <c r="E312" t="s">
        <v>1825</v>
      </c>
      <c r="F312">
        <v>18</v>
      </c>
      <c r="G312" t="str">
        <f t="shared" si="32"/>
        <v>Fluorescent - CFL - Pin Base</v>
      </c>
    </row>
    <row r="313" spans="1:7">
      <c r="A313" t="str">
        <f t="shared" si="30"/>
        <v>Fluorescent - CFL - Pin Base 9W, 1-lamp Magnetic</v>
      </c>
      <c r="B313" t="str">
        <f t="shared" si="33"/>
        <v>Fluorescent - CFL - Pin Base 9W, 1-lamp Magnetic</v>
      </c>
      <c r="C313" t="s">
        <v>254</v>
      </c>
      <c r="D313" t="s">
        <v>1821</v>
      </c>
      <c r="E313" t="s">
        <v>1826</v>
      </c>
      <c r="F313">
        <v>10</v>
      </c>
      <c r="G313" t="str">
        <f t="shared" si="32"/>
        <v>Fluorescent - CFL - Pin Base</v>
      </c>
    </row>
    <row r="314" spans="1:7">
      <c r="A314" t="str">
        <f t="shared" si="30"/>
        <v>Fluorescent - CFL - Pin Base 9,W, 2-lamp Magnetic</v>
      </c>
      <c r="B314" t="str">
        <f t="shared" si="33"/>
        <v>Fluorescent - CFL - Pin Base 9,W, 2-lamp Magnetic</v>
      </c>
      <c r="C314" t="s">
        <v>254</v>
      </c>
      <c r="D314" t="s">
        <v>1821</v>
      </c>
      <c r="E314" t="s">
        <v>1827</v>
      </c>
      <c r="F314">
        <v>20</v>
      </c>
      <c r="G314" t="str">
        <f t="shared" si="32"/>
        <v>Fluorescent - CFL - Pin Base</v>
      </c>
    </row>
    <row r="315" spans="1:7">
      <c r="A315" t="str">
        <f t="shared" si="30"/>
        <v>Fluorescent - CFL - Pin Base 13W, 1-lamp Magnetic</v>
      </c>
      <c r="B315" t="str">
        <f t="shared" si="33"/>
        <v>Fluorescent - CFL - Pin Base 13W, 1-lamp Magnetic</v>
      </c>
      <c r="C315" t="s">
        <v>254</v>
      </c>
      <c r="D315" t="s">
        <v>1821</v>
      </c>
      <c r="E315" t="s">
        <v>1828</v>
      </c>
      <c r="F315">
        <v>16</v>
      </c>
      <c r="G315" t="str">
        <f t="shared" si="32"/>
        <v>Fluorescent - CFL - Pin Base</v>
      </c>
    </row>
    <row r="316" spans="1:7">
      <c r="A316" t="str">
        <f t="shared" si="30"/>
        <v>Fluorescent - CFL - Pin Base 13W, 2-lamp Magnetic</v>
      </c>
      <c r="B316" t="str">
        <f t="shared" si="33"/>
        <v>Fluorescent - CFL - Pin Base 13W, 2-lamp Magnetic</v>
      </c>
      <c r="C316" t="s">
        <v>254</v>
      </c>
      <c r="D316" t="s">
        <v>1821</v>
      </c>
      <c r="E316" t="s">
        <v>1829</v>
      </c>
      <c r="F316">
        <v>32</v>
      </c>
      <c r="G316" t="str">
        <f t="shared" si="32"/>
        <v>Fluorescent - CFL - Pin Base</v>
      </c>
    </row>
    <row r="317" spans="1:7">
      <c r="A317" t="str">
        <f t="shared" si="30"/>
        <v>Fluorescent - CFL - Pin Base 18W, 1-lamp Magnetic</v>
      </c>
      <c r="B317" t="str">
        <f t="shared" si="33"/>
        <v>Fluorescent - CFL - Pin Base 18W, 1-lamp Magnetic</v>
      </c>
      <c r="C317" t="s">
        <v>254</v>
      </c>
      <c r="D317" t="s">
        <v>1821</v>
      </c>
      <c r="E317" t="s">
        <v>1830</v>
      </c>
      <c r="F317">
        <v>19</v>
      </c>
      <c r="G317" t="str">
        <f t="shared" si="32"/>
        <v>Fluorescent - CFL - Pin Base</v>
      </c>
    </row>
    <row r="318" spans="1:7">
      <c r="A318" t="str">
        <f t="shared" si="30"/>
        <v>Fluorescent - CFL - Pin Base 18W, 2-lamp Magnetic</v>
      </c>
      <c r="B318" t="str">
        <f t="shared" si="33"/>
        <v>Fluorescent - CFL - Pin Base 18W, 2-lamp Magnetic</v>
      </c>
      <c r="C318" t="s">
        <v>254</v>
      </c>
      <c r="D318" t="s">
        <v>1821</v>
      </c>
      <c r="E318" t="s">
        <v>1831</v>
      </c>
      <c r="F318">
        <v>38</v>
      </c>
      <c r="G318" t="str">
        <f t="shared" si="32"/>
        <v>Fluorescent - CFL - Pin Base</v>
      </c>
    </row>
    <row r="319" spans="1:7">
      <c r="A319" t="str">
        <f t="shared" si="30"/>
        <v>Fluorescent - CFL - Pin Base 26W, 1-lamp Magnetic</v>
      </c>
      <c r="B319" t="str">
        <f t="shared" si="33"/>
        <v>Fluorescent - CFL - Pin Base 26W, 1-lamp Magnetic</v>
      </c>
      <c r="C319" t="s">
        <v>254</v>
      </c>
      <c r="D319" t="s">
        <v>1821</v>
      </c>
      <c r="E319" t="s">
        <v>1832</v>
      </c>
      <c r="F319">
        <v>27</v>
      </c>
      <c r="G319" t="str">
        <f t="shared" si="32"/>
        <v>Fluorescent - CFL - Pin Base</v>
      </c>
    </row>
    <row r="320" spans="1:7">
      <c r="A320" t="str">
        <f t="shared" si="30"/>
        <v>Fluorescent - CFL - Pin Base 26W, 2-lamp Magnetic</v>
      </c>
      <c r="B320" t="str">
        <f t="shared" si="33"/>
        <v>Fluorescent - CFL - Pin Base 26W, 2-lamp Magnetic</v>
      </c>
      <c r="C320" t="s">
        <v>254</v>
      </c>
      <c r="D320" t="s">
        <v>1821</v>
      </c>
      <c r="E320" t="s">
        <v>1833</v>
      </c>
      <c r="F320">
        <v>54</v>
      </c>
      <c r="G320" t="str">
        <f t="shared" si="32"/>
        <v>Fluorescent - CFL - Pin Base</v>
      </c>
    </row>
    <row r="321" spans="1:7">
      <c r="A321" t="str">
        <f t="shared" si="30"/>
        <v>Fluorescent - CFL - Pin Base 13W, 1-lamp Electronic</v>
      </c>
      <c r="B321" t="str">
        <f t="shared" si="33"/>
        <v>Fluorescent - CFL - Pin Base 13W, 1-lamp Electronic</v>
      </c>
      <c r="C321" t="s">
        <v>254</v>
      </c>
      <c r="D321" t="s">
        <v>1821</v>
      </c>
      <c r="E321" t="s">
        <v>1834</v>
      </c>
      <c r="F321">
        <v>13</v>
      </c>
      <c r="G321" t="str">
        <f t="shared" si="32"/>
        <v>Fluorescent - CFL - Pin Base</v>
      </c>
    </row>
    <row r="322" spans="1:7">
      <c r="A322" t="str">
        <f t="shared" si="30"/>
        <v>Fluorescent - CFL - Pin Base 13W, 2-lamp Electronic</v>
      </c>
      <c r="B322" t="str">
        <f t="shared" si="33"/>
        <v>Fluorescent - CFL - Pin Base 13W, 2-lamp Electronic</v>
      </c>
      <c r="C322" t="s">
        <v>254</v>
      </c>
      <c r="D322" t="s">
        <v>1821</v>
      </c>
      <c r="E322" t="s">
        <v>1835</v>
      </c>
      <c r="F322">
        <v>26</v>
      </c>
      <c r="G322" t="str">
        <f t="shared" si="32"/>
        <v>Fluorescent - CFL - Pin Base</v>
      </c>
    </row>
    <row r="323" spans="1:7">
      <c r="A323" t="str">
        <f t="shared" si="30"/>
        <v>Fluorescent - CFL - Pin Base 18W, 1-lamp Electronic</v>
      </c>
      <c r="B323" t="str">
        <f t="shared" si="33"/>
        <v>Fluorescent - CFL - Pin Base 18W, 1-lamp Electronic</v>
      </c>
      <c r="C323" t="s">
        <v>254</v>
      </c>
      <c r="D323" t="s">
        <v>1821</v>
      </c>
      <c r="E323" t="s">
        <v>1836</v>
      </c>
      <c r="F323">
        <v>18</v>
      </c>
      <c r="G323" t="str">
        <f t="shared" si="32"/>
        <v>Fluorescent - CFL - Pin Base</v>
      </c>
    </row>
    <row r="324" spans="1:7">
      <c r="A324" t="str">
        <f t="shared" si="30"/>
        <v>Fluorescent - CFL - Pin Base 18W, 2-lamp Electronic</v>
      </c>
      <c r="B324" t="str">
        <f t="shared" si="33"/>
        <v>Fluorescent - CFL - Pin Base 18W, 2-lamp Electronic</v>
      </c>
      <c r="C324" t="s">
        <v>254</v>
      </c>
      <c r="D324" t="s">
        <v>1821</v>
      </c>
      <c r="E324" t="s">
        <v>1837</v>
      </c>
      <c r="F324">
        <v>36</v>
      </c>
      <c r="G324" t="str">
        <f t="shared" si="32"/>
        <v>Fluorescent - CFL - Pin Base</v>
      </c>
    </row>
    <row r="325" spans="1:7">
      <c r="A325" t="str">
        <f t="shared" si="30"/>
        <v>Fluorescent - CFL - Pin Base 26W, 1-lamp Electronic</v>
      </c>
      <c r="B325" t="str">
        <f t="shared" si="33"/>
        <v>Fluorescent - CFL - Pin Base 26W, 1-lamp Electronic</v>
      </c>
      <c r="C325" t="s">
        <v>254</v>
      </c>
      <c r="D325" t="s">
        <v>1821</v>
      </c>
      <c r="E325" t="s">
        <v>1838</v>
      </c>
      <c r="F325">
        <v>26</v>
      </c>
      <c r="G325" t="str">
        <f t="shared" si="32"/>
        <v>Fluorescent - CFL - Pin Base</v>
      </c>
    </row>
    <row r="326" spans="1:7">
      <c r="A326" t="str">
        <f t="shared" si="30"/>
        <v>Fluorescent - CFL - Pin Base 26W, 2-lamp Electronic</v>
      </c>
      <c r="B326" t="str">
        <f t="shared" si="33"/>
        <v>Fluorescent - CFL - Pin Base 26W, 2-lamp Electronic</v>
      </c>
      <c r="C326" t="s">
        <v>254</v>
      </c>
      <c r="D326" t="s">
        <v>1821</v>
      </c>
      <c r="E326" t="s">
        <v>1839</v>
      </c>
      <c r="F326">
        <v>52</v>
      </c>
      <c r="G326" t="str">
        <f t="shared" si="32"/>
        <v>Fluorescent - CFL - Pin Base</v>
      </c>
    </row>
    <row r="327" spans="1:7">
      <c r="A327" t="str">
        <f t="shared" si="30"/>
        <v>Fluorescent - CFL - Pin Base 32W, 1-lamp Electronic</v>
      </c>
      <c r="B327" t="str">
        <f t="shared" si="33"/>
        <v>Fluorescent - CFL - Pin Base 32W, 1-lamp Electronic</v>
      </c>
      <c r="C327" t="s">
        <v>254</v>
      </c>
      <c r="D327" t="s">
        <v>1821</v>
      </c>
      <c r="E327" t="s">
        <v>1840</v>
      </c>
      <c r="F327">
        <v>32</v>
      </c>
      <c r="G327" t="str">
        <f t="shared" si="32"/>
        <v>Fluorescent - CFL - Pin Base</v>
      </c>
    </row>
    <row r="328" spans="1:7">
      <c r="A328" t="str">
        <f t="shared" si="30"/>
        <v>Fluorescent - CFL - Pin Base 32W, 2-lamp Electronic</v>
      </c>
      <c r="B328" t="str">
        <f t="shared" si="33"/>
        <v>Fluorescent - CFL - Pin Base 32W, 2-lamp Electronic</v>
      </c>
      <c r="C328" t="s">
        <v>254</v>
      </c>
      <c r="D328" t="s">
        <v>1821</v>
      </c>
      <c r="E328" t="s">
        <v>1841</v>
      </c>
      <c r="F328">
        <v>64</v>
      </c>
      <c r="G328" t="str">
        <f t="shared" si="32"/>
        <v>Fluorescent - CFL - Pin Base</v>
      </c>
    </row>
    <row r="329" spans="1:7">
      <c r="A329" t="str">
        <f t="shared" si="30"/>
        <v>Fluorescent - CFL - Pin Base 42W, 1-lamp Electronic</v>
      </c>
      <c r="B329" t="str">
        <f t="shared" si="33"/>
        <v>Fluorescent - CFL - Pin Base 42W, 1-lamp Electronic</v>
      </c>
      <c r="C329" t="s">
        <v>254</v>
      </c>
      <c r="D329" t="s">
        <v>1821</v>
      </c>
      <c r="E329" t="s">
        <v>1842</v>
      </c>
      <c r="F329">
        <v>42</v>
      </c>
      <c r="G329" t="str">
        <f t="shared" si="32"/>
        <v>Fluorescent - CFL - Pin Base</v>
      </c>
    </row>
    <row r="330" spans="1:7">
      <c r="A330" t="str">
        <f t="shared" si="30"/>
        <v>Fluorescent - CFL - Pin Base 42W, 2-lamp Electronic</v>
      </c>
      <c r="B330" t="str">
        <f t="shared" si="33"/>
        <v>Fluorescent - CFL - Pin Base 42W, 2-lamp Electronic</v>
      </c>
      <c r="C330" t="s">
        <v>254</v>
      </c>
      <c r="D330" t="s">
        <v>1821</v>
      </c>
      <c r="E330" t="s">
        <v>1843</v>
      </c>
      <c r="F330">
        <v>84</v>
      </c>
      <c r="G330" t="str">
        <f t="shared" si="32"/>
        <v>Fluorescent - CFL - Pin Base</v>
      </c>
    </row>
    <row r="332" spans="1:7">
      <c r="A332" t="str">
        <f t="shared" si="30"/>
        <v xml:space="preserve"> -  Street Lighting (Pole Services)</v>
      </c>
      <c r="B332" t="str">
        <f t="shared" ref="B332:B352" si="34">CONCATENATE(C332," - ",E332)</f>
        <v xml:space="preserve"> - Street Lighting (Pole Services)</v>
      </c>
      <c r="E332" t="s">
        <v>1844</v>
      </c>
    </row>
    <row r="333" spans="1:7">
      <c r="A333" t="str">
        <f t="shared" si="30"/>
        <v xml:space="preserve"> -  Street Light (43W)</v>
      </c>
      <c r="B333" t="str">
        <f t="shared" si="34"/>
        <v xml:space="preserve"> - Street Light (43W)</v>
      </c>
      <c r="E333" t="s">
        <v>1845</v>
      </c>
      <c r="F333">
        <v>43</v>
      </c>
    </row>
    <row r="334" spans="1:7">
      <c r="A334" t="str">
        <f t="shared" si="30"/>
        <v xml:space="preserve"> -  Street Light (51W)</v>
      </c>
      <c r="B334" t="str">
        <f t="shared" si="34"/>
        <v xml:space="preserve"> - Street Light (51W)</v>
      </c>
      <c r="E334" t="s">
        <v>1846</v>
      </c>
      <c r="F334">
        <v>51</v>
      </c>
    </row>
    <row r="335" spans="1:7">
      <c r="A335" t="str">
        <f t="shared" si="30"/>
        <v xml:space="preserve"> -  Street Light (52W)</v>
      </c>
      <c r="B335" t="str">
        <f t="shared" si="34"/>
        <v xml:space="preserve"> - Street Light (52W)</v>
      </c>
      <c r="E335" t="s">
        <v>1847</v>
      </c>
      <c r="F335">
        <v>52</v>
      </c>
    </row>
    <row r="336" spans="1:7">
      <c r="A336" t="str">
        <f t="shared" si="30"/>
        <v xml:space="preserve"> -  Street Light (53W)</v>
      </c>
      <c r="B336" t="str">
        <f t="shared" si="34"/>
        <v xml:space="preserve"> - Street Light (53W)</v>
      </c>
      <c r="E336" t="s">
        <v>1848</v>
      </c>
      <c r="F336">
        <v>53</v>
      </c>
    </row>
    <row r="337" spans="1:6">
      <c r="A337" t="str">
        <f t="shared" si="30"/>
        <v xml:space="preserve"> -  Street Light (60W)</v>
      </c>
      <c r="B337" t="str">
        <f t="shared" si="34"/>
        <v xml:space="preserve"> - Street Light (60W)</v>
      </c>
      <c r="E337" t="s">
        <v>1849</v>
      </c>
      <c r="F337">
        <v>60</v>
      </c>
    </row>
    <row r="338" spans="1:6">
      <c r="A338" t="str">
        <f t="shared" si="30"/>
        <v xml:space="preserve"> -  Street Light (70W)</v>
      </c>
      <c r="B338" t="str">
        <f t="shared" si="34"/>
        <v xml:space="preserve"> - Street Light (70W)</v>
      </c>
      <c r="E338" t="s">
        <v>1850</v>
      </c>
      <c r="F338">
        <v>70</v>
      </c>
    </row>
    <row r="339" spans="1:6">
      <c r="A339" t="str">
        <f t="shared" si="30"/>
        <v xml:space="preserve"> -  Street Light (73W)</v>
      </c>
      <c r="B339" t="str">
        <f t="shared" si="34"/>
        <v xml:space="preserve"> - Street Light (73W)</v>
      </c>
      <c r="E339" t="s">
        <v>1851</v>
      </c>
      <c r="F339">
        <v>73</v>
      </c>
    </row>
    <row r="340" spans="1:6">
      <c r="A340" t="str">
        <f t="shared" ref="A340:A352" si="35">CONCATENATE(C340," - ",D340," ",E340)</f>
        <v xml:space="preserve"> -  Street Light (75W)</v>
      </c>
      <c r="B340" t="str">
        <f t="shared" si="34"/>
        <v xml:space="preserve"> - Street Light (75W)</v>
      </c>
      <c r="E340" t="s">
        <v>1852</v>
      </c>
      <c r="F340">
        <v>75</v>
      </c>
    </row>
    <row r="341" spans="1:6">
      <c r="A341" t="str">
        <f t="shared" si="35"/>
        <v xml:space="preserve"> -  Street Light (99W)</v>
      </c>
      <c r="B341" t="str">
        <f t="shared" si="34"/>
        <v xml:space="preserve"> - Street Light (99W)</v>
      </c>
      <c r="E341" t="s">
        <v>1853</v>
      </c>
      <c r="F341">
        <v>99</v>
      </c>
    </row>
    <row r="342" spans="1:6">
      <c r="A342" t="str">
        <f t="shared" si="35"/>
        <v xml:space="preserve"> -  Street Light (100W)</v>
      </c>
      <c r="B342" t="str">
        <f t="shared" si="34"/>
        <v xml:space="preserve"> - Street Light (100W)</v>
      </c>
      <c r="E342" t="s">
        <v>1854</v>
      </c>
      <c r="F342">
        <v>100</v>
      </c>
    </row>
    <row r="343" spans="1:6">
      <c r="A343" t="str">
        <f t="shared" si="35"/>
        <v xml:space="preserve"> -  Street Light (102W)</v>
      </c>
      <c r="B343" t="str">
        <f t="shared" si="34"/>
        <v xml:space="preserve"> - Street Light (102W)</v>
      </c>
      <c r="E343" t="s">
        <v>1855</v>
      </c>
      <c r="F343">
        <v>102</v>
      </c>
    </row>
    <row r="344" spans="1:6">
      <c r="A344" t="str">
        <f t="shared" si="35"/>
        <v xml:space="preserve"> -  Street Light (107W)</v>
      </c>
      <c r="B344" t="str">
        <f t="shared" si="34"/>
        <v xml:space="preserve"> - Street Light (107W)</v>
      </c>
      <c r="E344" t="s">
        <v>1856</v>
      </c>
      <c r="F344">
        <v>107</v>
      </c>
    </row>
    <row r="345" spans="1:6">
      <c r="A345" t="str">
        <f t="shared" si="35"/>
        <v xml:space="preserve"> -  Street Light (133W)</v>
      </c>
      <c r="B345" t="str">
        <f t="shared" si="34"/>
        <v xml:space="preserve"> - Street Light (133W)</v>
      </c>
      <c r="E345" t="s">
        <v>1857</v>
      </c>
      <c r="F345">
        <v>133</v>
      </c>
    </row>
    <row r="346" spans="1:6">
      <c r="A346" t="str">
        <f t="shared" si="35"/>
        <v xml:space="preserve"> -  Street Light (138W)</v>
      </c>
      <c r="B346" t="str">
        <f t="shared" si="34"/>
        <v xml:space="preserve"> - Street Light (138W)</v>
      </c>
      <c r="E346" t="s">
        <v>1858</v>
      </c>
      <c r="F346">
        <v>138</v>
      </c>
    </row>
    <row r="347" spans="1:6">
      <c r="A347" t="str">
        <f t="shared" si="35"/>
        <v xml:space="preserve"> -  Street Light (151W)</v>
      </c>
      <c r="B347" t="str">
        <f t="shared" si="34"/>
        <v xml:space="preserve"> - Street Light (151W)</v>
      </c>
      <c r="E347" t="s">
        <v>1859</v>
      </c>
      <c r="F347">
        <v>151</v>
      </c>
    </row>
    <row r="348" spans="1:6">
      <c r="A348" t="str">
        <f t="shared" si="35"/>
        <v xml:space="preserve"> -  Street Light (197W)</v>
      </c>
      <c r="B348" t="str">
        <f t="shared" si="34"/>
        <v xml:space="preserve"> - Street Light (197W)</v>
      </c>
      <c r="E348" t="s">
        <v>1860</v>
      </c>
      <c r="F348">
        <v>197</v>
      </c>
    </row>
    <row r="349" spans="1:6">
      <c r="A349" t="str">
        <f t="shared" si="35"/>
        <v xml:space="preserve"> -  Street Light (198W)</v>
      </c>
      <c r="B349" t="str">
        <f t="shared" si="34"/>
        <v xml:space="preserve"> - Street Light (198W)</v>
      </c>
      <c r="E349" t="s">
        <v>1861</v>
      </c>
      <c r="F349">
        <v>198</v>
      </c>
    </row>
    <row r="350" spans="1:6">
      <c r="A350" t="str">
        <f t="shared" si="35"/>
        <v xml:space="preserve"> -  Street Light (213W)</v>
      </c>
      <c r="B350" t="str">
        <f t="shared" si="34"/>
        <v xml:space="preserve"> - Street Light (213W)</v>
      </c>
      <c r="E350" t="s">
        <v>1862</v>
      </c>
      <c r="F350">
        <v>213</v>
      </c>
    </row>
    <row r="351" spans="1:6">
      <c r="A351" t="str">
        <f t="shared" si="35"/>
        <v xml:space="preserve"> -  Street Light (260W)</v>
      </c>
      <c r="B351" t="str">
        <f t="shared" si="34"/>
        <v xml:space="preserve"> - Street Light (260W)</v>
      </c>
      <c r="E351" t="s">
        <v>1863</v>
      </c>
      <c r="F351">
        <v>260</v>
      </c>
    </row>
    <row r="352" spans="1:6">
      <c r="A352" t="str">
        <f t="shared" si="35"/>
        <v xml:space="preserve"> -  Street Light (285W)</v>
      </c>
      <c r="B352" t="str">
        <f t="shared" si="34"/>
        <v xml:space="preserve"> - Street Light (285W)</v>
      </c>
      <c r="E352" t="s">
        <v>1864</v>
      </c>
      <c r="F352">
        <v>285</v>
      </c>
    </row>
    <row r="360" spans="5:6">
      <c r="E360" t="s">
        <v>1865</v>
      </c>
    </row>
    <row r="361" spans="5:6">
      <c r="E361" t="s">
        <v>1866</v>
      </c>
      <c r="F361">
        <v>150</v>
      </c>
    </row>
    <row r="362" spans="5:6">
      <c r="E362" t="s">
        <v>1867</v>
      </c>
    </row>
    <row r="366" spans="5:6">
      <c r="E366" t="s">
        <v>1651</v>
      </c>
    </row>
    <row r="367" spans="5:6">
      <c r="E367" t="s">
        <v>1868</v>
      </c>
      <c r="F367">
        <v>0</v>
      </c>
    </row>
  </sheetData>
  <sheetProtection algorithmName="SHA-512" hashValue="XqK8BQKKUavwPuFE2ZStyVL8NssAqhTZCMzH+COYFvUOGrk+EeyGvPP6GvshGnW5RidlfS+XsMu8e/BR24m44A==" saltValue="F6TNF2ihmrSs9QEUEVJm4w==" spinCount="100000" sheet="1" objects="1" scenarios="1"/>
  <phoneticPr fontId="23"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B1:CZ103"/>
  <sheetViews>
    <sheetView topLeftCell="Y6" workbookViewId="0">
      <selection activeCell="AG40" sqref="AG40"/>
    </sheetView>
  </sheetViews>
  <sheetFormatPr defaultRowHeight="14.95" customHeight="1"/>
  <cols>
    <col min="1" max="1" width="2.625" customWidth="1"/>
    <col min="10" max="10" width="23.875" bestFit="1" customWidth="1"/>
    <col min="12" max="12" width="3.75" bestFit="1" customWidth="1"/>
    <col min="13" max="13" width="12" bestFit="1" customWidth="1"/>
    <col min="16" max="16" width="3.625" customWidth="1"/>
    <col min="20" max="20" width="32.375" bestFit="1" customWidth="1"/>
    <col min="21" max="21" width="23.375" customWidth="1"/>
    <col min="23" max="23" width="22.625" bestFit="1" customWidth="1"/>
    <col min="26" max="26" width="20.375" customWidth="1"/>
    <col min="27" max="27" width="21.125" bestFit="1" customWidth="1"/>
    <col min="28" max="28" width="18.625" customWidth="1"/>
    <col min="29" max="29" width="17.625" customWidth="1"/>
    <col min="30" max="30" width="21.875" bestFit="1" customWidth="1"/>
    <col min="31" max="31" width="7.875" customWidth="1"/>
    <col min="33" max="33" width="23.625" bestFit="1" customWidth="1"/>
    <col min="34" max="34" width="27.125" bestFit="1" customWidth="1"/>
    <col min="35" max="35" width="19.125" bestFit="1" customWidth="1"/>
    <col min="36" max="36" width="6.375" bestFit="1" customWidth="1"/>
    <col min="37" max="37" width="22" bestFit="1" customWidth="1"/>
    <col min="38" max="38" width="4.625" bestFit="1" customWidth="1"/>
    <col min="39" max="39" width="6" bestFit="1" customWidth="1"/>
    <col min="40" max="40" width="6" customWidth="1"/>
    <col min="42" max="42" width="35" bestFit="1" customWidth="1"/>
    <col min="43" max="43" width="5.375" customWidth="1"/>
    <col min="44" max="44" width="20.375" bestFit="1" customWidth="1"/>
    <col min="46" max="46" width="26.625" bestFit="1" customWidth="1"/>
    <col min="47" max="47" width="5.375" bestFit="1" customWidth="1"/>
    <col min="48" max="48" width="9.375" bestFit="1" customWidth="1"/>
    <col min="49" max="49" width="9.375" customWidth="1"/>
    <col min="51" max="51" width="51.875" bestFit="1" customWidth="1"/>
    <col min="52" max="52" width="13.875" bestFit="1" customWidth="1"/>
    <col min="54" max="54" width="28" customWidth="1"/>
    <col min="55" max="55" width="11" customWidth="1"/>
    <col min="56" max="56" width="22" bestFit="1" customWidth="1"/>
    <col min="57" max="57" width="22.375" bestFit="1" customWidth="1"/>
    <col min="59" max="59" width="9.375" bestFit="1" customWidth="1"/>
    <col min="60" max="60" width="63" bestFit="1" customWidth="1"/>
    <col min="62" max="62" width="22" bestFit="1" customWidth="1"/>
    <col min="63" max="63" width="13.375" bestFit="1" customWidth="1"/>
    <col min="64" max="64" width="16.375" bestFit="1" customWidth="1"/>
    <col min="66" max="67" width="12.375" customWidth="1"/>
    <col min="69" max="69" width="22.375" bestFit="1" customWidth="1"/>
    <col min="72" max="72" width="24" bestFit="1" customWidth="1"/>
    <col min="73" max="73" width="10.875" bestFit="1" customWidth="1"/>
    <col min="76" max="76" width="22.375" customWidth="1"/>
    <col min="101" max="101" width="64.375" bestFit="1" customWidth="1"/>
    <col min="102" max="102" width="19" bestFit="1" customWidth="1"/>
    <col min="103" max="103" width="9" bestFit="1" customWidth="1"/>
    <col min="104" max="104" width="28.375" customWidth="1"/>
  </cols>
  <sheetData>
    <row r="1" spans="2:104" ht="28.55">
      <c r="F1" s="1322" t="str">
        <f>B2</f>
        <v>Business Lighting</v>
      </c>
      <c r="G1" s="12" t="s">
        <v>1869</v>
      </c>
      <c r="H1" s="1322" t="s">
        <v>1870</v>
      </c>
      <c r="K1" s="12">
        <f>H2</f>
        <v>2</v>
      </c>
      <c r="N1" s="1322" t="s">
        <v>1871</v>
      </c>
      <c r="O1" s="1322" t="s">
        <v>1872</v>
      </c>
      <c r="Q1" s="1322" t="s">
        <v>1873</v>
      </c>
      <c r="R1" s="1322" t="s">
        <v>1874</v>
      </c>
      <c r="Z1" t="s">
        <v>1875</v>
      </c>
      <c r="AG1">
        <v>1</v>
      </c>
      <c r="AH1">
        <v>2</v>
      </c>
      <c r="AI1">
        <v>3</v>
      </c>
      <c r="AJ1">
        <v>4</v>
      </c>
      <c r="AK1">
        <v>5</v>
      </c>
      <c r="AL1">
        <v>6</v>
      </c>
      <c r="AM1">
        <v>7</v>
      </c>
      <c r="AN1">
        <v>8</v>
      </c>
      <c r="AP1" t="s">
        <v>1876</v>
      </c>
      <c r="AQ1" s="12"/>
      <c r="AY1" s="50" t="s">
        <v>1877</v>
      </c>
      <c r="BB1" s="50" t="s">
        <v>1878</v>
      </c>
      <c r="BJ1" s="117" t="s">
        <v>1879</v>
      </c>
      <c r="BK1" s="440"/>
      <c r="BL1" s="440"/>
      <c r="BX1" cm="1">
        <f t="array" ref="BX1">MIN(IF($BX3:$BX48="",ROW($BX3:$BX48)))-1</f>
        <v>35</v>
      </c>
      <c r="CA1" s="2658" t="s">
        <v>1880</v>
      </c>
      <c r="CB1" s="2659"/>
      <c r="CC1" s="2660"/>
      <c r="CG1" t="s">
        <v>1881</v>
      </c>
      <c r="CK1" t="s">
        <v>1881</v>
      </c>
      <c r="CN1" t="s">
        <v>1881</v>
      </c>
      <c r="CQ1" t="s">
        <v>1881</v>
      </c>
      <c r="CW1" s="414" t="s">
        <v>128</v>
      </c>
      <c r="CX1" s="415" t="s">
        <v>1882</v>
      </c>
      <c r="CY1" s="416" t="s">
        <v>1883</v>
      </c>
      <c r="CZ1" s="417" t="s">
        <v>1884</v>
      </c>
    </row>
    <row r="2" spans="2:104" ht="14.3">
      <c r="B2" s="2662" t="s">
        <v>1885</v>
      </c>
      <c r="C2" s="2663"/>
      <c r="D2" s="12" t="s">
        <v>1886</v>
      </c>
      <c r="E2" s="750" t="b">
        <f>IF(B2="Business Lighting",TRUE,FALSE)</f>
        <v>1</v>
      </c>
      <c r="F2" s="12">
        <f>IF(__BLi?=TRUE,2,5)</f>
        <v>2</v>
      </c>
      <c r="G2" s="12">
        <f>IF(__BLi?=TRUE,IF(K26=TRUE,1,0),IF(K27=TRUE,1,0))</f>
        <v>0</v>
      </c>
      <c r="H2" s="12">
        <f>SUM(F2:G2)</f>
        <v>2</v>
      </c>
      <c r="J2" t="s">
        <v>218</v>
      </c>
      <c r="K2" s="748">
        <f>VLOOKUP(J2,M2:R10,K$1,FALSE)</f>
        <v>4</v>
      </c>
      <c r="M2" t="s">
        <v>218</v>
      </c>
      <c r="N2" s="880">
        <v>4</v>
      </c>
      <c r="O2" s="880">
        <v>4</v>
      </c>
      <c r="Q2" s="880">
        <v>4</v>
      </c>
      <c r="R2" s="880">
        <v>4</v>
      </c>
      <c r="T2" s="20" t="s">
        <v>1887</v>
      </c>
      <c r="U2" s="21" t="s">
        <v>1888</v>
      </c>
      <c r="W2" s="20" t="s">
        <v>221</v>
      </c>
      <c r="X2" s="36" t="s">
        <v>390</v>
      </c>
      <c r="Z2" s="20" t="s">
        <v>1889</v>
      </c>
      <c r="AA2" s="28" t="s">
        <v>1890</v>
      </c>
      <c r="AB2" s="28" t="s">
        <v>1891</v>
      </c>
      <c r="AC2" s="28" t="s">
        <v>1892</v>
      </c>
      <c r="AD2" s="28" t="s">
        <v>1893</v>
      </c>
      <c r="AE2" s="21" t="s">
        <v>1894</v>
      </c>
      <c r="AG2" s="20" t="s">
        <v>356</v>
      </c>
      <c r="AH2" s="20" t="s">
        <v>1895</v>
      </c>
      <c r="AI2" s="20" t="s">
        <v>347</v>
      </c>
      <c r="AJ2" s="28" t="s">
        <v>385</v>
      </c>
      <c r="AK2" s="28" t="s">
        <v>218</v>
      </c>
      <c r="AL2" s="28" t="s">
        <v>385</v>
      </c>
      <c r="AM2" s="21" t="s">
        <v>591</v>
      </c>
      <c r="AN2" s="102"/>
      <c r="AP2" t="s">
        <v>1896</v>
      </c>
      <c r="AQ2" s="12"/>
      <c r="AT2" s="20" t="s">
        <v>1897</v>
      </c>
      <c r="AU2" s="102" t="s">
        <v>221</v>
      </c>
      <c r="AV2" s="102" t="s">
        <v>257</v>
      </c>
      <c r="AW2" s="102"/>
      <c r="AY2" s="20" t="s">
        <v>1898</v>
      </c>
      <c r="AZ2" s="20" t="s">
        <v>1898</v>
      </c>
      <c r="BB2" s="462" t="s">
        <v>339</v>
      </c>
      <c r="BC2" s="462" t="s">
        <v>395</v>
      </c>
      <c r="BD2" s="463" t="s">
        <v>1595</v>
      </c>
      <c r="BE2" s="462" t="s">
        <v>385</v>
      </c>
      <c r="BG2" s="20" t="s">
        <v>395</v>
      </c>
      <c r="BH2" s="21" t="s">
        <v>396</v>
      </c>
      <c r="BJ2" s="20" t="s">
        <v>1899</v>
      </c>
      <c r="BK2" s="70" t="s">
        <v>1900</v>
      </c>
      <c r="BL2" s="36" t="s">
        <v>1901</v>
      </c>
      <c r="BN2" s="2661" t="s">
        <v>1902</v>
      </c>
      <c r="BO2" s="2661"/>
      <c r="BQ2" s="141" t="s">
        <v>1903</v>
      </c>
      <c r="BT2" s="50" t="s">
        <v>1904</v>
      </c>
      <c r="BU2" s="12"/>
      <c r="BX2" s="898" t="s">
        <v>1905</v>
      </c>
      <c r="BY2" s="12">
        <f>SUM(BY3:BY50)</f>
        <v>33</v>
      </c>
      <c r="CA2" s="2658" t="s">
        <v>1906</v>
      </c>
      <c r="CB2" s="2659"/>
      <c r="CC2" s="2660"/>
      <c r="CG2" t="s">
        <v>1907</v>
      </c>
      <c r="CK2" t="s">
        <v>1908</v>
      </c>
      <c r="CN2">
        <v>2020</v>
      </c>
      <c r="CQ2" t="s">
        <v>1909</v>
      </c>
      <c r="CR2">
        <v>110</v>
      </c>
      <c r="CT2">
        <v>2019</v>
      </c>
      <c r="CU2" t="s">
        <v>1910</v>
      </c>
      <c r="CW2" s="899" t="s">
        <v>744</v>
      </c>
      <c r="CX2" s="900" t="s">
        <v>1911</v>
      </c>
      <c r="CY2" s="901">
        <v>132</v>
      </c>
      <c r="CZ2" s="902">
        <v>2700</v>
      </c>
    </row>
    <row r="3" spans="2:104" ht="14.3">
      <c r="B3" s="2662" t="s">
        <v>1912</v>
      </c>
      <c r="C3" s="2663"/>
      <c r="J3" t="s">
        <v>1913</v>
      </c>
      <c r="K3" s="748">
        <f t="shared" ref="K3:K10" si="0">VLOOKUP(J3,M3:R11,K$1,FALSE)</f>
        <v>0.17</v>
      </c>
      <c r="L3" s="368"/>
      <c r="M3" t="s">
        <v>1913</v>
      </c>
      <c r="N3" s="880">
        <v>0.17</v>
      </c>
      <c r="O3" s="880">
        <v>0.17</v>
      </c>
      <c r="Q3" s="880">
        <v>0.17</v>
      </c>
      <c r="R3" s="880">
        <v>0.17</v>
      </c>
      <c r="T3" s="22" t="s">
        <v>1914</v>
      </c>
      <c r="U3" s="23" t="s">
        <v>1915</v>
      </c>
      <c r="W3" s="22" t="s">
        <v>248</v>
      </c>
      <c r="X3" s="33">
        <v>15</v>
      </c>
      <c r="Z3" s="22" t="s">
        <v>1916</v>
      </c>
      <c r="AA3" s="33" t="s">
        <v>1917</v>
      </c>
      <c r="AB3" s="39">
        <v>1.04</v>
      </c>
      <c r="AC3" s="33" t="s">
        <v>290</v>
      </c>
      <c r="AD3" s="22" t="s">
        <v>1918</v>
      </c>
      <c r="AE3" s="33">
        <v>1</v>
      </c>
      <c r="AG3" s="25" t="s">
        <v>1919</v>
      </c>
      <c r="AH3" s="25" t="str">
        <f>CONCATENATE("Interior ",AG3)</f>
        <v>Interior - Choose Interior Area -</v>
      </c>
      <c r="AI3" s="25" t="str">
        <f>IF(AJ3="No","Controls_Interior_Basic", "Controls_Interior_LLLC")</f>
        <v>Controls_Interior_Basic</v>
      </c>
      <c r="AJ3" s="79" t="s">
        <v>215</v>
      </c>
      <c r="AK3" s="79" t="s">
        <v>1920</v>
      </c>
      <c r="AL3" s="79" t="s">
        <v>215</v>
      </c>
      <c r="AM3" s="34"/>
      <c r="AN3" s="103" t="s">
        <v>1536</v>
      </c>
      <c r="AP3" t="s">
        <v>1921</v>
      </c>
      <c r="AQ3" s="12"/>
      <c r="AT3" s="22" t="s">
        <v>305</v>
      </c>
      <c r="AU3" s="12">
        <v>1</v>
      </c>
      <c r="AV3" s="104">
        <f>K5</f>
        <v>0.3</v>
      </c>
      <c r="AW3" s="108">
        <v>20</v>
      </c>
      <c r="AY3" s="25" t="s">
        <v>1920</v>
      </c>
      <c r="AZ3" s="40">
        <v>1</v>
      </c>
      <c r="BB3" s="529" t="s">
        <v>727</v>
      </c>
      <c r="BC3" s="530">
        <v>2</v>
      </c>
      <c r="BD3" s="531" t="s">
        <v>1920</v>
      </c>
      <c r="BE3" s="530" t="s">
        <v>1922</v>
      </c>
      <c r="BG3" s="40">
        <v>0</v>
      </c>
      <c r="BH3" s="26" t="s">
        <v>1923</v>
      </c>
      <c r="BJ3" s="121" t="s">
        <v>1924</v>
      </c>
      <c r="BK3" s="122">
        <v>8.9414999999999996</v>
      </c>
      <c r="BL3" s="123">
        <v>0</v>
      </c>
      <c r="BN3" s="119" t="s">
        <v>1421</v>
      </c>
      <c r="BO3" s="120">
        <v>2</v>
      </c>
      <c r="BQ3" s="561" t="s">
        <v>165</v>
      </c>
      <c r="BR3" s="12">
        <v>0</v>
      </c>
      <c r="BT3" s="212" t="s">
        <v>1925</v>
      </c>
      <c r="BU3" s="213" t="s">
        <v>805</v>
      </c>
      <c r="BW3">
        <v>1</v>
      </c>
      <c r="BX3" s="1004" t="s">
        <v>1926</v>
      </c>
      <c r="BY3" s="12">
        <f>IF(BX3="",0,1)</f>
        <v>1</v>
      </c>
      <c r="CA3" s="903"/>
      <c r="CB3" s="119" t="s">
        <v>1421</v>
      </c>
      <c r="CC3" s="120">
        <v>2</v>
      </c>
      <c r="CW3" s="904" t="s">
        <v>1927</v>
      </c>
      <c r="CX3" s="905" t="s">
        <v>1911</v>
      </c>
      <c r="CY3" s="906">
        <v>11</v>
      </c>
      <c r="CZ3" s="907">
        <v>3100</v>
      </c>
    </row>
    <row r="4" spans="2:104" ht="14.3">
      <c r="B4" s="2673" t="s">
        <v>1928</v>
      </c>
      <c r="C4" s="2673"/>
      <c r="D4" s="14" t="s">
        <v>1929</v>
      </c>
      <c r="J4" t="s">
        <v>1930</v>
      </c>
      <c r="K4" s="748">
        <f t="shared" si="0"/>
        <v>0.3</v>
      </c>
      <c r="L4" s="368"/>
      <c r="M4" t="s">
        <v>1930</v>
      </c>
      <c r="N4" s="880">
        <v>0.3</v>
      </c>
      <c r="O4" s="880">
        <v>0.4</v>
      </c>
      <c r="Q4" s="880">
        <v>0.25</v>
      </c>
      <c r="R4" s="880">
        <v>0.35</v>
      </c>
      <c r="T4" s="25" t="s">
        <v>1931</v>
      </c>
      <c r="U4" s="26" t="s">
        <v>1932</v>
      </c>
      <c r="W4" s="25" t="s">
        <v>1933</v>
      </c>
      <c r="X4" s="34">
        <v>15</v>
      </c>
      <c r="Z4" s="25" t="s">
        <v>1934</v>
      </c>
      <c r="AA4" s="34" t="s">
        <v>1935</v>
      </c>
      <c r="AB4" s="40">
        <v>0.8</v>
      </c>
      <c r="AC4" s="34" t="s">
        <v>290</v>
      </c>
      <c r="AD4" s="25" t="s">
        <v>1918</v>
      </c>
      <c r="AE4" s="34">
        <v>2</v>
      </c>
      <c r="AG4" s="22" t="s">
        <v>744</v>
      </c>
      <c r="AH4" s="22" t="str">
        <f>CONCATENATE("Interior ",AG4)</f>
        <v>Interior Assembly</v>
      </c>
      <c r="AI4" s="22" t="str">
        <f t="shared" ref="AI4:AI30" si="1">IF(AJ4="No","Controls_Interior_Basic", "Controls_Interior_LLLC")</f>
        <v>Controls_Interior_Basic</v>
      </c>
      <c r="AJ4" s="80" t="s">
        <v>215</v>
      </c>
      <c r="AK4" s="80" t="s">
        <v>1920</v>
      </c>
      <c r="AL4" s="80" t="s">
        <v>215</v>
      </c>
      <c r="AM4" s="33">
        <v>0.61</v>
      </c>
      <c r="AN4" s="103" t="s">
        <v>1536</v>
      </c>
      <c r="AP4" s="20" t="s">
        <v>1456</v>
      </c>
      <c r="AQ4" s="36" t="s">
        <v>591</v>
      </c>
      <c r="AR4" s="36" t="s">
        <v>1458</v>
      </c>
      <c r="AT4" s="30" t="s">
        <v>450</v>
      </c>
      <c r="AU4" s="103">
        <v>2</v>
      </c>
      <c r="AV4" s="105">
        <f>K4</f>
        <v>0.3</v>
      </c>
      <c r="AW4" s="109">
        <v>10</v>
      </c>
      <c r="AY4" s="22" t="s">
        <v>1922</v>
      </c>
      <c r="AZ4" s="39">
        <v>2</v>
      </c>
      <c r="BB4" s="529" t="s">
        <v>730</v>
      </c>
      <c r="BC4" s="530">
        <v>3</v>
      </c>
      <c r="BD4" s="531" t="s">
        <v>1920</v>
      </c>
      <c r="BE4" s="530" t="s">
        <v>1922</v>
      </c>
      <c r="BG4" s="12">
        <v>1</v>
      </c>
      <c r="BH4" t="s">
        <v>1936</v>
      </c>
      <c r="BJ4" s="118" t="s">
        <v>1937</v>
      </c>
      <c r="BK4" s="119">
        <v>8.6790000000000003</v>
      </c>
      <c r="BL4" s="120">
        <v>7.52</v>
      </c>
      <c r="BN4" s="122">
        <v>1</v>
      </c>
      <c r="BO4" s="123">
        <f>ROUND(CH4,2)</f>
        <v>14.19</v>
      </c>
      <c r="BQ4" t="s">
        <v>1938</v>
      </c>
      <c r="BR4" s="12">
        <v>1</v>
      </c>
      <c r="BT4" s="641" t="s">
        <v>1939</v>
      </c>
      <c r="BU4" s="908">
        <v>0</v>
      </c>
      <c r="BW4">
        <v>2</v>
      </c>
      <c r="BX4" s="1005" t="s">
        <v>1940</v>
      </c>
      <c r="BY4" s="12">
        <f t="shared" ref="BY4:BY48" si="2">IF(BX4="",0,1)</f>
        <v>1</v>
      </c>
      <c r="CA4" s="648">
        <f>CG4</f>
        <v>0.141918978</v>
      </c>
      <c r="CB4" s="909">
        <v>1</v>
      </c>
      <c r="CC4" s="910">
        <f>CA4*100</f>
        <v>14.1918978</v>
      </c>
      <c r="CF4">
        <v>1</v>
      </c>
      <c r="CG4">
        <v>0.141918978</v>
      </c>
      <c r="CH4">
        <f>CG4*100</f>
        <v>14.1918978</v>
      </c>
      <c r="CJ4">
        <v>1</v>
      </c>
      <c r="CK4">
        <v>8.7849756394338507E-2</v>
      </c>
      <c r="CL4">
        <f>CK4*100</f>
        <v>8.784975639433851</v>
      </c>
      <c r="CN4">
        <v>8.9787924305943914E-2</v>
      </c>
      <c r="CO4">
        <f>CN4*100</f>
        <v>8.9787924305943907</v>
      </c>
      <c r="CQ4">
        <v>0.10619272716819896</v>
      </c>
      <c r="CR4">
        <f>CQ4*CR$2</f>
        <v>11.681199988501884</v>
      </c>
      <c r="CT4">
        <v>4.7310958709957207</v>
      </c>
      <c r="CU4">
        <v>5.964967103795761</v>
      </c>
      <c r="CW4" s="899" t="s">
        <v>1941</v>
      </c>
      <c r="CX4" s="900" t="s">
        <v>1942</v>
      </c>
      <c r="CY4" s="901">
        <v>4</v>
      </c>
      <c r="CZ4" s="902">
        <v>2100</v>
      </c>
    </row>
    <row r="5" spans="2:104" ht="14.3">
      <c r="B5" s="2674">
        <v>45473</v>
      </c>
      <c r="C5" s="2674"/>
      <c r="D5" s="14" t="s">
        <v>1943</v>
      </c>
      <c r="J5" t="s">
        <v>234</v>
      </c>
      <c r="K5" s="748">
        <f t="shared" si="0"/>
        <v>0.3</v>
      </c>
      <c r="L5" s="368"/>
      <c r="M5" t="s">
        <v>234</v>
      </c>
      <c r="N5" s="880">
        <v>0.3</v>
      </c>
      <c r="O5" s="880">
        <v>0.4</v>
      </c>
      <c r="Q5" s="880">
        <v>0.25</v>
      </c>
      <c r="R5" s="880">
        <v>0.35</v>
      </c>
      <c r="T5" s="22" t="s">
        <v>249</v>
      </c>
      <c r="U5" s="23" t="s">
        <v>1944</v>
      </c>
      <c r="W5" s="22" t="s">
        <v>1945</v>
      </c>
      <c r="X5" s="33">
        <v>15</v>
      </c>
      <c r="Z5" s="22" t="s">
        <v>1946</v>
      </c>
      <c r="AA5" s="33" t="s">
        <v>1947</v>
      </c>
      <c r="AB5" s="39">
        <v>1</v>
      </c>
      <c r="AC5" s="33" t="s">
        <v>290</v>
      </c>
      <c r="AD5" s="22" t="s">
        <v>1918</v>
      </c>
      <c r="AE5" s="33">
        <v>3</v>
      </c>
      <c r="AG5" s="25" t="s">
        <v>745</v>
      </c>
      <c r="AH5" s="25" t="str">
        <f>CONCATENATE("Interior ",AG5)</f>
        <v>Interior Break Room</v>
      </c>
      <c r="AI5" s="25" t="str">
        <f t="shared" si="1"/>
        <v>Controls_Interior_Basic</v>
      </c>
      <c r="AJ5" s="79" t="s">
        <v>215</v>
      </c>
      <c r="AK5" s="79" t="s">
        <v>1920</v>
      </c>
      <c r="AL5" s="79" t="s">
        <v>215</v>
      </c>
      <c r="AM5" s="34">
        <v>0.59</v>
      </c>
      <c r="AN5" s="103" t="s">
        <v>1536</v>
      </c>
      <c r="AP5" s="25" t="s">
        <v>1462</v>
      </c>
      <c r="AQ5" s="41">
        <v>0.64</v>
      </c>
      <c r="AR5" s="25" t="s">
        <v>774</v>
      </c>
      <c r="AT5" s="22" t="s">
        <v>451</v>
      </c>
      <c r="AU5" s="12">
        <v>3</v>
      </c>
      <c r="AV5" s="104">
        <f>K3</f>
        <v>0.17</v>
      </c>
      <c r="AW5" s="108">
        <v>4</v>
      </c>
      <c r="AY5" s="25" t="s">
        <v>1948</v>
      </c>
      <c r="AZ5" s="40">
        <v>3</v>
      </c>
      <c r="BB5" s="529" t="s">
        <v>700</v>
      </c>
      <c r="BC5" s="530">
        <v>4</v>
      </c>
      <c r="BD5" s="531" t="s">
        <v>1920</v>
      </c>
      <c r="BE5" s="530" t="s">
        <v>1922</v>
      </c>
      <c r="BG5" s="40">
        <v>2</v>
      </c>
      <c r="BH5" s="26" t="s">
        <v>1949</v>
      </c>
      <c r="BJ5" s="121" t="s">
        <v>1950</v>
      </c>
      <c r="BK5" s="122">
        <v>6.5063000000000004</v>
      </c>
      <c r="BL5" s="123">
        <v>7.52</v>
      </c>
      <c r="BN5" s="119">
        <v>2</v>
      </c>
      <c r="BO5" s="1342">
        <f t="shared" ref="BO5:BO33" si="3">ROUND(CH5,2)</f>
        <v>27.48</v>
      </c>
      <c r="BQ5" s="142" t="s">
        <v>163</v>
      </c>
      <c r="BR5" s="12">
        <v>2</v>
      </c>
      <c r="BT5" s="641" t="s">
        <v>1951</v>
      </c>
      <c r="BU5" s="908">
        <v>1893</v>
      </c>
      <c r="BW5">
        <v>3</v>
      </c>
      <c r="BX5" s="1004" t="s">
        <v>1952</v>
      </c>
      <c r="BY5" s="12">
        <f t="shared" si="2"/>
        <v>1</v>
      </c>
      <c r="CA5" s="911">
        <f t="shared" ref="CA5:CA33" si="4">CG5</f>
        <v>0.27484470500000002</v>
      </c>
      <c r="CB5" s="912">
        <v>2</v>
      </c>
      <c r="CC5" s="913">
        <f t="shared" ref="CC5:CC33" si="5">CA5*100</f>
        <v>27.4844705</v>
      </c>
      <c r="CF5">
        <v>2</v>
      </c>
      <c r="CG5">
        <v>0.27484470500000002</v>
      </c>
      <c r="CH5">
        <f t="shared" ref="CH5:CH33" si="6">CG5*100</f>
        <v>27.4844705</v>
      </c>
      <c r="CJ5">
        <v>2</v>
      </c>
      <c r="CK5">
        <v>0.17215311895389834</v>
      </c>
      <c r="CL5">
        <f t="shared" ref="CL5:CL33" si="7">CK5*100</f>
        <v>17.215311895389835</v>
      </c>
      <c r="CN5">
        <v>0.17324288569789564</v>
      </c>
      <c r="CO5">
        <f t="shared" ref="CO5:CO33" si="8">CN5*100</f>
        <v>17.324288569789566</v>
      </c>
      <c r="CQ5">
        <v>0.20810053265210987</v>
      </c>
      <c r="CR5">
        <f t="shared" ref="CR5:CR33" si="9">CQ5*CR$2</f>
        <v>22.891058591732087</v>
      </c>
      <c r="CT5">
        <v>9.1318623667852794</v>
      </c>
      <c r="CU5">
        <v>11.631582250413972</v>
      </c>
      <c r="CW5" s="904" t="s">
        <v>1953</v>
      </c>
      <c r="CX5" s="905" t="s">
        <v>1954</v>
      </c>
      <c r="CY5" s="906" t="s">
        <v>1177</v>
      </c>
      <c r="CZ5" s="907">
        <v>8766</v>
      </c>
    </row>
    <row r="6" spans="2:104" ht="14.3">
      <c r="B6" s="2670">
        <f>'Customer Authorization'!AD101</f>
        <v>0</v>
      </c>
      <c r="C6" s="2152"/>
      <c r="D6" s="14" t="s">
        <v>1955</v>
      </c>
      <c r="E6" s="233"/>
      <c r="J6" t="s">
        <v>1956</v>
      </c>
      <c r="K6" s="748">
        <f t="shared" si="0"/>
        <v>0.2</v>
      </c>
      <c r="L6" s="368"/>
      <c r="M6" t="s">
        <v>1956</v>
      </c>
      <c r="N6" s="880">
        <v>0.2</v>
      </c>
      <c r="O6" s="880">
        <v>0.2</v>
      </c>
      <c r="Q6" s="880">
        <v>0.2</v>
      </c>
      <c r="R6" s="880">
        <v>0.2</v>
      </c>
      <c r="T6" s="25" t="s">
        <v>452</v>
      </c>
      <c r="U6" s="26" t="s">
        <v>1944</v>
      </c>
      <c r="W6" s="25" t="s">
        <v>1957</v>
      </c>
      <c r="X6" s="34">
        <v>15</v>
      </c>
      <c r="Z6" s="25" t="s">
        <v>1958</v>
      </c>
      <c r="AA6" s="34" t="s">
        <v>1959</v>
      </c>
      <c r="AB6" s="40">
        <v>1.2</v>
      </c>
      <c r="AC6" s="34" t="s">
        <v>290</v>
      </c>
      <c r="AD6" s="25" t="s">
        <v>1918</v>
      </c>
      <c r="AE6" s="34">
        <v>5</v>
      </c>
      <c r="AG6" s="22" t="s">
        <v>747</v>
      </c>
      <c r="AH6" s="22" t="str">
        <f>CONCATENATE("Interior ",AG6)</f>
        <v>Interior Classroom</v>
      </c>
      <c r="AI6" s="22" t="str">
        <f t="shared" si="1"/>
        <v>Controls_Interior_LLLC</v>
      </c>
      <c r="AJ6" s="80" t="s">
        <v>237</v>
      </c>
      <c r="AK6" s="80" t="s">
        <v>1920</v>
      </c>
      <c r="AL6" s="80" t="s">
        <v>215</v>
      </c>
      <c r="AM6" s="81">
        <v>0.71</v>
      </c>
      <c r="AN6" s="103" t="s">
        <v>1536</v>
      </c>
      <c r="AP6" s="22" t="s">
        <v>1960</v>
      </c>
      <c r="AQ6" s="42">
        <v>0.81</v>
      </c>
      <c r="AR6" s="22" t="s">
        <v>1961</v>
      </c>
      <c r="AT6" s="30" t="s">
        <v>249</v>
      </c>
      <c r="AU6" s="103">
        <v>4</v>
      </c>
      <c r="AV6" s="105">
        <f>K2</f>
        <v>4</v>
      </c>
      <c r="AW6" s="109">
        <v>1</v>
      </c>
      <c r="AY6" t="s">
        <v>1962</v>
      </c>
      <c r="AZ6" s="12">
        <v>4</v>
      </c>
      <c r="BB6" s="529" t="s">
        <v>746</v>
      </c>
      <c r="BC6" s="530">
        <v>5</v>
      </c>
      <c r="BD6" s="531" t="s">
        <v>1920</v>
      </c>
      <c r="BE6" s="530" t="s">
        <v>1922</v>
      </c>
      <c r="BG6" s="39">
        <v>3</v>
      </c>
      <c r="BH6" s="23" t="s">
        <v>1963</v>
      </c>
      <c r="BJ6" s="118" t="s">
        <v>1964</v>
      </c>
      <c r="BK6" s="119">
        <v>4.9535</v>
      </c>
      <c r="BL6" s="120">
        <v>10.94</v>
      </c>
      <c r="BN6" s="122">
        <v>3</v>
      </c>
      <c r="BO6" s="123">
        <f t="shared" si="3"/>
        <v>40.340000000000003</v>
      </c>
      <c r="BQ6" t="s">
        <v>176</v>
      </c>
      <c r="BR6" s="12">
        <v>3</v>
      </c>
      <c r="BT6" s="641" t="s">
        <v>1965</v>
      </c>
      <c r="BU6" s="908">
        <v>5460</v>
      </c>
      <c r="BW6">
        <v>4</v>
      </c>
      <c r="BX6" s="1005" t="s">
        <v>1966</v>
      </c>
      <c r="BY6" s="12">
        <f t="shared" si="2"/>
        <v>1</v>
      </c>
      <c r="CA6" s="648">
        <f t="shared" si="4"/>
        <v>0.40343383799999999</v>
      </c>
      <c r="CB6" s="909">
        <v>3</v>
      </c>
      <c r="CC6" s="910">
        <f t="shared" si="5"/>
        <v>40.343383799999998</v>
      </c>
      <c r="CF6">
        <v>3</v>
      </c>
      <c r="CG6">
        <v>0.40343383799999999</v>
      </c>
      <c r="CH6">
        <f t="shared" si="6"/>
        <v>40.343383799999998</v>
      </c>
      <c r="CJ6">
        <v>3</v>
      </c>
      <c r="CK6">
        <v>0.25294873524816364</v>
      </c>
      <c r="CL6">
        <f t="shared" si="7"/>
        <v>25.294873524816364</v>
      </c>
      <c r="CN6">
        <v>0.2507723655920801</v>
      </c>
      <c r="CO6">
        <f t="shared" si="8"/>
        <v>25.077236559208011</v>
      </c>
      <c r="CQ6">
        <v>0.30579179875673085</v>
      </c>
      <c r="CR6">
        <f t="shared" si="9"/>
        <v>33.637097863240392</v>
      </c>
      <c r="CT6">
        <v>13.309593881881316</v>
      </c>
      <c r="CU6">
        <v>17.042115347794372</v>
      </c>
      <c r="CW6" s="899" t="s">
        <v>1967</v>
      </c>
      <c r="CX6" s="900" t="s">
        <v>1942</v>
      </c>
      <c r="CY6" s="901">
        <v>1</v>
      </c>
      <c r="CZ6" s="902">
        <v>4200</v>
      </c>
    </row>
    <row r="7" spans="2:104" ht="14.3">
      <c r="B7" s="2670">
        <f ca="1">TODAY()</f>
        <v>45336</v>
      </c>
      <c r="C7" s="2152"/>
      <c r="D7" s="14" t="s">
        <v>1968</v>
      </c>
      <c r="J7" t="s">
        <v>1969</v>
      </c>
      <c r="K7" s="748">
        <f t="shared" si="0"/>
        <v>0.17</v>
      </c>
      <c r="L7" s="368"/>
      <c r="M7" t="s">
        <v>1969</v>
      </c>
      <c r="N7" s="880">
        <v>0.17</v>
      </c>
      <c r="O7" s="880">
        <v>0.17</v>
      </c>
      <c r="Q7" s="880">
        <v>0.17</v>
      </c>
      <c r="R7" s="880">
        <v>0.17</v>
      </c>
      <c r="T7" s="27" t="s">
        <v>453</v>
      </c>
      <c r="U7" s="24" t="s">
        <v>1944</v>
      </c>
      <c r="W7" s="22" t="s">
        <v>1970</v>
      </c>
      <c r="X7" s="33">
        <v>15</v>
      </c>
      <c r="Z7" s="22" t="s">
        <v>333</v>
      </c>
      <c r="AA7" s="33" t="s">
        <v>333</v>
      </c>
      <c r="AB7" s="39">
        <v>1</v>
      </c>
      <c r="AC7" s="33" t="s">
        <v>333</v>
      </c>
      <c r="AD7" s="22" t="s">
        <v>1971</v>
      </c>
      <c r="AE7" s="33">
        <v>2</v>
      </c>
      <c r="AG7" s="25" t="s">
        <v>1972</v>
      </c>
      <c r="AH7" s="25" t="str">
        <f t="shared" ref="AH7:AH31" si="10">CONCATENATE("Interior ",AG7)</f>
        <v>Interior Computer Rooms</v>
      </c>
      <c r="AI7" s="25" t="str">
        <f t="shared" si="1"/>
        <v>Controls_Interior_Basic</v>
      </c>
      <c r="AJ7" s="79" t="s">
        <v>215</v>
      </c>
      <c r="AK7" s="79" t="s">
        <v>1920</v>
      </c>
      <c r="AL7" s="79" t="s">
        <v>215</v>
      </c>
      <c r="AM7" s="34">
        <v>0.94</v>
      </c>
      <c r="AN7" s="103" t="s">
        <v>1536</v>
      </c>
      <c r="AP7" s="25" t="s">
        <v>1973</v>
      </c>
      <c r="AQ7" s="41">
        <v>0.81</v>
      </c>
      <c r="AR7" s="25" t="s">
        <v>1961</v>
      </c>
      <c r="AT7" s="22" t="s">
        <v>452</v>
      </c>
      <c r="AU7" s="12">
        <v>5</v>
      </c>
      <c r="AV7" s="104">
        <f>K2</f>
        <v>4</v>
      </c>
      <c r="AW7" s="108">
        <v>2</v>
      </c>
      <c r="AY7" s="25" t="s">
        <v>1974</v>
      </c>
      <c r="AZ7" s="40">
        <v>5</v>
      </c>
      <c r="BB7" s="529" t="s">
        <v>748</v>
      </c>
      <c r="BC7" s="530">
        <v>6</v>
      </c>
      <c r="BD7" s="531" t="s">
        <v>1920</v>
      </c>
      <c r="BE7" s="530" t="s">
        <v>1922</v>
      </c>
      <c r="BG7" s="40">
        <v>4</v>
      </c>
      <c r="BH7" s="26" t="s">
        <v>1975</v>
      </c>
      <c r="BJ7" s="121" t="s">
        <v>1976</v>
      </c>
      <c r="BK7" s="122">
        <v>5.1492000000000004</v>
      </c>
      <c r="BL7" s="123">
        <v>11.29</v>
      </c>
      <c r="BN7" s="119">
        <v>4</v>
      </c>
      <c r="BO7" s="1342">
        <f t="shared" si="3"/>
        <v>52.32</v>
      </c>
      <c r="BR7" s="12"/>
      <c r="BT7" s="641" t="s">
        <v>1967</v>
      </c>
      <c r="BU7" s="908">
        <v>6344</v>
      </c>
      <c r="BW7">
        <v>5</v>
      </c>
      <c r="BX7" s="1004" t="s">
        <v>1977</v>
      </c>
      <c r="BY7" s="12">
        <f t="shared" si="2"/>
        <v>1</v>
      </c>
      <c r="CA7" s="911">
        <f t="shared" si="4"/>
        <v>0.52320590099999997</v>
      </c>
      <c r="CB7" s="912">
        <v>4</v>
      </c>
      <c r="CC7" s="913">
        <f t="shared" si="5"/>
        <v>52.320590099999997</v>
      </c>
      <c r="CF7">
        <v>4</v>
      </c>
      <c r="CG7">
        <v>0.52320590099999997</v>
      </c>
      <c r="CH7">
        <f t="shared" si="6"/>
        <v>52.320590099999997</v>
      </c>
      <c r="CJ7">
        <v>4</v>
      </c>
      <c r="CK7">
        <v>0.33097197146891177</v>
      </c>
      <c r="CL7">
        <f t="shared" si="7"/>
        <v>33.097197146891176</v>
      </c>
      <c r="CN7">
        <v>0.32335608947722877</v>
      </c>
      <c r="CO7">
        <f t="shared" si="8"/>
        <v>32.335608947722875</v>
      </c>
      <c r="CQ7">
        <v>0.40003042922430915</v>
      </c>
      <c r="CR7">
        <f t="shared" si="9"/>
        <v>44.003347214674008</v>
      </c>
      <c r="CT7">
        <v>17.301000804039774</v>
      </c>
      <c r="CU7">
        <v>22.833477693387017</v>
      </c>
      <c r="CW7" s="904" t="s">
        <v>1978</v>
      </c>
      <c r="CX7" s="905" t="s">
        <v>1979</v>
      </c>
      <c r="CY7" s="906">
        <v>17</v>
      </c>
      <c r="CZ7" s="907">
        <v>5500</v>
      </c>
    </row>
    <row r="8" spans="2:104" ht="14.3">
      <c r="J8" t="s">
        <v>1980</v>
      </c>
      <c r="K8" s="748">
        <f t="shared" si="0"/>
        <v>0.17</v>
      </c>
      <c r="L8" s="368"/>
      <c r="M8" t="s">
        <v>1980</v>
      </c>
      <c r="N8" s="880">
        <v>0.17</v>
      </c>
      <c r="O8" s="880">
        <v>0.17</v>
      </c>
      <c r="Q8" s="880">
        <v>0.17</v>
      </c>
      <c r="R8" s="880">
        <v>0.17</v>
      </c>
      <c r="T8" s="25" t="s">
        <v>1981</v>
      </c>
      <c r="U8" s="26" t="s">
        <v>1982</v>
      </c>
      <c r="W8" s="25" t="s">
        <v>224</v>
      </c>
      <c r="X8" s="34">
        <v>15</v>
      </c>
      <c r="Z8" s="25" t="s">
        <v>1983</v>
      </c>
      <c r="AA8" s="34" t="s">
        <v>1984</v>
      </c>
      <c r="AB8" s="40">
        <v>1</v>
      </c>
      <c r="AC8" s="34" t="s">
        <v>333</v>
      </c>
      <c r="AD8" s="25" t="s">
        <v>1985</v>
      </c>
      <c r="AE8" s="34">
        <v>6</v>
      </c>
      <c r="AG8" s="22" t="s">
        <v>751</v>
      </c>
      <c r="AH8" s="22" t="str">
        <f t="shared" si="10"/>
        <v>Interior Conference Room</v>
      </c>
      <c r="AI8" s="22" t="str">
        <f t="shared" si="1"/>
        <v>Controls_Interior_LLLC</v>
      </c>
      <c r="AJ8" s="80" t="s">
        <v>237</v>
      </c>
      <c r="AK8" s="80" t="s">
        <v>1920</v>
      </c>
      <c r="AL8" s="80" t="s">
        <v>215</v>
      </c>
      <c r="AM8" s="33">
        <v>0.97</v>
      </c>
      <c r="AN8" s="103" t="s">
        <v>1536</v>
      </c>
      <c r="AP8" s="22" t="s">
        <v>1986</v>
      </c>
      <c r="AQ8" s="42">
        <v>0.79</v>
      </c>
      <c r="AR8" s="22" t="s">
        <v>1987</v>
      </c>
      <c r="AT8" s="30" t="s">
        <v>453</v>
      </c>
      <c r="AU8" s="103">
        <v>6</v>
      </c>
      <c r="AV8" s="105">
        <f>K2</f>
        <v>4</v>
      </c>
      <c r="AW8" s="109">
        <v>2</v>
      </c>
      <c r="BB8" s="1394" t="s">
        <v>735</v>
      </c>
      <c r="BC8" s="1395">
        <v>9</v>
      </c>
      <c r="BD8" s="531" t="s">
        <v>1920</v>
      </c>
      <c r="BE8" s="530" t="s">
        <v>1922</v>
      </c>
      <c r="BG8" s="39">
        <v>5</v>
      </c>
      <c r="BH8" s="23" t="s">
        <v>1988</v>
      </c>
      <c r="BJ8" s="118" t="s">
        <v>1989</v>
      </c>
      <c r="BK8" s="119">
        <v>9.6821000000000002</v>
      </c>
      <c r="BL8" s="120">
        <v>0</v>
      </c>
      <c r="BN8" s="122">
        <v>5</v>
      </c>
      <c r="BO8" s="123">
        <f t="shared" si="3"/>
        <v>63.45</v>
      </c>
      <c r="BR8" s="12"/>
      <c r="BT8" s="641" t="s">
        <v>1990</v>
      </c>
      <c r="BU8" s="908">
        <v>8518</v>
      </c>
      <c r="BW8">
        <v>6</v>
      </c>
      <c r="BX8" s="1005" t="s">
        <v>1991</v>
      </c>
      <c r="BY8" s="12">
        <f t="shared" si="2"/>
        <v>1</v>
      </c>
      <c r="CA8" s="648">
        <f t="shared" si="4"/>
        <v>0.634451985</v>
      </c>
      <c r="CB8" s="909">
        <v>5</v>
      </c>
      <c r="CC8" s="910">
        <f t="shared" si="5"/>
        <v>63.445198499999996</v>
      </c>
      <c r="CF8">
        <v>5</v>
      </c>
      <c r="CG8">
        <v>0.634451985</v>
      </c>
      <c r="CH8">
        <f t="shared" si="6"/>
        <v>63.445198499999996</v>
      </c>
      <c r="CJ8">
        <v>5</v>
      </c>
      <c r="CK8">
        <v>0.4061534918263025</v>
      </c>
      <c r="CL8">
        <f t="shared" si="7"/>
        <v>40.615349182630247</v>
      </c>
      <c r="CN8">
        <v>0.40639950848654982</v>
      </c>
      <c r="CO8">
        <f t="shared" si="8"/>
        <v>40.639950848654983</v>
      </c>
      <c r="CQ8">
        <v>0.49077447683170067</v>
      </c>
      <c r="CR8">
        <f t="shared" si="9"/>
        <v>53.985192451487073</v>
      </c>
      <c r="CT8">
        <v>21.694676703972107</v>
      </c>
      <c r="CU8">
        <v>28.459642766193827</v>
      </c>
      <c r="CW8" s="899" t="s">
        <v>1992</v>
      </c>
      <c r="CX8" s="900" t="s">
        <v>1942</v>
      </c>
      <c r="CY8" s="901">
        <v>12</v>
      </c>
      <c r="CZ8" s="902">
        <v>7000</v>
      </c>
    </row>
    <row r="9" spans="2:104" ht="14.3">
      <c r="B9" s="2152">
        <f ca="1">B5-B7</f>
        <v>137</v>
      </c>
      <c r="C9" s="2152"/>
      <c r="D9" s="14" t="str">
        <f>CONCATENATE("Days (",D5," - ",D7,")")</f>
        <v>Days (Expires - Today)</v>
      </c>
      <c r="J9" t="s">
        <v>1993</v>
      </c>
      <c r="K9" s="748">
        <f>VLOOKUP(J9,M9:R17,K$1,FALSE)</f>
        <v>0.2</v>
      </c>
      <c r="L9" s="368"/>
      <c r="M9" t="s">
        <v>1993</v>
      </c>
      <c r="N9" s="880">
        <v>0.2</v>
      </c>
      <c r="O9" s="880">
        <v>0.2</v>
      </c>
      <c r="Q9" s="880">
        <v>0.2</v>
      </c>
      <c r="R9" s="880">
        <v>0.2</v>
      </c>
      <c r="T9" s="22" t="s">
        <v>225</v>
      </c>
      <c r="U9" s="23" t="s">
        <v>1994</v>
      </c>
      <c r="W9" s="22" t="s">
        <v>609</v>
      </c>
      <c r="X9" s="33">
        <v>20</v>
      </c>
      <c r="Z9" s="22" t="s">
        <v>1995</v>
      </c>
      <c r="AA9" s="33" t="s">
        <v>1995</v>
      </c>
      <c r="AB9" s="39">
        <v>1.1000000000000001</v>
      </c>
      <c r="AC9" s="33" t="s">
        <v>290</v>
      </c>
      <c r="AD9" s="22" t="s">
        <v>1918</v>
      </c>
      <c r="AE9" s="33">
        <v>7</v>
      </c>
      <c r="AG9" s="25" t="s">
        <v>753</v>
      </c>
      <c r="AH9" s="25" t="str">
        <f t="shared" si="10"/>
        <v>Interior Dining</v>
      </c>
      <c r="AI9" s="25" t="str">
        <f t="shared" si="1"/>
        <v>Controls_Interior_Basic</v>
      </c>
      <c r="AJ9" s="79" t="s">
        <v>215</v>
      </c>
      <c r="AK9" s="79" t="s">
        <v>1920</v>
      </c>
      <c r="AL9" s="79" t="s">
        <v>215</v>
      </c>
      <c r="AM9" s="34">
        <v>0.6</v>
      </c>
      <c r="AN9" s="103" t="s">
        <v>1536</v>
      </c>
      <c r="AP9" s="25" t="s">
        <v>1996</v>
      </c>
      <c r="AQ9" s="41">
        <v>0.72</v>
      </c>
      <c r="AR9" s="25" t="s">
        <v>1987</v>
      </c>
      <c r="AT9" s="22" t="s">
        <v>454</v>
      </c>
      <c r="AU9" s="12">
        <v>7</v>
      </c>
      <c r="AV9" s="104">
        <f>K7</f>
        <v>0.17</v>
      </c>
      <c r="AW9" s="108">
        <v>1.5</v>
      </c>
      <c r="AY9" s="50" t="s">
        <v>1920</v>
      </c>
      <c r="BB9" s="529" t="s">
        <v>461</v>
      </c>
      <c r="BC9" s="530">
        <v>7</v>
      </c>
      <c r="BD9" s="531" t="s">
        <v>1922</v>
      </c>
      <c r="BE9" s="530" t="s">
        <v>1922</v>
      </c>
      <c r="BG9" s="40">
        <v>6</v>
      </c>
      <c r="BH9" s="26" t="s">
        <v>1997</v>
      </c>
      <c r="BJ9" s="121" t="s">
        <v>1998</v>
      </c>
      <c r="BK9" s="122">
        <v>9.4196000000000009</v>
      </c>
      <c r="BL9" s="123">
        <v>7.52</v>
      </c>
      <c r="BN9" s="119">
        <v>6</v>
      </c>
      <c r="BO9" s="1342">
        <f t="shared" si="3"/>
        <v>73.760000000000005</v>
      </c>
      <c r="BQ9" s="141" t="s">
        <v>1999</v>
      </c>
      <c r="BR9" s="12"/>
      <c r="BT9" s="641" t="s">
        <v>2000</v>
      </c>
      <c r="BU9" s="908">
        <v>1374</v>
      </c>
      <c r="BW9">
        <v>7</v>
      </c>
      <c r="BX9" s="1004" t="s">
        <v>2001</v>
      </c>
      <c r="BY9" s="12">
        <f t="shared" si="2"/>
        <v>1</v>
      </c>
      <c r="CA9" s="911">
        <f t="shared" si="4"/>
        <v>0.73757563900000001</v>
      </c>
      <c r="CB9" s="912">
        <v>6</v>
      </c>
      <c r="CC9" s="913">
        <f t="shared" si="5"/>
        <v>73.757563899999994</v>
      </c>
      <c r="CF9">
        <v>6</v>
      </c>
      <c r="CG9">
        <v>0.73757563900000001</v>
      </c>
      <c r="CH9">
        <f t="shared" si="6"/>
        <v>73.757563899999994</v>
      </c>
      <c r="CJ9">
        <v>6</v>
      </c>
      <c r="CK9">
        <v>0.4806440958545708</v>
      </c>
      <c r="CL9">
        <f t="shared" si="7"/>
        <v>48.064409585457078</v>
      </c>
      <c r="CN9">
        <v>0.487390413357214</v>
      </c>
      <c r="CO9">
        <f t="shared" si="8"/>
        <v>48.739041335721403</v>
      </c>
      <c r="CQ9">
        <v>0.58020102695664577</v>
      </c>
      <c r="CR9">
        <f t="shared" si="9"/>
        <v>63.822112965231035</v>
      </c>
      <c r="CT9">
        <v>25.981674042316588</v>
      </c>
      <c r="CU9">
        <v>33.856500923971858</v>
      </c>
      <c r="CW9" s="904" t="s">
        <v>2002</v>
      </c>
      <c r="CX9" s="905" t="s">
        <v>1979</v>
      </c>
      <c r="CY9" s="906">
        <v>17</v>
      </c>
      <c r="CZ9" s="907">
        <v>5500</v>
      </c>
    </row>
    <row r="10" spans="2:104" ht="14.3">
      <c r="B10" s="2152">
        <f>B5-B6</f>
        <v>45473</v>
      </c>
      <c r="C10" s="2152"/>
      <c r="D10" s="14" t="str">
        <f>CONCATENATE("Days (",D5," - ",D6,")")</f>
        <v>Days (Expires - Signed)</v>
      </c>
      <c r="J10" t="s">
        <v>2003</v>
      </c>
      <c r="K10" s="748">
        <f t="shared" si="0"/>
        <v>2</v>
      </c>
      <c r="M10" t="s">
        <v>2003</v>
      </c>
      <c r="N10" s="880">
        <v>2</v>
      </c>
      <c r="O10" s="880">
        <v>2</v>
      </c>
      <c r="Q10" s="880">
        <v>2</v>
      </c>
      <c r="R10" s="880">
        <v>2</v>
      </c>
      <c r="T10" s="25" t="s">
        <v>1868</v>
      </c>
      <c r="U10" s="26" t="s">
        <v>2004</v>
      </c>
      <c r="W10" s="25" t="s">
        <v>2005</v>
      </c>
      <c r="X10" s="34">
        <v>15</v>
      </c>
      <c r="AG10" s="22" t="s">
        <v>755</v>
      </c>
      <c r="AH10" s="22" t="str">
        <f t="shared" si="10"/>
        <v>Interior Gymnasium</v>
      </c>
      <c r="AI10" s="22" t="str">
        <f t="shared" si="1"/>
        <v>Controls_Interior_Basic</v>
      </c>
      <c r="AJ10" s="80" t="s">
        <v>215</v>
      </c>
      <c r="AK10" s="80" t="s">
        <v>1920</v>
      </c>
      <c r="AL10" s="80" t="s">
        <v>215</v>
      </c>
      <c r="AM10" s="33">
        <v>0.85</v>
      </c>
      <c r="AN10" s="103" t="s">
        <v>1536</v>
      </c>
      <c r="AP10" s="22" t="s">
        <v>2006</v>
      </c>
      <c r="AQ10" s="42">
        <v>0.71</v>
      </c>
      <c r="AR10" s="22" t="s">
        <v>1987</v>
      </c>
      <c r="AT10" s="30" t="s">
        <v>455</v>
      </c>
      <c r="AU10" s="103">
        <v>8</v>
      </c>
      <c r="AV10" s="105">
        <f>K8</f>
        <v>0.17</v>
      </c>
      <c r="AW10" s="109">
        <v>1.5</v>
      </c>
      <c r="AY10" s="20" t="s">
        <v>290</v>
      </c>
      <c r="BB10" s="1394" t="s">
        <v>2007</v>
      </c>
      <c r="BC10" s="1395">
        <v>8</v>
      </c>
      <c r="BD10" s="531" t="s">
        <v>1922</v>
      </c>
      <c r="BE10" s="530" t="s">
        <v>1922</v>
      </c>
      <c r="BG10" s="39">
        <v>7</v>
      </c>
      <c r="BH10" s="23" t="s">
        <v>2008</v>
      </c>
      <c r="BJ10" s="118" t="s">
        <v>2009</v>
      </c>
      <c r="BK10" s="119">
        <v>7.2469000000000001</v>
      </c>
      <c r="BL10" s="120">
        <v>7.52</v>
      </c>
      <c r="BN10" s="122">
        <v>7</v>
      </c>
      <c r="BO10" s="123">
        <f t="shared" si="3"/>
        <v>83.3</v>
      </c>
      <c r="BQ10" s="558" t="s">
        <v>162</v>
      </c>
      <c r="BR10" s="12">
        <v>0</v>
      </c>
      <c r="BT10" s="641" t="s">
        <v>2010</v>
      </c>
      <c r="BU10" s="908">
        <v>4368</v>
      </c>
      <c r="BW10">
        <v>8</v>
      </c>
      <c r="BX10" s="1005" t="s">
        <v>2011</v>
      </c>
      <c r="BY10" s="12">
        <f t="shared" si="2"/>
        <v>1</v>
      </c>
      <c r="CA10" s="648">
        <f t="shared" si="4"/>
        <v>0.83304868399999998</v>
      </c>
      <c r="CB10" s="909">
        <v>7</v>
      </c>
      <c r="CC10" s="910">
        <f t="shared" si="5"/>
        <v>83.304868400000004</v>
      </c>
      <c r="CF10">
        <v>7</v>
      </c>
      <c r="CG10">
        <v>0.83304868399999998</v>
      </c>
      <c r="CH10">
        <f t="shared" si="6"/>
        <v>83.304868400000004</v>
      </c>
      <c r="CJ10">
        <v>7</v>
      </c>
      <c r="CK10">
        <v>0.55277358241959351</v>
      </c>
      <c r="CL10">
        <f t="shared" si="7"/>
        <v>55.277358241959348</v>
      </c>
      <c r="CN10">
        <v>0.566190677000456</v>
      </c>
      <c r="CO10">
        <f t="shared" si="8"/>
        <v>56.619067700045598</v>
      </c>
      <c r="CQ10">
        <v>0.6666651059833667</v>
      </c>
      <c r="CR10">
        <f t="shared" si="9"/>
        <v>73.33316165817034</v>
      </c>
      <c r="CT10">
        <v>30.100321426910416</v>
      </c>
      <c r="CU10">
        <v>39.124836196677016</v>
      </c>
      <c r="CW10" s="899" t="s">
        <v>763</v>
      </c>
      <c r="CX10" s="900" t="s">
        <v>1911</v>
      </c>
      <c r="CY10" s="901">
        <v>6</v>
      </c>
      <c r="CZ10" s="902">
        <v>3000</v>
      </c>
    </row>
    <row r="11" spans="2:104" ht="14.3">
      <c r="D11" s="14"/>
      <c r="T11" s="22" t="s">
        <v>1733</v>
      </c>
      <c r="U11" s="23" t="s">
        <v>2012</v>
      </c>
      <c r="W11" s="22" t="s">
        <v>251</v>
      </c>
      <c r="X11" s="33">
        <v>15</v>
      </c>
      <c r="AG11" s="22" t="s">
        <v>759</v>
      </c>
      <c r="AH11" s="22" t="str">
        <f t="shared" si="10"/>
        <v>Interior Hallway</v>
      </c>
      <c r="AI11" s="22" t="str">
        <f t="shared" si="1"/>
        <v>Controls_Interior_Basic</v>
      </c>
      <c r="AJ11" s="80" t="s">
        <v>215</v>
      </c>
      <c r="AK11" s="80" t="s">
        <v>1920</v>
      </c>
      <c r="AL11" s="80" t="s">
        <v>215</v>
      </c>
      <c r="AM11" s="33">
        <v>0.41</v>
      </c>
      <c r="AN11" s="103" t="s">
        <v>1536</v>
      </c>
      <c r="AP11" s="25" t="s">
        <v>2013</v>
      </c>
      <c r="AQ11" s="41">
        <v>0.46</v>
      </c>
      <c r="AR11" s="25" t="s">
        <v>2014</v>
      </c>
      <c r="AT11" s="22" t="s">
        <v>2015</v>
      </c>
      <c r="AU11" s="12">
        <v>9</v>
      </c>
      <c r="AV11" s="104">
        <f>K9</f>
        <v>0.2</v>
      </c>
      <c r="AW11" s="108">
        <v>1.5</v>
      </c>
      <c r="AY11" s="22" t="str">
        <f>BB3</f>
        <v>Switch / Breaker</v>
      </c>
      <c r="AZ11" s="12">
        <v>1</v>
      </c>
      <c r="BB11" s="529" t="s">
        <v>2016</v>
      </c>
      <c r="BC11" s="1395">
        <v>8</v>
      </c>
      <c r="BD11" s="531" t="s">
        <v>1920</v>
      </c>
      <c r="BE11" s="530" t="s">
        <v>1922</v>
      </c>
      <c r="BG11" s="40">
        <v>8</v>
      </c>
      <c r="BH11" s="26" t="s">
        <v>2017</v>
      </c>
      <c r="BJ11" s="121" t="s">
        <v>2018</v>
      </c>
      <c r="BK11" s="122">
        <v>5.6940999999999997</v>
      </c>
      <c r="BL11" s="123">
        <v>10.94</v>
      </c>
      <c r="BN11" s="119">
        <v>8</v>
      </c>
      <c r="BO11" s="1342">
        <f t="shared" si="3"/>
        <v>93.63</v>
      </c>
      <c r="BQ11" t="s">
        <v>174</v>
      </c>
      <c r="BR11" s="12">
        <v>1</v>
      </c>
      <c r="BT11" s="641" t="s">
        <v>2019</v>
      </c>
      <c r="BU11" s="908">
        <v>3120</v>
      </c>
      <c r="BW11">
        <v>9</v>
      </c>
      <c r="BX11" s="1004" t="s">
        <v>2020</v>
      </c>
      <c r="BY11" s="12">
        <f t="shared" si="2"/>
        <v>1</v>
      </c>
      <c r="CA11" s="911">
        <f t="shared" si="4"/>
        <v>0.93634969700000004</v>
      </c>
      <c r="CB11" s="912">
        <v>8</v>
      </c>
      <c r="CC11" s="913">
        <f t="shared" si="5"/>
        <v>93.634969699999999</v>
      </c>
      <c r="CF11">
        <v>8</v>
      </c>
      <c r="CG11">
        <v>0.93634969700000004</v>
      </c>
      <c r="CH11">
        <f t="shared" si="6"/>
        <v>93.634969699999999</v>
      </c>
      <c r="CJ11">
        <v>8</v>
      </c>
      <c r="CK11">
        <v>0.6222242647030064</v>
      </c>
      <c r="CL11">
        <f t="shared" si="7"/>
        <v>62.22242647030064</v>
      </c>
      <c r="CN11">
        <v>0.6423099035262716</v>
      </c>
      <c r="CO11">
        <f t="shared" si="8"/>
        <v>64.23099035262716</v>
      </c>
      <c r="CQ11">
        <v>0.74987323889715485</v>
      </c>
      <c r="CR11">
        <f t="shared" si="9"/>
        <v>82.48605627868703</v>
      </c>
      <c r="CT11">
        <v>34.142052564285244</v>
      </c>
      <c r="CU11">
        <v>44.2453546600346</v>
      </c>
      <c r="CW11" s="904" t="s">
        <v>2021</v>
      </c>
      <c r="CX11" s="905" t="s">
        <v>1911</v>
      </c>
      <c r="CY11" s="906">
        <v>117</v>
      </c>
      <c r="CZ11" s="907">
        <v>3500</v>
      </c>
    </row>
    <row r="12" spans="2:104" ht="14.3">
      <c r="B12" s="2152" t="str">
        <f ca="1">IF(B9&lt;0,"Expired","Active")</f>
        <v>Active</v>
      </c>
      <c r="C12" s="2152"/>
      <c r="D12" s="14" t="s">
        <v>2022</v>
      </c>
      <c r="J12" t="s">
        <v>1599</v>
      </c>
      <c r="K12" s="879" t="b">
        <v>1</v>
      </c>
      <c r="T12" s="25" t="s">
        <v>1750</v>
      </c>
      <c r="U12" s="26" t="s">
        <v>2023</v>
      </c>
      <c r="W12" s="25" t="s">
        <v>605</v>
      </c>
      <c r="X12" s="34">
        <v>15</v>
      </c>
      <c r="AG12" s="25" t="s">
        <v>760</v>
      </c>
      <c r="AH12" s="25" t="str">
        <f t="shared" si="10"/>
        <v>Interior Hospital Room</v>
      </c>
      <c r="AI12" s="25" t="str">
        <f t="shared" si="1"/>
        <v>Controls_Interior_Basic</v>
      </c>
      <c r="AJ12" s="79" t="s">
        <v>215</v>
      </c>
      <c r="AK12" s="79" t="s">
        <v>1920</v>
      </c>
      <c r="AL12" s="79" t="s">
        <v>215</v>
      </c>
      <c r="AM12" s="34">
        <v>0.68</v>
      </c>
      <c r="AN12" s="103" t="s">
        <v>1536</v>
      </c>
      <c r="AP12" s="22" t="s">
        <v>2024</v>
      </c>
      <c r="AQ12" s="42">
        <v>0.67</v>
      </c>
      <c r="AR12" s="22" t="s">
        <v>768</v>
      </c>
      <c r="AT12" s="30" t="s">
        <v>225</v>
      </c>
      <c r="AU12" s="103">
        <v>10</v>
      </c>
      <c r="AV12" s="105">
        <f>K5</f>
        <v>0.3</v>
      </c>
      <c r="AW12" s="109">
        <v>4</v>
      </c>
      <c r="AY12" s="25" t="str">
        <f>BB4</f>
        <v>Timer / Time Switch</v>
      </c>
      <c r="AZ12" s="12">
        <v>2</v>
      </c>
      <c r="BB12" s="529" t="s">
        <v>2025</v>
      </c>
      <c r="BC12" s="1395">
        <v>8</v>
      </c>
      <c r="BD12" s="531" t="s">
        <v>1920</v>
      </c>
      <c r="BE12" s="530" t="s">
        <v>1922</v>
      </c>
      <c r="BG12" s="39">
        <v>9</v>
      </c>
      <c r="BH12" s="23" t="s">
        <v>2026</v>
      </c>
      <c r="BJ12" s="118" t="s">
        <v>2027</v>
      </c>
      <c r="BK12" s="119">
        <v>5.8898000000000001</v>
      </c>
      <c r="BL12" s="120">
        <v>11.29</v>
      </c>
      <c r="BN12" s="122">
        <v>9</v>
      </c>
      <c r="BO12" s="123">
        <f t="shared" si="3"/>
        <v>103.33</v>
      </c>
      <c r="BQ12" s="142" t="s">
        <v>163</v>
      </c>
      <c r="BR12" s="12">
        <v>2</v>
      </c>
      <c r="BT12" s="641" t="s">
        <v>768</v>
      </c>
      <c r="BU12" s="908">
        <v>2340</v>
      </c>
      <c r="BW12">
        <v>10</v>
      </c>
      <c r="BX12" s="1005" t="s">
        <v>2028</v>
      </c>
      <c r="BY12" s="12">
        <f t="shared" si="2"/>
        <v>1</v>
      </c>
      <c r="CA12" s="648">
        <f t="shared" si="4"/>
        <v>1.033325482</v>
      </c>
      <c r="CB12" s="909">
        <v>9</v>
      </c>
      <c r="CC12" s="910">
        <f t="shared" si="5"/>
        <v>103.33254819999999</v>
      </c>
      <c r="CF12">
        <v>9</v>
      </c>
      <c r="CG12">
        <v>1.033325482</v>
      </c>
      <c r="CH12">
        <f t="shared" si="6"/>
        <v>103.33254819999999</v>
      </c>
      <c r="CJ12">
        <v>9</v>
      </c>
      <c r="CK12">
        <v>0.70071950224615076</v>
      </c>
      <c r="CL12">
        <f t="shared" si="7"/>
        <v>70.07195022461508</v>
      </c>
      <c r="CN12">
        <v>0.72029617437445459</v>
      </c>
      <c r="CO12">
        <f t="shared" si="8"/>
        <v>72.029617437445452</v>
      </c>
      <c r="CQ12">
        <v>0.8415720222231966</v>
      </c>
      <c r="CR12">
        <f t="shared" si="9"/>
        <v>92.572922444551622</v>
      </c>
      <c r="CT12">
        <v>38.08697612223974</v>
      </c>
      <c r="CU12">
        <v>49.203977647498775</v>
      </c>
      <c r="CW12" s="899" t="s">
        <v>2029</v>
      </c>
      <c r="CX12" s="900" t="s">
        <v>1979</v>
      </c>
      <c r="CY12" s="901">
        <v>17</v>
      </c>
      <c r="CZ12" s="902">
        <v>5500</v>
      </c>
    </row>
    <row r="13" spans="2:104" ht="14.3">
      <c r="B13" s="2670" t="str">
        <f>IF(B6=0,"Not Signed","Active")</f>
        <v>Not Signed</v>
      </c>
      <c r="C13" s="2670"/>
      <c r="D13" s="14" t="s">
        <v>2030</v>
      </c>
      <c r="T13" s="22" t="s">
        <v>1751</v>
      </c>
      <c r="U13" s="23" t="s">
        <v>2031</v>
      </c>
      <c r="W13" s="22" t="s">
        <v>628</v>
      </c>
      <c r="X13" s="33">
        <v>15</v>
      </c>
      <c r="Z13" s="25" t="s">
        <v>1983</v>
      </c>
      <c r="AA13" s="34" t="s">
        <v>1984</v>
      </c>
      <c r="AB13" s="40">
        <v>1</v>
      </c>
      <c r="AC13" s="34" t="s">
        <v>333</v>
      </c>
      <c r="AD13" s="25" t="s">
        <v>1985</v>
      </c>
      <c r="AE13" s="34">
        <v>6</v>
      </c>
      <c r="AG13" s="22" t="s">
        <v>761</v>
      </c>
      <c r="AH13" s="22" t="str">
        <f t="shared" si="10"/>
        <v>Interior Industrial</v>
      </c>
      <c r="AI13" s="22" t="str">
        <f t="shared" si="1"/>
        <v>Controls_Interior_Basic</v>
      </c>
      <c r="AJ13" s="80" t="s">
        <v>215</v>
      </c>
      <c r="AK13" s="80" t="s">
        <v>1920</v>
      </c>
      <c r="AL13" s="80" t="s">
        <v>215</v>
      </c>
      <c r="AM13" s="33">
        <v>0.8</v>
      </c>
      <c r="AN13" s="103" t="s">
        <v>1536</v>
      </c>
      <c r="AP13" s="25" t="s">
        <v>2032</v>
      </c>
      <c r="AQ13" s="41">
        <v>0.54</v>
      </c>
      <c r="AR13" s="25" t="s">
        <v>768</v>
      </c>
      <c r="AT13" s="22" t="s">
        <v>226</v>
      </c>
      <c r="AU13" s="12">
        <v>11</v>
      </c>
      <c r="AV13" s="104">
        <f>K5</f>
        <v>0.3</v>
      </c>
      <c r="AW13" s="108">
        <v>1</v>
      </c>
      <c r="AY13" s="22" t="str">
        <f>BB5</f>
        <v>Occupancy Sensor</v>
      </c>
      <c r="AZ13" s="12">
        <v>1</v>
      </c>
      <c r="BB13" s="529" t="s">
        <v>750</v>
      </c>
      <c r="BC13" s="530">
        <v>2</v>
      </c>
      <c r="BD13" s="531" t="s">
        <v>1962</v>
      </c>
      <c r="BE13" s="530" t="s">
        <v>1962</v>
      </c>
      <c r="BG13" s="40">
        <v>10</v>
      </c>
      <c r="BH13" s="26" t="s">
        <v>2033</v>
      </c>
      <c r="BJ13" s="121" t="s">
        <v>2034</v>
      </c>
      <c r="BK13" s="122">
        <v>7.7076000000000002</v>
      </c>
      <c r="BL13" s="123">
        <v>6.59</v>
      </c>
      <c r="BN13" s="119">
        <v>10</v>
      </c>
      <c r="BO13" s="1342">
        <f t="shared" si="3"/>
        <v>112.39</v>
      </c>
      <c r="BQ13" t="s">
        <v>176</v>
      </c>
      <c r="BR13" s="12">
        <v>3</v>
      </c>
      <c r="BT13" s="641" t="s">
        <v>2035</v>
      </c>
      <c r="BU13" s="908">
        <v>4576</v>
      </c>
      <c r="BW13">
        <v>11</v>
      </c>
      <c r="BX13" s="1004" t="s">
        <v>2036</v>
      </c>
      <c r="BY13" s="12">
        <f t="shared" si="2"/>
        <v>1</v>
      </c>
      <c r="CA13" s="911">
        <f t="shared" si="4"/>
        <v>1.123873476</v>
      </c>
      <c r="CB13" s="912">
        <v>10</v>
      </c>
      <c r="CC13" s="913">
        <f t="shared" si="5"/>
        <v>112.3873476</v>
      </c>
      <c r="CF13">
        <v>10</v>
      </c>
      <c r="CG13">
        <v>1.123873476</v>
      </c>
      <c r="CH13">
        <f t="shared" si="6"/>
        <v>112.3873476</v>
      </c>
      <c r="CJ13">
        <v>10</v>
      </c>
      <c r="CK13">
        <v>0.77460416073684046</v>
      </c>
      <c r="CL13">
        <f t="shared" si="7"/>
        <v>77.460416073684044</v>
      </c>
      <c r="CN13">
        <v>0.80065967936910365</v>
      </c>
      <c r="CO13">
        <f t="shared" si="8"/>
        <v>80.065967936910369</v>
      </c>
      <c r="CQ13">
        <v>0.92812862306170474</v>
      </c>
      <c r="CR13">
        <f t="shared" si="9"/>
        <v>102.09414853678751</v>
      </c>
      <c r="CT13">
        <v>41.920131341091491</v>
      </c>
      <c r="CU13">
        <v>54.06481507555285</v>
      </c>
      <c r="CW13" s="904" t="s">
        <v>2037</v>
      </c>
      <c r="CX13" s="905" t="s">
        <v>1911</v>
      </c>
      <c r="CY13" s="906">
        <v>67</v>
      </c>
      <c r="CZ13" s="907">
        <v>2600</v>
      </c>
    </row>
    <row r="14" spans="2:104" ht="14.3">
      <c r="B14" t="s">
        <v>292</v>
      </c>
      <c r="J14" t="s">
        <v>700</v>
      </c>
      <c r="K14" s="893">
        <v>50</v>
      </c>
      <c r="L14" t="s">
        <v>215</v>
      </c>
      <c r="T14" s="25" t="s">
        <v>255</v>
      </c>
      <c r="U14" s="26" t="s">
        <v>1944</v>
      </c>
      <c r="W14" s="25" t="s">
        <v>2038</v>
      </c>
      <c r="X14" s="34">
        <v>20</v>
      </c>
      <c r="AG14" s="25" t="s">
        <v>762</v>
      </c>
      <c r="AH14" s="25" t="str">
        <f t="shared" si="10"/>
        <v>Interior Kitchen</v>
      </c>
      <c r="AI14" s="25" t="str">
        <f t="shared" si="1"/>
        <v>Controls_Interior_Basic</v>
      </c>
      <c r="AJ14" s="79" t="s">
        <v>215</v>
      </c>
      <c r="AK14" s="79" t="s">
        <v>1920</v>
      </c>
      <c r="AL14" s="79" t="s">
        <v>215</v>
      </c>
      <c r="AM14" s="34">
        <v>1.0900000000000001</v>
      </c>
      <c r="AN14" s="103" t="s">
        <v>1536</v>
      </c>
      <c r="AP14" s="22" t="s">
        <v>755</v>
      </c>
      <c r="AQ14" s="42">
        <v>0.75</v>
      </c>
      <c r="AR14" s="22" t="s">
        <v>768</v>
      </c>
      <c r="AT14" s="380" t="s">
        <v>1654</v>
      </c>
      <c r="AU14" s="103">
        <v>12</v>
      </c>
      <c r="AV14" s="105">
        <f>K$10</f>
        <v>2</v>
      </c>
      <c r="AW14" s="109">
        <v>1</v>
      </c>
      <c r="AY14" s="25" t="str">
        <f>BB6</f>
        <v>Interior Daylight Dimming</v>
      </c>
      <c r="AZ14" s="12">
        <v>2</v>
      </c>
      <c r="BB14" s="529" t="s">
        <v>752</v>
      </c>
      <c r="BC14" s="530">
        <v>2</v>
      </c>
      <c r="BD14" s="531" t="s">
        <v>1962</v>
      </c>
      <c r="BE14" s="530" t="s">
        <v>1962</v>
      </c>
      <c r="BG14" s="39">
        <v>11</v>
      </c>
      <c r="BH14" s="23" t="s">
        <v>1975</v>
      </c>
      <c r="BJ14" s="118" t="s">
        <v>2039</v>
      </c>
      <c r="BK14" s="119">
        <v>6.1639999999999997</v>
      </c>
      <c r="BL14" s="120">
        <v>6.59</v>
      </c>
      <c r="BN14" s="122">
        <v>11</v>
      </c>
      <c r="BO14" s="123">
        <f t="shared" si="3"/>
        <v>120.88</v>
      </c>
      <c r="BQ14" s="142" t="s">
        <v>168</v>
      </c>
      <c r="BR14" s="12">
        <v>4</v>
      </c>
      <c r="BT14" s="641" t="s">
        <v>2040</v>
      </c>
      <c r="BU14" s="908">
        <v>3744</v>
      </c>
      <c r="BW14">
        <v>12</v>
      </c>
      <c r="BX14" s="1005" t="s">
        <v>2041</v>
      </c>
      <c r="BY14" s="12">
        <f t="shared" si="2"/>
        <v>1</v>
      </c>
      <c r="CA14" s="648">
        <f t="shared" si="4"/>
        <v>1.208772958</v>
      </c>
      <c r="CB14" s="909">
        <v>11</v>
      </c>
      <c r="CC14" s="910">
        <f t="shared" si="5"/>
        <v>120.8772958</v>
      </c>
      <c r="CF14">
        <v>11</v>
      </c>
      <c r="CG14">
        <v>1.208772958</v>
      </c>
      <c r="CH14">
        <f t="shared" si="6"/>
        <v>120.8772958</v>
      </c>
      <c r="CJ14">
        <v>11</v>
      </c>
      <c r="CK14">
        <v>0.84461586394517141</v>
      </c>
      <c r="CL14">
        <f t="shared" si="7"/>
        <v>84.461586394517141</v>
      </c>
      <c r="CN14">
        <v>0.87870004710173655</v>
      </c>
      <c r="CO14">
        <f t="shared" si="8"/>
        <v>87.87000471017366</v>
      </c>
      <c r="CQ14">
        <v>1.0103020686918649</v>
      </c>
      <c r="CR14">
        <f t="shared" si="9"/>
        <v>111.13322755610514</v>
      </c>
      <c r="CT14">
        <v>45.699196089617359</v>
      </c>
      <c r="CU14">
        <v>58.747086685159069</v>
      </c>
      <c r="CW14" s="899" t="s">
        <v>2042</v>
      </c>
      <c r="CX14" s="900" t="s">
        <v>2043</v>
      </c>
      <c r="CY14" s="901">
        <v>74</v>
      </c>
      <c r="CZ14" s="902">
        <v>3300</v>
      </c>
    </row>
    <row r="15" spans="2:104" ht="14.3">
      <c r="B15" s="2153" t="s">
        <v>292</v>
      </c>
      <c r="C15" s="2153"/>
      <c r="D15" t="s">
        <v>2044</v>
      </c>
      <c r="J15" t="s">
        <v>746</v>
      </c>
      <c r="K15" s="893">
        <v>75</v>
      </c>
      <c r="L15" t="s">
        <v>215</v>
      </c>
      <c r="T15" s="27" t="s">
        <v>1720</v>
      </c>
      <c r="U15" s="24" t="s">
        <v>2045</v>
      </c>
      <c r="W15" s="22" t="s">
        <v>613</v>
      </c>
      <c r="X15" s="33">
        <v>15</v>
      </c>
      <c r="AG15" s="22" t="s">
        <v>763</v>
      </c>
      <c r="AH15" s="22" t="str">
        <f t="shared" si="10"/>
        <v>Interior Library</v>
      </c>
      <c r="AI15" s="22" t="str">
        <f t="shared" si="1"/>
        <v>Controls_Interior_Basic</v>
      </c>
      <c r="AJ15" s="80" t="s">
        <v>215</v>
      </c>
      <c r="AK15" s="80" t="s">
        <v>1920</v>
      </c>
      <c r="AL15" s="80" t="s">
        <v>215</v>
      </c>
      <c r="AM15" s="33">
        <v>0.94</v>
      </c>
      <c r="AN15" s="103" t="s">
        <v>1536</v>
      </c>
      <c r="AP15" s="25" t="s">
        <v>2046</v>
      </c>
      <c r="AQ15" s="41">
        <v>0.7</v>
      </c>
      <c r="AR15" s="25" t="s">
        <v>2047</v>
      </c>
      <c r="AT15" s="22" t="s">
        <v>1654</v>
      </c>
      <c r="AU15" s="12">
        <v>13</v>
      </c>
      <c r="AV15" s="104">
        <f>K$10</f>
        <v>2</v>
      </c>
      <c r="AW15" s="108">
        <v>2</v>
      </c>
      <c r="AY15" s="22" t="str">
        <f>BB7</f>
        <v>Daylight + Occupancy</v>
      </c>
      <c r="AZ15" s="12">
        <v>3</v>
      </c>
      <c r="BB15" s="529" t="s">
        <v>2048</v>
      </c>
      <c r="BC15" s="530">
        <v>4</v>
      </c>
      <c r="BD15" s="531" t="s">
        <v>1962</v>
      </c>
      <c r="BE15" s="530" t="s">
        <v>1962</v>
      </c>
      <c r="BG15" s="40">
        <v>15</v>
      </c>
      <c r="BH15" s="231" t="s">
        <v>2049</v>
      </c>
      <c r="BJ15" s="121" t="s">
        <v>2050</v>
      </c>
      <c r="BK15" s="122">
        <v>5.6632999999999996</v>
      </c>
      <c r="BL15" s="123">
        <v>10.94</v>
      </c>
      <c r="BN15" s="119">
        <v>12</v>
      </c>
      <c r="BO15" s="1342">
        <f t="shared" si="3"/>
        <v>128.81</v>
      </c>
      <c r="BR15" s="12">
        <v>5</v>
      </c>
      <c r="BT15" s="641" t="s">
        <v>774</v>
      </c>
      <c r="BU15" s="908">
        <v>3432</v>
      </c>
      <c r="BW15">
        <v>13</v>
      </c>
      <c r="BX15" s="1004" t="s">
        <v>2051</v>
      </c>
      <c r="BY15" s="12">
        <f t="shared" si="2"/>
        <v>1</v>
      </c>
      <c r="CA15" s="911">
        <f t="shared" si="4"/>
        <v>1.2880900040000001</v>
      </c>
      <c r="CB15" s="912">
        <v>12</v>
      </c>
      <c r="CC15" s="913">
        <f t="shared" si="5"/>
        <v>128.8090004</v>
      </c>
      <c r="CF15">
        <v>12</v>
      </c>
      <c r="CG15">
        <v>1.2880900040000001</v>
      </c>
      <c r="CH15">
        <f t="shared" si="6"/>
        <v>128.8090004</v>
      </c>
      <c r="CJ15">
        <v>12</v>
      </c>
      <c r="CK15">
        <v>0.91128284670075355</v>
      </c>
      <c r="CL15">
        <f t="shared" si="7"/>
        <v>91.128284670075359</v>
      </c>
      <c r="CN15">
        <v>0.95315383588314884</v>
      </c>
      <c r="CO15">
        <f t="shared" si="8"/>
        <v>95.315383588314887</v>
      </c>
      <c r="CQ15">
        <v>1.0886411357006074</v>
      </c>
      <c r="CR15">
        <f t="shared" si="9"/>
        <v>119.75052492706681</v>
      </c>
      <c r="CT15">
        <v>49.347487763076927</v>
      </c>
      <c r="CU15">
        <v>63.226079404673975</v>
      </c>
      <c r="CW15" s="904" t="s">
        <v>2052</v>
      </c>
      <c r="CX15" s="905" t="s">
        <v>2043</v>
      </c>
      <c r="CY15" s="906">
        <v>74</v>
      </c>
      <c r="CZ15" s="907">
        <v>3300</v>
      </c>
    </row>
    <row r="16" spans="2:104" ht="14.3">
      <c r="B16" s="2671" t="str">
        <f>Project!H24</f>
        <v>RETROFIT</v>
      </c>
      <c r="C16" s="2672"/>
      <c r="J16" t="s">
        <v>748</v>
      </c>
      <c r="K16" s="893">
        <v>100</v>
      </c>
      <c r="L16" t="s">
        <v>215</v>
      </c>
      <c r="T16" s="25" t="s">
        <v>614</v>
      </c>
      <c r="U16" s="26" t="s">
        <v>2053</v>
      </c>
      <c r="W16" s="30" t="s">
        <v>2054</v>
      </c>
      <c r="X16" s="35">
        <v>15</v>
      </c>
      <c r="AG16" s="25" t="s">
        <v>764</v>
      </c>
      <c r="AH16" s="25" t="str">
        <f t="shared" si="10"/>
        <v>Interior Lobby</v>
      </c>
      <c r="AI16" s="25" t="str">
        <f t="shared" si="1"/>
        <v>Controls_Interior_Basic</v>
      </c>
      <c r="AJ16" s="79" t="s">
        <v>215</v>
      </c>
      <c r="AK16" s="79" t="s">
        <v>1920</v>
      </c>
      <c r="AL16" s="79" t="s">
        <v>215</v>
      </c>
      <c r="AM16" s="34">
        <v>0.84</v>
      </c>
      <c r="AN16" s="103" t="s">
        <v>1536</v>
      </c>
      <c r="AP16" s="22" t="s">
        <v>1967</v>
      </c>
      <c r="AQ16" s="42">
        <v>0.84</v>
      </c>
      <c r="AR16" s="22" t="s">
        <v>1967</v>
      </c>
      <c r="AT16" s="380" t="s">
        <v>1654</v>
      </c>
      <c r="AU16" s="103">
        <v>14</v>
      </c>
      <c r="AV16" s="105">
        <f>K$10</f>
        <v>2</v>
      </c>
      <c r="AW16" s="109">
        <v>3</v>
      </c>
      <c r="AY16" s="380" t="str">
        <f>BB11</f>
        <v>LLLC (outside Daylight)</v>
      </c>
      <c r="AZ16" s="12"/>
      <c r="BB16" s="529" t="s">
        <v>754</v>
      </c>
      <c r="BC16" s="530">
        <v>5</v>
      </c>
      <c r="BD16" s="531" t="s">
        <v>1962</v>
      </c>
      <c r="BE16" s="530" t="s">
        <v>1962</v>
      </c>
      <c r="BJ16" s="118" t="s">
        <v>2055</v>
      </c>
      <c r="BK16" s="119">
        <v>5.4413</v>
      </c>
      <c r="BL16" s="120">
        <v>4.0199999999999996</v>
      </c>
      <c r="BN16" s="122">
        <v>13</v>
      </c>
      <c r="BO16" s="123">
        <f t="shared" si="3"/>
        <v>136.24</v>
      </c>
      <c r="BQ16" s="142"/>
      <c r="BR16" s="12">
        <v>6</v>
      </c>
      <c r="BT16" s="641" t="s">
        <v>2056</v>
      </c>
      <c r="BU16" s="908">
        <v>2382</v>
      </c>
      <c r="BW16">
        <v>14</v>
      </c>
      <c r="BX16" s="1005" t="s">
        <v>2057</v>
      </c>
      <c r="BY16" s="12">
        <f t="shared" si="2"/>
        <v>1</v>
      </c>
      <c r="CA16" s="648">
        <f t="shared" si="4"/>
        <v>1.362376045</v>
      </c>
      <c r="CB16" s="909">
        <v>13</v>
      </c>
      <c r="CC16" s="910">
        <f t="shared" si="5"/>
        <v>136.2376045</v>
      </c>
      <c r="CF16">
        <v>13</v>
      </c>
      <c r="CG16">
        <v>1.362376045</v>
      </c>
      <c r="CH16">
        <f t="shared" si="6"/>
        <v>136.2376045</v>
      </c>
      <c r="CJ16">
        <v>13</v>
      </c>
      <c r="CK16">
        <v>0.9745097192212081</v>
      </c>
      <c r="CL16">
        <f t="shared" si="7"/>
        <v>97.450971922120814</v>
      </c>
      <c r="CN16">
        <v>1.024808836566317</v>
      </c>
      <c r="CO16">
        <f t="shared" si="8"/>
        <v>102.4808836566317</v>
      </c>
      <c r="CQ16">
        <v>1.1630701490071007</v>
      </c>
      <c r="CR16">
        <f t="shared" si="9"/>
        <v>127.93771639078108</v>
      </c>
      <c r="CT16">
        <v>52.8404283130224</v>
      </c>
      <c r="CU16">
        <v>67.560554936350272</v>
      </c>
      <c r="CW16" s="899" t="s">
        <v>2058</v>
      </c>
      <c r="CX16" s="900" t="s">
        <v>1911</v>
      </c>
      <c r="CY16" s="901">
        <v>109</v>
      </c>
      <c r="CZ16" s="902">
        <v>4300</v>
      </c>
    </row>
    <row r="17" spans="2:104" ht="14.3">
      <c r="B17" t="s">
        <v>2059</v>
      </c>
      <c r="J17" t="s">
        <v>461</v>
      </c>
      <c r="K17" s="893">
        <v>100</v>
      </c>
      <c r="L17" t="s">
        <v>237</v>
      </c>
      <c r="T17" s="22" t="s">
        <v>1716</v>
      </c>
      <c r="U17" s="23" t="s">
        <v>2060</v>
      </c>
      <c r="W17" s="25" t="s">
        <v>2061</v>
      </c>
      <c r="X17" s="34">
        <v>15</v>
      </c>
      <c r="AG17" s="22" t="s">
        <v>766</v>
      </c>
      <c r="AH17" s="22" t="str">
        <f t="shared" si="10"/>
        <v>Interior Lodging (Guest Rooms)</v>
      </c>
      <c r="AI17" s="22" t="str">
        <f t="shared" si="1"/>
        <v>Controls_Interior_Basic</v>
      </c>
      <c r="AJ17" s="80" t="s">
        <v>215</v>
      </c>
      <c r="AK17" s="80" t="s">
        <v>1920</v>
      </c>
      <c r="AL17" s="80" t="s">
        <v>215</v>
      </c>
      <c r="AM17" s="33">
        <v>0.41</v>
      </c>
      <c r="AN17" s="103" t="s">
        <v>1536</v>
      </c>
      <c r="AP17" s="22" t="s">
        <v>1995</v>
      </c>
      <c r="AQ17" s="42"/>
      <c r="AR17" s="22" t="s">
        <v>1995</v>
      </c>
      <c r="AY17" s="22" t="str">
        <f>BB12</f>
        <v>NLC (othside Daylight)</v>
      </c>
      <c r="BB17" s="529" t="s">
        <v>2062</v>
      </c>
      <c r="BC17" s="1395">
        <v>7</v>
      </c>
      <c r="BD17" s="1425" t="s">
        <v>1962</v>
      </c>
      <c r="BE17" s="1395" t="s">
        <v>1962</v>
      </c>
      <c r="BH17" s="23"/>
      <c r="BJ17" s="121" t="s">
        <v>2063</v>
      </c>
      <c r="BK17" s="122">
        <v>5.5190999999999999</v>
      </c>
      <c r="BL17" s="123">
        <v>4.1100000000000003</v>
      </c>
      <c r="BN17" s="119">
        <v>14</v>
      </c>
      <c r="BO17" s="1342">
        <f t="shared" si="3"/>
        <v>143.18</v>
      </c>
      <c r="BT17" s="641" t="s">
        <v>2014</v>
      </c>
      <c r="BU17" s="908">
        <v>6396</v>
      </c>
      <c r="BW17">
        <v>15</v>
      </c>
      <c r="BX17" s="1004" t="s">
        <v>2064</v>
      </c>
      <c r="BY17" s="12">
        <f t="shared" si="2"/>
        <v>1</v>
      </c>
      <c r="CA17" s="911">
        <f t="shared" si="4"/>
        <v>1.431787344</v>
      </c>
      <c r="CB17" s="912">
        <v>14</v>
      </c>
      <c r="CC17" s="913">
        <f t="shared" si="5"/>
        <v>143.1787344</v>
      </c>
      <c r="CF17">
        <v>14</v>
      </c>
      <c r="CG17">
        <v>1.431787344</v>
      </c>
      <c r="CH17">
        <f t="shared" si="6"/>
        <v>143.1787344</v>
      </c>
      <c r="CJ17">
        <v>14</v>
      </c>
      <c r="CK17">
        <v>1.0344437420326877</v>
      </c>
      <c r="CL17">
        <f t="shared" si="7"/>
        <v>103.44437420326878</v>
      </c>
      <c r="CN17">
        <v>1.0936873969516554</v>
      </c>
      <c r="CO17">
        <f t="shared" si="8"/>
        <v>109.36873969516554</v>
      </c>
      <c r="CQ17">
        <v>1.2337552900823345</v>
      </c>
      <c r="CR17">
        <f t="shared" si="9"/>
        <v>135.7130819090568</v>
      </c>
      <c r="CT17">
        <v>56.23097224517538</v>
      </c>
      <c r="CU17">
        <v>71.795032315975021</v>
      </c>
      <c r="CW17" s="904" t="s">
        <v>769</v>
      </c>
      <c r="CX17" s="905" t="s">
        <v>2065</v>
      </c>
      <c r="CY17" s="906">
        <v>58</v>
      </c>
      <c r="CZ17" s="907">
        <v>6300</v>
      </c>
    </row>
    <row r="18" spans="2:104" ht="14.3">
      <c r="J18" t="s">
        <v>735</v>
      </c>
      <c r="K18" s="893">
        <v>50</v>
      </c>
      <c r="L18" t="s">
        <v>237</v>
      </c>
      <c r="T18" s="25" t="s">
        <v>1718</v>
      </c>
      <c r="U18" s="26" t="s">
        <v>2066</v>
      </c>
      <c r="W18" s="22" t="s">
        <v>2067</v>
      </c>
      <c r="X18" s="33">
        <v>10</v>
      </c>
      <c r="AG18" s="25" t="s">
        <v>767</v>
      </c>
      <c r="AH18" s="25" t="str">
        <f t="shared" si="10"/>
        <v>Interior Open Office</v>
      </c>
      <c r="AI18" s="25" t="str">
        <f t="shared" si="1"/>
        <v>Controls_Interior_LLLC</v>
      </c>
      <c r="AJ18" s="79" t="s">
        <v>237</v>
      </c>
      <c r="AK18" s="79" t="s">
        <v>1920</v>
      </c>
      <c r="AL18" s="79" t="s">
        <v>215</v>
      </c>
      <c r="AM18" s="34">
        <v>0.61</v>
      </c>
      <c r="AN18" s="103" t="s">
        <v>1536</v>
      </c>
      <c r="AP18" s="25" t="s">
        <v>2068</v>
      </c>
      <c r="AQ18" s="41">
        <v>0.7</v>
      </c>
      <c r="AR18" s="25" t="s">
        <v>1990</v>
      </c>
      <c r="AZ18" s="12"/>
      <c r="BB18" s="529" t="s">
        <v>2069</v>
      </c>
      <c r="BC18" s="1395">
        <v>7</v>
      </c>
      <c r="BD18" s="1425" t="s">
        <v>1962</v>
      </c>
      <c r="BE18" s="1395" t="s">
        <v>1962</v>
      </c>
      <c r="BJ18" s="118" t="s">
        <v>2070</v>
      </c>
      <c r="BK18" s="119">
        <v>5.6638000000000002</v>
      </c>
      <c r="BL18" s="120">
        <v>4.2</v>
      </c>
      <c r="BN18" s="122">
        <v>15</v>
      </c>
      <c r="BO18" s="123">
        <f t="shared" si="3"/>
        <v>149.66999999999999</v>
      </c>
      <c r="BT18" s="1158" t="s">
        <v>779</v>
      </c>
      <c r="BU18" s="723">
        <v>2470</v>
      </c>
      <c r="BW18">
        <v>16</v>
      </c>
      <c r="BX18" s="1005" t="s">
        <v>2071</v>
      </c>
      <c r="BY18" s="12">
        <f t="shared" si="2"/>
        <v>1</v>
      </c>
      <c r="CA18" s="648">
        <f t="shared" si="4"/>
        <v>1.496718891</v>
      </c>
      <c r="CB18" s="909">
        <v>15</v>
      </c>
      <c r="CC18" s="910">
        <f t="shared" si="5"/>
        <v>149.67188909999999</v>
      </c>
      <c r="CF18">
        <v>15</v>
      </c>
      <c r="CG18">
        <v>1.496718891</v>
      </c>
      <c r="CH18">
        <f t="shared" si="6"/>
        <v>149.67188909999999</v>
      </c>
      <c r="CJ18">
        <v>15</v>
      </c>
      <c r="CK18">
        <v>1.0914944041149737</v>
      </c>
      <c r="CL18">
        <f t="shared" si="7"/>
        <v>109.14944041149737</v>
      </c>
      <c r="CN18">
        <v>1.1600495442885062</v>
      </c>
      <c r="CO18">
        <f t="shared" si="8"/>
        <v>116.00495442885061</v>
      </c>
      <c r="CQ18">
        <v>1.3011242070525868</v>
      </c>
      <c r="CR18">
        <f t="shared" si="9"/>
        <v>143.12366277578454</v>
      </c>
      <c r="CT18">
        <v>59.558931002308945</v>
      </c>
      <c r="CU18">
        <v>75.885268172401396</v>
      </c>
      <c r="CW18" s="899" t="s">
        <v>2072</v>
      </c>
      <c r="CX18" s="900" t="s">
        <v>1911</v>
      </c>
      <c r="CY18" s="901">
        <v>159</v>
      </c>
      <c r="CZ18" s="902">
        <v>4900</v>
      </c>
    </row>
    <row r="19" spans="2:104" ht="14.3">
      <c r="B19" t="str">
        <f>IF($B$2="Business Lighting",B37,B51)</f>
        <v>BUSINESS LIGHTING INCENTIVE PROGRAM</v>
      </c>
      <c r="J19" t="s">
        <v>2007</v>
      </c>
      <c r="K19" s="893">
        <v>50</v>
      </c>
      <c r="L19" t="s">
        <v>237</v>
      </c>
      <c r="T19" s="22" t="s">
        <v>1724</v>
      </c>
      <c r="U19" s="23" t="s">
        <v>2073</v>
      </c>
      <c r="W19" s="25" t="s">
        <v>2074</v>
      </c>
      <c r="X19" s="34">
        <v>12</v>
      </c>
      <c r="Z19" s="453" t="s">
        <v>1889</v>
      </c>
      <c r="AA19" s="453" t="s">
        <v>2075</v>
      </c>
      <c r="AB19" s="453" t="s">
        <v>1891</v>
      </c>
      <c r="AC19" s="453" t="s">
        <v>1892</v>
      </c>
      <c r="AD19" s="453" t="s">
        <v>2076</v>
      </c>
      <c r="AE19" s="453" t="s">
        <v>1894</v>
      </c>
      <c r="AG19" s="22" t="s">
        <v>768</v>
      </c>
      <c r="AH19" s="22" t="str">
        <f t="shared" si="10"/>
        <v>Interior Other</v>
      </c>
      <c r="AI19" s="22" t="str">
        <f t="shared" si="1"/>
        <v>Controls_Interior_Basic</v>
      </c>
      <c r="AJ19" s="80" t="s">
        <v>215</v>
      </c>
      <c r="AK19" s="80" t="s">
        <v>1920</v>
      </c>
      <c r="AL19" s="80" t="s">
        <v>215</v>
      </c>
      <c r="AM19" s="33">
        <v>0.79</v>
      </c>
      <c r="AN19" s="103" t="s">
        <v>1536</v>
      </c>
      <c r="AP19" s="22" t="s">
        <v>763</v>
      </c>
      <c r="AQ19" s="42">
        <v>0.94</v>
      </c>
      <c r="AR19" s="22" t="s">
        <v>1961</v>
      </c>
      <c r="AT19" s="22"/>
      <c r="AU19" s="12"/>
      <c r="AV19" s="104"/>
      <c r="AW19" s="108"/>
      <c r="AY19" s="50" t="s">
        <v>1922</v>
      </c>
      <c r="AZ19" s="12"/>
      <c r="BB19" s="1394" t="s">
        <v>2077</v>
      </c>
      <c r="BC19" s="1395">
        <v>7</v>
      </c>
      <c r="BD19" s="1425" t="s">
        <v>1962</v>
      </c>
      <c r="BE19" s="1395" t="s">
        <v>1962</v>
      </c>
      <c r="BJ19" s="121" t="s">
        <v>2078</v>
      </c>
      <c r="BK19" s="122">
        <v>6.5084</v>
      </c>
      <c r="BL19" s="123">
        <v>4.9800000000000004</v>
      </c>
      <c r="BN19" s="119">
        <v>16</v>
      </c>
      <c r="BO19" s="1342">
        <f t="shared" si="3"/>
        <v>155.72</v>
      </c>
      <c r="BQ19" s="141" t="s">
        <v>2079</v>
      </c>
      <c r="BR19" s="12"/>
      <c r="BU19" s="12"/>
      <c r="BW19">
        <v>17</v>
      </c>
      <c r="BX19" s="1004" t="s">
        <v>2080</v>
      </c>
      <c r="BY19" s="12">
        <f t="shared" si="2"/>
        <v>1</v>
      </c>
      <c r="CA19" s="911">
        <f t="shared" si="4"/>
        <v>1.557218851</v>
      </c>
      <c r="CB19" s="912">
        <v>16</v>
      </c>
      <c r="CC19" s="913">
        <f t="shared" si="5"/>
        <v>155.72188510000001</v>
      </c>
      <c r="CF19">
        <v>16</v>
      </c>
      <c r="CG19">
        <v>1.557218851</v>
      </c>
      <c r="CH19">
        <f t="shared" si="6"/>
        <v>155.72188510000001</v>
      </c>
      <c r="CJ19">
        <v>16</v>
      </c>
      <c r="CK19">
        <v>1.153913943507979</v>
      </c>
      <c r="CL19">
        <f t="shared" si="7"/>
        <v>115.39139435079791</v>
      </c>
      <c r="CN19">
        <v>1.2238612031986296</v>
      </c>
      <c r="CO19">
        <f t="shared" si="8"/>
        <v>122.38612031986295</v>
      </c>
      <c r="CQ19">
        <v>1.3734465659775825</v>
      </c>
      <c r="CR19">
        <f t="shared" si="9"/>
        <v>151.07912225753407</v>
      </c>
      <c r="CT19">
        <v>62.781822683413544</v>
      </c>
      <c r="CU19">
        <v>79.791046461691977</v>
      </c>
      <c r="CW19" s="904" t="s">
        <v>2081</v>
      </c>
      <c r="CX19" s="905" t="s">
        <v>2082</v>
      </c>
      <c r="CY19" s="906">
        <v>68</v>
      </c>
      <c r="CZ19" s="907">
        <v>3900</v>
      </c>
    </row>
    <row r="20" spans="2:104" ht="14.3">
      <c r="B20" t="str">
        <f>CONCATENATE(B22," ",B3,B4,B17,TEXT(B5,"mm/dd/yyyy"))</f>
        <v>Business Lighting ─ STANDARD V24-02 ─ Valid through 06/30/2024</v>
      </c>
      <c r="J20" t="s">
        <v>2016</v>
      </c>
      <c r="K20" s="893">
        <v>50</v>
      </c>
      <c r="L20" t="s">
        <v>237</v>
      </c>
      <c r="T20" s="25" t="s">
        <v>1726</v>
      </c>
      <c r="U20" s="26" t="s">
        <v>2083</v>
      </c>
      <c r="W20" s="22" t="s">
        <v>454</v>
      </c>
      <c r="X20" s="33">
        <v>10</v>
      </c>
      <c r="Z20" s="80" t="s">
        <v>1916</v>
      </c>
      <c r="AA20" s="33" t="s">
        <v>1917</v>
      </c>
      <c r="AB20" s="39">
        <v>1.04</v>
      </c>
      <c r="AC20" s="33" t="s">
        <v>290</v>
      </c>
      <c r="AD20" s="22" t="s">
        <v>1918</v>
      </c>
      <c r="AE20" s="454">
        <v>1</v>
      </c>
      <c r="AG20" s="25" t="s">
        <v>769</v>
      </c>
      <c r="AH20" s="25" t="str">
        <f t="shared" si="10"/>
        <v>Interior Parking Garage</v>
      </c>
      <c r="AI20" s="25" t="str">
        <f t="shared" si="1"/>
        <v>Controls_Interior_Basic</v>
      </c>
      <c r="AJ20" s="79" t="s">
        <v>215</v>
      </c>
      <c r="AK20" s="79" t="s">
        <v>1920</v>
      </c>
      <c r="AL20" s="79" t="s">
        <v>215</v>
      </c>
      <c r="AM20" s="34">
        <v>0.15</v>
      </c>
      <c r="AN20" s="103" t="s">
        <v>1536</v>
      </c>
      <c r="AP20" s="25" t="s">
        <v>2084</v>
      </c>
      <c r="AQ20" s="41">
        <v>0.89</v>
      </c>
      <c r="AR20" s="25" t="s">
        <v>2085</v>
      </c>
      <c r="AY20" s="20" t="s">
        <v>2086</v>
      </c>
      <c r="AZ20" s="12"/>
      <c r="BB20" s="80" t="s">
        <v>227</v>
      </c>
      <c r="BC20" s="33">
        <v>0</v>
      </c>
      <c r="BD20" s="22" t="s">
        <v>1974</v>
      </c>
      <c r="BE20" s="33" t="s">
        <v>1974</v>
      </c>
      <c r="BJ20" s="118" t="s">
        <v>2087</v>
      </c>
      <c r="BK20" s="119">
        <v>6.0827999999999998</v>
      </c>
      <c r="BL20" s="120">
        <v>2.09</v>
      </c>
      <c r="BN20" s="122">
        <v>17</v>
      </c>
      <c r="BO20" s="123">
        <f t="shared" si="3"/>
        <v>161.41999999999999</v>
      </c>
      <c r="BQ20" s="558" t="s">
        <v>491</v>
      </c>
      <c r="BR20" s="12">
        <v>0</v>
      </c>
      <c r="BT20" s="898" t="s">
        <v>2088</v>
      </c>
      <c r="BU20" s="898" t="s">
        <v>2089</v>
      </c>
      <c r="BW20">
        <v>18</v>
      </c>
      <c r="BX20" s="1005" t="s">
        <v>2090</v>
      </c>
      <c r="BY20" s="12">
        <f t="shared" si="2"/>
        <v>1</v>
      </c>
      <c r="CA20" s="648">
        <f t="shared" si="4"/>
        <v>1.614206553</v>
      </c>
      <c r="CB20" s="909">
        <v>17</v>
      </c>
      <c r="CC20" s="910">
        <f t="shared" si="5"/>
        <v>161.42065529999999</v>
      </c>
      <c r="CF20">
        <v>17</v>
      </c>
      <c r="CG20">
        <v>1.614206553</v>
      </c>
      <c r="CH20">
        <f t="shared" si="6"/>
        <v>161.42065529999999</v>
      </c>
      <c r="CJ20">
        <v>17</v>
      </c>
      <c r="CK20">
        <v>1.212666668110173</v>
      </c>
      <c r="CL20">
        <f t="shared" si="7"/>
        <v>121.2666668110173</v>
      </c>
      <c r="CN20">
        <v>1.2842592787243652</v>
      </c>
      <c r="CO20">
        <f t="shared" si="8"/>
        <v>128.42592787243652</v>
      </c>
      <c r="CQ20">
        <v>1.441703401085666</v>
      </c>
      <c r="CR20">
        <f t="shared" si="9"/>
        <v>158.58737411942326</v>
      </c>
      <c r="CT20">
        <v>65.860968699691853</v>
      </c>
      <c r="CU20">
        <v>83.50771718419989</v>
      </c>
      <c r="CW20" s="899" t="s">
        <v>2091</v>
      </c>
      <c r="CX20" s="900" t="s">
        <v>1911</v>
      </c>
      <c r="CY20" s="901">
        <v>13</v>
      </c>
      <c r="CZ20" s="902">
        <v>4400</v>
      </c>
    </row>
    <row r="21" spans="2:104" ht="14.3">
      <c r="B21" t="str">
        <f ca="1">IF(B12="Expired","APPLICATION EXPIRED",IF(B13="Not Signed","Application Signature not dated. Application not valid.",CONCATENATE("Application expires in ",B9," days")))</f>
        <v>Application Signature not dated. Application not valid.</v>
      </c>
      <c r="J21" t="s">
        <v>2077</v>
      </c>
      <c r="K21" s="893">
        <v>50</v>
      </c>
      <c r="L21" t="s">
        <v>237</v>
      </c>
      <c r="T21" s="22" t="s">
        <v>1732</v>
      </c>
      <c r="U21" s="23" t="s">
        <v>2092</v>
      </c>
      <c r="W21" s="25" t="s">
        <v>455</v>
      </c>
      <c r="X21" s="34">
        <v>10</v>
      </c>
      <c r="Z21" s="80" t="s">
        <v>1934</v>
      </c>
      <c r="AA21" s="33" t="s">
        <v>1935</v>
      </c>
      <c r="AB21" s="39">
        <v>0.8</v>
      </c>
      <c r="AC21" s="33" t="s">
        <v>290</v>
      </c>
      <c r="AD21" s="22" t="s">
        <v>1918</v>
      </c>
      <c r="AE21" s="454">
        <v>2</v>
      </c>
      <c r="AG21" s="22" t="s">
        <v>770</v>
      </c>
      <c r="AH21" s="22" t="str">
        <f t="shared" si="10"/>
        <v>Interior Private Office</v>
      </c>
      <c r="AI21" s="22" t="str">
        <f t="shared" si="1"/>
        <v>Controls_Interior_LLLC</v>
      </c>
      <c r="AJ21" s="80" t="s">
        <v>237</v>
      </c>
      <c r="AK21" s="80" t="s">
        <v>1920</v>
      </c>
      <c r="AL21" s="80" t="s">
        <v>215</v>
      </c>
      <c r="AM21" s="33">
        <v>0.74</v>
      </c>
      <c r="AN21" s="103" t="s">
        <v>1536</v>
      </c>
      <c r="AP21" s="22" t="s">
        <v>2093</v>
      </c>
      <c r="AQ21" s="42">
        <v>0.7</v>
      </c>
      <c r="AR21" s="22" t="s">
        <v>1990</v>
      </c>
      <c r="AY21" s="22" t="str">
        <f>BB3</f>
        <v>Switch / Breaker</v>
      </c>
      <c r="AZ21" s="12">
        <v>1</v>
      </c>
      <c r="BJ21" s="121" t="s">
        <v>2094</v>
      </c>
      <c r="BK21" s="122">
        <v>6.1963999999999997</v>
      </c>
      <c r="BL21" s="123">
        <v>3.7</v>
      </c>
      <c r="BN21" s="119">
        <v>18</v>
      </c>
      <c r="BO21" s="1342">
        <f t="shared" si="3"/>
        <v>166.74</v>
      </c>
      <c r="BQ21" t="s">
        <v>174</v>
      </c>
      <c r="BR21" s="12">
        <v>1</v>
      </c>
      <c r="BT21" s="1083" t="s">
        <v>2095</v>
      </c>
      <c r="BU21" s="1004" t="s">
        <v>2096</v>
      </c>
      <c r="BW21">
        <v>19</v>
      </c>
      <c r="BX21" s="1004" t="s">
        <v>2097</v>
      </c>
      <c r="BY21" s="12">
        <f t="shared" si="2"/>
        <v>1</v>
      </c>
      <c r="CA21" s="911">
        <f t="shared" si="4"/>
        <v>1.66743025</v>
      </c>
      <c r="CB21" s="912">
        <v>18</v>
      </c>
      <c r="CC21" s="913">
        <f t="shared" si="5"/>
        <v>166.74302499999999</v>
      </c>
      <c r="CF21">
        <v>18</v>
      </c>
      <c r="CG21">
        <v>1.66743025</v>
      </c>
      <c r="CH21">
        <f t="shared" si="6"/>
        <v>166.74302499999999</v>
      </c>
      <c r="CJ21">
        <v>18</v>
      </c>
      <c r="CK21">
        <v>1.2679623363826162</v>
      </c>
      <c r="CL21">
        <f t="shared" si="7"/>
        <v>126.79623363826163</v>
      </c>
      <c r="CN21">
        <v>1.3425893450202335</v>
      </c>
      <c r="CO21">
        <f t="shared" si="8"/>
        <v>134.25893450202335</v>
      </c>
      <c r="CQ21">
        <v>1.5061205237293984</v>
      </c>
      <c r="CR21">
        <f t="shared" si="9"/>
        <v>165.67325761023383</v>
      </c>
      <c r="CT21">
        <v>68.790755621695382</v>
      </c>
      <c r="CU21">
        <v>87.046335826996142</v>
      </c>
      <c r="CW21" s="904" t="s">
        <v>2098</v>
      </c>
      <c r="CX21" s="905" t="s">
        <v>2082</v>
      </c>
      <c r="CY21" s="906">
        <v>9</v>
      </c>
      <c r="CZ21" s="907">
        <v>6000</v>
      </c>
    </row>
    <row r="22" spans="2:104" ht="14.3">
      <c r="B22" t="str">
        <f>IF($B$2="Business Lighting",B38,B52)</f>
        <v>Business Lighting</v>
      </c>
      <c r="J22" t="s">
        <v>2099</v>
      </c>
      <c r="K22" s="893">
        <v>75</v>
      </c>
      <c r="L22" t="s">
        <v>237</v>
      </c>
      <c r="T22" s="25" t="s">
        <v>1752</v>
      </c>
      <c r="U22" s="26" t="s">
        <v>2100</v>
      </c>
      <c r="W22" s="22" t="s">
        <v>249</v>
      </c>
      <c r="X22" s="33">
        <v>10</v>
      </c>
      <c r="Z22" s="80" t="s">
        <v>1946</v>
      </c>
      <c r="AA22" s="33" t="s">
        <v>1947</v>
      </c>
      <c r="AB22" s="39">
        <v>1</v>
      </c>
      <c r="AC22" s="33" t="s">
        <v>290</v>
      </c>
      <c r="AD22" s="22" t="s">
        <v>1918</v>
      </c>
      <c r="AE22" s="454">
        <v>3</v>
      </c>
      <c r="AG22" s="25" t="s">
        <v>771</v>
      </c>
      <c r="AH22" s="25" t="str">
        <f t="shared" si="10"/>
        <v>Interior Process</v>
      </c>
      <c r="AI22" s="25" t="str">
        <f t="shared" si="1"/>
        <v>Controls_Interior_Basic</v>
      </c>
      <c r="AJ22" s="79" t="s">
        <v>215</v>
      </c>
      <c r="AK22" s="79" t="s">
        <v>1920</v>
      </c>
      <c r="AL22" s="79" t="s">
        <v>215</v>
      </c>
      <c r="AM22" s="34">
        <v>0.8</v>
      </c>
      <c r="AN22" s="103" t="s">
        <v>1536</v>
      </c>
      <c r="AP22" s="25" t="s">
        <v>2101</v>
      </c>
      <c r="AQ22" s="41">
        <v>0.61</v>
      </c>
      <c r="AR22" s="25" t="s">
        <v>1961</v>
      </c>
      <c r="AY22" s="25" t="str">
        <f>BB4</f>
        <v>Timer / Time Switch</v>
      </c>
      <c r="AZ22" s="12">
        <v>2</v>
      </c>
      <c r="BJ22" s="124" t="s">
        <v>2102</v>
      </c>
      <c r="BK22" s="125">
        <v>10</v>
      </c>
      <c r="BL22" s="126">
        <v>0</v>
      </c>
      <c r="BN22" s="122">
        <v>19</v>
      </c>
      <c r="BO22" s="123">
        <f t="shared" si="3"/>
        <v>171.71</v>
      </c>
      <c r="BQ22" s="142" t="s">
        <v>163</v>
      </c>
      <c r="BR22" s="12">
        <v>2</v>
      </c>
      <c r="BT22" s="1084" t="s">
        <v>2103</v>
      </c>
      <c r="BU22" s="1005" t="s">
        <v>2104</v>
      </c>
      <c r="BW22">
        <v>20</v>
      </c>
      <c r="BX22" s="1005" t="s">
        <v>2105</v>
      </c>
      <c r="BY22" s="12">
        <f t="shared" si="2"/>
        <v>1</v>
      </c>
      <c r="CA22" s="648">
        <f t="shared" si="4"/>
        <v>1.717145243</v>
      </c>
      <c r="CB22" s="909">
        <v>19</v>
      </c>
      <c r="CC22" s="910">
        <f t="shared" si="5"/>
        <v>171.71452429999999</v>
      </c>
      <c r="CF22">
        <v>19</v>
      </c>
      <c r="CG22">
        <v>1.717145243</v>
      </c>
      <c r="CH22">
        <f t="shared" si="6"/>
        <v>171.71452429999999</v>
      </c>
      <c r="CJ22">
        <v>19</v>
      </c>
      <c r="CK22">
        <v>1.3201485780830118</v>
      </c>
      <c r="CL22">
        <f t="shared" si="7"/>
        <v>132.01485780830117</v>
      </c>
      <c r="CN22">
        <v>1.3983688158462371</v>
      </c>
      <c r="CO22">
        <f t="shared" si="8"/>
        <v>139.83688158462371</v>
      </c>
      <c r="CQ22">
        <v>1.5670609702336995</v>
      </c>
      <c r="CR22">
        <f t="shared" si="9"/>
        <v>172.37670672570695</v>
      </c>
      <c r="CT22">
        <v>71.570348311709367</v>
      </c>
      <c r="CU22">
        <v>90.421438399832539</v>
      </c>
      <c r="CW22" s="899" t="s">
        <v>2106</v>
      </c>
      <c r="CX22" s="900" t="s">
        <v>1911</v>
      </c>
      <c r="CY22" s="901">
        <v>42</v>
      </c>
      <c r="CZ22" s="902">
        <v>2500</v>
      </c>
    </row>
    <row r="23" spans="2:104" ht="14.3">
      <c r="B23" t="str">
        <f>IF($B$2="Business Lighting",B39,B53)</f>
        <v>Commercial and Industrial projects, Lighting Only Tenant Improvements projects &amp; Lighting Only New Construction projects</v>
      </c>
      <c r="J23" t="s">
        <v>2048</v>
      </c>
      <c r="K23" s="893">
        <v>25</v>
      </c>
      <c r="L23" t="s">
        <v>215</v>
      </c>
      <c r="T23" s="27" t="s">
        <v>1762</v>
      </c>
      <c r="U23" s="24" t="s">
        <v>2107</v>
      </c>
      <c r="W23" s="30" t="s">
        <v>452</v>
      </c>
      <c r="X23" s="35">
        <v>10</v>
      </c>
      <c r="Z23" s="80" t="s">
        <v>1958</v>
      </c>
      <c r="AA23" s="33" t="s">
        <v>1959</v>
      </c>
      <c r="AB23" s="39">
        <v>1.2</v>
      </c>
      <c r="AC23" s="33" t="s">
        <v>290</v>
      </c>
      <c r="AD23" s="22" t="s">
        <v>1918</v>
      </c>
      <c r="AE23" s="454">
        <v>5</v>
      </c>
      <c r="AG23" s="22" t="s">
        <v>772</v>
      </c>
      <c r="AH23" s="22" t="str">
        <f t="shared" si="10"/>
        <v>Interior Public Assembly</v>
      </c>
      <c r="AI23" s="22" t="str">
        <f t="shared" si="1"/>
        <v>Controls_Interior_Basic</v>
      </c>
      <c r="AJ23" s="80" t="s">
        <v>215</v>
      </c>
      <c r="AK23" s="80" t="s">
        <v>1920</v>
      </c>
      <c r="AL23" s="80" t="s">
        <v>215</v>
      </c>
      <c r="AM23" s="33">
        <v>0.61</v>
      </c>
      <c r="AN23" s="103" t="s">
        <v>1536</v>
      </c>
      <c r="AP23" s="22" t="s">
        <v>2108</v>
      </c>
      <c r="AQ23" s="42">
        <v>0.41</v>
      </c>
      <c r="AR23" s="22" t="s">
        <v>2109</v>
      </c>
      <c r="AY23" s="22" t="str">
        <f t="shared" ref="AY23:AY27" si="11">BB5</f>
        <v>Occupancy Sensor</v>
      </c>
      <c r="AZ23" s="12">
        <v>1</v>
      </c>
      <c r="BB23" s="50" t="s">
        <v>1877</v>
      </c>
      <c r="BN23" s="125">
        <v>20</v>
      </c>
      <c r="BO23" s="1342">
        <f t="shared" si="3"/>
        <v>176.37</v>
      </c>
      <c r="BQ23" t="s">
        <v>176</v>
      </c>
      <c r="BR23" s="12">
        <v>3</v>
      </c>
      <c r="BT23" s="1083" t="s">
        <v>2110</v>
      </c>
      <c r="BU23" s="1004" t="s">
        <v>2111</v>
      </c>
      <c r="BW23">
        <v>21</v>
      </c>
      <c r="BX23" s="1004" t="s">
        <v>2112</v>
      </c>
      <c r="BY23" s="12">
        <f t="shared" si="2"/>
        <v>1</v>
      </c>
      <c r="CA23" s="911">
        <f t="shared" si="4"/>
        <v>1.763678812</v>
      </c>
      <c r="CB23" s="912">
        <v>20</v>
      </c>
      <c r="CC23" s="913">
        <f t="shared" si="5"/>
        <v>176.3678812</v>
      </c>
      <c r="CF23">
        <v>20</v>
      </c>
      <c r="CG23">
        <v>1.763678812</v>
      </c>
      <c r="CH23">
        <f t="shared" si="6"/>
        <v>176.3678812</v>
      </c>
      <c r="CJ23">
        <v>20</v>
      </c>
      <c r="CK23">
        <v>1.3695735240203228</v>
      </c>
      <c r="CL23">
        <f t="shared" si="7"/>
        <v>136.95735240203228</v>
      </c>
      <c r="CN23">
        <v>1.4511780575486246</v>
      </c>
      <c r="CO23">
        <f t="shared" si="8"/>
        <v>145.11780575486247</v>
      </c>
      <c r="CQ23">
        <v>1.6248876576728863</v>
      </c>
      <c r="CR23">
        <f t="shared" si="9"/>
        <v>178.7376423440175</v>
      </c>
      <c r="CT23">
        <v>74.207590710783052</v>
      </c>
      <c r="CU23">
        <v>93.62553336223192</v>
      </c>
      <c r="CW23" s="904" t="s">
        <v>2113</v>
      </c>
      <c r="CX23" s="905" t="s">
        <v>1911</v>
      </c>
      <c r="CY23" s="906">
        <v>73</v>
      </c>
      <c r="CZ23" s="907">
        <v>7200</v>
      </c>
    </row>
    <row r="24" spans="2:104" ht="14.3">
      <c r="B24" t="str">
        <f>IF($B$2="Business Lighting",B40,B54)</f>
        <v>businesslighting@pse.com</v>
      </c>
      <c r="J24" t="s">
        <v>2114</v>
      </c>
      <c r="K24" s="893">
        <v>50</v>
      </c>
      <c r="L24" t="s">
        <v>215</v>
      </c>
      <c r="T24" s="25" t="s">
        <v>1691</v>
      </c>
      <c r="U24" s="26" t="s">
        <v>2115</v>
      </c>
      <c r="W24" s="22" t="s">
        <v>453</v>
      </c>
      <c r="X24" s="33">
        <v>10</v>
      </c>
      <c r="Z24" s="80" t="s">
        <v>1995</v>
      </c>
      <c r="AA24" s="33" t="s">
        <v>1995</v>
      </c>
      <c r="AB24" s="39">
        <v>1.1000000000000001</v>
      </c>
      <c r="AC24" s="33" t="s">
        <v>290</v>
      </c>
      <c r="AD24" s="22" t="s">
        <v>1918</v>
      </c>
      <c r="AE24" s="454">
        <v>7</v>
      </c>
      <c r="AG24" s="25" t="s">
        <v>773</v>
      </c>
      <c r="AH24" s="25" t="str">
        <f t="shared" si="10"/>
        <v>Interior Restroom</v>
      </c>
      <c r="AI24" s="25" t="str">
        <f t="shared" si="1"/>
        <v>Controls_Interior_Basic</v>
      </c>
      <c r="AJ24" s="79" t="s">
        <v>215</v>
      </c>
      <c r="AK24" s="79" t="s">
        <v>1920</v>
      </c>
      <c r="AL24" s="79" t="s">
        <v>215</v>
      </c>
      <c r="AM24" s="34">
        <v>0.63</v>
      </c>
      <c r="AN24" s="103" t="s">
        <v>1536</v>
      </c>
      <c r="AP24" s="25" t="s">
        <v>2116</v>
      </c>
      <c r="AQ24" s="41">
        <v>0.8</v>
      </c>
      <c r="AR24" s="25" t="s">
        <v>1961</v>
      </c>
      <c r="AY24" s="25" t="str">
        <f t="shared" si="11"/>
        <v>Interior Daylight Dimming</v>
      </c>
      <c r="AZ24" s="12">
        <v>2</v>
      </c>
      <c r="BB24" s="214" t="s">
        <v>1898</v>
      </c>
      <c r="BN24" s="122">
        <v>21</v>
      </c>
      <c r="BO24" s="123">
        <f t="shared" si="3"/>
        <v>180.76</v>
      </c>
      <c r="BQ24" s="558" t="s">
        <v>168</v>
      </c>
      <c r="BR24" s="12">
        <v>4</v>
      </c>
      <c r="BT24" s="1084" t="s">
        <v>2117</v>
      </c>
      <c r="BU24" s="1005" t="s">
        <v>2118</v>
      </c>
      <c r="BW24">
        <v>22</v>
      </c>
      <c r="BX24" s="1005" t="s">
        <v>2119</v>
      </c>
      <c r="BY24" s="12">
        <f t="shared" si="2"/>
        <v>1</v>
      </c>
      <c r="CA24" s="648">
        <f t="shared" si="4"/>
        <v>1.8076050990000001</v>
      </c>
      <c r="CB24" s="909">
        <v>21</v>
      </c>
      <c r="CC24" s="910">
        <f t="shared" si="5"/>
        <v>180.76050990000002</v>
      </c>
      <c r="CF24">
        <v>21</v>
      </c>
      <c r="CG24">
        <v>1.8076050990000001</v>
      </c>
      <c r="CH24">
        <f t="shared" si="6"/>
        <v>180.76050990000002</v>
      </c>
      <c r="CJ24">
        <v>21</v>
      </c>
      <c r="CK24">
        <v>1.4162268266715443</v>
      </c>
      <c r="CL24">
        <f t="shared" si="7"/>
        <v>141.62268266715444</v>
      </c>
      <c r="CN24">
        <v>1.5011162342522326</v>
      </c>
      <c r="CO24">
        <f t="shared" si="8"/>
        <v>150.11162342522326</v>
      </c>
      <c r="CQ24">
        <v>1.6796044294621442</v>
      </c>
      <c r="CR24">
        <f t="shared" si="9"/>
        <v>184.75648724083587</v>
      </c>
      <c r="CT24">
        <v>76.709907183707813</v>
      </c>
      <c r="CU24">
        <v>96.667413026111817</v>
      </c>
      <c r="CW24" s="899" t="s">
        <v>2120</v>
      </c>
      <c r="CX24" s="900" t="s">
        <v>1911</v>
      </c>
      <c r="CY24" s="901">
        <v>70</v>
      </c>
      <c r="CZ24" s="902">
        <v>6800</v>
      </c>
    </row>
    <row r="25" spans="2:104" ht="14.3">
      <c r="B25" t="str">
        <f>CONCATENATE("Submit all of the below in one email to ",B24)</f>
        <v>Submit all of the below in one email to businesslighting@pse.com</v>
      </c>
      <c r="T25" s="22" t="s">
        <v>1706</v>
      </c>
      <c r="U25" s="23" t="s">
        <v>2121</v>
      </c>
      <c r="W25" s="380" t="s">
        <v>226</v>
      </c>
      <c r="X25" s="381">
        <v>10</v>
      </c>
      <c r="Z25" s="80" t="s">
        <v>2122</v>
      </c>
      <c r="AA25" s="33" t="s">
        <v>2123</v>
      </c>
      <c r="AB25" s="39">
        <v>1.04</v>
      </c>
      <c r="AC25" s="33" t="s">
        <v>290</v>
      </c>
      <c r="AD25" s="22" t="s">
        <v>2124</v>
      </c>
      <c r="AE25" s="454">
        <v>11</v>
      </c>
      <c r="AG25" s="22" t="s">
        <v>774</v>
      </c>
      <c r="AH25" s="22" t="str">
        <f t="shared" si="10"/>
        <v>Interior Retail</v>
      </c>
      <c r="AI25" s="22" t="str">
        <f t="shared" si="1"/>
        <v>Controls_Interior_Basic</v>
      </c>
      <c r="AJ25" s="80" t="s">
        <v>215</v>
      </c>
      <c r="AK25" s="80" t="s">
        <v>1920</v>
      </c>
      <c r="AL25" s="80" t="s">
        <v>215</v>
      </c>
      <c r="AM25" s="33">
        <v>1.05</v>
      </c>
      <c r="AN25" s="103" t="s">
        <v>1536</v>
      </c>
      <c r="AP25" s="22" t="s">
        <v>2019</v>
      </c>
      <c r="AQ25" s="42">
        <v>0.66</v>
      </c>
      <c r="AR25" s="22" t="s">
        <v>2019</v>
      </c>
      <c r="AY25" s="22" t="str">
        <f t="shared" si="11"/>
        <v>Daylight + Occupancy</v>
      </c>
      <c r="AZ25" s="12">
        <v>3</v>
      </c>
      <c r="BB25" t="s">
        <v>1920</v>
      </c>
      <c r="BC25" s="12">
        <v>1</v>
      </c>
      <c r="BN25" s="119">
        <v>22</v>
      </c>
      <c r="BO25" s="1342">
        <f t="shared" si="3"/>
        <v>184.86</v>
      </c>
      <c r="BT25" s="1083" t="s">
        <v>2125</v>
      </c>
      <c r="BU25" s="1004" t="s">
        <v>2126</v>
      </c>
      <c r="BW25">
        <v>23</v>
      </c>
      <c r="BX25" s="1004" t="s">
        <v>2127</v>
      </c>
      <c r="BY25" s="12">
        <f t="shared" si="2"/>
        <v>1</v>
      </c>
      <c r="CA25" s="911">
        <f t="shared" si="4"/>
        <v>1.8485765890000001</v>
      </c>
      <c r="CB25" s="912">
        <v>22</v>
      </c>
      <c r="CC25" s="913">
        <f t="shared" si="5"/>
        <v>184.85765890000002</v>
      </c>
      <c r="CF25">
        <v>22</v>
      </c>
      <c r="CG25">
        <v>1.8485765890000001</v>
      </c>
      <c r="CH25">
        <f t="shared" si="6"/>
        <v>184.85765890000002</v>
      </c>
      <c r="CJ25">
        <v>22</v>
      </c>
      <c r="CK25">
        <v>1.460245888881019</v>
      </c>
      <c r="CL25">
        <f t="shared" si="7"/>
        <v>146.0245888881019</v>
      </c>
      <c r="CN25">
        <v>1.5483243716245909</v>
      </c>
      <c r="CO25">
        <f t="shared" si="8"/>
        <v>154.83243716245909</v>
      </c>
      <c r="CQ25">
        <v>1.7313623080260077</v>
      </c>
      <c r="CR25">
        <f t="shared" si="9"/>
        <v>190.44985388286085</v>
      </c>
      <c r="CT25">
        <v>79.084325632303759</v>
      </c>
      <c r="CU25">
        <v>99.555408755878176</v>
      </c>
      <c r="CW25" s="904" t="s">
        <v>2128</v>
      </c>
      <c r="CX25" s="905" t="s">
        <v>1911</v>
      </c>
      <c r="CY25" s="906">
        <v>122</v>
      </c>
      <c r="CZ25" s="907">
        <v>2500</v>
      </c>
    </row>
    <row r="26" spans="2:104" ht="14.3">
      <c r="B26" t="str">
        <f>IF($B$2="Business Lighting",B42,B56)</f>
        <v>Commercial or industrial facility or outdoor lighting receiving Electric Service under Schedules 8, 11, 12,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J26" t="s">
        <v>2129</v>
      </c>
      <c r="K26" s="750" t="b">
        <f>IF(L26="Yes",TRUE,FALSE)</f>
        <v>0</v>
      </c>
      <c r="L26" t="str">
        <f>'Grant QC Review'!N114</f>
        <v>No</v>
      </c>
      <c r="M26" t="str">
        <f>IF(K26=TRUE,"Congratulations! Your project meets PSE’s definition of Named Communities and is eligible for the program’s enhanced incentive.","")</f>
        <v/>
      </c>
      <c r="T26" s="25" t="s">
        <v>1715</v>
      </c>
      <c r="U26" s="26" t="s">
        <v>2130</v>
      </c>
      <c r="Z26" s="455" t="s">
        <v>2131</v>
      </c>
      <c r="AA26" s="33" t="s">
        <v>2131</v>
      </c>
      <c r="AB26" s="39">
        <v>0.8</v>
      </c>
      <c r="AC26" s="33" t="s">
        <v>290</v>
      </c>
      <c r="AD26" s="22" t="s">
        <v>2124</v>
      </c>
      <c r="AE26" s="454">
        <v>12</v>
      </c>
      <c r="AG26" s="25" t="s">
        <v>775</v>
      </c>
      <c r="AH26" s="25" t="str">
        <f t="shared" si="10"/>
        <v>Interior Stairs</v>
      </c>
      <c r="AI26" s="25" t="str">
        <f t="shared" si="1"/>
        <v>Controls_Interior_Basic</v>
      </c>
      <c r="AJ26" s="79" t="s">
        <v>215</v>
      </c>
      <c r="AK26" s="79" t="s">
        <v>1920</v>
      </c>
      <c r="AL26" s="79" t="s">
        <v>215</v>
      </c>
      <c r="AM26" s="34">
        <v>0.49</v>
      </c>
      <c r="AN26" s="103" t="s">
        <v>1536</v>
      </c>
      <c r="AP26" s="25" t="s">
        <v>2132</v>
      </c>
      <c r="AQ26" s="41">
        <v>0.16</v>
      </c>
      <c r="AR26" s="25" t="s">
        <v>768</v>
      </c>
      <c r="AY26" s="25" t="str">
        <f t="shared" si="11"/>
        <v>Interior NLC</v>
      </c>
      <c r="AZ26" s="12"/>
      <c r="BB26" t="s">
        <v>1922</v>
      </c>
      <c r="BC26" s="12">
        <v>2</v>
      </c>
      <c r="BN26" s="122">
        <v>23</v>
      </c>
      <c r="BO26" s="123">
        <f t="shared" si="3"/>
        <v>188.49</v>
      </c>
      <c r="BQ26" s="141" t="s">
        <v>2079</v>
      </c>
      <c r="BR26" s="12"/>
      <c r="BT26" s="1084" t="s">
        <v>2133</v>
      </c>
      <c r="BU26" s="1005" t="s">
        <v>2126</v>
      </c>
      <c r="BW26">
        <v>24</v>
      </c>
      <c r="BX26" s="1005" t="s">
        <v>2134</v>
      </c>
      <c r="BY26" s="12">
        <f t="shared" si="2"/>
        <v>1</v>
      </c>
      <c r="CA26" s="648">
        <f t="shared" si="4"/>
        <v>1.8849305160000001</v>
      </c>
      <c r="CB26" s="909">
        <v>23</v>
      </c>
      <c r="CC26" s="910">
        <f t="shared" si="5"/>
        <v>188.4930516</v>
      </c>
      <c r="CF26">
        <v>23</v>
      </c>
      <c r="CG26">
        <v>1.8849305160000001</v>
      </c>
      <c r="CH26">
        <f t="shared" si="6"/>
        <v>188.4930516</v>
      </c>
      <c r="CJ26">
        <v>23</v>
      </c>
      <c r="CK26">
        <v>1.5017620243571768</v>
      </c>
      <c r="CL26">
        <f t="shared" si="7"/>
        <v>150.17620243571767</v>
      </c>
      <c r="CN26">
        <v>1.5929372255451746</v>
      </c>
      <c r="CO26">
        <f t="shared" si="8"/>
        <v>159.29372255451744</v>
      </c>
      <c r="CQ26">
        <v>1.7803056782992144</v>
      </c>
      <c r="CR26">
        <f t="shared" si="9"/>
        <v>195.83362461291358</v>
      </c>
      <c r="CT26">
        <v>81.337499291302748</v>
      </c>
      <c r="CU26">
        <v>102.2974157439703</v>
      </c>
      <c r="CW26" s="899" t="s">
        <v>2135</v>
      </c>
      <c r="CX26" s="900" t="s">
        <v>2136</v>
      </c>
      <c r="CY26" s="901" t="s">
        <v>1177</v>
      </c>
      <c r="CZ26" s="902">
        <v>4383</v>
      </c>
    </row>
    <row r="27" spans="2:104" ht="14.3">
      <c r="B27">
        <f>IF($B$2="Business Lighting",B41,B55)</f>
        <v>0</v>
      </c>
      <c r="J27" t="s">
        <v>2137</v>
      </c>
      <c r="K27" s="750" t="b">
        <f>IF(L27="Yes",TRUE,FALSE)</f>
        <v>0</v>
      </c>
      <c r="L27" t="str">
        <f>MF__Named</f>
        <v>No</v>
      </c>
      <c r="T27" s="22" t="s">
        <v>607</v>
      </c>
      <c r="U27" s="23" t="s">
        <v>2138</v>
      </c>
      <c r="W27" s="231" t="s">
        <v>2139</v>
      </c>
      <c r="Z27" s="455" t="s">
        <v>2140</v>
      </c>
      <c r="AA27" s="33" t="s">
        <v>2140</v>
      </c>
      <c r="AB27" s="39">
        <v>1</v>
      </c>
      <c r="AC27" s="33" t="s">
        <v>290</v>
      </c>
      <c r="AD27" s="22" t="s">
        <v>2124</v>
      </c>
      <c r="AE27" s="454">
        <v>13</v>
      </c>
      <c r="AG27" s="22" t="s">
        <v>776</v>
      </c>
      <c r="AH27" s="22" t="str">
        <f t="shared" si="10"/>
        <v>Interior Storage</v>
      </c>
      <c r="AI27" s="22" t="str">
        <f t="shared" si="1"/>
        <v>Controls_Interior_Basic</v>
      </c>
      <c r="AJ27" s="80" t="s">
        <v>215</v>
      </c>
      <c r="AK27" s="80" t="s">
        <v>1920</v>
      </c>
      <c r="AL27" s="80" t="s">
        <v>215</v>
      </c>
      <c r="AM27" s="33">
        <v>0.51</v>
      </c>
      <c r="AN27" s="103" t="s">
        <v>1536</v>
      </c>
      <c r="AP27" s="22" t="s">
        <v>768</v>
      </c>
      <c r="AQ27" s="42"/>
      <c r="AR27" s="22" t="s">
        <v>768</v>
      </c>
      <c r="AY27" s="22" t="str">
        <f t="shared" si="11"/>
        <v>Interior LLLC</v>
      </c>
      <c r="AZ27" s="12">
        <v>3</v>
      </c>
      <c r="BB27" t="s">
        <v>1948</v>
      </c>
      <c r="BC27" s="12">
        <v>3</v>
      </c>
      <c r="BF27" s="12">
        <f>HLOOKUP(BG27,Installations!$GN$8:$IB$16,9,FALSE)</f>
        <v>0</v>
      </c>
      <c r="BG27" t="str">
        <f>Installations!IB8</f>
        <v>Calculate</v>
      </c>
      <c r="BH27" t="s">
        <v>1923</v>
      </c>
      <c r="BI27" t="s">
        <v>2141</v>
      </c>
      <c r="BN27" s="125">
        <v>24</v>
      </c>
      <c r="BO27" s="1342">
        <f t="shared" si="3"/>
        <v>191.95</v>
      </c>
      <c r="BQ27" s="558" t="s">
        <v>2142</v>
      </c>
      <c r="BR27" s="12"/>
      <c r="BT27" s="1083" t="s">
        <v>2143</v>
      </c>
      <c r="BU27" s="1004" t="s">
        <v>2144</v>
      </c>
      <c r="BW27">
        <v>25</v>
      </c>
      <c r="BX27" s="1004" t="s">
        <v>2145</v>
      </c>
      <c r="BY27" s="12">
        <f t="shared" si="2"/>
        <v>1</v>
      </c>
      <c r="CA27" s="911">
        <f t="shared" si="4"/>
        <v>1.9195067770000001</v>
      </c>
      <c r="CB27" s="912">
        <v>24</v>
      </c>
      <c r="CC27" s="913">
        <f t="shared" si="5"/>
        <v>191.9506777</v>
      </c>
      <c r="CF27">
        <v>24</v>
      </c>
      <c r="CG27">
        <v>1.9195067770000001</v>
      </c>
      <c r="CH27">
        <f t="shared" si="6"/>
        <v>191.9506777</v>
      </c>
      <c r="CJ27">
        <v>24</v>
      </c>
      <c r="CK27">
        <v>1.5409006836590042</v>
      </c>
      <c r="CL27">
        <f t="shared" si="7"/>
        <v>154.09006836590044</v>
      </c>
      <c r="CN27">
        <v>1.635083519102853</v>
      </c>
      <c r="CO27">
        <f t="shared" si="8"/>
        <v>163.50835191028528</v>
      </c>
      <c r="CQ27">
        <v>1.8265725357910936</v>
      </c>
      <c r="CR27">
        <f t="shared" si="9"/>
        <v>200.9229789370203</v>
      </c>
      <c r="CT27">
        <v>83.475727284742746</v>
      </c>
      <c r="CU27">
        <v>104.90091641373087</v>
      </c>
      <c r="CW27" s="904" t="s">
        <v>779</v>
      </c>
      <c r="CX27" s="905" t="s">
        <v>1911</v>
      </c>
      <c r="CY27" s="906">
        <v>105</v>
      </c>
      <c r="CZ27" s="907">
        <v>2600</v>
      </c>
    </row>
    <row r="28" spans="2:104" thickBot="1">
      <c r="B28">
        <f>IF($B$2="Business Lighting",B43,B57)</f>
        <v>0</v>
      </c>
      <c r="T28" s="25" t="s">
        <v>610</v>
      </c>
      <c r="U28" s="26" t="s">
        <v>2146</v>
      </c>
      <c r="W28" s="141" t="s">
        <v>2147</v>
      </c>
      <c r="Z28" s="455" t="s">
        <v>2148</v>
      </c>
      <c r="AA28" s="33" t="s">
        <v>2148</v>
      </c>
      <c r="AB28" s="39">
        <v>1.2</v>
      </c>
      <c r="AC28" s="33" t="s">
        <v>290</v>
      </c>
      <c r="AD28" s="22" t="s">
        <v>2124</v>
      </c>
      <c r="AE28" s="454">
        <v>14</v>
      </c>
      <c r="AG28" s="25" t="s">
        <v>777</v>
      </c>
      <c r="AH28" s="25" t="str">
        <f t="shared" si="10"/>
        <v>Interior Technical Area</v>
      </c>
      <c r="AI28" s="25" t="str">
        <f t="shared" si="1"/>
        <v>Controls_Interior_Basic</v>
      </c>
      <c r="AJ28" s="79" t="s">
        <v>215</v>
      </c>
      <c r="AK28" s="79" t="s">
        <v>1920</v>
      </c>
      <c r="AL28" s="79" t="s">
        <v>215</v>
      </c>
      <c r="AM28" s="34">
        <v>0.8</v>
      </c>
      <c r="AN28" s="103" t="s">
        <v>1536</v>
      </c>
      <c r="AP28" s="25" t="s">
        <v>2149</v>
      </c>
      <c r="AQ28" s="41">
        <v>0.65</v>
      </c>
      <c r="AR28" s="25" t="s">
        <v>768</v>
      </c>
      <c r="AY28" s="22" t="s">
        <v>2007</v>
      </c>
      <c r="AZ28" s="12"/>
      <c r="BB28" t="s">
        <v>1974</v>
      </c>
      <c r="BC28" s="12">
        <v>4</v>
      </c>
      <c r="BF28" s="12">
        <f>HLOOKUP(BG28,Installations!$GN$8:$IB$16,9,FALSE)</f>
        <v>1</v>
      </c>
      <c r="BG28" t="str">
        <f>Installations!HZ8</f>
        <v>Wattage Reduction</v>
      </c>
      <c r="BH28" t="s">
        <v>1963</v>
      </c>
      <c r="BI28" t="s">
        <v>2150</v>
      </c>
      <c r="BN28" s="122">
        <v>25</v>
      </c>
      <c r="BO28" s="123">
        <f t="shared" si="3"/>
        <v>195.24</v>
      </c>
      <c r="BQ28" t="s">
        <v>174</v>
      </c>
      <c r="BR28" s="12">
        <v>1</v>
      </c>
      <c r="BT28" s="1084" t="s">
        <v>2151</v>
      </c>
      <c r="BU28" s="1005" t="s">
        <v>2152</v>
      </c>
      <c r="BW28">
        <v>26</v>
      </c>
      <c r="BX28" s="1005" t="s">
        <v>2153</v>
      </c>
      <c r="BY28" s="12">
        <f t="shared" si="2"/>
        <v>1</v>
      </c>
      <c r="CA28" s="648">
        <f t="shared" si="4"/>
        <v>1.9523969349999999</v>
      </c>
      <c r="CB28" s="909">
        <v>25</v>
      </c>
      <c r="CC28" s="910">
        <f t="shared" si="5"/>
        <v>195.23969349999999</v>
      </c>
      <c r="CF28">
        <v>25</v>
      </c>
      <c r="CG28">
        <v>1.9523969349999999</v>
      </c>
      <c r="CH28">
        <f t="shared" si="6"/>
        <v>195.23969349999999</v>
      </c>
      <c r="CJ28">
        <v>25</v>
      </c>
      <c r="CK28">
        <v>1.5777312520000875</v>
      </c>
      <c r="CL28">
        <f t="shared" si="7"/>
        <v>157.77312520000874</v>
      </c>
      <c r="CN28">
        <v>1.6748861740619665</v>
      </c>
      <c r="CO28">
        <f t="shared" si="8"/>
        <v>167.48861740619665</v>
      </c>
      <c r="CQ28">
        <v>1.8702443055786215</v>
      </c>
      <c r="CR28">
        <f t="shared" si="9"/>
        <v>205.72687361364837</v>
      </c>
      <c r="CT28">
        <v>85.504974016006159</v>
      </c>
      <c r="CU28">
        <v>107.3730025283437</v>
      </c>
      <c r="CW28" s="899" t="s">
        <v>768</v>
      </c>
      <c r="CX28" s="900" t="s">
        <v>768</v>
      </c>
      <c r="CY28" s="901">
        <v>101</v>
      </c>
      <c r="CZ28" s="902">
        <v>3800</v>
      </c>
    </row>
    <row r="29" spans="2:104" ht="14.3">
      <c r="K29" s="12"/>
      <c r="T29" s="22" t="s">
        <v>1814</v>
      </c>
      <c r="U29" s="23" t="s">
        <v>2154</v>
      </c>
      <c r="W29" s="1175" t="s">
        <v>116</v>
      </c>
      <c r="Z29" s="80" t="s">
        <v>2155</v>
      </c>
      <c r="AA29" s="33" t="s">
        <v>2155</v>
      </c>
      <c r="AB29" s="39">
        <v>1.1000000000000001</v>
      </c>
      <c r="AC29" s="33" t="s">
        <v>290</v>
      </c>
      <c r="AD29" s="22" t="s">
        <v>2124</v>
      </c>
      <c r="AE29" s="454">
        <v>15</v>
      </c>
      <c r="AG29" s="22" t="s">
        <v>779</v>
      </c>
      <c r="AH29" s="22" t="str">
        <f t="shared" si="10"/>
        <v>Interior Warehouse</v>
      </c>
      <c r="AI29" s="22" t="str">
        <f t="shared" si="1"/>
        <v>Controls_Interior_Basic</v>
      </c>
      <c r="AJ29" s="80" t="s">
        <v>215</v>
      </c>
      <c r="AK29" s="80" t="s">
        <v>1920</v>
      </c>
      <c r="AL29" s="80" t="s">
        <v>215</v>
      </c>
      <c r="AM29" s="33">
        <v>0.4</v>
      </c>
      <c r="AN29" s="103" t="s">
        <v>1536</v>
      </c>
      <c r="AP29" s="22" t="s">
        <v>2156</v>
      </c>
      <c r="AQ29" s="42">
        <v>1</v>
      </c>
      <c r="AR29" s="22" t="s">
        <v>1961</v>
      </c>
      <c r="AY29" s="25" t="str">
        <f>BB11</f>
        <v>LLLC (outside Daylight)</v>
      </c>
      <c r="AZ29" s="12"/>
      <c r="BF29" s="12">
        <f>HLOOKUP(BG29,Installations!$GN$8:$IB$16,9,FALSE)</f>
        <v>2</v>
      </c>
      <c r="BG29" t="str">
        <f>Installations!HY$8</f>
        <v>Exterior Hrs are 4200</v>
      </c>
      <c r="BH29" t="s">
        <v>2157</v>
      </c>
      <c r="BI29" t="s">
        <v>2150</v>
      </c>
      <c r="BN29" s="119">
        <v>26</v>
      </c>
      <c r="BO29" s="1342">
        <f t="shared" si="3"/>
        <v>198.37</v>
      </c>
      <c r="BQ29" s="142" t="s">
        <v>163</v>
      </c>
      <c r="BR29" s="12">
        <v>2</v>
      </c>
      <c r="BT29" s="1083" t="s">
        <v>2158</v>
      </c>
      <c r="BU29" s="1004" t="s">
        <v>2144</v>
      </c>
      <c r="BW29">
        <v>27</v>
      </c>
      <c r="BX29" s="1004" t="s">
        <v>2159</v>
      </c>
      <c r="BY29" s="12">
        <f t="shared" si="2"/>
        <v>1</v>
      </c>
      <c r="CA29" s="911">
        <f t="shared" si="4"/>
        <v>1.9836875949999999</v>
      </c>
      <c r="CB29" s="912">
        <v>26</v>
      </c>
      <c r="CC29" s="913">
        <f t="shared" si="5"/>
        <v>198.36875949999998</v>
      </c>
      <c r="CF29">
        <v>26</v>
      </c>
      <c r="CG29">
        <v>1.9836875949999999</v>
      </c>
      <c r="CH29">
        <f t="shared" si="6"/>
        <v>198.36875949999998</v>
      </c>
      <c r="CJ29">
        <v>26</v>
      </c>
      <c r="CK29">
        <v>1.61239328292955</v>
      </c>
      <c r="CL29">
        <f t="shared" si="7"/>
        <v>161.23932829295501</v>
      </c>
      <c r="CN29">
        <v>1.712462536578405</v>
      </c>
      <c r="CO29">
        <f t="shared" si="8"/>
        <v>171.2462536578405</v>
      </c>
      <c r="CQ29">
        <v>1.9114720963232583</v>
      </c>
      <c r="CR29">
        <f t="shared" si="9"/>
        <v>210.26193059555843</v>
      </c>
      <c r="CT29">
        <v>87.430887460154452</v>
      </c>
      <c r="CU29">
        <v>109.72039607989292</v>
      </c>
      <c r="CW29" s="418" t="s">
        <v>2160</v>
      </c>
      <c r="CX29" s="419"/>
      <c r="CY29" s="419"/>
      <c r="CZ29" s="420"/>
    </row>
    <row r="30" spans="2:104" ht="14.3">
      <c r="T30" s="25" t="s">
        <v>1659</v>
      </c>
      <c r="U30" s="26" t="s">
        <v>2161</v>
      </c>
      <c r="W30" s="1176" t="s">
        <v>2162</v>
      </c>
      <c r="Z30" s="80" t="s">
        <v>2163</v>
      </c>
      <c r="AA30" s="33" t="s">
        <v>2164</v>
      </c>
      <c r="AB30" s="39">
        <v>1.04</v>
      </c>
      <c r="AC30" s="33" t="s">
        <v>290</v>
      </c>
      <c r="AD30" s="22" t="s">
        <v>2124</v>
      </c>
      <c r="AE30" s="454">
        <v>21</v>
      </c>
      <c r="AG30" s="25" t="s">
        <v>781</v>
      </c>
      <c r="AH30" s="25" t="str">
        <f t="shared" si="10"/>
        <v>Interior Warehouse (Top Lighted)</v>
      </c>
      <c r="AI30" s="25" t="str">
        <f t="shared" si="1"/>
        <v>Controls_Interior_LLLC</v>
      </c>
      <c r="AJ30" s="79" t="s">
        <v>237</v>
      </c>
      <c r="AK30" s="79" t="s">
        <v>1920</v>
      </c>
      <c r="AL30" s="79" t="s">
        <v>215</v>
      </c>
      <c r="AM30" s="34">
        <v>0.4</v>
      </c>
      <c r="AN30" s="103" t="s">
        <v>1536</v>
      </c>
      <c r="AP30" s="25" t="s">
        <v>2165</v>
      </c>
      <c r="AQ30" s="41">
        <v>0.7</v>
      </c>
      <c r="AR30" s="25" t="s">
        <v>1961</v>
      </c>
      <c r="AY30" s="22" t="str">
        <f>BB12</f>
        <v>NLC (othside Daylight)</v>
      </c>
      <c r="BB30" s="527" t="s">
        <v>301</v>
      </c>
      <c r="BC30" s="12" t="s">
        <v>328</v>
      </c>
      <c r="BF30" s="12">
        <f>HLOOKUP(BG30,Installations!$GN$8:$IB$16,9,FALSE)</f>
        <v>3</v>
      </c>
      <c r="BG30" t="str">
        <f>Installations!HX8</f>
        <v>Code</v>
      </c>
      <c r="BH30" t="s">
        <v>2166</v>
      </c>
      <c r="BI30" t="s">
        <v>2150</v>
      </c>
      <c r="BN30" s="122">
        <v>27</v>
      </c>
      <c r="BO30" s="123">
        <f t="shared" si="3"/>
        <v>201.35</v>
      </c>
      <c r="BQ30" t="s">
        <v>176</v>
      </c>
      <c r="BR30" s="12">
        <v>3</v>
      </c>
      <c r="BT30" s="1084" t="s">
        <v>2167</v>
      </c>
      <c r="BU30" s="1005" t="s">
        <v>2168</v>
      </c>
      <c r="BW30">
        <v>28</v>
      </c>
      <c r="BX30" s="1005" t="s">
        <v>2169</v>
      </c>
      <c r="BY30" s="12">
        <f t="shared" si="2"/>
        <v>1</v>
      </c>
      <c r="CA30" s="648">
        <f t="shared" si="4"/>
        <v>2.0134606819999998</v>
      </c>
      <c r="CB30" s="909">
        <v>27</v>
      </c>
      <c r="CC30" s="910">
        <f t="shared" si="5"/>
        <v>201.34606819999999</v>
      </c>
      <c r="CF30">
        <v>27</v>
      </c>
      <c r="CG30">
        <v>2.0134606819999998</v>
      </c>
      <c r="CH30">
        <f t="shared" si="6"/>
        <v>201.34606819999999</v>
      </c>
      <c r="CJ30">
        <v>27</v>
      </c>
      <c r="CK30">
        <v>1.645017742647686</v>
      </c>
      <c r="CL30">
        <f t="shared" si="7"/>
        <v>164.50177426476858</v>
      </c>
      <c r="CN30">
        <v>1.7478980758380056</v>
      </c>
      <c r="CO30">
        <f t="shared" si="8"/>
        <v>174.78980758380055</v>
      </c>
      <c r="CQ30">
        <v>1.9503979641037101</v>
      </c>
      <c r="CR30">
        <f t="shared" si="9"/>
        <v>214.54377605140812</v>
      </c>
      <c r="CT30">
        <v>89.258816423018402</v>
      </c>
      <c r="CU30">
        <v>111.94946902819969</v>
      </c>
      <c r="CW30" s="421" t="s">
        <v>2170</v>
      </c>
      <c r="CX30" s="422"/>
      <c r="CY30" s="422"/>
      <c r="CZ30" s="423"/>
    </row>
    <row r="31" spans="2:104" ht="14.3">
      <c r="B31" t="s">
        <v>2171</v>
      </c>
      <c r="T31" s="22" t="s">
        <v>1666</v>
      </c>
      <c r="U31" s="23" t="s">
        <v>2172</v>
      </c>
      <c r="W31" s="142" t="s">
        <v>2173</v>
      </c>
      <c r="Z31" s="456" t="s">
        <v>2174</v>
      </c>
      <c r="AA31" s="33" t="s">
        <v>2174</v>
      </c>
      <c r="AB31" s="39">
        <v>0.8</v>
      </c>
      <c r="AC31" s="33" t="s">
        <v>290</v>
      </c>
      <c r="AD31" s="22" t="s">
        <v>2124</v>
      </c>
      <c r="AE31" s="454">
        <v>22</v>
      </c>
      <c r="AG31" s="22" t="s">
        <v>225</v>
      </c>
      <c r="AH31" s="22" t="str">
        <f t="shared" si="10"/>
        <v>Interior Fixture Removed</v>
      </c>
      <c r="AI31" s="22" t="s">
        <v>1974</v>
      </c>
      <c r="AJ31" s="80" t="s">
        <v>215</v>
      </c>
      <c r="AK31" s="80" t="s">
        <v>1974</v>
      </c>
      <c r="AL31" s="80" t="s">
        <v>215</v>
      </c>
      <c r="AM31" s="33"/>
      <c r="AN31" s="103" t="s">
        <v>1536</v>
      </c>
      <c r="AP31" s="22" t="s">
        <v>2175</v>
      </c>
      <c r="AQ31" s="42">
        <v>0.7</v>
      </c>
      <c r="AR31" s="22" t="s">
        <v>2019</v>
      </c>
      <c r="AZ31" s="12"/>
      <c r="BB31" t="s">
        <v>437</v>
      </c>
      <c r="BC31" s="12">
        <v>0</v>
      </c>
      <c r="BF31" s="12">
        <f>HLOOKUP(BG31,Installations!$GN$8:$IB$16,9,FALSE)</f>
        <v>4</v>
      </c>
      <c r="BG31" t="str">
        <f>Installations!HW$8</f>
        <v>Exterior Code</v>
      </c>
      <c r="BH31" t="s">
        <v>2176</v>
      </c>
      <c r="BI31" t="s">
        <v>2177</v>
      </c>
      <c r="BN31" s="125">
        <v>28</v>
      </c>
      <c r="BO31" s="1342">
        <f t="shared" si="3"/>
        <v>204.18</v>
      </c>
      <c r="BT31" s="1083" t="s">
        <v>2178</v>
      </c>
      <c r="BU31" s="1004" t="s">
        <v>2179</v>
      </c>
      <c r="BW31">
        <v>29</v>
      </c>
      <c r="BX31" s="1004" t="s">
        <v>2180</v>
      </c>
      <c r="BY31" s="12">
        <f t="shared" si="2"/>
        <v>1</v>
      </c>
      <c r="CA31" s="911">
        <f t="shared" si="4"/>
        <v>2.0417937089999998</v>
      </c>
      <c r="CB31" s="912">
        <v>28</v>
      </c>
      <c r="CC31" s="913">
        <f t="shared" si="5"/>
        <v>204.17937089999998</v>
      </c>
      <c r="CF31">
        <v>28</v>
      </c>
      <c r="CG31">
        <v>2.0417937089999998</v>
      </c>
      <c r="CH31">
        <f t="shared" si="6"/>
        <v>204.17937089999998</v>
      </c>
      <c r="CJ31">
        <v>28</v>
      </c>
      <c r="CK31">
        <v>1.6757275447645208</v>
      </c>
      <c r="CL31">
        <f t="shared" si="7"/>
        <v>167.57275447645208</v>
      </c>
      <c r="CN31">
        <v>1.7813198479000152</v>
      </c>
      <c r="CO31">
        <f t="shared" si="8"/>
        <v>178.13198479000152</v>
      </c>
      <c r="CQ31">
        <v>1.9871554659058204</v>
      </c>
      <c r="CR31">
        <f t="shared" si="9"/>
        <v>218.58710124964023</v>
      </c>
      <c r="CT31">
        <v>90.993826827572349</v>
      </c>
      <c r="CU31">
        <v>114.06793854654977</v>
      </c>
      <c r="CW31" s="421" t="s">
        <v>2181</v>
      </c>
      <c r="CX31" s="422"/>
      <c r="CY31" s="422"/>
      <c r="CZ31" s="423"/>
    </row>
    <row r="32" spans="2:104" ht="14.3">
      <c r="K32" s="12"/>
      <c r="T32" s="25" t="s">
        <v>2182</v>
      </c>
      <c r="U32" s="26" t="s">
        <v>2183</v>
      </c>
      <c r="Z32" s="456" t="s">
        <v>2184</v>
      </c>
      <c r="AA32" s="33" t="s">
        <v>2184</v>
      </c>
      <c r="AB32" s="39">
        <v>1</v>
      </c>
      <c r="AC32" s="33" t="s">
        <v>290</v>
      </c>
      <c r="AD32" s="22" t="s">
        <v>2124</v>
      </c>
      <c r="AE32" s="454">
        <v>23</v>
      </c>
      <c r="AG32" s="25" t="s">
        <v>2185</v>
      </c>
      <c r="AH32" s="25" t="str">
        <f>CONCATENATE("Exterior ",AG32)</f>
        <v>Exterior - Choose Exterior Area -</v>
      </c>
      <c r="AI32" s="25" t="s">
        <v>1948</v>
      </c>
      <c r="AJ32" s="79" t="s">
        <v>215</v>
      </c>
      <c r="AK32" s="79" t="s">
        <v>1948</v>
      </c>
      <c r="AL32" s="79" t="s">
        <v>215</v>
      </c>
      <c r="AM32" s="34"/>
      <c r="AN32" s="103" t="s">
        <v>1536</v>
      </c>
      <c r="AP32" s="25" t="s">
        <v>2186</v>
      </c>
      <c r="AQ32" s="41">
        <v>0.8</v>
      </c>
      <c r="AR32" s="25" t="s">
        <v>1961</v>
      </c>
      <c r="AY32" s="50" t="s">
        <v>1948</v>
      </c>
      <c r="AZ32" s="12"/>
      <c r="BB32" t="s">
        <v>2187</v>
      </c>
      <c r="BC32" s="12">
        <v>1</v>
      </c>
      <c r="BF32" s="12">
        <f>HLOOKUP(BG32,Installations!$GN$8:$IB$16,9,FALSE)</f>
        <v>5</v>
      </c>
      <c r="BG32" t="str">
        <f>Installations!HV$8</f>
        <v>Interior Code</v>
      </c>
      <c r="BH32" t="s">
        <v>2188</v>
      </c>
      <c r="BI32" t="s">
        <v>2177</v>
      </c>
      <c r="BN32" s="122">
        <v>29</v>
      </c>
      <c r="BO32" s="123">
        <f t="shared" si="3"/>
        <v>206.88</v>
      </c>
      <c r="BT32" s="1084" t="s">
        <v>2189</v>
      </c>
      <c r="BU32" s="1005" t="s">
        <v>2144</v>
      </c>
      <c r="BW32">
        <v>30</v>
      </c>
      <c r="BX32" s="1005" t="s">
        <v>2190</v>
      </c>
      <c r="BY32" s="12">
        <f t="shared" si="2"/>
        <v>1</v>
      </c>
      <c r="CA32" s="648">
        <f t="shared" si="4"/>
        <v>2.0687600210000001</v>
      </c>
      <c r="CB32" s="909">
        <v>29</v>
      </c>
      <c r="CC32" s="910">
        <f t="shared" si="5"/>
        <v>206.87600210000002</v>
      </c>
      <c r="CF32">
        <v>29</v>
      </c>
      <c r="CG32">
        <v>2.0687600210000001</v>
      </c>
      <c r="CH32">
        <f t="shared" si="6"/>
        <v>206.87600210000002</v>
      </c>
      <c r="CJ32">
        <v>29</v>
      </c>
      <c r="CK32">
        <v>1.7046380514932848</v>
      </c>
      <c r="CL32">
        <f t="shared" si="7"/>
        <v>170.46380514932849</v>
      </c>
      <c r="CN32">
        <v>1.8128319115730156</v>
      </c>
      <c r="CO32">
        <f t="shared" si="8"/>
        <v>181.28319115730156</v>
      </c>
      <c r="CQ32">
        <v>2.0218701787932054</v>
      </c>
      <c r="CR32">
        <f t="shared" si="9"/>
        <v>222.40571966725258</v>
      </c>
      <c r="CT32">
        <v>92.642393676026714</v>
      </c>
      <c r="CU32">
        <v>116.08128971186902</v>
      </c>
      <c r="CW32" s="2664" t="s">
        <v>2191</v>
      </c>
      <c r="CX32" s="2665"/>
      <c r="CY32" s="2665"/>
      <c r="CZ32" s="2666"/>
    </row>
    <row r="33" spans="2:104" ht="14.3">
      <c r="T33" s="22" t="s">
        <v>1658</v>
      </c>
      <c r="U33" s="23" t="s">
        <v>2192</v>
      </c>
      <c r="W33" t="s">
        <v>2010</v>
      </c>
      <c r="Z33" s="456" t="s">
        <v>2148</v>
      </c>
      <c r="AA33" s="33" t="s">
        <v>2193</v>
      </c>
      <c r="AB33" s="39">
        <v>1.2</v>
      </c>
      <c r="AC33" s="33" t="s">
        <v>290</v>
      </c>
      <c r="AD33" s="22" t="s">
        <v>2124</v>
      </c>
      <c r="AE33" s="454">
        <v>24</v>
      </c>
      <c r="AG33" s="22" t="s">
        <v>788</v>
      </c>
      <c r="AH33" s="22" t="str">
        <f t="shared" ref="AH33:AH42" si="12">CONCATENATE("Exterior ",AG33)</f>
        <v>Exterior Parking and drives</v>
      </c>
      <c r="AI33" s="22" t="s">
        <v>1948</v>
      </c>
      <c r="AJ33" s="80" t="s">
        <v>215</v>
      </c>
      <c r="AK33" s="80" t="s">
        <v>1948</v>
      </c>
      <c r="AL33" s="80" t="s">
        <v>215</v>
      </c>
      <c r="AM33" s="33"/>
      <c r="AN33" s="103" t="s">
        <v>1536</v>
      </c>
      <c r="AP33" s="22" t="s">
        <v>774</v>
      </c>
      <c r="AQ33" s="42">
        <v>1.01</v>
      </c>
      <c r="AR33" s="22" t="s">
        <v>774</v>
      </c>
      <c r="AY33" s="20" t="s">
        <v>333</v>
      </c>
      <c r="AZ33" s="12"/>
      <c r="BB33" t="s">
        <v>2194</v>
      </c>
      <c r="BC33" s="12">
        <v>2</v>
      </c>
      <c r="BF33" s="12">
        <f>HLOOKUP(BG33,Installations!$GN$8:$IB$16,9,FALSE)</f>
        <v>6</v>
      </c>
      <c r="BG33" t="str">
        <f>Installations!HU$8</f>
        <v>TI Code Control match</v>
      </c>
      <c r="BH33" t="s">
        <v>2195</v>
      </c>
      <c r="BI33" t="s">
        <v>2177</v>
      </c>
      <c r="BN33" s="125">
        <v>30</v>
      </c>
      <c r="BO33" s="1342">
        <f t="shared" si="3"/>
        <v>209.44</v>
      </c>
      <c r="BT33" s="1083" t="s">
        <v>2196</v>
      </c>
      <c r="BU33" s="1004" t="s">
        <v>2197</v>
      </c>
      <c r="BW33">
        <v>31</v>
      </c>
      <c r="BX33" s="1004" t="s">
        <v>2198</v>
      </c>
      <c r="BY33" s="12">
        <f t="shared" si="2"/>
        <v>1</v>
      </c>
      <c r="CA33" s="911">
        <f t="shared" si="4"/>
        <v>2.0944290310000002</v>
      </c>
      <c r="CB33" s="912">
        <v>30</v>
      </c>
      <c r="CC33" s="913">
        <f t="shared" si="5"/>
        <v>209.44290310000002</v>
      </c>
      <c r="CF33">
        <v>30</v>
      </c>
      <c r="CG33">
        <v>2.0944290310000002</v>
      </c>
      <c r="CH33">
        <f t="shared" si="6"/>
        <v>209.44290310000002</v>
      </c>
      <c r="CJ33">
        <v>30</v>
      </c>
      <c r="CK33">
        <v>1.7318575433964383</v>
      </c>
      <c r="CL33">
        <f t="shared" si="7"/>
        <v>173.18575433964384</v>
      </c>
      <c r="CN33">
        <v>1.8425475013673012</v>
      </c>
      <c r="CO33">
        <f t="shared" si="8"/>
        <v>184.25475013673011</v>
      </c>
      <c r="CQ33">
        <v>2.0546601869066454</v>
      </c>
      <c r="CR33">
        <f t="shared" si="9"/>
        <v>226.012620559731</v>
      </c>
      <c r="CT33">
        <v>94.208820616939207</v>
      </c>
      <c r="CU33">
        <v>117.99329311656103</v>
      </c>
      <c r="CW33" s="2664"/>
      <c r="CX33" s="2665"/>
      <c r="CY33" s="2665"/>
      <c r="CZ33" s="2666"/>
    </row>
    <row r="34" spans="2:104" thickBot="1">
      <c r="T34" s="25" t="s">
        <v>1821</v>
      </c>
      <c r="U34" s="26" t="s">
        <v>2199</v>
      </c>
      <c r="W34" s="141" t="s">
        <v>2147</v>
      </c>
      <c r="Z34" s="80" t="s">
        <v>2155</v>
      </c>
      <c r="AA34" s="33" t="s">
        <v>2200</v>
      </c>
      <c r="AB34" s="39">
        <v>1.1000000000000001</v>
      </c>
      <c r="AC34" s="33" t="s">
        <v>290</v>
      </c>
      <c r="AD34" s="22" t="s">
        <v>2124</v>
      </c>
      <c r="AE34" s="454">
        <v>25</v>
      </c>
      <c r="AG34" s="25" t="s">
        <v>789</v>
      </c>
      <c r="AH34" s="25" t="str">
        <f t="shared" si="12"/>
        <v>Exterior Walkways and Plaza</v>
      </c>
      <c r="AI34" s="25" t="s">
        <v>1948</v>
      </c>
      <c r="AJ34" s="79" t="s">
        <v>215</v>
      </c>
      <c r="AK34" s="79" t="s">
        <v>1948</v>
      </c>
      <c r="AL34" s="79" t="s">
        <v>215</v>
      </c>
      <c r="AM34" s="34"/>
      <c r="AN34" s="103" t="s">
        <v>1536</v>
      </c>
      <c r="AP34" s="25" t="s">
        <v>2201</v>
      </c>
      <c r="AQ34" s="41">
        <v>0.7</v>
      </c>
      <c r="AR34" s="25" t="s">
        <v>2202</v>
      </c>
      <c r="AY34" s="22" t="str">
        <f t="shared" ref="AY34:AY40" si="13">BB13</f>
        <v>Exterior Photo Control</v>
      </c>
      <c r="AZ34" s="12">
        <v>1</v>
      </c>
      <c r="BB34" t="s">
        <v>351</v>
      </c>
      <c r="BC34" s="12">
        <v>3</v>
      </c>
      <c r="BF34" s="12">
        <f>HLOOKUP(BG34,Installations!$GN$8:$IB$16,9,FALSE)</f>
        <v>7</v>
      </c>
      <c r="BG34" t="str">
        <f>Installations!HT$8</f>
        <v>ADV Ext Control Qty</v>
      </c>
      <c r="BH34" t="s">
        <v>2203</v>
      </c>
      <c r="BI34" t="s">
        <v>2177</v>
      </c>
      <c r="BT34" s="1084" t="s">
        <v>2204</v>
      </c>
      <c r="BU34" s="1005" t="s">
        <v>2205</v>
      </c>
      <c r="BW34">
        <v>32</v>
      </c>
      <c r="BX34" s="1005" t="s">
        <v>2206</v>
      </c>
      <c r="BY34" s="12">
        <f t="shared" si="2"/>
        <v>1</v>
      </c>
      <c r="CW34" s="2667"/>
      <c r="CX34" s="2668"/>
      <c r="CY34" s="2668"/>
      <c r="CZ34" s="2669"/>
    </row>
    <row r="35" spans="2:104" ht="14.3">
      <c r="T35" s="27" t="s">
        <v>1775</v>
      </c>
      <c r="U35" s="24" t="s">
        <v>2207</v>
      </c>
      <c r="W35" s="1175" t="s">
        <v>116</v>
      </c>
      <c r="Z35" s="80" t="s">
        <v>333</v>
      </c>
      <c r="AA35" s="33" t="s">
        <v>333</v>
      </c>
      <c r="AB35" s="39">
        <v>1</v>
      </c>
      <c r="AC35" s="33" t="s">
        <v>333</v>
      </c>
      <c r="AD35" s="22" t="s">
        <v>1971</v>
      </c>
      <c r="AE35" s="454">
        <v>2</v>
      </c>
      <c r="AG35" s="22" t="s">
        <v>2208</v>
      </c>
      <c r="AH35" s="22" t="str">
        <f t="shared" si="12"/>
        <v>Exterior Stairway</v>
      </c>
      <c r="AI35" s="22" t="s">
        <v>1948</v>
      </c>
      <c r="AJ35" s="80" t="s">
        <v>215</v>
      </c>
      <c r="AK35" s="80" t="s">
        <v>1948</v>
      </c>
      <c r="AL35" s="80" t="s">
        <v>215</v>
      </c>
      <c r="AM35" s="33"/>
      <c r="AN35" s="103" t="s">
        <v>1536</v>
      </c>
      <c r="AP35" s="22" t="s">
        <v>2014</v>
      </c>
      <c r="AQ35" s="42">
        <v>0.7</v>
      </c>
      <c r="AR35" s="22" t="s">
        <v>2014</v>
      </c>
      <c r="AY35" s="25" t="str">
        <f t="shared" si="13"/>
        <v>Astronomical Time Switch</v>
      </c>
      <c r="AZ35" s="12">
        <v>1</v>
      </c>
      <c r="BB35" t="s">
        <v>765</v>
      </c>
      <c r="BC35" s="12">
        <v>4</v>
      </c>
      <c r="BF35" s="12">
        <f>HLOOKUP(BG35,Installations!$GN$8:$IB$16,9,FALSE)</f>
        <v>8</v>
      </c>
      <c r="BG35" t="str">
        <f>Installations!HS8</f>
        <v>LLLC Qty</v>
      </c>
      <c r="BH35" t="s">
        <v>2209</v>
      </c>
      <c r="BI35" t="s">
        <v>2177</v>
      </c>
      <c r="BT35" s="1083" t="s">
        <v>2210</v>
      </c>
      <c r="BU35" s="1004" t="s">
        <v>2205</v>
      </c>
      <c r="BW35">
        <v>33</v>
      </c>
      <c r="BX35" s="1004" t="s">
        <v>2211</v>
      </c>
      <c r="BY35" s="12">
        <f t="shared" si="2"/>
        <v>1</v>
      </c>
      <c r="CW35" s="422" t="s">
        <v>2212</v>
      </c>
    </row>
    <row r="36" spans="2:104" ht="14.3">
      <c r="T36" s="25" t="s">
        <v>2213</v>
      </c>
      <c r="U36" s="26" t="s">
        <v>2213</v>
      </c>
      <c r="Z36" s="80" t="s">
        <v>2214</v>
      </c>
      <c r="AA36" s="454" t="s">
        <v>2214</v>
      </c>
      <c r="AB36" s="39">
        <v>1</v>
      </c>
      <c r="AC36" s="33" t="s">
        <v>333</v>
      </c>
      <c r="AD36" s="22" t="s">
        <v>2215</v>
      </c>
      <c r="AE36" s="454"/>
      <c r="AG36" s="25" t="s">
        <v>2216</v>
      </c>
      <c r="AH36" s="25" t="str">
        <f t="shared" si="12"/>
        <v>Exterior Pedestrian tunnel</v>
      </c>
      <c r="AI36" s="25" t="s">
        <v>1948</v>
      </c>
      <c r="AJ36" s="79" t="s">
        <v>215</v>
      </c>
      <c r="AK36" s="79" t="s">
        <v>1948</v>
      </c>
      <c r="AL36" s="79" t="s">
        <v>215</v>
      </c>
      <c r="AM36" s="34"/>
      <c r="AN36" s="103" t="s">
        <v>1536</v>
      </c>
      <c r="AP36" s="25" t="s">
        <v>2217</v>
      </c>
      <c r="AQ36" s="41">
        <v>0.62</v>
      </c>
      <c r="AR36" s="25" t="s">
        <v>1961</v>
      </c>
      <c r="AY36" s="22" t="str">
        <f t="shared" si="13"/>
        <v>Ext. Occupancy Sensor</v>
      </c>
      <c r="AZ36" s="12">
        <v>2</v>
      </c>
      <c r="BF36" s="12">
        <f>HLOOKUP(BG36,Installations!$GN$8:$IB$16,9,FALSE)</f>
        <v>9</v>
      </c>
      <c r="BG36" t="str">
        <f>Installations!HR8</f>
        <v>TLED &amp; LLLC</v>
      </c>
      <c r="BH36" t="s">
        <v>1988</v>
      </c>
      <c r="BI36" t="s">
        <v>2177</v>
      </c>
      <c r="BT36" s="1084" t="s">
        <v>2218</v>
      </c>
      <c r="BU36" s="1005" t="s">
        <v>2219</v>
      </c>
      <c r="BW36">
        <v>34</v>
      </c>
      <c r="BX36" s="1005"/>
      <c r="BY36" s="12">
        <f t="shared" si="2"/>
        <v>0</v>
      </c>
    </row>
    <row r="37" spans="2:104" ht="14.3">
      <c r="B37" t="s">
        <v>640</v>
      </c>
      <c r="Z37" s="80" t="s">
        <v>2220</v>
      </c>
      <c r="AA37" s="454" t="s">
        <v>2220</v>
      </c>
      <c r="AB37" s="39">
        <v>1</v>
      </c>
      <c r="AC37" s="33" t="s">
        <v>333</v>
      </c>
      <c r="AD37" s="22" t="s">
        <v>2215</v>
      </c>
      <c r="AE37" s="454"/>
      <c r="AG37" s="22" t="s">
        <v>2221</v>
      </c>
      <c r="AH37" s="22" t="str">
        <f t="shared" si="12"/>
        <v>Exterior Entry canopy</v>
      </c>
      <c r="AI37" s="22" t="s">
        <v>1948</v>
      </c>
      <c r="AJ37" s="80" t="s">
        <v>215</v>
      </c>
      <c r="AK37" s="80" t="s">
        <v>1948</v>
      </c>
      <c r="AL37" s="80" t="s">
        <v>215</v>
      </c>
      <c r="AM37" s="33"/>
      <c r="AN37" s="103" t="s">
        <v>1536</v>
      </c>
      <c r="AP37" s="25" t="s">
        <v>2222</v>
      </c>
      <c r="AQ37" s="41"/>
      <c r="AR37" s="25" t="s">
        <v>768</v>
      </c>
      <c r="AY37" s="25" t="str">
        <f t="shared" si="13"/>
        <v>Exterior Dimming</v>
      </c>
      <c r="AZ37" s="12">
        <v>2</v>
      </c>
      <c r="BF37" s="12">
        <f>HLOOKUP(BG37,Installations!$GN$8:$IB$16,9,FALSE)</f>
        <v>10</v>
      </c>
      <c r="BG37" t="str">
        <f>Installations!HQ8</f>
        <v>Retrofit and Daylight Controls</v>
      </c>
      <c r="BH37" t="s">
        <v>2223</v>
      </c>
      <c r="BI37" t="s">
        <v>2177</v>
      </c>
      <c r="BT37" s="1083" t="s">
        <v>2224</v>
      </c>
      <c r="BU37" s="1004" t="s">
        <v>2225</v>
      </c>
      <c r="BW37">
        <v>35</v>
      </c>
      <c r="BX37" s="1004"/>
      <c r="BY37" s="12">
        <f t="shared" si="2"/>
        <v>0</v>
      </c>
    </row>
    <row r="38" spans="2:104" ht="14.3">
      <c r="B38" t="s">
        <v>1885</v>
      </c>
      <c r="Z38" s="80" t="s">
        <v>1983</v>
      </c>
      <c r="AA38" s="33" t="s">
        <v>1984</v>
      </c>
      <c r="AB38" s="39">
        <v>1</v>
      </c>
      <c r="AC38" s="33" t="s">
        <v>333</v>
      </c>
      <c r="AD38" s="22" t="s">
        <v>1985</v>
      </c>
      <c r="AE38" s="454">
        <v>6</v>
      </c>
      <c r="AG38" s="25" t="s">
        <v>793</v>
      </c>
      <c r="AH38" s="25" t="str">
        <f t="shared" si="12"/>
        <v>Exterior Sales Canopies</v>
      </c>
      <c r="AI38" s="25" t="s">
        <v>1948</v>
      </c>
      <c r="AJ38" s="79" t="s">
        <v>215</v>
      </c>
      <c r="AK38" s="79" t="s">
        <v>1948</v>
      </c>
      <c r="AL38" s="79" t="s">
        <v>215</v>
      </c>
      <c r="AM38" s="34"/>
      <c r="AN38" s="103" t="s">
        <v>1536</v>
      </c>
      <c r="AP38" s="22" t="s">
        <v>2226</v>
      </c>
      <c r="AQ38" s="42">
        <v>0.71</v>
      </c>
      <c r="AR38" s="22" t="s">
        <v>1961</v>
      </c>
      <c r="AY38" t="str">
        <f t="shared" si="13"/>
        <v>AELC Occupancy based</v>
      </c>
      <c r="BB38" t="s">
        <v>2227</v>
      </c>
      <c r="BF38" s="12">
        <f>HLOOKUP(BG38,Installations!$GN$8:$IB$16,9,FALSE)</f>
        <v>11</v>
      </c>
      <c r="BG38" t="str">
        <f>Installations!HP8</f>
        <v>New Control Incorrect</v>
      </c>
      <c r="BH38" t="s">
        <v>2228</v>
      </c>
      <c r="BI38" t="s">
        <v>2177</v>
      </c>
      <c r="BT38" s="1084" t="s">
        <v>2229</v>
      </c>
      <c r="BU38" s="1005" t="s">
        <v>2230</v>
      </c>
      <c r="BW38">
        <v>36</v>
      </c>
      <c r="BX38" s="1005"/>
      <c r="BY38" s="12">
        <f t="shared" si="2"/>
        <v>0</v>
      </c>
    </row>
    <row r="39" spans="2:104" ht="14.3">
      <c r="B39" t="s">
        <v>2231</v>
      </c>
      <c r="T39" s="20" t="s">
        <v>2232</v>
      </c>
      <c r="U39" s="21" t="s">
        <v>2233</v>
      </c>
      <c r="AG39" s="22" t="s">
        <v>794</v>
      </c>
      <c r="AH39" s="22" t="str">
        <f t="shared" si="12"/>
        <v>Exterior Outdoor Sales</v>
      </c>
      <c r="AI39" s="22" t="s">
        <v>1948</v>
      </c>
      <c r="AJ39" s="80" t="s">
        <v>215</v>
      </c>
      <c r="AK39" s="80" t="s">
        <v>1948</v>
      </c>
      <c r="AL39" s="80" t="s">
        <v>215</v>
      </c>
      <c r="AM39" s="33"/>
      <c r="AN39" s="103" t="s">
        <v>1536</v>
      </c>
      <c r="AP39" s="25" t="s">
        <v>2234</v>
      </c>
      <c r="AQ39" s="41">
        <v>0.56000000000000005</v>
      </c>
      <c r="AR39" s="25" t="s">
        <v>768</v>
      </c>
      <c r="AY39" s="231" t="str">
        <f t="shared" si="13"/>
        <v>AELC Time based</v>
      </c>
      <c r="BB39" t="s">
        <v>2235</v>
      </c>
      <c r="BD39" t="s">
        <v>2235</v>
      </c>
      <c r="BF39" s="12">
        <f>HLOOKUP(BG39,Installations!$GN$8:$IB$16,9,FALSE)</f>
        <v>12</v>
      </c>
      <c r="BG39" t="str">
        <f>Installations!HO8</f>
        <v>Exist Control/Space Incorrect</v>
      </c>
      <c r="BH39" t="s">
        <v>2228</v>
      </c>
      <c r="BI39" t="s">
        <v>2177</v>
      </c>
      <c r="BT39" s="1083" t="s">
        <v>2236</v>
      </c>
      <c r="BU39" s="1004" t="s">
        <v>2237</v>
      </c>
      <c r="BW39">
        <v>37</v>
      </c>
      <c r="BX39" s="1004"/>
      <c r="BY39" s="12">
        <f t="shared" si="2"/>
        <v>0</v>
      </c>
    </row>
    <row r="40" spans="2:104" ht="14.3">
      <c r="B40" t="s">
        <v>2238</v>
      </c>
      <c r="T40" s="22" t="s">
        <v>254</v>
      </c>
      <c r="U40" s="23" t="s">
        <v>2239</v>
      </c>
      <c r="AG40" s="25" t="s">
        <v>2240</v>
      </c>
      <c r="AH40" s="25" t="str">
        <f t="shared" si="12"/>
        <v>Exterior Building Facades</v>
      </c>
      <c r="AI40" s="25" t="s">
        <v>1948</v>
      </c>
      <c r="AJ40" s="79" t="s">
        <v>215</v>
      </c>
      <c r="AK40" s="25" t="s">
        <v>1948</v>
      </c>
      <c r="AL40" s="79" t="s">
        <v>215</v>
      </c>
      <c r="AM40" s="34"/>
      <c r="AN40" s="103" t="s">
        <v>1536</v>
      </c>
      <c r="AP40" s="22" t="s">
        <v>779</v>
      </c>
      <c r="AQ40" s="42">
        <v>0.4</v>
      </c>
      <c r="AR40" s="22" t="s">
        <v>779</v>
      </c>
      <c r="AY40" t="str">
        <f t="shared" si="13"/>
        <v>AELC on Existing</v>
      </c>
      <c r="BB40" t="s">
        <v>2241</v>
      </c>
      <c r="BF40" s="12">
        <f>HLOOKUP(BG40,Installations!$GN$8:$IB$16,9,FALSE)</f>
        <v>14</v>
      </c>
      <c r="BG40" t="str">
        <f>Installations!HM8</f>
        <v>TLED to TLED watts</v>
      </c>
      <c r="BH40" t="s">
        <v>2049</v>
      </c>
      <c r="BI40" t="s">
        <v>2177</v>
      </c>
      <c r="BT40" s="1084" t="s">
        <v>2242</v>
      </c>
      <c r="BU40" s="1005" t="s">
        <v>2243</v>
      </c>
      <c r="BW40">
        <v>38</v>
      </c>
      <c r="BX40" s="1005"/>
      <c r="BY40" s="12">
        <f t="shared" si="2"/>
        <v>0</v>
      </c>
    </row>
    <row r="41" spans="2:104" ht="14.3">
      <c r="T41" s="25" t="s">
        <v>606</v>
      </c>
      <c r="U41" s="26" t="s">
        <v>2244</v>
      </c>
      <c r="AG41" s="22" t="s">
        <v>796</v>
      </c>
      <c r="AH41" s="22" t="str">
        <f t="shared" si="12"/>
        <v>Exterior Other Exterior Area</v>
      </c>
      <c r="AI41" s="22" t="s">
        <v>1948</v>
      </c>
      <c r="AJ41" s="80" t="s">
        <v>215</v>
      </c>
      <c r="AK41" s="22" t="s">
        <v>1948</v>
      </c>
      <c r="AL41" s="80" t="s">
        <v>215</v>
      </c>
      <c r="AM41" s="33"/>
      <c r="AN41" s="103" t="s">
        <v>1536</v>
      </c>
      <c r="AP41" s="25" t="s">
        <v>2245</v>
      </c>
      <c r="AQ41" s="41">
        <v>0.95</v>
      </c>
      <c r="AR41" s="25" t="s">
        <v>768</v>
      </c>
      <c r="BB41" t="s">
        <v>2246</v>
      </c>
      <c r="BF41" s="12">
        <f>HLOOKUP(BG41,Installations!$GN$8:$IB$16,9,FALSE)</f>
        <v>16</v>
      </c>
      <c r="BG41" t="str">
        <f>Installations!HK8</f>
        <v>New Fixture Changed</v>
      </c>
      <c r="BH41" t="s">
        <v>2247</v>
      </c>
      <c r="BI41" t="s">
        <v>2177</v>
      </c>
      <c r="BT41" s="1083" t="s">
        <v>2248</v>
      </c>
      <c r="BU41" s="1004" t="s">
        <v>2249</v>
      </c>
      <c r="BW41">
        <v>39</v>
      </c>
      <c r="BX41" s="1004"/>
      <c r="BY41" s="12">
        <f t="shared" si="2"/>
        <v>0</v>
      </c>
    </row>
    <row r="42" spans="2:104" ht="14.3">
      <c r="B42" t="s">
        <v>2250</v>
      </c>
      <c r="T42" s="22" t="s">
        <v>1658</v>
      </c>
      <c r="U42" s="23" t="s">
        <v>2251</v>
      </c>
      <c r="AG42" s="25" t="s">
        <v>797</v>
      </c>
      <c r="AH42" s="25" t="str">
        <f t="shared" si="12"/>
        <v>Exterior Street</v>
      </c>
      <c r="AI42" s="25" t="s">
        <v>1948</v>
      </c>
      <c r="AJ42" s="79" t="s">
        <v>215</v>
      </c>
      <c r="AK42" s="25" t="s">
        <v>1948</v>
      </c>
      <c r="AL42" s="79" t="s">
        <v>215</v>
      </c>
      <c r="AM42" s="34"/>
      <c r="AN42" s="103" t="s">
        <v>1536</v>
      </c>
      <c r="AY42" s="50" t="s">
        <v>1974</v>
      </c>
      <c r="BB42" t="s">
        <v>2252</v>
      </c>
      <c r="BF42" s="12">
        <f>HLOOKUP(BG42,Installations!$GN$8:$IB$16,9,FALSE)</f>
        <v>17</v>
      </c>
      <c r="BG42" t="str">
        <f>Installations!HJ8</f>
        <v>Existing Fixture Changed</v>
      </c>
      <c r="BH42" t="s">
        <v>2253</v>
      </c>
      <c r="BI42" t="s">
        <v>2177</v>
      </c>
      <c r="BT42" s="1084" t="s">
        <v>2254</v>
      </c>
      <c r="BU42" s="1005" t="s">
        <v>2255</v>
      </c>
      <c r="BW42">
        <v>40</v>
      </c>
      <c r="BY42" s="12">
        <f t="shared" si="2"/>
        <v>0</v>
      </c>
    </row>
    <row r="43" spans="2:104" ht="14.3">
      <c r="T43" s="25" t="s">
        <v>1775</v>
      </c>
      <c r="U43" s="26" t="s">
        <v>2256</v>
      </c>
      <c r="AG43" s="27" t="s">
        <v>225</v>
      </c>
      <c r="AH43" s="27" t="str">
        <f>CONCATENATE("Exterior ",AG43)</f>
        <v>Exterior Fixture Removed</v>
      </c>
      <c r="AI43" s="27" t="s">
        <v>1974</v>
      </c>
      <c r="AJ43" s="27" t="s">
        <v>215</v>
      </c>
      <c r="AK43" s="27" t="s">
        <v>1974</v>
      </c>
      <c r="AL43" s="80" t="s">
        <v>215</v>
      </c>
      <c r="AM43" s="82"/>
      <c r="AN43" s="103" t="s">
        <v>1536</v>
      </c>
      <c r="AY43" s="20" t="s">
        <v>2257</v>
      </c>
      <c r="BB43" t="s">
        <v>2258</v>
      </c>
      <c r="BF43" s="12">
        <f>HLOOKUP(BG43,Installations!$GN$8:$IB$16,9,FALSE)</f>
        <v>18</v>
      </c>
      <c r="BG43" t="str">
        <f>Installations!HI8</f>
        <v>Heat Type Change?</v>
      </c>
      <c r="BH43" t="s">
        <v>2026</v>
      </c>
      <c r="BI43" t="s">
        <v>2177</v>
      </c>
      <c r="BT43" s="1083" t="s">
        <v>2259</v>
      </c>
      <c r="BU43" s="1004" t="s">
        <v>2260</v>
      </c>
      <c r="BW43">
        <v>41</v>
      </c>
      <c r="BY43" s="12">
        <f t="shared" si="2"/>
        <v>0</v>
      </c>
    </row>
    <row r="44" spans="2:104" ht="14.3">
      <c r="B44" t="s">
        <v>2261</v>
      </c>
      <c r="T44" s="22" t="s">
        <v>614</v>
      </c>
      <c r="U44" s="23" t="s">
        <v>2262</v>
      </c>
      <c r="AY44" s="25" t="str">
        <f>BB20</f>
        <v>Removed</v>
      </c>
      <c r="BB44" t="s">
        <v>2263</v>
      </c>
      <c r="BF44" s="12">
        <f>HLOOKUP(BG44,Installations!$GN$8:$IB$16,9,FALSE)</f>
        <v>19</v>
      </c>
      <c r="BG44" t="str">
        <f>Installations!HH8</f>
        <v>Retrofit / TI / NC Change?</v>
      </c>
      <c r="BH44" t="s">
        <v>2264</v>
      </c>
      <c r="BI44" t="s">
        <v>2177</v>
      </c>
      <c r="BT44" s="1084" t="s">
        <v>2265</v>
      </c>
      <c r="BU44" s="1005" t="s">
        <v>2266</v>
      </c>
      <c r="BW44">
        <v>42</v>
      </c>
      <c r="BY44" s="12">
        <f t="shared" si="2"/>
        <v>0</v>
      </c>
    </row>
    <row r="45" spans="2:104" ht="14.3">
      <c r="T45" s="25" t="s">
        <v>1654</v>
      </c>
      <c r="U45" s="26" t="s">
        <v>2267</v>
      </c>
      <c r="BB45" t="s">
        <v>2268</v>
      </c>
      <c r="BF45" s="12">
        <f>HLOOKUP(BG45,Installations!$GN$8:$IB$16,9,FALSE)</f>
        <v>20</v>
      </c>
      <c r="BG45" t="str">
        <f>Installations!HG8</f>
        <v>TI / NC Interior?</v>
      </c>
      <c r="BH45" t="s">
        <v>2269</v>
      </c>
      <c r="BI45" t="s">
        <v>2177</v>
      </c>
      <c r="BT45" s="1083" t="s">
        <v>2270</v>
      </c>
      <c r="BU45" s="1004" t="s">
        <v>2255</v>
      </c>
      <c r="BW45">
        <v>43</v>
      </c>
      <c r="BY45" s="12">
        <f t="shared" si="2"/>
        <v>0</v>
      </c>
    </row>
    <row r="46" spans="2:104" ht="14.3">
      <c r="T46" s="22" t="s">
        <v>2271</v>
      </c>
      <c r="U46" s="23" t="s">
        <v>2272</v>
      </c>
      <c r="AY46" s="50" t="s">
        <v>2273</v>
      </c>
      <c r="BB46" t="s">
        <v>2274</v>
      </c>
      <c r="BF46" s="12">
        <f>HLOOKUP(BG46,Installations!$GN$8:$IB$16,9,FALSE)</f>
        <v>35</v>
      </c>
      <c r="BG46" t="str">
        <f>Installations!GQ8</f>
        <v>Cells Complete</v>
      </c>
      <c r="BH46" t="s">
        <v>2033</v>
      </c>
      <c r="BI46" t="s">
        <v>2150</v>
      </c>
      <c r="BT46" s="1084" t="s">
        <v>2275</v>
      </c>
      <c r="BU46" s="1005" t="s">
        <v>2126</v>
      </c>
      <c r="BW46">
        <v>44</v>
      </c>
      <c r="BY46" s="12">
        <f t="shared" si="2"/>
        <v>0</v>
      </c>
    </row>
    <row r="47" spans="2:104" ht="14.3">
      <c r="AG47">
        <f>MATCH(AG37,Lookup_Exterior_Areas,0)</f>
        <v>5</v>
      </c>
      <c r="AW47" t="e" cm="1">
        <f t="array" aca="1" ref="AW47" ca="1">IF(Lookup!K10OR(DV47=4,DV47=5,DV47=6,DV47=12),CONCATENATE("$",IF(GM47=TRUE,Lookup!$K$10,Lookup!$K$2)," /lamp"),CONCATENATE(EI47,"/ kWh"))</f>
        <v>#NAME?</v>
      </c>
      <c r="AY47" s="20" t="s">
        <v>290</v>
      </c>
      <c r="BB47" t="s">
        <v>2276</v>
      </c>
      <c r="BF47" s="12">
        <f>HLOOKUP(BG47,Installations!$GN$8:$IB$16,9,FALSE)</f>
        <v>36</v>
      </c>
      <c r="BG47" t="str">
        <f>Installations!GP8</f>
        <v>Location:</v>
      </c>
      <c r="BH47" t="s">
        <v>292</v>
      </c>
      <c r="BI47" t="s">
        <v>2277</v>
      </c>
      <c r="BT47" s="1083" t="s">
        <v>2278</v>
      </c>
      <c r="BU47" s="1004" t="s">
        <v>2197</v>
      </c>
      <c r="BW47">
        <v>45</v>
      </c>
      <c r="BY47" s="12">
        <f t="shared" si="2"/>
        <v>0</v>
      </c>
    </row>
    <row r="48" spans="2:104" ht="14.3">
      <c r="T48" s="20" t="s">
        <v>2279</v>
      </c>
      <c r="U48" s="21" t="s">
        <v>2280</v>
      </c>
      <c r="AY48" s="22" t="str">
        <f>BB3</f>
        <v>Switch / Breaker</v>
      </c>
      <c r="BB48" t="s">
        <v>2281</v>
      </c>
      <c r="BF48" s="12">
        <f>HLOOKUP(BG48,Installations!$GN$8:$IB$16,9,FALSE)</f>
        <v>38</v>
      </c>
      <c r="BG48" t="str">
        <f>Installations!GN8</f>
        <v>Include</v>
      </c>
      <c r="BH48" t="s">
        <v>1975</v>
      </c>
      <c r="BI48" t="s">
        <v>2277</v>
      </c>
      <c r="BT48" s="1084" t="s">
        <v>2282</v>
      </c>
      <c r="BU48" s="1005" t="s">
        <v>2283</v>
      </c>
      <c r="BW48">
        <v>46</v>
      </c>
      <c r="BY48" s="12">
        <f t="shared" si="2"/>
        <v>0</v>
      </c>
    </row>
    <row r="49" spans="2:66" ht="14.3">
      <c r="T49" s="22" t="s">
        <v>2284</v>
      </c>
      <c r="U49" s="23" t="s">
        <v>2285</v>
      </c>
      <c r="AY49" s="25" t="str">
        <f>BB4</f>
        <v>Timer / Time Switch</v>
      </c>
      <c r="BB49" t="s">
        <v>2286</v>
      </c>
      <c r="BF49" s="12" t="e">
        <f>HLOOKUP(BG49,Installations!$GN$8:$IB$16,9,FALSE)</f>
        <v>#N/A</v>
      </c>
      <c r="BH49" t="s">
        <v>1936</v>
      </c>
    </row>
    <row r="50" spans="2:66" ht="14.3">
      <c r="T50" s="25" t="s">
        <v>225</v>
      </c>
      <c r="U50" s="26" t="s">
        <v>2287</v>
      </c>
      <c r="AY50" s="22" t="str">
        <f>BB5</f>
        <v>Occupancy Sensor</v>
      </c>
      <c r="BB50" t="s">
        <v>2288</v>
      </c>
      <c r="BF50" s="12">
        <f>HLOOKUP(BG50,Installations!$GN$8:$IB$16,9,FALSE)</f>
        <v>13</v>
      </c>
      <c r="BG50" t="str">
        <f>Installations!HN8</f>
        <v>Exist Control Incorrect</v>
      </c>
      <c r="BH50" t="s">
        <v>2289</v>
      </c>
      <c r="BI50" t="s">
        <v>2177</v>
      </c>
    </row>
    <row r="51" spans="2:66" ht="14.3">
      <c r="B51" t="s">
        <v>2290</v>
      </c>
      <c r="T51" s="27" t="s">
        <v>614</v>
      </c>
      <c r="U51" s="24" t="s">
        <v>2291</v>
      </c>
      <c r="AY51" s="25" t="str">
        <f>BB11</f>
        <v>LLLC (outside Daylight)</v>
      </c>
      <c r="BB51" t="s">
        <v>2292</v>
      </c>
      <c r="BF51" s="12">
        <f>HLOOKUP(BG51,Installations!$GN$8:$IB$16,9,FALSE)</f>
        <v>15</v>
      </c>
      <c r="BG51" t="str">
        <f>Installations!HL8</f>
        <v>TLED not Allowed</v>
      </c>
      <c r="BH51" t="s">
        <v>2293</v>
      </c>
      <c r="BI51" t="s">
        <v>2177</v>
      </c>
    </row>
    <row r="52" spans="2:66" ht="14.3">
      <c r="B52" t="s">
        <v>2294</v>
      </c>
      <c r="AY52" t="str">
        <f>BB12</f>
        <v>NLC (othside Daylight)</v>
      </c>
      <c r="BB52" t="s">
        <v>2295</v>
      </c>
      <c r="BF52" s="12" t="e">
        <f>HLOOKUP(BG52,Installations!$GN$8:$IB$16,9,FALSE)</f>
        <v>#N/A</v>
      </c>
      <c r="BH52" t="s">
        <v>2296</v>
      </c>
    </row>
    <row r="53" spans="2:66" ht="14.3">
      <c r="B53" t="s">
        <v>2297</v>
      </c>
      <c r="T53" s="20" t="s">
        <v>2285</v>
      </c>
      <c r="U53" s="28" t="s">
        <v>2298</v>
      </c>
      <c r="BB53" t="s">
        <v>2299</v>
      </c>
      <c r="BL53" s="457"/>
    </row>
    <row r="54" spans="2:66" ht="14.3">
      <c r="B54" t="s">
        <v>2300</v>
      </c>
      <c r="T54" s="22" t="s">
        <v>1914</v>
      </c>
      <c r="U54" s="24" t="s">
        <v>2301</v>
      </c>
      <c r="BB54" t="s">
        <v>2302</v>
      </c>
      <c r="BL54" s="457"/>
      <c r="BM54" s="457"/>
      <c r="BN54" s="457"/>
    </row>
    <row r="55" spans="2:66" ht="14.3">
      <c r="T55" s="30" t="s">
        <v>1931</v>
      </c>
      <c r="U55" s="29" t="s">
        <v>1932</v>
      </c>
      <c r="AY55" s="20" t="s">
        <v>2303</v>
      </c>
      <c r="AZ55" s="20" t="s">
        <v>328</v>
      </c>
      <c r="BB55" t="s">
        <v>2304</v>
      </c>
      <c r="BL55" s="457"/>
      <c r="BM55" s="457"/>
      <c r="BN55" s="457"/>
    </row>
    <row r="56" spans="2:66" ht="14.3">
      <c r="B56" t="s">
        <v>2305</v>
      </c>
      <c r="T56" s="22" t="s">
        <v>1981</v>
      </c>
      <c r="U56" s="24" t="s">
        <v>2306</v>
      </c>
      <c r="AY56" s="22" t="str">
        <f>CONCATENATE(BB$60," ",AY21)</f>
        <v>Not Daylighted Switch / Breaker</v>
      </c>
      <c r="AZ56" s="39">
        <v>2</v>
      </c>
      <c r="BK56" s="457"/>
      <c r="BL56" s="457"/>
      <c r="BM56" s="457"/>
      <c r="BN56" s="457"/>
    </row>
    <row r="57" spans="2:66" ht="14.3">
      <c r="B57" t="s">
        <v>2307</v>
      </c>
      <c r="AY57" s="25" t="str">
        <f>CONCATENATE(BB$60," ",AY22)</f>
        <v>Not Daylighted Timer / Time Switch</v>
      </c>
      <c r="AZ57" s="40">
        <v>3</v>
      </c>
      <c r="BJ57" s="460"/>
      <c r="BK57" s="457"/>
      <c r="BL57" s="458"/>
      <c r="BM57" s="458"/>
      <c r="BN57" s="458"/>
    </row>
    <row r="58" spans="2:66" ht="14.3">
      <c r="T58" s="20" t="s">
        <v>2287</v>
      </c>
      <c r="U58" s="21" t="s">
        <v>2298</v>
      </c>
      <c r="AY58" s="22" t="str">
        <f>CONCATENATE(BB$60," ",AY23)</f>
        <v>Not Daylighted Occupancy Sensor</v>
      </c>
      <c r="AZ58" s="39">
        <v>4</v>
      </c>
      <c r="BJ58" s="460"/>
      <c r="BK58" s="457"/>
      <c r="BL58" s="458"/>
      <c r="BM58" s="458"/>
      <c r="BN58" s="458"/>
    </row>
    <row r="59" spans="2:66" ht="14.3">
      <c r="T59" s="30" t="s">
        <v>225</v>
      </c>
      <c r="U59" s="30" t="s">
        <v>1994</v>
      </c>
      <c r="AY59" s="25" t="str">
        <f>CONCATENATE(BB$60," ",AY29)</f>
        <v>Not Daylighted LLLC (outside Daylight)</v>
      </c>
      <c r="AZ59" s="40">
        <v>6</v>
      </c>
      <c r="BB59" s="20" t="s">
        <v>365</v>
      </c>
      <c r="BC59" s="36" t="s">
        <v>328</v>
      </c>
      <c r="BK59" s="457"/>
      <c r="BL59" s="457"/>
      <c r="BM59" s="457"/>
      <c r="BN59" s="457"/>
    </row>
    <row r="60" spans="2:66" ht="14.3">
      <c r="AY60" s="22" t="str">
        <f>CONCATENATE(BB$60," ",AY26)</f>
        <v>Not Daylighted Interior NLC</v>
      </c>
      <c r="AZ60" s="39">
        <v>6</v>
      </c>
      <c r="BB60" s="25" t="s">
        <v>437</v>
      </c>
      <c r="BC60" s="34">
        <v>0</v>
      </c>
      <c r="BK60" s="458"/>
      <c r="BL60" s="457"/>
      <c r="BM60" s="457"/>
      <c r="BN60" s="457"/>
    </row>
    <row r="61" spans="2:66" ht="14.3">
      <c r="T61" s="20" t="s">
        <v>2291</v>
      </c>
      <c r="U61" s="21" t="s">
        <v>2298</v>
      </c>
      <c r="AY61" s="25" t="str">
        <f t="shared" ref="AY61:AY70" si="14">CONCATENATE(BB$61," ",AY21)</f>
        <v>Top Daylighted Switch / Breaker</v>
      </c>
      <c r="AZ61" s="40">
        <v>2</v>
      </c>
      <c r="BB61" s="22" t="s">
        <v>351</v>
      </c>
      <c r="BC61" s="33">
        <v>1</v>
      </c>
      <c r="BL61" s="457"/>
      <c r="BM61" s="457"/>
      <c r="BN61" s="457"/>
    </row>
    <row r="62" spans="2:66" ht="14.3">
      <c r="T62" s="30" t="s">
        <v>614</v>
      </c>
      <c r="U62" s="30" t="s">
        <v>2291</v>
      </c>
      <c r="AY62" s="22" t="str">
        <f t="shared" si="14"/>
        <v>Top Daylighted Timer / Time Switch</v>
      </c>
      <c r="AZ62" s="39">
        <v>3</v>
      </c>
      <c r="BB62" s="25" t="s">
        <v>723</v>
      </c>
      <c r="BC62" s="34">
        <v>2</v>
      </c>
      <c r="BJ62" s="459"/>
      <c r="BK62" s="458"/>
      <c r="BL62" s="457"/>
      <c r="BM62" s="457"/>
      <c r="BN62" s="457"/>
    </row>
    <row r="63" spans="2:66" ht="14.3">
      <c r="AY63" s="25" t="str">
        <f t="shared" si="14"/>
        <v>Top Daylighted Occupancy Sensor</v>
      </c>
      <c r="AZ63" s="40">
        <v>4</v>
      </c>
      <c r="BB63" s="22" t="s">
        <v>765</v>
      </c>
      <c r="BC63" s="33">
        <v>3</v>
      </c>
      <c r="BJ63" s="460"/>
      <c r="BK63" s="457"/>
      <c r="BL63" s="457"/>
      <c r="BM63" s="457"/>
      <c r="BN63" s="457"/>
    </row>
    <row r="64" spans="2:66" ht="14.3">
      <c r="T64" s="20" t="s">
        <v>2239</v>
      </c>
      <c r="U64" s="21" t="s">
        <v>2308</v>
      </c>
      <c r="AY64" s="22" t="str">
        <f t="shared" si="14"/>
        <v>Top Daylighted Interior Daylight Dimming</v>
      </c>
      <c r="AZ64" s="39">
        <v>7</v>
      </c>
      <c r="BB64" s="25" t="s">
        <v>438</v>
      </c>
      <c r="BC64" s="34">
        <v>1</v>
      </c>
      <c r="BK64" s="457"/>
      <c r="BL64" s="457"/>
      <c r="BM64" s="457"/>
      <c r="BN64" s="457"/>
    </row>
    <row r="65" spans="20:66" ht="14.3">
      <c r="T65" s="22" t="s">
        <v>255</v>
      </c>
      <c r="U65" s="23" t="s">
        <v>1944</v>
      </c>
      <c r="AY65" s="25" t="str">
        <f t="shared" si="14"/>
        <v>Top Daylighted Daylight + Occupancy</v>
      </c>
      <c r="AZ65" s="40">
        <v>8</v>
      </c>
      <c r="BB65" s="22"/>
      <c r="BC65" s="33"/>
      <c r="BG65" s="12"/>
      <c r="BI65" s="12"/>
      <c r="BJ65" s="460"/>
      <c r="BK65" s="457"/>
      <c r="BL65" s="457"/>
      <c r="BM65" s="457"/>
      <c r="BN65" s="457"/>
    </row>
    <row r="66" spans="20:66" ht="14.3">
      <c r="T66" s="25" t="s">
        <v>1733</v>
      </c>
      <c r="U66" s="26" t="s">
        <v>2309</v>
      </c>
      <c r="AY66" s="22" t="str">
        <f t="shared" si="14"/>
        <v>Top Daylighted Interior NLC</v>
      </c>
      <c r="AZ66" s="39">
        <v>9</v>
      </c>
      <c r="BB66" s="30"/>
      <c r="BC66" s="35"/>
      <c r="BG66" s="12"/>
      <c r="BI66" s="12"/>
      <c r="BJ66" s="460"/>
      <c r="BK66" s="457"/>
      <c r="BL66" s="457"/>
      <c r="BM66" s="457"/>
      <c r="BN66" s="457"/>
    </row>
    <row r="67" spans="20:66" ht="14.3">
      <c r="T67" s="22" t="s">
        <v>1750</v>
      </c>
      <c r="U67" s="23" t="s">
        <v>2310</v>
      </c>
      <c r="AY67" s="25" t="str">
        <f t="shared" si="14"/>
        <v>Top Daylighted Interior LLLC</v>
      </c>
      <c r="AZ67" s="40">
        <v>9</v>
      </c>
      <c r="BG67" s="12"/>
      <c r="BI67" s="12"/>
      <c r="BK67" s="457"/>
      <c r="BL67" s="457"/>
      <c r="BM67" s="457"/>
      <c r="BN67" s="457"/>
    </row>
    <row r="68" spans="20:66" ht="14.3">
      <c r="T68" s="25" t="s">
        <v>1751</v>
      </c>
      <c r="U68" s="26" t="s">
        <v>2311</v>
      </c>
      <c r="AY68" s="22" t="str">
        <f t="shared" si="14"/>
        <v>Top Daylighted LLLC Controls Only</v>
      </c>
      <c r="AZ68" s="39">
        <v>9</v>
      </c>
      <c r="BG68" s="12"/>
      <c r="BI68" s="12"/>
      <c r="BJ68" s="460"/>
      <c r="BK68" s="457"/>
      <c r="BL68" s="457"/>
      <c r="BM68" s="457"/>
      <c r="BN68" s="457"/>
    </row>
    <row r="69" spans="20:66" ht="14.3">
      <c r="T69" s="22" t="s">
        <v>1720</v>
      </c>
      <c r="U69" s="23" t="s">
        <v>2045</v>
      </c>
      <c r="AY69" s="25" t="str">
        <f t="shared" si="14"/>
        <v>Top Daylighted LLLC (outside Daylight)</v>
      </c>
      <c r="AZ69" s="40">
        <v>6</v>
      </c>
      <c r="BB69" s="527" t="s">
        <v>339</v>
      </c>
      <c r="BC69" s="1066" t="s">
        <v>395</v>
      </c>
      <c r="BD69" s="527" t="s">
        <v>1595</v>
      </c>
      <c r="BE69" s="1067" t="s">
        <v>385</v>
      </c>
      <c r="BG69" s="12"/>
      <c r="BJ69" s="460"/>
      <c r="BK69" s="457"/>
      <c r="BL69" s="457"/>
      <c r="BM69" s="457"/>
      <c r="BN69" s="457"/>
    </row>
    <row r="70" spans="20:66" ht="14.3">
      <c r="T70" s="25" t="s">
        <v>1752</v>
      </c>
      <c r="U70" s="26" t="s">
        <v>2312</v>
      </c>
      <c r="AY70" s="22" t="str">
        <f t="shared" si="14"/>
        <v>Top Daylighted NLC (othside Daylight)</v>
      </c>
      <c r="AZ70" s="39">
        <v>6</v>
      </c>
      <c r="BB70" s="1064" t="s">
        <v>727</v>
      </c>
      <c r="BC70" s="1063">
        <v>2</v>
      </c>
      <c r="BD70" s="1064" t="s">
        <v>1920</v>
      </c>
      <c r="BE70" s="1063" t="s">
        <v>1922</v>
      </c>
      <c r="BG70" s="12"/>
      <c r="BJ70" s="460"/>
      <c r="BK70" s="457"/>
      <c r="BL70" s="457"/>
      <c r="BM70" s="457"/>
      <c r="BN70" s="457"/>
    </row>
    <row r="71" spans="20:66" ht="14.3">
      <c r="T71" s="22" t="s">
        <v>1762</v>
      </c>
      <c r="U71" s="23" t="s">
        <v>2313</v>
      </c>
      <c r="AY71" s="25" t="str">
        <f t="shared" ref="AY71:AY80" si="15">CONCATENATE(BB$62," ",AY21)</f>
        <v>Side Daylighted (typical) Switch / Breaker</v>
      </c>
      <c r="AZ71" s="40">
        <v>2</v>
      </c>
      <c r="BB71" s="531" t="s">
        <v>730</v>
      </c>
      <c r="BC71" s="530">
        <v>3</v>
      </c>
      <c r="BD71" s="531" t="s">
        <v>1920</v>
      </c>
      <c r="BE71" s="530" t="s">
        <v>1922</v>
      </c>
      <c r="BG71" s="12"/>
      <c r="BI71" s="12"/>
      <c r="BJ71" s="460"/>
      <c r="BK71" s="457"/>
    </row>
    <row r="72" spans="20:66" ht="14.3">
      <c r="T72" s="30" t="s">
        <v>1821</v>
      </c>
      <c r="U72" s="29" t="s">
        <v>2314</v>
      </c>
      <c r="AY72" s="22" t="str">
        <f t="shared" si="15"/>
        <v>Side Daylighted (typical) Timer / Time Switch</v>
      </c>
      <c r="AZ72" s="39">
        <v>3</v>
      </c>
      <c r="BB72" s="1064" t="s">
        <v>700</v>
      </c>
      <c r="BC72" s="1063">
        <v>4</v>
      </c>
      <c r="BD72" s="1064" t="s">
        <v>1920</v>
      </c>
      <c r="BE72" s="1063" t="s">
        <v>1922</v>
      </c>
      <c r="BG72" s="12"/>
      <c r="BI72" s="12"/>
      <c r="BJ72" s="460"/>
      <c r="BK72" s="457"/>
    </row>
    <row r="73" spans="20:66" ht="14.3">
      <c r="T73" s="22" t="s">
        <v>1691</v>
      </c>
      <c r="U73" s="23" t="s">
        <v>1691</v>
      </c>
      <c r="AY73" s="25" t="str">
        <f t="shared" si="15"/>
        <v>Side Daylighted (typical) Occupancy Sensor</v>
      </c>
      <c r="AZ73" s="40">
        <v>4</v>
      </c>
      <c r="BB73" s="531" t="s">
        <v>2315</v>
      </c>
      <c r="BC73" s="530">
        <v>5</v>
      </c>
      <c r="BD73" s="531" t="s">
        <v>1920</v>
      </c>
      <c r="BE73" s="530" t="s">
        <v>1922</v>
      </c>
      <c r="BG73" s="12"/>
      <c r="BI73" s="12"/>
      <c r="BJ73" s="460"/>
      <c r="BK73" s="457"/>
    </row>
    <row r="74" spans="20:66" ht="14.3">
      <c r="T74" s="25" t="s">
        <v>1716</v>
      </c>
      <c r="U74" s="26" t="s">
        <v>2316</v>
      </c>
      <c r="AY74" s="22" t="str">
        <f t="shared" si="15"/>
        <v>Side Daylighted (typical) Interior Daylight Dimming</v>
      </c>
      <c r="AZ74" s="39">
        <v>10</v>
      </c>
      <c r="BB74" s="1064" t="s">
        <v>2317</v>
      </c>
      <c r="BC74" s="1063">
        <v>6</v>
      </c>
      <c r="BD74" s="1064" t="s">
        <v>1920</v>
      </c>
      <c r="BE74" s="1063" t="s">
        <v>1922</v>
      </c>
      <c r="BG74" s="12"/>
      <c r="BI74" s="12"/>
      <c r="BJ74" s="460"/>
      <c r="BK74" s="457"/>
    </row>
    <row r="75" spans="20:66" ht="14.3">
      <c r="T75" s="22" t="s">
        <v>1718</v>
      </c>
      <c r="U75" s="23" t="s">
        <v>2318</v>
      </c>
      <c r="AY75" s="25" t="str">
        <f t="shared" si="15"/>
        <v>Side Daylighted (typical) Daylight + Occupancy</v>
      </c>
      <c r="AZ75" s="40">
        <v>11</v>
      </c>
      <c r="BB75" s="531" t="s">
        <v>2319</v>
      </c>
      <c r="BC75" s="530">
        <v>7</v>
      </c>
      <c r="BD75" s="531" t="s">
        <v>1920</v>
      </c>
      <c r="BE75" s="530" t="s">
        <v>1922</v>
      </c>
      <c r="BG75" s="12"/>
      <c r="BI75" s="12"/>
      <c r="BJ75" s="460"/>
      <c r="BK75" s="457"/>
    </row>
    <row r="76" spans="20:66" ht="14.3">
      <c r="T76" s="25" t="s">
        <v>1724</v>
      </c>
      <c r="U76" s="26" t="s">
        <v>2320</v>
      </c>
      <c r="AY76" s="22" t="str">
        <f t="shared" si="15"/>
        <v>Side Daylighted (typical) Interior NLC</v>
      </c>
      <c r="AZ76" s="39">
        <v>12</v>
      </c>
      <c r="BB76" s="1064" t="s">
        <v>2321</v>
      </c>
      <c r="BC76" s="1063">
        <v>8</v>
      </c>
      <c r="BD76" s="1064" t="s">
        <v>1920</v>
      </c>
      <c r="BE76" s="1063" t="s">
        <v>1922</v>
      </c>
      <c r="BG76" s="12"/>
      <c r="BI76" s="12"/>
      <c r="BK76" s="457"/>
    </row>
    <row r="77" spans="20:66" ht="14.3">
      <c r="T77" s="22" t="s">
        <v>1726</v>
      </c>
      <c r="U77" s="23" t="s">
        <v>2322</v>
      </c>
      <c r="AY77" s="25" t="str">
        <f t="shared" si="15"/>
        <v>Side Daylighted (typical) Interior LLLC</v>
      </c>
      <c r="AZ77" s="40">
        <v>12</v>
      </c>
      <c r="BB77" s="531" t="s">
        <v>2323</v>
      </c>
      <c r="BC77" s="530">
        <v>9</v>
      </c>
      <c r="BD77" s="531" t="s">
        <v>1920</v>
      </c>
      <c r="BE77" s="530" t="s">
        <v>1922</v>
      </c>
      <c r="BG77" s="12"/>
      <c r="BI77" s="12"/>
      <c r="BK77" s="457"/>
    </row>
    <row r="78" spans="20:66" ht="14.3">
      <c r="T78" s="25" t="s">
        <v>1732</v>
      </c>
      <c r="U78" s="26" t="s">
        <v>2324</v>
      </c>
      <c r="AY78" s="22" t="str">
        <f t="shared" si="15"/>
        <v>Side Daylighted (typical) LLLC Controls Only</v>
      </c>
      <c r="AZ78" s="39">
        <v>12</v>
      </c>
      <c r="BB78" s="1064" t="s">
        <v>2325</v>
      </c>
      <c r="BC78" s="1063">
        <v>10</v>
      </c>
      <c r="BD78" s="1064" t="s">
        <v>1920</v>
      </c>
      <c r="BE78" s="1063" t="s">
        <v>1922</v>
      </c>
      <c r="BG78" s="12"/>
      <c r="BI78" s="12"/>
      <c r="BK78" s="457"/>
    </row>
    <row r="79" spans="20:66" ht="14.3">
      <c r="T79" s="22" t="s">
        <v>1706</v>
      </c>
      <c r="U79" s="23" t="s">
        <v>2326</v>
      </c>
      <c r="AY79" s="25" t="str">
        <f t="shared" si="15"/>
        <v>Side Daylighted (typical) LLLC (outside Daylight)</v>
      </c>
      <c r="AZ79" s="40">
        <v>6</v>
      </c>
      <c r="BB79" s="531" t="s">
        <v>2327</v>
      </c>
      <c r="BC79" s="530">
        <v>11</v>
      </c>
      <c r="BD79" s="531" t="s">
        <v>1920</v>
      </c>
      <c r="BE79" s="530" t="s">
        <v>1922</v>
      </c>
      <c r="BG79" s="12"/>
      <c r="BI79" s="12"/>
    </row>
    <row r="80" spans="20:66" ht="14.3">
      <c r="T80" s="25" t="s">
        <v>1715</v>
      </c>
      <c r="U80" s="26" t="s">
        <v>2328</v>
      </c>
      <c r="AY80" s="22" t="str">
        <f t="shared" si="15"/>
        <v>Side Daylighted (typical) NLC (othside Daylight)</v>
      </c>
      <c r="AZ80" s="39">
        <v>6</v>
      </c>
      <c r="BB80" s="1064" t="s">
        <v>461</v>
      </c>
      <c r="BC80" s="1063">
        <v>8</v>
      </c>
      <c r="BD80" s="1064" t="s">
        <v>1922</v>
      </c>
      <c r="BE80" s="1063" t="s">
        <v>1922</v>
      </c>
      <c r="BG80" s="12"/>
      <c r="BI80" s="12"/>
    </row>
    <row r="81" spans="20:61" ht="14.3">
      <c r="AY81" s="25" t="str">
        <f>CONCATENATE(BB$63," ",AY21)</f>
        <v>Outside of Daylight Zones Switch / Breaker</v>
      </c>
      <c r="AZ81" s="40">
        <v>2</v>
      </c>
      <c r="BB81" s="531" t="s">
        <v>750</v>
      </c>
      <c r="BC81" s="530">
        <v>2</v>
      </c>
      <c r="BD81" s="531" t="s">
        <v>1962</v>
      </c>
      <c r="BE81" s="530" t="s">
        <v>1962</v>
      </c>
      <c r="BG81" s="12"/>
      <c r="BI81" s="12"/>
    </row>
    <row r="82" spans="20:61" ht="14.3">
      <c r="T82" s="20" t="s">
        <v>2244</v>
      </c>
      <c r="U82" s="21" t="s">
        <v>2298</v>
      </c>
      <c r="AY82" s="22" t="str">
        <f>CONCATENATE(BB$63," ",AY22)</f>
        <v>Outside of Daylight Zones Timer / Time Switch</v>
      </c>
      <c r="AZ82" s="39">
        <v>3</v>
      </c>
      <c r="BB82" s="1064" t="s">
        <v>752</v>
      </c>
      <c r="BC82" s="1063">
        <v>2</v>
      </c>
      <c r="BD82" s="1064" t="s">
        <v>1962</v>
      </c>
      <c r="BE82" s="1063" t="s">
        <v>1962</v>
      </c>
      <c r="BG82" s="12"/>
      <c r="BI82" s="12"/>
    </row>
    <row r="83" spans="20:61" ht="14.3">
      <c r="T83" s="22" t="s">
        <v>607</v>
      </c>
      <c r="U83" s="23" t="s">
        <v>2329</v>
      </c>
      <c r="AY83" s="25" t="str">
        <f>CONCATENATE(BB$63," ",AY23)</f>
        <v>Outside of Daylight Zones Occupancy Sensor</v>
      </c>
      <c r="AZ83" s="40">
        <v>4</v>
      </c>
      <c r="BB83" s="531" t="s">
        <v>2048</v>
      </c>
      <c r="BC83" s="530">
        <v>4</v>
      </c>
      <c r="BD83" s="531" t="s">
        <v>1962</v>
      </c>
      <c r="BE83" s="530" t="s">
        <v>1962</v>
      </c>
      <c r="BG83" s="12"/>
      <c r="BI83" s="12"/>
    </row>
    <row r="84" spans="20:61" ht="14.3">
      <c r="T84" s="25" t="s">
        <v>610</v>
      </c>
      <c r="U84" s="26" t="s">
        <v>2330</v>
      </c>
      <c r="AY84" s="22" t="str">
        <f>CONCATENATE(BB$63," ",AY29)</f>
        <v>Outside of Daylight Zones LLLC (outside Daylight)</v>
      </c>
      <c r="AZ84" s="39">
        <v>6</v>
      </c>
      <c r="BB84" s="1064" t="s">
        <v>754</v>
      </c>
      <c r="BC84" s="1063">
        <v>5</v>
      </c>
      <c r="BD84" s="1064" t="s">
        <v>1962</v>
      </c>
      <c r="BE84" s="1063" t="s">
        <v>1962</v>
      </c>
      <c r="BG84" s="12"/>
      <c r="BI84" s="12"/>
    </row>
    <row r="85" spans="20:61" ht="14.3">
      <c r="T85" s="27" t="s">
        <v>1814</v>
      </c>
      <c r="U85" s="24" t="s">
        <v>2331</v>
      </c>
      <c r="AY85" s="25" t="str">
        <f>CONCATENATE(BB$63," ",AY28)</f>
        <v>Outside of Daylight Zones LLLC Controls Only</v>
      </c>
      <c r="AZ85" s="40">
        <v>6</v>
      </c>
      <c r="BB85" s="531" t="s">
        <v>2332</v>
      </c>
      <c r="BC85" s="530">
        <v>7</v>
      </c>
      <c r="BD85" s="531" t="s">
        <v>1962</v>
      </c>
      <c r="BE85" s="530" t="s">
        <v>1962</v>
      </c>
      <c r="BG85" s="12"/>
      <c r="BI85" s="12"/>
    </row>
    <row r="86" spans="20:61" ht="14.3">
      <c r="AY86" s="22" t="str">
        <f>CONCATENATE(BB$63," ",AY26)</f>
        <v>Outside of Daylight Zones Interior NLC</v>
      </c>
      <c r="AZ86" s="39">
        <v>6</v>
      </c>
      <c r="BB86" s="1064" t="s">
        <v>2333</v>
      </c>
      <c r="BC86" s="1063">
        <v>7</v>
      </c>
      <c r="BD86" s="1064" t="s">
        <v>1962</v>
      </c>
      <c r="BE86" s="1063" t="s">
        <v>1962</v>
      </c>
      <c r="BG86" s="12"/>
      <c r="BI86" s="12"/>
    </row>
    <row r="87" spans="20:61" ht="14.3">
      <c r="T87" s="20" t="s">
        <v>2334</v>
      </c>
      <c r="U87" s="21" t="s">
        <v>2298</v>
      </c>
      <c r="AY87" s="25" t="str">
        <f t="shared" ref="AY87:AY96" si="16">CONCATENATE(BB$64," ",AY21)</f>
        <v>Side Daylighted (first row only) Switch / Breaker</v>
      </c>
      <c r="AZ87" s="40">
        <v>2</v>
      </c>
      <c r="BB87" s="531" t="s">
        <v>227</v>
      </c>
      <c r="BC87" s="530">
        <v>0</v>
      </c>
      <c r="BD87" s="531" t="s">
        <v>1974</v>
      </c>
      <c r="BE87" s="530" t="s">
        <v>1974</v>
      </c>
      <c r="BG87" s="12"/>
      <c r="BI87" s="12"/>
    </row>
    <row r="88" spans="20:61" ht="14.3">
      <c r="T88" s="22" t="s">
        <v>1659</v>
      </c>
      <c r="U88" s="23" t="s">
        <v>2335</v>
      </c>
      <c r="AY88" s="22" t="str">
        <f t="shared" si="16"/>
        <v>Side Daylighted (first row only) Timer / Time Switch</v>
      </c>
      <c r="AZ88" s="39">
        <v>3</v>
      </c>
    </row>
    <row r="89" spans="20:61" ht="14.3" customHeight="1">
      <c r="T89" s="25" t="s">
        <v>1666</v>
      </c>
      <c r="U89" s="26" t="s">
        <v>2336</v>
      </c>
      <c r="AY89" s="25" t="str">
        <f t="shared" si="16"/>
        <v>Side Daylighted (first row only) Occupancy Sensor</v>
      </c>
      <c r="AZ89" s="40">
        <v>4</v>
      </c>
    </row>
    <row r="90" spans="20:61" ht="14.3">
      <c r="T90" s="22" t="s">
        <v>2182</v>
      </c>
      <c r="U90" s="23" t="s">
        <v>2337</v>
      </c>
      <c r="AY90" s="22" t="str">
        <f t="shared" si="16"/>
        <v>Side Daylighted (first row only) Interior Daylight Dimming</v>
      </c>
      <c r="AZ90" s="39">
        <v>7</v>
      </c>
    </row>
    <row r="91" spans="20:61" ht="14.3">
      <c r="T91" s="30" t="s">
        <v>1658</v>
      </c>
      <c r="U91" s="29" t="s">
        <v>2338</v>
      </c>
      <c r="AY91" s="25" t="str">
        <f t="shared" si="16"/>
        <v>Side Daylighted (first row only) Daylight + Occupancy</v>
      </c>
      <c r="AZ91" s="40">
        <v>8</v>
      </c>
    </row>
    <row r="92" spans="20:61" ht="14.3">
      <c r="AY92" s="22" t="str">
        <f t="shared" si="16"/>
        <v>Side Daylighted (first row only) Interior NLC</v>
      </c>
      <c r="AZ92" s="39">
        <v>9</v>
      </c>
    </row>
    <row r="93" spans="20:61" ht="14.3">
      <c r="T93" s="20" t="s">
        <v>2339</v>
      </c>
      <c r="U93" s="21" t="s">
        <v>2298</v>
      </c>
      <c r="AY93" s="25" t="str">
        <f t="shared" si="16"/>
        <v>Side Daylighted (first row only) Interior LLLC</v>
      </c>
      <c r="AZ93" s="40">
        <v>9</v>
      </c>
    </row>
    <row r="94" spans="20:61" ht="14.3">
      <c r="T94" s="30" t="s">
        <v>1775</v>
      </c>
      <c r="U94" s="29" t="s">
        <v>1775</v>
      </c>
      <c r="AY94" s="25" t="str">
        <f t="shared" si="16"/>
        <v>Side Daylighted (first row only) LLLC Controls Only</v>
      </c>
      <c r="AZ94" s="40">
        <v>9</v>
      </c>
    </row>
    <row r="95" spans="20:61" ht="14.3">
      <c r="AY95" s="22" t="str">
        <f t="shared" si="16"/>
        <v>Side Daylighted (first row only) LLLC (outside Daylight)</v>
      </c>
      <c r="AZ95" s="39">
        <v>6</v>
      </c>
    </row>
    <row r="96" spans="20:61" ht="14.3">
      <c r="T96" s="20" t="s">
        <v>2271</v>
      </c>
      <c r="U96" s="21" t="s">
        <v>2298</v>
      </c>
      <c r="AY96" s="25" t="str">
        <f t="shared" si="16"/>
        <v>Side Daylighted (first row only) NLC (othside Daylight)</v>
      </c>
      <c r="AZ96" s="40">
        <v>6</v>
      </c>
    </row>
    <row r="97" spans="20:52" ht="14.3">
      <c r="T97" t="s">
        <v>1868</v>
      </c>
      <c r="U97" t="s">
        <v>1868</v>
      </c>
      <c r="AY97" s="22" t="s">
        <v>750</v>
      </c>
      <c r="AZ97" s="39">
        <v>2</v>
      </c>
    </row>
    <row r="98" spans="20:52" ht="14.3">
      <c r="AY98" s="25" t="s">
        <v>752</v>
      </c>
      <c r="AZ98" s="40">
        <v>3</v>
      </c>
    </row>
    <row r="99" spans="20:52" ht="14.3">
      <c r="T99" s="20" t="s">
        <v>1654</v>
      </c>
      <c r="U99" s="21" t="s">
        <v>2298</v>
      </c>
      <c r="AY99" s="22" t="s">
        <v>2048</v>
      </c>
      <c r="AZ99" s="39">
        <v>4</v>
      </c>
    </row>
    <row r="100" spans="20:52" ht="14.3">
      <c r="T100" s="25" t="s">
        <v>249</v>
      </c>
      <c r="U100" s="26" t="s">
        <v>249</v>
      </c>
      <c r="V100">
        <v>1</v>
      </c>
      <c r="AY100" s="25" t="s">
        <v>754</v>
      </c>
      <c r="AZ100" s="40">
        <v>5</v>
      </c>
    </row>
    <row r="101" spans="20:52" ht="14.3">
      <c r="T101" s="22" t="s">
        <v>452</v>
      </c>
      <c r="U101" s="23" t="s">
        <v>452</v>
      </c>
      <c r="V101">
        <v>2</v>
      </c>
      <c r="AY101" s="22" t="str">
        <f>BB17</f>
        <v>AELC Occupancy based</v>
      </c>
      <c r="AZ101" s="39">
        <v>7</v>
      </c>
    </row>
    <row r="102" spans="20:52" ht="14.3">
      <c r="T102" s="25" t="s">
        <v>453</v>
      </c>
      <c r="U102" s="26" t="s">
        <v>453</v>
      </c>
      <c r="V102">
        <v>3</v>
      </c>
      <c r="AY102" s="25" t="str">
        <f>BB18</f>
        <v>AELC Time based</v>
      </c>
      <c r="AZ102" s="40">
        <v>7</v>
      </c>
    </row>
    <row r="103" spans="20:52" ht="14.95" customHeight="1">
      <c r="AY103" s="22" t="str">
        <f>BB19</f>
        <v>AELC on Existing</v>
      </c>
      <c r="AZ103" s="39">
        <v>7</v>
      </c>
    </row>
  </sheetData>
  <sortState ref="BF27:BI51">
    <sortCondition ref="BF27:BF51"/>
  </sortState>
  <mergeCells count="16">
    <mergeCell ref="B4:C4"/>
    <mergeCell ref="B5:C5"/>
    <mergeCell ref="B9:C9"/>
    <mergeCell ref="B12:C12"/>
    <mergeCell ref="B15:C15"/>
    <mergeCell ref="B6:C6"/>
    <mergeCell ref="CW32:CZ34"/>
    <mergeCell ref="B10:C10"/>
    <mergeCell ref="B13:C13"/>
    <mergeCell ref="B7:C7"/>
    <mergeCell ref="B16:C16"/>
    <mergeCell ref="CA1:CC1"/>
    <mergeCell ref="CA2:CC2"/>
    <mergeCell ref="BN2:BO2"/>
    <mergeCell ref="B2:C2"/>
    <mergeCell ref="B3:C3"/>
  </mergeCells>
  <dataValidations count="3">
    <dataValidation type="list" allowBlank="1" showInputMessage="1" showErrorMessage="1" sqref="B2">
      <formula1>"Business Lighting,Multi-Family"</formula1>
    </dataValidation>
    <dataValidation type="list" allowBlank="1" showInputMessage="1" showErrorMessage="1" sqref="K12:K13">
      <formula1>"True,False"</formula1>
    </dataValidation>
    <dataValidation type="list" allowBlank="1" showInputMessage="1" showErrorMessage="1" sqref="L14:L24">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1:AT158"/>
  <sheetViews>
    <sheetView workbookViewId="0">
      <selection activeCell="E163" sqref="E163"/>
    </sheetView>
  </sheetViews>
  <sheetFormatPr defaultRowHeight="14.3"/>
  <cols>
    <col min="1" max="1" width="2.625" customWidth="1"/>
    <col min="2" max="2" width="56.125" bestFit="1" customWidth="1"/>
    <col min="3" max="4" width="13.375" bestFit="1" customWidth="1"/>
    <col min="5" max="5" width="15.625" bestFit="1" customWidth="1"/>
    <col min="6" max="6" width="61" bestFit="1" customWidth="1"/>
    <col min="7" max="7" width="14.375" bestFit="1" customWidth="1"/>
    <col min="8" max="8" width="12.375" bestFit="1" customWidth="1"/>
    <col min="9" max="10" width="24.375" bestFit="1" customWidth="1"/>
    <col min="11" max="11" width="25.375" bestFit="1" customWidth="1"/>
    <col min="13" max="13" width="20" bestFit="1" customWidth="1"/>
    <col min="15" max="15" width="23.625" bestFit="1" customWidth="1"/>
    <col min="16" max="16" width="31.125" bestFit="1" customWidth="1"/>
    <col min="17" max="17" width="22" bestFit="1" customWidth="1"/>
    <col min="18" max="18" width="4.625" bestFit="1" customWidth="1"/>
    <col min="19" max="19" width="22" bestFit="1" customWidth="1"/>
    <col min="20" max="20" width="4.625" bestFit="1" customWidth="1"/>
    <col min="21" max="21" width="5" bestFit="1" customWidth="1"/>
    <col min="25" max="25" width="27" bestFit="1" customWidth="1"/>
    <col min="28" max="28" width="26" bestFit="1" customWidth="1"/>
    <col min="32" max="32" width="21.375" bestFit="1" customWidth="1"/>
    <col min="33" max="33" width="14.375" bestFit="1" customWidth="1"/>
    <col min="38" max="38" width="26" bestFit="1" customWidth="1"/>
    <col min="39" max="39" width="6.375" bestFit="1" customWidth="1"/>
    <col min="43" max="43" width="24.375" bestFit="1" customWidth="1"/>
    <col min="44" max="44" width="38.75" customWidth="1"/>
    <col min="45" max="45" width="39.375" customWidth="1"/>
    <col min="46" max="46" width="38.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c r="AL1" s="1226" t="s">
        <v>2340</v>
      </c>
      <c r="AM1" s="1226"/>
    </row>
    <row r="2" spans="2:46">
      <c r="B2" t="s">
        <v>2341</v>
      </c>
      <c r="C2" s="12" t="s">
        <v>2342</v>
      </c>
      <c r="D2" s="12" t="s">
        <v>2343</v>
      </c>
      <c r="E2" s="12" t="s">
        <v>2344</v>
      </c>
      <c r="F2" s="12" t="s">
        <v>2345</v>
      </c>
      <c r="G2" s="12" t="s">
        <v>385</v>
      </c>
      <c r="H2" s="12" t="s">
        <v>2346</v>
      </c>
      <c r="I2" s="12" t="s">
        <v>1895</v>
      </c>
      <c r="J2" s="12" t="s">
        <v>218</v>
      </c>
      <c r="K2" s="12" t="s">
        <v>2347</v>
      </c>
      <c r="L2" s="12" t="s">
        <v>2348</v>
      </c>
      <c r="M2" s="12" t="s">
        <v>347</v>
      </c>
      <c r="O2">
        <v>1</v>
      </c>
      <c r="P2">
        <v>2</v>
      </c>
      <c r="Q2">
        <v>3</v>
      </c>
      <c r="R2">
        <v>4</v>
      </c>
      <c r="S2">
        <v>5</v>
      </c>
      <c r="T2">
        <v>6</v>
      </c>
      <c r="U2">
        <v>7</v>
      </c>
      <c r="Z2" s="1442" t="s">
        <v>2349</v>
      </c>
      <c r="AA2" s="1442"/>
      <c r="AF2" s="1129">
        <v>0.25</v>
      </c>
      <c r="AG2" t="s">
        <v>2350</v>
      </c>
      <c r="AL2" s="1226"/>
      <c r="AM2" s="1226"/>
      <c r="AQ2" t="s">
        <v>2351</v>
      </c>
    </row>
    <row r="3" spans="2:46">
      <c r="B3" t="s">
        <v>2352</v>
      </c>
      <c r="C3" s="12">
        <v>0.02</v>
      </c>
      <c r="D3" s="12">
        <v>0.48</v>
      </c>
      <c r="E3" s="12"/>
      <c r="F3" s="12" t="str">
        <f>CONCATENATE("Interior ",Table_LPA_SxS[[#This Row],[Space-by-Space areas]])</f>
        <v>Interior Atrium: 20 to 40 ft in height</v>
      </c>
      <c r="G3" s="12" t="s">
        <v>215</v>
      </c>
      <c r="H3" s="12">
        <v>2</v>
      </c>
      <c r="I3" s="12" t="str">
        <f t="shared" ref="I3:I32" si="0">IF(G3="No","Controls_Interior_Basic", "Controls_Interior_LLLC")</f>
        <v>Controls_Interior_Basic</v>
      </c>
      <c r="J3" s="12" t="s">
        <v>1920</v>
      </c>
      <c r="K3" s="12" t="s">
        <v>764</v>
      </c>
      <c r="L3" s="12" t="s">
        <v>1600</v>
      </c>
      <c r="M3" s="12" t="s">
        <v>727</v>
      </c>
      <c r="O3" s="20" t="s">
        <v>356</v>
      </c>
      <c r="P3" s="20" t="s">
        <v>1895</v>
      </c>
      <c r="Q3" s="20" t="s">
        <v>347</v>
      </c>
      <c r="R3" s="28" t="s">
        <v>385</v>
      </c>
      <c r="S3" s="28" t="s">
        <v>218</v>
      </c>
      <c r="T3" s="28" t="s">
        <v>385</v>
      </c>
      <c r="U3" s="21" t="s">
        <v>591</v>
      </c>
      <c r="Y3" t="s">
        <v>1456</v>
      </c>
      <c r="Z3" s="12" t="s">
        <v>2342</v>
      </c>
      <c r="AA3" s="12" t="s">
        <v>2343</v>
      </c>
      <c r="AB3" t="s">
        <v>2353</v>
      </c>
      <c r="AC3" s="12" t="s">
        <v>549</v>
      </c>
      <c r="AD3" s="12" t="s">
        <v>553</v>
      </c>
      <c r="AE3" s="12" t="s">
        <v>554</v>
      </c>
      <c r="AF3" s="12" t="s">
        <v>2354</v>
      </c>
      <c r="AG3" t="s">
        <v>2355</v>
      </c>
      <c r="AL3" s="1226"/>
      <c r="AM3" s="1226"/>
      <c r="AQ3" t="s">
        <v>2088</v>
      </c>
      <c r="AR3" t="s">
        <v>2356</v>
      </c>
      <c r="AS3" t="s">
        <v>2357</v>
      </c>
      <c r="AT3" t="s">
        <v>2358</v>
      </c>
    </row>
    <row r="4" spans="2:46">
      <c r="B4" t="s">
        <v>2359</v>
      </c>
      <c r="C4" s="12" t="s">
        <v>2360</v>
      </c>
      <c r="D4" s="12">
        <v>0.6</v>
      </c>
      <c r="E4" s="12"/>
      <c r="F4" s="12" t="str">
        <f>CONCATENATE("Interior ",Table_LPA_SxS[[#This Row],[Space-by-Space areas]])</f>
        <v>Interior Atrium: above 40 ft in height</v>
      </c>
      <c r="G4" s="12" t="s">
        <v>215</v>
      </c>
      <c r="H4" s="12">
        <v>3</v>
      </c>
      <c r="I4" s="12" t="str">
        <f t="shared" si="0"/>
        <v>Controls_Interior_Basic</v>
      </c>
      <c r="J4" s="12" t="s">
        <v>1920</v>
      </c>
      <c r="K4" s="12" t="s">
        <v>764</v>
      </c>
      <c r="L4" s="12" t="s">
        <v>1600</v>
      </c>
      <c r="M4" s="12" t="s">
        <v>727</v>
      </c>
      <c r="O4" s="25" t="s">
        <v>1919</v>
      </c>
      <c r="P4" s="25" t="str">
        <f>CONCATENATE("Interior ",O4)</f>
        <v>Interior - Choose Interior Area -</v>
      </c>
      <c r="Q4" s="25" t="str">
        <f>IF(R4="No","Controls_Interior_Basic", "Controls_Interior_LLLC")</f>
        <v>Controls_Interior_Basic</v>
      </c>
      <c r="R4" s="79" t="s">
        <v>215</v>
      </c>
      <c r="S4" s="79" t="s">
        <v>1920</v>
      </c>
      <c r="T4" s="79" t="s">
        <v>215</v>
      </c>
      <c r="U4" s="34"/>
      <c r="Y4" t="s">
        <v>1462</v>
      </c>
      <c r="Z4" s="222">
        <v>0.64</v>
      </c>
      <c r="AA4" s="222">
        <v>0.64</v>
      </c>
      <c r="AB4" t="s">
        <v>774</v>
      </c>
      <c r="AC4" s="12">
        <v>3289</v>
      </c>
      <c r="AD4" s="1086">
        <v>0.126</v>
      </c>
      <c r="AE4" s="1086">
        <v>0.34499999999999997</v>
      </c>
      <c r="AF4" s="1086">
        <f>ROUND((Table_LPA_Building_Area[[#This Row],[CFNDL]]*(1-AF$2))+(Table_LPA_Building_Area[[#This Row],[CFDL]]*AF$2),3)</f>
        <v>0.18099999999999999</v>
      </c>
      <c r="AG4" s="1086">
        <f>ROUND(((Table_LPA_Building_Area[[#This Row],[CFDL]]-Table_LPA_Building_Area[[#This Row],[CFNDL]])/2)+Table_LPA_Building_Area[[#This Row],[CFNDL]],3)</f>
        <v>0.23599999999999999</v>
      </c>
      <c r="AH4" s="1085"/>
      <c r="AI4" s="1085"/>
      <c r="AJ4" s="1085">
        <f>(AD4*0.7)+(Table_LPA_Building_Area[[#This Row],[CFDL]]*0.3)</f>
        <v>0.19169999999999998</v>
      </c>
      <c r="AL4" s="1319" t="s">
        <v>1462</v>
      </c>
      <c r="AM4" s="1319">
        <v>0.64</v>
      </c>
      <c r="AN4" s="1319"/>
      <c r="AQ4" t="s">
        <v>2361</v>
      </c>
      <c r="AR4" t="s">
        <v>2362</v>
      </c>
      <c r="AS4" t="s">
        <v>2363</v>
      </c>
      <c r="AT4" t="s">
        <v>2363</v>
      </c>
    </row>
    <row r="5" spans="2:46">
      <c r="B5" t="s">
        <v>2364</v>
      </c>
      <c r="C5" s="12">
        <v>0.02</v>
      </c>
      <c r="D5" s="12">
        <v>0.39</v>
      </c>
      <c r="E5" s="12"/>
      <c r="F5" s="12" t="str">
        <f>CONCATENATE("Interior ",Table_LPA_SxS[[#This Row],[Space-by-Space areas]])</f>
        <v>Interior Atrium: less than 20 ft in height</v>
      </c>
      <c r="G5" s="12" t="s">
        <v>215</v>
      </c>
      <c r="H5" s="12">
        <v>1</v>
      </c>
      <c r="I5" s="12" t="str">
        <f t="shared" si="0"/>
        <v>Controls_Interior_Basic</v>
      </c>
      <c r="J5" s="12" t="s">
        <v>1920</v>
      </c>
      <c r="K5" s="12" t="s">
        <v>764</v>
      </c>
      <c r="L5" s="12" t="s">
        <v>1600</v>
      </c>
      <c r="M5" s="12" t="s">
        <v>727</v>
      </c>
      <c r="O5" s="22" t="s">
        <v>744</v>
      </c>
      <c r="P5" s="22" t="str">
        <f>CONCATENATE("Interior ",O5)</f>
        <v>Interior Assembly</v>
      </c>
      <c r="Q5" s="22" t="str">
        <f t="shared" ref="Q5:Q31" si="1">IF(R5="No","Controls_Interior_Basic", "Controls_Interior_LLLC")</f>
        <v>Controls_Interior_Basic</v>
      </c>
      <c r="R5" s="80" t="s">
        <v>215</v>
      </c>
      <c r="S5" s="80" t="s">
        <v>1920</v>
      </c>
      <c r="T5" s="80" t="s">
        <v>215</v>
      </c>
      <c r="U5" s="33"/>
      <c r="Y5" t="s">
        <v>1960</v>
      </c>
      <c r="Z5" s="222">
        <v>0.81</v>
      </c>
      <c r="AA5" s="222">
        <v>0.64</v>
      </c>
      <c r="AB5" t="s">
        <v>1961</v>
      </c>
      <c r="AC5" s="12">
        <v>3357</v>
      </c>
      <c r="AD5" s="1086">
        <v>0.23899999999999999</v>
      </c>
      <c r="AE5" s="1086">
        <v>0.41</v>
      </c>
      <c r="AF5" s="1086">
        <f>ROUND((Table_LPA_Building_Area[[#This Row],[CFNDL]]*(1-AF$2))+(Table_LPA_Building_Area[[#This Row],[CFDL]]*AF$2),3)</f>
        <v>0.28199999999999997</v>
      </c>
      <c r="AG5" s="1128">
        <f>ROUND(((Table_LPA_Building_Area[[#This Row],[CFDL]]-Table_LPA_Building_Area[[#This Row],[CFNDL]])/2)+Table_LPA_Building_Area[[#This Row],[CFNDL]],3)</f>
        <v>0.32500000000000001</v>
      </c>
      <c r="AH5" s="1085"/>
      <c r="AI5" s="1085"/>
      <c r="AJ5" s="1085"/>
      <c r="AL5" s="1319" t="s">
        <v>1960</v>
      </c>
      <c r="AM5" s="1319">
        <v>0.81</v>
      </c>
      <c r="AN5" s="1319"/>
      <c r="AQ5" t="s">
        <v>2365</v>
      </c>
      <c r="AR5" t="s">
        <v>2366</v>
      </c>
      <c r="AS5" t="s">
        <v>2367</v>
      </c>
    </row>
    <row r="6" spans="2:46">
      <c r="B6" t="s">
        <v>2368</v>
      </c>
      <c r="C6" s="12">
        <v>0.5</v>
      </c>
      <c r="D6" s="12">
        <v>0.61</v>
      </c>
      <c r="E6" s="12">
        <v>20</v>
      </c>
      <c r="F6" s="12" t="str">
        <f>CONCATENATE("Interior ",Table_LPA_SxS[[#This Row],[Space-by-Space areas]])</f>
        <v>Interior Audience/seating area: auditorium</v>
      </c>
      <c r="G6" s="12" t="s">
        <v>215</v>
      </c>
      <c r="H6" s="12">
        <v>4</v>
      </c>
      <c r="I6" s="12" t="str">
        <f t="shared" si="0"/>
        <v>Controls_Interior_Basic</v>
      </c>
      <c r="J6" s="12" t="s">
        <v>1920</v>
      </c>
      <c r="K6" s="12" t="s">
        <v>744</v>
      </c>
      <c r="L6" s="12" t="s">
        <v>1600</v>
      </c>
      <c r="M6" s="12" t="s">
        <v>727</v>
      </c>
      <c r="O6" s="25" t="s">
        <v>745</v>
      </c>
      <c r="P6" s="25" t="str">
        <f>CONCATENATE("Interior ",O6)</f>
        <v>Interior Break Room</v>
      </c>
      <c r="Q6" s="25" t="str">
        <f t="shared" si="1"/>
        <v>Controls_Interior_Basic</v>
      </c>
      <c r="R6" s="79" t="s">
        <v>215</v>
      </c>
      <c r="S6" s="79" t="s">
        <v>1920</v>
      </c>
      <c r="T6" s="79" t="s">
        <v>215</v>
      </c>
      <c r="U6" s="34">
        <v>0.57999999999999996</v>
      </c>
      <c r="Y6" t="s">
        <v>1973</v>
      </c>
      <c r="Z6" s="222">
        <v>0.81</v>
      </c>
      <c r="AA6" s="222">
        <v>0.79</v>
      </c>
      <c r="AB6" t="s">
        <v>1961</v>
      </c>
      <c r="AC6" s="12">
        <v>2938</v>
      </c>
      <c r="AD6" s="1086">
        <v>0.23799999999999999</v>
      </c>
      <c r="AE6" s="1086">
        <v>0.39500000000000002</v>
      </c>
      <c r="AF6" s="1086">
        <f>ROUND((Table_LPA_Building_Area[[#This Row],[CFNDL]]*(1-AF$2))+(Table_LPA_Building_Area[[#This Row],[CFDL]]*AF$2),3)</f>
        <v>0.27700000000000002</v>
      </c>
      <c r="AG6" s="1128">
        <f>ROUND(((Table_LPA_Building_Area[[#This Row],[CFDL]]-Table_LPA_Building_Area[[#This Row],[CFNDL]])/2)+Table_LPA_Building_Area[[#This Row],[CFNDL]],3)</f>
        <v>0.317</v>
      </c>
      <c r="AH6" s="1085"/>
      <c r="AI6" s="1085"/>
      <c r="AJ6" s="1085"/>
      <c r="AL6" s="1319" t="s">
        <v>1973</v>
      </c>
      <c r="AM6" s="1319">
        <v>0.81</v>
      </c>
      <c r="AN6" s="1319"/>
      <c r="AQ6" t="s">
        <v>2369</v>
      </c>
      <c r="AR6" t="s">
        <v>2370</v>
      </c>
      <c r="AS6" t="s">
        <v>2363</v>
      </c>
      <c r="AT6" t="s">
        <v>2363</v>
      </c>
    </row>
    <row r="7" spans="2:46">
      <c r="B7" t="s">
        <v>2371</v>
      </c>
      <c r="C7" s="12">
        <v>0.66</v>
      </c>
      <c r="D7" s="12">
        <v>0.23</v>
      </c>
      <c r="E7" s="12">
        <v>20</v>
      </c>
      <c r="F7" s="12" t="str">
        <f>CONCATENATE("Interior ",Table_LPA_SxS[[#This Row],[Space-by-Space areas]])</f>
        <v>Interior Audience/seating area: convention center</v>
      </c>
      <c r="G7" s="12" t="s">
        <v>215</v>
      </c>
      <c r="H7" s="12">
        <v>5</v>
      </c>
      <c r="I7" s="12" t="str">
        <f t="shared" si="0"/>
        <v>Controls_Interior_Basic</v>
      </c>
      <c r="J7" s="12" t="s">
        <v>1920</v>
      </c>
      <c r="K7" s="12" t="s">
        <v>744</v>
      </c>
      <c r="L7" s="12" t="s">
        <v>1600</v>
      </c>
      <c r="M7" s="12" t="s">
        <v>727</v>
      </c>
      <c r="O7" s="22" t="s">
        <v>747</v>
      </c>
      <c r="P7" s="22" t="str">
        <f>CONCATENATE("Interior ",O7)</f>
        <v>Interior Classroom</v>
      </c>
      <c r="Q7" s="22" t="str">
        <f t="shared" si="1"/>
        <v>Controls_Interior_LLLC</v>
      </c>
      <c r="R7" s="80" t="s">
        <v>237</v>
      </c>
      <c r="S7" s="80" t="s">
        <v>1920</v>
      </c>
      <c r="T7" s="80" t="s">
        <v>215</v>
      </c>
      <c r="U7" s="81">
        <v>1</v>
      </c>
      <c r="Y7" t="s">
        <v>1986</v>
      </c>
      <c r="Z7" s="222">
        <v>0.79</v>
      </c>
      <c r="AA7" s="222">
        <v>0.79</v>
      </c>
      <c r="AB7" t="s">
        <v>1987</v>
      </c>
      <c r="AC7" s="12">
        <v>5073</v>
      </c>
      <c r="AD7" s="1086">
        <v>0.184</v>
      </c>
      <c r="AE7" s="1086">
        <v>0.40899999999999997</v>
      </c>
      <c r="AF7" s="1086">
        <f>ROUND((Table_LPA_Building_Area[[#This Row],[CFNDL]]*(1-AF$2))+(Table_LPA_Building_Area[[#This Row],[CFDL]]*AF$2),3)</f>
        <v>0.24</v>
      </c>
      <c r="AG7" s="1128">
        <f>ROUND(((Table_LPA_Building_Area[[#This Row],[CFDL]]-Table_LPA_Building_Area[[#This Row],[CFNDL]])/2)+Table_LPA_Building_Area[[#This Row],[CFNDL]],3)</f>
        <v>0.29699999999999999</v>
      </c>
      <c r="AH7" s="1085"/>
      <c r="AI7" s="1085"/>
      <c r="AJ7" s="1085"/>
      <c r="AL7" s="1319" t="s">
        <v>1986</v>
      </c>
      <c r="AM7" s="1319">
        <v>0.79</v>
      </c>
      <c r="AN7" s="1319"/>
      <c r="AQ7" t="s">
        <v>2372</v>
      </c>
      <c r="AR7" t="s">
        <v>2373</v>
      </c>
      <c r="AS7" t="s">
        <v>2374</v>
      </c>
      <c r="AT7" t="s">
        <v>2363</v>
      </c>
    </row>
    <row r="8" spans="2:46">
      <c r="B8" t="s">
        <v>2375</v>
      </c>
      <c r="C8" s="12">
        <v>0.34</v>
      </c>
      <c r="D8" s="12">
        <v>0.23</v>
      </c>
      <c r="E8" s="12">
        <v>20</v>
      </c>
      <c r="F8" s="12" t="str">
        <f>CONCATENATE("Interior ",Table_LPA_SxS[[#This Row],[Space-by-Space areas]])</f>
        <v>Interior Audience/seating area: gymnasium</v>
      </c>
      <c r="G8" s="12" t="s">
        <v>215</v>
      </c>
      <c r="H8" s="12">
        <v>6</v>
      </c>
      <c r="I8" s="12" t="str">
        <f t="shared" si="0"/>
        <v>Controls_Interior_Basic</v>
      </c>
      <c r="J8" s="12" t="s">
        <v>1920</v>
      </c>
      <c r="K8" s="12" t="s">
        <v>744</v>
      </c>
      <c r="L8" s="12" t="s">
        <v>1600</v>
      </c>
      <c r="M8" s="12" t="s">
        <v>727</v>
      </c>
      <c r="O8" s="25" t="s">
        <v>749</v>
      </c>
      <c r="P8" s="25" t="str">
        <f t="shared" ref="P8:P32" si="2">CONCATENATE("Interior ",O8)</f>
        <v>Interior Computer Room</v>
      </c>
      <c r="Q8" s="25" t="str">
        <f t="shared" si="1"/>
        <v>Controls_Interior_Basic</v>
      </c>
      <c r="R8" s="79" t="s">
        <v>215</v>
      </c>
      <c r="S8" s="79" t="s">
        <v>1920</v>
      </c>
      <c r="T8" s="79" t="s">
        <v>215</v>
      </c>
      <c r="U8" s="34">
        <v>1.37</v>
      </c>
      <c r="Y8" t="s">
        <v>1996</v>
      </c>
      <c r="Z8" s="222">
        <v>0.72</v>
      </c>
      <c r="AA8" s="222">
        <v>0.72</v>
      </c>
      <c r="AB8" t="s">
        <v>1987</v>
      </c>
      <c r="AC8" s="12">
        <v>5073</v>
      </c>
      <c r="AD8" s="1086">
        <v>0.15</v>
      </c>
      <c r="AE8" s="1086">
        <v>0.38</v>
      </c>
      <c r="AF8" s="1086">
        <f>ROUND((Table_LPA_Building_Area[[#This Row],[CFNDL]]*(1-AF$2))+(Table_LPA_Building_Area[[#This Row],[CFDL]]*AF$2),3)</f>
        <v>0.20799999999999999</v>
      </c>
      <c r="AG8" s="1128">
        <f>ROUND(((Table_LPA_Building_Area[[#This Row],[CFDL]]-Table_LPA_Building_Area[[#This Row],[CFNDL]])/2)+Table_LPA_Building_Area[[#This Row],[CFNDL]],3)</f>
        <v>0.26500000000000001</v>
      </c>
      <c r="AH8" s="1085"/>
      <c r="AI8" s="1085"/>
      <c r="AJ8" s="1085"/>
      <c r="AL8" s="1319" t="s">
        <v>1996</v>
      </c>
      <c r="AM8" s="1319">
        <v>0.72</v>
      </c>
      <c r="AN8" s="1319"/>
      <c r="AQ8" t="s">
        <v>2376</v>
      </c>
      <c r="AR8" t="s">
        <v>2373</v>
      </c>
      <c r="AS8" t="s">
        <v>2374</v>
      </c>
      <c r="AT8" t="s">
        <v>2363</v>
      </c>
    </row>
    <row r="9" spans="2:46">
      <c r="B9" t="s">
        <v>2377</v>
      </c>
      <c r="C9" s="12">
        <v>0.91</v>
      </c>
      <c r="D9" s="12">
        <v>0.27</v>
      </c>
      <c r="E9" s="12">
        <v>20</v>
      </c>
      <c r="F9" s="12" t="str">
        <f>CONCATENATE("Interior ",Table_LPA_SxS[[#This Row],[Space-by-Space areas]])</f>
        <v>Interior Audience/seating area: motion picture theater</v>
      </c>
      <c r="G9" s="12" t="s">
        <v>215</v>
      </c>
      <c r="H9" s="12">
        <v>7</v>
      </c>
      <c r="I9" s="12" t="str">
        <f t="shared" si="0"/>
        <v>Controls_Interior_Basic</v>
      </c>
      <c r="J9" s="12" t="s">
        <v>1920</v>
      </c>
      <c r="K9" s="12" t="s">
        <v>744</v>
      </c>
      <c r="L9" s="12" t="s">
        <v>1600</v>
      </c>
      <c r="M9" s="12" t="s">
        <v>727</v>
      </c>
      <c r="O9" s="22" t="s">
        <v>751</v>
      </c>
      <c r="P9" s="22" t="str">
        <f t="shared" si="2"/>
        <v>Interior Conference Room</v>
      </c>
      <c r="Q9" s="22" t="str">
        <f t="shared" si="1"/>
        <v>Controls_Interior_LLLC</v>
      </c>
      <c r="R9" s="80" t="s">
        <v>237</v>
      </c>
      <c r="S9" s="80" t="s">
        <v>1920</v>
      </c>
      <c r="T9" s="80" t="s">
        <v>215</v>
      </c>
      <c r="U9" s="33">
        <v>0.98</v>
      </c>
      <c r="Y9" t="s">
        <v>2006</v>
      </c>
      <c r="Z9" s="222">
        <v>0.71</v>
      </c>
      <c r="AA9" s="222">
        <v>0.71</v>
      </c>
      <c r="AB9" t="s">
        <v>1987</v>
      </c>
      <c r="AC9" s="12">
        <v>5073</v>
      </c>
      <c r="AD9" s="1086">
        <v>0.129</v>
      </c>
      <c r="AE9" s="1086">
        <v>0.36599999999999999</v>
      </c>
      <c r="AF9" s="1086">
        <f>ROUND((Table_LPA_Building_Area[[#This Row],[CFNDL]]*(1-AF$2))+(Table_LPA_Building_Area[[#This Row],[CFDL]]*AF$2),3)</f>
        <v>0.188</v>
      </c>
      <c r="AG9" s="1128">
        <f>ROUND(((Table_LPA_Building_Area[[#This Row],[CFDL]]-Table_LPA_Building_Area[[#This Row],[CFNDL]])/2)+Table_LPA_Building_Area[[#This Row],[CFNDL]],3)</f>
        <v>0.248</v>
      </c>
      <c r="AH9" s="1085"/>
      <c r="AI9" s="1085"/>
      <c r="AJ9" s="1085"/>
      <c r="AL9" s="1319" t="s">
        <v>2006</v>
      </c>
      <c r="AM9" s="1319">
        <v>0.71</v>
      </c>
      <c r="AN9" s="1319"/>
      <c r="AQ9" t="s">
        <v>2378</v>
      </c>
      <c r="AR9" t="s">
        <v>2373</v>
      </c>
      <c r="AS9" t="s">
        <v>2374</v>
      </c>
      <c r="AT9" t="s">
        <v>2363</v>
      </c>
    </row>
    <row r="10" spans="2:46">
      <c r="B10" t="s">
        <v>2379</v>
      </c>
      <c r="C10" s="12">
        <v>0.34</v>
      </c>
      <c r="D10" s="12">
        <v>0.23</v>
      </c>
      <c r="E10" s="12">
        <v>20</v>
      </c>
      <c r="F10" s="12" t="str">
        <f>CONCATENATE("Interior ",Table_LPA_SxS[[#This Row],[Space-by-Space areas]])</f>
        <v>Interior Audience/seating area: other</v>
      </c>
      <c r="G10" s="12" t="s">
        <v>215</v>
      </c>
      <c r="H10" s="12">
        <v>12</v>
      </c>
      <c r="I10" s="12" t="str">
        <f t="shared" si="0"/>
        <v>Controls_Interior_Basic</v>
      </c>
      <c r="J10" s="12" t="s">
        <v>1920</v>
      </c>
      <c r="K10" s="12" t="s">
        <v>744</v>
      </c>
      <c r="L10" s="12" t="s">
        <v>1600</v>
      </c>
      <c r="M10" s="12" t="s">
        <v>727</v>
      </c>
      <c r="O10" s="25" t="s">
        <v>753</v>
      </c>
      <c r="P10" s="25" t="str">
        <f t="shared" si="2"/>
        <v>Interior Dining</v>
      </c>
      <c r="Q10" s="25" t="str">
        <f t="shared" si="1"/>
        <v>Controls_Interior_Basic</v>
      </c>
      <c r="R10" s="79" t="s">
        <v>215</v>
      </c>
      <c r="S10" s="79" t="s">
        <v>1920</v>
      </c>
      <c r="T10" s="79" t="s">
        <v>215</v>
      </c>
      <c r="U10" s="34"/>
      <c r="Y10" t="s">
        <v>2013</v>
      </c>
      <c r="Z10" s="222">
        <v>0.46</v>
      </c>
      <c r="AA10" s="222">
        <v>0.46</v>
      </c>
      <c r="AB10" t="s">
        <v>2014</v>
      </c>
      <c r="AC10" s="12">
        <v>2876</v>
      </c>
      <c r="AD10" s="1086">
        <v>0.54900000000000004</v>
      </c>
      <c r="AE10" s="1086">
        <v>0.61</v>
      </c>
      <c r="AF10" s="1086">
        <f>ROUND((Table_LPA_Building_Area[[#This Row],[CFNDL]]*(1-AF$2))+(Table_LPA_Building_Area[[#This Row],[CFDL]]*AF$2),3)</f>
        <v>0.56399999999999995</v>
      </c>
      <c r="AG10" s="1128">
        <f>ROUND(((Table_LPA_Building_Area[[#This Row],[CFDL]]-Table_LPA_Building_Area[[#This Row],[CFNDL]])/2)+Table_LPA_Building_Area[[#This Row],[CFNDL]],3)</f>
        <v>0.57999999999999996</v>
      </c>
      <c r="AH10" s="1085"/>
      <c r="AI10" s="1085"/>
      <c r="AJ10" s="1085"/>
      <c r="AL10" s="1319" t="s">
        <v>2013</v>
      </c>
      <c r="AM10" s="1319">
        <v>0.46</v>
      </c>
      <c r="AN10" s="1319"/>
      <c r="AQ10" t="s">
        <v>2380</v>
      </c>
      <c r="AR10" t="s">
        <v>2381</v>
      </c>
      <c r="AS10" t="s">
        <v>2382</v>
      </c>
      <c r="AT10" t="s">
        <v>2374</v>
      </c>
    </row>
    <row r="11" spans="2:46">
      <c r="B11" t="s">
        <v>2383</v>
      </c>
      <c r="C11" s="12">
        <v>0.22</v>
      </c>
      <c r="D11" s="12">
        <v>0.67</v>
      </c>
      <c r="E11" s="12">
        <v>20</v>
      </c>
      <c r="F11" s="12" t="str">
        <f>CONCATENATE("Interior ",Table_LPA_SxS[[#This Row],[Space-by-Space areas]])</f>
        <v>Interior Audience/seating area: penitentiary</v>
      </c>
      <c r="G11" s="12" t="s">
        <v>215</v>
      </c>
      <c r="H11" s="12">
        <v>8</v>
      </c>
      <c r="I11" s="12" t="str">
        <f t="shared" si="0"/>
        <v>Controls_Interior_Basic</v>
      </c>
      <c r="J11" s="12" t="s">
        <v>1920</v>
      </c>
      <c r="K11" s="12" t="s">
        <v>744</v>
      </c>
      <c r="L11" s="12" t="s">
        <v>1600</v>
      </c>
      <c r="M11" s="12" t="s">
        <v>727</v>
      </c>
      <c r="O11" s="22" t="s">
        <v>755</v>
      </c>
      <c r="P11" s="22" t="str">
        <f t="shared" si="2"/>
        <v>Interior Gymnasium</v>
      </c>
      <c r="Q11" s="22" t="str">
        <f t="shared" si="1"/>
        <v>Controls_Interior_Basic</v>
      </c>
      <c r="R11" s="80" t="s">
        <v>215</v>
      </c>
      <c r="S11" s="80" t="s">
        <v>1920</v>
      </c>
      <c r="T11" s="80" t="s">
        <v>215</v>
      </c>
      <c r="U11" s="33"/>
      <c r="Y11" t="s">
        <v>2024</v>
      </c>
      <c r="Z11" s="222">
        <v>0.67</v>
      </c>
      <c r="AA11" s="222">
        <v>0.67</v>
      </c>
      <c r="AB11" t="s">
        <v>768</v>
      </c>
      <c r="AC11" s="12">
        <v>3357</v>
      </c>
      <c r="AD11" s="1086">
        <v>0.13400000000000001</v>
      </c>
      <c r="AE11" s="1086">
        <v>0.33400000000000002</v>
      </c>
      <c r="AF11" s="1086">
        <f>ROUND((Table_LPA_Building_Area[[#This Row],[CFNDL]]*(1-AF$2))+(Table_LPA_Building_Area[[#This Row],[CFDL]]*AF$2),3)</f>
        <v>0.184</v>
      </c>
      <c r="AG11" s="1128">
        <f>ROUND(((Table_LPA_Building_Area[[#This Row],[CFDL]]-Table_LPA_Building_Area[[#This Row],[CFNDL]])/2)+Table_LPA_Building_Area[[#This Row],[CFNDL]],3)</f>
        <v>0.23400000000000001</v>
      </c>
      <c r="AH11" s="1085"/>
      <c r="AI11" s="1085"/>
      <c r="AJ11" s="1085"/>
      <c r="AL11" s="1319" t="s">
        <v>2024</v>
      </c>
      <c r="AM11" s="1319">
        <v>0.67</v>
      </c>
      <c r="AN11" s="1319"/>
      <c r="AQ11" t="s">
        <v>2384</v>
      </c>
      <c r="AR11" t="s">
        <v>2366</v>
      </c>
      <c r="AS11" t="s">
        <v>2367</v>
      </c>
      <c r="AT11" t="s">
        <v>2363</v>
      </c>
    </row>
    <row r="12" spans="2:46">
      <c r="B12" t="s">
        <v>2385</v>
      </c>
      <c r="C12" s="12">
        <v>1.94</v>
      </c>
      <c r="D12" s="12">
        <v>1.1599999999999999</v>
      </c>
      <c r="E12" s="12">
        <v>20</v>
      </c>
      <c r="F12" s="12" t="str">
        <f>CONCATENATE("Interior ",Table_LPA_SxS[[#This Row],[Space-by-Space areas]])</f>
        <v>Interior Audience/seating area: performing arts theater</v>
      </c>
      <c r="G12" s="12" t="s">
        <v>215</v>
      </c>
      <c r="H12" s="12">
        <v>9</v>
      </c>
      <c r="I12" s="12" t="str">
        <f t="shared" si="0"/>
        <v>Controls_Interior_Basic</v>
      </c>
      <c r="J12" s="12" t="s">
        <v>1920</v>
      </c>
      <c r="K12" s="12" t="s">
        <v>744</v>
      </c>
      <c r="L12" s="12" t="s">
        <v>1600</v>
      </c>
      <c r="M12" s="12" t="s">
        <v>727</v>
      </c>
      <c r="O12" s="22" t="s">
        <v>759</v>
      </c>
      <c r="P12" s="22" t="str">
        <f t="shared" si="2"/>
        <v>Interior Hallway</v>
      </c>
      <c r="Q12" s="22" t="str">
        <f t="shared" si="1"/>
        <v>Controls_Interior_Basic</v>
      </c>
      <c r="R12" s="80" t="s">
        <v>215</v>
      </c>
      <c r="S12" s="80" t="s">
        <v>1920</v>
      </c>
      <c r="T12" s="80" t="s">
        <v>215</v>
      </c>
      <c r="U12" s="33"/>
      <c r="Y12" t="s">
        <v>2032</v>
      </c>
      <c r="Z12" s="222">
        <v>0.54</v>
      </c>
      <c r="AA12" s="222">
        <v>0.54</v>
      </c>
      <c r="AB12" t="s">
        <v>768</v>
      </c>
      <c r="AC12" s="12">
        <v>5439</v>
      </c>
      <c r="AD12" s="1086">
        <v>0.22</v>
      </c>
      <c r="AE12" s="1086">
        <v>0.40600000000000003</v>
      </c>
      <c r="AF12" s="1086">
        <f>ROUND((Table_LPA_Building_Area[[#This Row],[CFNDL]]*(1-AF$2))+(Table_LPA_Building_Area[[#This Row],[CFDL]]*AF$2),3)</f>
        <v>0.26700000000000002</v>
      </c>
      <c r="AG12" s="1128">
        <f>ROUND(((Table_LPA_Building_Area[[#This Row],[CFDL]]-Table_LPA_Building_Area[[#This Row],[CFNDL]])/2)+Table_LPA_Building_Area[[#This Row],[CFNDL]],3)</f>
        <v>0.313</v>
      </c>
      <c r="AH12" s="1085"/>
      <c r="AI12" s="1085"/>
      <c r="AJ12" s="1085"/>
      <c r="AL12" s="1319" t="s">
        <v>2032</v>
      </c>
      <c r="AM12" s="1319">
        <v>0.54</v>
      </c>
      <c r="AN12" s="1319"/>
      <c r="AQ12" t="s">
        <v>2386</v>
      </c>
      <c r="AR12" t="s">
        <v>2387</v>
      </c>
      <c r="AS12" t="s">
        <v>2382</v>
      </c>
      <c r="AT12" t="s">
        <v>2374</v>
      </c>
    </row>
    <row r="13" spans="2:46">
      <c r="B13" t="s">
        <v>2388</v>
      </c>
      <c r="C13" s="12">
        <v>1.22</v>
      </c>
      <c r="D13" s="12">
        <v>0.72</v>
      </c>
      <c r="E13" s="12">
        <v>20</v>
      </c>
      <c r="F13" s="12" t="str">
        <f>CONCATENATE("Interior ",Table_LPA_SxS[[#This Row],[Space-by-Space areas]])</f>
        <v>Interior Audience/seating area: religious building</v>
      </c>
      <c r="G13" s="12" t="s">
        <v>215</v>
      </c>
      <c r="H13" s="12">
        <v>10</v>
      </c>
      <c r="I13" s="12" t="str">
        <f t="shared" si="0"/>
        <v>Controls_Interior_Basic</v>
      </c>
      <c r="J13" s="12" t="s">
        <v>1920</v>
      </c>
      <c r="K13" s="12" t="s">
        <v>744</v>
      </c>
      <c r="L13" s="12" t="s">
        <v>1600</v>
      </c>
      <c r="M13" s="12" t="s">
        <v>727</v>
      </c>
      <c r="O13" s="25" t="s">
        <v>760</v>
      </c>
      <c r="P13" s="25" t="str">
        <f t="shared" si="2"/>
        <v>Interior Hospital Room</v>
      </c>
      <c r="Q13" s="25" t="str">
        <f t="shared" si="1"/>
        <v>Controls_Interior_Basic</v>
      </c>
      <c r="R13" s="79" t="s">
        <v>215</v>
      </c>
      <c r="S13" s="79" t="s">
        <v>1920</v>
      </c>
      <c r="T13" s="79" t="s">
        <v>215</v>
      </c>
      <c r="U13" s="34"/>
      <c r="Y13" t="s">
        <v>755</v>
      </c>
      <c r="Z13" s="222">
        <v>0.75</v>
      </c>
      <c r="AA13" s="222">
        <v>0.75</v>
      </c>
      <c r="AB13" t="s">
        <v>768</v>
      </c>
      <c r="AC13" s="12">
        <v>4193</v>
      </c>
      <c r="AD13" s="1086">
        <v>0.123</v>
      </c>
      <c r="AE13" s="1086">
        <v>0.34</v>
      </c>
      <c r="AF13" s="1086">
        <f>ROUND((Table_LPA_Building_Area[[#This Row],[CFNDL]]*(1-AF$2))+(Table_LPA_Building_Area[[#This Row],[CFDL]]*AF$2),3)</f>
        <v>0.17699999999999999</v>
      </c>
      <c r="AG13" s="1128">
        <f>ROUND(((Table_LPA_Building_Area[[#This Row],[CFDL]]-Table_LPA_Building_Area[[#This Row],[CFNDL]])/2)+Table_LPA_Building_Area[[#This Row],[CFNDL]],3)</f>
        <v>0.23200000000000001</v>
      </c>
      <c r="AH13" s="1085"/>
      <c r="AI13" s="1085"/>
      <c r="AJ13" s="1085"/>
      <c r="AL13" s="1319" t="s">
        <v>755</v>
      </c>
      <c r="AM13" s="1319">
        <v>0.75</v>
      </c>
      <c r="AN13" s="1319"/>
      <c r="AQ13" t="s">
        <v>2389</v>
      </c>
      <c r="AR13" t="s">
        <v>2390</v>
      </c>
      <c r="AS13" t="s">
        <v>2391</v>
      </c>
      <c r="AT13" t="s">
        <v>2363</v>
      </c>
    </row>
    <row r="14" spans="2:46">
      <c r="B14" t="s">
        <v>2392</v>
      </c>
      <c r="C14" s="12">
        <v>0.34</v>
      </c>
      <c r="D14" s="12">
        <v>0.33</v>
      </c>
      <c r="E14" s="12">
        <v>20</v>
      </c>
      <c r="F14" s="12" t="str">
        <f>CONCATENATE("Interior ",Table_LPA_SxS[[#This Row],[Space-by-Space areas]])</f>
        <v>Interior Audience/seating area: sports arena</v>
      </c>
      <c r="G14" s="12" t="s">
        <v>215</v>
      </c>
      <c r="H14" s="12">
        <v>11</v>
      </c>
      <c r="I14" s="12" t="str">
        <f t="shared" si="0"/>
        <v>Controls_Interior_Basic</v>
      </c>
      <c r="J14" s="12" t="s">
        <v>1920</v>
      </c>
      <c r="K14" s="12" t="s">
        <v>744</v>
      </c>
      <c r="L14" s="12" t="s">
        <v>1600</v>
      </c>
      <c r="M14" s="12" t="s">
        <v>727</v>
      </c>
      <c r="O14" s="22" t="s">
        <v>761</v>
      </c>
      <c r="P14" s="22" t="str">
        <f t="shared" si="2"/>
        <v>Interior Industrial</v>
      </c>
      <c r="Q14" s="22" t="str">
        <f t="shared" si="1"/>
        <v>Controls_Interior_Basic</v>
      </c>
      <c r="R14" s="80" t="s">
        <v>215</v>
      </c>
      <c r="S14" s="80" t="s">
        <v>1920</v>
      </c>
      <c r="T14" s="80" t="s">
        <v>215</v>
      </c>
      <c r="U14" s="33"/>
      <c r="Y14" t="s">
        <v>2046</v>
      </c>
      <c r="Z14" s="222">
        <v>0.7</v>
      </c>
      <c r="AA14" s="222">
        <v>0.7</v>
      </c>
      <c r="AB14" t="s">
        <v>2047</v>
      </c>
      <c r="AC14" s="12">
        <v>5439</v>
      </c>
      <c r="AD14" s="1086">
        <v>0.24299999999999999</v>
      </c>
      <c r="AE14" s="1086">
        <v>0.41</v>
      </c>
      <c r="AF14" s="1086">
        <f>ROUND((Table_LPA_Building_Area[[#This Row],[CFNDL]]*(1-AF$2))+(Table_LPA_Building_Area[[#This Row],[CFDL]]*AF$2),3)</f>
        <v>0.28499999999999998</v>
      </c>
      <c r="AG14" s="1128">
        <f>ROUND(((Table_LPA_Building_Area[[#This Row],[CFDL]]-Table_LPA_Building_Area[[#This Row],[CFNDL]])/2)+Table_LPA_Building_Area[[#This Row],[CFNDL]],3)</f>
        <v>0.32700000000000001</v>
      </c>
      <c r="AH14" s="1085"/>
      <c r="AI14" s="1085"/>
      <c r="AJ14" s="1085"/>
      <c r="AL14" s="1319" t="s">
        <v>2046</v>
      </c>
      <c r="AM14" s="1319">
        <v>0.7</v>
      </c>
      <c r="AN14" s="1319"/>
      <c r="AQ14" t="s">
        <v>2393</v>
      </c>
      <c r="AR14" t="s">
        <v>2387</v>
      </c>
      <c r="AS14" t="s">
        <v>2382</v>
      </c>
      <c r="AT14" t="s">
        <v>2374</v>
      </c>
    </row>
    <row r="15" spans="2:46">
      <c r="B15" t="s">
        <v>2394</v>
      </c>
      <c r="C15" s="12">
        <v>0.81</v>
      </c>
      <c r="D15" s="12">
        <v>0.61</v>
      </c>
      <c r="E15" s="12">
        <v>20</v>
      </c>
      <c r="F15" s="12" t="str">
        <f>CONCATENATE("Interior ",Table_LPA_SxS[[#This Row],[Space-by-Space areas]])</f>
        <v>Interior Banking activity area</v>
      </c>
      <c r="G15" s="12" t="s">
        <v>215</v>
      </c>
      <c r="H15" s="12">
        <v>13</v>
      </c>
      <c r="I15" s="12" t="str">
        <f t="shared" si="0"/>
        <v>Controls_Interior_Basic</v>
      </c>
      <c r="J15" s="12" t="s">
        <v>1920</v>
      </c>
      <c r="K15" s="12" t="s">
        <v>774</v>
      </c>
      <c r="L15" s="12" t="s">
        <v>1600</v>
      </c>
      <c r="M15" s="12" t="s">
        <v>727</v>
      </c>
      <c r="O15" s="25" t="s">
        <v>762</v>
      </c>
      <c r="P15" s="25" t="str">
        <f t="shared" si="2"/>
        <v>Interior Kitchen</v>
      </c>
      <c r="Q15" s="25" t="str">
        <f t="shared" si="1"/>
        <v>Controls_Interior_Basic</v>
      </c>
      <c r="R15" s="79" t="s">
        <v>215</v>
      </c>
      <c r="S15" s="79" t="s">
        <v>1920</v>
      </c>
      <c r="T15" s="79" t="s">
        <v>215</v>
      </c>
      <c r="U15" s="34"/>
      <c r="Y15" t="s">
        <v>1967</v>
      </c>
      <c r="Z15" s="222">
        <v>0.84</v>
      </c>
      <c r="AA15" s="222">
        <v>0.84</v>
      </c>
      <c r="AB15" t="s">
        <v>1967</v>
      </c>
      <c r="AC15" s="12">
        <v>5439</v>
      </c>
      <c r="AD15" s="1086">
        <v>0.12</v>
      </c>
      <c r="AE15" s="1086">
        <v>0.33700000000000002</v>
      </c>
      <c r="AF15" s="1086">
        <f>ROUND((Table_LPA_Building_Area[[#This Row],[CFNDL]]*(1-AF$2))+(Table_LPA_Building_Area[[#This Row],[CFDL]]*AF$2),3)</f>
        <v>0.17399999999999999</v>
      </c>
      <c r="AG15" s="1128">
        <f>ROUND(((Table_LPA_Building_Area[[#This Row],[CFDL]]-Table_LPA_Building_Area[[#This Row],[CFNDL]])/2)+Table_LPA_Building_Area[[#This Row],[CFNDL]],3)</f>
        <v>0.22900000000000001</v>
      </c>
      <c r="AH15" s="1085"/>
      <c r="AI15" s="1085"/>
      <c r="AJ15" s="1085"/>
      <c r="AL15" s="1319" t="s">
        <v>1967</v>
      </c>
      <c r="AM15" s="1319">
        <v>0.84</v>
      </c>
      <c r="AN15" s="1319"/>
      <c r="AQ15" t="s">
        <v>2133</v>
      </c>
      <c r="AR15" t="s">
        <v>2387</v>
      </c>
      <c r="AS15" t="s">
        <v>2382</v>
      </c>
      <c r="AT15" t="s">
        <v>2374</v>
      </c>
    </row>
    <row r="16" spans="2:46">
      <c r="B16" t="s">
        <v>2395</v>
      </c>
      <c r="C16" s="12">
        <v>1</v>
      </c>
      <c r="D16" s="12">
        <v>0.71</v>
      </c>
      <c r="E16" s="12">
        <v>20</v>
      </c>
      <c r="F16" s="12" t="str">
        <f>CONCATENATE("Interior ",Table_LPA_SxS[[#This Row],[Space-by-Space areas]])</f>
        <v>Interior Classroom/lecture/training</v>
      </c>
      <c r="G16" s="12" t="s">
        <v>215</v>
      </c>
      <c r="H16" s="12">
        <v>14</v>
      </c>
      <c r="I16" s="12" t="str">
        <f t="shared" si="0"/>
        <v>Controls_Interior_Basic</v>
      </c>
      <c r="J16" s="12" t="s">
        <v>1920</v>
      </c>
      <c r="K16" s="12" t="s">
        <v>747</v>
      </c>
      <c r="L16" s="12" t="s">
        <v>1600</v>
      </c>
      <c r="M16" s="12" t="s">
        <v>700</v>
      </c>
      <c r="O16" s="22" t="s">
        <v>763</v>
      </c>
      <c r="P16" s="22" t="str">
        <f t="shared" si="2"/>
        <v>Interior Library</v>
      </c>
      <c r="Q16" s="22" t="str">
        <f t="shared" si="1"/>
        <v>Controls_Interior_Basic</v>
      </c>
      <c r="R16" s="80" t="s">
        <v>215</v>
      </c>
      <c r="S16" s="80" t="s">
        <v>1920</v>
      </c>
      <c r="T16" s="80" t="s">
        <v>215</v>
      </c>
      <c r="U16" s="33"/>
      <c r="Y16" t="s">
        <v>2068</v>
      </c>
      <c r="Z16" s="222">
        <v>0.7</v>
      </c>
      <c r="AA16" s="222">
        <v>0.56000000000000005</v>
      </c>
      <c r="AB16" t="s">
        <v>1990</v>
      </c>
      <c r="AC16" s="12">
        <v>3589</v>
      </c>
      <c r="AD16" s="1086">
        <v>0.55000000000000004</v>
      </c>
      <c r="AE16" s="1086">
        <v>0.61799999999999999</v>
      </c>
      <c r="AF16" s="1086">
        <f>ROUND((Table_LPA_Building_Area[[#This Row],[CFNDL]]*(1-AF$2))+(Table_LPA_Building_Area[[#This Row],[CFDL]]*AF$2),3)</f>
        <v>0.56699999999999995</v>
      </c>
      <c r="AG16" s="1128">
        <f>ROUND(((Table_LPA_Building_Area[[#This Row],[CFDL]]-Table_LPA_Building_Area[[#This Row],[CFNDL]])/2)+Table_LPA_Building_Area[[#This Row],[CFNDL]],3)</f>
        <v>0.58399999999999996</v>
      </c>
      <c r="AH16" s="1085"/>
      <c r="AI16" s="1085"/>
      <c r="AJ16" s="1085"/>
      <c r="AL16" s="1319"/>
      <c r="AM16" s="1319"/>
      <c r="AN16" s="1319"/>
      <c r="AQ16" t="s">
        <v>2396</v>
      </c>
      <c r="AR16" t="s">
        <v>2397</v>
      </c>
      <c r="AS16" t="s">
        <v>2382</v>
      </c>
      <c r="AT16" t="s">
        <v>2374</v>
      </c>
    </row>
    <row r="17" spans="2:46">
      <c r="B17" t="s">
        <v>2398</v>
      </c>
      <c r="C17" s="12">
        <v>1.07</v>
      </c>
      <c r="D17" s="12">
        <v>0.89</v>
      </c>
      <c r="E17" s="12">
        <v>20</v>
      </c>
      <c r="F17" s="12" t="str">
        <f>CONCATENATE("Interior ",Table_LPA_SxS[[#This Row],[Space-by-Space areas]])</f>
        <v>Interior Classroom/lecture/training: penitentiary</v>
      </c>
      <c r="G17" s="12" t="s">
        <v>215</v>
      </c>
      <c r="H17" s="12">
        <v>15</v>
      </c>
      <c r="I17" s="12" t="str">
        <f t="shared" si="0"/>
        <v>Controls_Interior_Basic</v>
      </c>
      <c r="J17" s="12" t="s">
        <v>1920</v>
      </c>
      <c r="K17" s="12" t="s">
        <v>747</v>
      </c>
      <c r="L17" s="12" t="s">
        <v>1600</v>
      </c>
      <c r="M17" s="12" t="s">
        <v>700</v>
      </c>
      <c r="O17" s="25" t="s">
        <v>764</v>
      </c>
      <c r="P17" s="25" t="str">
        <f t="shared" si="2"/>
        <v>Interior Lobby</v>
      </c>
      <c r="Q17" s="25" t="str">
        <f t="shared" si="1"/>
        <v>Controls_Interior_Basic</v>
      </c>
      <c r="R17" s="79" t="s">
        <v>215</v>
      </c>
      <c r="S17" s="79" t="s">
        <v>1920</v>
      </c>
      <c r="T17" s="79" t="s">
        <v>215</v>
      </c>
      <c r="U17" s="34"/>
      <c r="Y17" t="s">
        <v>2399</v>
      </c>
      <c r="Z17" s="222">
        <v>0.7</v>
      </c>
      <c r="AA17" s="222">
        <v>0.56000000000000005</v>
      </c>
      <c r="AB17" t="s">
        <v>1990</v>
      </c>
      <c r="AC17" s="12">
        <v>8760</v>
      </c>
      <c r="AD17" s="1086">
        <v>0.55000000000000004</v>
      </c>
      <c r="AE17" s="1086">
        <v>0.61799999999999999</v>
      </c>
      <c r="AF17" s="1086">
        <f>ROUND((Table_LPA_Building_Area[[#This Row],[CFNDL]]*(1-AF$2))+(Table_LPA_Building_Area[[#This Row],[CFDL]]*AF$2),3)</f>
        <v>0.56699999999999995</v>
      </c>
      <c r="AG17" s="1128">
        <f>ROUND(((Table_LPA_Building_Area[[#This Row],[CFDL]]-Table_LPA_Building_Area[[#This Row],[CFNDL]])/2)+Table_LPA_Building_Area[[#This Row],[CFNDL]],3)</f>
        <v>0.58399999999999996</v>
      </c>
      <c r="AH17" s="1085"/>
      <c r="AI17" s="1085"/>
      <c r="AJ17" s="1085"/>
      <c r="AL17" s="1319" t="s">
        <v>2068</v>
      </c>
      <c r="AM17" s="1319">
        <v>0.7</v>
      </c>
      <c r="AN17" s="1319"/>
      <c r="AQ17" t="s">
        <v>2167</v>
      </c>
      <c r="AR17" t="s">
        <v>2400</v>
      </c>
      <c r="AS17" t="s">
        <v>2401</v>
      </c>
      <c r="AT17" t="s">
        <v>2363</v>
      </c>
    </row>
    <row r="18" spans="2:46">
      <c r="B18" t="s">
        <v>2402</v>
      </c>
      <c r="C18" s="12">
        <v>1.37</v>
      </c>
      <c r="D18" s="12">
        <v>0.94</v>
      </c>
      <c r="E18" s="12">
        <v>20</v>
      </c>
      <c r="F18" s="12" t="str">
        <f>CONCATENATE("Interior ",Table_LPA_SxS[[#This Row],[Space-by-Space areas]])</f>
        <v>Interior Computer room</v>
      </c>
      <c r="G18" s="12" t="s">
        <v>215</v>
      </c>
      <c r="H18" s="12">
        <v>23</v>
      </c>
      <c r="I18" s="12" t="str">
        <f t="shared" si="0"/>
        <v>Controls_Interior_Basic</v>
      </c>
      <c r="J18" s="12" t="s">
        <v>1920</v>
      </c>
      <c r="K18" s="12" t="s">
        <v>749</v>
      </c>
      <c r="L18" s="12" t="s">
        <v>1600</v>
      </c>
      <c r="M18" s="12" t="s">
        <v>727</v>
      </c>
      <c r="O18" s="22" t="s">
        <v>766</v>
      </c>
      <c r="P18" s="22" t="str">
        <f t="shared" si="2"/>
        <v>Interior Lodging (Guest Rooms)</v>
      </c>
      <c r="Q18" s="22" t="str">
        <f t="shared" si="1"/>
        <v>Controls_Interior_Basic</v>
      </c>
      <c r="R18" s="80" t="s">
        <v>215</v>
      </c>
      <c r="S18" s="80" t="s">
        <v>1920</v>
      </c>
      <c r="T18" s="80" t="s">
        <v>215</v>
      </c>
      <c r="U18" s="33"/>
      <c r="Y18" t="s">
        <v>763</v>
      </c>
      <c r="Z18" s="222">
        <v>0.94</v>
      </c>
      <c r="AA18" s="222">
        <v>0.83</v>
      </c>
      <c r="AB18" t="s">
        <v>1961</v>
      </c>
      <c r="AC18" s="12">
        <v>3585</v>
      </c>
      <c r="AD18" s="1086">
        <v>0.251</v>
      </c>
      <c r="AE18" s="1086">
        <v>0.42199999999999999</v>
      </c>
      <c r="AF18" s="1086">
        <f>ROUND((Table_LPA_Building_Area[[#This Row],[CFNDL]]*(1-AF$2))+(Table_LPA_Building_Area[[#This Row],[CFDL]]*AF$2),3)</f>
        <v>0.29399999999999998</v>
      </c>
      <c r="AG18" s="1128">
        <f>ROUND(((Table_LPA_Building_Area[[#This Row],[CFDL]]-Table_LPA_Building_Area[[#This Row],[CFNDL]])/2)+Table_LPA_Building_Area[[#This Row],[CFNDL]],3)</f>
        <v>0.33700000000000002</v>
      </c>
      <c r="AH18" s="1085"/>
      <c r="AI18" s="1085"/>
      <c r="AJ18" s="1085"/>
      <c r="AL18" s="1319" t="s">
        <v>763</v>
      </c>
      <c r="AM18" s="1319">
        <v>0.94</v>
      </c>
      <c r="AN18" s="1319"/>
      <c r="AQ18" t="s">
        <v>2403</v>
      </c>
      <c r="AR18" t="s">
        <v>2362</v>
      </c>
      <c r="AS18" t="s">
        <v>2363</v>
      </c>
      <c r="AT18" t="s">
        <v>2363</v>
      </c>
    </row>
    <row r="19" spans="2:46">
      <c r="B19" t="s">
        <v>2404</v>
      </c>
      <c r="C19" s="12">
        <v>0.98</v>
      </c>
      <c r="D19" s="12">
        <v>0.97</v>
      </c>
      <c r="E19" s="12">
        <v>20</v>
      </c>
      <c r="F19" s="12" t="str">
        <f>CONCATENATE("Interior ",Table_LPA_SxS[[#This Row],[Space-by-Space areas]])</f>
        <v>Interior Conference/meeting/multipurpose</v>
      </c>
      <c r="G19" s="12" t="s">
        <v>215</v>
      </c>
      <c r="H19" s="12">
        <v>16</v>
      </c>
      <c r="I19" s="12" t="str">
        <f t="shared" si="0"/>
        <v>Controls_Interior_Basic</v>
      </c>
      <c r="J19" s="12" t="s">
        <v>1920</v>
      </c>
      <c r="K19" s="12" t="s">
        <v>751</v>
      </c>
      <c r="L19" s="12" t="s">
        <v>1600</v>
      </c>
      <c r="M19" s="12" t="s">
        <v>700</v>
      </c>
      <c r="O19" s="25" t="s">
        <v>767</v>
      </c>
      <c r="P19" s="25" t="str">
        <f t="shared" si="2"/>
        <v>Interior Open Office</v>
      </c>
      <c r="Q19" s="25" t="str">
        <f t="shared" si="1"/>
        <v>Controls_Interior_LLLC</v>
      </c>
      <c r="R19" s="79" t="s">
        <v>237</v>
      </c>
      <c r="S19" s="79" t="s">
        <v>1920</v>
      </c>
      <c r="T19" s="79" t="s">
        <v>215</v>
      </c>
      <c r="U19" s="34"/>
      <c r="Y19" t="s">
        <v>2405</v>
      </c>
      <c r="Z19" s="222">
        <v>0.89</v>
      </c>
      <c r="AA19" s="222">
        <v>0.82</v>
      </c>
      <c r="AB19" t="s">
        <v>2085</v>
      </c>
      <c r="AC19" s="12">
        <v>3289</v>
      </c>
      <c r="AD19" s="1086">
        <v>7.6999999999999999E-2</v>
      </c>
      <c r="AE19" s="1086">
        <v>0.33200000000000002</v>
      </c>
      <c r="AF19" s="1086">
        <f>ROUND((Table_LPA_Building_Area[[#This Row],[CFNDL]]*(1-AF$2))+(Table_LPA_Building_Area[[#This Row],[CFDL]]*AF$2),3)</f>
        <v>0.14099999999999999</v>
      </c>
      <c r="AG19" s="1128">
        <f>ROUND(((Table_LPA_Building_Area[[#This Row],[CFDL]]-Table_LPA_Building_Area[[#This Row],[CFNDL]])/2)+Table_LPA_Building_Area[[#This Row],[CFNDL]],3)</f>
        <v>0.20499999999999999</v>
      </c>
      <c r="AH19" s="1085"/>
      <c r="AI19" s="1085"/>
      <c r="AJ19" s="1085"/>
      <c r="AL19" s="1319" t="s">
        <v>2084</v>
      </c>
      <c r="AM19" s="1319">
        <v>0.89</v>
      </c>
      <c r="AN19" s="1319"/>
      <c r="AQ19" t="s">
        <v>2406</v>
      </c>
      <c r="AR19" t="s">
        <v>2397</v>
      </c>
      <c r="AS19" t="s">
        <v>2382</v>
      </c>
      <c r="AT19" t="s">
        <v>2374</v>
      </c>
    </row>
    <row r="20" spans="2:46">
      <c r="B20" t="s">
        <v>2407</v>
      </c>
      <c r="C20" s="12">
        <v>1.1599999999999999</v>
      </c>
      <c r="D20" s="12">
        <v>0.61</v>
      </c>
      <c r="E20" s="12">
        <v>20</v>
      </c>
      <c r="F20" s="12" t="str">
        <f>CONCATENATE("Interior ",Table_LPA_SxS[[#This Row],[Space-by-Space areas]])</f>
        <v>Interior Convention center: Exhibit space</v>
      </c>
      <c r="G20" s="12" t="s">
        <v>215</v>
      </c>
      <c r="H20" s="12">
        <v>58</v>
      </c>
      <c r="I20" s="12" t="str">
        <f t="shared" si="0"/>
        <v>Controls_Interior_Basic</v>
      </c>
      <c r="J20" s="12" t="s">
        <v>1920</v>
      </c>
      <c r="K20" s="12" t="s">
        <v>744</v>
      </c>
      <c r="L20" s="12" t="s">
        <v>1600</v>
      </c>
      <c r="M20" s="12" t="s">
        <v>700</v>
      </c>
      <c r="O20" s="22" t="s">
        <v>768</v>
      </c>
      <c r="P20" s="22" t="str">
        <f t="shared" si="2"/>
        <v>Interior Other</v>
      </c>
      <c r="Q20" s="22" t="str">
        <f t="shared" si="1"/>
        <v>Controls_Interior_Basic</v>
      </c>
      <c r="R20" s="80" t="s">
        <v>215</v>
      </c>
      <c r="S20" s="80" t="s">
        <v>1920</v>
      </c>
      <c r="T20" s="80" t="s">
        <v>215</v>
      </c>
      <c r="U20" s="33"/>
      <c r="Y20" t="s">
        <v>2408</v>
      </c>
      <c r="Z20" s="222">
        <v>0.89</v>
      </c>
      <c r="AA20" s="222">
        <v>0.82</v>
      </c>
      <c r="AB20" t="s">
        <v>2085</v>
      </c>
      <c r="AC20" s="967">
        <v>5869</v>
      </c>
      <c r="AD20" s="1086">
        <v>7.6999999999999999E-2</v>
      </c>
      <c r="AE20" s="1086">
        <v>0.24</v>
      </c>
      <c r="AF20" s="1086">
        <f>ROUND((Table_LPA_Building_Area[[#This Row],[CFNDL]]*(1-AF$2))+(Table_LPA_Building_Area[[#This Row],[CFDL]]*AF$2),3)</f>
        <v>0.11799999999999999</v>
      </c>
      <c r="AG20" s="1128">
        <f>ROUND(((Table_LPA_Building_Area[[#This Row],[CFDL]]-Table_LPA_Building_Area[[#This Row],[CFNDL]])/2)+Table_LPA_Building_Area[[#This Row],[CFNDL]],3)</f>
        <v>0.159</v>
      </c>
      <c r="AH20" s="1085"/>
      <c r="AI20" s="1085"/>
      <c r="AJ20" s="1085"/>
      <c r="AL20" s="1319" t="s">
        <v>2093</v>
      </c>
      <c r="AM20" s="1319">
        <v>0.7</v>
      </c>
      <c r="AN20" s="1319" t="s">
        <v>1990</v>
      </c>
      <c r="AQ20" t="s">
        <v>2409</v>
      </c>
      <c r="AR20" t="s">
        <v>2366</v>
      </c>
      <c r="AS20" t="s">
        <v>2367</v>
      </c>
      <c r="AT20" t="s">
        <v>2363</v>
      </c>
    </row>
    <row r="21" spans="2:46">
      <c r="B21" t="s">
        <v>2410</v>
      </c>
      <c r="C21" s="12">
        <v>0.57999999999999996</v>
      </c>
      <c r="D21" s="12">
        <v>0.31</v>
      </c>
      <c r="E21" s="12">
        <v>20</v>
      </c>
      <c r="F21" s="12" t="str">
        <f>CONCATENATE("Interior ",Table_LPA_SxS[[#This Row],[Space-by-Space areas]])</f>
        <v>Interior Copy/print room</v>
      </c>
      <c r="G21" s="12" t="s">
        <v>215</v>
      </c>
      <c r="H21" s="12">
        <v>17</v>
      </c>
      <c r="I21" s="12" t="str">
        <f t="shared" si="0"/>
        <v>Controls_Interior_Basic</v>
      </c>
      <c r="J21" s="12" t="s">
        <v>1920</v>
      </c>
      <c r="K21" s="12" t="s">
        <v>768</v>
      </c>
      <c r="L21" s="12" t="s">
        <v>1600</v>
      </c>
      <c r="M21" s="12" t="s">
        <v>700</v>
      </c>
      <c r="O21" s="25" t="s">
        <v>769</v>
      </c>
      <c r="P21" s="25" t="str">
        <f t="shared" si="2"/>
        <v>Interior Parking Garage</v>
      </c>
      <c r="Q21" s="25" t="str">
        <f t="shared" si="1"/>
        <v>Controls_Interior_Basic</v>
      </c>
      <c r="R21" s="79" t="s">
        <v>215</v>
      </c>
      <c r="S21" s="79" t="s">
        <v>1920</v>
      </c>
      <c r="T21" s="79" t="s">
        <v>215</v>
      </c>
      <c r="U21" s="34"/>
      <c r="Y21" t="s">
        <v>2411</v>
      </c>
      <c r="Z21" s="222">
        <v>0.89</v>
      </c>
      <c r="AA21" s="222">
        <v>0.82</v>
      </c>
      <c r="AB21" t="s">
        <v>2085</v>
      </c>
      <c r="AC21" s="967">
        <v>7796</v>
      </c>
      <c r="AD21" s="1086">
        <v>7.6999999999999999E-2</v>
      </c>
      <c r="AE21" s="1086">
        <v>0.2</v>
      </c>
      <c r="AF21" s="1086">
        <f>ROUND((Table_LPA_Building_Area[[#This Row],[CFNDL]]*(1-AF$2))+(Table_LPA_Building_Area[[#This Row],[CFDL]]*AF$2),3)</f>
        <v>0.108</v>
      </c>
      <c r="AG21" s="1128">
        <f>ROUND(((Table_LPA_Building_Area[[#This Row],[CFDL]]-Table_LPA_Building_Area[[#This Row],[CFNDL]])/2)+Table_LPA_Building_Area[[#This Row],[CFNDL]],3)</f>
        <v>0.13900000000000001</v>
      </c>
      <c r="AH21" s="1085"/>
      <c r="AI21" s="1085"/>
      <c r="AJ21" s="1085"/>
      <c r="AL21" s="1319" t="s">
        <v>2101</v>
      </c>
      <c r="AM21" s="1319">
        <v>0.61</v>
      </c>
      <c r="AN21" s="1319"/>
      <c r="AQ21" t="s">
        <v>2412</v>
      </c>
      <c r="AR21" t="s">
        <v>2381</v>
      </c>
      <c r="AS21" t="s">
        <v>2382</v>
      </c>
      <c r="AT21" t="s">
        <v>2374</v>
      </c>
    </row>
    <row r="22" spans="2:46">
      <c r="B22" t="s">
        <v>2413</v>
      </c>
      <c r="C22" s="12">
        <v>0.53</v>
      </c>
      <c r="D22" s="12">
        <v>0.41</v>
      </c>
      <c r="E22" s="12">
        <v>20</v>
      </c>
      <c r="F22" s="12" t="str">
        <f>CONCATENATE("Interior ",Table_LPA_SxS[[#This Row],[Space-by-Space areas]])</f>
        <v>Interior Corridor: all other</v>
      </c>
      <c r="G22" s="12" t="s">
        <v>215</v>
      </c>
      <c r="H22" s="12">
        <v>21</v>
      </c>
      <c r="I22" s="12" t="str">
        <f t="shared" si="0"/>
        <v>Controls_Interior_Basic</v>
      </c>
      <c r="J22" s="12" t="s">
        <v>1920</v>
      </c>
      <c r="K22" s="12" t="s">
        <v>2414</v>
      </c>
      <c r="L22" s="12" t="s">
        <v>1600</v>
      </c>
      <c r="M22" s="12" t="s">
        <v>700</v>
      </c>
      <c r="O22" s="22" t="s">
        <v>770</v>
      </c>
      <c r="P22" s="22" t="str">
        <f t="shared" si="2"/>
        <v>Interior Private Office</v>
      </c>
      <c r="Q22" s="22" t="str">
        <f t="shared" si="1"/>
        <v>Controls_Interior_LLLC</v>
      </c>
      <c r="R22" s="80" t="s">
        <v>237</v>
      </c>
      <c r="S22" s="80" t="s">
        <v>1920</v>
      </c>
      <c r="T22" s="80" t="s">
        <v>215</v>
      </c>
      <c r="U22" s="33"/>
      <c r="Y22" t="s">
        <v>2101</v>
      </c>
      <c r="Z22" s="222">
        <v>0.61</v>
      </c>
      <c r="AA22" s="222">
        <v>0.44</v>
      </c>
      <c r="AB22" t="s">
        <v>1961</v>
      </c>
      <c r="AC22" s="12">
        <v>3357</v>
      </c>
      <c r="AD22" s="1086">
        <v>0.41399999999999998</v>
      </c>
      <c r="AE22" s="1086">
        <v>0.499</v>
      </c>
      <c r="AF22" s="1086">
        <f>ROUND((Table_LPA_Building_Area[[#This Row],[CFNDL]]*(1-AF$2))+(Table_LPA_Building_Area[[#This Row],[CFDL]]*AF$2),3)</f>
        <v>0.435</v>
      </c>
      <c r="AG22" s="1128">
        <f>ROUND(((Table_LPA_Building_Area[[#This Row],[CFDL]]-Table_LPA_Building_Area[[#This Row],[CFNDL]])/2)+Table_LPA_Building_Area[[#This Row],[CFNDL]],3)</f>
        <v>0.45700000000000002</v>
      </c>
      <c r="AH22" s="1085"/>
      <c r="AI22" s="1085"/>
      <c r="AJ22" s="1085"/>
      <c r="AL22" s="1319" t="s">
        <v>2108</v>
      </c>
      <c r="AM22" s="1319">
        <v>0.41</v>
      </c>
      <c r="AN22" s="1319"/>
      <c r="AQ22" t="s">
        <v>2415</v>
      </c>
      <c r="AR22" t="s">
        <v>2400</v>
      </c>
      <c r="AS22" t="s">
        <v>2401</v>
      </c>
      <c r="AT22" t="s">
        <v>2363</v>
      </c>
    </row>
    <row r="23" spans="2:46">
      <c r="B23" t="s">
        <v>2416</v>
      </c>
      <c r="C23" s="12">
        <v>0.74</v>
      </c>
      <c r="D23" s="12">
        <v>0.71</v>
      </c>
      <c r="E23" s="12">
        <v>20</v>
      </c>
      <c r="F23" s="12" t="str">
        <f>CONCATENATE("Interior ",Table_LPA_SxS[[#This Row],[Space-by-Space areas]])</f>
        <v>Interior Corridor: facility for the visually impaired</v>
      </c>
      <c r="G23" s="12" t="s">
        <v>215</v>
      </c>
      <c r="H23" s="12">
        <v>18</v>
      </c>
      <c r="I23" s="12" t="str">
        <f t="shared" si="0"/>
        <v>Controls_Interior_Basic</v>
      </c>
      <c r="J23" s="12" t="s">
        <v>1920</v>
      </c>
      <c r="K23" s="12" t="s">
        <v>2414</v>
      </c>
      <c r="L23" s="12" t="s">
        <v>1600</v>
      </c>
      <c r="M23" s="12" t="s">
        <v>700</v>
      </c>
      <c r="O23" s="25" t="s">
        <v>771</v>
      </c>
      <c r="P23" s="25" t="str">
        <f t="shared" si="2"/>
        <v>Interior Process</v>
      </c>
      <c r="Q23" s="25" t="str">
        <f t="shared" si="1"/>
        <v>Controls_Interior_Basic</v>
      </c>
      <c r="R23" s="79" t="s">
        <v>215</v>
      </c>
      <c r="S23" s="79" t="s">
        <v>1920</v>
      </c>
      <c r="T23" s="79" t="s">
        <v>215</v>
      </c>
      <c r="U23" s="34"/>
      <c r="Y23" t="s">
        <v>2108</v>
      </c>
      <c r="Z23" s="222">
        <v>0.41</v>
      </c>
      <c r="AA23" s="222">
        <v>0.41</v>
      </c>
      <c r="AB23" t="s">
        <v>2109</v>
      </c>
      <c r="AC23" s="12">
        <v>2876</v>
      </c>
      <c r="AD23" s="1086">
        <v>0.36499999999999999</v>
      </c>
      <c r="AE23" s="1086">
        <v>0.47499999999999998</v>
      </c>
      <c r="AF23" s="1086">
        <f>ROUND((Table_LPA_Building_Area[[#This Row],[CFNDL]]*(1-AF$2))+(Table_LPA_Building_Area[[#This Row],[CFDL]]*AF$2),3)</f>
        <v>0.39300000000000002</v>
      </c>
      <c r="AG23" s="1128">
        <f>ROUND(((Table_LPA_Building_Area[[#This Row],[CFDL]]-Table_LPA_Building_Area[[#This Row],[CFNDL]])/2)+Table_LPA_Building_Area[[#This Row],[CFNDL]],3)</f>
        <v>0.42</v>
      </c>
      <c r="AH23" s="1085"/>
      <c r="AI23" s="1085"/>
      <c r="AJ23" s="1085"/>
      <c r="AL23" s="1319" t="s">
        <v>2116</v>
      </c>
      <c r="AM23" s="1319">
        <v>0.8</v>
      </c>
      <c r="AN23" s="1319"/>
      <c r="AQ23" t="s">
        <v>2417</v>
      </c>
      <c r="AR23" t="s">
        <v>2370</v>
      </c>
      <c r="AS23" t="s">
        <v>2363</v>
      </c>
      <c r="AT23" t="s">
        <v>2363</v>
      </c>
    </row>
    <row r="24" spans="2:46">
      <c r="B24" t="s">
        <v>2418</v>
      </c>
      <c r="C24" s="12">
        <v>0.63</v>
      </c>
      <c r="D24" s="12">
        <v>0.71</v>
      </c>
      <c r="E24" s="12">
        <v>20</v>
      </c>
      <c r="F24" s="12" t="str">
        <f>CONCATENATE("Interior ",Table_LPA_SxS[[#This Row],[Space-by-Space areas]])</f>
        <v>Interior Corridor: hospital</v>
      </c>
      <c r="G24" s="12" t="s">
        <v>215</v>
      </c>
      <c r="H24" s="12">
        <v>19</v>
      </c>
      <c r="I24" s="12" t="str">
        <f t="shared" si="0"/>
        <v>Controls_Interior_Basic</v>
      </c>
      <c r="J24" s="12" t="s">
        <v>1920</v>
      </c>
      <c r="K24" s="12" t="s">
        <v>2414</v>
      </c>
      <c r="L24" s="12" t="s">
        <v>1600</v>
      </c>
      <c r="M24" s="12" t="s">
        <v>700</v>
      </c>
      <c r="O24" s="22" t="s">
        <v>772</v>
      </c>
      <c r="P24" s="22" t="str">
        <f t="shared" si="2"/>
        <v>Interior Public Assembly</v>
      </c>
      <c r="Q24" s="22" t="str">
        <f t="shared" si="1"/>
        <v>Controls_Interior_Basic</v>
      </c>
      <c r="R24" s="80" t="s">
        <v>215</v>
      </c>
      <c r="S24" s="80" t="s">
        <v>1920</v>
      </c>
      <c r="T24" s="80" t="s">
        <v>215</v>
      </c>
      <c r="U24" s="33"/>
      <c r="Y24" t="s">
        <v>2116</v>
      </c>
      <c r="Z24" s="222">
        <v>0.8</v>
      </c>
      <c r="AA24" s="222">
        <v>0.55000000000000004</v>
      </c>
      <c r="AB24" t="s">
        <v>1961</v>
      </c>
      <c r="AC24" s="12">
        <v>3585</v>
      </c>
      <c r="AD24" s="1086">
        <v>0.17299999999999999</v>
      </c>
      <c r="AE24" s="1086">
        <v>0.378</v>
      </c>
      <c r="AF24" s="1086">
        <f>ROUND((Table_LPA_Building_Area[[#This Row],[CFNDL]]*(1-AF$2))+(Table_LPA_Building_Area[[#This Row],[CFDL]]*AF$2),3)</f>
        <v>0.224</v>
      </c>
      <c r="AG24" s="1128">
        <f>ROUND(((Table_LPA_Building_Area[[#This Row],[CFDL]]-Table_LPA_Building_Area[[#This Row],[CFNDL]])/2)+Table_LPA_Building_Area[[#This Row],[CFNDL]],3)</f>
        <v>0.27600000000000002</v>
      </c>
      <c r="AH24" s="1085"/>
      <c r="AI24" s="1085"/>
      <c r="AJ24" s="1085"/>
      <c r="AL24" s="1319" t="s">
        <v>2019</v>
      </c>
      <c r="AM24" s="1319">
        <v>0.66</v>
      </c>
      <c r="AN24" s="1319"/>
      <c r="AQ24" t="s">
        <v>2224</v>
      </c>
      <c r="AR24" t="s">
        <v>2419</v>
      </c>
      <c r="AS24" t="s">
        <v>2363</v>
      </c>
      <c r="AT24" t="s">
        <v>2363</v>
      </c>
    </row>
    <row r="25" spans="2:46">
      <c r="B25" t="s">
        <v>2420</v>
      </c>
      <c r="C25" s="12">
        <v>0.33</v>
      </c>
      <c r="D25" s="12">
        <v>0.41</v>
      </c>
      <c r="E25" s="12">
        <v>20</v>
      </c>
      <c r="F25" s="12" t="str">
        <f>CONCATENATE("Interior ",Table_LPA_SxS[[#This Row],[Space-by-Space areas]])</f>
        <v>Interior Corridor: manufacturing</v>
      </c>
      <c r="G25" s="12" t="s">
        <v>215</v>
      </c>
      <c r="H25" s="12">
        <v>20</v>
      </c>
      <c r="I25" s="12" t="str">
        <f t="shared" si="0"/>
        <v>Controls_Interior_Basic</v>
      </c>
      <c r="J25" s="12" t="s">
        <v>1920</v>
      </c>
      <c r="K25" s="12" t="s">
        <v>2414</v>
      </c>
      <c r="L25" s="12" t="s">
        <v>1600</v>
      </c>
      <c r="M25" s="12" t="s">
        <v>727</v>
      </c>
      <c r="O25" s="25" t="s">
        <v>773</v>
      </c>
      <c r="P25" s="25" t="str">
        <f t="shared" si="2"/>
        <v>Interior Restroom</v>
      </c>
      <c r="Q25" s="25" t="str">
        <f t="shared" si="1"/>
        <v>Controls_Interior_Basic</v>
      </c>
      <c r="R25" s="79" t="s">
        <v>215</v>
      </c>
      <c r="S25" s="79" t="s">
        <v>1920</v>
      </c>
      <c r="T25" s="79" t="s">
        <v>215</v>
      </c>
      <c r="U25" s="34"/>
      <c r="Y25" t="s">
        <v>2019</v>
      </c>
      <c r="Z25" s="222">
        <v>0.66</v>
      </c>
      <c r="AA25" s="222">
        <v>0.64</v>
      </c>
      <c r="AB25" t="s">
        <v>2019</v>
      </c>
      <c r="AC25" s="12">
        <v>2938</v>
      </c>
      <c r="AD25" s="1086">
        <v>0.23300000000000001</v>
      </c>
      <c r="AE25" s="1086">
        <v>0.41499999999999998</v>
      </c>
      <c r="AF25" s="1086">
        <f>ROUND((Table_LPA_Building_Area[[#This Row],[CFNDL]]*(1-AF$2))+(Table_LPA_Building_Area[[#This Row],[CFDL]]*AF$2),3)</f>
        <v>0.27900000000000003</v>
      </c>
      <c r="AG25" s="1128">
        <f>ROUND(((Table_LPA_Building_Area[[#This Row],[CFDL]]-Table_LPA_Building_Area[[#This Row],[CFNDL]])/2)+Table_LPA_Building_Area[[#This Row],[CFNDL]],3)</f>
        <v>0.32400000000000001</v>
      </c>
      <c r="AH25" s="1085"/>
      <c r="AI25" s="1085"/>
      <c r="AJ25" s="1085"/>
      <c r="AL25" s="1319" t="s">
        <v>2132</v>
      </c>
      <c r="AM25" s="1319">
        <v>0.16</v>
      </c>
      <c r="AN25" s="1319"/>
      <c r="AQ25" t="s">
        <v>2421</v>
      </c>
      <c r="AR25" t="s">
        <v>2397</v>
      </c>
      <c r="AS25" t="s">
        <v>2382</v>
      </c>
      <c r="AT25" t="s">
        <v>2374</v>
      </c>
    </row>
    <row r="26" spans="2:46">
      <c r="B26" t="s">
        <v>2422</v>
      </c>
      <c r="C26" s="12">
        <v>1.38</v>
      </c>
      <c r="D26" s="12">
        <v>1.2</v>
      </c>
      <c r="E26" s="12">
        <v>20</v>
      </c>
      <c r="F26" s="12" t="str">
        <f>CONCATENATE("Interior ",Table_LPA_SxS[[#This Row],[Space-by-Space areas]])</f>
        <v>Interior Courtroom</v>
      </c>
      <c r="G26" s="12" t="s">
        <v>215</v>
      </c>
      <c r="H26" s="12">
        <v>22</v>
      </c>
      <c r="I26" s="12" t="str">
        <f t="shared" si="0"/>
        <v>Controls_Interior_Basic</v>
      </c>
      <c r="J26" s="12" t="s">
        <v>1920</v>
      </c>
      <c r="K26" s="12" t="s">
        <v>768</v>
      </c>
      <c r="L26" s="12" t="s">
        <v>1600</v>
      </c>
      <c r="M26" s="12" t="s">
        <v>727</v>
      </c>
      <c r="O26" s="22" t="s">
        <v>774</v>
      </c>
      <c r="P26" s="22" t="str">
        <f t="shared" si="2"/>
        <v>Interior Retail</v>
      </c>
      <c r="Q26" s="22" t="str">
        <f t="shared" si="1"/>
        <v>Controls_Interior_Basic</v>
      </c>
      <c r="R26" s="80" t="s">
        <v>215</v>
      </c>
      <c r="S26" s="80" t="s">
        <v>1920</v>
      </c>
      <c r="T26" s="80" t="s">
        <v>215</v>
      </c>
      <c r="U26" s="33"/>
      <c r="Y26" t="s">
        <v>2132</v>
      </c>
      <c r="Z26" s="222">
        <v>0.16</v>
      </c>
      <c r="AA26" s="222">
        <v>0.14000000000000001</v>
      </c>
      <c r="AB26" t="s">
        <v>768</v>
      </c>
      <c r="AC26" s="12">
        <v>6734</v>
      </c>
      <c r="AD26" s="1086">
        <v>0.39700000000000002</v>
      </c>
      <c r="AE26" s="1086">
        <v>0.56599999999999995</v>
      </c>
      <c r="AF26" s="1086">
        <f>ROUND((Table_LPA_Building_Area[[#This Row],[CFNDL]]*(1-AF$2))+(Table_LPA_Building_Area[[#This Row],[CFDL]]*AF$2),3)</f>
        <v>0.439</v>
      </c>
      <c r="AG26" s="1128">
        <f>ROUND(((Table_LPA_Building_Area[[#This Row],[CFDL]]-Table_LPA_Building_Area[[#This Row],[CFNDL]])/2)+Table_LPA_Building_Area[[#This Row],[CFNDL]],3)</f>
        <v>0.48199999999999998</v>
      </c>
      <c r="AH26" s="1085"/>
      <c r="AI26" s="1085"/>
      <c r="AJ26" s="1085"/>
      <c r="AL26" s="1319" t="s">
        <v>768</v>
      </c>
      <c r="AM26" s="1319"/>
      <c r="AN26" s="1319" t="s">
        <v>768</v>
      </c>
      <c r="AQ26" t="s">
        <v>2423</v>
      </c>
      <c r="AR26" t="s">
        <v>2366</v>
      </c>
      <c r="AS26" t="s">
        <v>2367</v>
      </c>
      <c r="AT26" t="s">
        <v>2363</v>
      </c>
    </row>
    <row r="27" spans="2:46">
      <c r="B27" t="s">
        <v>2424</v>
      </c>
      <c r="C27" s="12">
        <v>0.52</v>
      </c>
      <c r="D27" s="12">
        <v>0.43</v>
      </c>
      <c r="E27" s="12">
        <v>20</v>
      </c>
      <c r="F27" s="12" t="str">
        <f>CONCATENATE("Interior ",Table_LPA_SxS[[#This Row],[Space-by-Space areas]])</f>
        <v>Interior Dining area: all other</v>
      </c>
      <c r="G27" s="12" t="s">
        <v>215</v>
      </c>
      <c r="H27" s="12">
        <v>28</v>
      </c>
      <c r="I27" s="12" t="str">
        <f t="shared" si="0"/>
        <v>Controls_Interior_Basic</v>
      </c>
      <c r="J27" s="12" t="s">
        <v>1920</v>
      </c>
      <c r="K27" s="12" t="s">
        <v>753</v>
      </c>
      <c r="L27" s="12" t="s">
        <v>1600</v>
      </c>
      <c r="M27" s="12" t="s">
        <v>727</v>
      </c>
      <c r="O27" s="25" t="s">
        <v>775</v>
      </c>
      <c r="P27" s="25" t="str">
        <f t="shared" si="2"/>
        <v>Interior Stairs</v>
      </c>
      <c r="Q27" s="25" t="str">
        <f t="shared" si="1"/>
        <v>Controls_Interior_Basic</v>
      </c>
      <c r="R27" s="79" t="s">
        <v>215</v>
      </c>
      <c r="S27" s="79" t="s">
        <v>1920</v>
      </c>
      <c r="T27" s="79" t="s">
        <v>215</v>
      </c>
      <c r="U27" s="34"/>
      <c r="Y27" t="s">
        <v>2149</v>
      </c>
      <c r="Z27" s="222">
        <v>0.65</v>
      </c>
      <c r="AA27" s="222">
        <v>0.65</v>
      </c>
      <c r="AB27" t="s">
        <v>768</v>
      </c>
      <c r="AC27" s="12">
        <v>3589</v>
      </c>
      <c r="AD27" s="1086">
        <v>0.26</v>
      </c>
      <c r="AE27" s="1086">
        <v>0.38100000000000001</v>
      </c>
      <c r="AF27" s="1086">
        <f>ROUND((Table_LPA_Building_Area[[#This Row],[CFNDL]]*(1-AF$2))+(Table_LPA_Building_Area[[#This Row],[CFDL]]*AF$2),3)</f>
        <v>0.28999999999999998</v>
      </c>
      <c r="AG27" s="1128">
        <f>ROUND(((Table_LPA_Building_Area[[#This Row],[CFDL]]-Table_LPA_Building_Area[[#This Row],[CFNDL]])/2)+Table_LPA_Building_Area[[#This Row],[CFNDL]],3)</f>
        <v>0.32100000000000001</v>
      </c>
      <c r="AH27" s="1085"/>
      <c r="AI27" s="1085"/>
      <c r="AJ27" s="1085"/>
      <c r="AL27" s="1319" t="s">
        <v>2149</v>
      </c>
      <c r="AM27" s="1319">
        <v>0.65</v>
      </c>
      <c r="AN27" s="1319"/>
      <c r="AQ27" t="s">
        <v>2425</v>
      </c>
      <c r="AR27" t="s">
        <v>2387</v>
      </c>
      <c r="AS27" t="s">
        <v>2382</v>
      </c>
      <c r="AT27" t="s">
        <v>2374</v>
      </c>
    </row>
    <row r="28" spans="2:46">
      <c r="B28" t="s">
        <v>2426</v>
      </c>
      <c r="C28" s="12">
        <v>0.86</v>
      </c>
      <c r="D28" s="12">
        <v>0.86</v>
      </c>
      <c r="E28" s="12">
        <v>20</v>
      </c>
      <c r="F28" s="12" t="str">
        <f>CONCATENATE("Interior ",Table_LPA_SxS[[#This Row],[Space-by-Space areas]])</f>
        <v>Interior Dining area: Bar/lounge/leisure dining</v>
      </c>
      <c r="G28" s="12" t="s">
        <v>215</v>
      </c>
      <c r="H28" s="12">
        <v>26</v>
      </c>
      <c r="I28" s="12" t="str">
        <f t="shared" si="0"/>
        <v>Controls_Interior_Basic</v>
      </c>
      <c r="J28" s="12" t="s">
        <v>1920</v>
      </c>
      <c r="K28" s="12" t="s">
        <v>753</v>
      </c>
      <c r="L28" s="12" t="s">
        <v>1600</v>
      </c>
      <c r="M28" s="12" t="s">
        <v>727</v>
      </c>
      <c r="O28" s="22" t="s">
        <v>776</v>
      </c>
      <c r="P28" s="22" t="str">
        <f t="shared" si="2"/>
        <v>Interior Storage</v>
      </c>
      <c r="Q28" s="22" t="str">
        <f t="shared" si="1"/>
        <v>Controls_Interior_Basic</v>
      </c>
      <c r="R28" s="80" t="s">
        <v>215</v>
      </c>
      <c r="S28" s="80" t="s">
        <v>1920</v>
      </c>
      <c r="T28" s="80" t="s">
        <v>215</v>
      </c>
      <c r="U28" s="33"/>
      <c r="Y28" t="s">
        <v>2156</v>
      </c>
      <c r="Z28" s="222">
        <v>1</v>
      </c>
      <c r="AA28" s="222">
        <v>0.84</v>
      </c>
      <c r="AB28" t="s">
        <v>1961</v>
      </c>
      <c r="AC28" s="12">
        <v>3357</v>
      </c>
      <c r="AD28" s="1086">
        <v>0.33300000000000002</v>
      </c>
      <c r="AE28" s="1086">
        <v>0.436</v>
      </c>
      <c r="AF28" s="1086">
        <f>ROUND((Table_LPA_Building_Area[[#This Row],[CFNDL]]*(1-AF$2))+(Table_LPA_Building_Area[[#This Row],[CFDL]]*AF$2),3)</f>
        <v>0.35899999999999999</v>
      </c>
      <c r="AG28" s="1128">
        <f>ROUND(((Table_LPA_Building_Area[[#This Row],[CFDL]]-Table_LPA_Building_Area[[#This Row],[CFNDL]])/2)+Table_LPA_Building_Area[[#This Row],[CFNDL]],3)</f>
        <v>0.38500000000000001</v>
      </c>
      <c r="AH28" s="1085"/>
      <c r="AI28" s="1085"/>
      <c r="AJ28" s="1085"/>
      <c r="AL28" s="1319" t="s">
        <v>2156</v>
      </c>
      <c r="AM28" s="1319">
        <v>1</v>
      </c>
      <c r="AN28" s="1319"/>
      <c r="AQ28" t="s">
        <v>2427</v>
      </c>
      <c r="AR28" t="s">
        <v>2370</v>
      </c>
      <c r="AS28" t="s">
        <v>2363</v>
      </c>
      <c r="AT28" t="s">
        <v>2363</v>
      </c>
    </row>
    <row r="29" spans="2:46">
      <c r="B29" t="s">
        <v>2428</v>
      </c>
      <c r="C29" s="12">
        <v>1.52</v>
      </c>
      <c r="D29" s="12">
        <v>1.27</v>
      </c>
      <c r="E29" s="12">
        <v>20</v>
      </c>
      <c r="F29" s="12" t="str">
        <f>CONCATENATE("Interior ",Table_LPA_SxS[[#This Row],[Space-by-Space areas]])</f>
        <v>Interior Dining area: facility for the visually impaired</v>
      </c>
      <c r="G29" s="12" t="s">
        <v>215</v>
      </c>
      <c r="H29" s="12">
        <v>25</v>
      </c>
      <c r="I29" s="12" t="str">
        <f t="shared" si="0"/>
        <v>Controls_Interior_Basic</v>
      </c>
      <c r="J29" s="12" t="s">
        <v>1920</v>
      </c>
      <c r="K29" s="12" t="s">
        <v>753</v>
      </c>
      <c r="L29" s="12" t="s">
        <v>1600</v>
      </c>
      <c r="M29" s="12" t="s">
        <v>727</v>
      </c>
      <c r="O29" s="25" t="s">
        <v>777</v>
      </c>
      <c r="P29" s="25" t="str">
        <f t="shared" si="2"/>
        <v>Interior Technical Area</v>
      </c>
      <c r="Q29" s="25" t="str">
        <f t="shared" si="1"/>
        <v>Controls_Interior_Basic</v>
      </c>
      <c r="R29" s="79" t="s">
        <v>215</v>
      </c>
      <c r="S29" s="79" t="s">
        <v>1920</v>
      </c>
      <c r="T29" s="79" t="s">
        <v>215</v>
      </c>
      <c r="U29" s="34"/>
      <c r="Y29" t="s">
        <v>2165</v>
      </c>
      <c r="Z29" s="222">
        <v>0.7</v>
      </c>
      <c r="AA29" s="222">
        <v>0.66</v>
      </c>
      <c r="AB29" t="s">
        <v>1961</v>
      </c>
      <c r="AC29" s="12">
        <v>5439</v>
      </c>
      <c r="AD29" s="1086">
        <v>0.27</v>
      </c>
      <c r="AE29" s="1086">
        <v>0.40300000000000002</v>
      </c>
      <c r="AF29" s="1086">
        <f>ROUND((Table_LPA_Building_Area[[#This Row],[CFNDL]]*(1-AF$2))+(Table_LPA_Building_Area[[#This Row],[CFDL]]*AF$2),3)</f>
        <v>0.30299999999999999</v>
      </c>
      <c r="AG29" s="1128">
        <f>ROUND(((Table_LPA_Building_Area[[#This Row],[CFDL]]-Table_LPA_Building_Area[[#This Row],[CFNDL]])/2)+Table_LPA_Building_Area[[#This Row],[CFNDL]],3)</f>
        <v>0.33700000000000002</v>
      </c>
      <c r="AH29" s="1085"/>
      <c r="AI29" s="1085"/>
      <c r="AJ29" s="1085"/>
      <c r="AL29" s="1319" t="s">
        <v>2165</v>
      </c>
      <c r="AM29" s="1319">
        <v>0.7</v>
      </c>
      <c r="AN29" s="1319"/>
      <c r="AQ29" t="s">
        <v>2429</v>
      </c>
      <c r="AR29" t="s">
        <v>2366</v>
      </c>
      <c r="AS29" t="s">
        <v>2367</v>
      </c>
      <c r="AT29" t="s">
        <v>2363</v>
      </c>
    </row>
    <row r="30" spans="2:46">
      <c r="B30" t="s">
        <v>2430</v>
      </c>
      <c r="C30" s="12">
        <v>0.71</v>
      </c>
      <c r="D30" s="12">
        <v>0.6</v>
      </c>
      <c r="E30" s="12">
        <v>20</v>
      </c>
      <c r="F30" s="12" t="str">
        <f>CONCATENATE("Interior ",Table_LPA_SxS[[#This Row],[Space-by-Space areas]])</f>
        <v>Interior Dining area: Family dining area</v>
      </c>
      <c r="G30" s="12" t="s">
        <v>215</v>
      </c>
      <c r="H30" s="12">
        <v>27</v>
      </c>
      <c r="I30" s="12" t="str">
        <f t="shared" si="0"/>
        <v>Controls_Interior_Basic</v>
      </c>
      <c r="J30" s="12" t="s">
        <v>1920</v>
      </c>
      <c r="K30" s="12" t="s">
        <v>753</v>
      </c>
      <c r="L30" s="12" t="s">
        <v>1600</v>
      </c>
      <c r="M30" s="12" t="s">
        <v>727</v>
      </c>
      <c r="O30" s="22" t="s">
        <v>779</v>
      </c>
      <c r="P30" s="22" t="str">
        <f t="shared" si="2"/>
        <v>Interior Warehouse</v>
      </c>
      <c r="Q30" s="22" t="str">
        <f t="shared" si="1"/>
        <v>Controls_Interior_Basic</v>
      </c>
      <c r="R30" s="80" t="s">
        <v>215</v>
      </c>
      <c r="S30" s="80" t="s">
        <v>1920</v>
      </c>
      <c r="T30" s="80" t="s">
        <v>215</v>
      </c>
      <c r="U30" s="33"/>
      <c r="Y30" t="s">
        <v>2175</v>
      </c>
      <c r="Z30" s="222">
        <v>0.7</v>
      </c>
      <c r="AA30" s="222">
        <v>0.65</v>
      </c>
      <c r="AB30" t="s">
        <v>2019</v>
      </c>
      <c r="AC30" s="12">
        <v>2938</v>
      </c>
      <c r="AD30" s="1086">
        <v>0.17100000000000001</v>
      </c>
      <c r="AE30" s="1086">
        <v>0.35399999999999998</v>
      </c>
      <c r="AF30" s="1086">
        <f>ROUND((Table_LPA_Building_Area[[#This Row],[CFNDL]]*(1-AF$2))+(Table_LPA_Building_Area[[#This Row],[CFDL]]*AF$2),3)</f>
        <v>0.217</v>
      </c>
      <c r="AG30" s="1128">
        <f>ROUND(((Table_LPA_Building_Area[[#This Row],[CFDL]]-Table_LPA_Building_Area[[#This Row],[CFNDL]])/2)+Table_LPA_Building_Area[[#This Row],[CFNDL]],3)</f>
        <v>0.26300000000000001</v>
      </c>
      <c r="AH30" s="1085"/>
      <c r="AI30" s="1085"/>
      <c r="AJ30" s="1085"/>
      <c r="AL30" s="1319" t="s">
        <v>2175</v>
      </c>
      <c r="AM30" s="1319">
        <v>0.7</v>
      </c>
      <c r="AN30" s="1319"/>
      <c r="AQ30" t="s">
        <v>2431</v>
      </c>
      <c r="AR30" t="s">
        <v>2400</v>
      </c>
      <c r="AS30" t="s">
        <v>2432</v>
      </c>
      <c r="AT30" t="s">
        <v>2363</v>
      </c>
    </row>
    <row r="31" spans="2:46">
      <c r="B31" t="s">
        <v>2433</v>
      </c>
      <c r="C31" s="12">
        <v>0.77</v>
      </c>
      <c r="D31" s="12">
        <v>0.42</v>
      </c>
      <c r="E31" s="12">
        <v>20</v>
      </c>
      <c r="F31" s="12" t="str">
        <f>CONCATENATE("Interior ",Table_LPA_SxS[[#This Row],[Space-by-Space areas]])</f>
        <v>Interior Dining area: penitentiary</v>
      </c>
      <c r="G31" s="12" t="s">
        <v>215</v>
      </c>
      <c r="H31" s="12">
        <v>24</v>
      </c>
      <c r="I31" s="12" t="str">
        <f t="shared" si="0"/>
        <v>Controls_Interior_Basic</v>
      </c>
      <c r="J31" s="12" t="s">
        <v>1920</v>
      </c>
      <c r="K31" s="12" t="s">
        <v>753</v>
      </c>
      <c r="L31" s="12" t="s">
        <v>1600</v>
      </c>
      <c r="M31" s="12" t="s">
        <v>727</v>
      </c>
      <c r="O31" s="25" t="s">
        <v>781</v>
      </c>
      <c r="P31" s="25" t="str">
        <f t="shared" si="2"/>
        <v>Interior Warehouse (Top Lighted)</v>
      </c>
      <c r="Q31" s="25" t="str">
        <f t="shared" si="1"/>
        <v>Controls_Interior_LLLC</v>
      </c>
      <c r="R31" s="79" t="s">
        <v>237</v>
      </c>
      <c r="S31" s="79" t="s">
        <v>1920</v>
      </c>
      <c r="T31" s="79" t="s">
        <v>215</v>
      </c>
      <c r="U31" s="34"/>
      <c r="Y31" t="s">
        <v>2186</v>
      </c>
      <c r="Z31" s="222">
        <v>0.8</v>
      </c>
      <c r="AA31" s="222">
        <v>0.67</v>
      </c>
      <c r="AB31" t="s">
        <v>1961</v>
      </c>
      <c r="AC31" s="12">
        <v>3357</v>
      </c>
      <c r="AD31" s="1086">
        <v>0.27400000000000002</v>
      </c>
      <c r="AE31" s="1086">
        <v>0.42399999999999999</v>
      </c>
      <c r="AF31" s="1086">
        <f>ROUND((Table_LPA_Building_Area[[#This Row],[CFNDL]]*(1-AF$2))+(Table_LPA_Building_Area[[#This Row],[CFDL]]*AF$2),3)</f>
        <v>0.312</v>
      </c>
      <c r="AG31" s="1128">
        <f>ROUND(((Table_LPA_Building_Area[[#This Row],[CFDL]]-Table_LPA_Building_Area[[#This Row],[CFNDL]])/2)+Table_LPA_Building_Area[[#This Row],[CFNDL]],3)</f>
        <v>0.34899999999999998</v>
      </c>
      <c r="AH31" s="1085"/>
      <c r="AI31" s="1085"/>
      <c r="AJ31" s="1085"/>
      <c r="AL31" s="1319" t="s">
        <v>2186</v>
      </c>
      <c r="AM31" s="1319">
        <v>0.8</v>
      </c>
      <c r="AN31" s="1319"/>
      <c r="AQ31" t="s">
        <v>2434</v>
      </c>
      <c r="AR31" t="s">
        <v>2390</v>
      </c>
      <c r="AS31" t="s">
        <v>2363</v>
      </c>
      <c r="AT31" t="s">
        <v>2363</v>
      </c>
    </row>
    <row r="32" spans="2:46">
      <c r="B32" t="s">
        <v>2435</v>
      </c>
      <c r="C32" s="12">
        <v>0.3</v>
      </c>
      <c r="D32" s="12">
        <v>0.5</v>
      </c>
      <c r="E32" s="12">
        <v>20</v>
      </c>
      <c r="F32" s="12" t="str">
        <f>CONCATENATE("Interior ",Table_LPA_SxS[[#This Row],[Space-by-Space areas]])</f>
        <v>Interior Dormitory living quarters</v>
      </c>
      <c r="G32" s="12" t="s">
        <v>215</v>
      </c>
      <c r="H32" s="12">
        <v>59</v>
      </c>
      <c r="I32" s="12" t="str">
        <f t="shared" si="0"/>
        <v>Controls_Interior_Basic</v>
      </c>
      <c r="J32" s="12" t="s">
        <v>1920</v>
      </c>
      <c r="K32" s="12" t="s">
        <v>768</v>
      </c>
      <c r="L32" s="12" t="s">
        <v>1600</v>
      </c>
      <c r="M32" s="12" t="s">
        <v>727</v>
      </c>
      <c r="O32" s="22" t="s">
        <v>225</v>
      </c>
      <c r="P32" s="22" t="str">
        <f t="shared" si="2"/>
        <v>Interior Fixture Removed</v>
      </c>
      <c r="Q32" s="22" t="s">
        <v>1974</v>
      </c>
      <c r="R32" s="80" t="s">
        <v>215</v>
      </c>
      <c r="S32" s="80" t="s">
        <v>1974</v>
      </c>
      <c r="T32" s="80" t="s">
        <v>215</v>
      </c>
      <c r="U32" s="33"/>
      <c r="Y32" t="s">
        <v>774</v>
      </c>
      <c r="Z32" s="222">
        <v>1.01</v>
      </c>
      <c r="AA32" s="222">
        <v>0.84</v>
      </c>
      <c r="AB32" t="s">
        <v>774</v>
      </c>
      <c r="AC32" s="12">
        <v>3585</v>
      </c>
      <c r="AD32" s="1086">
        <v>0.13300000000000001</v>
      </c>
      <c r="AE32" s="1086">
        <v>0.374</v>
      </c>
      <c r="AF32" s="1086">
        <f>ROUND((Table_LPA_Building_Area[[#This Row],[CFNDL]]*(1-AF$2))+(Table_LPA_Building_Area[[#This Row],[CFDL]]*AF$2),3)</f>
        <v>0.193</v>
      </c>
      <c r="AG32" s="1128">
        <f>ROUND(((Table_LPA_Building_Area[[#This Row],[CFDL]]-Table_LPA_Building_Area[[#This Row],[CFNDL]])/2)+Table_LPA_Building_Area[[#This Row],[CFNDL]],3)</f>
        <v>0.254</v>
      </c>
      <c r="AH32" s="1085"/>
      <c r="AI32" s="1085"/>
      <c r="AJ32" s="1085"/>
      <c r="AL32" s="1319" t="s">
        <v>774</v>
      </c>
      <c r="AM32" s="1319">
        <v>1.01</v>
      </c>
      <c r="AN32" s="1319"/>
      <c r="AQ32" t="s">
        <v>2436</v>
      </c>
      <c r="AR32" t="s">
        <v>2366</v>
      </c>
      <c r="AS32" t="s">
        <v>2367</v>
      </c>
      <c r="AT32" t="s">
        <v>2363</v>
      </c>
    </row>
    <row r="33" spans="2:46">
      <c r="B33" t="s">
        <v>2437</v>
      </c>
      <c r="C33" s="12">
        <v>0.76</v>
      </c>
      <c r="D33" s="12">
        <v>0.43</v>
      </c>
      <c r="E33" s="12">
        <v>20</v>
      </c>
      <c r="F33" s="12" t="str">
        <f>CONCATENATE("Interior ",Table_LPA_SxS[[#This Row],[Space-by-Space areas]])</f>
        <v>Interior Electrical/mechanical</v>
      </c>
      <c r="G33" s="12" t="s">
        <v>215</v>
      </c>
      <c r="H33" s="12">
        <v>29</v>
      </c>
      <c r="I33" s="12" t="str">
        <f t="shared" ref="I33:I64" si="3">IF(G33="No","Controls_Interior_Basic", "Controls_Interior_LLLC")</f>
        <v>Controls_Interior_Basic</v>
      </c>
      <c r="J33" s="12" t="s">
        <v>1920</v>
      </c>
      <c r="K33" s="12" t="s">
        <v>768</v>
      </c>
      <c r="L33" s="12" t="s">
        <v>1600</v>
      </c>
      <c r="M33" s="12" t="s">
        <v>727</v>
      </c>
      <c r="O33" s="25" t="s">
        <v>2185</v>
      </c>
      <c r="P33" s="25" t="str">
        <f>CONCATENATE("Exterior ",O33)</f>
        <v>Exterior - Choose Exterior Area -</v>
      </c>
      <c r="Q33" s="25" t="s">
        <v>1948</v>
      </c>
      <c r="R33" s="79" t="s">
        <v>215</v>
      </c>
      <c r="S33" s="79" t="s">
        <v>1948</v>
      </c>
      <c r="T33" s="79" t="s">
        <v>215</v>
      </c>
      <c r="U33" s="34"/>
      <c r="Y33" t="s">
        <v>2201</v>
      </c>
      <c r="Z33" s="222">
        <v>0.7</v>
      </c>
      <c r="AA33" s="222">
        <v>0.7</v>
      </c>
      <c r="AB33" t="s">
        <v>2202</v>
      </c>
      <c r="AC33" s="12">
        <v>4193</v>
      </c>
      <c r="AD33" s="1086">
        <v>0.307</v>
      </c>
      <c r="AE33" s="1086">
        <v>0.45700000000000002</v>
      </c>
      <c r="AF33" s="1086">
        <f>ROUND((Table_LPA_Building_Area[[#This Row],[CFNDL]]*(1-AF$2))+(Table_LPA_Building_Area[[#This Row],[CFDL]]*AF$2),3)</f>
        <v>0.34499999999999997</v>
      </c>
      <c r="AG33" s="1128">
        <f>ROUND(((Table_LPA_Building_Area[[#This Row],[CFDL]]-Table_LPA_Building_Area[[#This Row],[CFNDL]])/2)+Table_LPA_Building_Area[[#This Row],[CFNDL]],3)</f>
        <v>0.38200000000000001</v>
      </c>
      <c r="AH33" s="1085"/>
      <c r="AI33" s="1085"/>
      <c r="AJ33" s="1085"/>
      <c r="AL33" s="1319" t="s">
        <v>2201</v>
      </c>
      <c r="AM33" s="1319">
        <v>0.7</v>
      </c>
      <c r="AN33" s="1319"/>
      <c r="AQ33" t="s">
        <v>2438</v>
      </c>
      <c r="AR33" t="s">
        <v>2370</v>
      </c>
      <c r="AS33" t="s">
        <v>2363</v>
      </c>
      <c r="AT33" t="s">
        <v>2363</v>
      </c>
    </row>
    <row r="34" spans="2:46">
      <c r="B34" t="s">
        <v>2439</v>
      </c>
      <c r="C34" s="12">
        <v>0.45</v>
      </c>
      <c r="D34" s="12">
        <v>0.52</v>
      </c>
      <c r="E34" s="12">
        <v>20</v>
      </c>
      <c r="F34" s="12" t="str">
        <f>CONCATENATE("Interior ",Table_LPA_SxS[[#This Row],[Space-by-Space areas]])</f>
        <v>Interior Emergency vehicle garage</v>
      </c>
      <c r="G34" s="12" t="s">
        <v>215</v>
      </c>
      <c r="H34" s="12">
        <v>30</v>
      </c>
      <c r="I34" s="12" t="str">
        <f t="shared" si="3"/>
        <v>Controls_Interior_Basic</v>
      </c>
      <c r="J34" s="12" t="s">
        <v>1920</v>
      </c>
      <c r="K34" s="12" t="s">
        <v>769</v>
      </c>
      <c r="L34" s="12" t="s">
        <v>1600</v>
      </c>
      <c r="M34" s="12" t="s">
        <v>727</v>
      </c>
      <c r="O34" s="22" t="s">
        <v>788</v>
      </c>
      <c r="P34" s="22" t="str">
        <f t="shared" ref="P34:P43" si="4">CONCATENATE("Exterior ",O34)</f>
        <v>Exterior Parking and drives</v>
      </c>
      <c r="Q34" s="22" t="s">
        <v>1948</v>
      </c>
      <c r="R34" s="80" t="s">
        <v>215</v>
      </c>
      <c r="S34" s="80" t="s">
        <v>1948</v>
      </c>
      <c r="T34" s="80" t="s">
        <v>215</v>
      </c>
      <c r="U34" s="33"/>
      <c r="Y34" t="s">
        <v>2440</v>
      </c>
      <c r="Z34" s="222">
        <v>0.62</v>
      </c>
      <c r="AA34" s="222">
        <v>0.7</v>
      </c>
      <c r="AB34" t="s">
        <v>2014</v>
      </c>
      <c r="AC34" s="12">
        <v>4193</v>
      </c>
      <c r="AD34" s="1086">
        <v>0.307</v>
      </c>
      <c r="AE34" s="1086">
        <v>0.45700000000000002</v>
      </c>
      <c r="AF34" s="1086">
        <f>ROUND((Table_LPA_Building_Area[[#This Row],[CFNDL]]*(1-AF$2))+(Table_LPA_Building_Area[[#This Row],[CFDL]]*AF$2),3)</f>
        <v>0.34499999999999997</v>
      </c>
      <c r="AG34" s="1128">
        <f>ROUND(((Table_LPA_Building_Area[[#This Row],[CFDL]]-Table_LPA_Building_Area[[#This Row],[CFNDL]])/2)+Table_LPA_Building_Area[[#This Row],[CFNDL]],3)</f>
        <v>0.38200000000000001</v>
      </c>
      <c r="AH34" s="1085"/>
      <c r="AI34" s="1085"/>
      <c r="AJ34" s="1085"/>
      <c r="AL34" s="1319" t="s">
        <v>2014</v>
      </c>
      <c r="AM34" s="1319">
        <v>0.7</v>
      </c>
      <c r="AN34" s="1319"/>
      <c r="AQ34" t="s">
        <v>2441</v>
      </c>
      <c r="AR34" t="s">
        <v>2387</v>
      </c>
      <c r="AS34" t="s">
        <v>2382</v>
      </c>
      <c r="AT34" t="s">
        <v>2374</v>
      </c>
    </row>
    <row r="35" spans="2:46">
      <c r="B35" t="s">
        <v>2442</v>
      </c>
      <c r="C35" s="12">
        <v>1.77</v>
      </c>
      <c r="D35" s="12">
        <v>0.7</v>
      </c>
      <c r="E35" s="12">
        <v>20</v>
      </c>
      <c r="F35" s="12" t="str">
        <f>CONCATENATE("Interior ",Table_LPA_SxS[[#This Row],[Space-by-Space areas]])</f>
        <v>Interior Facility for the visually impaired: Chapel</v>
      </c>
      <c r="G35" s="12" t="s">
        <v>215</v>
      </c>
      <c r="H35" s="12">
        <v>60</v>
      </c>
      <c r="I35" s="12" t="str">
        <f t="shared" si="3"/>
        <v>Controls_Interior_Basic</v>
      </c>
      <c r="J35" s="12" t="s">
        <v>1920</v>
      </c>
      <c r="K35" s="12" t="s">
        <v>768</v>
      </c>
      <c r="L35" s="12" t="s">
        <v>1600</v>
      </c>
      <c r="M35" s="12" t="s">
        <v>727</v>
      </c>
      <c r="O35" s="25" t="s">
        <v>789</v>
      </c>
      <c r="P35" s="25" t="str">
        <f t="shared" si="4"/>
        <v>Exterior Walkways and Plaza</v>
      </c>
      <c r="Q35" s="25" t="s">
        <v>1948</v>
      </c>
      <c r="R35" s="79" t="s">
        <v>215</v>
      </c>
      <c r="S35" s="79" t="s">
        <v>1948</v>
      </c>
      <c r="T35" s="79" t="s">
        <v>215</v>
      </c>
      <c r="U35" s="34"/>
      <c r="Y35" t="s">
        <v>2217</v>
      </c>
      <c r="Z35" s="222">
        <v>0.71</v>
      </c>
      <c r="AA35" s="222">
        <v>0.62</v>
      </c>
      <c r="AB35" t="s">
        <v>1961</v>
      </c>
      <c r="AC35" s="12">
        <v>3357</v>
      </c>
      <c r="AD35" s="1086">
        <v>0.29499999999999998</v>
      </c>
      <c r="AE35" s="1086">
        <v>0.45600000000000002</v>
      </c>
      <c r="AF35" s="1086">
        <f>ROUND((Table_LPA_Building_Area[[#This Row],[CFNDL]]*(1-AF$2))+(Table_LPA_Building_Area[[#This Row],[CFDL]]*AF$2),3)</f>
        <v>0.33500000000000002</v>
      </c>
      <c r="AG35" s="1128">
        <f>ROUND(((Table_LPA_Building_Area[[#This Row],[CFDL]]-Table_LPA_Building_Area[[#This Row],[CFNDL]])/2)+Table_LPA_Building_Area[[#This Row],[CFNDL]],3)</f>
        <v>0.376</v>
      </c>
      <c r="AH35" s="1085"/>
      <c r="AI35" s="1085"/>
      <c r="AJ35" s="1085"/>
      <c r="AL35" s="1319" t="s">
        <v>2217</v>
      </c>
      <c r="AM35" s="1319">
        <v>0.62</v>
      </c>
      <c r="AN35" s="1319"/>
      <c r="AQ35" t="s">
        <v>2278</v>
      </c>
      <c r="AR35" t="s">
        <v>2443</v>
      </c>
      <c r="AS35" t="s">
        <v>2363</v>
      </c>
      <c r="AT35" t="s">
        <v>2363</v>
      </c>
    </row>
    <row r="36" spans="2:46">
      <c r="B36" t="s">
        <v>2444</v>
      </c>
      <c r="C36" s="12">
        <v>1.93</v>
      </c>
      <c r="D36" s="12">
        <v>1.77</v>
      </c>
      <c r="E36" s="12">
        <v>20</v>
      </c>
      <c r="F36" s="12" t="str">
        <f>CONCATENATE("Interior ",Table_LPA_SxS[[#This Row],[Space-by-Space areas]])</f>
        <v>Interior Facility for the visually impaired: Recreation room</v>
      </c>
      <c r="G36" s="12" t="s">
        <v>215</v>
      </c>
      <c r="H36" s="12">
        <v>61</v>
      </c>
      <c r="I36" s="12" t="str">
        <f t="shared" si="3"/>
        <v>Controls_Interior_Basic</v>
      </c>
      <c r="J36" s="12" t="s">
        <v>1920</v>
      </c>
      <c r="K36" s="12" t="s">
        <v>768</v>
      </c>
      <c r="L36" s="12" t="s">
        <v>1600</v>
      </c>
      <c r="M36" s="12" t="s">
        <v>727</v>
      </c>
      <c r="O36" s="22" t="s">
        <v>790</v>
      </c>
      <c r="P36" s="22" t="str">
        <f t="shared" si="4"/>
        <v>Exterior Stairways</v>
      </c>
      <c r="Q36" s="22" t="s">
        <v>1948</v>
      </c>
      <c r="R36" s="80" t="s">
        <v>215</v>
      </c>
      <c r="S36" s="80" t="s">
        <v>1948</v>
      </c>
      <c r="T36" s="80" t="s">
        <v>215</v>
      </c>
      <c r="U36" s="33"/>
      <c r="Y36" t="s">
        <v>2226</v>
      </c>
      <c r="Z36" s="222">
        <v>0.56000000000000005</v>
      </c>
      <c r="AA36" s="222">
        <v>0.69</v>
      </c>
      <c r="AB36" t="s">
        <v>1961</v>
      </c>
      <c r="AC36" s="12">
        <v>2938</v>
      </c>
      <c r="AD36" s="1086">
        <v>0.33700000000000002</v>
      </c>
      <c r="AE36" s="1086">
        <v>0.47799999999999998</v>
      </c>
      <c r="AF36" s="1086">
        <f>ROUND((Table_LPA_Building_Area[[#This Row],[CFNDL]]*(1-AF$2))+(Table_LPA_Building_Area[[#This Row],[CFDL]]*AF$2),3)</f>
        <v>0.372</v>
      </c>
      <c r="AG36" s="1128">
        <f>ROUND(((Table_LPA_Building_Area[[#This Row],[CFDL]]-Table_LPA_Building_Area[[#This Row],[CFNDL]])/2)+Table_LPA_Building_Area[[#This Row],[CFNDL]],3)</f>
        <v>0.40799999999999997</v>
      </c>
      <c r="AH36" s="1085"/>
      <c r="AI36" s="1085"/>
      <c r="AJ36" s="1085"/>
      <c r="AL36" s="1319"/>
      <c r="AM36" s="1319"/>
      <c r="AN36" s="1319"/>
      <c r="AQ36" t="s">
        <v>2445</v>
      </c>
      <c r="AR36" t="s">
        <v>2362</v>
      </c>
      <c r="AS36" t="s">
        <v>2363</v>
      </c>
      <c r="AT36" t="s">
        <v>2363</v>
      </c>
    </row>
    <row r="37" spans="2:46">
      <c r="B37" t="s">
        <v>2446</v>
      </c>
      <c r="C37" s="12">
        <v>0.45</v>
      </c>
      <c r="D37" s="12">
        <v>0.45</v>
      </c>
      <c r="E37" s="12">
        <v>20</v>
      </c>
      <c r="F37" s="12" t="str">
        <f>CONCATENATE("Interior ",Table_LPA_SxS[[#This Row],[Space-by-Space areas]])</f>
        <v>Interior Fire stations: Engine rooms</v>
      </c>
      <c r="G37" s="12" t="s">
        <v>215</v>
      </c>
      <c r="H37" s="12">
        <v>62</v>
      </c>
      <c r="I37" s="12" t="str">
        <f t="shared" si="3"/>
        <v>Controls_Interior_Basic</v>
      </c>
      <c r="J37" s="12" t="s">
        <v>1920</v>
      </c>
      <c r="K37" s="12" t="s">
        <v>768</v>
      </c>
      <c r="L37" s="12" t="s">
        <v>1600</v>
      </c>
      <c r="M37" s="12" t="s">
        <v>727</v>
      </c>
      <c r="O37" s="25" t="s">
        <v>791</v>
      </c>
      <c r="P37" s="25" t="str">
        <f t="shared" si="4"/>
        <v>Exterior Pedestrian tunnels</v>
      </c>
      <c r="Q37" s="25" t="s">
        <v>1948</v>
      </c>
      <c r="R37" s="79" t="s">
        <v>215</v>
      </c>
      <c r="S37" s="79" t="s">
        <v>1948</v>
      </c>
      <c r="T37" s="79" t="s">
        <v>215</v>
      </c>
      <c r="U37" s="34"/>
      <c r="Y37" t="s">
        <v>2234</v>
      </c>
      <c r="Z37" s="222">
        <v>0.4</v>
      </c>
      <c r="AA37" s="222">
        <v>0.5</v>
      </c>
      <c r="AB37" t="s">
        <v>768</v>
      </c>
      <c r="AC37" s="12">
        <v>5439</v>
      </c>
      <c r="AD37" s="1086">
        <v>0.26700000000000002</v>
      </c>
      <c r="AE37" s="1086">
        <v>0.44600000000000001</v>
      </c>
      <c r="AF37" s="1086">
        <f>ROUND((Table_LPA_Building_Area[[#This Row],[CFNDL]]*(1-AF$2))+(Table_LPA_Building_Area[[#This Row],[CFDL]]*AF$2),3)</f>
        <v>0.312</v>
      </c>
      <c r="AG37" s="1128">
        <f>ROUND(((Table_LPA_Building_Area[[#This Row],[CFDL]]-Table_LPA_Building_Area[[#This Row],[CFNDL]])/2)+Table_LPA_Building_Area[[#This Row],[CFNDL]],3)</f>
        <v>0.35699999999999998</v>
      </c>
      <c r="AH37" s="1085"/>
      <c r="AI37" s="1085"/>
      <c r="AJ37" s="1085"/>
      <c r="AL37" s="1319" t="s">
        <v>2226</v>
      </c>
      <c r="AM37" s="1319">
        <v>0.71</v>
      </c>
      <c r="AN37" s="1319"/>
    </row>
    <row r="38" spans="2:46">
      <c r="B38" t="s">
        <v>2447</v>
      </c>
      <c r="C38" s="12">
        <v>0.18</v>
      </c>
      <c r="D38" s="12">
        <v>0.23</v>
      </c>
      <c r="E38" s="12">
        <v>20</v>
      </c>
      <c r="F38" s="12" t="str">
        <f>CONCATENATE("Interior ",Table_LPA_SxS[[#This Row],[Space-by-Space areas]])</f>
        <v>Interior Fire stations: Sleeping quarters</v>
      </c>
      <c r="G38" s="12" t="s">
        <v>215</v>
      </c>
      <c r="H38" s="12">
        <v>63</v>
      </c>
      <c r="I38" s="12" t="str">
        <f t="shared" si="3"/>
        <v>Controls_Interior_Basic</v>
      </c>
      <c r="J38" s="12" t="s">
        <v>1920</v>
      </c>
      <c r="K38" s="12" t="s">
        <v>768</v>
      </c>
      <c r="L38" s="12" t="s">
        <v>1600</v>
      </c>
      <c r="M38" s="12" t="s">
        <v>727</v>
      </c>
      <c r="O38" s="22" t="s">
        <v>792</v>
      </c>
      <c r="P38" s="22" t="str">
        <f t="shared" si="4"/>
        <v>Exterior Entry canopies</v>
      </c>
      <c r="Q38" s="22" t="s">
        <v>1948</v>
      </c>
      <c r="R38" s="80" t="s">
        <v>215</v>
      </c>
      <c r="S38" s="80" t="s">
        <v>1948</v>
      </c>
      <c r="T38" s="80" t="s">
        <v>215</v>
      </c>
      <c r="U38" s="33"/>
      <c r="Y38" t="s">
        <v>2448</v>
      </c>
      <c r="Z38" s="222">
        <v>0.4</v>
      </c>
      <c r="AA38" s="222">
        <v>0.4</v>
      </c>
      <c r="AB38" t="s">
        <v>779</v>
      </c>
      <c r="AC38" s="12">
        <v>2837</v>
      </c>
      <c r="AD38" s="1086">
        <v>0.17599999999999999</v>
      </c>
      <c r="AE38" s="1086">
        <v>0.38100000000000001</v>
      </c>
      <c r="AF38" s="1086">
        <f>ROUND((Table_LPA_Building_Area[[#This Row],[CFNDL]]*(1-AF$2))+(Table_LPA_Building_Area[[#This Row],[CFDL]]*AF$2),3)</f>
        <v>0.22700000000000001</v>
      </c>
      <c r="AG38" s="1128">
        <f>ROUND(((Table_LPA_Building_Area[[#This Row],[CFDL]]-Table_LPA_Building_Area[[#This Row],[CFNDL]])/2)+Table_LPA_Building_Area[[#This Row],[CFNDL]],3)</f>
        <v>0.27900000000000003</v>
      </c>
      <c r="AH38" s="1085"/>
      <c r="AI38" s="1085"/>
      <c r="AJ38" s="1085"/>
      <c r="AL38" s="1319" t="s">
        <v>2234</v>
      </c>
      <c r="AM38" s="1319">
        <v>0.56000000000000005</v>
      </c>
      <c r="AN38" s="1319"/>
    </row>
    <row r="39" spans="2:46">
      <c r="B39" t="s">
        <v>2449</v>
      </c>
      <c r="C39" s="12">
        <v>0.79</v>
      </c>
      <c r="D39" s="12">
        <v>1.0900000000000001</v>
      </c>
      <c r="E39" s="12">
        <v>20</v>
      </c>
      <c r="F39" s="12" t="str">
        <f>CONCATENATE("Interior ",Table_LPA_SxS[[#This Row],[Space-by-Space areas]])</f>
        <v>Interior Food preparation</v>
      </c>
      <c r="G39" s="12" t="s">
        <v>215</v>
      </c>
      <c r="H39" s="12">
        <v>31</v>
      </c>
      <c r="I39" s="12" t="str">
        <f t="shared" si="3"/>
        <v>Controls_Interior_Basic</v>
      </c>
      <c r="J39" s="12" t="s">
        <v>1920</v>
      </c>
      <c r="K39" s="12" t="s">
        <v>762</v>
      </c>
      <c r="L39" s="12" t="s">
        <v>1600</v>
      </c>
      <c r="M39" s="12" t="s">
        <v>727</v>
      </c>
      <c r="O39" s="25" t="s">
        <v>793</v>
      </c>
      <c r="P39" s="25" t="str">
        <f t="shared" si="4"/>
        <v>Exterior Sales Canopies</v>
      </c>
      <c r="Q39" s="25" t="s">
        <v>1948</v>
      </c>
      <c r="R39" s="79" t="s">
        <v>215</v>
      </c>
      <c r="S39" s="79" t="s">
        <v>1948</v>
      </c>
      <c r="T39" s="79" t="s">
        <v>215</v>
      </c>
      <c r="U39" s="34"/>
      <c r="Y39" t="s">
        <v>2450</v>
      </c>
      <c r="Z39" s="222">
        <v>0.4</v>
      </c>
      <c r="AA39" s="222">
        <v>0.4</v>
      </c>
      <c r="AB39" t="s">
        <v>779</v>
      </c>
      <c r="AC39" s="12">
        <v>4965</v>
      </c>
      <c r="AD39" s="1086">
        <v>0.17599999999999999</v>
      </c>
      <c r="AE39" s="1086">
        <v>0.31</v>
      </c>
      <c r="AF39" s="1086">
        <f>ROUND((Table_LPA_Building_Area[[#This Row],[CFNDL]]*(1-AF$2))+(Table_LPA_Building_Area[[#This Row],[CFDL]]*AF$2),3)</f>
        <v>0.21</v>
      </c>
      <c r="AG39" s="1128">
        <f>ROUND(((Table_LPA_Building_Area[[#This Row],[CFDL]]-Table_LPA_Building_Area[[#This Row],[CFNDL]])/2)+Table_LPA_Building_Area[[#This Row],[CFNDL]],3)</f>
        <v>0.24299999999999999</v>
      </c>
      <c r="AL39" s="1319" t="s">
        <v>779</v>
      </c>
      <c r="AM39" s="1319">
        <v>0.4</v>
      </c>
      <c r="AN39" s="1319"/>
    </row>
    <row r="40" spans="2:46">
      <c r="B40" t="s">
        <v>2451</v>
      </c>
      <c r="C40" s="12">
        <v>0.38</v>
      </c>
      <c r="D40" s="12">
        <v>0.41</v>
      </c>
      <c r="E40" s="12">
        <v>20</v>
      </c>
      <c r="F40" s="12" t="str">
        <f>CONCATENATE("Interior ",Table_LPA_SxS[[#This Row],[Space-by-Space areas]])</f>
        <v>Interior Guest room</v>
      </c>
      <c r="G40" s="12" t="s">
        <v>215</v>
      </c>
      <c r="H40" s="12">
        <v>32</v>
      </c>
      <c r="I40" s="12" t="str">
        <f t="shared" si="3"/>
        <v>Controls_Interior_Basic</v>
      </c>
      <c r="J40" s="12" t="s">
        <v>1920</v>
      </c>
      <c r="K40" s="39" t="s">
        <v>766</v>
      </c>
      <c r="L40" s="12" t="s">
        <v>1600</v>
      </c>
      <c r="M40" s="12" t="s">
        <v>727</v>
      </c>
      <c r="O40" s="22" t="s">
        <v>794</v>
      </c>
      <c r="P40" s="22" t="str">
        <f t="shared" si="4"/>
        <v>Exterior Outdoor Sales</v>
      </c>
      <c r="Q40" s="22" t="s">
        <v>1948</v>
      </c>
      <c r="R40" s="80" t="s">
        <v>215</v>
      </c>
      <c r="S40" s="80" t="s">
        <v>1948</v>
      </c>
      <c r="T40" s="80" t="s">
        <v>215</v>
      </c>
      <c r="U40" s="33"/>
      <c r="Y40" t="s">
        <v>2452</v>
      </c>
      <c r="Z40" s="222">
        <v>0.4</v>
      </c>
      <c r="AA40" s="222">
        <v>0.4</v>
      </c>
      <c r="AB40" t="s">
        <v>779</v>
      </c>
      <c r="AC40" s="12">
        <v>7093</v>
      </c>
      <c r="AD40" s="1086">
        <v>0.17599999999999999</v>
      </c>
      <c r="AE40" s="1086">
        <v>0.27</v>
      </c>
      <c r="AF40" s="1086">
        <f>ROUND((Table_LPA_Building_Area[[#This Row],[CFNDL]]*(1-AF$2))+(Table_LPA_Building_Area[[#This Row],[CFDL]]*AF$2),3)</f>
        <v>0.2</v>
      </c>
      <c r="AG40" s="1128">
        <f>ROUND(((Table_LPA_Building_Area[[#This Row],[CFDL]]-Table_LPA_Building_Area[[#This Row],[CFNDL]])/2)+Table_LPA_Building_Area[[#This Row],[CFNDL]],3)</f>
        <v>0.223</v>
      </c>
      <c r="AL40" s="1319" t="s">
        <v>2245</v>
      </c>
      <c r="AM40" s="1319">
        <v>0.95</v>
      </c>
      <c r="AN40" s="1319"/>
    </row>
    <row r="41" spans="2:46">
      <c r="B41" t="s">
        <v>2453</v>
      </c>
      <c r="C41" s="12">
        <v>0.57999999999999996</v>
      </c>
      <c r="D41" s="12">
        <v>0.9</v>
      </c>
      <c r="E41" s="12">
        <v>20</v>
      </c>
      <c r="F41" s="12" t="str">
        <f>CONCATENATE("Interior ",Table_LPA_SxS[[#This Row],[Space-by-Space areas]])</f>
        <v>Interior Gymnasium/fitness center: Exercise area</v>
      </c>
      <c r="G41" s="12" t="s">
        <v>215</v>
      </c>
      <c r="H41" s="12">
        <v>64</v>
      </c>
      <c r="I41" s="12" t="str">
        <f t="shared" si="3"/>
        <v>Controls_Interior_Basic</v>
      </c>
      <c r="J41" s="12" t="s">
        <v>1920</v>
      </c>
      <c r="K41" s="12" t="s">
        <v>755</v>
      </c>
      <c r="L41" s="12" t="s">
        <v>1600</v>
      </c>
      <c r="M41" s="12" t="s">
        <v>727</v>
      </c>
      <c r="O41" s="25" t="s">
        <v>795</v>
      </c>
      <c r="P41" s="25" t="str">
        <f t="shared" si="4"/>
        <v>Exterior Building facades</v>
      </c>
      <c r="Q41" s="25" t="s">
        <v>1948</v>
      </c>
      <c r="R41" s="79" t="s">
        <v>215</v>
      </c>
      <c r="S41" s="25" t="s">
        <v>1948</v>
      </c>
      <c r="T41" s="79" t="s">
        <v>215</v>
      </c>
      <c r="U41" s="34"/>
      <c r="Y41" t="s">
        <v>2245</v>
      </c>
      <c r="Z41" s="222">
        <v>0.95</v>
      </c>
      <c r="AA41" s="222">
        <v>0.91</v>
      </c>
      <c r="AB41" t="s">
        <v>768</v>
      </c>
      <c r="AC41" s="12">
        <v>3289</v>
      </c>
      <c r="AD41" s="1086">
        <v>0.18099999999999999</v>
      </c>
      <c r="AE41" s="1086">
        <v>0.39100000000000001</v>
      </c>
      <c r="AF41" s="1086">
        <f>ROUND((Table_LPA_Building_Area[[#This Row],[CFNDL]]*(1-AF$2))+(Table_LPA_Building_Area[[#This Row],[CFDL]]*AF$2),3)</f>
        <v>0.23400000000000001</v>
      </c>
      <c r="AG41" s="1128">
        <f>ROUND(((Table_LPA_Building_Area[[#This Row],[CFDL]]-Table_LPA_Building_Area[[#This Row],[CFNDL]])/2)+Table_LPA_Building_Area[[#This Row],[CFNDL]],3)</f>
        <v>0.28599999999999998</v>
      </c>
    </row>
    <row r="42" spans="2:46">
      <c r="B42" t="s">
        <v>2454</v>
      </c>
      <c r="C42" s="12">
        <v>0.57999999999999996</v>
      </c>
      <c r="D42" s="12">
        <v>0.9</v>
      </c>
      <c r="E42" s="12">
        <v>20</v>
      </c>
      <c r="F42" s="12" t="str">
        <f>CONCATENATE("Interior ",Table_LPA_SxS[[#This Row],[Space-by-Space areas]])</f>
        <v>Interior Gymnasium/fitness center: Exercise area (Top Lighted)</v>
      </c>
      <c r="G42" s="12" t="s">
        <v>237</v>
      </c>
      <c r="H42" s="12">
        <v>64</v>
      </c>
      <c r="I42" s="12" t="str">
        <f t="shared" si="3"/>
        <v>Controls_Interior_LLLC</v>
      </c>
      <c r="J42" s="12" t="s">
        <v>1920</v>
      </c>
      <c r="K42" s="12" t="s">
        <v>755</v>
      </c>
      <c r="L42" s="12" t="s">
        <v>1600</v>
      </c>
      <c r="M42" s="12" t="s">
        <v>727</v>
      </c>
      <c r="O42" s="22" t="s">
        <v>796</v>
      </c>
      <c r="P42" s="22" t="str">
        <f t="shared" si="4"/>
        <v>Exterior Other Exterior Area</v>
      </c>
      <c r="Q42" s="22" t="s">
        <v>1948</v>
      </c>
      <c r="R42" s="80" t="s">
        <v>215</v>
      </c>
      <c r="S42" s="22" t="s">
        <v>1948</v>
      </c>
      <c r="T42" s="80" t="s">
        <v>215</v>
      </c>
      <c r="U42" s="33"/>
      <c r="Y42" t="s">
        <v>1995</v>
      </c>
      <c r="Z42" s="222"/>
      <c r="AA42" s="222"/>
      <c r="AB42" s="450" t="s">
        <v>1995</v>
      </c>
      <c r="AC42" s="12"/>
      <c r="AD42" s="1086" t="e">
        <v>#N/A</v>
      </c>
      <c r="AE42" s="1086" t="e">
        <v>#N/A</v>
      </c>
      <c r="AF42" s="1086" t="e">
        <f>ROUND((Table_LPA_Building_Area[[#This Row],[CFNDL]]*(1-AF$2))+(Table_LPA_Building_Area[[#This Row],[CFDL]]*AF$2),3)</f>
        <v>#N/A</v>
      </c>
      <c r="AG42" s="1128" t="e">
        <f>ROUND(((Table_LPA_Building_Area[[#This Row],[CFDL]]-Table_LPA_Building_Area[[#This Row],[CFNDL]])/2)+Table_LPA_Building_Area[[#This Row],[CFNDL]],3)</f>
        <v>#N/A</v>
      </c>
    </row>
    <row r="43" spans="2:46">
      <c r="B43" t="s">
        <v>2455</v>
      </c>
      <c r="C43" s="12">
        <v>0.96</v>
      </c>
      <c r="D43" s="12">
        <v>0.85</v>
      </c>
      <c r="E43" s="12">
        <v>20</v>
      </c>
      <c r="F43" s="12" t="str">
        <f>CONCATENATE("Interior ",Table_LPA_SxS[[#This Row],[Space-by-Space areas]])</f>
        <v>Interior Gymnasium/fitness center: Playing area</v>
      </c>
      <c r="G43" s="12" t="s">
        <v>215</v>
      </c>
      <c r="H43" s="12">
        <v>65</v>
      </c>
      <c r="I43" s="12" t="str">
        <f t="shared" si="3"/>
        <v>Controls_Interior_Basic</v>
      </c>
      <c r="J43" s="12" t="s">
        <v>1920</v>
      </c>
      <c r="K43" s="12" t="s">
        <v>755</v>
      </c>
      <c r="L43" s="12" t="s">
        <v>1600</v>
      </c>
      <c r="M43" s="12" t="s">
        <v>727</v>
      </c>
      <c r="O43" s="25" t="s">
        <v>797</v>
      </c>
      <c r="P43" s="25" t="str">
        <f t="shared" si="4"/>
        <v>Exterior Street</v>
      </c>
      <c r="Q43" s="25" t="s">
        <v>1948</v>
      </c>
      <c r="R43" s="79" t="s">
        <v>215</v>
      </c>
      <c r="S43" s="25" t="s">
        <v>1948</v>
      </c>
      <c r="T43" s="79" t="s">
        <v>215</v>
      </c>
      <c r="U43" s="34"/>
      <c r="Y43" t="s">
        <v>2222</v>
      </c>
      <c r="Z43" s="222"/>
      <c r="AA43" s="222"/>
      <c r="AB43" s="450" t="s">
        <v>768</v>
      </c>
      <c r="AC43" s="12">
        <v>4200</v>
      </c>
      <c r="AD43" s="1086" t="e">
        <v>#N/A</v>
      </c>
      <c r="AE43" s="1086" t="e">
        <v>#N/A</v>
      </c>
      <c r="AF43" s="1086" t="e">
        <f>ROUND((Table_LPA_Building_Area[[#This Row],[CFNDL]]*(1-AF$2))+(Table_LPA_Building_Area[[#This Row],[CFDL]]*AF$2),3)</f>
        <v>#N/A</v>
      </c>
      <c r="AG43" s="1128" t="e">
        <f>ROUND(((Table_LPA_Building_Area[[#This Row],[CFDL]]-Table_LPA_Building_Area[[#This Row],[CFNDL]])/2)+Table_LPA_Building_Area[[#This Row],[CFNDL]],3)</f>
        <v>#N/A</v>
      </c>
    </row>
    <row r="44" spans="2:46">
      <c r="B44" t="s">
        <v>2456</v>
      </c>
      <c r="C44" s="12">
        <v>0.96</v>
      </c>
      <c r="D44" s="12">
        <v>0.85</v>
      </c>
      <c r="E44" s="12">
        <v>20</v>
      </c>
      <c r="F44" s="12" t="str">
        <f>CONCATENATE("Interior ",Table_LPA_SxS[[#This Row],[Space-by-Space areas]])</f>
        <v>Interior Gymnasium/fitness center: Playing area (Top Lighted)</v>
      </c>
      <c r="G44" s="12" t="s">
        <v>237</v>
      </c>
      <c r="H44" s="12">
        <v>65</v>
      </c>
      <c r="I44" s="12" t="str">
        <f t="shared" si="3"/>
        <v>Controls_Interior_LLLC</v>
      </c>
      <c r="J44" s="12" t="s">
        <v>1920</v>
      </c>
      <c r="K44" s="12" t="s">
        <v>755</v>
      </c>
      <c r="L44" s="12" t="s">
        <v>1600</v>
      </c>
      <c r="M44" s="12" t="s">
        <v>727</v>
      </c>
      <c r="O44" s="27" t="s">
        <v>225</v>
      </c>
      <c r="P44" s="27" t="str">
        <f>CONCATENATE("Exterior ",O44)</f>
        <v>Exterior Fixture Removed</v>
      </c>
      <c r="Q44" s="27" t="s">
        <v>1974</v>
      </c>
      <c r="R44" s="27" t="s">
        <v>215</v>
      </c>
      <c r="S44" s="27" t="s">
        <v>1974</v>
      </c>
      <c r="T44" s="80" t="s">
        <v>215</v>
      </c>
      <c r="U44" s="82"/>
    </row>
    <row r="45" spans="2:46">
      <c r="B45" t="s">
        <v>2457</v>
      </c>
      <c r="C45" s="12">
        <v>1.33</v>
      </c>
      <c r="D45" s="12">
        <v>1.4</v>
      </c>
      <c r="E45" s="12">
        <v>20</v>
      </c>
      <c r="F45" s="12" t="str">
        <f>CONCATENATE("Interior ",Table_LPA_SxS[[#This Row],[Space-by-Space areas]])</f>
        <v>Interior Health care facility: Exam/treatment</v>
      </c>
      <c r="G45" s="12" t="s">
        <v>215</v>
      </c>
      <c r="H45" s="12">
        <v>66</v>
      </c>
      <c r="I45" s="12" t="str">
        <f t="shared" si="3"/>
        <v>Controls_Interior_Basic</v>
      </c>
      <c r="J45" s="12" t="s">
        <v>1920</v>
      </c>
      <c r="K45" s="12" t="s">
        <v>768</v>
      </c>
      <c r="L45" s="12" t="s">
        <v>1600</v>
      </c>
      <c r="M45" s="12" t="s">
        <v>727</v>
      </c>
    </row>
    <row r="46" spans="2:46">
      <c r="B46" t="s">
        <v>2458</v>
      </c>
      <c r="C46" s="12">
        <v>1.06</v>
      </c>
      <c r="D46" s="12">
        <v>0.94</v>
      </c>
      <c r="E46" s="12">
        <v>20</v>
      </c>
      <c r="F46" s="12" t="str">
        <f>CONCATENATE("Interior ",Table_LPA_SxS[[#This Row],[Space-by-Space areas]])</f>
        <v>Interior Health care facility: Imaging room</v>
      </c>
      <c r="G46" s="12" t="s">
        <v>215</v>
      </c>
      <c r="H46" s="12">
        <v>67</v>
      </c>
      <c r="I46" s="12" t="str">
        <f t="shared" si="3"/>
        <v>Controls_Interior_Basic</v>
      </c>
      <c r="J46" s="12" t="s">
        <v>1920</v>
      </c>
      <c r="K46" s="12" t="s">
        <v>768</v>
      </c>
      <c r="L46" s="12" t="s">
        <v>1600</v>
      </c>
      <c r="M46" s="12" t="s">
        <v>727</v>
      </c>
    </row>
    <row r="47" spans="2:46">
      <c r="B47" t="s">
        <v>2459</v>
      </c>
      <c r="C47" s="12">
        <v>0.59</v>
      </c>
      <c r="D47" s="12">
        <v>0.62</v>
      </c>
      <c r="E47" s="12">
        <v>20</v>
      </c>
      <c r="F47" s="12" t="str">
        <f>CONCATENATE("Interior ",Table_LPA_SxS[[#This Row],[Space-by-Space areas]])</f>
        <v>Interior Health care facility: Medical supplies</v>
      </c>
      <c r="G47" s="12" t="s">
        <v>215</v>
      </c>
      <c r="H47" s="12">
        <v>68</v>
      </c>
      <c r="I47" s="12" t="str">
        <f t="shared" si="3"/>
        <v>Controls_Interior_Basic</v>
      </c>
      <c r="J47" s="12" t="s">
        <v>1920</v>
      </c>
      <c r="K47" s="12" t="s">
        <v>768</v>
      </c>
      <c r="L47" s="12" t="s">
        <v>1600</v>
      </c>
      <c r="M47" s="12" t="s">
        <v>700</v>
      </c>
      <c r="AH47" s="12" t="s">
        <v>365</v>
      </c>
      <c r="AI47" s="12" t="s">
        <v>554</v>
      </c>
      <c r="AJ47" s="12" t="s">
        <v>554</v>
      </c>
      <c r="AK47">
        <v>0.75</v>
      </c>
    </row>
    <row r="48" spans="2:46">
      <c r="B48" t="s">
        <v>2460</v>
      </c>
      <c r="C48" s="12">
        <v>0.56999999999999995</v>
      </c>
      <c r="D48" s="12">
        <v>1.17</v>
      </c>
      <c r="E48" s="12">
        <v>20</v>
      </c>
      <c r="F48" s="12" t="str">
        <f>CONCATENATE("Interior ",Table_LPA_SxS[[#This Row],[Space-by-Space areas]])</f>
        <v>Interior Health care facility: Nurse station</v>
      </c>
      <c r="G48" s="12" t="s">
        <v>215</v>
      </c>
      <c r="H48" s="12">
        <v>70</v>
      </c>
      <c r="I48" s="12" t="str">
        <f t="shared" si="3"/>
        <v>Controls_Interior_Basic</v>
      </c>
      <c r="J48" s="12" t="s">
        <v>1920</v>
      </c>
      <c r="K48" s="12" t="s">
        <v>768</v>
      </c>
      <c r="L48" s="12" t="s">
        <v>1600</v>
      </c>
      <c r="M48" s="12" t="s">
        <v>727</v>
      </c>
      <c r="AH48" s="12">
        <v>3200</v>
      </c>
      <c r="AI48" s="12" t="s">
        <v>226</v>
      </c>
      <c r="AJ48" s="12" t="s">
        <v>345</v>
      </c>
    </row>
    <row r="49" spans="2:37">
      <c r="B49" t="s">
        <v>2461</v>
      </c>
      <c r="C49" s="12">
        <v>0.7</v>
      </c>
      <c r="D49" s="12">
        <v>0.92</v>
      </c>
      <c r="E49" s="12">
        <v>20</v>
      </c>
      <c r="F49" s="12" t="str">
        <f>CONCATENATE("Interior ",Table_LPA_SxS[[#This Row],[Space-by-Space areas]])</f>
        <v>Interior Health care facility: Nursery</v>
      </c>
      <c r="G49" s="12" t="s">
        <v>215</v>
      </c>
      <c r="H49" s="12">
        <v>69</v>
      </c>
      <c r="I49" s="12" t="str">
        <f t="shared" si="3"/>
        <v>Controls_Interior_Basic</v>
      </c>
      <c r="J49" s="12" t="s">
        <v>1920</v>
      </c>
      <c r="K49" s="12" t="s">
        <v>768</v>
      </c>
      <c r="L49" s="12" t="s">
        <v>1600</v>
      </c>
      <c r="M49" s="12" t="s">
        <v>727</v>
      </c>
      <c r="AH49" s="12"/>
      <c r="AK49">
        <f>ROUND(AC50/8760,2)</f>
        <v>0.32</v>
      </c>
    </row>
    <row r="50" spans="2:37">
      <c r="B50" t="s">
        <v>2462</v>
      </c>
      <c r="C50" s="12">
        <v>1.51</v>
      </c>
      <c r="D50" s="12">
        <v>2.2599999999999998</v>
      </c>
      <c r="E50" s="12">
        <v>20</v>
      </c>
      <c r="F50" s="12" t="str">
        <f>CONCATENATE("Interior ",Table_LPA_SxS[[#This Row],[Space-by-Space areas]])</f>
        <v>Interior Health care facility: Operating room</v>
      </c>
      <c r="G50" s="12" t="s">
        <v>215</v>
      </c>
      <c r="H50" s="12">
        <v>71</v>
      </c>
      <c r="I50" s="12" t="str">
        <f t="shared" si="3"/>
        <v>Controls_Interior_Basic</v>
      </c>
      <c r="J50" s="12" t="s">
        <v>1920</v>
      </c>
      <c r="K50" s="12" t="s">
        <v>768</v>
      </c>
      <c r="L50" s="12" t="s">
        <v>1600</v>
      </c>
      <c r="M50" s="12" t="s">
        <v>727</v>
      </c>
      <c r="Y50" s="27" t="s">
        <v>779</v>
      </c>
      <c r="Z50" s="1178">
        <v>0.4</v>
      </c>
      <c r="AA50" s="1178">
        <v>0.4</v>
      </c>
      <c r="AB50" s="962" t="s">
        <v>779</v>
      </c>
      <c r="AC50" s="967">
        <v>2837</v>
      </c>
      <c r="AD50" s="1179">
        <v>0.17599999999999999</v>
      </c>
      <c r="AE50" s="1179">
        <v>0.38100000000000001</v>
      </c>
      <c r="AF50" s="1179">
        <f>ROUND((AD50*(1-AF$2))+(AE50*AF$2),3)</f>
        <v>0.22700000000000001</v>
      </c>
      <c r="AG50" s="1180">
        <f>ROUND(((AE50-AD50)/2)+AD50,3)</f>
        <v>0.27900000000000003</v>
      </c>
      <c r="AH50" s="12">
        <f>ROUND(AH$48/AC51,2)</f>
        <v>0.65</v>
      </c>
      <c r="AI50" s="1086">
        <v>0.38100000000000001</v>
      </c>
      <c r="AJ50" s="1086">
        <f>ROUND((AI50*AH50)+(AD51*(1-AH50)),2)</f>
        <v>0.31</v>
      </c>
      <c r="AK50">
        <f>ROUND(AK49*AK$47,2)</f>
        <v>0.24</v>
      </c>
    </row>
    <row r="51" spans="2:37">
      <c r="B51" t="s">
        <v>2463</v>
      </c>
      <c r="C51" s="12">
        <v>0.5</v>
      </c>
      <c r="D51" s="12">
        <v>0.68</v>
      </c>
      <c r="E51" s="12">
        <v>20</v>
      </c>
      <c r="F51" s="12" t="str">
        <f>CONCATENATE("Interior ",Table_LPA_SxS[[#This Row],[Space-by-Space areas]])</f>
        <v>Interior Health care facility: Patient room</v>
      </c>
      <c r="G51" s="12" t="s">
        <v>215</v>
      </c>
      <c r="H51" s="12">
        <v>72</v>
      </c>
      <c r="I51" s="12" t="str">
        <f t="shared" si="3"/>
        <v>Controls_Interior_Basic</v>
      </c>
      <c r="J51" s="12" t="s">
        <v>1920</v>
      </c>
      <c r="K51" s="39" t="s">
        <v>760</v>
      </c>
      <c r="L51" s="12" t="s">
        <v>1600</v>
      </c>
      <c r="M51" s="12" t="s">
        <v>727</v>
      </c>
      <c r="Y51" s="27" t="s">
        <v>2464</v>
      </c>
      <c r="Z51" s="1178">
        <v>0.4</v>
      </c>
      <c r="AA51" s="1178">
        <v>0.4</v>
      </c>
      <c r="AB51" s="962" t="s">
        <v>779</v>
      </c>
      <c r="AC51" s="967">
        <f>ROUND(SUM(AK49:AK50)*8760,0)</f>
        <v>4906</v>
      </c>
      <c r="AD51" s="1179">
        <v>0.17599999999999999</v>
      </c>
      <c r="AE51" s="1179">
        <f>AJ50</f>
        <v>0.31</v>
      </c>
      <c r="AF51" s="1179">
        <f t="shared" ref="AF51:AF52" si="5">ROUND((AD51*(1-AF$2))+(AE51*AF$2),3)</f>
        <v>0.21</v>
      </c>
      <c r="AG51" s="1180">
        <f t="shared" ref="AG51:AG52" si="6">ROUND(((AE51-AD51)/2)+AD51,3)</f>
        <v>0.24299999999999999</v>
      </c>
      <c r="AH51" s="12">
        <f>ROUND(AH$48/AC52,2)</f>
        <v>0.49</v>
      </c>
      <c r="AI51" s="1086">
        <v>0.38100000000000001</v>
      </c>
      <c r="AJ51" s="1086">
        <f>ROUND((AI51*AH51)+(AD52*(1-AH51)),2)</f>
        <v>0.28000000000000003</v>
      </c>
      <c r="AK51">
        <f>ROUND(AK50*AK$47,2)</f>
        <v>0.18</v>
      </c>
    </row>
    <row r="52" spans="2:37">
      <c r="B52" t="s">
        <v>2465</v>
      </c>
      <c r="C52" s="12">
        <v>0.73</v>
      </c>
      <c r="D52" s="12">
        <v>0.91</v>
      </c>
      <c r="E52" s="12">
        <v>20</v>
      </c>
      <c r="F52" s="12" t="str">
        <f>CONCATENATE("Interior ",Table_LPA_SxS[[#This Row],[Space-by-Space areas]])</f>
        <v>Interior Health care facility: Physical therapy</v>
      </c>
      <c r="G52" s="12" t="s">
        <v>215</v>
      </c>
      <c r="H52" s="12">
        <v>73</v>
      </c>
      <c r="I52" s="12" t="str">
        <f t="shared" si="3"/>
        <v>Controls_Interior_Basic</v>
      </c>
      <c r="J52" s="12" t="s">
        <v>1920</v>
      </c>
      <c r="K52" s="12" t="s">
        <v>768</v>
      </c>
      <c r="L52" s="12" t="s">
        <v>1600</v>
      </c>
      <c r="M52" s="12" t="s">
        <v>727</v>
      </c>
      <c r="Y52" s="27" t="s">
        <v>2466</v>
      </c>
      <c r="Z52" s="1178">
        <v>0.4</v>
      </c>
      <c r="AA52" s="1178">
        <v>0.4</v>
      </c>
      <c r="AB52" s="962" t="s">
        <v>779</v>
      </c>
      <c r="AC52" s="967">
        <f>ROUND(SUM(AK49:AK51)*8760,0)</f>
        <v>6482</v>
      </c>
      <c r="AD52" s="1179">
        <v>0.17599999999999999</v>
      </c>
      <c r="AE52" s="1179">
        <f>AJ51</f>
        <v>0.28000000000000003</v>
      </c>
      <c r="AF52" s="1179">
        <f t="shared" si="5"/>
        <v>0.20200000000000001</v>
      </c>
      <c r="AG52" s="1180">
        <f t="shared" si="6"/>
        <v>0.22800000000000001</v>
      </c>
      <c r="AK52">
        <f>ROUND(AC53/8760,2)</f>
        <v>0.38</v>
      </c>
    </row>
    <row r="53" spans="2:37">
      <c r="B53" t="s">
        <v>2467</v>
      </c>
      <c r="C53" s="12">
        <v>0.92</v>
      </c>
      <c r="D53" s="12">
        <v>1.25</v>
      </c>
      <c r="E53" s="12">
        <v>20</v>
      </c>
      <c r="F53" s="12" t="str">
        <f>CONCATENATE("Interior ",Table_LPA_SxS[[#This Row],[Space-by-Space areas]])</f>
        <v>Interior Health care facility: Recovery</v>
      </c>
      <c r="G53" s="12" t="s">
        <v>215</v>
      </c>
      <c r="H53" s="12">
        <v>74</v>
      </c>
      <c r="I53" s="12" t="str">
        <f t="shared" si="3"/>
        <v>Controls_Interior_Basic</v>
      </c>
      <c r="J53" s="12" t="s">
        <v>1920</v>
      </c>
      <c r="K53" s="12" t="s">
        <v>768</v>
      </c>
      <c r="L53" s="12" t="s">
        <v>1600</v>
      </c>
      <c r="M53" s="12" t="s">
        <v>727</v>
      </c>
      <c r="Y53" s="27" t="s">
        <v>2468</v>
      </c>
      <c r="Z53" s="1178">
        <v>0.89</v>
      </c>
      <c r="AA53" s="1178">
        <v>0.82</v>
      </c>
      <c r="AB53" s="962" t="s">
        <v>2085</v>
      </c>
      <c r="AC53" s="967">
        <v>3289</v>
      </c>
      <c r="AD53" s="1179">
        <v>7.6999999999999999E-2</v>
      </c>
      <c r="AE53" s="1179">
        <v>0.33200000000000002</v>
      </c>
      <c r="AF53" s="1179">
        <f t="shared" ref="AF53:AF55" si="7">ROUND((AD53*(1-AF$2))+(AE53*AF$2),3)</f>
        <v>0.14099999999999999</v>
      </c>
      <c r="AG53" s="1180">
        <f t="shared" ref="AG53:AG55" si="8">ROUND(((AE53-AD53)/2)+AD53,3)</f>
        <v>0.20499999999999999</v>
      </c>
      <c r="AH53" s="12">
        <f>ROUND(AH$48/AC54,2)</f>
        <v>0.55000000000000004</v>
      </c>
      <c r="AI53" s="1086">
        <v>0.38100000000000001</v>
      </c>
      <c r="AJ53" s="1086">
        <f>ROUND((AI53*AH53)+(AD54*(1-AH53)),2)</f>
        <v>0.24</v>
      </c>
      <c r="AK53">
        <f>ROUND(AK52*AK$47,2)</f>
        <v>0.28999999999999998</v>
      </c>
    </row>
    <row r="54" spans="2:37">
      <c r="B54" t="s">
        <v>2469</v>
      </c>
      <c r="C54" s="12">
        <v>1.02</v>
      </c>
      <c r="D54" s="12">
        <v>1.1100000000000001</v>
      </c>
      <c r="E54" s="12">
        <v>20</v>
      </c>
      <c r="F54" s="12" t="str">
        <f>CONCATENATE("Interior ",Table_LPA_SxS[[#This Row],[Space-by-Space areas]])</f>
        <v>Interior Laboratory for classrooms</v>
      </c>
      <c r="G54" s="12" t="s">
        <v>215</v>
      </c>
      <c r="H54" s="12">
        <v>33</v>
      </c>
      <c r="I54" s="12" t="str">
        <f t="shared" si="3"/>
        <v>Controls_Interior_Basic</v>
      </c>
      <c r="J54" s="12" t="s">
        <v>1920</v>
      </c>
      <c r="K54" s="12" t="s">
        <v>747</v>
      </c>
      <c r="L54" s="12" t="s">
        <v>1600</v>
      </c>
      <c r="M54" s="12" t="s">
        <v>727</v>
      </c>
      <c r="Y54" s="27" t="s">
        <v>2470</v>
      </c>
      <c r="Z54" s="1178">
        <v>0.89</v>
      </c>
      <c r="AA54" s="1178">
        <v>0.82</v>
      </c>
      <c r="AB54" s="962" t="s">
        <v>2085</v>
      </c>
      <c r="AC54" s="967">
        <f>ROUND(SUM(AK52:AK53)*8760,0)</f>
        <v>5869</v>
      </c>
      <c r="AD54" s="1179">
        <v>7.6999999999999999E-2</v>
      </c>
      <c r="AE54" s="1179">
        <f>AJ53</f>
        <v>0.24</v>
      </c>
      <c r="AF54" s="1179">
        <f t="shared" si="7"/>
        <v>0.11799999999999999</v>
      </c>
      <c r="AG54" s="1180">
        <f t="shared" si="8"/>
        <v>0.159</v>
      </c>
      <c r="AH54" s="12">
        <f>ROUND(AH$48/AC55,2)</f>
        <v>0.41</v>
      </c>
      <c r="AI54" s="1086">
        <v>0.38100000000000001</v>
      </c>
      <c r="AJ54" s="1086">
        <f>ROUND((AI54*AH54)+(AD55*(1-AH54)),2)</f>
        <v>0.2</v>
      </c>
      <c r="AK54">
        <f>ROUND(AK53*AK$47,2)</f>
        <v>0.22</v>
      </c>
    </row>
    <row r="55" spans="2:37">
      <c r="B55" t="s">
        <v>2471</v>
      </c>
      <c r="C55" s="12">
        <v>1.45</v>
      </c>
      <c r="D55" s="12">
        <v>1.33</v>
      </c>
      <c r="E55" s="12">
        <v>20</v>
      </c>
      <c r="F55" s="12" t="str">
        <f>CONCATENATE("Interior ",Table_LPA_SxS[[#This Row],[Space-by-Space areas]])</f>
        <v>Interior Laboratory for medical/industrial/research</v>
      </c>
      <c r="G55" s="12" t="s">
        <v>215</v>
      </c>
      <c r="H55" s="12">
        <v>34</v>
      </c>
      <c r="I55" s="12" t="str">
        <f t="shared" si="3"/>
        <v>Controls_Interior_Basic</v>
      </c>
      <c r="J55" s="12" t="s">
        <v>1920</v>
      </c>
      <c r="K55" s="12" t="s">
        <v>768</v>
      </c>
      <c r="L55" s="12" t="s">
        <v>1600</v>
      </c>
      <c r="M55" s="12" t="s">
        <v>727</v>
      </c>
      <c r="Y55" s="27" t="s">
        <v>2472</v>
      </c>
      <c r="Z55" s="1178">
        <v>0.89</v>
      </c>
      <c r="AA55" s="1178">
        <v>0.82</v>
      </c>
      <c r="AB55" s="962" t="s">
        <v>2085</v>
      </c>
      <c r="AC55" s="967">
        <f>ROUND(SUM(AK52:AK54)*8760,0)</f>
        <v>7796</v>
      </c>
      <c r="AD55" s="1179">
        <v>7.6999999999999999E-2</v>
      </c>
      <c r="AE55" s="1179">
        <f>AJ54</f>
        <v>0.2</v>
      </c>
      <c r="AF55" s="1179">
        <f t="shared" si="7"/>
        <v>0.108</v>
      </c>
      <c r="AG55" s="1180">
        <f t="shared" si="8"/>
        <v>0.13900000000000001</v>
      </c>
    </row>
    <row r="56" spans="2:37">
      <c r="B56" t="s">
        <v>2473</v>
      </c>
      <c r="C56" s="12">
        <v>0.48</v>
      </c>
      <c r="D56" s="12">
        <v>0.53</v>
      </c>
      <c r="E56" s="12">
        <v>20</v>
      </c>
      <c r="F56" s="12" t="str">
        <f>CONCATENATE("Interior ",Table_LPA_SxS[[#This Row],[Space-by-Space areas]])</f>
        <v>Interior Laundry/washing area</v>
      </c>
      <c r="G56" s="12" t="s">
        <v>215</v>
      </c>
      <c r="H56" s="12">
        <v>35</v>
      </c>
      <c r="I56" s="12" t="str">
        <f t="shared" si="3"/>
        <v>Controls_Interior_Basic</v>
      </c>
      <c r="J56" s="12" t="s">
        <v>1920</v>
      </c>
      <c r="K56" s="12" t="s">
        <v>768</v>
      </c>
      <c r="L56" s="12" t="s">
        <v>1600</v>
      </c>
      <c r="M56" s="12" t="s">
        <v>727</v>
      </c>
    </row>
    <row r="57" spans="2:37">
      <c r="B57" s="1280" t="s">
        <v>2474</v>
      </c>
      <c r="C57" s="1281">
        <v>0.74</v>
      </c>
      <c r="D57" s="1281">
        <v>0.31</v>
      </c>
      <c r="E57" s="12">
        <v>9</v>
      </c>
      <c r="F57" s="12" t="str">
        <f>CONCATENATE("Interior ",Table_LPA_SxS[[#This Row],[Space-by-Space areas]])</f>
        <v>Interior Library: Reading area</v>
      </c>
      <c r="G57" s="12" t="s">
        <v>215</v>
      </c>
      <c r="H57" s="12">
        <v>75</v>
      </c>
      <c r="I57" s="12" t="str">
        <f t="shared" si="3"/>
        <v>Controls_Interior_Basic</v>
      </c>
      <c r="J57" s="12" t="s">
        <v>1920</v>
      </c>
      <c r="K57" s="12" t="s">
        <v>763</v>
      </c>
      <c r="L57" s="12" t="s">
        <v>1600</v>
      </c>
      <c r="M57" s="12" t="s">
        <v>727</v>
      </c>
    </row>
    <row r="58" spans="2:37">
      <c r="B58" t="s">
        <v>2475</v>
      </c>
      <c r="C58" s="12">
        <v>1.37</v>
      </c>
      <c r="D58" s="12">
        <v>1.1000000000000001</v>
      </c>
      <c r="E58" s="12">
        <v>9</v>
      </c>
      <c r="F58" s="12" t="str">
        <f>CONCATENATE("Interior ",Table_LPA_SxS[[#This Row],[Space-by-Space areas]])</f>
        <v>Interior Library: Stacks</v>
      </c>
      <c r="G58" s="12" t="s">
        <v>215</v>
      </c>
      <c r="H58" s="12">
        <v>76</v>
      </c>
      <c r="I58" s="12" t="str">
        <f t="shared" si="3"/>
        <v>Controls_Interior_Basic</v>
      </c>
      <c r="J58" s="12" t="s">
        <v>1920</v>
      </c>
      <c r="K58" s="12" t="s">
        <v>763</v>
      </c>
      <c r="L58" s="12" t="s">
        <v>1600</v>
      </c>
      <c r="M58" s="12" t="s">
        <v>700</v>
      </c>
    </row>
    <row r="59" spans="2:37">
      <c r="B59" t="s">
        <v>2476</v>
      </c>
      <c r="C59" s="12">
        <v>0.38</v>
      </c>
      <c r="D59" s="12">
        <v>0.88</v>
      </c>
      <c r="E59" s="12">
        <v>20</v>
      </c>
      <c r="F59" s="12" t="str">
        <f>CONCATENATE("Interior ",Table_LPA_SxS[[#This Row],[Space-by-Space areas]])</f>
        <v>Interior Loading dock, interior</v>
      </c>
      <c r="G59" s="12" t="s">
        <v>215</v>
      </c>
      <c r="H59" s="12">
        <v>36</v>
      </c>
      <c r="I59" s="12" t="str">
        <f t="shared" si="3"/>
        <v>Controls_Interior_Basic</v>
      </c>
      <c r="J59" s="12" t="s">
        <v>1920</v>
      </c>
      <c r="K59" s="12" t="s">
        <v>768</v>
      </c>
      <c r="L59" s="12" t="s">
        <v>1600</v>
      </c>
      <c r="M59" s="12" t="s">
        <v>727</v>
      </c>
    </row>
    <row r="60" spans="2:37">
      <c r="B60" t="s">
        <v>2477</v>
      </c>
      <c r="C60" s="12">
        <v>0.72</v>
      </c>
      <c r="D60" s="12">
        <v>0.84</v>
      </c>
      <c r="E60" s="12">
        <v>20</v>
      </c>
      <c r="F60" s="12" t="str">
        <f>CONCATENATE("Interior ",Table_LPA_SxS[[#This Row],[Space-by-Space areas]])</f>
        <v>Interior Lobby: all other</v>
      </c>
      <c r="G60" s="12" t="s">
        <v>215</v>
      </c>
      <c r="H60" s="12">
        <v>42</v>
      </c>
      <c r="I60" s="12" t="str">
        <f t="shared" si="3"/>
        <v>Controls_Interior_Basic</v>
      </c>
      <c r="J60" s="12" t="s">
        <v>1920</v>
      </c>
      <c r="K60" s="12" t="s">
        <v>764</v>
      </c>
      <c r="L60" s="12" t="s">
        <v>1600</v>
      </c>
      <c r="M60" s="12" t="s">
        <v>727</v>
      </c>
    </row>
    <row r="61" spans="2:37">
      <c r="B61" t="s">
        <v>2478</v>
      </c>
      <c r="C61" s="12">
        <v>0.51</v>
      </c>
      <c r="D61" s="12">
        <v>0.65</v>
      </c>
      <c r="E61" s="12">
        <v>20</v>
      </c>
      <c r="F61" s="12" t="str">
        <f>CONCATENATE("Interior ",Table_LPA_SxS[[#This Row],[Space-by-Space areas]])</f>
        <v>Interior Lobby: elevator</v>
      </c>
      <c r="G61" s="12" t="s">
        <v>215</v>
      </c>
      <c r="H61" s="12">
        <v>38</v>
      </c>
      <c r="I61" s="12" t="str">
        <f t="shared" si="3"/>
        <v>Controls_Interior_Basic</v>
      </c>
      <c r="J61" s="12" t="s">
        <v>1920</v>
      </c>
      <c r="K61" s="12" t="s">
        <v>764</v>
      </c>
      <c r="L61" s="12" t="s">
        <v>1600</v>
      </c>
      <c r="M61" s="12" t="s">
        <v>727</v>
      </c>
    </row>
    <row r="62" spans="2:37">
      <c r="B62" t="s">
        <v>2479</v>
      </c>
      <c r="C62" s="12">
        <v>1.44</v>
      </c>
      <c r="D62" s="12">
        <v>1.69</v>
      </c>
      <c r="E62" s="12">
        <v>20</v>
      </c>
      <c r="F62" s="12" t="str">
        <f>CONCATENATE("Interior ",Table_LPA_SxS[[#This Row],[Space-by-Space areas]])</f>
        <v>Interior Lobby: facility for the visually impaired</v>
      </c>
      <c r="G62" s="12" t="s">
        <v>215</v>
      </c>
      <c r="H62" s="12">
        <v>37</v>
      </c>
      <c r="I62" s="12" t="str">
        <f t="shared" si="3"/>
        <v>Controls_Interior_Basic</v>
      </c>
      <c r="J62" s="12" t="s">
        <v>1920</v>
      </c>
      <c r="K62" s="12" t="s">
        <v>764</v>
      </c>
      <c r="L62" s="12" t="s">
        <v>1600</v>
      </c>
      <c r="M62" s="12" t="s">
        <v>727</v>
      </c>
    </row>
    <row r="63" spans="2:37">
      <c r="B63" t="s">
        <v>2480</v>
      </c>
      <c r="C63" s="12">
        <v>0.85</v>
      </c>
      <c r="D63" s="12">
        <v>0.51</v>
      </c>
      <c r="E63" s="12">
        <v>20</v>
      </c>
      <c r="F63" s="12" t="str">
        <f>CONCATENATE("Interior ",Table_LPA_SxS[[#This Row],[Space-by-Space areas]])</f>
        <v>Interior Lobby: hotel</v>
      </c>
      <c r="G63" s="12" t="s">
        <v>215</v>
      </c>
      <c r="H63" s="12">
        <v>39</v>
      </c>
      <c r="I63" s="12" t="str">
        <f t="shared" si="3"/>
        <v>Controls_Interior_Basic</v>
      </c>
      <c r="J63" s="12" t="s">
        <v>1920</v>
      </c>
      <c r="K63" s="12" t="s">
        <v>764</v>
      </c>
      <c r="L63" s="12" t="s">
        <v>1600</v>
      </c>
      <c r="M63" s="12" t="s">
        <v>727</v>
      </c>
    </row>
    <row r="64" spans="2:37">
      <c r="B64" t="s">
        <v>2481</v>
      </c>
      <c r="C64" s="12">
        <v>0.42</v>
      </c>
      <c r="D64" s="12">
        <v>0.23</v>
      </c>
      <c r="E64" s="12">
        <v>20</v>
      </c>
      <c r="F64" s="12" t="str">
        <f>CONCATENATE("Interior ",Table_LPA_SxS[[#This Row],[Space-by-Space areas]])</f>
        <v>Interior Lobby: motion picture theater</v>
      </c>
      <c r="G64" s="12" t="s">
        <v>215</v>
      </c>
      <c r="H64" s="12">
        <v>40</v>
      </c>
      <c r="I64" s="12" t="str">
        <f t="shared" si="3"/>
        <v>Controls_Interior_Basic</v>
      </c>
      <c r="J64" s="12" t="s">
        <v>1920</v>
      </c>
      <c r="K64" s="12" t="s">
        <v>764</v>
      </c>
      <c r="L64" s="12" t="s">
        <v>1600</v>
      </c>
      <c r="M64" s="12" t="s">
        <v>727</v>
      </c>
    </row>
    <row r="65" spans="2:13">
      <c r="B65" t="s">
        <v>2482</v>
      </c>
      <c r="C65" s="12">
        <v>1.6</v>
      </c>
      <c r="D65" s="12">
        <v>1.25</v>
      </c>
      <c r="E65" s="12">
        <v>20</v>
      </c>
      <c r="F65" s="12" t="str">
        <f>CONCATENATE("Interior ",Table_LPA_SxS[[#This Row],[Space-by-Space areas]])</f>
        <v>Interior Lobby: performing arts theater</v>
      </c>
      <c r="G65" s="12" t="s">
        <v>215</v>
      </c>
      <c r="H65" s="12">
        <v>41</v>
      </c>
      <c r="I65" s="12" t="str">
        <f t="shared" ref="I65:I94" si="9">IF(G65="No","Controls_Interior_Basic", "Controls_Interior_LLLC")</f>
        <v>Controls_Interior_Basic</v>
      </c>
      <c r="J65" s="12" t="s">
        <v>1920</v>
      </c>
      <c r="K65" s="12" t="s">
        <v>764</v>
      </c>
      <c r="L65" s="12" t="s">
        <v>1600</v>
      </c>
      <c r="M65" s="12" t="s">
        <v>727</v>
      </c>
    </row>
    <row r="66" spans="2:13">
      <c r="B66" t="s">
        <v>2483</v>
      </c>
      <c r="C66" s="12">
        <v>0.6</v>
      </c>
      <c r="D66" s="12">
        <v>0.52</v>
      </c>
      <c r="E66" s="12">
        <v>20</v>
      </c>
      <c r="F66" s="12" t="str">
        <f>CONCATENATE("Interior ",Table_LPA_SxS[[#This Row],[Space-by-Space areas]])</f>
        <v>Interior Locker room</v>
      </c>
      <c r="G66" s="12" t="s">
        <v>215</v>
      </c>
      <c r="H66" s="12">
        <v>43</v>
      </c>
      <c r="I66" s="12" t="str">
        <f t="shared" si="9"/>
        <v>Controls_Interior_Basic</v>
      </c>
      <c r="J66" s="12" t="s">
        <v>1920</v>
      </c>
      <c r="K66" s="12" t="s">
        <v>768</v>
      </c>
      <c r="L66" s="12" t="s">
        <v>1600</v>
      </c>
      <c r="M66" s="12" t="s">
        <v>700</v>
      </c>
    </row>
    <row r="67" spans="2:13">
      <c r="B67" t="s">
        <v>2484</v>
      </c>
      <c r="C67" s="12">
        <v>0.57999999999999996</v>
      </c>
      <c r="D67" s="12">
        <v>0.59</v>
      </c>
      <c r="E67" s="12">
        <v>20</v>
      </c>
      <c r="F67" s="12" t="str">
        <f>CONCATENATE("Interior ",Table_LPA_SxS[[#This Row],[Space-by-Space areas]])</f>
        <v>Interior Lounge/breakroom: all other</v>
      </c>
      <c r="G67" s="12" t="s">
        <v>215</v>
      </c>
      <c r="H67" s="12">
        <v>45</v>
      </c>
      <c r="I67" s="12" t="str">
        <f t="shared" si="9"/>
        <v>Controls_Interior_Basic</v>
      </c>
      <c r="J67" s="12" t="s">
        <v>1920</v>
      </c>
      <c r="K67" s="12" t="s">
        <v>2485</v>
      </c>
      <c r="L67" s="12" t="s">
        <v>1600</v>
      </c>
      <c r="M67" s="12" t="s">
        <v>700</v>
      </c>
    </row>
    <row r="68" spans="2:13">
      <c r="B68" t="s">
        <v>2486</v>
      </c>
      <c r="C68" s="12">
        <v>0.74</v>
      </c>
      <c r="D68" s="12">
        <v>0.42</v>
      </c>
      <c r="E68" s="12">
        <v>20</v>
      </c>
      <c r="F68" s="12" t="str">
        <f>CONCATENATE("Interior ",Table_LPA_SxS[[#This Row],[Space-by-Space areas]])</f>
        <v>Interior Lounge/breakroom: health care facility</v>
      </c>
      <c r="G68" s="12" t="s">
        <v>215</v>
      </c>
      <c r="H68" s="12">
        <v>44</v>
      </c>
      <c r="I68" s="12" t="str">
        <f t="shared" si="9"/>
        <v>Controls_Interior_Basic</v>
      </c>
      <c r="J68" s="12" t="s">
        <v>1920</v>
      </c>
      <c r="K68" s="12" t="s">
        <v>2485</v>
      </c>
      <c r="L68" s="12" t="s">
        <v>1600</v>
      </c>
      <c r="M68" s="12" t="s">
        <v>700</v>
      </c>
    </row>
    <row r="69" spans="2:13">
      <c r="B69" t="s">
        <v>2487</v>
      </c>
      <c r="C69" s="12">
        <v>1.03</v>
      </c>
      <c r="D69" s="12">
        <v>0.8</v>
      </c>
      <c r="E69" s="12">
        <v>20</v>
      </c>
      <c r="F69" s="12" t="str">
        <f>CONCATENATE("Interior ",Table_LPA_SxS[[#This Row],[Space-by-Space areas]])</f>
        <v>Interior Manufacturing: Detailed manufacturing</v>
      </c>
      <c r="G69" s="12" t="s">
        <v>215</v>
      </c>
      <c r="H69" s="12">
        <v>77</v>
      </c>
      <c r="I69" s="12" t="str">
        <f t="shared" si="9"/>
        <v>Controls_Interior_Basic</v>
      </c>
      <c r="J69" s="12" t="s">
        <v>1920</v>
      </c>
      <c r="K69" s="39" t="s">
        <v>771</v>
      </c>
      <c r="L69" s="12" t="s">
        <v>1600</v>
      </c>
      <c r="M69" s="12" t="s">
        <v>727</v>
      </c>
    </row>
    <row r="70" spans="2:13">
      <c r="B70" t="s">
        <v>2488</v>
      </c>
      <c r="C70" s="12">
        <v>0.59</v>
      </c>
      <c r="D70" s="12">
        <v>0.76</v>
      </c>
      <c r="E70" s="12">
        <v>20</v>
      </c>
      <c r="F70" s="12" t="str">
        <f>CONCATENATE("Interior ",Table_LPA_SxS[[#This Row],[Space-by-Space areas]])</f>
        <v>Interior Manufacturing: Equipment room</v>
      </c>
      <c r="G70" s="12" t="s">
        <v>215</v>
      </c>
      <c r="H70" s="12">
        <v>78</v>
      </c>
      <c r="I70" s="12" t="str">
        <f t="shared" si="9"/>
        <v>Controls_Interior_Basic</v>
      </c>
      <c r="J70" s="12" t="s">
        <v>1920</v>
      </c>
      <c r="K70" s="39" t="s">
        <v>771</v>
      </c>
      <c r="L70" s="12" t="s">
        <v>1600</v>
      </c>
      <c r="M70" s="12" t="s">
        <v>727</v>
      </c>
    </row>
    <row r="71" spans="2:13">
      <c r="B71" t="s">
        <v>2489</v>
      </c>
      <c r="C71" s="12">
        <v>0.84</v>
      </c>
      <c r="D71" s="12">
        <v>1.42</v>
      </c>
      <c r="E71" s="12">
        <v>20</v>
      </c>
      <c r="F71" s="12" t="str">
        <f>CONCATENATE("Interior ",Table_LPA_SxS[[#This Row],[Space-by-Space areas]])</f>
        <v>Interior Manufacturing: Extra high bay (&gt; 50 ft floor-ceiling ht.)</v>
      </c>
      <c r="G71" s="12" t="s">
        <v>215</v>
      </c>
      <c r="H71" s="12">
        <v>79</v>
      </c>
      <c r="I71" s="12" t="str">
        <f t="shared" si="9"/>
        <v>Controls_Interior_Basic</v>
      </c>
      <c r="J71" s="12" t="s">
        <v>1920</v>
      </c>
      <c r="K71" s="39" t="s">
        <v>771</v>
      </c>
      <c r="L71" s="12" t="s">
        <v>1600</v>
      </c>
      <c r="M71" s="12" t="s">
        <v>727</v>
      </c>
    </row>
    <row r="72" spans="2:13">
      <c r="B72" t="s">
        <v>2490</v>
      </c>
      <c r="C72" s="12">
        <v>0.84</v>
      </c>
      <c r="D72" s="12">
        <v>1.42</v>
      </c>
      <c r="E72" s="12">
        <v>20</v>
      </c>
      <c r="F72" s="12" t="str">
        <f>CONCATENATE("Interior ",Table_LPA_SxS[[#This Row],[Space-by-Space areas]])</f>
        <v>Interior Manufacturing: Extra high bay (Top Lighted)</v>
      </c>
      <c r="G72" s="12" t="s">
        <v>237</v>
      </c>
      <c r="H72" s="12">
        <v>79</v>
      </c>
      <c r="I72" s="12" t="str">
        <f t="shared" si="9"/>
        <v>Controls_Interior_LLLC</v>
      </c>
      <c r="J72" s="12" t="s">
        <v>1920</v>
      </c>
      <c r="K72" s="39" t="s">
        <v>771</v>
      </c>
      <c r="L72" s="12" t="s">
        <v>1600</v>
      </c>
      <c r="M72" s="12" t="s">
        <v>727</v>
      </c>
    </row>
    <row r="73" spans="2:13">
      <c r="B73" t="s">
        <v>2491</v>
      </c>
      <c r="C73" s="12">
        <v>0.98</v>
      </c>
      <c r="D73" s="12">
        <v>1.24</v>
      </c>
      <c r="E73" s="12">
        <v>20</v>
      </c>
      <c r="F73" s="12" t="str">
        <f>CONCATENATE("Interior ",Table_LPA_SxS[[#This Row],[Space-by-Space areas]])</f>
        <v>Interior Manufacturing: High bay (25 ‑ 50 ft floor-ceiling ht.)</v>
      </c>
      <c r="G73" s="12" t="s">
        <v>215</v>
      </c>
      <c r="H73" s="12">
        <v>80</v>
      </c>
      <c r="I73" s="12" t="str">
        <f t="shared" si="9"/>
        <v>Controls_Interior_Basic</v>
      </c>
      <c r="J73" s="12" t="s">
        <v>1920</v>
      </c>
      <c r="K73" s="39" t="s">
        <v>771</v>
      </c>
      <c r="L73" s="12" t="s">
        <v>1600</v>
      </c>
      <c r="M73" s="12" t="s">
        <v>727</v>
      </c>
    </row>
    <row r="74" spans="2:13">
      <c r="B74" t="s">
        <v>2492</v>
      </c>
      <c r="C74" s="12">
        <v>0.98</v>
      </c>
      <c r="D74" s="12">
        <v>1.24</v>
      </c>
      <c r="E74" s="12">
        <v>20</v>
      </c>
      <c r="F74" s="12" t="str">
        <f>CONCATENATE("Interior ",Table_LPA_SxS[[#This Row],[Space-by-Space areas]])</f>
        <v>Interior Manufacturing: High bay (Top Lighted)</v>
      </c>
      <c r="G74" s="12" t="s">
        <v>237</v>
      </c>
      <c r="H74" s="12">
        <v>80</v>
      </c>
      <c r="I74" s="12" t="str">
        <f t="shared" si="9"/>
        <v>Controls_Interior_LLLC</v>
      </c>
      <c r="J74" s="12" t="s">
        <v>1920</v>
      </c>
      <c r="K74" s="39" t="s">
        <v>771</v>
      </c>
      <c r="L74" s="12" t="s">
        <v>1600</v>
      </c>
      <c r="M74" s="12" t="s">
        <v>727</v>
      </c>
    </row>
    <row r="75" spans="2:13">
      <c r="B75" t="s">
        <v>2493</v>
      </c>
      <c r="C75" s="12">
        <v>0.95</v>
      </c>
      <c r="D75" s="12">
        <v>0.86</v>
      </c>
      <c r="E75" s="12">
        <v>20</v>
      </c>
      <c r="F75" s="12" t="str">
        <f>CONCATENATE("Interior ",Table_LPA_SxS[[#This Row],[Space-by-Space areas]])</f>
        <v>Interior Manufacturing: Low bay (&lt; 25 ft floor-ceiling ht.)</v>
      </c>
      <c r="G75" s="12" t="s">
        <v>215</v>
      </c>
      <c r="H75" s="12">
        <v>81</v>
      </c>
      <c r="I75" s="12" t="str">
        <f t="shared" si="9"/>
        <v>Controls_Interior_Basic</v>
      </c>
      <c r="J75" s="12" t="s">
        <v>1920</v>
      </c>
      <c r="K75" s="39" t="s">
        <v>771</v>
      </c>
      <c r="L75" s="12" t="s">
        <v>1600</v>
      </c>
      <c r="M75" s="12" t="s">
        <v>727</v>
      </c>
    </row>
    <row r="76" spans="2:13">
      <c r="B76" t="s">
        <v>2494</v>
      </c>
      <c r="C76" s="12">
        <v>0.95</v>
      </c>
      <c r="D76" s="12">
        <v>0.86</v>
      </c>
      <c r="E76" s="12">
        <v>20</v>
      </c>
      <c r="F76" s="12" t="str">
        <f>CONCATENATE("Interior ",Table_LPA_SxS[[#This Row],[Space-by-Space areas]])</f>
        <v>Interior Manufacturing: Low bay (Top Lighted)</v>
      </c>
      <c r="G76" s="12" t="s">
        <v>237</v>
      </c>
      <c r="H76" s="12">
        <v>81</v>
      </c>
      <c r="I76" s="12" t="str">
        <f t="shared" si="9"/>
        <v>Controls_Interior_LLLC</v>
      </c>
      <c r="J76" s="12" t="s">
        <v>1920</v>
      </c>
      <c r="K76" s="39" t="s">
        <v>771</v>
      </c>
      <c r="L76" s="12" t="s">
        <v>1600</v>
      </c>
      <c r="M76" s="12" t="s">
        <v>727</v>
      </c>
    </row>
    <row r="77" spans="2:13">
      <c r="B77" t="s">
        <v>2495</v>
      </c>
      <c r="C77" s="12">
        <v>0.84</v>
      </c>
      <c r="D77" s="12">
        <v>0.31</v>
      </c>
      <c r="E77" s="12">
        <v>20</v>
      </c>
      <c r="F77" s="12" t="str">
        <f>CONCATENATE("Interior ",Table_LPA_SxS[[#This Row],[Space-by-Space areas]])</f>
        <v>Interior Museum: General exhibition</v>
      </c>
      <c r="G77" s="12" t="s">
        <v>215</v>
      </c>
      <c r="H77" s="12">
        <v>82</v>
      </c>
      <c r="I77" s="12" t="str">
        <f t="shared" si="9"/>
        <v>Controls_Interior_Basic</v>
      </c>
      <c r="J77" s="12" t="s">
        <v>1920</v>
      </c>
      <c r="K77" s="39" t="s">
        <v>772</v>
      </c>
      <c r="L77" s="12" t="s">
        <v>1600</v>
      </c>
      <c r="M77" s="12" t="s">
        <v>727</v>
      </c>
    </row>
    <row r="78" spans="2:13">
      <c r="B78" t="s">
        <v>2496</v>
      </c>
      <c r="C78" s="12">
        <v>0.82</v>
      </c>
      <c r="D78" s="12">
        <v>1.1000000000000001</v>
      </c>
      <c r="E78" s="12">
        <v>20</v>
      </c>
      <c r="F78" s="12" t="str">
        <f>CONCATENATE("Interior ",Table_LPA_SxS[[#This Row],[Space-by-Space areas]])</f>
        <v>Interior Museum: Restoration</v>
      </c>
      <c r="G78" s="12" t="s">
        <v>215</v>
      </c>
      <c r="H78" s="12">
        <v>83</v>
      </c>
      <c r="I78" s="12" t="str">
        <f t="shared" si="9"/>
        <v>Controls_Interior_Basic</v>
      </c>
      <c r="J78" s="12" t="s">
        <v>1920</v>
      </c>
      <c r="K78" s="12" t="s">
        <v>768</v>
      </c>
      <c r="L78" s="12" t="s">
        <v>1600</v>
      </c>
      <c r="M78" s="12" t="s">
        <v>727</v>
      </c>
    </row>
    <row r="79" spans="2:13">
      <c r="B79" s="1280" t="s">
        <v>2497</v>
      </c>
      <c r="C79" s="12">
        <v>0.89</v>
      </c>
      <c r="D79" s="12">
        <v>0.74</v>
      </c>
      <c r="E79" s="12">
        <v>9</v>
      </c>
      <c r="F79" s="12" t="str">
        <f>CONCATENATE("Interior ",Table_LPA_SxS[[#This Row],[Space-by-Space areas]])</f>
        <v>Interior Office: Enclosed &lt;250 SF</v>
      </c>
      <c r="G79" s="12" t="s">
        <v>215</v>
      </c>
      <c r="H79" s="12">
        <v>46</v>
      </c>
      <c r="I79" s="12" t="str">
        <f t="shared" si="9"/>
        <v>Controls_Interior_Basic</v>
      </c>
      <c r="J79" s="12" t="s">
        <v>1920</v>
      </c>
      <c r="K79" s="39" t="s">
        <v>770</v>
      </c>
      <c r="L79" s="12" t="s">
        <v>1600</v>
      </c>
      <c r="M79" s="12" t="s">
        <v>700</v>
      </c>
    </row>
    <row r="80" spans="2:13">
      <c r="B80" t="s">
        <v>2498</v>
      </c>
      <c r="C80" s="12">
        <v>0.89</v>
      </c>
      <c r="D80" s="12">
        <v>0.66</v>
      </c>
      <c r="E80" s="12">
        <v>9</v>
      </c>
      <c r="F80" s="12" t="str">
        <f>CONCATENATE("Interior ",Table_LPA_SxS[[#This Row],[Space-by-Space areas]])</f>
        <v>Interior Office: Enclosed &gt;250 SF</v>
      </c>
      <c r="G80" s="12" t="s">
        <v>215</v>
      </c>
      <c r="H80" s="12">
        <v>46</v>
      </c>
      <c r="I80" s="12" t="str">
        <f t="shared" ref="I80" si="10">IF(G80="No","Controls_Interior_Basic", "Controls_Interior_LLLC")</f>
        <v>Controls_Interior_Basic</v>
      </c>
      <c r="J80" s="12" t="s">
        <v>1920</v>
      </c>
      <c r="K80" s="39" t="s">
        <v>770</v>
      </c>
      <c r="L80" s="12" t="s">
        <v>1600</v>
      </c>
      <c r="M80" s="12" t="s">
        <v>700</v>
      </c>
    </row>
    <row r="81" spans="2:13">
      <c r="B81" t="s">
        <v>2499</v>
      </c>
      <c r="C81" s="12">
        <v>0.78</v>
      </c>
      <c r="D81" s="12">
        <v>0.61</v>
      </c>
      <c r="E81" s="12">
        <v>9</v>
      </c>
      <c r="F81" s="12" t="str">
        <f>CONCATENATE("Interior ",Table_LPA_SxS[[#This Row],[Space-by-Space areas]])</f>
        <v>Interior Office: Open plan</v>
      </c>
      <c r="G81" s="12" t="s">
        <v>215</v>
      </c>
      <c r="H81" s="12">
        <v>47</v>
      </c>
      <c r="I81" s="12" t="str">
        <f t="shared" si="9"/>
        <v>Controls_Interior_Basic</v>
      </c>
      <c r="J81" s="12" t="s">
        <v>1920</v>
      </c>
      <c r="K81" s="12" t="s">
        <v>767</v>
      </c>
      <c r="L81" s="12" t="s">
        <v>1600</v>
      </c>
      <c r="M81" s="12" t="s">
        <v>700</v>
      </c>
    </row>
    <row r="82" spans="2:13">
      <c r="B82" t="s">
        <v>2500</v>
      </c>
      <c r="C82" s="12">
        <v>0.15</v>
      </c>
      <c r="D82" s="12">
        <v>0.15</v>
      </c>
      <c r="E82" s="12">
        <v>20</v>
      </c>
      <c r="F82" s="12" t="str">
        <f>CONCATENATE("Interior ",Table_LPA_SxS[[#This Row],[Space-by-Space areas]])</f>
        <v>Interior Parking area, interior</v>
      </c>
      <c r="G82" s="12" t="s">
        <v>215</v>
      </c>
      <c r="H82" s="12">
        <v>48</v>
      </c>
      <c r="I82" s="12" t="str">
        <f t="shared" si="9"/>
        <v>Controls_Interior_Basic</v>
      </c>
      <c r="J82" s="12" t="s">
        <v>1920</v>
      </c>
      <c r="K82" s="39" t="s">
        <v>769</v>
      </c>
      <c r="L82" s="12" t="s">
        <v>1600</v>
      </c>
      <c r="M82" s="12" t="s">
        <v>700</v>
      </c>
    </row>
    <row r="83" spans="2:13">
      <c r="B83" t="s">
        <v>2501</v>
      </c>
      <c r="C83" s="12">
        <v>0.32</v>
      </c>
      <c r="D83" s="12">
        <v>0.41</v>
      </c>
      <c r="E83" s="12">
        <v>20</v>
      </c>
      <c r="F83" s="12" t="str">
        <f>CONCATENATE("Interior ",Table_LPA_SxS[[#This Row],[Space-by-Space areas]])</f>
        <v xml:space="preserve">Interior Performing arts theater: Dressing/fitting room </v>
      </c>
      <c r="G83" s="12" t="s">
        <v>215</v>
      </c>
      <c r="H83" s="12">
        <v>84</v>
      </c>
      <c r="I83" s="12" t="str">
        <f t="shared" si="9"/>
        <v>Controls_Interior_Basic</v>
      </c>
      <c r="J83" s="12" t="s">
        <v>1920</v>
      </c>
      <c r="K83" s="12" t="s">
        <v>768</v>
      </c>
      <c r="L83" s="12" t="s">
        <v>1600</v>
      </c>
      <c r="M83" s="12" t="s">
        <v>727</v>
      </c>
    </row>
    <row r="84" spans="2:13">
      <c r="B84" t="s">
        <v>2502</v>
      </c>
      <c r="C84" s="12">
        <v>0.91</v>
      </c>
      <c r="D84" s="12">
        <v>1.66</v>
      </c>
      <c r="E84" s="12">
        <v>20</v>
      </c>
      <c r="F84" s="12" t="str">
        <f>CONCATENATE("Interior ",Table_LPA_SxS[[#This Row],[Space-by-Space areas]])</f>
        <v>Interior Pharmacy area</v>
      </c>
      <c r="G84" s="12" t="s">
        <v>215</v>
      </c>
      <c r="H84" s="12">
        <v>49</v>
      </c>
      <c r="I84" s="12" t="str">
        <f t="shared" si="9"/>
        <v>Controls_Interior_Basic</v>
      </c>
      <c r="J84" s="12" t="s">
        <v>1920</v>
      </c>
      <c r="K84" s="12" t="s">
        <v>768</v>
      </c>
      <c r="L84" s="12" t="s">
        <v>1600</v>
      </c>
      <c r="M84" s="12" t="s">
        <v>727</v>
      </c>
    </row>
    <row r="85" spans="2:13">
      <c r="B85" s="1280" t="s">
        <v>2503</v>
      </c>
      <c r="C85" s="1281">
        <v>0.75</v>
      </c>
      <c r="D85" s="1281">
        <v>0.71</v>
      </c>
      <c r="E85" s="12">
        <v>20</v>
      </c>
      <c r="F85" s="12" t="str">
        <f>CONCATENATE("Interior ",Table_LPA_SxS[[#This Row],[Space-by-Space areas]])</f>
        <v>Interior Post office: Sorting area</v>
      </c>
      <c r="G85" s="12" t="s">
        <v>215</v>
      </c>
      <c r="H85" s="12">
        <v>85</v>
      </c>
      <c r="I85" s="12" t="str">
        <f t="shared" si="9"/>
        <v>Controls_Interior_Basic</v>
      </c>
      <c r="J85" s="12" t="s">
        <v>1920</v>
      </c>
      <c r="K85" s="12" t="s">
        <v>768</v>
      </c>
      <c r="L85" s="12" t="s">
        <v>1600</v>
      </c>
      <c r="M85" s="12" t="s">
        <v>727</v>
      </c>
    </row>
    <row r="86" spans="2:13">
      <c r="B86" t="s">
        <v>2504</v>
      </c>
      <c r="C86" s="12">
        <v>0.51</v>
      </c>
      <c r="D86" s="12">
        <v>0.54</v>
      </c>
      <c r="E86" s="12">
        <v>20</v>
      </c>
      <c r="F86" s="12" t="str">
        <f>CONCATENATE("Interior ",Table_LPA_SxS[[#This Row],[Space-by-Space areas]])</f>
        <v>Interior Religious building: Fellowship hall</v>
      </c>
      <c r="G86" s="12" t="s">
        <v>215</v>
      </c>
      <c r="H86" s="12">
        <v>86</v>
      </c>
      <c r="I86" s="12" t="str">
        <f t="shared" si="9"/>
        <v>Controls_Interior_Basic</v>
      </c>
      <c r="J86" s="12" t="s">
        <v>1920</v>
      </c>
      <c r="K86" s="12" t="s">
        <v>744</v>
      </c>
      <c r="L86" s="12" t="s">
        <v>1600</v>
      </c>
      <c r="M86" s="12" t="s">
        <v>727</v>
      </c>
    </row>
    <row r="87" spans="2:13">
      <c r="B87" t="s">
        <v>2505</v>
      </c>
      <c r="C87" s="12">
        <v>1.22</v>
      </c>
      <c r="D87" s="12">
        <v>0.85</v>
      </c>
      <c r="E87" s="12">
        <v>20</v>
      </c>
      <c r="F87" s="12" t="str">
        <f>CONCATENATE("Interior ",Table_LPA_SxS[[#This Row],[Space-by-Space areas]])</f>
        <v>Interior Religious building: Worship pulpit/choir</v>
      </c>
      <c r="G87" s="12" t="s">
        <v>215</v>
      </c>
      <c r="H87" s="12">
        <v>87</v>
      </c>
      <c r="I87" s="12" t="str">
        <f t="shared" si="9"/>
        <v>Controls_Interior_Basic</v>
      </c>
      <c r="J87" s="12" t="s">
        <v>1920</v>
      </c>
      <c r="K87" s="12" t="s">
        <v>744</v>
      </c>
      <c r="L87" s="12" t="s">
        <v>1600</v>
      </c>
      <c r="M87" s="12" t="s">
        <v>727</v>
      </c>
    </row>
    <row r="88" spans="2:13">
      <c r="B88" t="s">
        <v>2506</v>
      </c>
      <c r="C88" s="12">
        <v>0.78</v>
      </c>
      <c r="D88" s="12">
        <v>0.63</v>
      </c>
      <c r="E88" s="12">
        <v>20</v>
      </c>
      <c r="F88" s="12" t="str">
        <f>CONCATENATE("Interior ",Table_LPA_SxS[[#This Row],[Space-by-Space areas]])</f>
        <v>Interior Restroom: all other</v>
      </c>
      <c r="G88" s="12" t="s">
        <v>215</v>
      </c>
      <c r="H88" s="12">
        <v>51</v>
      </c>
      <c r="I88" s="12" t="str">
        <f t="shared" si="9"/>
        <v>Controls_Interior_Basic</v>
      </c>
      <c r="J88" s="12" t="s">
        <v>1920</v>
      </c>
      <c r="K88" s="12" t="s">
        <v>773</v>
      </c>
      <c r="L88" s="12" t="s">
        <v>1600</v>
      </c>
      <c r="M88" s="12" t="s">
        <v>700</v>
      </c>
    </row>
    <row r="89" spans="2:13">
      <c r="B89" t="s">
        <v>2507</v>
      </c>
      <c r="C89" s="12">
        <v>0.97</v>
      </c>
      <c r="D89" s="12">
        <v>1.26</v>
      </c>
      <c r="E89" s="12">
        <v>20</v>
      </c>
      <c r="F89" s="12" t="str">
        <f>CONCATENATE("Interior ",Table_LPA_SxS[[#This Row],[Space-by-Space areas]])</f>
        <v>Interior Restroom: facility for the visually impaired</v>
      </c>
      <c r="G89" s="12" t="s">
        <v>215</v>
      </c>
      <c r="H89" s="12">
        <v>50</v>
      </c>
      <c r="I89" s="12" t="str">
        <f t="shared" si="9"/>
        <v>Controls_Interior_Basic</v>
      </c>
      <c r="J89" s="12" t="s">
        <v>1920</v>
      </c>
      <c r="K89" s="12" t="s">
        <v>773</v>
      </c>
      <c r="L89" s="12" t="s">
        <v>1600</v>
      </c>
      <c r="M89" s="12" t="s">
        <v>700</v>
      </c>
    </row>
    <row r="90" spans="2:13">
      <c r="B90" t="s">
        <v>2508</v>
      </c>
      <c r="C90" s="12">
        <v>0.56999999999999995</v>
      </c>
      <c r="D90" s="12">
        <v>0.51</v>
      </c>
      <c r="E90" s="12">
        <v>20</v>
      </c>
      <c r="F90" s="12" t="str">
        <f>CONCATENATE("Interior ",Table_LPA_SxS[[#This Row],[Space-by-Space areas]])</f>
        <v>Interior Retail: Dressing/fitting area</v>
      </c>
      <c r="G90" s="12" t="s">
        <v>215</v>
      </c>
      <c r="H90" s="12">
        <v>88</v>
      </c>
      <c r="I90" s="12" t="str">
        <f t="shared" si="9"/>
        <v>Controls_Interior_Basic</v>
      </c>
      <c r="J90" s="12" t="s">
        <v>1920</v>
      </c>
      <c r="K90" s="12" t="s">
        <v>768</v>
      </c>
      <c r="L90" s="12" t="s">
        <v>1600</v>
      </c>
      <c r="M90" s="12" t="s">
        <v>727</v>
      </c>
    </row>
    <row r="91" spans="2:13">
      <c r="B91" t="s">
        <v>2509</v>
      </c>
      <c r="C91" s="12">
        <v>0.88</v>
      </c>
      <c r="D91" s="12">
        <v>0.82</v>
      </c>
      <c r="E91" s="12">
        <v>20</v>
      </c>
      <c r="F91" s="12" t="str">
        <f>CONCATENATE("Interior ",Table_LPA_SxS[[#This Row],[Space-by-Space areas]])</f>
        <v>Interior Retail: Mall concourse</v>
      </c>
      <c r="G91" s="12" t="s">
        <v>215</v>
      </c>
      <c r="H91" s="12">
        <v>89</v>
      </c>
      <c r="I91" s="12" t="str">
        <f t="shared" si="9"/>
        <v>Controls_Interior_Basic</v>
      </c>
      <c r="J91" s="12" t="s">
        <v>1920</v>
      </c>
      <c r="K91" s="12" t="s">
        <v>772</v>
      </c>
      <c r="L91" s="12" t="s">
        <v>1600</v>
      </c>
      <c r="M91" s="12" t="s">
        <v>727</v>
      </c>
    </row>
    <row r="92" spans="2:13">
      <c r="B92" t="s">
        <v>2510</v>
      </c>
      <c r="C92" s="12">
        <v>1.27</v>
      </c>
      <c r="D92" s="12">
        <v>1.05</v>
      </c>
      <c r="E92" s="12">
        <v>20</v>
      </c>
      <c r="F92" s="12" t="str">
        <f>CONCATENATE("Interior ",Table_LPA_SxS[[#This Row],[Space-by-Space areas]])</f>
        <v>Interior Sales area</v>
      </c>
      <c r="G92" s="12" t="s">
        <v>215</v>
      </c>
      <c r="H92" s="12">
        <v>52</v>
      </c>
      <c r="I92" s="12" t="str">
        <f t="shared" si="9"/>
        <v>Controls_Interior_Basic</v>
      </c>
      <c r="J92" s="12" t="s">
        <v>1920</v>
      </c>
      <c r="K92" s="12" t="s">
        <v>774</v>
      </c>
      <c r="L92" s="12" t="s">
        <v>1600</v>
      </c>
      <c r="M92" s="12" t="s">
        <v>727</v>
      </c>
    </row>
    <row r="93" spans="2:13">
      <c r="B93" t="s">
        <v>2511</v>
      </c>
      <c r="C93" s="12">
        <v>1.27</v>
      </c>
      <c r="D93" s="12">
        <v>1.05</v>
      </c>
      <c r="E93" s="12">
        <v>20</v>
      </c>
      <c r="F93" s="12" t="str">
        <f>CONCATENATE("Interior ",Table_LPA_SxS[[#This Row],[Space-by-Space areas]])</f>
        <v>Interior Sales area (Top Lighted)</v>
      </c>
      <c r="G93" s="12" t="s">
        <v>237</v>
      </c>
      <c r="H93" s="12">
        <v>52</v>
      </c>
      <c r="I93" s="12" t="str">
        <f t="shared" si="9"/>
        <v>Controls_Interior_LLLC</v>
      </c>
      <c r="J93" s="12" t="s">
        <v>1920</v>
      </c>
      <c r="K93" s="12" t="s">
        <v>774</v>
      </c>
      <c r="L93" s="12" t="s">
        <v>1600</v>
      </c>
      <c r="M93" s="12" t="s">
        <v>727</v>
      </c>
    </row>
    <row r="94" spans="2:13">
      <c r="B94" t="s">
        <v>2512</v>
      </c>
      <c r="C94" s="12">
        <v>0.43</v>
      </c>
      <c r="D94" s="12">
        <v>0.23</v>
      </c>
      <c r="E94" s="12">
        <v>20</v>
      </c>
      <c r="F94" s="12" t="str">
        <f>CONCATENATE("Interior ",Table_LPA_SxS[[#This Row],[Space-by-Space areas]])</f>
        <v>Interior Seating area, general</v>
      </c>
      <c r="G94" s="12" t="s">
        <v>215</v>
      </c>
      <c r="H94" s="12">
        <v>53</v>
      </c>
      <c r="I94" s="12" t="str">
        <f t="shared" si="9"/>
        <v>Controls_Interior_Basic</v>
      </c>
      <c r="J94" s="12" t="s">
        <v>1920</v>
      </c>
      <c r="K94" s="12" t="s">
        <v>744</v>
      </c>
      <c r="L94" s="12" t="s">
        <v>1600</v>
      </c>
      <c r="M94" s="12" t="s">
        <v>727</v>
      </c>
    </row>
    <row r="95" spans="2:13">
      <c r="B95" t="s">
        <v>2513</v>
      </c>
      <c r="C95" s="12">
        <v>2.41</v>
      </c>
      <c r="D95" s="12">
        <v>2.94</v>
      </c>
      <c r="E95" s="12">
        <v>20</v>
      </c>
      <c r="F95" s="12" t="str">
        <f>CONCATENATE("Interior ",Table_LPA_SxS[[#This Row],[Space-by-Space areas]])</f>
        <v>Interior Sports arena: Court sports area ‑ Class 1</v>
      </c>
      <c r="G95" s="12" t="s">
        <v>215</v>
      </c>
      <c r="H95" s="12">
        <v>90</v>
      </c>
      <c r="I95" s="12" t="str">
        <f t="shared" ref="I95:I110" si="11">IF(G95="No","Controls_Interior_Basic", "Controls_Interior_LLLC")</f>
        <v>Controls_Interior_Basic</v>
      </c>
      <c r="J95" s="12" t="s">
        <v>1920</v>
      </c>
      <c r="K95" s="12" t="s">
        <v>755</v>
      </c>
      <c r="L95" s="12" t="s">
        <v>1600</v>
      </c>
      <c r="M95" s="12" t="s">
        <v>727</v>
      </c>
    </row>
    <row r="96" spans="2:13">
      <c r="B96" t="s">
        <v>2514</v>
      </c>
      <c r="C96" s="12">
        <v>1.54</v>
      </c>
      <c r="D96" s="12">
        <v>2.0099999999999998</v>
      </c>
      <c r="E96" s="12">
        <v>20</v>
      </c>
      <c r="F96" s="12" t="str">
        <f>CONCATENATE("Interior ",Table_LPA_SxS[[#This Row],[Space-by-Space areas]])</f>
        <v>Interior Sports arena: Court sports area ‑ Class 2</v>
      </c>
      <c r="G96" s="12" t="s">
        <v>215</v>
      </c>
      <c r="H96" s="12">
        <v>91</v>
      </c>
      <c r="I96" s="12" t="str">
        <f t="shared" si="11"/>
        <v>Controls_Interior_Basic</v>
      </c>
      <c r="J96" s="12" t="s">
        <v>1920</v>
      </c>
      <c r="K96" s="12" t="s">
        <v>755</v>
      </c>
      <c r="L96" s="12" t="s">
        <v>1600</v>
      </c>
      <c r="M96" s="12" t="s">
        <v>727</v>
      </c>
    </row>
    <row r="97" spans="2:13">
      <c r="B97" t="s">
        <v>2515</v>
      </c>
      <c r="C97" s="12">
        <v>0.96</v>
      </c>
      <c r="D97" s="12">
        <v>1.3</v>
      </c>
      <c r="E97" s="12">
        <v>20</v>
      </c>
      <c r="F97" s="12" t="str">
        <f>CONCATENATE("Interior ",Table_LPA_SxS[[#This Row],[Space-by-Space areas]])</f>
        <v>Interior Sports arena: Court sports area ‑ Class 3</v>
      </c>
      <c r="G97" s="12" t="s">
        <v>215</v>
      </c>
      <c r="H97" s="12">
        <v>92</v>
      </c>
      <c r="I97" s="12" t="str">
        <f t="shared" si="11"/>
        <v>Controls_Interior_Basic</v>
      </c>
      <c r="J97" s="12" t="s">
        <v>1920</v>
      </c>
      <c r="K97" s="12" t="s">
        <v>755</v>
      </c>
      <c r="L97" s="12" t="s">
        <v>1600</v>
      </c>
      <c r="M97" s="12" t="s">
        <v>727</v>
      </c>
    </row>
    <row r="98" spans="2:13">
      <c r="B98" t="s">
        <v>2516</v>
      </c>
      <c r="C98" s="12">
        <v>0.57999999999999996</v>
      </c>
      <c r="D98" s="12">
        <v>0.86</v>
      </c>
      <c r="E98" s="12">
        <v>20</v>
      </c>
      <c r="F98" s="12" t="str">
        <f>CONCATENATE("Interior ",Table_LPA_SxS[[#This Row],[Space-by-Space areas]])</f>
        <v>Interior Sports arena: Court sports area ‑ Class 4</v>
      </c>
      <c r="G98" s="12" t="s">
        <v>215</v>
      </c>
      <c r="H98" s="12">
        <v>93</v>
      </c>
      <c r="I98" s="12" t="str">
        <f t="shared" si="11"/>
        <v>Controls_Interior_Basic</v>
      </c>
      <c r="J98" s="12" t="s">
        <v>1920</v>
      </c>
      <c r="K98" s="12" t="s">
        <v>755</v>
      </c>
      <c r="L98" s="12" t="s">
        <v>1600</v>
      </c>
      <c r="M98" s="12" t="s">
        <v>727</v>
      </c>
    </row>
    <row r="99" spans="2:13">
      <c r="B99" t="s">
        <v>2517</v>
      </c>
      <c r="C99" s="12">
        <v>0.55000000000000004</v>
      </c>
      <c r="D99" s="12">
        <v>0.49</v>
      </c>
      <c r="E99" s="12">
        <v>20</v>
      </c>
      <c r="F99" s="12" t="str">
        <f>CONCATENATE("Interior ",Table_LPA_SxS[[#This Row],[Space-by-Space areas]])</f>
        <v>Interior Stairwell</v>
      </c>
      <c r="G99" s="12" t="s">
        <v>215</v>
      </c>
      <c r="H99" s="12">
        <v>54</v>
      </c>
      <c r="I99" s="12" t="str">
        <f t="shared" si="11"/>
        <v>Controls_Interior_Basic</v>
      </c>
      <c r="J99" s="12" t="s">
        <v>1920</v>
      </c>
      <c r="K99" s="12" t="s">
        <v>768</v>
      </c>
      <c r="L99" s="12" t="s">
        <v>1600</v>
      </c>
      <c r="M99" s="12" t="s">
        <v>700</v>
      </c>
    </row>
    <row r="100" spans="2:13">
      <c r="B100" s="1112" t="s">
        <v>2518</v>
      </c>
      <c r="C100" s="1279">
        <v>0.5</v>
      </c>
      <c r="D100" s="1279">
        <v>0.38</v>
      </c>
      <c r="E100" s="12">
        <v>20</v>
      </c>
      <c r="F100" s="12" t="str">
        <f>CONCATENATE("Interior ",Table_LPA_SxS[[#This Row],[Space-by-Space areas]])</f>
        <v>Interior Storage room &lt;50 SF</v>
      </c>
      <c r="G100" s="12" t="s">
        <v>215</v>
      </c>
      <c r="H100" s="12">
        <v>55</v>
      </c>
      <c r="I100" s="12" t="str">
        <f t="shared" si="11"/>
        <v>Controls_Interior_Basic</v>
      </c>
      <c r="J100" s="12" t="s">
        <v>1920</v>
      </c>
      <c r="K100" s="12" t="s">
        <v>776</v>
      </c>
      <c r="L100" s="12" t="s">
        <v>1600</v>
      </c>
      <c r="M100" s="12" t="s">
        <v>700</v>
      </c>
    </row>
    <row r="101" spans="2:13">
      <c r="B101" t="s">
        <v>2519</v>
      </c>
      <c r="C101" s="12">
        <v>0.5</v>
      </c>
      <c r="D101" s="12">
        <v>0.38</v>
      </c>
      <c r="E101" s="12">
        <v>20</v>
      </c>
      <c r="F101" s="12" t="str">
        <f>CONCATENATE("Interior ",Table_LPA_SxS[[#This Row],[Space-by-Space areas]])</f>
        <v>Interior Storage room &gt;50 SF</v>
      </c>
      <c r="G101" s="12" t="s">
        <v>215</v>
      </c>
      <c r="H101" s="12">
        <v>55</v>
      </c>
      <c r="I101" s="12" t="str">
        <f t="shared" ref="I101" si="12">IF(G101="No","Controls_Interior_Basic", "Controls_Interior_LLLC")</f>
        <v>Controls_Interior_Basic</v>
      </c>
      <c r="J101" s="12" t="s">
        <v>1920</v>
      </c>
      <c r="K101" s="12" t="s">
        <v>776</v>
      </c>
      <c r="L101" s="12" t="s">
        <v>1600</v>
      </c>
      <c r="M101" s="12" t="s">
        <v>700</v>
      </c>
    </row>
    <row r="102" spans="2:13">
      <c r="B102" t="s">
        <v>2520</v>
      </c>
      <c r="C102" s="12">
        <v>0.28999999999999998</v>
      </c>
      <c r="D102" s="12">
        <v>0.25</v>
      </c>
      <c r="E102" s="12">
        <v>20</v>
      </c>
      <c r="F102" s="12" t="str">
        <f>CONCATENATE("Interior ",Table_LPA_SxS[[#This Row],[Space-by-Space areas]])</f>
        <v>Interior Transportation: Airport concourse</v>
      </c>
      <c r="G102" s="12" t="s">
        <v>215</v>
      </c>
      <c r="H102" s="12">
        <v>95</v>
      </c>
      <c r="I102" s="12" t="str">
        <f t="shared" si="11"/>
        <v>Controls_Interior_Basic</v>
      </c>
      <c r="J102" s="12" t="s">
        <v>1920</v>
      </c>
      <c r="K102" s="12" t="s">
        <v>772</v>
      </c>
      <c r="L102" s="12" t="s">
        <v>1600</v>
      </c>
      <c r="M102" s="12" t="s">
        <v>727</v>
      </c>
    </row>
    <row r="103" spans="2:13">
      <c r="B103" t="s">
        <v>2521</v>
      </c>
      <c r="C103" s="12">
        <v>0.42</v>
      </c>
      <c r="D103" s="12">
        <v>0.39</v>
      </c>
      <c r="E103" s="12">
        <v>20</v>
      </c>
      <c r="F103" s="12" t="str">
        <f>CONCATENATE("Interior ",Table_LPA_SxS[[#This Row],[Space-by-Space areas]])</f>
        <v>Interior Transportation: Baggage/carousel area</v>
      </c>
      <c r="G103" s="12" t="s">
        <v>215</v>
      </c>
      <c r="H103" s="12">
        <v>94</v>
      </c>
      <c r="I103" s="12" t="str">
        <f t="shared" si="11"/>
        <v>Controls_Interior_Basic</v>
      </c>
      <c r="J103" s="12" t="s">
        <v>1920</v>
      </c>
      <c r="K103" s="12" t="s">
        <v>772</v>
      </c>
      <c r="L103" s="12" t="s">
        <v>1600</v>
      </c>
      <c r="M103" s="12" t="s">
        <v>727</v>
      </c>
    </row>
    <row r="104" spans="2:13">
      <c r="B104" t="s">
        <v>2522</v>
      </c>
      <c r="C104" s="12">
        <v>0.64</v>
      </c>
      <c r="D104" s="12">
        <v>0.51</v>
      </c>
      <c r="E104" s="12">
        <v>20</v>
      </c>
      <c r="F104" s="12" t="str">
        <f>CONCATENATE("Interior ",Table_LPA_SxS[[#This Row],[Space-by-Space areas]])</f>
        <v>Interior Transportation: Terminal ‑ Ticket counter</v>
      </c>
      <c r="G104" s="12" t="s">
        <v>215</v>
      </c>
      <c r="H104" s="12">
        <v>96</v>
      </c>
      <c r="I104" s="12" t="str">
        <f t="shared" si="11"/>
        <v>Controls_Interior_Basic</v>
      </c>
      <c r="J104" s="12" t="s">
        <v>1920</v>
      </c>
      <c r="K104" s="12" t="s">
        <v>772</v>
      </c>
      <c r="L104" s="12" t="s">
        <v>1600</v>
      </c>
      <c r="M104" s="12" t="s">
        <v>727</v>
      </c>
    </row>
    <row r="105" spans="2:13">
      <c r="B105" t="s">
        <v>2523</v>
      </c>
      <c r="C105" s="12">
        <v>0.54</v>
      </c>
      <c r="D105" s="12">
        <v>0.6</v>
      </c>
      <c r="E105" s="12">
        <v>20</v>
      </c>
      <c r="F105" s="12" t="str">
        <f>CONCATENATE("Interior ",Table_LPA_SxS[[#This Row],[Space-by-Space areas]])</f>
        <v>Interior Vehicular maintenance</v>
      </c>
      <c r="G105" s="12" t="s">
        <v>215</v>
      </c>
      <c r="H105" s="12">
        <v>56</v>
      </c>
      <c r="I105" s="12" t="str">
        <f t="shared" si="11"/>
        <v>Controls_Interior_Basic</v>
      </c>
      <c r="J105" s="12" t="s">
        <v>1920</v>
      </c>
      <c r="K105" s="12" t="s">
        <v>768</v>
      </c>
      <c r="L105" s="12" t="s">
        <v>1600</v>
      </c>
      <c r="M105" s="12" t="s">
        <v>727</v>
      </c>
    </row>
    <row r="106" spans="2:13">
      <c r="B106" t="s">
        <v>2524</v>
      </c>
      <c r="C106" s="12">
        <v>0.46</v>
      </c>
      <c r="D106" s="12">
        <v>0.33</v>
      </c>
      <c r="E106" s="12">
        <v>20</v>
      </c>
      <c r="F106" s="12" t="str">
        <f>CONCATENATE("Interior ",Table_LPA_SxS[[#This Row],[Space-by-Space areas]])</f>
        <v>Interior Warehouse: Medium/bulky palletized items</v>
      </c>
      <c r="G106" s="12" t="s">
        <v>215</v>
      </c>
      <c r="H106" s="12">
        <v>97</v>
      </c>
      <c r="I106" s="12" t="str">
        <f t="shared" si="11"/>
        <v>Controls_Interior_Basic</v>
      </c>
      <c r="J106" s="12" t="s">
        <v>1920</v>
      </c>
      <c r="K106" s="12" t="s">
        <v>779</v>
      </c>
      <c r="L106" s="12" t="s">
        <v>1600</v>
      </c>
      <c r="M106" s="12" t="s">
        <v>700</v>
      </c>
    </row>
    <row r="107" spans="2:13">
      <c r="B107" t="s">
        <v>2525</v>
      </c>
      <c r="C107" s="12">
        <v>0.46</v>
      </c>
      <c r="D107" s="12">
        <v>0.33</v>
      </c>
      <c r="E107" s="12">
        <v>20</v>
      </c>
      <c r="F107" s="12" t="str">
        <f>CONCATENATE("Interior ",Table_LPA_SxS[[#This Row],[Space-by-Space areas]])</f>
        <v>Interior Warehouse: Medium/bulky palletized items (Top Lighted)</v>
      </c>
      <c r="G107" s="12" t="s">
        <v>237</v>
      </c>
      <c r="H107" s="12">
        <v>97</v>
      </c>
      <c r="I107" s="12" t="str">
        <f t="shared" si="11"/>
        <v>Controls_Interior_LLLC</v>
      </c>
      <c r="J107" s="12" t="s">
        <v>1920</v>
      </c>
      <c r="K107" s="39" t="s">
        <v>781</v>
      </c>
      <c r="L107" s="12" t="s">
        <v>1600</v>
      </c>
      <c r="M107" s="12" t="s">
        <v>700</v>
      </c>
    </row>
    <row r="108" spans="2:13">
      <c r="B108" t="s">
        <v>2526</v>
      </c>
      <c r="C108" s="12">
        <v>0.76</v>
      </c>
      <c r="D108" s="12">
        <v>0.69</v>
      </c>
      <c r="E108" s="12">
        <v>20</v>
      </c>
      <c r="F108" s="12" t="str">
        <f>CONCATENATE("Interior ",Table_LPA_SxS[[#This Row],[Space-by-Space areas]])</f>
        <v>Interior Warehouse: Smaller, hand carried items</v>
      </c>
      <c r="G108" s="12" t="s">
        <v>215</v>
      </c>
      <c r="H108" s="12">
        <v>98</v>
      </c>
      <c r="I108" s="12" t="str">
        <f t="shared" si="11"/>
        <v>Controls_Interior_Basic</v>
      </c>
      <c r="J108" s="12" t="s">
        <v>1920</v>
      </c>
      <c r="K108" s="12" t="s">
        <v>779</v>
      </c>
      <c r="L108" s="12" t="s">
        <v>1600</v>
      </c>
      <c r="M108" s="12" t="s">
        <v>700</v>
      </c>
    </row>
    <row r="109" spans="2:13">
      <c r="B109" t="s">
        <v>2527</v>
      </c>
      <c r="C109" s="12">
        <v>0.76</v>
      </c>
      <c r="D109" s="12">
        <v>0.69</v>
      </c>
      <c r="E109" s="12">
        <v>20</v>
      </c>
      <c r="F109" s="12" t="str">
        <f>CONCATENATE("Interior ",Table_LPA_SxS[[#This Row],[Space-by-Space areas]])</f>
        <v>Interior Warehouse: Smaller, hand carried items (Top Lighted)</v>
      </c>
      <c r="G109" s="12" t="s">
        <v>237</v>
      </c>
      <c r="H109" s="12">
        <v>98</v>
      </c>
      <c r="I109" s="12" t="str">
        <f t="shared" si="11"/>
        <v>Controls_Interior_LLLC</v>
      </c>
      <c r="J109" s="12" t="s">
        <v>1920</v>
      </c>
      <c r="K109" s="39" t="s">
        <v>781</v>
      </c>
      <c r="L109" s="12" t="s">
        <v>1600</v>
      </c>
      <c r="M109" s="12" t="s">
        <v>700</v>
      </c>
    </row>
    <row r="110" spans="2:13">
      <c r="B110" t="s">
        <v>2245</v>
      </c>
      <c r="C110" s="12">
        <v>1.27</v>
      </c>
      <c r="D110" s="12">
        <v>1.26</v>
      </c>
      <c r="E110" s="12">
        <v>20</v>
      </c>
      <c r="F110" s="12" t="str">
        <f>CONCATENATE("Interior ",Table_LPA_SxS[[#This Row],[Space-by-Space areas]])</f>
        <v>Interior Workshop</v>
      </c>
      <c r="G110" s="12" t="s">
        <v>215</v>
      </c>
      <c r="H110" s="12">
        <v>57</v>
      </c>
      <c r="I110" s="12" t="str">
        <f t="shared" si="11"/>
        <v>Controls_Interior_Basic</v>
      </c>
      <c r="J110" s="12" t="s">
        <v>1920</v>
      </c>
      <c r="K110" s="39" t="s">
        <v>771</v>
      </c>
      <c r="L110" s="12" t="s">
        <v>1536</v>
      </c>
      <c r="M110" s="12"/>
    </row>
    <row r="111" spans="2:13">
      <c r="B111" s="22" t="s">
        <v>744</v>
      </c>
      <c r="C111" s="12"/>
      <c r="D111" s="12"/>
      <c r="E111" s="12"/>
      <c r="F111" s="12" t="str">
        <f>CONCATENATE("Interior ",Table_LPA_SxS[[#This Row],[Space-by-Space areas]])</f>
        <v>Interior Assembly</v>
      </c>
      <c r="G111" s="12" t="s">
        <v>215</v>
      </c>
      <c r="H111" s="12"/>
      <c r="I111" s="12" t="str">
        <f t="shared" ref="I111:I136" si="13">IF(G111="No","Controls_Interior_Basic", "Controls_Interior_LLLC")</f>
        <v>Controls_Interior_Basic</v>
      </c>
      <c r="J111" s="12" t="s">
        <v>1920</v>
      </c>
      <c r="K111" s="12" t="s">
        <v>744</v>
      </c>
      <c r="L111" s="12" t="s">
        <v>1536</v>
      </c>
      <c r="M111" s="12"/>
    </row>
    <row r="112" spans="2:13">
      <c r="B112" s="22" t="s">
        <v>745</v>
      </c>
      <c r="C112" s="12"/>
      <c r="D112" s="12"/>
      <c r="E112" s="12"/>
      <c r="F112" s="12" t="str">
        <f>CONCATENATE("Interior ",Table_LPA_SxS[[#This Row],[Space-by-Space areas]])</f>
        <v>Interior Break Room</v>
      </c>
      <c r="G112" s="12" t="s">
        <v>215</v>
      </c>
      <c r="H112" s="12"/>
      <c r="I112" s="12" t="str">
        <f t="shared" si="13"/>
        <v>Controls_Interior_Basic</v>
      </c>
      <c r="J112" s="12" t="s">
        <v>1920</v>
      </c>
      <c r="K112" s="12" t="s">
        <v>745</v>
      </c>
      <c r="L112" s="12" t="s">
        <v>1536</v>
      </c>
      <c r="M112" s="12"/>
    </row>
    <row r="113" spans="2:13">
      <c r="B113" s="22" t="s">
        <v>747</v>
      </c>
      <c r="C113" s="12"/>
      <c r="D113" s="12"/>
      <c r="E113" s="12"/>
      <c r="F113" s="12" t="str">
        <f>CONCATENATE("Interior ",Table_LPA_SxS[[#This Row],[Space-by-Space areas]])</f>
        <v>Interior Classroom</v>
      </c>
      <c r="G113" s="12" t="s">
        <v>237</v>
      </c>
      <c r="H113" s="12"/>
      <c r="I113" s="12" t="str">
        <f t="shared" si="13"/>
        <v>Controls_Interior_LLLC</v>
      </c>
      <c r="J113" s="12" t="s">
        <v>1920</v>
      </c>
      <c r="K113" s="12" t="s">
        <v>747</v>
      </c>
      <c r="L113" s="12" t="s">
        <v>1536</v>
      </c>
      <c r="M113" s="12"/>
    </row>
    <row r="114" spans="2:13">
      <c r="B114" s="22" t="s">
        <v>1972</v>
      </c>
      <c r="C114" s="12"/>
      <c r="D114" s="12"/>
      <c r="E114" s="12"/>
      <c r="F114" s="12" t="str">
        <f>CONCATENATE("Interior ",Table_LPA_SxS[[#This Row],[Space-by-Space areas]])</f>
        <v>Interior Computer Rooms</v>
      </c>
      <c r="G114" s="12" t="s">
        <v>215</v>
      </c>
      <c r="H114" s="12"/>
      <c r="I114" s="12" t="str">
        <f t="shared" si="13"/>
        <v>Controls_Interior_Basic</v>
      </c>
      <c r="J114" s="12" t="s">
        <v>1920</v>
      </c>
      <c r="K114" s="12" t="s">
        <v>749</v>
      </c>
      <c r="L114" s="12" t="s">
        <v>1536</v>
      </c>
      <c r="M114" s="12"/>
    </row>
    <row r="115" spans="2:13">
      <c r="B115" s="22" t="s">
        <v>751</v>
      </c>
      <c r="C115" s="12"/>
      <c r="D115" s="12"/>
      <c r="E115" s="12"/>
      <c r="F115" s="12" t="str">
        <f>CONCATENATE("Interior ",Table_LPA_SxS[[#This Row],[Space-by-Space areas]])</f>
        <v>Interior Conference Room</v>
      </c>
      <c r="G115" s="12" t="s">
        <v>237</v>
      </c>
      <c r="H115" s="12"/>
      <c r="I115" s="12" t="str">
        <f t="shared" si="13"/>
        <v>Controls_Interior_LLLC</v>
      </c>
      <c r="J115" s="12" t="s">
        <v>1920</v>
      </c>
      <c r="K115" s="12" t="s">
        <v>751</v>
      </c>
      <c r="L115" s="12" t="s">
        <v>1536</v>
      </c>
      <c r="M115" s="12"/>
    </row>
    <row r="116" spans="2:13">
      <c r="B116" s="22" t="s">
        <v>753</v>
      </c>
      <c r="C116" s="12"/>
      <c r="D116" s="12"/>
      <c r="E116" s="12"/>
      <c r="F116" s="12" t="str">
        <f>CONCATENATE("Interior ",Table_LPA_SxS[[#This Row],[Space-by-Space areas]])</f>
        <v>Interior Dining</v>
      </c>
      <c r="G116" s="12" t="s">
        <v>215</v>
      </c>
      <c r="H116" s="12"/>
      <c r="I116" s="12" t="str">
        <f t="shared" si="13"/>
        <v>Controls_Interior_Basic</v>
      </c>
      <c r="J116" s="12" t="s">
        <v>1920</v>
      </c>
      <c r="K116" s="12" t="s">
        <v>753</v>
      </c>
      <c r="L116" s="12" t="s">
        <v>1536</v>
      </c>
      <c r="M116" s="12"/>
    </row>
    <row r="117" spans="2:13">
      <c r="B117" s="22" t="s">
        <v>755</v>
      </c>
      <c r="C117" s="12"/>
      <c r="D117" s="12"/>
      <c r="E117" s="12"/>
      <c r="F117" s="12" t="str">
        <f>CONCATENATE("Interior ",Table_LPA_SxS[[#This Row],[Space-by-Space areas]])</f>
        <v>Interior Gymnasium</v>
      </c>
      <c r="G117" s="12" t="s">
        <v>215</v>
      </c>
      <c r="H117" s="12"/>
      <c r="I117" s="12" t="str">
        <f t="shared" si="13"/>
        <v>Controls_Interior_Basic</v>
      </c>
      <c r="J117" s="12" t="s">
        <v>1920</v>
      </c>
      <c r="K117" s="12" t="s">
        <v>755</v>
      </c>
      <c r="L117" s="12" t="s">
        <v>1536</v>
      </c>
      <c r="M117" s="12"/>
    </row>
    <row r="118" spans="2:13">
      <c r="B118" s="22" t="s">
        <v>759</v>
      </c>
      <c r="C118" s="12"/>
      <c r="D118" s="12"/>
      <c r="E118" s="12"/>
      <c r="F118" s="12" t="str">
        <f>CONCATENATE("Interior ",Table_LPA_SxS[[#This Row],[Space-by-Space areas]])</f>
        <v>Interior Hallway</v>
      </c>
      <c r="G118" s="12" t="s">
        <v>215</v>
      </c>
      <c r="H118" s="12"/>
      <c r="I118" s="12" t="str">
        <f t="shared" si="13"/>
        <v>Controls_Interior_Basic</v>
      </c>
      <c r="J118" s="12" t="s">
        <v>1920</v>
      </c>
      <c r="K118" s="12" t="s">
        <v>759</v>
      </c>
      <c r="L118" s="12" t="s">
        <v>1536</v>
      </c>
      <c r="M118" s="12"/>
    </row>
    <row r="119" spans="2:13">
      <c r="B119" s="22" t="s">
        <v>760</v>
      </c>
      <c r="C119" s="12"/>
      <c r="D119" s="12"/>
      <c r="E119" s="12"/>
      <c r="F119" s="12" t="str">
        <f>CONCATENATE("Interior ",Table_LPA_SxS[[#This Row],[Space-by-Space areas]])</f>
        <v>Interior Hospital Room</v>
      </c>
      <c r="G119" s="12" t="s">
        <v>215</v>
      </c>
      <c r="H119" s="12"/>
      <c r="I119" s="12" t="str">
        <f t="shared" si="13"/>
        <v>Controls_Interior_Basic</v>
      </c>
      <c r="J119" s="12" t="s">
        <v>1920</v>
      </c>
      <c r="K119" s="12" t="s">
        <v>760</v>
      </c>
      <c r="L119" s="12" t="s">
        <v>1536</v>
      </c>
      <c r="M119" s="12"/>
    </row>
    <row r="120" spans="2:13">
      <c r="B120" s="22" t="s">
        <v>761</v>
      </c>
      <c r="C120" s="12"/>
      <c r="D120" s="12"/>
      <c r="E120" s="12"/>
      <c r="F120" s="12" t="str">
        <f>CONCATENATE("Interior ",Table_LPA_SxS[[#This Row],[Space-by-Space areas]])</f>
        <v>Interior Industrial</v>
      </c>
      <c r="G120" s="12" t="s">
        <v>215</v>
      </c>
      <c r="H120" s="12"/>
      <c r="I120" s="12" t="str">
        <f t="shared" si="13"/>
        <v>Controls_Interior_Basic</v>
      </c>
      <c r="J120" s="12" t="s">
        <v>1920</v>
      </c>
      <c r="K120" s="12" t="s">
        <v>761</v>
      </c>
      <c r="L120" s="12" t="s">
        <v>1536</v>
      </c>
      <c r="M120" s="12"/>
    </row>
    <row r="121" spans="2:13">
      <c r="B121" s="22" t="s">
        <v>762</v>
      </c>
      <c r="C121" s="12"/>
      <c r="D121" s="12"/>
      <c r="E121" s="12"/>
      <c r="F121" s="12" t="str">
        <f>CONCATENATE("Interior ",Table_LPA_SxS[[#This Row],[Space-by-Space areas]])</f>
        <v>Interior Kitchen</v>
      </c>
      <c r="G121" s="12" t="s">
        <v>215</v>
      </c>
      <c r="H121" s="12"/>
      <c r="I121" s="12" t="str">
        <f t="shared" si="13"/>
        <v>Controls_Interior_Basic</v>
      </c>
      <c r="J121" s="12" t="s">
        <v>1920</v>
      </c>
      <c r="K121" s="12" t="s">
        <v>762</v>
      </c>
      <c r="L121" s="12" t="s">
        <v>1536</v>
      </c>
      <c r="M121" s="12"/>
    </row>
    <row r="122" spans="2:13">
      <c r="B122" s="22" t="s">
        <v>763</v>
      </c>
      <c r="C122" s="12"/>
      <c r="D122" s="12"/>
      <c r="E122" s="12"/>
      <c r="F122" s="12" t="str">
        <f>CONCATENATE("Interior ",Table_LPA_SxS[[#This Row],[Space-by-Space areas]])</f>
        <v>Interior Library</v>
      </c>
      <c r="G122" s="12" t="s">
        <v>215</v>
      </c>
      <c r="H122" s="12"/>
      <c r="I122" s="12" t="str">
        <f t="shared" si="13"/>
        <v>Controls_Interior_Basic</v>
      </c>
      <c r="J122" s="12" t="s">
        <v>1920</v>
      </c>
      <c r="K122" s="12" t="s">
        <v>763</v>
      </c>
      <c r="L122" s="12" t="s">
        <v>1536</v>
      </c>
      <c r="M122" s="12"/>
    </row>
    <row r="123" spans="2:13">
      <c r="B123" s="22" t="s">
        <v>764</v>
      </c>
      <c r="C123" s="12"/>
      <c r="D123" s="12"/>
      <c r="E123" s="12"/>
      <c r="F123" s="12" t="str">
        <f>CONCATENATE("Interior ",Table_LPA_SxS[[#This Row],[Space-by-Space areas]])</f>
        <v>Interior Lobby</v>
      </c>
      <c r="G123" s="12" t="s">
        <v>215</v>
      </c>
      <c r="H123" s="12"/>
      <c r="I123" s="12" t="str">
        <f t="shared" si="13"/>
        <v>Controls_Interior_Basic</v>
      </c>
      <c r="J123" s="12" t="s">
        <v>1920</v>
      </c>
      <c r="K123" s="12" t="s">
        <v>764</v>
      </c>
      <c r="L123" s="12" t="s">
        <v>1536</v>
      </c>
      <c r="M123" s="12"/>
    </row>
    <row r="124" spans="2:13">
      <c r="B124" s="22" t="s">
        <v>766</v>
      </c>
      <c r="C124" s="12"/>
      <c r="D124" s="12"/>
      <c r="E124" s="12"/>
      <c r="F124" s="12" t="str">
        <f>CONCATENATE("Interior ",Table_LPA_SxS[[#This Row],[Space-by-Space areas]])</f>
        <v>Interior Lodging (Guest Rooms)</v>
      </c>
      <c r="G124" s="12" t="s">
        <v>215</v>
      </c>
      <c r="H124" s="12"/>
      <c r="I124" s="12" t="str">
        <f t="shared" si="13"/>
        <v>Controls_Interior_Basic</v>
      </c>
      <c r="J124" s="12" t="s">
        <v>1920</v>
      </c>
      <c r="K124" s="12" t="s">
        <v>766</v>
      </c>
      <c r="L124" s="12" t="s">
        <v>1536</v>
      </c>
      <c r="M124" s="12"/>
    </row>
    <row r="125" spans="2:13">
      <c r="B125" s="22" t="s">
        <v>767</v>
      </c>
      <c r="C125" s="12"/>
      <c r="D125" s="12"/>
      <c r="E125" s="12"/>
      <c r="F125" s="12" t="str">
        <f>CONCATENATE("Interior ",Table_LPA_SxS[[#This Row],[Space-by-Space areas]])</f>
        <v>Interior Open Office</v>
      </c>
      <c r="G125" s="12" t="s">
        <v>237</v>
      </c>
      <c r="H125" s="12"/>
      <c r="I125" s="12" t="str">
        <f t="shared" si="13"/>
        <v>Controls_Interior_LLLC</v>
      </c>
      <c r="J125" s="12" t="s">
        <v>1920</v>
      </c>
      <c r="K125" s="12" t="s">
        <v>767</v>
      </c>
      <c r="L125" s="12" t="s">
        <v>1536</v>
      </c>
      <c r="M125" s="12"/>
    </row>
    <row r="126" spans="2:13">
      <c r="B126" s="22" t="s">
        <v>768</v>
      </c>
      <c r="C126" s="12"/>
      <c r="D126" s="12"/>
      <c r="E126" s="12"/>
      <c r="F126" s="12" t="str">
        <f>CONCATENATE("Interior ",Table_LPA_SxS[[#This Row],[Space-by-Space areas]])</f>
        <v>Interior Other</v>
      </c>
      <c r="G126" s="12" t="s">
        <v>215</v>
      </c>
      <c r="H126" s="12"/>
      <c r="I126" s="12" t="str">
        <f t="shared" si="13"/>
        <v>Controls_Interior_Basic</v>
      </c>
      <c r="J126" s="12" t="s">
        <v>1920</v>
      </c>
      <c r="K126" s="12" t="s">
        <v>768</v>
      </c>
      <c r="L126" s="12" t="s">
        <v>1536</v>
      </c>
      <c r="M126" s="12"/>
    </row>
    <row r="127" spans="2:13">
      <c r="B127" s="22" t="s">
        <v>769</v>
      </c>
      <c r="C127" s="12"/>
      <c r="D127" s="12"/>
      <c r="E127" s="12"/>
      <c r="F127" s="12" t="str">
        <f>CONCATENATE("Interior ",Table_LPA_SxS[[#This Row],[Space-by-Space areas]])</f>
        <v>Interior Parking Garage</v>
      </c>
      <c r="G127" s="12" t="s">
        <v>215</v>
      </c>
      <c r="H127" s="12"/>
      <c r="I127" s="12" t="str">
        <f t="shared" si="13"/>
        <v>Controls_Interior_Basic</v>
      </c>
      <c r="J127" s="12" t="s">
        <v>1920</v>
      </c>
      <c r="K127" s="12" t="s">
        <v>769</v>
      </c>
      <c r="L127" s="12" t="s">
        <v>1536</v>
      </c>
      <c r="M127" s="12"/>
    </row>
    <row r="128" spans="2:13">
      <c r="B128" s="22" t="s">
        <v>770</v>
      </c>
      <c r="C128" s="12"/>
      <c r="D128" s="12"/>
      <c r="E128" s="12"/>
      <c r="F128" s="12" t="str">
        <f>CONCATENATE("Interior ",Table_LPA_SxS[[#This Row],[Space-by-Space areas]])</f>
        <v>Interior Private Office</v>
      </c>
      <c r="G128" s="12" t="s">
        <v>237</v>
      </c>
      <c r="H128" s="12"/>
      <c r="I128" s="12" t="str">
        <f t="shared" si="13"/>
        <v>Controls_Interior_LLLC</v>
      </c>
      <c r="J128" s="12" t="s">
        <v>1920</v>
      </c>
      <c r="K128" s="12" t="s">
        <v>770</v>
      </c>
      <c r="L128" s="12" t="s">
        <v>1536</v>
      </c>
      <c r="M128" s="12"/>
    </row>
    <row r="129" spans="2:13">
      <c r="B129" s="22" t="s">
        <v>771</v>
      </c>
      <c r="C129" s="12"/>
      <c r="D129" s="12"/>
      <c r="E129" s="12"/>
      <c r="F129" s="12" t="str">
        <f>CONCATENATE("Interior ",Table_LPA_SxS[[#This Row],[Space-by-Space areas]])</f>
        <v>Interior Process</v>
      </c>
      <c r="G129" s="12" t="s">
        <v>215</v>
      </c>
      <c r="H129" s="12"/>
      <c r="I129" s="12" t="str">
        <f t="shared" si="13"/>
        <v>Controls_Interior_Basic</v>
      </c>
      <c r="J129" s="12" t="s">
        <v>1920</v>
      </c>
      <c r="K129" s="12" t="s">
        <v>771</v>
      </c>
      <c r="L129" s="12" t="s">
        <v>1536</v>
      </c>
      <c r="M129" s="12"/>
    </row>
    <row r="130" spans="2:13">
      <c r="B130" s="22" t="s">
        <v>772</v>
      </c>
      <c r="C130" s="12"/>
      <c r="D130" s="12"/>
      <c r="E130" s="12"/>
      <c r="F130" s="12" t="str">
        <f>CONCATENATE("Interior ",Table_LPA_SxS[[#This Row],[Space-by-Space areas]])</f>
        <v>Interior Public Assembly</v>
      </c>
      <c r="G130" s="12" t="s">
        <v>215</v>
      </c>
      <c r="H130" s="12"/>
      <c r="I130" s="12" t="str">
        <f t="shared" si="13"/>
        <v>Controls_Interior_Basic</v>
      </c>
      <c r="J130" s="12" t="s">
        <v>1920</v>
      </c>
      <c r="K130" s="12" t="s">
        <v>772</v>
      </c>
      <c r="L130" s="12" t="s">
        <v>1536</v>
      </c>
      <c r="M130" s="12"/>
    </row>
    <row r="131" spans="2:13">
      <c r="B131" s="22" t="s">
        <v>773</v>
      </c>
      <c r="C131" s="12"/>
      <c r="D131" s="12"/>
      <c r="E131" s="12"/>
      <c r="F131" s="12" t="str">
        <f>CONCATENATE("Interior ",Table_LPA_SxS[[#This Row],[Space-by-Space areas]])</f>
        <v>Interior Restroom</v>
      </c>
      <c r="G131" s="12" t="s">
        <v>215</v>
      </c>
      <c r="H131" s="12"/>
      <c r="I131" s="12" t="str">
        <f t="shared" si="13"/>
        <v>Controls_Interior_Basic</v>
      </c>
      <c r="J131" s="12" t="s">
        <v>1920</v>
      </c>
      <c r="K131" s="12" t="s">
        <v>773</v>
      </c>
      <c r="L131" s="12" t="s">
        <v>1536</v>
      </c>
      <c r="M131" s="12"/>
    </row>
    <row r="132" spans="2:13">
      <c r="B132" s="22" t="s">
        <v>774</v>
      </c>
      <c r="C132" s="12"/>
      <c r="D132" s="12"/>
      <c r="E132" s="12"/>
      <c r="F132" s="12" t="str">
        <f>CONCATENATE("Interior ",Table_LPA_SxS[[#This Row],[Space-by-Space areas]])</f>
        <v>Interior Retail</v>
      </c>
      <c r="G132" s="12" t="s">
        <v>215</v>
      </c>
      <c r="H132" s="12"/>
      <c r="I132" s="12" t="str">
        <f t="shared" si="13"/>
        <v>Controls_Interior_Basic</v>
      </c>
      <c r="J132" s="12" t="s">
        <v>1920</v>
      </c>
      <c r="K132" s="12" t="s">
        <v>774</v>
      </c>
      <c r="L132" s="12" t="s">
        <v>1536</v>
      </c>
      <c r="M132" s="12"/>
    </row>
    <row r="133" spans="2:13">
      <c r="B133" s="22" t="s">
        <v>775</v>
      </c>
      <c r="C133" s="12"/>
      <c r="D133" s="12"/>
      <c r="E133" s="12"/>
      <c r="F133" s="12" t="str">
        <f>CONCATENATE("Interior ",Table_LPA_SxS[[#This Row],[Space-by-Space areas]])</f>
        <v>Interior Stairs</v>
      </c>
      <c r="G133" s="12" t="s">
        <v>215</v>
      </c>
      <c r="H133" s="12"/>
      <c r="I133" s="12" t="str">
        <f t="shared" si="13"/>
        <v>Controls_Interior_Basic</v>
      </c>
      <c r="J133" s="12" t="s">
        <v>1920</v>
      </c>
      <c r="K133" s="12" t="s">
        <v>775</v>
      </c>
      <c r="L133" s="12" t="s">
        <v>1536</v>
      </c>
      <c r="M133" s="12"/>
    </row>
    <row r="134" spans="2:13">
      <c r="B134" s="22" t="s">
        <v>776</v>
      </c>
      <c r="C134" s="12"/>
      <c r="D134" s="12"/>
      <c r="E134" s="12"/>
      <c r="F134" s="12" t="str">
        <f>CONCATENATE("Interior ",Table_LPA_SxS[[#This Row],[Space-by-Space areas]])</f>
        <v>Interior Storage</v>
      </c>
      <c r="G134" s="12" t="s">
        <v>215</v>
      </c>
      <c r="H134" s="12"/>
      <c r="I134" s="12" t="str">
        <f t="shared" si="13"/>
        <v>Controls_Interior_Basic</v>
      </c>
      <c r="J134" s="12" t="s">
        <v>1920</v>
      </c>
      <c r="K134" s="12" t="s">
        <v>776</v>
      </c>
      <c r="L134" s="12" t="s">
        <v>1536</v>
      </c>
      <c r="M134" s="12"/>
    </row>
    <row r="135" spans="2:13">
      <c r="B135" s="22" t="s">
        <v>777</v>
      </c>
      <c r="C135" s="12"/>
      <c r="D135" s="12"/>
      <c r="E135" s="12"/>
      <c r="F135" s="12" t="str">
        <f>CONCATENATE("Interior ",Table_LPA_SxS[[#This Row],[Space-by-Space areas]])</f>
        <v>Interior Technical Area</v>
      </c>
      <c r="G135" s="12" t="s">
        <v>215</v>
      </c>
      <c r="H135" s="12"/>
      <c r="I135" s="12" t="str">
        <f t="shared" si="13"/>
        <v>Controls_Interior_Basic</v>
      </c>
      <c r="J135" s="12" t="s">
        <v>1920</v>
      </c>
      <c r="K135" s="12" t="s">
        <v>777</v>
      </c>
      <c r="L135" s="12" t="s">
        <v>1536</v>
      </c>
      <c r="M135" s="12"/>
    </row>
    <row r="136" spans="2:13">
      <c r="B136" s="22" t="s">
        <v>779</v>
      </c>
      <c r="C136" s="12"/>
      <c r="D136" s="12"/>
      <c r="E136" s="12"/>
      <c r="F136" s="12" t="str">
        <f>CONCATENATE("Interior ",Table_LPA_SxS[[#This Row],[Space-by-Space areas]])</f>
        <v>Interior Warehouse</v>
      </c>
      <c r="G136" s="12" t="s">
        <v>215</v>
      </c>
      <c r="H136" s="12"/>
      <c r="I136" s="12" t="str">
        <f t="shared" si="13"/>
        <v>Controls_Interior_Basic</v>
      </c>
      <c r="J136" s="12" t="s">
        <v>1920</v>
      </c>
      <c r="K136" s="12" t="s">
        <v>779</v>
      </c>
      <c r="L136" s="12" t="s">
        <v>1536</v>
      </c>
      <c r="M136" s="12"/>
    </row>
    <row r="137" spans="2:13">
      <c r="B137" s="22" t="s">
        <v>781</v>
      </c>
      <c r="C137" s="12"/>
      <c r="D137" s="12"/>
      <c r="E137" s="12"/>
      <c r="F137" s="12" t="str">
        <f>CONCATENATE("Interior ",Table_LPA_SxS[[#This Row],[Space-by-Space areas]])</f>
        <v>Interior Warehouse (Top Lighted)</v>
      </c>
      <c r="G137" s="12" t="s">
        <v>237</v>
      </c>
      <c r="H137" s="12"/>
      <c r="I137" s="12"/>
      <c r="J137" s="12" t="s">
        <v>1920</v>
      </c>
      <c r="K137" s="12" t="s">
        <v>781</v>
      </c>
      <c r="L137" s="12" t="s">
        <v>1536</v>
      </c>
      <c r="M137" s="12"/>
    </row>
    <row r="139" spans="2:13">
      <c r="B139">
        <v>1</v>
      </c>
      <c r="C139">
        <v>2</v>
      </c>
      <c r="D139">
        <v>3</v>
      </c>
      <c r="E139">
        <v>4</v>
      </c>
      <c r="F139">
        <v>5</v>
      </c>
      <c r="G139">
        <v>6</v>
      </c>
      <c r="H139">
        <v>7</v>
      </c>
      <c r="I139">
        <v>8</v>
      </c>
      <c r="J139">
        <v>9</v>
      </c>
      <c r="K139">
        <v>10</v>
      </c>
      <c r="L139">
        <v>11</v>
      </c>
    </row>
    <row r="140" spans="2:13">
      <c r="B140" s="20" t="s">
        <v>2528</v>
      </c>
      <c r="C140" s="70">
        <v>2015</v>
      </c>
      <c r="D140" s="70">
        <v>2018</v>
      </c>
      <c r="E140" s="70" t="s">
        <v>2344</v>
      </c>
      <c r="F140" s="70" t="s">
        <v>2345</v>
      </c>
      <c r="G140" s="70" t="s">
        <v>385</v>
      </c>
      <c r="H140" s="70" t="s">
        <v>2346</v>
      </c>
      <c r="I140" s="70" t="s">
        <v>1895</v>
      </c>
      <c r="J140" s="70" t="s">
        <v>218</v>
      </c>
      <c r="K140" s="70" t="s">
        <v>2347</v>
      </c>
      <c r="L140" s="965" t="s">
        <v>2348</v>
      </c>
      <c r="M140" s="36" t="s">
        <v>2529</v>
      </c>
    </row>
    <row r="141" spans="2:13">
      <c r="B141" s="25" t="s">
        <v>2530</v>
      </c>
      <c r="C141" s="79">
        <v>750</v>
      </c>
      <c r="D141" s="79">
        <v>500</v>
      </c>
      <c r="E141" s="79"/>
      <c r="F141" s="966" t="str">
        <f>CONCATENATE("Exterior ",WSEC!$B141)</f>
        <v>Exterior Base Site Allowance</v>
      </c>
      <c r="G141" s="966" t="s">
        <v>215</v>
      </c>
      <c r="H141" s="79"/>
      <c r="I141" s="966" t="str">
        <f t="shared" ref="I141:I154" si="14">IF(G141="No","Controls_Exterior_Basic", "Controls_Exterior_LLLC")</f>
        <v>Controls_Exterior_Basic</v>
      </c>
      <c r="J141" s="79" t="s">
        <v>1962</v>
      </c>
      <c r="K141" s="79"/>
      <c r="L141" s="966" t="s">
        <v>1600</v>
      </c>
      <c r="M141" s="26" t="s">
        <v>750</v>
      </c>
    </row>
    <row r="142" spans="2:13">
      <c r="B142" s="22" t="s">
        <v>2531</v>
      </c>
      <c r="C142" s="80">
        <v>0.08</v>
      </c>
      <c r="D142" s="80">
        <v>0.06</v>
      </c>
      <c r="E142" s="80"/>
      <c r="F142" s="454" t="str">
        <f>CONCATENATE("Exterior ",WSEC!$B142)</f>
        <v>Exterior Parking areas and drives</v>
      </c>
      <c r="G142" s="454" t="s">
        <v>215</v>
      </c>
      <c r="H142" s="80"/>
      <c r="I142" s="454" t="str">
        <f t="shared" si="14"/>
        <v>Controls_Exterior_Basic</v>
      </c>
      <c r="J142" s="80" t="s">
        <v>1962</v>
      </c>
      <c r="K142" s="80" t="s">
        <v>788</v>
      </c>
      <c r="L142" s="454" t="s">
        <v>1600</v>
      </c>
      <c r="M142" s="23" t="s">
        <v>750</v>
      </c>
    </row>
    <row r="143" spans="2:13">
      <c r="B143" s="1282" t="s">
        <v>2532</v>
      </c>
      <c r="C143" s="79">
        <v>0.8</v>
      </c>
      <c r="D143" s="79">
        <v>0.6</v>
      </c>
      <c r="E143" s="79"/>
      <c r="F143" s="966" t="str">
        <f>CONCATENATE("Exterior ",WSEC!$B143)</f>
        <v>Exterior Walkways and ramps less than 10 feet wide (per linearfFoot)</v>
      </c>
      <c r="G143" s="966" t="s">
        <v>215</v>
      </c>
      <c r="H143" s="79"/>
      <c r="I143" s="966" t="str">
        <f t="shared" si="14"/>
        <v>Controls_Exterior_Basic</v>
      </c>
      <c r="J143" s="79" t="s">
        <v>1962</v>
      </c>
      <c r="K143" s="79" t="s">
        <v>789</v>
      </c>
      <c r="L143" s="966" t="s">
        <v>1600</v>
      </c>
      <c r="M143" s="26" t="s">
        <v>750</v>
      </c>
    </row>
    <row r="144" spans="2:13">
      <c r="B144" s="22" t="s">
        <v>2533</v>
      </c>
      <c r="C144" s="80">
        <v>0.16</v>
      </c>
      <c r="D144" s="80">
        <v>0.11</v>
      </c>
      <c r="E144" s="80"/>
      <c r="F144" s="454" t="str">
        <f>CONCATENATE("Exterior ",WSEC!$B144)</f>
        <v>Exterior Walkways and ramps 10 feet wide or greater, plaza areas special feature areas</v>
      </c>
      <c r="G144" s="454" t="s">
        <v>215</v>
      </c>
      <c r="H144" s="80"/>
      <c r="I144" s="454" t="str">
        <f t="shared" si="14"/>
        <v>Controls_Exterior_Basic</v>
      </c>
      <c r="J144" s="80" t="s">
        <v>1962</v>
      </c>
      <c r="K144" s="80" t="s">
        <v>789</v>
      </c>
      <c r="L144" s="454" t="s">
        <v>1600</v>
      </c>
      <c r="M144" s="23" t="s">
        <v>750</v>
      </c>
    </row>
    <row r="145" spans="2:13">
      <c r="B145" s="25" t="s">
        <v>2534</v>
      </c>
      <c r="C145" s="79"/>
      <c r="D145" s="79">
        <v>0.75</v>
      </c>
      <c r="E145" s="79"/>
      <c r="F145" s="966" t="str">
        <f>CONCATENATE("Exterior ",WSEC!$B145)</f>
        <v>Exterior Dining areas</v>
      </c>
      <c r="G145" s="966" t="s">
        <v>215</v>
      </c>
      <c r="H145" s="79"/>
      <c r="I145" s="966" t="str">
        <f t="shared" si="14"/>
        <v>Controls_Exterior_Basic</v>
      </c>
      <c r="J145" s="79" t="s">
        <v>1962</v>
      </c>
      <c r="K145" s="79"/>
      <c r="L145" s="966" t="s">
        <v>1600</v>
      </c>
      <c r="M145" s="26" t="s">
        <v>750</v>
      </c>
    </row>
    <row r="146" spans="2:13">
      <c r="B146" s="22" t="s">
        <v>790</v>
      </c>
      <c r="C146" s="80">
        <v>1</v>
      </c>
      <c r="D146" s="80">
        <v>0.7</v>
      </c>
      <c r="E146" s="80"/>
      <c r="F146" s="454" t="str">
        <f>CONCATENATE("Exterior ",WSEC!$B146)</f>
        <v>Exterior Stairways</v>
      </c>
      <c r="G146" s="454" t="s">
        <v>215</v>
      </c>
      <c r="H146" s="80"/>
      <c r="I146" s="454" t="str">
        <f t="shared" si="14"/>
        <v>Controls_Exterior_Basic</v>
      </c>
      <c r="J146" s="80" t="s">
        <v>1962</v>
      </c>
      <c r="K146" s="80" t="s">
        <v>790</v>
      </c>
      <c r="L146" s="454" t="s">
        <v>1600</v>
      </c>
      <c r="M146" s="23" t="s">
        <v>750</v>
      </c>
    </row>
    <row r="147" spans="2:13">
      <c r="B147" s="1225" t="s">
        <v>791</v>
      </c>
      <c r="C147" s="79">
        <v>0.2</v>
      </c>
      <c r="D147" s="79">
        <v>0.14000000000000001</v>
      </c>
      <c r="E147" s="79"/>
      <c r="F147" s="966" t="str">
        <f>CONCATENATE("Exterior ",WSEC!$B147)</f>
        <v>Exterior Pedestrian tunnels</v>
      </c>
      <c r="G147" s="966" t="s">
        <v>215</v>
      </c>
      <c r="H147" s="79"/>
      <c r="I147" s="966" t="str">
        <f t="shared" si="14"/>
        <v>Controls_Exterior_Basic</v>
      </c>
      <c r="J147" s="79" t="s">
        <v>1962</v>
      </c>
      <c r="K147" s="79" t="s">
        <v>791</v>
      </c>
      <c r="L147" s="966" t="s">
        <v>1600</v>
      </c>
      <c r="M147" s="26" t="s">
        <v>750</v>
      </c>
    </row>
    <row r="148" spans="2:13">
      <c r="B148" s="22" t="s">
        <v>2535</v>
      </c>
      <c r="C148" s="80"/>
      <c r="D148" s="80">
        <v>0.04</v>
      </c>
      <c r="E148" s="80"/>
      <c r="F148" s="454" t="str">
        <f>CONCATENATE("Exterior ",WSEC!$B148)</f>
        <v>Exterior Landscaping</v>
      </c>
      <c r="G148" s="454" t="s">
        <v>215</v>
      </c>
      <c r="H148" s="80"/>
      <c r="I148" s="454" t="str">
        <f t="shared" si="14"/>
        <v>Controls_Exterior_Basic</v>
      </c>
      <c r="J148" s="80" t="s">
        <v>1962</v>
      </c>
      <c r="K148" s="80"/>
      <c r="L148" s="454" t="s">
        <v>1600</v>
      </c>
      <c r="M148" s="23" t="s">
        <v>750</v>
      </c>
    </row>
    <row r="149" spans="2:13">
      <c r="B149" s="1282" t="s">
        <v>2536</v>
      </c>
      <c r="C149" s="79">
        <v>30</v>
      </c>
      <c r="D149" s="79">
        <v>21</v>
      </c>
      <c r="E149" s="79"/>
      <c r="F149" s="966" t="str">
        <f>CONCATENATE("Exterior ",WSEC!$B149)</f>
        <v>Exterior Pedestrian and vehicular entrances and exists  (linear foot of opening)</v>
      </c>
      <c r="G149" s="966" t="s">
        <v>215</v>
      </c>
      <c r="H149" s="79"/>
      <c r="I149" s="966" t="str">
        <f t="shared" si="14"/>
        <v>Controls_Exterior_Basic</v>
      </c>
      <c r="J149" s="79" t="s">
        <v>1962</v>
      </c>
      <c r="K149" s="79" t="s">
        <v>792</v>
      </c>
      <c r="L149" s="966" t="s">
        <v>1600</v>
      </c>
      <c r="M149" s="26" t="s">
        <v>750</v>
      </c>
    </row>
    <row r="150" spans="2:13">
      <c r="B150" s="22" t="s">
        <v>792</v>
      </c>
      <c r="C150" s="80">
        <v>0.4</v>
      </c>
      <c r="D150" s="80">
        <v>0.4</v>
      </c>
      <c r="E150" s="80"/>
      <c r="F150" s="454" t="str">
        <f>CONCATENATE("Exterior ",WSEC!$B150)</f>
        <v>Exterior Entry canopies</v>
      </c>
      <c r="G150" s="454" t="s">
        <v>215</v>
      </c>
      <c r="H150" s="80"/>
      <c r="I150" s="454" t="str">
        <f t="shared" si="14"/>
        <v>Controls_Exterior_Basic</v>
      </c>
      <c r="J150" s="80" t="s">
        <v>1962</v>
      </c>
      <c r="K150" s="80"/>
      <c r="L150" s="454" t="s">
        <v>1600</v>
      </c>
      <c r="M150" s="23" t="s">
        <v>750</v>
      </c>
    </row>
    <row r="151" spans="2:13">
      <c r="B151" s="25" t="s">
        <v>2537</v>
      </c>
      <c r="C151" s="79"/>
      <c r="D151" s="79">
        <v>0.35</v>
      </c>
      <c r="E151" s="79"/>
      <c r="F151" s="966" t="str">
        <f>CONCATENATE("Exterior ",WSEC!$B151)</f>
        <v>Exterior Loading docks</v>
      </c>
      <c r="G151" s="966" t="s">
        <v>215</v>
      </c>
      <c r="H151" s="79"/>
      <c r="I151" s="966" t="str">
        <f t="shared" si="14"/>
        <v>Controls_Exterior_Basic</v>
      </c>
      <c r="J151" s="79" t="s">
        <v>1962</v>
      </c>
      <c r="K151" s="79"/>
      <c r="L151" s="966" t="s">
        <v>1600</v>
      </c>
      <c r="M151" s="26" t="s">
        <v>750</v>
      </c>
    </row>
    <row r="152" spans="2:13">
      <c r="B152" s="22" t="s">
        <v>2538</v>
      </c>
      <c r="C152" s="80">
        <v>0.8</v>
      </c>
      <c r="D152" s="80">
        <v>0.6</v>
      </c>
      <c r="E152" s="80"/>
      <c r="F152" s="454" t="str">
        <f>CONCATENATE("Exterior ",WSEC!$B152)</f>
        <v>Exterior Sales Canopies - Free-standing and attached</v>
      </c>
      <c r="G152" s="454" t="s">
        <v>215</v>
      </c>
      <c r="H152" s="80"/>
      <c r="I152" s="454" t="str">
        <f t="shared" si="14"/>
        <v>Controls_Exterior_Basic</v>
      </c>
      <c r="J152" s="80" t="s">
        <v>1962</v>
      </c>
      <c r="K152" s="80" t="s">
        <v>793</v>
      </c>
      <c r="L152" s="454" t="s">
        <v>1600</v>
      </c>
      <c r="M152" s="23" t="s">
        <v>750</v>
      </c>
    </row>
    <row r="153" spans="2:13">
      <c r="B153" s="25" t="s">
        <v>2539</v>
      </c>
      <c r="C153" s="79">
        <v>0.5</v>
      </c>
      <c r="D153" s="79">
        <v>0.35</v>
      </c>
      <c r="E153" s="79"/>
      <c r="F153" s="966" t="str">
        <f>CONCATENATE("Exterior ",WSEC!$B153)</f>
        <v>Exterior Outdoor Sales - Open areas (including vehicle sales lots)</v>
      </c>
      <c r="G153" s="966" t="s">
        <v>215</v>
      </c>
      <c r="H153" s="79"/>
      <c r="I153" s="966" t="str">
        <f t="shared" si="14"/>
        <v>Controls_Exterior_Basic</v>
      </c>
      <c r="J153" s="79" t="s">
        <v>1962</v>
      </c>
      <c r="K153" s="79" t="s">
        <v>794</v>
      </c>
      <c r="L153" s="966" t="s">
        <v>1600</v>
      </c>
      <c r="M153" s="26" t="s">
        <v>750</v>
      </c>
    </row>
    <row r="154" spans="2:13">
      <c r="B154" s="1228" t="s">
        <v>2540</v>
      </c>
      <c r="C154" s="962">
        <v>10</v>
      </c>
      <c r="D154" s="962">
        <v>7</v>
      </c>
      <c r="E154" s="962"/>
      <c r="F154" s="962" t="str">
        <f>CONCATENATE("Exterior ",WSEC!$B154)</f>
        <v>Exterior Outdoor Sales - Street frontage for vehicle sales (per linear foot)</v>
      </c>
      <c r="G154" s="967" t="s">
        <v>215</v>
      </c>
      <c r="H154" s="962"/>
      <c r="I154" s="967" t="str">
        <f t="shared" si="14"/>
        <v>Controls_Exterior_Basic</v>
      </c>
      <c r="J154" s="962" t="s">
        <v>1962</v>
      </c>
      <c r="K154" s="962"/>
      <c r="L154" s="967" t="s">
        <v>1600</v>
      </c>
      <c r="M154" s="24" t="s">
        <v>750</v>
      </c>
    </row>
    <row r="156" spans="2:13">
      <c r="K156" t="s">
        <v>795</v>
      </c>
    </row>
    <row r="157" spans="2:13">
      <c r="K157" t="s">
        <v>796</v>
      </c>
    </row>
    <row r="158" spans="2:13">
      <c r="K158" t="s">
        <v>797</v>
      </c>
    </row>
  </sheetData>
  <mergeCells count="1">
    <mergeCell ref="Z2:AA2"/>
  </mergeCells>
  <phoneticPr fontId="23" type="noConversion"/>
  <pageMargins left="0.7" right="0.7" top="0.75" bottom="0.75" header="0.3" footer="0.3"/>
  <pageSetup orientation="portrait"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B2:E106"/>
  <sheetViews>
    <sheetView workbookViewId="0">
      <selection activeCell="A34" sqref="A34"/>
    </sheetView>
  </sheetViews>
  <sheetFormatPr defaultRowHeight="14.3"/>
  <cols>
    <col min="2" max="2" width="24" customWidth="1"/>
    <col min="3" max="4" width="9" style="12"/>
  </cols>
  <sheetData>
    <row r="2" spans="2:5">
      <c r="B2" t="s">
        <v>1876</v>
      </c>
      <c r="C2" s="264" t="s">
        <v>2541</v>
      </c>
      <c r="D2" s="264" t="s">
        <v>1600</v>
      </c>
    </row>
    <row r="3" spans="2:5">
      <c r="B3" t="s">
        <v>2542</v>
      </c>
    </row>
    <row r="4" spans="2:5">
      <c r="B4" s="2" t="s">
        <v>1456</v>
      </c>
      <c r="C4" s="111" t="s">
        <v>2543</v>
      </c>
      <c r="D4" s="111" t="s">
        <v>2544</v>
      </c>
      <c r="E4" s="111"/>
    </row>
    <row r="5" spans="2:5">
      <c r="B5" t="s">
        <v>1462</v>
      </c>
      <c r="C5" s="12">
        <v>0.64</v>
      </c>
      <c r="D5" s="12">
        <v>0.64</v>
      </c>
      <c r="E5" s="12"/>
    </row>
    <row r="6" spans="2:5">
      <c r="B6" t="s">
        <v>1960</v>
      </c>
      <c r="C6" s="12">
        <v>0.64</v>
      </c>
      <c r="D6" s="12">
        <v>0.81</v>
      </c>
      <c r="E6" s="12"/>
    </row>
    <row r="7" spans="2:5">
      <c r="B7" t="s">
        <v>1973</v>
      </c>
      <c r="C7" s="12">
        <v>0.79</v>
      </c>
      <c r="D7" s="12">
        <v>0.81</v>
      </c>
      <c r="E7" s="12"/>
    </row>
    <row r="8" spans="2:5">
      <c r="B8" t="s">
        <v>1986</v>
      </c>
      <c r="C8" s="12">
        <v>0.79</v>
      </c>
      <c r="D8" s="12">
        <v>0.79</v>
      </c>
      <c r="E8" s="12"/>
    </row>
    <row r="9" spans="2:5">
      <c r="B9" t="s">
        <v>1996</v>
      </c>
      <c r="C9" s="12">
        <v>0.72</v>
      </c>
      <c r="D9" s="12">
        <v>0.72</v>
      </c>
      <c r="E9" s="12"/>
    </row>
    <row r="10" spans="2:5">
      <c r="B10" t="s">
        <v>2006</v>
      </c>
      <c r="C10" s="12">
        <v>0.71</v>
      </c>
      <c r="D10" s="12">
        <v>0.71</v>
      </c>
      <c r="E10" s="12"/>
    </row>
    <row r="11" spans="2:5">
      <c r="B11" t="s">
        <v>2013</v>
      </c>
      <c r="C11" s="12">
        <v>0.46</v>
      </c>
      <c r="D11" s="12">
        <v>0.46</v>
      </c>
      <c r="E11" s="12"/>
    </row>
    <row r="12" spans="2:5">
      <c r="B12" t="s">
        <v>2024</v>
      </c>
      <c r="C12" s="12">
        <v>0.67</v>
      </c>
      <c r="D12" s="12">
        <v>0.67</v>
      </c>
      <c r="E12" s="12"/>
    </row>
    <row r="13" spans="2:5">
      <c r="B13" t="s">
        <v>2032</v>
      </c>
      <c r="C13" s="12">
        <v>0.54</v>
      </c>
      <c r="D13" s="12">
        <v>0.54</v>
      </c>
      <c r="E13" s="12"/>
    </row>
    <row r="14" spans="2:5">
      <c r="B14" t="s">
        <v>755</v>
      </c>
      <c r="C14" s="12">
        <v>0.75</v>
      </c>
      <c r="D14" s="12">
        <v>0.75</v>
      </c>
      <c r="E14" s="12"/>
    </row>
    <row r="15" spans="2:5">
      <c r="B15" t="s">
        <v>2046</v>
      </c>
      <c r="C15" s="12">
        <v>0.7</v>
      </c>
      <c r="D15" s="12">
        <v>0.7</v>
      </c>
      <c r="E15" s="12"/>
    </row>
    <row r="16" spans="2:5">
      <c r="B16" t="s">
        <v>1967</v>
      </c>
      <c r="C16" s="12">
        <v>0.84</v>
      </c>
      <c r="D16" s="12">
        <v>0.84</v>
      </c>
      <c r="E16" s="12"/>
    </row>
    <row r="17" spans="2:5">
      <c r="B17" t="s">
        <v>2068</v>
      </c>
      <c r="C17" s="12">
        <v>0.56000000000000005</v>
      </c>
      <c r="D17" s="12">
        <v>0.7</v>
      </c>
      <c r="E17" s="12"/>
    </row>
    <row r="18" spans="2:5">
      <c r="B18" t="s">
        <v>2399</v>
      </c>
      <c r="C18" s="12">
        <v>0.56000000000000005</v>
      </c>
      <c r="D18" s="12">
        <v>0.7</v>
      </c>
      <c r="E18" s="12"/>
    </row>
    <row r="19" spans="2:5">
      <c r="B19" t="s">
        <v>763</v>
      </c>
      <c r="C19" s="12">
        <v>0.83</v>
      </c>
      <c r="D19" s="12">
        <v>0.94</v>
      </c>
      <c r="E19" s="12"/>
    </row>
    <row r="20" spans="2:5">
      <c r="B20" t="s">
        <v>2405</v>
      </c>
      <c r="C20" s="12">
        <v>0.82</v>
      </c>
      <c r="D20" s="12">
        <v>0.89</v>
      </c>
      <c r="E20" s="12"/>
    </row>
    <row r="21" spans="2:5">
      <c r="B21" t="s">
        <v>2408</v>
      </c>
      <c r="C21" s="12">
        <v>0.82</v>
      </c>
      <c r="D21" s="12">
        <v>0.89</v>
      </c>
      <c r="E21" s="12"/>
    </row>
    <row r="22" spans="2:5">
      <c r="B22" t="s">
        <v>2411</v>
      </c>
      <c r="C22" s="12">
        <v>0.82</v>
      </c>
      <c r="D22" s="12">
        <v>0.89</v>
      </c>
      <c r="E22" s="12"/>
    </row>
    <row r="23" spans="2:5">
      <c r="B23" t="s">
        <v>2101</v>
      </c>
      <c r="C23" s="12">
        <v>0.44</v>
      </c>
      <c r="D23" s="12">
        <v>0.61</v>
      </c>
      <c r="E23" s="12"/>
    </row>
    <row r="24" spans="2:5">
      <c r="B24" t="s">
        <v>2108</v>
      </c>
      <c r="C24" s="12">
        <v>0.41</v>
      </c>
      <c r="D24" s="12">
        <v>0.41</v>
      </c>
      <c r="E24" s="12"/>
    </row>
    <row r="25" spans="2:5">
      <c r="B25" t="s">
        <v>2116</v>
      </c>
      <c r="C25" s="12">
        <v>0.55000000000000004</v>
      </c>
      <c r="D25" s="12">
        <v>0.8</v>
      </c>
      <c r="E25" s="12"/>
    </row>
    <row r="26" spans="2:5">
      <c r="B26" t="s">
        <v>2019</v>
      </c>
      <c r="C26" s="12">
        <v>0.64</v>
      </c>
      <c r="D26" s="12">
        <v>0.66</v>
      </c>
      <c r="E26" s="12"/>
    </row>
    <row r="27" spans="2:5">
      <c r="B27" t="s">
        <v>2132</v>
      </c>
      <c r="C27" s="12">
        <v>0.14000000000000001</v>
      </c>
      <c r="D27" s="12">
        <v>0.16</v>
      </c>
      <c r="E27" s="12"/>
    </row>
    <row r="28" spans="2:5">
      <c r="B28" t="s">
        <v>2149</v>
      </c>
      <c r="C28" s="12">
        <v>0.65</v>
      </c>
      <c r="D28" s="12">
        <v>0.65</v>
      </c>
      <c r="E28" s="12"/>
    </row>
    <row r="29" spans="2:5">
      <c r="B29" t="s">
        <v>2156</v>
      </c>
      <c r="C29" s="12">
        <v>0.84</v>
      </c>
      <c r="D29" s="12">
        <v>1</v>
      </c>
      <c r="E29" s="12"/>
    </row>
    <row r="30" spans="2:5">
      <c r="B30" t="s">
        <v>2165</v>
      </c>
      <c r="C30" s="12">
        <v>0.66</v>
      </c>
      <c r="D30" s="12">
        <v>0.7</v>
      </c>
      <c r="E30" s="12"/>
    </row>
    <row r="31" spans="2:5">
      <c r="B31" t="s">
        <v>2175</v>
      </c>
      <c r="C31" s="12">
        <v>0.65</v>
      </c>
      <c r="D31" s="12">
        <v>0.7</v>
      </c>
      <c r="E31" s="12"/>
    </row>
    <row r="32" spans="2:5">
      <c r="B32" t="s">
        <v>2186</v>
      </c>
      <c r="C32" s="12">
        <v>0.67</v>
      </c>
      <c r="D32" s="12">
        <v>0.8</v>
      </c>
      <c r="E32" s="12"/>
    </row>
    <row r="33" spans="2:5">
      <c r="B33" t="s">
        <v>774</v>
      </c>
      <c r="C33" s="12">
        <v>0.84</v>
      </c>
      <c r="D33" s="12">
        <v>1.01</v>
      </c>
      <c r="E33" s="12"/>
    </row>
    <row r="34" spans="2:5">
      <c r="B34" t="s">
        <v>2545</v>
      </c>
      <c r="C34" s="12">
        <v>0.7</v>
      </c>
      <c r="D34" s="12">
        <v>0.7</v>
      </c>
      <c r="E34" s="12"/>
    </row>
    <row r="35" spans="2:5">
      <c r="B35" t="s">
        <v>2217</v>
      </c>
      <c r="C35" s="12">
        <v>0.62</v>
      </c>
      <c r="D35" s="12">
        <v>0.62</v>
      </c>
      <c r="E35" s="12"/>
    </row>
    <row r="36" spans="2:5">
      <c r="B36" t="s">
        <v>2226</v>
      </c>
      <c r="C36" s="12">
        <v>0.69</v>
      </c>
      <c r="D36" s="12">
        <v>0.71</v>
      </c>
      <c r="E36" s="12"/>
    </row>
    <row r="37" spans="2:5">
      <c r="B37" t="s">
        <v>2234</v>
      </c>
      <c r="C37" s="12">
        <v>0.5</v>
      </c>
      <c r="D37" s="12">
        <v>0.56000000000000005</v>
      </c>
      <c r="E37" s="12"/>
    </row>
    <row r="38" spans="2:5">
      <c r="B38" t="s">
        <v>2448</v>
      </c>
      <c r="C38" s="12">
        <v>0.4</v>
      </c>
      <c r="D38" s="12">
        <v>0.4</v>
      </c>
      <c r="E38" s="12"/>
    </row>
    <row r="39" spans="2:5">
      <c r="B39" t="s">
        <v>2450</v>
      </c>
      <c r="C39" s="12">
        <v>0.4</v>
      </c>
      <c r="D39" s="12">
        <v>0.4</v>
      </c>
      <c r="E39" s="12"/>
    </row>
    <row r="40" spans="2:5">
      <c r="B40" t="s">
        <v>2452</v>
      </c>
      <c r="C40" s="12">
        <v>0.4</v>
      </c>
      <c r="D40" s="12">
        <v>0.4</v>
      </c>
      <c r="E40" s="12"/>
    </row>
    <row r="41" spans="2:5">
      <c r="B41" t="s">
        <v>2245</v>
      </c>
      <c r="C41" s="12">
        <v>0.91</v>
      </c>
      <c r="D41" s="12">
        <v>0.95</v>
      </c>
      <c r="E41" s="12"/>
    </row>
    <row r="42" spans="2:5">
      <c r="E42" s="12"/>
    </row>
    <row r="43" spans="2:5">
      <c r="E43" s="12"/>
    </row>
    <row r="44" spans="2:5">
      <c r="E44" s="12"/>
    </row>
    <row r="45" spans="2:5">
      <c r="E45" s="12"/>
    </row>
    <row r="46" spans="2:5">
      <c r="E46" s="12"/>
    </row>
    <row r="47" spans="2:5">
      <c r="E47" s="12"/>
    </row>
    <row r="48" spans="2:5">
      <c r="E48" s="12"/>
    </row>
    <row r="49" spans="5:5">
      <c r="E49" s="12"/>
    </row>
    <row r="50" spans="5:5">
      <c r="E50" s="12"/>
    </row>
    <row r="51" spans="5:5">
      <c r="E51" s="12"/>
    </row>
    <row r="52" spans="5:5">
      <c r="E52" s="12"/>
    </row>
    <row r="53" spans="5:5">
      <c r="E53" s="12"/>
    </row>
    <row r="54" spans="5:5">
      <c r="E54" s="12"/>
    </row>
    <row r="55" spans="5:5">
      <c r="E55" s="12"/>
    </row>
    <row r="56" spans="5:5">
      <c r="E56" s="12"/>
    </row>
    <row r="57" spans="5:5">
      <c r="E57" s="12"/>
    </row>
    <row r="58" spans="5:5">
      <c r="E58" s="12"/>
    </row>
    <row r="59" spans="5:5">
      <c r="E59" s="12"/>
    </row>
    <row r="60" spans="5:5">
      <c r="E60" s="12"/>
    </row>
    <row r="61" spans="5:5">
      <c r="E61" s="12"/>
    </row>
    <row r="62" spans="5:5">
      <c r="E62" s="12"/>
    </row>
    <row r="63" spans="5:5">
      <c r="E63" s="12"/>
    </row>
    <row r="64" spans="5:5">
      <c r="E64" s="12"/>
    </row>
    <row r="65" spans="5:5">
      <c r="E65" s="12"/>
    </row>
    <row r="66" spans="5:5">
      <c r="E66" s="12"/>
    </row>
    <row r="67" spans="5:5">
      <c r="E67" s="12"/>
    </row>
    <row r="68" spans="5:5">
      <c r="E68" s="12"/>
    </row>
    <row r="69" spans="5:5">
      <c r="E69" s="12"/>
    </row>
    <row r="70" spans="5:5">
      <c r="E70" s="12"/>
    </row>
    <row r="71" spans="5:5">
      <c r="E71" s="12"/>
    </row>
    <row r="72" spans="5:5">
      <c r="E72" s="12"/>
    </row>
    <row r="73" spans="5:5">
      <c r="E73" s="12"/>
    </row>
    <row r="74" spans="5:5">
      <c r="E74" s="12"/>
    </row>
    <row r="75" spans="5:5">
      <c r="E75" s="12"/>
    </row>
    <row r="76" spans="5:5">
      <c r="E76" s="12"/>
    </row>
    <row r="77" spans="5:5">
      <c r="E77" s="12"/>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BN106"/>
  <sheetViews>
    <sheetView showGridLines="0" showRowColHeaders="0" tabSelected="1" zoomScale="90" zoomScaleNormal="90" workbookViewId="0">
      <pane ySplit="17" topLeftCell="A18" activePane="bottomLeft" state="frozen"/>
      <selection pane="bottomLeft" activeCell="H24" sqref="H24:M24"/>
    </sheetView>
  </sheetViews>
  <sheetFormatPr defaultRowHeight="14.3"/>
  <cols>
    <col min="1" max="1" width="5.625" customWidth="1"/>
    <col min="2" max="2" width="0.375" hidden="1" customWidth="1"/>
    <col min="3" max="3" width="0.875" customWidth="1"/>
    <col min="4" max="8" width="5.375" customWidth="1"/>
    <col min="9" max="9" width="0.875" customWidth="1"/>
    <col min="10" max="13" width="5.375" customWidth="1"/>
    <col min="14" max="14" width="1.375" customWidth="1"/>
    <col min="15" max="15" width="2.375" customWidth="1"/>
    <col min="16" max="16" width="0.375" hidden="1" customWidth="1"/>
    <col min="17" max="17" width="1.375" customWidth="1"/>
    <col min="18" max="22" width="5.375" customWidth="1"/>
    <col min="23" max="24" width="5.375" hidden="1" customWidth="1"/>
    <col min="25" max="25" width="1.375" customWidth="1"/>
    <col min="26" max="28" width="5.375" customWidth="1"/>
    <col min="29" max="29" width="1.375" customWidth="1"/>
    <col min="30" max="30" width="2.375" customWidth="1"/>
    <col min="31" max="31" width="0.375" hidden="1" customWidth="1"/>
    <col min="32" max="32" width="1.375" customWidth="1"/>
    <col min="33" max="37" width="5.375" customWidth="1"/>
    <col min="38" max="38" width="0.875" customWidth="1"/>
    <col min="39" max="41" width="5.375" customWidth="1"/>
    <col min="42" max="42" width="1.625" customWidth="1"/>
    <col min="43" max="43" width="2.625" customWidth="1"/>
    <col min="44" max="44" width="1.625" customWidth="1"/>
    <col min="45" max="45" width="5" customWidth="1"/>
    <col min="46" max="46" width="0.875" customWidth="1"/>
    <col min="47" max="54" width="5.375" customWidth="1"/>
    <col min="55" max="55" width="1.625" customWidth="1"/>
    <col min="58" max="58" width="19.25" bestFit="1" customWidth="1"/>
    <col min="59" max="59" width="23" customWidth="1"/>
    <col min="60" max="65" width="25.625" customWidth="1"/>
  </cols>
  <sheetData>
    <row r="1" spans="3:46" ht="5.0999999999999996" customHeight="1"/>
    <row r="2" spans="3:46" ht="14.95" customHeight="1">
      <c r="C2" s="1396"/>
      <c r="D2" s="1434"/>
      <c r="E2" s="1435"/>
      <c r="F2" s="1435"/>
      <c r="G2" s="1435"/>
      <c r="H2" s="1435"/>
      <c r="I2" s="1396"/>
      <c r="AL2" s="1396"/>
      <c r="AM2" s="1434"/>
      <c r="AN2" s="1435"/>
      <c r="AO2" s="1435"/>
      <c r="AP2" s="1435"/>
      <c r="AQ2" s="1435"/>
      <c r="AR2" s="1396"/>
    </row>
    <row r="3" spans="3:46" ht="5.0999999999999996" customHeight="1">
      <c r="C3" s="1396"/>
      <c r="D3" s="1396"/>
      <c r="E3" s="1396"/>
      <c r="F3" s="1396"/>
      <c r="G3" s="1396"/>
      <c r="H3" s="1396"/>
      <c r="I3" s="1396"/>
      <c r="AL3" s="1396"/>
      <c r="AM3" s="1396"/>
      <c r="AN3" s="1396"/>
      <c r="AO3" s="1396"/>
      <c r="AP3" s="1396"/>
      <c r="AQ3" s="1396"/>
      <c r="AR3" s="1396"/>
    </row>
    <row r="4" spans="3:46" ht="14.95" customHeight="1">
      <c r="C4" s="1396"/>
      <c r="D4" s="1436"/>
      <c r="E4" s="1436"/>
      <c r="F4" s="1436"/>
      <c r="G4" s="1436"/>
      <c r="H4" s="1436"/>
      <c r="I4" s="1396"/>
      <c r="AL4" s="1396"/>
      <c r="AM4" s="1442"/>
      <c r="AN4" s="1442"/>
      <c r="AO4" s="1442"/>
      <c r="AP4" s="1442"/>
      <c r="AQ4" s="1442"/>
      <c r="AR4" s="1442"/>
      <c r="AS4" s="1442"/>
    </row>
    <row r="5" spans="3:46" ht="5.0999999999999996" customHeight="1">
      <c r="C5" s="1396"/>
      <c r="D5" s="1396"/>
      <c r="E5" s="1396"/>
      <c r="F5" s="1396"/>
      <c r="G5" s="1396"/>
      <c r="H5" s="1396"/>
      <c r="I5" s="1396"/>
      <c r="AL5" s="1396"/>
      <c r="AM5" s="1396"/>
      <c r="AN5" s="1396"/>
      <c r="AO5" s="1396"/>
      <c r="AP5" s="1396"/>
      <c r="AQ5" s="1396"/>
      <c r="AR5" s="1396"/>
    </row>
    <row r="6" spans="3:46" ht="14.95" customHeight="1">
      <c r="C6" s="1396"/>
      <c r="D6" s="1437"/>
      <c r="E6" s="1437"/>
      <c r="F6" s="1437"/>
      <c r="G6" s="1437"/>
      <c r="H6" s="1437"/>
      <c r="I6" s="1396"/>
      <c r="AL6" s="1396"/>
      <c r="AM6" s="1442"/>
      <c r="AN6" s="1442"/>
      <c r="AO6" s="1442"/>
      <c r="AP6" s="1442"/>
      <c r="AQ6" s="1442"/>
      <c r="AR6" s="1442"/>
      <c r="AS6" s="1442"/>
    </row>
    <row r="7" spans="3:46" ht="5.0999999999999996" customHeight="1">
      <c r="C7" s="1396"/>
      <c r="D7" s="1396"/>
      <c r="E7" s="1396"/>
      <c r="F7" s="1396"/>
      <c r="G7" s="1396"/>
      <c r="H7" s="1396"/>
      <c r="I7" s="1396"/>
      <c r="K7" s="1438" t="str">
        <f>Lookup!$B$19</f>
        <v>BUSINESS LIGHTING INCENTIVE PROGRAM</v>
      </c>
      <c r="L7" s="1438"/>
      <c r="M7" s="1438"/>
      <c r="N7" s="1438"/>
      <c r="O7" s="1438"/>
      <c r="P7" s="1438"/>
      <c r="Q7" s="1438"/>
      <c r="R7" s="1438"/>
      <c r="S7" s="1438"/>
      <c r="T7" s="1438"/>
      <c r="U7" s="1438"/>
      <c r="V7" s="1438"/>
      <c r="W7" s="1438"/>
      <c r="X7" s="1438"/>
      <c r="Y7" s="1438"/>
      <c r="Z7" s="1438"/>
      <c r="AA7" s="1438"/>
      <c r="AB7" s="1438"/>
      <c r="AC7" s="1438"/>
      <c r="AD7" s="1438"/>
      <c r="AE7" s="1438"/>
      <c r="AF7" s="1438"/>
      <c r="AG7" s="1438"/>
      <c r="AH7" s="1438"/>
      <c r="AI7" s="1438"/>
      <c r="AJ7" s="1438"/>
      <c r="AL7" s="1396"/>
      <c r="AM7" s="1396"/>
      <c r="AN7" s="1396"/>
      <c r="AO7" s="1396"/>
      <c r="AP7" s="1396"/>
      <c r="AQ7" s="1396"/>
      <c r="AR7" s="1396"/>
    </row>
    <row r="8" spans="3:46" ht="14.95" customHeight="1">
      <c r="C8" s="1396"/>
      <c r="D8" s="1437"/>
      <c r="E8" s="1437"/>
      <c r="F8" s="1437"/>
      <c r="G8" s="1437"/>
      <c r="H8" s="1437"/>
      <c r="I8" s="1396"/>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428"/>
      <c r="AL8" s="1396"/>
      <c r="AM8" s="1442"/>
      <c r="AN8" s="1442"/>
      <c r="AO8" s="1442"/>
      <c r="AP8" s="1442"/>
      <c r="AQ8" s="1442"/>
      <c r="AR8" s="1442"/>
      <c r="AS8" s="1442"/>
      <c r="AT8" s="16"/>
    </row>
    <row r="9" spans="3:46" ht="5.0999999999999996" customHeight="1">
      <c r="C9" s="1396"/>
      <c r="D9" s="1396"/>
      <c r="E9" s="1396"/>
      <c r="F9" s="1396"/>
      <c r="G9" s="1396"/>
      <c r="H9" s="428"/>
      <c r="I9" s="428"/>
      <c r="K9" s="1439" t="str">
        <f>Lookup!$B$20</f>
        <v>Business Lighting ─ STANDARD V24-02 ─ Valid through 06/30/2024</v>
      </c>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428"/>
      <c r="AL9" s="1396"/>
      <c r="AM9" s="1396"/>
      <c r="AN9" s="1396"/>
      <c r="AO9" s="1396"/>
      <c r="AP9" s="1396"/>
      <c r="AQ9" s="428"/>
      <c r="AR9" s="428"/>
    </row>
    <row r="10" spans="3:46" ht="14.95" customHeight="1">
      <c r="C10" s="1396"/>
      <c r="D10" s="1437"/>
      <c r="E10" s="1437"/>
      <c r="F10" s="1437"/>
      <c r="G10" s="1437"/>
      <c r="H10" s="1437"/>
      <c r="I10" s="1396"/>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490"/>
      <c r="AL10" s="1396"/>
      <c r="AM10" s="1442"/>
      <c r="AN10" s="1442"/>
      <c r="AO10" s="1442"/>
      <c r="AP10" s="1442"/>
      <c r="AQ10" s="1442"/>
      <c r="AR10" s="1442"/>
      <c r="AS10" s="1442"/>
      <c r="AT10" s="87"/>
    </row>
    <row r="11" spans="3:46" ht="5.0999999999999996" customHeight="1">
      <c r="C11" s="1396"/>
      <c r="D11" s="1396"/>
      <c r="E11" s="1396"/>
      <c r="F11" s="1396"/>
      <c r="G11" s="1396"/>
      <c r="H11" s="435"/>
      <c r="I11" s="435"/>
      <c r="K11" s="1449" t="str">
        <f>CONCATENATE("This is a ",Lookup!B16," lighting project")</f>
        <v>This is a RETROFIT lighting project</v>
      </c>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490"/>
      <c r="AL11" s="1396"/>
      <c r="AM11" s="1396"/>
      <c r="AN11" s="1396"/>
      <c r="AO11" s="1396"/>
      <c r="AP11" s="1396"/>
      <c r="AQ11" s="435"/>
      <c r="AR11" s="435"/>
    </row>
    <row r="12" spans="3:46" ht="14.95" customHeight="1">
      <c r="C12" s="1396"/>
      <c r="D12" s="1437"/>
      <c r="E12" s="1437"/>
      <c r="F12" s="1437"/>
      <c r="G12" s="1437"/>
      <c r="H12" s="1437"/>
      <c r="I12" s="16"/>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491"/>
      <c r="AL12" s="1396"/>
      <c r="AM12" s="1442"/>
      <c r="AN12" s="1442"/>
      <c r="AO12" s="1442"/>
      <c r="AP12" s="1442"/>
      <c r="AQ12" s="1442"/>
      <c r="AR12" s="1442"/>
      <c r="AS12" s="1442"/>
    </row>
    <row r="13" spans="3:46" ht="5.0999999999999996" customHeight="1">
      <c r="C13" s="1396"/>
      <c r="D13" s="1396"/>
      <c r="E13" s="1396"/>
      <c r="F13" s="1396"/>
      <c r="G13" s="1396"/>
      <c r="H13" s="16"/>
      <c r="I13" s="16"/>
      <c r="K13" s="1440" t="str">
        <f>IF(_Project_2_Type="Retrofit","PSE Approval is required before the retrofit is started!","Drawings showing each space and the square footage of each space are required at submission!")</f>
        <v>PSE Approval is required before the retrofit is started!</v>
      </c>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0"/>
      <c r="AK13" s="1396"/>
      <c r="AL13" s="1396"/>
      <c r="AM13" s="1396"/>
      <c r="AN13" s="1396"/>
      <c r="AO13" s="1396"/>
      <c r="AP13" s="1396"/>
      <c r="AQ13" s="16"/>
      <c r="AR13" s="16"/>
    </row>
    <row r="14" spans="3:46" ht="14.95" customHeight="1">
      <c r="C14" s="1396"/>
      <c r="D14" s="1437"/>
      <c r="E14" s="1437"/>
      <c r="F14" s="1437"/>
      <c r="G14" s="1437"/>
      <c r="H14" s="1437"/>
      <c r="I14" s="1396"/>
      <c r="K14" s="1440"/>
      <c r="L14" s="1440"/>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429"/>
      <c r="AL14" s="1396"/>
      <c r="AM14" s="1442"/>
      <c r="AN14" s="1442"/>
      <c r="AO14" s="1442"/>
      <c r="AP14" s="1442"/>
      <c r="AQ14" s="1442"/>
      <c r="AR14" s="1442"/>
      <c r="AS14" s="1442"/>
      <c r="AT14" s="88"/>
    </row>
    <row r="15" spans="3:46" ht="5.0999999999999996" customHeight="1">
      <c r="C15" s="1396"/>
      <c r="D15" s="1396"/>
      <c r="E15" s="1396"/>
      <c r="F15" s="1396"/>
      <c r="G15" s="1396"/>
      <c r="H15" s="1396"/>
      <c r="I15" s="1396"/>
      <c r="AK15" s="429"/>
      <c r="AL15" s="1396"/>
      <c r="AM15" s="1396"/>
      <c r="AN15" s="1396"/>
      <c r="AO15" s="1396"/>
      <c r="AP15" s="1396"/>
      <c r="AQ15" s="1396"/>
      <c r="AR15" s="1396"/>
    </row>
    <row r="16" spans="3:46" ht="14.95" customHeight="1">
      <c r="C16" s="1396"/>
      <c r="D16" s="1437"/>
      <c r="E16" s="1437"/>
      <c r="F16" s="1437"/>
      <c r="G16" s="1437"/>
      <c r="H16" s="1437"/>
      <c r="I16" s="1396"/>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430"/>
      <c r="AL16" s="1396"/>
      <c r="AM16" s="1442"/>
      <c r="AN16" s="1442"/>
      <c r="AO16" s="1442"/>
      <c r="AP16" s="1442"/>
      <c r="AQ16" s="1442"/>
      <c r="AR16" s="1442"/>
      <c r="AS16" s="1442"/>
    </row>
    <row r="17" spans="1:55" ht="5.0999999999999996" customHeight="1">
      <c r="C17" s="1396"/>
      <c r="D17" s="1396"/>
      <c r="E17" s="1396"/>
      <c r="F17" s="1396"/>
      <c r="G17" s="1396"/>
      <c r="H17" s="1396"/>
      <c r="I17" s="1396"/>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L17" s="1396"/>
      <c r="AM17" s="1396"/>
      <c r="AN17" s="1396"/>
      <c r="AO17" s="1396"/>
      <c r="AP17" s="1396"/>
      <c r="AQ17" s="1396"/>
      <c r="AR17" s="1396"/>
    </row>
    <row r="18" spans="1:55" ht="1.2" customHeight="1">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c r="AL18" s="1441"/>
      <c r="AM18" s="1441"/>
      <c r="AN18" s="1441"/>
      <c r="AO18" s="1441"/>
      <c r="AP18" s="1441"/>
      <c r="AQ18" s="1441"/>
      <c r="AR18" s="1441"/>
      <c r="AS18" s="1441"/>
      <c r="AT18" s="1441"/>
    </row>
    <row r="19" spans="1:55" ht="14.95" thickBot="1">
      <c r="A19" s="347"/>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row>
    <row r="20" spans="1:55" ht="20.399999999999999" thickTop="1">
      <c r="B20" s="1441"/>
      <c r="C20" s="1476" t="s">
        <v>107</v>
      </c>
      <c r="D20" s="1477"/>
      <c r="E20" s="1477"/>
      <c r="F20" s="1477"/>
      <c r="G20" s="1477"/>
      <c r="H20" s="1477"/>
      <c r="I20" s="1477"/>
      <c r="J20" s="1477"/>
      <c r="K20" s="1477"/>
      <c r="L20" s="1477"/>
      <c r="M20" s="1477"/>
      <c r="N20" s="1477"/>
      <c r="O20" s="1256"/>
      <c r="P20" s="1441"/>
      <c r="Q20" s="1476" t="s">
        <v>108</v>
      </c>
      <c r="R20" s="1477"/>
      <c r="S20" s="1477"/>
      <c r="T20" s="1477"/>
      <c r="U20" s="1477"/>
      <c r="V20" s="1477"/>
      <c r="W20" s="1477"/>
      <c r="X20" s="1477"/>
      <c r="Y20" s="1477"/>
      <c r="Z20" s="1477"/>
      <c r="AA20" s="1477"/>
      <c r="AB20" s="1477"/>
      <c r="AC20" s="1478"/>
      <c r="AE20" s="1441"/>
      <c r="AF20" s="1476" t="s">
        <v>109</v>
      </c>
      <c r="AG20" s="1477"/>
      <c r="AH20" s="1477"/>
      <c r="AI20" s="1477"/>
      <c r="AJ20" s="1477"/>
      <c r="AK20" s="1477"/>
      <c r="AL20" s="1477"/>
      <c r="AM20" s="1477"/>
      <c r="AN20" s="1477"/>
      <c r="AO20" s="1477"/>
      <c r="AP20" s="1478"/>
      <c r="AR20" s="1476" t="s">
        <v>110</v>
      </c>
      <c r="AS20" s="1477"/>
      <c r="AT20" s="1477"/>
      <c r="AU20" s="1477"/>
      <c r="AV20" s="1477"/>
      <c r="AW20" s="1477"/>
      <c r="AX20" s="1477"/>
      <c r="AY20" s="1477"/>
      <c r="AZ20" s="1477"/>
      <c r="BA20" s="1477"/>
      <c r="BB20" s="1477"/>
      <c r="BC20" s="1478"/>
    </row>
    <row r="21" spans="1:55">
      <c r="B21" s="1441"/>
      <c r="C21" s="1252"/>
      <c r="D21" s="9"/>
      <c r="E21" s="9"/>
      <c r="F21" s="9"/>
      <c r="G21" s="9"/>
      <c r="H21" s="9"/>
      <c r="I21" s="9"/>
      <c r="J21" s="9"/>
      <c r="K21" s="9"/>
      <c r="L21" s="9"/>
      <c r="M21" s="9"/>
      <c r="N21" s="140"/>
      <c r="O21" s="1256"/>
      <c r="P21" s="1441"/>
      <c r="Q21" s="1252"/>
      <c r="R21" s="9"/>
      <c r="S21" s="9"/>
      <c r="T21" s="9"/>
      <c r="U21" s="1293"/>
      <c r="V21" s="1293"/>
      <c r="W21" s="1293"/>
      <c r="X21" s="1293"/>
      <c r="Y21" s="9"/>
      <c r="Z21" s="9"/>
      <c r="AA21" s="9"/>
      <c r="AB21" s="9"/>
      <c r="AC21" s="1296"/>
      <c r="AE21" s="1441"/>
      <c r="AF21" s="1252"/>
      <c r="AG21" s="9"/>
      <c r="AH21" s="9"/>
      <c r="AI21" s="9"/>
      <c r="AJ21" s="9"/>
      <c r="AK21" s="9"/>
      <c r="AL21" s="9"/>
      <c r="AM21" s="9"/>
      <c r="AN21" s="9"/>
      <c r="AO21" s="9"/>
      <c r="AP21" s="1296"/>
      <c r="AR21" s="1252"/>
      <c r="AS21" s="1489" t="s">
        <v>111</v>
      </c>
      <c r="AT21" s="1489"/>
      <c r="AU21" s="1489"/>
      <c r="AV21" s="1489"/>
      <c r="AW21" s="1489"/>
      <c r="AX21" s="1489"/>
      <c r="AY21" s="1489"/>
      <c r="AZ21" s="1489"/>
      <c r="BA21" s="1489"/>
      <c r="BB21" s="1489"/>
      <c r="BC21" s="1296"/>
    </row>
    <row r="22" spans="1:55" ht="14.95" customHeight="1">
      <c r="B22" s="1441"/>
      <c r="C22" s="1252"/>
      <c r="D22" s="9"/>
      <c r="E22" s="9"/>
      <c r="F22" s="9"/>
      <c r="G22" s="9"/>
      <c r="H22" s="1487" t="s">
        <v>112</v>
      </c>
      <c r="I22" s="1487"/>
      <c r="J22" s="1487"/>
      <c r="K22" s="1487"/>
      <c r="L22" s="1487"/>
      <c r="M22" s="1488"/>
      <c r="N22" s="140"/>
      <c r="O22" s="1256"/>
      <c r="P22" s="1441"/>
      <c r="Q22" s="1252"/>
      <c r="R22" s="9"/>
      <c r="S22" s="9"/>
      <c r="T22" s="140"/>
      <c r="U22" s="1293" t="s">
        <v>113</v>
      </c>
      <c r="V22" s="1491"/>
      <c r="W22" s="1491"/>
      <c r="X22" s="1491"/>
      <c r="Y22" s="1491"/>
      <c r="Z22" s="1491"/>
      <c r="AA22" s="1491"/>
      <c r="AB22" s="1492"/>
      <c r="AC22" s="1296"/>
      <c r="AE22" s="1441"/>
      <c r="AF22" s="1252"/>
      <c r="AG22" s="9"/>
      <c r="AH22" s="1525" t="s">
        <v>114</v>
      </c>
      <c r="AI22" s="1525"/>
      <c r="AJ22" s="1526"/>
      <c r="AK22" s="1473"/>
      <c r="AL22" s="1474"/>
      <c r="AM22" s="1474"/>
      <c r="AN22" s="1474"/>
      <c r="AO22" s="1475"/>
      <c r="AP22" s="1296"/>
      <c r="AR22" s="1252"/>
      <c r="AS22" s="1472" t="s">
        <v>115</v>
      </c>
      <c r="AT22" s="1472"/>
      <c r="AU22" s="1472"/>
      <c r="AV22" s="1472"/>
      <c r="AW22" s="1472"/>
      <c r="AX22" s="1472"/>
      <c r="AY22" s="1472"/>
      <c r="AZ22" s="1472"/>
      <c r="BA22" s="1472"/>
      <c r="BB22" s="1472"/>
      <c r="BC22" s="1296"/>
    </row>
    <row r="23" spans="1:55" ht="5.0999999999999996" customHeight="1">
      <c r="B23" s="1441"/>
      <c r="C23" s="1252"/>
      <c r="D23" s="9"/>
      <c r="E23" s="9"/>
      <c r="F23" s="9"/>
      <c r="G23" s="139"/>
      <c r="H23" s="9"/>
      <c r="I23" s="9"/>
      <c r="J23" s="9"/>
      <c r="K23" s="9"/>
      <c r="L23" s="9"/>
      <c r="M23" s="9"/>
      <c r="N23" s="140"/>
      <c r="O23" s="1256"/>
      <c r="P23" s="1441"/>
      <c r="Q23" s="1252"/>
      <c r="R23" s="9"/>
      <c r="S23" s="9"/>
      <c r="T23" s="9"/>
      <c r="U23" s="1293"/>
      <c r="V23" s="1293"/>
      <c r="W23" s="1293"/>
      <c r="X23" s="1293"/>
      <c r="Y23" s="9"/>
      <c r="Z23" s="9"/>
      <c r="AA23" s="9"/>
      <c r="AB23" s="9"/>
      <c r="AC23" s="1296"/>
      <c r="AE23" s="1441"/>
      <c r="AF23" s="1252"/>
      <c r="AG23" s="9"/>
      <c r="AH23" s="1527"/>
      <c r="AI23" s="1527"/>
      <c r="AJ23" s="1527"/>
      <c r="AK23" s="1298"/>
      <c r="AL23" s="1299"/>
      <c r="AM23" s="1299"/>
      <c r="AN23" s="1299"/>
      <c r="AO23" s="1299"/>
      <c r="AP23" s="1296"/>
      <c r="AR23" s="1252"/>
      <c r="AS23" s="1472"/>
      <c r="AT23" s="1472"/>
      <c r="AU23" s="1472"/>
      <c r="AV23" s="1472"/>
      <c r="AW23" s="1472"/>
      <c r="AX23" s="1472"/>
      <c r="AY23" s="1472"/>
      <c r="AZ23" s="1472"/>
      <c r="BA23" s="1472"/>
      <c r="BB23" s="1472"/>
      <c r="BC23" s="1296"/>
    </row>
    <row r="24" spans="1:55" ht="14.3" customHeight="1">
      <c r="B24" s="1441"/>
      <c r="C24" s="1252"/>
      <c r="D24" s="9"/>
      <c r="E24" s="9"/>
      <c r="F24" s="9"/>
      <c r="G24" s="139" t="s">
        <v>107</v>
      </c>
      <c r="H24" s="1464" t="s">
        <v>116</v>
      </c>
      <c r="I24" s="1464" t="s">
        <v>116</v>
      </c>
      <c r="J24" s="1464" t="s">
        <v>116</v>
      </c>
      <c r="K24" s="1464" t="s">
        <v>116</v>
      </c>
      <c r="L24" s="1464" t="s">
        <v>116</v>
      </c>
      <c r="M24" s="1465" t="s">
        <v>116</v>
      </c>
      <c r="N24" s="140"/>
      <c r="O24" s="1257">
        <f>__Retrofit_TI_NC</f>
        <v>0</v>
      </c>
      <c r="P24" s="1441"/>
      <c r="Q24" s="1252"/>
      <c r="R24" s="140"/>
      <c r="S24" s="140"/>
      <c r="T24" s="140"/>
      <c r="U24" s="1293" t="s">
        <v>117</v>
      </c>
      <c r="V24" s="1491"/>
      <c r="W24" s="1491"/>
      <c r="X24" s="1491"/>
      <c r="Y24" s="1491"/>
      <c r="Z24" s="1491"/>
      <c r="AA24" s="1491"/>
      <c r="AB24" s="1492"/>
      <c r="AC24" s="1296"/>
      <c r="AE24" s="1441"/>
      <c r="AF24" s="1252"/>
      <c r="AG24" s="1525" t="s">
        <v>118</v>
      </c>
      <c r="AH24" s="1525"/>
      <c r="AI24" s="1525"/>
      <c r="AJ24" s="1526"/>
      <c r="AK24" s="1490"/>
      <c r="AL24" s="1474"/>
      <c r="AM24" s="1474"/>
      <c r="AN24" s="1474"/>
      <c r="AO24" s="1475"/>
      <c r="AP24" s="1296"/>
      <c r="AR24" s="1252"/>
      <c r="AS24" s="1472"/>
      <c r="AT24" s="1472"/>
      <c r="AU24" s="1472"/>
      <c r="AV24" s="1472"/>
      <c r="AW24" s="1472"/>
      <c r="AX24" s="1472"/>
      <c r="AY24" s="1472"/>
      <c r="AZ24" s="1472"/>
      <c r="BA24" s="1472"/>
      <c r="BB24" s="1472"/>
      <c r="BC24" s="1296"/>
    </row>
    <row r="25" spans="1:55" ht="5.0999999999999996" customHeight="1">
      <c r="B25" s="1441"/>
      <c r="C25" s="1252"/>
      <c r="D25" s="9"/>
      <c r="E25" s="9"/>
      <c r="F25" s="9"/>
      <c r="G25" s="139"/>
      <c r="H25" s="9"/>
      <c r="I25" s="9"/>
      <c r="J25" s="9"/>
      <c r="K25" s="9"/>
      <c r="L25" s="9"/>
      <c r="M25" s="9"/>
      <c r="N25" s="140"/>
      <c r="O25" s="1256"/>
      <c r="P25" s="1441"/>
      <c r="Q25" s="1252"/>
      <c r="R25" s="9"/>
      <c r="S25" s="9"/>
      <c r="T25" s="9"/>
      <c r="U25" s="9"/>
      <c r="V25" s="9"/>
      <c r="W25" s="9"/>
      <c r="X25" s="9"/>
      <c r="Y25" s="9"/>
      <c r="Z25" s="9"/>
      <c r="AA25" s="9"/>
      <c r="AB25" s="9"/>
      <c r="AC25" s="1296"/>
      <c r="AE25" s="1441"/>
      <c r="AF25" s="1252"/>
      <c r="AG25" s="9"/>
      <c r="AH25" s="1527"/>
      <c r="AI25" s="1527"/>
      <c r="AJ25" s="1527"/>
      <c r="AK25" s="9"/>
      <c r="AL25" s="9"/>
      <c r="AM25" s="9"/>
      <c r="AN25" s="9"/>
      <c r="AO25" s="9"/>
      <c r="AP25" s="1296"/>
      <c r="AR25" s="1252"/>
      <c r="AS25" s="1472"/>
      <c r="AT25" s="1472"/>
      <c r="AU25" s="1472"/>
      <c r="AV25" s="1472"/>
      <c r="AW25" s="1472"/>
      <c r="AX25" s="1472"/>
      <c r="AY25" s="1472"/>
      <c r="AZ25" s="1472"/>
      <c r="BA25" s="1472"/>
      <c r="BB25" s="1472"/>
      <c r="BC25" s="1296"/>
    </row>
    <row r="26" spans="1:55" ht="14.3" customHeight="1">
      <c r="B26" s="1441"/>
      <c r="C26" s="1252"/>
      <c r="D26" s="9"/>
      <c r="E26" s="9"/>
      <c r="F26" s="9"/>
      <c r="G26" s="139" t="s">
        <v>119</v>
      </c>
      <c r="H26" s="1464"/>
      <c r="I26" s="1464"/>
      <c r="J26" s="1464"/>
      <c r="K26" s="1464"/>
      <c r="L26" s="1464"/>
      <c r="M26" s="1465"/>
      <c r="N26" s="140"/>
      <c r="O26" s="1256"/>
      <c r="P26" s="1441"/>
      <c r="Q26" s="1252"/>
      <c r="R26" s="140"/>
      <c r="S26" s="140"/>
      <c r="T26" s="140"/>
      <c r="U26" s="1293" t="s">
        <v>120</v>
      </c>
      <c r="V26" s="1493"/>
      <c r="W26" s="1493"/>
      <c r="X26" s="1493"/>
      <c r="Y26" s="1493"/>
      <c r="Z26" s="1493"/>
      <c r="AA26" s="1493"/>
      <c r="AB26" s="1494"/>
      <c r="AC26" s="1296"/>
      <c r="AE26" s="1441"/>
      <c r="AF26" s="1252"/>
      <c r="AG26" s="9"/>
      <c r="AH26" s="1525" t="s">
        <v>121</v>
      </c>
      <c r="AI26" s="1525"/>
      <c r="AJ26" s="1526"/>
      <c r="AK26" s="1466"/>
      <c r="AL26" s="1467"/>
      <c r="AM26" s="1467"/>
      <c r="AN26" s="1467"/>
      <c r="AO26" s="1468"/>
      <c r="AP26" s="1296"/>
      <c r="AR26" s="1252"/>
      <c r="AS26" s="1472"/>
      <c r="AT26" s="1472"/>
      <c r="AU26" s="1472"/>
      <c r="AV26" s="1472"/>
      <c r="AW26" s="1472"/>
      <c r="AX26" s="1472"/>
      <c r="AY26" s="1472"/>
      <c r="AZ26" s="1472"/>
      <c r="BA26" s="1472"/>
      <c r="BB26" s="1472"/>
      <c r="BC26" s="1296"/>
    </row>
    <row r="27" spans="1:55" ht="5.0999999999999996" customHeight="1">
      <c r="B27" s="1441"/>
      <c r="C27" s="1252"/>
      <c r="D27" s="9"/>
      <c r="E27" s="9"/>
      <c r="F27" s="9"/>
      <c r="G27" s="139"/>
      <c r="H27" s="9"/>
      <c r="I27" s="9"/>
      <c r="J27" s="9"/>
      <c r="K27" s="9"/>
      <c r="L27" s="9"/>
      <c r="M27" s="9"/>
      <c r="N27" s="140"/>
      <c r="O27" s="1256"/>
      <c r="P27" s="1441"/>
      <c r="Q27" s="1252"/>
      <c r="R27" s="9"/>
      <c r="S27" s="9"/>
      <c r="T27" s="9"/>
      <c r="U27" s="9"/>
      <c r="V27" s="9"/>
      <c r="W27" s="9"/>
      <c r="X27" s="9"/>
      <c r="Y27" s="9"/>
      <c r="Z27" s="9"/>
      <c r="AA27" s="9"/>
      <c r="AB27" s="9"/>
      <c r="AC27" s="1296"/>
      <c r="AE27" s="1441"/>
      <c r="AF27" s="1252"/>
      <c r="AG27" s="9"/>
      <c r="AH27" s="1527"/>
      <c r="AI27" s="1527"/>
      <c r="AJ27" s="1527"/>
      <c r="AK27" s="9"/>
      <c r="AL27" s="9"/>
      <c r="AM27" s="9"/>
      <c r="AN27" s="9"/>
      <c r="AO27" s="9"/>
      <c r="AP27" s="1296"/>
      <c r="AR27" s="1252"/>
      <c r="AS27" s="9"/>
      <c r="AT27" s="9"/>
      <c r="AU27" s="9"/>
      <c r="AV27" s="9"/>
      <c r="AW27" s="9"/>
      <c r="AX27" s="9"/>
      <c r="AY27" s="9"/>
      <c r="AZ27" s="9"/>
      <c r="BA27" s="9"/>
      <c r="BB27" s="9"/>
      <c r="BC27" s="1296"/>
    </row>
    <row r="28" spans="1:55" ht="14.3" customHeight="1">
      <c r="B28" s="1441"/>
      <c r="C28" s="1252"/>
      <c r="D28" s="9"/>
      <c r="E28" s="9"/>
      <c r="F28" s="9"/>
      <c r="G28" s="139" t="s">
        <v>122</v>
      </c>
      <c r="H28" s="1515" t="str">
        <f>IFERROR(VLOOKUP(H26,Lookup!BJ$3:BL$22,2,FALSE),"")</f>
        <v/>
      </c>
      <c r="I28" s="1515"/>
      <c r="J28" s="1515"/>
      <c r="K28" s="1515"/>
      <c r="L28" s="1515"/>
      <c r="M28" s="1516"/>
      <c r="N28" s="140"/>
      <c r="O28" s="1256"/>
      <c r="P28" s="1441"/>
      <c r="Q28" s="1252"/>
      <c r="R28" s="1294"/>
      <c r="S28" s="1294"/>
      <c r="T28" s="1294"/>
      <c r="U28" s="1293" t="s">
        <v>123</v>
      </c>
      <c r="V28" s="1485"/>
      <c r="W28" s="1485"/>
      <c r="X28" s="1485"/>
      <c r="Y28" s="1485"/>
      <c r="Z28" s="1485"/>
      <c r="AA28" s="1485"/>
      <c r="AB28" s="1486"/>
      <c r="AC28" s="1296"/>
      <c r="AE28" s="1441"/>
      <c r="AF28" s="1252"/>
      <c r="AG28" s="1300"/>
      <c r="AH28" s="1525" t="s">
        <v>124</v>
      </c>
      <c r="AI28" s="1525"/>
      <c r="AJ28" s="1526"/>
      <c r="AK28" s="1469"/>
      <c r="AL28" s="1470"/>
      <c r="AM28" s="1470"/>
      <c r="AN28" s="1470"/>
      <c r="AO28" s="1471"/>
      <c r="AP28" s="1296"/>
      <c r="AR28" s="1252"/>
      <c r="AS28" s="1300"/>
      <c r="AT28" s="1300"/>
      <c r="AU28" s="1300"/>
      <c r="AV28" s="1300"/>
      <c r="AW28" s="1293" t="s">
        <v>114</v>
      </c>
      <c r="AX28" s="1473"/>
      <c r="AY28" s="1474"/>
      <c r="AZ28" s="1474"/>
      <c r="BA28" s="1474"/>
      <c r="BB28" s="1475"/>
      <c r="BC28" s="1296"/>
    </row>
    <row r="29" spans="1:55" ht="5.0999999999999996" customHeight="1">
      <c r="B29" s="1441"/>
      <c r="C29" s="1252"/>
      <c r="D29" s="9"/>
      <c r="E29" s="9"/>
      <c r="F29" s="9"/>
      <c r="G29" s="139"/>
      <c r="H29" s="9"/>
      <c r="I29" s="9"/>
      <c r="J29" s="9"/>
      <c r="K29" s="9"/>
      <c r="L29" s="9"/>
      <c r="M29" s="9"/>
      <c r="N29" s="140"/>
      <c r="O29" s="1256"/>
      <c r="P29" s="1441"/>
      <c r="Q29" s="1252"/>
      <c r="R29" s="9"/>
      <c r="S29" s="1295"/>
      <c r="T29" s="9"/>
      <c r="U29" s="9"/>
      <c r="V29" s="9"/>
      <c r="W29" s="9"/>
      <c r="X29" s="9"/>
      <c r="Y29" s="9"/>
      <c r="Z29" s="9"/>
      <c r="AA29" s="9"/>
      <c r="AB29" s="9"/>
      <c r="AC29" s="1296"/>
      <c r="AE29" s="1441"/>
      <c r="AF29" s="1252"/>
      <c r="AG29" s="9"/>
      <c r="AH29" s="1527"/>
      <c r="AI29" s="1527"/>
      <c r="AJ29" s="1527"/>
      <c r="AK29" s="9"/>
      <c r="AL29" s="9"/>
      <c r="AM29" s="9"/>
      <c r="AN29" s="9"/>
      <c r="AO29" s="9"/>
      <c r="AP29" s="1296"/>
      <c r="AR29" s="1252"/>
      <c r="AS29" s="9"/>
      <c r="AT29" s="9"/>
      <c r="AU29" s="9"/>
      <c r="AV29" s="9"/>
      <c r="AW29" s="9"/>
      <c r="AX29" s="9"/>
      <c r="AY29" s="9"/>
      <c r="AZ29" s="9"/>
      <c r="BA29" s="9"/>
      <c r="BB29" s="9"/>
      <c r="BC29" s="1296"/>
    </row>
    <row r="30" spans="1:55" ht="14.3" customHeight="1">
      <c r="B30" s="1441"/>
      <c r="C30" s="1252"/>
      <c r="D30" s="9"/>
      <c r="E30" s="9"/>
      <c r="F30" s="9"/>
      <c r="G30" s="139" t="s">
        <v>125</v>
      </c>
      <c r="H30" s="1517" t="str">
        <f>IFERROR(VLOOKUP(H26,Lookup!BJ$3:BL$22,3,FALSE),"")</f>
        <v/>
      </c>
      <c r="I30" s="1517"/>
      <c r="J30" s="1517"/>
      <c r="K30" s="1517"/>
      <c r="L30" s="1517"/>
      <c r="M30" s="1518"/>
      <c r="N30" s="140"/>
      <c r="O30" s="1256"/>
      <c r="P30" s="1441"/>
      <c r="Q30" s="1252"/>
      <c r="R30" s="140"/>
      <c r="S30" s="140"/>
      <c r="T30" s="9"/>
      <c r="U30" s="1293" t="s">
        <v>126</v>
      </c>
      <c r="V30" s="1479"/>
      <c r="W30" s="1479"/>
      <c r="X30" s="1479"/>
      <c r="Y30" s="1479"/>
      <c r="Z30" s="1479"/>
      <c r="AA30" s="1479"/>
      <c r="AB30" s="1480"/>
      <c r="AC30" s="1296"/>
      <c r="AE30" s="1441"/>
      <c r="AF30" s="1252"/>
      <c r="AG30" s="9"/>
      <c r="AH30" s="1528" t="s">
        <v>127</v>
      </c>
      <c r="AI30" s="1528"/>
      <c r="AJ30" s="1528"/>
      <c r="AK30" s="1528"/>
      <c r="AL30" s="1528"/>
      <c r="AM30" s="1528"/>
      <c r="AN30" s="1528"/>
      <c r="AO30" s="1528"/>
      <c r="AP30" s="1296"/>
      <c r="AR30" s="1252"/>
      <c r="AS30" s="9"/>
      <c r="AT30" s="9"/>
      <c r="AU30" s="9"/>
      <c r="AV30" s="140"/>
      <c r="AW30" s="1293" t="s">
        <v>118</v>
      </c>
      <c r="AX30" s="1490"/>
      <c r="AY30" s="1474"/>
      <c r="AZ30" s="1474"/>
      <c r="BA30" s="1474"/>
      <c r="BB30" s="1475"/>
      <c r="BC30" s="1296"/>
    </row>
    <row r="31" spans="1:55" ht="5.0999999999999996" customHeight="1">
      <c r="B31" s="1441"/>
      <c r="C31" s="1252"/>
      <c r="D31" s="9"/>
      <c r="E31" s="9"/>
      <c r="F31" s="9"/>
      <c r="G31" s="139"/>
      <c r="H31" s="9"/>
      <c r="I31" s="9"/>
      <c r="J31" s="9"/>
      <c r="K31" s="9"/>
      <c r="L31" s="9"/>
      <c r="M31" s="9"/>
      <c r="N31" s="140"/>
      <c r="O31" s="1256"/>
      <c r="P31" s="1441"/>
      <c r="Q31" s="1252"/>
      <c r="R31" s="9"/>
      <c r="S31" s="9"/>
      <c r="T31" s="9"/>
      <c r="U31" s="9"/>
      <c r="V31" s="1481"/>
      <c r="W31" s="1481"/>
      <c r="X31" s="1481"/>
      <c r="Y31" s="1481"/>
      <c r="Z31" s="1481"/>
      <c r="AA31" s="1481"/>
      <c r="AB31" s="1482"/>
      <c r="AC31" s="1296"/>
      <c r="AE31" s="1441"/>
      <c r="AF31" s="1252"/>
      <c r="AG31" s="9"/>
      <c r="AH31" s="1527"/>
      <c r="AI31" s="1527"/>
      <c r="AJ31" s="1527"/>
      <c r="AK31" s="9"/>
      <c r="AL31" s="9"/>
      <c r="AM31" s="9"/>
      <c r="AN31" s="9"/>
      <c r="AO31" s="9"/>
      <c r="AP31" s="1296"/>
      <c r="AR31" s="1252"/>
      <c r="AS31" s="9"/>
      <c r="AT31" s="9"/>
      <c r="AU31" s="9"/>
      <c r="AV31" s="9"/>
      <c r="AW31" s="9"/>
      <c r="AX31" s="9"/>
      <c r="AY31" s="9"/>
      <c r="AZ31" s="9"/>
      <c r="BA31" s="9"/>
      <c r="BB31" s="9"/>
      <c r="BC31" s="1296"/>
    </row>
    <row r="32" spans="1:55" ht="14.3" customHeight="1">
      <c r="B32" s="1441"/>
      <c r="C32" s="1252"/>
      <c r="D32" s="9"/>
      <c r="E32" s="9"/>
      <c r="F32" s="9"/>
      <c r="G32" s="139" t="s">
        <v>128</v>
      </c>
      <c r="H32" s="1464"/>
      <c r="I32" s="1464"/>
      <c r="J32" s="1464"/>
      <c r="K32" s="1464"/>
      <c r="L32" s="1464"/>
      <c r="M32" s="1465"/>
      <c r="N32" s="140"/>
      <c r="O32" s="1256"/>
      <c r="P32" s="1441"/>
      <c r="Q32" s="1252"/>
      <c r="R32" s="140"/>
      <c r="S32" s="140"/>
      <c r="T32" s="140"/>
      <c r="U32" s="9"/>
      <c r="V32" s="1483"/>
      <c r="W32" s="1483"/>
      <c r="X32" s="1483"/>
      <c r="Y32" s="1483"/>
      <c r="Z32" s="1483"/>
      <c r="AA32" s="1483"/>
      <c r="AB32" s="1484"/>
      <c r="AC32" s="1296"/>
      <c r="AE32" s="1441"/>
      <c r="AF32" s="1252"/>
      <c r="AG32" s="9"/>
      <c r="AH32" s="1525" t="s">
        <v>129</v>
      </c>
      <c r="AI32" s="1525"/>
      <c r="AJ32" s="1526"/>
      <c r="AK32" s="1473"/>
      <c r="AL32" s="1474"/>
      <c r="AM32" s="1474"/>
      <c r="AN32" s="1474"/>
      <c r="AO32" s="1475"/>
      <c r="AP32" s="1296"/>
      <c r="AR32" s="1252"/>
      <c r="AS32" s="9"/>
      <c r="AT32" s="9"/>
      <c r="AU32" s="9"/>
      <c r="AV32" s="9"/>
      <c r="AW32" s="1293" t="s">
        <v>121</v>
      </c>
      <c r="AX32" s="1466"/>
      <c r="AY32" s="1467"/>
      <c r="AZ32" s="1467"/>
      <c r="BA32" s="1467"/>
      <c r="BB32" s="1468"/>
      <c r="BC32" s="1296"/>
    </row>
    <row r="33" spans="2:55" ht="5.0999999999999996" customHeight="1">
      <c r="B33" s="1441"/>
      <c r="C33" s="1252"/>
      <c r="D33" s="9"/>
      <c r="E33" s="9"/>
      <c r="F33" s="9"/>
      <c r="G33" s="9"/>
      <c r="H33" s="9"/>
      <c r="I33" s="9"/>
      <c r="J33" s="9"/>
      <c r="K33" s="9"/>
      <c r="L33" s="9"/>
      <c r="M33" s="9"/>
      <c r="N33" s="140"/>
      <c r="O33" s="1256"/>
      <c r="P33" s="1441"/>
      <c r="Q33" s="1252"/>
      <c r="R33" s="140"/>
      <c r="S33" s="140"/>
      <c r="T33" s="140"/>
      <c r="U33" s="140"/>
      <c r="V33" s="9"/>
      <c r="W33" s="9"/>
      <c r="X33" s="9"/>
      <c r="Y33" s="9"/>
      <c r="Z33" s="9"/>
      <c r="AA33" s="9"/>
      <c r="AB33" s="9"/>
      <c r="AC33" s="1296"/>
      <c r="AE33" s="1441"/>
      <c r="AF33" s="1252"/>
      <c r="AG33" s="9"/>
      <c r="AH33" s="1527"/>
      <c r="AI33" s="1527"/>
      <c r="AJ33" s="1527"/>
      <c r="AK33" s="9"/>
      <c r="AL33" s="9"/>
      <c r="AM33" s="9"/>
      <c r="AN33" s="9"/>
      <c r="AO33" s="9"/>
      <c r="AP33" s="1296"/>
      <c r="AR33" s="1252"/>
      <c r="AS33" s="9"/>
      <c r="AT33" s="9"/>
      <c r="AU33" s="9"/>
      <c r="AV33" s="9"/>
      <c r="AW33" s="9"/>
      <c r="AX33" s="9"/>
      <c r="AY33" s="9"/>
      <c r="AZ33" s="9"/>
      <c r="BA33" s="9"/>
      <c r="BB33" s="9"/>
      <c r="BC33" s="1296"/>
    </row>
    <row r="34" spans="2:55" ht="14.3" customHeight="1">
      <c r="B34" s="1441"/>
      <c r="C34" s="1252"/>
      <c r="D34" s="9"/>
      <c r="E34" s="9"/>
      <c r="F34" s="9"/>
      <c r="G34" s="139" t="s">
        <v>130</v>
      </c>
      <c r="H34" s="1487" t="str">
        <f>IFERROR(VLOOKUP(H32,Table_LPA_Building_Area[],4,FALSE),"")</f>
        <v/>
      </c>
      <c r="I34" s="1487"/>
      <c r="J34" s="1487"/>
      <c r="K34" s="1487"/>
      <c r="L34" s="1487"/>
      <c r="M34" s="1488"/>
      <c r="N34" s="140"/>
      <c r="O34" s="1256"/>
      <c r="P34" s="1441"/>
      <c r="Q34" s="1252"/>
      <c r="R34" s="9"/>
      <c r="S34" s="9"/>
      <c r="T34" s="9"/>
      <c r="U34" s="1293" t="s">
        <v>131</v>
      </c>
      <c r="V34" s="1470"/>
      <c r="W34" s="1470"/>
      <c r="X34" s="1470"/>
      <c r="Y34" s="1470"/>
      <c r="Z34" s="1470"/>
      <c r="AA34" s="1470"/>
      <c r="AB34" s="1471"/>
      <c r="AC34" s="1296"/>
      <c r="AE34" s="1441"/>
      <c r="AF34" s="1252"/>
      <c r="AG34" s="1300"/>
      <c r="AH34" s="1550" t="s">
        <v>132</v>
      </c>
      <c r="AI34" s="1550"/>
      <c r="AJ34" s="1551"/>
      <c r="AK34" s="1469"/>
      <c r="AL34" s="1470"/>
      <c r="AM34" s="1470"/>
      <c r="AN34" s="1470"/>
      <c r="AO34" s="1471"/>
      <c r="AP34" s="1296"/>
      <c r="AR34" s="1252"/>
      <c r="AS34" s="1300"/>
      <c r="AT34" s="1300"/>
      <c r="AU34" s="1300"/>
      <c r="AV34" s="1300"/>
      <c r="AW34" s="1293" t="s">
        <v>124</v>
      </c>
      <c r="AX34" s="1469"/>
      <c r="AY34" s="1470"/>
      <c r="AZ34" s="1470"/>
      <c r="BA34" s="1470"/>
      <c r="BB34" s="1471"/>
      <c r="BC34" s="1296"/>
    </row>
    <row r="35" spans="2:55" ht="5.0999999999999996" customHeight="1">
      <c r="B35" s="1441"/>
      <c r="C35" s="1252"/>
      <c r="D35" s="140"/>
      <c r="E35" s="140"/>
      <c r="F35" s="140"/>
      <c r="G35" s="140"/>
      <c r="H35" s="140"/>
      <c r="I35" s="140"/>
      <c r="J35" s="140"/>
      <c r="K35" s="140"/>
      <c r="L35" s="140"/>
      <c r="M35" s="140"/>
      <c r="N35" s="140"/>
      <c r="O35" s="1256"/>
      <c r="P35" s="1441"/>
      <c r="Q35" s="1252"/>
      <c r="R35" s="140"/>
      <c r="S35" s="140"/>
      <c r="T35" s="140"/>
      <c r="U35" s="140"/>
      <c r="V35" s="618"/>
      <c r="W35" s="618"/>
      <c r="X35" s="618"/>
      <c r="Y35" s="618"/>
      <c r="Z35" s="618"/>
      <c r="AA35" s="618"/>
      <c r="AB35" s="618"/>
      <c r="AC35" s="1296"/>
      <c r="AE35" s="1441"/>
      <c r="AF35" s="1252"/>
      <c r="AG35" s="9"/>
      <c r="AH35" s="1527"/>
      <c r="AI35" s="1527"/>
      <c r="AJ35" s="1527"/>
      <c r="AK35" s="9"/>
      <c r="AL35" s="9"/>
      <c r="AM35" s="9"/>
      <c r="AN35" s="9"/>
      <c r="AO35" s="9"/>
      <c r="AP35" s="1296"/>
      <c r="AR35" s="1252"/>
      <c r="AS35" s="9"/>
      <c r="AT35" s="9"/>
      <c r="AU35" s="9"/>
      <c r="AV35" s="9"/>
      <c r="AW35" s="9"/>
      <c r="AX35" s="9"/>
      <c r="AY35" s="9"/>
      <c r="AZ35" s="9"/>
      <c r="BA35" s="9"/>
      <c r="BB35" s="9"/>
      <c r="BC35" s="1296"/>
    </row>
    <row r="36" spans="2:55" ht="14.3" customHeight="1">
      <c r="B36" s="1441"/>
      <c r="C36" s="1252"/>
      <c r="D36" s="140"/>
      <c r="E36" s="140"/>
      <c r="F36" s="140"/>
      <c r="G36" s="449" t="s">
        <v>133</v>
      </c>
      <c r="H36" s="1523" t="str">
        <f>IFERROR(IF(O24=1,VLOOKUP(H32,Table_LPA_Building_Area[],2,FALSE),VLOOKUP(H32,Table_LPA_Building_Area[],3,FALSE)),"")</f>
        <v/>
      </c>
      <c r="I36" s="1523"/>
      <c r="J36" s="1523"/>
      <c r="K36" s="1523"/>
      <c r="L36" s="1523"/>
      <c r="M36" s="1524"/>
      <c r="N36" s="140"/>
      <c r="O36" s="1256"/>
      <c r="P36" s="1441"/>
      <c r="Q36" s="1252"/>
      <c r="R36" s="140"/>
      <c r="S36" s="140"/>
      <c r="T36" s="140"/>
      <c r="U36" s="1293" t="s">
        <v>134</v>
      </c>
      <c r="V36" s="1284" t="s">
        <v>135</v>
      </c>
      <c r="W36" s="9"/>
      <c r="X36" s="9"/>
      <c r="Y36" s="1293" t="s">
        <v>136</v>
      </c>
      <c r="Z36" s="1285" t="s">
        <v>137</v>
      </c>
      <c r="AA36" s="1495"/>
      <c r="AB36" s="1496"/>
      <c r="AC36" s="1296"/>
      <c r="AE36" s="1441"/>
      <c r="AF36" s="1252"/>
      <c r="AG36" s="9"/>
      <c r="AH36" s="1550" t="s">
        <v>134</v>
      </c>
      <c r="AI36" s="1550"/>
      <c r="AJ36" s="1551"/>
      <c r="AK36" s="348"/>
      <c r="AL36" s="9"/>
      <c r="AM36" s="1301" t="s">
        <v>137</v>
      </c>
      <c r="AN36" s="1495"/>
      <c r="AO36" s="1496"/>
      <c r="AP36" s="1296"/>
      <c r="AR36" s="1252"/>
      <c r="AS36" s="9"/>
      <c r="AT36" s="9"/>
      <c r="AU36" s="9"/>
      <c r="AV36" s="9"/>
      <c r="AW36" s="9"/>
      <c r="AX36" s="9"/>
      <c r="AY36" s="9"/>
      <c r="AZ36" s="9"/>
      <c r="BA36" s="9"/>
      <c r="BB36" s="9"/>
      <c r="BC36" s="1296"/>
    </row>
    <row r="37" spans="2:55" ht="5.0999999999999996" customHeight="1">
      <c r="B37" s="1441"/>
      <c r="C37" s="1252"/>
      <c r="D37" s="140"/>
      <c r="E37" s="140"/>
      <c r="F37" s="140"/>
      <c r="G37" s="140"/>
      <c r="H37" s="140"/>
      <c r="I37" s="140"/>
      <c r="J37" s="140"/>
      <c r="K37" s="140"/>
      <c r="L37" s="140"/>
      <c r="M37" s="140"/>
      <c r="N37" s="140"/>
      <c r="O37" s="1256"/>
      <c r="P37" s="1441"/>
      <c r="Q37" s="1252"/>
      <c r="R37" s="140"/>
      <c r="S37" s="140"/>
      <c r="T37" s="140"/>
      <c r="U37" s="140"/>
      <c r="V37" s="618"/>
      <c r="W37" s="618"/>
      <c r="X37" s="618"/>
      <c r="Y37" s="1295"/>
      <c r="Z37" s="140"/>
      <c r="AA37" s="618"/>
      <c r="AB37" s="618"/>
      <c r="AC37" s="1296"/>
      <c r="AE37" s="1441"/>
      <c r="AF37" s="1252"/>
      <c r="AG37" s="9"/>
      <c r="AH37" s="9"/>
      <c r="AI37" s="9"/>
      <c r="AJ37" s="9"/>
      <c r="AK37" s="9"/>
      <c r="AL37" s="9"/>
      <c r="AM37" s="9"/>
      <c r="AN37" s="9"/>
      <c r="AO37" s="9"/>
      <c r="AP37" s="1296"/>
      <c r="AR37" s="1252"/>
      <c r="AS37" s="9"/>
      <c r="AT37" s="9"/>
      <c r="AU37" s="9"/>
      <c r="AV37" s="9"/>
      <c r="AW37" s="9"/>
      <c r="AX37" s="9"/>
      <c r="AY37" s="9"/>
      <c r="AZ37" s="9"/>
      <c r="BA37" s="9"/>
      <c r="BB37" s="9"/>
      <c r="BC37" s="1296"/>
    </row>
    <row r="38" spans="2:55">
      <c r="B38" s="1441"/>
      <c r="C38" s="1252"/>
      <c r="D38" s="140"/>
      <c r="E38" s="140"/>
      <c r="F38" s="140"/>
      <c r="G38" s="449" t="s">
        <v>138</v>
      </c>
      <c r="H38" s="1464" t="s">
        <v>139</v>
      </c>
      <c r="I38" s="1464"/>
      <c r="J38" s="1464"/>
      <c r="K38" s="1464"/>
      <c r="L38" s="1464"/>
      <c r="M38" s="1465"/>
      <c r="N38" s="140"/>
      <c r="O38" s="1257">
        <f>IF(H38="C406.3.1",1,IF(H38="C406.3.2",2,0))</f>
        <v>0</v>
      </c>
      <c r="P38" s="1441"/>
      <c r="Q38" s="1252"/>
      <c r="R38" s="140"/>
      <c r="S38" s="140"/>
      <c r="T38" s="140"/>
      <c r="U38" s="140"/>
      <c r="V38" s="140"/>
      <c r="W38" s="140"/>
      <c r="X38" s="140"/>
      <c r="Y38" s="140"/>
      <c r="Z38" s="140"/>
      <c r="AA38" s="140"/>
      <c r="AB38" s="140"/>
      <c r="AC38" s="1296"/>
      <c r="AE38" s="1441"/>
      <c r="AF38" s="1252"/>
      <c r="AG38" s="9"/>
      <c r="AH38" s="9"/>
      <c r="AI38" s="9"/>
      <c r="AJ38" s="9"/>
      <c r="AK38" s="9"/>
      <c r="AL38" s="9"/>
      <c r="AM38" s="9"/>
      <c r="AN38" s="9"/>
      <c r="AO38" s="9"/>
      <c r="AP38" s="1296"/>
      <c r="AR38" s="1252"/>
      <c r="AS38" s="9"/>
      <c r="AT38" s="9"/>
      <c r="AU38" s="9"/>
      <c r="AV38" s="9"/>
      <c r="AW38" s="9"/>
      <c r="AX38" s="9"/>
      <c r="AY38" s="9"/>
      <c r="AZ38" s="9"/>
      <c r="BA38" s="9"/>
      <c r="BB38" s="9"/>
      <c r="BC38" s="1296"/>
    </row>
    <row r="39" spans="2:55" ht="5.0999999999999996" customHeight="1">
      <c r="B39" s="1441"/>
      <c r="C39" s="1253"/>
      <c r="D39" s="1254"/>
      <c r="E39" s="1254"/>
      <c r="F39" s="1254"/>
      <c r="G39" s="1254"/>
      <c r="H39" s="1254"/>
      <c r="I39" s="1254"/>
      <c r="J39" s="1254"/>
      <c r="K39" s="1254"/>
      <c r="L39" s="1254"/>
      <c r="M39" s="1254"/>
      <c r="N39" s="1255"/>
      <c r="O39" s="1256"/>
      <c r="P39" s="1441"/>
      <c r="Q39" s="1253"/>
      <c r="R39" s="1254"/>
      <c r="S39" s="1254"/>
      <c r="T39" s="1254"/>
      <c r="U39" s="1254"/>
      <c r="V39" s="1254"/>
      <c r="W39" s="1254"/>
      <c r="X39" s="1254"/>
      <c r="Y39" s="1254"/>
      <c r="Z39" s="1254"/>
      <c r="AA39" s="1254"/>
      <c r="AB39" s="1254"/>
      <c r="AC39" s="1297"/>
      <c r="AE39" s="1441"/>
      <c r="AF39" s="1253"/>
      <c r="AG39" s="1254"/>
      <c r="AH39" s="1254"/>
      <c r="AI39" s="1254"/>
      <c r="AJ39" s="1254"/>
      <c r="AK39" s="1254"/>
      <c r="AL39" s="1254"/>
      <c r="AM39" s="1254"/>
      <c r="AN39" s="1254"/>
      <c r="AO39" s="1254"/>
      <c r="AP39" s="1297"/>
      <c r="AR39" s="1253"/>
      <c r="AS39" s="1254"/>
      <c r="AT39" s="1254"/>
      <c r="AU39" s="1254"/>
      <c r="AV39" s="1254"/>
      <c r="AW39" s="1254"/>
      <c r="AX39" s="1254"/>
      <c r="AY39" s="1254"/>
      <c r="AZ39" s="1254"/>
      <c r="BA39" s="1254"/>
      <c r="BB39" s="1254"/>
      <c r="BC39" s="1297"/>
    </row>
    <row r="40" spans="2:55" ht="10.199999999999999" customHeight="1"/>
    <row r="41" spans="2:55" ht="19.7">
      <c r="B41" s="1441"/>
      <c r="C41" s="1476" t="s">
        <v>140</v>
      </c>
      <c r="D41" s="1477"/>
      <c r="E41" s="1477"/>
      <c r="F41" s="1477"/>
      <c r="G41" s="1477"/>
      <c r="H41" s="1477"/>
      <c r="I41" s="1477"/>
      <c r="J41" s="1477"/>
      <c r="K41" s="1477"/>
      <c r="L41" s="1477"/>
      <c r="M41" s="1477"/>
      <c r="N41" s="1477"/>
      <c r="O41" s="1477"/>
      <c r="P41" s="1477"/>
      <c r="Q41" s="1477"/>
      <c r="R41" s="1477"/>
      <c r="S41" s="1477"/>
      <c r="T41" s="1477"/>
      <c r="U41" s="1478"/>
      <c r="Y41" s="1476" t="s">
        <v>141</v>
      </c>
      <c r="Z41" s="1477"/>
      <c r="AA41" s="1477"/>
      <c r="AB41" s="1477"/>
      <c r="AC41" s="1477"/>
      <c r="AD41" s="1477"/>
      <c r="AE41" s="1477"/>
      <c r="AF41" s="1477"/>
      <c r="AG41" s="1477"/>
      <c r="AH41" s="1477"/>
      <c r="AI41" s="1477"/>
      <c r="AJ41" s="1477"/>
      <c r="AK41" s="1477"/>
      <c r="AL41" s="1477"/>
      <c r="AM41" s="1477"/>
      <c r="AN41" s="1477"/>
      <c r="AO41" s="1477"/>
      <c r="AP41" s="1478"/>
      <c r="AR41" s="1549"/>
      <c r="AS41" s="1549"/>
      <c r="AT41" s="1549"/>
      <c r="AU41" s="1549"/>
      <c r="AV41" s="1549"/>
      <c r="AW41" s="1549"/>
      <c r="AX41" s="1549"/>
      <c r="AY41" s="1549"/>
      <c r="AZ41" s="1549"/>
      <c r="BA41" s="1549"/>
      <c r="BB41" s="1549"/>
      <c r="BC41" s="1549"/>
    </row>
    <row r="42" spans="2:55">
      <c r="B42" s="1441"/>
      <c r="C42" s="1252"/>
      <c r="D42" s="9"/>
      <c r="E42" s="9"/>
      <c r="F42" s="9"/>
      <c r="G42" s="9"/>
      <c r="H42" s="9"/>
      <c r="I42" s="9"/>
      <c r="J42" s="9"/>
      <c r="K42" s="9"/>
      <c r="L42" s="9"/>
      <c r="M42" s="9"/>
      <c r="N42" s="9"/>
      <c r="O42" s="9"/>
      <c r="P42" s="9"/>
      <c r="Q42" s="9"/>
      <c r="R42" s="9"/>
      <c r="S42" s="9"/>
      <c r="T42" s="9"/>
      <c r="U42" s="1296"/>
      <c r="Y42" s="1252"/>
      <c r="Z42" s="9"/>
      <c r="AA42" s="9"/>
      <c r="AB42" s="9"/>
      <c r="AC42" s="9"/>
      <c r="AD42" s="9"/>
      <c r="AE42" s="9"/>
      <c r="AF42" s="9"/>
      <c r="AG42" s="9"/>
      <c r="AH42" s="9"/>
      <c r="AI42" s="9"/>
      <c r="AJ42" s="9"/>
      <c r="AK42" s="9"/>
      <c r="AL42" s="9"/>
      <c r="AM42" s="9"/>
      <c r="AN42" s="9"/>
      <c r="AO42" s="9"/>
      <c r="AP42" s="1296"/>
      <c r="AR42" s="1112"/>
      <c r="AS42" s="1536"/>
      <c r="AT42" s="1536"/>
      <c r="AU42" s="1536"/>
      <c r="AV42" s="1536"/>
      <c r="AW42" s="1536"/>
      <c r="AX42" s="1536"/>
      <c r="AY42" s="1536"/>
      <c r="AZ42" s="1536"/>
      <c r="BA42" s="1536"/>
      <c r="BB42" s="1536"/>
      <c r="BC42" s="1112"/>
    </row>
    <row r="43" spans="2:55" ht="14.3" customHeight="1">
      <c r="B43" s="1441"/>
      <c r="C43" s="1252"/>
      <c r="D43" s="9" t="s">
        <v>142</v>
      </c>
      <c r="E43" s="9"/>
      <c r="F43" s="9"/>
      <c r="G43" s="9"/>
      <c r="H43" s="9"/>
      <c r="I43" s="9"/>
      <c r="J43" s="9"/>
      <c r="K43" s="9"/>
      <c r="L43" s="9"/>
      <c r="M43" s="9"/>
      <c r="N43" s="9"/>
      <c r="O43" s="9"/>
      <c r="P43" s="9"/>
      <c r="Q43" s="9"/>
      <c r="R43" s="9"/>
      <c r="S43" s="9"/>
      <c r="T43" s="9"/>
      <c r="U43" s="1296"/>
      <c r="Y43" s="1252"/>
      <c r="Z43" s="1537"/>
      <c r="AA43" s="1538"/>
      <c r="AB43" s="1538"/>
      <c r="AC43" s="1538"/>
      <c r="AD43" s="1538"/>
      <c r="AE43" s="1538"/>
      <c r="AF43" s="1538"/>
      <c r="AG43" s="1538"/>
      <c r="AH43" s="1538"/>
      <c r="AI43" s="1538"/>
      <c r="AJ43" s="1538"/>
      <c r="AK43" s="1538"/>
      <c r="AL43" s="1538"/>
      <c r="AM43" s="1538"/>
      <c r="AN43" s="1538"/>
      <c r="AO43" s="1539"/>
      <c r="AP43" s="1296"/>
      <c r="AR43" s="1112"/>
      <c r="AS43" s="1536"/>
      <c r="AT43" s="1536"/>
      <c r="AU43" s="1536"/>
      <c r="AV43" s="1536"/>
      <c r="AW43" s="1536"/>
      <c r="AX43" s="1536"/>
      <c r="AY43" s="1536"/>
      <c r="AZ43" s="1536"/>
      <c r="BA43" s="1536"/>
      <c r="BB43" s="1536"/>
      <c r="BC43" s="1112"/>
    </row>
    <row r="44" spans="2:55">
      <c r="B44" s="1441"/>
      <c r="C44" s="1252"/>
      <c r="D44" s="9" t="s">
        <v>143</v>
      </c>
      <c r="E44" s="9"/>
      <c r="F44" s="9"/>
      <c r="G44" s="9"/>
      <c r="H44" s="9"/>
      <c r="I44" s="9"/>
      <c r="J44" s="9"/>
      <c r="K44" s="9"/>
      <c r="L44" s="9"/>
      <c r="M44" s="9"/>
      <c r="N44" s="9"/>
      <c r="O44" s="9"/>
      <c r="P44" s="9"/>
      <c r="Q44" s="9"/>
      <c r="R44" s="9"/>
      <c r="S44" s="9"/>
      <c r="T44" s="9"/>
      <c r="U44" s="1296"/>
      <c r="Y44" s="1252"/>
      <c r="Z44" s="1540"/>
      <c r="AA44" s="1541"/>
      <c r="AB44" s="1541"/>
      <c r="AC44" s="1541"/>
      <c r="AD44" s="1541"/>
      <c r="AE44" s="1541"/>
      <c r="AF44" s="1541"/>
      <c r="AG44" s="1541"/>
      <c r="AH44" s="1541"/>
      <c r="AI44" s="1541"/>
      <c r="AJ44" s="1541"/>
      <c r="AK44" s="1541"/>
      <c r="AL44" s="1541"/>
      <c r="AM44" s="1541"/>
      <c r="AN44" s="1541"/>
      <c r="AO44" s="1542"/>
      <c r="AP44" s="1296"/>
      <c r="AR44" s="1112"/>
      <c r="AS44" s="1536"/>
      <c r="AT44" s="1536"/>
      <c r="AU44" s="1536"/>
      <c r="AV44" s="1536"/>
      <c r="AW44" s="1536"/>
      <c r="AX44" s="1536"/>
      <c r="AY44" s="1536"/>
      <c r="AZ44" s="1536"/>
      <c r="BA44" s="1536"/>
      <c r="BB44" s="1536"/>
      <c r="BC44" s="1112"/>
    </row>
    <row r="45" spans="2:55" ht="14.3" customHeight="1">
      <c r="B45" s="1441"/>
      <c r="C45" s="1252"/>
      <c r="D45" s="9" t="s">
        <v>144</v>
      </c>
      <c r="E45" s="9"/>
      <c r="F45" s="9"/>
      <c r="G45" s="9"/>
      <c r="H45" s="9"/>
      <c r="I45" s="9"/>
      <c r="J45" s="9"/>
      <c r="K45" s="9"/>
      <c r="L45" s="9"/>
      <c r="M45" s="9"/>
      <c r="N45" s="9"/>
      <c r="O45" s="9"/>
      <c r="P45" s="9"/>
      <c r="Q45" s="9"/>
      <c r="R45" s="9"/>
      <c r="S45" s="9"/>
      <c r="T45" s="9"/>
      <c r="U45" s="1296"/>
      <c r="Y45" s="1252"/>
      <c r="Z45" s="1540"/>
      <c r="AA45" s="1541"/>
      <c r="AB45" s="1541"/>
      <c r="AC45" s="1541"/>
      <c r="AD45" s="1541"/>
      <c r="AE45" s="1541"/>
      <c r="AF45" s="1541"/>
      <c r="AG45" s="1541"/>
      <c r="AH45" s="1541"/>
      <c r="AI45" s="1541"/>
      <c r="AJ45" s="1541"/>
      <c r="AK45" s="1541"/>
      <c r="AL45" s="1541"/>
      <c r="AM45" s="1541"/>
      <c r="AN45" s="1541"/>
      <c r="AO45" s="1542"/>
      <c r="AP45" s="1296"/>
      <c r="AR45" s="1112"/>
      <c r="AS45" s="1536"/>
      <c r="AT45" s="1536"/>
      <c r="AU45" s="1536"/>
      <c r="AV45" s="1536"/>
      <c r="AW45" s="1536"/>
      <c r="AX45" s="1536"/>
      <c r="AY45" s="1536"/>
      <c r="AZ45" s="1536"/>
      <c r="BA45" s="1536"/>
      <c r="BB45" s="1536"/>
      <c r="BC45" s="1112"/>
    </row>
    <row r="46" spans="2:55">
      <c r="B46" s="1441"/>
      <c r="C46" s="1252"/>
      <c r="D46" s="9"/>
      <c r="E46" s="9"/>
      <c r="F46" s="9"/>
      <c r="G46" s="9"/>
      <c r="H46" s="9"/>
      <c r="I46" s="9"/>
      <c r="J46" s="9"/>
      <c r="K46" s="9"/>
      <c r="L46" s="9"/>
      <c r="M46" s="9"/>
      <c r="N46" s="9"/>
      <c r="O46" s="9"/>
      <c r="P46" s="9"/>
      <c r="Q46" s="9"/>
      <c r="R46" s="9"/>
      <c r="S46" s="9"/>
      <c r="T46" s="9"/>
      <c r="U46" s="1296"/>
      <c r="Y46" s="1252"/>
      <c r="Z46" s="1540"/>
      <c r="AA46" s="1541"/>
      <c r="AB46" s="1541"/>
      <c r="AC46" s="1541"/>
      <c r="AD46" s="1541"/>
      <c r="AE46" s="1541"/>
      <c r="AF46" s="1541"/>
      <c r="AG46" s="1541"/>
      <c r="AH46" s="1541"/>
      <c r="AI46" s="1541"/>
      <c r="AJ46" s="1541"/>
      <c r="AK46" s="1541"/>
      <c r="AL46" s="1541"/>
      <c r="AM46" s="1541"/>
      <c r="AN46" s="1541"/>
      <c r="AO46" s="1542"/>
      <c r="AP46" s="1296"/>
      <c r="AR46" s="1112"/>
      <c r="AS46" s="1536"/>
      <c r="AT46" s="1536"/>
      <c r="AU46" s="1536"/>
      <c r="AV46" s="1536"/>
      <c r="AW46" s="1536"/>
      <c r="AX46" s="1536"/>
      <c r="AY46" s="1536"/>
      <c r="AZ46" s="1536"/>
      <c r="BA46" s="1536"/>
      <c r="BB46" s="1536"/>
      <c r="BC46" s="1112"/>
    </row>
    <row r="47" spans="2:55" ht="14.95" customHeight="1">
      <c r="B47" s="1441"/>
      <c r="C47" s="1252"/>
      <c r="D47" s="9"/>
      <c r="E47" s="137" t="s">
        <v>145</v>
      </c>
      <c r="F47" s="137" t="s">
        <v>146</v>
      </c>
      <c r="G47" s="137" t="s">
        <v>147</v>
      </c>
      <c r="H47" s="137" t="s">
        <v>148</v>
      </c>
      <c r="I47" s="137"/>
      <c r="J47" s="137" t="s">
        <v>149</v>
      </c>
      <c r="K47" s="137" t="s">
        <v>150</v>
      </c>
      <c r="L47" s="137" t="s">
        <v>151</v>
      </c>
      <c r="M47" s="9"/>
      <c r="N47" s="9"/>
      <c r="O47" s="9"/>
      <c r="P47" s="9"/>
      <c r="Q47" s="9"/>
      <c r="R47" s="1521" t="s">
        <v>152</v>
      </c>
      <c r="S47" s="1521"/>
      <c r="T47" s="9"/>
      <c r="U47" s="1296"/>
      <c r="Y47" s="1252"/>
      <c r="Z47" s="1540"/>
      <c r="AA47" s="1541"/>
      <c r="AB47" s="1541"/>
      <c r="AC47" s="1541"/>
      <c r="AD47" s="1541"/>
      <c r="AE47" s="1541"/>
      <c r="AF47" s="1541"/>
      <c r="AG47" s="1541"/>
      <c r="AH47" s="1541"/>
      <c r="AI47" s="1541"/>
      <c r="AJ47" s="1541"/>
      <c r="AK47" s="1541"/>
      <c r="AL47" s="1541"/>
      <c r="AM47" s="1541"/>
      <c r="AN47" s="1541"/>
      <c r="AO47" s="1542"/>
      <c r="AP47" s="1296"/>
      <c r="AR47" s="1112"/>
      <c r="AS47" s="1536"/>
      <c r="AT47" s="1536"/>
      <c r="AU47" s="1536"/>
      <c r="AV47" s="1536"/>
      <c r="AW47" s="1536"/>
      <c r="AX47" s="1536"/>
      <c r="AY47" s="1536"/>
      <c r="AZ47" s="1536"/>
      <c r="BA47" s="1536"/>
      <c r="BB47" s="1536"/>
      <c r="BC47" s="1112"/>
    </row>
    <row r="48" spans="2:55" ht="5.0999999999999996" customHeight="1">
      <c r="B48" s="1441"/>
      <c r="C48" s="1252"/>
      <c r="D48" s="9"/>
      <c r="E48" s="9"/>
      <c r="F48" s="9"/>
      <c r="G48" s="9"/>
      <c r="H48" s="9"/>
      <c r="I48" s="9"/>
      <c r="J48" s="9"/>
      <c r="K48" s="9"/>
      <c r="L48" s="9"/>
      <c r="M48" s="9"/>
      <c r="N48" s="9"/>
      <c r="O48" s="9"/>
      <c r="P48" s="9"/>
      <c r="Q48" s="9"/>
      <c r="R48" s="1521"/>
      <c r="S48" s="1521"/>
      <c r="T48" s="9"/>
      <c r="U48" s="1296"/>
      <c r="Y48" s="1252"/>
      <c r="Z48" s="1540"/>
      <c r="AA48" s="1541"/>
      <c r="AB48" s="1541"/>
      <c r="AC48" s="1541"/>
      <c r="AD48" s="1541"/>
      <c r="AE48" s="1541"/>
      <c r="AF48" s="1541"/>
      <c r="AG48" s="1541"/>
      <c r="AH48" s="1541"/>
      <c r="AI48" s="1541"/>
      <c r="AJ48" s="1541"/>
      <c r="AK48" s="1541"/>
      <c r="AL48" s="1541"/>
      <c r="AM48" s="1541"/>
      <c r="AN48" s="1541"/>
      <c r="AO48" s="1542"/>
      <c r="AP48" s="1296"/>
      <c r="AR48" s="1112"/>
      <c r="AS48" s="1536"/>
      <c r="AT48" s="1536"/>
      <c r="AU48" s="1536"/>
      <c r="AV48" s="1536"/>
      <c r="AW48" s="1536"/>
      <c r="AX48" s="1536"/>
      <c r="AY48" s="1536"/>
      <c r="AZ48" s="1536"/>
      <c r="BA48" s="1536"/>
      <c r="BB48" s="1536"/>
      <c r="BC48" s="1112"/>
    </row>
    <row r="49" spans="2:66" ht="14.3" customHeight="1">
      <c r="B49" s="1441"/>
      <c r="C49" s="1252"/>
      <c r="D49" s="1302" t="s">
        <v>153</v>
      </c>
      <c r="E49" s="619"/>
      <c r="F49" s="619"/>
      <c r="G49" s="619"/>
      <c r="H49" s="619"/>
      <c r="I49" s="1462"/>
      <c r="J49" s="1463"/>
      <c r="K49" s="619"/>
      <c r="L49" s="619"/>
      <c r="M49" s="1303" t="s">
        <v>154</v>
      </c>
      <c r="N49" s="9"/>
      <c r="O49" s="1304" t="str">
        <f>IF(OR(L49="",L51=""),"",(12-L49+L51))</f>
        <v/>
      </c>
      <c r="P49" s="1304"/>
      <c r="Q49" s="1304">
        <f>AVERAGE(E55:L55)</f>
        <v>0</v>
      </c>
      <c r="R49" s="1521"/>
      <c r="S49" s="1521"/>
      <c r="T49" s="9"/>
      <c r="U49" s="1296"/>
      <c r="Y49" s="1252"/>
      <c r="Z49" s="1540"/>
      <c r="AA49" s="1541"/>
      <c r="AB49" s="1541"/>
      <c r="AC49" s="1541"/>
      <c r="AD49" s="1541"/>
      <c r="AE49" s="1541"/>
      <c r="AF49" s="1541"/>
      <c r="AG49" s="1541"/>
      <c r="AH49" s="1541"/>
      <c r="AI49" s="1541"/>
      <c r="AJ49" s="1541"/>
      <c r="AK49" s="1541"/>
      <c r="AL49" s="1541"/>
      <c r="AM49" s="1541"/>
      <c r="AN49" s="1541"/>
      <c r="AO49" s="1542"/>
      <c r="AP49" s="1296"/>
      <c r="AR49" s="1112"/>
      <c r="AS49" s="1536"/>
      <c r="AT49" s="1536"/>
      <c r="AU49" s="1536"/>
      <c r="AV49" s="1536"/>
      <c r="AW49" s="1536"/>
      <c r="AX49" s="1536"/>
      <c r="AY49" s="1536"/>
      <c r="AZ49" s="1536"/>
      <c r="BA49" s="1536"/>
      <c r="BB49" s="1536"/>
      <c r="BC49" s="1112"/>
    </row>
    <row r="50" spans="2:66" ht="5.0999999999999996" customHeight="1">
      <c r="B50" s="1441"/>
      <c r="C50" s="1252"/>
      <c r="D50" s="45"/>
      <c r="E50" s="9"/>
      <c r="F50" s="9"/>
      <c r="G50" s="9"/>
      <c r="H50" s="9"/>
      <c r="I50" s="9"/>
      <c r="J50" s="9"/>
      <c r="K50" s="9"/>
      <c r="L50" s="9"/>
      <c r="M50" s="9"/>
      <c r="N50" s="9"/>
      <c r="O50" s="9"/>
      <c r="P50" s="9"/>
      <c r="Q50" s="9"/>
      <c r="R50" s="1521"/>
      <c r="S50" s="1521"/>
      <c r="T50" s="9"/>
      <c r="U50" s="1296"/>
      <c r="Y50" s="1252"/>
      <c r="Z50" s="1540"/>
      <c r="AA50" s="1541"/>
      <c r="AB50" s="1541"/>
      <c r="AC50" s="1541"/>
      <c r="AD50" s="1541"/>
      <c r="AE50" s="1541"/>
      <c r="AF50" s="1541"/>
      <c r="AG50" s="1541"/>
      <c r="AH50" s="1541"/>
      <c r="AI50" s="1541"/>
      <c r="AJ50" s="1541"/>
      <c r="AK50" s="1541"/>
      <c r="AL50" s="1541"/>
      <c r="AM50" s="1541"/>
      <c r="AN50" s="1541"/>
      <c r="AO50" s="1542"/>
      <c r="AP50" s="1296"/>
      <c r="AR50" s="1112"/>
      <c r="AS50" s="1536"/>
      <c r="AT50" s="1536"/>
      <c r="AU50" s="1536"/>
      <c r="AV50" s="1536"/>
      <c r="AW50" s="1536"/>
      <c r="AX50" s="1536"/>
      <c r="AY50" s="1536"/>
      <c r="AZ50" s="1536"/>
      <c r="BA50" s="1536"/>
      <c r="BB50" s="1536"/>
      <c r="BC50" s="1112"/>
    </row>
    <row r="51" spans="2:66">
      <c r="B51" s="1441"/>
      <c r="C51" s="1252"/>
      <c r="D51" s="1302" t="s">
        <v>155</v>
      </c>
      <c r="E51" s="619"/>
      <c r="F51" s="619"/>
      <c r="G51" s="619"/>
      <c r="H51" s="619"/>
      <c r="I51" s="1462"/>
      <c r="J51" s="1463"/>
      <c r="K51" s="619"/>
      <c r="L51" s="619"/>
      <c r="M51" s="1303" t="s">
        <v>156</v>
      </c>
      <c r="N51" s="9"/>
      <c r="O51" s="9"/>
      <c r="P51" s="9"/>
      <c r="Q51" s="9"/>
      <c r="R51" s="1521"/>
      <c r="S51" s="1521"/>
      <c r="T51" s="9"/>
      <c r="U51" s="1296"/>
      <c r="Y51" s="1252"/>
      <c r="Z51" s="1540"/>
      <c r="AA51" s="1541"/>
      <c r="AB51" s="1541"/>
      <c r="AC51" s="1541"/>
      <c r="AD51" s="1541"/>
      <c r="AE51" s="1541"/>
      <c r="AF51" s="1541"/>
      <c r="AG51" s="1541"/>
      <c r="AH51" s="1541"/>
      <c r="AI51" s="1541"/>
      <c r="AJ51" s="1541"/>
      <c r="AK51" s="1541"/>
      <c r="AL51" s="1541"/>
      <c r="AM51" s="1541"/>
      <c r="AN51" s="1541"/>
      <c r="AO51" s="1542"/>
      <c r="AP51" s="1296"/>
      <c r="AR51" s="1112"/>
      <c r="AS51" s="1536"/>
      <c r="AT51" s="1536"/>
      <c r="AU51" s="1536"/>
      <c r="AV51" s="1536"/>
      <c r="AW51" s="1536"/>
      <c r="AX51" s="1536"/>
      <c r="AY51" s="1536"/>
      <c r="AZ51" s="1536"/>
      <c r="BA51" s="1536"/>
      <c r="BB51" s="1536"/>
      <c r="BC51" s="1112"/>
    </row>
    <row r="52" spans="2:66" ht="5.0999999999999996" customHeight="1">
      <c r="B52" s="1441"/>
      <c r="C52" s="1252"/>
      <c r="D52" s="9"/>
      <c r="E52" s="9"/>
      <c r="F52" s="9"/>
      <c r="G52" s="9"/>
      <c r="H52" s="9"/>
      <c r="I52" s="9"/>
      <c r="J52" s="9"/>
      <c r="K52" s="9"/>
      <c r="L52" s="9"/>
      <c r="M52" s="9"/>
      <c r="N52" s="9"/>
      <c r="O52" s="9"/>
      <c r="P52" s="9"/>
      <c r="Q52" s="9"/>
      <c r="R52" s="9"/>
      <c r="S52" s="9"/>
      <c r="T52" s="9"/>
      <c r="U52" s="1296"/>
      <c r="Y52" s="1252"/>
      <c r="Z52" s="1540"/>
      <c r="AA52" s="1541"/>
      <c r="AB52" s="1541"/>
      <c r="AC52" s="1541"/>
      <c r="AD52" s="1541"/>
      <c r="AE52" s="1541"/>
      <c r="AF52" s="1541"/>
      <c r="AG52" s="1541"/>
      <c r="AH52" s="1541"/>
      <c r="AI52" s="1541"/>
      <c r="AJ52" s="1541"/>
      <c r="AK52" s="1541"/>
      <c r="AL52" s="1541"/>
      <c r="AM52" s="1541"/>
      <c r="AN52" s="1541"/>
      <c r="AO52" s="1542"/>
      <c r="AP52" s="1296"/>
      <c r="AR52" s="1112"/>
      <c r="AS52" s="1536"/>
      <c r="AT52" s="1536"/>
      <c r="AU52" s="1536"/>
      <c r="AV52" s="1536"/>
      <c r="AW52" s="1536"/>
      <c r="AX52" s="1536"/>
      <c r="AY52" s="1536"/>
      <c r="AZ52" s="1536"/>
      <c r="BA52" s="1536"/>
      <c r="BB52" s="1536"/>
      <c r="BC52" s="1112"/>
    </row>
    <row r="53" spans="2:66">
      <c r="B53" s="1441"/>
      <c r="C53" s="1252"/>
      <c r="D53" s="9"/>
      <c r="E53" s="1283"/>
      <c r="F53" s="1461" t="s">
        <v>157</v>
      </c>
      <c r="G53" s="1461"/>
      <c r="H53" s="1461"/>
      <c r="I53" s="1461"/>
      <c r="J53" s="1461"/>
      <c r="K53" s="1461"/>
      <c r="L53" s="1461"/>
      <c r="M53" s="9"/>
      <c r="N53" s="9"/>
      <c r="O53" s="9"/>
      <c r="P53" s="9"/>
      <c r="Q53" s="9"/>
      <c r="R53" s="1519">
        <f>IFERROR(ROUND((SUM(E55:L55)*52)-((E53-1)*AVERAGE(F55:K55)),0),0)</f>
        <v>0</v>
      </c>
      <c r="S53" s="1520"/>
      <c r="T53" s="9"/>
      <c r="U53" s="1296"/>
      <c r="Y53" s="1252"/>
      <c r="Z53" s="1540"/>
      <c r="AA53" s="1541"/>
      <c r="AB53" s="1541"/>
      <c r="AC53" s="1541"/>
      <c r="AD53" s="1541"/>
      <c r="AE53" s="1541"/>
      <c r="AF53" s="1541"/>
      <c r="AG53" s="1541"/>
      <c r="AH53" s="1541"/>
      <c r="AI53" s="1541"/>
      <c r="AJ53" s="1541"/>
      <c r="AK53" s="1541"/>
      <c r="AL53" s="1541"/>
      <c r="AM53" s="1541"/>
      <c r="AN53" s="1541"/>
      <c r="AO53" s="1542"/>
      <c r="AP53" s="1296"/>
      <c r="AR53" s="1112"/>
      <c r="AS53" s="1536"/>
      <c r="AT53" s="1536"/>
      <c r="AU53" s="1536"/>
      <c r="AV53" s="1536"/>
      <c r="AW53" s="1536"/>
      <c r="AX53" s="1536"/>
      <c r="AY53" s="1536"/>
      <c r="AZ53" s="1536"/>
      <c r="BA53" s="1536"/>
      <c r="BB53" s="1536"/>
      <c r="BC53" s="1112"/>
    </row>
    <row r="54" spans="2:66">
      <c r="B54" s="1441"/>
      <c r="C54" s="1252"/>
      <c r="D54" s="9"/>
      <c r="E54" s="9"/>
      <c r="F54" s="1461"/>
      <c r="G54" s="1461"/>
      <c r="H54" s="1461"/>
      <c r="I54" s="1461"/>
      <c r="J54" s="1461"/>
      <c r="K54" s="1461"/>
      <c r="L54" s="1461"/>
      <c r="M54" s="9"/>
      <c r="N54" s="9"/>
      <c r="O54" s="9"/>
      <c r="P54" s="9"/>
      <c r="Q54" s="9"/>
      <c r="R54" s="9"/>
      <c r="S54" s="9"/>
      <c r="T54" s="9"/>
      <c r="U54" s="1296"/>
      <c r="Y54" s="1252"/>
      <c r="Z54" s="1543"/>
      <c r="AA54" s="1544"/>
      <c r="AB54" s="1544"/>
      <c r="AC54" s="1544"/>
      <c r="AD54" s="1544"/>
      <c r="AE54" s="1544"/>
      <c r="AF54" s="1544"/>
      <c r="AG54" s="1544"/>
      <c r="AH54" s="1544"/>
      <c r="AI54" s="1544"/>
      <c r="AJ54" s="1544"/>
      <c r="AK54" s="1544"/>
      <c r="AL54" s="1544"/>
      <c r="AM54" s="1544"/>
      <c r="AN54" s="1544"/>
      <c r="AO54" s="1545"/>
      <c r="AP54" s="1296"/>
      <c r="AR54" s="1112"/>
      <c r="AS54" s="1536"/>
      <c r="AT54" s="1536"/>
      <c r="AU54" s="1536"/>
      <c r="AV54" s="1536"/>
      <c r="AW54" s="1536"/>
      <c r="AX54" s="1536"/>
      <c r="AY54" s="1536"/>
      <c r="AZ54" s="1536"/>
      <c r="BA54" s="1536"/>
      <c r="BB54" s="1536"/>
      <c r="BC54" s="1112"/>
    </row>
    <row r="55" spans="2:66" ht="5.0999999999999996" customHeight="1">
      <c r="B55" s="1441"/>
      <c r="C55" s="1253"/>
      <c r="D55" s="1305"/>
      <c r="E55" s="1306">
        <f t="shared" ref="E55:L55" si="0">IF(AND(E49=0,E51=0),0,IF(OR(E49="",E51=""),"",(12-E49+E51)))</f>
        <v>0</v>
      </c>
      <c r="F55" s="1306">
        <f t="shared" si="0"/>
        <v>0</v>
      </c>
      <c r="G55" s="1306">
        <f t="shared" si="0"/>
        <v>0</v>
      </c>
      <c r="H55" s="1306">
        <f t="shared" si="0"/>
        <v>0</v>
      </c>
      <c r="I55" s="1531">
        <f>IF(AND(I49=0,I51=0),0,IF(OR(I49="",I51=""),"",(12-I49+I51)))</f>
        <v>0</v>
      </c>
      <c r="J55" s="1531"/>
      <c r="K55" s="1306">
        <f t="shared" si="0"/>
        <v>0</v>
      </c>
      <c r="L55" s="1306">
        <f t="shared" si="0"/>
        <v>0</v>
      </c>
      <c r="M55" s="1305"/>
      <c r="N55" s="1254"/>
      <c r="O55" s="1254"/>
      <c r="P55" s="1254"/>
      <c r="Q55" s="1254"/>
      <c r="R55" s="1254"/>
      <c r="S55" s="1254"/>
      <c r="T55" s="1254"/>
      <c r="U55" s="1297"/>
      <c r="Y55" s="1253"/>
      <c r="Z55" s="1254"/>
      <c r="AA55" s="1254"/>
      <c r="AB55" s="1254"/>
      <c r="AC55" s="1254"/>
      <c r="AD55" s="1254"/>
      <c r="AE55" s="1254"/>
      <c r="AF55" s="1254"/>
      <c r="AG55" s="1254"/>
      <c r="AH55" s="1254"/>
      <c r="AI55" s="1254"/>
      <c r="AJ55" s="1254"/>
      <c r="AK55" s="1254"/>
      <c r="AL55" s="1254"/>
      <c r="AM55" s="1254"/>
      <c r="AN55" s="1254"/>
      <c r="AO55" s="1254"/>
      <c r="AP55" s="1297"/>
      <c r="AR55" s="1112"/>
      <c r="AS55" s="1275"/>
      <c r="AT55" s="1275"/>
      <c r="AU55" s="1275"/>
      <c r="AV55" s="1275"/>
      <c r="AW55" s="1275"/>
      <c r="AX55" s="1275"/>
      <c r="AY55" s="1275"/>
      <c r="AZ55" s="1275"/>
      <c r="BA55" s="1275"/>
      <c r="BB55" s="1275"/>
      <c r="BC55" s="1112"/>
    </row>
    <row r="56" spans="2:66" ht="10.199999999999999" customHeight="1">
      <c r="E56" s="136"/>
      <c r="F56" s="136"/>
      <c r="G56" s="136"/>
      <c r="H56" s="136"/>
      <c r="I56" s="136"/>
      <c r="J56" s="136"/>
      <c r="K56" s="136"/>
      <c r="L56" s="136"/>
      <c r="AR56" s="1112"/>
      <c r="AS56" s="1548"/>
      <c r="AT56" s="1548"/>
      <c r="AU56" s="1548"/>
      <c r="AV56" s="1548"/>
      <c r="AW56" s="1548"/>
      <c r="AX56" s="1548"/>
      <c r="AY56" s="1548"/>
      <c r="AZ56" s="1548"/>
      <c r="BA56" s="1547"/>
      <c r="BB56" s="1547"/>
      <c r="BC56" s="1112"/>
    </row>
    <row r="57" spans="2:66" ht="20.399999999999999" customHeight="1">
      <c r="B57" s="1441"/>
      <c r="C57" s="1476" t="s">
        <v>158</v>
      </c>
      <c r="D57" s="1477"/>
      <c r="E57" s="1477"/>
      <c r="F57" s="1477"/>
      <c r="G57" s="1477"/>
      <c r="H57" s="1477"/>
      <c r="I57" s="1477"/>
      <c r="J57" s="1477"/>
      <c r="K57" s="1477"/>
      <c r="L57" s="1477"/>
      <c r="M57" s="1477"/>
      <c r="N57" s="1478"/>
      <c r="P57" s="1441"/>
      <c r="Q57" s="1476" t="s">
        <v>159</v>
      </c>
      <c r="R57" s="1477"/>
      <c r="S57" s="1477"/>
      <c r="T57" s="1477"/>
      <c r="U57" s="1477"/>
      <c r="V57" s="1477"/>
      <c r="W57" s="1477"/>
      <c r="X57" s="1477"/>
      <c r="Y57" s="1477"/>
      <c r="Z57" s="1477"/>
      <c r="AA57" s="1477"/>
      <c r="AB57" s="1477"/>
      <c r="AC57" s="1478"/>
      <c r="AF57" s="1476" t="s">
        <v>160</v>
      </c>
      <c r="AG57" s="1477"/>
      <c r="AH57" s="1477"/>
      <c r="AI57" s="1477"/>
      <c r="AJ57" s="1477"/>
      <c r="AK57" s="1477"/>
      <c r="AL57" s="1477"/>
      <c r="AM57" s="1477"/>
      <c r="AN57" s="1477"/>
      <c r="AO57" s="1477"/>
      <c r="AP57" s="1478"/>
      <c r="AR57" s="1112"/>
      <c r="AS57" s="1548"/>
      <c r="AT57" s="1548"/>
      <c r="AU57" s="1548"/>
      <c r="AV57" s="1548"/>
      <c r="AW57" s="1548"/>
      <c r="AX57" s="1548"/>
      <c r="AY57" s="1548"/>
      <c r="AZ57" s="1548"/>
      <c r="BA57" s="1547"/>
      <c r="BB57" s="1547"/>
      <c r="BC57" s="1112"/>
      <c r="BD57" s="10"/>
      <c r="BE57" s="10"/>
    </row>
    <row r="58" spans="2:66">
      <c r="B58" s="1441"/>
      <c r="C58" s="1252"/>
      <c r="D58" s="9"/>
      <c r="E58" s="9"/>
      <c r="F58" s="11"/>
      <c r="G58" s="9"/>
      <c r="H58" s="9"/>
      <c r="I58" s="9"/>
      <c r="J58" s="9"/>
      <c r="K58" s="9"/>
      <c r="L58" s="9"/>
      <c r="M58" s="9"/>
      <c r="N58" s="1296"/>
      <c r="P58" s="1441"/>
      <c r="Q58" s="1311"/>
      <c r="R58" s="11"/>
      <c r="S58" s="11"/>
      <c r="T58" s="11"/>
      <c r="U58" s="11"/>
      <c r="V58" s="9"/>
      <c r="W58" s="9"/>
      <c r="X58" s="9"/>
      <c r="Y58" s="9"/>
      <c r="Z58" s="9"/>
      <c r="AA58" s="9"/>
      <c r="AB58" s="9"/>
      <c r="AC58" s="1296"/>
      <c r="AF58" s="1252"/>
      <c r="AG58" s="9"/>
      <c r="AH58" s="9"/>
      <c r="AI58" s="9"/>
      <c r="AJ58" s="9"/>
      <c r="AK58" s="9"/>
      <c r="AL58" s="9"/>
      <c r="AM58" s="9"/>
      <c r="AN58" s="9"/>
      <c r="AO58" s="9"/>
      <c r="AP58" s="1296"/>
      <c r="AR58" s="1112"/>
      <c r="AS58" s="1276"/>
      <c r="AT58" s="1276"/>
      <c r="AU58" s="1276"/>
      <c r="AV58" s="1276"/>
      <c r="AW58" s="1276"/>
      <c r="AX58" s="1276"/>
      <c r="AY58" s="1276"/>
      <c r="AZ58" s="1112"/>
      <c r="BA58" s="1112"/>
      <c r="BB58" s="1112"/>
      <c r="BC58" s="1112"/>
      <c r="BD58" s="10"/>
      <c r="BE58" s="10"/>
    </row>
    <row r="59" spans="2:66">
      <c r="B59" s="1441"/>
      <c r="C59" s="1252"/>
      <c r="D59" s="9"/>
      <c r="E59" s="9"/>
      <c r="F59" s="9"/>
      <c r="G59" s="1301" t="s">
        <v>161</v>
      </c>
      <c r="H59" s="1533" t="s">
        <v>162</v>
      </c>
      <c r="I59" s="1533" t="s">
        <v>163</v>
      </c>
      <c r="J59" s="1533" t="s">
        <v>163</v>
      </c>
      <c r="K59" s="1533" t="s">
        <v>163</v>
      </c>
      <c r="L59" s="1533" t="s">
        <v>163</v>
      </c>
      <c r="M59" s="1534" t="s">
        <v>163</v>
      </c>
      <c r="N59" s="1296"/>
      <c r="O59" s="311">
        <f>IFERROR(VLOOKUP(H59,Lookup_Submitter_Number,2,FALSE),0)</f>
        <v>0</v>
      </c>
      <c r="P59" s="1441"/>
      <c r="Q59" s="1252"/>
      <c r="R59" s="9"/>
      <c r="S59" s="9"/>
      <c r="T59" s="1301" t="s">
        <v>164</v>
      </c>
      <c r="U59" s="1546" t="s">
        <v>165</v>
      </c>
      <c r="V59" s="1533"/>
      <c r="W59" s="1533"/>
      <c r="X59" s="1533"/>
      <c r="Y59" s="1533"/>
      <c r="Z59" s="1533"/>
      <c r="AA59" s="1533"/>
      <c r="AB59" s="1534"/>
      <c r="AC59" s="1296">
        <f>IF(OR(AD59=1,AD59=2,AND(O59=2,AD59=2),AND(O59=3,AD59=3)),1,0)</f>
        <v>0</v>
      </c>
      <c r="AD59" s="311">
        <f>IFERROR(VLOOKUP(U59,Lookup_Installer_Number,2,FALSE),0)</f>
        <v>0</v>
      </c>
      <c r="AF59" s="1252"/>
      <c r="AG59" s="9"/>
      <c r="AH59" s="9"/>
      <c r="AI59" s="9"/>
      <c r="AJ59" s="9"/>
      <c r="AK59" s="45"/>
      <c r="AL59" s="1313"/>
      <c r="AM59" s="1313"/>
      <c r="AN59" s="1313"/>
      <c r="AO59" s="1313"/>
      <c r="AP59" s="1296"/>
      <c r="AR59" s="1112"/>
      <c r="AS59" s="1112"/>
      <c r="AT59" s="1112"/>
      <c r="AU59" s="1112"/>
      <c r="AV59" s="1277"/>
      <c r="AW59" s="1530"/>
      <c r="AX59" s="1530"/>
      <c r="AY59" s="1530"/>
      <c r="AZ59" s="1530"/>
      <c r="BA59" s="1530"/>
      <c r="BB59" s="1530"/>
      <c r="BC59" s="1112"/>
      <c r="BD59" s="311">
        <f>IFERROR(VLOOKUP(AW59,Lookup_Submitter_Number,2,FALSE),5)</f>
        <v>5</v>
      </c>
      <c r="BE59" s="10"/>
    </row>
    <row r="60" spans="2:66" ht="5.0999999999999996" customHeight="1">
      <c r="B60" s="1441"/>
      <c r="C60" s="1252"/>
      <c r="D60" s="9"/>
      <c r="E60" s="9"/>
      <c r="F60" s="9"/>
      <c r="G60" s="9"/>
      <c r="H60" s="9"/>
      <c r="I60" s="9"/>
      <c r="J60" s="11"/>
      <c r="K60" s="9"/>
      <c r="L60" s="9"/>
      <c r="M60" s="9"/>
      <c r="N60" s="1296"/>
      <c r="P60" s="1441"/>
      <c r="Q60" s="1252"/>
      <c r="R60" s="9"/>
      <c r="S60" s="9"/>
      <c r="T60" s="9"/>
      <c r="U60" s="11"/>
      <c r="V60" s="11"/>
      <c r="W60" s="11"/>
      <c r="X60" s="11"/>
      <c r="Y60" s="11"/>
      <c r="Z60" s="9"/>
      <c r="AA60" s="9"/>
      <c r="AB60" s="9"/>
      <c r="AC60" s="1296"/>
      <c r="AF60" s="1252"/>
      <c r="AG60" s="9"/>
      <c r="AH60" s="9"/>
      <c r="AI60" s="9"/>
      <c r="AJ60" s="9"/>
      <c r="AK60" s="9"/>
      <c r="AL60" s="9"/>
      <c r="AM60" s="9"/>
      <c r="AN60" s="9"/>
      <c r="AO60" s="9"/>
      <c r="AP60" s="1296"/>
      <c r="AR60" s="1112"/>
      <c r="AS60" s="1344"/>
      <c r="AT60" s="1344"/>
      <c r="AU60" s="1344"/>
      <c r="AV60" s="1344"/>
      <c r="AW60" s="1344"/>
      <c r="AX60" s="1344"/>
      <c r="AY60" s="1344"/>
      <c r="AZ60" s="1344"/>
      <c r="BA60" s="1344"/>
      <c r="BB60" s="1344"/>
      <c r="BC60" s="1344"/>
      <c r="BD60" s="50"/>
      <c r="BE60" s="50"/>
      <c r="BF60" s="50"/>
      <c r="BG60" s="50"/>
      <c r="BH60" s="50"/>
    </row>
    <row r="61" spans="2:66" ht="14.95" customHeight="1">
      <c r="B61" s="1441"/>
      <c r="C61" s="1252"/>
      <c r="D61" s="9"/>
      <c r="E61" s="1514" t="str">
        <f>IF(O59=0,"Select, in the box above, the company submitting the Business Lighting Application",IF(O59=1,"Owner info will be used",IF(O59=2,"Enter Information below for Submitting Company",IF(O59=3,"Enter information in the ""Lighting Installed by?"" section at right",IF(O59=4,"Enter information in the ""(Optional) Vendor / Other Information"" section at right","")))))</f>
        <v>Select, in the box above, the company submitting the Business Lighting Application</v>
      </c>
      <c r="F61" s="1514"/>
      <c r="G61" s="1514"/>
      <c r="H61" s="1514"/>
      <c r="I61" s="1514"/>
      <c r="J61" s="1514"/>
      <c r="K61" s="1514"/>
      <c r="L61" s="1514"/>
      <c r="M61" s="1514"/>
      <c r="N61" s="1296"/>
      <c r="P61" s="1441"/>
      <c r="Q61" s="1252"/>
      <c r="R61" s="1514"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514"/>
      <c r="T61" s="1514"/>
      <c r="U61" s="1514"/>
      <c r="V61" s="1514"/>
      <c r="W61" s="1514"/>
      <c r="X61" s="1514"/>
      <c r="Y61" s="1514"/>
      <c r="Z61" s="1514"/>
      <c r="AA61" s="1514"/>
      <c r="AB61" s="1514"/>
      <c r="AC61" s="1316"/>
      <c r="AD61" s="1287"/>
      <c r="AE61" s="1287"/>
      <c r="AF61" s="1317"/>
      <c r="AG61" s="1552" t="s">
        <v>166</v>
      </c>
      <c r="AH61" s="1552"/>
      <c r="AI61" s="1552"/>
      <c r="AJ61" s="1552"/>
      <c r="AK61" s="1552"/>
      <c r="AL61" s="1552"/>
      <c r="AM61" s="1552"/>
      <c r="AN61" s="1552"/>
      <c r="AO61" s="1552"/>
      <c r="AP61" s="1296"/>
      <c r="AR61" s="1112"/>
      <c r="AS61" s="1535"/>
      <c r="AT61" s="1535"/>
      <c r="AU61" s="1535"/>
      <c r="AV61" s="1535"/>
      <c r="AW61" s="1535"/>
      <c r="AX61" s="1535"/>
      <c r="AY61" s="1535"/>
      <c r="AZ61" s="1535"/>
      <c r="BA61" s="1535"/>
      <c r="BB61" s="1535"/>
      <c r="BC61" s="1344"/>
      <c r="BD61" s="50"/>
      <c r="BE61" s="50"/>
      <c r="BF61" s="50"/>
      <c r="BG61" s="50"/>
      <c r="BH61" s="50"/>
      <c r="BI61" s="50"/>
      <c r="BJ61" s="50"/>
      <c r="BK61" s="50"/>
      <c r="BL61" s="50"/>
      <c r="BM61" s="50"/>
      <c r="BN61" s="50"/>
    </row>
    <row r="62" spans="2:66">
      <c r="B62" s="1441"/>
      <c r="C62" s="1252"/>
      <c r="D62" s="1307"/>
      <c r="E62" s="1514"/>
      <c r="F62" s="1514"/>
      <c r="G62" s="1514"/>
      <c r="H62" s="1514"/>
      <c r="I62" s="1514"/>
      <c r="J62" s="1514"/>
      <c r="K62" s="1514"/>
      <c r="L62" s="1514"/>
      <c r="M62" s="1514"/>
      <c r="N62" s="1296"/>
      <c r="P62" s="1441"/>
      <c r="Q62" s="1252"/>
      <c r="R62" s="1514"/>
      <c r="S62" s="1514"/>
      <c r="T62" s="1514"/>
      <c r="U62" s="1514"/>
      <c r="V62" s="1514"/>
      <c r="W62" s="1514"/>
      <c r="X62" s="1514"/>
      <c r="Y62" s="1514"/>
      <c r="Z62" s="1514"/>
      <c r="AA62" s="1514"/>
      <c r="AB62" s="1514"/>
      <c r="AC62" s="1316"/>
      <c r="AD62" s="1287"/>
      <c r="AE62" s="1287"/>
      <c r="AF62" s="1317"/>
      <c r="AG62" s="1552"/>
      <c r="AH62" s="1552"/>
      <c r="AI62" s="1552"/>
      <c r="AJ62" s="1552"/>
      <c r="AK62" s="1552"/>
      <c r="AL62" s="1552"/>
      <c r="AM62" s="1552"/>
      <c r="AN62" s="1552"/>
      <c r="AO62" s="1552"/>
      <c r="AP62" s="1296"/>
      <c r="AR62" s="1112"/>
      <c r="AS62" s="1535"/>
      <c r="AT62" s="1535"/>
      <c r="AU62" s="1535"/>
      <c r="AV62" s="1535"/>
      <c r="AW62" s="1535"/>
      <c r="AX62" s="1535"/>
      <c r="AY62" s="1535"/>
      <c r="AZ62" s="1535"/>
      <c r="BA62" s="1535"/>
      <c r="BB62" s="1535"/>
      <c r="BC62" s="1344"/>
      <c r="BD62" s="50"/>
      <c r="BE62" s="50"/>
      <c r="BF62" s="50"/>
      <c r="BG62" s="50"/>
      <c r="BH62" s="50"/>
      <c r="BI62" s="50"/>
      <c r="BJ62" s="50"/>
      <c r="BK62" s="50"/>
      <c r="BL62" s="50"/>
      <c r="BM62" s="50"/>
      <c r="BN62" s="50"/>
    </row>
    <row r="63" spans="2:66">
      <c r="B63" s="1441"/>
      <c r="C63" s="1252"/>
      <c r="D63" s="9"/>
      <c r="E63" s="9"/>
      <c r="F63" s="9"/>
      <c r="G63" s="1308" t="s">
        <v>163</v>
      </c>
      <c r="H63" s="1502"/>
      <c r="I63" s="1503"/>
      <c r="J63" s="1503"/>
      <c r="K63" s="1503"/>
      <c r="L63" s="1503"/>
      <c r="M63" s="1504"/>
      <c r="N63" s="1296"/>
      <c r="P63" s="1441"/>
      <c r="Q63" s="1252"/>
      <c r="R63" s="9"/>
      <c r="S63" s="9"/>
      <c r="T63" s="1308" t="s">
        <v>167</v>
      </c>
      <c r="U63" s="1502"/>
      <c r="V63" s="1503"/>
      <c r="W63" s="1503"/>
      <c r="X63" s="1503"/>
      <c r="Y63" s="1503"/>
      <c r="Z63" s="1503"/>
      <c r="AA63" s="1503"/>
      <c r="AB63" s="1504"/>
      <c r="AC63" s="1296"/>
      <c r="AF63" s="1252"/>
      <c r="AG63" s="9"/>
      <c r="AH63" s="9"/>
      <c r="AI63" s="1308" t="s">
        <v>168</v>
      </c>
      <c r="AJ63" s="1502"/>
      <c r="AK63" s="1503"/>
      <c r="AL63" s="1503"/>
      <c r="AM63" s="1503"/>
      <c r="AN63" s="1503"/>
      <c r="AO63" s="1504"/>
      <c r="AP63" s="1296"/>
      <c r="AR63" s="1112"/>
      <c r="AS63" s="1344"/>
      <c r="AT63" s="1344"/>
      <c r="AU63" s="1344"/>
      <c r="AV63" s="1345"/>
      <c r="AW63" s="1532"/>
      <c r="AX63" s="1532"/>
      <c r="AY63" s="1532"/>
      <c r="AZ63" s="1532"/>
      <c r="BA63" s="1532"/>
      <c r="BB63" s="1532"/>
      <c r="BC63" s="1344"/>
      <c r="BD63" s="50"/>
      <c r="BE63" s="50"/>
      <c r="BF63" s="50"/>
      <c r="BG63" s="50"/>
      <c r="BH63" s="50"/>
      <c r="BI63" s="50"/>
      <c r="BJ63" s="50"/>
      <c r="BK63" s="50"/>
      <c r="BL63" s="50"/>
      <c r="BM63" s="50"/>
      <c r="BN63" s="50"/>
    </row>
    <row r="64" spans="2:66" ht="5.0999999999999996" customHeight="1">
      <c r="B64" s="1441"/>
      <c r="C64" s="1252"/>
      <c r="D64" s="9"/>
      <c r="E64" s="9"/>
      <c r="F64" s="9"/>
      <c r="G64" s="139"/>
      <c r="H64" s="9"/>
      <c r="I64" s="9"/>
      <c r="J64" s="11"/>
      <c r="K64" s="9"/>
      <c r="L64" s="1298"/>
      <c r="M64" s="1298"/>
      <c r="N64" s="1296"/>
      <c r="P64" s="1441"/>
      <c r="Q64" s="1252"/>
      <c r="R64" s="9"/>
      <c r="S64" s="9"/>
      <c r="T64" s="139"/>
      <c r="U64" s="9"/>
      <c r="V64" s="9"/>
      <c r="W64" s="9"/>
      <c r="X64" s="9"/>
      <c r="Y64" s="9"/>
      <c r="Z64" s="9"/>
      <c r="AA64" s="1298"/>
      <c r="AB64" s="1298"/>
      <c r="AC64" s="1296"/>
      <c r="AF64" s="1252"/>
      <c r="AG64" s="9"/>
      <c r="AH64" s="9"/>
      <c r="AI64" s="139"/>
      <c r="AJ64" s="9"/>
      <c r="AK64" s="9"/>
      <c r="AL64" s="9"/>
      <c r="AM64" s="9"/>
      <c r="AN64" s="11"/>
      <c r="AO64" s="9"/>
      <c r="AP64" s="1296"/>
      <c r="AR64" s="1112"/>
      <c r="AS64" s="1344"/>
      <c r="AT64" s="1344"/>
      <c r="AU64" s="1344"/>
      <c r="AV64" s="1346"/>
      <c r="AW64" s="1344"/>
      <c r="AX64" s="1344"/>
      <c r="AY64" s="1344"/>
      <c r="AZ64" s="1344"/>
      <c r="BA64" s="1344"/>
      <c r="BB64" s="1344"/>
      <c r="BC64" s="1344"/>
      <c r="BD64" s="50"/>
      <c r="BE64" s="50"/>
      <c r="BF64" s="50"/>
      <c r="BG64" s="50"/>
      <c r="BH64" s="50"/>
      <c r="BI64" s="50"/>
      <c r="BJ64" s="50"/>
      <c r="BK64" s="50"/>
      <c r="BL64" s="50"/>
      <c r="BM64" s="50"/>
      <c r="BN64" s="50"/>
    </row>
    <row r="65" spans="2:66">
      <c r="B65" s="1441"/>
      <c r="C65" s="1252"/>
      <c r="D65" s="9"/>
      <c r="E65" s="9"/>
      <c r="F65" s="9"/>
      <c r="G65" s="1308" t="s">
        <v>169</v>
      </c>
      <c r="H65" s="1502"/>
      <c r="I65" s="1503"/>
      <c r="J65" s="1503"/>
      <c r="K65" s="1503"/>
      <c r="L65" s="1503"/>
      <c r="M65" s="1504"/>
      <c r="N65" s="1296"/>
      <c r="P65" s="1441"/>
      <c r="Q65" s="1252"/>
      <c r="R65" s="9"/>
      <c r="S65" s="9"/>
      <c r="T65" s="1308" t="s">
        <v>169</v>
      </c>
      <c r="U65" s="1502"/>
      <c r="V65" s="1503"/>
      <c r="W65" s="1503"/>
      <c r="X65" s="1503"/>
      <c r="Y65" s="1503"/>
      <c r="Z65" s="1503"/>
      <c r="AA65" s="1503"/>
      <c r="AB65" s="1504"/>
      <c r="AC65" s="1296"/>
      <c r="AF65" s="1252"/>
      <c r="AG65" s="9"/>
      <c r="AH65" s="9"/>
      <c r="AI65" s="1308" t="s">
        <v>170</v>
      </c>
      <c r="AJ65" s="1502"/>
      <c r="AK65" s="1503"/>
      <c r="AL65" s="1503"/>
      <c r="AM65" s="1503"/>
      <c r="AN65" s="1503"/>
      <c r="AO65" s="1504"/>
      <c r="AP65" s="1296"/>
      <c r="AR65" s="1112"/>
      <c r="AS65" s="1344"/>
      <c r="AT65" s="1344"/>
      <c r="AU65" s="1344"/>
      <c r="AV65" s="1345"/>
      <c r="AW65" s="1532"/>
      <c r="AX65" s="1532"/>
      <c r="AY65" s="1532"/>
      <c r="AZ65" s="1532"/>
      <c r="BA65" s="1532"/>
      <c r="BB65" s="1532"/>
      <c r="BC65" s="1344"/>
      <c r="BD65" s="50"/>
      <c r="BE65" s="50"/>
      <c r="BF65" s="50"/>
      <c r="BG65" s="50"/>
      <c r="BH65" s="50"/>
      <c r="BI65" s="50"/>
      <c r="BJ65" s="50"/>
      <c r="BK65" s="50"/>
      <c r="BL65" s="50"/>
      <c r="BM65" s="50"/>
      <c r="BN65" s="50"/>
    </row>
    <row r="66" spans="2:66" ht="5.0999999999999996" customHeight="1">
      <c r="B66" s="1441"/>
      <c r="C66" s="1252"/>
      <c r="D66" s="9"/>
      <c r="E66" s="9"/>
      <c r="F66" s="9"/>
      <c r="G66" s="139"/>
      <c r="H66" s="9"/>
      <c r="I66" s="9"/>
      <c r="J66" s="1309"/>
      <c r="K66" s="9"/>
      <c r="L66" s="1298"/>
      <c r="M66" s="1298"/>
      <c r="N66" s="1296"/>
      <c r="P66" s="1441"/>
      <c r="Q66" s="1252"/>
      <c r="R66" s="9"/>
      <c r="S66" s="9"/>
      <c r="T66" s="9"/>
      <c r="U66" s="9"/>
      <c r="V66" s="9"/>
      <c r="W66" s="9"/>
      <c r="X66" s="9"/>
      <c r="Y66" s="9"/>
      <c r="Z66" s="9"/>
      <c r="AA66" s="1298"/>
      <c r="AB66" s="1298"/>
      <c r="AC66" s="1296"/>
      <c r="AF66" s="1252"/>
      <c r="AG66" s="9"/>
      <c r="AH66" s="9"/>
      <c r="AI66" s="139"/>
      <c r="AJ66" s="1314"/>
      <c r="AK66" s="1314"/>
      <c r="AL66" s="9"/>
      <c r="AM66" s="9"/>
      <c r="AN66" s="11"/>
      <c r="AO66" s="9"/>
      <c r="AP66" s="1296"/>
      <c r="AR66" s="1112"/>
      <c r="AS66" s="1344"/>
      <c r="AT66" s="1344"/>
      <c r="AU66" s="1344"/>
      <c r="AV66" s="1346"/>
      <c r="AW66" s="1344"/>
      <c r="AX66" s="1344"/>
      <c r="AY66" s="1347"/>
      <c r="AZ66" s="1344"/>
      <c r="BA66" s="1344"/>
      <c r="BB66" s="1344"/>
      <c r="BC66" s="1344"/>
      <c r="BD66" s="50"/>
      <c r="BE66" s="50"/>
      <c r="BF66" s="50"/>
      <c r="BG66" s="50"/>
      <c r="BH66" s="50"/>
      <c r="BI66" s="50"/>
      <c r="BJ66" s="50"/>
      <c r="BK66" s="50"/>
      <c r="BL66" s="50"/>
      <c r="BM66" s="50"/>
      <c r="BN66" s="50"/>
    </row>
    <row r="67" spans="2:66">
      <c r="B67" s="1441"/>
      <c r="C67" s="1252"/>
      <c r="D67" s="9"/>
      <c r="E67" s="9"/>
      <c r="F67" s="9"/>
      <c r="G67" s="1308" t="s">
        <v>121</v>
      </c>
      <c r="H67" s="1505"/>
      <c r="I67" s="1506"/>
      <c r="J67" s="1506"/>
      <c r="K67" s="1506"/>
      <c r="L67" s="1506"/>
      <c r="M67" s="1507"/>
      <c r="N67" s="1296"/>
      <c r="P67" s="1441"/>
      <c r="Q67" s="1252"/>
      <c r="R67" s="9"/>
      <c r="S67" s="9"/>
      <c r="T67" s="1308" t="s">
        <v>121</v>
      </c>
      <c r="U67" s="1505"/>
      <c r="V67" s="1506"/>
      <c r="W67" s="1506"/>
      <c r="X67" s="1506"/>
      <c r="Y67" s="1506"/>
      <c r="Z67" s="1506"/>
      <c r="AA67" s="1506"/>
      <c r="AB67" s="1507"/>
      <c r="AC67" s="1296"/>
      <c r="AF67" s="1252"/>
      <c r="AG67" s="9"/>
      <c r="AH67" s="9"/>
      <c r="AI67" s="1308" t="s">
        <v>121</v>
      </c>
      <c r="AJ67" s="1505"/>
      <c r="AK67" s="1506"/>
      <c r="AL67" s="1506"/>
      <c r="AM67" s="1506"/>
      <c r="AN67" s="1506"/>
      <c r="AO67" s="1507"/>
      <c r="AP67" s="1296"/>
      <c r="AR67" s="1112"/>
      <c r="AS67" s="1344"/>
      <c r="AT67" s="1344"/>
      <c r="AU67" s="1344"/>
      <c r="AV67" s="1345"/>
      <c r="AW67" s="1532"/>
      <c r="AX67" s="1532"/>
      <c r="AY67" s="1532"/>
      <c r="AZ67" s="1532"/>
      <c r="BA67" s="1532"/>
      <c r="BB67" s="1532"/>
      <c r="BC67" s="1344"/>
      <c r="BD67" s="50"/>
      <c r="BE67" s="50"/>
      <c r="BF67" s="50"/>
      <c r="BG67" s="50"/>
      <c r="BH67" s="50"/>
      <c r="BI67" s="50"/>
      <c r="BJ67" s="50"/>
      <c r="BK67" s="50"/>
      <c r="BL67" s="50"/>
      <c r="BM67" s="50"/>
      <c r="BN67" s="50"/>
    </row>
    <row r="68" spans="2:66" ht="5.0999999999999996" customHeight="1">
      <c r="B68" s="1441"/>
      <c r="C68" s="1252"/>
      <c r="D68" s="9"/>
      <c r="E68" s="9"/>
      <c r="F68" s="9"/>
      <c r="G68" s="1308"/>
      <c r="H68" s="9"/>
      <c r="I68" s="9"/>
      <c r="J68" s="11"/>
      <c r="K68" s="9"/>
      <c r="L68" s="1298"/>
      <c r="M68" s="1298"/>
      <c r="N68" s="1296"/>
      <c r="P68" s="1441"/>
      <c r="Q68" s="1252"/>
      <c r="R68" s="9"/>
      <c r="S68" s="9"/>
      <c r="T68" s="9"/>
      <c r="U68" s="9"/>
      <c r="V68" s="9"/>
      <c r="W68" s="9"/>
      <c r="X68" s="9"/>
      <c r="Y68" s="9"/>
      <c r="Z68" s="9"/>
      <c r="AA68" s="1298"/>
      <c r="AB68" s="1298"/>
      <c r="AC68" s="1296"/>
      <c r="AF68" s="1252"/>
      <c r="AG68" s="9"/>
      <c r="AH68" s="9"/>
      <c r="AI68" s="1308"/>
      <c r="AJ68" s="1315"/>
      <c r="AK68" s="1315"/>
      <c r="AL68" s="9"/>
      <c r="AM68" s="9"/>
      <c r="AN68" s="11"/>
      <c r="AO68" s="9"/>
      <c r="AP68" s="1296"/>
      <c r="AR68" s="1112"/>
      <c r="AS68" s="1344"/>
      <c r="AT68" s="1344"/>
      <c r="AU68" s="1344"/>
      <c r="AV68" s="1345"/>
      <c r="AW68" s="1344"/>
      <c r="AX68" s="1344"/>
      <c r="AY68" s="1344"/>
      <c r="AZ68" s="1344"/>
      <c r="BA68" s="1344"/>
      <c r="BB68" s="1344"/>
      <c r="BC68" s="1344"/>
      <c r="BD68" s="50"/>
      <c r="BE68" s="50"/>
      <c r="BF68" s="50"/>
      <c r="BG68" s="50"/>
      <c r="BH68" s="50"/>
      <c r="BI68" s="50"/>
      <c r="BJ68" s="50"/>
      <c r="BK68" s="50"/>
      <c r="BL68" s="50"/>
      <c r="BM68" s="50"/>
      <c r="BN68" s="50"/>
    </row>
    <row r="69" spans="2:66">
      <c r="B69" s="1441"/>
      <c r="C69" s="1252"/>
      <c r="D69" s="9"/>
      <c r="E69" s="9"/>
      <c r="F69" s="9"/>
      <c r="G69" s="1308" t="s">
        <v>171</v>
      </c>
      <c r="H69" s="1508"/>
      <c r="I69" s="1509"/>
      <c r="J69" s="1509"/>
      <c r="K69" s="1509"/>
      <c r="L69" s="1509"/>
      <c r="M69" s="1510"/>
      <c r="N69" s="1296"/>
      <c r="P69" s="1441"/>
      <c r="Q69" s="1252"/>
      <c r="R69" s="9"/>
      <c r="S69" s="9"/>
      <c r="T69" s="1308" t="s">
        <v>171</v>
      </c>
      <c r="U69" s="1508"/>
      <c r="V69" s="1509"/>
      <c r="W69" s="1509"/>
      <c r="X69" s="1509"/>
      <c r="Y69" s="1509"/>
      <c r="Z69" s="1509"/>
      <c r="AA69" s="1509"/>
      <c r="AB69" s="1510"/>
      <c r="AC69" s="1296"/>
      <c r="AF69" s="1252"/>
      <c r="AG69" s="9"/>
      <c r="AH69" s="9"/>
      <c r="AI69" s="1308" t="s">
        <v>171</v>
      </c>
      <c r="AJ69" s="1508"/>
      <c r="AK69" s="1509"/>
      <c r="AL69" s="1509"/>
      <c r="AM69" s="1509"/>
      <c r="AN69" s="1509"/>
      <c r="AO69" s="1510"/>
      <c r="AP69" s="1296"/>
      <c r="AR69" s="1112"/>
      <c r="AS69" s="1344"/>
      <c r="AT69" s="1344"/>
      <c r="AU69" s="1344"/>
      <c r="AV69" s="1345"/>
      <c r="AW69" s="1532"/>
      <c r="AX69" s="1532"/>
      <c r="AY69" s="1532"/>
      <c r="AZ69" s="1532"/>
      <c r="BA69" s="1532"/>
      <c r="BB69" s="1532"/>
      <c r="BC69" s="1344"/>
      <c r="BD69" s="50"/>
      <c r="BE69" s="50"/>
      <c r="BF69" s="50"/>
      <c r="BG69" s="50"/>
      <c r="BH69" s="50"/>
      <c r="BI69" s="50"/>
      <c r="BJ69" s="50"/>
      <c r="BK69" s="50"/>
      <c r="BL69" s="50"/>
      <c r="BM69" s="50"/>
      <c r="BN69" s="50"/>
    </row>
    <row r="70" spans="2:66" ht="5.0999999999999996" customHeight="1">
      <c r="B70" s="1441"/>
      <c r="C70" s="1252"/>
      <c r="D70" s="9"/>
      <c r="E70" s="9"/>
      <c r="F70" s="9"/>
      <c r="G70" s="1308"/>
      <c r="H70" s="9"/>
      <c r="I70" s="9"/>
      <c r="J70" s="11"/>
      <c r="K70" s="9"/>
      <c r="L70" s="9"/>
      <c r="M70" s="9"/>
      <c r="N70" s="1296"/>
      <c r="P70" s="1441"/>
      <c r="Q70" s="1252"/>
      <c r="R70" s="9"/>
      <c r="S70" s="9"/>
      <c r="T70" s="9"/>
      <c r="U70" s="9"/>
      <c r="V70" s="9"/>
      <c r="W70" s="9"/>
      <c r="X70" s="9"/>
      <c r="Y70" s="9"/>
      <c r="Z70" s="9"/>
      <c r="AA70" s="9"/>
      <c r="AB70" s="9"/>
      <c r="AC70" s="1296"/>
      <c r="AF70" s="1252"/>
      <c r="AG70" s="9"/>
      <c r="AH70" s="9"/>
      <c r="AI70" s="1308"/>
      <c r="AJ70" s="1315"/>
      <c r="AK70" s="1315"/>
      <c r="AL70" s="9"/>
      <c r="AM70" s="9"/>
      <c r="AN70" s="11"/>
      <c r="AO70" s="9"/>
      <c r="AP70" s="1296"/>
      <c r="AR70" s="1112"/>
      <c r="AS70" s="1344"/>
      <c r="AT70" s="1344"/>
      <c r="AU70" s="1344"/>
      <c r="AV70" s="1345"/>
      <c r="AW70" s="1344"/>
      <c r="AX70" s="1344"/>
      <c r="AY70" s="1344"/>
      <c r="AZ70" s="1344"/>
      <c r="BA70" s="1344"/>
      <c r="BB70" s="1344"/>
      <c r="BC70" s="1344"/>
      <c r="BD70" s="50"/>
      <c r="BE70" s="50"/>
      <c r="BF70" s="50"/>
      <c r="BG70" s="50"/>
      <c r="BH70" s="50"/>
      <c r="BI70" s="50"/>
      <c r="BJ70" s="50"/>
      <c r="BK70" s="50"/>
      <c r="BL70" s="50"/>
      <c r="BM70" s="50"/>
      <c r="BN70" s="50"/>
    </row>
    <row r="71" spans="2:66">
      <c r="B71" s="1441"/>
      <c r="C71" s="1252"/>
      <c r="D71" s="9"/>
      <c r="E71" s="9"/>
      <c r="F71" s="9"/>
      <c r="G71" s="1308" t="s">
        <v>129</v>
      </c>
      <c r="H71" s="1502"/>
      <c r="I71" s="1503"/>
      <c r="J71" s="1503"/>
      <c r="K71" s="1503"/>
      <c r="L71" s="1503"/>
      <c r="M71" s="1504"/>
      <c r="N71" s="1296"/>
      <c r="P71" s="1441"/>
      <c r="Q71" s="1252"/>
      <c r="R71" s="9"/>
      <c r="S71" s="9"/>
      <c r="T71" s="1308" t="s">
        <v>129</v>
      </c>
      <c r="U71" s="1502"/>
      <c r="V71" s="1503"/>
      <c r="W71" s="1503"/>
      <c r="X71" s="1503"/>
      <c r="Y71" s="1503"/>
      <c r="Z71" s="1503"/>
      <c r="AA71" s="1503"/>
      <c r="AB71" s="1504"/>
      <c r="AC71" s="1296"/>
      <c r="AF71" s="1252"/>
      <c r="AG71" s="9"/>
      <c r="AH71" s="9"/>
      <c r="AI71" s="1308" t="s">
        <v>129</v>
      </c>
      <c r="AJ71" s="1502"/>
      <c r="AK71" s="1503"/>
      <c r="AL71" s="1503"/>
      <c r="AM71" s="1503"/>
      <c r="AN71" s="1503"/>
      <c r="AO71" s="1504"/>
      <c r="AP71" s="1296"/>
      <c r="AR71" s="1112"/>
      <c r="AS71" s="1344"/>
      <c r="AT71" s="1344"/>
      <c r="AU71" s="1344"/>
      <c r="AV71" s="1345"/>
      <c r="AW71" s="1532"/>
      <c r="AX71" s="1532"/>
      <c r="AY71" s="1532"/>
      <c r="AZ71" s="1532"/>
      <c r="BA71" s="1532"/>
      <c r="BB71" s="1532"/>
      <c r="BC71" s="1344"/>
      <c r="BD71" s="1351"/>
      <c r="BE71" s="1351"/>
      <c r="BF71" s="1351"/>
      <c r="BG71" s="1351"/>
      <c r="BH71" s="1351"/>
      <c r="BI71" s="1351"/>
      <c r="BJ71" s="1351"/>
      <c r="BK71" s="1351"/>
      <c r="BL71" s="1351"/>
      <c r="BM71" s="1351"/>
      <c r="BN71" s="50"/>
    </row>
    <row r="72" spans="2:66" ht="5.0999999999999996" customHeight="1">
      <c r="B72" s="1441"/>
      <c r="C72" s="1252"/>
      <c r="D72" s="9"/>
      <c r="E72" s="9"/>
      <c r="F72" s="9"/>
      <c r="G72" s="1308"/>
      <c r="H72" s="9"/>
      <c r="I72" s="9"/>
      <c r="J72" s="11"/>
      <c r="K72" s="9"/>
      <c r="L72" s="9"/>
      <c r="M72" s="9"/>
      <c r="N72" s="1296"/>
      <c r="P72" s="1441"/>
      <c r="Q72" s="1252"/>
      <c r="R72" s="9"/>
      <c r="S72" s="9"/>
      <c r="T72" s="11"/>
      <c r="U72" s="11"/>
      <c r="V72" s="11"/>
      <c r="W72" s="11"/>
      <c r="X72" s="11"/>
      <c r="Y72" s="11"/>
      <c r="Z72" s="9"/>
      <c r="AA72" s="9"/>
      <c r="AB72" s="9"/>
      <c r="AC72" s="1296"/>
      <c r="AF72" s="1252"/>
      <c r="AG72" s="9"/>
      <c r="AH72" s="9"/>
      <c r="AI72" s="1308"/>
      <c r="AJ72" s="1315"/>
      <c r="AK72" s="1315"/>
      <c r="AL72" s="9"/>
      <c r="AM72" s="9"/>
      <c r="AN72" s="11"/>
      <c r="AO72" s="9"/>
      <c r="AP72" s="1296"/>
      <c r="AR72" s="1112"/>
      <c r="AS72" s="1344"/>
      <c r="AT72" s="1344"/>
      <c r="AU72" s="1344"/>
      <c r="AV72" s="1345"/>
      <c r="AW72" s="1344"/>
      <c r="AX72" s="1344"/>
      <c r="AY72" s="1344"/>
      <c r="AZ72" s="1344"/>
      <c r="BA72" s="1344"/>
      <c r="BB72" s="1344"/>
      <c r="BC72" s="1344"/>
      <c r="BD72" s="1351"/>
      <c r="BE72" s="1351"/>
      <c r="BF72" s="1351"/>
      <c r="BG72" s="1351"/>
      <c r="BH72" s="1351"/>
      <c r="BI72" s="1351"/>
      <c r="BJ72" s="1351"/>
      <c r="BK72" s="1351"/>
      <c r="BL72" s="1351"/>
      <c r="BM72" s="1351"/>
      <c r="BN72" s="50"/>
    </row>
    <row r="73" spans="2:66">
      <c r="B73" s="1441"/>
      <c r="C73" s="1252"/>
      <c r="D73" s="9"/>
      <c r="E73" s="9"/>
      <c r="F73" s="9"/>
      <c r="G73" s="1308" t="s">
        <v>131</v>
      </c>
      <c r="H73" s="1502"/>
      <c r="I73" s="1503"/>
      <c r="J73" s="1503"/>
      <c r="K73" s="1503"/>
      <c r="L73" s="1503"/>
      <c r="M73" s="1504"/>
      <c r="N73" s="1296"/>
      <c r="P73" s="1441"/>
      <c r="Q73" s="1252"/>
      <c r="R73" s="9"/>
      <c r="S73" s="9"/>
      <c r="T73" s="1308" t="s">
        <v>131</v>
      </c>
      <c r="U73" s="1502"/>
      <c r="V73" s="1503"/>
      <c r="W73" s="1503"/>
      <c r="X73" s="1503"/>
      <c r="Y73" s="1503"/>
      <c r="Z73" s="1503"/>
      <c r="AA73" s="1503"/>
      <c r="AB73" s="1504"/>
      <c r="AC73" s="1296"/>
      <c r="AF73" s="1252"/>
      <c r="AG73" s="9"/>
      <c r="AH73" s="9"/>
      <c r="AI73" s="1308" t="s">
        <v>131</v>
      </c>
      <c r="AJ73" s="1502"/>
      <c r="AK73" s="1503"/>
      <c r="AL73" s="1503"/>
      <c r="AM73" s="1503"/>
      <c r="AN73" s="1503"/>
      <c r="AO73" s="1504"/>
      <c r="AP73" s="1296"/>
      <c r="AR73" s="1112"/>
      <c r="AS73" s="1344"/>
      <c r="AT73" s="1344"/>
      <c r="AU73" s="1344"/>
      <c r="AV73" s="1345"/>
      <c r="AW73" s="1532"/>
      <c r="AX73" s="1532"/>
      <c r="AY73" s="1532"/>
      <c r="AZ73" s="1532"/>
      <c r="BA73" s="1532"/>
      <c r="BB73" s="1532"/>
      <c r="BC73" s="1344"/>
      <c r="BD73" s="1351"/>
      <c r="BE73" s="1351"/>
      <c r="BF73" s="1351"/>
      <c r="BG73" s="1351"/>
      <c r="BH73" s="1351"/>
      <c r="BI73" s="1351"/>
      <c r="BJ73" s="1351"/>
      <c r="BK73" s="1351"/>
      <c r="BL73" s="1351"/>
      <c r="BM73" s="1351"/>
      <c r="BN73" s="50"/>
    </row>
    <row r="74" spans="2:66" ht="5.0999999999999996" customHeight="1">
      <c r="B74" s="1441"/>
      <c r="C74" s="1252"/>
      <c r="D74" s="9"/>
      <c r="E74" s="9"/>
      <c r="F74" s="9"/>
      <c r="G74" s="1308"/>
      <c r="H74" s="9"/>
      <c r="I74" s="9"/>
      <c r="J74" s="11"/>
      <c r="K74" s="9"/>
      <c r="L74" s="9"/>
      <c r="M74" s="9"/>
      <c r="N74" s="1296"/>
      <c r="P74" s="1441"/>
      <c r="Q74" s="1252"/>
      <c r="R74" s="9"/>
      <c r="S74" s="9"/>
      <c r="T74" s="1308"/>
      <c r="U74" s="9"/>
      <c r="V74" s="9"/>
      <c r="W74" s="9"/>
      <c r="X74" s="9"/>
      <c r="Y74" s="9"/>
      <c r="Z74" s="9"/>
      <c r="AA74" s="9"/>
      <c r="AB74" s="9"/>
      <c r="AC74" s="1296"/>
      <c r="AF74" s="1252"/>
      <c r="AG74" s="9"/>
      <c r="AH74" s="9"/>
      <c r="AI74" s="1308"/>
      <c r="AJ74" s="620"/>
      <c r="AK74" s="620"/>
      <c r="AL74" s="9"/>
      <c r="AM74" s="9"/>
      <c r="AN74" s="11"/>
      <c r="AO74" s="11"/>
      <c r="AP74" s="1296"/>
      <c r="AR74" s="1112"/>
      <c r="AS74" s="1344"/>
      <c r="AT74" s="1344"/>
      <c r="AU74" s="1344"/>
      <c r="AV74" s="1345"/>
      <c r="AW74" s="1344"/>
      <c r="AX74" s="1344"/>
      <c r="AY74" s="1344"/>
      <c r="AZ74" s="1344"/>
      <c r="BA74" s="1344"/>
      <c r="BB74" s="1344"/>
      <c r="BC74" s="1344"/>
      <c r="BD74" s="1351"/>
      <c r="BE74" s="1351"/>
      <c r="BF74" s="1351"/>
      <c r="BG74" s="1351"/>
      <c r="BH74" s="1351"/>
      <c r="BI74" s="1351"/>
      <c r="BJ74" s="1351"/>
      <c r="BK74" s="1351"/>
      <c r="BL74" s="1351"/>
      <c r="BM74" s="1351"/>
      <c r="BN74" s="50"/>
    </row>
    <row r="75" spans="2:66">
      <c r="B75" s="1441"/>
      <c r="C75" s="1252"/>
      <c r="D75" s="9"/>
      <c r="E75" s="9"/>
      <c r="F75" s="9"/>
      <c r="G75" s="1308" t="s">
        <v>134</v>
      </c>
      <c r="H75" s="1008"/>
      <c r="I75" s="9"/>
      <c r="J75" s="9"/>
      <c r="K75" s="1310" t="s">
        <v>137</v>
      </c>
      <c r="L75" s="1500"/>
      <c r="M75" s="1501"/>
      <c r="N75" s="1296"/>
      <c r="P75" s="1441"/>
      <c r="Q75" s="1252"/>
      <c r="R75" s="9"/>
      <c r="S75" s="9"/>
      <c r="T75" s="1308" t="s">
        <v>134</v>
      </c>
      <c r="U75" s="349"/>
      <c r="V75" s="9"/>
      <c r="W75" s="349"/>
      <c r="X75" s="1312"/>
      <c r="Y75" s="9"/>
      <c r="Z75" s="1310" t="s">
        <v>137</v>
      </c>
      <c r="AA75" s="1500"/>
      <c r="AB75" s="1501"/>
      <c r="AC75" s="1296"/>
      <c r="AF75" s="1252"/>
      <c r="AG75" s="9"/>
      <c r="AH75" s="9"/>
      <c r="AI75" s="1308" t="s">
        <v>134</v>
      </c>
      <c r="AJ75" s="349"/>
      <c r="AK75" s="9"/>
      <c r="AL75" s="9"/>
      <c r="AM75" s="1310" t="s">
        <v>137</v>
      </c>
      <c r="AN75" s="1500"/>
      <c r="AO75" s="1501"/>
      <c r="AP75" s="1296"/>
      <c r="AR75" s="1112"/>
      <c r="AS75" s="1344"/>
      <c r="AT75" s="1344"/>
      <c r="AU75" s="1344"/>
      <c r="AV75" s="1345"/>
      <c r="AW75" s="1348"/>
      <c r="AX75" s="1344"/>
      <c r="AY75" s="1344"/>
      <c r="AZ75" s="1349"/>
      <c r="BA75" s="1529"/>
      <c r="BB75" s="1529"/>
      <c r="BC75" s="1344"/>
      <c r="BD75" s="1351"/>
      <c r="BE75" s="1351"/>
      <c r="BF75" s="1351"/>
      <c r="BG75" s="1351"/>
      <c r="BH75" s="1351"/>
      <c r="BI75" s="1351"/>
      <c r="BJ75" s="1351"/>
      <c r="BK75" s="1351"/>
      <c r="BL75" s="1351"/>
      <c r="BM75" s="1351"/>
      <c r="BN75" s="50"/>
    </row>
    <row r="76" spans="2:66" ht="5.0999999999999996" customHeight="1">
      <c r="B76" s="1441"/>
      <c r="C76" s="1253"/>
      <c r="D76" s="1254"/>
      <c r="E76" s="1254"/>
      <c r="F76" s="1254"/>
      <c r="G76" s="1254"/>
      <c r="H76" s="1254"/>
      <c r="I76" s="1254"/>
      <c r="J76" s="1254"/>
      <c r="K76" s="1254"/>
      <c r="L76" s="1254"/>
      <c r="M76" s="1254"/>
      <c r="N76" s="1297"/>
      <c r="P76" s="1441"/>
      <c r="Q76" s="1253"/>
      <c r="R76" s="1254"/>
      <c r="S76" s="1254"/>
      <c r="T76" s="1254"/>
      <c r="U76" s="1254"/>
      <c r="V76" s="1254"/>
      <c r="W76" s="1254"/>
      <c r="X76" s="1254"/>
      <c r="Y76" s="1254"/>
      <c r="Z76" s="1254"/>
      <c r="AA76" s="1254"/>
      <c r="AB76" s="1254"/>
      <c r="AC76" s="1297"/>
      <c r="AF76" s="1253"/>
      <c r="AG76" s="1254"/>
      <c r="AH76" s="1254"/>
      <c r="AI76" s="1254"/>
      <c r="AJ76" s="1254"/>
      <c r="AK76" s="1254"/>
      <c r="AL76" s="1254"/>
      <c r="AM76" s="1254"/>
      <c r="AN76" s="1254"/>
      <c r="AO76" s="1305"/>
      <c r="AP76" s="1297"/>
      <c r="AR76" s="1112"/>
      <c r="AS76" s="1344"/>
      <c r="AT76" s="1344"/>
      <c r="AU76" s="1344"/>
      <c r="AV76" s="1344"/>
      <c r="AW76" s="1344"/>
      <c r="AX76" s="1344"/>
      <c r="AY76" s="1344"/>
      <c r="AZ76" s="1344"/>
      <c r="BA76" s="1344"/>
      <c r="BB76" s="1344"/>
      <c r="BC76" s="1344"/>
      <c r="BD76" s="1351"/>
      <c r="BE76" s="1351"/>
      <c r="BF76" s="1351"/>
      <c r="BG76" s="1351"/>
      <c r="BH76" s="1351"/>
      <c r="BI76" s="1351"/>
      <c r="BJ76" s="1351"/>
      <c r="BK76" s="1351"/>
      <c r="BL76" s="1351"/>
      <c r="BM76" s="1351"/>
      <c r="BN76" s="50"/>
    </row>
    <row r="77" spans="2:66">
      <c r="B77" s="1441"/>
      <c r="P77" s="1441"/>
      <c r="AR77" s="1278"/>
      <c r="AS77" s="1344"/>
      <c r="AT77" s="1344"/>
      <c r="AU77" s="1344"/>
      <c r="AV77" s="1344"/>
      <c r="AW77" s="1344"/>
      <c r="AX77" s="1344"/>
      <c r="AY77" s="1344"/>
      <c r="AZ77" s="1344"/>
      <c r="BA77" s="1344"/>
      <c r="BB77" s="1344"/>
      <c r="BC77" s="1344"/>
      <c r="BD77" s="1351"/>
      <c r="BE77" s="1351"/>
      <c r="BF77" s="1351"/>
      <c r="BG77" s="1351"/>
      <c r="BH77" s="1351"/>
      <c r="BI77" s="1351"/>
      <c r="BJ77" s="1351"/>
      <c r="BK77" s="1351"/>
      <c r="BL77" s="1351"/>
      <c r="BM77" s="1351"/>
      <c r="BN77" s="50"/>
    </row>
    <row r="78" spans="2:66" ht="5.0999999999999996" customHeight="1">
      <c r="B78" s="1441"/>
      <c r="C78" s="984"/>
      <c r="D78" s="985"/>
      <c r="E78" s="985"/>
      <c r="F78" s="985"/>
      <c r="G78" s="985"/>
      <c r="H78" s="985"/>
      <c r="I78" s="985"/>
      <c r="J78" s="985"/>
      <c r="K78" s="985"/>
      <c r="L78" s="985"/>
      <c r="M78" s="985"/>
      <c r="N78" s="986"/>
      <c r="P78" s="1441"/>
      <c r="Q78" s="984"/>
      <c r="R78" s="985"/>
      <c r="S78" s="985"/>
      <c r="T78" s="985"/>
      <c r="U78" s="985"/>
      <c r="V78" s="985"/>
      <c r="W78" s="985"/>
      <c r="X78" s="985"/>
      <c r="Y78" s="985"/>
      <c r="Z78" s="985"/>
      <c r="AA78" s="985"/>
      <c r="AB78" s="985"/>
      <c r="AC78" s="986"/>
      <c r="AR78" s="347"/>
      <c r="AS78" s="50"/>
      <c r="AT78" s="50"/>
      <c r="AU78" s="50"/>
      <c r="AV78" s="50"/>
      <c r="AW78" s="50"/>
      <c r="AX78" s="50"/>
      <c r="AY78" s="50"/>
      <c r="AZ78" s="50"/>
      <c r="BA78" s="50"/>
      <c r="BB78" s="50"/>
      <c r="BC78" s="50"/>
      <c r="BD78" s="1351"/>
      <c r="BE78" s="1351"/>
      <c r="BF78" s="1351"/>
      <c r="BG78" s="1351"/>
      <c r="BH78" s="1351"/>
      <c r="BI78" s="1351"/>
      <c r="BJ78" s="1351"/>
      <c r="BK78" s="1351"/>
      <c r="BL78" s="1351"/>
      <c r="BM78" s="1351"/>
      <c r="BN78" s="50"/>
    </row>
    <row r="79" spans="2:66" ht="19.7">
      <c r="B79" s="1441"/>
      <c r="C79" s="989"/>
      <c r="D79" s="1511" t="s">
        <v>172</v>
      </c>
      <c r="E79" s="1511"/>
      <c r="F79" s="1511"/>
      <c r="G79" s="1511"/>
      <c r="H79" s="1511"/>
      <c r="I79" s="1511"/>
      <c r="J79" s="1511"/>
      <c r="K79" s="1511"/>
      <c r="L79" s="1511"/>
      <c r="M79" s="1511"/>
      <c r="N79" s="995"/>
      <c r="O79" s="10"/>
      <c r="P79" s="1441"/>
      <c r="Q79" s="987"/>
      <c r="R79" s="1511" t="s">
        <v>173</v>
      </c>
      <c r="S79" s="1511"/>
      <c r="T79" s="1511"/>
      <c r="U79" s="1511"/>
      <c r="V79" s="1511"/>
      <c r="W79" s="1511"/>
      <c r="X79" s="1511"/>
      <c r="Y79" s="1511"/>
      <c r="Z79" s="1511"/>
      <c r="AA79" s="1511"/>
      <c r="AB79" s="1511"/>
      <c r="AC79" s="988"/>
      <c r="AR79" s="347"/>
      <c r="AS79" s="50"/>
      <c r="AT79" s="50"/>
      <c r="AU79" s="50"/>
      <c r="AV79" s="50"/>
      <c r="AW79" s="50"/>
      <c r="AX79" s="50"/>
      <c r="AY79" s="50"/>
      <c r="AZ79" s="50"/>
      <c r="BA79" s="50"/>
      <c r="BB79" s="50"/>
      <c r="BC79" s="50"/>
      <c r="BD79" s="1351"/>
      <c r="BE79" s="1351">
        <v>1</v>
      </c>
      <c r="BF79" s="1351">
        <v>2</v>
      </c>
      <c r="BG79" s="1351">
        <v>3</v>
      </c>
      <c r="BH79" s="1351"/>
      <c r="BI79" s="1352" t="s">
        <v>174</v>
      </c>
      <c r="BJ79" s="1352" t="s">
        <v>175</v>
      </c>
      <c r="BK79" s="1352" t="s">
        <v>176</v>
      </c>
      <c r="BL79" s="1352" t="s">
        <v>168</v>
      </c>
      <c r="BM79" s="1352" t="s">
        <v>177</v>
      </c>
      <c r="BN79" s="50"/>
    </row>
    <row r="80" spans="2:66" ht="5.0999999999999996" customHeight="1">
      <c r="B80" s="1441"/>
      <c r="C80" s="989"/>
      <c r="D80" s="402"/>
      <c r="E80" s="402"/>
      <c r="F80" s="402"/>
      <c r="G80" s="402"/>
      <c r="H80" s="402"/>
      <c r="I80" s="402"/>
      <c r="J80" s="402"/>
      <c r="K80" s="402"/>
      <c r="L80" s="402"/>
      <c r="M80" s="402"/>
      <c r="N80" s="988"/>
      <c r="P80" s="1441"/>
      <c r="Q80" s="989"/>
      <c r="R80" s="402"/>
      <c r="S80" s="402"/>
      <c r="T80" s="402"/>
      <c r="U80" s="402"/>
      <c r="V80" s="402"/>
      <c r="W80" s="402"/>
      <c r="X80" s="402"/>
      <c r="Y80" s="402"/>
      <c r="Z80" s="402"/>
      <c r="AA80" s="402"/>
      <c r="AB80" s="402"/>
      <c r="AC80" s="988"/>
      <c r="AR80" s="347"/>
      <c r="AS80" s="50"/>
      <c r="AT80" s="50"/>
      <c r="AU80" s="50"/>
      <c r="AV80" s="50"/>
      <c r="AW80" s="50"/>
      <c r="AX80" s="50"/>
      <c r="AY80" s="50"/>
      <c r="AZ80" s="50"/>
      <c r="BA80" s="50"/>
      <c r="BB80" s="50"/>
      <c r="BC80" s="50"/>
      <c r="BD80" s="1351"/>
      <c r="BE80" s="1351"/>
      <c r="BF80" s="1351"/>
      <c r="BG80" s="1351"/>
      <c r="BH80" s="1351"/>
      <c r="BI80" s="1351"/>
      <c r="BJ80" s="1351"/>
      <c r="BK80" s="1351"/>
      <c r="BL80" s="1351"/>
      <c r="BM80" s="1351"/>
      <c r="BN80" s="50"/>
    </row>
    <row r="81" spans="2:66">
      <c r="B81" s="1441"/>
      <c r="C81" s="989"/>
      <c r="D81" s="402"/>
      <c r="E81" s="402"/>
      <c r="F81" s="402"/>
      <c r="G81" s="979" t="s">
        <v>114</v>
      </c>
      <c r="H81" s="1497" t="str">
        <f>IF(AND(O59=3,AD59=2),"",IF(O59=0,"",IF(O59=1,AK22,IF(O59=3,U81,IF(O59=4,_Project_8_Vendor,H63)))))</f>
        <v/>
      </c>
      <c r="I81" s="1497"/>
      <c r="J81" s="1497"/>
      <c r="K81" s="1497"/>
      <c r="L81" s="1497"/>
      <c r="M81" s="1498"/>
      <c r="N81" s="988"/>
      <c r="P81" s="1441"/>
      <c r="Q81" s="989"/>
      <c r="R81" s="402"/>
      <c r="S81" s="402"/>
      <c r="T81" s="990" t="s">
        <v>178</v>
      </c>
      <c r="U81" s="1497" t="str">
        <f>IF(AND(O59=3,AD59=2),"",IF(AD$59=0,"",IF(AD$59=3,U63,IF(AD$59=1,AK22,H81))))</f>
        <v/>
      </c>
      <c r="V81" s="1497"/>
      <c r="W81" s="1497"/>
      <c r="X81" s="1497"/>
      <c r="Y81" s="1497"/>
      <c r="Z81" s="1497"/>
      <c r="AA81" s="1497"/>
      <c r="AB81" s="1498"/>
      <c r="AC81" s="988"/>
      <c r="AR81" s="347"/>
      <c r="AS81" s="50"/>
      <c r="AT81" s="50"/>
      <c r="AU81" s="50"/>
      <c r="AV81" s="50"/>
      <c r="AW81" s="50"/>
      <c r="AX81" s="50"/>
      <c r="AY81" s="50"/>
      <c r="AZ81" s="1343"/>
      <c r="BA81" s="1343"/>
      <c r="BB81" s="1343"/>
      <c r="BC81" s="1343"/>
      <c r="BD81" s="1353"/>
      <c r="BE81" s="1351"/>
      <c r="BF81" s="1354">
        <f>AV63</f>
        <v>0</v>
      </c>
      <c r="BG81" s="1351"/>
      <c r="BH81" s="1355" t="s">
        <v>179</v>
      </c>
      <c r="BI81" s="1356">
        <f>AK22</f>
        <v>0</v>
      </c>
      <c r="BJ81" s="1351" t="str">
        <f>H81</f>
        <v/>
      </c>
      <c r="BK81" s="1351" t="str">
        <f>U81</f>
        <v/>
      </c>
      <c r="BL81" s="1351">
        <f>_Project_8_Vendor</f>
        <v>0</v>
      </c>
      <c r="BM81" s="1351" t="s">
        <v>180</v>
      </c>
    </row>
    <row r="82" spans="2:66" ht="5.0999999999999996" customHeight="1">
      <c r="B82" s="1441"/>
      <c r="C82" s="989"/>
      <c r="D82" s="402"/>
      <c r="E82" s="402"/>
      <c r="F82" s="402"/>
      <c r="G82" s="979"/>
      <c r="H82" s="980"/>
      <c r="I82" s="980"/>
      <c r="J82" s="980"/>
      <c r="K82" s="980"/>
      <c r="L82" s="980"/>
      <c r="M82" s="980"/>
      <c r="N82" s="988"/>
      <c r="P82" s="1441"/>
      <c r="Q82" s="989"/>
      <c r="R82" s="402"/>
      <c r="S82" s="402"/>
      <c r="T82" s="404"/>
      <c r="U82" s="980"/>
      <c r="V82" s="980"/>
      <c r="W82" s="980"/>
      <c r="X82" s="980"/>
      <c r="Y82" s="980"/>
      <c r="Z82" s="980"/>
      <c r="AA82" s="980"/>
      <c r="AB82" s="980"/>
      <c r="AC82" s="988"/>
      <c r="AR82" s="347"/>
      <c r="AS82" s="50"/>
      <c r="AT82" s="50"/>
      <c r="AU82" s="50"/>
      <c r="AV82" s="50"/>
      <c r="AW82" s="50"/>
      <c r="AX82" s="50"/>
      <c r="AY82" s="50"/>
      <c r="AZ82" s="1343"/>
      <c r="BA82" s="1343"/>
      <c r="BB82" s="1343"/>
      <c r="BC82" s="1343"/>
      <c r="BD82" s="1353"/>
      <c r="BE82" s="1351"/>
      <c r="BF82" s="1357"/>
      <c r="BG82" s="1351"/>
      <c r="BH82" s="1355"/>
      <c r="BI82" s="1351"/>
      <c r="BJ82" s="1351"/>
      <c r="BK82" s="1351"/>
      <c r="BL82" s="1351"/>
      <c r="BM82" s="1351"/>
      <c r="BN82" s="50"/>
    </row>
    <row r="83" spans="2:66">
      <c r="B83" s="1441"/>
      <c r="C83" s="989"/>
      <c r="D83" s="402"/>
      <c r="E83" s="402"/>
      <c r="F83" s="402"/>
      <c r="G83" s="979" t="s">
        <v>170</v>
      </c>
      <c r="H83" s="1497" t="str">
        <f>IF(AND(O59=3,AD59=2),"",IF(O59=0,"",IF(O59=1,AK24,IF(O59=3,U83,IF(O59=4,AJ65,H65)))))</f>
        <v/>
      </c>
      <c r="I83" s="1497"/>
      <c r="J83" s="1497"/>
      <c r="K83" s="1497"/>
      <c r="L83" s="1497"/>
      <c r="M83" s="1498"/>
      <c r="N83" s="988"/>
      <c r="P83" s="1441"/>
      <c r="Q83" s="989"/>
      <c r="R83" s="402"/>
      <c r="S83" s="402"/>
      <c r="T83" s="990" t="s">
        <v>170</v>
      </c>
      <c r="U83" s="1497" t="str">
        <f>IF(AND(O$59=3,AD$59=2),"",IF(AD$59=0,"",IF(AD$59=3,U65,IF(AD$59=1,AK24,H83))))</f>
        <v/>
      </c>
      <c r="V83" s="1497"/>
      <c r="W83" s="1497"/>
      <c r="X83" s="1497"/>
      <c r="Y83" s="1497"/>
      <c r="Z83" s="1497"/>
      <c r="AA83" s="1497"/>
      <c r="AB83" s="1498"/>
      <c r="AC83" s="988"/>
      <c r="AR83" s="347"/>
      <c r="AS83" s="50"/>
      <c r="AT83" s="50"/>
      <c r="AU83" s="50"/>
      <c r="AV83" s="50"/>
      <c r="AW83" s="50"/>
      <c r="AX83" s="50"/>
      <c r="AY83" s="50"/>
      <c r="AZ83" s="1343"/>
      <c r="BA83" s="1343"/>
      <c r="BB83" s="1343"/>
      <c r="BC83" s="1343"/>
      <c r="BD83" s="1353"/>
      <c r="BE83" s="1351"/>
      <c r="BF83" s="1354">
        <f>AV65</f>
        <v>0</v>
      </c>
      <c r="BG83" s="1351"/>
      <c r="BH83" s="1355" t="s">
        <v>181</v>
      </c>
      <c r="BI83" s="1356">
        <f>AK24</f>
        <v>0</v>
      </c>
      <c r="BJ83" s="1351" t="str">
        <f>H83</f>
        <v/>
      </c>
      <c r="BK83" s="1351" t="str">
        <f>U83</f>
        <v/>
      </c>
      <c r="BL83" s="1351">
        <f>AJ65</f>
        <v>0</v>
      </c>
      <c r="BM83" s="1351" t="s">
        <v>182</v>
      </c>
    </row>
    <row r="84" spans="2:66" ht="5.0999999999999996" customHeight="1">
      <c r="B84" s="1441"/>
      <c r="C84" s="989"/>
      <c r="D84" s="402"/>
      <c r="E84" s="402"/>
      <c r="F84" s="402"/>
      <c r="G84" s="979"/>
      <c r="H84" s="980"/>
      <c r="I84" s="980"/>
      <c r="J84" s="981"/>
      <c r="K84" s="980"/>
      <c r="L84" s="980"/>
      <c r="M84" s="980"/>
      <c r="N84" s="988"/>
      <c r="P84" s="1441"/>
      <c r="Q84" s="989"/>
      <c r="R84" s="402"/>
      <c r="S84" s="402"/>
      <c r="T84" s="402"/>
      <c r="U84" s="980"/>
      <c r="V84" s="980"/>
      <c r="W84" s="980"/>
      <c r="X84" s="980"/>
      <c r="Y84" s="980"/>
      <c r="Z84" s="980"/>
      <c r="AA84" s="980"/>
      <c r="AB84" s="980"/>
      <c r="AC84" s="988"/>
      <c r="AR84" s="347"/>
      <c r="AS84" s="50"/>
      <c r="AT84" s="50"/>
      <c r="AU84" s="50"/>
      <c r="AV84" s="50"/>
      <c r="AW84" s="50"/>
      <c r="AX84" s="50"/>
      <c r="AY84" s="50"/>
      <c r="AZ84" s="1343"/>
      <c r="BA84" s="1343"/>
      <c r="BB84" s="1343"/>
      <c r="BC84" s="1343"/>
      <c r="BD84" s="1353"/>
      <c r="BE84" s="1351"/>
      <c r="BF84" s="1357"/>
      <c r="BG84" s="1351"/>
      <c r="BH84" s="1355"/>
      <c r="BI84" s="1351"/>
      <c r="BJ84" s="1351"/>
      <c r="BK84" s="1351"/>
      <c r="BL84" s="1351"/>
      <c r="BM84" s="1351"/>
      <c r="BN84" s="50"/>
    </row>
    <row r="85" spans="2:66">
      <c r="B85" s="1441"/>
      <c r="C85" s="989"/>
      <c r="D85" s="402"/>
      <c r="E85" s="402"/>
      <c r="F85" s="402"/>
      <c r="G85" s="979" t="s">
        <v>121</v>
      </c>
      <c r="H85" s="1497" t="str">
        <f>IF(AND(O$59=3,AD$59=2),"",IF(O59=0,"",IF(O59=1,AK26,IF(O59=3,U85,IF(O59=4,AJ67,H67)))))</f>
        <v/>
      </c>
      <c r="I85" s="1497"/>
      <c r="J85" s="1497"/>
      <c r="K85" s="1497"/>
      <c r="L85" s="1497"/>
      <c r="M85" s="1498"/>
      <c r="N85" s="988"/>
      <c r="P85" s="1441"/>
      <c r="Q85" s="989"/>
      <c r="R85" s="402"/>
      <c r="S85" s="402"/>
      <c r="T85" s="990" t="s">
        <v>121</v>
      </c>
      <c r="U85" s="1497" t="str">
        <f>IF(AND(O$59=3,AD$59=2),"",IF(AD$59=0,"",IF(AD$59=3,U67,IF(AD$59=1,AK26,H85))))</f>
        <v/>
      </c>
      <c r="V85" s="1497"/>
      <c r="W85" s="1497"/>
      <c r="X85" s="1497"/>
      <c r="Y85" s="1497"/>
      <c r="Z85" s="1497"/>
      <c r="AA85" s="1497"/>
      <c r="AB85" s="1498"/>
      <c r="AC85" s="988"/>
      <c r="AR85" s="347"/>
      <c r="AS85" s="50"/>
      <c r="AT85" s="50"/>
      <c r="AU85" s="50"/>
      <c r="AV85" s="50"/>
      <c r="AW85" s="50"/>
      <c r="AX85" s="50"/>
      <c r="AY85" s="50"/>
      <c r="AZ85" s="1343"/>
      <c r="BA85" s="1343"/>
      <c r="BB85" s="1343"/>
      <c r="BC85" s="1343"/>
      <c r="BD85" s="1353"/>
      <c r="BE85" s="1351"/>
      <c r="BF85" s="1354">
        <f>AV67</f>
        <v>0</v>
      </c>
      <c r="BG85" s="1351"/>
      <c r="BH85" s="1355" t="s">
        <v>121</v>
      </c>
      <c r="BI85" s="1356">
        <f>AK26</f>
        <v>0</v>
      </c>
      <c r="BJ85" s="1351" t="str">
        <f>H85</f>
        <v/>
      </c>
      <c r="BK85" s="1351" t="str">
        <f>U85</f>
        <v/>
      </c>
      <c r="BL85" s="1351">
        <f>AJ67</f>
        <v>0</v>
      </c>
      <c r="BM85" s="1351" t="s">
        <v>183</v>
      </c>
    </row>
    <row r="86" spans="2:66" ht="5.0999999999999996" customHeight="1">
      <c r="B86" s="1441"/>
      <c r="C86" s="989"/>
      <c r="D86" s="402"/>
      <c r="E86" s="402"/>
      <c r="F86" s="402"/>
      <c r="G86" s="979"/>
      <c r="H86" s="980"/>
      <c r="I86" s="980"/>
      <c r="J86" s="980"/>
      <c r="K86" s="980"/>
      <c r="L86" s="980"/>
      <c r="M86" s="980"/>
      <c r="N86" s="988"/>
      <c r="P86" s="1441"/>
      <c r="Q86" s="989"/>
      <c r="R86" s="402"/>
      <c r="S86" s="402"/>
      <c r="T86" s="402"/>
      <c r="U86" s="980"/>
      <c r="V86" s="980"/>
      <c r="W86" s="980"/>
      <c r="X86" s="980"/>
      <c r="Y86" s="980"/>
      <c r="Z86" s="980"/>
      <c r="AA86" s="980"/>
      <c r="AB86" s="980"/>
      <c r="AC86" s="988"/>
      <c r="AR86" s="347"/>
      <c r="AS86" s="50"/>
      <c r="AT86" s="50"/>
      <c r="AU86" s="50"/>
      <c r="AV86" s="50"/>
      <c r="AW86" s="50"/>
      <c r="AX86" s="50"/>
      <c r="AY86" s="50"/>
      <c r="AZ86" s="1343"/>
      <c r="BA86" s="1343"/>
      <c r="BB86" s="1343"/>
      <c r="BC86" s="1343"/>
      <c r="BD86" s="1353"/>
      <c r="BE86" s="1358"/>
      <c r="BF86" s="1357"/>
      <c r="BG86" s="1351"/>
      <c r="BH86" s="1355"/>
      <c r="BI86" s="1351"/>
      <c r="BJ86" s="1351"/>
      <c r="BK86" s="1351"/>
      <c r="BL86" s="1351"/>
      <c r="BM86" s="1351"/>
      <c r="BN86" s="50"/>
    </row>
    <row r="87" spans="2:66">
      <c r="B87" s="1441"/>
      <c r="C87" s="989"/>
      <c r="D87" s="402"/>
      <c r="E87" s="402"/>
      <c r="F87" s="402"/>
      <c r="G87" s="979" t="s">
        <v>171</v>
      </c>
      <c r="H87" s="1499" t="str">
        <f>IF(AND(O$59=3,AD$59=2),"",IF(O59=0,"",IF(O59=1,AK28,IF(O59=3,U87,IF(O59=4,AJ69,H69)))))</f>
        <v/>
      </c>
      <c r="I87" s="1497"/>
      <c r="J87" s="1497"/>
      <c r="K87" s="1497"/>
      <c r="L87" s="1497"/>
      <c r="M87" s="1498"/>
      <c r="N87" s="988"/>
      <c r="P87" s="1441"/>
      <c r="Q87" s="989"/>
      <c r="R87" s="402"/>
      <c r="S87" s="402"/>
      <c r="T87" s="990" t="s">
        <v>171</v>
      </c>
      <c r="U87" s="1499" t="str">
        <f>IF(AND(O$59=3,AD$59=2),"",IF(AD$59=0,"",IF(AD$59=3,U69,IF(AD$59=1,AK28,H87))))</f>
        <v/>
      </c>
      <c r="V87" s="1499"/>
      <c r="W87" s="1499"/>
      <c r="X87" s="1499"/>
      <c r="Y87" s="1499"/>
      <c r="Z87" s="1499"/>
      <c r="AA87" s="1499"/>
      <c r="AB87" s="1522"/>
      <c r="AC87" s="988"/>
      <c r="AR87" s="347"/>
      <c r="AS87" s="50"/>
      <c r="AT87" s="50"/>
      <c r="AU87" s="50"/>
      <c r="AV87" s="50"/>
      <c r="AW87" s="50"/>
      <c r="AX87" s="50"/>
      <c r="AY87" s="50"/>
      <c r="AZ87" s="1343"/>
      <c r="BA87" s="1343"/>
      <c r="BB87" s="1343"/>
      <c r="BC87" s="1343"/>
      <c r="BD87" s="1353"/>
      <c r="BE87" s="1358"/>
      <c r="BF87" s="1354">
        <f>AV69</f>
        <v>0</v>
      </c>
      <c r="BG87" s="1351"/>
      <c r="BH87" s="1355" t="s">
        <v>171</v>
      </c>
      <c r="BI87" s="1356">
        <f>AK28</f>
        <v>0</v>
      </c>
      <c r="BJ87" s="1351" t="str">
        <f>H87</f>
        <v/>
      </c>
      <c r="BK87" s="1351" t="str">
        <f>U87</f>
        <v/>
      </c>
      <c r="BL87" s="1356">
        <f>AJ69</f>
        <v>0</v>
      </c>
      <c r="BM87" s="1351"/>
      <c r="BN87" s="50"/>
    </row>
    <row r="88" spans="2:66" ht="5.0999999999999996" customHeight="1">
      <c r="B88" s="1441"/>
      <c r="C88" s="989"/>
      <c r="D88" s="402"/>
      <c r="E88" s="402"/>
      <c r="F88" s="402"/>
      <c r="G88" s="979"/>
      <c r="H88" s="980"/>
      <c r="I88" s="980"/>
      <c r="J88" s="980"/>
      <c r="K88" s="980"/>
      <c r="L88" s="980"/>
      <c r="M88" s="980"/>
      <c r="N88" s="988"/>
      <c r="P88" s="1441"/>
      <c r="Q88" s="989"/>
      <c r="R88" s="402"/>
      <c r="S88" s="402"/>
      <c r="T88" s="402"/>
      <c r="U88" s="980"/>
      <c r="V88" s="980"/>
      <c r="W88" s="980"/>
      <c r="X88" s="980"/>
      <c r="Y88" s="980"/>
      <c r="Z88" s="980"/>
      <c r="AA88" s="980"/>
      <c r="AB88" s="980"/>
      <c r="AC88" s="988"/>
      <c r="AR88" s="347"/>
      <c r="AS88" s="50"/>
      <c r="AT88" s="50"/>
      <c r="AU88" s="50"/>
      <c r="AV88" s="50"/>
      <c r="AW88" s="50"/>
      <c r="AX88" s="50"/>
      <c r="AY88" s="50"/>
      <c r="AZ88" s="1343"/>
      <c r="BA88" s="1343"/>
      <c r="BB88" s="1343"/>
      <c r="BC88" s="1343"/>
      <c r="BD88" s="1353"/>
      <c r="BE88" s="1358"/>
      <c r="BF88" s="1357"/>
      <c r="BG88" s="1351"/>
      <c r="BH88" s="1355"/>
      <c r="BI88" s="1351"/>
      <c r="BJ88" s="1351"/>
      <c r="BK88" s="1351"/>
      <c r="BL88" s="1351"/>
      <c r="BM88" s="1351"/>
      <c r="BN88" s="50"/>
    </row>
    <row r="89" spans="2:66">
      <c r="B89" s="1441"/>
      <c r="C89" s="989"/>
      <c r="D89" s="402"/>
      <c r="E89" s="402"/>
      <c r="F89" s="402"/>
      <c r="G89" s="979" t="s">
        <v>129</v>
      </c>
      <c r="H89" s="1497" t="str">
        <f>IF(AND(O$59=3,AD$59=2),"",IF(O59=0,"",IF(O59=1,IF(AK32="",V30,AK32),IF(O59=3,U89,IF(O59=4,AJ71,H71)))))</f>
        <v/>
      </c>
      <c r="I89" s="1497"/>
      <c r="J89" s="1497"/>
      <c r="K89" s="1497"/>
      <c r="L89" s="1497"/>
      <c r="M89" s="1498"/>
      <c r="N89" s="988"/>
      <c r="P89" s="1441"/>
      <c r="Q89" s="989"/>
      <c r="R89" s="402"/>
      <c r="S89" s="402"/>
      <c r="T89" s="990" t="s">
        <v>129</v>
      </c>
      <c r="U89" s="1497" t="str">
        <f>IF(AND(O$59=3,AD$59=2),"",IF(AD$59=0,"",IF(AD$59=1,IF(AK32="",V30,AK32),IF(AD$59=2,H89,U71))))</f>
        <v/>
      </c>
      <c r="V89" s="1497"/>
      <c r="W89" s="1497"/>
      <c r="X89" s="1497"/>
      <c r="Y89" s="1497"/>
      <c r="Z89" s="1497"/>
      <c r="AA89" s="1497"/>
      <c r="AB89" s="1498"/>
      <c r="AC89" s="988"/>
      <c r="AR89" s="347"/>
      <c r="AS89" s="50"/>
      <c r="AT89" s="50"/>
      <c r="AU89" s="50"/>
      <c r="AV89" s="50"/>
      <c r="AW89" s="50"/>
      <c r="AX89" s="50"/>
      <c r="AY89" s="50"/>
      <c r="AZ89" s="1343"/>
      <c r="BA89" s="1343"/>
      <c r="BB89" s="1343"/>
      <c r="BC89" s="1343"/>
      <c r="BD89" s="1353"/>
      <c r="BE89" s="1358"/>
      <c r="BF89" s="1354">
        <f>AV71</f>
        <v>0</v>
      </c>
      <c r="BG89" s="1351"/>
      <c r="BH89" s="1355" t="s">
        <v>129</v>
      </c>
      <c r="BI89" s="1356">
        <f>IF(AK32="",V30,AK32)</f>
        <v>0</v>
      </c>
      <c r="BJ89" s="1351" t="str">
        <f>H89</f>
        <v/>
      </c>
      <c r="BK89" s="1351" t="str">
        <f>U89</f>
        <v/>
      </c>
      <c r="BL89" s="1351">
        <f>AJ71</f>
        <v>0</v>
      </c>
      <c r="BM89" s="1351"/>
      <c r="BN89" s="50"/>
    </row>
    <row r="90" spans="2:66" ht="5.0999999999999996" customHeight="1">
      <c r="B90" s="1441"/>
      <c r="C90" s="989"/>
      <c r="D90" s="402"/>
      <c r="E90" s="402"/>
      <c r="F90" s="402"/>
      <c r="G90" s="979"/>
      <c r="H90" s="980"/>
      <c r="I90" s="980"/>
      <c r="J90" s="980"/>
      <c r="K90" s="980"/>
      <c r="L90" s="980"/>
      <c r="M90" s="980"/>
      <c r="N90" s="988"/>
      <c r="P90" s="1441"/>
      <c r="Q90" s="989"/>
      <c r="R90" s="402"/>
      <c r="S90" s="402"/>
      <c r="T90" s="402"/>
      <c r="U90" s="980"/>
      <c r="V90" s="980"/>
      <c r="W90" s="980"/>
      <c r="X90" s="980"/>
      <c r="Y90" s="980"/>
      <c r="Z90" s="980"/>
      <c r="AA90" s="980"/>
      <c r="AB90" s="980"/>
      <c r="AC90" s="988"/>
      <c r="AR90" s="347"/>
      <c r="AS90" s="50"/>
      <c r="AT90" s="50"/>
      <c r="AU90" s="50"/>
      <c r="AV90" s="50"/>
      <c r="AW90" s="50"/>
      <c r="AX90" s="50"/>
      <c r="AY90" s="50"/>
      <c r="AZ90" s="50"/>
      <c r="BA90" s="50"/>
      <c r="BB90" s="50"/>
      <c r="BC90" s="50"/>
      <c r="BD90" s="1351"/>
      <c r="BE90" s="1351"/>
      <c r="BF90" s="1357"/>
      <c r="BG90" s="1351"/>
      <c r="BH90" s="1351"/>
      <c r="BI90" s="1351"/>
      <c r="BJ90" s="1351"/>
      <c r="BK90" s="1351"/>
      <c r="BL90" s="1351"/>
      <c r="BM90" s="1351"/>
      <c r="BN90" s="50"/>
    </row>
    <row r="91" spans="2:66">
      <c r="B91" s="1441"/>
      <c r="C91" s="989"/>
      <c r="D91" s="402"/>
      <c r="E91" s="402"/>
      <c r="F91" s="402"/>
      <c r="G91" s="979" t="s">
        <v>131</v>
      </c>
      <c r="H91" s="1497" t="str">
        <f>IF(AND(O$59=3,AD$59=2),"",IF(O59=0,"",IF(O59=1,IF(AK34="",V34,AK34),IF(O59=3,U91,IF(O59=4,AJ73,H73)))))</f>
        <v/>
      </c>
      <c r="I91" s="1497"/>
      <c r="J91" s="1497"/>
      <c r="K91" s="1497"/>
      <c r="L91" s="1497"/>
      <c r="M91" s="1498"/>
      <c r="N91" s="988"/>
      <c r="P91" s="1441"/>
      <c r="Q91" s="989"/>
      <c r="R91" s="402"/>
      <c r="S91" s="402"/>
      <c r="T91" s="990" t="s">
        <v>131</v>
      </c>
      <c r="U91" s="1497" t="str">
        <f>IF(AND(O$59=3,AD$59=2),"",IF(AD$59=0,"",IF(AD$59=1,IF(AK34="",V34,AK34),IF(AD$59=2,H91,U73))))</f>
        <v/>
      </c>
      <c r="V91" s="1497"/>
      <c r="W91" s="1497"/>
      <c r="X91" s="1497"/>
      <c r="Y91" s="1497"/>
      <c r="Z91" s="1497"/>
      <c r="AA91" s="1497"/>
      <c r="AB91" s="1498"/>
      <c r="AC91" s="988"/>
      <c r="AR91" s="347"/>
      <c r="AS91" s="50"/>
      <c r="AT91" s="50"/>
      <c r="AU91" s="50"/>
      <c r="AV91" s="50"/>
      <c r="AW91" s="50"/>
      <c r="AX91" s="50"/>
      <c r="AY91" s="50"/>
      <c r="AZ91" s="1338"/>
      <c r="BA91" s="1338"/>
      <c r="BB91" s="1338"/>
      <c r="BC91" s="1338"/>
      <c r="BD91" s="1359"/>
      <c r="BE91" s="1359"/>
      <c r="BF91" s="1354">
        <f>AV73</f>
        <v>0</v>
      </c>
      <c r="BG91" s="1351"/>
      <c r="BH91" s="1355" t="s">
        <v>131</v>
      </c>
      <c r="BI91" s="1356">
        <f>IF(AK34="",V34,AK34)</f>
        <v>0</v>
      </c>
      <c r="BJ91" s="1351" t="str">
        <f>H91</f>
        <v/>
      </c>
      <c r="BK91" s="1351" t="str">
        <f>U91</f>
        <v/>
      </c>
      <c r="BL91" s="1351">
        <f>AJ73</f>
        <v>0</v>
      </c>
      <c r="BM91" s="1351"/>
      <c r="BN91" s="50"/>
    </row>
    <row r="92" spans="2:66" ht="5.0999999999999996" customHeight="1">
      <c r="B92" s="1441"/>
      <c r="C92" s="989"/>
      <c r="D92" s="402"/>
      <c r="E92" s="402"/>
      <c r="F92" s="402"/>
      <c r="G92" s="979"/>
      <c r="H92" s="980"/>
      <c r="I92" s="980"/>
      <c r="J92" s="980"/>
      <c r="K92" s="980"/>
      <c r="L92" s="980"/>
      <c r="M92" s="980"/>
      <c r="N92" s="988"/>
      <c r="P92" s="1441"/>
      <c r="Q92" s="989"/>
      <c r="R92" s="402"/>
      <c r="S92" s="402"/>
      <c r="T92" s="990"/>
      <c r="U92" s="980"/>
      <c r="V92" s="980"/>
      <c r="W92" s="980"/>
      <c r="X92" s="980"/>
      <c r="Y92" s="980"/>
      <c r="Z92" s="980"/>
      <c r="AA92" s="980"/>
      <c r="AB92" s="980"/>
      <c r="AC92" s="988"/>
      <c r="AR92" s="347"/>
      <c r="AS92" s="50"/>
      <c r="AT92" s="50"/>
      <c r="AU92" s="50"/>
      <c r="AV92" s="50"/>
      <c r="AW92" s="50"/>
      <c r="AX92" s="50"/>
      <c r="AY92" s="50"/>
      <c r="AZ92" s="50"/>
      <c r="BA92" s="50"/>
      <c r="BB92" s="50"/>
      <c r="BC92" s="50"/>
      <c r="BD92" s="1351"/>
      <c r="BE92" s="1351"/>
      <c r="BF92" s="1360"/>
      <c r="BG92" s="1351"/>
      <c r="BH92" s="1355"/>
      <c r="BI92" s="1351"/>
      <c r="BJ92" s="1351"/>
      <c r="BK92" s="1351"/>
      <c r="BL92" s="1351"/>
      <c r="BM92" s="1351"/>
      <c r="BN92" s="50"/>
    </row>
    <row r="93" spans="2:66">
      <c r="B93" s="1441"/>
      <c r="C93" s="989"/>
      <c r="D93" s="402"/>
      <c r="E93" s="402"/>
      <c r="F93" s="402"/>
      <c r="G93" s="979" t="s">
        <v>134</v>
      </c>
      <c r="H93" s="983" t="str">
        <f>IF(AND(O$59=3,AD$59=2),"",IF(O59=0,"",IF(O59=1,IF(AK36="",V36,AK36),IF(O59=3,U93,IF(O59=4,AJ75,H75)))))</f>
        <v/>
      </c>
      <c r="I93" s="980"/>
      <c r="J93" s="980"/>
      <c r="K93" s="982" t="s">
        <v>137</v>
      </c>
      <c r="L93" s="1512" t="str">
        <f>IF(AND(O$59=3,AD$59=2),"",IF(O59=0,"",IF(O59=1,IF(AN36="",AA36,AN36),IF(O59=3,AA93,IF(O59=4,AN75,L75)))))</f>
        <v/>
      </c>
      <c r="M93" s="1513"/>
      <c r="N93" s="988"/>
      <c r="P93" s="1441"/>
      <c r="Q93" s="989"/>
      <c r="R93" s="402"/>
      <c r="S93" s="402"/>
      <c r="T93" s="990" t="s">
        <v>134</v>
      </c>
      <c r="U93" s="983" t="str">
        <f>IF(AND(O$59=3,AD$59=2),"",IF(AD$59=0,"",IF(AD$59=1,IF(AK36="",V36,AK36),IF(AD$59=2,H93,U75))))</f>
        <v/>
      </c>
      <c r="V93" s="980"/>
      <c r="W93" s="978"/>
      <c r="X93" s="991"/>
      <c r="Y93" s="980"/>
      <c r="Z93" s="982" t="s">
        <v>137</v>
      </c>
      <c r="AA93" s="1512" t="str">
        <f>IF(AND(O$59=3,AD$59=2),"",IF(AD$59=0,"",IF(AD$59=1,IF(AN36="",AA36,AN36),IF(AD$59=2,L93,AA75))))</f>
        <v/>
      </c>
      <c r="AB93" s="1513"/>
      <c r="AC93" s="988"/>
      <c r="AR93" s="347"/>
      <c r="AS93" s="50"/>
      <c r="AT93" s="50"/>
      <c r="AU93" s="50"/>
      <c r="AV93" s="50"/>
      <c r="AW93" s="50"/>
      <c r="AX93" s="50"/>
      <c r="AY93" s="50"/>
      <c r="AZ93" s="1338"/>
      <c r="BA93" s="1338"/>
      <c r="BB93" s="1338"/>
      <c r="BC93" s="1338"/>
      <c r="BD93" s="1359"/>
      <c r="BE93" s="1359"/>
      <c r="BF93" s="1354">
        <f>AV75</f>
        <v>0</v>
      </c>
      <c r="BG93" s="1351"/>
      <c r="BH93" s="1355" t="s">
        <v>134</v>
      </c>
      <c r="BI93" s="1351" t="str">
        <f>IF(AK36="",V36,AK36)</f>
        <v>WA</v>
      </c>
      <c r="BJ93" s="1351" t="str">
        <f>H93</f>
        <v/>
      </c>
      <c r="BK93" s="1351" t="str">
        <f>U93</f>
        <v/>
      </c>
      <c r="BL93" s="1351">
        <f>AJ75</f>
        <v>0</v>
      </c>
      <c r="BM93" s="1351"/>
      <c r="BN93" s="50"/>
    </row>
    <row r="94" spans="2:66" ht="5.0999999999999996" customHeight="1">
      <c r="B94" s="1441"/>
      <c r="C94" s="992"/>
      <c r="D94" s="993"/>
      <c r="E94" s="993"/>
      <c r="F94" s="993"/>
      <c r="G94" s="993"/>
      <c r="H94" s="993"/>
      <c r="I94" s="993"/>
      <c r="J94" s="993"/>
      <c r="K94" s="993"/>
      <c r="L94" s="993"/>
      <c r="M94" s="993"/>
      <c r="N94" s="994"/>
      <c r="P94" s="1441"/>
      <c r="Q94" s="992"/>
      <c r="R94" s="993"/>
      <c r="S94" s="993"/>
      <c r="T94" s="993"/>
      <c r="U94" s="993"/>
      <c r="V94" s="993"/>
      <c r="W94" s="993"/>
      <c r="X94" s="993"/>
      <c r="Y94" s="993"/>
      <c r="Z94" s="993"/>
      <c r="AA94" s="993"/>
      <c r="AB94" s="993"/>
      <c r="AC94" s="994"/>
      <c r="AR94" s="347"/>
      <c r="AS94" s="50"/>
      <c r="AT94" s="50"/>
      <c r="AU94" s="50"/>
      <c r="AV94" s="50"/>
      <c r="AW94" s="50"/>
      <c r="AX94" s="50"/>
      <c r="AY94" s="50"/>
      <c r="AZ94" s="50"/>
      <c r="BA94" s="50"/>
      <c r="BB94" s="50"/>
      <c r="BC94" s="50"/>
      <c r="BD94" s="1351"/>
      <c r="BE94" s="1351"/>
      <c r="BF94" s="1361"/>
      <c r="BG94" s="1351"/>
      <c r="BH94" s="1351"/>
      <c r="BI94" s="1351"/>
      <c r="BJ94" s="1351"/>
      <c r="BK94" s="1351"/>
      <c r="BL94" s="1351"/>
      <c r="BM94" s="1351"/>
      <c r="BN94" s="50"/>
    </row>
    <row r="95" spans="2:66">
      <c r="AR95" s="347"/>
      <c r="AS95" s="50"/>
      <c r="AT95" s="50"/>
      <c r="AU95" s="50"/>
      <c r="AV95" s="50"/>
      <c r="AW95" s="50"/>
      <c r="AX95" s="50"/>
      <c r="AY95" s="50"/>
      <c r="AZ95" s="50"/>
      <c r="BA95" s="50"/>
      <c r="BB95" s="50"/>
      <c r="BC95" s="50"/>
      <c r="BD95" s="1351"/>
      <c r="BE95" s="1351"/>
      <c r="BF95" s="1354" t="s">
        <v>137</v>
      </c>
      <c r="BG95" s="1351"/>
      <c r="BH95" s="1355" t="s">
        <v>137</v>
      </c>
      <c r="BI95" s="1362">
        <f>IF(AN36="",AA36,AN36)</f>
        <v>0</v>
      </c>
      <c r="BJ95" s="1363" t="str">
        <f>L93</f>
        <v/>
      </c>
      <c r="BK95" s="1363" t="str">
        <f>AA93</f>
        <v/>
      </c>
      <c r="BL95" s="1363">
        <f>AN75</f>
        <v>0</v>
      </c>
      <c r="BM95" s="1351"/>
      <c r="BN95" s="50"/>
    </row>
    <row r="96" spans="2:66">
      <c r="AR96" s="347"/>
      <c r="AS96" s="50"/>
      <c r="AT96" s="50"/>
      <c r="AU96" s="50"/>
      <c r="AV96" s="50"/>
      <c r="AW96" s="50"/>
      <c r="AX96" s="50"/>
      <c r="AY96" s="50"/>
      <c r="AZ96" s="1350"/>
      <c r="BA96" s="1350"/>
      <c r="BB96" s="1350"/>
      <c r="BC96" s="50"/>
      <c r="BD96" s="1351"/>
      <c r="BE96" s="1351"/>
      <c r="BF96" s="1351"/>
      <c r="BG96" s="1351"/>
      <c r="BH96" s="1351"/>
      <c r="BI96" s="1351"/>
      <c r="BJ96" s="1351"/>
      <c r="BK96" s="1351"/>
      <c r="BL96" s="1351"/>
      <c r="BM96" s="1351"/>
      <c r="BN96" s="50"/>
    </row>
    <row r="97" spans="45:66">
      <c r="AS97" s="50"/>
      <c r="AT97" s="50"/>
      <c r="AU97" s="50"/>
      <c r="AV97" s="50"/>
      <c r="AW97" s="50"/>
      <c r="AX97" s="50"/>
      <c r="AY97" s="50"/>
      <c r="AZ97" s="50"/>
      <c r="BA97" s="50"/>
      <c r="BB97" s="50"/>
      <c r="BC97" s="50"/>
      <c r="BD97" s="1351"/>
      <c r="BE97" s="1351"/>
      <c r="BF97" s="1351"/>
      <c r="BG97" s="1351"/>
      <c r="BH97" s="1351"/>
      <c r="BI97" s="1351"/>
      <c r="BJ97" s="1351"/>
      <c r="BK97" s="1351"/>
      <c r="BL97" s="1351"/>
      <c r="BM97" s="1351"/>
      <c r="BN97" s="50"/>
    </row>
    <row r="98" spans="45:66">
      <c r="AS98" s="50"/>
      <c r="AT98" s="50"/>
      <c r="AU98" s="50"/>
      <c r="AV98" s="50"/>
      <c r="AW98" s="50"/>
      <c r="AX98" s="50"/>
      <c r="AY98" s="50"/>
      <c r="AZ98" s="50"/>
      <c r="BA98" s="50"/>
      <c r="BB98" s="50"/>
      <c r="BC98" s="50"/>
      <c r="BD98" s="1351"/>
      <c r="BE98" s="1351"/>
      <c r="BF98" s="1351"/>
      <c r="BG98" s="1351"/>
      <c r="BH98" s="1351"/>
      <c r="BI98" s="1351"/>
      <c r="BJ98" s="1351"/>
      <c r="BK98" s="1351"/>
      <c r="BL98" s="1351"/>
      <c r="BM98" s="1351"/>
      <c r="BN98" s="50"/>
    </row>
    <row r="99" spans="45:66">
      <c r="AS99" s="50"/>
      <c r="AT99" s="50"/>
      <c r="AU99" s="50"/>
      <c r="AV99" s="50"/>
      <c r="AW99" s="50"/>
      <c r="AX99" s="50"/>
      <c r="AY99" s="50"/>
      <c r="AZ99" s="50"/>
      <c r="BA99" s="50"/>
      <c r="BB99" s="50"/>
      <c r="BC99" s="50"/>
      <c r="BD99" s="1351"/>
      <c r="BE99" s="1351"/>
      <c r="BF99" s="1351"/>
      <c r="BG99" s="1351"/>
      <c r="BH99" s="1351"/>
      <c r="BI99" s="1351"/>
      <c r="BJ99" s="1351"/>
      <c r="BK99" s="1351"/>
      <c r="BL99" s="1351"/>
      <c r="BM99" s="1351"/>
      <c r="BN99" s="50"/>
    </row>
    <row r="100" spans="45:66">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row>
    <row r="101" spans="45:66">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row>
    <row r="102" spans="45:66">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row>
    <row r="103" spans="45:66">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row>
    <row r="104" spans="45:66">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row>
    <row r="105" spans="45:66">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row>
    <row r="106" spans="45:66">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row>
  </sheetData>
  <sheetProtection algorithmName="SHA-512" hashValue="dRKze2eZYXwNA/fD9U8duxc6F5slVtkdFBj6zr9H5xav4/R2HvSerHgo3F82k9PqajQ1U1RB8DhO/mPH/uKG7Q==" saltValue="BThU5atLYRkn6uM9hjM1pQ==" spinCount="100000" sheet="1" selectLockedCells="1"/>
  <protectedRanges>
    <protectedRange sqref="H63 H65" name="Range1"/>
  </protectedRanges>
  <mergeCells count="142">
    <mergeCell ref="BA56:BB57"/>
    <mergeCell ref="AS56:AZ57"/>
    <mergeCell ref="AR41:BC41"/>
    <mergeCell ref="AH33:AJ33"/>
    <mergeCell ref="AK28:AO28"/>
    <mergeCell ref="AH36:AJ36"/>
    <mergeCell ref="AH34:AJ34"/>
    <mergeCell ref="AH35:AJ35"/>
    <mergeCell ref="AJ63:AO63"/>
    <mergeCell ref="AG61:AO62"/>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I49:J49"/>
    <mergeCell ref="AS61:BB62"/>
    <mergeCell ref="AS42:BB54"/>
    <mergeCell ref="Y41:AP41"/>
    <mergeCell ref="Z43:AO54"/>
    <mergeCell ref="AJ67:AO67"/>
    <mergeCell ref="AJ69:AO69"/>
    <mergeCell ref="AJ71:AO71"/>
    <mergeCell ref="U59:AB59"/>
    <mergeCell ref="AJ73:AO73"/>
    <mergeCell ref="AJ65:AO65"/>
    <mergeCell ref="AK22:AO22"/>
    <mergeCell ref="H34:M34"/>
    <mergeCell ref="H36:M36"/>
    <mergeCell ref="H26:M26"/>
    <mergeCell ref="AK24:AO24"/>
    <mergeCell ref="AK34:AO34"/>
    <mergeCell ref="AH22:AJ22"/>
    <mergeCell ref="AH23:AJ23"/>
    <mergeCell ref="AH25:AJ25"/>
    <mergeCell ref="AH26:AJ26"/>
    <mergeCell ref="AH27:AJ27"/>
    <mergeCell ref="AH28:AJ28"/>
    <mergeCell ref="AH29:AJ29"/>
    <mergeCell ref="AH31:AJ31"/>
    <mergeCell ref="AH32:AJ32"/>
    <mergeCell ref="AH30:AO30"/>
    <mergeCell ref="H32:M32"/>
    <mergeCell ref="AG24:AJ24"/>
    <mergeCell ref="AA93:AB93"/>
    <mergeCell ref="E61:M62"/>
    <mergeCell ref="H81:M81"/>
    <mergeCell ref="H24:M24"/>
    <mergeCell ref="H28:M28"/>
    <mergeCell ref="H30:M30"/>
    <mergeCell ref="R53:S53"/>
    <mergeCell ref="H63:M63"/>
    <mergeCell ref="AA75:AB75"/>
    <mergeCell ref="Q57:AC57"/>
    <mergeCell ref="R47:S51"/>
    <mergeCell ref="C41:U41"/>
    <mergeCell ref="U83:AB83"/>
    <mergeCell ref="U85:AB85"/>
    <mergeCell ref="U87:AB87"/>
    <mergeCell ref="U89:AB89"/>
    <mergeCell ref="U91:AB91"/>
    <mergeCell ref="R61:AB62"/>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F20:AP20"/>
    <mergeCell ref="B41:B55"/>
    <mergeCell ref="F53:L54"/>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s>
  <conditionalFormatting sqref="H32:M32 H34:M34">
    <cfRule type="containsText" dxfId="13141" priority="37" operator="containsText" text="NOT ALLOWED">
      <formula>NOT(ISERROR(SEARCH("NOT ALLOWED",H32)))</formula>
    </cfRule>
  </conditionalFormatting>
  <conditionalFormatting sqref="F36:M36">
    <cfRule type="expression" dxfId="13140" priority="35">
      <formula>$O$24=0</formula>
    </cfRule>
  </conditionalFormatting>
  <conditionalFormatting sqref="F38:G38">
    <cfRule type="expression" dxfId="13139" priority="34">
      <formula>$O$24&lt;&gt;2</formula>
    </cfRule>
  </conditionalFormatting>
  <conditionalFormatting sqref="H38:M38">
    <cfRule type="expression" dxfId="13138" priority="32">
      <formula>$O$24&lt;&gt;2</formula>
    </cfRule>
  </conditionalFormatting>
  <conditionalFormatting sqref="U63:AB63 U65:AB65 U67:AB67 U69:AB69 U71:AB71 U73:AB73 U75 AA75:AB75">
    <cfRule type="expression" dxfId="13137" priority="15">
      <formula>OR($AD$59=1,$AD$59=2)</formula>
    </cfRule>
    <cfRule type="expression" dxfId="13136" priority="18">
      <formula>$AD$59&lt;&gt;3</formula>
    </cfRule>
  </conditionalFormatting>
  <conditionalFormatting sqref="H67:M67 H69:M69 H71:M71 H73:M73 H75 L75:M75">
    <cfRule type="expression" dxfId="13135" priority="14">
      <formula>OR($O$59=1,$O$59=3,$O$59=4)</formula>
    </cfRule>
    <cfRule type="expression" priority="16" stopIfTrue="1">
      <formula>$AD$59=2</formula>
    </cfRule>
    <cfRule type="expression" dxfId="13134" priority="17">
      <formula>OR($O$59=0,$O$59=1)</formula>
    </cfRule>
  </conditionalFormatting>
  <conditionalFormatting sqref="H24:M24 H32">
    <cfRule type="expression" dxfId="13133" priority="7">
      <formula>__BLi?=FALSE</formula>
    </cfRule>
  </conditionalFormatting>
  <conditionalFormatting sqref="H65:M65">
    <cfRule type="expression" dxfId="13132" priority="4">
      <formula>OR($O$59=1,$O$59=3,$O$59=4)</formula>
    </cfRule>
    <cfRule type="expression" priority="5" stopIfTrue="1">
      <formula>$AD$59=2</formula>
    </cfRule>
    <cfRule type="expression" dxfId="13131" priority="6">
      <formula>OR($O$59=0,$O$59=1)</formula>
    </cfRule>
  </conditionalFormatting>
  <conditionalFormatting sqref="H63:M63">
    <cfRule type="expression" dxfId="13130" priority="1">
      <formula>OR($O$59=1,$O$59=3,$O$59=4)</formula>
    </cfRule>
    <cfRule type="expression" priority="2" stopIfTrue="1">
      <formula>$AD$59=2</formula>
    </cfRule>
    <cfRule type="expression" dxfId="13129" priority="3">
      <formula>OR($O$59=0,$O$59=1)</formula>
    </cfRule>
  </conditionalFormatting>
  <dataValidations xWindow="470" yWindow="555" count="11">
    <dataValidation type="list" allowBlank="1" showError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whole" allowBlank="1" showInputMessage="1" showErrorMessage="1" errorTitle="Account # entry Error!" error="Account number must be 12 digets long and start with a 2. Review customer bill for account number._x000a_" sqref="V26:AB26">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 type="list" allowBlank="1" showInputMessage="1" showErrorMessage="1" sqref="AW59:BB59">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26786" id="{0ABA4848-C5F0-4586-9C8A-6022FD8C2BB8}">
            <xm:f>Lookup!$E$2=FALSE</xm:f>
            <x14:dxf>
              <font>
                <color theme="0"/>
              </font>
              <fill>
                <patternFill patternType="none">
                  <bgColor auto="1"/>
                </patternFill>
              </fill>
              <border>
                <left/>
                <right/>
                <top/>
                <bottom/>
                <vertical/>
                <horizontal/>
              </border>
            </x14:dxf>
          </x14:cfRule>
          <xm:sqref>AR41:BC76</xm:sqref>
        </x14:conditionalFormatting>
      </x14:conditionalFormattings>
    </ext>
    <ext xmlns:x14="http://schemas.microsoft.com/office/spreadsheetml/2009/9/main" uri="{CCE6A557-97BC-4b89-ADB6-D9C93CAAB3DF}">
      <x14:dataValidations xmlns:xm="http://schemas.microsoft.com/office/excel/2006/main" xWindow="470" yWindow="555" count="1">
        <x14:dataValidation type="list" allowBlank="1" showInputMessage="1" showErrorMessage="1">
          <x14:formula1>
            <xm:f>IF(__BLi?=TRUE,WSEC!$Y$4:$Y$43,WSEC!$Y$23:$Y$23)</xm:f>
          </x14:formula1>
          <xm:sqref>H32:M32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O163"/>
  <sheetViews>
    <sheetView topLeftCell="A129" workbookViewId="0">
      <selection activeCell="B161" sqref="B161"/>
    </sheetView>
  </sheetViews>
  <sheetFormatPr defaultRowHeight="14.3"/>
  <cols>
    <col min="1" max="1" width="2.625" customWidth="1"/>
    <col min="2" max="2" width="68.375" bestFit="1" customWidth="1"/>
    <col min="3" max="3" width="9" bestFit="1" customWidth="1"/>
    <col min="4" max="4" width="10.375" style="12" bestFit="1" customWidth="1"/>
    <col min="5" max="5" width="10.125" bestFit="1" customWidth="1"/>
    <col min="6" max="6" width="8.125" bestFit="1" customWidth="1"/>
    <col min="7" max="7" width="75.375" bestFit="1" customWidth="1"/>
    <col min="8" max="8" width="6.875" bestFit="1" customWidth="1"/>
    <col min="9" max="9" width="24.375" bestFit="1" customWidth="1"/>
    <col min="10" max="10" width="23.625" bestFit="1" customWidth="1"/>
    <col min="11" max="11" width="14.375" bestFit="1" customWidth="1"/>
    <col min="12" max="12" width="22" bestFit="1" customWidth="1"/>
    <col min="13" max="13" width="18.875" bestFit="1" customWidth="1"/>
    <col min="14" max="15" width="15.75" customWidth="1"/>
  </cols>
  <sheetData>
    <row r="1" spans="2:15">
      <c r="B1">
        <v>1</v>
      </c>
      <c r="C1">
        <v>2</v>
      </c>
      <c r="D1">
        <v>3</v>
      </c>
      <c r="E1">
        <v>4</v>
      </c>
      <c r="F1">
        <v>5</v>
      </c>
      <c r="G1">
        <v>6</v>
      </c>
      <c r="H1">
        <v>7</v>
      </c>
      <c r="I1">
        <v>8</v>
      </c>
      <c r="J1">
        <v>9</v>
      </c>
      <c r="K1">
        <v>10</v>
      </c>
      <c r="L1">
        <v>11</v>
      </c>
      <c r="M1">
        <v>12</v>
      </c>
      <c r="N1">
        <v>13</v>
      </c>
      <c r="O1">
        <v>13</v>
      </c>
    </row>
    <row r="2" spans="2:15">
      <c r="B2" s="20" t="s">
        <v>2546</v>
      </c>
      <c r="C2" s="28" t="s">
        <v>2547</v>
      </c>
      <c r="D2" s="70" t="s">
        <v>345</v>
      </c>
      <c r="E2" s="70">
        <v>2015</v>
      </c>
      <c r="F2" s="28" t="s">
        <v>2343</v>
      </c>
      <c r="G2" s="28" t="s">
        <v>2548</v>
      </c>
      <c r="H2" s="28" t="s">
        <v>385</v>
      </c>
      <c r="I2" s="28" t="s">
        <v>2549</v>
      </c>
      <c r="J2" s="28" t="s">
        <v>2550</v>
      </c>
      <c r="K2" s="70" t="s">
        <v>1895</v>
      </c>
      <c r="L2" s="21" t="s">
        <v>347</v>
      </c>
      <c r="M2" s="102" t="s">
        <v>2551</v>
      </c>
      <c r="N2" s="102" t="s">
        <v>2552</v>
      </c>
      <c r="O2" s="102" t="s">
        <v>2553</v>
      </c>
    </row>
    <row r="3" spans="2:15">
      <c r="B3" s="25" t="s">
        <v>2352</v>
      </c>
      <c r="C3" s="79" t="s">
        <v>290</v>
      </c>
      <c r="D3" s="966">
        <v>1</v>
      </c>
      <c r="E3" s="966">
        <v>0.02</v>
      </c>
      <c r="F3" s="1224">
        <v>0.48</v>
      </c>
      <c r="G3" s="79" t="s">
        <v>2554</v>
      </c>
      <c r="H3" s="966" t="s">
        <v>237</v>
      </c>
      <c r="I3" s="79" t="s">
        <v>1922</v>
      </c>
      <c r="J3" s="79" t="s">
        <v>764</v>
      </c>
      <c r="K3" s="966" t="s">
        <v>1600</v>
      </c>
      <c r="L3" s="26" t="s">
        <v>727</v>
      </c>
      <c r="M3" s="26" t="s">
        <v>727</v>
      </c>
      <c r="N3" s="26" t="s">
        <v>2555</v>
      </c>
      <c r="O3" s="26" t="s">
        <v>2555</v>
      </c>
    </row>
    <row r="4" spans="2:15">
      <c r="B4" s="22" t="s">
        <v>2359</v>
      </c>
      <c r="C4" s="80" t="s">
        <v>290</v>
      </c>
      <c r="D4" s="454">
        <v>1</v>
      </c>
      <c r="E4" s="454" t="s">
        <v>2360</v>
      </c>
      <c r="F4" s="967">
        <v>0.6</v>
      </c>
      <c r="G4" s="80" t="s">
        <v>2556</v>
      </c>
      <c r="H4" s="454" t="s">
        <v>237</v>
      </c>
      <c r="I4" s="80" t="s">
        <v>1922</v>
      </c>
      <c r="J4" s="80" t="s">
        <v>764</v>
      </c>
      <c r="K4" s="454" t="s">
        <v>1600</v>
      </c>
      <c r="L4" s="23" t="s">
        <v>727</v>
      </c>
      <c r="M4" s="23" t="s">
        <v>727</v>
      </c>
      <c r="N4" s="23" t="s">
        <v>2555</v>
      </c>
      <c r="O4" s="23" t="s">
        <v>2555</v>
      </c>
    </row>
    <row r="5" spans="2:15">
      <c r="B5" s="25" t="s">
        <v>2364</v>
      </c>
      <c r="C5" s="79" t="s">
        <v>290</v>
      </c>
      <c r="D5" s="966">
        <v>1</v>
      </c>
      <c r="E5" s="966">
        <v>0.02</v>
      </c>
      <c r="F5" s="1224">
        <v>0.39</v>
      </c>
      <c r="G5" s="79" t="s">
        <v>2557</v>
      </c>
      <c r="H5" s="966" t="s">
        <v>237</v>
      </c>
      <c r="I5" s="79" t="s">
        <v>1922</v>
      </c>
      <c r="J5" s="79" t="s">
        <v>764</v>
      </c>
      <c r="K5" s="966" t="s">
        <v>1600</v>
      </c>
      <c r="L5" s="26" t="s">
        <v>727</v>
      </c>
      <c r="M5" s="26" t="s">
        <v>727</v>
      </c>
      <c r="N5" s="1229" t="s">
        <v>2555</v>
      </c>
      <c r="O5" s="1229" t="s">
        <v>2555</v>
      </c>
    </row>
    <row r="6" spans="2:15">
      <c r="B6" s="22" t="s">
        <v>2368</v>
      </c>
      <c r="C6" s="80" t="s">
        <v>290</v>
      </c>
      <c r="D6" s="454">
        <v>1</v>
      </c>
      <c r="E6" s="454">
        <v>0.5</v>
      </c>
      <c r="F6" s="967">
        <v>0.61</v>
      </c>
      <c r="G6" s="80" t="s">
        <v>2558</v>
      </c>
      <c r="H6" s="454" t="s">
        <v>237</v>
      </c>
      <c r="I6" s="80" t="s">
        <v>1922</v>
      </c>
      <c r="J6" s="80" t="s">
        <v>744</v>
      </c>
      <c r="K6" s="454" t="s">
        <v>1600</v>
      </c>
      <c r="L6" s="23" t="s">
        <v>727</v>
      </c>
      <c r="M6" s="23" t="s">
        <v>727</v>
      </c>
      <c r="N6" s="455" t="s">
        <v>2555</v>
      </c>
      <c r="O6" s="455" t="s">
        <v>2555</v>
      </c>
    </row>
    <row r="7" spans="2:15">
      <c r="B7" s="25" t="s">
        <v>2371</v>
      </c>
      <c r="C7" s="79" t="s">
        <v>290</v>
      </c>
      <c r="D7" s="966">
        <v>1</v>
      </c>
      <c r="E7" s="966">
        <v>0.66</v>
      </c>
      <c r="F7" s="1224">
        <v>0.23</v>
      </c>
      <c r="G7" s="79" t="s">
        <v>2559</v>
      </c>
      <c r="H7" s="966" t="s">
        <v>237</v>
      </c>
      <c r="I7" s="79" t="s">
        <v>1922</v>
      </c>
      <c r="J7" s="79" t="s">
        <v>744</v>
      </c>
      <c r="K7" s="966" t="s">
        <v>1600</v>
      </c>
      <c r="L7" s="26" t="s">
        <v>727</v>
      </c>
      <c r="M7" s="26" t="s">
        <v>727</v>
      </c>
      <c r="N7" s="1229" t="s">
        <v>2555</v>
      </c>
      <c r="O7" s="1229" t="s">
        <v>2555</v>
      </c>
    </row>
    <row r="8" spans="2:15">
      <c r="B8" s="22" t="s">
        <v>2375</v>
      </c>
      <c r="C8" s="80" t="s">
        <v>290</v>
      </c>
      <c r="D8" s="454">
        <v>1</v>
      </c>
      <c r="E8" s="454">
        <v>0.34</v>
      </c>
      <c r="F8" s="967">
        <v>0.23</v>
      </c>
      <c r="G8" s="80" t="s">
        <v>2560</v>
      </c>
      <c r="H8" s="454" t="s">
        <v>237</v>
      </c>
      <c r="I8" s="80" t="s">
        <v>1922</v>
      </c>
      <c r="J8" s="80" t="s">
        <v>744</v>
      </c>
      <c r="K8" s="454" t="s">
        <v>1600</v>
      </c>
      <c r="L8" s="23" t="s">
        <v>727</v>
      </c>
      <c r="M8" s="23" t="s">
        <v>727</v>
      </c>
      <c r="N8" s="455" t="s">
        <v>2555</v>
      </c>
      <c r="O8" s="455" t="s">
        <v>2555</v>
      </c>
    </row>
    <row r="9" spans="2:15">
      <c r="B9" s="25" t="s">
        <v>2377</v>
      </c>
      <c r="C9" s="79" t="s">
        <v>290</v>
      </c>
      <c r="D9" s="966">
        <v>1</v>
      </c>
      <c r="E9" s="966">
        <v>0.91</v>
      </c>
      <c r="F9" s="1224">
        <v>0.27</v>
      </c>
      <c r="G9" s="79" t="s">
        <v>2561</v>
      </c>
      <c r="H9" s="966" t="s">
        <v>237</v>
      </c>
      <c r="I9" s="79" t="s">
        <v>1922</v>
      </c>
      <c r="J9" s="79" t="s">
        <v>744</v>
      </c>
      <c r="K9" s="966" t="s">
        <v>1600</v>
      </c>
      <c r="L9" s="26" t="s">
        <v>727</v>
      </c>
      <c r="M9" s="26" t="s">
        <v>727</v>
      </c>
      <c r="N9" s="1229" t="s">
        <v>2555</v>
      </c>
      <c r="O9" s="1229" t="s">
        <v>2555</v>
      </c>
    </row>
    <row r="10" spans="2:15">
      <c r="B10" s="22" t="s">
        <v>2379</v>
      </c>
      <c r="C10" s="80" t="s">
        <v>290</v>
      </c>
      <c r="D10" s="454">
        <v>1</v>
      </c>
      <c r="E10" s="454">
        <v>0.34</v>
      </c>
      <c r="F10" s="967">
        <v>0.23</v>
      </c>
      <c r="G10" s="80" t="s">
        <v>2562</v>
      </c>
      <c r="H10" s="454" t="s">
        <v>237</v>
      </c>
      <c r="I10" s="80" t="s">
        <v>1922</v>
      </c>
      <c r="J10" s="80" t="s">
        <v>744</v>
      </c>
      <c r="K10" s="454" t="s">
        <v>1600</v>
      </c>
      <c r="L10" s="23" t="s">
        <v>727</v>
      </c>
      <c r="M10" s="23" t="s">
        <v>727</v>
      </c>
      <c r="N10" s="455" t="s">
        <v>2555</v>
      </c>
      <c r="O10" s="455" t="s">
        <v>2555</v>
      </c>
    </row>
    <row r="11" spans="2:15">
      <c r="B11" s="25" t="s">
        <v>2383</v>
      </c>
      <c r="C11" s="79" t="s">
        <v>290</v>
      </c>
      <c r="D11" s="966">
        <v>1</v>
      </c>
      <c r="E11" s="966">
        <v>0.22</v>
      </c>
      <c r="F11" s="1224">
        <v>0.67</v>
      </c>
      <c r="G11" s="79" t="s">
        <v>2563</v>
      </c>
      <c r="H11" s="966" t="s">
        <v>237</v>
      </c>
      <c r="I11" s="79" t="s">
        <v>1922</v>
      </c>
      <c r="J11" s="79" t="s">
        <v>744</v>
      </c>
      <c r="K11" s="966" t="s">
        <v>1600</v>
      </c>
      <c r="L11" s="26" t="s">
        <v>727</v>
      </c>
      <c r="M11" s="26" t="s">
        <v>727</v>
      </c>
      <c r="N11" s="1229" t="s">
        <v>2555</v>
      </c>
      <c r="O11" s="1229" t="s">
        <v>2555</v>
      </c>
    </row>
    <row r="12" spans="2:15">
      <c r="B12" s="22" t="s">
        <v>2385</v>
      </c>
      <c r="C12" s="80" t="s">
        <v>290</v>
      </c>
      <c r="D12" s="454">
        <v>1</v>
      </c>
      <c r="E12" s="454">
        <v>1.94</v>
      </c>
      <c r="F12" s="967">
        <v>1.1599999999999999</v>
      </c>
      <c r="G12" s="80" t="s">
        <v>2564</v>
      </c>
      <c r="H12" s="454" t="s">
        <v>237</v>
      </c>
      <c r="I12" s="80" t="s">
        <v>1922</v>
      </c>
      <c r="J12" s="80" t="s">
        <v>744</v>
      </c>
      <c r="K12" s="454" t="s">
        <v>1600</v>
      </c>
      <c r="L12" s="23" t="s">
        <v>727</v>
      </c>
      <c r="M12" s="23" t="s">
        <v>727</v>
      </c>
      <c r="N12" s="455" t="s">
        <v>2555</v>
      </c>
      <c r="O12" s="455" t="s">
        <v>2555</v>
      </c>
    </row>
    <row r="13" spans="2:15">
      <c r="B13" s="25" t="s">
        <v>2388</v>
      </c>
      <c r="C13" s="79" t="s">
        <v>290</v>
      </c>
      <c r="D13" s="966">
        <v>1</v>
      </c>
      <c r="E13" s="966">
        <v>1.22</v>
      </c>
      <c r="F13" s="1224">
        <v>0.72</v>
      </c>
      <c r="G13" s="79" t="s">
        <v>2565</v>
      </c>
      <c r="H13" s="966" t="s">
        <v>237</v>
      </c>
      <c r="I13" s="79" t="s">
        <v>1922</v>
      </c>
      <c r="J13" s="79" t="s">
        <v>744</v>
      </c>
      <c r="K13" s="966" t="s">
        <v>1600</v>
      </c>
      <c r="L13" s="26" t="s">
        <v>727</v>
      </c>
      <c r="M13" s="26" t="s">
        <v>727</v>
      </c>
      <c r="N13" s="1229" t="s">
        <v>2555</v>
      </c>
      <c r="O13" s="1229" t="s">
        <v>2555</v>
      </c>
    </row>
    <row r="14" spans="2:15">
      <c r="B14" s="22" t="s">
        <v>2392</v>
      </c>
      <c r="C14" s="80" t="s">
        <v>290</v>
      </c>
      <c r="D14" s="454">
        <v>1</v>
      </c>
      <c r="E14" s="454">
        <v>0.34</v>
      </c>
      <c r="F14" s="967">
        <v>0.33</v>
      </c>
      <c r="G14" s="80" t="s">
        <v>2566</v>
      </c>
      <c r="H14" s="454" t="s">
        <v>237</v>
      </c>
      <c r="I14" s="80" t="s">
        <v>1922</v>
      </c>
      <c r="J14" s="80" t="s">
        <v>744</v>
      </c>
      <c r="K14" s="454" t="s">
        <v>1600</v>
      </c>
      <c r="L14" s="23" t="s">
        <v>727</v>
      </c>
      <c r="M14" s="23" t="s">
        <v>727</v>
      </c>
      <c r="N14" s="455" t="s">
        <v>2555</v>
      </c>
      <c r="O14" s="455" t="s">
        <v>2555</v>
      </c>
    </row>
    <row r="15" spans="2:15">
      <c r="B15" s="25" t="s">
        <v>2394</v>
      </c>
      <c r="C15" s="79" t="s">
        <v>290</v>
      </c>
      <c r="D15" s="966">
        <v>1</v>
      </c>
      <c r="E15" s="966">
        <v>0.81</v>
      </c>
      <c r="F15" s="1224">
        <v>0.61</v>
      </c>
      <c r="G15" s="79" t="s">
        <v>2567</v>
      </c>
      <c r="H15" s="966" t="s">
        <v>237</v>
      </c>
      <c r="I15" s="79" t="s">
        <v>1922</v>
      </c>
      <c r="J15" s="79" t="s">
        <v>774</v>
      </c>
      <c r="K15" s="966" t="s">
        <v>1600</v>
      </c>
      <c r="L15" s="26" t="s">
        <v>727</v>
      </c>
      <c r="M15" s="79" t="s">
        <v>727</v>
      </c>
      <c r="N15" s="1230" t="s">
        <v>2555</v>
      </c>
      <c r="O15" s="1229" t="s">
        <v>2555</v>
      </c>
    </row>
    <row r="16" spans="2:15">
      <c r="B16" s="22" t="s">
        <v>2395</v>
      </c>
      <c r="C16" s="80" t="s">
        <v>290</v>
      </c>
      <c r="D16" s="454">
        <v>1</v>
      </c>
      <c r="E16" s="454">
        <v>1</v>
      </c>
      <c r="F16" s="967">
        <v>0.71</v>
      </c>
      <c r="G16" s="80" t="s">
        <v>2568</v>
      </c>
      <c r="H16" s="454" t="s">
        <v>237</v>
      </c>
      <c r="I16" s="80" t="s">
        <v>1922</v>
      </c>
      <c r="J16" s="80" t="s">
        <v>747</v>
      </c>
      <c r="K16" s="454" t="s">
        <v>1600</v>
      </c>
      <c r="L16" s="23" t="s">
        <v>700</v>
      </c>
      <c r="M16" s="80" t="s">
        <v>739</v>
      </c>
      <c r="N16" s="456" t="s">
        <v>2555</v>
      </c>
      <c r="O16" s="455" t="s">
        <v>2555</v>
      </c>
    </row>
    <row r="17" spans="2:15">
      <c r="B17" s="25" t="s">
        <v>2398</v>
      </c>
      <c r="C17" s="79" t="s">
        <v>290</v>
      </c>
      <c r="D17" s="966">
        <v>1</v>
      </c>
      <c r="E17" s="966">
        <v>1.07</v>
      </c>
      <c r="F17" s="1224">
        <v>0.89</v>
      </c>
      <c r="G17" s="79" t="s">
        <v>2569</v>
      </c>
      <c r="H17" s="966" t="s">
        <v>237</v>
      </c>
      <c r="I17" s="79" t="s">
        <v>1922</v>
      </c>
      <c r="J17" s="79" t="s">
        <v>747</v>
      </c>
      <c r="K17" s="966" t="s">
        <v>1600</v>
      </c>
      <c r="L17" s="26" t="s">
        <v>700</v>
      </c>
      <c r="M17" s="79" t="s">
        <v>739</v>
      </c>
      <c r="N17" s="1230" t="s">
        <v>2555</v>
      </c>
      <c r="O17" s="1229" t="s">
        <v>2555</v>
      </c>
    </row>
    <row r="18" spans="2:15">
      <c r="B18" s="22" t="s">
        <v>2402</v>
      </c>
      <c r="C18" s="80" t="s">
        <v>290</v>
      </c>
      <c r="D18" s="454">
        <v>1</v>
      </c>
      <c r="E18" s="454">
        <v>1.37</v>
      </c>
      <c r="F18" s="967">
        <v>0.94</v>
      </c>
      <c r="G18" s="80" t="s">
        <v>2570</v>
      </c>
      <c r="H18" s="454" t="s">
        <v>237</v>
      </c>
      <c r="I18" s="80" t="s">
        <v>1922</v>
      </c>
      <c r="J18" s="80" t="s">
        <v>749</v>
      </c>
      <c r="K18" s="454" t="s">
        <v>1600</v>
      </c>
      <c r="L18" s="23" t="s">
        <v>727</v>
      </c>
      <c r="M18" s="80" t="s">
        <v>727</v>
      </c>
      <c r="N18" s="456" t="s">
        <v>2555</v>
      </c>
      <c r="O18" s="455" t="s">
        <v>2555</v>
      </c>
    </row>
    <row r="19" spans="2:15">
      <c r="B19" s="25" t="s">
        <v>2404</v>
      </c>
      <c r="C19" s="79" t="s">
        <v>290</v>
      </c>
      <c r="D19" s="966">
        <v>1</v>
      </c>
      <c r="E19" s="966">
        <v>0.98</v>
      </c>
      <c r="F19" s="1224">
        <v>0.97</v>
      </c>
      <c r="G19" s="79" t="s">
        <v>2571</v>
      </c>
      <c r="H19" s="966" t="s">
        <v>237</v>
      </c>
      <c r="I19" s="79" t="s">
        <v>1922</v>
      </c>
      <c r="J19" s="79" t="s">
        <v>751</v>
      </c>
      <c r="K19" s="966" t="s">
        <v>1600</v>
      </c>
      <c r="L19" s="26" t="s">
        <v>700</v>
      </c>
      <c r="M19" s="79" t="s">
        <v>739</v>
      </c>
      <c r="N19" s="1230" t="s">
        <v>2555</v>
      </c>
      <c r="O19" s="1229" t="s">
        <v>2555</v>
      </c>
    </row>
    <row r="20" spans="2:15">
      <c r="B20" s="22" t="s">
        <v>2407</v>
      </c>
      <c r="C20" s="80" t="s">
        <v>290</v>
      </c>
      <c r="D20" s="454">
        <v>1</v>
      </c>
      <c r="E20" s="454">
        <v>1.1599999999999999</v>
      </c>
      <c r="F20" s="967">
        <v>0.61</v>
      </c>
      <c r="G20" s="80" t="s">
        <v>2572</v>
      </c>
      <c r="H20" s="454" t="s">
        <v>237</v>
      </c>
      <c r="I20" s="80" t="s">
        <v>1922</v>
      </c>
      <c r="J20" s="80" t="s">
        <v>744</v>
      </c>
      <c r="K20" s="454" t="s">
        <v>1600</v>
      </c>
      <c r="L20" s="23" t="s">
        <v>700</v>
      </c>
      <c r="M20" s="80" t="s">
        <v>739</v>
      </c>
      <c r="N20" s="456" t="s">
        <v>2555</v>
      </c>
      <c r="O20" s="455" t="s">
        <v>2555</v>
      </c>
    </row>
    <row r="21" spans="2:15">
      <c r="B21" s="25" t="s">
        <v>2410</v>
      </c>
      <c r="C21" s="79" t="s">
        <v>290</v>
      </c>
      <c r="D21" s="966">
        <v>1</v>
      </c>
      <c r="E21" s="966">
        <v>0.57999999999999996</v>
      </c>
      <c r="F21" s="1224">
        <v>0.31</v>
      </c>
      <c r="G21" s="79" t="s">
        <v>2573</v>
      </c>
      <c r="H21" s="966" t="s">
        <v>237</v>
      </c>
      <c r="I21" s="79" t="s">
        <v>1922</v>
      </c>
      <c r="J21" s="79" t="s">
        <v>768</v>
      </c>
      <c r="K21" s="966" t="s">
        <v>1600</v>
      </c>
      <c r="L21" s="26" t="s">
        <v>700</v>
      </c>
      <c r="M21" s="79" t="s">
        <v>739</v>
      </c>
      <c r="N21" s="1230" t="s">
        <v>2555</v>
      </c>
      <c r="O21" s="1229" t="s">
        <v>2555</v>
      </c>
    </row>
    <row r="22" spans="2:15">
      <c r="B22" s="22" t="s">
        <v>2413</v>
      </c>
      <c r="C22" s="80" t="s">
        <v>290</v>
      </c>
      <c r="D22" s="454">
        <v>1</v>
      </c>
      <c r="E22" s="454">
        <v>0.53</v>
      </c>
      <c r="F22" s="967">
        <v>0.41</v>
      </c>
      <c r="G22" s="80" t="s">
        <v>2574</v>
      </c>
      <c r="H22" s="454" t="s">
        <v>237</v>
      </c>
      <c r="I22" s="80" t="s">
        <v>1922</v>
      </c>
      <c r="J22" s="80" t="s">
        <v>2414</v>
      </c>
      <c r="K22" s="454" t="s">
        <v>1600</v>
      </c>
      <c r="L22" s="23" t="s">
        <v>700</v>
      </c>
      <c r="M22" s="80" t="s">
        <v>739</v>
      </c>
      <c r="N22" s="456" t="s">
        <v>2555</v>
      </c>
      <c r="O22" s="455" t="s">
        <v>2555</v>
      </c>
    </row>
    <row r="23" spans="2:15">
      <c r="B23" s="25" t="s">
        <v>2416</v>
      </c>
      <c r="C23" s="79" t="s">
        <v>290</v>
      </c>
      <c r="D23" s="966">
        <v>1</v>
      </c>
      <c r="E23" s="966">
        <v>0.74</v>
      </c>
      <c r="F23" s="1224">
        <v>0.71</v>
      </c>
      <c r="G23" s="79" t="s">
        <v>2575</v>
      </c>
      <c r="H23" s="966" t="s">
        <v>237</v>
      </c>
      <c r="I23" s="79" t="s">
        <v>1922</v>
      </c>
      <c r="J23" s="79" t="s">
        <v>2414</v>
      </c>
      <c r="K23" s="966" t="s">
        <v>1600</v>
      </c>
      <c r="L23" s="26" t="s">
        <v>700</v>
      </c>
      <c r="M23" s="79" t="s">
        <v>739</v>
      </c>
      <c r="N23" s="1230" t="s">
        <v>2555</v>
      </c>
      <c r="O23" s="1229" t="s">
        <v>2555</v>
      </c>
    </row>
    <row r="24" spans="2:15">
      <c r="B24" s="22" t="s">
        <v>2418</v>
      </c>
      <c r="C24" s="80" t="s">
        <v>290</v>
      </c>
      <c r="D24" s="454">
        <v>1</v>
      </c>
      <c r="E24" s="454">
        <v>0.63</v>
      </c>
      <c r="F24" s="967">
        <v>0.71</v>
      </c>
      <c r="G24" s="80" t="s">
        <v>2576</v>
      </c>
      <c r="H24" s="454" t="s">
        <v>237</v>
      </c>
      <c r="I24" s="80" t="s">
        <v>1922</v>
      </c>
      <c r="J24" s="80" t="s">
        <v>2414</v>
      </c>
      <c r="K24" s="454" t="s">
        <v>1600</v>
      </c>
      <c r="L24" s="23" t="s">
        <v>700</v>
      </c>
      <c r="M24" s="80" t="s">
        <v>739</v>
      </c>
      <c r="N24" s="456" t="s">
        <v>2555</v>
      </c>
      <c r="O24" s="455" t="s">
        <v>2555</v>
      </c>
    </row>
    <row r="25" spans="2:15">
      <c r="B25" s="25" t="s">
        <v>2420</v>
      </c>
      <c r="C25" s="79" t="s">
        <v>290</v>
      </c>
      <c r="D25" s="966">
        <v>1</v>
      </c>
      <c r="E25" s="966">
        <v>0.33</v>
      </c>
      <c r="F25" s="1224">
        <v>0.41</v>
      </c>
      <c r="G25" s="79" t="s">
        <v>2577</v>
      </c>
      <c r="H25" s="966" t="s">
        <v>237</v>
      </c>
      <c r="I25" s="79" t="s">
        <v>1922</v>
      </c>
      <c r="J25" s="79" t="s">
        <v>2414</v>
      </c>
      <c r="K25" s="966" t="s">
        <v>1600</v>
      </c>
      <c r="L25" s="26" t="s">
        <v>727</v>
      </c>
      <c r="M25" s="79" t="s">
        <v>727</v>
      </c>
      <c r="N25" s="1230" t="s">
        <v>2555</v>
      </c>
      <c r="O25" s="1229" t="s">
        <v>2555</v>
      </c>
    </row>
    <row r="26" spans="2:15">
      <c r="B26" s="22" t="s">
        <v>2422</v>
      </c>
      <c r="C26" s="80" t="s">
        <v>290</v>
      </c>
      <c r="D26" s="454">
        <v>1</v>
      </c>
      <c r="E26" s="454">
        <v>1.38</v>
      </c>
      <c r="F26" s="967">
        <v>1.2</v>
      </c>
      <c r="G26" s="80" t="s">
        <v>2578</v>
      </c>
      <c r="H26" s="454" t="s">
        <v>237</v>
      </c>
      <c r="I26" s="80" t="s">
        <v>1922</v>
      </c>
      <c r="J26" s="80" t="s">
        <v>768</v>
      </c>
      <c r="K26" s="454" t="s">
        <v>1600</v>
      </c>
      <c r="L26" s="23" t="s">
        <v>727</v>
      </c>
      <c r="M26" s="23" t="s">
        <v>727</v>
      </c>
      <c r="N26" s="23" t="s">
        <v>2555</v>
      </c>
      <c r="O26" s="23" t="s">
        <v>2555</v>
      </c>
    </row>
    <row r="27" spans="2:15">
      <c r="B27" s="25" t="s">
        <v>2424</v>
      </c>
      <c r="C27" s="79" t="s">
        <v>290</v>
      </c>
      <c r="D27" s="966">
        <v>1</v>
      </c>
      <c r="E27" s="966">
        <v>0.52</v>
      </c>
      <c r="F27" s="1224">
        <v>0.43</v>
      </c>
      <c r="G27" s="79" t="s">
        <v>2579</v>
      </c>
      <c r="H27" s="966" t="s">
        <v>237</v>
      </c>
      <c r="I27" s="79" t="s">
        <v>1922</v>
      </c>
      <c r="J27" s="79" t="s">
        <v>753</v>
      </c>
      <c r="K27" s="966" t="s">
        <v>1600</v>
      </c>
      <c r="L27" s="26" t="s">
        <v>727</v>
      </c>
      <c r="M27" s="26" t="s">
        <v>727</v>
      </c>
      <c r="N27" s="26" t="s">
        <v>2555</v>
      </c>
      <c r="O27" s="26" t="s">
        <v>2555</v>
      </c>
    </row>
    <row r="28" spans="2:15">
      <c r="B28" s="22" t="s">
        <v>2426</v>
      </c>
      <c r="C28" s="80" t="s">
        <v>290</v>
      </c>
      <c r="D28" s="454">
        <v>1</v>
      </c>
      <c r="E28" s="454">
        <v>0.86</v>
      </c>
      <c r="F28" s="967">
        <v>0.86</v>
      </c>
      <c r="G28" s="80" t="s">
        <v>2580</v>
      </c>
      <c r="H28" s="454" t="s">
        <v>237</v>
      </c>
      <c r="I28" s="80" t="s">
        <v>1922</v>
      </c>
      <c r="J28" s="80" t="s">
        <v>753</v>
      </c>
      <c r="K28" s="454" t="s">
        <v>1600</v>
      </c>
      <c r="L28" s="23" t="s">
        <v>727</v>
      </c>
      <c r="M28" s="23" t="s">
        <v>727</v>
      </c>
      <c r="N28" s="23" t="s">
        <v>2555</v>
      </c>
      <c r="O28" s="23" t="s">
        <v>2555</v>
      </c>
    </row>
    <row r="29" spans="2:15">
      <c r="B29" s="25" t="s">
        <v>2428</v>
      </c>
      <c r="C29" s="79" t="s">
        <v>290</v>
      </c>
      <c r="D29" s="966">
        <v>1</v>
      </c>
      <c r="E29" s="966">
        <v>1.52</v>
      </c>
      <c r="F29" s="1224">
        <v>1.27</v>
      </c>
      <c r="G29" s="79" t="s">
        <v>2581</v>
      </c>
      <c r="H29" s="966" t="s">
        <v>237</v>
      </c>
      <c r="I29" s="79" t="s">
        <v>1922</v>
      </c>
      <c r="J29" s="79" t="s">
        <v>753</v>
      </c>
      <c r="K29" s="966" t="s">
        <v>1600</v>
      </c>
      <c r="L29" s="26" t="s">
        <v>727</v>
      </c>
      <c r="M29" s="26" t="s">
        <v>727</v>
      </c>
      <c r="N29" s="26" t="s">
        <v>2555</v>
      </c>
      <c r="O29" s="26" t="s">
        <v>2555</v>
      </c>
    </row>
    <row r="30" spans="2:15">
      <c r="B30" s="22" t="s">
        <v>2430</v>
      </c>
      <c r="C30" s="80" t="s">
        <v>290</v>
      </c>
      <c r="D30" s="454">
        <v>1</v>
      </c>
      <c r="E30" s="454">
        <v>0.71</v>
      </c>
      <c r="F30" s="967">
        <v>0.6</v>
      </c>
      <c r="G30" s="80" t="s">
        <v>2582</v>
      </c>
      <c r="H30" s="454" t="s">
        <v>237</v>
      </c>
      <c r="I30" s="80" t="s">
        <v>1922</v>
      </c>
      <c r="J30" s="80" t="s">
        <v>753</v>
      </c>
      <c r="K30" s="454" t="s">
        <v>1600</v>
      </c>
      <c r="L30" s="23" t="s">
        <v>727</v>
      </c>
      <c r="M30" s="23" t="s">
        <v>727</v>
      </c>
      <c r="N30" s="23" t="s">
        <v>2555</v>
      </c>
      <c r="O30" s="23" t="s">
        <v>2555</v>
      </c>
    </row>
    <row r="31" spans="2:15">
      <c r="B31" s="25" t="s">
        <v>2433</v>
      </c>
      <c r="C31" s="79" t="s">
        <v>290</v>
      </c>
      <c r="D31" s="966">
        <v>1</v>
      </c>
      <c r="E31" s="966">
        <v>0.77</v>
      </c>
      <c r="F31" s="1224">
        <v>0.42</v>
      </c>
      <c r="G31" s="79" t="s">
        <v>2583</v>
      </c>
      <c r="H31" s="966" t="s">
        <v>237</v>
      </c>
      <c r="I31" s="79" t="s">
        <v>1922</v>
      </c>
      <c r="J31" s="79" t="s">
        <v>753</v>
      </c>
      <c r="K31" s="966" t="s">
        <v>1600</v>
      </c>
      <c r="L31" s="26" t="s">
        <v>727</v>
      </c>
      <c r="M31" s="26" t="s">
        <v>727</v>
      </c>
      <c r="N31" s="26" t="s">
        <v>2555</v>
      </c>
      <c r="O31" s="26" t="s">
        <v>2555</v>
      </c>
    </row>
    <row r="32" spans="2:15">
      <c r="B32" s="22" t="s">
        <v>2435</v>
      </c>
      <c r="C32" s="80" t="s">
        <v>290</v>
      </c>
      <c r="D32" s="454">
        <v>1</v>
      </c>
      <c r="E32" s="454">
        <v>0.3</v>
      </c>
      <c r="F32" s="967">
        <v>0.5</v>
      </c>
      <c r="G32" s="80" t="s">
        <v>2584</v>
      </c>
      <c r="H32" s="454" t="s">
        <v>237</v>
      </c>
      <c r="I32" s="80" t="s">
        <v>1922</v>
      </c>
      <c r="J32" s="80" t="s">
        <v>768</v>
      </c>
      <c r="K32" s="454" t="s">
        <v>1600</v>
      </c>
      <c r="L32" s="23" t="s">
        <v>727</v>
      </c>
      <c r="M32" s="23" t="s">
        <v>727</v>
      </c>
      <c r="N32" s="23" t="s">
        <v>2555</v>
      </c>
      <c r="O32" s="23" t="s">
        <v>2555</v>
      </c>
    </row>
    <row r="33" spans="2:15">
      <c r="B33" s="25" t="s">
        <v>2437</v>
      </c>
      <c r="C33" s="79" t="s">
        <v>290</v>
      </c>
      <c r="D33" s="966">
        <v>1</v>
      </c>
      <c r="E33" s="966">
        <v>0.76</v>
      </c>
      <c r="F33" s="1224">
        <v>0.43</v>
      </c>
      <c r="G33" s="79" t="s">
        <v>2585</v>
      </c>
      <c r="H33" s="966" t="s">
        <v>237</v>
      </c>
      <c r="I33" s="79" t="s">
        <v>1922</v>
      </c>
      <c r="J33" s="79" t="s">
        <v>768</v>
      </c>
      <c r="K33" s="966" t="s">
        <v>1600</v>
      </c>
      <c r="L33" s="26" t="s">
        <v>727</v>
      </c>
      <c r="M33" s="26" t="s">
        <v>727</v>
      </c>
      <c r="N33" s="26" t="s">
        <v>2555</v>
      </c>
      <c r="O33" s="26" t="s">
        <v>2555</v>
      </c>
    </row>
    <row r="34" spans="2:15">
      <c r="B34" s="22" t="s">
        <v>2439</v>
      </c>
      <c r="C34" s="80" t="s">
        <v>290</v>
      </c>
      <c r="D34" s="454">
        <v>1</v>
      </c>
      <c r="E34" s="454">
        <v>0.45</v>
      </c>
      <c r="F34" s="967">
        <v>0.52</v>
      </c>
      <c r="G34" s="80" t="s">
        <v>2586</v>
      </c>
      <c r="H34" s="454" t="s">
        <v>237</v>
      </c>
      <c r="I34" s="80" t="s">
        <v>1922</v>
      </c>
      <c r="J34" s="80" t="s">
        <v>769</v>
      </c>
      <c r="K34" s="454" t="s">
        <v>1600</v>
      </c>
      <c r="L34" s="23" t="s">
        <v>727</v>
      </c>
      <c r="M34" s="23" t="s">
        <v>727</v>
      </c>
      <c r="N34" s="23" t="s">
        <v>2555</v>
      </c>
      <c r="O34" s="23" t="s">
        <v>2555</v>
      </c>
    </row>
    <row r="35" spans="2:15">
      <c r="B35" s="25" t="s">
        <v>2442</v>
      </c>
      <c r="C35" s="79" t="s">
        <v>290</v>
      </c>
      <c r="D35" s="966">
        <v>1</v>
      </c>
      <c r="E35" s="966">
        <v>1.77</v>
      </c>
      <c r="F35" s="1224">
        <v>0.7</v>
      </c>
      <c r="G35" s="79" t="s">
        <v>2587</v>
      </c>
      <c r="H35" s="966" t="s">
        <v>237</v>
      </c>
      <c r="I35" s="79" t="s">
        <v>1922</v>
      </c>
      <c r="J35" s="79" t="s">
        <v>768</v>
      </c>
      <c r="K35" s="966" t="s">
        <v>1600</v>
      </c>
      <c r="L35" s="26" t="s">
        <v>727</v>
      </c>
      <c r="M35" s="26" t="s">
        <v>727</v>
      </c>
      <c r="N35" s="26" t="s">
        <v>2555</v>
      </c>
      <c r="O35" s="26" t="s">
        <v>2555</v>
      </c>
    </row>
    <row r="36" spans="2:15">
      <c r="B36" s="22" t="s">
        <v>2444</v>
      </c>
      <c r="C36" s="80" t="s">
        <v>290</v>
      </c>
      <c r="D36" s="454">
        <v>1</v>
      </c>
      <c r="E36" s="454">
        <v>1.93</v>
      </c>
      <c r="F36" s="967">
        <v>1.77</v>
      </c>
      <c r="G36" s="80" t="s">
        <v>2588</v>
      </c>
      <c r="H36" s="454" t="s">
        <v>237</v>
      </c>
      <c r="I36" s="80" t="s">
        <v>1922</v>
      </c>
      <c r="J36" s="80" t="s">
        <v>768</v>
      </c>
      <c r="K36" s="454" t="s">
        <v>1600</v>
      </c>
      <c r="L36" s="23" t="s">
        <v>727</v>
      </c>
      <c r="M36" s="23" t="s">
        <v>727</v>
      </c>
      <c r="N36" s="23" t="s">
        <v>2555</v>
      </c>
      <c r="O36" s="23" t="s">
        <v>2555</v>
      </c>
    </row>
    <row r="37" spans="2:15">
      <c r="B37" s="25" t="s">
        <v>2446</v>
      </c>
      <c r="C37" s="79" t="s">
        <v>290</v>
      </c>
      <c r="D37" s="966">
        <v>1</v>
      </c>
      <c r="E37" s="966">
        <v>0.45</v>
      </c>
      <c r="F37" s="1224">
        <v>0.45</v>
      </c>
      <c r="G37" s="79" t="s">
        <v>2589</v>
      </c>
      <c r="H37" s="966" t="s">
        <v>237</v>
      </c>
      <c r="I37" s="79" t="s">
        <v>1922</v>
      </c>
      <c r="J37" s="79" t="s">
        <v>768</v>
      </c>
      <c r="K37" s="966" t="s">
        <v>1600</v>
      </c>
      <c r="L37" s="26" t="s">
        <v>727</v>
      </c>
      <c r="M37" s="26" t="s">
        <v>727</v>
      </c>
      <c r="N37" s="26" t="s">
        <v>2555</v>
      </c>
      <c r="O37" s="26" t="s">
        <v>2555</v>
      </c>
    </row>
    <row r="38" spans="2:15">
      <c r="B38" s="22" t="s">
        <v>2447</v>
      </c>
      <c r="C38" s="80" t="s">
        <v>290</v>
      </c>
      <c r="D38" s="454">
        <v>1</v>
      </c>
      <c r="E38" s="454">
        <v>0.18</v>
      </c>
      <c r="F38" s="967">
        <v>0.23</v>
      </c>
      <c r="G38" s="80" t="s">
        <v>2590</v>
      </c>
      <c r="H38" s="454" t="s">
        <v>237</v>
      </c>
      <c r="I38" s="80" t="s">
        <v>1922</v>
      </c>
      <c r="J38" s="80" t="s">
        <v>768</v>
      </c>
      <c r="K38" s="454" t="s">
        <v>1600</v>
      </c>
      <c r="L38" s="23" t="s">
        <v>727</v>
      </c>
      <c r="M38" s="23" t="s">
        <v>727</v>
      </c>
      <c r="N38" s="23" t="s">
        <v>2555</v>
      </c>
      <c r="O38" s="23" t="s">
        <v>2555</v>
      </c>
    </row>
    <row r="39" spans="2:15">
      <c r="B39" s="25" t="s">
        <v>2449</v>
      </c>
      <c r="C39" s="79" t="s">
        <v>290</v>
      </c>
      <c r="D39" s="966">
        <v>1</v>
      </c>
      <c r="E39" s="966">
        <v>0.79</v>
      </c>
      <c r="F39" s="1224">
        <v>1.0900000000000001</v>
      </c>
      <c r="G39" s="79" t="s">
        <v>2591</v>
      </c>
      <c r="H39" s="966" t="s">
        <v>237</v>
      </c>
      <c r="I39" s="79" t="s">
        <v>1922</v>
      </c>
      <c r="J39" s="79" t="s">
        <v>762</v>
      </c>
      <c r="K39" s="966" t="s">
        <v>1600</v>
      </c>
      <c r="L39" s="26" t="s">
        <v>727</v>
      </c>
      <c r="M39" s="26" t="s">
        <v>727</v>
      </c>
      <c r="N39" s="26" t="s">
        <v>2555</v>
      </c>
      <c r="O39" s="26" t="s">
        <v>2555</v>
      </c>
    </row>
    <row r="40" spans="2:15">
      <c r="B40" s="22" t="s">
        <v>2451</v>
      </c>
      <c r="C40" s="80" t="s">
        <v>290</v>
      </c>
      <c r="D40" s="454">
        <v>1</v>
      </c>
      <c r="E40" s="454">
        <v>0.38</v>
      </c>
      <c r="F40" s="967">
        <v>0.41</v>
      </c>
      <c r="G40" s="80" t="s">
        <v>2592</v>
      </c>
      <c r="H40" s="454" t="s">
        <v>237</v>
      </c>
      <c r="I40" s="80" t="s">
        <v>1922</v>
      </c>
      <c r="J40" s="80" t="s">
        <v>766</v>
      </c>
      <c r="K40" s="454" t="s">
        <v>1600</v>
      </c>
      <c r="L40" s="23" t="s">
        <v>727</v>
      </c>
      <c r="M40" s="23" t="s">
        <v>727</v>
      </c>
      <c r="N40" s="23" t="s">
        <v>2555</v>
      </c>
      <c r="O40" s="23" t="s">
        <v>2555</v>
      </c>
    </row>
    <row r="41" spans="2:15">
      <c r="B41" s="25" t="s">
        <v>2453</v>
      </c>
      <c r="C41" s="79" t="s">
        <v>290</v>
      </c>
      <c r="D41" s="966">
        <v>1</v>
      </c>
      <c r="E41" s="966">
        <v>0.57999999999999996</v>
      </c>
      <c r="F41" s="1224">
        <v>0.9</v>
      </c>
      <c r="G41" s="79" t="s">
        <v>2593</v>
      </c>
      <c r="H41" s="966" t="s">
        <v>237</v>
      </c>
      <c r="I41" s="79" t="s">
        <v>1922</v>
      </c>
      <c r="J41" s="79" t="s">
        <v>755</v>
      </c>
      <c r="K41" s="966" t="s">
        <v>1600</v>
      </c>
      <c r="L41" s="26" t="s">
        <v>727</v>
      </c>
      <c r="M41" s="26" t="s">
        <v>727</v>
      </c>
      <c r="N41" s="26" t="s">
        <v>2555</v>
      </c>
      <c r="O41" s="26" t="s">
        <v>2555</v>
      </c>
    </row>
    <row r="42" spans="2:15">
      <c r="B42" s="22" t="s">
        <v>2454</v>
      </c>
      <c r="C42" s="80" t="s">
        <v>290</v>
      </c>
      <c r="D42" s="454">
        <v>1</v>
      </c>
      <c r="E42" s="454">
        <v>0.57999999999999996</v>
      </c>
      <c r="F42" s="967">
        <v>0.9</v>
      </c>
      <c r="G42" s="80" t="s">
        <v>2594</v>
      </c>
      <c r="H42" s="454" t="s">
        <v>237</v>
      </c>
      <c r="I42" s="80" t="s">
        <v>1922</v>
      </c>
      <c r="J42" s="80" t="s">
        <v>755</v>
      </c>
      <c r="K42" s="454" t="s">
        <v>1600</v>
      </c>
      <c r="L42" s="23" t="s">
        <v>727</v>
      </c>
      <c r="M42" s="23" t="s">
        <v>727</v>
      </c>
      <c r="N42" s="23" t="s">
        <v>2555</v>
      </c>
      <c r="O42" s="23" t="s">
        <v>2555</v>
      </c>
    </row>
    <row r="43" spans="2:15">
      <c r="B43" s="25" t="s">
        <v>2455</v>
      </c>
      <c r="C43" s="79" t="s">
        <v>290</v>
      </c>
      <c r="D43" s="966">
        <v>1</v>
      </c>
      <c r="E43" s="966">
        <v>0.96</v>
      </c>
      <c r="F43" s="1224">
        <v>0.85</v>
      </c>
      <c r="G43" s="79" t="s">
        <v>2595</v>
      </c>
      <c r="H43" s="966" t="s">
        <v>237</v>
      </c>
      <c r="I43" s="79" t="s">
        <v>1922</v>
      </c>
      <c r="J43" s="79" t="s">
        <v>755</v>
      </c>
      <c r="K43" s="966" t="s">
        <v>1600</v>
      </c>
      <c r="L43" s="26" t="s">
        <v>727</v>
      </c>
      <c r="M43" s="26" t="s">
        <v>727</v>
      </c>
      <c r="N43" s="26" t="s">
        <v>2555</v>
      </c>
      <c r="O43" s="26" t="s">
        <v>2555</v>
      </c>
    </row>
    <row r="44" spans="2:15">
      <c r="B44" s="22" t="s">
        <v>2456</v>
      </c>
      <c r="C44" s="80" t="s">
        <v>290</v>
      </c>
      <c r="D44" s="454">
        <v>1</v>
      </c>
      <c r="E44" s="454">
        <v>0.96</v>
      </c>
      <c r="F44" s="967">
        <v>0.85</v>
      </c>
      <c r="G44" s="80" t="s">
        <v>2596</v>
      </c>
      <c r="H44" s="454" t="s">
        <v>237</v>
      </c>
      <c r="I44" s="80" t="s">
        <v>1922</v>
      </c>
      <c r="J44" s="80" t="s">
        <v>755</v>
      </c>
      <c r="K44" s="454" t="s">
        <v>1600</v>
      </c>
      <c r="L44" s="23" t="s">
        <v>727</v>
      </c>
      <c r="M44" s="23" t="s">
        <v>727</v>
      </c>
      <c r="N44" s="23" t="s">
        <v>2555</v>
      </c>
      <c r="O44" s="23" t="s">
        <v>2555</v>
      </c>
    </row>
    <row r="45" spans="2:15">
      <c r="B45" s="25" t="s">
        <v>2457</v>
      </c>
      <c r="C45" s="79" t="s">
        <v>290</v>
      </c>
      <c r="D45" s="966">
        <v>1</v>
      </c>
      <c r="E45" s="966">
        <v>1.33</v>
      </c>
      <c r="F45" s="1224">
        <v>1.4</v>
      </c>
      <c r="G45" s="79" t="s">
        <v>2597</v>
      </c>
      <c r="H45" s="966" t="s">
        <v>237</v>
      </c>
      <c r="I45" s="79" t="s">
        <v>1922</v>
      </c>
      <c r="J45" s="79" t="s">
        <v>768</v>
      </c>
      <c r="K45" s="966" t="s">
        <v>1600</v>
      </c>
      <c r="L45" s="26" t="s">
        <v>727</v>
      </c>
      <c r="M45" s="26" t="s">
        <v>727</v>
      </c>
      <c r="N45" s="26" t="s">
        <v>2555</v>
      </c>
      <c r="O45" s="26" t="s">
        <v>2555</v>
      </c>
    </row>
    <row r="46" spans="2:15">
      <c r="B46" s="22" t="s">
        <v>2458</v>
      </c>
      <c r="C46" s="80" t="s">
        <v>290</v>
      </c>
      <c r="D46" s="454">
        <v>1</v>
      </c>
      <c r="E46" s="454">
        <v>1.06</v>
      </c>
      <c r="F46" s="967">
        <v>0.94</v>
      </c>
      <c r="G46" s="80" t="s">
        <v>2598</v>
      </c>
      <c r="H46" s="454" t="s">
        <v>237</v>
      </c>
      <c r="I46" s="80" t="s">
        <v>1922</v>
      </c>
      <c r="J46" s="80" t="s">
        <v>768</v>
      </c>
      <c r="K46" s="454" t="s">
        <v>1600</v>
      </c>
      <c r="L46" s="23" t="s">
        <v>727</v>
      </c>
      <c r="M46" s="23" t="s">
        <v>727</v>
      </c>
      <c r="N46" s="23" t="s">
        <v>2555</v>
      </c>
      <c r="O46" s="23" t="s">
        <v>2555</v>
      </c>
    </row>
    <row r="47" spans="2:15">
      <c r="B47" s="25" t="s">
        <v>2459</v>
      </c>
      <c r="C47" s="79" t="s">
        <v>290</v>
      </c>
      <c r="D47" s="966">
        <v>1</v>
      </c>
      <c r="E47" s="966">
        <v>0.59</v>
      </c>
      <c r="F47" s="1224">
        <v>0.62</v>
      </c>
      <c r="G47" s="79" t="s">
        <v>2599</v>
      </c>
      <c r="H47" s="966" t="s">
        <v>237</v>
      </c>
      <c r="I47" s="79" t="s">
        <v>1922</v>
      </c>
      <c r="J47" s="79" t="s">
        <v>768</v>
      </c>
      <c r="K47" s="966" t="s">
        <v>1600</v>
      </c>
      <c r="L47" s="26" t="s">
        <v>700</v>
      </c>
      <c r="M47" s="26" t="s">
        <v>739</v>
      </c>
      <c r="N47" s="26" t="s">
        <v>2555</v>
      </c>
      <c r="O47" s="26" t="s">
        <v>2555</v>
      </c>
    </row>
    <row r="48" spans="2:15">
      <c r="B48" s="22" t="s">
        <v>2460</v>
      </c>
      <c r="C48" s="80" t="s">
        <v>290</v>
      </c>
      <c r="D48" s="454">
        <v>1</v>
      </c>
      <c r="E48" s="454">
        <v>0.56999999999999995</v>
      </c>
      <c r="F48" s="967">
        <v>1.17</v>
      </c>
      <c r="G48" s="80" t="s">
        <v>2600</v>
      </c>
      <c r="H48" s="454" t="s">
        <v>237</v>
      </c>
      <c r="I48" s="80" t="s">
        <v>1922</v>
      </c>
      <c r="J48" s="80" t="s">
        <v>768</v>
      </c>
      <c r="K48" s="454" t="s">
        <v>1600</v>
      </c>
      <c r="L48" s="23" t="s">
        <v>727</v>
      </c>
      <c r="M48" s="23" t="s">
        <v>727</v>
      </c>
      <c r="N48" s="23" t="s">
        <v>2555</v>
      </c>
      <c r="O48" s="23" t="s">
        <v>2555</v>
      </c>
    </row>
    <row r="49" spans="2:15">
      <c r="B49" s="25" t="s">
        <v>2461</v>
      </c>
      <c r="C49" s="79" t="s">
        <v>290</v>
      </c>
      <c r="D49" s="966">
        <v>1</v>
      </c>
      <c r="E49" s="966">
        <v>0.7</v>
      </c>
      <c r="F49" s="1224">
        <v>0.92</v>
      </c>
      <c r="G49" s="79" t="s">
        <v>2601</v>
      </c>
      <c r="H49" s="966" t="s">
        <v>237</v>
      </c>
      <c r="I49" s="79" t="s">
        <v>1922</v>
      </c>
      <c r="J49" s="79" t="s">
        <v>768</v>
      </c>
      <c r="K49" s="966" t="s">
        <v>1600</v>
      </c>
      <c r="L49" s="26" t="s">
        <v>727</v>
      </c>
      <c r="M49" s="26" t="s">
        <v>727</v>
      </c>
      <c r="N49" s="26" t="s">
        <v>2555</v>
      </c>
      <c r="O49" s="26" t="s">
        <v>2555</v>
      </c>
    </row>
    <row r="50" spans="2:15">
      <c r="B50" s="22" t="s">
        <v>2462</v>
      </c>
      <c r="C50" s="80" t="s">
        <v>290</v>
      </c>
      <c r="D50" s="454">
        <v>1</v>
      </c>
      <c r="E50" s="454">
        <v>1.51</v>
      </c>
      <c r="F50" s="967">
        <v>2.2599999999999998</v>
      </c>
      <c r="G50" s="80" t="s">
        <v>2602</v>
      </c>
      <c r="H50" s="454" t="s">
        <v>237</v>
      </c>
      <c r="I50" s="80" t="s">
        <v>1922</v>
      </c>
      <c r="J50" s="80" t="s">
        <v>768</v>
      </c>
      <c r="K50" s="454" t="s">
        <v>1600</v>
      </c>
      <c r="L50" s="23" t="s">
        <v>727</v>
      </c>
      <c r="M50" s="23" t="s">
        <v>727</v>
      </c>
      <c r="N50" s="23" t="s">
        <v>2555</v>
      </c>
      <c r="O50" s="23" t="s">
        <v>2555</v>
      </c>
    </row>
    <row r="51" spans="2:15">
      <c r="B51" s="25" t="s">
        <v>2463</v>
      </c>
      <c r="C51" s="79" t="s">
        <v>290</v>
      </c>
      <c r="D51" s="966">
        <v>1</v>
      </c>
      <c r="E51" s="966">
        <v>0.5</v>
      </c>
      <c r="F51" s="1224">
        <v>0.68</v>
      </c>
      <c r="G51" s="79" t="s">
        <v>2603</v>
      </c>
      <c r="H51" s="966" t="s">
        <v>237</v>
      </c>
      <c r="I51" s="79" t="s">
        <v>1922</v>
      </c>
      <c r="J51" s="79" t="s">
        <v>760</v>
      </c>
      <c r="K51" s="966" t="s">
        <v>1600</v>
      </c>
      <c r="L51" s="26" t="s">
        <v>727</v>
      </c>
      <c r="M51" s="26" t="s">
        <v>727</v>
      </c>
      <c r="N51" s="26" t="s">
        <v>2555</v>
      </c>
      <c r="O51" s="26" t="s">
        <v>2555</v>
      </c>
    </row>
    <row r="52" spans="2:15">
      <c r="B52" s="22" t="s">
        <v>2465</v>
      </c>
      <c r="C52" s="80" t="s">
        <v>290</v>
      </c>
      <c r="D52" s="454">
        <v>1</v>
      </c>
      <c r="E52" s="454">
        <v>0.73</v>
      </c>
      <c r="F52" s="967">
        <v>0.91</v>
      </c>
      <c r="G52" s="80" t="s">
        <v>2604</v>
      </c>
      <c r="H52" s="454" t="s">
        <v>237</v>
      </c>
      <c r="I52" s="80" t="s">
        <v>1922</v>
      </c>
      <c r="J52" s="80" t="s">
        <v>768</v>
      </c>
      <c r="K52" s="454" t="s">
        <v>1600</v>
      </c>
      <c r="L52" s="23" t="s">
        <v>727</v>
      </c>
      <c r="M52" s="23" t="s">
        <v>727</v>
      </c>
      <c r="N52" s="23" t="s">
        <v>2555</v>
      </c>
      <c r="O52" s="23" t="s">
        <v>2555</v>
      </c>
    </row>
    <row r="53" spans="2:15">
      <c r="B53" s="25" t="s">
        <v>2467</v>
      </c>
      <c r="C53" s="79" t="s">
        <v>290</v>
      </c>
      <c r="D53" s="966">
        <v>1</v>
      </c>
      <c r="E53" s="966">
        <v>0.92</v>
      </c>
      <c r="F53" s="1224">
        <v>1.25</v>
      </c>
      <c r="G53" s="79" t="s">
        <v>2605</v>
      </c>
      <c r="H53" s="966" t="s">
        <v>237</v>
      </c>
      <c r="I53" s="79" t="s">
        <v>1922</v>
      </c>
      <c r="J53" s="79" t="s">
        <v>768</v>
      </c>
      <c r="K53" s="966" t="s">
        <v>1600</v>
      </c>
      <c r="L53" s="26" t="s">
        <v>727</v>
      </c>
      <c r="M53" s="26" t="s">
        <v>727</v>
      </c>
      <c r="N53" s="26" t="s">
        <v>2555</v>
      </c>
      <c r="O53" s="26" t="s">
        <v>2555</v>
      </c>
    </row>
    <row r="54" spans="2:15">
      <c r="B54" s="22" t="s">
        <v>2469</v>
      </c>
      <c r="C54" s="80" t="s">
        <v>290</v>
      </c>
      <c r="D54" s="454">
        <v>1</v>
      </c>
      <c r="E54" s="454">
        <v>1.02</v>
      </c>
      <c r="F54" s="967">
        <v>1.1100000000000001</v>
      </c>
      <c r="G54" s="80" t="s">
        <v>2606</v>
      </c>
      <c r="H54" s="454" t="s">
        <v>237</v>
      </c>
      <c r="I54" s="80" t="s">
        <v>1922</v>
      </c>
      <c r="J54" s="80" t="s">
        <v>747</v>
      </c>
      <c r="K54" s="454" t="s">
        <v>1600</v>
      </c>
      <c r="L54" s="23" t="s">
        <v>727</v>
      </c>
      <c r="M54" s="23" t="s">
        <v>727</v>
      </c>
      <c r="N54" s="23" t="s">
        <v>2555</v>
      </c>
      <c r="O54" s="23" t="s">
        <v>2555</v>
      </c>
    </row>
    <row r="55" spans="2:15">
      <c r="B55" s="25" t="s">
        <v>2471</v>
      </c>
      <c r="C55" s="79" t="s">
        <v>290</v>
      </c>
      <c r="D55" s="966">
        <v>1</v>
      </c>
      <c r="E55" s="966">
        <v>1.45</v>
      </c>
      <c r="F55" s="1224">
        <v>1.33</v>
      </c>
      <c r="G55" s="79" t="s">
        <v>2607</v>
      </c>
      <c r="H55" s="966" t="s">
        <v>237</v>
      </c>
      <c r="I55" s="79" t="s">
        <v>1922</v>
      </c>
      <c r="J55" s="79" t="s">
        <v>768</v>
      </c>
      <c r="K55" s="966" t="s">
        <v>1600</v>
      </c>
      <c r="L55" s="26" t="s">
        <v>727</v>
      </c>
      <c r="M55" s="26" t="s">
        <v>727</v>
      </c>
      <c r="N55" s="26" t="s">
        <v>2555</v>
      </c>
      <c r="O55" s="26" t="s">
        <v>2555</v>
      </c>
    </row>
    <row r="56" spans="2:15">
      <c r="B56" s="22" t="s">
        <v>2473</v>
      </c>
      <c r="C56" s="80" t="s">
        <v>290</v>
      </c>
      <c r="D56" s="454">
        <v>1</v>
      </c>
      <c r="E56" s="454">
        <v>0.48</v>
      </c>
      <c r="F56" s="967">
        <v>0.53</v>
      </c>
      <c r="G56" s="80" t="s">
        <v>2608</v>
      </c>
      <c r="H56" s="454" t="s">
        <v>237</v>
      </c>
      <c r="I56" s="80" t="s">
        <v>1922</v>
      </c>
      <c r="J56" s="80" t="s">
        <v>768</v>
      </c>
      <c r="K56" s="454" t="s">
        <v>1600</v>
      </c>
      <c r="L56" s="23" t="s">
        <v>727</v>
      </c>
      <c r="M56" s="23" t="s">
        <v>727</v>
      </c>
      <c r="N56" s="23" t="s">
        <v>2555</v>
      </c>
      <c r="O56" s="23" t="s">
        <v>2555</v>
      </c>
    </row>
    <row r="57" spans="2:15">
      <c r="B57" s="25" t="s">
        <v>2474</v>
      </c>
      <c r="C57" s="79" t="s">
        <v>290</v>
      </c>
      <c r="D57" s="966">
        <v>1</v>
      </c>
      <c r="E57" s="966">
        <v>0.74</v>
      </c>
      <c r="F57" s="1244">
        <v>0.31</v>
      </c>
      <c r="G57" s="79" t="s">
        <v>2609</v>
      </c>
      <c r="H57" s="966" t="s">
        <v>237</v>
      </c>
      <c r="I57" s="79" t="s">
        <v>1922</v>
      </c>
      <c r="J57" s="79" t="s">
        <v>763</v>
      </c>
      <c r="K57" s="966" t="s">
        <v>1600</v>
      </c>
      <c r="L57" s="26" t="s">
        <v>727</v>
      </c>
      <c r="M57" s="26" t="s">
        <v>727</v>
      </c>
      <c r="N57" s="26" t="s">
        <v>2555</v>
      </c>
      <c r="O57" s="26" t="s">
        <v>2555</v>
      </c>
    </row>
    <row r="58" spans="2:15">
      <c r="B58" s="22" t="s">
        <v>2475</v>
      </c>
      <c r="C58" s="80" t="s">
        <v>290</v>
      </c>
      <c r="D58" s="454">
        <v>1</v>
      </c>
      <c r="E58" s="454">
        <v>1.37</v>
      </c>
      <c r="F58" s="967">
        <v>1.1000000000000001</v>
      </c>
      <c r="G58" s="80" t="s">
        <v>2610</v>
      </c>
      <c r="H58" s="454" t="s">
        <v>237</v>
      </c>
      <c r="I58" s="80" t="s">
        <v>1922</v>
      </c>
      <c r="J58" s="80" t="s">
        <v>763</v>
      </c>
      <c r="K58" s="454" t="s">
        <v>1600</v>
      </c>
      <c r="L58" s="23" t="s">
        <v>700</v>
      </c>
      <c r="M58" s="1231" t="s">
        <v>739</v>
      </c>
      <c r="N58" s="1231" t="s">
        <v>2555</v>
      </c>
      <c r="O58" s="1231" t="s">
        <v>2555</v>
      </c>
    </row>
    <row r="59" spans="2:15">
      <c r="B59" s="25" t="s">
        <v>2476</v>
      </c>
      <c r="C59" s="79" t="s">
        <v>290</v>
      </c>
      <c r="D59" s="966">
        <v>1</v>
      </c>
      <c r="E59" s="966">
        <v>0.38</v>
      </c>
      <c r="F59" s="1224">
        <v>0.88</v>
      </c>
      <c r="G59" s="79" t="s">
        <v>2611</v>
      </c>
      <c r="H59" s="966" t="s">
        <v>237</v>
      </c>
      <c r="I59" s="79" t="s">
        <v>1922</v>
      </c>
      <c r="J59" s="79" t="s">
        <v>768</v>
      </c>
      <c r="K59" s="966" t="s">
        <v>1600</v>
      </c>
      <c r="L59" s="26" t="s">
        <v>727</v>
      </c>
      <c r="M59" s="26" t="s">
        <v>727</v>
      </c>
      <c r="N59" s="26" t="s">
        <v>2555</v>
      </c>
      <c r="O59" s="26" t="s">
        <v>2555</v>
      </c>
    </row>
    <row r="60" spans="2:15">
      <c r="B60" s="22" t="s">
        <v>2477</v>
      </c>
      <c r="C60" s="80" t="s">
        <v>290</v>
      </c>
      <c r="D60" s="454">
        <v>1</v>
      </c>
      <c r="E60" s="454">
        <v>0.72</v>
      </c>
      <c r="F60" s="967">
        <v>0.84</v>
      </c>
      <c r="G60" s="80" t="s">
        <v>2612</v>
      </c>
      <c r="H60" s="454" t="s">
        <v>237</v>
      </c>
      <c r="I60" s="80" t="s">
        <v>1922</v>
      </c>
      <c r="J60" s="80" t="s">
        <v>764</v>
      </c>
      <c r="K60" s="454" t="s">
        <v>1600</v>
      </c>
      <c r="L60" s="23" t="s">
        <v>727</v>
      </c>
      <c r="M60" s="23" t="s">
        <v>727</v>
      </c>
      <c r="N60" s="455" t="s">
        <v>2555</v>
      </c>
      <c r="O60" s="455" t="s">
        <v>2555</v>
      </c>
    </row>
    <row r="61" spans="2:15">
      <c r="B61" s="25" t="s">
        <v>2478</v>
      </c>
      <c r="C61" s="79" t="s">
        <v>290</v>
      </c>
      <c r="D61" s="966">
        <v>1</v>
      </c>
      <c r="E61" s="966">
        <v>0.51</v>
      </c>
      <c r="F61" s="1224">
        <v>0.65</v>
      </c>
      <c r="G61" s="79" t="s">
        <v>2613</v>
      </c>
      <c r="H61" s="966" t="s">
        <v>237</v>
      </c>
      <c r="I61" s="79" t="s">
        <v>1922</v>
      </c>
      <c r="J61" s="79" t="s">
        <v>764</v>
      </c>
      <c r="K61" s="966" t="s">
        <v>1600</v>
      </c>
      <c r="L61" s="26" t="s">
        <v>727</v>
      </c>
      <c r="M61" s="26" t="s">
        <v>727</v>
      </c>
      <c r="N61" s="1229" t="s">
        <v>2555</v>
      </c>
      <c r="O61" s="1229" t="s">
        <v>2555</v>
      </c>
    </row>
    <row r="62" spans="2:15">
      <c r="B62" s="22" t="s">
        <v>2479</v>
      </c>
      <c r="C62" s="80" t="s">
        <v>290</v>
      </c>
      <c r="D62" s="454">
        <v>1</v>
      </c>
      <c r="E62" s="454">
        <v>1.44</v>
      </c>
      <c r="F62" s="967">
        <v>1.69</v>
      </c>
      <c r="G62" s="80" t="s">
        <v>2614</v>
      </c>
      <c r="H62" s="454" t="s">
        <v>237</v>
      </c>
      <c r="I62" s="80" t="s">
        <v>1922</v>
      </c>
      <c r="J62" s="80" t="s">
        <v>764</v>
      </c>
      <c r="K62" s="454" t="s">
        <v>1600</v>
      </c>
      <c r="L62" s="23" t="s">
        <v>727</v>
      </c>
      <c r="M62" s="23" t="s">
        <v>727</v>
      </c>
      <c r="N62" s="455" t="s">
        <v>2555</v>
      </c>
      <c r="O62" s="455" t="s">
        <v>2555</v>
      </c>
    </row>
    <row r="63" spans="2:15">
      <c r="B63" s="25" t="s">
        <v>2480</v>
      </c>
      <c r="C63" s="79" t="s">
        <v>290</v>
      </c>
      <c r="D63" s="966">
        <v>1</v>
      </c>
      <c r="E63" s="966">
        <v>0.85</v>
      </c>
      <c r="F63" s="1224">
        <v>0.51</v>
      </c>
      <c r="G63" s="79" t="s">
        <v>2615</v>
      </c>
      <c r="H63" s="966" t="s">
        <v>237</v>
      </c>
      <c r="I63" s="79" t="s">
        <v>1922</v>
      </c>
      <c r="J63" s="79" t="s">
        <v>764</v>
      </c>
      <c r="K63" s="966" t="s">
        <v>1600</v>
      </c>
      <c r="L63" s="26" t="s">
        <v>727</v>
      </c>
      <c r="M63" s="79" t="s">
        <v>727</v>
      </c>
      <c r="N63" s="1230" t="s">
        <v>2555</v>
      </c>
      <c r="O63" s="1229" t="s">
        <v>2555</v>
      </c>
    </row>
    <row r="64" spans="2:15">
      <c r="B64" s="22" t="s">
        <v>2481</v>
      </c>
      <c r="C64" s="80" t="s">
        <v>290</v>
      </c>
      <c r="D64" s="454">
        <v>1</v>
      </c>
      <c r="E64" s="454">
        <v>0.42</v>
      </c>
      <c r="F64" s="967">
        <v>0.23</v>
      </c>
      <c r="G64" s="80" t="s">
        <v>2616</v>
      </c>
      <c r="H64" s="454" t="s">
        <v>237</v>
      </c>
      <c r="I64" s="80" t="s">
        <v>1922</v>
      </c>
      <c r="J64" s="80" t="s">
        <v>764</v>
      </c>
      <c r="K64" s="454" t="s">
        <v>1600</v>
      </c>
      <c r="L64" s="23" t="s">
        <v>727</v>
      </c>
      <c r="M64" s="80" t="s">
        <v>727</v>
      </c>
      <c r="N64" s="456" t="s">
        <v>2555</v>
      </c>
      <c r="O64" s="455" t="s">
        <v>2555</v>
      </c>
    </row>
    <row r="65" spans="2:15">
      <c r="B65" s="25" t="s">
        <v>2482</v>
      </c>
      <c r="C65" s="79" t="s">
        <v>290</v>
      </c>
      <c r="D65" s="966">
        <v>1</v>
      </c>
      <c r="E65" s="966">
        <v>1.6</v>
      </c>
      <c r="F65" s="1224">
        <v>1.25</v>
      </c>
      <c r="G65" s="79" t="s">
        <v>2617</v>
      </c>
      <c r="H65" s="966" t="s">
        <v>237</v>
      </c>
      <c r="I65" s="79" t="s">
        <v>1922</v>
      </c>
      <c r="J65" s="79" t="s">
        <v>764</v>
      </c>
      <c r="K65" s="966" t="s">
        <v>1600</v>
      </c>
      <c r="L65" s="26" t="s">
        <v>727</v>
      </c>
      <c r="M65" s="79" t="s">
        <v>727</v>
      </c>
      <c r="N65" s="1230" t="s">
        <v>2555</v>
      </c>
      <c r="O65" s="1229" t="s">
        <v>2555</v>
      </c>
    </row>
    <row r="66" spans="2:15">
      <c r="B66" s="22" t="s">
        <v>2483</v>
      </c>
      <c r="C66" s="80" t="s">
        <v>290</v>
      </c>
      <c r="D66" s="454">
        <v>1</v>
      </c>
      <c r="E66" s="454">
        <v>0.6</v>
      </c>
      <c r="F66" s="967">
        <v>0.52</v>
      </c>
      <c r="G66" s="80" t="s">
        <v>2618</v>
      </c>
      <c r="H66" s="454" t="s">
        <v>237</v>
      </c>
      <c r="I66" s="80" t="s">
        <v>1922</v>
      </c>
      <c r="J66" s="80" t="s">
        <v>768</v>
      </c>
      <c r="K66" s="454" t="s">
        <v>1600</v>
      </c>
      <c r="L66" s="23" t="s">
        <v>700</v>
      </c>
      <c r="M66" s="80" t="s">
        <v>739</v>
      </c>
      <c r="N66" s="456" t="s">
        <v>2555</v>
      </c>
      <c r="O66" s="455" t="s">
        <v>2555</v>
      </c>
    </row>
    <row r="67" spans="2:15">
      <c r="B67" s="25" t="s">
        <v>2484</v>
      </c>
      <c r="C67" s="79" t="s">
        <v>290</v>
      </c>
      <c r="D67" s="966">
        <v>1</v>
      </c>
      <c r="E67" s="966">
        <v>0.57999999999999996</v>
      </c>
      <c r="F67" s="1224">
        <v>0.59</v>
      </c>
      <c r="G67" s="79" t="s">
        <v>2619</v>
      </c>
      <c r="H67" s="966" t="s">
        <v>237</v>
      </c>
      <c r="I67" s="79" t="s">
        <v>1922</v>
      </c>
      <c r="J67" s="79" t="s">
        <v>745</v>
      </c>
      <c r="K67" s="966" t="s">
        <v>1600</v>
      </c>
      <c r="L67" s="26" t="s">
        <v>700</v>
      </c>
      <c r="M67" s="79" t="s">
        <v>739</v>
      </c>
      <c r="N67" s="1230" t="s">
        <v>2555</v>
      </c>
      <c r="O67" s="1229" t="s">
        <v>2555</v>
      </c>
    </row>
    <row r="68" spans="2:15">
      <c r="B68" s="22" t="s">
        <v>2486</v>
      </c>
      <c r="C68" s="80" t="s">
        <v>290</v>
      </c>
      <c r="D68" s="454">
        <v>1</v>
      </c>
      <c r="E68" s="454">
        <v>0.74</v>
      </c>
      <c r="F68" s="967">
        <v>0.42</v>
      </c>
      <c r="G68" s="80" t="s">
        <v>2620</v>
      </c>
      <c r="H68" s="454" t="s">
        <v>237</v>
      </c>
      <c r="I68" s="80" t="s">
        <v>1922</v>
      </c>
      <c r="J68" s="80" t="s">
        <v>745</v>
      </c>
      <c r="K68" s="454" t="s">
        <v>1600</v>
      </c>
      <c r="L68" s="23" t="s">
        <v>700</v>
      </c>
      <c r="M68" s="80" t="s">
        <v>739</v>
      </c>
      <c r="N68" s="456" t="s">
        <v>2555</v>
      </c>
      <c r="O68" s="455" t="s">
        <v>2555</v>
      </c>
    </row>
    <row r="69" spans="2:15">
      <c r="B69" s="25" t="s">
        <v>2487</v>
      </c>
      <c r="C69" s="79" t="s">
        <v>290</v>
      </c>
      <c r="D69" s="966">
        <v>1</v>
      </c>
      <c r="E69" s="966">
        <v>1.03</v>
      </c>
      <c r="F69" s="1224">
        <v>0.8</v>
      </c>
      <c r="G69" s="79" t="s">
        <v>2621</v>
      </c>
      <c r="H69" s="966" t="s">
        <v>237</v>
      </c>
      <c r="I69" s="79" t="s">
        <v>1922</v>
      </c>
      <c r="J69" s="79" t="s">
        <v>771</v>
      </c>
      <c r="K69" s="966" t="s">
        <v>1600</v>
      </c>
      <c r="L69" s="26" t="s">
        <v>727</v>
      </c>
      <c r="M69" s="79" t="s">
        <v>727</v>
      </c>
      <c r="N69" s="1230" t="s">
        <v>2555</v>
      </c>
      <c r="O69" s="1229" t="s">
        <v>2555</v>
      </c>
    </row>
    <row r="70" spans="2:15">
      <c r="B70" s="22" t="s">
        <v>2488</v>
      </c>
      <c r="C70" s="80" t="s">
        <v>290</v>
      </c>
      <c r="D70" s="454">
        <v>1</v>
      </c>
      <c r="E70" s="454">
        <v>0.59</v>
      </c>
      <c r="F70" s="967">
        <v>0.76</v>
      </c>
      <c r="G70" s="80" t="s">
        <v>2622</v>
      </c>
      <c r="H70" s="454" t="s">
        <v>237</v>
      </c>
      <c r="I70" s="80" t="s">
        <v>1922</v>
      </c>
      <c r="J70" s="80" t="s">
        <v>771</v>
      </c>
      <c r="K70" s="454" t="s">
        <v>1600</v>
      </c>
      <c r="L70" s="23" t="s">
        <v>727</v>
      </c>
      <c r="M70" s="80" t="s">
        <v>727</v>
      </c>
      <c r="N70" s="456" t="s">
        <v>2555</v>
      </c>
      <c r="O70" s="455" t="s">
        <v>2555</v>
      </c>
    </row>
    <row r="71" spans="2:15">
      <c r="B71" s="25" t="s">
        <v>2489</v>
      </c>
      <c r="C71" s="79" t="s">
        <v>290</v>
      </c>
      <c r="D71" s="966">
        <v>1</v>
      </c>
      <c r="E71" s="966">
        <v>0.84</v>
      </c>
      <c r="F71" s="1224">
        <v>1.42</v>
      </c>
      <c r="G71" s="79" t="s">
        <v>2623</v>
      </c>
      <c r="H71" s="966" t="s">
        <v>237</v>
      </c>
      <c r="I71" s="79" t="s">
        <v>1922</v>
      </c>
      <c r="J71" s="79" t="s">
        <v>771</v>
      </c>
      <c r="K71" s="966" t="s">
        <v>1600</v>
      </c>
      <c r="L71" s="26" t="s">
        <v>727</v>
      </c>
      <c r="M71" s="79" t="s">
        <v>727</v>
      </c>
      <c r="N71" s="1230" t="s">
        <v>2555</v>
      </c>
      <c r="O71" s="1229" t="s">
        <v>2555</v>
      </c>
    </row>
    <row r="72" spans="2:15">
      <c r="B72" s="22" t="s">
        <v>2490</v>
      </c>
      <c r="C72" s="80" t="s">
        <v>290</v>
      </c>
      <c r="D72" s="454">
        <v>1</v>
      </c>
      <c r="E72" s="454">
        <v>0.84</v>
      </c>
      <c r="F72" s="967">
        <v>1.42</v>
      </c>
      <c r="G72" s="80" t="s">
        <v>2624</v>
      </c>
      <c r="H72" s="454" t="s">
        <v>237</v>
      </c>
      <c r="I72" s="80" t="s">
        <v>1922</v>
      </c>
      <c r="J72" s="80" t="s">
        <v>771</v>
      </c>
      <c r="K72" s="454" t="s">
        <v>1600</v>
      </c>
      <c r="L72" s="23" t="s">
        <v>727</v>
      </c>
      <c r="M72" s="80" t="s">
        <v>727</v>
      </c>
      <c r="N72" s="456" t="s">
        <v>2555</v>
      </c>
      <c r="O72" s="455" t="s">
        <v>2555</v>
      </c>
    </row>
    <row r="73" spans="2:15">
      <c r="B73" s="25" t="s">
        <v>2491</v>
      </c>
      <c r="C73" s="79" t="s">
        <v>290</v>
      </c>
      <c r="D73" s="966">
        <v>1</v>
      </c>
      <c r="E73" s="966">
        <v>0.98</v>
      </c>
      <c r="F73" s="1224">
        <v>1.24</v>
      </c>
      <c r="G73" s="79" t="s">
        <v>2625</v>
      </c>
      <c r="H73" s="966" t="s">
        <v>237</v>
      </c>
      <c r="I73" s="79" t="s">
        <v>1922</v>
      </c>
      <c r="J73" s="79" t="s">
        <v>771</v>
      </c>
      <c r="K73" s="966" t="s">
        <v>1600</v>
      </c>
      <c r="L73" s="26" t="s">
        <v>727</v>
      </c>
      <c r="M73" s="79" t="s">
        <v>727</v>
      </c>
      <c r="N73" s="1230" t="s">
        <v>2555</v>
      </c>
      <c r="O73" s="1229" t="s">
        <v>2555</v>
      </c>
    </row>
    <row r="74" spans="2:15">
      <c r="B74" s="22" t="s">
        <v>2492</v>
      </c>
      <c r="C74" s="80" t="s">
        <v>290</v>
      </c>
      <c r="D74" s="454">
        <v>1</v>
      </c>
      <c r="E74" s="454">
        <v>0.98</v>
      </c>
      <c r="F74" s="967">
        <v>1.24</v>
      </c>
      <c r="G74" s="80" t="s">
        <v>2626</v>
      </c>
      <c r="H74" s="454" t="s">
        <v>237</v>
      </c>
      <c r="I74" s="80" t="s">
        <v>1922</v>
      </c>
      <c r="J74" s="80" t="s">
        <v>771</v>
      </c>
      <c r="K74" s="454" t="s">
        <v>1600</v>
      </c>
      <c r="L74" s="23" t="s">
        <v>727</v>
      </c>
      <c r="M74" s="23" t="s">
        <v>727</v>
      </c>
      <c r="N74" s="455" t="s">
        <v>2555</v>
      </c>
      <c r="O74" s="455" t="s">
        <v>2555</v>
      </c>
    </row>
    <row r="75" spans="2:15">
      <c r="B75" s="25" t="s">
        <v>2493</v>
      </c>
      <c r="C75" s="79" t="s">
        <v>290</v>
      </c>
      <c r="D75" s="966">
        <v>1</v>
      </c>
      <c r="E75" s="966">
        <v>0.95</v>
      </c>
      <c r="F75" s="1224">
        <v>0.86</v>
      </c>
      <c r="G75" s="79" t="s">
        <v>2627</v>
      </c>
      <c r="H75" s="966" t="s">
        <v>237</v>
      </c>
      <c r="I75" s="79" t="s">
        <v>1922</v>
      </c>
      <c r="J75" s="79" t="s">
        <v>771</v>
      </c>
      <c r="K75" s="966" t="s">
        <v>1600</v>
      </c>
      <c r="L75" s="26" t="s">
        <v>727</v>
      </c>
      <c r="M75" s="26" t="s">
        <v>727</v>
      </c>
      <c r="N75" s="1229" t="s">
        <v>2555</v>
      </c>
      <c r="O75" s="1229" t="s">
        <v>2555</v>
      </c>
    </row>
    <row r="76" spans="2:15">
      <c r="B76" s="22" t="s">
        <v>2494</v>
      </c>
      <c r="C76" s="80" t="s">
        <v>290</v>
      </c>
      <c r="D76" s="454">
        <v>1</v>
      </c>
      <c r="E76" s="454">
        <v>0.95</v>
      </c>
      <c r="F76" s="967">
        <v>0.86</v>
      </c>
      <c r="G76" s="80" t="s">
        <v>2628</v>
      </c>
      <c r="H76" s="454" t="s">
        <v>237</v>
      </c>
      <c r="I76" s="80" t="s">
        <v>1922</v>
      </c>
      <c r="J76" s="80" t="s">
        <v>771</v>
      </c>
      <c r="K76" s="454" t="s">
        <v>1600</v>
      </c>
      <c r="L76" s="23" t="s">
        <v>727</v>
      </c>
      <c r="M76" s="23" t="s">
        <v>727</v>
      </c>
      <c r="N76" s="455" t="s">
        <v>2555</v>
      </c>
      <c r="O76" s="455" t="s">
        <v>2555</v>
      </c>
    </row>
    <row r="77" spans="2:15">
      <c r="B77" s="25" t="s">
        <v>2495</v>
      </c>
      <c r="C77" s="79" t="s">
        <v>290</v>
      </c>
      <c r="D77" s="966">
        <v>1</v>
      </c>
      <c r="E77" s="966">
        <v>0.84</v>
      </c>
      <c r="F77" s="1224">
        <v>0.31</v>
      </c>
      <c r="G77" s="79" t="s">
        <v>2629</v>
      </c>
      <c r="H77" s="966" t="s">
        <v>237</v>
      </c>
      <c r="I77" s="79" t="s">
        <v>1922</v>
      </c>
      <c r="J77" s="79" t="s">
        <v>772</v>
      </c>
      <c r="K77" s="966" t="s">
        <v>1600</v>
      </c>
      <c r="L77" s="26" t="s">
        <v>727</v>
      </c>
      <c r="M77" s="26" t="s">
        <v>727</v>
      </c>
      <c r="N77" s="26" t="s">
        <v>2555</v>
      </c>
      <c r="O77" s="26" t="s">
        <v>2555</v>
      </c>
    </row>
    <row r="78" spans="2:15">
      <c r="B78" s="22" t="s">
        <v>2496</v>
      </c>
      <c r="C78" s="80" t="s">
        <v>290</v>
      </c>
      <c r="D78" s="454">
        <v>1</v>
      </c>
      <c r="E78" s="454">
        <v>0.82</v>
      </c>
      <c r="F78" s="967">
        <v>1.1000000000000001</v>
      </c>
      <c r="G78" s="80" t="s">
        <v>2630</v>
      </c>
      <c r="H78" s="454" t="s">
        <v>237</v>
      </c>
      <c r="I78" s="80" t="s">
        <v>1922</v>
      </c>
      <c r="J78" s="80" t="s">
        <v>768</v>
      </c>
      <c r="K78" s="454" t="s">
        <v>1600</v>
      </c>
      <c r="L78" s="23" t="s">
        <v>727</v>
      </c>
      <c r="M78" s="23" t="s">
        <v>727</v>
      </c>
      <c r="N78" s="23" t="s">
        <v>2555</v>
      </c>
      <c r="O78" s="23" t="s">
        <v>2555</v>
      </c>
    </row>
    <row r="79" spans="2:15">
      <c r="B79" s="1248" t="s">
        <v>2497</v>
      </c>
      <c r="C79" s="79" t="s">
        <v>290</v>
      </c>
      <c r="D79" s="966">
        <v>1</v>
      </c>
      <c r="E79" s="966">
        <v>0.89</v>
      </c>
      <c r="F79" s="1224">
        <v>0.74</v>
      </c>
      <c r="G79" s="79" t="s">
        <v>2631</v>
      </c>
      <c r="H79" s="966" t="s">
        <v>237</v>
      </c>
      <c r="I79" s="79" t="s">
        <v>1922</v>
      </c>
      <c r="J79" s="79" t="s">
        <v>770</v>
      </c>
      <c r="K79" s="966" t="s">
        <v>1600</v>
      </c>
      <c r="L79" s="26" t="s">
        <v>700</v>
      </c>
      <c r="M79" s="26" t="s">
        <v>739</v>
      </c>
      <c r="N79" s="26" t="s">
        <v>2555</v>
      </c>
      <c r="O79" s="26" t="s">
        <v>2555</v>
      </c>
    </row>
    <row r="80" spans="2:15">
      <c r="B80" s="27" t="s">
        <v>2498</v>
      </c>
      <c r="C80" s="80" t="s">
        <v>290</v>
      </c>
      <c r="D80" s="454">
        <v>1</v>
      </c>
      <c r="E80" s="454">
        <v>0.89</v>
      </c>
      <c r="F80" s="967">
        <v>0.66</v>
      </c>
      <c r="G80" s="80" t="s">
        <v>2631</v>
      </c>
      <c r="H80" s="454" t="s">
        <v>237</v>
      </c>
      <c r="I80" s="80" t="s">
        <v>1922</v>
      </c>
      <c r="J80" s="80" t="s">
        <v>770</v>
      </c>
      <c r="K80" s="454" t="s">
        <v>1600</v>
      </c>
      <c r="L80" s="23" t="s">
        <v>700</v>
      </c>
      <c r="M80" s="1231" t="s">
        <v>739</v>
      </c>
      <c r="N80" s="1231" t="s">
        <v>2555</v>
      </c>
      <c r="O80" s="1231" t="s">
        <v>2555</v>
      </c>
    </row>
    <row r="81" spans="2:15">
      <c r="B81" s="25" t="s">
        <v>2499</v>
      </c>
      <c r="C81" s="79" t="s">
        <v>290</v>
      </c>
      <c r="D81" s="966">
        <v>1</v>
      </c>
      <c r="E81" s="966">
        <v>0.78</v>
      </c>
      <c r="F81" s="1224">
        <v>0.61</v>
      </c>
      <c r="G81" s="79" t="s">
        <v>2632</v>
      </c>
      <c r="H81" s="966" t="s">
        <v>237</v>
      </c>
      <c r="I81" s="79" t="s">
        <v>1922</v>
      </c>
      <c r="J81" s="79" t="s">
        <v>767</v>
      </c>
      <c r="K81" s="966" t="s">
        <v>1600</v>
      </c>
      <c r="L81" s="26" t="s">
        <v>700</v>
      </c>
      <c r="M81" s="26" t="s">
        <v>739</v>
      </c>
      <c r="N81" s="26" t="s">
        <v>2555</v>
      </c>
      <c r="O81" s="26" t="s">
        <v>2555</v>
      </c>
    </row>
    <row r="82" spans="2:15">
      <c r="B82" s="22" t="s">
        <v>2500</v>
      </c>
      <c r="C82" s="80" t="s">
        <v>290</v>
      </c>
      <c r="D82" s="454">
        <v>1</v>
      </c>
      <c r="E82" s="454">
        <v>0.15</v>
      </c>
      <c r="F82" s="967">
        <v>0.15</v>
      </c>
      <c r="G82" s="80" t="s">
        <v>2633</v>
      </c>
      <c r="H82" s="454" t="s">
        <v>237</v>
      </c>
      <c r="I82" s="80" t="s">
        <v>1922</v>
      </c>
      <c r="J82" s="80" t="s">
        <v>769</v>
      </c>
      <c r="K82" s="454" t="s">
        <v>1600</v>
      </c>
      <c r="L82" s="23" t="s">
        <v>700</v>
      </c>
      <c r="M82" s="23" t="s">
        <v>739</v>
      </c>
      <c r="N82" s="23" t="s">
        <v>2555</v>
      </c>
      <c r="O82" s="23" t="s">
        <v>2555</v>
      </c>
    </row>
    <row r="83" spans="2:15">
      <c r="B83" s="25" t="s">
        <v>2501</v>
      </c>
      <c r="C83" s="79" t="s">
        <v>290</v>
      </c>
      <c r="D83" s="966">
        <v>1</v>
      </c>
      <c r="E83" s="966">
        <v>0.32</v>
      </c>
      <c r="F83" s="1224">
        <v>0.41</v>
      </c>
      <c r="G83" s="79" t="s">
        <v>2634</v>
      </c>
      <c r="H83" s="966" t="s">
        <v>237</v>
      </c>
      <c r="I83" s="79" t="s">
        <v>1922</v>
      </c>
      <c r="J83" s="79" t="s">
        <v>768</v>
      </c>
      <c r="K83" s="966" t="s">
        <v>1600</v>
      </c>
      <c r="L83" s="26" t="s">
        <v>727</v>
      </c>
      <c r="M83" s="26" t="s">
        <v>727</v>
      </c>
      <c r="N83" s="26" t="s">
        <v>2555</v>
      </c>
      <c r="O83" s="26" t="s">
        <v>2555</v>
      </c>
    </row>
    <row r="84" spans="2:15">
      <c r="B84" s="22" t="s">
        <v>2502</v>
      </c>
      <c r="C84" s="80" t="s">
        <v>290</v>
      </c>
      <c r="D84" s="454">
        <v>1</v>
      </c>
      <c r="E84" s="454">
        <v>0.91</v>
      </c>
      <c r="F84" s="967">
        <v>1.66</v>
      </c>
      <c r="G84" s="80" t="s">
        <v>2635</v>
      </c>
      <c r="H84" s="454" t="s">
        <v>237</v>
      </c>
      <c r="I84" s="80" t="s">
        <v>1922</v>
      </c>
      <c r="J84" s="80" t="s">
        <v>768</v>
      </c>
      <c r="K84" s="454" t="s">
        <v>1600</v>
      </c>
      <c r="L84" s="23" t="s">
        <v>727</v>
      </c>
      <c r="M84" s="23" t="s">
        <v>727</v>
      </c>
      <c r="N84" s="23" t="s">
        <v>2555</v>
      </c>
      <c r="O84" s="23" t="s">
        <v>2555</v>
      </c>
    </row>
    <row r="85" spans="2:15">
      <c r="B85" s="25" t="s">
        <v>2503</v>
      </c>
      <c r="C85" s="79" t="s">
        <v>290</v>
      </c>
      <c r="D85" s="966">
        <v>1</v>
      </c>
      <c r="E85" s="966">
        <v>0.75</v>
      </c>
      <c r="F85" s="966">
        <v>0.71</v>
      </c>
      <c r="G85" s="79" t="s">
        <v>2636</v>
      </c>
      <c r="H85" s="966" t="s">
        <v>237</v>
      </c>
      <c r="I85" s="79" t="s">
        <v>1922</v>
      </c>
      <c r="J85" s="79" t="s">
        <v>768</v>
      </c>
      <c r="K85" s="966" t="s">
        <v>1600</v>
      </c>
      <c r="L85" s="26" t="s">
        <v>727</v>
      </c>
      <c r="M85" s="26" t="s">
        <v>727</v>
      </c>
      <c r="N85" s="26" t="s">
        <v>2555</v>
      </c>
      <c r="O85" s="26" t="s">
        <v>2555</v>
      </c>
    </row>
    <row r="86" spans="2:15">
      <c r="B86" s="22" t="s">
        <v>2504</v>
      </c>
      <c r="C86" s="80" t="s">
        <v>290</v>
      </c>
      <c r="D86" s="454">
        <v>1</v>
      </c>
      <c r="E86" s="454">
        <v>0.51</v>
      </c>
      <c r="F86" s="967">
        <v>0.54</v>
      </c>
      <c r="G86" s="80" t="s">
        <v>2637</v>
      </c>
      <c r="H86" s="454" t="s">
        <v>237</v>
      </c>
      <c r="I86" s="80" t="s">
        <v>1922</v>
      </c>
      <c r="J86" s="80" t="s">
        <v>744</v>
      </c>
      <c r="K86" s="454" t="s">
        <v>1600</v>
      </c>
      <c r="L86" s="23" t="s">
        <v>727</v>
      </c>
      <c r="M86" s="23" t="s">
        <v>727</v>
      </c>
      <c r="N86" s="23" t="s">
        <v>2555</v>
      </c>
      <c r="O86" s="23" t="s">
        <v>2555</v>
      </c>
    </row>
    <row r="87" spans="2:15">
      <c r="B87" s="25" t="s">
        <v>2505</v>
      </c>
      <c r="C87" s="79" t="s">
        <v>290</v>
      </c>
      <c r="D87" s="966">
        <v>1</v>
      </c>
      <c r="E87" s="966">
        <v>1.22</v>
      </c>
      <c r="F87" s="1224">
        <v>0.85</v>
      </c>
      <c r="G87" s="79" t="s">
        <v>2638</v>
      </c>
      <c r="H87" s="966" t="s">
        <v>237</v>
      </c>
      <c r="I87" s="79" t="s">
        <v>1922</v>
      </c>
      <c r="J87" s="79" t="s">
        <v>744</v>
      </c>
      <c r="K87" s="966" t="s">
        <v>1600</v>
      </c>
      <c r="L87" s="26" t="s">
        <v>727</v>
      </c>
      <c r="M87" s="26" t="s">
        <v>727</v>
      </c>
      <c r="N87" s="26" t="s">
        <v>2555</v>
      </c>
      <c r="O87" s="26" t="s">
        <v>2555</v>
      </c>
    </row>
    <row r="88" spans="2:15">
      <c r="B88" s="22" t="s">
        <v>2506</v>
      </c>
      <c r="C88" s="80" t="s">
        <v>290</v>
      </c>
      <c r="D88" s="454">
        <v>1</v>
      </c>
      <c r="E88" s="454">
        <v>0.78</v>
      </c>
      <c r="F88" s="967">
        <v>0.63</v>
      </c>
      <c r="G88" s="80" t="s">
        <v>2639</v>
      </c>
      <c r="H88" s="454" t="s">
        <v>237</v>
      </c>
      <c r="I88" s="80" t="s">
        <v>1922</v>
      </c>
      <c r="J88" s="80" t="s">
        <v>773</v>
      </c>
      <c r="K88" s="454" t="s">
        <v>1600</v>
      </c>
      <c r="L88" s="23" t="s">
        <v>700</v>
      </c>
      <c r="M88" s="1231" t="s">
        <v>739</v>
      </c>
      <c r="N88" s="1231" t="s">
        <v>2555</v>
      </c>
      <c r="O88" s="1231" t="s">
        <v>2555</v>
      </c>
    </row>
    <row r="89" spans="2:15">
      <c r="B89" s="25" t="s">
        <v>2507</v>
      </c>
      <c r="C89" s="79" t="s">
        <v>290</v>
      </c>
      <c r="D89" s="966">
        <v>1</v>
      </c>
      <c r="E89" s="966">
        <v>0.97</v>
      </c>
      <c r="F89" s="1224">
        <v>1.26</v>
      </c>
      <c r="G89" s="79" t="s">
        <v>2640</v>
      </c>
      <c r="H89" s="966" t="s">
        <v>237</v>
      </c>
      <c r="I89" s="79" t="s">
        <v>1922</v>
      </c>
      <c r="J89" s="79" t="s">
        <v>773</v>
      </c>
      <c r="K89" s="966" t="s">
        <v>1600</v>
      </c>
      <c r="L89" s="26" t="s">
        <v>700</v>
      </c>
      <c r="M89" s="26" t="s">
        <v>739</v>
      </c>
      <c r="N89" s="26" t="s">
        <v>2555</v>
      </c>
      <c r="O89" s="26" t="s">
        <v>2555</v>
      </c>
    </row>
    <row r="90" spans="2:15">
      <c r="B90" s="22" t="s">
        <v>2508</v>
      </c>
      <c r="C90" s="80" t="s">
        <v>290</v>
      </c>
      <c r="D90" s="454">
        <v>1</v>
      </c>
      <c r="E90" s="454">
        <v>0.56999999999999995</v>
      </c>
      <c r="F90" s="967">
        <v>0.51</v>
      </c>
      <c r="G90" s="80" t="s">
        <v>2641</v>
      </c>
      <c r="H90" s="454" t="s">
        <v>237</v>
      </c>
      <c r="I90" s="80" t="s">
        <v>1922</v>
      </c>
      <c r="J90" s="80" t="s">
        <v>768</v>
      </c>
      <c r="K90" s="454" t="s">
        <v>1600</v>
      </c>
      <c r="L90" s="23" t="s">
        <v>727</v>
      </c>
      <c r="M90" s="23" t="s">
        <v>727</v>
      </c>
      <c r="N90" s="23" t="s">
        <v>2555</v>
      </c>
      <c r="O90" s="23" t="s">
        <v>2555</v>
      </c>
    </row>
    <row r="91" spans="2:15">
      <c r="B91" s="25" t="s">
        <v>2509</v>
      </c>
      <c r="C91" s="79" t="s">
        <v>290</v>
      </c>
      <c r="D91" s="966">
        <v>1</v>
      </c>
      <c r="E91" s="966">
        <v>0.88</v>
      </c>
      <c r="F91" s="1224">
        <v>0.82</v>
      </c>
      <c r="G91" s="79" t="s">
        <v>2642</v>
      </c>
      <c r="H91" s="966" t="s">
        <v>237</v>
      </c>
      <c r="I91" s="79" t="s">
        <v>1922</v>
      </c>
      <c r="J91" s="79" t="s">
        <v>772</v>
      </c>
      <c r="K91" s="966" t="s">
        <v>1600</v>
      </c>
      <c r="L91" s="26" t="s">
        <v>727</v>
      </c>
      <c r="M91" s="26" t="s">
        <v>727</v>
      </c>
      <c r="N91" s="26" t="s">
        <v>2555</v>
      </c>
      <c r="O91" s="26" t="s">
        <v>2555</v>
      </c>
    </row>
    <row r="92" spans="2:15">
      <c r="B92" s="22" t="s">
        <v>2510</v>
      </c>
      <c r="C92" s="80" t="s">
        <v>290</v>
      </c>
      <c r="D92" s="454">
        <v>1</v>
      </c>
      <c r="E92" s="454">
        <v>1.27</v>
      </c>
      <c r="F92" s="967">
        <v>1.05</v>
      </c>
      <c r="G92" s="80" t="s">
        <v>2643</v>
      </c>
      <c r="H92" s="454" t="s">
        <v>237</v>
      </c>
      <c r="I92" s="80" t="s">
        <v>1922</v>
      </c>
      <c r="J92" s="80" t="s">
        <v>774</v>
      </c>
      <c r="K92" s="454" t="s">
        <v>1600</v>
      </c>
      <c r="L92" s="23" t="s">
        <v>727</v>
      </c>
      <c r="M92" s="23" t="s">
        <v>727</v>
      </c>
      <c r="N92" s="23" t="s">
        <v>2555</v>
      </c>
      <c r="O92" s="23" t="s">
        <v>2555</v>
      </c>
    </row>
    <row r="93" spans="2:15">
      <c r="B93" s="25" t="s">
        <v>2511</v>
      </c>
      <c r="C93" s="79" t="s">
        <v>290</v>
      </c>
      <c r="D93" s="966">
        <v>1</v>
      </c>
      <c r="E93" s="966">
        <v>1.27</v>
      </c>
      <c r="F93" s="1224">
        <v>1.05</v>
      </c>
      <c r="G93" s="79" t="s">
        <v>2644</v>
      </c>
      <c r="H93" s="966" t="s">
        <v>237</v>
      </c>
      <c r="I93" s="79" t="s">
        <v>1922</v>
      </c>
      <c r="J93" s="79" t="s">
        <v>774</v>
      </c>
      <c r="K93" s="966" t="s">
        <v>1600</v>
      </c>
      <c r="L93" s="26" t="s">
        <v>727</v>
      </c>
      <c r="M93" s="26" t="s">
        <v>727</v>
      </c>
      <c r="N93" s="26" t="s">
        <v>2555</v>
      </c>
      <c r="O93" s="26" t="s">
        <v>2555</v>
      </c>
    </row>
    <row r="94" spans="2:15">
      <c r="B94" s="22" t="s">
        <v>2512</v>
      </c>
      <c r="C94" s="80" t="s">
        <v>290</v>
      </c>
      <c r="D94" s="454">
        <v>1</v>
      </c>
      <c r="E94" s="454">
        <v>0.43</v>
      </c>
      <c r="F94" s="967">
        <v>0.23</v>
      </c>
      <c r="G94" s="80" t="s">
        <v>2645</v>
      </c>
      <c r="H94" s="454" t="s">
        <v>237</v>
      </c>
      <c r="I94" s="80" t="s">
        <v>1922</v>
      </c>
      <c r="J94" s="80" t="s">
        <v>744</v>
      </c>
      <c r="K94" s="454" t="s">
        <v>1600</v>
      </c>
      <c r="L94" s="23" t="s">
        <v>727</v>
      </c>
      <c r="M94" s="23" t="s">
        <v>727</v>
      </c>
      <c r="N94" s="23" t="s">
        <v>2555</v>
      </c>
      <c r="O94" s="23" t="s">
        <v>2555</v>
      </c>
    </row>
    <row r="95" spans="2:15">
      <c r="B95" s="25" t="s">
        <v>2513</v>
      </c>
      <c r="C95" s="79" t="s">
        <v>290</v>
      </c>
      <c r="D95" s="966">
        <v>1</v>
      </c>
      <c r="E95" s="966">
        <v>2.41</v>
      </c>
      <c r="F95" s="1224">
        <v>2.94</v>
      </c>
      <c r="G95" s="79" t="s">
        <v>2646</v>
      </c>
      <c r="H95" s="966" t="s">
        <v>237</v>
      </c>
      <c r="I95" s="79" t="s">
        <v>1922</v>
      </c>
      <c r="J95" s="79" t="s">
        <v>755</v>
      </c>
      <c r="K95" s="966" t="s">
        <v>1600</v>
      </c>
      <c r="L95" s="26" t="s">
        <v>727</v>
      </c>
      <c r="M95" s="26" t="s">
        <v>727</v>
      </c>
      <c r="N95" s="26" t="s">
        <v>2555</v>
      </c>
      <c r="O95" s="26" t="s">
        <v>2555</v>
      </c>
    </row>
    <row r="96" spans="2:15">
      <c r="B96" s="22" t="s">
        <v>2514</v>
      </c>
      <c r="C96" s="80" t="s">
        <v>290</v>
      </c>
      <c r="D96" s="454">
        <v>1</v>
      </c>
      <c r="E96" s="454">
        <v>1.54</v>
      </c>
      <c r="F96" s="967">
        <v>2.0099999999999998</v>
      </c>
      <c r="G96" s="80" t="s">
        <v>2647</v>
      </c>
      <c r="H96" s="454" t="s">
        <v>237</v>
      </c>
      <c r="I96" s="80" t="s">
        <v>1922</v>
      </c>
      <c r="J96" s="80" t="s">
        <v>755</v>
      </c>
      <c r="K96" s="454" t="s">
        <v>1600</v>
      </c>
      <c r="L96" s="23" t="s">
        <v>727</v>
      </c>
      <c r="M96" s="23" t="s">
        <v>727</v>
      </c>
      <c r="N96" s="23" t="s">
        <v>2555</v>
      </c>
      <c r="O96" s="23" t="s">
        <v>2555</v>
      </c>
    </row>
    <row r="97" spans="2:15">
      <c r="B97" s="25" t="s">
        <v>2515</v>
      </c>
      <c r="C97" s="79" t="s">
        <v>290</v>
      </c>
      <c r="D97" s="966">
        <v>1</v>
      </c>
      <c r="E97" s="966">
        <v>0.96</v>
      </c>
      <c r="F97" s="1224">
        <v>1.3</v>
      </c>
      <c r="G97" s="79" t="s">
        <v>2648</v>
      </c>
      <c r="H97" s="966" t="s">
        <v>237</v>
      </c>
      <c r="I97" s="79" t="s">
        <v>1922</v>
      </c>
      <c r="J97" s="79" t="s">
        <v>755</v>
      </c>
      <c r="K97" s="966" t="s">
        <v>1600</v>
      </c>
      <c r="L97" s="26" t="s">
        <v>727</v>
      </c>
      <c r="M97" s="26" t="s">
        <v>727</v>
      </c>
      <c r="N97" s="26" t="s">
        <v>2555</v>
      </c>
      <c r="O97" s="26" t="s">
        <v>2555</v>
      </c>
    </row>
    <row r="98" spans="2:15">
      <c r="B98" s="22" t="s">
        <v>2516</v>
      </c>
      <c r="C98" s="80" t="s">
        <v>290</v>
      </c>
      <c r="D98" s="454">
        <v>1</v>
      </c>
      <c r="E98" s="454">
        <v>0.57999999999999996</v>
      </c>
      <c r="F98" s="967">
        <v>0.86</v>
      </c>
      <c r="G98" s="80" t="s">
        <v>2649</v>
      </c>
      <c r="H98" s="454" t="s">
        <v>237</v>
      </c>
      <c r="I98" s="80" t="s">
        <v>1922</v>
      </c>
      <c r="J98" s="80" t="s">
        <v>755</v>
      </c>
      <c r="K98" s="454" t="s">
        <v>1600</v>
      </c>
      <c r="L98" s="23" t="s">
        <v>727</v>
      </c>
      <c r="M98" s="1231" t="s">
        <v>727</v>
      </c>
      <c r="N98" s="1231" t="s">
        <v>2555</v>
      </c>
      <c r="O98" s="1231" t="s">
        <v>2555</v>
      </c>
    </row>
    <row r="99" spans="2:15">
      <c r="B99" s="1227" t="s">
        <v>2517</v>
      </c>
      <c r="C99" s="79" t="s">
        <v>290</v>
      </c>
      <c r="D99" s="966">
        <v>1</v>
      </c>
      <c r="E99" s="966">
        <v>0.55000000000000004</v>
      </c>
      <c r="F99" s="1224">
        <v>0.49</v>
      </c>
      <c r="G99" s="79" t="s">
        <v>2650</v>
      </c>
      <c r="H99" s="966" t="s">
        <v>237</v>
      </c>
      <c r="I99" s="79" t="s">
        <v>1922</v>
      </c>
      <c r="J99" s="79" t="s">
        <v>768</v>
      </c>
      <c r="K99" s="966" t="s">
        <v>1600</v>
      </c>
      <c r="L99" s="26" t="s">
        <v>700</v>
      </c>
      <c r="M99" s="26" t="s">
        <v>739</v>
      </c>
      <c r="N99" s="26" t="s">
        <v>2555</v>
      </c>
      <c r="O99" s="26" t="s">
        <v>2555</v>
      </c>
    </row>
    <row r="100" spans="2:15">
      <c r="B100" s="27" t="s">
        <v>2518</v>
      </c>
      <c r="C100" s="80" t="s">
        <v>290</v>
      </c>
      <c r="D100" s="454">
        <v>1</v>
      </c>
      <c r="E100" s="454">
        <v>0.5</v>
      </c>
      <c r="F100" s="967">
        <v>0.38</v>
      </c>
      <c r="G100" s="80" t="s">
        <v>2651</v>
      </c>
      <c r="H100" s="1232" t="s">
        <v>237</v>
      </c>
      <c r="I100" s="1233" t="s">
        <v>1922</v>
      </c>
      <c r="J100" s="1233" t="s">
        <v>776</v>
      </c>
      <c r="K100" s="1232" t="s">
        <v>1600</v>
      </c>
      <c r="L100" s="1231" t="s">
        <v>700</v>
      </c>
      <c r="M100" s="1231" t="s">
        <v>739</v>
      </c>
      <c r="N100" s="1231" t="s">
        <v>2555</v>
      </c>
      <c r="O100" s="1231" t="s">
        <v>2555</v>
      </c>
    </row>
    <row r="101" spans="2:15">
      <c r="B101" s="30" t="s">
        <v>2519</v>
      </c>
      <c r="C101" s="79" t="s">
        <v>290</v>
      </c>
      <c r="D101" s="966">
        <v>1</v>
      </c>
      <c r="E101" s="966">
        <v>0.5</v>
      </c>
      <c r="F101" s="1224">
        <v>0.38</v>
      </c>
      <c r="G101" s="79" t="s">
        <v>2651</v>
      </c>
      <c r="H101" s="966" t="s">
        <v>237</v>
      </c>
      <c r="I101" s="79" t="s">
        <v>1922</v>
      </c>
      <c r="J101" s="79" t="s">
        <v>776</v>
      </c>
      <c r="K101" s="966" t="s">
        <v>1600</v>
      </c>
      <c r="L101" s="26" t="s">
        <v>700</v>
      </c>
      <c r="M101" s="26" t="s">
        <v>739</v>
      </c>
      <c r="N101" s="26" t="s">
        <v>2555</v>
      </c>
      <c r="O101" s="26" t="s">
        <v>2555</v>
      </c>
    </row>
    <row r="102" spans="2:15">
      <c r="B102" s="22" t="s">
        <v>2520</v>
      </c>
      <c r="C102" s="80" t="s">
        <v>290</v>
      </c>
      <c r="D102" s="454">
        <v>1</v>
      </c>
      <c r="E102" s="454">
        <v>0.28999999999999998</v>
      </c>
      <c r="F102" s="967">
        <v>0.25</v>
      </c>
      <c r="G102" s="80" t="s">
        <v>2652</v>
      </c>
      <c r="H102" s="454" t="s">
        <v>237</v>
      </c>
      <c r="I102" s="80" t="s">
        <v>1922</v>
      </c>
      <c r="J102" s="80" t="s">
        <v>772</v>
      </c>
      <c r="K102" s="454" t="s">
        <v>1600</v>
      </c>
      <c r="L102" s="23" t="s">
        <v>727</v>
      </c>
      <c r="M102" s="23" t="s">
        <v>727</v>
      </c>
      <c r="N102" s="23" t="s">
        <v>2555</v>
      </c>
      <c r="O102" s="23" t="s">
        <v>2555</v>
      </c>
    </row>
    <row r="103" spans="2:15">
      <c r="B103" s="25" t="s">
        <v>2521</v>
      </c>
      <c r="C103" s="79" t="s">
        <v>290</v>
      </c>
      <c r="D103" s="966">
        <v>1</v>
      </c>
      <c r="E103" s="966">
        <v>0.42</v>
      </c>
      <c r="F103" s="1224">
        <v>0.39</v>
      </c>
      <c r="G103" s="79" t="s">
        <v>2653</v>
      </c>
      <c r="H103" s="966" t="s">
        <v>237</v>
      </c>
      <c r="I103" s="79" t="s">
        <v>1922</v>
      </c>
      <c r="J103" s="79" t="s">
        <v>772</v>
      </c>
      <c r="K103" s="966" t="s">
        <v>1600</v>
      </c>
      <c r="L103" s="26" t="s">
        <v>727</v>
      </c>
      <c r="M103" s="26" t="s">
        <v>727</v>
      </c>
      <c r="N103" s="26" t="s">
        <v>2555</v>
      </c>
      <c r="O103" s="26" t="s">
        <v>2555</v>
      </c>
    </row>
    <row r="104" spans="2:15">
      <c r="B104" s="22" t="s">
        <v>2522</v>
      </c>
      <c r="C104" s="80" t="s">
        <v>290</v>
      </c>
      <c r="D104" s="454">
        <v>1</v>
      </c>
      <c r="E104" s="454">
        <v>0.64</v>
      </c>
      <c r="F104" s="967">
        <v>0.51</v>
      </c>
      <c r="G104" s="80" t="s">
        <v>2654</v>
      </c>
      <c r="H104" s="454" t="s">
        <v>237</v>
      </c>
      <c r="I104" s="80" t="s">
        <v>1922</v>
      </c>
      <c r="J104" s="80" t="s">
        <v>772</v>
      </c>
      <c r="K104" s="454" t="s">
        <v>1600</v>
      </c>
      <c r="L104" s="23" t="s">
        <v>727</v>
      </c>
      <c r="M104" s="1231" t="s">
        <v>727</v>
      </c>
      <c r="N104" s="1231" t="s">
        <v>2555</v>
      </c>
      <c r="O104" s="1231" t="s">
        <v>2555</v>
      </c>
    </row>
    <row r="105" spans="2:15">
      <c r="B105" s="25" t="s">
        <v>2523</v>
      </c>
      <c r="C105" s="79" t="s">
        <v>290</v>
      </c>
      <c r="D105" s="966">
        <v>1</v>
      </c>
      <c r="E105" s="966">
        <v>0.54</v>
      </c>
      <c r="F105" s="1224">
        <v>0.6</v>
      </c>
      <c r="G105" s="79" t="s">
        <v>2655</v>
      </c>
      <c r="H105" s="966" t="s">
        <v>237</v>
      </c>
      <c r="I105" s="79" t="s">
        <v>1922</v>
      </c>
      <c r="J105" s="79" t="s">
        <v>768</v>
      </c>
      <c r="K105" s="966" t="s">
        <v>1600</v>
      </c>
      <c r="L105" s="26" t="s">
        <v>727</v>
      </c>
      <c r="M105" s="26" t="s">
        <v>727</v>
      </c>
      <c r="N105" s="26" t="s">
        <v>2555</v>
      </c>
      <c r="O105" s="26" t="s">
        <v>2555</v>
      </c>
    </row>
    <row r="106" spans="2:15">
      <c r="B106" s="22" t="s">
        <v>2524</v>
      </c>
      <c r="C106" s="80" t="s">
        <v>290</v>
      </c>
      <c r="D106" s="454">
        <v>1</v>
      </c>
      <c r="E106" s="454">
        <v>0.46</v>
      </c>
      <c r="F106" s="967">
        <v>0.33</v>
      </c>
      <c r="G106" s="80" t="s">
        <v>2656</v>
      </c>
      <c r="H106" s="454" t="s">
        <v>237</v>
      </c>
      <c r="I106" s="80" t="s">
        <v>1922</v>
      </c>
      <c r="J106" s="80" t="s">
        <v>779</v>
      </c>
      <c r="K106" s="454" t="s">
        <v>1600</v>
      </c>
      <c r="L106" s="23" t="s">
        <v>700</v>
      </c>
      <c r="M106" s="1231" t="s">
        <v>739</v>
      </c>
      <c r="N106" s="1231" t="s">
        <v>2555</v>
      </c>
      <c r="O106" s="1231" t="s">
        <v>2555</v>
      </c>
    </row>
    <row r="107" spans="2:15">
      <c r="B107" s="25" t="s">
        <v>2525</v>
      </c>
      <c r="C107" s="79" t="s">
        <v>290</v>
      </c>
      <c r="D107" s="966">
        <v>1</v>
      </c>
      <c r="E107" s="966">
        <v>0.46</v>
      </c>
      <c r="F107" s="1224">
        <v>0.33</v>
      </c>
      <c r="G107" s="79" t="s">
        <v>2657</v>
      </c>
      <c r="H107" s="966" t="s">
        <v>237</v>
      </c>
      <c r="I107" s="79" t="s">
        <v>1922</v>
      </c>
      <c r="J107" s="79" t="s">
        <v>781</v>
      </c>
      <c r="K107" s="966" t="s">
        <v>1600</v>
      </c>
      <c r="L107" s="26" t="s">
        <v>700</v>
      </c>
      <c r="M107" s="26" t="s">
        <v>739</v>
      </c>
      <c r="N107" s="26" t="s">
        <v>2555</v>
      </c>
      <c r="O107" s="26" t="s">
        <v>2555</v>
      </c>
    </row>
    <row r="108" spans="2:15">
      <c r="B108" s="22" t="s">
        <v>2526</v>
      </c>
      <c r="C108" s="80" t="s">
        <v>290</v>
      </c>
      <c r="D108" s="454">
        <v>1</v>
      </c>
      <c r="E108" s="454">
        <v>0.76</v>
      </c>
      <c r="F108" s="967">
        <v>0.69</v>
      </c>
      <c r="G108" s="80" t="s">
        <v>2658</v>
      </c>
      <c r="H108" s="454" t="s">
        <v>237</v>
      </c>
      <c r="I108" s="80" t="s">
        <v>1922</v>
      </c>
      <c r="J108" s="80" t="s">
        <v>779</v>
      </c>
      <c r="K108" s="454" t="s">
        <v>1600</v>
      </c>
      <c r="L108" s="23" t="s">
        <v>700</v>
      </c>
      <c r="M108" s="23" t="s">
        <v>739</v>
      </c>
      <c r="N108" s="23" t="s">
        <v>2555</v>
      </c>
      <c r="O108" s="23" t="s">
        <v>2555</v>
      </c>
    </row>
    <row r="109" spans="2:15">
      <c r="B109" s="25" t="s">
        <v>2527</v>
      </c>
      <c r="C109" s="79" t="s">
        <v>290</v>
      </c>
      <c r="D109" s="966">
        <v>1</v>
      </c>
      <c r="E109" s="966">
        <v>0.76</v>
      </c>
      <c r="F109" s="1224">
        <v>0.69</v>
      </c>
      <c r="G109" s="79" t="s">
        <v>2659</v>
      </c>
      <c r="H109" s="966" t="s">
        <v>237</v>
      </c>
      <c r="I109" s="79" t="s">
        <v>1922</v>
      </c>
      <c r="J109" s="79" t="s">
        <v>781</v>
      </c>
      <c r="K109" s="966" t="s">
        <v>1600</v>
      </c>
      <c r="L109" s="26" t="s">
        <v>700</v>
      </c>
      <c r="M109" s="26" t="s">
        <v>739</v>
      </c>
      <c r="N109" s="26" t="s">
        <v>2555</v>
      </c>
      <c r="O109" s="26" t="s">
        <v>2555</v>
      </c>
    </row>
    <row r="110" spans="2:15">
      <c r="B110" s="22" t="s">
        <v>2245</v>
      </c>
      <c r="C110" s="80" t="s">
        <v>290</v>
      </c>
      <c r="D110" s="454">
        <v>1</v>
      </c>
      <c r="E110" s="1238">
        <v>1.27</v>
      </c>
      <c r="F110" s="1240">
        <v>1.26</v>
      </c>
      <c r="G110" s="80" t="s">
        <v>2660</v>
      </c>
      <c r="H110" s="454" t="s">
        <v>237</v>
      </c>
      <c r="I110" s="80" t="s">
        <v>1922</v>
      </c>
      <c r="J110" s="80" t="s">
        <v>771</v>
      </c>
      <c r="K110" s="454" t="s">
        <v>1600</v>
      </c>
      <c r="L110" s="23" t="s">
        <v>700</v>
      </c>
      <c r="M110" s="23" t="s">
        <v>739</v>
      </c>
      <c r="N110" s="23" t="s">
        <v>2555</v>
      </c>
      <c r="O110" s="23" t="s">
        <v>2555</v>
      </c>
    </row>
    <row r="111" spans="2:15">
      <c r="B111" s="25" t="s">
        <v>744</v>
      </c>
      <c r="C111" s="79" t="s">
        <v>290</v>
      </c>
      <c r="D111" s="966">
        <v>0</v>
      </c>
      <c r="E111" s="966">
        <v>0</v>
      </c>
      <c r="F111" s="966">
        <v>0.61</v>
      </c>
      <c r="G111" s="79" t="s">
        <v>2661</v>
      </c>
      <c r="H111" s="966" t="s">
        <v>237</v>
      </c>
      <c r="I111" s="79" t="s">
        <v>1922</v>
      </c>
      <c r="J111" s="79" t="s">
        <v>744</v>
      </c>
      <c r="K111" s="966" t="s">
        <v>1536</v>
      </c>
      <c r="L111" s="26">
        <v>0</v>
      </c>
      <c r="M111" s="26">
        <v>0</v>
      </c>
      <c r="N111" s="26">
        <v>0</v>
      </c>
      <c r="O111" s="26">
        <v>0</v>
      </c>
    </row>
    <row r="112" spans="2:15">
      <c r="B112" s="22" t="s">
        <v>745</v>
      </c>
      <c r="C112" s="80" t="s">
        <v>290</v>
      </c>
      <c r="D112" s="454">
        <v>0</v>
      </c>
      <c r="E112" s="454">
        <v>0</v>
      </c>
      <c r="F112" s="454">
        <v>0.59</v>
      </c>
      <c r="G112" s="80" t="s">
        <v>2662</v>
      </c>
      <c r="H112" s="454" t="s">
        <v>237</v>
      </c>
      <c r="I112" s="80" t="s">
        <v>1922</v>
      </c>
      <c r="J112" s="80" t="s">
        <v>745</v>
      </c>
      <c r="K112" s="454" t="s">
        <v>1536</v>
      </c>
      <c r="L112" s="23">
        <v>0</v>
      </c>
      <c r="M112" s="23">
        <v>0</v>
      </c>
      <c r="N112" s="23">
        <v>0</v>
      </c>
      <c r="O112" s="23">
        <v>0</v>
      </c>
    </row>
    <row r="113" spans="2:15">
      <c r="B113" s="25" t="s">
        <v>747</v>
      </c>
      <c r="C113" s="79" t="s">
        <v>290</v>
      </c>
      <c r="D113" s="966">
        <v>0</v>
      </c>
      <c r="E113" s="966">
        <v>0</v>
      </c>
      <c r="F113" s="966">
        <v>0.71</v>
      </c>
      <c r="G113" s="79" t="s">
        <v>2663</v>
      </c>
      <c r="H113" s="966" t="s">
        <v>237</v>
      </c>
      <c r="I113" s="79" t="s">
        <v>1922</v>
      </c>
      <c r="J113" s="79" t="s">
        <v>747</v>
      </c>
      <c r="K113" s="966" t="s">
        <v>1536</v>
      </c>
      <c r="L113" s="26">
        <v>0</v>
      </c>
      <c r="M113" s="26">
        <v>0</v>
      </c>
      <c r="N113" s="26">
        <v>0</v>
      </c>
      <c r="O113" s="26">
        <v>0</v>
      </c>
    </row>
    <row r="114" spans="2:15">
      <c r="B114" s="22" t="s">
        <v>1972</v>
      </c>
      <c r="C114" s="80" t="s">
        <v>290</v>
      </c>
      <c r="D114" s="454">
        <v>0</v>
      </c>
      <c r="E114" s="454">
        <v>0</v>
      </c>
      <c r="F114" s="454">
        <v>0.94</v>
      </c>
      <c r="G114" s="80" t="s">
        <v>2664</v>
      </c>
      <c r="H114" s="1232" t="s">
        <v>237</v>
      </c>
      <c r="I114" s="1234" t="s">
        <v>1922</v>
      </c>
      <c r="J114" s="1233" t="s">
        <v>749</v>
      </c>
      <c r="K114" s="1232" t="s">
        <v>1536</v>
      </c>
      <c r="L114" s="1231">
        <v>0</v>
      </c>
      <c r="M114" s="1231">
        <v>0</v>
      </c>
      <c r="N114" s="1231">
        <v>0</v>
      </c>
      <c r="O114" s="1231">
        <v>0</v>
      </c>
    </row>
    <row r="115" spans="2:15">
      <c r="B115" s="25" t="s">
        <v>751</v>
      </c>
      <c r="C115" s="79" t="s">
        <v>290</v>
      </c>
      <c r="D115" s="966">
        <v>0</v>
      </c>
      <c r="E115" s="966">
        <v>0</v>
      </c>
      <c r="F115" s="966">
        <v>0.97</v>
      </c>
      <c r="G115" s="79" t="s">
        <v>2665</v>
      </c>
      <c r="H115" s="966" t="s">
        <v>237</v>
      </c>
      <c r="I115" s="79" t="s">
        <v>1922</v>
      </c>
      <c r="J115" s="79" t="s">
        <v>751</v>
      </c>
      <c r="K115" s="966" t="s">
        <v>1536</v>
      </c>
      <c r="L115" s="26">
        <v>0</v>
      </c>
      <c r="M115" s="26">
        <v>0</v>
      </c>
      <c r="N115" s="26">
        <v>0</v>
      </c>
      <c r="O115" s="26">
        <v>0</v>
      </c>
    </row>
    <row r="116" spans="2:15">
      <c r="B116" s="22" t="s">
        <v>2414</v>
      </c>
      <c r="C116" s="80" t="s">
        <v>290</v>
      </c>
      <c r="D116" s="454">
        <v>0</v>
      </c>
      <c r="E116" s="454">
        <v>0</v>
      </c>
      <c r="F116" s="454">
        <v>0.41</v>
      </c>
      <c r="G116" s="80" t="s">
        <v>2666</v>
      </c>
      <c r="H116" s="454" t="s">
        <v>237</v>
      </c>
      <c r="I116" s="80" t="s">
        <v>1922</v>
      </c>
      <c r="J116" s="80" t="s">
        <v>2414</v>
      </c>
      <c r="K116" s="454" t="s">
        <v>1536</v>
      </c>
      <c r="L116" s="23">
        <v>0</v>
      </c>
      <c r="M116" s="23">
        <v>0</v>
      </c>
      <c r="N116" s="23">
        <v>0</v>
      </c>
      <c r="O116" s="23">
        <v>0</v>
      </c>
    </row>
    <row r="117" spans="2:15">
      <c r="B117" s="25" t="s">
        <v>753</v>
      </c>
      <c r="C117" s="79" t="s">
        <v>290</v>
      </c>
      <c r="D117" s="966">
        <v>0</v>
      </c>
      <c r="E117" s="966">
        <v>0</v>
      </c>
      <c r="F117" s="966">
        <v>0.6</v>
      </c>
      <c r="G117" s="79" t="s">
        <v>2667</v>
      </c>
      <c r="H117" s="966" t="s">
        <v>237</v>
      </c>
      <c r="I117" s="79" t="s">
        <v>1922</v>
      </c>
      <c r="J117" s="79" t="s">
        <v>753</v>
      </c>
      <c r="K117" s="966" t="s">
        <v>1536</v>
      </c>
      <c r="L117" s="26">
        <v>0</v>
      </c>
      <c r="M117" s="26">
        <v>0</v>
      </c>
      <c r="N117" s="26">
        <v>0</v>
      </c>
      <c r="O117" s="26">
        <v>0</v>
      </c>
    </row>
    <row r="118" spans="2:15">
      <c r="B118" s="22" t="s">
        <v>755</v>
      </c>
      <c r="C118" s="80" t="s">
        <v>290</v>
      </c>
      <c r="D118" s="454">
        <v>0</v>
      </c>
      <c r="E118" s="454">
        <v>0</v>
      </c>
      <c r="F118" s="454">
        <v>0.85</v>
      </c>
      <c r="G118" s="80" t="s">
        <v>2668</v>
      </c>
      <c r="H118" s="454" t="s">
        <v>237</v>
      </c>
      <c r="I118" s="80" t="s">
        <v>1922</v>
      </c>
      <c r="J118" s="80" t="s">
        <v>755</v>
      </c>
      <c r="K118" s="454" t="s">
        <v>1536</v>
      </c>
      <c r="L118" s="23">
        <v>0</v>
      </c>
      <c r="M118" s="23">
        <v>0</v>
      </c>
      <c r="N118" s="23">
        <v>0</v>
      </c>
      <c r="O118" s="23">
        <v>0</v>
      </c>
    </row>
    <row r="119" spans="2:15">
      <c r="B119" s="25" t="s">
        <v>759</v>
      </c>
      <c r="C119" s="79" t="s">
        <v>290</v>
      </c>
      <c r="D119" s="966">
        <v>0</v>
      </c>
      <c r="E119" s="966">
        <v>0</v>
      </c>
      <c r="F119" s="966">
        <v>0.41</v>
      </c>
      <c r="G119" s="79" t="s">
        <v>2669</v>
      </c>
      <c r="H119" s="966" t="s">
        <v>237</v>
      </c>
      <c r="I119" s="79" t="s">
        <v>1922</v>
      </c>
      <c r="J119" s="79" t="s">
        <v>759</v>
      </c>
      <c r="K119" s="966" t="s">
        <v>1536</v>
      </c>
      <c r="L119" s="26">
        <v>0</v>
      </c>
      <c r="M119" s="26">
        <v>0</v>
      </c>
      <c r="N119" s="26">
        <v>0</v>
      </c>
      <c r="O119" s="26">
        <v>0</v>
      </c>
    </row>
    <row r="120" spans="2:15">
      <c r="B120" s="22" t="s">
        <v>760</v>
      </c>
      <c r="C120" s="80" t="s">
        <v>290</v>
      </c>
      <c r="D120" s="454">
        <v>0</v>
      </c>
      <c r="E120" s="454">
        <v>0</v>
      </c>
      <c r="F120" s="454">
        <v>0.68</v>
      </c>
      <c r="G120" s="80" t="s">
        <v>2670</v>
      </c>
      <c r="H120" s="454" t="s">
        <v>237</v>
      </c>
      <c r="I120" s="80" t="s">
        <v>1922</v>
      </c>
      <c r="J120" s="80" t="s">
        <v>760</v>
      </c>
      <c r="K120" s="454" t="s">
        <v>1536</v>
      </c>
      <c r="L120" s="23">
        <v>0</v>
      </c>
      <c r="M120" s="23">
        <v>0</v>
      </c>
      <c r="N120" s="23">
        <v>0</v>
      </c>
      <c r="O120" s="23">
        <v>0</v>
      </c>
    </row>
    <row r="121" spans="2:15">
      <c r="B121" s="25" t="s">
        <v>761</v>
      </c>
      <c r="C121" s="79" t="s">
        <v>290</v>
      </c>
      <c r="D121" s="966">
        <v>0</v>
      </c>
      <c r="E121" s="966">
        <v>0</v>
      </c>
      <c r="F121" s="966">
        <v>0.8</v>
      </c>
      <c r="G121" s="79" t="s">
        <v>2671</v>
      </c>
      <c r="H121" s="966" t="s">
        <v>237</v>
      </c>
      <c r="I121" s="79" t="s">
        <v>1922</v>
      </c>
      <c r="J121" s="79" t="s">
        <v>761</v>
      </c>
      <c r="K121" s="966" t="s">
        <v>1536</v>
      </c>
      <c r="L121" s="26">
        <v>0</v>
      </c>
      <c r="M121" s="26">
        <v>0</v>
      </c>
      <c r="N121" s="26">
        <v>0</v>
      </c>
      <c r="O121" s="26">
        <v>0</v>
      </c>
    </row>
    <row r="122" spans="2:15">
      <c r="B122" s="22" t="s">
        <v>762</v>
      </c>
      <c r="C122" s="80" t="s">
        <v>290</v>
      </c>
      <c r="D122" s="454">
        <v>0</v>
      </c>
      <c r="E122" s="454">
        <v>0</v>
      </c>
      <c r="F122" s="454">
        <v>1.0900000000000001</v>
      </c>
      <c r="G122" s="80" t="s">
        <v>2672</v>
      </c>
      <c r="H122" s="454" t="s">
        <v>237</v>
      </c>
      <c r="I122" s="80" t="s">
        <v>1922</v>
      </c>
      <c r="J122" s="80" t="s">
        <v>762</v>
      </c>
      <c r="K122" s="454" t="s">
        <v>1536</v>
      </c>
      <c r="L122" s="23">
        <v>0</v>
      </c>
      <c r="M122" s="23">
        <v>0</v>
      </c>
      <c r="N122" s="23">
        <v>0</v>
      </c>
      <c r="O122" s="23">
        <v>0</v>
      </c>
    </row>
    <row r="123" spans="2:15">
      <c r="B123" s="25" t="s">
        <v>763</v>
      </c>
      <c r="C123" s="79" t="s">
        <v>290</v>
      </c>
      <c r="D123" s="966">
        <v>0</v>
      </c>
      <c r="E123" s="966">
        <v>0</v>
      </c>
      <c r="F123" s="966">
        <v>0.94</v>
      </c>
      <c r="G123" s="79" t="s">
        <v>2673</v>
      </c>
      <c r="H123" s="966" t="s">
        <v>237</v>
      </c>
      <c r="I123" s="79" t="s">
        <v>1922</v>
      </c>
      <c r="J123" s="79" t="s">
        <v>763</v>
      </c>
      <c r="K123" s="966" t="s">
        <v>1536</v>
      </c>
      <c r="L123" s="26">
        <v>0</v>
      </c>
      <c r="M123" s="26">
        <v>0</v>
      </c>
      <c r="N123" s="26">
        <v>0</v>
      </c>
      <c r="O123" s="26">
        <v>0</v>
      </c>
    </row>
    <row r="124" spans="2:15">
      <c r="B124" s="22" t="s">
        <v>764</v>
      </c>
      <c r="C124" s="80" t="s">
        <v>290</v>
      </c>
      <c r="D124" s="454">
        <v>0</v>
      </c>
      <c r="E124" s="454">
        <v>0</v>
      </c>
      <c r="F124" s="454">
        <v>0.84</v>
      </c>
      <c r="G124" s="80" t="s">
        <v>2674</v>
      </c>
      <c r="H124" s="454" t="s">
        <v>237</v>
      </c>
      <c r="I124" s="80" t="s">
        <v>1922</v>
      </c>
      <c r="J124" s="80" t="s">
        <v>764</v>
      </c>
      <c r="K124" s="454" t="s">
        <v>1536</v>
      </c>
      <c r="L124" s="23">
        <v>0</v>
      </c>
      <c r="M124" s="23">
        <v>0</v>
      </c>
      <c r="N124" s="23">
        <v>0</v>
      </c>
      <c r="O124" s="23">
        <v>0</v>
      </c>
    </row>
    <row r="125" spans="2:15">
      <c r="B125" s="25" t="s">
        <v>766</v>
      </c>
      <c r="C125" s="79" t="s">
        <v>290</v>
      </c>
      <c r="D125" s="966">
        <v>0</v>
      </c>
      <c r="E125" s="966">
        <v>0</v>
      </c>
      <c r="F125" s="966">
        <v>0.41</v>
      </c>
      <c r="G125" s="79" t="s">
        <v>2675</v>
      </c>
      <c r="H125" s="966" t="s">
        <v>237</v>
      </c>
      <c r="I125" s="79" t="s">
        <v>1922</v>
      </c>
      <c r="J125" s="79" t="s">
        <v>766</v>
      </c>
      <c r="K125" s="966" t="s">
        <v>1536</v>
      </c>
      <c r="L125" s="26">
        <v>0</v>
      </c>
      <c r="M125" s="26">
        <v>0</v>
      </c>
      <c r="N125" s="26">
        <v>0</v>
      </c>
      <c r="O125" s="26">
        <v>0</v>
      </c>
    </row>
    <row r="126" spans="2:15">
      <c r="B126" s="22" t="s">
        <v>767</v>
      </c>
      <c r="C126" s="80" t="s">
        <v>290</v>
      </c>
      <c r="D126" s="454">
        <v>0</v>
      </c>
      <c r="E126" s="454">
        <v>0</v>
      </c>
      <c r="F126" s="454">
        <v>0.61</v>
      </c>
      <c r="G126" s="80" t="s">
        <v>2676</v>
      </c>
      <c r="H126" s="454" t="s">
        <v>237</v>
      </c>
      <c r="I126" s="80" t="s">
        <v>1922</v>
      </c>
      <c r="J126" s="80" t="s">
        <v>767</v>
      </c>
      <c r="K126" s="454" t="s">
        <v>1536</v>
      </c>
      <c r="L126" s="23">
        <v>0</v>
      </c>
      <c r="M126" s="23">
        <v>0</v>
      </c>
      <c r="N126" s="23">
        <v>0</v>
      </c>
      <c r="O126" s="23">
        <v>0</v>
      </c>
    </row>
    <row r="127" spans="2:15">
      <c r="B127" s="25" t="s">
        <v>768</v>
      </c>
      <c r="C127" s="79" t="s">
        <v>290</v>
      </c>
      <c r="D127" s="966">
        <v>0</v>
      </c>
      <c r="E127" s="966">
        <v>0</v>
      </c>
      <c r="F127" s="966">
        <v>0.79</v>
      </c>
      <c r="G127" s="79" t="s">
        <v>2677</v>
      </c>
      <c r="H127" s="966" t="s">
        <v>237</v>
      </c>
      <c r="I127" s="79" t="s">
        <v>1922</v>
      </c>
      <c r="J127" s="79" t="s">
        <v>768</v>
      </c>
      <c r="K127" s="966" t="s">
        <v>1536</v>
      </c>
      <c r="L127" s="26">
        <v>0</v>
      </c>
      <c r="M127" s="26">
        <v>0</v>
      </c>
      <c r="N127" s="26">
        <v>0</v>
      </c>
      <c r="O127" s="26">
        <v>0</v>
      </c>
    </row>
    <row r="128" spans="2:15">
      <c r="B128" s="22" t="s">
        <v>769</v>
      </c>
      <c r="C128" s="80" t="s">
        <v>290</v>
      </c>
      <c r="D128" s="454">
        <v>0</v>
      </c>
      <c r="E128" s="454">
        <v>0</v>
      </c>
      <c r="F128" s="454">
        <v>0.15</v>
      </c>
      <c r="G128" s="80" t="s">
        <v>2678</v>
      </c>
      <c r="H128" s="454" t="s">
        <v>237</v>
      </c>
      <c r="I128" s="80" t="s">
        <v>1922</v>
      </c>
      <c r="J128" s="80" t="s">
        <v>769</v>
      </c>
      <c r="K128" s="454" t="s">
        <v>1536</v>
      </c>
      <c r="L128" s="23">
        <v>0</v>
      </c>
      <c r="M128" s="23">
        <v>0</v>
      </c>
      <c r="N128" s="23">
        <v>0</v>
      </c>
      <c r="O128" s="23">
        <v>0</v>
      </c>
    </row>
    <row r="129" spans="2:15">
      <c r="B129" s="25" t="s">
        <v>770</v>
      </c>
      <c r="C129" s="79" t="s">
        <v>290</v>
      </c>
      <c r="D129" s="966">
        <v>0</v>
      </c>
      <c r="E129" s="966">
        <v>0</v>
      </c>
      <c r="F129" s="966">
        <v>0.74</v>
      </c>
      <c r="G129" s="79" t="s">
        <v>2679</v>
      </c>
      <c r="H129" s="966" t="s">
        <v>237</v>
      </c>
      <c r="I129" s="79" t="s">
        <v>1922</v>
      </c>
      <c r="J129" s="79" t="s">
        <v>770</v>
      </c>
      <c r="K129" s="966" t="s">
        <v>1536</v>
      </c>
      <c r="L129" s="26">
        <v>0</v>
      </c>
      <c r="M129" s="26">
        <v>0</v>
      </c>
      <c r="N129" s="26">
        <v>0</v>
      </c>
      <c r="O129" s="26">
        <v>0</v>
      </c>
    </row>
    <row r="130" spans="2:15">
      <c r="B130" s="22" t="s">
        <v>771</v>
      </c>
      <c r="C130" s="80" t="s">
        <v>290</v>
      </c>
      <c r="D130" s="454">
        <v>0</v>
      </c>
      <c r="E130" s="454">
        <v>0</v>
      </c>
      <c r="F130" s="454">
        <v>0.8</v>
      </c>
      <c r="G130" s="80" t="s">
        <v>2680</v>
      </c>
      <c r="H130" s="454" t="s">
        <v>237</v>
      </c>
      <c r="I130" s="80" t="s">
        <v>1922</v>
      </c>
      <c r="J130" s="80" t="s">
        <v>771</v>
      </c>
      <c r="K130" s="454" t="s">
        <v>1536</v>
      </c>
      <c r="L130" s="23">
        <v>0</v>
      </c>
      <c r="M130" s="23">
        <v>0</v>
      </c>
      <c r="N130" s="23">
        <v>0</v>
      </c>
      <c r="O130" s="23">
        <v>0</v>
      </c>
    </row>
    <row r="131" spans="2:15">
      <c r="B131" s="25" t="s">
        <v>772</v>
      </c>
      <c r="C131" s="79" t="s">
        <v>290</v>
      </c>
      <c r="D131" s="966">
        <v>0</v>
      </c>
      <c r="E131" s="966">
        <v>0</v>
      </c>
      <c r="F131" s="966">
        <v>0.61</v>
      </c>
      <c r="G131" s="79" t="s">
        <v>2681</v>
      </c>
      <c r="H131" s="966" t="s">
        <v>237</v>
      </c>
      <c r="I131" s="79" t="s">
        <v>1922</v>
      </c>
      <c r="J131" s="79" t="s">
        <v>772</v>
      </c>
      <c r="K131" s="966" t="s">
        <v>1536</v>
      </c>
      <c r="L131" s="26">
        <v>0</v>
      </c>
      <c r="M131" s="26">
        <v>0</v>
      </c>
      <c r="N131" s="26">
        <v>0</v>
      </c>
      <c r="O131" s="26">
        <v>0</v>
      </c>
    </row>
    <row r="132" spans="2:15">
      <c r="B132" s="22" t="s">
        <v>773</v>
      </c>
      <c r="C132" s="80" t="s">
        <v>290</v>
      </c>
      <c r="D132" s="454">
        <v>0</v>
      </c>
      <c r="E132" s="454">
        <v>0</v>
      </c>
      <c r="F132" s="454">
        <v>0.63</v>
      </c>
      <c r="G132" s="80" t="s">
        <v>2682</v>
      </c>
      <c r="H132" s="454" t="s">
        <v>237</v>
      </c>
      <c r="I132" s="80" t="s">
        <v>1922</v>
      </c>
      <c r="J132" s="80" t="s">
        <v>773</v>
      </c>
      <c r="K132" s="454" t="s">
        <v>1536</v>
      </c>
      <c r="L132" s="23">
        <v>0</v>
      </c>
      <c r="M132" s="23">
        <v>0</v>
      </c>
      <c r="N132" s="23">
        <v>0</v>
      </c>
      <c r="O132" s="23">
        <v>0</v>
      </c>
    </row>
    <row r="133" spans="2:15">
      <c r="B133" s="25" t="s">
        <v>774</v>
      </c>
      <c r="C133" s="79" t="s">
        <v>290</v>
      </c>
      <c r="D133" s="966">
        <v>0</v>
      </c>
      <c r="E133" s="966">
        <v>0</v>
      </c>
      <c r="F133" s="966">
        <v>1.05</v>
      </c>
      <c r="G133" s="79" t="s">
        <v>2683</v>
      </c>
      <c r="H133" s="966" t="s">
        <v>237</v>
      </c>
      <c r="I133" s="79" t="s">
        <v>1922</v>
      </c>
      <c r="J133" s="79" t="s">
        <v>774</v>
      </c>
      <c r="K133" s="966" t="s">
        <v>1536</v>
      </c>
      <c r="L133" s="26">
        <v>0</v>
      </c>
      <c r="M133" s="26">
        <v>0</v>
      </c>
      <c r="N133" s="26">
        <v>0</v>
      </c>
      <c r="O133" s="26">
        <v>0</v>
      </c>
    </row>
    <row r="134" spans="2:15">
      <c r="B134" s="22" t="s">
        <v>775</v>
      </c>
      <c r="C134" s="80" t="s">
        <v>290</v>
      </c>
      <c r="D134" s="454">
        <v>0</v>
      </c>
      <c r="E134" s="454">
        <v>0</v>
      </c>
      <c r="F134" s="454">
        <v>0.49</v>
      </c>
      <c r="G134" s="80" t="s">
        <v>2684</v>
      </c>
      <c r="H134" s="454" t="s">
        <v>237</v>
      </c>
      <c r="I134" s="454" t="s">
        <v>1922</v>
      </c>
      <c r="J134" s="456" t="s">
        <v>775</v>
      </c>
      <c r="K134" s="454" t="s">
        <v>1536</v>
      </c>
      <c r="L134" s="1235">
        <v>0</v>
      </c>
      <c r="M134" s="1235">
        <v>0</v>
      </c>
      <c r="N134" s="1235">
        <v>0</v>
      </c>
      <c r="O134" s="1235">
        <v>0</v>
      </c>
    </row>
    <row r="135" spans="2:15">
      <c r="B135" s="25" t="s">
        <v>776</v>
      </c>
      <c r="C135" s="79" t="s">
        <v>290</v>
      </c>
      <c r="D135" s="966">
        <v>0</v>
      </c>
      <c r="E135" s="966">
        <v>0</v>
      </c>
      <c r="F135" s="966">
        <v>0.51</v>
      </c>
      <c r="G135" s="79" t="s">
        <v>2685</v>
      </c>
      <c r="H135" s="966" t="s">
        <v>237</v>
      </c>
      <c r="I135" s="966" t="s">
        <v>1922</v>
      </c>
      <c r="J135" s="1230" t="s">
        <v>776</v>
      </c>
      <c r="K135" s="966" t="s">
        <v>1536</v>
      </c>
      <c r="L135" s="1236">
        <v>0</v>
      </c>
      <c r="M135" s="1236">
        <v>0</v>
      </c>
      <c r="N135" s="1236">
        <v>0</v>
      </c>
      <c r="O135" s="1236">
        <v>0</v>
      </c>
    </row>
    <row r="136" spans="2:15">
      <c r="B136" s="22" t="s">
        <v>777</v>
      </c>
      <c r="C136" s="80" t="s">
        <v>290</v>
      </c>
      <c r="D136" s="454">
        <v>0</v>
      </c>
      <c r="E136" s="454">
        <v>0</v>
      </c>
      <c r="F136" s="454">
        <v>0.8</v>
      </c>
      <c r="G136" s="80" t="s">
        <v>2686</v>
      </c>
      <c r="H136" s="454" t="s">
        <v>237</v>
      </c>
      <c r="I136" s="454" t="s">
        <v>1922</v>
      </c>
      <c r="J136" s="456" t="s">
        <v>777</v>
      </c>
      <c r="K136" s="454" t="s">
        <v>1536</v>
      </c>
      <c r="L136" s="1235">
        <v>0</v>
      </c>
      <c r="M136" s="1235">
        <v>0</v>
      </c>
      <c r="N136" s="1235">
        <v>0</v>
      </c>
      <c r="O136" s="1235">
        <v>0</v>
      </c>
    </row>
    <row r="137" spans="2:15">
      <c r="B137" s="25" t="s">
        <v>779</v>
      </c>
      <c r="C137" s="79" t="s">
        <v>290</v>
      </c>
      <c r="D137" s="966">
        <v>0</v>
      </c>
      <c r="E137" s="966">
        <v>0</v>
      </c>
      <c r="F137" s="966">
        <v>0.4</v>
      </c>
      <c r="G137" s="79" t="s">
        <v>2687</v>
      </c>
      <c r="H137" s="966" t="s">
        <v>237</v>
      </c>
      <c r="I137" s="966" t="s">
        <v>1922</v>
      </c>
      <c r="J137" s="1230" t="s">
        <v>779</v>
      </c>
      <c r="K137" s="966" t="s">
        <v>1536</v>
      </c>
      <c r="L137" s="1236">
        <v>0</v>
      </c>
      <c r="M137" s="1236">
        <v>0</v>
      </c>
      <c r="N137" s="1236">
        <v>0</v>
      </c>
      <c r="O137" s="1236">
        <v>0</v>
      </c>
    </row>
    <row r="138" spans="2:15">
      <c r="B138" s="22" t="s">
        <v>781</v>
      </c>
      <c r="C138" s="80" t="s">
        <v>290</v>
      </c>
      <c r="D138" s="454">
        <v>0</v>
      </c>
      <c r="E138" s="454">
        <v>0</v>
      </c>
      <c r="F138" s="454">
        <v>0.4</v>
      </c>
      <c r="G138" s="80" t="s">
        <v>2688</v>
      </c>
      <c r="H138" s="454" t="s">
        <v>237</v>
      </c>
      <c r="I138" s="454" t="s">
        <v>1922</v>
      </c>
      <c r="J138" s="454" t="s">
        <v>781</v>
      </c>
      <c r="K138" s="454" t="s">
        <v>1536</v>
      </c>
      <c r="L138" s="1235">
        <v>0</v>
      </c>
      <c r="M138" s="1235">
        <v>0</v>
      </c>
      <c r="N138" s="1235">
        <v>0</v>
      </c>
      <c r="O138" s="1235">
        <v>0</v>
      </c>
    </row>
    <row r="139" spans="2:15">
      <c r="B139" s="25" t="s">
        <v>2530</v>
      </c>
      <c r="C139" s="79" t="s">
        <v>333</v>
      </c>
      <c r="D139" s="966">
        <v>1</v>
      </c>
      <c r="E139" s="966">
        <v>750</v>
      </c>
      <c r="F139" s="966">
        <v>500</v>
      </c>
      <c r="G139" s="79" t="s">
        <v>2689</v>
      </c>
      <c r="H139" s="966" t="s">
        <v>215</v>
      </c>
      <c r="I139" s="966" t="s">
        <v>1962</v>
      </c>
      <c r="J139" s="966">
        <v>0</v>
      </c>
      <c r="K139" s="966" t="s">
        <v>1600</v>
      </c>
      <c r="L139" s="34" t="s">
        <v>750</v>
      </c>
      <c r="M139" s="34" t="s">
        <v>750</v>
      </c>
      <c r="N139" s="34" t="s">
        <v>2555</v>
      </c>
      <c r="O139" s="34" t="s">
        <v>2555</v>
      </c>
    </row>
    <row r="140" spans="2:15">
      <c r="B140" s="22" t="s">
        <v>2531</v>
      </c>
      <c r="C140" s="80" t="s">
        <v>333</v>
      </c>
      <c r="D140" s="454">
        <v>1</v>
      </c>
      <c r="E140" s="454">
        <v>0.08</v>
      </c>
      <c r="F140" s="454">
        <v>0.06</v>
      </c>
      <c r="G140" s="80" t="s">
        <v>2690</v>
      </c>
      <c r="H140" s="454" t="s">
        <v>215</v>
      </c>
      <c r="I140" s="454" t="s">
        <v>1962</v>
      </c>
      <c r="J140" s="454" t="s">
        <v>788</v>
      </c>
      <c r="K140" s="454" t="s">
        <v>1600</v>
      </c>
      <c r="L140" s="33" t="s">
        <v>750</v>
      </c>
      <c r="M140" s="33" t="s">
        <v>750</v>
      </c>
      <c r="N140" s="33" t="s">
        <v>2555</v>
      </c>
      <c r="O140" s="33" t="s">
        <v>2555</v>
      </c>
    </row>
    <row r="141" spans="2:15">
      <c r="B141" s="25" t="s">
        <v>2691</v>
      </c>
      <c r="C141" s="79" t="s">
        <v>333</v>
      </c>
      <c r="D141" s="966">
        <v>1</v>
      </c>
      <c r="E141" s="966">
        <v>0.8</v>
      </c>
      <c r="F141" s="966">
        <v>0.6</v>
      </c>
      <c r="G141" s="79" t="s">
        <v>2692</v>
      </c>
      <c r="H141" s="966" t="s">
        <v>215</v>
      </c>
      <c r="I141" s="966" t="s">
        <v>1962</v>
      </c>
      <c r="J141" s="966" t="s">
        <v>789</v>
      </c>
      <c r="K141" s="966" t="s">
        <v>1600</v>
      </c>
      <c r="L141" s="34" t="s">
        <v>750</v>
      </c>
      <c r="M141" s="34" t="s">
        <v>750</v>
      </c>
      <c r="N141" s="34" t="s">
        <v>2693</v>
      </c>
      <c r="O141" s="34" t="s">
        <v>2693</v>
      </c>
    </row>
    <row r="142" spans="2:15">
      <c r="B142" s="22" t="s">
        <v>2533</v>
      </c>
      <c r="C142" s="80" t="s">
        <v>333</v>
      </c>
      <c r="D142" s="454">
        <v>1</v>
      </c>
      <c r="E142" s="454">
        <v>0.16</v>
      </c>
      <c r="F142" s="454">
        <v>0.11</v>
      </c>
      <c r="G142" s="80" t="s">
        <v>2694</v>
      </c>
      <c r="H142" s="454" t="s">
        <v>215</v>
      </c>
      <c r="I142" s="454" t="s">
        <v>1962</v>
      </c>
      <c r="J142" s="454" t="s">
        <v>789</v>
      </c>
      <c r="K142" s="454" t="s">
        <v>1600</v>
      </c>
      <c r="L142" s="33" t="s">
        <v>750</v>
      </c>
      <c r="M142" s="33" t="s">
        <v>750</v>
      </c>
      <c r="N142" s="33" t="s">
        <v>2555</v>
      </c>
      <c r="O142" s="33" t="s">
        <v>2555</v>
      </c>
    </row>
    <row r="143" spans="2:15">
      <c r="B143" s="1225" t="s">
        <v>2534</v>
      </c>
      <c r="C143" s="79" t="s">
        <v>333</v>
      </c>
      <c r="D143" s="966">
        <v>1</v>
      </c>
      <c r="E143" s="966">
        <v>0.75</v>
      </c>
      <c r="F143" s="966">
        <v>0.75</v>
      </c>
      <c r="G143" s="79" t="s">
        <v>2695</v>
      </c>
      <c r="H143" s="966" t="s">
        <v>215</v>
      </c>
      <c r="I143" s="966" t="s">
        <v>1962</v>
      </c>
      <c r="J143" s="966" t="s">
        <v>794</v>
      </c>
      <c r="K143" s="966" t="s">
        <v>1600</v>
      </c>
      <c r="L143" s="34" t="s">
        <v>750</v>
      </c>
      <c r="M143" s="34" t="s">
        <v>750</v>
      </c>
      <c r="N143" s="34" t="s">
        <v>2555</v>
      </c>
      <c r="O143" s="34" t="s">
        <v>2555</v>
      </c>
    </row>
    <row r="144" spans="2:15">
      <c r="B144" s="22" t="s">
        <v>790</v>
      </c>
      <c r="C144" s="80" t="s">
        <v>333</v>
      </c>
      <c r="D144" s="454">
        <v>1</v>
      </c>
      <c r="E144" s="454">
        <v>1</v>
      </c>
      <c r="F144" s="454">
        <v>0.7</v>
      </c>
      <c r="G144" s="80" t="s">
        <v>2696</v>
      </c>
      <c r="H144" s="454" t="s">
        <v>215</v>
      </c>
      <c r="I144" s="454" t="s">
        <v>1962</v>
      </c>
      <c r="J144" s="454" t="s">
        <v>790</v>
      </c>
      <c r="K144" s="454" t="s">
        <v>1600</v>
      </c>
      <c r="L144" s="33" t="s">
        <v>750</v>
      </c>
      <c r="M144" s="33" t="s">
        <v>750</v>
      </c>
      <c r="N144" s="33" t="s">
        <v>2555</v>
      </c>
      <c r="O144" s="33" t="s">
        <v>2555</v>
      </c>
    </row>
    <row r="145" spans="1:15">
      <c r="B145" s="25" t="s">
        <v>791</v>
      </c>
      <c r="C145" s="79" t="s">
        <v>333</v>
      </c>
      <c r="D145" s="966">
        <v>1</v>
      </c>
      <c r="E145" s="966">
        <v>0.2</v>
      </c>
      <c r="F145" s="966">
        <v>0.14000000000000001</v>
      </c>
      <c r="G145" s="79" t="s">
        <v>2697</v>
      </c>
      <c r="H145" s="966" t="s">
        <v>215</v>
      </c>
      <c r="I145" s="966" t="s">
        <v>1962</v>
      </c>
      <c r="J145" s="966" t="s">
        <v>791</v>
      </c>
      <c r="K145" s="966" t="s">
        <v>1600</v>
      </c>
      <c r="L145" s="34" t="s">
        <v>750</v>
      </c>
      <c r="M145" s="34" t="s">
        <v>750</v>
      </c>
      <c r="N145" s="34" t="s">
        <v>2555</v>
      </c>
      <c r="O145" s="34" t="s">
        <v>2555</v>
      </c>
    </row>
    <row r="146" spans="1:15">
      <c r="B146" s="22" t="s">
        <v>2535</v>
      </c>
      <c r="C146" s="80" t="s">
        <v>333</v>
      </c>
      <c r="D146" s="454">
        <v>1</v>
      </c>
      <c r="E146" s="454">
        <v>0.04</v>
      </c>
      <c r="F146" s="454">
        <v>0.04</v>
      </c>
      <c r="G146" s="80" t="s">
        <v>2698</v>
      </c>
      <c r="H146" s="454" t="s">
        <v>215</v>
      </c>
      <c r="I146" s="454" t="s">
        <v>1962</v>
      </c>
      <c r="J146" s="454" t="s">
        <v>796</v>
      </c>
      <c r="K146" s="454" t="s">
        <v>1600</v>
      </c>
      <c r="L146" s="33" t="s">
        <v>750</v>
      </c>
      <c r="M146" s="33" t="s">
        <v>750</v>
      </c>
      <c r="N146" s="33" t="s">
        <v>2555</v>
      </c>
      <c r="O146" s="33" t="s">
        <v>2555</v>
      </c>
    </row>
    <row r="147" spans="1:15">
      <c r="B147" s="25" t="s">
        <v>2699</v>
      </c>
      <c r="C147" s="79" t="s">
        <v>333</v>
      </c>
      <c r="D147" s="966">
        <v>1</v>
      </c>
      <c r="E147" s="966">
        <v>30</v>
      </c>
      <c r="F147" s="966">
        <v>21</v>
      </c>
      <c r="G147" s="79" t="s">
        <v>2700</v>
      </c>
      <c r="H147" s="966" t="s">
        <v>215</v>
      </c>
      <c r="I147" s="966" t="s">
        <v>1962</v>
      </c>
      <c r="J147" s="966" t="s">
        <v>792</v>
      </c>
      <c r="K147" s="966" t="s">
        <v>1600</v>
      </c>
      <c r="L147" s="34" t="s">
        <v>750</v>
      </c>
      <c r="M147" s="34" t="s">
        <v>750</v>
      </c>
      <c r="N147" s="34" t="s">
        <v>2693</v>
      </c>
      <c r="O147" s="34" t="s">
        <v>2693</v>
      </c>
    </row>
    <row r="148" spans="1:15">
      <c r="B148" s="22" t="s">
        <v>792</v>
      </c>
      <c r="C148" s="1234" t="s">
        <v>333</v>
      </c>
      <c r="D148" s="1238">
        <v>1</v>
      </c>
      <c r="E148" s="454">
        <v>0.4</v>
      </c>
      <c r="F148" s="454">
        <v>0.4</v>
      </c>
      <c r="G148" s="1234" t="s">
        <v>2701</v>
      </c>
      <c r="H148" s="1238" t="s">
        <v>215</v>
      </c>
      <c r="I148" s="1238" t="s">
        <v>1962</v>
      </c>
      <c r="J148" s="1238" t="s">
        <v>792</v>
      </c>
      <c r="K148" s="1238" t="s">
        <v>1600</v>
      </c>
      <c r="L148" s="1239" t="s">
        <v>750</v>
      </c>
      <c r="M148" s="1239" t="s">
        <v>750</v>
      </c>
      <c r="N148" s="1239" t="s">
        <v>2555</v>
      </c>
      <c r="O148" s="1239" t="s">
        <v>2555</v>
      </c>
    </row>
    <row r="149" spans="1:15">
      <c r="B149" s="25" t="s">
        <v>2537</v>
      </c>
      <c r="C149" s="79" t="s">
        <v>333</v>
      </c>
      <c r="D149" s="966">
        <v>1</v>
      </c>
      <c r="E149" s="1243">
        <v>0.35</v>
      </c>
      <c r="F149" s="1243">
        <v>0.35</v>
      </c>
      <c r="G149" s="79" t="s">
        <v>2702</v>
      </c>
      <c r="H149" s="966" t="s">
        <v>215</v>
      </c>
      <c r="I149" s="966" t="s">
        <v>1962</v>
      </c>
      <c r="J149" s="966" t="s">
        <v>796</v>
      </c>
      <c r="K149" s="966" t="s">
        <v>1600</v>
      </c>
      <c r="L149" s="34" t="s">
        <v>750</v>
      </c>
      <c r="M149" s="34" t="s">
        <v>750</v>
      </c>
      <c r="N149" s="34" t="s">
        <v>2555</v>
      </c>
      <c r="O149" s="34" t="s">
        <v>2555</v>
      </c>
    </row>
    <row r="150" spans="1:15">
      <c r="B150" s="1228" t="s">
        <v>2538</v>
      </c>
      <c r="C150" s="1234" t="s">
        <v>333</v>
      </c>
      <c r="D150" s="1238">
        <v>1</v>
      </c>
      <c r="E150" s="1232">
        <v>0.8</v>
      </c>
      <c r="F150" s="1232">
        <v>0.6</v>
      </c>
      <c r="G150" s="1234" t="s">
        <v>2703</v>
      </c>
      <c r="H150" s="1238" t="s">
        <v>215</v>
      </c>
      <c r="I150" s="1238" t="s">
        <v>1962</v>
      </c>
      <c r="J150" s="1238" t="s">
        <v>793</v>
      </c>
      <c r="K150" s="1238" t="s">
        <v>1600</v>
      </c>
      <c r="L150" s="1239" t="s">
        <v>750</v>
      </c>
      <c r="M150" s="1239" t="s">
        <v>750</v>
      </c>
      <c r="N150" s="1239" t="s">
        <v>2555</v>
      </c>
      <c r="O150" s="1239" t="s">
        <v>2555</v>
      </c>
    </row>
    <row r="151" spans="1:15">
      <c r="B151" s="1227" t="s">
        <v>2539</v>
      </c>
      <c r="C151" s="79" t="s">
        <v>333</v>
      </c>
      <c r="D151" s="966">
        <v>1</v>
      </c>
      <c r="E151" s="1243">
        <v>0.5</v>
      </c>
      <c r="F151" s="1243">
        <v>0.35</v>
      </c>
      <c r="G151" s="79" t="s">
        <v>2704</v>
      </c>
      <c r="H151" s="966" t="s">
        <v>215</v>
      </c>
      <c r="I151" s="966" t="s">
        <v>1962</v>
      </c>
      <c r="J151" s="966" t="s">
        <v>794</v>
      </c>
      <c r="K151" s="966" t="s">
        <v>1600</v>
      </c>
      <c r="L151" s="34" t="s">
        <v>750</v>
      </c>
      <c r="M151" s="34" t="s">
        <v>750</v>
      </c>
      <c r="N151" s="34" t="s">
        <v>2555</v>
      </c>
      <c r="O151" s="34" t="s">
        <v>2555</v>
      </c>
    </row>
    <row r="152" spans="1:15">
      <c r="B152" s="1237" t="s">
        <v>2705</v>
      </c>
      <c r="C152" s="1234" t="s">
        <v>333</v>
      </c>
      <c r="D152" s="1238">
        <v>1</v>
      </c>
      <c r="E152" s="1232">
        <v>10</v>
      </c>
      <c r="F152" s="1232">
        <v>7</v>
      </c>
      <c r="G152" s="1234" t="s">
        <v>2706</v>
      </c>
      <c r="H152" s="1238" t="s">
        <v>215</v>
      </c>
      <c r="I152" s="1238" t="s">
        <v>1962</v>
      </c>
      <c r="J152" s="1238" t="s">
        <v>794</v>
      </c>
      <c r="K152" s="1238" t="s">
        <v>1600</v>
      </c>
      <c r="L152" s="1239" t="s">
        <v>750</v>
      </c>
      <c r="M152" s="1239" t="s">
        <v>750</v>
      </c>
      <c r="N152" s="1239" t="s">
        <v>2693</v>
      </c>
      <c r="O152" s="1239" t="s">
        <v>2693</v>
      </c>
    </row>
    <row r="153" spans="1:15">
      <c r="A153" s="1247"/>
      <c r="B153" s="1227" t="s">
        <v>2707</v>
      </c>
      <c r="C153" s="79" t="s">
        <v>333</v>
      </c>
      <c r="D153" s="966">
        <v>1</v>
      </c>
      <c r="E153" s="1243">
        <v>0.113</v>
      </c>
      <c r="F153" s="1243">
        <v>0.113</v>
      </c>
      <c r="G153" s="1246" t="s">
        <v>2708</v>
      </c>
      <c r="H153" s="966" t="s">
        <v>215</v>
      </c>
      <c r="I153" s="966" t="s">
        <v>1962</v>
      </c>
      <c r="J153" s="966" t="s">
        <v>795</v>
      </c>
      <c r="K153" s="966" t="s">
        <v>1600</v>
      </c>
      <c r="L153" s="34" t="s">
        <v>750</v>
      </c>
      <c r="M153" s="34" t="s">
        <v>750</v>
      </c>
      <c r="N153" s="34" t="s">
        <v>2555</v>
      </c>
      <c r="O153" s="34" t="s">
        <v>2555</v>
      </c>
    </row>
    <row r="154" spans="1:15">
      <c r="B154" s="1237" t="s">
        <v>788</v>
      </c>
      <c r="C154" s="1234" t="s">
        <v>333</v>
      </c>
      <c r="D154" s="1238">
        <v>0</v>
      </c>
      <c r="E154" s="1232">
        <v>0.08</v>
      </c>
      <c r="F154" s="1232">
        <v>0.06</v>
      </c>
      <c r="G154" s="1233" t="s">
        <v>2709</v>
      </c>
      <c r="H154" s="1240" t="s">
        <v>215</v>
      </c>
      <c r="I154" s="1240" t="s">
        <v>1962</v>
      </c>
      <c r="J154" s="1240" t="s">
        <v>788</v>
      </c>
      <c r="K154" s="1240" t="s">
        <v>1536</v>
      </c>
      <c r="L154" s="1241" t="s">
        <v>750</v>
      </c>
      <c r="M154" s="1241" t="s">
        <v>750</v>
      </c>
      <c r="N154" s="1241" t="s">
        <v>2555</v>
      </c>
      <c r="O154" s="1241" t="s">
        <v>2555</v>
      </c>
    </row>
    <row r="155" spans="1:15">
      <c r="B155" s="1227" t="s">
        <v>789</v>
      </c>
      <c r="C155" s="79" t="s">
        <v>333</v>
      </c>
      <c r="D155" s="966">
        <v>0</v>
      </c>
      <c r="E155" s="1243">
        <v>0.16</v>
      </c>
      <c r="F155" s="1243">
        <v>0.11</v>
      </c>
      <c r="G155" s="79" t="s">
        <v>2710</v>
      </c>
      <c r="H155" s="1244" t="s">
        <v>215</v>
      </c>
      <c r="I155" s="1244" t="s">
        <v>1962</v>
      </c>
      <c r="J155" s="1244" t="s">
        <v>789</v>
      </c>
      <c r="K155" s="1244" t="s">
        <v>1536</v>
      </c>
      <c r="L155" s="1245" t="s">
        <v>750</v>
      </c>
      <c r="M155" s="1245" t="s">
        <v>750</v>
      </c>
      <c r="N155" s="1245" t="s">
        <v>2555</v>
      </c>
      <c r="O155" s="1245" t="s">
        <v>2555</v>
      </c>
    </row>
    <row r="156" spans="1:15">
      <c r="B156" s="1237" t="s">
        <v>2208</v>
      </c>
      <c r="C156" s="1233" t="s">
        <v>333</v>
      </c>
      <c r="D156" s="1232">
        <v>0</v>
      </c>
      <c r="E156" s="1232">
        <v>1</v>
      </c>
      <c r="F156" s="1232">
        <v>0.7</v>
      </c>
      <c r="G156" s="1242" t="s">
        <v>2696</v>
      </c>
      <c r="H156" s="1240" t="s">
        <v>215</v>
      </c>
      <c r="I156" s="1240" t="s">
        <v>1962</v>
      </c>
      <c r="J156" s="1240" t="s">
        <v>790</v>
      </c>
      <c r="K156" s="1240" t="s">
        <v>1536</v>
      </c>
      <c r="L156" s="1241" t="s">
        <v>750</v>
      </c>
      <c r="M156" s="1241" t="s">
        <v>750</v>
      </c>
      <c r="N156" s="1241" t="s">
        <v>2555</v>
      </c>
      <c r="O156" s="1241" t="s">
        <v>2555</v>
      </c>
    </row>
    <row r="157" spans="1:15">
      <c r="B157" s="1227" t="s">
        <v>2216</v>
      </c>
      <c r="C157" s="79" t="s">
        <v>333</v>
      </c>
      <c r="D157" s="966">
        <v>0</v>
      </c>
      <c r="E157" s="966">
        <v>0.2</v>
      </c>
      <c r="F157" s="1243">
        <v>0.14000000000000001</v>
      </c>
      <c r="G157" s="1249" t="s">
        <v>2697</v>
      </c>
      <c r="H157" s="1244" t="s">
        <v>215</v>
      </c>
      <c r="I157" s="1244" t="s">
        <v>1962</v>
      </c>
      <c r="J157" s="1244" t="s">
        <v>791</v>
      </c>
      <c r="K157" s="1244" t="s">
        <v>1536</v>
      </c>
      <c r="L157" s="1245" t="s">
        <v>750</v>
      </c>
      <c r="M157" s="1245" t="s">
        <v>750</v>
      </c>
      <c r="N157" s="1245" t="s">
        <v>2555</v>
      </c>
      <c r="O157" s="1245" t="s">
        <v>2555</v>
      </c>
    </row>
    <row r="158" spans="1:15">
      <c r="B158" s="1237" t="s">
        <v>2221</v>
      </c>
      <c r="C158" s="1233" t="s">
        <v>333</v>
      </c>
      <c r="D158" s="1232">
        <v>0</v>
      </c>
      <c r="E158" s="1232">
        <v>0.4</v>
      </c>
      <c r="F158" s="1232">
        <v>0.4</v>
      </c>
      <c r="G158" s="962" t="s">
        <v>2701</v>
      </c>
      <c r="H158" s="967" t="s">
        <v>215</v>
      </c>
      <c r="I158" s="967" t="s">
        <v>1962</v>
      </c>
      <c r="J158" s="967" t="s">
        <v>792</v>
      </c>
      <c r="K158" s="967" t="s">
        <v>1536</v>
      </c>
      <c r="L158" s="82" t="s">
        <v>750</v>
      </c>
      <c r="M158" s="82" t="s">
        <v>750</v>
      </c>
      <c r="N158" s="82" t="s">
        <v>2555</v>
      </c>
      <c r="O158" s="82" t="s">
        <v>2555</v>
      </c>
    </row>
    <row r="159" spans="1:15">
      <c r="B159" s="1227" t="s">
        <v>793</v>
      </c>
      <c r="C159" s="1249" t="s">
        <v>333</v>
      </c>
      <c r="D159" s="1244">
        <v>0</v>
      </c>
      <c r="E159" s="1244">
        <v>0.8</v>
      </c>
      <c r="F159" s="1244">
        <v>0.6</v>
      </c>
      <c r="G159" s="1249" t="s">
        <v>2711</v>
      </c>
      <c r="H159" s="1244" t="s">
        <v>215</v>
      </c>
      <c r="I159" s="1244" t="s">
        <v>1962</v>
      </c>
      <c r="J159" s="1244" t="s">
        <v>793</v>
      </c>
      <c r="K159" s="1244" t="s">
        <v>1536</v>
      </c>
      <c r="L159" s="1245" t="s">
        <v>750</v>
      </c>
      <c r="M159" s="1245" t="s">
        <v>750</v>
      </c>
      <c r="N159" s="1245" t="s">
        <v>2555</v>
      </c>
      <c r="O159" s="1245" t="s">
        <v>2555</v>
      </c>
    </row>
    <row r="160" spans="1:15">
      <c r="B160" s="1237" t="s">
        <v>794</v>
      </c>
      <c r="C160" s="962" t="s">
        <v>333</v>
      </c>
      <c r="D160" s="967">
        <v>0</v>
      </c>
      <c r="E160" s="967">
        <v>0.5</v>
      </c>
      <c r="F160" s="967">
        <v>0.35</v>
      </c>
      <c r="G160" s="962" t="s">
        <v>2712</v>
      </c>
      <c r="H160" s="967" t="s">
        <v>215</v>
      </c>
      <c r="I160" s="967" t="s">
        <v>1962</v>
      </c>
      <c r="J160" s="967" t="s">
        <v>794</v>
      </c>
      <c r="K160" s="967" t="s">
        <v>1536</v>
      </c>
      <c r="L160" s="82" t="s">
        <v>750</v>
      </c>
      <c r="M160" s="82" t="s">
        <v>750</v>
      </c>
      <c r="N160" s="82" t="s">
        <v>2555</v>
      </c>
      <c r="O160" s="82" t="s">
        <v>2555</v>
      </c>
    </row>
    <row r="161" spans="2:15">
      <c r="B161" s="1248" t="s">
        <v>2240</v>
      </c>
      <c r="C161" s="1249" t="s">
        <v>333</v>
      </c>
      <c r="D161" s="1244">
        <v>0</v>
      </c>
      <c r="E161" s="1244">
        <v>0.113</v>
      </c>
      <c r="F161" s="1244">
        <v>0.113</v>
      </c>
      <c r="G161" s="1249" t="s">
        <v>2708</v>
      </c>
      <c r="H161" s="1244" t="s">
        <v>215</v>
      </c>
      <c r="I161" s="1244" t="s">
        <v>1962</v>
      </c>
      <c r="J161" s="1244" t="s">
        <v>795</v>
      </c>
      <c r="K161" s="1244" t="s">
        <v>1536</v>
      </c>
      <c r="L161" s="1245" t="s">
        <v>750</v>
      </c>
      <c r="M161" s="1245" t="s">
        <v>750</v>
      </c>
      <c r="N161" s="1245" t="s">
        <v>2555</v>
      </c>
      <c r="O161" s="1245" t="s">
        <v>2555</v>
      </c>
    </row>
    <row r="162" spans="2:15">
      <c r="B162" s="27" t="s">
        <v>796</v>
      </c>
      <c r="C162" s="962" t="s">
        <v>333</v>
      </c>
      <c r="D162" s="967">
        <v>0</v>
      </c>
      <c r="E162" s="967">
        <v>0</v>
      </c>
      <c r="F162" s="967">
        <v>0</v>
      </c>
      <c r="G162" s="962" t="s">
        <v>2713</v>
      </c>
      <c r="H162" s="967" t="s">
        <v>215</v>
      </c>
      <c r="I162" s="967" t="s">
        <v>1962</v>
      </c>
      <c r="J162" s="967" t="s">
        <v>796</v>
      </c>
      <c r="K162" s="967" t="s">
        <v>1536</v>
      </c>
      <c r="L162" s="82" t="s">
        <v>750</v>
      </c>
      <c r="M162" s="82" t="s">
        <v>750</v>
      </c>
      <c r="N162" s="82" t="s">
        <v>2555</v>
      </c>
      <c r="O162" s="82" t="s">
        <v>2555</v>
      </c>
    </row>
    <row r="163" spans="2:15">
      <c r="B163" s="1248" t="s">
        <v>797</v>
      </c>
      <c r="C163" s="1249" t="s">
        <v>333</v>
      </c>
      <c r="D163" s="1244">
        <v>0</v>
      </c>
      <c r="E163" s="1244">
        <v>0</v>
      </c>
      <c r="F163" s="1244">
        <v>0</v>
      </c>
      <c r="G163" s="1249" t="s">
        <v>2714</v>
      </c>
      <c r="H163" s="1244" t="s">
        <v>215</v>
      </c>
      <c r="I163" s="1244" t="s">
        <v>1962</v>
      </c>
      <c r="J163" s="1244" t="s">
        <v>797</v>
      </c>
      <c r="K163" s="1244" t="s">
        <v>1536</v>
      </c>
      <c r="L163" s="1245" t="s">
        <v>750</v>
      </c>
      <c r="M163" s="1245" t="s">
        <v>750</v>
      </c>
      <c r="N163" s="1245" t="s">
        <v>2555</v>
      </c>
      <c r="O163" s="1245" t="s">
        <v>2555</v>
      </c>
    </row>
  </sheetData>
  <phoneticPr fontId="23" type="noConversion"/>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sheetPr>
  <dimension ref="B1:D27"/>
  <sheetViews>
    <sheetView workbookViewId="0">
      <selection activeCell="D20" sqref="D20"/>
    </sheetView>
  </sheetViews>
  <sheetFormatPr defaultRowHeight="14.3"/>
  <cols>
    <col min="1" max="1" width="2.625" customWidth="1"/>
    <col min="2" max="2" width="75.375" bestFit="1" customWidth="1"/>
    <col min="4" max="4" width="35" customWidth="1"/>
  </cols>
  <sheetData>
    <row r="1" spans="2:4" ht="23.8">
      <c r="B1" s="968" t="s">
        <v>2715</v>
      </c>
    </row>
    <row r="2" spans="2:4">
      <c r="B2" s="969" t="s">
        <v>2716</v>
      </c>
    </row>
    <row r="3" spans="2:4">
      <c r="B3" s="970" t="s">
        <v>1299</v>
      </c>
    </row>
    <row r="4" spans="2:4" ht="48.25" customHeight="1">
      <c r="B4" s="971" t="s">
        <v>2717</v>
      </c>
      <c r="D4" s="972" t="s">
        <v>2718</v>
      </c>
    </row>
    <row r="5" spans="2:4">
      <c r="B5" s="970" t="s">
        <v>2719</v>
      </c>
      <c r="D5" t="s">
        <v>2720</v>
      </c>
    </row>
    <row r="6" spans="2:4">
      <c r="B6" s="2675" t="s">
        <v>2721</v>
      </c>
      <c r="D6" t="s">
        <v>2722</v>
      </c>
    </row>
    <row r="7" spans="2:4">
      <c r="B7" s="2676"/>
      <c r="D7" t="s">
        <v>2723</v>
      </c>
    </row>
    <row r="8" spans="2:4">
      <c r="B8" s="2676"/>
      <c r="D8" t="s">
        <v>2724</v>
      </c>
    </row>
    <row r="9" spans="2:4">
      <c r="B9" s="2676"/>
      <c r="D9" t="s">
        <v>2725</v>
      </c>
    </row>
    <row r="10" spans="2:4" ht="30.75" customHeight="1">
      <c r="B10" s="2677"/>
      <c r="D10" s="973" t="s">
        <v>2726</v>
      </c>
    </row>
    <row r="11" spans="2:4">
      <c r="B11" s="970" t="s">
        <v>1206</v>
      </c>
      <c r="D11" t="s">
        <v>2727</v>
      </c>
    </row>
    <row r="12" spans="2:4">
      <c r="B12" s="2675" t="s">
        <v>2728</v>
      </c>
      <c r="D12" t="s">
        <v>2729</v>
      </c>
    </row>
    <row r="13" spans="2:4">
      <c r="B13" s="2676"/>
    </row>
    <row r="14" spans="2:4">
      <c r="B14" s="2676"/>
    </row>
    <row r="15" spans="2:4" ht="27.7" customHeight="1">
      <c r="B15" s="2677"/>
      <c r="D15" s="972" t="s">
        <v>2730</v>
      </c>
    </row>
    <row r="16" spans="2:4">
      <c r="B16" s="970" t="s">
        <v>1207</v>
      </c>
      <c r="D16" t="s">
        <v>2731</v>
      </c>
    </row>
    <row r="17" spans="2:4">
      <c r="B17" s="2675" t="s">
        <v>2732</v>
      </c>
      <c r="D17" t="s">
        <v>2733</v>
      </c>
    </row>
    <row r="18" spans="2:4" ht="32.950000000000003" customHeight="1">
      <c r="B18" s="2677"/>
      <c r="D18" s="973" t="s">
        <v>2734</v>
      </c>
    </row>
    <row r="19" spans="2:4">
      <c r="B19" s="970" t="s">
        <v>2735</v>
      </c>
      <c r="D19" t="s">
        <v>2736</v>
      </c>
    </row>
    <row r="20" spans="2:4" ht="42.8" customHeight="1">
      <c r="B20" s="974" t="s">
        <v>2737</v>
      </c>
      <c r="D20" s="973" t="s">
        <v>2738</v>
      </c>
    </row>
    <row r="21" spans="2:4">
      <c r="B21" s="970" t="s">
        <v>2739</v>
      </c>
    </row>
    <row r="22" spans="2:4" ht="30.75" customHeight="1">
      <c r="B22" s="974" t="s">
        <v>2740</v>
      </c>
    </row>
    <row r="23" spans="2:4">
      <c r="B23" s="975" t="s">
        <v>6</v>
      </c>
    </row>
    <row r="24" spans="2:4">
      <c r="B24" s="970" t="s">
        <v>1301</v>
      </c>
    </row>
    <row r="25" spans="2:4">
      <c r="B25" s="2675" t="s">
        <v>2741</v>
      </c>
    </row>
    <row r="26" spans="2:4">
      <c r="B26" s="2676"/>
    </row>
    <row r="27" spans="2:4" ht="135" customHeight="1">
      <c r="B27" s="2677"/>
    </row>
  </sheetData>
  <sheetProtection algorithmName="SHA-512" hashValue="tes1bf3g4TWqVB0rYzRvzcWk/7RDwiHe+T5VSVOt64M24LdWRnuxm6wr97T+H75slf+EFKJFttccmxl0fZ/RgA==" saltValue="RjLWRHF/YygT1CY1q77EPQ==" spinCount="100000" sheet="1" objects="1" scenarios="1"/>
  <mergeCells count="4">
    <mergeCell ref="B6:B10"/>
    <mergeCell ref="B12:B15"/>
    <mergeCell ref="B17:B18"/>
    <mergeCell ref="B25:B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210"/>
  <sheetViews>
    <sheetView topLeftCell="A22" workbookViewId="0">
      <selection activeCell="B42" sqref="B42"/>
    </sheetView>
  </sheetViews>
  <sheetFormatPr defaultRowHeight="14.3"/>
  <sheetData>
    <row r="1" spans="1:2" s="1223" customFormat="1" ht="25.85">
      <c r="A1" s="1222" t="s">
        <v>2742</v>
      </c>
    </row>
    <row r="3" spans="1:2">
      <c r="A3" s="2" t="s">
        <v>2743</v>
      </c>
    </row>
    <row r="4" spans="1:2">
      <c r="A4" s="2"/>
      <c r="B4" s="143" t="s">
        <v>2744</v>
      </c>
    </row>
    <row r="5" spans="1:2">
      <c r="B5" t="s">
        <v>2745</v>
      </c>
    </row>
    <row r="8" spans="1:2">
      <c r="A8" s="2" t="s">
        <v>2746</v>
      </c>
    </row>
    <row r="9" spans="1:2">
      <c r="A9" s="2"/>
      <c r="B9" s="143" t="s">
        <v>2744</v>
      </c>
    </row>
    <row r="10" spans="1:2">
      <c r="B10" t="s">
        <v>2747</v>
      </c>
    </row>
    <row r="11" spans="1:2">
      <c r="B11" t="s">
        <v>2748</v>
      </c>
    </row>
    <row r="12" spans="1:2">
      <c r="B12" t="s">
        <v>2749</v>
      </c>
    </row>
    <row r="13" spans="1:2">
      <c r="B13" t="s">
        <v>2748</v>
      </c>
    </row>
    <row r="14" spans="1:2">
      <c r="B14" t="s">
        <v>2750</v>
      </c>
    </row>
    <row r="15" spans="1:2">
      <c r="B15" t="s">
        <v>2748</v>
      </c>
    </row>
    <row r="16" spans="1:2">
      <c r="B16" t="s">
        <v>2751</v>
      </c>
    </row>
    <row r="17" spans="1:8">
      <c r="B17" t="s">
        <v>2748</v>
      </c>
    </row>
    <row r="19" spans="1:8">
      <c r="A19" s="2" t="s">
        <v>2752</v>
      </c>
    </row>
    <row r="20" spans="1:8">
      <c r="B20" t="s">
        <v>2753</v>
      </c>
    </row>
    <row r="21" spans="1:8">
      <c r="B21" t="s">
        <v>2754</v>
      </c>
    </row>
    <row r="23" spans="1:8">
      <c r="A23" s="2" t="s">
        <v>2755</v>
      </c>
    </row>
    <row r="24" spans="1:8">
      <c r="B24" t="s">
        <v>2756</v>
      </c>
      <c r="H24" t="s">
        <v>2757</v>
      </c>
    </row>
    <row r="25" spans="1:8">
      <c r="B25" t="s">
        <v>2758</v>
      </c>
    </row>
    <row r="26" spans="1:8">
      <c r="B26" t="s">
        <v>2759</v>
      </c>
    </row>
    <row r="27" spans="1:8">
      <c r="B27" t="s">
        <v>2760</v>
      </c>
    </row>
    <row r="28" spans="1:8">
      <c r="B28" t="s">
        <v>2761</v>
      </c>
    </row>
    <row r="29" spans="1:8">
      <c r="B29" t="s">
        <v>2762</v>
      </c>
    </row>
    <row r="30" spans="1:8">
      <c r="B30" t="s">
        <v>2763</v>
      </c>
    </row>
    <row r="31" spans="1:8">
      <c r="B31" t="s">
        <v>2764</v>
      </c>
    </row>
    <row r="33" spans="1:12">
      <c r="A33" s="2" t="s">
        <v>2765</v>
      </c>
    </row>
    <row r="34" spans="1:12">
      <c r="B34" t="s">
        <v>2764</v>
      </c>
    </row>
    <row r="36" spans="1:12">
      <c r="A36" s="2" t="s">
        <v>2766</v>
      </c>
    </row>
    <row r="37" spans="1:12" ht="57.75" customHeight="1">
      <c r="B37" s="2678" t="s">
        <v>2767</v>
      </c>
      <c r="C37" s="2679"/>
      <c r="D37" s="2679"/>
      <c r="E37" s="2679"/>
      <c r="F37" s="2679"/>
      <c r="G37" s="2679"/>
      <c r="H37" s="2679"/>
      <c r="I37" s="2679"/>
      <c r="J37" s="2679"/>
      <c r="K37" s="2679"/>
      <c r="L37" s="2679"/>
    </row>
    <row r="38" spans="1:12" ht="14.3" customHeight="1">
      <c r="B38" s="92" t="s">
        <v>2768</v>
      </c>
      <c r="C38" s="1251"/>
      <c r="D38" s="1251"/>
      <c r="E38" s="1251"/>
      <c r="F38" s="1251"/>
      <c r="G38" s="1251"/>
      <c r="H38" s="1251"/>
      <c r="I38" s="1251"/>
      <c r="J38" s="1251"/>
      <c r="K38" s="1251"/>
      <c r="L38" s="1251"/>
    </row>
    <row r="39" spans="1:12" ht="14.3" customHeight="1">
      <c r="B39" s="92" t="s">
        <v>2769</v>
      </c>
      <c r="C39" s="1251"/>
      <c r="D39" s="1251"/>
      <c r="E39" s="1251"/>
      <c r="F39" s="1251"/>
      <c r="G39" s="1251"/>
      <c r="H39" s="1251"/>
      <c r="I39" s="1251"/>
      <c r="J39" s="1251"/>
      <c r="K39" s="1251"/>
      <c r="L39" s="1251"/>
    </row>
    <row r="40" spans="1:12" ht="14.3" customHeight="1">
      <c r="B40" s="92" t="s">
        <v>2770</v>
      </c>
      <c r="C40" s="1251"/>
      <c r="D40" s="1251"/>
      <c r="E40" s="1251"/>
      <c r="F40" s="1251"/>
      <c r="G40" s="1251"/>
      <c r="H40" s="1251"/>
      <c r="I40" s="1251"/>
      <c r="J40" s="1251"/>
      <c r="K40" s="1251"/>
      <c r="L40" s="1251"/>
    </row>
    <row r="41" spans="1:12" ht="14.3" customHeight="1">
      <c r="B41" s="92" t="s">
        <v>2771</v>
      </c>
      <c r="C41" s="1251"/>
      <c r="D41" s="1251"/>
      <c r="E41" s="1251"/>
      <c r="F41" s="1251"/>
      <c r="G41" s="1251"/>
      <c r="H41" s="1251"/>
      <c r="I41" s="1251"/>
      <c r="J41" s="1251"/>
      <c r="K41" s="1251"/>
      <c r="L41" s="1251"/>
    </row>
    <row r="42" spans="1:12" ht="14.3" customHeight="1">
      <c r="B42" s="1251"/>
      <c r="C42" s="1251"/>
      <c r="D42" s="1251"/>
      <c r="E42" s="1251"/>
      <c r="F42" s="1251"/>
      <c r="G42" s="1251"/>
      <c r="H42" s="1251"/>
      <c r="I42" s="1251"/>
      <c r="J42" s="1251"/>
      <c r="K42" s="1251"/>
      <c r="L42" s="1251"/>
    </row>
    <row r="43" spans="1:12" ht="14.3" customHeight="1">
      <c r="A43" s="2" t="s">
        <v>2772</v>
      </c>
      <c r="B43" s="1251"/>
      <c r="C43" s="1251"/>
      <c r="D43" s="1251"/>
      <c r="E43" s="1251"/>
      <c r="F43" s="1251"/>
      <c r="G43" s="1251"/>
      <c r="H43" s="1251"/>
      <c r="I43" s="1251"/>
      <c r="J43" s="1251"/>
      <c r="K43" s="1251"/>
      <c r="L43" s="1251"/>
    </row>
    <row r="44" spans="1:12" ht="14.3" customHeight="1">
      <c r="A44" s="2"/>
      <c r="B44" s="92" t="s">
        <v>2773</v>
      </c>
      <c r="C44" s="1251"/>
      <c r="D44" s="1251"/>
      <c r="E44" s="1251"/>
      <c r="F44" s="1251"/>
      <c r="G44" s="1251"/>
      <c r="H44" s="1251"/>
      <c r="I44" s="1251"/>
      <c r="J44" s="1251"/>
      <c r="K44" s="1251"/>
      <c r="L44" s="1251"/>
    </row>
    <row r="46" spans="1:12" ht="14.3" customHeight="1">
      <c r="A46" s="2" t="s">
        <v>2774</v>
      </c>
      <c r="B46" s="1251"/>
      <c r="C46" s="1251"/>
      <c r="D46" s="1251"/>
      <c r="E46" s="1251"/>
      <c r="F46" s="1251"/>
      <c r="G46" s="1251"/>
      <c r="H46" s="1251"/>
      <c r="I46" s="1251"/>
      <c r="J46" s="1251"/>
      <c r="K46" s="1251"/>
      <c r="L46" s="1251"/>
    </row>
    <row r="47" spans="1:12" ht="14.3" customHeight="1">
      <c r="A47" s="2"/>
      <c r="B47" s="92" t="s">
        <v>2775</v>
      </c>
      <c r="C47" s="1251"/>
      <c r="D47" s="1251"/>
      <c r="E47" s="1251"/>
      <c r="F47" s="1251"/>
      <c r="G47" s="1251"/>
      <c r="H47" s="1251"/>
      <c r="I47" s="1251"/>
      <c r="J47" s="1251"/>
      <c r="K47" s="1251"/>
      <c r="L47" s="1251"/>
    </row>
    <row r="49" spans="1:12" ht="14.3" customHeight="1">
      <c r="A49" s="2" t="s">
        <v>2776</v>
      </c>
      <c r="B49" s="1251"/>
      <c r="C49" s="1251"/>
      <c r="D49" s="1251"/>
      <c r="E49" s="1251"/>
      <c r="F49" s="1251"/>
      <c r="G49" s="1251"/>
      <c r="H49" s="1251"/>
      <c r="I49" s="1251"/>
      <c r="J49" s="1251"/>
      <c r="K49" s="1251"/>
      <c r="L49" s="1251"/>
    </row>
    <row r="50" spans="1:12" ht="14.3" customHeight="1">
      <c r="A50" s="2"/>
      <c r="B50" s="92" t="s">
        <v>2777</v>
      </c>
      <c r="C50" s="1251"/>
      <c r="D50" s="1251"/>
      <c r="E50" s="1251"/>
      <c r="F50" s="1251"/>
      <c r="G50" s="1251"/>
      <c r="H50" s="1251"/>
      <c r="I50" s="1251"/>
      <c r="J50" s="1251"/>
      <c r="K50" s="1251"/>
      <c r="L50" s="1251"/>
    </row>
    <row r="52" spans="1:12">
      <c r="A52" s="2" t="s">
        <v>2778</v>
      </c>
    </row>
    <row r="53" spans="1:12">
      <c r="A53" s="2"/>
      <c r="B53" t="s">
        <v>2779</v>
      </c>
    </row>
    <row r="54" spans="1:12">
      <c r="B54" t="s">
        <v>2780</v>
      </c>
    </row>
    <row r="55" spans="1:12">
      <c r="B55" t="s">
        <v>2781</v>
      </c>
    </row>
    <row r="57" spans="1:12">
      <c r="A57" s="2" t="s">
        <v>2782</v>
      </c>
    </row>
    <row r="58" spans="1:12">
      <c r="B58" t="s">
        <v>2783</v>
      </c>
    </row>
    <row r="61" spans="1:12">
      <c r="A61" s="2" t="s">
        <v>2784</v>
      </c>
    </row>
    <row r="62" spans="1:12">
      <c r="B62" s="1320" t="s">
        <v>2785</v>
      </c>
    </row>
    <row r="63" spans="1:12">
      <c r="B63" t="s">
        <v>2786</v>
      </c>
    </row>
    <row r="64" spans="1:12">
      <c r="B64" t="s">
        <v>2787</v>
      </c>
    </row>
    <row r="65" spans="1:12">
      <c r="B65" t="s">
        <v>2788</v>
      </c>
    </row>
    <row r="66" spans="1:12">
      <c r="B66" t="s">
        <v>2789</v>
      </c>
    </row>
    <row r="69" spans="1:12">
      <c r="A69" s="2" t="s">
        <v>2790</v>
      </c>
    </row>
    <row r="70" spans="1:12">
      <c r="B70" t="s">
        <v>2783</v>
      </c>
    </row>
    <row r="71" spans="1:12">
      <c r="B71" t="s">
        <v>2791</v>
      </c>
    </row>
    <row r="72" spans="1:12">
      <c r="B72" t="s">
        <v>2792</v>
      </c>
    </row>
    <row r="73" spans="1:12">
      <c r="B73" t="s">
        <v>2793</v>
      </c>
    </row>
    <row r="75" spans="1:12" ht="14.95" customHeight="1">
      <c r="B75" s="1251"/>
      <c r="C75" s="1251"/>
      <c r="D75" s="1251"/>
      <c r="E75" s="1251"/>
      <c r="F75" s="1251"/>
      <c r="G75" s="1251"/>
      <c r="H75" s="1251"/>
      <c r="I75" s="1251"/>
      <c r="J75" s="1251"/>
      <c r="K75" s="1251"/>
      <c r="L75" s="1251"/>
    </row>
    <row r="76" spans="1:12" ht="14.95" customHeight="1">
      <c r="A76" s="2" t="s">
        <v>2794</v>
      </c>
      <c r="B76" s="1251"/>
      <c r="C76" s="1251"/>
      <c r="D76" s="1251"/>
      <c r="E76" s="1251"/>
      <c r="F76" s="1251"/>
      <c r="G76" s="1251"/>
      <c r="H76" s="1251"/>
      <c r="I76" s="1251"/>
      <c r="J76" s="1251"/>
      <c r="K76" s="1251"/>
      <c r="L76" s="1251"/>
    </row>
    <row r="77" spans="1:12" ht="14.95" customHeight="1">
      <c r="A77" s="2"/>
      <c r="B77" s="92" t="s">
        <v>2795</v>
      </c>
      <c r="C77" s="1251"/>
      <c r="D77" s="1251"/>
      <c r="E77" s="1251"/>
      <c r="F77" s="1251"/>
      <c r="G77" s="1251"/>
      <c r="H77" s="1251"/>
      <c r="I77" s="1251"/>
      <c r="J77" s="1251"/>
      <c r="K77" s="1251"/>
      <c r="L77" s="1251"/>
    </row>
    <row r="78" spans="1:12" ht="14.95" customHeight="1">
      <c r="B78" s="293" t="s">
        <v>2796</v>
      </c>
      <c r="C78" s="1251"/>
      <c r="D78" s="1251"/>
      <c r="E78" s="1251"/>
      <c r="F78" s="1251"/>
      <c r="G78" s="1251"/>
      <c r="H78" s="1251"/>
      <c r="I78" s="1251"/>
      <c r="J78" s="1251"/>
      <c r="K78" s="1251"/>
      <c r="L78" s="1251"/>
    </row>
    <row r="79" spans="1:12" ht="14.95" customHeight="1">
      <c r="B79" s="293" t="s">
        <v>2797</v>
      </c>
      <c r="C79" s="1251"/>
      <c r="D79" s="1251"/>
      <c r="E79" s="1251"/>
      <c r="F79" s="1251"/>
      <c r="G79" s="1251"/>
      <c r="H79" s="1251"/>
      <c r="I79" s="1251"/>
      <c r="J79" s="1251"/>
      <c r="K79" s="1251"/>
      <c r="L79" s="1251"/>
    </row>
    <row r="80" spans="1:12" ht="14.95" customHeight="1">
      <c r="B80" s="293" t="s">
        <v>2758</v>
      </c>
      <c r="C80" s="1251"/>
      <c r="D80" s="1251"/>
      <c r="E80" s="1251"/>
      <c r="F80" s="1251"/>
      <c r="G80" s="1251"/>
      <c r="H80" s="1251"/>
      <c r="I80" s="1251"/>
      <c r="J80" s="1251"/>
      <c r="K80" s="1251"/>
      <c r="L80" s="1251"/>
    </row>
    <row r="81" spans="1:12" ht="14.95" customHeight="1">
      <c r="B81" s="1251"/>
      <c r="C81" s="1251"/>
      <c r="D81" s="1251"/>
      <c r="E81" s="1251"/>
      <c r="F81" s="1251"/>
      <c r="G81" s="1251"/>
      <c r="H81" s="1251"/>
      <c r="I81" s="1251"/>
      <c r="J81" s="1251"/>
      <c r="K81" s="1251"/>
      <c r="L81" s="1251"/>
    </row>
    <row r="83" spans="1:12" s="1223" customFormat="1" ht="25.85">
      <c r="A83" s="1222" t="s">
        <v>2798</v>
      </c>
    </row>
    <row r="85" spans="1:12">
      <c r="A85" t="s">
        <v>2799</v>
      </c>
    </row>
    <row r="86" spans="1:12">
      <c r="A86" t="s">
        <v>2800</v>
      </c>
    </row>
    <row r="87" spans="1:12">
      <c r="B87" t="s">
        <v>2801</v>
      </c>
    </row>
    <row r="91" spans="1:12">
      <c r="A91" t="s">
        <v>2772</v>
      </c>
    </row>
    <row r="92" spans="1:12">
      <c r="B92" t="s">
        <v>2802</v>
      </c>
      <c r="C92" s="31" t="s">
        <v>2803</v>
      </c>
    </row>
    <row r="93" spans="1:12">
      <c r="C93" s="950" t="s">
        <v>2804</v>
      </c>
    </row>
    <row r="94" spans="1:12">
      <c r="C94" s="950" t="s">
        <v>2805</v>
      </c>
    </row>
    <row r="108" spans="1:2" ht="19.05">
      <c r="A108" s="383" t="s">
        <v>2806</v>
      </c>
    </row>
    <row r="110" spans="1:2">
      <c r="A110" s="927" t="s">
        <v>2807</v>
      </c>
    </row>
    <row r="111" spans="1:2">
      <c r="A111" s="927"/>
      <c r="B111" t="s">
        <v>2808</v>
      </c>
    </row>
    <row r="112" spans="1:2">
      <c r="A112" s="927"/>
      <c r="B112" t="s">
        <v>2809</v>
      </c>
    </row>
    <row r="113" spans="1:2">
      <c r="A113" s="927" t="s">
        <v>465</v>
      </c>
    </row>
    <row r="114" spans="1:2">
      <c r="A114" s="927"/>
      <c r="B114" t="s">
        <v>2810</v>
      </c>
    </row>
    <row r="115" spans="1:2">
      <c r="A115" s="927"/>
    </row>
    <row r="116" spans="1:2">
      <c r="A116" s="927"/>
    </row>
    <row r="117" spans="1:2">
      <c r="A117" s="927" t="s">
        <v>464</v>
      </c>
    </row>
    <row r="118" spans="1:2">
      <c r="A118" s="927"/>
    </row>
    <row r="119" spans="1:2">
      <c r="A119" s="927" t="s">
        <v>1446</v>
      </c>
    </row>
    <row r="120" spans="1:2">
      <c r="A120" s="927"/>
      <c r="B120" t="s">
        <v>2811</v>
      </c>
    </row>
    <row r="121" spans="1:2">
      <c r="A121" s="927"/>
      <c r="B121" t="s">
        <v>2812</v>
      </c>
    </row>
    <row r="122" spans="1:2">
      <c r="A122" s="927"/>
      <c r="B122" t="s">
        <v>2813</v>
      </c>
    </row>
    <row r="123" spans="1:2">
      <c r="A123" s="927"/>
      <c r="B123" t="s">
        <v>2814</v>
      </c>
    </row>
    <row r="124" spans="1:2">
      <c r="A124" s="927"/>
      <c r="B124" t="s">
        <v>2815</v>
      </c>
    </row>
    <row r="125" spans="1:2">
      <c r="A125" s="927"/>
      <c r="B125" t="s">
        <v>2816</v>
      </c>
    </row>
    <row r="126" spans="1:2">
      <c r="A126" s="927"/>
      <c r="B126" t="s">
        <v>2817</v>
      </c>
    </row>
    <row r="127" spans="1:2">
      <c r="A127" s="927"/>
      <c r="B127" t="s">
        <v>2818</v>
      </c>
    </row>
    <row r="128" spans="1:2">
      <c r="A128" s="927"/>
    </row>
    <row r="129" spans="1:2">
      <c r="A129" s="927"/>
    </row>
    <row r="130" spans="1:2">
      <c r="A130" s="927"/>
    </row>
    <row r="131" spans="1:2">
      <c r="A131" s="927"/>
    </row>
    <row r="132" spans="1:2">
      <c r="A132" s="927"/>
    </row>
    <row r="133" spans="1:2">
      <c r="A133" s="927" t="s">
        <v>2819</v>
      </c>
    </row>
    <row r="134" spans="1:2">
      <c r="A134" s="927"/>
      <c r="B134" t="s">
        <v>2820</v>
      </c>
    </row>
    <row r="135" spans="1:2">
      <c r="A135" s="927"/>
    </row>
    <row r="136" spans="1:2">
      <c r="A136" s="927" t="s">
        <v>2821</v>
      </c>
    </row>
    <row r="137" spans="1:2">
      <c r="A137" s="927"/>
      <c r="B137" t="s">
        <v>2808</v>
      </c>
    </row>
    <row r="138" spans="1:2">
      <c r="A138" s="927"/>
      <c r="B138" t="s">
        <v>2822</v>
      </c>
    </row>
    <row r="139" spans="1:2">
      <c r="A139" s="927"/>
    </row>
    <row r="140" spans="1:2">
      <c r="A140" s="927" t="s">
        <v>2823</v>
      </c>
    </row>
    <row r="141" spans="1:2">
      <c r="A141" s="927"/>
      <c r="B141" s="31"/>
    </row>
    <row r="142" spans="1:2">
      <c r="A142" s="927" t="s">
        <v>2824</v>
      </c>
    </row>
    <row r="143" spans="1:2">
      <c r="A143" s="927"/>
      <c r="B143" t="s">
        <v>2825</v>
      </c>
    </row>
    <row r="144" spans="1:2">
      <c r="A144" s="927"/>
      <c r="B144" t="s">
        <v>2826</v>
      </c>
    </row>
    <row r="145" spans="1:2">
      <c r="A145" s="927"/>
    </row>
    <row r="146" spans="1:2">
      <c r="A146" s="927" t="s">
        <v>2827</v>
      </c>
    </row>
    <row r="147" spans="1:2">
      <c r="A147" s="927"/>
    </row>
    <row r="148" spans="1:2">
      <c r="A148" s="927" t="s">
        <v>2828</v>
      </c>
    </row>
    <row r="149" spans="1:2">
      <c r="A149" s="927"/>
      <c r="B149" t="s">
        <v>2829</v>
      </c>
    </row>
    <row r="150" spans="1:2">
      <c r="A150" s="927"/>
      <c r="B150" t="s">
        <v>2830</v>
      </c>
    </row>
    <row r="151" spans="1:2">
      <c r="A151" s="927"/>
    </row>
    <row r="152" spans="1:2">
      <c r="A152" s="927" t="s">
        <v>2831</v>
      </c>
    </row>
    <row r="153" spans="1:2">
      <c r="A153" s="927"/>
      <c r="B153" t="s">
        <v>2832</v>
      </c>
    </row>
    <row r="154" spans="1:2">
      <c r="A154" s="927"/>
      <c r="B154" t="s">
        <v>2833</v>
      </c>
    </row>
    <row r="155" spans="1:2">
      <c r="A155" s="927"/>
      <c r="B155" t="s">
        <v>2834</v>
      </c>
    </row>
    <row r="156" spans="1:2">
      <c r="A156" s="927"/>
      <c r="B156" t="s">
        <v>2835</v>
      </c>
    </row>
    <row r="157" spans="1:2">
      <c r="A157" s="927"/>
    </row>
    <row r="158" spans="1:2">
      <c r="A158" s="927" t="s">
        <v>1444</v>
      </c>
    </row>
    <row r="159" spans="1:2">
      <c r="B159" s="31" t="s">
        <v>2836</v>
      </c>
    </row>
    <row r="161" spans="1:2">
      <c r="B161" t="s">
        <v>2837</v>
      </c>
    </row>
    <row r="162" spans="1:2">
      <c r="B162" t="s">
        <v>2838</v>
      </c>
    </row>
    <row r="164" spans="1:2">
      <c r="A164" s="50" t="s">
        <v>2839</v>
      </c>
    </row>
    <row r="167" spans="1:2" ht="19.05">
      <c r="A167" s="383" t="s">
        <v>2840</v>
      </c>
    </row>
    <row r="169" spans="1:2">
      <c r="A169" t="s">
        <v>2807</v>
      </c>
    </row>
    <row r="170" spans="1:2">
      <c r="A170" t="s">
        <v>2841</v>
      </c>
    </row>
    <row r="174" spans="1:2" ht="19.05">
      <c r="A174" s="383" t="s">
        <v>2842</v>
      </c>
    </row>
    <row r="176" spans="1:2">
      <c r="A176" t="s">
        <v>1446</v>
      </c>
    </row>
    <row r="177" spans="1:2">
      <c r="A177" t="s">
        <v>2843</v>
      </c>
    </row>
    <row r="179" spans="1:2">
      <c r="A179" t="s">
        <v>2844</v>
      </c>
    </row>
    <row r="180" spans="1:2">
      <c r="B180" t="s">
        <v>2845</v>
      </c>
    </row>
    <row r="183" spans="1:2">
      <c r="A183" t="s">
        <v>387</v>
      </c>
    </row>
    <row r="184" spans="1:2">
      <c r="B184" t="s">
        <v>2846</v>
      </c>
    </row>
    <row r="185" spans="1:2">
      <c r="B185" t="s">
        <v>2847</v>
      </c>
    </row>
    <row r="186" spans="1:2">
      <c r="B186" t="s">
        <v>2848</v>
      </c>
    </row>
    <row r="188" spans="1:2">
      <c r="A188" t="s">
        <v>2807</v>
      </c>
    </row>
    <row r="189" spans="1:2">
      <c r="B189" s="155" t="s">
        <v>2849</v>
      </c>
    </row>
    <row r="190" spans="1:2">
      <c r="B190" s="153" t="s">
        <v>2850</v>
      </c>
    </row>
    <row r="191" spans="1:2">
      <c r="B191" s="153" t="str">
        <f>CONCATENATE("All NLC projects must be pre-inspected, contact "&amp;Lookup!B24&amp;" for more information. ")</f>
        <v xml:space="preserve">All NLC projects must be pre-inspected, contact businesslighting@pse.com for more information. </v>
      </c>
    </row>
    <row r="192" spans="1:2">
      <c r="B192" s="155"/>
    </row>
    <row r="193" spans="2:38">
      <c r="B193" s="171" t="s">
        <v>67</v>
      </c>
    </row>
    <row r="194" spans="2:38">
      <c r="B194" s="156"/>
    </row>
    <row r="195" spans="2:38">
      <c r="C195" s="1450" t="s">
        <v>2851</v>
      </c>
      <c r="D195" s="1451"/>
      <c r="E195" s="1451"/>
      <c r="F195" s="1451"/>
      <c r="G195" s="1451"/>
      <c r="H195" s="1451"/>
      <c r="I195" s="1451"/>
      <c r="J195" s="1451"/>
      <c r="K195" s="1451"/>
      <c r="L195" s="1451"/>
      <c r="M195" s="1451"/>
      <c r="N195" s="1451"/>
      <c r="O195" s="1451"/>
      <c r="P195" s="1451"/>
      <c r="Q195" s="1451"/>
      <c r="R195" s="1451"/>
      <c r="S195" s="1451"/>
      <c r="T195" s="1451"/>
      <c r="U195" s="1451"/>
      <c r="V195" s="1451"/>
      <c r="W195" s="1451"/>
      <c r="X195" s="1451"/>
      <c r="Y195" s="1451"/>
      <c r="Z195" s="1451"/>
      <c r="AA195" s="1451"/>
      <c r="AB195" s="1451"/>
      <c r="AC195" s="1451"/>
      <c r="AD195" s="1451"/>
      <c r="AE195" s="1451"/>
      <c r="AF195" s="1451"/>
      <c r="AG195" s="1451"/>
      <c r="AH195" s="1451"/>
      <c r="AI195" s="1451"/>
      <c r="AJ195" s="1451"/>
      <c r="AK195" s="1451"/>
      <c r="AL195" s="1452"/>
    </row>
    <row r="196" spans="2:38">
      <c r="C196" s="1453"/>
      <c r="D196" s="1454"/>
      <c r="E196" s="1454"/>
      <c r="F196" s="1454"/>
      <c r="G196" s="1454"/>
      <c r="H196" s="1454"/>
      <c r="I196" s="1454"/>
      <c r="J196" s="1454"/>
      <c r="K196" s="1454"/>
      <c r="L196" s="1454"/>
      <c r="M196" s="1454"/>
      <c r="N196" s="1454"/>
      <c r="O196" s="1454"/>
      <c r="P196" s="1454"/>
      <c r="Q196" s="1454"/>
      <c r="R196" s="1454"/>
      <c r="S196" s="1454"/>
      <c r="T196" s="1454"/>
      <c r="U196" s="1454"/>
      <c r="V196" s="1454"/>
      <c r="W196" s="1454"/>
      <c r="X196" s="1454"/>
      <c r="Y196" s="1454"/>
      <c r="Z196" s="1454"/>
      <c r="AA196" s="1454"/>
      <c r="AB196" s="1454"/>
      <c r="AC196" s="1454"/>
      <c r="AD196" s="1454"/>
      <c r="AE196" s="1454"/>
      <c r="AF196" s="1454"/>
      <c r="AG196" s="1454"/>
      <c r="AH196" s="1454"/>
      <c r="AI196" s="1454"/>
      <c r="AJ196" s="1454"/>
      <c r="AK196" s="1454"/>
      <c r="AL196" s="1455"/>
    </row>
    <row r="197" spans="2:38">
      <c r="C197" s="1453"/>
      <c r="D197" s="1454"/>
      <c r="E197" s="1454"/>
      <c r="F197" s="1454"/>
      <c r="G197" s="1454"/>
      <c r="H197" s="1454"/>
      <c r="I197" s="1454"/>
      <c r="J197" s="1454"/>
      <c r="K197" s="1454"/>
      <c r="L197" s="1454"/>
      <c r="M197" s="1454"/>
      <c r="N197" s="1454"/>
      <c r="O197" s="1454"/>
      <c r="P197" s="1454"/>
      <c r="Q197" s="1454"/>
      <c r="R197" s="1454"/>
      <c r="S197" s="1454"/>
      <c r="T197" s="1454"/>
      <c r="U197" s="1454"/>
      <c r="V197" s="1454"/>
      <c r="W197" s="1454"/>
      <c r="X197" s="1454"/>
      <c r="Y197" s="1454"/>
      <c r="Z197" s="1454"/>
      <c r="AA197" s="1454"/>
      <c r="AB197" s="1454"/>
      <c r="AC197" s="1454"/>
      <c r="AD197" s="1454"/>
      <c r="AE197" s="1454"/>
      <c r="AF197" s="1454"/>
      <c r="AG197" s="1454"/>
      <c r="AH197" s="1454"/>
      <c r="AI197" s="1454"/>
      <c r="AJ197" s="1454"/>
      <c r="AK197" s="1454"/>
      <c r="AL197" s="1455"/>
    </row>
    <row r="198" spans="2:38">
      <c r="C198" s="1456"/>
      <c r="D198" s="1457"/>
      <c r="E198" s="1457"/>
      <c r="F198" s="1457"/>
      <c r="G198" s="1457"/>
      <c r="H198" s="1457"/>
      <c r="I198" s="1457"/>
      <c r="J198" s="1457"/>
      <c r="K198" s="1457"/>
      <c r="L198" s="1457"/>
      <c r="M198" s="1457"/>
      <c r="N198" s="1457"/>
      <c r="O198" s="1457"/>
      <c r="P198" s="1457"/>
      <c r="Q198" s="1457"/>
      <c r="R198" s="1457"/>
      <c r="S198" s="1457"/>
      <c r="T198" s="1457"/>
      <c r="U198" s="1457"/>
      <c r="V198" s="1457"/>
      <c r="W198" s="1457"/>
      <c r="X198" s="1457"/>
      <c r="Y198" s="1457"/>
      <c r="Z198" s="1457"/>
      <c r="AA198" s="1457"/>
      <c r="AB198" s="1457"/>
      <c r="AC198" s="1457"/>
      <c r="AD198" s="1457"/>
      <c r="AE198" s="1457"/>
      <c r="AF198" s="1457"/>
      <c r="AG198" s="1457"/>
      <c r="AH198" s="1457"/>
      <c r="AI198" s="1457"/>
      <c r="AJ198" s="1457"/>
      <c r="AK198" s="1457"/>
      <c r="AL198" s="1458"/>
    </row>
    <row r="200" spans="2:38">
      <c r="B200" s="2" t="s">
        <v>2852</v>
      </c>
    </row>
    <row r="201" spans="2:38">
      <c r="B201" t="s">
        <v>2853</v>
      </c>
    </row>
    <row r="202" spans="2:38">
      <c r="B202" t="s">
        <v>2854</v>
      </c>
    </row>
    <row r="203" spans="2:38">
      <c r="B203" t="s">
        <v>2855</v>
      </c>
    </row>
    <row r="204" spans="2:38">
      <c r="B204" t="s">
        <v>2856</v>
      </c>
    </row>
    <row r="206" spans="2:38">
      <c r="B206" s="155" t="s">
        <v>2857</v>
      </c>
    </row>
    <row r="209" spans="1:4">
      <c r="A209" t="s">
        <v>2831</v>
      </c>
    </row>
    <row r="210" spans="1:4">
      <c r="B210" t="s">
        <v>1890</v>
      </c>
      <c r="D210" t="s">
        <v>2858</v>
      </c>
    </row>
  </sheetData>
  <mergeCells count="2">
    <mergeCell ref="C195:AL198"/>
    <mergeCell ref="B37:L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D334"/>
  <sheetViews>
    <sheetView showGridLines="0" showRowColHeaders="0" zoomScale="90" zoomScaleNormal="90" workbookViewId="0">
      <pane ySplit="17" topLeftCell="A18" activePane="bottomLeft" state="frozen"/>
      <selection activeCell="BJ1" sqref="BJ1"/>
      <selection pane="bottomLeft" activeCell="A18" sqref="A18:AH18"/>
    </sheetView>
  </sheetViews>
  <sheetFormatPr defaultRowHeight="14.3"/>
  <cols>
    <col min="1" max="1" width="6.125" bestFit="1" customWidth="1"/>
    <col min="2" max="2" width="0.875" customWidth="1"/>
    <col min="3" max="4" width="6.625" customWidth="1"/>
    <col min="5" max="7" width="5.375" customWidth="1"/>
    <col min="8" max="8" width="0.875" customWidth="1"/>
    <col min="9" max="15" width="5.375" customWidth="1"/>
    <col min="16" max="17" width="6.625" customWidth="1"/>
    <col min="18" max="26" width="5.375" customWidth="1"/>
    <col min="27" max="27" width="8" customWidth="1"/>
    <col min="28" max="28" width="0.875" customWidth="1"/>
    <col min="29" max="33" width="5.375" customWidth="1"/>
    <col min="34" max="34" width="0.875" customWidth="1"/>
    <col min="35" max="36" width="5.375" customWidth="1"/>
    <col min="37" max="38" width="5.375" hidden="1" customWidth="1"/>
    <col min="39" max="48" width="5.375" customWidth="1"/>
    <col min="49" max="49" width="0.875" customWidth="1"/>
    <col min="50" max="54" width="5.375" customWidth="1"/>
    <col min="55" max="55" width="0.875" customWidth="1"/>
    <col min="56" max="62" width="5.375" customWidth="1"/>
    <col min="63" max="63" width="2.625" hidden="1" customWidth="1"/>
    <col min="64" max="69" width="5.625" customWidth="1"/>
    <col min="70" max="73" width="5.375" customWidth="1"/>
    <col min="74" max="74" width="5.625" hidden="1" customWidth="1"/>
    <col min="75" max="75" width="5.625" customWidth="1"/>
    <col min="76" max="81" width="5.375" customWidth="1"/>
    <col min="82" max="97" width="5.625" customWidth="1"/>
    <col min="98" max="98" width="5.375" customWidth="1"/>
    <col min="99" max="99" width="39.375" hidden="1" customWidth="1"/>
    <col min="100" max="106" width="5.625" hidden="1" customWidth="1"/>
    <col min="107" max="114" width="5.625" customWidth="1"/>
    <col min="115" max="115" width="2.625" hidden="1" customWidth="1"/>
    <col min="116" max="121" width="5.625" customWidth="1"/>
    <col min="122" max="125" width="5.375" customWidth="1"/>
    <col min="126" max="126" width="5.625" hidden="1" customWidth="1"/>
    <col min="127" max="127" width="5.625" customWidth="1"/>
    <col min="128" max="133" width="5.375" customWidth="1"/>
    <col min="134" max="135" width="5.625" customWidth="1"/>
    <col min="136" max="137" width="3.625" customWidth="1"/>
    <col min="138" max="145" width="5.625" customWidth="1"/>
    <col min="146" max="151" width="3.625" customWidth="1"/>
    <col min="152" max="154" width="5.625" customWidth="1"/>
    <col min="155" max="155" width="5.375" customWidth="1"/>
    <col min="156" max="156" width="5.625" customWidth="1"/>
    <col min="157" max="157" width="6.125" customWidth="1"/>
    <col min="158" max="161" width="5.625" customWidth="1"/>
    <col min="162" max="311" width="5.625" hidden="1" customWidth="1"/>
    <col min="312" max="314" width="9.125" hidden="1" customWidth="1"/>
  </cols>
  <sheetData>
    <row r="1" spans="3:314" ht="5.0999999999999996" customHeight="1">
      <c r="CT1" s="15"/>
      <c r="EY1" s="15"/>
      <c r="FF1" s="564"/>
      <c r="FG1" s="564"/>
      <c r="FH1" s="564"/>
      <c r="FI1" s="564"/>
      <c r="FJ1" s="564"/>
      <c r="FK1" s="564"/>
      <c r="FL1" s="564"/>
      <c r="FM1" s="564"/>
      <c r="FN1" s="564"/>
      <c r="FO1" s="564"/>
      <c r="FP1" s="564"/>
      <c r="FQ1" s="564"/>
      <c r="FR1" s="564"/>
      <c r="FS1" s="564"/>
      <c r="FT1" s="564"/>
      <c r="FU1" s="564"/>
      <c r="FV1" s="564"/>
      <c r="FW1" s="564"/>
      <c r="FX1" s="564"/>
      <c r="FY1" s="564"/>
      <c r="FZ1" s="564"/>
      <c r="GA1" s="564"/>
      <c r="GB1" s="564"/>
      <c r="GC1" s="564"/>
      <c r="GD1" s="564"/>
      <c r="GE1" s="564"/>
      <c r="GF1" s="564"/>
      <c r="GG1" s="564"/>
      <c r="GH1" s="564"/>
      <c r="GI1" s="564"/>
      <c r="GJ1" s="564"/>
      <c r="GK1" s="564"/>
      <c r="GL1" s="564"/>
      <c r="GM1" s="564"/>
      <c r="GN1" s="564"/>
      <c r="GO1" s="564"/>
      <c r="GP1" s="564"/>
      <c r="GQ1" s="564"/>
      <c r="GR1" s="564"/>
      <c r="GS1" s="564"/>
      <c r="GT1" s="564"/>
      <c r="GU1" s="564"/>
      <c r="GV1" s="564"/>
      <c r="GW1" s="564"/>
      <c r="GX1" s="564"/>
      <c r="GY1" s="564"/>
      <c r="GZ1" s="564"/>
      <c r="HA1" s="564"/>
      <c r="HB1" s="564"/>
      <c r="HC1" s="564"/>
      <c r="HD1" s="564"/>
      <c r="HE1" s="564"/>
      <c r="HF1" s="564"/>
      <c r="HG1" s="564"/>
      <c r="HH1" s="564"/>
      <c r="HI1" s="564"/>
      <c r="HJ1" s="564"/>
      <c r="HK1" s="564"/>
      <c r="HL1" s="564"/>
      <c r="HM1" s="564"/>
      <c r="HN1" s="564"/>
      <c r="HO1" s="564"/>
      <c r="HP1" s="564"/>
      <c r="HQ1" s="564"/>
      <c r="HR1" s="564"/>
      <c r="HS1" s="564"/>
      <c r="HT1" s="564"/>
      <c r="HU1" s="564"/>
      <c r="HV1" s="564"/>
      <c r="HW1" s="564"/>
      <c r="HX1" s="564"/>
      <c r="HY1" s="564"/>
      <c r="HZ1" s="564"/>
      <c r="IA1" s="564"/>
      <c r="IB1" s="564"/>
      <c r="IC1" s="564"/>
      <c r="ID1" s="564"/>
      <c r="IE1" s="564"/>
      <c r="IF1" s="564"/>
      <c r="IG1" s="564"/>
      <c r="IH1" s="564"/>
      <c r="II1" s="564"/>
      <c r="IJ1" s="564"/>
      <c r="IK1" s="564"/>
      <c r="IL1" s="564"/>
      <c r="IM1" s="564"/>
      <c r="IN1" s="564"/>
      <c r="IO1" s="564"/>
      <c r="IP1" s="564"/>
      <c r="IQ1" s="564"/>
      <c r="IR1" s="564"/>
      <c r="IS1" s="564"/>
      <c r="IT1" s="564"/>
      <c r="IU1" s="564"/>
      <c r="IV1" s="564"/>
      <c r="IW1" s="564"/>
      <c r="IX1" s="564"/>
      <c r="IY1" s="564"/>
      <c r="IZ1" s="564"/>
      <c r="JA1" s="564"/>
      <c r="JB1" s="564"/>
      <c r="JC1" s="564"/>
      <c r="JD1" s="564"/>
      <c r="JE1" s="564"/>
      <c r="JF1" s="564"/>
      <c r="JG1" s="564"/>
      <c r="JH1" s="564"/>
      <c r="JI1" s="564"/>
      <c r="JJ1" s="564"/>
      <c r="JK1" s="564"/>
      <c r="JL1" s="564"/>
      <c r="JM1" s="564"/>
      <c r="JN1" s="564"/>
      <c r="JO1" s="564"/>
      <c r="JP1" s="564"/>
      <c r="JQ1" s="564"/>
      <c r="JR1" s="564"/>
      <c r="JS1" s="564"/>
      <c r="JT1" s="564"/>
      <c r="JU1" s="564"/>
      <c r="JV1" s="564"/>
      <c r="JW1" s="564"/>
      <c r="JX1" s="564"/>
      <c r="JY1" s="564"/>
      <c r="JZ1" s="564"/>
      <c r="KA1" s="564"/>
      <c r="KB1" s="564"/>
      <c r="KC1" s="564"/>
      <c r="KD1" s="564"/>
      <c r="KE1" s="564"/>
      <c r="KF1" s="564"/>
      <c r="KG1" s="564"/>
      <c r="KH1" s="564"/>
      <c r="KI1" s="564"/>
      <c r="KJ1" s="564"/>
      <c r="KK1" s="564"/>
      <c r="KL1" s="564"/>
      <c r="KM1" s="564"/>
      <c r="KN1" s="564"/>
      <c r="KO1" s="564"/>
      <c r="KP1" s="564"/>
      <c r="KQ1" s="564"/>
      <c r="KR1" s="564"/>
      <c r="KS1" s="564"/>
      <c r="KT1" s="564"/>
      <c r="KU1" s="564"/>
      <c r="KV1" s="564"/>
      <c r="KW1" s="564"/>
      <c r="KX1" s="564"/>
      <c r="KY1" s="564"/>
      <c r="KZ1" s="564"/>
    </row>
    <row r="2" spans="3:314" s="3" customFormat="1" ht="14.95" customHeight="1">
      <c r="C2" s="1434"/>
      <c r="D2" s="1435"/>
      <c r="E2" s="1435"/>
      <c r="F2" s="1435"/>
      <c r="G2" s="1435"/>
      <c r="H2" s="1396"/>
      <c r="I2" s="1396"/>
      <c r="J2" s="1396"/>
      <c r="K2" s="1396"/>
      <c r="L2" s="1396"/>
      <c r="M2" s="1396"/>
      <c r="N2" s="1396"/>
      <c r="O2" s="1396"/>
      <c r="P2" s="1396"/>
      <c r="Q2" s="1396"/>
      <c r="R2" s="1396"/>
      <c r="S2" s="1396"/>
      <c r="T2" s="1396"/>
      <c r="U2" s="1396"/>
      <c r="V2" s="1396"/>
      <c r="W2" s="1396"/>
      <c r="X2" s="1396"/>
      <c r="Y2" s="1396"/>
      <c r="Z2" s="1396"/>
      <c r="AA2" s="1396"/>
      <c r="AB2" s="1396"/>
      <c r="AC2" s="1434"/>
      <c r="AD2" s="1435"/>
      <c r="AE2" s="1435"/>
      <c r="AF2" s="1435"/>
      <c r="AG2" s="1435"/>
      <c r="AH2" s="1396"/>
      <c r="AI2" s="1396"/>
      <c r="AJ2" s="1396"/>
      <c r="AK2" s="1398"/>
      <c r="AL2" s="1398"/>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2"/>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5"/>
      <c r="CU2" s="1396"/>
      <c r="CV2" s="1396"/>
      <c r="CW2" s="1396"/>
      <c r="CX2" s="1396"/>
      <c r="CY2" s="1396"/>
      <c r="CZ2" s="4"/>
      <c r="DA2" s="4"/>
      <c r="DB2" s="4"/>
      <c r="DC2" s="1396"/>
      <c r="DD2" s="1396"/>
      <c r="DE2" s="1396"/>
      <c r="DF2" s="4"/>
      <c r="DG2" s="4"/>
      <c r="DH2" s="4"/>
      <c r="DI2" s="4"/>
      <c r="DJ2" s="4"/>
      <c r="DK2" s="2"/>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5"/>
      <c r="EZ2" s="1396"/>
      <c r="FA2"/>
      <c r="FB2" s="2"/>
      <c r="FC2" s="4"/>
      <c r="FD2" s="4"/>
      <c r="FE2" s="4"/>
      <c r="FF2" s="567"/>
      <c r="FG2" s="568"/>
      <c r="FH2" s="568"/>
      <c r="FI2" s="568"/>
      <c r="FJ2" s="568"/>
      <c r="FK2" s="568"/>
      <c r="FL2" s="568"/>
      <c r="FM2" s="568"/>
      <c r="FN2" s="1398"/>
      <c r="FO2" s="1398"/>
      <c r="FP2" s="1398"/>
      <c r="FQ2" s="1398"/>
      <c r="FR2" s="1398"/>
      <c r="FS2" s="1398"/>
      <c r="FT2" s="1398"/>
      <c r="FU2" s="1398"/>
      <c r="FV2" s="1398"/>
      <c r="FW2" s="1398"/>
      <c r="FX2" s="1398"/>
      <c r="FY2" s="1398"/>
      <c r="FZ2" s="1398"/>
      <c r="GA2" s="1398"/>
      <c r="GB2" s="1398"/>
      <c r="GC2" s="1398"/>
      <c r="GD2" s="1398"/>
      <c r="GE2" s="1398"/>
      <c r="GF2" s="1398"/>
      <c r="GG2" s="1398"/>
      <c r="GH2" s="1398"/>
      <c r="GI2" s="1398"/>
      <c r="GJ2" s="1398"/>
      <c r="GK2" s="1398"/>
      <c r="GL2" s="1398"/>
      <c r="GM2" s="1398"/>
      <c r="GN2" s="1398"/>
      <c r="GO2" s="1398"/>
      <c r="GP2" s="1398"/>
      <c r="GQ2" s="1398"/>
      <c r="GR2" s="1398"/>
      <c r="GS2" s="1398"/>
      <c r="GT2" s="1398"/>
      <c r="GU2" s="1398"/>
      <c r="GV2" s="1398"/>
      <c r="GW2" s="1398"/>
      <c r="GX2" s="1398"/>
      <c r="GY2" s="1398"/>
      <c r="GZ2" s="1398"/>
      <c r="HA2" s="1398"/>
      <c r="HB2" s="1398"/>
      <c r="HC2" s="1398"/>
      <c r="HD2" s="1398"/>
      <c r="HE2" s="1398"/>
      <c r="HF2" s="1398"/>
      <c r="HG2" s="1398"/>
      <c r="HH2" s="1398"/>
      <c r="HI2" s="1398"/>
      <c r="HJ2" s="1398"/>
      <c r="HK2" s="1398"/>
      <c r="HL2" s="1398"/>
      <c r="HM2" s="1398"/>
      <c r="HN2" s="1398"/>
      <c r="HO2" s="1398"/>
      <c r="HP2" s="1398"/>
      <c r="HQ2" s="1398"/>
      <c r="HR2" s="1398"/>
      <c r="HS2" s="1398"/>
      <c r="HT2" s="1398"/>
      <c r="HU2" s="1398"/>
      <c r="HV2" s="1398"/>
      <c r="HW2" s="1398"/>
      <c r="HX2" s="1398"/>
      <c r="HY2" s="1398"/>
      <c r="HZ2" s="1398"/>
      <c r="IA2" s="1398"/>
      <c r="IB2" s="1398"/>
      <c r="IC2" s="1398"/>
      <c r="ID2" s="1398"/>
      <c r="IE2" s="1398"/>
      <c r="IF2" s="1398"/>
      <c r="IG2" s="1398"/>
      <c r="IH2" s="1398"/>
      <c r="II2" s="1398"/>
      <c r="IJ2" s="1398"/>
      <c r="IK2" s="1398"/>
      <c r="IL2" s="1398"/>
      <c r="IM2" s="1398"/>
      <c r="IN2" s="1398"/>
      <c r="IO2" s="1398"/>
      <c r="IP2" s="1398"/>
      <c r="IQ2" s="1398"/>
      <c r="IR2" s="1398"/>
      <c r="IS2" s="1398"/>
      <c r="IT2" s="1398"/>
      <c r="IU2" s="1398"/>
      <c r="IV2" s="1398"/>
      <c r="IW2" s="1398"/>
      <c r="IX2" s="1398"/>
      <c r="IY2" s="1398"/>
      <c r="IZ2" s="1398"/>
      <c r="JA2" s="1398"/>
      <c r="JB2" s="1398"/>
      <c r="JC2" s="1398"/>
      <c r="JD2" s="1398"/>
      <c r="JE2" s="1398"/>
      <c r="JF2" s="1398"/>
      <c r="JG2" s="1398"/>
      <c r="JH2" s="1398"/>
      <c r="JI2" s="1398"/>
      <c r="JJ2" s="1398"/>
      <c r="JK2" s="1398"/>
      <c r="JL2" s="1398"/>
      <c r="JM2" s="1398"/>
      <c r="JN2" s="1398"/>
      <c r="JO2" s="1398"/>
      <c r="JP2" s="1398"/>
      <c r="JQ2" s="1398"/>
      <c r="JR2" s="1398"/>
      <c r="JS2" s="1398"/>
      <c r="JT2" s="1398"/>
      <c r="JU2" s="1398"/>
      <c r="JV2" s="1398"/>
      <c r="JW2" s="1398"/>
      <c r="JX2" s="1398"/>
      <c r="JY2" s="1398"/>
      <c r="JZ2" s="1398"/>
      <c r="KA2" s="1398"/>
      <c r="KB2" s="1398"/>
      <c r="KC2" s="1398"/>
      <c r="KD2" s="1398"/>
      <c r="KE2" s="1398"/>
      <c r="KF2" s="1398"/>
      <c r="KG2" s="1398"/>
      <c r="KH2" s="1398"/>
      <c r="KI2" s="1398"/>
      <c r="KJ2" s="1398"/>
      <c r="KK2" s="1398"/>
      <c r="KL2" s="1398"/>
      <c r="KM2" s="1398"/>
      <c r="KN2" s="1398"/>
      <c r="KO2" s="1398"/>
      <c r="KP2" s="1398"/>
      <c r="KQ2" s="1398"/>
      <c r="KR2" s="1398"/>
      <c r="KS2" s="1398"/>
      <c r="KT2" s="1398"/>
      <c r="KU2" s="1398"/>
      <c r="KV2" s="1398"/>
      <c r="KW2" s="1398"/>
      <c r="KX2" s="1398"/>
      <c r="KY2" s="1398"/>
      <c r="KZ2" s="1398"/>
      <c r="LA2" s="1396"/>
      <c r="LB2" s="1396"/>
    </row>
    <row r="3" spans="3:314" s="3" customFormat="1" ht="5.0999999999999996" customHeight="1">
      <c r="C3" s="1396"/>
      <c r="D3" s="1396"/>
      <c r="E3" s="1396"/>
      <c r="F3" s="1396"/>
      <c r="G3" s="1396"/>
      <c r="H3" s="1396"/>
      <c r="I3" s="1396"/>
      <c r="J3" s="1396"/>
      <c r="K3" s="1396"/>
      <c r="L3" s="1396"/>
      <c r="M3" s="1396"/>
      <c r="N3" s="1396"/>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1396"/>
      <c r="AL3" s="1396"/>
      <c r="AM3" s="1396"/>
      <c r="AN3" s="1396"/>
      <c r="AO3" s="1396"/>
      <c r="AP3" s="1396"/>
      <c r="AQ3" s="1396"/>
      <c r="AR3" s="1396"/>
      <c r="AS3" s="1396"/>
      <c r="AT3" s="1396"/>
      <c r="AU3" s="1396"/>
      <c r="AV3" s="1396"/>
      <c r="AW3" s="1396"/>
      <c r="AX3" s="1396"/>
      <c r="AY3" s="1396"/>
      <c r="AZ3" s="1396"/>
      <c r="BA3" s="1396"/>
      <c r="BB3" s="1396"/>
      <c r="BC3" s="1396"/>
      <c r="BD3" s="1396"/>
      <c r="BE3" s="1396"/>
      <c r="BF3" s="1396"/>
      <c r="BG3" s="1396"/>
      <c r="BH3" s="1396"/>
      <c r="BI3" s="1396"/>
      <c r="BJ3" s="1396"/>
      <c r="BK3" s="2"/>
      <c r="BL3" s="1396"/>
      <c r="BM3" s="1396"/>
      <c r="BN3" s="1396"/>
      <c r="BO3" s="1396"/>
      <c r="BP3" s="1396"/>
      <c r="BQ3" s="1396"/>
      <c r="BR3" s="1396"/>
      <c r="BS3" s="1396"/>
      <c r="BT3" s="1396"/>
      <c r="BU3" s="1396"/>
      <c r="BV3" s="1396"/>
      <c r="BW3" s="1396"/>
      <c r="BX3" s="1396"/>
      <c r="BY3" s="1396"/>
      <c r="BZ3" s="1396"/>
      <c r="CA3" s="1396"/>
      <c r="CB3" s="1396"/>
      <c r="CC3" s="1396"/>
      <c r="CD3" s="1396"/>
      <c r="CE3" s="1396"/>
      <c r="CF3" s="1396"/>
      <c r="CG3" s="1396"/>
      <c r="CH3" s="1396"/>
      <c r="CI3" s="1396"/>
      <c r="CJ3" s="1396"/>
      <c r="CK3" s="1396"/>
      <c r="CL3" s="1396"/>
      <c r="CM3" s="1396"/>
      <c r="CN3" s="1396"/>
      <c r="CO3" s="1396"/>
      <c r="CP3" s="1396"/>
      <c r="CQ3" s="1396"/>
      <c r="CR3" s="1396"/>
      <c r="CS3" s="1396"/>
      <c r="CT3" s="15"/>
      <c r="CU3" s="1396"/>
      <c r="CV3" s="1396"/>
      <c r="CW3" s="1396"/>
      <c r="CX3" s="1396"/>
      <c r="CY3" s="1396"/>
      <c r="CZ3" s="4"/>
      <c r="DA3" s="4"/>
      <c r="DB3" s="4"/>
      <c r="DC3" s="1396"/>
      <c r="DD3" s="1396"/>
      <c r="DE3" s="1396"/>
      <c r="DF3" s="4"/>
      <c r="DG3" s="4"/>
      <c r="DH3" s="4"/>
      <c r="DI3" s="4"/>
      <c r="DJ3" s="4"/>
      <c r="DK3" s="2"/>
      <c r="DL3" s="1396"/>
      <c r="DM3" s="1396"/>
      <c r="DN3" s="1396"/>
      <c r="DO3" s="1396"/>
      <c r="DP3" s="1396"/>
      <c r="DQ3" s="1396"/>
      <c r="DR3" s="1396"/>
      <c r="DS3" s="1396"/>
      <c r="DT3" s="1396"/>
      <c r="DU3" s="1396"/>
      <c r="DV3" s="1396"/>
      <c r="DW3" s="1396"/>
      <c r="DX3" s="1396"/>
      <c r="DY3" s="1396"/>
      <c r="DZ3" s="1396"/>
      <c r="EA3" s="1396"/>
      <c r="EB3" s="1396"/>
      <c r="EC3" s="1396"/>
      <c r="ED3" s="1396"/>
      <c r="EE3" s="1396"/>
      <c r="EF3" s="1396"/>
      <c r="EG3" s="1396"/>
      <c r="EH3" s="1396"/>
      <c r="EI3" s="1396"/>
      <c r="EJ3" s="1396"/>
      <c r="EK3" s="1396"/>
      <c r="EL3" s="1396"/>
      <c r="EM3" s="1396"/>
      <c r="EN3" s="1396"/>
      <c r="EO3" s="1396"/>
      <c r="EP3" s="1396"/>
      <c r="EQ3" s="1396"/>
      <c r="ER3" s="1396"/>
      <c r="ES3" s="1396"/>
      <c r="ET3" s="1396"/>
      <c r="EU3" s="1396"/>
      <c r="EV3" s="1396"/>
      <c r="EW3" s="1396"/>
      <c r="EX3" s="1396"/>
      <c r="EY3" s="15"/>
      <c r="EZ3" s="1396"/>
      <c r="FA3" s="2"/>
      <c r="FB3" s="2"/>
      <c r="FC3" s="4"/>
      <c r="FD3" s="4"/>
      <c r="FE3" s="4"/>
      <c r="FF3" s="4"/>
      <c r="FG3" s="4"/>
      <c r="FH3" s="4"/>
      <c r="FI3" s="4"/>
      <c r="FJ3" s="4"/>
      <c r="FK3" s="4"/>
      <c r="FL3" s="4"/>
      <c r="FM3" s="4"/>
      <c r="FN3" s="1396"/>
      <c r="FO3" s="1396"/>
      <c r="FP3" s="1396"/>
      <c r="FQ3" s="1396"/>
      <c r="FR3" s="1396"/>
      <c r="FS3" s="1396"/>
      <c r="FT3" s="1396"/>
      <c r="FU3" s="1396"/>
      <c r="FV3" s="1396"/>
      <c r="FW3" s="1396"/>
      <c r="FX3" s="1396"/>
      <c r="FY3" s="1396"/>
      <c r="FZ3" s="1396"/>
      <c r="GA3" s="1396"/>
      <c r="GB3" s="1396"/>
      <c r="GC3" s="1396"/>
      <c r="GD3" s="1396"/>
      <c r="GE3" s="1396"/>
      <c r="GF3" s="1396"/>
      <c r="GG3" s="1396"/>
      <c r="GH3" s="1396"/>
      <c r="GI3" s="1396"/>
      <c r="GJ3" s="1396"/>
      <c r="GK3" s="1396"/>
      <c r="GL3" s="1396"/>
      <c r="GM3" s="1396"/>
      <c r="GN3" s="1396"/>
      <c r="GO3" s="1396"/>
      <c r="GP3" s="1396"/>
      <c r="GQ3" s="1396"/>
      <c r="GR3" s="1396"/>
      <c r="GS3" s="1396"/>
      <c r="GT3" s="1396"/>
      <c r="GU3" s="1396"/>
      <c r="GV3" s="1396"/>
      <c r="GW3" s="1396"/>
      <c r="GX3" s="1396"/>
      <c r="GY3" s="1396"/>
      <c r="GZ3" s="1396"/>
      <c r="HA3" s="1396"/>
      <c r="HB3" s="1396"/>
      <c r="HC3" s="1396"/>
      <c r="HD3" s="1396"/>
      <c r="HE3" s="1396"/>
      <c r="HF3" s="1396"/>
      <c r="HG3" s="1396"/>
      <c r="HH3" s="1396"/>
      <c r="HI3" s="1396"/>
      <c r="HJ3" s="1396"/>
      <c r="HK3" s="1396"/>
      <c r="HL3" s="1396"/>
      <c r="HM3" s="1396"/>
      <c r="HN3" s="1396"/>
      <c r="HO3" s="1396"/>
      <c r="HP3" s="1396"/>
      <c r="HQ3" s="1396"/>
      <c r="HR3" s="1396"/>
      <c r="HS3" s="1396"/>
      <c r="HT3" s="1396"/>
      <c r="HU3" s="1396"/>
      <c r="HV3" s="1396"/>
      <c r="HW3" s="1396"/>
      <c r="HX3" s="1396"/>
      <c r="HY3" s="1396"/>
      <c r="HZ3" s="1396"/>
      <c r="IA3" s="1396"/>
      <c r="IB3" s="1396"/>
      <c r="IC3" s="1396"/>
      <c r="ID3" s="1396"/>
      <c r="IE3" s="1396"/>
      <c r="IF3" s="1396"/>
      <c r="IG3" s="1396"/>
      <c r="IH3" s="1396"/>
      <c r="II3" s="1396"/>
      <c r="IJ3" s="1396"/>
      <c r="IK3" s="1396"/>
      <c r="IL3" s="1396"/>
      <c r="IM3" s="1396"/>
      <c r="IN3" s="1396"/>
      <c r="IO3" s="1396"/>
      <c r="IP3" s="1396"/>
      <c r="IQ3" s="1396"/>
      <c r="IR3" s="1396"/>
      <c r="IS3" s="1396"/>
      <c r="IT3" s="1396"/>
      <c r="IU3" s="1396"/>
      <c r="IV3" s="1396"/>
      <c r="IW3" s="1396"/>
      <c r="IX3" s="1396"/>
      <c r="IY3" s="1396"/>
      <c r="IZ3" s="1396"/>
      <c r="JA3" s="1396"/>
      <c r="JB3" s="1396"/>
      <c r="JC3" s="1396"/>
      <c r="JD3" s="1396"/>
      <c r="JE3" s="1396"/>
      <c r="JF3" s="1396"/>
      <c r="JG3" s="1396"/>
      <c r="JH3" s="1396"/>
      <c r="JI3" s="1396"/>
      <c r="JJ3" s="1396"/>
      <c r="JK3" s="1396"/>
      <c r="JL3" s="1396"/>
      <c r="JM3" s="1396"/>
      <c r="JN3" s="1396"/>
      <c r="JO3" s="1396"/>
      <c r="JP3" s="1396"/>
      <c r="JQ3" s="1396"/>
      <c r="JR3" s="1396"/>
      <c r="JS3" s="1396"/>
      <c r="JT3" s="1396"/>
      <c r="JU3" s="1396"/>
      <c r="JV3" s="1396"/>
      <c r="JW3" s="1396"/>
      <c r="JX3" s="1396"/>
      <c r="JY3" s="1396"/>
      <c r="JZ3" s="1396"/>
      <c r="KA3" s="1396"/>
      <c r="KB3" s="1396"/>
      <c r="KC3" s="1396"/>
      <c r="KD3" s="1396"/>
      <c r="KE3" s="1396"/>
      <c r="KF3" s="1396"/>
      <c r="KG3" s="1396"/>
      <c r="KH3" s="1396"/>
      <c r="KI3" s="1396"/>
      <c r="KJ3" s="1396"/>
      <c r="KK3" s="1396"/>
      <c r="KL3" s="1396"/>
      <c r="KM3" s="1396"/>
      <c r="KN3" s="1396"/>
      <c r="KO3" s="1396"/>
      <c r="KP3" s="1396"/>
      <c r="KQ3" s="1396"/>
      <c r="KR3" s="1396"/>
      <c r="KS3" s="1396"/>
      <c r="KT3" s="1396"/>
      <c r="KU3" s="1396"/>
      <c r="KV3" s="1396"/>
      <c r="KW3" s="1396"/>
      <c r="KX3" s="1396"/>
      <c r="KY3" s="1396"/>
      <c r="KZ3" s="1396"/>
      <c r="LA3" s="1396"/>
      <c r="LB3" s="1396"/>
    </row>
    <row r="4" spans="3:314" s="3" customFormat="1" ht="14.95" customHeight="1">
      <c r="C4" s="1436"/>
      <c r="D4" s="1436"/>
      <c r="E4" s="1436"/>
      <c r="F4" s="1436"/>
      <c r="G4" s="1436"/>
      <c r="H4" s="1396"/>
      <c r="I4" s="1396"/>
      <c r="J4" s="1396"/>
      <c r="K4" s="1396"/>
      <c r="L4" s="1396"/>
      <c r="M4" s="1396"/>
      <c r="N4" s="1396"/>
      <c r="O4" s="1396"/>
      <c r="P4" s="1396"/>
      <c r="Q4" s="1396"/>
      <c r="R4" s="1396"/>
      <c r="S4" s="1396"/>
      <c r="T4" s="1396"/>
      <c r="U4" s="1396"/>
      <c r="V4"/>
      <c r="W4" s="1396"/>
      <c r="X4" s="1396"/>
      <c r="Y4" s="1396"/>
      <c r="Z4" s="1396"/>
      <c r="AA4" s="1396"/>
      <c r="AB4" s="1396"/>
      <c r="AC4" s="1436"/>
      <c r="AD4" s="1436"/>
      <c r="AE4" s="1436"/>
      <c r="AF4" s="1436"/>
      <c r="AG4" s="1436"/>
      <c r="AH4" s="1396"/>
      <c r="AI4" s="1396"/>
      <c r="AJ4" s="1396"/>
      <c r="AK4" s="1396"/>
      <c r="AL4" s="1396"/>
      <c r="AM4" s="1396"/>
      <c r="AN4" s="1396"/>
      <c r="AO4" s="1396"/>
      <c r="AP4" s="1396"/>
      <c r="AQ4" s="1396"/>
      <c r="AR4" s="1396"/>
      <c r="AS4" s="1396"/>
      <c r="AT4" s="1396"/>
      <c r="AU4" s="1396"/>
      <c r="AV4" s="1396"/>
      <c r="AW4" s="1396"/>
      <c r="AX4" s="1396"/>
      <c r="AY4" s="1396"/>
      <c r="AZ4" s="1396"/>
      <c r="BA4" s="1396"/>
      <c r="BB4" s="1396"/>
      <c r="BC4" s="1396"/>
      <c r="BD4" s="1396"/>
      <c r="BE4" s="1396"/>
      <c r="BF4" s="1396"/>
      <c r="BG4" s="1396"/>
      <c r="BH4" s="1396"/>
      <c r="BI4" s="1396"/>
      <c r="BJ4" s="1396"/>
      <c r="BK4" s="1396"/>
      <c r="BL4" s="1396"/>
      <c r="BM4" s="1396"/>
      <c r="BN4" s="1396"/>
      <c r="BO4" s="1396"/>
      <c r="BP4" s="1396"/>
      <c r="BQ4" s="1396"/>
      <c r="BR4" s="1396"/>
      <c r="BS4" s="1396"/>
      <c r="BT4" s="1396"/>
      <c r="BU4" s="1396"/>
      <c r="BV4" s="1396"/>
      <c r="BW4" s="1396"/>
      <c r="BX4" s="1396"/>
      <c r="BY4" s="1396"/>
      <c r="BZ4" s="1396"/>
      <c r="CA4" s="1396"/>
      <c r="CB4" s="1396"/>
      <c r="CC4" s="1396"/>
      <c r="CD4" s="1396"/>
      <c r="CE4"/>
      <c r="CF4" s="1396"/>
      <c r="CG4" s="1396"/>
      <c r="CH4" s="1396"/>
      <c r="CI4" s="1396"/>
      <c r="CJ4" s="1396"/>
      <c r="CK4" s="1396"/>
      <c r="CL4" s="1396"/>
      <c r="CM4" s="1396"/>
      <c r="CN4" s="1396"/>
      <c r="CO4" s="1396"/>
      <c r="CP4" s="1396"/>
      <c r="CQ4" s="1396"/>
      <c r="CR4" s="1396"/>
      <c r="CS4" s="1396"/>
      <c r="CT4" s="15"/>
      <c r="CU4" s="1396"/>
      <c r="CV4"/>
      <c r="CW4" s="1396"/>
      <c r="CX4" s="1396"/>
      <c r="CY4" s="1396"/>
      <c r="CZ4" s="5"/>
      <c r="DA4" s="5"/>
      <c r="DB4" s="5"/>
      <c r="DC4" s="1396"/>
      <c r="DD4" s="1396"/>
      <c r="DE4" s="1396"/>
      <c r="DF4" s="5"/>
      <c r="DG4" s="5"/>
      <c r="DH4" s="5"/>
      <c r="DI4" s="5"/>
      <c r="DJ4" s="5"/>
      <c r="DK4" s="1396"/>
      <c r="DL4" s="1396"/>
      <c r="DM4" s="1396"/>
      <c r="DN4" s="1396"/>
      <c r="DO4" s="1396"/>
      <c r="DP4" s="1396"/>
      <c r="DQ4" s="1396"/>
      <c r="DR4" s="1396"/>
      <c r="DS4" s="1396"/>
      <c r="DT4" s="1396"/>
      <c r="DU4" s="1396"/>
      <c r="DV4" s="1396"/>
      <c r="DW4" s="1396"/>
      <c r="DX4" s="1396"/>
      <c r="DY4" s="1396"/>
      <c r="DZ4" s="1396"/>
      <c r="EA4" s="1396"/>
      <c r="EB4" s="1396"/>
      <c r="EC4" s="1396"/>
      <c r="ED4" s="1396"/>
      <c r="EE4"/>
      <c r="EF4" s="1396"/>
      <c r="EG4" s="1396"/>
      <c r="EH4" s="1396"/>
      <c r="EI4" s="1396"/>
      <c r="EJ4" s="1396"/>
      <c r="EK4" s="1396"/>
      <c r="EL4" s="1396"/>
      <c r="EM4" s="1396"/>
      <c r="EN4" s="1396"/>
      <c r="EO4" s="1396"/>
      <c r="EP4" s="1396"/>
      <c r="EQ4" s="1396"/>
      <c r="ER4" s="1396"/>
      <c r="ES4" s="1396"/>
      <c r="ET4" s="1396"/>
      <c r="EU4" s="1396"/>
      <c r="EV4" s="1396"/>
      <c r="EW4" s="1396"/>
      <c r="EX4" s="1396"/>
      <c r="EY4" s="15"/>
      <c r="EZ4" s="1396"/>
      <c r="FA4"/>
      <c r="FB4" s="6"/>
      <c r="FC4" s="5"/>
      <c r="FD4" s="5"/>
      <c r="FE4" s="5"/>
      <c r="FF4" s="547"/>
      <c r="FG4" s="5"/>
      <c r="FH4" s="5"/>
      <c r="FI4" s="5"/>
      <c r="FJ4" s="5"/>
      <c r="FK4" s="547" t="str">
        <f>CONCATENATE($FK$12,Fixtures!FK$25+1)</f>
        <v>Installations!CW50</v>
      </c>
      <c r="FL4" s="548"/>
      <c r="FM4" s="548"/>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c r="IT4" s="542"/>
      <c r="IU4" s="542"/>
      <c r="IV4" s="542"/>
      <c r="IW4" s="542"/>
      <c r="IX4" s="542"/>
      <c r="IY4" s="542"/>
      <c r="IZ4" s="542"/>
      <c r="JA4" s="542"/>
      <c r="JB4" s="542"/>
      <c r="JC4" s="542"/>
      <c r="JD4" s="542"/>
      <c r="JE4" s="542"/>
      <c r="JF4" s="542"/>
      <c r="JG4" s="542"/>
      <c r="JH4" s="542"/>
      <c r="JI4" s="542"/>
      <c r="JJ4" s="542"/>
      <c r="JK4" s="542"/>
      <c r="JL4" s="542"/>
      <c r="JM4" s="542"/>
      <c r="JN4" s="542"/>
      <c r="JO4" s="542"/>
      <c r="JP4" s="542"/>
      <c r="JQ4" s="542"/>
      <c r="JR4" s="542"/>
      <c r="JS4" s="542"/>
      <c r="JT4" s="542"/>
      <c r="JU4" s="542"/>
      <c r="JV4" s="542"/>
      <c r="JW4" s="542"/>
      <c r="JX4" s="542"/>
      <c r="JY4" s="542"/>
      <c r="JZ4" s="542"/>
      <c r="KA4" s="542"/>
      <c r="KB4" s="542"/>
      <c r="KC4" s="542"/>
      <c r="KD4" s="542"/>
      <c r="KE4" s="542"/>
      <c r="KF4" s="542"/>
      <c r="KG4" s="542"/>
      <c r="KH4" s="542"/>
      <c r="KI4" s="542"/>
      <c r="KJ4" s="542"/>
      <c r="KK4" s="542"/>
      <c r="KL4" s="542"/>
      <c r="KM4" s="542"/>
      <c r="KN4" s="542"/>
      <c r="KO4" s="542"/>
      <c r="KP4" s="542"/>
      <c r="KQ4" s="542"/>
      <c r="KR4" s="542"/>
      <c r="KS4" s="542"/>
      <c r="KT4" s="542"/>
      <c r="KU4" s="542"/>
      <c r="KV4" s="542"/>
      <c r="KW4" s="542"/>
      <c r="KX4" s="542"/>
      <c r="KY4" s="542"/>
      <c r="KZ4" s="542"/>
      <c r="LA4" s="542"/>
      <c r="LB4" s="542"/>
    </row>
    <row r="5" spans="3:314" s="3" customFormat="1" ht="5.0999999999999996" customHeight="1">
      <c r="C5" s="1396"/>
      <c r="D5" s="1396"/>
      <c r="E5" s="1396"/>
      <c r="F5" s="1396"/>
      <c r="G5" s="1396"/>
      <c r="H5" s="1396"/>
      <c r="I5" s="1396"/>
      <c r="J5" s="1396"/>
      <c r="K5" s="1396"/>
      <c r="L5" s="1396"/>
      <c r="M5" s="1396"/>
      <c r="N5" s="1396"/>
      <c r="O5" s="1396"/>
      <c r="P5" s="1396"/>
      <c r="Q5" s="1396"/>
      <c r="R5" s="1396"/>
      <c r="S5" s="1396"/>
      <c r="T5" s="1396"/>
      <c r="U5" s="1396"/>
      <c r="V5"/>
      <c r="W5" s="1396"/>
      <c r="X5" s="1396"/>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6"/>
      <c r="AX5" s="1396"/>
      <c r="AY5" s="1396"/>
      <c r="AZ5" s="1396"/>
      <c r="BA5" s="1396"/>
      <c r="BB5" s="1396"/>
      <c r="BC5" s="1396"/>
      <c r="BD5" s="1396"/>
      <c r="BE5" s="1396"/>
      <c r="BF5" s="1396"/>
      <c r="BG5" s="1396"/>
      <c r="BH5" s="1396"/>
      <c r="BI5" s="1396"/>
      <c r="BJ5" s="1396"/>
      <c r="BK5" s="1396"/>
      <c r="BL5" s="1396"/>
      <c r="BM5" s="1396"/>
      <c r="BN5" s="1396"/>
      <c r="BO5" s="1396"/>
      <c r="BP5" s="1396"/>
      <c r="BQ5" s="1396"/>
      <c r="BR5" s="1396"/>
      <c r="BS5" s="1396"/>
      <c r="BT5" s="1396"/>
      <c r="BU5" s="1396"/>
      <c r="BV5" s="1396"/>
      <c r="BW5" s="1396"/>
      <c r="BX5" s="1396"/>
      <c r="BY5" s="1396"/>
      <c r="BZ5" s="1396"/>
      <c r="CA5" s="1396"/>
      <c r="CB5" s="1396"/>
      <c r="CC5" s="1396"/>
      <c r="CD5" s="1396"/>
      <c r="CE5"/>
      <c r="CF5" s="1396"/>
      <c r="CG5" s="1396"/>
      <c r="CH5" s="1396"/>
      <c r="CI5" s="1396"/>
      <c r="CJ5" s="1396"/>
      <c r="CK5" s="1396"/>
      <c r="CL5" s="1396"/>
      <c r="CM5" s="1396"/>
      <c r="CN5" s="1396"/>
      <c r="CO5" s="1396"/>
      <c r="CP5" s="1396"/>
      <c r="CQ5" s="1396"/>
      <c r="CR5" s="1396"/>
      <c r="CS5" s="1396"/>
      <c r="CT5" s="15"/>
      <c r="CU5" s="1396"/>
      <c r="CV5"/>
      <c r="CW5" s="1396"/>
      <c r="CX5" s="1396"/>
      <c r="CY5" s="1396"/>
      <c r="CZ5" s="5"/>
      <c r="DA5" s="5"/>
      <c r="DB5" s="5"/>
      <c r="DC5" s="1396"/>
      <c r="DD5" s="1396"/>
      <c r="DE5" s="1396"/>
      <c r="DF5" s="5"/>
      <c r="DG5" s="5"/>
      <c r="DH5" s="5"/>
      <c r="DI5" s="5"/>
      <c r="DJ5" s="5"/>
      <c r="DK5" s="1396"/>
      <c r="DL5" s="1396"/>
      <c r="DM5" s="1396"/>
      <c r="DN5" s="1396"/>
      <c r="DO5" s="1396"/>
      <c r="DP5" s="1396"/>
      <c r="DQ5" s="1396"/>
      <c r="DR5" s="1396"/>
      <c r="DS5" s="1396"/>
      <c r="DT5" s="1396"/>
      <c r="DU5" s="1396"/>
      <c r="DV5" s="1396"/>
      <c r="DW5" s="1396"/>
      <c r="DX5" s="1396"/>
      <c r="DY5" s="1396"/>
      <c r="DZ5" s="1396"/>
      <c r="EA5" s="1396"/>
      <c r="EB5" s="1396"/>
      <c r="EC5" s="1396"/>
      <c r="ED5" s="1396"/>
      <c r="EE5"/>
      <c r="EF5" s="1396"/>
      <c r="EG5" s="1396"/>
      <c r="EH5" s="1396"/>
      <c r="EI5" s="1396"/>
      <c r="EJ5" s="1396"/>
      <c r="EK5" s="1396"/>
      <c r="EL5" s="1396"/>
      <c r="EM5" s="1396"/>
      <c r="EN5" s="1396"/>
      <c r="EO5" s="1396"/>
      <c r="EP5" s="1396"/>
      <c r="EQ5" s="1396"/>
      <c r="ER5" s="1396"/>
      <c r="ES5" s="1396"/>
      <c r="ET5" s="1396"/>
      <c r="EU5" s="1396"/>
      <c r="EV5" s="1396"/>
      <c r="EW5" s="1396"/>
      <c r="EX5" s="1396"/>
      <c r="EY5" s="15"/>
      <c r="EZ5" s="1396"/>
      <c r="FA5" s="6"/>
      <c r="FB5" s="6"/>
      <c r="FC5" s="5"/>
      <c r="FD5" s="5"/>
      <c r="FE5" s="5"/>
      <c r="FF5" s="5"/>
      <c r="FG5" s="5"/>
      <c r="FH5" s="5"/>
      <c r="FI5" s="5"/>
      <c r="FJ5" s="5"/>
      <c r="FK5" s="548"/>
      <c r="FL5" s="548"/>
      <c r="FM5" s="548"/>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c r="IT5" s="542"/>
      <c r="IU5" s="542"/>
      <c r="IV5" s="542"/>
      <c r="IW5" s="542"/>
      <c r="IX5" s="542"/>
      <c r="IY5" s="542"/>
      <c r="IZ5" s="542"/>
      <c r="JA5" s="542"/>
      <c r="JB5" s="542"/>
      <c r="JC5" s="542"/>
      <c r="JD5" s="542"/>
      <c r="JE5" s="542"/>
      <c r="JF5" s="542"/>
      <c r="JG5" s="542"/>
      <c r="JH5" s="542"/>
      <c r="JI5" s="542"/>
      <c r="JJ5" s="542"/>
      <c r="JK5" s="542"/>
      <c r="JL5" s="542"/>
      <c r="JM5" s="542"/>
      <c r="JN5" s="542"/>
      <c r="JO5" s="542"/>
      <c r="JP5" s="542"/>
      <c r="JQ5" s="542"/>
      <c r="JR5" s="542"/>
      <c r="JS5" s="542"/>
      <c r="JT5" s="542"/>
      <c r="JU5" s="542"/>
      <c r="JV5" s="542"/>
      <c r="JW5" s="542"/>
      <c r="JX5" s="542"/>
      <c r="JY5" s="542"/>
      <c r="JZ5" s="542"/>
      <c r="KA5" s="542"/>
      <c r="KB5" s="542"/>
      <c r="KC5" s="542"/>
      <c r="KD5" s="542"/>
      <c r="KE5" s="542"/>
      <c r="KF5" s="542"/>
      <c r="KG5" s="542"/>
      <c r="KH5" s="542"/>
      <c r="KI5" s="542"/>
      <c r="KJ5" s="542"/>
      <c r="KK5" s="542"/>
      <c r="KL5" s="542"/>
      <c r="KM5" s="542"/>
      <c r="KN5" s="542"/>
      <c r="KO5" s="542"/>
      <c r="KP5" s="542"/>
      <c r="KQ5" s="542"/>
      <c r="KR5" s="542"/>
      <c r="KS5" s="542"/>
      <c r="KT5" s="542"/>
      <c r="KU5" s="542"/>
      <c r="KV5" s="542"/>
      <c r="KW5" s="542"/>
      <c r="KX5" s="542"/>
      <c r="KY5" s="542"/>
      <c r="KZ5" s="542"/>
      <c r="LA5" s="542"/>
      <c r="LB5" s="542"/>
    </row>
    <row r="6" spans="3:314" s="3" customFormat="1" ht="14.95" customHeight="1">
      <c r="C6" s="1437"/>
      <c r="D6" s="1437"/>
      <c r="E6" s="1437"/>
      <c r="F6" s="1437"/>
      <c r="G6" s="1437"/>
      <c r="H6" s="1396"/>
      <c r="I6" s="1396"/>
      <c r="J6" s="1396"/>
      <c r="K6" s="1396"/>
      <c r="L6" s="1396"/>
      <c r="M6" s="1396"/>
      <c r="N6" s="1396"/>
      <c r="O6" s="1396"/>
      <c r="P6" s="1396"/>
      <c r="Q6" s="1396"/>
      <c r="R6" s="1396"/>
      <c r="S6" s="1396"/>
      <c r="T6" s="1396"/>
      <c r="U6" s="1396"/>
      <c r="V6" s="1396"/>
      <c r="W6" s="1396"/>
      <c r="X6" s="1396"/>
      <c r="Y6" s="1396"/>
      <c r="Z6" s="1396"/>
      <c r="AA6" s="1396"/>
      <c r="AB6" s="1396"/>
      <c r="AC6" s="1437"/>
      <c r="AD6" s="1437"/>
      <c r="AE6" s="1437"/>
      <c r="AF6" s="1437"/>
      <c r="AG6" s="1437"/>
      <c r="AH6" s="1396"/>
      <c r="AI6" s="1396"/>
      <c r="AJ6" s="1396"/>
      <c r="AK6" s="1396"/>
      <c r="AL6" s="1396"/>
      <c r="AM6" s="1396"/>
      <c r="AN6" s="1396"/>
      <c r="AO6" s="1396"/>
      <c r="AP6" s="1396"/>
      <c r="AQ6" s="1396"/>
      <c r="AR6" s="1396"/>
      <c r="AS6" s="1396"/>
      <c r="AT6" s="1396"/>
      <c r="AU6" s="1396"/>
      <c r="AV6" s="1396"/>
      <c r="AW6" s="1396"/>
      <c r="AX6" s="1396"/>
      <c r="AY6" s="1396"/>
      <c r="AZ6" s="1396"/>
      <c r="BA6" s="1396"/>
      <c r="BB6" s="1396"/>
      <c r="BC6" s="1396"/>
      <c r="BD6" s="1396"/>
      <c r="BE6" s="1396"/>
      <c r="BF6" s="1396"/>
      <c r="BG6" s="1396"/>
      <c r="BH6" s="1396"/>
      <c r="BI6" s="1396"/>
      <c r="BJ6" s="1396"/>
      <c r="BK6" s="1396"/>
      <c r="BL6" s="1396"/>
      <c r="BM6" s="1396"/>
      <c r="BN6" s="1396"/>
      <c r="BO6" s="1396"/>
      <c r="BP6" s="1396"/>
      <c r="BQ6" s="1396"/>
      <c r="BR6" s="1396"/>
      <c r="BS6" s="1396"/>
      <c r="BT6" s="1396"/>
      <c r="BU6" s="1396"/>
      <c r="BV6" s="1396"/>
      <c r="BW6" s="1396"/>
      <c r="BX6" s="1396"/>
      <c r="BY6" s="1396"/>
      <c r="BZ6" s="1396"/>
      <c r="CA6" s="1396"/>
      <c r="CB6" s="1396"/>
      <c r="CC6" s="1396"/>
      <c r="CD6" s="1396"/>
      <c r="CE6" s="1396"/>
      <c r="CF6" s="1396"/>
      <c r="CG6" s="1396"/>
      <c r="CH6" s="1396"/>
      <c r="CI6" s="1396"/>
      <c r="CJ6" s="1396"/>
      <c r="CK6" s="1396"/>
      <c r="CL6" s="1396"/>
      <c r="CM6" s="1396"/>
      <c r="CN6" s="1396"/>
      <c r="CO6" s="1396"/>
      <c r="CP6" s="1396"/>
      <c r="CQ6" s="1396"/>
      <c r="CR6" s="1396"/>
      <c r="CS6" s="1396"/>
      <c r="CT6" s="15"/>
      <c r="CU6" s="1396"/>
      <c r="CV6"/>
      <c r="CW6" s="1396"/>
      <c r="CX6" s="1396"/>
      <c r="CY6"/>
      <c r="CZ6" s="5"/>
      <c r="DA6" s="5"/>
      <c r="DB6" s="5"/>
      <c r="DC6" s="1396"/>
      <c r="DD6" s="1396"/>
      <c r="DE6" s="1396"/>
      <c r="DF6" s="5"/>
      <c r="DG6" s="5"/>
      <c r="DH6" s="5"/>
      <c r="DI6" s="5"/>
      <c r="DJ6" s="5"/>
      <c r="DK6" s="1396"/>
      <c r="DL6" s="1396"/>
      <c r="DM6" s="1396"/>
      <c r="DN6" s="1396"/>
      <c r="DO6" s="1396"/>
      <c r="DP6" s="1396"/>
      <c r="DQ6" s="1396"/>
      <c r="DR6" s="1396"/>
      <c r="DS6" s="1396"/>
      <c r="DT6" s="1396"/>
      <c r="DU6" s="1396"/>
      <c r="DV6" s="1396"/>
      <c r="DW6" s="1396"/>
      <c r="DX6" s="1396"/>
      <c r="DY6" s="1396"/>
      <c r="DZ6" s="1396"/>
      <c r="EA6" s="1396"/>
      <c r="EB6" s="1396"/>
      <c r="EC6" s="1396"/>
      <c r="ED6" s="1396"/>
      <c r="EE6" s="1396"/>
      <c r="EF6" s="1396"/>
      <c r="EG6" s="1396"/>
      <c r="EH6" s="1396"/>
      <c r="EI6" s="1396"/>
      <c r="EJ6" s="1396"/>
      <c r="EK6" s="1396"/>
      <c r="EL6" s="1396"/>
      <c r="EM6" s="1396"/>
      <c r="EN6" s="1396"/>
      <c r="EO6" s="1396"/>
      <c r="EP6" s="1396"/>
      <c r="EQ6" s="1396"/>
      <c r="ER6" s="1396"/>
      <c r="ES6" s="1396"/>
      <c r="ET6" s="1396"/>
      <c r="EU6" s="1396"/>
      <c r="EV6" s="1396"/>
      <c r="EW6" s="1396"/>
      <c r="EX6" s="1396"/>
      <c r="EY6" s="15"/>
      <c r="EZ6" s="1396"/>
      <c r="FA6" s="6"/>
      <c r="FB6" s="6"/>
      <c r="FC6"/>
      <c r="FD6" s="7"/>
      <c r="FE6" s="7"/>
      <c r="FF6" s="547"/>
      <c r="FG6" s="7"/>
      <c r="FH6" s="7"/>
      <c r="FI6" s="7"/>
      <c r="FJ6" s="7"/>
      <c r="FK6" s="1396"/>
      <c r="FL6" s="548"/>
      <c r="FM6" s="548"/>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c r="IT6" s="542"/>
      <c r="IU6" s="542"/>
      <c r="IV6" s="542"/>
      <c r="IW6" s="542"/>
      <c r="IX6" s="542"/>
      <c r="IY6" s="542"/>
      <c r="IZ6" s="542"/>
      <c r="JA6" s="542"/>
      <c r="JB6" s="542"/>
      <c r="JC6" s="542"/>
      <c r="JD6" s="542"/>
      <c r="JE6" s="542"/>
      <c r="JF6" s="542"/>
      <c r="JG6" s="542"/>
      <c r="JH6" s="542"/>
      <c r="JI6" s="542"/>
      <c r="JJ6" s="542"/>
      <c r="JK6" s="542"/>
      <c r="JL6" s="542"/>
      <c r="JM6" s="542"/>
      <c r="JN6" s="542"/>
      <c r="JO6" s="542"/>
      <c r="JP6" s="542"/>
      <c r="JQ6" s="542"/>
      <c r="JR6" s="542"/>
      <c r="JS6" s="542"/>
      <c r="JT6" s="542"/>
      <c r="JU6" s="542"/>
      <c r="JV6" s="542"/>
      <c r="JW6" s="542"/>
      <c r="JX6" s="542"/>
      <c r="JY6" s="542"/>
      <c r="JZ6" s="542"/>
      <c r="KA6" s="542"/>
      <c r="KB6" s="542"/>
      <c r="KC6" s="542"/>
      <c r="KD6" s="542"/>
      <c r="KE6" s="542"/>
      <c r="KF6" s="542"/>
      <c r="KG6" s="542"/>
      <c r="KH6" s="542"/>
      <c r="KI6" s="542"/>
      <c r="KJ6" s="542"/>
      <c r="KK6" s="542"/>
      <c r="KL6" s="542"/>
      <c r="KM6" s="542"/>
      <c r="KN6" s="542"/>
      <c r="KO6" s="542"/>
      <c r="KP6" s="542"/>
      <c r="KQ6" s="542"/>
      <c r="KR6" s="542"/>
      <c r="KS6" s="542"/>
      <c r="KT6" s="542"/>
      <c r="KU6" s="542"/>
      <c r="KV6" s="542"/>
      <c r="KW6" s="542"/>
      <c r="KX6" s="542"/>
      <c r="KY6" s="542"/>
      <c r="KZ6" s="542"/>
      <c r="LA6" s="542"/>
      <c r="LB6" s="542"/>
    </row>
    <row r="7" spans="3:314" s="3" customFormat="1" ht="5.0999999999999996" customHeight="1">
      <c r="C7" s="1396"/>
      <c r="D7" s="1396"/>
      <c r="E7" s="1396"/>
      <c r="F7" s="1396"/>
      <c r="G7" s="1396"/>
      <c r="H7" s="1396"/>
      <c r="I7" s="1396"/>
      <c r="J7" s="1438" t="str">
        <f>Lookup!$B$19</f>
        <v>BUSINESS LIGHTING INCENTIVE PROGRAM</v>
      </c>
      <c r="K7" s="1438"/>
      <c r="L7" s="1438"/>
      <c r="M7" s="1438"/>
      <c r="N7" s="1438"/>
      <c r="O7" s="1438"/>
      <c r="P7" s="1438"/>
      <c r="Q7" s="1438"/>
      <c r="R7" s="1438"/>
      <c r="S7" s="1438"/>
      <c r="T7" s="1438"/>
      <c r="U7" s="1438"/>
      <c r="V7" s="1438"/>
      <c r="W7" s="1438"/>
      <c r="X7" s="1438"/>
      <c r="Y7" s="1438"/>
      <c r="Z7" s="1438"/>
      <c r="AA7" s="1396"/>
      <c r="AB7" s="1396"/>
      <c r="AC7" s="1396"/>
      <c r="AD7" s="1396"/>
      <c r="AE7" s="1396"/>
      <c r="AF7" s="1396"/>
      <c r="AG7" s="1396"/>
      <c r="AH7" s="1396"/>
      <c r="AI7" s="1396"/>
      <c r="AJ7" s="1396"/>
      <c r="AK7" s="1396"/>
      <c r="AL7" s="1396"/>
      <c r="AM7" s="1396"/>
      <c r="AN7" s="1396"/>
      <c r="AO7" s="1396"/>
      <c r="AP7" s="1396"/>
      <c r="AQ7" s="1396"/>
      <c r="AR7" s="1396"/>
      <c r="AS7" s="1396"/>
      <c r="AT7" s="1396"/>
      <c r="AU7" s="1396"/>
      <c r="AV7" s="1396"/>
      <c r="AW7" s="1396"/>
      <c r="AX7" s="1396"/>
      <c r="AY7" s="1396"/>
      <c r="AZ7" s="1396"/>
      <c r="BA7" s="1396"/>
      <c r="BB7" s="1396"/>
      <c r="BC7" s="1396"/>
      <c r="BD7" s="1396"/>
      <c r="BE7" s="1396"/>
      <c r="BF7" s="1396"/>
      <c r="BG7" s="1396"/>
      <c r="BH7" s="1396"/>
      <c r="BI7" s="1396"/>
      <c r="BJ7" s="1396"/>
      <c r="BK7" s="1396"/>
      <c r="BL7" s="1396"/>
      <c r="BM7" s="1396"/>
      <c r="BN7" s="1396"/>
      <c r="BO7" s="1396"/>
      <c r="BP7" s="1396"/>
      <c r="BQ7" s="1396"/>
      <c r="BR7" s="1438" t="str">
        <f>Lookup!B19</f>
        <v>BUSINESS LIGHTING INCENTIVE PROGRAM</v>
      </c>
      <c r="BS7" s="1438"/>
      <c r="BT7" s="1438"/>
      <c r="BU7" s="1438"/>
      <c r="BV7" s="1438"/>
      <c r="BW7" s="1438"/>
      <c r="BX7" s="1438"/>
      <c r="BY7" s="1438"/>
      <c r="BZ7" s="1438"/>
      <c r="CA7" s="1438"/>
      <c r="CB7" s="1438"/>
      <c r="CC7" s="1438"/>
      <c r="CD7" s="1438"/>
      <c r="CE7" s="1438"/>
      <c r="CF7" s="1438"/>
      <c r="CG7" s="1438"/>
      <c r="CH7" s="1438"/>
      <c r="CI7" s="1438"/>
      <c r="CJ7" s="1438"/>
      <c r="CK7" s="1438"/>
      <c r="CL7" s="1438"/>
      <c r="CM7" s="1438"/>
      <c r="CN7" s="1438"/>
      <c r="CO7" s="1396"/>
      <c r="CP7" s="1396"/>
      <c r="CQ7" s="1396"/>
      <c r="CR7" s="1396"/>
      <c r="CS7" s="1396"/>
      <c r="CT7" s="15"/>
      <c r="CU7" s="1396"/>
      <c r="CV7"/>
      <c r="CW7" s="1396"/>
      <c r="CX7" s="1396"/>
      <c r="CY7" s="1396"/>
      <c r="CZ7" s="5"/>
      <c r="DA7" s="5"/>
      <c r="DB7" s="5"/>
      <c r="DC7" s="1396"/>
      <c r="DD7" s="1396"/>
      <c r="DE7" s="1396"/>
      <c r="DF7" s="5"/>
      <c r="DG7" s="5"/>
      <c r="DH7" s="5"/>
      <c r="DI7" s="5"/>
      <c r="DJ7" s="5"/>
      <c r="DK7" s="1396"/>
      <c r="DL7" s="1396"/>
      <c r="DM7" s="1396"/>
      <c r="DN7" s="1396"/>
      <c r="DO7" s="1396"/>
      <c r="DP7" s="1396"/>
      <c r="DQ7" s="1396"/>
      <c r="DR7" s="1650" t="str">
        <f>Lookup!$B$19</f>
        <v>BUSINESS LIGHTING INCENTIVE PROGRAM</v>
      </c>
      <c r="DS7" s="1650"/>
      <c r="DT7" s="1650"/>
      <c r="DU7" s="1650"/>
      <c r="DV7" s="1650"/>
      <c r="DW7" s="1650"/>
      <c r="DX7" s="1650"/>
      <c r="DY7" s="1650"/>
      <c r="DZ7" s="1650"/>
      <c r="EA7" s="1650"/>
      <c r="EB7" s="1650"/>
      <c r="EC7" s="1650"/>
      <c r="ED7" s="1650"/>
      <c r="EE7" s="1650"/>
      <c r="EF7" s="1650"/>
      <c r="EG7" s="1650"/>
      <c r="EH7" s="1650"/>
      <c r="EI7" s="1650"/>
      <c r="EJ7" s="1650"/>
      <c r="EK7" s="1650"/>
      <c r="EL7" s="1650"/>
      <c r="EM7" s="1650"/>
      <c r="EN7" s="1650"/>
      <c r="EO7" s="1396"/>
      <c r="EP7" s="1396"/>
      <c r="EQ7" s="1396"/>
      <c r="ER7" s="1396"/>
      <c r="ES7" s="1396"/>
      <c r="ET7" s="1396"/>
      <c r="EU7" s="1396"/>
      <c r="EV7" s="1396"/>
      <c r="EW7" s="1396"/>
      <c r="EX7" s="1396"/>
      <c r="EY7" s="15"/>
      <c r="EZ7" s="1396"/>
      <c r="FA7" s="6"/>
      <c r="FB7" s="6"/>
      <c r="FC7" s="7"/>
      <c r="FD7" s="7"/>
      <c r="FE7" s="7"/>
      <c r="FF7" s="7"/>
      <c r="FG7" s="7"/>
      <c r="FH7" s="7"/>
      <c r="FI7" s="7"/>
      <c r="FJ7" s="7"/>
      <c r="FK7" s="548"/>
      <c r="FL7" s="548"/>
      <c r="FM7" s="548"/>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c r="IT7" s="542"/>
      <c r="IU7" s="542"/>
      <c r="IV7" s="542"/>
      <c r="IW7" s="542"/>
      <c r="IX7" s="542"/>
      <c r="IY7" s="542"/>
      <c r="IZ7" s="542"/>
      <c r="JA7" s="542"/>
      <c r="JB7" s="542"/>
      <c r="JC7" s="542"/>
      <c r="JD7" s="542"/>
      <c r="JE7" s="542"/>
      <c r="JF7" s="542"/>
      <c r="JG7" s="542"/>
      <c r="JH7" s="542"/>
      <c r="JI7" s="542"/>
      <c r="JJ7" s="542"/>
      <c r="JK7" s="542"/>
      <c r="JL7" s="542"/>
      <c r="JM7" s="542"/>
      <c r="JN7" s="542"/>
      <c r="JO7" s="542"/>
      <c r="JP7" s="542"/>
      <c r="JQ7" s="542"/>
      <c r="JR7" s="542"/>
      <c r="JS7" s="542"/>
      <c r="JT7" s="542"/>
      <c r="JU7" s="542"/>
      <c r="JV7" s="542"/>
      <c r="JW7" s="542"/>
      <c r="JX7" s="542"/>
      <c r="JY7" s="542"/>
      <c r="JZ7" s="542"/>
      <c r="KA7" s="542"/>
      <c r="KB7" s="542"/>
      <c r="KC7" s="542"/>
      <c r="KD7" s="542"/>
      <c r="KE7" s="542"/>
      <c r="KF7" s="542"/>
      <c r="KG7" s="542"/>
      <c r="KH7" s="542"/>
      <c r="KI7" s="542"/>
      <c r="KJ7" s="542"/>
      <c r="KK7" s="542"/>
      <c r="KL7" s="542"/>
      <c r="KM7" s="542"/>
      <c r="KN7" s="542"/>
      <c r="KO7" s="542"/>
      <c r="KP7" s="542"/>
      <c r="KQ7" s="542"/>
      <c r="KR7" s="542"/>
      <c r="KS7" s="542"/>
      <c r="KT7" s="542"/>
      <c r="KU7" s="542"/>
      <c r="KV7" s="542"/>
      <c r="KW7" s="542"/>
      <c r="KX7" s="542"/>
      <c r="KY7" s="542"/>
      <c r="KZ7" s="542"/>
      <c r="LA7" s="542"/>
      <c r="LB7" s="542"/>
    </row>
    <row r="8" spans="3:314" s="3" customFormat="1" ht="14.95" customHeight="1">
      <c r="C8" s="1437"/>
      <c r="D8" s="1437"/>
      <c r="E8" s="1437"/>
      <c r="F8" s="1437"/>
      <c r="G8" s="1437"/>
      <c r="H8" s="1396"/>
      <c r="I8" s="1396"/>
      <c r="J8" s="1438"/>
      <c r="K8" s="1438"/>
      <c r="L8" s="1438"/>
      <c r="M8" s="1438"/>
      <c r="N8" s="1438"/>
      <c r="O8" s="1438"/>
      <c r="P8" s="1438"/>
      <c r="Q8" s="1438"/>
      <c r="R8" s="1438"/>
      <c r="S8" s="1438"/>
      <c r="T8" s="1438"/>
      <c r="U8" s="1438"/>
      <c r="V8" s="1438"/>
      <c r="W8" s="1438"/>
      <c r="X8" s="1438"/>
      <c r="Y8" s="1438"/>
      <c r="Z8" s="1438"/>
      <c r="AA8" s="428"/>
      <c r="AB8" s="1396"/>
      <c r="AC8" s="1437"/>
      <c r="AD8" s="1437"/>
      <c r="AE8" s="1437"/>
      <c r="AF8" s="1437"/>
      <c r="AG8" s="1437"/>
      <c r="AH8" s="1396"/>
      <c r="AI8" s="16"/>
      <c r="AJ8" s="1396"/>
      <c r="AK8" s="1396"/>
      <c r="AL8" s="1396"/>
      <c r="AM8" s="1396"/>
      <c r="AN8" s="1396"/>
      <c r="AO8" s="1396"/>
      <c r="AP8" s="1396"/>
      <c r="AQ8" s="1396"/>
      <c r="AR8" s="1396"/>
      <c r="AS8" s="1396"/>
      <c r="AT8" s="1396"/>
      <c r="AU8" s="1396"/>
      <c r="AV8" s="1396"/>
      <c r="AW8" s="1396"/>
      <c r="AX8" s="1396"/>
      <c r="AY8" s="1396"/>
      <c r="AZ8" s="1396"/>
      <c r="BA8" s="1396"/>
      <c r="BB8" s="1396"/>
      <c r="BC8" s="1396"/>
      <c r="BD8" s="1396"/>
      <c r="BE8" s="1396"/>
      <c r="BF8" s="1396"/>
      <c r="BG8" s="1396"/>
      <c r="BH8" s="1396"/>
      <c r="BI8" s="1396"/>
      <c r="BJ8" s="1396"/>
      <c r="BK8" s="1396"/>
      <c r="BL8" s="1396"/>
      <c r="BM8" s="1396"/>
      <c r="BN8" s="1396"/>
      <c r="BO8" s="1396"/>
      <c r="BP8" s="16"/>
      <c r="BQ8" s="16"/>
      <c r="BR8" s="1438"/>
      <c r="BS8" s="1438"/>
      <c r="BT8" s="1438"/>
      <c r="BU8" s="1438"/>
      <c r="BV8" s="1438"/>
      <c r="BW8" s="1438"/>
      <c r="BX8" s="1438"/>
      <c r="BY8" s="1438"/>
      <c r="BZ8" s="1438"/>
      <c r="CA8" s="1438"/>
      <c r="CB8" s="1438"/>
      <c r="CC8" s="1438"/>
      <c r="CD8" s="1438"/>
      <c r="CE8" s="1438"/>
      <c r="CF8" s="1438"/>
      <c r="CG8" s="1438"/>
      <c r="CH8" s="1438"/>
      <c r="CI8" s="1438"/>
      <c r="CJ8" s="1438"/>
      <c r="CK8" s="1438"/>
      <c r="CL8" s="1438"/>
      <c r="CM8" s="1438"/>
      <c r="CN8" s="1438"/>
      <c r="CO8" s="1396"/>
      <c r="CP8" s="1396"/>
      <c r="CQ8" s="1396"/>
      <c r="CR8" s="1396"/>
      <c r="CS8" s="428"/>
      <c r="CT8" s="15"/>
      <c r="CU8" s="1396"/>
      <c r="CV8"/>
      <c r="CW8" s="1396"/>
      <c r="CX8" s="1396"/>
      <c r="CY8" s="1396"/>
      <c r="CZ8" s="5"/>
      <c r="DA8" s="5"/>
      <c r="DB8" s="5"/>
      <c r="DC8" s="1396"/>
      <c r="DD8" s="1396"/>
      <c r="DE8" s="1396"/>
      <c r="DF8" s="5"/>
      <c r="DG8" s="5"/>
      <c r="DH8" s="5"/>
      <c r="DI8" s="5"/>
      <c r="DJ8" s="5"/>
      <c r="DK8" s="1396"/>
      <c r="DL8" s="1396"/>
      <c r="DM8" s="1396"/>
      <c r="DN8" s="1396"/>
      <c r="DO8" s="1396"/>
      <c r="DP8" s="16"/>
      <c r="DQ8" s="16"/>
      <c r="DR8" s="1650"/>
      <c r="DS8" s="1650"/>
      <c r="DT8" s="1650"/>
      <c r="DU8" s="1650"/>
      <c r="DV8" s="1650"/>
      <c r="DW8" s="1650"/>
      <c r="DX8" s="1650"/>
      <c r="DY8" s="1650"/>
      <c r="DZ8" s="1650"/>
      <c r="EA8" s="1650"/>
      <c r="EB8" s="1650"/>
      <c r="EC8" s="1650"/>
      <c r="ED8" s="1650"/>
      <c r="EE8" s="1650"/>
      <c r="EF8" s="1650"/>
      <c r="EG8" s="1650"/>
      <c r="EH8" s="1650"/>
      <c r="EI8" s="1650"/>
      <c r="EJ8" s="1650"/>
      <c r="EK8" s="1650"/>
      <c r="EL8" s="1650"/>
      <c r="EM8" s="1650"/>
      <c r="EN8" s="1650"/>
      <c r="EO8" s="1396"/>
      <c r="EP8" s="1396"/>
      <c r="EQ8" s="1396"/>
      <c r="ER8" s="1396"/>
      <c r="ES8" s="1396"/>
      <c r="ET8" s="1396"/>
      <c r="EU8" s="1396"/>
      <c r="EV8" s="1396"/>
      <c r="EW8" s="428"/>
      <c r="EX8" s="428"/>
      <c r="EY8" s="15"/>
      <c r="EZ8" s="1396"/>
      <c r="FA8" s="6"/>
      <c r="FB8" s="6"/>
      <c r="FC8" s="7"/>
      <c r="FD8" s="7"/>
      <c r="FE8" s="7"/>
      <c r="FF8" s="547"/>
      <c r="FG8" s="7"/>
      <c r="FH8" s="7"/>
      <c r="FI8" s="7"/>
      <c r="FJ8" s="7"/>
      <c r="FK8" s="548"/>
      <c r="FL8" s="548"/>
      <c r="FM8" s="548"/>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c r="IT8" s="542"/>
      <c r="IU8" s="542"/>
      <c r="IV8" s="542"/>
      <c r="IW8" s="542"/>
      <c r="IX8" s="542"/>
      <c r="IY8" s="542"/>
      <c r="IZ8" s="542"/>
      <c r="JA8" s="542"/>
      <c r="JB8" s="542"/>
      <c r="JC8" s="542"/>
      <c r="JD8" s="542"/>
      <c r="JE8" s="542"/>
      <c r="JF8" s="542"/>
      <c r="JG8" s="542"/>
      <c r="JH8" s="542"/>
      <c r="JI8" s="542"/>
      <c r="JJ8" s="542"/>
      <c r="JK8" s="542"/>
      <c r="JL8" s="542"/>
      <c r="JM8" s="542"/>
      <c r="JN8" s="542"/>
      <c r="JO8" s="542"/>
      <c r="JP8" s="542"/>
      <c r="JQ8" s="542"/>
      <c r="JR8" s="542"/>
      <c r="JS8" s="542"/>
      <c r="JT8" s="542"/>
      <c r="JU8" s="542"/>
      <c r="JV8" s="542"/>
      <c r="JW8" s="542"/>
      <c r="JX8" s="542"/>
      <c r="JY8" s="542"/>
      <c r="JZ8" s="542"/>
      <c r="KA8" s="542"/>
      <c r="KB8" s="542"/>
      <c r="KC8" s="542"/>
      <c r="KD8" s="542"/>
      <c r="KE8" s="542"/>
      <c r="KF8" s="542"/>
      <c r="KG8" s="542"/>
      <c r="KH8" s="542"/>
      <c r="KI8" s="542"/>
      <c r="KJ8" s="542"/>
      <c r="KK8" s="542"/>
      <c r="KL8" s="542"/>
      <c r="KM8" s="542"/>
      <c r="KN8" s="542"/>
      <c r="KO8" s="542"/>
      <c r="KP8" s="542"/>
      <c r="KQ8" s="542"/>
      <c r="KR8" s="542"/>
      <c r="KS8" s="542"/>
      <c r="KT8" s="542"/>
      <c r="KU8" s="542"/>
      <c r="KV8" s="542"/>
      <c r="KW8" s="542"/>
      <c r="KX8" s="542"/>
      <c r="KY8" s="542"/>
      <c r="KZ8" s="542"/>
      <c r="LA8" s="542"/>
      <c r="LB8" s="542"/>
    </row>
    <row r="9" spans="3:314" s="3" customFormat="1" ht="5.0999999999999996" customHeight="1">
      <c r="C9" s="1396"/>
      <c r="D9" s="1396"/>
      <c r="E9" s="1396"/>
      <c r="F9" s="1396"/>
      <c r="G9" s="428"/>
      <c r="H9" s="428"/>
      <c r="I9" s="1396"/>
      <c r="J9" s="1439" t="str">
        <f>Lookup!$B$20</f>
        <v>Business Lighting ─ STANDARD V24-02 ─ Valid through 06/30/2024</v>
      </c>
      <c r="K9" s="1439"/>
      <c r="L9" s="1439"/>
      <c r="M9" s="1439"/>
      <c r="N9" s="1439"/>
      <c r="O9" s="1439"/>
      <c r="P9" s="1439"/>
      <c r="Q9" s="1439"/>
      <c r="R9" s="1439"/>
      <c r="S9" s="1439"/>
      <c r="T9" s="1439"/>
      <c r="U9" s="1439"/>
      <c r="V9" s="1439"/>
      <c r="W9" s="1439"/>
      <c r="X9" s="1439"/>
      <c r="Y9" s="1439"/>
      <c r="Z9" s="1439"/>
      <c r="AA9" s="428"/>
      <c r="AB9" s="1396"/>
      <c r="AC9" s="1396"/>
      <c r="AD9" s="1396"/>
      <c r="AE9" s="1396"/>
      <c r="AF9" s="1396"/>
      <c r="AG9" s="428"/>
      <c r="AH9" s="428"/>
      <c r="AI9" s="428"/>
      <c r="AJ9" s="428"/>
      <c r="AK9" s="1396"/>
      <c r="AL9" s="1396"/>
      <c r="AM9" s="1396"/>
      <c r="AN9" s="1396"/>
      <c r="AO9" s="1396"/>
      <c r="AP9" s="1396"/>
      <c r="AQ9" s="1396"/>
      <c r="AR9" s="1396"/>
      <c r="AS9" s="1396"/>
      <c r="AT9" s="1396"/>
      <c r="AU9" s="1396"/>
      <c r="AV9" s="1396"/>
      <c r="AW9" s="1396"/>
      <c r="AX9" s="1396"/>
      <c r="AY9" s="1396"/>
      <c r="AZ9" s="1396"/>
      <c r="BA9" s="1396"/>
      <c r="BB9" s="1396"/>
      <c r="BC9" s="1396"/>
      <c r="BD9" s="1396"/>
      <c r="BE9" s="1396"/>
      <c r="BF9" s="1396"/>
      <c r="BG9" s="1396"/>
      <c r="BH9" s="1396"/>
      <c r="BI9" s="1396"/>
      <c r="BJ9" s="1396"/>
      <c r="BK9" s="1396"/>
      <c r="BL9" s="1396"/>
      <c r="BM9" s="1396"/>
      <c r="BN9" s="1396"/>
      <c r="BO9" s="1396"/>
      <c r="BP9" s="16"/>
      <c r="BQ9" s="16"/>
      <c r="BR9" s="1439" t="str">
        <f>Lookup!B20</f>
        <v>Business Lighting ─ STANDARD V24-02 ─ Valid through 06/30/2024</v>
      </c>
      <c r="BS9" s="1439"/>
      <c r="BT9" s="1439"/>
      <c r="BU9" s="1439"/>
      <c r="BV9" s="1439"/>
      <c r="BW9" s="1439"/>
      <c r="BX9" s="1439"/>
      <c r="BY9" s="1439"/>
      <c r="BZ9" s="1439"/>
      <c r="CA9" s="1439"/>
      <c r="CB9" s="1439"/>
      <c r="CC9" s="1439"/>
      <c r="CD9" s="1439"/>
      <c r="CE9" s="1439"/>
      <c r="CF9" s="1439"/>
      <c r="CG9" s="1439"/>
      <c r="CH9" s="1439"/>
      <c r="CI9" s="1439"/>
      <c r="CJ9" s="1439"/>
      <c r="CK9" s="1439"/>
      <c r="CL9" s="1439"/>
      <c r="CM9" s="1439"/>
      <c r="CN9" s="1439"/>
      <c r="CO9" s="1396"/>
      <c r="CP9" s="1396"/>
      <c r="CQ9" s="1396"/>
      <c r="CR9" s="1396"/>
      <c r="CS9" s="428"/>
      <c r="CT9" s="15"/>
      <c r="CU9" s="1396"/>
      <c r="CV9"/>
      <c r="CW9" s="1396"/>
      <c r="CX9" s="1396"/>
      <c r="CY9" s="1396"/>
      <c r="CZ9" s="5"/>
      <c r="DA9" s="5"/>
      <c r="DB9" s="5"/>
      <c r="DC9" s="1396"/>
      <c r="DD9" s="1396"/>
      <c r="DE9" s="1396"/>
      <c r="DF9" s="5"/>
      <c r="DG9" s="5"/>
      <c r="DH9" s="5"/>
      <c r="DI9" s="5"/>
      <c r="DJ9" s="5"/>
      <c r="DK9" s="1396"/>
      <c r="DL9" s="1396"/>
      <c r="DM9" s="1396"/>
      <c r="DN9" s="1396"/>
      <c r="DO9" s="1396"/>
      <c r="DP9" s="16"/>
      <c r="DQ9" s="16"/>
      <c r="DR9" s="1439" t="str">
        <f>Lookup!$B$20</f>
        <v>Business Lighting ─ STANDARD V24-02 ─ Valid through 06/30/2024</v>
      </c>
      <c r="DS9" s="1439"/>
      <c r="DT9" s="1439"/>
      <c r="DU9" s="1439"/>
      <c r="DV9" s="1439"/>
      <c r="DW9" s="1439"/>
      <c r="DX9" s="1439"/>
      <c r="DY9" s="1439"/>
      <c r="DZ9" s="1439"/>
      <c r="EA9" s="1439"/>
      <c r="EB9" s="1439"/>
      <c r="EC9" s="1439"/>
      <c r="ED9" s="1439"/>
      <c r="EE9" s="1439"/>
      <c r="EF9" s="1439"/>
      <c r="EG9" s="1439"/>
      <c r="EH9" s="1439"/>
      <c r="EI9" s="1439"/>
      <c r="EJ9" s="1439"/>
      <c r="EK9" s="1439"/>
      <c r="EL9" s="1439"/>
      <c r="EM9" s="1439"/>
      <c r="EN9" s="1439"/>
      <c r="EO9" s="1396"/>
      <c r="EP9" s="1396"/>
      <c r="EQ9" s="1396"/>
      <c r="ER9" s="1396"/>
      <c r="ES9" s="1396"/>
      <c r="ET9" s="1396"/>
      <c r="EU9" s="1396"/>
      <c r="EV9" s="1396"/>
      <c r="EW9" s="428"/>
      <c r="EX9" s="428"/>
      <c r="EY9" s="15"/>
      <c r="EZ9" s="1396"/>
      <c r="FA9" s="6"/>
      <c r="FB9" s="6"/>
      <c r="FC9" s="7"/>
      <c r="FD9" s="7"/>
      <c r="FE9" s="7"/>
      <c r="FF9" s="7"/>
      <c r="FG9" s="7"/>
      <c r="FH9" s="7"/>
      <c r="FI9" s="7"/>
      <c r="FJ9" s="7"/>
      <c r="FK9" s="548"/>
      <c r="FL9" s="548"/>
      <c r="FM9" s="548"/>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c r="IT9" s="542"/>
      <c r="IU9" s="542"/>
      <c r="IV9" s="542"/>
      <c r="IW9" s="542"/>
      <c r="IX9" s="542"/>
      <c r="IY9" s="542"/>
      <c r="IZ9" s="542"/>
      <c r="JA9" s="542"/>
      <c r="JB9" s="542"/>
      <c r="JC9" s="542"/>
      <c r="JD9" s="542"/>
      <c r="JE9" s="542"/>
      <c r="JF9" s="542"/>
      <c r="JG9" s="542"/>
      <c r="JH9" s="542"/>
      <c r="JI9" s="542"/>
      <c r="JJ9" s="542"/>
      <c r="JK9" s="542"/>
      <c r="JL9" s="542"/>
      <c r="JM9" s="542"/>
      <c r="JN9" s="542"/>
      <c r="JO9" s="542"/>
      <c r="JP9" s="542"/>
      <c r="JQ9" s="542"/>
      <c r="JR9" s="542"/>
      <c r="JS9" s="542"/>
      <c r="JT9" s="542"/>
      <c r="JU9" s="542"/>
      <c r="JV9" s="542"/>
      <c r="JW9" s="542"/>
      <c r="JX9" s="542"/>
      <c r="JY9" s="542"/>
      <c r="JZ9" s="542"/>
      <c r="KA9" s="542"/>
      <c r="KB9" s="542"/>
      <c r="KC9" s="542"/>
      <c r="KD9" s="542"/>
      <c r="KE9" s="542"/>
      <c r="KF9" s="542"/>
      <c r="KG9" s="542"/>
      <c r="KH9" s="542"/>
      <c r="KI9" s="542"/>
      <c r="KJ9" s="542"/>
      <c r="KK9" s="542"/>
      <c r="KL9" s="542"/>
      <c r="KM9" s="542"/>
      <c r="KN9" s="542"/>
      <c r="KO9" s="542"/>
      <c r="KP9" s="542"/>
      <c r="KQ9" s="542"/>
      <c r="KR9" s="542"/>
      <c r="KS9" s="542"/>
      <c r="KT9" s="542"/>
      <c r="KU9" s="542"/>
      <c r="KV9" s="542"/>
      <c r="KW9" s="542"/>
      <c r="KX9" s="542"/>
      <c r="KY9" s="542"/>
      <c r="KZ9" s="542"/>
      <c r="LA9" s="542"/>
      <c r="LB9" s="542"/>
    </row>
    <row r="10" spans="3:314" s="3" customFormat="1" ht="14.95" customHeight="1">
      <c r="C10" s="1437"/>
      <c r="D10" s="1437"/>
      <c r="E10" s="1437"/>
      <c r="F10" s="1437"/>
      <c r="G10" s="1437"/>
      <c r="H10" s="1396"/>
      <c r="I10" s="1396"/>
      <c r="J10" s="1439"/>
      <c r="K10" s="1439"/>
      <c r="L10" s="1439"/>
      <c r="M10" s="1439"/>
      <c r="N10" s="1439"/>
      <c r="O10" s="1439"/>
      <c r="P10" s="1439"/>
      <c r="Q10" s="1439"/>
      <c r="R10" s="1439"/>
      <c r="S10" s="1439"/>
      <c r="T10" s="1439"/>
      <c r="U10" s="1439"/>
      <c r="V10" s="1439"/>
      <c r="W10" s="1439"/>
      <c r="X10" s="1439"/>
      <c r="Y10" s="1439"/>
      <c r="Z10" s="1439"/>
      <c r="AA10" s="400"/>
      <c r="AB10" s="1396"/>
      <c r="AC10" s="1437"/>
      <c r="AD10" s="1437"/>
      <c r="AE10" s="1437"/>
      <c r="AF10" s="1437"/>
      <c r="AG10" s="1437"/>
      <c r="AH10" s="1396"/>
      <c r="AI10" s="87"/>
      <c r="AJ10" s="87"/>
      <c r="AK10" s="87"/>
      <c r="AL10" s="87"/>
      <c r="AM10" s="1396"/>
      <c r="AN10" s="1396"/>
      <c r="AO10" s="1396"/>
      <c r="AP10" s="1396"/>
      <c r="AQ10" s="1396"/>
      <c r="AR10" s="1396"/>
      <c r="AS10" s="1396"/>
      <c r="AT10" s="1396"/>
      <c r="AU10" s="1396"/>
      <c r="AV10" s="1396"/>
      <c r="AW10" s="1396"/>
      <c r="AX10" s="1396"/>
      <c r="AY10" s="1396"/>
      <c r="AZ10" s="1396"/>
      <c r="BA10" s="1396"/>
      <c r="BB10" s="1396"/>
      <c r="BC10" s="1396"/>
      <c r="BD10" s="1396"/>
      <c r="BE10" s="1396"/>
      <c r="BF10" s="1396"/>
      <c r="BG10" s="1396"/>
      <c r="BH10" s="1396"/>
      <c r="BI10" s="1396"/>
      <c r="BJ10" s="1396"/>
      <c r="BK10" s="1396"/>
      <c r="BL10" s="1396"/>
      <c r="BM10" s="1396"/>
      <c r="BN10" s="1396"/>
      <c r="BO10" s="1396"/>
      <c r="BP10" s="16"/>
      <c r="BQ10" s="16"/>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396"/>
      <c r="CP10" s="1396"/>
      <c r="CQ10" s="1396"/>
      <c r="CR10" s="1396"/>
      <c r="CS10" s="16"/>
      <c r="CT10" s="15"/>
      <c r="CU10" s="1396"/>
      <c r="CV10"/>
      <c r="CW10" s="1396"/>
      <c r="CX10" s="1396"/>
      <c r="CY10" s="1396"/>
      <c r="CZ10" s="5"/>
      <c r="DA10" s="5"/>
      <c r="DB10" s="5"/>
      <c r="DC10" s="1396"/>
      <c r="DD10" s="1396"/>
      <c r="DE10" s="1396"/>
      <c r="DF10" s="5"/>
      <c r="DG10" s="5"/>
      <c r="DH10" s="5"/>
      <c r="DI10" s="5"/>
      <c r="DJ10" s="5"/>
      <c r="DK10" s="1396"/>
      <c r="DL10" s="1396"/>
      <c r="DM10" s="1396"/>
      <c r="DN10" s="1396"/>
      <c r="DO10" s="1396"/>
      <c r="DP10" s="16"/>
      <c r="DQ10" s="16"/>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396"/>
      <c r="EP10" s="1396"/>
      <c r="EQ10" s="1396"/>
      <c r="ER10" s="1396"/>
      <c r="ES10" s="1396"/>
      <c r="ET10" s="1396"/>
      <c r="EU10" s="1396"/>
      <c r="EV10" s="1396"/>
      <c r="EW10" s="16"/>
      <c r="EX10" s="16"/>
      <c r="EY10" s="15"/>
      <c r="EZ10" s="1396"/>
      <c r="FA10" s="6"/>
      <c r="FB10" s="6"/>
      <c r="FC10" s="7"/>
      <c r="FD10" s="7"/>
      <c r="FE10" s="7"/>
      <c r="FF10" s="7"/>
      <c r="FG10" s="7"/>
      <c r="FH10" s="7"/>
      <c r="FI10" s="7"/>
      <c r="FJ10" s="7"/>
      <c r="FK10" s="550">
        <v>1</v>
      </c>
      <c r="FL10" s="550">
        <v>2</v>
      </c>
      <c r="FM10" s="550">
        <v>3</v>
      </c>
      <c r="FN10" s="550">
        <v>4</v>
      </c>
      <c r="FO10" s="550">
        <v>5</v>
      </c>
      <c r="FP10" s="550">
        <v>6</v>
      </c>
      <c r="FQ10" s="550">
        <v>7</v>
      </c>
      <c r="FR10" s="550">
        <v>8</v>
      </c>
      <c r="FS10" s="550">
        <v>9</v>
      </c>
      <c r="FT10" s="552">
        <v>10</v>
      </c>
      <c r="FU10" s="551">
        <v>11</v>
      </c>
      <c r="FV10" s="550">
        <v>12</v>
      </c>
      <c r="FW10" s="550">
        <v>13</v>
      </c>
      <c r="FX10" s="550">
        <v>14</v>
      </c>
      <c r="FY10" s="550">
        <v>15</v>
      </c>
      <c r="FZ10" s="550">
        <v>16</v>
      </c>
      <c r="GA10" s="550">
        <v>17</v>
      </c>
      <c r="GB10" s="550">
        <v>18</v>
      </c>
      <c r="GC10" s="550">
        <v>19</v>
      </c>
      <c r="GD10" s="550">
        <v>20</v>
      </c>
      <c r="GE10" s="550">
        <v>21</v>
      </c>
      <c r="GF10" s="550">
        <v>22</v>
      </c>
      <c r="GG10" s="550">
        <v>23</v>
      </c>
      <c r="GH10" s="550">
        <v>24</v>
      </c>
      <c r="GI10" s="552">
        <v>25</v>
      </c>
      <c r="GJ10" s="551">
        <v>26</v>
      </c>
      <c r="GK10" s="550">
        <v>27</v>
      </c>
      <c r="GL10" s="550">
        <v>28</v>
      </c>
      <c r="GM10" s="550">
        <v>29</v>
      </c>
      <c r="GN10" s="550">
        <v>30</v>
      </c>
      <c r="GO10" s="550">
        <v>31</v>
      </c>
      <c r="GP10" s="550">
        <v>32</v>
      </c>
      <c r="GQ10" s="550">
        <v>33</v>
      </c>
      <c r="GR10" s="550">
        <v>34</v>
      </c>
      <c r="GS10" s="550">
        <v>35</v>
      </c>
      <c r="GT10" s="550">
        <v>36</v>
      </c>
      <c r="GU10" s="550">
        <v>37</v>
      </c>
      <c r="GV10" s="550">
        <v>38</v>
      </c>
      <c r="GW10" s="550">
        <v>39</v>
      </c>
      <c r="GX10" s="552">
        <v>40</v>
      </c>
      <c r="GY10" s="551">
        <v>41</v>
      </c>
      <c r="GZ10" s="550">
        <v>42</v>
      </c>
      <c r="HA10" s="550">
        <v>43</v>
      </c>
      <c r="HB10" s="550">
        <v>44</v>
      </c>
      <c r="HC10" s="550">
        <v>45</v>
      </c>
      <c r="HD10" s="550">
        <v>46</v>
      </c>
      <c r="HE10" s="550">
        <v>47</v>
      </c>
      <c r="HF10" s="550">
        <v>48</v>
      </c>
      <c r="HG10" s="550">
        <v>49</v>
      </c>
      <c r="HH10" s="550">
        <v>50</v>
      </c>
      <c r="HI10" s="550">
        <v>51</v>
      </c>
      <c r="HJ10" s="550">
        <v>52</v>
      </c>
      <c r="HK10" s="550">
        <v>53</v>
      </c>
      <c r="HL10" s="550">
        <v>54</v>
      </c>
      <c r="HM10" s="552">
        <v>55</v>
      </c>
      <c r="HN10" s="551">
        <v>56</v>
      </c>
      <c r="HO10" s="550">
        <v>57</v>
      </c>
      <c r="HP10" s="550">
        <v>58</v>
      </c>
      <c r="HQ10" s="550">
        <v>59</v>
      </c>
      <c r="HR10" s="550">
        <v>60</v>
      </c>
      <c r="HS10" s="550">
        <v>61</v>
      </c>
      <c r="HT10" s="550">
        <v>62</v>
      </c>
      <c r="HU10" s="550">
        <v>63</v>
      </c>
      <c r="HV10" s="550">
        <v>64</v>
      </c>
      <c r="HW10" s="550">
        <v>65</v>
      </c>
      <c r="HX10" s="550">
        <v>66</v>
      </c>
      <c r="HY10" s="550">
        <v>67</v>
      </c>
      <c r="HZ10" s="550">
        <v>68</v>
      </c>
      <c r="IA10" s="550">
        <v>69</v>
      </c>
      <c r="IB10" s="552">
        <v>70</v>
      </c>
      <c r="IC10" s="551">
        <v>71</v>
      </c>
      <c r="ID10" s="550">
        <v>72</v>
      </c>
      <c r="IE10" s="550">
        <v>73</v>
      </c>
      <c r="IF10" s="550">
        <v>74</v>
      </c>
      <c r="IG10" s="550">
        <v>75</v>
      </c>
      <c r="IH10" s="550">
        <v>76</v>
      </c>
      <c r="II10" s="550">
        <v>77</v>
      </c>
      <c r="IJ10" s="550">
        <v>78</v>
      </c>
      <c r="IK10" s="550">
        <v>79</v>
      </c>
      <c r="IL10" s="550">
        <v>80</v>
      </c>
      <c r="IM10" s="550">
        <v>81</v>
      </c>
      <c r="IN10" s="550">
        <v>82</v>
      </c>
      <c r="IO10" s="550">
        <v>83</v>
      </c>
      <c r="IP10" s="550">
        <v>84</v>
      </c>
      <c r="IQ10" s="552">
        <v>85</v>
      </c>
      <c r="IR10" s="551">
        <v>86</v>
      </c>
      <c r="IS10" s="550">
        <v>87</v>
      </c>
      <c r="IT10" s="550">
        <v>88</v>
      </c>
      <c r="IU10" s="550">
        <v>89</v>
      </c>
      <c r="IV10" s="550">
        <v>90</v>
      </c>
      <c r="IW10" s="550">
        <v>91</v>
      </c>
      <c r="IX10" s="550">
        <v>92</v>
      </c>
      <c r="IY10" s="550">
        <v>93</v>
      </c>
      <c r="IZ10" s="550">
        <v>94</v>
      </c>
      <c r="JA10" s="550">
        <v>95</v>
      </c>
      <c r="JB10" s="550">
        <v>96</v>
      </c>
      <c r="JC10" s="550">
        <v>97</v>
      </c>
      <c r="JD10" s="550">
        <v>98</v>
      </c>
      <c r="JE10" s="550">
        <v>99</v>
      </c>
      <c r="JF10" s="552">
        <v>100</v>
      </c>
      <c r="JG10" s="551">
        <v>101</v>
      </c>
      <c r="JH10" s="550">
        <v>102</v>
      </c>
      <c r="JI10" s="550">
        <v>103</v>
      </c>
      <c r="JJ10" s="550">
        <v>104</v>
      </c>
      <c r="JK10" s="550">
        <v>105</v>
      </c>
      <c r="JL10" s="550">
        <v>106</v>
      </c>
      <c r="JM10" s="550">
        <v>107</v>
      </c>
      <c r="JN10" s="550">
        <v>108</v>
      </c>
      <c r="JO10" s="550">
        <v>109</v>
      </c>
      <c r="JP10" s="550">
        <v>110</v>
      </c>
      <c r="JQ10" s="550">
        <v>111</v>
      </c>
      <c r="JR10" s="550">
        <v>112</v>
      </c>
      <c r="JS10" s="550">
        <v>113</v>
      </c>
      <c r="JT10" s="550">
        <v>114</v>
      </c>
      <c r="JU10" s="552">
        <v>115</v>
      </c>
      <c r="JV10" s="551">
        <v>116</v>
      </c>
      <c r="JW10" s="550">
        <v>117</v>
      </c>
      <c r="JX10" s="550">
        <v>118</v>
      </c>
      <c r="JY10" s="550">
        <v>119</v>
      </c>
      <c r="JZ10" s="550">
        <v>120</v>
      </c>
      <c r="KA10" s="550">
        <v>121</v>
      </c>
      <c r="KB10" s="550">
        <v>122</v>
      </c>
      <c r="KC10" s="550">
        <v>123</v>
      </c>
      <c r="KD10" s="550">
        <v>124</v>
      </c>
      <c r="KE10" s="550">
        <v>125</v>
      </c>
      <c r="KF10" s="550">
        <v>126</v>
      </c>
      <c r="KG10" s="550">
        <v>127</v>
      </c>
      <c r="KH10" s="550">
        <v>128</v>
      </c>
      <c r="KI10" s="550">
        <v>129</v>
      </c>
      <c r="KJ10" s="552">
        <v>130</v>
      </c>
      <c r="KK10" s="551">
        <v>131</v>
      </c>
      <c r="KL10" s="550">
        <v>132</v>
      </c>
      <c r="KM10" s="550">
        <v>133</v>
      </c>
      <c r="KN10" s="550">
        <v>134</v>
      </c>
      <c r="KO10" s="550">
        <v>135</v>
      </c>
      <c r="KP10" s="550">
        <v>136</v>
      </c>
      <c r="KQ10" s="550">
        <v>137</v>
      </c>
      <c r="KR10" s="550">
        <v>138</v>
      </c>
      <c r="KS10" s="550">
        <v>139</v>
      </c>
      <c r="KT10" s="550">
        <v>140</v>
      </c>
      <c r="KU10" s="550">
        <v>141</v>
      </c>
      <c r="KV10" s="550">
        <v>142</v>
      </c>
      <c r="KW10" s="550">
        <v>143</v>
      </c>
      <c r="KX10" s="550">
        <v>144</v>
      </c>
      <c r="KY10" s="550">
        <v>145</v>
      </c>
      <c r="KZ10" s="542"/>
      <c r="LA10" s="542"/>
      <c r="LB10" s="542"/>
    </row>
    <row r="11" spans="3:314" s="3" customFormat="1" ht="5.0999999999999996" customHeight="1">
      <c r="C11" s="1396"/>
      <c r="D11" s="1396"/>
      <c r="E11" s="1396"/>
      <c r="F11" s="1396"/>
      <c r="G11" s="435"/>
      <c r="H11" s="435"/>
      <c r="I11" s="1396"/>
      <c r="J11" s="1449" t="str">
        <f>CONCATENATE("This is a ",Lookup!B16," lighting project")</f>
        <v>This is a RETROFIT lighting project</v>
      </c>
      <c r="K11" s="1449"/>
      <c r="L11" s="1449"/>
      <c r="M11" s="1449"/>
      <c r="N11" s="1449"/>
      <c r="O11" s="1449"/>
      <c r="P11" s="1449"/>
      <c r="Q11" s="1449"/>
      <c r="R11" s="1449"/>
      <c r="S11" s="1449"/>
      <c r="T11" s="1449"/>
      <c r="U11" s="1449"/>
      <c r="V11" s="1449"/>
      <c r="W11" s="1449"/>
      <c r="X11" s="1449"/>
      <c r="Y11" s="1449"/>
      <c r="Z11" s="1449"/>
      <c r="AA11" s="435"/>
      <c r="AB11" s="1396"/>
      <c r="AC11" s="1396"/>
      <c r="AD11" s="1396"/>
      <c r="AE11" s="1396"/>
      <c r="AF11" s="1396"/>
      <c r="AG11" s="435"/>
      <c r="AH11" s="435"/>
      <c r="AI11" s="435"/>
      <c r="AJ11" s="88"/>
      <c r="AK11" s="88"/>
      <c r="AL11" s="88"/>
      <c r="AM11" s="88"/>
      <c r="AN11" s="88"/>
      <c r="AO11" s="88"/>
      <c r="AP11" s="88"/>
      <c r="AQ11" s="88"/>
      <c r="AR11" s="88"/>
      <c r="AS11" s="88"/>
      <c r="AT11" s="88"/>
      <c r="AU11" s="88"/>
      <c r="AV11" s="88"/>
      <c r="AW11" s="88"/>
      <c r="AX11" s="88"/>
      <c r="AY11" s="88"/>
      <c r="AZ11" s="88"/>
      <c r="BA11" s="1396"/>
      <c r="BB11" s="1396"/>
      <c r="BC11" s="1396"/>
      <c r="BD11" s="1396"/>
      <c r="BE11" s="1396"/>
      <c r="BF11" s="1396"/>
      <c r="BG11" s="1396"/>
      <c r="BH11" s="1396"/>
      <c r="BI11" s="1396"/>
      <c r="BJ11" s="1396"/>
      <c r="BK11" s="1396"/>
      <c r="BL11" s="1396"/>
      <c r="BM11" s="1396"/>
      <c r="BN11" s="1396"/>
      <c r="BO11" s="1396"/>
      <c r="BP11" s="16"/>
      <c r="BQ11" s="1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6"/>
      <c r="CT11" s="15"/>
      <c r="CU11" s="1396"/>
      <c r="CV11"/>
      <c r="CW11" s="1396"/>
      <c r="CX11" s="1396"/>
      <c r="CY11" s="1396"/>
      <c r="CZ11" s="5"/>
      <c r="DA11" s="5"/>
      <c r="DB11" s="5"/>
      <c r="DC11" s="1396"/>
      <c r="DD11" s="1396"/>
      <c r="DE11" s="1396"/>
      <c r="DF11" s="5"/>
      <c r="DG11" s="5"/>
      <c r="DH11" s="5"/>
      <c r="DI11" s="5"/>
      <c r="DJ11" s="5"/>
      <c r="DK11" s="1396"/>
      <c r="DL11" s="1396"/>
      <c r="DM11" s="1396"/>
      <c r="DN11" s="1396"/>
      <c r="DO11" s="1396"/>
      <c r="DP11" s="16"/>
      <c r="DQ11" s="16"/>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1396"/>
      <c r="EN11" s="1396"/>
      <c r="EO11" s="1396"/>
      <c r="EP11" s="1396"/>
      <c r="EQ11" s="1396"/>
      <c r="ER11" s="1396"/>
      <c r="ES11" s="1396"/>
      <c r="ET11" s="1396"/>
      <c r="EU11" s="1396"/>
      <c r="EV11" s="1396"/>
      <c r="EW11" s="16"/>
      <c r="EX11" s="16"/>
      <c r="EY11" s="15"/>
      <c r="EZ11" s="1396"/>
      <c r="FA11" s="6"/>
      <c r="FB11" s="6"/>
      <c r="FC11" s="7"/>
      <c r="FD11" s="7"/>
      <c r="FE11" s="7"/>
      <c r="FF11" s="7"/>
      <c r="FG11" s="7"/>
      <c r="FH11" s="7"/>
      <c r="FI11" s="7"/>
      <c r="FJ11" s="7"/>
      <c r="FK11" s="548"/>
      <c r="FL11" s="548"/>
      <c r="FM11" s="548"/>
      <c r="FN11" s="542"/>
      <c r="FO11" s="542"/>
      <c r="FP11" s="542"/>
      <c r="FQ11" s="542"/>
      <c r="FR11" s="542"/>
      <c r="FS11" s="542"/>
      <c r="FT11" s="553"/>
      <c r="FU11" s="549"/>
      <c r="FV11" s="542"/>
      <c r="FW11" s="542"/>
      <c r="FX11" s="542"/>
      <c r="FY11" s="542"/>
      <c r="FZ11" s="542"/>
      <c r="GA11" s="542"/>
      <c r="GB11" s="542"/>
      <c r="GC11" s="542"/>
      <c r="GD11" s="542"/>
      <c r="GE11" s="542"/>
      <c r="GF11" s="542"/>
      <c r="GG11" s="542"/>
      <c r="GH11" s="542"/>
      <c r="GI11" s="553"/>
      <c r="GJ11" s="549"/>
      <c r="GK11" s="542"/>
      <c r="GL11" s="542"/>
      <c r="GM11" s="542"/>
      <c r="GN11" s="542"/>
      <c r="GO11" s="542"/>
      <c r="GP11" s="542"/>
      <c r="GQ11" s="542"/>
      <c r="GR11" s="542"/>
      <c r="GS11" s="542"/>
      <c r="GT11" s="542"/>
      <c r="GU11" s="542"/>
      <c r="GV11" s="542"/>
      <c r="GW11" s="542"/>
      <c r="GX11" s="553"/>
      <c r="GY11" s="549"/>
      <c r="GZ11" s="542"/>
      <c r="HA11" s="542"/>
      <c r="HB11" s="542"/>
      <c r="HC11" s="542"/>
      <c r="HD11" s="542"/>
      <c r="HE11" s="542"/>
      <c r="HF11" s="542"/>
      <c r="HG11" s="542"/>
      <c r="HH11" s="542"/>
      <c r="HI11" s="542"/>
      <c r="HJ11" s="542"/>
      <c r="HK11" s="542"/>
      <c r="HL11" s="542"/>
      <c r="HM11" s="553"/>
      <c r="HN11" s="549"/>
      <c r="HO11" s="542"/>
      <c r="HP11" s="542"/>
      <c r="HQ11" s="542"/>
      <c r="HR11" s="542"/>
      <c r="HS11" s="542"/>
      <c r="HT11" s="542"/>
      <c r="HU11" s="542"/>
      <c r="HV11" s="542"/>
      <c r="HW11" s="542"/>
      <c r="HX11" s="542"/>
      <c r="HY11" s="542"/>
      <c r="HZ11" s="542"/>
      <c r="IA11" s="542"/>
      <c r="IB11" s="553"/>
      <c r="IC11" s="549"/>
      <c r="ID11" s="542"/>
      <c r="IE11" s="542"/>
      <c r="IF11" s="542"/>
      <c r="IG11" s="542"/>
      <c r="IH11" s="542"/>
      <c r="II11" s="542"/>
      <c r="IJ11" s="542"/>
      <c r="IK11" s="542"/>
      <c r="IL11" s="542"/>
      <c r="IM11" s="542"/>
      <c r="IN11" s="542"/>
      <c r="IO11" s="542"/>
      <c r="IP11" s="542"/>
      <c r="IQ11" s="553"/>
      <c r="IR11" s="549"/>
      <c r="IS11" s="542"/>
      <c r="IT11" s="542"/>
      <c r="IU11" s="542"/>
      <c r="IV11" s="542"/>
      <c r="IW11" s="542"/>
      <c r="IX11" s="542"/>
      <c r="IY11" s="542"/>
      <c r="IZ11" s="542"/>
      <c r="JA11" s="542"/>
      <c r="JB11" s="542"/>
      <c r="JC11" s="542"/>
      <c r="JD11" s="542"/>
      <c r="JE11" s="542"/>
      <c r="JF11" s="553"/>
      <c r="JG11" s="549"/>
      <c r="JH11" s="542"/>
      <c r="JI11" s="542"/>
      <c r="JJ11" s="542"/>
      <c r="JK11" s="542"/>
      <c r="JL11" s="542"/>
      <c r="JM11" s="542"/>
      <c r="JN11" s="542"/>
      <c r="JO11" s="542"/>
      <c r="JP11" s="542"/>
      <c r="JQ11" s="542"/>
      <c r="JR11" s="542"/>
      <c r="JS11" s="542"/>
      <c r="JT11" s="542"/>
      <c r="JU11" s="553"/>
      <c r="JV11" s="549"/>
      <c r="JW11" s="542"/>
      <c r="JX11" s="542"/>
      <c r="JY11" s="542"/>
      <c r="JZ11" s="542"/>
      <c r="KA11" s="542"/>
      <c r="KB11" s="542"/>
      <c r="KC11" s="542"/>
      <c r="KD11" s="542"/>
      <c r="KE11" s="542"/>
      <c r="KF11" s="542"/>
      <c r="KG11" s="542"/>
      <c r="KH11" s="542"/>
      <c r="KI11" s="542"/>
      <c r="KJ11" s="553"/>
      <c r="KK11" s="549"/>
      <c r="KL11" s="542"/>
      <c r="KM11" s="542"/>
      <c r="KN11" s="542"/>
      <c r="KO11" s="542"/>
      <c r="KP11" s="542"/>
      <c r="KQ11" s="542"/>
      <c r="KR11" s="542"/>
      <c r="KS11" s="542"/>
      <c r="KT11" s="542"/>
      <c r="KU11" s="542"/>
      <c r="KV11" s="542"/>
      <c r="KW11" s="542"/>
      <c r="KX11" s="542"/>
      <c r="KY11" s="542"/>
      <c r="KZ11" s="542"/>
      <c r="LA11" s="542"/>
      <c r="LB11" s="542"/>
    </row>
    <row r="12" spans="3:314" s="3" customFormat="1" ht="14.95" customHeight="1">
      <c r="C12" s="1437"/>
      <c r="D12" s="1437"/>
      <c r="E12" s="1437"/>
      <c r="F12" s="1437"/>
      <c r="G12" s="1437"/>
      <c r="H12" s="16"/>
      <c r="I12" s="1396"/>
      <c r="J12" s="1449"/>
      <c r="K12" s="1449"/>
      <c r="L12" s="1449"/>
      <c r="M12" s="1449"/>
      <c r="N12" s="1449"/>
      <c r="O12" s="1449"/>
      <c r="P12" s="1449"/>
      <c r="Q12" s="1449"/>
      <c r="R12" s="1449"/>
      <c r="S12" s="1449"/>
      <c r="T12" s="1449"/>
      <c r="U12" s="1449"/>
      <c r="V12" s="1449"/>
      <c r="W12" s="1449"/>
      <c r="X12" s="1449"/>
      <c r="Y12" s="1449"/>
      <c r="Z12" s="1449"/>
      <c r="AA12" s="396"/>
      <c r="AB12" s="1396"/>
      <c r="AC12" s="1437"/>
      <c r="AD12" s="1437"/>
      <c r="AE12" s="1437"/>
      <c r="AF12" s="1437"/>
      <c r="AG12" s="1437"/>
      <c r="AH12" s="16"/>
      <c r="AI12" s="1396"/>
      <c r="AJ12" s="88"/>
      <c r="AK12" s="88"/>
      <c r="AL12" s="88"/>
      <c r="AM12" s="88"/>
      <c r="AN12" s="88"/>
      <c r="AO12" s="88"/>
      <c r="AP12" s="88"/>
      <c r="AQ12" s="88"/>
      <c r="AR12" s="88"/>
      <c r="AS12" s="88"/>
      <c r="AT12" s="88"/>
      <c r="AU12" s="88"/>
      <c r="AV12" s="88"/>
      <c r="AW12" s="88"/>
      <c r="AX12" s="88"/>
      <c r="AY12" s="88"/>
      <c r="AZ12" s="88"/>
      <c r="BA12" s="1396"/>
      <c r="BB12" s="1396"/>
      <c r="BC12" s="1396"/>
      <c r="BD12" s="1396"/>
      <c r="BE12" s="1396"/>
      <c r="BF12" s="1396"/>
      <c r="BG12" s="1396"/>
      <c r="BH12" s="1396"/>
      <c r="BI12" s="1396"/>
      <c r="BJ12" s="1396"/>
      <c r="BK12" s="1396"/>
      <c r="BL12" s="1396"/>
      <c r="BM12" s="1396"/>
      <c r="BN12" s="1396"/>
      <c r="BO12" s="1396"/>
      <c r="BP12" s="16"/>
      <c r="BQ12" s="16"/>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1396"/>
      <c r="CP12" s="1396"/>
      <c r="CQ12" s="1396"/>
      <c r="CR12" s="43"/>
      <c r="CS12" s="43"/>
      <c r="CT12" s="15"/>
      <c r="CU12" s="1396"/>
      <c r="CV12" s="1396"/>
      <c r="CW12" s="1396"/>
      <c r="CX12" s="1396"/>
      <c r="CY12" s="1396"/>
      <c r="CZ12" s="5"/>
      <c r="DA12" s="5"/>
      <c r="DB12" s="5"/>
      <c r="DC12" s="1396"/>
      <c r="DD12" s="1396"/>
      <c r="DE12" s="1396"/>
      <c r="DF12" s="5"/>
      <c r="DG12" s="5"/>
      <c r="DH12" s="5"/>
      <c r="DI12" s="5"/>
      <c r="DJ12" s="5"/>
      <c r="DK12" s="1396"/>
      <c r="DL12" s="1396"/>
      <c r="DM12" s="1396"/>
      <c r="DN12" s="1396"/>
      <c r="DO12" s="1396"/>
      <c r="DP12" s="16"/>
      <c r="DQ12" s="16"/>
      <c r="DR12" s="16"/>
      <c r="DS12" s="16"/>
      <c r="DT12" s="16"/>
      <c r="DU12" s="16"/>
      <c r="DV12" s="16"/>
      <c r="DW12" s="16"/>
      <c r="DX12" s="16"/>
      <c r="DY12" s="16"/>
      <c r="DZ12" s="16"/>
      <c r="EA12" s="16"/>
      <c r="EB12" s="16"/>
      <c r="EC12" s="16"/>
      <c r="ED12" s="16"/>
      <c r="EE12" s="16"/>
      <c r="EF12" s="16"/>
      <c r="EG12" s="16"/>
      <c r="EH12" s="16"/>
      <c r="EI12" s="16"/>
      <c r="EJ12" s="1396"/>
      <c r="EK12" s="1396"/>
      <c r="EL12" s="1396"/>
      <c r="EM12" s="1396"/>
      <c r="EN12" s="1396"/>
      <c r="EO12" s="1396"/>
      <c r="EP12" s="1396"/>
      <c r="EQ12" s="1396"/>
      <c r="ER12" s="1396"/>
      <c r="ES12" s="1396"/>
      <c r="ET12" s="1396"/>
      <c r="EU12" s="1396"/>
      <c r="EV12" s="43"/>
      <c r="EW12" s="43"/>
      <c r="EX12" s="43"/>
      <c r="EY12" s="15"/>
      <c r="EZ12" s="1396"/>
      <c r="FA12" s="6"/>
      <c r="FB12" s="6"/>
      <c r="FC12" s="7"/>
      <c r="FD12" s="7"/>
      <c r="FE12" s="7"/>
      <c r="FF12" s="7"/>
      <c r="FG12" s="7"/>
      <c r="FH12" s="7"/>
      <c r="FI12" s="7"/>
      <c r="FJ12" s="7"/>
      <c r="FK12" s="608" t="str">
        <f>CONCATENATE("Installations!",Installations!CW2)</f>
        <v>Installations!CW</v>
      </c>
      <c r="FL12" s="548"/>
      <c r="FM12" s="548"/>
      <c r="FN12" s="542"/>
      <c r="FO12" s="542"/>
      <c r="FP12" s="542"/>
      <c r="FQ12" s="542"/>
      <c r="FR12" s="542"/>
      <c r="FS12" s="542"/>
      <c r="FT12" s="553"/>
      <c r="FU12" s="549"/>
      <c r="FV12" s="542"/>
      <c r="FW12" s="542"/>
      <c r="FX12" s="542"/>
      <c r="FY12" s="542"/>
      <c r="FZ12" s="542"/>
      <c r="GA12" s="542"/>
      <c r="GB12" s="542"/>
      <c r="GC12" s="542"/>
      <c r="GD12" s="542"/>
      <c r="GE12" s="542"/>
      <c r="GF12" s="542"/>
      <c r="GG12" s="542"/>
      <c r="GH12" s="542"/>
      <c r="GI12" s="553"/>
      <c r="GJ12" s="549"/>
      <c r="GK12" s="542"/>
      <c r="GL12" s="542"/>
      <c r="GM12" s="542"/>
      <c r="GN12" s="542"/>
      <c r="GO12" s="542"/>
      <c r="GP12" s="542"/>
      <c r="GQ12" s="542"/>
      <c r="GR12" s="542"/>
      <c r="GS12" s="542"/>
      <c r="GT12" s="542"/>
      <c r="GU12" s="542"/>
      <c r="GV12" s="542"/>
      <c r="GW12" s="542"/>
      <c r="GX12" s="553"/>
      <c r="GY12" s="549"/>
      <c r="GZ12" s="542"/>
      <c r="HA12" s="542"/>
      <c r="HB12" s="542"/>
      <c r="HC12" s="542"/>
      <c r="HD12" s="542"/>
      <c r="HE12" s="542"/>
      <c r="HF12" s="542"/>
      <c r="HG12" s="542"/>
      <c r="HH12" s="542"/>
      <c r="HI12" s="542"/>
      <c r="HJ12" s="542"/>
      <c r="HK12" s="542"/>
      <c r="HL12" s="542"/>
      <c r="HM12" s="553"/>
      <c r="HN12" s="549"/>
      <c r="HO12" s="542"/>
      <c r="HP12" s="542"/>
      <c r="HQ12" s="542"/>
      <c r="HR12" s="542"/>
      <c r="HS12" s="542"/>
      <c r="HT12" s="542"/>
      <c r="HU12" s="542"/>
      <c r="HV12" s="542"/>
      <c r="HW12" s="542"/>
      <c r="HX12" s="542"/>
      <c r="HY12" s="542"/>
      <c r="HZ12" s="542"/>
      <c r="IA12" s="542"/>
      <c r="IB12" s="553"/>
      <c r="IC12" s="549"/>
      <c r="ID12" s="542"/>
      <c r="IE12" s="542"/>
      <c r="IF12" s="542"/>
      <c r="IG12" s="542"/>
      <c r="IH12" s="542"/>
      <c r="II12" s="542"/>
      <c r="IJ12" s="542"/>
      <c r="IK12" s="542"/>
      <c r="IL12" s="542"/>
      <c r="IM12" s="542"/>
      <c r="IN12" s="542"/>
      <c r="IO12" s="542"/>
      <c r="IP12" s="542"/>
      <c r="IQ12" s="553"/>
      <c r="IR12" s="549"/>
      <c r="IS12" s="542"/>
      <c r="IT12" s="542"/>
      <c r="IU12" s="542"/>
      <c r="IV12" s="542"/>
      <c r="IW12" s="542"/>
      <c r="IX12" s="542"/>
      <c r="IY12" s="542"/>
      <c r="IZ12" s="542"/>
      <c r="JA12" s="542"/>
      <c r="JB12" s="542"/>
      <c r="JC12" s="542"/>
      <c r="JD12" s="542"/>
      <c r="JE12" s="542"/>
      <c r="JF12" s="553"/>
      <c r="JG12" s="549"/>
      <c r="JH12" s="542"/>
      <c r="JI12" s="542"/>
      <c r="JJ12" s="542"/>
      <c r="JK12" s="542"/>
      <c r="JL12" s="542"/>
      <c r="JM12" s="542"/>
      <c r="JN12" s="542"/>
      <c r="JO12" s="542"/>
      <c r="JP12" s="542"/>
      <c r="JQ12" s="542"/>
      <c r="JR12" s="542"/>
      <c r="JS12" s="542"/>
      <c r="JT12" s="542"/>
      <c r="JU12" s="553"/>
      <c r="JV12" s="549"/>
      <c r="JW12" s="542"/>
      <c r="JX12" s="542"/>
      <c r="JY12" s="542"/>
      <c r="JZ12" s="542"/>
      <c r="KA12" s="542"/>
      <c r="KB12" s="542"/>
      <c r="KC12" s="542"/>
      <c r="KD12" s="542"/>
      <c r="KE12" s="542"/>
      <c r="KF12" s="542"/>
      <c r="KG12" s="542"/>
      <c r="KH12" s="542"/>
      <c r="KI12" s="542"/>
      <c r="KJ12" s="553"/>
      <c r="KK12" s="549"/>
      <c r="KL12" s="542"/>
      <c r="KM12" s="542"/>
      <c r="KN12" s="542"/>
      <c r="KO12" s="542"/>
      <c r="KP12" s="542"/>
      <c r="KQ12" s="542"/>
      <c r="KR12" s="542"/>
      <c r="KS12" s="542"/>
      <c r="KT12" s="542"/>
      <c r="KU12" s="542"/>
      <c r="KV12" s="542"/>
      <c r="KW12" s="542"/>
      <c r="KX12" s="542"/>
      <c r="KY12" s="542"/>
      <c r="KZ12" s="542"/>
      <c r="LA12" s="542"/>
      <c r="LB12" s="542"/>
    </row>
    <row r="13" spans="3:314" s="3" customFormat="1" ht="5.0999999999999996" customHeight="1">
      <c r="C13" s="1396"/>
      <c r="D13" s="1396"/>
      <c r="E13" s="1396"/>
      <c r="F13" s="1396"/>
      <c r="G13" s="16"/>
      <c r="H13" s="16"/>
      <c r="I13" s="1396"/>
      <c r="J13" s="1440" t="str">
        <f>Project!K13</f>
        <v>PSE Approval is required before the retrofit is started!</v>
      </c>
      <c r="K13" s="1440"/>
      <c r="L13" s="1440"/>
      <c r="M13" s="1440"/>
      <c r="N13" s="1440"/>
      <c r="O13" s="1440"/>
      <c r="P13" s="1440"/>
      <c r="Q13" s="1440"/>
      <c r="R13" s="1440"/>
      <c r="S13" s="1440"/>
      <c r="T13" s="1440"/>
      <c r="U13" s="1440"/>
      <c r="V13" s="1440"/>
      <c r="W13" s="1440"/>
      <c r="X13" s="1440"/>
      <c r="Y13" s="1440"/>
      <c r="Z13" s="1440"/>
      <c r="AA13" s="16"/>
      <c r="AB13" s="1396"/>
      <c r="AC13" s="1396"/>
      <c r="AD13" s="1396"/>
      <c r="AE13" s="1396"/>
      <c r="AF13" s="1396"/>
      <c r="AG13" s="16"/>
      <c r="AH13" s="1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6"/>
      <c r="BQ13" s="16"/>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1396"/>
      <c r="CP13" s="1396"/>
      <c r="CQ13" s="1396"/>
      <c r="CR13" s="43"/>
      <c r="CS13" s="43"/>
      <c r="CT13" s="15"/>
      <c r="CU13" s="1396"/>
      <c r="CV13" s="1396"/>
      <c r="CW13" s="1396"/>
      <c r="CX13" s="1396"/>
      <c r="CY13" s="1396"/>
      <c r="CZ13" s="5"/>
      <c r="DA13" s="5"/>
      <c r="DB13" s="5"/>
      <c r="DC13" s="1396"/>
      <c r="DD13" s="1396"/>
      <c r="DE13" s="1396"/>
      <c r="DF13" s="5"/>
      <c r="DG13" s="5"/>
      <c r="DH13" s="5"/>
      <c r="DI13" s="5"/>
      <c r="DJ13" s="5"/>
      <c r="DK13" s="1396"/>
      <c r="DL13" s="1396"/>
      <c r="DM13" s="1396"/>
      <c r="DN13" s="1396"/>
      <c r="DO13" s="1396"/>
      <c r="DP13" s="16"/>
      <c r="DQ13" s="16"/>
      <c r="DR13" s="16"/>
      <c r="DS13" s="16"/>
      <c r="DT13" s="16"/>
      <c r="DU13" s="16"/>
      <c r="DV13" s="16"/>
      <c r="DW13" s="16"/>
      <c r="DX13" s="16"/>
      <c r="DY13" s="16"/>
      <c r="DZ13" s="16"/>
      <c r="EA13" s="16"/>
      <c r="EB13" s="16"/>
      <c r="EC13" s="16"/>
      <c r="ED13" s="16"/>
      <c r="EE13" s="16"/>
      <c r="EF13" s="16"/>
      <c r="EG13" s="16"/>
      <c r="EH13" s="16"/>
      <c r="EI13" s="16"/>
      <c r="EJ13" s="1396"/>
      <c r="EK13" s="1396"/>
      <c r="EL13" s="1396"/>
      <c r="EM13" s="1396"/>
      <c r="EN13" s="1396"/>
      <c r="EO13" s="1396"/>
      <c r="EP13" s="1396"/>
      <c r="EQ13" s="1396"/>
      <c r="ER13" s="1396"/>
      <c r="ES13" s="1396"/>
      <c r="ET13" s="1396"/>
      <c r="EU13" s="1396"/>
      <c r="EV13" s="43"/>
      <c r="EW13" s="43"/>
      <c r="EX13" s="43"/>
      <c r="EY13" s="15"/>
      <c r="EZ13" s="1396"/>
      <c r="FA13" s="6"/>
      <c r="FB13" s="6"/>
      <c r="FC13" s="7"/>
      <c r="FD13" s="7"/>
      <c r="FE13" s="7"/>
      <c r="FF13" s="7"/>
      <c r="FG13" s="7"/>
      <c r="FH13" s="7"/>
      <c r="FI13" s="7"/>
      <c r="FJ13" s="7"/>
      <c r="FK13" s="548"/>
      <c r="FL13" s="548"/>
      <c r="FM13" s="548"/>
      <c r="FN13" s="542"/>
      <c r="FO13" s="542"/>
      <c r="FP13" s="542"/>
      <c r="FQ13" s="542"/>
      <c r="FR13" s="542"/>
      <c r="FS13" s="542"/>
      <c r="FT13" s="553"/>
      <c r="FU13" s="549"/>
      <c r="FV13" s="542"/>
      <c r="FW13" s="542"/>
      <c r="FX13" s="542"/>
      <c r="FY13" s="542"/>
      <c r="FZ13" s="542"/>
      <c r="GA13" s="542"/>
      <c r="GB13" s="542"/>
      <c r="GC13" s="542"/>
      <c r="GD13" s="542"/>
      <c r="GE13" s="542"/>
      <c r="GF13" s="542"/>
      <c r="GG13" s="542"/>
      <c r="GH13" s="542"/>
      <c r="GI13" s="553"/>
      <c r="GJ13" s="549"/>
      <c r="GK13" s="542"/>
      <c r="GL13" s="542"/>
      <c r="GM13" s="542"/>
      <c r="GN13" s="542"/>
      <c r="GO13" s="542"/>
      <c r="GP13" s="542"/>
      <c r="GQ13" s="542"/>
      <c r="GR13" s="542"/>
      <c r="GS13" s="542"/>
      <c r="GT13" s="542"/>
      <c r="GU13" s="542"/>
      <c r="GV13" s="542"/>
      <c r="GW13" s="542"/>
      <c r="GX13" s="553"/>
      <c r="GY13" s="549"/>
      <c r="GZ13" s="542"/>
      <c r="HA13" s="542"/>
      <c r="HB13" s="542"/>
      <c r="HC13" s="542"/>
      <c r="HD13" s="542"/>
      <c r="HE13" s="542"/>
      <c r="HF13" s="542"/>
      <c r="HG13" s="542"/>
      <c r="HH13" s="542"/>
      <c r="HI13" s="542"/>
      <c r="HJ13" s="542"/>
      <c r="HK13" s="542"/>
      <c r="HL13" s="542"/>
      <c r="HM13" s="553"/>
      <c r="HN13" s="549"/>
      <c r="HO13" s="542"/>
      <c r="HP13" s="542"/>
      <c r="HQ13" s="542"/>
      <c r="HR13" s="542"/>
      <c r="HS13" s="542"/>
      <c r="HT13" s="542"/>
      <c r="HU13" s="542"/>
      <c r="HV13" s="542"/>
      <c r="HW13" s="542"/>
      <c r="HX13" s="542"/>
      <c r="HY13" s="542"/>
      <c r="HZ13" s="542"/>
      <c r="IA13" s="542"/>
      <c r="IB13" s="553"/>
      <c r="IC13" s="549"/>
      <c r="ID13" s="542"/>
      <c r="IE13" s="542"/>
      <c r="IF13" s="542"/>
      <c r="IG13" s="542"/>
      <c r="IH13" s="542"/>
      <c r="II13" s="542"/>
      <c r="IJ13" s="542"/>
      <c r="IK13" s="542"/>
      <c r="IL13" s="542"/>
      <c r="IM13" s="542"/>
      <c r="IN13" s="542"/>
      <c r="IO13" s="542"/>
      <c r="IP13" s="542"/>
      <c r="IQ13" s="553"/>
      <c r="IR13" s="549"/>
      <c r="IS13" s="542"/>
      <c r="IT13" s="542"/>
      <c r="IU13" s="542"/>
      <c r="IV13" s="542"/>
      <c r="IW13" s="542"/>
      <c r="IX13" s="542"/>
      <c r="IY13" s="542"/>
      <c r="IZ13" s="542"/>
      <c r="JA13" s="542"/>
      <c r="JB13" s="542"/>
      <c r="JC13" s="542"/>
      <c r="JD13" s="542"/>
      <c r="JE13" s="542"/>
      <c r="JF13" s="553"/>
      <c r="JG13" s="549"/>
      <c r="JH13" s="542"/>
      <c r="JI13" s="542"/>
      <c r="JJ13" s="542"/>
      <c r="JK13" s="542"/>
      <c r="JL13" s="542"/>
      <c r="JM13" s="542"/>
      <c r="JN13" s="542"/>
      <c r="JO13" s="542"/>
      <c r="JP13" s="542"/>
      <c r="JQ13" s="542"/>
      <c r="JR13" s="542"/>
      <c r="JS13" s="542"/>
      <c r="JT13" s="542"/>
      <c r="JU13" s="553"/>
      <c r="JV13" s="549"/>
      <c r="JW13" s="542"/>
      <c r="JX13" s="542"/>
      <c r="JY13" s="542"/>
      <c r="JZ13" s="542"/>
      <c r="KA13" s="542"/>
      <c r="KB13" s="542"/>
      <c r="KC13" s="542"/>
      <c r="KD13" s="542"/>
      <c r="KE13" s="542"/>
      <c r="KF13" s="542"/>
      <c r="KG13" s="542"/>
      <c r="KH13" s="542"/>
      <c r="KI13" s="542"/>
      <c r="KJ13" s="553"/>
      <c r="KK13" s="549"/>
      <c r="KL13" s="542"/>
      <c r="KM13" s="542"/>
      <c r="KN13" s="542"/>
      <c r="KO13" s="542"/>
      <c r="KP13" s="542"/>
      <c r="KQ13" s="542"/>
      <c r="KR13" s="542"/>
      <c r="KS13" s="542"/>
      <c r="KT13" s="542"/>
      <c r="KU13" s="542"/>
      <c r="KV13" s="542"/>
      <c r="KW13" s="542"/>
      <c r="KX13" s="542"/>
      <c r="KY13" s="542"/>
      <c r="KZ13" s="542"/>
      <c r="LA13" s="542"/>
      <c r="LB13" s="542"/>
    </row>
    <row r="14" spans="3:314" s="3" customFormat="1" ht="14.95" customHeight="1">
      <c r="C14" s="1437"/>
      <c r="D14" s="1437"/>
      <c r="E14" s="1437"/>
      <c r="F14" s="1437"/>
      <c r="G14" s="1437"/>
      <c r="H14" s="1396"/>
      <c r="I14" s="1396"/>
      <c r="J14" s="1440"/>
      <c r="K14" s="1440"/>
      <c r="L14" s="1440"/>
      <c r="M14" s="1440"/>
      <c r="N14" s="1440"/>
      <c r="O14" s="1440"/>
      <c r="P14" s="1440"/>
      <c r="Q14" s="1440"/>
      <c r="R14" s="1440"/>
      <c r="S14" s="1440"/>
      <c r="T14" s="1440"/>
      <c r="U14" s="1440"/>
      <c r="V14" s="1440"/>
      <c r="W14" s="1440"/>
      <c r="X14" s="1440"/>
      <c r="Y14" s="1440"/>
      <c r="Z14" s="1440"/>
      <c r="AA14" s="429"/>
      <c r="AB14" s="1396"/>
      <c r="AC14" s="1437"/>
      <c r="AD14" s="1437"/>
      <c r="AE14" s="1437"/>
      <c r="AF14" s="1437"/>
      <c r="AG14" s="1437"/>
      <c r="AH14" s="1396"/>
      <c r="AI14" s="88"/>
      <c r="AJ14" s="88"/>
      <c r="AK14" s="88"/>
      <c r="AL14" s="88"/>
      <c r="AM14" s="1396"/>
      <c r="AN14" s="1396"/>
      <c r="AO14" s="1396"/>
      <c r="AP14" s="1396"/>
      <c r="AQ14" s="1396"/>
      <c r="AR14" s="1396"/>
      <c r="AS14" s="1396"/>
      <c r="AT14" s="1396"/>
      <c r="AU14" s="1396"/>
      <c r="AV14" s="1396"/>
      <c r="AW14" s="1396"/>
      <c r="AX14" s="1396"/>
      <c r="AY14" s="1396"/>
      <c r="AZ14" s="1396"/>
      <c r="BA14" s="1396"/>
      <c r="BB14" s="1396"/>
      <c r="BC14" s="1396"/>
      <c r="BD14" s="1396"/>
      <c r="BE14" s="1396"/>
      <c r="BF14" s="1396"/>
      <c r="BG14" s="1396"/>
      <c r="BH14" s="1396"/>
      <c r="BI14" s="1396"/>
      <c r="BJ14" s="1396"/>
      <c r="BK14" s="1396"/>
      <c r="BL14" s="1396"/>
      <c r="BM14" s="1396"/>
      <c r="BN14" s="1396"/>
      <c r="BO14" s="1396"/>
      <c r="BP14" s="16"/>
      <c r="BQ14" s="17"/>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428"/>
      <c r="CP14" s="428"/>
      <c r="CQ14" s="428"/>
      <c r="CR14" s="428"/>
      <c r="CS14" s="428"/>
      <c r="CT14" s="15"/>
      <c r="CU14" s="1396"/>
      <c r="CV14" s="1396"/>
      <c r="CW14" s="1396"/>
      <c r="CX14" s="1396"/>
      <c r="CY14" s="1396"/>
      <c r="CZ14" s="5"/>
      <c r="DA14" s="5"/>
      <c r="DB14" s="5"/>
      <c r="DC14" s="1396"/>
      <c r="DD14" s="1396"/>
      <c r="DE14" s="1396"/>
      <c r="DF14" s="5"/>
      <c r="DG14" s="5"/>
      <c r="DH14" s="5"/>
      <c r="DI14" s="5"/>
      <c r="DJ14" s="5"/>
      <c r="DK14" s="1396"/>
      <c r="DL14" s="1396"/>
      <c r="DM14" s="1396"/>
      <c r="DN14" s="1396"/>
      <c r="DO14" s="1396"/>
      <c r="DP14" s="16"/>
      <c r="DQ14" s="17"/>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428"/>
      <c r="EP14" s="428"/>
      <c r="EQ14" s="428"/>
      <c r="ER14" s="428"/>
      <c r="ES14" s="428"/>
      <c r="ET14" s="428"/>
      <c r="EU14" s="428"/>
      <c r="EV14" s="428"/>
      <c r="EW14" s="428"/>
      <c r="EX14" s="428"/>
      <c r="EY14" s="15"/>
      <c r="EZ14" s="1396"/>
      <c r="FA14" s="6"/>
      <c r="FB14" s="6"/>
      <c r="FC14" s="7"/>
      <c r="FD14" s="7"/>
      <c r="FE14" s="7"/>
      <c r="FF14" s="7"/>
      <c r="FG14" s="7"/>
      <c r="FH14" s="7"/>
      <c r="FI14" s="7"/>
      <c r="FJ14" s="7"/>
      <c r="FK14" s="550"/>
      <c r="FL14" s="550"/>
      <c r="FM14" s="548"/>
      <c r="FN14" s="542"/>
      <c r="FO14" s="542"/>
      <c r="FP14" s="542"/>
      <c r="FQ14" s="542"/>
      <c r="FR14" s="542"/>
      <c r="FS14" s="542"/>
      <c r="FT14" s="553"/>
      <c r="FU14" s="549"/>
      <c r="FV14" s="542"/>
      <c r="FW14" s="542"/>
      <c r="FX14" s="542"/>
      <c r="FY14" s="542"/>
      <c r="FZ14" s="542"/>
      <c r="GA14" s="542"/>
      <c r="GB14" s="542"/>
      <c r="GC14" s="542"/>
      <c r="GD14" s="542"/>
      <c r="GE14" s="542"/>
      <c r="GF14" s="542"/>
      <c r="GG14" s="542"/>
      <c r="GH14" s="542"/>
      <c r="GI14" s="553"/>
      <c r="GJ14" s="549"/>
      <c r="GK14" s="542"/>
      <c r="GL14" s="542"/>
      <c r="GM14" s="542"/>
      <c r="GN14" s="542"/>
      <c r="GO14" s="542"/>
      <c r="GP14" s="542"/>
      <c r="GQ14" s="542"/>
      <c r="GR14" s="542"/>
      <c r="GS14" s="542"/>
      <c r="GT14" s="542"/>
      <c r="GU14" s="542"/>
      <c r="GV14" s="542"/>
      <c r="GW14" s="542"/>
      <c r="GX14" s="553"/>
      <c r="GY14" s="549"/>
      <c r="GZ14" s="542"/>
      <c r="HA14" s="542"/>
      <c r="HB14" s="542"/>
      <c r="HC14" s="542"/>
      <c r="HD14" s="542"/>
      <c r="HE14" s="542"/>
      <c r="HF14" s="542"/>
      <c r="HG14" s="542"/>
      <c r="HH14" s="542"/>
      <c r="HI14" s="542"/>
      <c r="HJ14" s="542"/>
      <c r="HK14" s="542"/>
      <c r="HL14" s="542"/>
      <c r="HM14" s="553"/>
      <c r="HN14" s="549"/>
      <c r="HO14" s="542"/>
      <c r="HP14" s="542"/>
      <c r="HQ14" s="542"/>
      <c r="HR14" s="542"/>
      <c r="HS14" s="542"/>
      <c r="HT14" s="542"/>
      <c r="HU14" s="542"/>
      <c r="HV14" s="542"/>
      <c r="HW14" s="542"/>
      <c r="HX14" s="542"/>
      <c r="HY14" s="542"/>
      <c r="HZ14" s="542"/>
      <c r="IA14" s="542"/>
      <c r="IB14" s="553"/>
      <c r="IC14" s="549"/>
      <c r="ID14" s="542"/>
      <c r="IE14" s="542"/>
      <c r="IF14" s="542"/>
      <c r="IG14" s="542"/>
      <c r="IH14" s="542"/>
      <c r="II14" s="542"/>
      <c r="IJ14" s="542"/>
      <c r="IK14" s="542"/>
      <c r="IL14" s="542"/>
      <c r="IM14" s="542"/>
      <c r="IN14" s="542"/>
      <c r="IO14" s="542"/>
      <c r="IP14" s="542"/>
      <c r="IQ14" s="553"/>
      <c r="IR14" s="549"/>
      <c r="IS14" s="542"/>
      <c r="IT14" s="542"/>
      <c r="IU14" s="542"/>
      <c r="IV14" s="542"/>
      <c r="IW14" s="542"/>
      <c r="IX14" s="542"/>
      <c r="IY14" s="542"/>
      <c r="IZ14" s="542"/>
      <c r="JA14" s="542"/>
      <c r="JB14" s="542"/>
      <c r="JC14" s="542"/>
      <c r="JD14" s="542"/>
      <c r="JE14" s="542"/>
      <c r="JF14" s="553"/>
      <c r="JG14" s="549"/>
      <c r="JH14" s="542"/>
      <c r="JI14" s="542"/>
      <c r="JJ14" s="542"/>
      <c r="JK14" s="542"/>
      <c r="JL14" s="542"/>
      <c r="JM14" s="542"/>
      <c r="JN14" s="542"/>
      <c r="JO14" s="542"/>
      <c r="JP14" s="542"/>
      <c r="JQ14" s="542"/>
      <c r="JR14" s="542"/>
      <c r="JS14" s="542"/>
      <c r="JT14" s="542"/>
      <c r="JU14" s="553"/>
      <c r="JV14" s="549"/>
      <c r="JW14" s="542"/>
      <c r="JX14" s="542"/>
      <c r="JY14" s="542"/>
      <c r="JZ14" s="542"/>
      <c r="KA14" s="542"/>
      <c r="KB14" s="542"/>
      <c r="KC14" s="542"/>
      <c r="KD14" s="542"/>
      <c r="KE14" s="542"/>
      <c r="KF14" s="542"/>
      <c r="KG14" s="542"/>
      <c r="KH14" s="542"/>
      <c r="KI14" s="542"/>
      <c r="KJ14" s="553"/>
      <c r="KK14" s="549"/>
      <c r="KL14" s="542"/>
      <c r="KM14" s="542"/>
      <c r="KN14" s="542"/>
      <c r="KO14" s="542"/>
      <c r="KP14" s="542"/>
      <c r="KQ14" s="542"/>
      <c r="KR14" s="542"/>
      <c r="KS14" s="542"/>
      <c r="KT14" s="542"/>
      <c r="KU14" s="542"/>
      <c r="KV14" s="542"/>
      <c r="KW14" s="542"/>
      <c r="KX14" s="542"/>
      <c r="KY14" s="542"/>
      <c r="KZ14" s="542"/>
      <c r="LA14" s="542"/>
      <c r="LB14" s="542"/>
    </row>
    <row r="15" spans="3:314" s="3" customFormat="1" ht="5.0999999999999996" customHeight="1">
      <c r="C15" s="1396"/>
      <c r="D15" s="1396"/>
      <c r="E15" s="1396"/>
      <c r="F15" s="1396"/>
      <c r="G15" s="1396"/>
      <c r="H15" s="1396"/>
      <c r="I15" s="1396"/>
      <c r="J15" s="1396"/>
      <c r="K15" s="1396"/>
      <c r="L15" s="1396"/>
      <c r="M15" s="1396"/>
      <c r="N15" s="1396"/>
      <c r="O15" s="1396"/>
      <c r="P15" s="1396"/>
      <c r="Q15" s="1396"/>
      <c r="R15" s="1396"/>
      <c r="S15" s="1396"/>
      <c r="T15" s="1396"/>
      <c r="U15" s="1396"/>
      <c r="V15" s="1396"/>
      <c r="W15" s="1396"/>
      <c r="X15" s="1396"/>
      <c r="Y15" s="1396"/>
      <c r="Z15" s="1396"/>
      <c r="AA15" s="429"/>
      <c r="AB15" s="1396"/>
      <c r="AC15" s="1396"/>
      <c r="AD15" s="1396"/>
      <c r="AE15" s="1396"/>
      <c r="AF15" s="1396"/>
      <c r="AG15" s="1396"/>
      <c r="AH15" s="1396"/>
      <c r="AI15" s="429"/>
      <c r="AJ15" s="429"/>
      <c r="AK15" s="429"/>
      <c r="AL15" s="429"/>
      <c r="AM15" s="1396"/>
      <c r="AN15" s="1396"/>
      <c r="AO15" s="1396"/>
      <c r="AP15" s="1396"/>
      <c r="AQ15" s="1396"/>
      <c r="AR15" s="1396"/>
      <c r="AS15" s="1396"/>
      <c r="AT15" s="1396"/>
      <c r="AU15" s="1396"/>
      <c r="AV15" s="1396"/>
      <c r="AW15" s="1396"/>
      <c r="AX15" s="1396"/>
      <c r="AY15" s="1396"/>
      <c r="AZ15" s="1396"/>
      <c r="BA15" s="1396"/>
      <c r="BB15" s="1396"/>
      <c r="BC15" s="1396"/>
      <c r="BD15" s="1396"/>
      <c r="BE15" s="1396"/>
      <c r="BF15" s="1396"/>
      <c r="BG15" s="1396"/>
      <c r="BH15" s="1396"/>
      <c r="BI15" s="1396"/>
      <c r="BJ15" s="1396"/>
      <c r="BK15" s="1396"/>
      <c r="BL15" s="1396"/>
      <c r="BM15" s="1396"/>
      <c r="BN15" s="1396"/>
      <c r="BO15" s="1396"/>
      <c r="BP15" s="16"/>
      <c r="BQ15" s="17"/>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428"/>
      <c r="CP15" s="428"/>
      <c r="CQ15" s="428"/>
      <c r="CR15" s="428"/>
      <c r="CS15" s="428"/>
      <c r="CT15" s="15"/>
      <c r="CU15" s="1396"/>
      <c r="CV15" s="1396"/>
      <c r="CW15" s="1396"/>
      <c r="CX15" s="1396"/>
      <c r="CY15" s="1396"/>
      <c r="CZ15" s="5"/>
      <c r="DA15" s="5"/>
      <c r="DB15" s="5"/>
      <c r="DC15" s="1396"/>
      <c r="DD15" s="1396"/>
      <c r="DE15" s="1396"/>
      <c r="DF15" s="5"/>
      <c r="DG15" s="5"/>
      <c r="DH15" s="5"/>
      <c r="DI15" s="5"/>
      <c r="DJ15" s="5"/>
      <c r="DK15" s="1396"/>
      <c r="DL15" s="1396"/>
      <c r="DM15" s="1396"/>
      <c r="DN15" s="1396"/>
      <c r="DO15" s="1396"/>
      <c r="DP15" s="16"/>
      <c r="DQ15" s="17"/>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8"/>
      <c r="EP15" s="428"/>
      <c r="EQ15" s="428"/>
      <c r="ER15" s="428"/>
      <c r="ES15" s="428"/>
      <c r="ET15" s="428"/>
      <c r="EU15" s="428"/>
      <c r="EV15" s="428"/>
      <c r="EW15" s="428"/>
      <c r="EX15" s="428"/>
      <c r="EY15" s="15"/>
      <c r="EZ15" s="1396"/>
      <c r="FA15" s="6"/>
      <c r="FB15" s="6"/>
      <c r="FC15" s="7"/>
      <c r="FD15" s="7"/>
      <c r="FE15" s="7"/>
      <c r="FF15" s="7"/>
      <c r="FG15" s="7"/>
      <c r="FH15" s="7"/>
      <c r="FI15" s="7"/>
      <c r="FJ15" s="7"/>
      <c r="FK15" s="548"/>
      <c r="FL15" s="548"/>
      <c r="FM15" s="548"/>
      <c r="FN15" s="542"/>
      <c r="FO15" s="542"/>
      <c r="FP15" s="542"/>
      <c r="FQ15" s="542"/>
      <c r="FR15" s="542"/>
      <c r="FS15" s="542"/>
      <c r="FT15" s="553"/>
      <c r="FU15" s="549"/>
      <c r="FV15" s="542"/>
      <c r="FW15" s="542"/>
      <c r="FX15" s="542"/>
      <c r="FY15" s="542"/>
      <c r="FZ15" s="542"/>
      <c r="GA15" s="542"/>
      <c r="GB15" s="542"/>
      <c r="GC15" s="542"/>
      <c r="GD15" s="542"/>
      <c r="GE15" s="542"/>
      <c r="GF15" s="542"/>
      <c r="GG15" s="542"/>
      <c r="GH15" s="542"/>
      <c r="GI15" s="553"/>
      <c r="GJ15" s="549"/>
      <c r="GK15" s="542"/>
      <c r="GL15" s="542"/>
      <c r="GM15" s="542"/>
      <c r="GN15" s="542"/>
      <c r="GO15" s="542"/>
      <c r="GP15" s="542"/>
      <c r="GQ15" s="542"/>
      <c r="GR15" s="542"/>
      <c r="GS15" s="542"/>
      <c r="GT15" s="542"/>
      <c r="GU15" s="542"/>
      <c r="GV15" s="542"/>
      <c r="GW15" s="542"/>
      <c r="GX15" s="553"/>
      <c r="GY15" s="549"/>
      <c r="GZ15" s="542"/>
      <c r="HA15" s="542"/>
      <c r="HB15" s="542"/>
      <c r="HC15" s="542"/>
      <c r="HD15" s="542"/>
      <c r="HE15" s="542"/>
      <c r="HF15" s="542"/>
      <c r="HG15" s="542"/>
      <c r="HH15" s="542"/>
      <c r="HI15" s="542"/>
      <c r="HJ15" s="542"/>
      <c r="HK15" s="542"/>
      <c r="HL15" s="542"/>
      <c r="HM15" s="553"/>
      <c r="HN15" s="549"/>
      <c r="HO15" s="542"/>
      <c r="HP15" s="542"/>
      <c r="HQ15" s="542"/>
      <c r="HR15" s="542"/>
      <c r="HS15" s="542"/>
      <c r="HT15" s="542"/>
      <c r="HU15" s="542"/>
      <c r="HV15" s="542"/>
      <c r="HW15" s="542"/>
      <c r="HX15" s="542"/>
      <c r="HY15" s="542"/>
      <c r="HZ15" s="542"/>
      <c r="IA15" s="542"/>
      <c r="IB15" s="553"/>
      <c r="IC15" s="549"/>
      <c r="ID15" s="542"/>
      <c r="IE15" s="542"/>
      <c r="IF15" s="542"/>
      <c r="IG15" s="542"/>
      <c r="IH15" s="542"/>
      <c r="II15" s="542"/>
      <c r="IJ15" s="542"/>
      <c r="IK15" s="542"/>
      <c r="IL15" s="542"/>
      <c r="IM15" s="542"/>
      <c r="IN15" s="542"/>
      <c r="IO15" s="542"/>
      <c r="IP15" s="542"/>
      <c r="IQ15" s="553"/>
      <c r="IR15" s="549"/>
      <c r="IS15" s="542"/>
      <c r="IT15" s="542"/>
      <c r="IU15" s="542"/>
      <c r="IV15" s="542"/>
      <c r="IW15" s="542"/>
      <c r="IX15" s="542"/>
      <c r="IY15" s="542"/>
      <c r="IZ15" s="542"/>
      <c r="JA15" s="542"/>
      <c r="JB15" s="542"/>
      <c r="JC15" s="542"/>
      <c r="JD15" s="542"/>
      <c r="JE15" s="542"/>
      <c r="JF15" s="553"/>
      <c r="JG15" s="549"/>
      <c r="JH15" s="542"/>
      <c r="JI15" s="542"/>
      <c r="JJ15" s="542"/>
      <c r="JK15" s="542"/>
      <c r="JL15" s="542"/>
      <c r="JM15" s="542"/>
      <c r="JN15" s="542"/>
      <c r="JO15" s="542"/>
      <c r="JP15" s="542"/>
      <c r="JQ15" s="542"/>
      <c r="JR15" s="542"/>
      <c r="JS15" s="542"/>
      <c r="JT15" s="542"/>
      <c r="JU15" s="553"/>
      <c r="JV15" s="549"/>
      <c r="JW15" s="542"/>
      <c r="JX15" s="542"/>
      <c r="JY15" s="542"/>
      <c r="JZ15" s="542"/>
      <c r="KA15" s="542"/>
      <c r="KB15" s="542"/>
      <c r="KC15" s="542"/>
      <c r="KD15" s="542"/>
      <c r="KE15" s="542"/>
      <c r="KF15" s="542"/>
      <c r="KG15" s="542"/>
      <c r="KH15" s="542"/>
      <c r="KI15" s="542"/>
      <c r="KJ15" s="553"/>
      <c r="KK15" s="549"/>
      <c r="KL15" s="542"/>
      <c r="KM15" s="542"/>
      <c r="KN15" s="542"/>
      <c r="KO15" s="542"/>
      <c r="KP15" s="542"/>
      <c r="KQ15" s="542"/>
      <c r="KR15" s="542"/>
      <c r="KS15" s="542"/>
      <c r="KT15" s="542"/>
      <c r="KU15" s="542"/>
      <c r="KV15" s="542"/>
      <c r="KW15" s="542"/>
      <c r="KX15" s="542"/>
      <c r="KY15" s="542"/>
      <c r="KZ15" s="542"/>
      <c r="LA15" s="542"/>
      <c r="LB15" s="542"/>
    </row>
    <row r="16" spans="3:314" s="3" customFormat="1" ht="14.95" customHeight="1">
      <c r="C16" s="1437"/>
      <c r="D16" s="1437"/>
      <c r="E16" s="1437"/>
      <c r="F16" s="1437"/>
      <c r="G16" s="1437"/>
      <c r="H16" s="1396"/>
      <c r="I16" s="1396"/>
      <c r="J16" s="1396"/>
      <c r="K16" s="1396"/>
      <c r="L16" s="1396"/>
      <c r="M16" s="1396"/>
      <c r="N16" s="1396"/>
      <c r="O16" s="1396"/>
      <c r="P16" s="1396"/>
      <c r="Q16" s="1396"/>
      <c r="R16" s="1396"/>
      <c r="S16" s="1396"/>
      <c r="T16" s="1396"/>
      <c r="U16" s="1396"/>
      <c r="V16" s="1396"/>
      <c r="W16" s="1396"/>
      <c r="X16" s="1396"/>
      <c r="Y16" s="1396"/>
      <c r="Z16" s="1396"/>
      <c r="AA16" s="437"/>
      <c r="AB16" s="1396"/>
      <c r="AC16" s="1437"/>
      <c r="AD16" s="1437"/>
      <c r="AE16" s="1437"/>
      <c r="AF16" s="1437"/>
      <c r="AG16" s="1437"/>
      <c r="AH16" s="1396"/>
      <c r="AI16" s="89"/>
      <c r="AJ16" s="89"/>
      <c r="AK16" s="89"/>
      <c r="AL16" s="89"/>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8"/>
      <c r="BL16" s="18"/>
      <c r="BM16" s="18"/>
      <c r="BN16" s="427"/>
      <c r="BO16" s="427"/>
      <c r="BP16" s="16"/>
      <c r="BQ16" s="19"/>
      <c r="BR16" s="1566" t="str">
        <f>IF(_Project_2_Type="Retrofit","(fill in ALL yellow cells below)","(skip to ""Create New"" as existing fixtures are not required)")</f>
        <v>(fill in ALL yellow cells below)</v>
      </c>
      <c r="BS16" s="1566"/>
      <c r="BT16" s="1566"/>
      <c r="BU16" s="1566"/>
      <c r="BV16" s="1566"/>
      <c r="BW16" s="1566"/>
      <c r="BX16" s="1566"/>
      <c r="BY16" s="1566"/>
      <c r="BZ16" s="1566"/>
      <c r="CA16" s="1566"/>
      <c r="CB16" s="1566"/>
      <c r="CC16" s="1566"/>
      <c r="CD16" s="1566"/>
      <c r="CE16" s="1566"/>
      <c r="CF16" s="1566"/>
      <c r="CG16" s="1566"/>
      <c r="CH16" s="1566"/>
      <c r="CI16" s="1566"/>
      <c r="CJ16" s="1566"/>
      <c r="CK16" s="1566"/>
      <c r="CL16" s="1566"/>
      <c r="CM16" s="1566"/>
      <c r="CN16" s="1566"/>
      <c r="CO16" s="428"/>
      <c r="CP16" s="428"/>
      <c r="CQ16" s="428"/>
      <c r="CR16" s="428"/>
      <c r="CS16" s="428"/>
      <c r="CT16" s="15"/>
      <c r="CU16" s="1396"/>
      <c r="CV16" s="1396"/>
      <c r="CW16" s="1396"/>
      <c r="CX16" s="1396"/>
      <c r="CY16" s="1396"/>
      <c r="CZ16" s="5"/>
      <c r="DA16" s="5"/>
      <c r="DB16" s="5"/>
      <c r="DC16" s="1396"/>
      <c r="DD16" s="1396"/>
      <c r="DE16" s="1396"/>
      <c r="DF16" s="5"/>
      <c r="DG16" s="5"/>
      <c r="DH16" s="5"/>
      <c r="DI16" s="5"/>
      <c r="DJ16" s="5"/>
      <c r="DK16" s="49"/>
      <c r="DL16" s="18"/>
      <c r="DM16" s="18"/>
      <c r="DN16" s="427"/>
      <c r="DO16" s="427"/>
      <c r="DP16" s="16"/>
      <c r="DQ16" s="19"/>
      <c r="DR16" s="1566" t="s">
        <v>184</v>
      </c>
      <c r="DS16" s="1566"/>
      <c r="DT16" s="1566"/>
      <c r="DU16" s="1566"/>
      <c r="DV16" s="1566"/>
      <c r="DW16" s="1566"/>
      <c r="DX16" s="1566"/>
      <c r="DY16" s="1566"/>
      <c r="DZ16" s="1566"/>
      <c r="EA16" s="1566"/>
      <c r="EB16" s="1566"/>
      <c r="EC16" s="1566"/>
      <c r="ED16" s="1566"/>
      <c r="EE16" s="1566"/>
      <c r="EF16" s="1566"/>
      <c r="EG16" s="1566"/>
      <c r="EH16" s="1566"/>
      <c r="EI16" s="1566"/>
      <c r="EJ16" s="1566"/>
      <c r="EK16" s="1566"/>
      <c r="EL16" s="1566"/>
      <c r="EM16" s="1566"/>
      <c r="EN16" s="1566"/>
      <c r="EO16" s="428"/>
      <c r="EP16" s="428"/>
      <c r="EQ16" s="428"/>
      <c r="ER16" s="428"/>
      <c r="ES16" s="428"/>
      <c r="ET16" s="428"/>
      <c r="EU16" s="428"/>
      <c r="EV16" s="428"/>
      <c r="EW16" s="428"/>
      <c r="EX16" s="428"/>
      <c r="EY16" s="15"/>
      <c r="EZ16" s="1396"/>
      <c r="FA16" s="6"/>
      <c r="FB16" s="6"/>
      <c r="FC16" s="7"/>
      <c r="FD16" s="7"/>
      <c r="FE16" s="7"/>
      <c r="FF16" s="7"/>
      <c r="FG16" s="7"/>
      <c r="FH16" s="7"/>
      <c r="FI16" s="7"/>
      <c r="FJ16" s="7"/>
      <c r="FK16" s="550"/>
      <c r="FL16" s="550"/>
      <c r="FM16" s="548"/>
      <c r="FN16" s="542"/>
      <c r="FO16" s="542"/>
      <c r="FP16" s="542"/>
      <c r="FQ16" s="542"/>
      <c r="FR16" s="542"/>
      <c r="FS16" s="542"/>
      <c r="FT16" s="553"/>
      <c r="FU16" s="549"/>
      <c r="FV16" s="542"/>
      <c r="FW16" s="542"/>
      <c r="FX16" s="542"/>
      <c r="FY16" s="542"/>
      <c r="FZ16" s="542"/>
      <c r="GA16" s="542"/>
      <c r="GB16" s="542"/>
      <c r="GC16" s="542"/>
      <c r="GD16" s="542"/>
      <c r="GE16" s="542"/>
      <c r="GF16" s="542"/>
      <c r="GG16" s="542"/>
      <c r="GH16" s="542"/>
      <c r="GI16" s="553"/>
      <c r="GJ16" s="549"/>
      <c r="GK16" s="542"/>
      <c r="GL16" s="542"/>
      <c r="GM16" s="542"/>
      <c r="GN16" s="542"/>
      <c r="GO16" s="542"/>
      <c r="GP16" s="542"/>
      <c r="GQ16" s="542"/>
      <c r="GR16" s="542"/>
      <c r="GS16" s="542"/>
      <c r="GT16" s="542"/>
      <c r="GU16" s="542"/>
      <c r="GV16" s="542"/>
      <c r="GW16" s="542"/>
      <c r="GX16" s="553"/>
      <c r="GY16" s="549"/>
      <c r="GZ16" s="542"/>
      <c r="HA16" s="542"/>
      <c r="HB16" s="542"/>
      <c r="HC16" s="542"/>
      <c r="HD16" s="542"/>
      <c r="HE16" s="542"/>
      <c r="HF16" s="542"/>
      <c r="HG16" s="542"/>
      <c r="HH16" s="542"/>
      <c r="HI16" s="542"/>
      <c r="HJ16" s="542"/>
      <c r="HK16" s="542"/>
      <c r="HL16" s="542"/>
      <c r="HM16" s="553"/>
      <c r="HN16" s="549"/>
      <c r="HO16" s="542"/>
      <c r="HP16" s="542"/>
      <c r="HQ16" s="542"/>
      <c r="HR16" s="542"/>
      <c r="HS16" s="542"/>
      <c r="HT16" s="542"/>
      <c r="HU16" s="542"/>
      <c r="HV16" s="542"/>
      <c r="HW16" s="542"/>
      <c r="HX16" s="542"/>
      <c r="HY16" s="542"/>
      <c r="HZ16" s="542"/>
      <c r="IA16" s="542"/>
      <c r="IB16" s="553"/>
      <c r="IC16" s="549"/>
      <c r="ID16" s="542"/>
      <c r="IE16" s="542"/>
      <c r="IF16" s="542"/>
      <c r="IG16" s="542"/>
      <c r="IH16" s="542"/>
      <c r="II16" s="542"/>
      <c r="IJ16" s="542"/>
      <c r="IK16" s="542"/>
      <c r="IL16" s="542"/>
      <c r="IM16" s="542"/>
      <c r="IN16" s="542"/>
      <c r="IO16" s="542"/>
      <c r="IP16" s="542"/>
      <c r="IQ16" s="553"/>
      <c r="IR16" s="549"/>
      <c r="IS16" s="542"/>
      <c r="IT16" s="542"/>
      <c r="IU16" s="542"/>
      <c r="IV16" s="542"/>
      <c r="IW16" s="542"/>
      <c r="IX16" s="542"/>
      <c r="IY16" s="542"/>
      <c r="IZ16" s="542"/>
      <c r="JA16" s="542"/>
      <c r="JB16" s="542"/>
      <c r="JC16" s="542"/>
      <c r="JD16" s="542"/>
      <c r="JE16" s="542"/>
      <c r="JF16" s="553"/>
      <c r="JG16" s="549"/>
      <c r="JH16" s="542"/>
      <c r="JI16" s="542"/>
      <c r="JJ16" s="542"/>
      <c r="JK16" s="542"/>
      <c r="JL16" s="542"/>
      <c r="JM16" s="542"/>
      <c r="JN16" s="542"/>
      <c r="JO16" s="542"/>
      <c r="JP16" s="542"/>
      <c r="JQ16" s="542"/>
      <c r="JR16" s="542"/>
      <c r="JS16" s="542"/>
      <c r="JT16" s="542"/>
      <c r="JU16" s="553"/>
      <c r="JV16" s="549"/>
      <c r="JW16" s="542"/>
      <c r="JX16" s="542"/>
      <c r="JY16" s="542"/>
      <c r="JZ16" s="542"/>
      <c r="KA16" s="542"/>
      <c r="KB16" s="542"/>
      <c r="KC16" s="542"/>
      <c r="KD16" s="542"/>
      <c r="KE16" s="542"/>
      <c r="KF16" s="542"/>
      <c r="KG16" s="542"/>
      <c r="KH16" s="542"/>
      <c r="KI16" s="542"/>
      <c r="KJ16" s="553"/>
      <c r="KK16" s="549"/>
      <c r="KL16" s="542"/>
      <c r="KM16" s="542"/>
      <c r="KN16" s="542"/>
      <c r="KO16" s="542"/>
      <c r="KP16" s="542"/>
      <c r="KQ16" s="542"/>
      <c r="KR16" s="542"/>
      <c r="KS16" s="542"/>
      <c r="KT16" s="542"/>
      <c r="KU16" s="542"/>
      <c r="KV16" s="542"/>
      <c r="KW16" s="542"/>
      <c r="KX16" s="542"/>
      <c r="KY16" s="542"/>
      <c r="KZ16" s="542"/>
      <c r="LA16" s="542"/>
      <c r="LB16" s="542"/>
    </row>
    <row r="17" spans="1:316" s="3" customFormat="1" ht="5.0999999999999996" customHeight="1">
      <c r="A17" s="1396"/>
      <c r="B17" s="1396"/>
      <c r="C17" s="1396"/>
      <c r="D17" s="1396"/>
      <c r="E17" s="1396"/>
      <c r="F17" s="1396"/>
      <c r="G17" s="1396"/>
      <c r="H17" s="1396"/>
      <c r="I17" s="436"/>
      <c r="J17" s="17"/>
      <c r="K17" s="17"/>
      <c r="L17" s="17"/>
      <c r="M17" s="17"/>
      <c r="N17" s="17"/>
      <c r="O17" s="17"/>
      <c r="P17" s="17"/>
      <c r="Q17" s="17"/>
      <c r="R17" s="17"/>
      <c r="S17" s="17"/>
      <c r="T17" s="17"/>
      <c r="U17" s="17"/>
      <c r="V17" s="17"/>
      <c r="W17" s="17"/>
      <c r="X17" s="17"/>
      <c r="Y17" s="17"/>
      <c r="Z17" s="17"/>
      <c r="AA17" s="436"/>
      <c r="AB17" s="1396"/>
      <c r="AC17" s="1396"/>
      <c r="AD17" s="1396"/>
      <c r="AE17" s="1396"/>
      <c r="AF17" s="1396"/>
      <c r="AG17" s="1396"/>
      <c r="AH17" s="1396"/>
      <c r="AI17" s="436"/>
      <c r="AJ17" s="436"/>
      <c r="AK17" s="436"/>
      <c r="AL17" s="43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8"/>
      <c r="BL17" s="18"/>
      <c r="BM17" s="18"/>
      <c r="BN17" s="427"/>
      <c r="BO17" s="427"/>
      <c r="BP17" s="16"/>
      <c r="BQ17" s="19"/>
      <c r="BR17" s="436"/>
      <c r="BS17" s="436"/>
      <c r="BT17" s="436"/>
      <c r="BU17" s="436"/>
      <c r="BV17" s="436"/>
      <c r="BW17" s="436"/>
      <c r="BX17" s="436"/>
      <c r="BY17" s="436"/>
      <c r="BZ17" s="436"/>
      <c r="CA17" s="436"/>
      <c r="CB17" s="436"/>
      <c r="CC17" s="436"/>
      <c r="CD17" s="436"/>
      <c r="CE17" s="436"/>
      <c r="CF17" s="436"/>
      <c r="CG17" s="436"/>
      <c r="CH17" s="436"/>
      <c r="CI17" s="436"/>
      <c r="CJ17" s="436"/>
      <c r="CK17" s="436"/>
      <c r="CL17" s="436"/>
      <c r="CM17" s="436"/>
      <c r="CN17" s="436"/>
      <c r="CO17" s="428"/>
      <c r="CP17" s="428"/>
      <c r="CQ17" s="428"/>
      <c r="CR17" s="428"/>
      <c r="CS17" s="428"/>
      <c r="CT17" s="15"/>
      <c r="CU17" s="1396"/>
      <c r="CV17" s="1396"/>
      <c r="CW17" s="1396"/>
      <c r="CX17" s="1396"/>
      <c r="CY17" s="1396"/>
      <c r="CZ17" s="5"/>
      <c r="DA17" s="5"/>
      <c r="DB17" s="5"/>
      <c r="DC17" s="1396"/>
      <c r="DD17" s="1396"/>
      <c r="DE17" s="1396"/>
      <c r="DF17" s="5"/>
      <c r="DG17" s="5"/>
      <c r="DH17" s="5"/>
      <c r="DI17" s="5"/>
      <c r="DJ17" s="5"/>
      <c r="DK17" s="49"/>
      <c r="DL17" s="18"/>
      <c r="DM17" s="18"/>
      <c r="DN17" s="427"/>
      <c r="DO17" s="427"/>
      <c r="DP17" s="16"/>
      <c r="DQ17" s="19"/>
      <c r="DR17" s="436"/>
      <c r="DS17" s="436"/>
      <c r="DT17" s="436"/>
      <c r="DU17" s="436"/>
      <c r="DV17" s="436"/>
      <c r="DW17" s="436"/>
      <c r="DX17" s="436"/>
      <c r="DY17" s="436"/>
      <c r="DZ17" s="436"/>
      <c r="EA17" s="436"/>
      <c r="EB17" s="436"/>
      <c r="EC17" s="436"/>
      <c r="ED17" s="436"/>
      <c r="EE17" s="436"/>
      <c r="EF17" s="436"/>
      <c r="EG17" s="436"/>
      <c r="EH17" s="436"/>
      <c r="EI17" s="436"/>
      <c r="EJ17" s="436"/>
      <c r="EK17" s="436"/>
      <c r="EL17" s="436"/>
      <c r="EM17" s="436"/>
      <c r="EN17" s="436"/>
      <c r="EO17" s="428"/>
      <c r="EP17" s="428"/>
      <c r="EQ17" s="428"/>
      <c r="ER17" s="428"/>
      <c r="ES17" s="428"/>
      <c r="ET17" s="428"/>
      <c r="EU17" s="428"/>
      <c r="EV17" s="428"/>
      <c r="EW17" s="428"/>
      <c r="EX17" s="428"/>
      <c r="EY17" s="15"/>
      <c r="EZ17" s="1396"/>
      <c r="FA17" s="6"/>
      <c r="FB17" s="6"/>
      <c r="FC17" s="7"/>
      <c r="FD17" s="7"/>
      <c r="FE17" s="7"/>
      <c r="FF17" s="7"/>
      <c r="FG17" s="7"/>
      <c r="FH17" s="7"/>
      <c r="FI17" s="7"/>
      <c r="FJ17" s="7"/>
      <c r="FK17" s="548"/>
      <c r="FL17" s="548"/>
      <c r="FM17" s="548"/>
      <c r="FN17" s="542"/>
      <c r="FO17" s="542"/>
      <c r="FP17" s="542"/>
      <c r="FQ17" s="542"/>
      <c r="FR17" s="542"/>
      <c r="FS17" s="542"/>
      <c r="FT17" s="553"/>
      <c r="FU17" s="549"/>
      <c r="FV17" s="542"/>
      <c r="FW17" s="542"/>
      <c r="FX17" s="542"/>
      <c r="FY17" s="542"/>
      <c r="FZ17" s="542"/>
      <c r="GA17" s="542"/>
      <c r="GB17" s="542"/>
      <c r="GC17" s="542"/>
      <c r="GD17" s="542"/>
      <c r="GE17" s="542"/>
      <c r="GF17" s="542"/>
      <c r="GG17" s="542"/>
      <c r="GH17" s="542"/>
      <c r="GI17" s="553"/>
      <c r="GJ17" s="549"/>
      <c r="GK17" s="542"/>
      <c r="GL17" s="542"/>
      <c r="GM17" s="542"/>
      <c r="GN17" s="542"/>
      <c r="GO17" s="542"/>
      <c r="GP17" s="542"/>
      <c r="GQ17" s="542"/>
      <c r="GR17" s="542"/>
      <c r="GS17" s="542"/>
      <c r="GT17" s="542"/>
      <c r="GU17" s="542"/>
      <c r="GV17" s="542"/>
      <c r="GW17" s="542"/>
      <c r="GX17" s="553"/>
      <c r="GY17" s="549"/>
      <c r="GZ17" s="542"/>
      <c r="HA17" s="542"/>
      <c r="HB17" s="542"/>
      <c r="HC17" s="542"/>
      <c r="HD17" s="542"/>
      <c r="HE17" s="542"/>
      <c r="HF17" s="542"/>
      <c r="HG17" s="542"/>
      <c r="HH17" s="542"/>
      <c r="HI17" s="542"/>
      <c r="HJ17" s="542"/>
      <c r="HK17" s="542"/>
      <c r="HL17" s="542"/>
      <c r="HM17" s="553"/>
      <c r="HN17" s="549"/>
      <c r="HO17" s="542"/>
      <c r="HP17" s="542"/>
      <c r="HQ17" s="542"/>
      <c r="HR17" s="542"/>
      <c r="HS17" s="542"/>
      <c r="HT17" s="542"/>
      <c r="HU17" s="542"/>
      <c r="HV17" s="542"/>
      <c r="HW17" s="542"/>
      <c r="HX17" s="542"/>
      <c r="HY17" s="542"/>
      <c r="HZ17" s="542"/>
      <c r="IA17" s="542"/>
      <c r="IB17" s="553"/>
      <c r="IC17" s="549"/>
      <c r="ID17" s="542"/>
      <c r="IE17" s="542"/>
      <c r="IF17" s="542"/>
      <c r="IG17" s="542"/>
      <c r="IH17" s="542"/>
      <c r="II17" s="542"/>
      <c r="IJ17" s="542"/>
      <c r="IK17" s="542"/>
      <c r="IL17" s="542"/>
      <c r="IM17" s="542"/>
      <c r="IN17" s="542"/>
      <c r="IO17" s="542"/>
      <c r="IP17" s="542"/>
      <c r="IQ17" s="553"/>
      <c r="IR17" s="549"/>
      <c r="IS17" s="542"/>
      <c r="IT17" s="542"/>
      <c r="IU17" s="542"/>
      <c r="IV17" s="542"/>
      <c r="IW17" s="542"/>
      <c r="IX17" s="542"/>
      <c r="IY17" s="542"/>
      <c r="IZ17" s="542"/>
      <c r="JA17" s="542"/>
      <c r="JB17" s="542"/>
      <c r="JC17" s="542"/>
      <c r="JD17" s="542"/>
      <c r="JE17" s="542"/>
      <c r="JF17" s="553"/>
      <c r="JG17" s="549"/>
      <c r="JH17" s="542"/>
      <c r="JI17" s="542"/>
      <c r="JJ17" s="542"/>
      <c r="JK17" s="542"/>
      <c r="JL17" s="542"/>
      <c r="JM17" s="542"/>
      <c r="JN17" s="542"/>
      <c r="JO17" s="542"/>
      <c r="JP17" s="542"/>
      <c r="JQ17" s="542"/>
      <c r="JR17" s="542"/>
      <c r="JS17" s="542"/>
      <c r="JT17" s="542"/>
      <c r="JU17" s="553"/>
      <c r="JV17" s="549"/>
      <c r="JW17" s="542"/>
      <c r="JX17" s="542"/>
      <c r="JY17" s="542"/>
      <c r="JZ17" s="542"/>
      <c r="KA17" s="542"/>
      <c r="KB17" s="542"/>
      <c r="KC17" s="542"/>
      <c r="KD17" s="542"/>
      <c r="KE17" s="542"/>
      <c r="KF17" s="542"/>
      <c r="KG17" s="542"/>
      <c r="KH17" s="542"/>
      <c r="KI17" s="542"/>
      <c r="KJ17" s="553"/>
      <c r="KK17" s="549"/>
      <c r="KL17" s="542"/>
      <c r="KM17" s="542"/>
      <c r="KN17" s="542"/>
      <c r="KO17" s="542"/>
      <c r="KP17" s="542"/>
      <c r="KQ17" s="542"/>
      <c r="KR17" s="542"/>
      <c r="KS17" s="542"/>
      <c r="KT17" s="542"/>
      <c r="KU17" s="542"/>
      <c r="KV17" s="542"/>
      <c r="KW17" s="542"/>
      <c r="KX17" s="542"/>
      <c r="KY17" s="542"/>
      <c r="KZ17" s="542"/>
      <c r="LA17" s="542"/>
      <c r="LB17" s="542"/>
      <c r="LC17" s="1396"/>
      <c r="LD17" s="1396"/>
    </row>
    <row r="18" spans="1:316" ht="2.0499999999999998" customHeight="1">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T18" s="1441"/>
      <c r="CU18" s="1441"/>
      <c r="CV18" s="1441"/>
      <c r="CW18" s="1441"/>
      <c r="CX18" s="1441"/>
      <c r="CY18" s="1441"/>
      <c r="CZ18" s="1441"/>
      <c r="DA18" s="1441"/>
      <c r="DB18" s="1441"/>
      <c r="DC18" s="1441"/>
      <c r="DJ18" s="1441"/>
      <c r="DK18" s="1441"/>
      <c r="DL18" s="1441"/>
      <c r="DM18" s="1441"/>
      <c r="DN18" s="1441"/>
      <c r="DO18" s="1441"/>
      <c r="DP18" s="1441"/>
      <c r="DQ18" s="1441"/>
      <c r="DR18" s="1441"/>
      <c r="DS18" s="1441"/>
      <c r="DT18" s="1441"/>
      <c r="DU18" s="1441"/>
      <c r="DV18" s="1441"/>
      <c r="DW18" s="1441"/>
      <c r="DX18" s="1441"/>
      <c r="DY18" s="1441"/>
      <c r="DZ18" s="1441"/>
      <c r="EA18" s="1441"/>
      <c r="EB18" s="1441"/>
      <c r="EC18" s="1441"/>
      <c r="ED18" s="1441"/>
      <c r="EE18" s="1441"/>
      <c r="EF18" s="1441"/>
      <c r="EG18" s="1441"/>
      <c r="EH18" s="1441"/>
      <c r="EI18" s="1441"/>
      <c r="EJ18" s="1441"/>
      <c r="EK18" s="1441"/>
      <c r="EL18" s="1441"/>
      <c r="EM18" s="1441"/>
      <c r="EN18" s="1441"/>
      <c r="EO18" s="1441"/>
      <c r="EP18" s="1441"/>
      <c r="EQ18" s="1441"/>
      <c r="ER18" s="1441"/>
      <c r="ES18" s="1441"/>
      <c r="ET18" s="1441"/>
      <c r="EU18" s="1441"/>
      <c r="EV18" s="1441"/>
      <c r="EW18" s="1441"/>
      <c r="EX18" s="1441"/>
      <c r="EY18" s="1441"/>
      <c r="EZ18" s="1441"/>
      <c r="FA18" s="1441"/>
      <c r="FB18" s="1441"/>
      <c r="FC18" s="1441"/>
      <c r="FD18" s="1441"/>
      <c r="FK18" s="542"/>
      <c r="FL18" s="542"/>
      <c r="FM18" s="542"/>
      <c r="FN18" s="542"/>
      <c r="FO18" s="542"/>
      <c r="FP18" s="542"/>
      <c r="FQ18" s="542"/>
      <c r="FR18" s="542"/>
      <c r="FS18" s="542"/>
      <c r="FT18" s="553"/>
      <c r="FU18" s="549"/>
      <c r="FV18" s="542"/>
      <c r="FW18" s="542"/>
      <c r="FX18" s="542"/>
      <c r="FY18" s="542"/>
      <c r="FZ18" s="542"/>
      <c r="GA18" s="542"/>
      <c r="GB18" s="542"/>
      <c r="GC18" s="542"/>
      <c r="GD18" s="542"/>
      <c r="GE18" s="542"/>
      <c r="GF18" s="542"/>
      <c r="GG18" s="542"/>
      <c r="GH18" s="542"/>
      <c r="GI18" s="553"/>
      <c r="GJ18" s="549"/>
      <c r="GK18" s="542"/>
      <c r="GL18" s="542"/>
      <c r="GM18" s="542"/>
      <c r="GN18" s="542"/>
      <c r="GO18" s="542"/>
      <c r="GP18" s="542"/>
      <c r="GQ18" s="542"/>
      <c r="GR18" s="542"/>
      <c r="GS18" s="542"/>
      <c r="GT18" s="542"/>
      <c r="GU18" s="542"/>
      <c r="GV18" s="542"/>
      <c r="GW18" s="542"/>
      <c r="GX18" s="553"/>
      <c r="GY18" s="549"/>
      <c r="GZ18" s="542"/>
      <c r="HA18" s="542"/>
      <c r="HB18" s="542"/>
      <c r="HC18" s="542"/>
      <c r="HD18" s="542"/>
      <c r="HE18" s="542"/>
      <c r="HF18" s="542"/>
      <c r="HG18" s="542"/>
      <c r="HH18" s="542"/>
      <c r="HI18" s="542"/>
      <c r="HJ18" s="542"/>
      <c r="HK18" s="542"/>
      <c r="HL18" s="542"/>
      <c r="HM18" s="553"/>
      <c r="HN18" s="549"/>
      <c r="HO18" s="542"/>
      <c r="HP18" s="542"/>
      <c r="HQ18" s="542"/>
      <c r="HR18" s="542"/>
      <c r="HS18" s="542"/>
      <c r="HT18" s="542"/>
      <c r="HU18" s="542"/>
      <c r="HV18" s="542"/>
      <c r="HW18" s="542"/>
      <c r="HX18" s="542"/>
      <c r="HY18" s="542"/>
      <c r="HZ18" s="542"/>
      <c r="IA18" s="542"/>
      <c r="IB18" s="553"/>
      <c r="IC18" s="549"/>
      <c r="ID18" s="542"/>
      <c r="IE18" s="542"/>
      <c r="IF18" s="542"/>
      <c r="IG18" s="542"/>
      <c r="IH18" s="542"/>
      <c r="II18" s="542"/>
      <c r="IJ18" s="542"/>
      <c r="IK18" s="542"/>
      <c r="IL18" s="542"/>
      <c r="IM18" s="542"/>
      <c r="IN18" s="542"/>
      <c r="IO18" s="542"/>
      <c r="IP18" s="542"/>
      <c r="IQ18" s="553"/>
      <c r="IR18" s="549"/>
      <c r="IS18" s="542"/>
      <c r="IT18" s="542"/>
      <c r="IU18" s="542"/>
      <c r="IV18" s="542"/>
      <c r="IW18" s="542"/>
      <c r="IX18" s="542"/>
      <c r="IY18" s="542"/>
      <c r="IZ18" s="542"/>
      <c r="JA18" s="542"/>
      <c r="JB18" s="542"/>
      <c r="JC18" s="542"/>
      <c r="JD18" s="542"/>
      <c r="JE18" s="542"/>
      <c r="JF18" s="553"/>
      <c r="JG18" s="549"/>
      <c r="JH18" s="542"/>
      <c r="JI18" s="542"/>
      <c r="JJ18" s="542"/>
      <c r="JK18" s="542"/>
      <c r="JL18" s="542"/>
      <c r="JM18" s="542"/>
      <c r="JN18" s="542"/>
      <c r="JO18" s="542"/>
      <c r="JP18" s="542"/>
      <c r="JQ18" s="542"/>
      <c r="JR18" s="542"/>
      <c r="JS18" s="542"/>
      <c r="JT18" s="542"/>
      <c r="JU18" s="553"/>
      <c r="JV18" s="549"/>
      <c r="JW18" s="542"/>
      <c r="JX18" s="542"/>
      <c r="JY18" s="542"/>
      <c r="JZ18" s="542"/>
      <c r="KA18" s="542"/>
      <c r="KB18" s="542"/>
      <c r="KC18" s="542"/>
      <c r="KD18" s="542"/>
      <c r="KE18" s="542"/>
      <c r="KF18" s="542"/>
      <c r="KG18" s="542"/>
      <c r="KH18" s="542"/>
      <c r="KI18" s="542"/>
      <c r="KJ18" s="553"/>
      <c r="KK18" s="549"/>
      <c r="KL18" s="542"/>
      <c r="KM18" s="542"/>
      <c r="KN18" s="542"/>
      <c r="KO18" s="542"/>
      <c r="KP18" s="542"/>
      <c r="KQ18" s="542"/>
      <c r="KR18" s="542"/>
      <c r="KS18" s="542"/>
      <c r="KT18" s="542"/>
      <c r="KU18" s="542"/>
      <c r="KV18" s="542"/>
      <c r="KW18" s="542"/>
      <c r="KX18" s="542"/>
      <c r="KY18" s="542"/>
      <c r="KZ18" s="542"/>
      <c r="LA18" s="542"/>
      <c r="LB18" s="542"/>
    </row>
    <row r="19" spans="1:316" ht="5.0999999999999996" customHeight="1">
      <c r="BJ19" s="1442"/>
      <c r="BK19" s="1442"/>
      <c r="BL19" s="1442"/>
      <c r="BM19" s="1442"/>
      <c r="BN19" s="1442"/>
      <c r="BO19" s="1442"/>
      <c r="BP19" s="1442"/>
      <c r="BQ19" s="1442"/>
      <c r="BR19" s="1442"/>
      <c r="BS19" s="1442"/>
      <c r="BT19" s="1442"/>
      <c r="BU19" s="1442"/>
      <c r="BV19" s="1442"/>
      <c r="BW19" s="1442"/>
      <c r="BX19" s="1442"/>
      <c r="BY19" s="1442"/>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DL19" s="1442"/>
      <c r="DM19" s="1442"/>
      <c r="DN19" s="1442"/>
      <c r="DO19" s="1442"/>
      <c r="DP19" s="1442"/>
      <c r="DQ19" s="1442"/>
      <c r="DR19" s="1442"/>
      <c r="DS19" s="1442"/>
      <c r="DT19" s="1442"/>
      <c r="DU19" s="1442"/>
      <c r="DV19" s="1442"/>
      <c r="DW19" s="1442"/>
      <c r="DX19" s="1442"/>
      <c r="DY19" s="1442"/>
      <c r="DZ19" s="1442"/>
      <c r="EA19" s="1442"/>
      <c r="EB19" s="1442"/>
      <c r="EC19" s="1442"/>
      <c r="ED19" s="1442"/>
      <c r="EE19" s="1442"/>
      <c r="EF19" s="1442"/>
      <c r="EG19" s="1442"/>
      <c r="EH19" s="1442"/>
      <c r="EI19" s="1442"/>
      <c r="EJ19" s="1442"/>
      <c r="EK19" s="1442"/>
      <c r="EL19" s="1442"/>
      <c r="EM19" s="1442"/>
      <c r="EN19" s="1442"/>
      <c r="EO19" s="1442"/>
      <c r="EP19" s="1442"/>
      <c r="EQ19" s="1442"/>
      <c r="ER19" s="1442"/>
      <c r="ES19" s="1442"/>
      <c r="ET19" s="1442"/>
      <c r="EU19" s="1442"/>
      <c r="EV19" s="1442"/>
      <c r="EW19" s="1442"/>
      <c r="EX19" s="1442"/>
      <c r="EY19" s="1442"/>
      <c r="EZ19" s="1442"/>
      <c r="FA19" s="1442"/>
      <c r="FB19" s="12"/>
      <c r="FK19" s="542"/>
      <c r="FL19" s="542"/>
      <c r="FM19" s="542"/>
      <c r="FN19" s="542"/>
      <c r="FO19" s="542"/>
      <c r="FP19" s="542"/>
      <c r="FQ19" s="542"/>
      <c r="FR19" s="542"/>
      <c r="FS19" s="542"/>
      <c r="FT19" s="553"/>
      <c r="FU19" s="549"/>
      <c r="FV19" s="542"/>
      <c r="FW19" s="542"/>
      <c r="FX19" s="542"/>
      <c r="FY19" s="542"/>
      <c r="FZ19" s="542"/>
      <c r="GA19" s="542"/>
      <c r="GB19" s="542"/>
      <c r="GC19" s="542"/>
      <c r="GD19" s="542"/>
      <c r="GE19" s="542"/>
      <c r="GF19" s="542"/>
      <c r="GG19" s="542"/>
      <c r="GH19" s="542"/>
      <c r="GI19" s="553"/>
      <c r="GJ19" s="549"/>
      <c r="GK19" s="542"/>
      <c r="GL19" s="542"/>
      <c r="GM19" s="542"/>
      <c r="GN19" s="542"/>
      <c r="GO19" s="542"/>
      <c r="GP19" s="542"/>
      <c r="GQ19" s="542"/>
      <c r="GR19" s="542"/>
      <c r="GS19" s="542"/>
      <c r="GT19" s="542"/>
      <c r="GU19" s="542"/>
      <c r="GV19" s="542"/>
      <c r="GW19" s="542"/>
      <c r="GX19" s="553"/>
      <c r="GY19" s="549"/>
      <c r="GZ19" s="542"/>
      <c r="HA19" s="542"/>
      <c r="HB19" s="542"/>
      <c r="HC19" s="542"/>
      <c r="HD19" s="542"/>
      <c r="HE19" s="542"/>
      <c r="HF19" s="542"/>
      <c r="HG19" s="542"/>
      <c r="HH19" s="542"/>
      <c r="HI19" s="542"/>
      <c r="HJ19" s="542"/>
      <c r="HK19" s="542"/>
      <c r="HL19" s="542"/>
      <c r="HM19" s="553"/>
      <c r="HN19" s="549"/>
      <c r="HO19" s="542"/>
      <c r="HP19" s="542"/>
      <c r="HQ19" s="542"/>
      <c r="HR19" s="542"/>
      <c r="HS19" s="542"/>
      <c r="HT19" s="542"/>
      <c r="HU19" s="542"/>
      <c r="HV19" s="542"/>
      <c r="HW19" s="542"/>
      <c r="HX19" s="542"/>
      <c r="HY19" s="542"/>
      <c r="HZ19" s="542"/>
      <c r="IA19" s="542"/>
      <c r="IB19" s="553"/>
      <c r="IC19" s="549"/>
      <c r="ID19" s="542"/>
      <c r="IE19" s="542"/>
      <c r="IF19" s="542"/>
      <c r="IG19" s="542"/>
      <c r="IH19" s="542"/>
      <c r="II19" s="542"/>
      <c r="IJ19" s="542"/>
      <c r="IK19" s="542"/>
      <c r="IL19" s="542"/>
      <c r="IM19" s="542"/>
      <c r="IN19" s="542"/>
      <c r="IO19" s="542"/>
      <c r="IP19" s="542"/>
      <c r="IQ19" s="553"/>
      <c r="IR19" s="549"/>
      <c r="IS19" s="542"/>
      <c r="IT19" s="542"/>
      <c r="IU19" s="542"/>
      <c r="IV19" s="542"/>
      <c r="IW19" s="542"/>
      <c r="IX19" s="542"/>
      <c r="IY19" s="542"/>
      <c r="IZ19" s="542"/>
      <c r="JA19" s="542"/>
      <c r="JB19" s="542"/>
      <c r="JC19" s="542"/>
      <c r="JD19" s="542"/>
      <c r="JE19" s="542"/>
      <c r="JF19" s="553"/>
      <c r="JG19" s="549"/>
      <c r="JH19" s="542"/>
      <c r="JI19" s="542"/>
      <c r="JJ19" s="542"/>
      <c r="JK19" s="542"/>
      <c r="JL19" s="542"/>
      <c r="JM19" s="542"/>
      <c r="JN19" s="542"/>
      <c r="JO19" s="542"/>
      <c r="JP19" s="542"/>
      <c r="JQ19" s="542"/>
      <c r="JR19" s="542"/>
      <c r="JS19" s="542"/>
      <c r="JT19" s="542"/>
      <c r="JU19" s="553"/>
      <c r="JV19" s="549"/>
      <c r="JW19" s="542"/>
      <c r="JX19" s="542"/>
      <c r="JY19" s="542"/>
      <c r="JZ19" s="542"/>
      <c r="KA19" s="542"/>
      <c r="KB19" s="542"/>
      <c r="KC19" s="542"/>
      <c r="KD19" s="542"/>
      <c r="KE19" s="542"/>
      <c r="KF19" s="542"/>
      <c r="KG19" s="542"/>
      <c r="KH19" s="542"/>
      <c r="KI19" s="542"/>
      <c r="KJ19" s="553"/>
      <c r="KK19" s="549"/>
      <c r="KL19" s="542"/>
      <c r="KM19" s="542"/>
      <c r="KN19" s="542"/>
      <c r="KO19" s="542"/>
      <c r="KP19" s="542"/>
      <c r="KQ19" s="542"/>
      <c r="KR19" s="542"/>
      <c r="KS19" s="542"/>
      <c r="KT19" s="542"/>
      <c r="KU19" s="542"/>
      <c r="KV19" s="542"/>
      <c r="KW19" s="542"/>
      <c r="KX19" s="542"/>
      <c r="KY19" s="542"/>
      <c r="KZ19" s="542"/>
      <c r="LA19" s="542"/>
      <c r="LB19" s="542"/>
    </row>
    <row r="20" spans="1:316" ht="14.95" customHeight="1">
      <c r="A20" s="12"/>
      <c r="B20" s="12"/>
      <c r="C20" s="1433" t="s">
        <v>185</v>
      </c>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BL20" s="137"/>
      <c r="BM20" s="137"/>
      <c r="BN20" s="137"/>
      <c r="BO20" s="137"/>
      <c r="BP20" s="137"/>
      <c r="BQ20" s="137"/>
      <c r="BR20" s="137"/>
      <c r="BS20" s="137"/>
      <c r="BT20" s="137"/>
      <c r="BU20" s="137"/>
      <c r="BV20" s="137"/>
      <c r="BW20" s="1557" t="s">
        <v>186</v>
      </c>
      <c r="BX20" s="1557"/>
      <c r="BY20" s="1557"/>
      <c r="BZ20" s="1557"/>
      <c r="CA20" s="1557"/>
      <c r="CB20" s="1557"/>
      <c r="CC20" s="1557"/>
      <c r="CD20" s="1557"/>
      <c r="CE20" s="1557"/>
      <c r="CF20" s="1557"/>
      <c r="CG20" s="1557"/>
      <c r="CH20" s="1557"/>
      <c r="CI20" s="1557"/>
      <c r="CJ20" s="1557"/>
      <c r="CK20" s="1557"/>
      <c r="CL20" s="1557"/>
      <c r="CM20" s="1557"/>
      <c r="CN20" s="1557"/>
      <c r="CO20" s="1557"/>
      <c r="CP20" s="1557"/>
      <c r="CQ20" s="230"/>
      <c r="CR20" s="230"/>
      <c r="CS20" s="230"/>
      <c r="CT20" s="230"/>
      <c r="CU20" s="564"/>
      <c r="CV20" s="564"/>
      <c r="CW20" s="564"/>
      <c r="CX20" s="564"/>
      <c r="CY20" s="564"/>
      <c r="CZ20" s="564"/>
      <c r="DA20" s="564"/>
      <c r="DB20" s="564"/>
      <c r="DL20" s="9"/>
      <c r="DM20" s="9"/>
      <c r="DN20" s="9"/>
      <c r="DO20" s="9"/>
      <c r="DP20" s="9"/>
      <c r="DQ20" s="9"/>
      <c r="DR20" s="9"/>
      <c r="DS20" s="9"/>
      <c r="DT20" s="9"/>
      <c r="DU20" s="9"/>
      <c r="DV20" s="9"/>
      <c r="DW20" s="11"/>
      <c r="DX20" s="1557" t="s">
        <v>187</v>
      </c>
      <c r="DY20" s="1557"/>
      <c r="DZ20" s="1557"/>
      <c r="EA20" s="1557"/>
      <c r="EB20" s="1557"/>
      <c r="EC20" s="1557"/>
      <c r="ED20" s="1557"/>
      <c r="EE20" s="1557"/>
      <c r="EF20" s="1557"/>
      <c r="EG20" s="1557"/>
      <c r="EH20" s="1557"/>
      <c r="EI20" s="1557"/>
      <c r="EJ20" s="1557"/>
      <c r="EK20" s="1557"/>
      <c r="EL20" s="1557"/>
      <c r="EM20" s="1557"/>
      <c r="EN20" s="1557"/>
      <c r="EO20" s="1557"/>
      <c r="EP20" s="1557"/>
      <c r="EQ20" s="1557"/>
      <c r="ER20" s="1557"/>
      <c r="ES20" s="1557"/>
      <c r="ET20" s="1557"/>
      <c r="EU20" s="1557"/>
      <c r="EV20" s="1557"/>
      <c r="EW20" s="1557"/>
      <c r="EX20" s="1557"/>
      <c r="EY20" s="565"/>
      <c r="EZ20" s="9"/>
      <c r="FK20" s="544">
        <f>ROW(Installations!C47)</f>
        <v>47</v>
      </c>
      <c r="FL20" s="544"/>
      <c r="FM20" s="542"/>
      <c r="FN20" s="542"/>
      <c r="FO20" s="542"/>
      <c r="FP20" s="542"/>
      <c r="FQ20" s="542"/>
      <c r="FR20" s="542"/>
      <c r="FS20" s="542"/>
      <c r="FT20" s="553"/>
      <c r="FU20" s="549"/>
      <c r="FV20" s="542"/>
      <c r="FW20" s="542"/>
      <c r="FX20" s="542"/>
      <c r="FY20" s="542"/>
      <c r="FZ20" s="542"/>
      <c r="GA20" s="542"/>
      <c r="GB20" s="542"/>
      <c r="GC20" s="542"/>
      <c r="GD20" s="542"/>
      <c r="GE20" s="542"/>
      <c r="GF20" s="542"/>
      <c r="GG20" s="542"/>
      <c r="GH20" s="542"/>
      <c r="GI20" s="553"/>
      <c r="GJ20" s="549"/>
      <c r="GK20" s="542"/>
      <c r="GL20" s="542"/>
      <c r="GM20" s="542"/>
      <c r="GN20" s="542"/>
      <c r="GO20" s="542"/>
      <c r="GP20" s="542"/>
      <c r="GQ20" s="542"/>
      <c r="GR20" s="542"/>
      <c r="GS20" s="542"/>
      <c r="GT20" s="542"/>
      <c r="GU20" s="542"/>
      <c r="GV20" s="542"/>
      <c r="GW20" s="542"/>
      <c r="GX20" s="553"/>
      <c r="GY20" s="549"/>
      <c r="GZ20" s="542"/>
      <c r="HA20" s="542"/>
      <c r="HB20" s="542"/>
      <c r="HC20" s="542"/>
      <c r="HD20" s="542"/>
      <c r="HE20" s="542"/>
      <c r="HF20" s="542"/>
      <c r="HG20" s="542"/>
      <c r="HH20" s="542"/>
      <c r="HI20" s="542"/>
      <c r="HJ20" s="542"/>
      <c r="HK20" s="542"/>
      <c r="HL20" s="542"/>
      <c r="HM20" s="553"/>
      <c r="HN20" s="549"/>
      <c r="HO20" s="542"/>
      <c r="HP20" s="542"/>
      <c r="HQ20" s="542"/>
      <c r="HR20" s="542"/>
      <c r="HS20" s="542"/>
      <c r="HT20" s="542"/>
      <c r="HU20" s="542"/>
      <c r="HV20" s="542"/>
      <c r="HW20" s="542"/>
      <c r="HX20" s="542"/>
      <c r="HY20" s="542"/>
      <c r="HZ20" s="542"/>
      <c r="IA20" s="542"/>
      <c r="IB20" s="553"/>
      <c r="IC20" s="549"/>
      <c r="ID20" s="542"/>
      <c r="IE20" s="542"/>
      <c r="IF20" s="542"/>
      <c r="IG20" s="542"/>
      <c r="IH20" s="542"/>
      <c r="II20" s="542"/>
      <c r="IJ20" s="542"/>
      <c r="IK20" s="542"/>
      <c r="IL20" s="542"/>
      <c r="IM20" s="542"/>
      <c r="IN20" s="542"/>
      <c r="IO20" s="542"/>
      <c r="IP20" s="542"/>
      <c r="IQ20" s="553"/>
      <c r="IR20" s="549"/>
      <c r="IS20" s="542"/>
      <c r="IT20" s="542"/>
      <c r="IU20" s="542"/>
      <c r="IV20" s="542"/>
      <c r="IW20" s="542"/>
      <c r="IX20" s="542"/>
      <c r="IY20" s="542"/>
      <c r="IZ20" s="542"/>
      <c r="JA20" s="542"/>
      <c r="JB20" s="542"/>
      <c r="JC20" s="542"/>
      <c r="JD20" s="542"/>
      <c r="JE20" s="542"/>
      <c r="JF20" s="553"/>
      <c r="JG20" s="549"/>
      <c r="JH20" s="542"/>
      <c r="JI20" s="542"/>
      <c r="JJ20" s="542"/>
      <c r="JK20" s="542"/>
      <c r="JL20" s="542"/>
      <c r="JM20" s="542"/>
      <c r="JN20" s="542"/>
      <c r="JO20" s="542"/>
      <c r="JP20" s="542"/>
      <c r="JQ20" s="542"/>
      <c r="JR20" s="542"/>
      <c r="JS20" s="542"/>
      <c r="JT20" s="542"/>
      <c r="JU20" s="553"/>
      <c r="JV20" s="549"/>
      <c r="JW20" s="542"/>
      <c r="JX20" s="542"/>
      <c r="JY20" s="542"/>
      <c r="JZ20" s="542"/>
      <c r="KA20" s="542"/>
      <c r="KB20" s="542"/>
      <c r="KC20" s="542"/>
      <c r="KD20" s="542"/>
      <c r="KE20" s="542"/>
      <c r="KF20" s="542"/>
      <c r="KG20" s="542"/>
      <c r="KH20" s="542"/>
      <c r="KI20" s="542"/>
      <c r="KJ20" s="553"/>
      <c r="KK20" s="549"/>
      <c r="KL20" s="542"/>
      <c r="KM20" s="542"/>
      <c r="KN20" s="542"/>
      <c r="KO20" s="542"/>
      <c r="KP20" s="542"/>
      <c r="KQ20" s="542"/>
      <c r="KR20" s="542"/>
      <c r="KS20" s="542"/>
      <c r="KT20" s="542"/>
      <c r="KU20" s="542"/>
      <c r="KV20" s="542"/>
      <c r="KW20" s="542"/>
      <c r="KX20" s="542"/>
      <c r="KY20" s="542"/>
      <c r="KZ20" s="542"/>
      <c r="LA20" s="542"/>
      <c r="LB20" s="542"/>
    </row>
    <row r="21" spans="1:316" ht="5.0999999999999996" customHeight="1">
      <c r="A21" s="12"/>
      <c r="B21" s="12"/>
      <c r="C21" s="1433"/>
      <c r="D21" s="1433"/>
      <c r="E21" s="1433"/>
      <c r="F21" s="1433"/>
      <c r="G21" s="1433"/>
      <c r="H21" s="1433"/>
      <c r="I21" s="1433"/>
      <c r="J21" s="1433"/>
      <c r="K21" s="1433"/>
      <c r="L21" s="1433"/>
      <c r="M21" s="1433"/>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BL21" s="137"/>
      <c r="BM21" s="137"/>
      <c r="BN21" s="137"/>
      <c r="BO21" s="137"/>
      <c r="BP21" s="137"/>
      <c r="BQ21" s="137"/>
      <c r="BR21" s="137"/>
      <c r="BS21" s="137"/>
      <c r="BT21" s="137"/>
      <c r="BU21" s="137"/>
      <c r="BV21" s="137"/>
      <c r="BW21" s="1557"/>
      <c r="BX21" s="1557"/>
      <c r="BY21" s="1557"/>
      <c r="BZ21" s="1557"/>
      <c r="CA21" s="1557"/>
      <c r="CB21" s="1557"/>
      <c r="CC21" s="1557"/>
      <c r="CD21" s="1557"/>
      <c r="CE21" s="1557"/>
      <c r="CF21" s="1557"/>
      <c r="CG21" s="1557"/>
      <c r="CH21" s="1557"/>
      <c r="CI21" s="1557"/>
      <c r="CJ21" s="1557"/>
      <c r="CK21" s="1557"/>
      <c r="CL21" s="1557"/>
      <c r="CM21" s="1557"/>
      <c r="CN21" s="1557"/>
      <c r="CO21" s="1557"/>
      <c r="CP21" s="1557"/>
      <c r="CQ21" s="230"/>
      <c r="CR21" s="230"/>
      <c r="CS21" s="230"/>
      <c r="CT21" s="230"/>
      <c r="DL21" s="9"/>
      <c r="DM21" s="9"/>
      <c r="DN21" s="9"/>
      <c r="DO21" s="9"/>
      <c r="DP21" s="9"/>
      <c r="DQ21" s="9"/>
      <c r="DR21" s="9"/>
      <c r="DS21" s="9"/>
      <c r="DT21" s="9"/>
      <c r="DU21" s="9"/>
      <c r="DV21" s="9"/>
      <c r="DW21" s="11"/>
      <c r="DX21" s="1557"/>
      <c r="DY21" s="1557"/>
      <c r="DZ21" s="1557"/>
      <c r="EA21" s="1557"/>
      <c r="EB21" s="1557"/>
      <c r="EC21" s="1557"/>
      <c r="ED21" s="1557"/>
      <c r="EE21" s="1557"/>
      <c r="EF21" s="1557"/>
      <c r="EG21" s="1557"/>
      <c r="EH21" s="1557"/>
      <c r="EI21" s="1557"/>
      <c r="EJ21" s="1557"/>
      <c r="EK21" s="1557"/>
      <c r="EL21" s="1557"/>
      <c r="EM21" s="1557"/>
      <c r="EN21" s="1557"/>
      <c r="EO21" s="1557"/>
      <c r="EP21" s="1557"/>
      <c r="EQ21" s="1557"/>
      <c r="ER21" s="1557"/>
      <c r="ES21" s="1557"/>
      <c r="ET21" s="1557"/>
      <c r="EU21" s="1557"/>
      <c r="EV21" s="1557"/>
      <c r="EW21" s="1557"/>
      <c r="EX21" s="1557"/>
      <c r="EY21" s="565"/>
      <c r="EZ21" s="9"/>
      <c r="FK21" s="542"/>
      <c r="FL21" s="542"/>
      <c r="FM21" s="542"/>
      <c r="FN21" s="542"/>
      <c r="FO21" s="542"/>
      <c r="FP21" s="542"/>
      <c r="FQ21" s="542"/>
      <c r="FR21" s="542"/>
      <c r="FS21" s="542"/>
      <c r="FT21" s="553"/>
      <c r="FU21" s="549"/>
      <c r="FV21" s="542"/>
      <c r="FW21" s="542"/>
      <c r="FX21" s="542"/>
      <c r="FY21" s="542"/>
      <c r="FZ21" s="542"/>
      <c r="GA21" s="542"/>
      <c r="GB21" s="542"/>
      <c r="GC21" s="542"/>
      <c r="GD21" s="542"/>
      <c r="GE21" s="542"/>
      <c r="GF21" s="542"/>
      <c r="GG21" s="542"/>
      <c r="GH21" s="542"/>
      <c r="GI21" s="553"/>
      <c r="GJ21" s="549"/>
      <c r="GK21" s="542"/>
      <c r="GL21" s="542"/>
      <c r="GM21" s="542"/>
      <c r="GN21" s="542"/>
      <c r="GO21" s="542"/>
      <c r="GP21" s="542"/>
      <c r="GQ21" s="542"/>
      <c r="GR21" s="542"/>
      <c r="GS21" s="542"/>
      <c r="GT21" s="542"/>
      <c r="GU21" s="542"/>
      <c r="GV21" s="542"/>
      <c r="GW21" s="542"/>
      <c r="GX21" s="553"/>
      <c r="GY21" s="549"/>
      <c r="GZ21" s="542"/>
      <c r="HA21" s="542"/>
      <c r="HB21" s="542"/>
      <c r="HC21" s="542"/>
      <c r="HD21" s="542"/>
      <c r="HE21" s="542"/>
      <c r="HF21" s="542"/>
      <c r="HG21" s="542"/>
      <c r="HH21" s="542"/>
      <c r="HI21" s="542"/>
      <c r="HJ21" s="542"/>
      <c r="HK21" s="542"/>
      <c r="HL21" s="542"/>
      <c r="HM21" s="553"/>
      <c r="HN21" s="549"/>
      <c r="HO21" s="542"/>
      <c r="HP21" s="542"/>
      <c r="HQ21" s="542"/>
      <c r="HR21" s="542"/>
      <c r="HS21" s="542"/>
      <c r="HT21" s="542"/>
      <c r="HU21" s="542"/>
      <c r="HV21" s="542"/>
      <c r="HW21" s="542"/>
      <c r="HX21" s="542"/>
      <c r="HY21" s="542"/>
      <c r="HZ21" s="542"/>
      <c r="IA21" s="542"/>
      <c r="IB21" s="553"/>
      <c r="IC21" s="549"/>
      <c r="ID21" s="542"/>
      <c r="IE21" s="542"/>
      <c r="IF21" s="542"/>
      <c r="IG21" s="542"/>
      <c r="IH21" s="542"/>
      <c r="II21" s="542"/>
      <c r="IJ21" s="542"/>
      <c r="IK21" s="542"/>
      <c r="IL21" s="542"/>
      <c r="IM21" s="542"/>
      <c r="IN21" s="542"/>
      <c r="IO21" s="542"/>
      <c r="IP21" s="542"/>
      <c r="IQ21" s="553"/>
      <c r="IR21" s="549"/>
      <c r="IS21" s="542"/>
      <c r="IT21" s="542"/>
      <c r="IU21" s="542"/>
      <c r="IV21" s="542"/>
      <c r="IW21" s="542"/>
      <c r="IX21" s="542"/>
      <c r="IY21" s="542"/>
      <c r="IZ21" s="542"/>
      <c r="JA21" s="542"/>
      <c r="JB21" s="542"/>
      <c r="JC21" s="542"/>
      <c r="JD21" s="542"/>
      <c r="JE21" s="542"/>
      <c r="JF21" s="553"/>
      <c r="JG21" s="549"/>
      <c r="JH21" s="542"/>
      <c r="JI21" s="542"/>
      <c r="JJ21" s="542"/>
      <c r="JK21" s="542"/>
      <c r="JL21" s="542"/>
      <c r="JM21" s="542"/>
      <c r="JN21" s="542"/>
      <c r="JO21" s="542"/>
      <c r="JP21" s="542"/>
      <c r="JQ21" s="542"/>
      <c r="JR21" s="542"/>
      <c r="JS21" s="542"/>
      <c r="JT21" s="542"/>
      <c r="JU21" s="553"/>
      <c r="JV21" s="549"/>
      <c r="JW21" s="542"/>
      <c r="JX21" s="542"/>
      <c r="JY21" s="542"/>
      <c r="JZ21" s="542"/>
      <c r="KA21" s="542"/>
      <c r="KB21" s="542"/>
      <c r="KC21" s="542"/>
      <c r="KD21" s="542"/>
      <c r="KE21" s="542"/>
      <c r="KF21" s="542"/>
      <c r="KG21" s="542"/>
      <c r="KH21" s="542"/>
      <c r="KI21" s="542"/>
      <c r="KJ21" s="553"/>
      <c r="KK21" s="549"/>
      <c r="KL21" s="542"/>
      <c r="KM21" s="542"/>
      <c r="KN21" s="542"/>
      <c r="KO21" s="542"/>
      <c r="KP21" s="542"/>
      <c r="KQ21" s="542"/>
      <c r="KR21" s="542"/>
      <c r="KS21" s="542"/>
      <c r="KT21" s="542"/>
      <c r="KU21" s="542"/>
      <c r="KV21" s="542"/>
      <c r="KW21" s="542"/>
      <c r="KX21" s="542"/>
      <c r="KY21" s="542"/>
      <c r="KZ21" s="542"/>
      <c r="LA21" s="542"/>
      <c r="LB21" s="542"/>
    </row>
    <row r="22" spans="1:316">
      <c r="A22" s="12"/>
      <c r="B22" s="12"/>
      <c r="C22" s="1433"/>
      <c r="D22" s="1433"/>
      <c r="E22" s="1433"/>
      <c r="F22" s="1433"/>
      <c r="G22" s="1433"/>
      <c r="H22" s="1433"/>
      <c r="I22" s="1433"/>
      <c r="J22" s="1433"/>
      <c r="K22" s="1433"/>
      <c r="L22" s="1433"/>
      <c r="M22" s="1433"/>
      <c r="N22" s="1433"/>
      <c r="O22" s="1433"/>
      <c r="P22" s="1433"/>
      <c r="Q22" s="1433"/>
      <c r="R22" s="1433"/>
      <c r="S22" s="1433"/>
      <c r="T22" s="1433"/>
      <c r="U22" s="1433"/>
      <c r="V22" s="1433"/>
      <c r="W22" s="1433"/>
      <c r="X22" s="1433"/>
      <c r="Y22" s="1433"/>
      <c r="Z22" s="1433"/>
      <c r="AA22" s="1433"/>
      <c r="AB22" s="1433"/>
      <c r="AC22" s="1433"/>
      <c r="AD22" s="1433"/>
      <c r="AE22" s="1433"/>
      <c r="AF22" s="1433"/>
      <c r="AG22" s="1433"/>
      <c r="AH22" s="1433"/>
      <c r="BL22" s="9"/>
      <c r="BM22" s="9"/>
      <c r="BN22" s="9"/>
      <c r="BO22" s="9"/>
      <c r="BP22" s="9"/>
      <c r="BQ22" s="9"/>
      <c r="BR22" s="9"/>
      <c r="BS22" s="9"/>
      <c r="BT22" s="9"/>
      <c r="BU22" s="9"/>
      <c r="BV22" s="9"/>
      <c r="BW22" s="1557"/>
      <c r="BX22" s="1557"/>
      <c r="BY22" s="1557"/>
      <c r="BZ22" s="1557"/>
      <c r="CA22" s="1557"/>
      <c r="CB22" s="1557"/>
      <c r="CC22" s="1557"/>
      <c r="CD22" s="1557"/>
      <c r="CE22" s="1557"/>
      <c r="CF22" s="1557"/>
      <c r="CG22" s="1557"/>
      <c r="CH22" s="1557"/>
      <c r="CI22" s="1557"/>
      <c r="CJ22" s="1557"/>
      <c r="CK22" s="1557"/>
      <c r="CL22" s="1557"/>
      <c r="CM22" s="1557"/>
      <c r="CN22" s="1557"/>
      <c r="CO22" s="1557"/>
      <c r="CP22" s="1557"/>
      <c r="CQ22" s="230"/>
      <c r="CR22" s="230"/>
      <c r="CS22" s="230"/>
      <c r="CT22" s="230"/>
      <c r="DL22" s="9"/>
      <c r="DM22" s="9"/>
      <c r="DN22" s="9"/>
      <c r="DO22" s="9"/>
      <c r="DP22" s="9"/>
      <c r="DQ22" s="9"/>
      <c r="DR22" s="9"/>
      <c r="DS22" s="9"/>
      <c r="DT22" s="9"/>
      <c r="DU22" s="9"/>
      <c r="DV22" s="9"/>
      <c r="DW22" s="11"/>
      <c r="DX22" s="1557"/>
      <c r="DY22" s="1557"/>
      <c r="DZ22" s="1557"/>
      <c r="EA22" s="1557"/>
      <c r="EB22" s="1557"/>
      <c r="EC22" s="1557"/>
      <c r="ED22" s="1557"/>
      <c r="EE22" s="1557"/>
      <c r="EF22" s="1557"/>
      <c r="EG22" s="1557"/>
      <c r="EH22" s="1557"/>
      <c r="EI22" s="1557"/>
      <c r="EJ22" s="1557"/>
      <c r="EK22" s="1557"/>
      <c r="EL22" s="1557"/>
      <c r="EM22" s="1557"/>
      <c r="EN22" s="1557"/>
      <c r="EO22" s="1557"/>
      <c r="EP22" s="1557"/>
      <c r="EQ22" s="1557"/>
      <c r="ER22" s="1557"/>
      <c r="ES22" s="1557"/>
      <c r="ET22" s="1557"/>
      <c r="EU22" s="1557"/>
      <c r="EV22" s="1557"/>
      <c r="EW22" s="1557"/>
      <c r="EX22" s="1557"/>
      <c r="EY22" s="565"/>
      <c r="EZ22" s="9"/>
      <c r="FK22" s="542"/>
      <c r="FL22" s="542"/>
      <c r="FM22" s="542"/>
      <c r="FN22" s="542"/>
      <c r="FO22" s="542"/>
      <c r="FP22" s="542"/>
      <c r="FQ22" s="542"/>
      <c r="FR22" s="542"/>
      <c r="FS22" s="542"/>
      <c r="FT22" s="553"/>
      <c r="FU22" s="549"/>
      <c r="FV22" s="542"/>
      <c r="FW22" s="542"/>
      <c r="FX22" s="542"/>
      <c r="FY22" s="542"/>
      <c r="FZ22" s="542"/>
      <c r="GA22" s="542"/>
      <c r="GB22" s="542"/>
      <c r="GC22" s="542"/>
      <c r="GD22" s="542"/>
      <c r="GE22" s="542"/>
      <c r="GF22" s="542"/>
      <c r="GG22" s="542"/>
      <c r="GH22" s="542"/>
      <c r="GI22" s="553"/>
      <c r="GJ22" s="549"/>
      <c r="GK22" s="542"/>
      <c r="GL22" s="542"/>
      <c r="GM22" s="542"/>
      <c r="GN22" s="542"/>
      <c r="GO22" s="542"/>
      <c r="GP22" s="542"/>
      <c r="GQ22" s="542"/>
      <c r="GR22" s="542"/>
      <c r="GS22" s="542"/>
      <c r="GT22" s="542"/>
      <c r="GU22" s="542"/>
      <c r="GV22" s="542"/>
      <c r="GW22" s="542"/>
      <c r="GX22" s="553"/>
      <c r="GY22" s="549"/>
      <c r="GZ22" s="542"/>
      <c r="HA22" s="542"/>
      <c r="HB22" s="542"/>
      <c r="HC22" s="542"/>
      <c r="HD22" s="542"/>
      <c r="HE22" s="542"/>
      <c r="HF22" s="542"/>
      <c r="HG22" s="542"/>
      <c r="HH22" s="542"/>
      <c r="HI22" s="542"/>
      <c r="HJ22" s="542"/>
      <c r="HK22" s="542"/>
      <c r="HL22" s="542"/>
      <c r="HM22" s="553"/>
      <c r="HN22" s="549"/>
      <c r="HO22" s="542"/>
      <c r="HP22" s="542"/>
      <c r="HQ22" s="542"/>
      <c r="HR22" s="542"/>
      <c r="HS22" s="542"/>
      <c r="HT22" s="542"/>
      <c r="HU22" s="542"/>
      <c r="HV22" s="542"/>
      <c r="HW22" s="542"/>
      <c r="HX22" s="542"/>
      <c r="HY22" s="542"/>
      <c r="HZ22" s="542"/>
      <c r="IA22" s="542"/>
      <c r="IB22" s="553"/>
      <c r="IC22" s="549"/>
      <c r="ID22" s="542"/>
      <c r="IE22" s="542"/>
      <c r="IF22" s="542"/>
      <c r="IG22" s="542"/>
      <c r="IH22" s="542"/>
      <c r="II22" s="542"/>
      <c r="IJ22" s="542"/>
      <c r="IK22" s="542"/>
      <c r="IL22" s="542"/>
      <c r="IM22" s="542"/>
      <c r="IN22" s="542"/>
      <c r="IO22" s="542"/>
      <c r="IP22" s="542"/>
      <c r="IQ22" s="553"/>
      <c r="IR22" s="549"/>
      <c r="IS22" s="542"/>
      <c r="IT22" s="542"/>
      <c r="IU22" s="542"/>
      <c r="IV22" s="542"/>
      <c r="IW22" s="542"/>
      <c r="IX22" s="542"/>
      <c r="IY22" s="542"/>
      <c r="IZ22" s="542"/>
      <c r="JA22" s="542"/>
      <c r="JB22" s="542"/>
      <c r="JC22" s="542"/>
      <c r="JD22" s="542"/>
      <c r="JE22" s="542"/>
      <c r="JF22" s="553"/>
      <c r="JG22" s="549"/>
      <c r="JH22" s="542"/>
      <c r="JI22" s="542"/>
      <c r="JJ22" s="542"/>
      <c r="JK22" s="542"/>
      <c r="JL22" s="542"/>
      <c r="JM22" s="542"/>
      <c r="JN22" s="542"/>
      <c r="JO22" s="542"/>
      <c r="JP22" s="542"/>
      <c r="JQ22" s="542"/>
      <c r="JR22" s="542"/>
      <c r="JS22" s="542"/>
      <c r="JT22" s="542"/>
      <c r="JU22" s="553"/>
      <c r="JV22" s="549"/>
      <c r="JW22" s="542"/>
      <c r="JX22" s="542"/>
      <c r="JY22" s="542"/>
      <c r="JZ22" s="542"/>
      <c r="KA22" s="542"/>
      <c r="KB22" s="542"/>
      <c r="KC22" s="542"/>
      <c r="KD22" s="542"/>
      <c r="KE22" s="542"/>
      <c r="KF22" s="542"/>
      <c r="KG22" s="542"/>
      <c r="KH22" s="542"/>
      <c r="KI22" s="542"/>
      <c r="KJ22" s="553"/>
      <c r="KK22" s="549"/>
      <c r="KL22" s="542"/>
      <c r="KM22" s="542"/>
      <c r="KN22" s="542"/>
      <c r="KO22" s="542"/>
      <c r="KP22" s="542"/>
      <c r="KQ22" s="542"/>
      <c r="KR22" s="542"/>
      <c r="KS22" s="542"/>
      <c r="KT22" s="542"/>
      <c r="KU22" s="542"/>
      <c r="KV22" s="542"/>
      <c r="KW22" s="542"/>
      <c r="KX22" s="542"/>
      <c r="KY22" s="542"/>
      <c r="KZ22" s="542"/>
      <c r="LA22" s="542"/>
      <c r="LB22" s="542"/>
    </row>
    <row r="23" spans="1:316" ht="5.0999999999999996" customHeight="1">
      <c r="A23" s="12"/>
      <c r="B23" s="12"/>
      <c r="C23" s="1433"/>
      <c r="D23" s="1433"/>
      <c r="E23" s="1433"/>
      <c r="F23" s="1433"/>
      <c r="G23" s="1433"/>
      <c r="H23" s="1433"/>
      <c r="I23" s="1433"/>
      <c r="J23" s="1433"/>
      <c r="K23" s="1433"/>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BL23" s="9"/>
      <c r="BM23" s="9"/>
      <c r="BN23" s="9"/>
      <c r="BO23" s="9"/>
      <c r="BP23" s="9"/>
      <c r="BQ23" s="9"/>
      <c r="BR23" s="9"/>
      <c r="BS23" s="9"/>
      <c r="BT23" s="9"/>
      <c r="BU23" s="9"/>
      <c r="BV23" s="9"/>
      <c r="BW23" s="1557"/>
      <c r="BX23" s="1557"/>
      <c r="BY23" s="1557"/>
      <c r="BZ23" s="1557"/>
      <c r="CA23" s="1557"/>
      <c r="CB23" s="1557"/>
      <c r="CC23" s="1557"/>
      <c r="CD23" s="1557"/>
      <c r="CE23" s="1557"/>
      <c r="CF23" s="1557"/>
      <c r="CG23" s="1557"/>
      <c r="CH23" s="1557"/>
      <c r="CI23" s="1557"/>
      <c r="CJ23" s="1557"/>
      <c r="CK23" s="1557"/>
      <c r="CL23" s="1557"/>
      <c r="CM23" s="1557"/>
      <c r="CN23" s="1557"/>
      <c r="CO23" s="1557"/>
      <c r="CP23" s="1557"/>
      <c r="CQ23" s="230"/>
      <c r="CR23" s="230"/>
      <c r="CS23" s="230"/>
      <c r="CT23" s="230"/>
      <c r="DL23" s="9"/>
      <c r="DM23" s="9"/>
      <c r="DN23" s="9"/>
      <c r="DO23" s="9"/>
      <c r="DP23" s="9"/>
      <c r="DQ23" s="9"/>
      <c r="DR23" s="9"/>
      <c r="DS23" s="9"/>
      <c r="DT23" s="9"/>
      <c r="DU23" s="9"/>
      <c r="DV23" s="9"/>
      <c r="DW23" s="11"/>
      <c r="DX23" s="1557"/>
      <c r="DY23" s="1557"/>
      <c r="DZ23" s="1557"/>
      <c r="EA23" s="1557"/>
      <c r="EB23" s="1557"/>
      <c r="EC23" s="1557"/>
      <c r="ED23" s="1557"/>
      <c r="EE23" s="1557"/>
      <c r="EF23" s="1557"/>
      <c r="EG23" s="1557"/>
      <c r="EH23" s="1557"/>
      <c r="EI23" s="1557"/>
      <c r="EJ23" s="1557"/>
      <c r="EK23" s="1557"/>
      <c r="EL23" s="1557"/>
      <c r="EM23" s="1557"/>
      <c r="EN23" s="1557"/>
      <c r="EO23" s="1557"/>
      <c r="EP23" s="1557"/>
      <c r="EQ23" s="1557"/>
      <c r="ER23" s="1557"/>
      <c r="ES23" s="1557"/>
      <c r="ET23" s="1557"/>
      <c r="EU23" s="1557"/>
      <c r="EV23" s="1557"/>
      <c r="EW23" s="1557"/>
      <c r="EX23" s="1557"/>
      <c r="EY23" s="565"/>
      <c r="EZ23" s="9"/>
      <c r="FK23" s="544"/>
      <c r="FL23" s="544"/>
      <c r="FM23" s="544"/>
      <c r="FN23" s="544"/>
      <c r="FO23" s="544"/>
      <c r="FP23" s="542"/>
      <c r="FQ23" s="542"/>
      <c r="FR23" s="542"/>
      <c r="FS23" s="542"/>
      <c r="FT23" s="553"/>
      <c r="FU23" s="549"/>
      <c r="FV23" s="542"/>
      <c r="FW23" s="542"/>
      <c r="FX23" s="542"/>
      <c r="FY23" s="542"/>
      <c r="FZ23" s="542"/>
      <c r="GA23" s="542"/>
      <c r="GB23" s="542"/>
      <c r="GC23" s="542"/>
      <c r="GD23" s="542"/>
      <c r="GE23" s="542"/>
      <c r="GF23" s="542"/>
      <c r="GG23" s="542"/>
      <c r="GH23" s="542"/>
      <c r="GI23" s="553"/>
      <c r="GJ23" s="549"/>
      <c r="GK23" s="542"/>
      <c r="GL23" s="542"/>
      <c r="GM23" s="542"/>
      <c r="GN23" s="542"/>
      <c r="GO23" s="542"/>
      <c r="GP23" s="542"/>
      <c r="GQ23" s="542"/>
      <c r="GR23" s="542"/>
      <c r="GS23" s="542"/>
      <c r="GT23" s="542"/>
      <c r="GU23" s="542"/>
      <c r="GV23" s="542"/>
      <c r="GW23" s="542"/>
      <c r="GX23" s="553"/>
      <c r="GY23" s="549"/>
      <c r="GZ23" s="542"/>
      <c r="HA23" s="542"/>
      <c r="HB23" s="542"/>
      <c r="HC23" s="542"/>
      <c r="HD23" s="542"/>
      <c r="HE23" s="542"/>
      <c r="HF23" s="542"/>
      <c r="HG23" s="542"/>
      <c r="HH23" s="542"/>
      <c r="HI23" s="542"/>
      <c r="HJ23" s="542"/>
      <c r="HK23" s="542"/>
      <c r="HL23" s="542"/>
      <c r="HM23" s="553"/>
      <c r="HN23" s="549"/>
      <c r="HO23" s="542"/>
      <c r="HP23" s="542"/>
      <c r="HQ23" s="542"/>
      <c r="HR23" s="542"/>
      <c r="HS23" s="542"/>
      <c r="HT23" s="542"/>
      <c r="HU23" s="542"/>
      <c r="HV23" s="542"/>
      <c r="HW23" s="542"/>
      <c r="HX23" s="542"/>
      <c r="HY23" s="542"/>
      <c r="HZ23" s="542"/>
      <c r="IA23" s="542"/>
      <c r="IB23" s="553"/>
      <c r="IC23" s="549"/>
      <c r="ID23" s="542"/>
      <c r="IE23" s="542"/>
      <c r="IF23" s="542"/>
      <c r="IG23" s="542"/>
      <c r="IH23" s="542"/>
      <c r="II23" s="542"/>
      <c r="IJ23" s="542"/>
      <c r="IK23" s="542"/>
      <c r="IL23" s="542"/>
      <c r="IM23" s="542"/>
      <c r="IN23" s="542"/>
      <c r="IO23" s="542"/>
      <c r="IP23" s="542"/>
      <c r="IQ23" s="553"/>
      <c r="IR23" s="549"/>
      <c r="IS23" s="542"/>
      <c r="IT23" s="542"/>
      <c r="IU23" s="542"/>
      <c r="IV23" s="542"/>
      <c r="IW23" s="542"/>
      <c r="IX23" s="542"/>
      <c r="IY23" s="542"/>
      <c r="IZ23" s="542"/>
      <c r="JA23" s="542"/>
      <c r="JB23" s="542"/>
      <c r="JC23" s="542"/>
      <c r="JD23" s="542"/>
      <c r="JE23" s="542"/>
      <c r="JF23" s="553"/>
      <c r="JG23" s="549"/>
      <c r="JH23" s="542"/>
      <c r="JI23" s="542"/>
      <c r="JJ23" s="542"/>
      <c r="JK23" s="542"/>
      <c r="JL23" s="542"/>
      <c r="JM23" s="542"/>
      <c r="JN23" s="542"/>
      <c r="JO23" s="542"/>
      <c r="JP23" s="542"/>
      <c r="JQ23" s="542"/>
      <c r="JR23" s="542"/>
      <c r="JS23" s="542"/>
      <c r="JT23" s="542"/>
      <c r="JU23" s="553"/>
      <c r="JV23" s="549"/>
      <c r="JW23" s="542"/>
      <c r="JX23" s="542"/>
      <c r="JY23" s="542"/>
      <c r="JZ23" s="542"/>
      <c r="KA23" s="542"/>
      <c r="KB23" s="542"/>
      <c r="KC23" s="542"/>
      <c r="KD23" s="542"/>
      <c r="KE23" s="542"/>
      <c r="KF23" s="542"/>
      <c r="KG23" s="542"/>
      <c r="KH23" s="542"/>
      <c r="KI23" s="542"/>
      <c r="KJ23" s="553"/>
      <c r="KK23" s="549"/>
      <c r="KL23" s="542"/>
      <c r="KM23" s="542"/>
      <c r="KN23" s="542"/>
      <c r="KO23" s="542"/>
      <c r="KP23" s="542"/>
      <c r="KQ23" s="542"/>
      <c r="KR23" s="542"/>
      <c r="KS23" s="542"/>
      <c r="KT23" s="542"/>
      <c r="KU23" s="542"/>
      <c r="KV23" s="542"/>
      <c r="KW23" s="542"/>
      <c r="KX23" s="542"/>
      <c r="KY23" s="542"/>
      <c r="KZ23" s="542"/>
      <c r="LA23" s="542"/>
      <c r="LB23" s="542"/>
    </row>
    <row r="24" spans="1:316" ht="14.95" customHeight="1">
      <c r="A24" s="12"/>
      <c r="B24" s="12"/>
      <c r="C24" s="1433"/>
      <c r="D24" s="1433"/>
      <c r="E24" s="1433"/>
      <c r="F24" s="1433"/>
      <c r="G24" s="1433"/>
      <c r="H24" s="1433"/>
      <c r="I24" s="1433"/>
      <c r="J24" s="1433"/>
      <c r="K24" s="1433"/>
      <c r="L24" s="1433"/>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BL24" s="9"/>
      <c r="BM24" s="9"/>
      <c r="BN24" s="9"/>
      <c r="BO24" s="9"/>
      <c r="BP24" s="9"/>
      <c r="BQ24" s="9"/>
      <c r="BR24" s="9"/>
      <c r="BS24" s="9"/>
      <c r="BT24" s="9"/>
      <c r="BU24" s="9"/>
      <c r="BV24" s="9"/>
      <c r="BW24" s="1557"/>
      <c r="BX24" s="1557"/>
      <c r="BY24" s="1557"/>
      <c r="BZ24" s="1557"/>
      <c r="CA24" s="1557"/>
      <c r="CB24" s="1557"/>
      <c r="CC24" s="1557"/>
      <c r="CD24" s="1557"/>
      <c r="CE24" s="1557"/>
      <c r="CF24" s="1557"/>
      <c r="CG24" s="1557"/>
      <c r="CH24" s="1557"/>
      <c r="CI24" s="1557"/>
      <c r="CJ24" s="1557"/>
      <c r="CK24" s="1557"/>
      <c r="CL24" s="1557"/>
      <c r="CM24" s="1557"/>
      <c r="CN24" s="1557"/>
      <c r="CO24" s="1557"/>
      <c r="CP24" s="1557"/>
      <c r="CQ24" s="230"/>
      <c r="CR24" s="230"/>
      <c r="CS24" s="230"/>
      <c r="CT24" s="230"/>
      <c r="DL24" s="9"/>
      <c r="DM24" s="9"/>
      <c r="DN24" s="9"/>
      <c r="DO24" s="9"/>
      <c r="DP24" s="9"/>
      <c r="DQ24" s="9"/>
      <c r="DR24" s="9"/>
      <c r="DS24" s="9"/>
      <c r="DT24" s="9"/>
      <c r="DU24" s="9"/>
      <c r="DV24" s="9"/>
      <c r="DW24" s="11"/>
      <c r="DX24" s="1557"/>
      <c r="DY24" s="1557"/>
      <c r="DZ24" s="1557"/>
      <c r="EA24" s="1557"/>
      <c r="EB24" s="1557"/>
      <c r="EC24" s="1557"/>
      <c r="ED24" s="1557"/>
      <c r="EE24" s="1557"/>
      <c r="EF24" s="1557"/>
      <c r="EG24" s="1557"/>
      <c r="EH24" s="1557"/>
      <c r="EI24" s="1557"/>
      <c r="EJ24" s="1557"/>
      <c r="EK24" s="1557"/>
      <c r="EL24" s="1557"/>
      <c r="EM24" s="1557"/>
      <c r="EN24" s="1557"/>
      <c r="EO24" s="1557"/>
      <c r="EP24" s="1557"/>
      <c r="EQ24" s="1557"/>
      <c r="ER24" s="1557"/>
      <c r="ES24" s="1557"/>
      <c r="ET24" s="1557"/>
      <c r="EU24" s="1557"/>
      <c r="EV24" s="1557"/>
      <c r="EW24" s="1557"/>
      <c r="EX24" s="1557"/>
      <c r="EY24" s="565"/>
      <c r="EZ24" s="9"/>
      <c r="FK24" s="544">
        <v>2</v>
      </c>
      <c r="FL24" s="544">
        <v>5</v>
      </c>
      <c r="FM24" s="544"/>
      <c r="FN24" s="544"/>
      <c r="FO24" s="544"/>
      <c r="FP24" s="544"/>
      <c r="FQ24" s="544"/>
      <c r="FR24" s="544"/>
      <c r="FS24" s="544"/>
      <c r="FT24" s="555"/>
      <c r="FU24" s="554"/>
      <c r="FV24" s="544"/>
      <c r="FW24" s="544"/>
      <c r="FX24" s="544"/>
      <c r="FY24" s="544"/>
      <c r="FZ24" s="544"/>
      <c r="GA24" s="544"/>
      <c r="GB24" s="544"/>
      <c r="GC24" s="544"/>
      <c r="GD24" s="544"/>
      <c r="GE24" s="544"/>
      <c r="GF24" s="544"/>
      <c r="GG24" s="544"/>
      <c r="GH24" s="544"/>
      <c r="GI24" s="555"/>
      <c r="GJ24" s="554"/>
      <c r="GK24" s="544"/>
      <c r="GL24" s="544"/>
      <c r="GM24" s="544"/>
      <c r="GN24" s="544"/>
      <c r="GO24" s="544"/>
      <c r="GP24" s="544"/>
      <c r="GQ24" s="544"/>
      <c r="GR24" s="544"/>
      <c r="GS24" s="544"/>
      <c r="GT24" s="544"/>
      <c r="GU24" s="544"/>
      <c r="GV24" s="544"/>
      <c r="GW24" s="544"/>
      <c r="GX24" s="555"/>
      <c r="GY24" s="554"/>
      <c r="GZ24" s="544"/>
      <c r="HA24" s="544"/>
      <c r="HB24" s="544"/>
      <c r="HC24" s="544"/>
      <c r="HD24" s="544"/>
      <c r="HE24" s="544"/>
      <c r="HF24" s="544"/>
      <c r="HG24" s="544"/>
      <c r="HH24" s="544"/>
      <c r="HI24" s="544"/>
      <c r="HJ24" s="544"/>
      <c r="HK24" s="544"/>
      <c r="HL24" s="544"/>
      <c r="HM24" s="555"/>
      <c r="HN24" s="554"/>
      <c r="HO24" s="544"/>
      <c r="HP24" s="544"/>
      <c r="HQ24" s="544"/>
      <c r="HR24" s="544"/>
      <c r="HS24" s="544"/>
      <c r="HT24" s="544"/>
      <c r="HU24" s="544"/>
      <c r="HV24" s="544"/>
      <c r="HW24" s="544"/>
      <c r="HX24" s="544"/>
      <c r="HY24" s="544"/>
      <c r="HZ24" s="544"/>
      <c r="IA24" s="544"/>
      <c r="IB24" s="555"/>
      <c r="IC24" s="554"/>
      <c r="ID24" s="544"/>
      <c r="IE24" s="544"/>
      <c r="IF24" s="544"/>
      <c r="IG24" s="544"/>
      <c r="IH24" s="544"/>
      <c r="II24" s="544"/>
      <c r="IJ24" s="544"/>
      <c r="IK24" s="544"/>
      <c r="IL24" s="544"/>
      <c r="IM24" s="544"/>
      <c r="IN24" s="544"/>
      <c r="IO24" s="544"/>
      <c r="IP24" s="544"/>
      <c r="IQ24" s="555"/>
      <c r="IR24" s="554"/>
      <c r="IS24" s="544"/>
      <c r="IT24" s="544"/>
      <c r="IU24" s="544"/>
      <c r="IV24" s="544"/>
      <c r="IW24" s="544"/>
      <c r="IX24" s="544"/>
      <c r="IY24" s="544"/>
      <c r="IZ24" s="544"/>
      <c r="JA24" s="544"/>
      <c r="JB24" s="544"/>
      <c r="JC24" s="544"/>
      <c r="JD24" s="544"/>
      <c r="JE24" s="544"/>
      <c r="JF24" s="555"/>
      <c r="JG24" s="554"/>
      <c r="JH24" s="544"/>
      <c r="JI24" s="544"/>
      <c r="JJ24" s="544"/>
      <c r="JK24" s="544"/>
      <c r="JL24" s="544"/>
      <c r="JM24" s="544"/>
      <c r="JN24" s="544"/>
      <c r="JO24" s="544"/>
      <c r="JP24" s="544"/>
      <c r="JQ24" s="544"/>
      <c r="JR24" s="544"/>
      <c r="JS24" s="544"/>
      <c r="JT24" s="544"/>
      <c r="JU24" s="555"/>
      <c r="JV24" s="554"/>
      <c r="JW24" s="544"/>
      <c r="JX24" s="544"/>
      <c r="JY24" s="544"/>
      <c r="JZ24" s="544"/>
      <c r="KA24" s="544"/>
      <c r="KB24" s="544"/>
      <c r="KC24" s="544"/>
      <c r="KD24" s="544"/>
      <c r="KE24" s="544"/>
      <c r="KF24" s="544"/>
      <c r="KG24" s="544"/>
      <c r="KH24" s="544"/>
      <c r="KI24" s="544"/>
      <c r="KJ24" s="555"/>
      <c r="KK24" s="554"/>
      <c r="KL24" s="544"/>
      <c r="KM24" s="544"/>
      <c r="KN24" s="544"/>
      <c r="KO24" s="544"/>
      <c r="KP24" s="544"/>
      <c r="KQ24" s="544"/>
      <c r="KR24" s="544"/>
      <c r="KS24" s="544"/>
      <c r="KT24" s="544"/>
      <c r="KU24" s="544"/>
      <c r="KV24" s="544"/>
      <c r="KW24" s="544"/>
      <c r="KX24" s="544"/>
      <c r="KY24" s="544"/>
      <c r="KZ24" s="542"/>
      <c r="LA24" s="542"/>
      <c r="LB24" s="542"/>
      <c r="LC24" s="1667" t="s">
        <v>188</v>
      </c>
    </row>
    <row r="25" spans="1:316" ht="30.25" customHeight="1">
      <c r="A25" s="12"/>
      <c r="B25" s="12"/>
      <c r="C25" s="1560" t="str">
        <f>CONCATENATE(Project!V22," Fixture List")</f>
        <v xml:space="preserve"> Fixture List</v>
      </c>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BK25" s="48"/>
      <c r="BL25" s="9"/>
      <c r="BM25" s="9"/>
      <c r="BN25" s="9"/>
      <c r="BO25" s="9"/>
      <c r="BP25" s="9"/>
      <c r="BQ25" s="9"/>
      <c r="BR25" s="9"/>
      <c r="BS25" s="9"/>
      <c r="BT25" s="9"/>
      <c r="BU25" s="9"/>
      <c r="BV25" s="9"/>
      <c r="BW25" s="9"/>
      <c r="BX25" s="1562" t="s">
        <v>189</v>
      </c>
      <c r="BY25" s="1562"/>
      <c r="BZ25" s="1562"/>
      <c r="CA25" s="1562"/>
      <c r="CB25" s="1562" t="s">
        <v>190</v>
      </c>
      <c r="CC25" s="1562"/>
      <c r="CD25" s="1562"/>
      <c r="CE25" s="1562"/>
      <c r="CF25" s="1562" t="s">
        <v>191</v>
      </c>
      <c r="CG25" s="1562"/>
      <c r="CH25" s="1562"/>
      <c r="CI25" s="1562"/>
      <c r="CJ25" s="1562" t="s">
        <v>192</v>
      </c>
      <c r="CK25" s="1562"/>
      <c r="CL25" s="1562"/>
      <c r="CM25" s="1562"/>
      <c r="CN25" s="1561" t="s">
        <v>193</v>
      </c>
      <c r="CO25" s="1561"/>
      <c r="CP25" s="1603" t="s">
        <v>194</v>
      </c>
      <c r="CQ25" s="9"/>
      <c r="CR25" s="1561" t="s">
        <v>195</v>
      </c>
      <c r="CS25" s="1561"/>
      <c r="CT25" s="9"/>
      <c r="DK25" s="48"/>
      <c r="DL25" s="9"/>
      <c r="DM25" s="1570" t="s">
        <v>196</v>
      </c>
      <c r="DN25" s="9"/>
      <c r="DO25" s="9"/>
      <c r="DP25" s="9"/>
      <c r="DQ25" s="9"/>
      <c r="DR25" s="9"/>
      <c r="DS25" s="9"/>
      <c r="DT25" s="9"/>
      <c r="DU25" s="9"/>
      <c r="DV25" s="9"/>
      <c r="DW25" s="11"/>
      <c r="DX25" s="1562" t="s">
        <v>189</v>
      </c>
      <c r="DY25" s="1562"/>
      <c r="DZ25" s="1562"/>
      <c r="EA25" s="1562"/>
      <c r="EB25" s="1562" t="s">
        <v>197</v>
      </c>
      <c r="EC25" s="1562"/>
      <c r="ED25" s="1562"/>
      <c r="EE25" s="1562"/>
      <c r="EF25" s="1561" t="s">
        <v>198</v>
      </c>
      <c r="EG25" s="1562"/>
      <c r="EH25" s="1561" t="s">
        <v>199</v>
      </c>
      <c r="EI25" s="1562"/>
      <c r="EJ25" s="1562"/>
      <c r="EK25" s="1562"/>
      <c r="EL25" s="1562" t="s">
        <v>200</v>
      </c>
      <c r="EM25" s="1562"/>
      <c r="EN25" s="1562"/>
      <c r="EO25" s="1562"/>
      <c r="EP25" s="1561" t="s">
        <v>201</v>
      </c>
      <c r="EQ25" s="1562"/>
      <c r="ER25" s="1562" t="s">
        <v>202</v>
      </c>
      <c r="ES25" s="1562"/>
      <c r="ET25" s="1561" t="s">
        <v>203</v>
      </c>
      <c r="EU25" s="1562"/>
      <c r="EV25" s="1561" t="s">
        <v>193</v>
      </c>
      <c r="EW25" s="1561"/>
      <c r="EX25" s="1652" t="s">
        <v>204</v>
      </c>
      <c r="EY25" s="1571" t="s">
        <v>205</v>
      </c>
      <c r="EZ25" s="1571" t="s">
        <v>206</v>
      </c>
      <c r="FK25" s="426">
        <f>IF(__Retrofit_TI_NC=1,MATCH(FK10,Installations!$C:$C,0)+6,MATCH(FK10,Installations!$C:$C,0)+2)</f>
        <v>49</v>
      </c>
      <c r="FL25" s="426">
        <f>IF(__Retrofit_TI_NC=2,MATCH(FL10,Installations!$C:$C,0)+6,MATCH(FL10,Installations!$C:$C,0)+2)</f>
        <v>54</v>
      </c>
      <c r="FM25" s="426">
        <f>MATCH(FM10,Installations!$C:$C,0)+2</f>
        <v>59</v>
      </c>
      <c r="FN25" s="426">
        <f>MATCH(FN10,Installations!$C:$C,0)+2</f>
        <v>64</v>
      </c>
      <c r="FO25" s="426">
        <f>MATCH(FO10,Installations!$C:$C,0)+2</f>
        <v>69</v>
      </c>
      <c r="FP25" s="426">
        <f>MATCH(FP10,Installations!$C:$C,0)+2</f>
        <v>74</v>
      </c>
      <c r="FQ25" s="426">
        <f>MATCH(FQ10,Installations!$C:$C,0)+2</f>
        <v>79</v>
      </c>
      <c r="FR25" s="426">
        <f>MATCH(FR10,Installations!$C:$C,0)+2</f>
        <v>84</v>
      </c>
      <c r="FS25" s="426">
        <f>MATCH(FS10,Installations!$C:$C,0)+2</f>
        <v>89</v>
      </c>
      <c r="FT25" s="426">
        <f>MATCH(FT10,Installations!$C:$C,0)+2</f>
        <v>97</v>
      </c>
      <c r="FU25" s="426">
        <f>MATCH(FU10,Installations!$C:$C,0)+2</f>
        <v>102</v>
      </c>
      <c r="FV25" s="426">
        <f>MATCH(FV10,Installations!$C:$C,0)+2</f>
        <v>107</v>
      </c>
      <c r="FW25" s="426">
        <f>MATCH(FW10,Installations!$C:$C,0)+2</f>
        <v>112</v>
      </c>
      <c r="FX25" s="426">
        <f>MATCH(FX10,Installations!$C:$C,0)+2</f>
        <v>117</v>
      </c>
      <c r="FY25" s="426">
        <f>MATCH(FY10,Installations!$C:$C,0)+2</f>
        <v>122</v>
      </c>
      <c r="FZ25" s="426">
        <f>MATCH(FZ10,Installations!$C:$C,0)+2</f>
        <v>127</v>
      </c>
      <c r="GA25" s="426">
        <f>MATCH(GA10,Installations!$C:$C,0)+2</f>
        <v>132</v>
      </c>
      <c r="GB25" s="426">
        <f>MATCH(GB10,Installations!$C:$C,0)+2</f>
        <v>137</v>
      </c>
      <c r="GC25" s="426">
        <f>MATCH(GC10,Installations!$C:$C,0)+2</f>
        <v>142</v>
      </c>
      <c r="GD25" s="426">
        <f>MATCH(GD10,Installations!$C:$C,0)+2</f>
        <v>147</v>
      </c>
      <c r="GE25" s="426">
        <f>MATCH(GE10,Installations!$C:$C,0)+2</f>
        <v>152</v>
      </c>
      <c r="GF25" s="426">
        <f>MATCH(GF10,Installations!$C:$C,0)+2</f>
        <v>157</v>
      </c>
      <c r="GG25" s="426">
        <f>MATCH(GG10,Installations!$C:$C,0)+2</f>
        <v>162</v>
      </c>
      <c r="GH25" s="426">
        <f>MATCH(GH10,Installations!$C:$C,0)+2</f>
        <v>167</v>
      </c>
      <c r="GI25" s="426">
        <f>MATCH(GI10,Installations!$C:$C,0)+2</f>
        <v>175</v>
      </c>
      <c r="GJ25" s="426">
        <f>MATCH(GJ10,Installations!$C:$C,0)+2</f>
        <v>180</v>
      </c>
      <c r="GK25" s="426">
        <f>MATCH(GK10,Installations!$C:$C,0)+2</f>
        <v>185</v>
      </c>
      <c r="GL25" s="426">
        <f>MATCH(GL10,Installations!$C:$C,0)+2</f>
        <v>190</v>
      </c>
      <c r="GM25" s="426">
        <f>MATCH(GM10,Installations!$C:$C,0)+2</f>
        <v>195</v>
      </c>
      <c r="GN25" s="426">
        <f>MATCH(GN10,Installations!$C:$C,0)+2</f>
        <v>200</v>
      </c>
      <c r="GO25" s="426">
        <f>MATCH(GO10,Installations!$C:$C,0)+2</f>
        <v>205</v>
      </c>
      <c r="GP25" s="426">
        <f>MATCH(GP10,Installations!$C:$C,0)+2</f>
        <v>210</v>
      </c>
      <c r="GQ25" s="426">
        <f>MATCH(GQ10,Installations!$C:$C,0)+2</f>
        <v>215</v>
      </c>
      <c r="GR25" s="426">
        <f>MATCH(GR10,Installations!$C:$C,0)+2</f>
        <v>220</v>
      </c>
      <c r="GS25" s="426">
        <f>MATCH(GS10,Installations!$C:$C,0)+2</f>
        <v>225</v>
      </c>
      <c r="GT25" s="426">
        <f>MATCH(GT10,Installations!$C:$C,0)+2</f>
        <v>230</v>
      </c>
      <c r="GU25" s="426">
        <f>MATCH(GU10,Installations!$C:$C,0)+2</f>
        <v>235</v>
      </c>
      <c r="GV25" s="426">
        <f>MATCH(GV10,Installations!$C:$C,0)+2</f>
        <v>240</v>
      </c>
      <c r="GW25" s="426">
        <f>MATCH(GW10,Installations!$C:$C,0)+2</f>
        <v>245</v>
      </c>
      <c r="GX25" s="426">
        <f>MATCH(GX10,Installations!$C:$C,0)+2</f>
        <v>253</v>
      </c>
      <c r="GY25" s="426">
        <f>MATCH(GY10,Installations!$C:$C,0)+2</f>
        <v>258</v>
      </c>
      <c r="GZ25" s="426">
        <f>MATCH(GZ10,Installations!$C:$C,0)+2</f>
        <v>263</v>
      </c>
      <c r="HA25" s="426">
        <f>MATCH(HA10,Installations!$C:$C,0)+2</f>
        <v>268</v>
      </c>
      <c r="HB25" s="426">
        <f>MATCH(HB10,Installations!$C:$C,0)+2</f>
        <v>273</v>
      </c>
      <c r="HC25" s="426">
        <f>MATCH(HC10,Installations!$C:$C,0)+2</f>
        <v>278</v>
      </c>
      <c r="HD25" s="426">
        <f>MATCH(HD10,Installations!$C:$C,0)+2</f>
        <v>283</v>
      </c>
      <c r="HE25" s="426">
        <f>MATCH(HE10,Installations!$C:$C,0)+2</f>
        <v>288</v>
      </c>
      <c r="HF25" s="426">
        <f>MATCH(HF10,Installations!$C:$C,0)+2</f>
        <v>293</v>
      </c>
      <c r="HG25" s="426">
        <f>MATCH(HG10,Installations!$C:$C,0)+2</f>
        <v>298</v>
      </c>
      <c r="HH25" s="426">
        <f>MATCH(HH10,Installations!$C:$C,0)+2</f>
        <v>303</v>
      </c>
      <c r="HI25" s="426">
        <f>MATCH(HI10,Installations!$C:$C,0)+2</f>
        <v>308</v>
      </c>
      <c r="HJ25" s="426">
        <f>MATCH(HJ10,Installations!$C:$C,0)+2</f>
        <v>313</v>
      </c>
      <c r="HK25" s="426">
        <f>MATCH(HK10,Installations!$C:$C,0)+2</f>
        <v>318</v>
      </c>
      <c r="HL25" s="426">
        <f>MATCH(HL10,Installations!$C:$C,0)+2</f>
        <v>323</v>
      </c>
      <c r="HM25" s="426">
        <f>MATCH(HM10,Installations!$C:$C,0)+2</f>
        <v>331</v>
      </c>
      <c r="HN25" s="426">
        <f>MATCH(HN10,Installations!$C:$C,0)+2</f>
        <v>336</v>
      </c>
      <c r="HO25" s="426">
        <f>MATCH(HO10,Installations!$C:$C,0)+2</f>
        <v>341</v>
      </c>
      <c r="HP25" s="426">
        <f>MATCH(HP10,Installations!$C:$C,0)+2</f>
        <v>346</v>
      </c>
      <c r="HQ25" s="426">
        <f>MATCH(HQ10,Installations!$C:$C,0)+2</f>
        <v>351</v>
      </c>
      <c r="HR25" s="426">
        <f>MATCH(HR10,Installations!$C:$C,0)+2</f>
        <v>356</v>
      </c>
      <c r="HS25" s="426">
        <f>MATCH(HS10,Installations!$C:$C,0)+2</f>
        <v>361</v>
      </c>
      <c r="HT25" s="426">
        <f>MATCH(HT10,Installations!$C:$C,0)+2</f>
        <v>366</v>
      </c>
      <c r="HU25" s="426">
        <f>MATCH(HU10,Installations!$C:$C,0)+2</f>
        <v>371</v>
      </c>
      <c r="HV25" s="426">
        <f>MATCH(HV10,Installations!$C:$C,0)+2</f>
        <v>376</v>
      </c>
      <c r="HW25" s="426">
        <f>MATCH(HW10,Installations!$C:$C,0)+2</f>
        <v>381</v>
      </c>
      <c r="HX25" s="426">
        <f>MATCH(HX10,Installations!$C:$C,0)+2</f>
        <v>386</v>
      </c>
      <c r="HY25" s="426">
        <f>MATCH(HY10,Installations!$C:$C,0)+2</f>
        <v>391</v>
      </c>
      <c r="HZ25" s="426">
        <f>MATCH(HZ10,Installations!$C:$C,0)+2</f>
        <v>396</v>
      </c>
      <c r="IA25" s="426">
        <f>MATCH(IA10,Installations!$C:$C,0)+2</f>
        <v>401</v>
      </c>
      <c r="IB25" s="426">
        <f>MATCH(IB10,Installations!$C:$C,0)+2</f>
        <v>409</v>
      </c>
      <c r="IC25" s="426">
        <f>MATCH(IC10,Installations!$C:$C,0)+2</f>
        <v>414</v>
      </c>
      <c r="ID25" s="426">
        <f>MATCH(ID10,Installations!$C:$C,0)+2</f>
        <v>419</v>
      </c>
      <c r="IE25" s="426">
        <f>MATCH(IE10,Installations!$C:$C,0)+2</f>
        <v>424</v>
      </c>
      <c r="IF25" s="426">
        <f>MATCH(IF10,Installations!$C:$C,0)+2</f>
        <v>429</v>
      </c>
      <c r="IG25" s="426">
        <f>MATCH(IG10,Installations!$C:$C,0)+2</f>
        <v>434</v>
      </c>
      <c r="IH25" s="426">
        <f>MATCH(IH10,Installations!$C:$C,0)+2</f>
        <v>439</v>
      </c>
      <c r="II25" s="426">
        <f>MATCH(II10,Installations!$C:$C,0)+2</f>
        <v>444</v>
      </c>
      <c r="IJ25" s="426">
        <f>MATCH(IJ10,Installations!$C:$C,0)+2</f>
        <v>449</v>
      </c>
      <c r="IK25" s="426">
        <f>MATCH(IK10,Installations!$C:$C,0)+2</f>
        <v>454</v>
      </c>
      <c r="IL25" s="426">
        <f>MATCH(IL10,Installations!$C:$C,0)+2</f>
        <v>459</v>
      </c>
      <c r="IM25" s="426">
        <f>MATCH(IM10,Installations!$C:$C,0)+2</f>
        <v>464</v>
      </c>
      <c r="IN25" s="426">
        <f>MATCH(IN10,Installations!$C:$C,0)+2</f>
        <v>469</v>
      </c>
      <c r="IO25" s="426">
        <f>MATCH(IO10,Installations!$C:$C,0)+2</f>
        <v>474</v>
      </c>
      <c r="IP25" s="426">
        <f>MATCH(IP10,Installations!$C:$C,0)+2</f>
        <v>479</v>
      </c>
      <c r="IQ25" s="426">
        <f>MATCH(IQ10,Installations!$C:$C,0)+2</f>
        <v>487</v>
      </c>
      <c r="IR25" s="426">
        <f>MATCH(IR10,Installations!$C:$C,0)+2</f>
        <v>492</v>
      </c>
      <c r="IS25" s="426">
        <f>MATCH(IS10,Installations!$C:$C,0)+2</f>
        <v>497</v>
      </c>
      <c r="IT25" s="426">
        <f>MATCH(IT10,Installations!$C:$C,0)+2</f>
        <v>502</v>
      </c>
      <c r="IU25" s="426">
        <f>MATCH(IU10,Installations!$C:$C,0)+2</f>
        <v>507</v>
      </c>
      <c r="IV25" s="426">
        <f>MATCH(IV10,Installations!$C:$C,0)+2</f>
        <v>512</v>
      </c>
      <c r="IW25" s="426">
        <f>MATCH(IW10,Installations!$C:$C,0)+2</f>
        <v>517</v>
      </c>
      <c r="IX25" s="426">
        <f>MATCH(IX10,Installations!$C:$C,0)+2</f>
        <v>522</v>
      </c>
      <c r="IY25" s="426">
        <f>MATCH(IY10,Installations!$C:$C,0)+2</f>
        <v>527</v>
      </c>
      <c r="IZ25" s="426">
        <f>MATCH(IZ10,Installations!$C:$C,0)+2</f>
        <v>532</v>
      </c>
      <c r="JA25" s="426">
        <f>MATCH(JA10,Installations!$C:$C,0)+2</f>
        <v>537</v>
      </c>
      <c r="JB25" s="426">
        <f>MATCH(JB10,Installations!$C:$C,0)+2</f>
        <v>542</v>
      </c>
      <c r="JC25" s="426">
        <f>MATCH(JC10,Installations!$C:$C,0)+2</f>
        <v>547</v>
      </c>
      <c r="JD25" s="426">
        <f>MATCH(JD10,Installations!$C:$C,0)+2</f>
        <v>552</v>
      </c>
      <c r="JE25" s="426">
        <f>MATCH(JE10,Installations!$C:$C,0)+2</f>
        <v>557</v>
      </c>
      <c r="JF25" s="426">
        <f>MATCH(JF10,Installations!$C:$C,0)+2</f>
        <v>565</v>
      </c>
      <c r="JG25" s="426">
        <f>MATCH(JG10,Installations!$C:$C,0)+2</f>
        <v>570</v>
      </c>
      <c r="JH25" s="426">
        <f>MATCH(JH10,Installations!$C:$C,0)+2</f>
        <v>575</v>
      </c>
      <c r="JI25" s="426">
        <f>MATCH(JI10,Installations!$C:$C,0)+2</f>
        <v>580</v>
      </c>
      <c r="JJ25" s="426">
        <f>MATCH(JJ10,Installations!$C:$C,0)+2</f>
        <v>585</v>
      </c>
      <c r="JK25" s="426">
        <f>MATCH(JK10,Installations!$C:$C,0)+2</f>
        <v>590</v>
      </c>
      <c r="JL25" s="426">
        <f>MATCH(JL10,Installations!$C:$C,0)+2</f>
        <v>595</v>
      </c>
      <c r="JM25" s="426">
        <f>MATCH(JM10,Installations!$C:$C,0)+2</f>
        <v>600</v>
      </c>
      <c r="JN25" s="426">
        <f>MATCH(JN10,Installations!$C:$C,0)+2</f>
        <v>605</v>
      </c>
      <c r="JO25" s="426">
        <f>MATCH(JO10,Installations!$C:$C,0)+2</f>
        <v>610</v>
      </c>
      <c r="JP25" s="426">
        <f>MATCH(JP10,Installations!$C:$C,0)+2</f>
        <v>615</v>
      </c>
      <c r="JQ25" s="426">
        <f>MATCH(JQ10,Installations!$C:$C,0)+2</f>
        <v>620</v>
      </c>
      <c r="JR25" s="426">
        <f>MATCH(JR10,Installations!$C:$C,0)+2</f>
        <v>625</v>
      </c>
      <c r="JS25" s="426">
        <f>MATCH(JS10,Installations!$C:$C,0)+2</f>
        <v>630</v>
      </c>
      <c r="JT25" s="426">
        <f>MATCH(JT10,Installations!$C:$C,0)+2</f>
        <v>635</v>
      </c>
      <c r="JU25" s="426">
        <f>MATCH(JU10,Installations!$C:$C,0)+2</f>
        <v>643</v>
      </c>
      <c r="JV25" s="426">
        <f>MATCH(JV10,Installations!$C:$C,0)+2</f>
        <v>648</v>
      </c>
      <c r="JW25" s="426">
        <f>MATCH(JW10,Installations!$C:$C,0)+2</f>
        <v>653</v>
      </c>
      <c r="JX25" s="426">
        <f>MATCH(JX10,Installations!$C:$C,0)+2</f>
        <v>658</v>
      </c>
      <c r="JY25" s="426">
        <f>MATCH(JY10,Installations!$C:$C,0)+2</f>
        <v>663</v>
      </c>
      <c r="JZ25" s="426">
        <f>MATCH(JZ10,Installations!$C:$C,0)+2</f>
        <v>668</v>
      </c>
      <c r="KA25" s="426">
        <f>MATCH(KA10,Installations!$C:$C,0)+2</f>
        <v>673</v>
      </c>
      <c r="KB25" s="426">
        <f>MATCH(KB10,Installations!$C:$C,0)+2</f>
        <v>678</v>
      </c>
      <c r="KC25" s="426">
        <f>MATCH(KC10,Installations!$C:$C,0)+2</f>
        <v>683</v>
      </c>
      <c r="KD25" s="426">
        <f>MATCH(KD10,Installations!$C:$C,0)+2</f>
        <v>688</v>
      </c>
      <c r="KE25" s="426">
        <f>MATCH(KE10,Installations!$C:$C,0)+2</f>
        <v>693</v>
      </c>
      <c r="KF25" s="426">
        <f>MATCH(KF10,Installations!$C:$C,0)+2</f>
        <v>698</v>
      </c>
      <c r="KG25" s="426">
        <f>MATCH(KG10,Installations!$C:$C,0)+2</f>
        <v>703</v>
      </c>
      <c r="KH25" s="426">
        <f>MATCH(KH10,Installations!$C:$C,0)+2</f>
        <v>708</v>
      </c>
      <c r="KI25" s="426">
        <f>MATCH(KI10,Installations!$C:$C,0)+2</f>
        <v>713</v>
      </c>
      <c r="KJ25" s="426">
        <f>MATCH(KJ10,Installations!$C:$C,0)+2</f>
        <v>721</v>
      </c>
      <c r="KK25" s="426">
        <f>MATCH(KK10,Installations!$C:$C,0)+2</f>
        <v>726</v>
      </c>
      <c r="KL25" s="426">
        <f>MATCH(KL10,Installations!$C:$C,0)+2</f>
        <v>731</v>
      </c>
      <c r="KM25" s="426">
        <f>MATCH(KM10,Installations!$C:$C,0)+2</f>
        <v>736</v>
      </c>
      <c r="KN25" s="426">
        <f>MATCH(KN10,Installations!$C:$C,0)+2</f>
        <v>741</v>
      </c>
      <c r="KO25" s="426">
        <f>MATCH(KO10,Installations!$C:$C,0)+2</f>
        <v>746</v>
      </c>
      <c r="KP25" s="426">
        <f>MATCH(KP10,Installations!$C:$C,0)+2</f>
        <v>751</v>
      </c>
      <c r="KQ25" s="426">
        <f>MATCH(KQ10,Installations!$C:$C,0)+2</f>
        <v>756</v>
      </c>
      <c r="KR25" s="426">
        <f>MATCH(KR10,Installations!$C:$C,0)+2</f>
        <v>761</v>
      </c>
      <c r="KS25" s="426">
        <f>MATCH(KS10,Installations!$C:$C,0)+2</f>
        <v>766</v>
      </c>
      <c r="KT25" s="426">
        <f>MATCH(KT10,Installations!$C:$C,0)+2</f>
        <v>771</v>
      </c>
      <c r="KU25" s="426">
        <f>MATCH(KU10,Installations!$C:$C,0)+2</f>
        <v>776</v>
      </c>
      <c r="KV25" s="426">
        <f>MATCH(KV10,Installations!$C:$C,0)+2</f>
        <v>781</v>
      </c>
      <c r="KW25" s="426">
        <f>MATCH(KW10,Installations!$C:$C,0)+2</f>
        <v>786</v>
      </c>
      <c r="KX25" s="426">
        <f>MATCH(KX10,Installations!$C:$C,0)+2</f>
        <v>791</v>
      </c>
      <c r="KY25" s="426"/>
      <c r="KZ25" s="542"/>
      <c r="LA25" s="542"/>
      <c r="LB25" s="542"/>
      <c r="LC25" s="1667"/>
    </row>
    <row r="26" spans="1:316" ht="30.25" customHeight="1" thickBot="1">
      <c r="E26" s="1567" t="s">
        <v>207</v>
      </c>
      <c r="F26" s="1567"/>
      <c r="G26" s="1567"/>
      <c r="H26" s="1567"/>
      <c r="I26" s="1567"/>
      <c r="J26" s="1567"/>
      <c r="K26" s="1567"/>
      <c r="L26" s="1567"/>
      <c r="R26" s="1567" t="s">
        <v>208</v>
      </c>
      <c r="S26" s="1567"/>
      <c r="T26" s="1567"/>
      <c r="U26" s="1567"/>
      <c r="V26" s="1567"/>
      <c r="W26" s="1567"/>
      <c r="X26" s="1567"/>
      <c r="AA26" s="566"/>
      <c r="AB26" s="487"/>
      <c r="AD26" s="487"/>
      <c r="AE26" s="487"/>
      <c r="AF26" s="487"/>
      <c r="AG26" s="487"/>
      <c r="AH26" s="487"/>
      <c r="BL26" s="9"/>
      <c r="BM26" s="9"/>
      <c r="BN26" s="9"/>
      <c r="BO26" s="9"/>
      <c r="BP26" s="9"/>
      <c r="BQ26" s="9"/>
      <c r="BR26" s="9"/>
      <c r="BS26" s="9"/>
      <c r="BT26" s="9"/>
      <c r="BU26" s="9"/>
      <c r="BV26" s="9"/>
      <c r="BW26" s="9"/>
      <c r="BX26" s="1635"/>
      <c r="BY26" s="1635"/>
      <c r="BZ26" s="1635"/>
      <c r="CA26" s="1635"/>
      <c r="CB26" s="1635"/>
      <c r="CC26" s="1635"/>
      <c r="CD26" s="1635"/>
      <c r="CE26" s="1635"/>
      <c r="CF26" s="1635"/>
      <c r="CG26" s="1635"/>
      <c r="CH26" s="1635"/>
      <c r="CI26" s="1635"/>
      <c r="CJ26" s="1635"/>
      <c r="CK26" s="1635"/>
      <c r="CL26" s="1635"/>
      <c r="CM26" s="1635"/>
      <c r="CN26" s="1636"/>
      <c r="CO26" s="1636"/>
      <c r="CP26" s="1637"/>
      <c r="CQ26" s="9"/>
      <c r="CR26" s="1561"/>
      <c r="CS26" s="1561"/>
      <c r="CT26" s="9"/>
      <c r="CZ26" s="44" t="s">
        <v>209</v>
      </c>
      <c r="DA26" s="44" t="s">
        <v>210</v>
      </c>
      <c r="DB26" s="44" t="s">
        <v>211</v>
      </c>
      <c r="DL26" s="9"/>
      <c r="DM26" s="1570"/>
      <c r="DN26" s="9"/>
      <c r="DO26" s="9"/>
      <c r="DP26" s="9"/>
      <c r="DQ26" s="9"/>
      <c r="DR26" s="9"/>
      <c r="DS26" s="9"/>
      <c r="DT26" s="9"/>
      <c r="DU26" s="9"/>
      <c r="DV26" s="9"/>
      <c r="DW26" s="11"/>
      <c r="DX26" s="1562"/>
      <c r="DY26" s="1562"/>
      <c r="DZ26" s="1562"/>
      <c r="EA26" s="1562"/>
      <c r="EB26" s="1562"/>
      <c r="EC26" s="1562"/>
      <c r="ED26" s="1562"/>
      <c r="EE26" s="1562"/>
      <c r="EF26" s="1562"/>
      <c r="EG26" s="1562"/>
      <c r="EH26" s="1562"/>
      <c r="EI26" s="1562"/>
      <c r="EJ26" s="1562"/>
      <c r="EK26" s="1562"/>
      <c r="EL26" s="1562"/>
      <c r="EM26" s="1562"/>
      <c r="EN26" s="1562"/>
      <c r="EO26" s="1562"/>
      <c r="EP26" s="1562"/>
      <c r="EQ26" s="1562"/>
      <c r="ER26" s="1562"/>
      <c r="ES26" s="1562"/>
      <c r="ET26" s="1562"/>
      <c r="EU26" s="1562"/>
      <c r="EV26" s="1561"/>
      <c r="EW26" s="1561"/>
      <c r="EX26" s="1652"/>
      <c r="EY26" s="1571"/>
      <c r="EZ26" s="1571"/>
      <c r="FK26" s="603"/>
      <c r="FL26" s="603"/>
      <c r="FM26" s="603"/>
      <c r="FN26" s="603"/>
      <c r="FO26" s="603"/>
      <c r="FP26" s="603"/>
      <c r="FQ26" s="603"/>
      <c r="FR26" s="603"/>
      <c r="FS26" s="603"/>
      <c r="FT26" s="557"/>
      <c r="FU26" s="556"/>
      <c r="FV26" s="603"/>
      <c r="FW26" s="603"/>
      <c r="FX26" s="603"/>
      <c r="FY26" s="603"/>
      <c r="FZ26" s="603"/>
      <c r="GA26" s="603"/>
      <c r="GB26" s="603"/>
      <c r="GC26" s="603"/>
      <c r="GD26" s="603"/>
      <c r="GE26" s="603"/>
      <c r="GF26" s="603"/>
      <c r="GG26" s="603"/>
      <c r="GH26" s="603"/>
      <c r="GI26" s="557"/>
      <c r="GJ26" s="556"/>
      <c r="GK26" s="603"/>
      <c r="GL26" s="603"/>
      <c r="GM26" s="603"/>
      <c r="GN26" s="603"/>
      <c r="GO26" s="603"/>
      <c r="GP26" s="603"/>
      <c r="GQ26" s="603"/>
      <c r="GR26" s="603"/>
      <c r="GS26" s="603"/>
      <c r="GT26" s="603"/>
      <c r="GU26" s="603"/>
      <c r="GV26" s="603"/>
      <c r="GW26" s="603"/>
      <c r="GX26" s="557"/>
      <c r="GY26" s="556"/>
      <c r="GZ26" s="603"/>
      <c r="HA26" s="603"/>
      <c r="HB26" s="603"/>
      <c r="HC26" s="603"/>
      <c r="HD26" s="603"/>
      <c r="HE26" s="603"/>
      <c r="HF26" s="603"/>
      <c r="HG26" s="603"/>
      <c r="HH26" s="603"/>
      <c r="HI26" s="603"/>
      <c r="HJ26" s="603"/>
      <c r="HK26" s="603"/>
      <c r="HL26" s="603"/>
      <c r="HM26" s="557"/>
      <c r="HN26" s="556"/>
      <c r="HO26" s="603"/>
      <c r="HP26" s="603"/>
      <c r="HQ26" s="603"/>
      <c r="HR26" s="603"/>
      <c r="HS26" s="603"/>
      <c r="HT26" s="603"/>
      <c r="HU26" s="603"/>
      <c r="HV26" s="603"/>
      <c r="HW26" s="603"/>
      <c r="HX26" s="603"/>
      <c r="HY26" s="603"/>
      <c r="HZ26" s="603"/>
      <c r="IA26" s="603"/>
      <c r="IB26" s="557"/>
      <c r="IC26" s="556"/>
      <c r="ID26" s="603"/>
      <c r="IE26" s="603"/>
      <c r="IF26" s="603"/>
      <c r="IG26" s="603"/>
      <c r="IH26" s="603"/>
      <c r="II26" s="603"/>
      <c r="IJ26" s="603"/>
      <c r="IK26" s="603"/>
      <c r="IL26" s="603"/>
      <c r="IM26" s="603"/>
      <c r="IN26" s="603"/>
      <c r="IO26" s="603"/>
      <c r="IP26" s="603"/>
      <c r="IQ26" s="557"/>
      <c r="IR26" s="556"/>
      <c r="IS26" s="603"/>
      <c r="IT26" s="603"/>
      <c r="IU26" s="603"/>
      <c r="IV26" s="603"/>
      <c r="IW26" s="603"/>
      <c r="IX26" s="603"/>
      <c r="IY26" s="603"/>
      <c r="IZ26" s="603"/>
      <c r="JA26" s="603"/>
      <c r="JB26" s="603"/>
      <c r="JC26" s="603"/>
      <c r="JD26" s="603"/>
      <c r="JE26" s="603"/>
      <c r="JF26" s="557"/>
      <c r="JG26" s="556"/>
      <c r="JH26" s="603"/>
      <c r="JI26" s="603"/>
      <c r="JJ26" s="603"/>
      <c r="JK26" s="603"/>
      <c r="JL26" s="603"/>
      <c r="JM26" s="603"/>
      <c r="JN26" s="603"/>
      <c r="JO26" s="603"/>
      <c r="JP26" s="603"/>
      <c r="JQ26" s="603"/>
      <c r="JR26" s="603"/>
      <c r="JS26" s="603"/>
      <c r="JT26" s="603"/>
      <c r="JU26" s="557"/>
      <c r="JV26" s="556"/>
      <c r="JW26" s="603"/>
      <c r="JX26" s="603"/>
      <c r="JY26" s="603"/>
      <c r="JZ26" s="603"/>
      <c r="KA26" s="603"/>
      <c r="KB26" s="603"/>
      <c r="KC26" s="603"/>
      <c r="KD26" s="603"/>
      <c r="KE26" s="603"/>
      <c r="KF26" s="603"/>
      <c r="KG26" s="603"/>
      <c r="KH26" s="603"/>
      <c r="KI26" s="603"/>
      <c r="KJ26" s="557"/>
      <c r="KK26" s="556"/>
      <c r="KL26" s="603"/>
      <c r="KM26" s="603"/>
      <c r="KN26" s="603"/>
      <c r="KO26" s="603"/>
      <c r="KP26" s="603"/>
      <c r="KQ26" s="603"/>
      <c r="KR26" s="603"/>
      <c r="KS26" s="603"/>
      <c r="KT26" s="603"/>
      <c r="KU26" s="603"/>
      <c r="KV26" s="542"/>
      <c r="KW26" s="542"/>
      <c r="KX26" s="542"/>
      <c r="KY26" s="542"/>
      <c r="KZ26" s="542"/>
      <c r="LA26" s="542"/>
      <c r="LB26" s="542"/>
      <c r="LC26" s="1668"/>
    </row>
    <row r="27" spans="1:316" ht="28.2" customHeight="1" thickTop="1" thickBot="1">
      <c r="C27" s="1558" t="s">
        <v>212</v>
      </c>
      <c r="D27" s="1559"/>
      <c r="E27" s="1258" t="s">
        <v>213</v>
      </c>
      <c r="F27" s="10"/>
      <c r="G27" s="10"/>
      <c r="H27" s="10"/>
      <c r="I27" s="10"/>
      <c r="J27" s="10"/>
      <c r="K27" s="10"/>
      <c r="L27" s="10"/>
      <c r="M27" s="10"/>
      <c r="N27" s="1259"/>
      <c r="O27" s="10"/>
      <c r="P27" s="1558" t="s">
        <v>212</v>
      </c>
      <c r="Q27" s="1559"/>
      <c r="R27" s="1258" t="s">
        <v>214</v>
      </c>
      <c r="S27" s="10"/>
      <c r="T27" s="10"/>
      <c r="U27" s="10"/>
      <c r="V27" s="10"/>
      <c r="W27" s="10"/>
      <c r="X27" s="10"/>
      <c r="Y27" s="1260"/>
      <c r="Z27" s="1261"/>
      <c r="AA27" s="1262"/>
      <c r="AB27" s="1263"/>
      <c r="AC27" s="1264"/>
      <c r="AD27" s="1263"/>
      <c r="AE27" s="1263"/>
      <c r="AF27" s="1263"/>
      <c r="AG27" s="1263"/>
      <c r="AH27" s="1263"/>
      <c r="BK27" s="48"/>
      <c r="BL27" s="9"/>
      <c r="BM27" s="622" t="str">
        <f>IF(CN27="Yes",CONCATENATE(BX27," - ",CF27, " ",CJ27, " ",CP27,"W"),"")</f>
        <v/>
      </c>
      <c r="BN27" s="623"/>
      <c r="BO27" s="623"/>
      <c r="BP27" s="623"/>
      <c r="BQ27" s="623"/>
      <c r="BR27" s="623"/>
      <c r="BS27" s="623"/>
      <c r="BT27" s="623"/>
      <c r="BU27" s="624"/>
      <c r="BV27" s="625" t="str">
        <f>IF(CN27&lt;&gt;"Yes","",IFERROR(VLOOKUP(CU27,Existing!A$4:F$367,2,FALSE),""))</f>
        <v/>
      </c>
      <c r="BW27" s="9">
        <v>1</v>
      </c>
      <c r="BX27" s="1625"/>
      <c r="BY27" s="1626"/>
      <c r="BZ27" s="1626"/>
      <c r="CA27" s="1627"/>
      <c r="CB27" s="1622"/>
      <c r="CC27" s="1623"/>
      <c r="CD27" s="1623"/>
      <c r="CE27" s="1624"/>
      <c r="CF27" s="1621"/>
      <c r="CG27" s="1621"/>
      <c r="CH27" s="1621"/>
      <c r="CI27" s="1621"/>
      <c r="CJ27" s="1621"/>
      <c r="CK27" s="1621"/>
      <c r="CL27" s="1621"/>
      <c r="CM27" s="1621"/>
      <c r="CN27" s="1553" t="str">
        <f t="shared" ref="CN27:CN52" si="0">IF(CB27&lt;&gt;"",IF(CB27="Existing TLED",
IF(OR(CF27="",CJ27="",BX27="",CR27=""),"NO","YES"),
IF(OR(CF27="",CJ27="",BX27=""),"NO","YES")
),"")</f>
        <v/>
      </c>
      <c r="CO27" s="1554"/>
      <c r="CP27" s="229" t="str">
        <f>IFERROR(IF(CB27="Existing TLED",CR27*CW27*CY27,VLOOKUP(CU27,Existing!A$3:F$356,6,FALSE)),"")</f>
        <v/>
      </c>
      <c r="CQ27" s="9"/>
      <c r="CR27" s="1660"/>
      <c r="CS27" s="1661"/>
      <c r="CT27" s="9"/>
      <c r="CU27" s="425" t="str">
        <f>IF(CN27="","",IF(CB27="Existing TLED",CONCATENATE(CB27," - ",CF27),CONCATENATE(CB27," - ",CF27," ",CJ27)))</f>
        <v/>
      </c>
      <c r="CV27" s="426" t="b">
        <f>IF(CB27="Existing TLED",TRUE,FALSE)</f>
        <v>0</v>
      </c>
      <c r="CW27" s="426" t="str">
        <f>LEFT(CJ27,1)</f>
        <v/>
      </c>
      <c r="CX27" s="426">
        <f>IFERROR(VLOOKUP(CF27,Lookup!T$100:V$102,3,FALSE),0)</f>
        <v>0</v>
      </c>
      <c r="CY27" s="426">
        <f>IF(CX27=2,1,1.11)</f>
        <v>1.1100000000000001</v>
      </c>
      <c r="CZ27" s="626" t="b">
        <f t="shared" ref="CZ27:CZ58" si="1">IF(OR(BX27="",CB27="",CF27="",CJ27="")=TRUE,FALSE,TRUE)</f>
        <v>0</v>
      </c>
      <c r="DA27" s="626" t="b">
        <f>IF(CF27&lt;&gt;"",IF(ISERROR(MATCH(CONCATENATE(CB27," - ",CF27),Existing!G$4:G$331,0))=TRUE,FALSE,TRUE),TRUE)</f>
        <v>1</v>
      </c>
      <c r="DB27" s="626" t="b">
        <f t="shared" ref="DB27:DB58" si="2">IF(AND(CZ27=TRUE,CP27=""),FALSE,TRUE)</f>
        <v>1</v>
      </c>
      <c r="DK27" s="48"/>
      <c r="DL27" s="9"/>
      <c r="DM27" s="627" t="s">
        <v>215</v>
      </c>
      <c r="DN27" s="628" t="str">
        <f t="shared" ref="DN27:DN58" si="3">IF(EV27="YES",CONCATENATE(DX27," ",DV27),"")</f>
        <v/>
      </c>
      <c r="DO27" s="623"/>
      <c r="DP27" s="623"/>
      <c r="DQ27" s="623"/>
      <c r="DR27" s="623"/>
      <c r="DS27" s="623"/>
      <c r="DT27" s="629"/>
      <c r="DU27" s="630"/>
      <c r="DV27" s="227" t="str">
        <f t="shared" ref="DV27:DV58" si="4">IF(EV27&lt;&gt;"Yes","",IF(EB27="Removed","Fixture Removed",CONCATENATE(EB27,", (",EF27,") ",EH27," #",EL27)))</f>
        <v/>
      </c>
      <c r="DW27" s="224">
        <v>1</v>
      </c>
      <c r="DX27" s="1572"/>
      <c r="DY27" s="1573"/>
      <c r="DZ27" s="1573"/>
      <c r="EA27" s="1574"/>
      <c r="EB27" s="1572"/>
      <c r="EC27" s="1573"/>
      <c r="ED27" s="1573"/>
      <c r="EE27" s="1574"/>
      <c r="EF27" s="1555"/>
      <c r="EG27" s="1651"/>
      <c r="EH27" s="1572"/>
      <c r="EI27" s="1573"/>
      <c r="EJ27" s="1573"/>
      <c r="EK27" s="1574"/>
      <c r="EL27" s="1628"/>
      <c r="EM27" s="1629"/>
      <c r="EN27" s="1629"/>
      <c r="EO27" s="1630"/>
      <c r="EP27" s="1555"/>
      <c r="EQ27" s="1556"/>
      <c r="ER27" s="1555"/>
      <c r="ES27" s="1556"/>
      <c r="ET27" s="1553" t="str">
        <f>IFERROR(IF(DX27="","",IF(FA27=TRUE,EF27*ER27*FB27,EP27)),"")</f>
        <v/>
      </c>
      <c r="EU27" s="1554"/>
      <c r="EV27" s="1553" t="str">
        <f t="shared" ref="EV27:EV34" si="5">IF(DX27&lt;&gt;"",IF(OR(EB27="",EF27="",EH27="",EL27="",IF(FA27=FALSE,EP27="",ER27="")),"NO","YES"),"")</f>
        <v/>
      </c>
      <c r="EW27" s="1554"/>
      <c r="EX27" s="393"/>
      <c r="EY27" s="225" t="str">
        <f t="shared" ref="EY27:EY58" si="6">IFERROR(IF(OR(LEFT(EB27,4)="TLED",LEFT(EB27,3)="CFL",LEFT(EB27,3)="HID",LEFT(EB27,8)="Existing"),VLOOKUP(EB27,_Fixture_Measure_Life,2,FALSE),VLOOKUP(DX27,_Fixture_Measure_Life,2,FALSE)),"")</f>
        <v/>
      </c>
      <c r="EZ27" s="225" t="str">
        <f>IFERROR(VLOOKUP(EB27,Lookup!AT$3:AU$13,2,FALSE),"")</f>
        <v/>
      </c>
      <c r="FA27" s="426" t="b">
        <f>IFERROR(IF(VLOOKUP(EB27,Lookup!AT$6:AU$8,2,FALSE)&gt;3,TRUE,FALSE),FALSE)</f>
        <v>0</v>
      </c>
      <c r="FB27" s="426" t="str">
        <f>IF(LD27&gt;0,LD27,IF(OR(EZ27=4,EZ27=6),1.11,1))</f>
        <v/>
      </c>
      <c r="FC27" t="str">
        <f ca="1">FG27</f>
        <v/>
      </c>
      <c r="FG27" t="str">
        <f ca="1">IFERROR(CONCATENATE(IF(LEN(LA27)=3,"line ","lines "),LEFT(LA27,LEN(LA27)-2)),"")</f>
        <v/>
      </c>
      <c r="FI27" s="204" t="str">
        <f ca="1">IFERROR(LEFT(LA27,LEN(LA27)-2),"")</f>
        <v/>
      </c>
      <c r="FK27" s="631" t="str">
        <f ca="1">IF(INDIRECT(CONCATENATE($FK$12,Fixtures!FK$25))="","",IF(INDIRECT(CONCATENATE($FK$12,Fixtures!FK$25))=Fixtures!$DN27,CONCATENATE(FK$10,", "),""))</f>
        <v/>
      </c>
      <c r="FL27" s="631" t="str">
        <f ca="1">IF(INDIRECT(CONCATENATE($FK$12,Fixtures!FL$25))="","",IF(INDIRECT(CONCATENATE($FK$12,Fixtures!FL$25))=Fixtures!$DN27,CONCATENATE(FL$10,", "),""))</f>
        <v/>
      </c>
      <c r="FM27" s="631" t="str">
        <f ca="1">IF(INDIRECT(CONCATENATE($FK$12,Fixtures!FM$25))="","",IF(INDIRECT(CONCATENATE($FK$12,Fixtures!FM$25))=Fixtures!$DN27,CONCATENATE(FM$10,", "),""))</f>
        <v/>
      </c>
      <c r="FN27" s="631" t="str">
        <f ca="1">IF(INDIRECT(CONCATENATE($FK$12,Fixtures!FN$25))="","",IF(INDIRECT(CONCATENATE($FK$12,Fixtures!FN$25))=Fixtures!$DN27,CONCATENATE(FN$10,", "),""))</f>
        <v/>
      </c>
      <c r="FO27" s="631" t="str">
        <f ca="1">IF(INDIRECT(CONCATENATE($FK$12,Fixtures!FO$25))="","",IF(INDIRECT(CONCATENATE($FK$12,Fixtures!FO$25))=Fixtures!$DN27,CONCATENATE(FO$10,", "),""))</f>
        <v/>
      </c>
      <c r="FP27" s="631" t="str">
        <f ca="1">IF(INDIRECT(CONCATENATE($FK$12,Fixtures!FP$25))="","",IF(INDIRECT(CONCATENATE($FK$12,Fixtures!FP$25))=Fixtures!$DN27,CONCATENATE(FP$10,", "),""))</f>
        <v/>
      </c>
      <c r="FQ27" s="631" t="str">
        <f ca="1">IF(INDIRECT(CONCATENATE($FK$12,Fixtures!FQ$25))="","",IF(INDIRECT(CONCATENATE($FK$12,Fixtures!FQ$25))=Fixtures!$DN27,CONCATENATE(FQ$10,", "),""))</f>
        <v/>
      </c>
      <c r="FR27" s="631" t="str">
        <f ca="1">IF(INDIRECT(CONCATENATE($FK$12,Fixtures!FR$25))="","",IF(INDIRECT(CONCATENATE($FK$12,Fixtures!FR$25))=Fixtures!$DN27,CONCATENATE(FR$10,", "),""))</f>
        <v/>
      </c>
      <c r="FS27" s="631" t="str">
        <f ca="1">IF(INDIRECT(CONCATENATE($FK$12,Fixtures!FS$25))="","",IF(INDIRECT(CONCATENATE($FK$12,Fixtures!FS$25))=Fixtures!$DN27,CONCATENATE(FS$10,", "),""))</f>
        <v/>
      </c>
      <c r="FT27" s="604" t="str">
        <f ca="1">IF(INDIRECT(CONCATENATE($FK$12,Fixtures!FT$25))="","",IF(INDIRECT(CONCATENATE($FK$12,Fixtures!FT$25))=Fixtures!$DN27,CONCATENATE(FT$10,", "),""))</f>
        <v/>
      </c>
      <c r="FU27" s="605" t="str">
        <f ca="1">IF(INDIRECT(CONCATENATE($FK$12,Fixtures!FU$25))="","",IF(INDIRECT(CONCATENATE($FK$12,Fixtures!FU$25))=Fixtures!$DN27,CONCATENATE(FU$10,", "),""))</f>
        <v/>
      </c>
      <c r="FV27" s="631" t="str">
        <f ca="1">IF(INDIRECT(CONCATENATE($FK$12,Fixtures!FV$25))="","",IF(INDIRECT(CONCATENATE($FK$12,Fixtures!FV$25))=Fixtures!$DN27,CONCATENATE(FV$10,", "),""))</f>
        <v/>
      </c>
      <c r="FW27" s="632" t="str">
        <f ca="1">IF(INDIRECT(CONCATENATE($FK$12,Fixtures!FW$25))="","",IF(INDIRECT(CONCATENATE($FK$12,Fixtures!FW$25))=Fixtures!$DN27,CONCATENATE(FW$10,", "),""))</f>
        <v/>
      </c>
      <c r="FX27" s="632" t="str">
        <f ca="1">IF(INDIRECT(CONCATENATE($FK$12,Fixtures!FX$25))="","",IF(INDIRECT(CONCATENATE($FK$12,Fixtures!FX$25))=Fixtures!$DN27,CONCATENATE(FX$10,", "),""))</f>
        <v/>
      </c>
      <c r="FY27" s="632" t="str">
        <f ca="1">IF(INDIRECT(CONCATENATE($FK$12,Fixtures!FY$25))="","",IF(INDIRECT(CONCATENATE($FK$12,Fixtures!FY$25))=Fixtures!$DN27,CONCATENATE(FY$10,", "),""))</f>
        <v/>
      </c>
      <c r="FZ27" s="632" t="str">
        <f ca="1">IF(INDIRECT(CONCATENATE($FK$12,Fixtures!FZ$25))="","",IF(INDIRECT(CONCATENATE($FK$12,Fixtures!FZ$25))=Fixtures!$DN27,CONCATENATE(FZ$10,", "),""))</f>
        <v/>
      </c>
      <c r="GA27" s="632" t="str">
        <f ca="1">IF(INDIRECT(CONCATENATE($FK$12,Fixtures!GA$25))="","",IF(INDIRECT(CONCATENATE($FK$12,Fixtures!GA$25))=Fixtures!$DN27,CONCATENATE(GA$10,", "),""))</f>
        <v/>
      </c>
      <c r="GB27" s="632" t="str">
        <f ca="1">IF(INDIRECT(CONCATENATE($FK$12,Fixtures!GB$25))="","",IF(INDIRECT(CONCATENATE($FK$12,Fixtures!GB$25))=Fixtures!$DN27,CONCATENATE(GB$10,", "),""))</f>
        <v/>
      </c>
      <c r="GC27" s="632" t="str">
        <f ca="1">IF(INDIRECT(CONCATENATE($FK$12,Fixtures!GC$25))="","",IF(INDIRECT(CONCATENATE($FK$12,Fixtures!GC$25))=Fixtures!$DN27,CONCATENATE(GC$10,", "),""))</f>
        <v/>
      </c>
      <c r="GD27" s="632" t="str">
        <f ca="1">IF(INDIRECT(CONCATENATE($FK$12,Fixtures!GD$25))="","",IF(INDIRECT(CONCATENATE($FK$12,Fixtures!GD$25))=Fixtures!$DN27,CONCATENATE(GD$10,", "),""))</f>
        <v/>
      </c>
      <c r="GE27" s="632" t="str">
        <f ca="1">IF(INDIRECT(CONCATENATE($FK$12,Fixtures!GE$25))="","",IF(INDIRECT(CONCATENATE($FK$12,Fixtures!GE$25))=Fixtures!$DN27,CONCATENATE(GE$10,", "),""))</f>
        <v/>
      </c>
      <c r="GF27" s="632" t="str">
        <f ca="1">IF(INDIRECT(CONCATENATE($FK$12,Fixtures!GF$25))="","",IF(INDIRECT(CONCATENATE($FK$12,Fixtures!GF$25))=Fixtures!$DN27,CONCATENATE(GF$10,", "),""))</f>
        <v/>
      </c>
      <c r="GG27" s="632" t="str">
        <f ca="1">IF(INDIRECT(CONCATENATE($FK$12,Fixtures!GG$25))="","",IF(INDIRECT(CONCATENATE($FK$12,Fixtures!GG$25))=Fixtures!$DN27,CONCATENATE(GG$10,", "),""))</f>
        <v/>
      </c>
      <c r="GH27" s="632" t="str">
        <f ca="1">IF(INDIRECT(CONCATENATE($FK$12,Fixtures!GH$25))="","",IF(INDIRECT(CONCATENATE($FK$12,Fixtures!GH$25))=Fixtures!$DN27,CONCATENATE(GH$10,", "),""))</f>
        <v/>
      </c>
      <c r="GI27" s="606" t="str">
        <f ca="1">IF(INDIRECT(CONCATENATE($FK$12,Fixtures!GI$25))="","",IF(INDIRECT(CONCATENATE($FK$12,Fixtures!GI$25))=Fixtures!$DN27,CONCATENATE(GI$10,", "),""))</f>
        <v/>
      </c>
      <c r="GJ27" s="607" t="str">
        <f ca="1">IF(INDIRECT(CONCATENATE($FK$12,Fixtures!GJ$25))="","",IF(INDIRECT(CONCATENATE($FK$12,Fixtures!GJ$25))=Fixtures!$DN27,CONCATENATE(GJ$10,", "),""))</f>
        <v/>
      </c>
      <c r="GK27" s="632" t="str">
        <f ca="1">IF(INDIRECT(CONCATENATE($FK$12,Fixtures!GK$25))="","",IF(INDIRECT(CONCATENATE($FK$12,Fixtures!GK$25))=Fixtures!$DN27,CONCATENATE(GK$10,", "),""))</f>
        <v/>
      </c>
      <c r="GL27" s="632" t="str">
        <f ca="1">IF(INDIRECT(CONCATENATE($FK$12,Fixtures!GL$25))="","",IF(INDIRECT(CONCATENATE($FK$12,Fixtures!GL$25))=Fixtures!$DN27,CONCATENATE(GL$10,", "),""))</f>
        <v/>
      </c>
      <c r="GM27" s="632" t="str">
        <f ca="1">IF(INDIRECT(CONCATENATE($FK$12,Fixtures!GM$25))="","",IF(INDIRECT(CONCATENATE($FK$12,Fixtures!GM$25))=Fixtures!$DN27,CONCATENATE(GM$10,", "),""))</f>
        <v/>
      </c>
      <c r="GN27" s="632" t="str">
        <f ca="1">IF(INDIRECT(CONCATENATE($FK$12,Fixtures!GN$25))="","",IF(INDIRECT(CONCATENATE($FK$12,Fixtures!GN$25))=Fixtures!$DN27,CONCATENATE(GN$10,", "),""))</f>
        <v/>
      </c>
      <c r="GO27" s="632" t="str">
        <f ca="1">IF(INDIRECT(CONCATENATE($FK$12,Fixtures!GO$25))="","",IF(INDIRECT(CONCATENATE($FK$12,Fixtures!GO$25))=Fixtures!$DN27,CONCATENATE(GO$10,", "),""))</f>
        <v/>
      </c>
      <c r="GP27" s="632" t="str">
        <f ca="1">IF(INDIRECT(CONCATENATE($FK$12,Fixtures!GP$25))="","",IF(INDIRECT(CONCATENATE($FK$12,Fixtures!GP$25))=Fixtures!$DN27,CONCATENATE(GP$10,", "),""))</f>
        <v/>
      </c>
      <c r="GQ27" s="632" t="str">
        <f ca="1">IF(INDIRECT(CONCATENATE($FK$12,Fixtures!GQ$25))="","",IF(INDIRECT(CONCATENATE($FK$12,Fixtures!GQ$25))=Fixtures!$DN27,CONCATENATE(GQ$10,", "),""))</f>
        <v/>
      </c>
      <c r="GR27" s="632" t="str">
        <f ca="1">IF(INDIRECT(CONCATENATE($FK$12,Fixtures!GR$25))="","",IF(INDIRECT(CONCATENATE($FK$12,Fixtures!GR$25))=Fixtures!$DN27,CONCATENATE(GR$10,", "),""))</f>
        <v/>
      </c>
      <c r="GS27" s="632" t="str">
        <f ca="1">IF(INDIRECT(CONCATENATE($FK$12,Fixtures!GS$25))="","",IF(INDIRECT(CONCATENATE($FK$12,Fixtures!GS$25))=Fixtures!$DN27,CONCATENATE(GS$10,", "),""))</f>
        <v/>
      </c>
      <c r="GT27" s="632" t="str">
        <f ca="1">IF(INDIRECT(CONCATENATE($FK$12,Fixtures!GT$25))="","",IF(INDIRECT(CONCATENATE($FK$12,Fixtures!GT$25))=Fixtures!$DN27,CONCATENATE(GT$10,", "),""))</f>
        <v/>
      </c>
      <c r="GU27" s="632" t="str">
        <f ca="1">IF(INDIRECT(CONCATENATE($FK$12,Fixtures!GU$25))="","",IF(INDIRECT(CONCATENATE($FK$12,Fixtures!GU$25))=Fixtures!$DN27,CONCATENATE(GU$10,", "),""))</f>
        <v/>
      </c>
      <c r="GV27" s="632" t="str">
        <f ca="1">IF(INDIRECT(CONCATENATE($FK$12,Fixtures!GV$25))="","",IF(INDIRECT(CONCATENATE($FK$12,Fixtures!GV$25))=Fixtures!$DN27,CONCATENATE(GV$10,", "),""))</f>
        <v/>
      </c>
      <c r="GW27" s="632" t="str">
        <f ca="1">IF(INDIRECT(CONCATENATE($FK$12,Fixtures!GW$25))="","",IF(INDIRECT(CONCATENATE($FK$12,Fixtures!GW$25))=Fixtures!$DN27,CONCATENATE(GW$10,", "),""))</f>
        <v/>
      </c>
      <c r="GX27" s="606" t="str">
        <f ca="1">IF(INDIRECT(CONCATENATE($FK$12,Fixtures!GX$25))="","",IF(INDIRECT(CONCATENATE($FK$12,Fixtures!GX$25))=Fixtures!$DN27,CONCATENATE(GX$10,", "),""))</f>
        <v/>
      </c>
      <c r="GY27" s="607" t="str">
        <f ca="1">IF(INDIRECT(CONCATENATE($FK$12,Fixtures!GY$25))="","",IF(INDIRECT(CONCATENATE($FK$12,Fixtures!GY$25))=Fixtures!$DN27,CONCATENATE(GY$10,", "),""))</f>
        <v/>
      </c>
      <c r="GZ27" s="632" t="str">
        <f ca="1">IF(INDIRECT(CONCATENATE($FK$12,Fixtures!GZ$25))="","",IF(INDIRECT(CONCATENATE($FK$12,Fixtures!GZ$25))=Fixtures!$DN27,CONCATENATE(GZ$10,", "),""))</f>
        <v/>
      </c>
      <c r="HA27" s="632" t="str">
        <f ca="1">IF(INDIRECT(CONCATENATE($FK$12,Fixtures!HA$25))="","",IF(INDIRECT(CONCATENATE($FK$12,Fixtures!HA$25))=Fixtures!$DN27,CONCATENATE(HA$10,", "),""))</f>
        <v/>
      </c>
      <c r="HB27" s="632" t="str">
        <f ca="1">IF(INDIRECT(CONCATENATE($FK$12,Fixtures!HB$25))="","",IF(INDIRECT(CONCATENATE($FK$12,Fixtures!HB$25))=Fixtures!$DN27,CONCATENATE(HB$10,", "),""))</f>
        <v/>
      </c>
      <c r="HC27" s="632" t="str">
        <f ca="1">IF(INDIRECT(CONCATENATE($FK$12,Fixtures!HC$25))="","",IF(INDIRECT(CONCATENATE($FK$12,Fixtures!HC$25))=Fixtures!$DN27,CONCATENATE(HC$10,", "),""))</f>
        <v/>
      </c>
      <c r="HD27" s="632" t="str">
        <f ca="1">IF(INDIRECT(CONCATENATE($FK$12,Fixtures!HD$25))="","",IF(INDIRECT(CONCATENATE($FK$12,Fixtures!HD$25))=Fixtures!$DN27,CONCATENATE(HD$10,", "),""))</f>
        <v/>
      </c>
      <c r="HE27" s="632" t="str">
        <f ca="1">IF(INDIRECT(CONCATENATE($FK$12,Fixtures!HE$25))="","",IF(INDIRECT(CONCATENATE($FK$12,Fixtures!HE$25))=Fixtures!$DN27,CONCATENATE(HE$10,", "),""))</f>
        <v/>
      </c>
      <c r="HF27" s="632" t="str">
        <f ca="1">IF(INDIRECT(CONCATENATE($FK$12,Fixtures!HF$25))="","",IF(INDIRECT(CONCATENATE($FK$12,Fixtures!HF$25))=Fixtures!$DN27,CONCATENATE(HF$10,", "),""))</f>
        <v/>
      </c>
      <c r="HG27" s="632" t="str">
        <f ca="1">IF(INDIRECT(CONCATENATE($FK$12,Fixtures!HG$25))="","",IF(INDIRECT(CONCATENATE($FK$12,Fixtures!HG$25))=Fixtures!$DN27,CONCATENATE(HG$10,", "),""))</f>
        <v/>
      </c>
      <c r="HH27" s="632" t="str">
        <f ca="1">IF(INDIRECT(CONCATENATE($FK$12,Fixtures!HH$25))="","",IF(INDIRECT(CONCATENATE($FK$12,Fixtures!HH$25))=Fixtures!$DN27,CONCATENATE(HH$10,", "),""))</f>
        <v/>
      </c>
      <c r="HI27" s="632" t="str">
        <f ca="1">IF(INDIRECT(CONCATENATE($FK$12,Fixtures!HI$25))="","",IF(INDIRECT(CONCATENATE($FK$12,Fixtures!HI$25))=Fixtures!$DN27,CONCATENATE(HI$10,", "),""))</f>
        <v/>
      </c>
      <c r="HJ27" s="632" t="str">
        <f ca="1">IF(INDIRECT(CONCATENATE($FK$12,Fixtures!HJ$25))="","",IF(INDIRECT(CONCATENATE($FK$12,Fixtures!HJ$25))=Fixtures!$DN27,CONCATENATE(HJ$10,", "),""))</f>
        <v/>
      </c>
      <c r="HK27" s="632" t="str">
        <f ca="1">IF(INDIRECT(CONCATENATE($FK$12,Fixtures!HK$25))="","",IF(INDIRECT(CONCATENATE($FK$12,Fixtures!HK$25))=Fixtures!$DN27,CONCATENATE(HK$10,", "),""))</f>
        <v/>
      </c>
      <c r="HL27" s="632" t="str">
        <f ca="1">IF(INDIRECT(CONCATENATE($FK$12,Fixtures!HL$25))="","",IF(INDIRECT(CONCATENATE($FK$12,Fixtures!HL$25))=Fixtures!$DN27,CONCATENATE(HL$10,", "),""))</f>
        <v/>
      </c>
      <c r="HM27" s="606" t="str">
        <f ca="1">IF(INDIRECT(CONCATENATE($FK$12,Fixtures!HM$25))="","",IF(INDIRECT(CONCATENATE($FK$12,Fixtures!HM$25))=Fixtures!$DN27,CONCATENATE(HM$10,", "),""))</f>
        <v/>
      </c>
      <c r="HN27" s="607" t="str">
        <f ca="1">IF(INDIRECT(CONCATENATE($FK$12,Fixtures!HN$25))="","",IF(INDIRECT(CONCATENATE($FK$12,Fixtures!HN$25))=Fixtures!$DN27,CONCATENATE(HN$10,", "),""))</f>
        <v/>
      </c>
      <c r="HO27" s="632" t="str">
        <f ca="1">IF(INDIRECT(CONCATENATE($FK$12,Fixtures!HO$25))="","",IF(INDIRECT(CONCATENATE($FK$12,Fixtures!HO$25))=Fixtures!$DN27,CONCATENATE(HO$10,", "),""))</f>
        <v/>
      </c>
      <c r="HP27" s="632" t="str">
        <f ca="1">IF(INDIRECT(CONCATENATE($FK$12,Fixtures!HP$25))="","",IF(INDIRECT(CONCATENATE($FK$12,Fixtures!HP$25))=Fixtures!$DN27,CONCATENATE(HP$10,", "),""))</f>
        <v/>
      </c>
      <c r="HQ27" s="632" t="str">
        <f ca="1">IF(INDIRECT(CONCATENATE($FK$12,Fixtures!HQ$25))="","",IF(INDIRECT(CONCATENATE($FK$12,Fixtures!HQ$25))=Fixtures!$DN27,CONCATENATE(HQ$10,", "),""))</f>
        <v/>
      </c>
      <c r="HR27" s="632" t="str">
        <f ca="1">IF(INDIRECT(CONCATENATE($FK$12,Fixtures!HR$25))="","",IF(INDIRECT(CONCATENATE($FK$12,Fixtures!HR$25))=Fixtures!$DN27,CONCATENATE(HR$10,", "),""))</f>
        <v/>
      </c>
      <c r="HS27" s="632" t="str">
        <f ca="1">IF(INDIRECT(CONCATENATE($FK$12,Fixtures!HS$25))="","",IF(INDIRECT(CONCATENATE($FK$12,Fixtures!HS$25))=Fixtures!$DN27,CONCATENATE(HS$10,", "),""))</f>
        <v/>
      </c>
      <c r="HT27" s="632" t="str">
        <f ca="1">IF(INDIRECT(CONCATENATE($FK$12,Fixtures!HT$25))="","",IF(INDIRECT(CONCATENATE($FK$12,Fixtures!HT$25))=Fixtures!$DN27,CONCATENATE(HT$10,", "),""))</f>
        <v/>
      </c>
      <c r="HU27" s="632" t="str">
        <f ca="1">IF(INDIRECT(CONCATENATE($FK$12,Fixtures!HU$25))="","",IF(INDIRECT(CONCATENATE($FK$12,Fixtures!HU$25))=Fixtures!$DN27,CONCATENATE(HU$10,", "),""))</f>
        <v/>
      </c>
      <c r="HV27" s="632" t="str">
        <f ca="1">IF(INDIRECT(CONCATENATE($FK$12,Fixtures!HV$25))="","",IF(INDIRECT(CONCATENATE($FK$12,Fixtures!HV$25))=Fixtures!$DN27,CONCATENATE(HV$10,", "),""))</f>
        <v/>
      </c>
      <c r="HW27" s="632" t="str">
        <f ca="1">IF(INDIRECT(CONCATENATE($FK$12,Fixtures!HW$25))="","",IF(INDIRECT(CONCATENATE($FK$12,Fixtures!HW$25))=Fixtures!$DN27,CONCATENATE(HW$10,", "),""))</f>
        <v/>
      </c>
      <c r="HX27" s="632" t="str">
        <f ca="1">IF(INDIRECT(CONCATENATE($FK$12,Fixtures!HX$25))="","",IF(INDIRECT(CONCATENATE($FK$12,Fixtures!HX$25))=Fixtures!$DN27,CONCATENATE(HX$10,", "),""))</f>
        <v/>
      </c>
      <c r="HY27" s="632" t="str">
        <f ca="1">IF(INDIRECT(CONCATENATE($FK$12,Fixtures!HY$25))="","",IF(INDIRECT(CONCATENATE($FK$12,Fixtures!HY$25))=Fixtures!$DN27,CONCATENATE(HY$10,", "),""))</f>
        <v/>
      </c>
      <c r="HZ27" s="632" t="str">
        <f ca="1">IF(INDIRECT(CONCATENATE($FK$12,Fixtures!HZ$25))="","",IF(INDIRECT(CONCATENATE($FK$12,Fixtures!HZ$25))=Fixtures!$DN27,CONCATENATE(HZ$10,", "),""))</f>
        <v/>
      </c>
      <c r="IA27" s="632" t="str">
        <f ca="1">IF(INDIRECT(CONCATENATE($FK$12,Fixtures!IA$25))="","",IF(INDIRECT(CONCATENATE($FK$12,Fixtures!IA$25))=Fixtures!$DN27,CONCATENATE(IA$10,", "),""))</f>
        <v/>
      </c>
      <c r="IB27" s="606" t="str">
        <f ca="1">IF(INDIRECT(CONCATENATE($FK$12,Fixtures!IB$25))="","",IF(INDIRECT(CONCATENATE($FK$12,Fixtures!IB$25))=Fixtures!$DN27,CONCATENATE(IB$10,", "),""))</f>
        <v/>
      </c>
      <c r="IC27" s="607" t="str">
        <f ca="1">IF(INDIRECT(CONCATENATE($FK$12,Fixtures!IC$25))="","",IF(INDIRECT(CONCATENATE($FK$12,Fixtures!IC$25))=Fixtures!$DN27,CONCATENATE(IC$10,", "),""))</f>
        <v/>
      </c>
      <c r="ID27" s="632" t="str">
        <f ca="1">IF(INDIRECT(CONCATENATE($FK$12,Fixtures!ID$25))="","",IF(INDIRECT(CONCATENATE($FK$12,Fixtures!ID$25))=Fixtures!$DN27,CONCATENATE(ID$10,", "),""))</f>
        <v/>
      </c>
      <c r="IE27" s="632" t="str">
        <f ca="1">IF(INDIRECT(CONCATENATE($FK$12,Fixtures!IE$25))="","",IF(INDIRECT(CONCATENATE($FK$12,Fixtures!IE$25))=Fixtures!$DN27,CONCATENATE(IE$10,", "),""))</f>
        <v/>
      </c>
      <c r="IF27" s="632" t="str">
        <f ca="1">IF(INDIRECT(CONCATENATE($FK$12,Fixtures!IF$25))="","",IF(INDIRECT(CONCATENATE($FK$12,Fixtures!IF$25))=Fixtures!$DN27,CONCATENATE(IF$10,", "),""))</f>
        <v/>
      </c>
      <c r="IG27" s="632" t="str">
        <f ca="1">IF(INDIRECT(CONCATENATE($FK$12,Fixtures!IG$25))="","",IF(INDIRECT(CONCATENATE($FK$12,Fixtures!IG$25))=Fixtures!$DN27,CONCATENATE(IG$10,", "),""))</f>
        <v/>
      </c>
      <c r="IH27" s="632" t="str">
        <f ca="1">IF(INDIRECT(CONCATENATE($FK$12,Fixtures!IH$25))="","",IF(INDIRECT(CONCATENATE($FK$12,Fixtures!IH$25))=Fixtures!$DN27,CONCATENATE(IH$10,", "),""))</f>
        <v/>
      </c>
      <c r="II27" s="632" t="str">
        <f ca="1">IF(INDIRECT(CONCATENATE($FK$12,Fixtures!II$25))="","",IF(INDIRECT(CONCATENATE($FK$12,Fixtures!II$25))=Fixtures!$DN27,CONCATENATE(II$10,", "),""))</f>
        <v/>
      </c>
      <c r="IJ27" s="632" t="str">
        <f ca="1">IF(INDIRECT(CONCATENATE($FK$12,Fixtures!IJ$25))="","",IF(INDIRECT(CONCATENATE($FK$12,Fixtures!IJ$25))=Fixtures!$DN27,CONCATENATE(IJ$10,", "),""))</f>
        <v/>
      </c>
      <c r="IK27" s="632" t="str">
        <f ca="1">IF(INDIRECT(CONCATENATE($FK$12,Fixtures!IK$25))="","",IF(INDIRECT(CONCATENATE($FK$12,Fixtures!IK$25))=Fixtures!$DN27,CONCATENATE(IK$10,", "),""))</f>
        <v/>
      </c>
      <c r="IL27" s="632" t="str">
        <f ca="1">IF(INDIRECT(CONCATENATE($FK$12,Fixtures!IL$25))="","",IF(INDIRECT(CONCATENATE($FK$12,Fixtures!IL$25))=Fixtures!$DN27,CONCATENATE(IL$10,", "),""))</f>
        <v/>
      </c>
      <c r="IM27" s="632" t="str">
        <f ca="1">IF(INDIRECT(CONCATENATE($FK$12,Fixtures!IM$25))="","",IF(INDIRECT(CONCATENATE($FK$12,Fixtures!IM$25))=Fixtures!$DN27,CONCATENATE(IM$10,", "),""))</f>
        <v/>
      </c>
      <c r="IN27" s="632" t="str">
        <f ca="1">IF(INDIRECT(CONCATENATE($FK$12,Fixtures!IN$25))="","",IF(INDIRECT(CONCATENATE($FK$12,Fixtures!IN$25))=Fixtures!$DN27,CONCATENATE(IN$10,", "),""))</f>
        <v/>
      </c>
      <c r="IO27" s="632" t="str">
        <f ca="1">IF(INDIRECT(CONCATENATE($FK$12,Fixtures!IO$25))="","",IF(INDIRECT(CONCATENATE($FK$12,Fixtures!IO$25))=Fixtures!$DN27,CONCATENATE(IO$10,", "),""))</f>
        <v/>
      </c>
      <c r="IP27" s="632" t="str">
        <f ca="1">IF(INDIRECT(CONCATENATE($FK$12,Fixtures!IP$25))="","",IF(INDIRECT(CONCATENATE($FK$12,Fixtures!IP$25))=Fixtures!$DN27,CONCATENATE(IP$10,", "),""))</f>
        <v/>
      </c>
      <c r="IQ27" s="606" t="str">
        <f ca="1">IF(INDIRECT(CONCATENATE($FK$12,Fixtures!IQ$25))="","",IF(INDIRECT(CONCATENATE($FK$12,Fixtures!IQ$25))=Fixtures!$DN27,CONCATENATE(IQ$10,", "),""))</f>
        <v/>
      </c>
      <c r="IR27" s="607" t="str">
        <f ca="1">IF(INDIRECT(CONCATENATE($FK$12,Fixtures!IR$25))="","",IF(INDIRECT(CONCATENATE($FK$12,Fixtures!IR$25))=Fixtures!$DN27,CONCATENATE(IR$10,", "),""))</f>
        <v/>
      </c>
      <c r="IS27" s="632" t="str">
        <f ca="1">IF(INDIRECT(CONCATENATE($FK$12,Fixtures!IS$25))="","",IF(INDIRECT(CONCATENATE($FK$12,Fixtures!IS$25))=Fixtures!$DN27,CONCATENATE(IS$10,", "),""))</f>
        <v/>
      </c>
      <c r="IT27" s="632" t="str">
        <f ca="1">IF(INDIRECT(CONCATENATE($FK$12,Fixtures!IT$25))="","",IF(INDIRECT(CONCATENATE($FK$12,Fixtures!IT$25))=Fixtures!$DN27,CONCATENATE(IT$10,", "),""))</f>
        <v/>
      </c>
      <c r="IU27" s="632" t="str">
        <f ca="1">IF(INDIRECT(CONCATENATE($FK$12,Fixtures!IU$25))="","",IF(INDIRECT(CONCATENATE($FK$12,Fixtures!IU$25))=Fixtures!$DN27,CONCATENATE(IU$10,", "),""))</f>
        <v/>
      </c>
      <c r="IV27" s="632" t="str">
        <f ca="1">IF(INDIRECT(CONCATENATE($FK$12,Fixtures!IV$25))="","",IF(INDIRECT(CONCATENATE($FK$12,Fixtures!IV$25))=Fixtures!$DN27,CONCATENATE(IV$10,", "),""))</f>
        <v/>
      </c>
      <c r="IW27" s="632" t="str">
        <f ca="1">IF(INDIRECT(CONCATENATE($FK$12,Fixtures!IW$25))="","",IF(INDIRECT(CONCATENATE($FK$12,Fixtures!IW$25))=Fixtures!$DN27,CONCATENATE(IW$10,", "),""))</f>
        <v/>
      </c>
      <c r="IX27" s="632" t="str">
        <f ca="1">IF(INDIRECT(CONCATENATE($FK$12,Fixtures!IX$25))="","",IF(INDIRECT(CONCATENATE($FK$12,Fixtures!IX$25))=Fixtures!$DN27,CONCATENATE(IX$10,", "),""))</f>
        <v/>
      </c>
      <c r="IY27" s="632" t="str">
        <f ca="1">IF(INDIRECT(CONCATENATE($FK$12,Fixtures!IY$25))="","",IF(INDIRECT(CONCATENATE($FK$12,Fixtures!IY$25))=Fixtures!$DN27,CONCATENATE(IY$10,", "),""))</f>
        <v/>
      </c>
      <c r="IZ27" s="632" t="str">
        <f ca="1">IF(INDIRECT(CONCATENATE($FK$12,Fixtures!IZ$25))="","",IF(INDIRECT(CONCATENATE($FK$12,Fixtures!IZ$25))=Fixtures!$DN27,CONCATENATE(IZ$10,", "),""))</f>
        <v/>
      </c>
      <c r="JA27" s="632" t="str">
        <f ca="1">IF(INDIRECT(CONCATENATE($FK$12,Fixtures!JA$25))="","",IF(INDIRECT(CONCATENATE($FK$12,Fixtures!JA$25))=Fixtures!$DN27,CONCATENATE(JA$10,", "),""))</f>
        <v/>
      </c>
      <c r="JB27" s="632" t="str">
        <f ca="1">IF(INDIRECT(CONCATENATE($FK$12,Fixtures!JB$25))="","",IF(INDIRECT(CONCATENATE($FK$12,Fixtures!JB$25))=Fixtures!$DN27,CONCATENATE(JB$10,", "),""))</f>
        <v/>
      </c>
      <c r="JC27" s="632" t="str">
        <f ca="1">IF(INDIRECT(CONCATENATE($FK$12,Fixtures!JC$25))="","",IF(INDIRECT(CONCATENATE($FK$12,Fixtures!JC$25))=Fixtures!$DN27,CONCATENATE(JC$10,", "),""))</f>
        <v/>
      </c>
      <c r="JD27" s="632" t="str">
        <f ca="1">IF(INDIRECT(CONCATENATE($FK$12,Fixtures!JD$25))="","",IF(INDIRECT(CONCATENATE($FK$12,Fixtures!JD$25))=Fixtures!$DN27,CONCATENATE(JD$10,", "),""))</f>
        <v/>
      </c>
      <c r="JE27" s="632" t="str">
        <f ca="1">IF(INDIRECT(CONCATENATE($FK$12,Fixtures!JE$25))="","",IF(INDIRECT(CONCATENATE($FK$12,Fixtures!JE$25))=Fixtures!$DN27,CONCATENATE(JE$10,", "),""))</f>
        <v/>
      </c>
      <c r="JF27" s="606" t="str">
        <f ca="1">IF(INDIRECT(CONCATENATE($FK$12,Fixtures!JF$25))="","",IF(INDIRECT(CONCATENATE($FK$12,Fixtures!JF$25))=Fixtures!$DN27,CONCATENATE(JF$10,", "),""))</f>
        <v/>
      </c>
      <c r="JG27" s="607" t="str">
        <f ca="1">IF(INDIRECT(CONCATENATE($FK$12,Fixtures!JG$25))="","",IF(INDIRECT(CONCATENATE($FK$12,Fixtures!JG$25))=Fixtures!$DN27,CONCATENATE(JG$10,", "),""))</f>
        <v/>
      </c>
      <c r="JH27" s="632" t="str">
        <f ca="1">IF(INDIRECT(CONCATENATE($FK$12,Fixtures!JH$25))="","",IF(INDIRECT(CONCATENATE($FK$12,Fixtures!JH$25))=Fixtures!$DN27,CONCATENATE(JH$10,", "),""))</f>
        <v/>
      </c>
      <c r="JI27" s="632" t="str">
        <f ca="1">IF(INDIRECT(CONCATENATE($FK$12,Fixtures!JI$25))="","",IF(INDIRECT(CONCATENATE($FK$12,Fixtures!JI$25))=Fixtures!$DN27,CONCATENATE(JI$10,", "),""))</f>
        <v/>
      </c>
      <c r="JJ27" s="632" t="str">
        <f ca="1">IF(INDIRECT(CONCATENATE($FK$12,Fixtures!JJ$25))="","",IF(INDIRECT(CONCATENATE($FK$12,Fixtures!JJ$25))=Fixtures!$DN27,CONCATENATE(JJ$10,", "),""))</f>
        <v/>
      </c>
      <c r="JK27" s="632" t="str">
        <f ca="1">IF(INDIRECT(CONCATENATE($FK$12,Fixtures!JK$25))="","",IF(INDIRECT(CONCATENATE($FK$12,Fixtures!JK$25))=Fixtures!$DN27,CONCATENATE(JK$10,", "),""))</f>
        <v/>
      </c>
      <c r="JL27" s="632" t="str">
        <f ca="1">IF(INDIRECT(CONCATENATE($FK$12,Fixtures!JL$25))="","",IF(INDIRECT(CONCATENATE($FK$12,Fixtures!JL$25))=Fixtures!$DN27,CONCATENATE(JL$10,", "),""))</f>
        <v/>
      </c>
      <c r="JM27" s="632" t="str">
        <f ca="1">IF(INDIRECT(CONCATENATE($FK$12,Fixtures!JM$25))="","",IF(INDIRECT(CONCATENATE($FK$12,Fixtures!JM$25))=Fixtures!$DN27,CONCATENATE(JM$10,", "),""))</f>
        <v/>
      </c>
      <c r="JN27" s="632" t="str">
        <f ca="1">IF(INDIRECT(CONCATENATE($FK$12,Fixtures!JN$25))="","",IF(INDIRECT(CONCATENATE($FK$12,Fixtures!JN$25))=Fixtures!$DN27,CONCATENATE(JN$10,", "),""))</f>
        <v/>
      </c>
      <c r="JO27" s="632" t="str">
        <f ca="1">IF(INDIRECT(CONCATENATE($FK$12,Fixtures!JO$25))="","",IF(INDIRECT(CONCATENATE($FK$12,Fixtures!JO$25))=Fixtures!$DN27,CONCATENATE(JO$10,", "),""))</f>
        <v/>
      </c>
      <c r="JP27" s="632" t="str">
        <f ca="1">IF(INDIRECT(CONCATENATE($FK$12,Fixtures!JP$25))="","",IF(INDIRECT(CONCATENATE($FK$12,Fixtures!JP$25))=Fixtures!$DN27,CONCATENATE(JP$10,", "),""))</f>
        <v/>
      </c>
      <c r="JQ27" s="632" t="str">
        <f ca="1">IF(INDIRECT(CONCATENATE($FK$12,Fixtures!JQ$25))="","",IF(INDIRECT(CONCATENATE($FK$12,Fixtures!JQ$25))=Fixtures!$DN27,CONCATENATE(JQ$10,", "),""))</f>
        <v/>
      </c>
      <c r="JR27" s="632" t="str">
        <f ca="1">IF(INDIRECT(CONCATENATE($FK$12,Fixtures!JR$25))="","",IF(INDIRECT(CONCATENATE($FK$12,Fixtures!JR$25))=Fixtures!$DN27,CONCATENATE(JR$10,", "),""))</f>
        <v/>
      </c>
      <c r="JS27" s="632" t="str">
        <f ca="1">IF(INDIRECT(CONCATENATE($FK$12,Fixtures!JS$25))="","",IF(INDIRECT(CONCATENATE($FK$12,Fixtures!JS$25))=Fixtures!$DN27,CONCATENATE(JS$10,", "),""))</f>
        <v/>
      </c>
      <c r="JT27" s="632" t="str">
        <f ca="1">IF(INDIRECT(CONCATENATE($FK$12,Fixtures!JT$25))="","",IF(INDIRECT(CONCATENATE($FK$12,Fixtures!JT$25))=Fixtures!$DN27,CONCATENATE(JT$10,", "),""))</f>
        <v/>
      </c>
      <c r="JU27" s="606" t="str">
        <f ca="1">IF(INDIRECT(CONCATENATE($FK$12,Fixtures!JU$25))="","",IF(INDIRECT(CONCATENATE($FK$12,Fixtures!JU$25))=Fixtures!$DN27,CONCATENATE(JU$10,", "),""))</f>
        <v/>
      </c>
      <c r="JV27" s="607" t="str">
        <f ca="1">IF(INDIRECT(CONCATENATE($FK$12,Fixtures!JV$25))="","",IF(INDIRECT(CONCATENATE($FK$12,Fixtures!JV$25))=Fixtures!$DN27,CONCATENATE(JV$10,", "),""))</f>
        <v/>
      </c>
      <c r="JW27" s="632" t="str">
        <f ca="1">IF(INDIRECT(CONCATENATE($FK$12,Fixtures!JW$25))="","",IF(INDIRECT(CONCATENATE($FK$12,Fixtures!JW$25))=Fixtures!$DN27,CONCATENATE(JW$10,", "),""))</f>
        <v/>
      </c>
      <c r="JX27" s="632" t="str">
        <f ca="1">IF(INDIRECT(CONCATENATE($FK$12,Fixtures!JX$25))="","",IF(INDIRECT(CONCATENATE($FK$12,Fixtures!JX$25))=Fixtures!$DN27,CONCATENATE(JX$10,", "),""))</f>
        <v/>
      </c>
      <c r="JY27" s="632" t="str">
        <f ca="1">IF(INDIRECT(CONCATENATE($FK$12,Fixtures!JY$25))="","",IF(INDIRECT(CONCATENATE($FK$12,Fixtures!JY$25))=Fixtures!$DN27,CONCATENATE(JY$10,", "),""))</f>
        <v/>
      </c>
      <c r="JZ27" s="632" t="str">
        <f ca="1">IF(INDIRECT(CONCATENATE($FK$12,Fixtures!JZ$25))="","",IF(INDIRECT(CONCATENATE($FK$12,Fixtures!JZ$25))=Fixtures!$DN27,CONCATENATE(JZ$10,", "),""))</f>
        <v/>
      </c>
      <c r="KA27" s="632" t="str">
        <f ca="1">IF(INDIRECT(CONCATENATE($FK$12,Fixtures!KA$25))="","",IF(INDIRECT(CONCATENATE($FK$12,Fixtures!KA$25))=Fixtures!$DN27,CONCATENATE(KA$10,", "),""))</f>
        <v/>
      </c>
      <c r="KB27" s="632" t="str">
        <f ca="1">IF(INDIRECT(CONCATENATE($FK$12,Fixtures!KB$25))="","",IF(INDIRECT(CONCATENATE($FK$12,Fixtures!KB$25))=Fixtures!$DN27,CONCATENATE(KB$10,", "),""))</f>
        <v/>
      </c>
      <c r="KC27" s="632" t="str">
        <f ca="1">IF(INDIRECT(CONCATENATE($FK$12,Fixtures!KC$25))="","",IF(INDIRECT(CONCATENATE($FK$12,Fixtures!KC$25))=Fixtures!$DN27,CONCATENATE(KC$10,", "),""))</f>
        <v/>
      </c>
      <c r="KD27" s="632" t="str">
        <f ca="1">IF(INDIRECT(CONCATENATE($FK$12,Fixtures!KD$25))="","",IF(INDIRECT(CONCATENATE($FK$12,Fixtures!KD$25))=Fixtures!$DN27,CONCATENATE(KD$10,", "),""))</f>
        <v/>
      </c>
      <c r="KE27" s="632" t="str">
        <f ca="1">IF(INDIRECT(CONCATENATE($FK$12,Fixtures!KE$25))="","",IF(INDIRECT(CONCATENATE($FK$12,Fixtures!KE$25))=Fixtures!$DN27,CONCATENATE(KE$10,", "),""))</f>
        <v/>
      </c>
      <c r="KF27" s="632" t="str">
        <f ca="1">IF(INDIRECT(CONCATENATE($FK$12,Fixtures!KF$25))="","",IF(INDIRECT(CONCATENATE($FK$12,Fixtures!KF$25))=Fixtures!$DN27,CONCATENATE(KF$10,", "),""))</f>
        <v/>
      </c>
      <c r="KG27" s="632" t="str">
        <f ca="1">IF(INDIRECT(CONCATENATE($FK$12,Fixtures!KG$25))="","",IF(INDIRECT(CONCATENATE($FK$12,Fixtures!KG$25))=Fixtures!$DN27,CONCATENATE(KG$10,", "),""))</f>
        <v/>
      </c>
      <c r="KH27" s="632" t="str">
        <f ca="1">IF(INDIRECT(CONCATENATE($FK$12,Fixtures!KH$25))="","",IF(INDIRECT(CONCATENATE($FK$12,Fixtures!KH$25))=Fixtures!$DN27,CONCATENATE(KH$10,", "),""))</f>
        <v/>
      </c>
      <c r="KI27" s="632" t="str">
        <f ca="1">IF(INDIRECT(CONCATENATE($FK$12,Fixtures!KI$25))="","",IF(INDIRECT(CONCATENATE($FK$12,Fixtures!KI$25))=Fixtures!$DN27,CONCATENATE(KI$10,", "),""))</f>
        <v/>
      </c>
      <c r="KJ27" s="606" t="str">
        <f ca="1">IF(INDIRECT(CONCATENATE($FK$12,Fixtures!KJ$25))="","",IF(INDIRECT(CONCATENATE($FK$12,Fixtures!KJ$25))=Fixtures!$DN27,CONCATENATE(KJ$10,", "),""))</f>
        <v/>
      </c>
      <c r="KK27" s="607" t="str">
        <f ca="1">IF(INDIRECT(CONCATENATE($FK$12,Fixtures!KK$25))="","",IF(INDIRECT(CONCATENATE($FK$12,Fixtures!KK$25))=Fixtures!$DN27,CONCATENATE(KK$10,", "),""))</f>
        <v/>
      </c>
      <c r="KL27" s="632" t="str">
        <f ca="1">IF(INDIRECT(CONCATENATE($FK$12,Fixtures!KL$25))="","",IF(INDIRECT(CONCATENATE($FK$12,Fixtures!KL$25))=Fixtures!$DN27,CONCATENATE(KL$10,", "),""))</f>
        <v/>
      </c>
      <c r="KM27" s="632" t="str">
        <f ca="1">IF(INDIRECT(CONCATENATE($FK$12,Fixtures!KM$25))="","",IF(INDIRECT(CONCATENATE($FK$12,Fixtures!KM$25))=Fixtures!$DN27,CONCATENATE(KM$10,", "),""))</f>
        <v/>
      </c>
      <c r="KN27" s="632" t="str">
        <f ca="1">IF(INDIRECT(CONCATENATE($FK$12,Fixtures!KN$25))="","",IF(INDIRECT(CONCATENATE($FK$12,Fixtures!KN$25))=Fixtures!$DN27,CONCATENATE(KN$10,", "),""))</f>
        <v/>
      </c>
      <c r="KO27" s="632" t="str">
        <f ca="1">IF(INDIRECT(CONCATENATE($FK$12,Fixtures!KO$25))="","",IF(INDIRECT(CONCATENATE($FK$12,Fixtures!KO$25))=Fixtures!$DN27,CONCATENATE(KO$10,", "),""))</f>
        <v/>
      </c>
      <c r="KP27" s="632" t="str">
        <f ca="1">IF(INDIRECT(CONCATENATE($FK$12,Fixtures!KP$25))="","",IF(INDIRECT(CONCATENATE($FK$12,Fixtures!KP$25))=Fixtures!$DN27,CONCATENATE(KP$10,", "),""))</f>
        <v/>
      </c>
      <c r="KQ27" s="632" t="str">
        <f ca="1">IF(INDIRECT(CONCATENATE($FK$12,Fixtures!KQ$25))="","",IF(INDIRECT(CONCATENATE($FK$12,Fixtures!KQ$25))=Fixtures!$DN27,CONCATENATE(KQ$10,", "),""))</f>
        <v/>
      </c>
      <c r="KR27" s="632" t="str">
        <f ca="1">IF(INDIRECT(CONCATENATE($FK$12,Fixtures!KR$25))="","",IF(INDIRECT(CONCATENATE($FK$12,Fixtures!KR$25))=Fixtures!$DN27,CONCATENATE(KR$10,", "),""))</f>
        <v/>
      </c>
      <c r="KS27" s="632" t="str">
        <f ca="1">IF(INDIRECT(CONCATENATE($FK$12,Fixtures!KS$25))="","",IF(INDIRECT(CONCATENATE($FK$12,Fixtures!KS$25))=Fixtures!$DN27,CONCATENATE(KS$10,", "),""))</f>
        <v/>
      </c>
      <c r="KT27" s="632" t="str">
        <f ca="1">IF(INDIRECT(CONCATENATE($FK$12,Fixtures!KT$25))="","",IF(INDIRECT(CONCATENATE($FK$12,Fixtures!KT$25))=Fixtures!$DN27,CONCATENATE(KT$10,", "),""))</f>
        <v/>
      </c>
      <c r="KU27" s="632" t="str">
        <f ca="1">IF(INDIRECT(CONCATENATE($FK$12,Fixtures!KU$25))="","",IF(INDIRECT(CONCATENATE($FK$12,Fixtures!KU$25))=Fixtures!$DN27,CONCATENATE(KU$10,", "),""))</f>
        <v/>
      </c>
      <c r="KV27" s="632" t="str">
        <f ca="1">IF(INDIRECT(CONCATENATE($FK$12,Fixtures!KV$25))="","",IF(INDIRECT(CONCATENATE($FK$12,Fixtures!KV$25))=Fixtures!$DN27,CONCATENATE(KV$10,", "),""))</f>
        <v/>
      </c>
      <c r="KW27" s="632" t="str">
        <f ca="1">IF(INDIRECT(CONCATENATE($FK$12,Fixtures!KW$25))="","",IF(INDIRECT(CONCATENATE($FK$12,Fixtures!KW$25))=Fixtures!$DN27,CONCATENATE(KW$10,", "),""))</f>
        <v/>
      </c>
      <c r="KX27" s="632" t="str">
        <f ca="1">IF(INDIRECT(CONCATENATE($FK$12,Fixtures!KX$25))="","",IF(INDIRECT(CONCATENATE($FK$12,Fixtures!KX$25))=Fixtures!$DN27,CONCATENATE(KX$10,", "),""))</f>
        <v/>
      </c>
      <c r="KY27" s="632"/>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010"/>
      <c r="LD27" s="1009" t="str">
        <f>IFERROR((LC27/EF27)/ER27,"")</f>
        <v/>
      </c>
    </row>
    <row r="28" spans="1:316" ht="28.2" customHeight="1" thickTop="1" thickBot="1">
      <c r="C28" s="1662">
        <f>SUM(C31:D78)</f>
        <v>0</v>
      </c>
      <c r="D28" s="1663"/>
      <c r="E28" s="1664" t="s">
        <v>216</v>
      </c>
      <c r="F28" s="1665"/>
      <c r="G28" s="1665"/>
      <c r="H28" s="1665"/>
      <c r="I28" s="1665"/>
      <c r="J28" s="1665"/>
      <c r="K28" s="1665"/>
      <c r="L28" s="1665"/>
      <c r="M28" s="1666"/>
      <c r="N28" s="1265"/>
      <c r="O28" s="10"/>
      <c r="P28" s="1662">
        <f>SUM(P31:Q78)</f>
        <v>0</v>
      </c>
      <c r="Q28" s="1663"/>
      <c r="R28" s="1664" t="s">
        <v>217</v>
      </c>
      <c r="S28" s="1665"/>
      <c r="T28" s="1665"/>
      <c r="U28" s="1665"/>
      <c r="V28" s="1665"/>
      <c r="W28" s="1665"/>
      <c r="X28" s="1665"/>
      <c r="Y28" s="1265"/>
      <c r="Z28" s="1266"/>
      <c r="AA28" s="1267"/>
      <c r="AB28" s="1263"/>
      <c r="AC28" s="1371"/>
      <c r="AD28" s="1372"/>
      <c r="AE28" s="1372"/>
      <c r="AF28" s="1372"/>
      <c r="AG28" s="1372"/>
      <c r="AH28" s="1372"/>
      <c r="BL28" s="9"/>
      <c r="BM28" s="622" t="str">
        <f>IF(CN28="Yes",CONCATENATE(BX28," - ",CF28, " ",CJ28, " ",CP28,"W"),"")</f>
        <v/>
      </c>
      <c r="BN28" s="52"/>
      <c r="BO28" s="52"/>
      <c r="BP28" s="52"/>
      <c r="BQ28" s="52"/>
      <c r="BR28" s="52"/>
      <c r="BS28" s="52"/>
      <c r="BT28" s="52"/>
      <c r="BU28" s="624"/>
      <c r="BV28" s="219" t="str">
        <f>IF(CN28&lt;&gt;"Yes","",IFERROR(VLOOKUP(CU28,Existing!A$4:F$367,2,FALSE),""))</f>
        <v/>
      </c>
      <c r="BW28" s="9">
        <v>2</v>
      </c>
      <c r="BX28" s="1625"/>
      <c r="BY28" s="1626"/>
      <c r="BZ28" s="1626"/>
      <c r="CA28" s="1627"/>
      <c r="CB28" s="1622"/>
      <c r="CC28" s="1623"/>
      <c r="CD28" s="1623"/>
      <c r="CE28" s="1624"/>
      <c r="CF28" s="1621"/>
      <c r="CG28" s="1621"/>
      <c r="CH28" s="1621"/>
      <c r="CI28" s="1621"/>
      <c r="CJ28" s="1621"/>
      <c r="CK28" s="1621"/>
      <c r="CL28" s="1621"/>
      <c r="CM28" s="1621"/>
      <c r="CN28" s="1553" t="str">
        <f t="shared" si="0"/>
        <v/>
      </c>
      <c r="CO28" s="1554"/>
      <c r="CP28" s="229" t="str">
        <f>IFERROR(IF(CB28="Existing TLED",CR28*CW28*CY28,VLOOKUP(CU28,Existing!A$3:F$356,6,FALSE)),"")</f>
        <v/>
      </c>
      <c r="CQ28" s="9"/>
      <c r="CR28" s="1660"/>
      <c r="CS28" s="1661"/>
      <c r="CT28" s="9"/>
      <c r="CU28" s="425" t="str">
        <f>IF(CN28="","",IF(CB28="Existing TLED",CONCATENATE(CB28," - ",CF28),CONCATENATE(CB28," - ",CF28," ",CJ28)))</f>
        <v/>
      </c>
      <c r="CV28" s="426" t="b">
        <f>IF(CB28="Existing TLED",TRUE,FALSE)</f>
        <v>0</v>
      </c>
      <c r="CW28" s="426" t="str">
        <f>LEFT(CJ28,1)</f>
        <v/>
      </c>
      <c r="CX28" s="426">
        <f>IFERROR(VLOOKUP(CF28,Lookup!T$100:V$102,3,FALSE),0)</f>
        <v>0</v>
      </c>
      <c r="CY28" s="426">
        <f t="shared" ref="CY28:CY76" si="8">IF(CX28=2,1,1.11)</f>
        <v>1.1100000000000001</v>
      </c>
      <c r="CZ28" s="626" t="b">
        <f t="shared" si="1"/>
        <v>0</v>
      </c>
      <c r="DA28" s="626" t="b">
        <f>IF(CF28&lt;&gt;"",IF(ISERROR(MATCH(CONCATENATE(CB28," - ",CF28),Existing!G$4:G$331,0))=TRUE,FALSE,TRUE),TRUE)</f>
        <v>1</v>
      </c>
      <c r="DB28" s="626" t="b">
        <f t="shared" si="2"/>
        <v>1</v>
      </c>
      <c r="DL28" s="9"/>
      <c r="DM28" s="627" t="s">
        <v>215</v>
      </c>
      <c r="DN28" s="375" t="str">
        <f t="shared" si="3"/>
        <v/>
      </c>
      <c r="DO28" s="52"/>
      <c r="DP28" s="52"/>
      <c r="DQ28" s="52"/>
      <c r="DR28" s="52"/>
      <c r="DS28" s="52"/>
      <c r="DT28" s="226"/>
      <c r="DU28" s="376"/>
      <c r="DV28" s="227" t="str">
        <f t="shared" si="4"/>
        <v/>
      </c>
      <c r="DW28" s="224">
        <v>2</v>
      </c>
      <c r="DX28" s="1572"/>
      <c r="DY28" s="1573"/>
      <c r="DZ28" s="1573"/>
      <c r="EA28" s="1574"/>
      <c r="EB28" s="1618"/>
      <c r="EC28" s="1619"/>
      <c r="ED28" s="1619"/>
      <c r="EE28" s="1620"/>
      <c r="EF28" s="1578"/>
      <c r="EG28" s="1579"/>
      <c r="EH28" s="1572"/>
      <c r="EI28" s="1573"/>
      <c r="EJ28" s="1573"/>
      <c r="EK28" s="1574"/>
      <c r="EL28" s="1575"/>
      <c r="EM28" s="1576"/>
      <c r="EN28" s="1576"/>
      <c r="EO28" s="1577"/>
      <c r="EP28" s="1578"/>
      <c r="EQ28" s="1579"/>
      <c r="ER28" s="1555"/>
      <c r="ES28" s="1556"/>
      <c r="ET28" s="1553" t="str">
        <f t="shared" ref="ET28:ET75" si="9">IFERROR(IF(DX28="","",IF(FA28=TRUE,EF28*ER28*FB28,EP28)),"")</f>
        <v/>
      </c>
      <c r="EU28" s="1554"/>
      <c r="EV28" s="1553" t="str">
        <f t="shared" si="5"/>
        <v/>
      </c>
      <c r="EW28" s="1554"/>
      <c r="EX28" s="393"/>
      <c r="EY28" s="225" t="str">
        <f t="shared" si="6"/>
        <v/>
      </c>
      <c r="EZ28" s="225" t="str">
        <f>IFERROR(VLOOKUP(EB28,Lookup!AT$3:AU$13,2,FALSE),"")</f>
        <v/>
      </c>
      <c r="FA28" s="426" t="b">
        <f>IFERROR(IF(VLOOKUP(EB28,Lookup!AT$6:AU$8,2,FALSE)&gt;3,TRUE,FALSE),FALSE)</f>
        <v>0</v>
      </c>
      <c r="FB28" s="426" t="str">
        <f t="shared" ref="FB28:FB76" si="10">IF(LD28&gt;0,LD28,IF(OR(EZ28=4,EZ28=6),1.11,1))</f>
        <v/>
      </c>
      <c r="FC28" t="str">
        <f t="shared" ref="FC28:FC76" ca="1" si="11">FG28</f>
        <v/>
      </c>
      <c r="FG28" t="str">
        <f ca="1">IFERROR(CONCATENATE(IF(LEN(LA28)=3,"line ","lines "),LEFT(LA28,LEN(LA28)-2)),"")</f>
        <v/>
      </c>
      <c r="FI28" s="204" t="str">
        <f ca="1">IFERROR(LEFT(LA28,LEN(LA28)-2),"")</f>
        <v/>
      </c>
      <c r="FJ28" s="204"/>
      <c r="FK28" s="631" t="str">
        <f ca="1">IF(INDIRECT(CONCATENATE($FK$12,Fixtures!FK$25))="","",IF(INDIRECT(CONCATENATE($FK$12,Fixtures!FK$25))=Fixtures!$DN28,CONCATENATE(FK$10,", "),""))</f>
        <v/>
      </c>
      <c r="FL28" s="631" t="str">
        <f ca="1">IF(INDIRECT(CONCATENATE($FK$12,Fixtures!FL$25))="","",IF(INDIRECT(CONCATENATE($FK$12,Fixtures!FL$25))=Fixtures!$DN28,CONCATENATE(FL$10,", "),""))</f>
        <v/>
      </c>
      <c r="FM28" s="631" t="str">
        <f ca="1">IF(INDIRECT(CONCATENATE($FK$12,Fixtures!FM$25))="","",IF(INDIRECT(CONCATENATE($FK$12,Fixtures!FM$25))=Fixtures!$DN28,CONCATENATE(FM$10,", "),""))</f>
        <v/>
      </c>
      <c r="FN28" s="631" t="str">
        <f ca="1">IF(INDIRECT(CONCATENATE($FK$12,Fixtures!FN$25))="","",IF(INDIRECT(CONCATENATE($FK$12,Fixtures!FN$25))=Fixtures!$DN28,CONCATENATE(FN$10,", "),""))</f>
        <v/>
      </c>
      <c r="FO28" s="631" t="str">
        <f ca="1">IF(INDIRECT(CONCATENATE($FK$12,Fixtures!FO$25))="","",IF(INDIRECT(CONCATENATE($FK$12,Fixtures!FO$25))=Fixtures!$DN28,CONCATENATE(FO$10,", "),""))</f>
        <v/>
      </c>
      <c r="FP28" s="631" t="str">
        <f ca="1">IF(INDIRECT(CONCATENATE($FK$12,Fixtures!FP$25))="","",IF(INDIRECT(CONCATENATE($FK$12,Fixtures!FP$25))=Fixtures!$DN28,CONCATENATE(FP$10,", "),""))</f>
        <v/>
      </c>
      <c r="FQ28" s="631" t="str">
        <f ca="1">IF(INDIRECT(CONCATENATE($FK$12,Fixtures!FQ$25))="","",IF(INDIRECT(CONCATENATE($FK$12,Fixtures!FQ$25))=Fixtures!$DN28,CONCATENATE(FQ$10,", "),""))</f>
        <v/>
      </c>
      <c r="FR28" s="631" t="str">
        <f ca="1">IF(INDIRECT(CONCATENATE($FK$12,Fixtures!FR$25))="","",IF(INDIRECT(CONCATENATE($FK$12,Fixtures!FR$25))=Fixtures!$DN28,CONCATENATE(FR$10,", "),""))</f>
        <v/>
      </c>
      <c r="FS28" s="631" t="str">
        <f ca="1">IF(INDIRECT(CONCATENATE($FK$12,Fixtures!FS$25))="","",IF(INDIRECT(CONCATENATE($FK$12,Fixtures!FS$25))=Fixtures!$DN28,CONCATENATE(FS$10,", "),""))</f>
        <v/>
      </c>
      <c r="FT28" s="604" t="str">
        <f ca="1">IF(INDIRECT(CONCATENATE($FK$12,Fixtures!FT$25))="","",IF(INDIRECT(CONCATENATE($FK$12,Fixtures!FT$25))=Fixtures!$DN28,CONCATENATE(FT$10,", "),""))</f>
        <v/>
      </c>
      <c r="FU28" s="605" t="str">
        <f ca="1">IF(INDIRECT(CONCATENATE($FK$12,Fixtures!FU$25))="","",IF(INDIRECT(CONCATENATE($FK$12,Fixtures!FU$25))=Fixtures!$DN28,CONCATENATE(FU$10,", "),""))</f>
        <v/>
      </c>
      <c r="FV28" s="631" t="str">
        <f ca="1">IF(INDIRECT(CONCATENATE($FK$12,Fixtures!FV$25))="","",IF(INDIRECT(CONCATENATE($FK$12,Fixtures!FV$25))=Fixtures!$DN28,CONCATENATE(FV$10,", "),""))</f>
        <v/>
      </c>
      <c r="FW28" s="632" t="str">
        <f ca="1">IF(INDIRECT(CONCATENATE($FK$12,Fixtures!FW$25))="","",IF(INDIRECT(CONCATENATE($FK$12,Fixtures!FW$25))=Fixtures!$DN28,CONCATENATE(FW$10,", "),""))</f>
        <v/>
      </c>
      <c r="FX28" s="632" t="str">
        <f ca="1">IF(INDIRECT(CONCATENATE($FK$12,Fixtures!FX$25))="","",IF(INDIRECT(CONCATENATE($FK$12,Fixtures!FX$25))=Fixtures!$DN28,CONCATENATE(FX$10,", "),""))</f>
        <v/>
      </c>
      <c r="FY28" s="632" t="str">
        <f ca="1">IF(INDIRECT(CONCATENATE($FK$12,Fixtures!FY$25))="","",IF(INDIRECT(CONCATENATE($FK$12,Fixtures!FY$25))=Fixtures!$DN28,CONCATENATE(FY$10,", "),""))</f>
        <v/>
      </c>
      <c r="FZ28" s="632" t="str">
        <f ca="1">IF(INDIRECT(CONCATENATE($FK$12,Fixtures!FZ$25))="","",IF(INDIRECT(CONCATENATE($FK$12,Fixtures!FZ$25))=Fixtures!$DN28,CONCATENATE(FZ$10,", "),""))</f>
        <v/>
      </c>
      <c r="GA28" s="632" t="str">
        <f ca="1">IF(INDIRECT(CONCATENATE($FK$12,Fixtures!GA$25))="","",IF(INDIRECT(CONCATENATE($FK$12,Fixtures!GA$25))=Fixtures!$DN28,CONCATENATE(GA$10,", "),""))</f>
        <v/>
      </c>
      <c r="GB28" s="632" t="str">
        <f ca="1">IF(INDIRECT(CONCATENATE($FK$12,Fixtures!GB$25))="","",IF(INDIRECT(CONCATENATE($FK$12,Fixtures!GB$25))=Fixtures!$DN28,CONCATENATE(GB$10,", "),""))</f>
        <v/>
      </c>
      <c r="GC28" s="632" t="str">
        <f ca="1">IF(INDIRECT(CONCATENATE($FK$12,Fixtures!GC$25))="","",IF(INDIRECT(CONCATENATE($FK$12,Fixtures!GC$25))=Fixtures!$DN28,CONCATENATE(GC$10,", "),""))</f>
        <v/>
      </c>
      <c r="GD28" s="632" t="str">
        <f ca="1">IF(INDIRECT(CONCATENATE($FK$12,Fixtures!GD$25))="","",IF(INDIRECT(CONCATENATE($FK$12,Fixtures!GD$25))=Fixtures!$DN28,CONCATENATE(GD$10,", "),""))</f>
        <v/>
      </c>
      <c r="GE28" s="632" t="str">
        <f ca="1">IF(INDIRECT(CONCATENATE($FK$12,Fixtures!GE$25))="","",IF(INDIRECT(CONCATENATE($FK$12,Fixtures!GE$25))=Fixtures!$DN28,CONCATENATE(GE$10,", "),""))</f>
        <v/>
      </c>
      <c r="GF28" s="632" t="str">
        <f ca="1">IF(INDIRECT(CONCATENATE($FK$12,Fixtures!GF$25))="","",IF(INDIRECT(CONCATENATE($FK$12,Fixtures!GF$25))=Fixtures!$DN28,CONCATENATE(GF$10,", "),""))</f>
        <v/>
      </c>
      <c r="GG28" s="632" t="str">
        <f ca="1">IF(INDIRECT(CONCATENATE($FK$12,Fixtures!GG$25))="","",IF(INDIRECT(CONCATENATE($FK$12,Fixtures!GG$25))=Fixtures!$DN28,CONCATENATE(GG$10,", "),""))</f>
        <v/>
      </c>
      <c r="GH28" s="632" t="str">
        <f ca="1">IF(INDIRECT(CONCATENATE($FK$12,Fixtures!GH$25))="","",IF(INDIRECT(CONCATENATE($FK$12,Fixtures!GH$25))=Fixtures!$DN28,CONCATENATE(GH$10,", "),""))</f>
        <v/>
      </c>
      <c r="GI28" s="606" t="str">
        <f ca="1">IF(INDIRECT(CONCATENATE($FK$12,Fixtures!GI$25))="","",IF(INDIRECT(CONCATENATE($FK$12,Fixtures!GI$25))=Fixtures!$DN28,CONCATENATE(GI$10,", "),""))</f>
        <v/>
      </c>
      <c r="GJ28" s="607" t="str">
        <f ca="1">IF(INDIRECT(CONCATENATE($FK$12,Fixtures!GJ$25))="","",IF(INDIRECT(CONCATENATE($FK$12,Fixtures!GJ$25))=Fixtures!$DN28,CONCATENATE(GJ$10,", "),""))</f>
        <v/>
      </c>
      <c r="GK28" s="632" t="str">
        <f ca="1">IF(INDIRECT(CONCATENATE($FK$12,Fixtures!GK$25))="","",IF(INDIRECT(CONCATENATE($FK$12,Fixtures!GK$25))=Fixtures!$DN28,CONCATENATE(GK$10,", "),""))</f>
        <v/>
      </c>
      <c r="GL28" s="632" t="str">
        <f ca="1">IF(INDIRECT(CONCATENATE($FK$12,Fixtures!GL$25))="","",IF(INDIRECT(CONCATENATE($FK$12,Fixtures!GL$25))=Fixtures!$DN28,CONCATENATE(GL$10,", "),""))</f>
        <v/>
      </c>
      <c r="GM28" s="632" t="str">
        <f ca="1">IF(INDIRECT(CONCATENATE($FK$12,Fixtures!GM$25))="","",IF(INDIRECT(CONCATENATE($FK$12,Fixtures!GM$25))=Fixtures!$DN28,CONCATENATE(GM$10,", "),""))</f>
        <v/>
      </c>
      <c r="GN28" s="632" t="str">
        <f ca="1">IF(INDIRECT(CONCATENATE($FK$12,Fixtures!GN$25))="","",IF(INDIRECT(CONCATENATE($FK$12,Fixtures!GN$25))=Fixtures!$DN28,CONCATENATE(GN$10,", "),""))</f>
        <v/>
      </c>
      <c r="GO28" s="632" t="str">
        <f ca="1">IF(INDIRECT(CONCATENATE($FK$12,Fixtures!GO$25))="","",IF(INDIRECT(CONCATENATE($FK$12,Fixtures!GO$25))=Fixtures!$DN28,CONCATENATE(GO$10,", "),""))</f>
        <v/>
      </c>
      <c r="GP28" s="632" t="str">
        <f ca="1">IF(INDIRECT(CONCATENATE($FK$12,Fixtures!GP$25))="","",IF(INDIRECT(CONCATENATE($FK$12,Fixtures!GP$25))=Fixtures!$DN28,CONCATENATE(GP$10,", "),""))</f>
        <v/>
      </c>
      <c r="GQ28" s="632" t="str">
        <f ca="1">IF(INDIRECT(CONCATENATE($FK$12,Fixtures!GQ$25))="","",IF(INDIRECT(CONCATENATE($FK$12,Fixtures!GQ$25))=Fixtures!$DN28,CONCATENATE(GQ$10,", "),""))</f>
        <v/>
      </c>
      <c r="GR28" s="632" t="str">
        <f ca="1">IF(INDIRECT(CONCATENATE($FK$12,Fixtures!GR$25))="","",IF(INDIRECT(CONCATENATE($FK$12,Fixtures!GR$25))=Fixtures!$DN28,CONCATENATE(GR$10,", "),""))</f>
        <v/>
      </c>
      <c r="GS28" s="632" t="str">
        <f ca="1">IF(INDIRECT(CONCATENATE($FK$12,Fixtures!GS$25))="","",IF(INDIRECT(CONCATENATE($FK$12,Fixtures!GS$25))=Fixtures!$DN28,CONCATENATE(GS$10,", "),""))</f>
        <v/>
      </c>
      <c r="GT28" s="632" t="str">
        <f ca="1">IF(INDIRECT(CONCATENATE($FK$12,Fixtures!GT$25))="","",IF(INDIRECT(CONCATENATE($FK$12,Fixtures!GT$25))=Fixtures!$DN28,CONCATENATE(GT$10,", "),""))</f>
        <v/>
      </c>
      <c r="GU28" s="632" t="str">
        <f ca="1">IF(INDIRECT(CONCATENATE($FK$12,Fixtures!GU$25))="","",IF(INDIRECT(CONCATENATE($FK$12,Fixtures!GU$25))=Fixtures!$DN28,CONCATENATE(GU$10,", "),""))</f>
        <v/>
      </c>
      <c r="GV28" s="632" t="str">
        <f ca="1">IF(INDIRECT(CONCATENATE($FK$12,Fixtures!GV$25))="","",IF(INDIRECT(CONCATENATE($FK$12,Fixtures!GV$25))=Fixtures!$DN28,CONCATENATE(GV$10,", "),""))</f>
        <v/>
      </c>
      <c r="GW28" s="632" t="str">
        <f ca="1">IF(INDIRECT(CONCATENATE($FK$12,Fixtures!GW$25))="","",IF(INDIRECT(CONCATENATE($FK$12,Fixtures!GW$25))=Fixtures!$DN28,CONCATENATE(GW$10,", "),""))</f>
        <v/>
      </c>
      <c r="GX28" s="606" t="str">
        <f ca="1">IF(INDIRECT(CONCATENATE($FK$12,Fixtures!GX$25))="","",IF(INDIRECT(CONCATENATE($FK$12,Fixtures!GX$25))=Fixtures!$DN28,CONCATENATE(GX$10,", "),""))</f>
        <v/>
      </c>
      <c r="GY28" s="607" t="str">
        <f ca="1">IF(INDIRECT(CONCATENATE($FK$12,Fixtures!GY$25))="","",IF(INDIRECT(CONCATENATE($FK$12,Fixtures!GY$25))=Fixtures!$DN28,CONCATENATE(GY$10,", "),""))</f>
        <v/>
      </c>
      <c r="GZ28" s="632" t="str">
        <f ca="1">IF(INDIRECT(CONCATENATE($FK$12,Fixtures!GZ$25))="","",IF(INDIRECT(CONCATENATE($FK$12,Fixtures!GZ$25))=Fixtures!$DN28,CONCATENATE(GZ$10,", "),""))</f>
        <v/>
      </c>
      <c r="HA28" s="632" t="str">
        <f ca="1">IF(INDIRECT(CONCATENATE($FK$12,Fixtures!HA$25))="","",IF(INDIRECT(CONCATENATE($FK$12,Fixtures!HA$25))=Fixtures!$DN28,CONCATENATE(HA$10,", "),""))</f>
        <v/>
      </c>
      <c r="HB28" s="632" t="str">
        <f ca="1">IF(INDIRECT(CONCATENATE($FK$12,Fixtures!HB$25))="","",IF(INDIRECT(CONCATENATE($FK$12,Fixtures!HB$25))=Fixtures!$DN28,CONCATENATE(HB$10,", "),""))</f>
        <v/>
      </c>
      <c r="HC28" s="632" t="str">
        <f ca="1">IF(INDIRECT(CONCATENATE($FK$12,Fixtures!HC$25))="","",IF(INDIRECT(CONCATENATE($FK$12,Fixtures!HC$25))=Fixtures!$DN28,CONCATENATE(HC$10,", "),""))</f>
        <v/>
      </c>
      <c r="HD28" s="632" t="str">
        <f ca="1">IF(INDIRECT(CONCATENATE($FK$12,Fixtures!HD$25))="","",IF(INDIRECT(CONCATENATE($FK$12,Fixtures!HD$25))=Fixtures!$DN28,CONCATENATE(HD$10,", "),""))</f>
        <v/>
      </c>
      <c r="HE28" s="632" t="str">
        <f ca="1">IF(INDIRECT(CONCATENATE($FK$12,Fixtures!HE$25))="","",IF(INDIRECT(CONCATENATE($FK$12,Fixtures!HE$25))=Fixtures!$DN28,CONCATENATE(HE$10,", "),""))</f>
        <v/>
      </c>
      <c r="HF28" s="632" t="str">
        <f ca="1">IF(INDIRECT(CONCATENATE($FK$12,Fixtures!HF$25))="","",IF(INDIRECT(CONCATENATE($FK$12,Fixtures!HF$25))=Fixtures!$DN28,CONCATENATE(HF$10,", "),""))</f>
        <v/>
      </c>
      <c r="HG28" s="632" t="str">
        <f ca="1">IF(INDIRECT(CONCATENATE($FK$12,Fixtures!HG$25))="","",IF(INDIRECT(CONCATENATE($FK$12,Fixtures!HG$25))=Fixtures!$DN28,CONCATENATE(HG$10,", "),""))</f>
        <v/>
      </c>
      <c r="HH28" s="632" t="str">
        <f ca="1">IF(INDIRECT(CONCATENATE($FK$12,Fixtures!HH$25))="","",IF(INDIRECT(CONCATENATE($FK$12,Fixtures!HH$25))=Fixtures!$DN28,CONCATENATE(HH$10,", "),""))</f>
        <v/>
      </c>
      <c r="HI28" s="632" t="str">
        <f ca="1">IF(INDIRECT(CONCATENATE($FK$12,Fixtures!HI$25))="","",IF(INDIRECT(CONCATENATE($FK$12,Fixtures!HI$25))=Fixtures!$DN28,CONCATENATE(HI$10,", "),""))</f>
        <v/>
      </c>
      <c r="HJ28" s="632" t="str">
        <f ca="1">IF(INDIRECT(CONCATENATE($FK$12,Fixtures!HJ$25))="","",IF(INDIRECT(CONCATENATE($FK$12,Fixtures!HJ$25))=Fixtures!$DN28,CONCATENATE(HJ$10,", "),""))</f>
        <v/>
      </c>
      <c r="HK28" s="632" t="str">
        <f ca="1">IF(INDIRECT(CONCATENATE($FK$12,Fixtures!HK$25))="","",IF(INDIRECT(CONCATENATE($FK$12,Fixtures!HK$25))=Fixtures!$DN28,CONCATENATE(HK$10,", "),""))</f>
        <v/>
      </c>
      <c r="HL28" s="632" t="str">
        <f ca="1">IF(INDIRECT(CONCATENATE($FK$12,Fixtures!HL$25))="","",IF(INDIRECT(CONCATENATE($FK$12,Fixtures!HL$25))=Fixtures!$DN28,CONCATENATE(HL$10,", "),""))</f>
        <v/>
      </c>
      <c r="HM28" s="606" t="str">
        <f ca="1">IF(INDIRECT(CONCATENATE($FK$12,Fixtures!HM$25))="","",IF(INDIRECT(CONCATENATE($FK$12,Fixtures!HM$25))=Fixtures!$DN28,CONCATENATE(HM$10,", "),""))</f>
        <v/>
      </c>
      <c r="HN28" s="607" t="str">
        <f ca="1">IF(INDIRECT(CONCATENATE($FK$12,Fixtures!HN$25))="","",IF(INDIRECT(CONCATENATE($FK$12,Fixtures!HN$25))=Fixtures!$DN28,CONCATENATE(HN$10,", "),""))</f>
        <v/>
      </c>
      <c r="HO28" s="632" t="str">
        <f ca="1">IF(INDIRECT(CONCATENATE($FK$12,Fixtures!HO$25))="","",IF(INDIRECT(CONCATENATE($FK$12,Fixtures!HO$25))=Fixtures!$DN28,CONCATENATE(HO$10,", "),""))</f>
        <v/>
      </c>
      <c r="HP28" s="632" t="str">
        <f ca="1">IF(INDIRECT(CONCATENATE($FK$12,Fixtures!HP$25))="","",IF(INDIRECT(CONCATENATE($FK$12,Fixtures!HP$25))=Fixtures!$DN28,CONCATENATE(HP$10,", "),""))</f>
        <v/>
      </c>
      <c r="HQ28" s="632" t="str">
        <f ca="1">IF(INDIRECT(CONCATENATE($FK$12,Fixtures!HQ$25))="","",IF(INDIRECT(CONCATENATE($FK$12,Fixtures!HQ$25))=Fixtures!$DN28,CONCATENATE(HQ$10,", "),""))</f>
        <v/>
      </c>
      <c r="HR28" s="632" t="str">
        <f ca="1">IF(INDIRECT(CONCATENATE($FK$12,Fixtures!HR$25))="","",IF(INDIRECT(CONCATENATE($FK$12,Fixtures!HR$25))=Fixtures!$DN28,CONCATENATE(HR$10,", "),""))</f>
        <v/>
      </c>
      <c r="HS28" s="632" t="str">
        <f ca="1">IF(INDIRECT(CONCATENATE($FK$12,Fixtures!HS$25))="","",IF(INDIRECT(CONCATENATE($FK$12,Fixtures!HS$25))=Fixtures!$DN28,CONCATENATE(HS$10,", "),""))</f>
        <v/>
      </c>
      <c r="HT28" s="632" t="str">
        <f ca="1">IF(INDIRECT(CONCATENATE($FK$12,Fixtures!HT$25))="","",IF(INDIRECT(CONCATENATE($FK$12,Fixtures!HT$25))=Fixtures!$DN28,CONCATENATE(HT$10,", "),""))</f>
        <v/>
      </c>
      <c r="HU28" s="632" t="str">
        <f ca="1">IF(INDIRECT(CONCATENATE($FK$12,Fixtures!HU$25))="","",IF(INDIRECT(CONCATENATE($FK$12,Fixtures!HU$25))=Fixtures!$DN28,CONCATENATE(HU$10,", "),""))</f>
        <v/>
      </c>
      <c r="HV28" s="632" t="str">
        <f ca="1">IF(INDIRECT(CONCATENATE($FK$12,Fixtures!HV$25))="","",IF(INDIRECT(CONCATENATE($FK$12,Fixtures!HV$25))=Fixtures!$DN28,CONCATENATE(HV$10,", "),""))</f>
        <v/>
      </c>
      <c r="HW28" s="632" t="str">
        <f ca="1">IF(INDIRECT(CONCATENATE($FK$12,Fixtures!HW$25))="","",IF(INDIRECT(CONCATENATE($FK$12,Fixtures!HW$25))=Fixtures!$DN28,CONCATENATE(HW$10,", "),""))</f>
        <v/>
      </c>
      <c r="HX28" s="632" t="str">
        <f ca="1">IF(INDIRECT(CONCATENATE($FK$12,Fixtures!HX$25))="","",IF(INDIRECT(CONCATENATE($FK$12,Fixtures!HX$25))=Fixtures!$DN28,CONCATENATE(HX$10,", "),""))</f>
        <v/>
      </c>
      <c r="HY28" s="632" t="str">
        <f ca="1">IF(INDIRECT(CONCATENATE($FK$12,Fixtures!HY$25))="","",IF(INDIRECT(CONCATENATE($FK$12,Fixtures!HY$25))=Fixtures!$DN28,CONCATENATE(HY$10,", "),""))</f>
        <v/>
      </c>
      <c r="HZ28" s="632" t="str">
        <f ca="1">IF(INDIRECT(CONCATENATE($FK$12,Fixtures!HZ$25))="","",IF(INDIRECT(CONCATENATE($FK$12,Fixtures!HZ$25))=Fixtures!$DN28,CONCATENATE(HZ$10,", "),""))</f>
        <v/>
      </c>
      <c r="IA28" s="632" t="str">
        <f ca="1">IF(INDIRECT(CONCATENATE($FK$12,Fixtures!IA$25))="","",IF(INDIRECT(CONCATENATE($FK$12,Fixtures!IA$25))=Fixtures!$DN28,CONCATENATE(IA$10,", "),""))</f>
        <v/>
      </c>
      <c r="IB28" s="606" t="str">
        <f ca="1">IF(INDIRECT(CONCATENATE($FK$12,Fixtures!IB$25))="","",IF(INDIRECT(CONCATENATE($FK$12,Fixtures!IB$25))=Fixtures!$DN28,CONCATENATE(IB$10,", "),""))</f>
        <v/>
      </c>
      <c r="IC28" s="607" t="str">
        <f ca="1">IF(INDIRECT(CONCATENATE($FK$12,Fixtures!IC$25))="","",IF(INDIRECT(CONCATENATE($FK$12,Fixtures!IC$25))=Fixtures!$DN28,CONCATENATE(IC$10,", "),""))</f>
        <v/>
      </c>
      <c r="ID28" s="632" t="str">
        <f ca="1">IF(INDIRECT(CONCATENATE($FK$12,Fixtures!ID$25))="","",IF(INDIRECT(CONCATENATE($FK$12,Fixtures!ID$25))=Fixtures!$DN28,CONCATENATE(ID$10,", "),""))</f>
        <v/>
      </c>
      <c r="IE28" s="632" t="str">
        <f ca="1">IF(INDIRECT(CONCATENATE($FK$12,Fixtures!IE$25))="","",IF(INDIRECT(CONCATENATE($FK$12,Fixtures!IE$25))=Fixtures!$DN28,CONCATENATE(IE$10,", "),""))</f>
        <v/>
      </c>
      <c r="IF28" s="632" t="str">
        <f ca="1">IF(INDIRECT(CONCATENATE($FK$12,Fixtures!IF$25))="","",IF(INDIRECT(CONCATENATE($FK$12,Fixtures!IF$25))=Fixtures!$DN28,CONCATENATE(IF$10,", "),""))</f>
        <v/>
      </c>
      <c r="IG28" s="632" t="str">
        <f ca="1">IF(INDIRECT(CONCATENATE($FK$12,Fixtures!IG$25))="","",IF(INDIRECT(CONCATENATE($FK$12,Fixtures!IG$25))=Fixtures!$DN28,CONCATENATE(IG$10,", "),""))</f>
        <v/>
      </c>
      <c r="IH28" s="632" t="str">
        <f ca="1">IF(INDIRECT(CONCATENATE($FK$12,Fixtures!IH$25))="","",IF(INDIRECT(CONCATENATE($FK$12,Fixtures!IH$25))=Fixtures!$DN28,CONCATENATE(IH$10,", "),""))</f>
        <v/>
      </c>
      <c r="II28" s="632" t="str">
        <f ca="1">IF(INDIRECT(CONCATENATE($FK$12,Fixtures!II$25))="","",IF(INDIRECT(CONCATENATE($FK$12,Fixtures!II$25))=Fixtures!$DN28,CONCATENATE(II$10,", "),""))</f>
        <v/>
      </c>
      <c r="IJ28" s="632" t="str">
        <f ca="1">IF(INDIRECT(CONCATENATE($FK$12,Fixtures!IJ$25))="","",IF(INDIRECT(CONCATENATE($FK$12,Fixtures!IJ$25))=Fixtures!$DN28,CONCATENATE(IJ$10,", "),""))</f>
        <v/>
      </c>
      <c r="IK28" s="632" t="str">
        <f ca="1">IF(INDIRECT(CONCATENATE($FK$12,Fixtures!IK$25))="","",IF(INDIRECT(CONCATENATE($FK$12,Fixtures!IK$25))=Fixtures!$DN28,CONCATENATE(IK$10,", "),""))</f>
        <v/>
      </c>
      <c r="IL28" s="632" t="str">
        <f ca="1">IF(INDIRECT(CONCATENATE($FK$12,Fixtures!IL$25))="","",IF(INDIRECT(CONCATENATE($FK$12,Fixtures!IL$25))=Fixtures!$DN28,CONCATENATE(IL$10,", "),""))</f>
        <v/>
      </c>
      <c r="IM28" s="632" t="str">
        <f ca="1">IF(INDIRECT(CONCATENATE($FK$12,Fixtures!IM$25))="","",IF(INDIRECT(CONCATENATE($FK$12,Fixtures!IM$25))=Fixtures!$DN28,CONCATENATE(IM$10,", "),""))</f>
        <v/>
      </c>
      <c r="IN28" s="632" t="str">
        <f ca="1">IF(INDIRECT(CONCATENATE($FK$12,Fixtures!IN$25))="","",IF(INDIRECT(CONCATENATE($FK$12,Fixtures!IN$25))=Fixtures!$DN28,CONCATENATE(IN$10,", "),""))</f>
        <v/>
      </c>
      <c r="IO28" s="632" t="str">
        <f ca="1">IF(INDIRECT(CONCATENATE($FK$12,Fixtures!IO$25))="","",IF(INDIRECT(CONCATENATE($FK$12,Fixtures!IO$25))=Fixtures!$DN28,CONCATENATE(IO$10,", "),""))</f>
        <v/>
      </c>
      <c r="IP28" s="632" t="str">
        <f ca="1">IF(INDIRECT(CONCATENATE($FK$12,Fixtures!IP$25))="","",IF(INDIRECT(CONCATENATE($FK$12,Fixtures!IP$25))=Fixtures!$DN28,CONCATENATE(IP$10,", "),""))</f>
        <v/>
      </c>
      <c r="IQ28" s="606" t="str">
        <f ca="1">IF(INDIRECT(CONCATENATE($FK$12,Fixtures!IQ$25))="","",IF(INDIRECT(CONCATENATE($FK$12,Fixtures!IQ$25))=Fixtures!$DN28,CONCATENATE(IQ$10,", "),""))</f>
        <v/>
      </c>
      <c r="IR28" s="607" t="str">
        <f ca="1">IF(INDIRECT(CONCATENATE($FK$12,Fixtures!IR$25))="","",IF(INDIRECT(CONCATENATE($FK$12,Fixtures!IR$25))=Fixtures!$DN28,CONCATENATE(IR$10,", "),""))</f>
        <v/>
      </c>
      <c r="IS28" s="632" t="str">
        <f ca="1">IF(INDIRECT(CONCATENATE($FK$12,Fixtures!IS$25))="","",IF(INDIRECT(CONCATENATE($FK$12,Fixtures!IS$25))=Fixtures!$DN28,CONCATENATE(IS$10,", "),""))</f>
        <v/>
      </c>
      <c r="IT28" s="632" t="str">
        <f ca="1">IF(INDIRECT(CONCATENATE($FK$12,Fixtures!IT$25))="","",IF(INDIRECT(CONCATENATE($FK$12,Fixtures!IT$25))=Fixtures!$DN28,CONCATENATE(IT$10,", "),""))</f>
        <v/>
      </c>
      <c r="IU28" s="632" t="str">
        <f ca="1">IF(INDIRECT(CONCATENATE($FK$12,Fixtures!IU$25))="","",IF(INDIRECT(CONCATENATE($FK$12,Fixtures!IU$25))=Fixtures!$DN28,CONCATENATE(IU$10,", "),""))</f>
        <v/>
      </c>
      <c r="IV28" s="632" t="str">
        <f ca="1">IF(INDIRECT(CONCATENATE($FK$12,Fixtures!IV$25))="","",IF(INDIRECT(CONCATENATE($FK$12,Fixtures!IV$25))=Fixtures!$DN28,CONCATENATE(IV$10,", "),""))</f>
        <v/>
      </c>
      <c r="IW28" s="632" t="str">
        <f ca="1">IF(INDIRECT(CONCATENATE($FK$12,Fixtures!IW$25))="","",IF(INDIRECT(CONCATENATE($FK$12,Fixtures!IW$25))=Fixtures!$DN28,CONCATENATE(IW$10,", "),""))</f>
        <v/>
      </c>
      <c r="IX28" s="632" t="str">
        <f ca="1">IF(INDIRECT(CONCATENATE($FK$12,Fixtures!IX$25))="","",IF(INDIRECT(CONCATENATE($FK$12,Fixtures!IX$25))=Fixtures!$DN28,CONCATENATE(IX$10,", "),""))</f>
        <v/>
      </c>
      <c r="IY28" s="632" t="str">
        <f ca="1">IF(INDIRECT(CONCATENATE($FK$12,Fixtures!IY$25))="","",IF(INDIRECT(CONCATENATE($FK$12,Fixtures!IY$25))=Fixtures!$DN28,CONCATENATE(IY$10,", "),""))</f>
        <v/>
      </c>
      <c r="IZ28" s="632" t="str">
        <f ca="1">IF(INDIRECT(CONCATENATE($FK$12,Fixtures!IZ$25))="","",IF(INDIRECT(CONCATENATE($FK$12,Fixtures!IZ$25))=Fixtures!$DN28,CONCATENATE(IZ$10,", "),""))</f>
        <v/>
      </c>
      <c r="JA28" s="632" t="str">
        <f ca="1">IF(INDIRECT(CONCATENATE($FK$12,Fixtures!JA$25))="","",IF(INDIRECT(CONCATENATE($FK$12,Fixtures!JA$25))=Fixtures!$DN28,CONCATENATE(JA$10,", "),""))</f>
        <v/>
      </c>
      <c r="JB28" s="632" t="str">
        <f ca="1">IF(INDIRECT(CONCATENATE($FK$12,Fixtures!JB$25))="","",IF(INDIRECT(CONCATENATE($FK$12,Fixtures!JB$25))=Fixtures!$DN28,CONCATENATE(JB$10,", "),""))</f>
        <v/>
      </c>
      <c r="JC28" s="632" t="str">
        <f ca="1">IF(INDIRECT(CONCATENATE($FK$12,Fixtures!JC$25))="","",IF(INDIRECT(CONCATENATE($FK$12,Fixtures!JC$25))=Fixtures!$DN28,CONCATENATE(JC$10,", "),""))</f>
        <v/>
      </c>
      <c r="JD28" s="632" t="str">
        <f ca="1">IF(INDIRECT(CONCATENATE($FK$12,Fixtures!JD$25))="","",IF(INDIRECT(CONCATENATE($FK$12,Fixtures!JD$25))=Fixtures!$DN28,CONCATENATE(JD$10,", "),""))</f>
        <v/>
      </c>
      <c r="JE28" s="632" t="str">
        <f ca="1">IF(INDIRECT(CONCATENATE($FK$12,Fixtures!JE$25))="","",IF(INDIRECT(CONCATENATE($FK$12,Fixtures!JE$25))=Fixtures!$DN28,CONCATENATE(JE$10,", "),""))</f>
        <v/>
      </c>
      <c r="JF28" s="606" t="str">
        <f ca="1">IF(INDIRECT(CONCATENATE($FK$12,Fixtures!JF$25))="","",IF(INDIRECT(CONCATENATE($FK$12,Fixtures!JF$25))=Fixtures!$DN28,CONCATENATE(JF$10,", "),""))</f>
        <v/>
      </c>
      <c r="JG28" s="607" t="str">
        <f ca="1">IF(INDIRECT(CONCATENATE($FK$12,Fixtures!JG$25))="","",IF(INDIRECT(CONCATENATE($FK$12,Fixtures!JG$25))=Fixtures!$DN28,CONCATENATE(JG$10,", "),""))</f>
        <v/>
      </c>
      <c r="JH28" s="632" t="str">
        <f ca="1">IF(INDIRECT(CONCATENATE($FK$12,Fixtures!JH$25))="","",IF(INDIRECT(CONCATENATE($FK$12,Fixtures!JH$25))=Fixtures!$DN28,CONCATENATE(JH$10,", "),""))</f>
        <v/>
      </c>
      <c r="JI28" s="632" t="str">
        <f ca="1">IF(INDIRECT(CONCATENATE($FK$12,Fixtures!JI$25))="","",IF(INDIRECT(CONCATENATE($FK$12,Fixtures!JI$25))=Fixtures!$DN28,CONCATENATE(JI$10,", "),""))</f>
        <v/>
      </c>
      <c r="JJ28" s="632" t="str">
        <f ca="1">IF(INDIRECT(CONCATENATE($FK$12,Fixtures!JJ$25))="","",IF(INDIRECT(CONCATENATE($FK$12,Fixtures!JJ$25))=Fixtures!$DN28,CONCATENATE(JJ$10,", "),""))</f>
        <v/>
      </c>
      <c r="JK28" s="632" t="str">
        <f ca="1">IF(INDIRECT(CONCATENATE($FK$12,Fixtures!JK$25))="","",IF(INDIRECT(CONCATENATE($FK$12,Fixtures!JK$25))=Fixtures!$DN28,CONCATENATE(JK$10,", "),""))</f>
        <v/>
      </c>
      <c r="JL28" s="632" t="str">
        <f ca="1">IF(INDIRECT(CONCATENATE($FK$12,Fixtures!JL$25))="","",IF(INDIRECT(CONCATENATE($FK$12,Fixtures!JL$25))=Fixtures!$DN28,CONCATENATE(JL$10,", "),""))</f>
        <v/>
      </c>
      <c r="JM28" s="632" t="str">
        <f ca="1">IF(INDIRECT(CONCATENATE($FK$12,Fixtures!JM$25))="","",IF(INDIRECT(CONCATENATE($FK$12,Fixtures!JM$25))=Fixtures!$DN28,CONCATENATE(JM$10,", "),""))</f>
        <v/>
      </c>
      <c r="JN28" s="632" t="str">
        <f ca="1">IF(INDIRECT(CONCATENATE($FK$12,Fixtures!JN$25))="","",IF(INDIRECT(CONCATENATE($FK$12,Fixtures!JN$25))=Fixtures!$DN28,CONCATENATE(JN$10,", "),""))</f>
        <v/>
      </c>
      <c r="JO28" s="632" t="str">
        <f ca="1">IF(INDIRECT(CONCATENATE($FK$12,Fixtures!JO$25))="","",IF(INDIRECT(CONCATENATE($FK$12,Fixtures!JO$25))=Fixtures!$DN28,CONCATENATE(JO$10,", "),""))</f>
        <v/>
      </c>
      <c r="JP28" s="632" t="str">
        <f ca="1">IF(INDIRECT(CONCATENATE($FK$12,Fixtures!JP$25))="","",IF(INDIRECT(CONCATENATE($FK$12,Fixtures!JP$25))=Fixtures!$DN28,CONCATENATE(JP$10,", "),""))</f>
        <v/>
      </c>
      <c r="JQ28" s="632" t="str">
        <f ca="1">IF(INDIRECT(CONCATENATE($FK$12,Fixtures!JQ$25))="","",IF(INDIRECT(CONCATENATE($FK$12,Fixtures!JQ$25))=Fixtures!$DN28,CONCATENATE(JQ$10,", "),""))</f>
        <v/>
      </c>
      <c r="JR28" s="632" t="str">
        <f ca="1">IF(INDIRECT(CONCATENATE($FK$12,Fixtures!JR$25))="","",IF(INDIRECT(CONCATENATE($FK$12,Fixtures!JR$25))=Fixtures!$DN28,CONCATENATE(JR$10,", "),""))</f>
        <v/>
      </c>
      <c r="JS28" s="632" t="str">
        <f ca="1">IF(INDIRECT(CONCATENATE($FK$12,Fixtures!JS$25))="","",IF(INDIRECT(CONCATENATE($FK$12,Fixtures!JS$25))=Fixtures!$DN28,CONCATENATE(JS$10,", "),""))</f>
        <v/>
      </c>
      <c r="JT28" s="632" t="str">
        <f ca="1">IF(INDIRECT(CONCATENATE($FK$12,Fixtures!JT$25))="","",IF(INDIRECT(CONCATENATE($FK$12,Fixtures!JT$25))=Fixtures!$DN28,CONCATENATE(JT$10,", "),""))</f>
        <v/>
      </c>
      <c r="JU28" s="606" t="str">
        <f ca="1">IF(INDIRECT(CONCATENATE($FK$12,Fixtures!JU$25))="","",IF(INDIRECT(CONCATENATE($FK$12,Fixtures!JU$25))=Fixtures!$DN28,CONCATENATE(JU$10,", "),""))</f>
        <v/>
      </c>
      <c r="JV28" s="607" t="str">
        <f ca="1">IF(INDIRECT(CONCATENATE($FK$12,Fixtures!JV$25))="","",IF(INDIRECT(CONCATENATE($FK$12,Fixtures!JV$25))=Fixtures!$DN28,CONCATENATE(JV$10,", "),""))</f>
        <v/>
      </c>
      <c r="JW28" s="632" t="str">
        <f ca="1">IF(INDIRECT(CONCATENATE($FK$12,Fixtures!JW$25))="","",IF(INDIRECT(CONCATENATE($FK$12,Fixtures!JW$25))=Fixtures!$DN28,CONCATENATE(JW$10,", "),""))</f>
        <v/>
      </c>
      <c r="JX28" s="632" t="str">
        <f ca="1">IF(INDIRECT(CONCATENATE($FK$12,Fixtures!JX$25))="","",IF(INDIRECT(CONCATENATE($FK$12,Fixtures!JX$25))=Fixtures!$DN28,CONCATENATE(JX$10,", "),""))</f>
        <v/>
      </c>
      <c r="JY28" s="632" t="str">
        <f ca="1">IF(INDIRECT(CONCATENATE($FK$12,Fixtures!JY$25))="","",IF(INDIRECT(CONCATENATE($FK$12,Fixtures!JY$25))=Fixtures!$DN28,CONCATENATE(JY$10,", "),""))</f>
        <v/>
      </c>
      <c r="JZ28" s="632" t="str">
        <f ca="1">IF(INDIRECT(CONCATENATE($FK$12,Fixtures!JZ$25))="","",IF(INDIRECT(CONCATENATE($FK$12,Fixtures!JZ$25))=Fixtures!$DN28,CONCATENATE(JZ$10,", "),""))</f>
        <v/>
      </c>
      <c r="KA28" s="632" t="str">
        <f ca="1">IF(INDIRECT(CONCATENATE($FK$12,Fixtures!KA$25))="","",IF(INDIRECT(CONCATENATE($FK$12,Fixtures!KA$25))=Fixtures!$DN28,CONCATENATE(KA$10,", "),""))</f>
        <v/>
      </c>
      <c r="KB28" s="632" t="str">
        <f ca="1">IF(INDIRECT(CONCATENATE($FK$12,Fixtures!KB$25))="","",IF(INDIRECT(CONCATENATE($FK$12,Fixtures!KB$25))=Fixtures!$DN28,CONCATENATE(KB$10,", "),""))</f>
        <v/>
      </c>
      <c r="KC28" s="632" t="str">
        <f ca="1">IF(INDIRECT(CONCATENATE($FK$12,Fixtures!KC$25))="","",IF(INDIRECT(CONCATENATE($FK$12,Fixtures!KC$25))=Fixtures!$DN28,CONCATENATE(KC$10,", "),""))</f>
        <v/>
      </c>
      <c r="KD28" s="632" t="str">
        <f ca="1">IF(INDIRECT(CONCATENATE($FK$12,Fixtures!KD$25))="","",IF(INDIRECT(CONCATENATE($FK$12,Fixtures!KD$25))=Fixtures!$DN28,CONCATENATE(KD$10,", "),""))</f>
        <v/>
      </c>
      <c r="KE28" s="632" t="str">
        <f ca="1">IF(INDIRECT(CONCATENATE($FK$12,Fixtures!KE$25))="","",IF(INDIRECT(CONCATENATE($FK$12,Fixtures!KE$25))=Fixtures!$DN28,CONCATENATE(KE$10,", "),""))</f>
        <v/>
      </c>
      <c r="KF28" s="632" t="str">
        <f ca="1">IF(INDIRECT(CONCATENATE($FK$12,Fixtures!KF$25))="","",IF(INDIRECT(CONCATENATE($FK$12,Fixtures!KF$25))=Fixtures!$DN28,CONCATENATE(KF$10,", "),""))</f>
        <v/>
      </c>
      <c r="KG28" s="632" t="str">
        <f ca="1">IF(INDIRECT(CONCATENATE($FK$12,Fixtures!KG$25))="","",IF(INDIRECT(CONCATENATE($FK$12,Fixtures!KG$25))=Fixtures!$DN28,CONCATENATE(KG$10,", "),""))</f>
        <v/>
      </c>
      <c r="KH28" s="632" t="str">
        <f ca="1">IF(INDIRECT(CONCATENATE($FK$12,Fixtures!KH$25))="","",IF(INDIRECT(CONCATENATE($FK$12,Fixtures!KH$25))=Fixtures!$DN28,CONCATENATE(KH$10,", "),""))</f>
        <v/>
      </c>
      <c r="KI28" s="632" t="str">
        <f ca="1">IF(INDIRECT(CONCATENATE($FK$12,Fixtures!KI$25))="","",IF(INDIRECT(CONCATENATE($FK$12,Fixtures!KI$25))=Fixtures!$DN28,CONCATENATE(KI$10,", "),""))</f>
        <v/>
      </c>
      <c r="KJ28" s="606" t="str">
        <f ca="1">IF(INDIRECT(CONCATENATE($FK$12,Fixtures!KJ$25))="","",IF(INDIRECT(CONCATENATE($FK$12,Fixtures!KJ$25))=Fixtures!$DN28,CONCATENATE(KJ$10,", "),""))</f>
        <v/>
      </c>
      <c r="KK28" s="607" t="str">
        <f ca="1">IF(INDIRECT(CONCATENATE($FK$12,Fixtures!KK$25))="","",IF(INDIRECT(CONCATENATE($FK$12,Fixtures!KK$25))=Fixtures!$DN28,CONCATENATE(KK$10,", "),""))</f>
        <v/>
      </c>
      <c r="KL28" s="632" t="str">
        <f ca="1">IF(INDIRECT(CONCATENATE($FK$12,Fixtures!KL$25))="","",IF(INDIRECT(CONCATENATE($FK$12,Fixtures!KL$25))=Fixtures!$DN28,CONCATENATE(KL$10,", "),""))</f>
        <v/>
      </c>
      <c r="KM28" s="632" t="str">
        <f ca="1">IF(INDIRECT(CONCATENATE($FK$12,Fixtures!KM$25))="","",IF(INDIRECT(CONCATENATE($FK$12,Fixtures!KM$25))=Fixtures!$DN28,CONCATENATE(KM$10,", "),""))</f>
        <v/>
      </c>
      <c r="KN28" s="632" t="str">
        <f ca="1">IF(INDIRECT(CONCATENATE($FK$12,Fixtures!KN$25))="","",IF(INDIRECT(CONCATENATE($FK$12,Fixtures!KN$25))=Fixtures!$DN28,CONCATENATE(KN$10,", "),""))</f>
        <v/>
      </c>
      <c r="KO28" s="632" t="str">
        <f ca="1">IF(INDIRECT(CONCATENATE($FK$12,Fixtures!KO$25))="","",IF(INDIRECT(CONCATENATE($FK$12,Fixtures!KO$25))=Fixtures!$DN28,CONCATENATE(KO$10,", "),""))</f>
        <v/>
      </c>
      <c r="KP28" s="632" t="str">
        <f ca="1">IF(INDIRECT(CONCATENATE($FK$12,Fixtures!KP$25))="","",IF(INDIRECT(CONCATENATE($FK$12,Fixtures!KP$25))=Fixtures!$DN28,CONCATENATE(KP$10,", "),""))</f>
        <v/>
      </c>
      <c r="KQ28" s="632" t="str">
        <f ca="1">IF(INDIRECT(CONCATENATE($FK$12,Fixtures!KQ$25))="","",IF(INDIRECT(CONCATENATE($FK$12,Fixtures!KQ$25))=Fixtures!$DN28,CONCATENATE(KQ$10,", "),""))</f>
        <v/>
      </c>
      <c r="KR28" s="632" t="str">
        <f ca="1">IF(INDIRECT(CONCATENATE($FK$12,Fixtures!KR$25))="","",IF(INDIRECT(CONCATENATE($FK$12,Fixtures!KR$25))=Fixtures!$DN28,CONCATENATE(KR$10,", "),""))</f>
        <v/>
      </c>
      <c r="KS28" s="632" t="str">
        <f ca="1">IF(INDIRECT(CONCATENATE($FK$12,Fixtures!KS$25))="","",IF(INDIRECT(CONCATENATE($FK$12,Fixtures!KS$25))=Fixtures!$DN28,CONCATENATE(KS$10,", "),""))</f>
        <v/>
      </c>
      <c r="KT28" s="632" t="str">
        <f ca="1">IF(INDIRECT(CONCATENATE($FK$12,Fixtures!KT$25))="","",IF(INDIRECT(CONCATENATE($FK$12,Fixtures!KT$25))=Fixtures!$DN28,CONCATENATE(KT$10,", "),""))</f>
        <v/>
      </c>
      <c r="KU28" s="632" t="str">
        <f ca="1">IF(INDIRECT(CONCATENATE($FK$12,Fixtures!KU$25))="","",IF(INDIRECT(CONCATENATE($FK$12,Fixtures!KU$25))=Fixtures!$DN28,CONCATENATE(KU$10,", "),""))</f>
        <v/>
      </c>
      <c r="KV28" s="632" t="str">
        <f ca="1">IF(INDIRECT(CONCATENATE($FK$12,Fixtures!KV$25))="","",IF(INDIRECT(CONCATENATE($FK$12,Fixtures!KV$25))=Fixtures!$DN28,CONCATENATE(KV$10,", "),""))</f>
        <v/>
      </c>
      <c r="KW28" s="632" t="str">
        <f ca="1">IF(INDIRECT(CONCATENATE($FK$12,Fixtures!KW$25))="","",IF(INDIRECT(CONCATENATE($FK$12,Fixtures!KW$25))=Fixtures!$DN28,CONCATENATE(KW$10,", "),""))</f>
        <v/>
      </c>
      <c r="KX28" s="632" t="str">
        <f ca="1">IF(INDIRECT(CONCATENATE($FK$12,Fixtures!KX$25))="","",IF(INDIRECT(CONCATENATE($FK$12,Fixtures!KX$25))=Fixtures!$DN28,CONCATENATE(KX$10,", "),""))</f>
        <v/>
      </c>
      <c r="KY28" s="632"/>
      <c r="KZ28" s="46"/>
      <c r="LA28" s="46" t="str">
        <f t="shared" ca="1" si="7"/>
        <v/>
      </c>
      <c r="LB28" s="46"/>
      <c r="LC28" s="1010"/>
      <c r="LD28" s="1009" t="str">
        <f>IFERROR((LC28/EF28)/ER28,"")</f>
        <v/>
      </c>
    </row>
    <row r="29" spans="1:316" ht="28.2" customHeight="1" thickTop="1" thickBot="1">
      <c r="C29" s="1268"/>
      <c r="D29" s="1268"/>
      <c r="E29" s="1269"/>
      <c r="F29" s="1269"/>
      <c r="G29" s="1269"/>
      <c r="H29" s="1269"/>
      <c r="I29" s="1269"/>
      <c r="J29" s="1269"/>
      <c r="K29" s="1269"/>
      <c r="L29" s="1269"/>
      <c r="M29" s="1269"/>
      <c r="N29" s="1266"/>
      <c r="O29" s="10"/>
      <c r="P29" s="1268"/>
      <c r="Q29" s="1268"/>
      <c r="R29" s="1269"/>
      <c r="S29" s="1269"/>
      <c r="T29" s="1269"/>
      <c r="U29" s="1269"/>
      <c r="V29" s="1269"/>
      <c r="W29" s="1269"/>
      <c r="X29" s="1269"/>
      <c r="Y29" s="1266"/>
      <c r="Z29" s="1266"/>
      <c r="AA29" s="1267"/>
      <c r="AB29" s="1263"/>
      <c r="AC29" s="1371"/>
      <c r="AD29" s="1372"/>
      <c r="AE29" s="1372"/>
      <c r="AF29" s="1372"/>
      <c r="AG29" s="1372"/>
      <c r="AH29" s="1372"/>
      <c r="BL29" s="9"/>
      <c r="BM29" s="622" t="str">
        <f>IF(CN29="Yes",CONCATENATE(BX29," - ",CF29, " ",CJ29, " ",CP29,"W"),"")</f>
        <v/>
      </c>
      <c r="BN29" s="52"/>
      <c r="BO29" s="52"/>
      <c r="BP29" s="52"/>
      <c r="BQ29" s="52"/>
      <c r="BR29" s="52"/>
      <c r="BS29" s="52"/>
      <c r="BT29" s="52"/>
      <c r="BU29" s="373"/>
      <c r="BV29" s="219" t="str">
        <f>IF(CN29&lt;&gt;"Yes","",IFERROR(VLOOKUP(CU29,Existing!A$4:F$367,2,FALSE),""))</f>
        <v/>
      </c>
      <c r="BW29" s="9">
        <v>3</v>
      </c>
      <c r="BX29" s="1625"/>
      <c r="BY29" s="1626"/>
      <c r="BZ29" s="1626"/>
      <c r="CA29" s="1627"/>
      <c r="CB29" s="1622"/>
      <c r="CC29" s="1623"/>
      <c r="CD29" s="1623"/>
      <c r="CE29" s="1624"/>
      <c r="CF29" s="1621"/>
      <c r="CG29" s="1621"/>
      <c r="CH29" s="1621"/>
      <c r="CI29" s="1621"/>
      <c r="CJ29" s="1621"/>
      <c r="CK29" s="1621"/>
      <c r="CL29" s="1621"/>
      <c r="CM29" s="1621"/>
      <c r="CN29" s="1553" t="str">
        <f t="shared" si="0"/>
        <v/>
      </c>
      <c r="CO29" s="1554"/>
      <c r="CP29" s="229" t="str">
        <f>IFERROR(IF(CB29="Existing TLED",CR29*CW29*CY29,VLOOKUP(CU29,Existing!A$3:F$356,6,FALSE)),"")</f>
        <v/>
      </c>
      <c r="CQ29" s="9"/>
      <c r="CR29" s="1660"/>
      <c r="CS29" s="1661"/>
      <c r="CT29" s="9"/>
      <c r="CU29" s="425" t="str">
        <f>IF(CN29="","",IF(CB29="Existing TLED",CONCATENATE(CB29," - ",CF29),CONCATENATE(CB29," - ",CF29," ",CJ29)))</f>
        <v/>
      </c>
      <c r="CV29" s="426" t="b">
        <f>IF(CB29="Existing TLED",TRUE,FALSE)</f>
        <v>0</v>
      </c>
      <c r="CW29" s="426" t="str">
        <f>LEFT(CJ29,1)</f>
        <v/>
      </c>
      <c r="CX29" s="426">
        <f>IFERROR(VLOOKUP(CF29,Lookup!T$100:V$102,3,FALSE),0)</f>
        <v>0</v>
      </c>
      <c r="CY29" s="426">
        <f>IF(CX29=2,1,1.11)</f>
        <v>1.1100000000000001</v>
      </c>
      <c r="CZ29" s="626" t="b">
        <f t="shared" si="1"/>
        <v>0</v>
      </c>
      <c r="DA29" s="626" t="b">
        <f>IF(CF29&lt;&gt;"",IF(ISERROR(MATCH(CONCATENATE(CB29," - ",CF29),Existing!G$4:G$331,0))=TRUE,FALSE,TRUE),TRUE)</f>
        <v>1</v>
      </c>
      <c r="DB29" s="626" t="b">
        <f t="shared" si="2"/>
        <v>1</v>
      </c>
      <c r="DL29" s="9"/>
      <c r="DM29" s="627" t="s">
        <v>215</v>
      </c>
      <c r="DN29" s="375" t="str">
        <f t="shared" si="3"/>
        <v/>
      </c>
      <c r="DO29" s="52"/>
      <c r="DP29" s="52"/>
      <c r="DQ29" s="52"/>
      <c r="DR29" s="52"/>
      <c r="DS29" s="52"/>
      <c r="DT29" s="226"/>
      <c r="DU29" s="376"/>
      <c r="DV29" s="227" t="str">
        <f t="shared" si="4"/>
        <v/>
      </c>
      <c r="DW29" s="224">
        <v>3</v>
      </c>
      <c r="DX29" s="1572"/>
      <c r="DY29" s="1573"/>
      <c r="DZ29" s="1573"/>
      <c r="EA29" s="1574"/>
      <c r="EB29" s="1618"/>
      <c r="EC29" s="1619"/>
      <c r="ED29" s="1619"/>
      <c r="EE29" s="1620"/>
      <c r="EF29" s="1578"/>
      <c r="EG29" s="1579"/>
      <c r="EH29" s="1572"/>
      <c r="EI29" s="1573"/>
      <c r="EJ29" s="1573"/>
      <c r="EK29" s="1574"/>
      <c r="EL29" s="1628"/>
      <c r="EM29" s="1629"/>
      <c r="EN29" s="1629"/>
      <c r="EO29" s="1630"/>
      <c r="EP29" s="1578"/>
      <c r="EQ29" s="1579"/>
      <c r="ER29" s="1555"/>
      <c r="ES29" s="1556"/>
      <c r="ET29" s="1553" t="str">
        <f t="shared" si="9"/>
        <v/>
      </c>
      <c r="EU29" s="1554"/>
      <c r="EV29" s="1553" t="str">
        <f t="shared" si="5"/>
        <v/>
      </c>
      <c r="EW29" s="1554"/>
      <c r="EX29" s="393"/>
      <c r="EY29" s="225" t="str">
        <f t="shared" si="6"/>
        <v/>
      </c>
      <c r="EZ29" s="225" t="str">
        <f>IFERROR(VLOOKUP(EB29,Lookup!AT$3:AU$13,2,FALSE),"")</f>
        <v/>
      </c>
      <c r="FA29" s="426" t="b">
        <f>IFERROR(IF(VLOOKUP(EB29,Lookup!AT$6:AU$8,2,FALSE)&gt;3,TRUE,FALSE),FALSE)</f>
        <v>0</v>
      </c>
      <c r="FB29" s="426" t="str">
        <f t="shared" si="10"/>
        <v/>
      </c>
      <c r="FC29" t="str">
        <f t="shared" ca="1" si="11"/>
        <v/>
      </c>
      <c r="FG29" t="str">
        <f ca="1">IFERROR(CONCATENATE(IF(LEN(LA29)=3,"line ","lines "),LEFT(LA29,LEN(LA29)-2)),"")</f>
        <v/>
      </c>
      <c r="FI29" s="204" t="str">
        <f ca="1">IFERROR(LEFT(LA29,LEN(LA29)-2),"")</f>
        <v/>
      </c>
      <c r="FJ29" s="204"/>
      <c r="FK29" s="631" t="str">
        <f ca="1">IF(INDIRECT(CONCATENATE($FK$12,Fixtures!FK$25))="","",IF(INDIRECT(CONCATENATE($FK$12,Fixtures!FK$25))=Fixtures!$DN29,CONCATENATE(FK$10,", "),""))</f>
        <v/>
      </c>
      <c r="FL29" s="631" t="str">
        <f ca="1">IF(INDIRECT(CONCATENATE($FK$12,Fixtures!FL$25))="","",IF(INDIRECT(CONCATENATE($FK$12,Fixtures!FL$25))=Fixtures!$DN29,CONCATENATE(FL$10,", "),""))</f>
        <v/>
      </c>
      <c r="FM29" s="631" t="str">
        <f ca="1">IF(INDIRECT(CONCATENATE($FK$12,Fixtures!FM$25))="","",IF(INDIRECT(CONCATENATE($FK$12,Fixtures!FM$25))=Fixtures!$DN29,CONCATENATE(FM$10,", "),""))</f>
        <v/>
      </c>
      <c r="FN29" s="631" t="str">
        <f ca="1">IF(INDIRECT(CONCATENATE($FK$12,Fixtures!FN$25))="","",IF(INDIRECT(CONCATENATE($FK$12,Fixtures!FN$25))=Fixtures!$DN29,CONCATENATE(FN$10,", "),""))</f>
        <v/>
      </c>
      <c r="FO29" s="631" t="str">
        <f ca="1">IF(INDIRECT(CONCATENATE($FK$12,Fixtures!FO$25))="","",IF(INDIRECT(CONCATENATE($FK$12,Fixtures!FO$25))=Fixtures!$DN29,CONCATENATE(FO$10,", "),""))</f>
        <v/>
      </c>
      <c r="FP29" s="631" t="str">
        <f ca="1">IF(INDIRECT(CONCATENATE($FK$12,Fixtures!FP$25))="","",IF(INDIRECT(CONCATENATE($FK$12,Fixtures!FP$25))=Fixtures!$DN29,CONCATENATE(FP$10,", "),""))</f>
        <v/>
      </c>
      <c r="FQ29" s="631" t="str">
        <f ca="1">IF(INDIRECT(CONCATENATE($FK$12,Fixtures!FQ$25))="","",IF(INDIRECT(CONCATENATE($FK$12,Fixtures!FQ$25))=Fixtures!$DN29,CONCATENATE(FQ$10,", "),""))</f>
        <v/>
      </c>
      <c r="FR29" s="631" t="str">
        <f ca="1">IF(INDIRECT(CONCATENATE($FK$12,Fixtures!FR$25))="","",IF(INDIRECT(CONCATENATE($FK$12,Fixtures!FR$25))=Fixtures!$DN29,CONCATENATE(FR$10,", "),""))</f>
        <v/>
      </c>
      <c r="FS29" s="631" t="str">
        <f ca="1">IF(INDIRECT(CONCATENATE($FK$12,Fixtures!FS$25))="","",IF(INDIRECT(CONCATENATE($FK$12,Fixtures!FS$25))=Fixtures!$DN29,CONCATENATE(FS$10,", "),""))</f>
        <v/>
      </c>
      <c r="FT29" s="604" t="str">
        <f ca="1">IF(INDIRECT(CONCATENATE($FK$12,Fixtures!FT$25))="","",IF(INDIRECT(CONCATENATE($FK$12,Fixtures!FT$25))=Fixtures!$DN29,CONCATENATE(FT$10,", "),""))</f>
        <v/>
      </c>
      <c r="FU29" s="605" t="str">
        <f ca="1">IF(INDIRECT(CONCATENATE($FK$12,Fixtures!FU$25))="","",IF(INDIRECT(CONCATENATE($FK$12,Fixtures!FU$25))=Fixtures!$DN29,CONCATENATE(FU$10,", "),""))</f>
        <v/>
      </c>
      <c r="FV29" s="631" t="str">
        <f ca="1">IF(INDIRECT(CONCATENATE($FK$12,Fixtures!FV$25))="","",IF(INDIRECT(CONCATENATE($FK$12,Fixtures!FV$25))=Fixtures!$DN29,CONCATENATE(FV$10,", "),""))</f>
        <v/>
      </c>
      <c r="FW29" s="632" t="str">
        <f ca="1">IF(INDIRECT(CONCATENATE($FK$12,Fixtures!FW$25))="","",IF(INDIRECT(CONCATENATE($FK$12,Fixtures!FW$25))=Fixtures!$DN29,CONCATENATE(FW$10,", "),""))</f>
        <v/>
      </c>
      <c r="FX29" s="632" t="str">
        <f ca="1">IF(INDIRECT(CONCATENATE($FK$12,Fixtures!FX$25))="","",IF(INDIRECT(CONCATENATE($FK$12,Fixtures!FX$25))=Fixtures!$DN29,CONCATENATE(FX$10,", "),""))</f>
        <v/>
      </c>
      <c r="FY29" s="632" t="str">
        <f ca="1">IF(INDIRECT(CONCATENATE($FK$12,Fixtures!FY$25))="","",IF(INDIRECT(CONCATENATE($FK$12,Fixtures!FY$25))=Fixtures!$DN29,CONCATENATE(FY$10,", "),""))</f>
        <v/>
      </c>
      <c r="FZ29" s="632" t="str">
        <f ca="1">IF(INDIRECT(CONCATENATE($FK$12,Fixtures!FZ$25))="","",IF(INDIRECT(CONCATENATE($FK$12,Fixtures!FZ$25))=Fixtures!$DN29,CONCATENATE(FZ$10,", "),""))</f>
        <v/>
      </c>
      <c r="GA29" s="632" t="str">
        <f ca="1">IF(INDIRECT(CONCATENATE($FK$12,Fixtures!GA$25))="","",IF(INDIRECT(CONCATENATE($FK$12,Fixtures!GA$25))=Fixtures!$DN29,CONCATENATE(GA$10,", "),""))</f>
        <v/>
      </c>
      <c r="GB29" s="632" t="str">
        <f ca="1">IF(INDIRECT(CONCATENATE($FK$12,Fixtures!GB$25))="","",IF(INDIRECT(CONCATENATE($FK$12,Fixtures!GB$25))=Fixtures!$DN29,CONCATENATE(GB$10,", "),""))</f>
        <v/>
      </c>
      <c r="GC29" s="632" t="str">
        <f ca="1">IF(INDIRECT(CONCATENATE($FK$12,Fixtures!GC$25))="","",IF(INDIRECT(CONCATENATE($FK$12,Fixtures!GC$25))=Fixtures!$DN29,CONCATENATE(GC$10,", "),""))</f>
        <v/>
      </c>
      <c r="GD29" s="632" t="str">
        <f ca="1">IF(INDIRECT(CONCATENATE($FK$12,Fixtures!GD$25))="","",IF(INDIRECT(CONCATENATE($FK$12,Fixtures!GD$25))=Fixtures!$DN29,CONCATENATE(GD$10,", "),""))</f>
        <v/>
      </c>
      <c r="GE29" s="632" t="str">
        <f ca="1">IF(INDIRECT(CONCATENATE($FK$12,Fixtures!GE$25))="","",IF(INDIRECT(CONCATENATE($FK$12,Fixtures!GE$25))=Fixtures!$DN29,CONCATENATE(GE$10,", "),""))</f>
        <v/>
      </c>
      <c r="GF29" s="632" t="str">
        <f ca="1">IF(INDIRECT(CONCATENATE($FK$12,Fixtures!GF$25))="","",IF(INDIRECT(CONCATENATE($FK$12,Fixtures!GF$25))=Fixtures!$DN29,CONCATENATE(GF$10,", "),""))</f>
        <v/>
      </c>
      <c r="GG29" s="632" t="str">
        <f ca="1">IF(INDIRECT(CONCATENATE($FK$12,Fixtures!GG$25))="","",IF(INDIRECT(CONCATENATE($FK$12,Fixtures!GG$25))=Fixtures!$DN29,CONCATENATE(GG$10,", "),""))</f>
        <v/>
      </c>
      <c r="GH29" s="632" t="str">
        <f ca="1">IF(INDIRECT(CONCATENATE($FK$12,Fixtures!GH$25))="","",IF(INDIRECT(CONCATENATE($FK$12,Fixtures!GH$25))=Fixtures!$DN29,CONCATENATE(GH$10,", "),""))</f>
        <v/>
      </c>
      <c r="GI29" s="606" t="str">
        <f ca="1">IF(INDIRECT(CONCATENATE($FK$12,Fixtures!GI$25))="","",IF(INDIRECT(CONCATENATE($FK$12,Fixtures!GI$25))=Fixtures!$DN29,CONCATENATE(GI$10,", "),""))</f>
        <v/>
      </c>
      <c r="GJ29" s="607" t="str">
        <f ca="1">IF(INDIRECT(CONCATENATE($FK$12,Fixtures!GJ$25))="","",IF(INDIRECT(CONCATENATE($FK$12,Fixtures!GJ$25))=Fixtures!$DN29,CONCATENATE(GJ$10,", "),""))</f>
        <v/>
      </c>
      <c r="GK29" s="632" t="str">
        <f ca="1">IF(INDIRECT(CONCATENATE($FK$12,Fixtures!GK$25))="","",IF(INDIRECT(CONCATENATE($FK$12,Fixtures!GK$25))=Fixtures!$DN29,CONCATENATE(GK$10,", "),""))</f>
        <v/>
      </c>
      <c r="GL29" s="632" t="str">
        <f ca="1">IF(INDIRECT(CONCATENATE($FK$12,Fixtures!GL$25))="","",IF(INDIRECT(CONCATENATE($FK$12,Fixtures!GL$25))=Fixtures!$DN29,CONCATENATE(GL$10,", "),""))</f>
        <v/>
      </c>
      <c r="GM29" s="632" t="str">
        <f ca="1">IF(INDIRECT(CONCATENATE($FK$12,Fixtures!GM$25))="","",IF(INDIRECT(CONCATENATE($FK$12,Fixtures!GM$25))=Fixtures!$DN29,CONCATENATE(GM$10,", "),""))</f>
        <v/>
      </c>
      <c r="GN29" s="632" t="str">
        <f ca="1">IF(INDIRECT(CONCATENATE($FK$12,Fixtures!GN$25))="","",IF(INDIRECT(CONCATENATE($FK$12,Fixtures!GN$25))=Fixtures!$DN29,CONCATENATE(GN$10,", "),""))</f>
        <v/>
      </c>
      <c r="GO29" s="632" t="str">
        <f ca="1">IF(INDIRECT(CONCATENATE($FK$12,Fixtures!GO$25))="","",IF(INDIRECT(CONCATENATE($FK$12,Fixtures!GO$25))=Fixtures!$DN29,CONCATENATE(GO$10,", "),""))</f>
        <v/>
      </c>
      <c r="GP29" s="632" t="str">
        <f ca="1">IF(INDIRECT(CONCATENATE($FK$12,Fixtures!GP$25))="","",IF(INDIRECT(CONCATENATE($FK$12,Fixtures!GP$25))=Fixtures!$DN29,CONCATENATE(GP$10,", "),""))</f>
        <v/>
      </c>
      <c r="GQ29" s="632" t="str">
        <f ca="1">IF(INDIRECT(CONCATENATE($FK$12,Fixtures!GQ$25))="","",IF(INDIRECT(CONCATENATE($FK$12,Fixtures!GQ$25))=Fixtures!$DN29,CONCATENATE(GQ$10,", "),""))</f>
        <v/>
      </c>
      <c r="GR29" s="632" t="str">
        <f ca="1">IF(INDIRECT(CONCATENATE($FK$12,Fixtures!GR$25))="","",IF(INDIRECT(CONCATENATE($FK$12,Fixtures!GR$25))=Fixtures!$DN29,CONCATENATE(GR$10,", "),""))</f>
        <v/>
      </c>
      <c r="GS29" s="632" t="str">
        <f ca="1">IF(INDIRECT(CONCATENATE($FK$12,Fixtures!GS$25))="","",IF(INDIRECT(CONCATENATE($FK$12,Fixtures!GS$25))=Fixtures!$DN29,CONCATENATE(GS$10,", "),""))</f>
        <v/>
      </c>
      <c r="GT29" s="632" t="str">
        <f ca="1">IF(INDIRECT(CONCATENATE($FK$12,Fixtures!GT$25))="","",IF(INDIRECT(CONCATENATE($FK$12,Fixtures!GT$25))=Fixtures!$DN29,CONCATENATE(GT$10,", "),""))</f>
        <v/>
      </c>
      <c r="GU29" s="632" t="str">
        <f ca="1">IF(INDIRECT(CONCATENATE($FK$12,Fixtures!GU$25))="","",IF(INDIRECT(CONCATENATE($FK$12,Fixtures!GU$25))=Fixtures!$DN29,CONCATENATE(GU$10,", "),""))</f>
        <v/>
      </c>
      <c r="GV29" s="632" t="str">
        <f ca="1">IF(INDIRECT(CONCATENATE($FK$12,Fixtures!GV$25))="","",IF(INDIRECT(CONCATENATE($FK$12,Fixtures!GV$25))=Fixtures!$DN29,CONCATENATE(GV$10,", "),""))</f>
        <v/>
      </c>
      <c r="GW29" s="632" t="str">
        <f ca="1">IF(INDIRECT(CONCATENATE($FK$12,Fixtures!GW$25))="","",IF(INDIRECT(CONCATENATE($FK$12,Fixtures!GW$25))=Fixtures!$DN29,CONCATENATE(GW$10,", "),""))</f>
        <v/>
      </c>
      <c r="GX29" s="606" t="str">
        <f ca="1">IF(INDIRECT(CONCATENATE($FK$12,Fixtures!GX$25))="","",IF(INDIRECT(CONCATENATE($FK$12,Fixtures!GX$25))=Fixtures!$DN29,CONCATENATE(GX$10,", "),""))</f>
        <v/>
      </c>
      <c r="GY29" s="607" t="str">
        <f ca="1">IF(INDIRECT(CONCATENATE($FK$12,Fixtures!GY$25))="","",IF(INDIRECT(CONCATENATE($FK$12,Fixtures!GY$25))=Fixtures!$DN29,CONCATENATE(GY$10,", "),""))</f>
        <v/>
      </c>
      <c r="GZ29" s="632" t="str">
        <f ca="1">IF(INDIRECT(CONCATENATE($FK$12,Fixtures!GZ$25))="","",IF(INDIRECT(CONCATENATE($FK$12,Fixtures!GZ$25))=Fixtures!$DN29,CONCATENATE(GZ$10,", "),""))</f>
        <v/>
      </c>
      <c r="HA29" s="632" t="str">
        <f ca="1">IF(INDIRECT(CONCATENATE($FK$12,Fixtures!HA$25))="","",IF(INDIRECT(CONCATENATE($FK$12,Fixtures!HA$25))=Fixtures!$DN29,CONCATENATE(HA$10,", "),""))</f>
        <v/>
      </c>
      <c r="HB29" s="632" t="str">
        <f ca="1">IF(INDIRECT(CONCATENATE($FK$12,Fixtures!HB$25))="","",IF(INDIRECT(CONCATENATE($FK$12,Fixtures!HB$25))=Fixtures!$DN29,CONCATENATE(HB$10,", "),""))</f>
        <v/>
      </c>
      <c r="HC29" s="632" t="str">
        <f ca="1">IF(INDIRECT(CONCATENATE($FK$12,Fixtures!HC$25))="","",IF(INDIRECT(CONCATENATE($FK$12,Fixtures!HC$25))=Fixtures!$DN29,CONCATENATE(HC$10,", "),""))</f>
        <v/>
      </c>
      <c r="HD29" s="632" t="str">
        <f ca="1">IF(INDIRECT(CONCATENATE($FK$12,Fixtures!HD$25))="","",IF(INDIRECT(CONCATENATE($FK$12,Fixtures!HD$25))=Fixtures!$DN29,CONCATENATE(HD$10,", "),""))</f>
        <v/>
      </c>
      <c r="HE29" s="632" t="str">
        <f ca="1">IF(INDIRECT(CONCATENATE($FK$12,Fixtures!HE$25))="","",IF(INDIRECT(CONCATENATE($FK$12,Fixtures!HE$25))=Fixtures!$DN29,CONCATENATE(HE$10,", "),""))</f>
        <v/>
      </c>
      <c r="HF29" s="632" t="str">
        <f ca="1">IF(INDIRECT(CONCATENATE($FK$12,Fixtures!HF$25))="","",IF(INDIRECT(CONCATENATE($FK$12,Fixtures!HF$25))=Fixtures!$DN29,CONCATENATE(HF$10,", "),""))</f>
        <v/>
      </c>
      <c r="HG29" s="632" t="str">
        <f ca="1">IF(INDIRECT(CONCATENATE($FK$12,Fixtures!HG$25))="","",IF(INDIRECT(CONCATENATE($FK$12,Fixtures!HG$25))=Fixtures!$DN29,CONCATENATE(HG$10,", "),""))</f>
        <v/>
      </c>
      <c r="HH29" s="632" t="str">
        <f ca="1">IF(INDIRECT(CONCATENATE($FK$12,Fixtures!HH$25))="","",IF(INDIRECT(CONCATENATE($FK$12,Fixtures!HH$25))=Fixtures!$DN29,CONCATENATE(HH$10,", "),""))</f>
        <v/>
      </c>
      <c r="HI29" s="632" t="str">
        <f ca="1">IF(INDIRECT(CONCATENATE($FK$12,Fixtures!HI$25))="","",IF(INDIRECT(CONCATENATE($FK$12,Fixtures!HI$25))=Fixtures!$DN29,CONCATENATE(HI$10,", "),""))</f>
        <v/>
      </c>
      <c r="HJ29" s="632" t="str">
        <f ca="1">IF(INDIRECT(CONCATENATE($FK$12,Fixtures!HJ$25))="","",IF(INDIRECT(CONCATENATE($FK$12,Fixtures!HJ$25))=Fixtures!$DN29,CONCATENATE(HJ$10,", "),""))</f>
        <v/>
      </c>
      <c r="HK29" s="632" t="str">
        <f ca="1">IF(INDIRECT(CONCATENATE($FK$12,Fixtures!HK$25))="","",IF(INDIRECT(CONCATENATE($FK$12,Fixtures!HK$25))=Fixtures!$DN29,CONCATENATE(HK$10,", "),""))</f>
        <v/>
      </c>
      <c r="HL29" s="632" t="str">
        <f ca="1">IF(INDIRECT(CONCATENATE($FK$12,Fixtures!HL$25))="","",IF(INDIRECT(CONCATENATE($FK$12,Fixtures!HL$25))=Fixtures!$DN29,CONCATENATE(HL$10,", "),""))</f>
        <v/>
      </c>
      <c r="HM29" s="606" t="str">
        <f ca="1">IF(INDIRECT(CONCATENATE($FK$12,Fixtures!HM$25))="","",IF(INDIRECT(CONCATENATE($FK$12,Fixtures!HM$25))=Fixtures!$DN29,CONCATENATE(HM$10,", "),""))</f>
        <v/>
      </c>
      <c r="HN29" s="607" t="str">
        <f ca="1">IF(INDIRECT(CONCATENATE($FK$12,Fixtures!HN$25))="","",IF(INDIRECT(CONCATENATE($FK$12,Fixtures!HN$25))=Fixtures!$DN29,CONCATENATE(HN$10,", "),""))</f>
        <v/>
      </c>
      <c r="HO29" s="632" t="str">
        <f ca="1">IF(INDIRECT(CONCATENATE($FK$12,Fixtures!HO$25))="","",IF(INDIRECT(CONCATENATE($FK$12,Fixtures!HO$25))=Fixtures!$DN29,CONCATENATE(HO$10,", "),""))</f>
        <v/>
      </c>
      <c r="HP29" s="632" t="str">
        <f ca="1">IF(INDIRECT(CONCATENATE($FK$12,Fixtures!HP$25))="","",IF(INDIRECT(CONCATENATE($FK$12,Fixtures!HP$25))=Fixtures!$DN29,CONCATENATE(HP$10,", "),""))</f>
        <v/>
      </c>
      <c r="HQ29" s="632" t="str">
        <f ca="1">IF(INDIRECT(CONCATENATE($FK$12,Fixtures!HQ$25))="","",IF(INDIRECT(CONCATENATE($FK$12,Fixtures!HQ$25))=Fixtures!$DN29,CONCATENATE(HQ$10,", "),""))</f>
        <v/>
      </c>
      <c r="HR29" s="632" t="str">
        <f ca="1">IF(INDIRECT(CONCATENATE($FK$12,Fixtures!HR$25))="","",IF(INDIRECT(CONCATENATE($FK$12,Fixtures!HR$25))=Fixtures!$DN29,CONCATENATE(HR$10,", "),""))</f>
        <v/>
      </c>
      <c r="HS29" s="632" t="str">
        <f ca="1">IF(INDIRECT(CONCATENATE($FK$12,Fixtures!HS$25))="","",IF(INDIRECT(CONCATENATE($FK$12,Fixtures!HS$25))=Fixtures!$DN29,CONCATENATE(HS$10,", "),""))</f>
        <v/>
      </c>
      <c r="HT29" s="632" t="str">
        <f ca="1">IF(INDIRECT(CONCATENATE($FK$12,Fixtures!HT$25))="","",IF(INDIRECT(CONCATENATE($FK$12,Fixtures!HT$25))=Fixtures!$DN29,CONCATENATE(HT$10,", "),""))</f>
        <v/>
      </c>
      <c r="HU29" s="632" t="str">
        <f ca="1">IF(INDIRECT(CONCATENATE($FK$12,Fixtures!HU$25))="","",IF(INDIRECT(CONCATENATE($FK$12,Fixtures!HU$25))=Fixtures!$DN29,CONCATENATE(HU$10,", "),""))</f>
        <v/>
      </c>
      <c r="HV29" s="632" t="str">
        <f ca="1">IF(INDIRECT(CONCATENATE($FK$12,Fixtures!HV$25))="","",IF(INDIRECT(CONCATENATE($FK$12,Fixtures!HV$25))=Fixtures!$DN29,CONCATENATE(HV$10,", "),""))</f>
        <v/>
      </c>
      <c r="HW29" s="632" t="str">
        <f ca="1">IF(INDIRECT(CONCATENATE($FK$12,Fixtures!HW$25))="","",IF(INDIRECT(CONCATENATE($FK$12,Fixtures!HW$25))=Fixtures!$DN29,CONCATENATE(HW$10,", "),""))</f>
        <v/>
      </c>
      <c r="HX29" s="632" t="str">
        <f ca="1">IF(INDIRECT(CONCATENATE($FK$12,Fixtures!HX$25))="","",IF(INDIRECT(CONCATENATE($FK$12,Fixtures!HX$25))=Fixtures!$DN29,CONCATENATE(HX$10,", "),""))</f>
        <v/>
      </c>
      <c r="HY29" s="632" t="str">
        <f ca="1">IF(INDIRECT(CONCATENATE($FK$12,Fixtures!HY$25))="","",IF(INDIRECT(CONCATENATE($FK$12,Fixtures!HY$25))=Fixtures!$DN29,CONCATENATE(HY$10,", "),""))</f>
        <v/>
      </c>
      <c r="HZ29" s="632" t="str">
        <f ca="1">IF(INDIRECT(CONCATENATE($FK$12,Fixtures!HZ$25))="","",IF(INDIRECT(CONCATENATE($FK$12,Fixtures!HZ$25))=Fixtures!$DN29,CONCATENATE(HZ$10,", "),""))</f>
        <v/>
      </c>
      <c r="IA29" s="632" t="str">
        <f ca="1">IF(INDIRECT(CONCATENATE($FK$12,Fixtures!IA$25))="","",IF(INDIRECT(CONCATENATE($FK$12,Fixtures!IA$25))=Fixtures!$DN29,CONCATENATE(IA$10,", "),""))</f>
        <v/>
      </c>
      <c r="IB29" s="606" t="str">
        <f ca="1">IF(INDIRECT(CONCATENATE($FK$12,Fixtures!IB$25))="","",IF(INDIRECT(CONCATENATE($FK$12,Fixtures!IB$25))=Fixtures!$DN29,CONCATENATE(IB$10,", "),""))</f>
        <v/>
      </c>
      <c r="IC29" s="607" t="str">
        <f ca="1">IF(INDIRECT(CONCATENATE($FK$12,Fixtures!IC$25))="","",IF(INDIRECT(CONCATENATE($FK$12,Fixtures!IC$25))=Fixtures!$DN29,CONCATENATE(IC$10,", "),""))</f>
        <v/>
      </c>
      <c r="ID29" s="632" t="str">
        <f ca="1">IF(INDIRECT(CONCATENATE($FK$12,Fixtures!ID$25))="","",IF(INDIRECT(CONCATENATE($FK$12,Fixtures!ID$25))=Fixtures!$DN29,CONCATENATE(ID$10,", "),""))</f>
        <v/>
      </c>
      <c r="IE29" s="632" t="str">
        <f ca="1">IF(INDIRECT(CONCATENATE($FK$12,Fixtures!IE$25))="","",IF(INDIRECT(CONCATENATE($FK$12,Fixtures!IE$25))=Fixtures!$DN29,CONCATENATE(IE$10,", "),""))</f>
        <v/>
      </c>
      <c r="IF29" s="632" t="str">
        <f ca="1">IF(INDIRECT(CONCATENATE($FK$12,Fixtures!IF$25))="","",IF(INDIRECT(CONCATENATE($FK$12,Fixtures!IF$25))=Fixtures!$DN29,CONCATENATE(IF$10,", "),""))</f>
        <v/>
      </c>
      <c r="IG29" s="632" t="str">
        <f ca="1">IF(INDIRECT(CONCATENATE($FK$12,Fixtures!IG$25))="","",IF(INDIRECT(CONCATENATE($FK$12,Fixtures!IG$25))=Fixtures!$DN29,CONCATENATE(IG$10,", "),""))</f>
        <v/>
      </c>
      <c r="IH29" s="632" t="str">
        <f ca="1">IF(INDIRECT(CONCATENATE($FK$12,Fixtures!IH$25))="","",IF(INDIRECT(CONCATENATE($FK$12,Fixtures!IH$25))=Fixtures!$DN29,CONCATENATE(IH$10,", "),""))</f>
        <v/>
      </c>
      <c r="II29" s="632" t="str">
        <f ca="1">IF(INDIRECT(CONCATENATE($FK$12,Fixtures!II$25))="","",IF(INDIRECT(CONCATENATE($FK$12,Fixtures!II$25))=Fixtures!$DN29,CONCATENATE(II$10,", "),""))</f>
        <v/>
      </c>
      <c r="IJ29" s="632" t="str">
        <f ca="1">IF(INDIRECT(CONCATENATE($FK$12,Fixtures!IJ$25))="","",IF(INDIRECT(CONCATENATE($FK$12,Fixtures!IJ$25))=Fixtures!$DN29,CONCATENATE(IJ$10,", "),""))</f>
        <v/>
      </c>
      <c r="IK29" s="632" t="str">
        <f ca="1">IF(INDIRECT(CONCATENATE($FK$12,Fixtures!IK$25))="","",IF(INDIRECT(CONCATENATE($FK$12,Fixtures!IK$25))=Fixtures!$DN29,CONCATENATE(IK$10,", "),""))</f>
        <v/>
      </c>
      <c r="IL29" s="632" t="str">
        <f ca="1">IF(INDIRECT(CONCATENATE($FK$12,Fixtures!IL$25))="","",IF(INDIRECT(CONCATENATE($FK$12,Fixtures!IL$25))=Fixtures!$DN29,CONCATENATE(IL$10,", "),""))</f>
        <v/>
      </c>
      <c r="IM29" s="632" t="str">
        <f ca="1">IF(INDIRECT(CONCATENATE($FK$12,Fixtures!IM$25))="","",IF(INDIRECT(CONCATENATE($FK$12,Fixtures!IM$25))=Fixtures!$DN29,CONCATENATE(IM$10,", "),""))</f>
        <v/>
      </c>
      <c r="IN29" s="632" t="str">
        <f ca="1">IF(INDIRECT(CONCATENATE($FK$12,Fixtures!IN$25))="","",IF(INDIRECT(CONCATENATE($FK$12,Fixtures!IN$25))=Fixtures!$DN29,CONCATENATE(IN$10,", "),""))</f>
        <v/>
      </c>
      <c r="IO29" s="632" t="str">
        <f ca="1">IF(INDIRECT(CONCATENATE($FK$12,Fixtures!IO$25))="","",IF(INDIRECT(CONCATENATE($FK$12,Fixtures!IO$25))=Fixtures!$DN29,CONCATENATE(IO$10,", "),""))</f>
        <v/>
      </c>
      <c r="IP29" s="632" t="str">
        <f ca="1">IF(INDIRECT(CONCATENATE($FK$12,Fixtures!IP$25))="","",IF(INDIRECT(CONCATENATE($FK$12,Fixtures!IP$25))=Fixtures!$DN29,CONCATENATE(IP$10,", "),""))</f>
        <v/>
      </c>
      <c r="IQ29" s="606" t="str">
        <f ca="1">IF(INDIRECT(CONCATENATE($FK$12,Fixtures!IQ$25))="","",IF(INDIRECT(CONCATENATE($FK$12,Fixtures!IQ$25))=Fixtures!$DN29,CONCATENATE(IQ$10,", "),""))</f>
        <v/>
      </c>
      <c r="IR29" s="607" t="str">
        <f ca="1">IF(INDIRECT(CONCATENATE($FK$12,Fixtures!IR$25))="","",IF(INDIRECT(CONCATENATE($FK$12,Fixtures!IR$25))=Fixtures!$DN29,CONCATENATE(IR$10,", "),""))</f>
        <v/>
      </c>
      <c r="IS29" s="632" t="str">
        <f ca="1">IF(INDIRECT(CONCATENATE($FK$12,Fixtures!IS$25))="","",IF(INDIRECT(CONCATENATE($FK$12,Fixtures!IS$25))=Fixtures!$DN29,CONCATENATE(IS$10,", "),""))</f>
        <v/>
      </c>
      <c r="IT29" s="632" t="str">
        <f ca="1">IF(INDIRECT(CONCATENATE($FK$12,Fixtures!IT$25))="","",IF(INDIRECT(CONCATENATE($FK$12,Fixtures!IT$25))=Fixtures!$DN29,CONCATENATE(IT$10,", "),""))</f>
        <v/>
      </c>
      <c r="IU29" s="632" t="str">
        <f ca="1">IF(INDIRECT(CONCATENATE($FK$12,Fixtures!IU$25))="","",IF(INDIRECT(CONCATENATE($FK$12,Fixtures!IU$25))=Fixtures!$DN29,CONCATENATE(IU$10,", "),""))</f>
        <v/>
      </c>
      <c r="IV29" s="632" t="str">
        <f ca="1">IF(INDIRECT(CONCATENATE($FK$12,Fixtures!IV$25))="","",IF(INDIRECT(CONCATENATE($FK$12,Fixtures!IV$25))=Fixtures!$DN29,CONCATENATE(IV$10,", "),""))</f>
        <v/>
      </c>
      <c r="IW29" s="632" t="str">
        <f ca="1">IF(INDIRECT(CONCATENATE($FK$12,Fixtures!IW$25))="","",IF(INDIRECT(CONCATENATE($FK$12,Fixtures!IW$25))=Fixtures!$DN29,CONCATENATE(IW$10,", "),""))</f>
        <v/>
      </c>
      <c r="IX29" s="632" t="str">
        <f ca="1">IF(INDIRECT(CONCATENATE($FK$12,Fixtures!IX$25))="","",IF(INDIRECT(CONCATENATE($FK$12,Fixtures!IX$25))=Fixtures!$DN29,CONCATENATE(IX$10,", "),""))</f>
        <v/>
      </c>
      <c r="IY29" s="632" t="str">
        <f ca="1">IF(INDIRECT(CONCATENATE($FK$12,Fixtures!IY$25))="","",IF(INDIRECT(CONCATENATE($FK$12,Fixtures!IY$25))=Fixtures!$DN29,CONCATENATE(IY$10,", "),""))</f>
        <v/>
      </c>
      <c r="IZ29" s="632" t="str">
        <f ca="1">IF(INDIRECT(CONCATENATE($FK$12,Fixtures!IZ$25))="","",IF(INDIRECT(CONCATENATE($FK$12,Fixtures!IZ$25))=Fixtures!$DN29,CONCATENATE(IZ$10,", "),""))</f>
        <v/>
      </c>
      <c r="JA29" s="632" t="str">
        <f ca="1">IF(INDIRECT(CONCATENATE($FK$12,Fixtures!JA$25))="","",IF(INDIRECT(CONCATENATE($FK$12,Fixtures!JA$25))=Fixtures!$DN29,CONCATENATE(JA$10,", "),""))</f>
        <v/>
      </c>
      <c r="JB29" s="632" t="str">
        <f ca="1">IF(INDIRECT(CONCATENATE($FK$12,Fixtures!JB$25))="","",IF(INDIRECT(CONCATENATE($FK$12,Fixtures!JB$25))=Fixtures!$DN29,CONCATENATE(JB$10,", "),""))</f>
        <v/>
      </c>
      <c r="JC29" s="632" t="str">
        <f ca="1">IF(INDIRECT(CONCATENATE($FK$12,Fixtures!JC$25))="","",IF(INDIRECT(CONCATENATE($FK$12,Fixtures!JC$25))=Fixtures!$DN29,CONCATENATE(JC$10,", "),""))</f>
        <v/>
      </c>
      <c r="JD29" s="632" t="str">
        <f ca="1">IF(INDIRECT(CONCATENATE($FK$12,Fixtures!JD$25))="","",IF(INDIRECT(CONCATENATE($FK$12,Fixtures!JD$25))=Fixtures!$DN29,CONCATENATE(JD$10,", "),""))</f>
        <v/>
      </c>
      <c r="JE29" s="632" t="str">
        <f ca="1">IF(INDIRECT(CONCATENATE($FK$12,Fixtures!JE$25))="","",IF(INDIRECT(CONCATENATE($FK$12,Fixtures!JE$25))=Fixtures!$DN29,CONCATENATE(JE$10,", "),""))</f>
        <v/>
      </c>
      <c r="JF29" s="606" t="str">
        <f ca="1">IF(INDIRECT(CONCATENATE($FK$12,Fixtures!JF$25))="","",IF(INDIRECT(CONCATENATE($FK$12,Fixtures!JF$25))=Fixtures!$DN29,CONCATENATE(JF$10,", "),""))</f>
        <v/>
      </c>
      <c r="JG29" s="607" t="str">
        <f ca="1">IF(INDIRECT(CONCATENATE($FK$12,Fixtures!JG$25))="","",IF(INDIRECT(CONCATENATE($FK$12,Fixtures!JG$25))=Fixtures!$DN29,CONCATENATE(JG$10,", "),""))</f>
        <v/>
      </c>
      <c r="JH29" s="632" t="str">
        <f ca="1">IF(INDIRECT(CONCATENATE($FK$12,Fixtures!JH$25))="","",IF(INDIRECT(CONCATENATE($FK$12,Fixtures!JH$25))=Fixtures!$DN29,CONCATENATE(JH$10,", "),""))</f>
        <v/>
      </c>
      <c r="JI29" s="632" t="str">
        <f ca="1">IF(INDIRECT(CONCATENATE($FK$12,Fixtures!JI$25))="","",IF(INDIRECT(CONCATENATE($FK$12,Fixtures!JI$25))=Fixtures!$DN29,CONCATENATE(JI$10,", "),""))</f>
        <v/>
      </c>
      <c r="JJ29" s="632" t="str">
        <f ca="1">IF(INDIRECT(CONCATENATE($FK$12,Fixtures!JJ$25))="","",IF(INDIRECT(CONCATENATE($FK$12,Fixtures!JJ$25))=Fixtures!$DN29,CONCATENATE(JJ$10,", "),""))</f>
        <v/>
      </c>
      <c r="JK29" s="632" t="str">
        <f ca="1">IF(INDIRECT(CONCATENATE($FK$12,Fixtures!JK$25))="","",IF(INDIRECT(CONCATENATE($FK$12,Fixtures!JK$25))=Fixtures!$DN29,CONCATENATE(JK$10,", "),""))</f>
        <v/>
      </c>
      <c r="JL29" s="632" t="str">
        <f ca="1">IF(INDIRECT(CONCATENATE($FK$12,Fixtures!JL$25))="","",IF(INDIRECT(CONCATENATE($FK$12,Fixtures!JL$25))=Fixtures!$DN29,CONCATENATE(JL$10,", "),""))</f>
        <v/>
      </c>
      <c r="JM29" s="632" t="str">
        <f ca="1">IF(INDIRECT(CONCATENATE($FK$12,Fixtures!JM$25))="","",IF(INDIRECT(CONCATENATE($FK$12,Fixtures!JM$25))=Fixtures!$DN29,CONCATENATE(JM$10,", "),""))</f>
        <v/>
      </c>
      <c r="JN29" s="632" t="str">
        <f ca="1">IF(INDIRECT(CONCATENATE($FK$12,Fixtures!JN$25))="","",IF(INDIRECT(CONCATENATE($FK$12,Fixtures!JN$25))=Fixtures!$DN29,CONCATENATE(JN$10,", "),""))</f>
        <v/>
      </c>
      <c r="JO29" s="632" t="str">
        <f ca="1">IF(INDIRECT(CONCATENATE($FK$12,Fixtures!JO$25))="","",IF(INDIRECT(CONCATENATE($FK$12,Fixtures!JO$25))=Fixtures!$DN29,CONCATENATE(JO$10,", "),""))</f>
        <v/>
      </c>
      <c r="JP29" s="632" t="str">
        <f ca="1">IF(INDIRECT(CONCATENATE($FK$12,Fixtures!JP$25))="","",IF(INDIRECT(CONCATENATE($FK$12,Fixtures!JP$25))=Fixtures!$DN29,CONCATENATE(JP$10,", "),""))</f>
        <v/>
      </c>
      <c r="JQ29" s="632" t="str">
        <f ca="1">IF(INDIRECT(CONCATENATE($FK$12,Fixtures!JQ$25))="","",IF(INDIRECT(CONCATENATE($FK$12,Fixtures!JQ$25))=Fixtures!$DN29,CONCATENATE(JQ$10,", "),""))</f>
        <v/>
      </c>
      <c r="JR29" s="632" t="str">
        <f ca="1">IF(INDIRECT(CONCATENATE($FK$12,Fixtures!JR$25))="","",IF(INDIRECT(CONCATENATE($FK$12,Fixtures!JR$25))=Fixtures!$DN29,CONCATENATE(JR$10,", "),""))</f>
        <v/>
      </c>
      <c r="JS29" s="632" t="str">
        <f ca="1">IF(INDIRECT(CONCATENATE($FK$12,Fixtures!JS$25))="","",IF(INDIRECT(CONCATENATE($FK$12,Fixtures!JS$25))=Fixtures!$DN29,CONCATENATE(JS$10,", "),""))</f>
        <v/>
      </c>
      <c r="JT29" s="632" t="str">
        <f ca="1">IF(INDIRECT(CONCATENATE($FK$12,Fixtures!JT$25))="","",IF(INDIRECT(CONCATENATE($FK$12,Fixtures!JT$25))=Fixtures!$DN29,CONCATENATE(JT$10,", "),""))</f>
        <v/>
      </c>
      <c r="JU29" s="606" t="str">
        <f ca="1">IF(INDIRECT(CONCATENATE($FK$12,Fixtures!JU$25))="","",IF(INDIRECT(CONCATENATE($FK$12,Fixtures!JU$25))=Fixtures!$DN29,CONCATENATE(JU$10,", "),""))</f>
        <v/>
      </c>
      <c r="JV29" s="607" t="str">
        <f ca="1">IF(INDIRECT(CONCATENATE($FK$12,Fixtures!JV$25))="","",IF(INDIRECT(CONCATENATE($FK$12,Fixtures!JV$25))=Fixtures!$DN29,CONCATENATE(JV$10,", "),""))</f>
        <v/>
      </c>
      <c r="JW29" s="632" t="str">
        <f ca="1">IF(INDIRECT(CONCATENATE($FK$12,Fixtures!JW$25))="","",IF(INDIRECT(CONCATENATE($FK$12,Fixtures!JW$25))=Fixtures!$DN29,CONCATENATE(JW$10,", "),""))</f>
        <v/>
      </c>
      <c r="JX29" s="632" t="str">
        <f ca="1">IF(INDIRECT(CONCATENATE($FK$12,Fixtures!JX$25))="","",IF(INDIRECT(CONCATENATE($FK$12,Fixtures!JX$25))=Fixtures!$DN29,CONCATENATE(JX$10,", "),""))</f>
        <v/>
      </c>
      <c r="JY29" s="632" t="str">
        <f ca="1">IF(INDIRECT(CONCATENATE($FK$12,Fixtures!JY$25))="","",IF(INDIRECT(CONCATENATE($FK$12,Fixtures!JY$25))=Fixtures!$DN29,CONCATENATE(JY$10,", "),""))</f>
        <v/>
      </c>
      <c r="JZ29" s="632" t="str">
        <f ca="1">IF(INDIRECT(CONCATENATE($FK$12,Fixtures!JZ$25))="","",IF(INDIRECT(CONCATENATE($FK$12,Fixtures!JZ$25))=Fixtures!$DN29,CONCATENATE(JZ$10,", "),""))</f>
        <v/>
      </c>
      <c r="KA29" s="632" t="str">
        <f ca="1">IF(INDIRECT(CONCATENATE($FK$12,Fixtures!KA$25))="","",IF(INDIRECT(CONCATENATE($FK$12,Fixtures!KA$25))=Fixtures!$DN29,CONCATENATE(KA$10,", "),""))</f>
        <v/>
      </c>
      <c r="KB29" s="632" t="str">
        <f ca="1">IF(INDIRECT(CONCATENATE($FK$12,Fixtures!KB$25))="","",IF(INDIRECT(CONCATENATE($FK$12,Fixtures!KB$25))=Fixtures!$DN29,CONCATENATE(KB$10,", "),""))</f>
        <v/>
      </c>
      <c r="KC29" s="632" t="str">
        <f ca="1">IF(INDIRECT(CONCATENATE($FK$12,Fixtures!KC$25))="","",IF(INDIRECT(CONCATENATE($FK$12,Fixtures!KC$25))=Fixtures!$DN29,CONCATENATE(KC$10,", "),""))</f>
        <v/>
      </c>
      <c r="KD29" s="632" t="str">
        <f ca="1">IF(INDIRECT(CONCATENATE($FK$12,Fixtures!KD$25))="","",IF(INDIRECT(CONCATENATE($FK$12,Fixtures!KD$25))=Fixtures!$DN29,CONCATENATE(KD$10,", "),""))</f>
        <v/>
      </c>
      <c r="KE29" s="632" t="str">
        <f ca="1">IF(INDIRECT(CONCATENATE($FK$12,Fixtures!KE$25))="","",IF(INDIRECT(CONCATENATE($FK$12,Fixtures!KE$25))=Fixtures!$DN29,CONCATENATE(KE$10,", "),""))</f>
        <v/>
      </c>
      <c r="KF29" s="632" t="str">
        <f ca="1">IF(INDIRECT(CONCATENATE($FK$12,Fixtures!KF$25))="","",IF(INDIRECT(CONCATENATE($FK$12,Fixtures!KF$25))=Fixtures!$DN29,CONCATENATE(KF$10,", "),""))</f>
        <v/>
      </c>
      <c r="KG29" s="632" t="str">
        <f ca="1">IF(INDIRECT(CONCATENATE($FK$12,Fixtures!KG$25))="","",IF(INDIRECT(CONCATENATE($FK$12,Fixtures!KG$25))=Fixtures!$DN29,CONCATENATE(KG$10,", "),""))</f>
        <v/>
      </c>
      <c r="KH29" s="632" t="str">
        <f ca="1">IF(INDIRECT(CONCATENATE($FK$12,Fixtures!KH$25))="","",IF(INDIRECT(CONCATENATE($FK$12,Fixtures!KH$25))=Fixtures!$DN29,CONCATENATE(KH$10,", "),""))</f>
        <v/>
      </c>
      <c r="KI29" s="632" t="str">
        <f ca="1">IF(INDIRECT(CONCATENATE($FK$12,Fixtures!KI$25))="","",IF(INDIRECT(CONCATENATE($FK$12,Fixtures!KI$25))=Fixtures!$DN29,CONCATENATE(KI$10,", "),""))</f>
        <v/>
      </c>
      <c r="KJ29" s="606" t="str">
        <f ca="1">IF(INDIRECT(CONCATENATE($FK$12,Fixtures!KJ$25))="","",IF(INDIRECT(CONCATENATE($FK$12,Fixtures!KJ$25))=Fixtures!$DN29,CONCATENATE(KJ$10,", "),""))</f>
        <v/>
      </c>
      <c r="KK29" s="607" t="str">
        <f ca="1">IF(INDIRECT(CONCATENATE($FK$12,Fixtures!KK$25))="","",IF(INDIRECT(CONCATENATE($FK$12,Fixtures!KK$25))=Fixtures!$DN29,CONCATENATE(KK$10,", "),""))</f>
        <v/>
      </c>
      <c r="KL29" s="632" t="str">
        <f ca="1">IF(INDIRECT(CONCATENATE($FK$12,Fixtures!KL$25))="","",IF(INDIRECT(CONCATENATE($FK$12,Fixtures!KL$25))=Fixtures!$DN29,CONCATENATE(KL$10,", "),""))</f>
        <v/>
      </c>
      <c r="KM29" s="632" t="str">
        <f ca="1">IF(INDIRECT(CONCATENATE($FK$12,Fixtures!KM$25))="","",IF(INDIRECT(CONCATENATE($FK$12,Fixtures!KM$25))=Fixtures!$DN29,CONCATENATE(KM$10,", "),""))</f>
        <v/>
      </c>
      <c r="KN29" s="632" t="str">
        <f ca="1">IF(INDIRECT(CONCATENATE($FK$12,Fixtures!KN$25))="","",IF(INDIRECT(CONCATENATE($FK$12,Fixtures!KN$25))=Fixtures!$DN29,CONCATENATE(KN$10,", "),""))</f>
        <v/>
      </c>
      <c r="KO29" s="632" t="str">
        <f ca="1">IF(INDIRECT(CONCATENATE($FK$12,Fixtures!KO$25))="","",IF(INDIRECT(CONCATENATE($FK$12,Fixtures!KO$25))=Fixtures!$DN29,CONCATENATE(KO$10,", "),""))</f>
        <v/>
      </c>
      <c r="KP29" s="632" t="str">
        <f ca="1">IF(INDIRECT(CONCATENATE($FK$12,Fixtures!KP$25))="","",IF(INDIRECT(CONCATENATE($FK$12,Fixtures!KP$25))=Fixtures!$DN29,CONCATENATE(KP$10,", "),""))</f>
        <v/>
      </c>
      <c r="KQ29" s="632" t="str">
        <f ca="1">IF(INDIRECT(CONCATENATE($FK$12,Fixtures!KQ$25))="","",IF(INDIRECT(CONCATENATE($FK$12,Fixtures!KQ$25))=Fixtures!$DN29,CONCATENATE(KQ$10,", "),""))</f>
        <v/>
      </c>
      <c r="KR29" s="632" t="str">
        <f ca="1">IF(INDIRECT(CONCATENATE($FK$12,Fixtures!KR$25))="","",IF(INDIRECT(CONCATENATE($FK$12,Fixtures!KR$25))=Fixtures!$DN29,CONCATENATE(KR$10,", "),""))</f>
        <v/>
      </c>
      <c r="KS29" s="632" t="str">
        <f ca="1">IF(INDIRECT(CONCATENATE($FK$12,Fixtures!KS$25))="","",IF(INDIRECT(CONCATENATE($FK$12,Fixtures!KS$25))=Fixtures!$DN29,CONCATENATE(KS$10,", "),""))</f>
        <v/>
      </c>
      <c r="KT29" s="632" t="str">
        <f ca="1">IF(INDIRECT(CONCATENATE($FK$12,Fixtures!KT$25))="","",IF(INDIRECT(CONCATENATE($FK$12,Fixtures!KT$25))=Fixtures!$DN29,CONCATENATE(KT$10,", "),""))</f>
        <v/>
      </c>
      <c r="KU29" s="632" t="str">
        <f ca="1">IF(INDIRECT(CONCATENATE($FK$12,Fixtures!KU$25))="","",IF(INDIRECT(CONCATENATE($FK$12,Fixtures!KU$25))=Fixtures!$DN29,CONCATENATE(KU$10,", "),""))</f>
        <v/>
      </c>
      <c r="KV29" s="632" t="str">
        <f ca="1">IF(INDIRECT(CONCATENATE($FK$12,Fixtures!KV$25))="","",IF(INDIRECT(CONCATENATE($FK$12,Fixtures!KV$25))=Fixtures!$DN29,CONCATENATE(KV$10,", "),""))</f>
        <v/>
      </c>
      <c r="KW29" s="632" t="str">
        <f ca="1">IF(INDIRECT(CONCATENATE($FK$12,Fixtures!KW$25))="","",IF(INDIRECT(CONCATENATE($FK$12,Fixtures!KW$25))=Fixtures!$DN29,CONCATENATE(KW$10,", "),""))</f>
        <v/>
      </c>
      <c r="KX29" s="632" t="str">
        <f ca="1">IF(INDIRECT(CONCATENATE($FK$12,Fixtures!KX$25))="","",IF(INDIRECT(CONCATENATE($FK$12,Fixtures!KX$25))=Fixtures!$DN29,CONCATENATE(KX$10,", "),""))</f>
        <v/>
      </c>
      <c r="KY29" s="632"/>
      <c r="KZ29" s="46"/>
      <c r="LA29" s="46" t="str">
        <f t="shared" ca="1" si="7"/>
        <v/>
      </c>
      <c r="LB29" s="46"/>
      <c r="LC29" s="1010"/>
      <c r="LD29" s="1009" t="str">
        <f>IFERROR((LC29/EF29)/ER29,"")</f>
        <v/>
      </c>
    </row>
    <row r="30" spans="1:316" ht="28.2" customHeight="1" thickTop="1" thickBot="1">
      <c r="A30" s="1270" t="s">
        <v>218</v>
      </c>
      <c r="C30" s="1558" t="s">
        <v>219</v>
      </c>
      <c r="D30" s="1559"/>
      <c r="E30" s="1258" t="s">
        <v>213</v>
      </c>
      <c r="F30" s="10"/>
      <c r="G30" s="10"/>
      <c r="H30" s="10"/>
      <c r="I30" s="10"/>
      <c r="J30" s="10"/>
      <c r="K30" s="10"/>
      <c r="L30" s="10"/>
      <c r="M30" s="10"/>
      <c r="N30" s="1270" t="s">
        <v>220</v>
      </c>
      <c r="O30" s="10"/>
      <c r="P30" s="1558" t="s">
        <v>219</v>
      </c>
      <c r="Q30" s="1559"/>
      <c r="R30" s="1258" t="s">
        <v>214</v>
      </c>
      <c r="S30" s="10"/>
      <c r="T30" s="10"/>
      <c r="U30" s="10"/>
      <c r="V30" s="10"/>
      <c r="W30" s="10"/>
      <c r="X30" s="10"/>
      <c r="Y30" s="1270" t="s">
        <v>221</v>
      </c>
      <c r="Z30" s="1270" t="s">
        <v>194</v>
      </c>
      <c r="AA30" s="1271" t="s">
        <v>222</v>
      </c>
      <c r="AB30" s="1263"/>
      <c r="AC30" s="1669" t="s">
        <v>223</v>
      </c>
      <c r="AD30" s="1669"/>
      <c r="AE30" s="1669"/>
      <c r="AF30" s="1669"/>
      <c r="AG30" s="1669"/>
      <c r="AH30" s="1372"/>
      <c r="BL30" s="9"/>
      <c r="BM30" s="622" t="str">
        <f>IF(CN30="Yes",CONCATENATE(BX30," - ",CF30, " ",CJ30, " ",CP30,"W"),"")</f>
        <v/>
      </c>
      <c r="BN30" s="52"/>
      <c r="BO30" s="52"/>
      <c r="BP30" s="52"/>
      <c r="BQ30" s="52"/>
      <c r="BR30" s="52"/>
      <c r="BS30" s="52"/>
      <c r="BT30" s="52"/>
      <c r="BU30" s="373"/>
      <c r="BV30" s="219" t="str">
        <f>IF(CN30&lt;&gt;"Yes","",IFERROR(VLOOKUP(CU30,Existing!A$4:F$367,2,FALSE),""))</f>
        <v/>
      </c>
      <c r="BW30" s="9">
        <v>4</v>
      </c>
      <c r="BX30" s="1625"/>
      <c r="BY30" s="1626"/>
      <c r="BZ30" s="1626"/>
      <c r="CA30" s="1627"/>
      <c r="CB30" s="1622"/>
      <c r="CC30" s="1623"/>
      <c r="CD30" s="1623"/>
      <c r="CE30" s="1624"/>
      <c r="CF30" s="1621"/>
      <c r="CG30" s="1621"/>
      <c r="CH30" s="1621"/>
      <c r="CI30" s="1621"/>
      <c r="CJ30" s="1621"/>
      <c r="CK30" s="1621"/>
      <c r="CL30" s="1621"/>
      <c r="CM30" s="1621"/>
      <c r="CN30" s="1553" t="str">
        <f t="shared" si="0"/>
        <v/>
      </c>
      <c r="CO30" s="1554"/>
      <c r="CP30" s="229" t="str">
        <f>IFERROR(IF(CB30="Existing TLED",CR30*CW30*CY30,VLOOKUP(CU30,Existing!A$3:F$356,6,FALSE)),"")</f>
        <v/>
      </c>
      <c r="CQ30" s="9"/>
      <c r="CR30" s="1660"/>
      <c r="CS30" s="1661"/>
      <c r="CT30" s="9"/>
      <c r="CU30" s="425" t="str">
        <f>IF(CN30="","",IF(CB30="Existing TLED",CONCATENATE(CB30," - ",CF30),CONCATENATE(CB30," - ",CF30," ",CJ30)))</f>
        <v/>
      </c>
      <c r="CV30" s="426" t="b">
        <f>IF(CB30="Existing TLED",TRUE,FALSE)</f>
        <v>0</v>
      </c>
      <c r="CW30" s="426" t="str">
        <f>LEFT(CJ30,1)</f>
        <v/>
      </c>
      <c r="CX30" s="426">
        <f>IFERROR(VLOOKUP(CF30,Lookup!T$100:V$102,3,FALSE),0)</f>
        <v>0</v>
      </c>
      <c r="CY30" s="426">
        <f t="shared" si="8"/>
        <v>1.1100000000000001</v>
      </c>
      <c r="CZ30" s="626" t="b">
        <f t="shared" si="1"/>
        <v>0</v>
      </c>
      <c r="DA30" s="626" t="b">
        <f>IF(CF30&lt;&gt;"",IF(ISERROR(MATCH(CONCATENATE(CB30," - ",CF30),Existing!G$4:G$331,0))=TRUE,FALSE,TRUE),TRUE)</f>
        <v>1</v>
      </c>
      <c r="DB30" s="626" t="b">
        <f t="shared" si="2"/>
        <v>1</v>
      </c>
      <c r="DL30" s="9"/>
      <c r="DM30" s="627" t="s">
        <v>215</v>
      </c>
      <c r="DN30" s="375" t="str">
        <f t="shared" si="3"/>
        <v/>
      </c>
      <c r="DO30" s="52"/>
      <c r="DP30" s="52"/>
      <c r="DQ30" s="52"/>
      <c r="DR30" s="52"/>
      <c r="DS30" s="52"/>
      <c r="DT30" s="226"/>
      <c r="DU30" s="376"/>
      <c r="DV30" s="227" t="str">
        <f t="shared" si="4"/>
        <v/>
      </c>
      <c r="DW30" s="224">
        <v>4</v>
      </c>
      <c r="DX30" s="1572"/>
      <c r="DY30" s="1573"/>
      <c r="DZ30" s="1573"/>
      <c r="EA30" s="1574"/>
      <c r="EB30" s="1618"/>
      <c r="EC30" s="1619"/>
      <c r="ED30" s="1619"/>
      <c r="EE30" s="1620"/>
      <c r="EF30" s="1578"/>
      <c r="EG30" s="1579"/>
      <c r="EH30" s="1572"/>
      <c r="EI30" s="1573"/>
      <c r="EJ30" s="1573"/>
      <c r="EK30" s="1574"/>
      <c r="EL30" s="1575"/>
      <c r="EM30" s="1576"/>
      <c r="EN30" s="1576"/>
      <c r="EO30" s="1577"/>
      <c r="EP30" s="1578"/>
      <c r="EQ30" s="1579"/>
      <c r="ER30" s="1555"/>
      <c r="ES30" s="1556"/>
      <c r="ET30" s="1553" t="str">
        <f t="shared" si="9"/>
        <v/>
      </c>
      <c r="EU30" s="1554"/>
      <c r="EV30" s="1553" t="str">
        <f t="shared" si="5"/>
        <v/>
      </c>
      <c r="EW30" s="1554"/>
      <c r="EX30" s="393"/>
      <c r="EY30" s="225" t="str">
        <f t="shared" si="6"/>
        <v/>
      </c>
      <c r="EZ30" s="225" t="str">
        <f>IFERROR(VLOOKUP(EB30,Lookup!AT$3:AU$13,2,FALSE),"")</f>
        <v/>
      </c>
      <c r="FA30" s="426" t="b">
        <f>IFERROR(IF(VLOOKUP(EB30,Lookup!AT$6:AU$8,2,FALSE)&gt;3,TRUE,FALSE),FALSE)</f>
        <v>0</v>
      </c>
      <c r="FB30" s="426" t="str">
        <f t="shared" si="10"/>
        <v/>
      </c>
      <c r="FC30" t="str">
        <f t="shared" ca="1" si="11"/>
        <v/>
      </c>
      <c r="FG30" t="str">
        <f t="shared" ref="FG30:FG76" ca="1" si="12">IFERROR(CONCATENATE(IF(LEN(LA30)=3,"line ","lines "),LEFT(LA30,LEN(LA30)-2)),"")</f>
        <v/>
      </c>
      <c r="FI30" s="204" t="str">
        <f ca="1">IFERROR(LEFT(LA30,LEN(LA30)-2),"")</f>
        <v/>
      </c>
      <c r="FJ30" s="204"/>
      <c r="FK30" s="631" t="str">
        <f ca="1">IF(INDIRECT(CONCATENATE($FK$12,Fixtures!FK$25))="","",IF(INDIRECT(CONCATENATE($FK$12,Fixtures!FK$25))=Fixtures!$DN30,CONCATENATE(FK$10,", "),""))</f>
        <v/>
      </c>
      <c r="FL30" s="631" t="str">
        <f ca="1">IF(INDIRECT(CONCATENATE($FK$12,Fixtures!FL$25))="","",IF(INDIRECT(CONCATENATE($FK$12,Fixtures!FL$25))=Fixtures!$DN30,CONCATENATE(FL$10,", "),""))</f>
        <v/>
      </c>
      <c r="FM30" s="631" t="str">
        <f ca="1">IF(INDIRECT(CONCATENATE($FK$12,Fixtures!FM$25))="","",IF(INDIRECT(CONCATENATE($FK$12,Fixtures!FM$25))=Fixtures!$DN30,CONCATENATE(FM$10,", "),""))</f>
        <v/>
      </c>
      <c r="FN30" s="631" t="str">
        <f ca="1">IF(INDIRECT(CONCATENATE($FK$12,Fixtures!FN$25))="","",IF(INDIRECT(CONCATENATE($FK$12,Fixtures!FN$25))=Fixtures!$DN30,CONCATENATE(FN$10,", "),""))</f>
        <v/>
      </c>
      <c r="FO30" s="631" t="str">
        <f ca="1">IF(INDIRECT(CONCATENATE($FK$12,Fixtures!FO$25))="","",IF(INDIRECT(CONCATENATE($FK$12,Fixtures!FO$25))=Fixtures!$DN30,CONCATENATE(FO$10,", "),""))</f>
        <v/>
      </c>
      <c r="FP30" s="631" t="str">
        <f ca="1">IF(INDIRECT(CONCATENATE($FK$12,Fixtures!FP$25))="","",IF(INDIRECT(CONCATENATE($FK$12,Fixtures!FP$25))=Fixtures!$DN30,CONCATENATE(FP$10,", "),""))</f>
        <v/>
      </c>
      <c r="FQ30" s="631" t="str">
        <f ca="1">IF(INDIRECT(CONCATENATE($FK$12,Fixtures!FQ$25))="","",IF(INDIRECT(CONCATENATE($FK$12,Fixtures!FQ$25))=Fixtures!$DN30,CONCATENATE(FQ$10,", "),""))</f>
        <v/>
      </c>
      <c r="FR30" s="631" t="str">
        <f ca="1">IF(INDIRECT(CONCATENATE($FK$12,Fixtures!FR$25))="","",IF(INDIRECT(CONCATENATE($FK$12,Fixtures!FR$25))=Fixtures!$DN30,CONCATENATE(FR$10,", "),""))</f>
        <v/>
      </c>
      <c r="FS30" s="631" t="str">
        <f ca="1">IF(INDIRECT(CONCATENATE($FK$12,Fixtures!FS$25))="","",IF(INDIRECT(CONCATENATE($FK$12,Fixtures!FS$25))=Fixtures!$DN30,CONCATENATE(FS$10,", "),""))</f>
        <v/>
      </c>
      <c r="FT30" s="604" t="str">
        <f ca="1">IF(INDIRECT(CONCATENATE($FK$12,Fixtures!FT$25))="","",IF(INDIRECT(CONCATENATE($FK$12,Fixtures!FT$25))=Fixtures!$DN30,CONCATENATE(FT$10,", "),""))</f>
        <v/>
      </c>
      <c r="FU30" s="605" t="str">
        <f ca="1">IF(INDIRECT(CONCATENATE($FK$12,Fixtures!FU$25))="","",IF(INDIRECT(CONCATENATE($FK$12,Fixtures!FU$25))=Fixtures!$DN30,CONCATENATE(FU$10,", "),""))</f>
        <v/>
      </c>
      <c r="FV30" s="631" t="str">
        <f ca="1">IF(INDIRECT(CONCATENATE($FK$12,Fixtures!FV$25))="","",IF(INDIRECT(CONCATENATE($FK$12,Fixtures!FV$25))=Fixtures!$DN30,CONCATENATE(FV$10,", "),""))</f>
        <v/>
      </c>
      <c r="FW30" s="632" t="str">
        <f ca="1">IF(INDIRECT(CONCATENATE($FK$12,Fixtures!FW$25))="","",IF(INDIRECT(CONCATENATE($FK$12,Fixtures!FW$25))=Fixtures!$DN30,CONCATENATE(FW$10,", "),""))</f>
        <v/>
      </c>
      <c r="FX30" s="632" t="str">
        <f ca="1">IF(INDIRECT(CONCATENATE($FK$12,Fixtures!FX$25))="","",IF(INDIRECT(CONCATENATE($FK$12,Fixtures!FX$25))=Fixtures!$DN30,CONCATENATE(FX$10,", "),""))</f>
        <v/>
      </c>
      <c r="FY30" s="632" t="str">
        <f ca="1">IF(INDIRECT(CONCATENATE($FK$12,Fixtures!FY$25))="","",IF(INDIRECT(CONCATENATE($FK$12,Fixtures!FY$25))=Fixtures!$DN30,CONCATENATE(FY$10,", "),""))</f>
        <v/>
      </c>
      <c r="FZ30" s="632" t="str">
        <f ca="1">IF(INDIRECT(CONCATENATE($FK$12,Fixtures!FZ$25))="","",IF(INDIRECT(CONCATENATE($FK$12,Fixtures!FZ$25))=Fixtures!$DN30,CONCATENATE(FZ$10,", "),""))</f>
        <v/>
      </c>
      <c r="GA30" s="632" t="str">
        <f ca="1">IF(INDIRECT(CONCATENATE($FK$12,Fixtures!GA$25))="","",IF(INDIRECT(CONCATENATE($FK$12,Fixtures!GA$25))=Fixtures!$DN30,CONCATENATE(GA$10,", "),""))</f>
        <v/>
      </c>
      <c r="GB30" s="632" t="str">
        <f ca="1">IF(INDIRECT(CONCATENATE($FK$12,Fixtures!GB$25))="","",IF(INDIRECT(CONCATENATE($FK$12,Fixtures!GB$25))=Fixtures!$DN30,CONCATENATE(GB$10,", "),""))</f>
        <v/>
      </c>
      <c r="GC30" s="632" t="str">
        <f ca="1">IF(INDIRECT(CONCATENATE($FK$12,Fixtures!GC$25))="","",IF(INDIRECT(CONCATENATE($FK$12,Fixtures!GC$25))=Fixtures!$DN30,CONCATENATE(GC$10,", "),""))</f>
        <v/>
      </c>
      <c r="GD30" s="632" t="str">
        <f ca="1">IF(INDIRECT(CONCATENATE($FK$12,Fixtures!GD$25))="","",IF(INDIRECT(CONCATENATE($FK$12,Fixtures!GD$25))=Fixtures!$DN30,CONCATENATE(GD$10,", "),""))</f>
        <v/>
      </c>
      <c r="GE30" s="632" t="str">
        <f ca="1">IF(INDIRECT(CONCATENATE($FK$12,Fixtures!GE$25))="","",IF(INDIRECT(CONCATENATE($FK$12,Fixtures!GE$25))=Fixtures!$DN30,CONCATENATE(GE$10,", "),""))</f>
        <v/>
      </c>
      <c r="GF30" s="632" t="str">
        <f ca="1">IF(INDIRECT(CONCATENATE($FK$12,Fixtures!GF$25))="","",IF(INDIRECT(CONCATENATE($FK$12,Fixtures!GF$25))=Fixtures!$DN30,CONCATENATE(GF$10,", "),""))</f>
        <v/>
      </c>
      <c r="GG30" s="632" t="str">
        <f ca="1">IF(INDIRECT(CONCATENATE($FK$12,Fixtures!GG$25))="","",IF(INDIRECT(CONCATENATE($FK$12,Fixtures!GG$25))=Fixtures!$DN30,CONCATENATE(GG$10,", "),""))</f>
        <v/>
      </c>
      <c r="GH30" s="632" t="str">
        <f ca="1">IF(INDIRECT(CONCATENATE($FK$12,Fixtures!GH$25))="","",IF(INDIRECT(CONCATENATE($FK$12,Fixtures!GH$25))=Fixtures!$DN30,CONCATENATE(GH$10,", "),""))</f>
        <v/>
      </c>
      <c r="GI30" s="606" t="str">
        <f ca="1">IF(INDIRECT(CONCATENATE($FK$12,Fixtures!GI$25))="","",IF(INDIRECT(CONCATENATE($FK$12,Fixtures!GI$25))=Fixtures!$DN30,CONCATENATE(GI$10,", "),""))</f>
        <v/>
      </c>
      <c r="GJ30" s="607" t="str">
        <f ca="1">IF(INDIRECT(CONCATENATE($FK$12,Fixtures!GJ$25))="","",IF(INDIRECT(CONCATENATE($FK$12,Fixtures!GJ$25))=Fixtures!$DN30,CONCATENATE(GJ$10,", "),""))</f>
        <v/>
      </c>
      <c r="GK30" s="632" t="str">
        <f ca="1">IF(INDIRECT(CONCATENATE($FK$12,Fixtures!GK$25))="","",IF(INDIRECT(CONCATENATE($FK$12,Fixtures!GK$25))=Fixtures!$DN30,CONCATENATE(GK$10,", "),""))</f>
        <v/>
      </c>
      <c r="GL30" s="632" t="str">
        <f ca="1">IF(INDIRECT(CONCATENATE($FK$12,Fixtures!GL$25))="","",IF(INDIRECT(CONCATENATE($FK$12,Fixtures!GL$25))=Fixtures!$DN30,CONCATENATE(GL$10,", "),""))</f>
        <v/>
      </c>
      <c r="GM30" s="632" t="str">
        <f ca="1">IF(INDIRECT(CONCATENATE($FK$12,Fixtures!GM$25))="","",IF(INDIRECT(CONCATENATE($FK$12,Fixtures!GM$25))=Fixtures!$DN30,CONCATENATE(GM$10,", "),""))</f>
        <v/>
      </c>
      <c r="GN30" s="632" t="str">
        <f ca="1">IF(INDIRECT(CONCATENATE($FK$12,Fixtures!GN$25))="","",IF(INDIRECT(CONCATENATE($FK$12,Fixtures!GN$25))=Fixtures!$DN30,CONCATENATE(GN$10,", "),""))</f>
        <v/>
      </c>
      <c r="GO30" s="632" t="str">
        <f ca="1">IF(INDIRECT(CONCATENATE($FK$12,Fixtures!GO$25))="","",IF(INDIRECT(CONCATENATE($FK$12,Fixtures!GO$25))=Fixtures!$DN30,CONCATENATE(GO$10,", "),""))</f>
        <v/>
      </c>
      <c r="GP30" s="632" t="str">
        <f ca="1">IF(INDIRECT(CONCATENATE($FK$12,Fixtures!GP$25))="","",IF(INDIRECT(CONCATENATE($FK$12,Fixtures!GP$25))=Fixtures!$DN30,CONCATENATE(GP$10,", "),""))</f>
        <v/>
      </c>
      <c r="GQ30" s="632" t="str">
        <f ca="1">IF(INDIRECT(CONCATENATE($FK$12,Fixtures!GQ$25))="","",IF(INDIRECT(CONCATENATE($FK$12,Fixtures!GQ$25))=Fixtures!$DN30,CONCATENATE(GQ$10,", "),""))</f>
        <v/>
      </c>
      <c r="GR30" s="632" t="str">
        <f ca="1">IF(INDIRECT(CONCATENATE($FK$12,Fixtures!GR$25))="","",IF(INDIRECT(CONCATENATE($FK$12,Fixtures!GR$25))=Fixtures!$DN30,CONCATENATE(GR$10,", "),""))</f>
        <v/>
      </c>
      <c r="GS30" s="632" t="str">
        <f ca="1">IF(INDIRECT(CONCATENATE($FK$12,Fixtures!GS$25))="","",IF(INDIRECT(CONCATENATE($FK$12,Fixtures!GS$25))=Fixtures!$DN30,CONCATENATE(GS$10,", "),""))</f>
        <v/>
      </c>
      <c r="GT30" s="632" t="str">
        <f ca="1">IF(INDIRECT(CONCATENATE($FK$12,Fixtures!GT$25))="","",IF(INDIRECT(CONCATENATE($FK$12,Fixtures!GT$25))=Fixtures!$DN30,CONCATENATE(GT$10,", "),""))</f>
        <v/>
      </c>
      <c r="GU30" s="632" t="str">
        <f ca="1">IF(INDIRECT(CONCATENATE($FK$12,Fixtures!GU$25))="","",IF(INDIRECT(CONCATENATE($FK$12,Fixtures!GU$25))=Fixtures!$DN30,CONCATENATE(GU$10,", "),""))</f>
        <v/>
      </c>
      <c r="GV30" s="632" t="str">
        <f ca="1">IF(INDIRECT(CONCATENATE($FK$12,Fixtures!GV$25))="","",IF(INDIRECT(CONCATENATE($FK$12,Fixtures!GV$25))=Fixtures!$DN30,CONCATENATE(GV$10,", "),""))</f>
        <v/>
      </c>
      <c r="GW30" s="632" t="str">
        <f ca="1">IF(INDIRECT(CONCATENATE($FK$12,Fixtures!GW$25))="","",IF(INDIRECT(CONCATENATE($FK$12,Fixtures!GW$25))=Fixtures!$DN30,CONCATENATE(GW$10,", "),""))</f>
        <v/>
      </c>
      <c r="GX30" s="606" t="str">
        <f ca="1">IF(INDIRECT(CONCATENATE($FK$12,Fixtures!GX$25))="","",IF(INDIRECT(CONCATENATE($FK$12,Fixtures!GX$25))=Fixtures!$DN30,CONCATENATE(GX$10,", "),""))</f>
        <v/>
      </c>
      <c r="GY30" s="607" t="str">
        <f ca="1">IF(INDIRECT(CONCATENATE($FK$12,Fixtures!GY$25))="","",IF(INDIRECT(CONCATENATE($FK$12,Fixtures!GY$25))=Fixtures!$DN30,CONCATENATE(GY$10,", "),""))</f>
        <v/>
      </c>
      <c r="GZ30" s="632" t="str">
        <f ca="1">IF(INDIRECT(CONCATENATE($FK$12,Fixtures!GZ$25))="","",IF(INDIRECT(CONCATENATE($FK$12,Fixtures!GZ$25))=Fixtures!$DN30,CONCATENATE(GZ$10,", "),""))</f>
        <v/>
      </c>
      <c r="HA30" s="632" t="str">
        <f ca="1">IF(INDIRECT(CONCATENATE($FK$12,Fixtures!HA$25))="","",IF(INDIRECT(CONCATENATE($FK$12,Fixtures!HA$25))=Fixtures!$DN30,CONCATENATE(HA$10,", "),""))</f>
        <v/>
      </c>
      <c r="HB30" s="632" t="str">
        <f ca="1">IF(INDIRECT(CONCATENATE($FK$12,Fixtures!HB$25))="","",IF(INDIRECT(CONCATENATE($FK$12,Fixtures!HB$25))=Fixtures!$DN30,CONCATENATE(HB$10,", "),""))</f>
        <v/>
      </c>
      <c r="HC30" s="632" t="str">
        <f ca="1">IF(INDIRECT(CONCATENATE($FK$12,Fixtures!HC$25))="","",IF(INDIRECT(CONCATENATE($FK$12,Fixtures!HC$25))=Fixtures!$DN30,CONCATENATE(HC$10,", "),""))</f>
        <v/>
      </c>
      <c r="HD30" s="632" t="str">
        <f ca="1">IF(INDIRECT(CONCATENATE($FK$12,Fixtures!HD$25))="","",IF(INDIRECT(CONCATENATE($FK$12,Fixtures!HD$25))=Fixtures!$DN30,CONCATENATE(HD$10,", "),""))</f>
        <v/>
      </c>
      <c r="HE30" s="632" t="str">
        <f ca="1">IF(INDIRECT(CONCATENATE($FK$12,Fixtures!HE$25))="","",IF(INDIRECT(CONCATENATE($FK$12,Fixtures!HE$25))=Fixtures!$DN30,CONCATENATE(HE$10,", "),""))</f>
        <v/>
      </c>
      <c r="HF30" s="632" t="str">
        <f ca="1">IF(INDIRECT(CONCATENATE($FK$12,Fixtures!HF$25))="","",IF(INDIRECT(CONCATENATE($FK$12,Fixtures!HF$25))=Fixtures!$DN30,CONCATENATE(HF$10,", "),""))</f>
        <v/>
      </c>
      <c r="HG30" s="632" t="str">
        <f ca="1">IF(INDIRECT(CONCATENATE($FK$12,Fixtures!HG$25))="","",IF(INDIRECT(CONCATENATE($FK$12,Fixtures!HG$25))=Fixtures!$DN30,CONCATENATE(HG$10,", "),""))</f>
        <v/>
      </c>
      <c r="HH30" s="632" t="str">
        <f ca="1">IF(INDIRECT(CONCATENATE($FK$12,Fixtures!HH$25))="","",IF(INDIRECT(CONCATENATE($FK$12,Fixtures!HH$25))=Fixtures!$DN30,CONCATENATE(HH$10,", "),""))</f>
        <v/>
      </c>
      <c r="HI30" s="632" t="str">
        <f ca="1">IF(INDIRECT(CONCATENATE($FK$12,Fixtures!HI$25))="","",IF(INDIRECT(CONCATENATE($FK$12,Fixtures!HI$25))=Fixtures!$DN30,CONCATENATE(HI$10,", "),""))</f>
        <v/>
      </c>
      <c r="HJ30" s="632" t="str">
        <f ca="1">IF(INDIRECT(CONCATENATE($FK$12,Fixtures!HJ$25))="","",IF(INDIRECT(CONCATENATE($FK$12,Fixtures!HJ$25))=Fixtures!$DN30,CONCATENATE(HJ$10,", "),""))</f>
        <v/>
      </c>
      <c r="HK30" s="632" t="str">
        <f ca="1">IF(INDIRECT(CONCATENATE($FK$12,Fixtures!HK$25))="","",IF(INDIRECT(CONCATENATE($FK$12,Fixtures!HK$25))=Fixtures!$DN30,CONCATENATE(HK$10,", "),""))</f>
        <v/>
      </c>
      <c r="HL30" s="632" t="str">
        <f ca="1">IF(INDIRECT(CONCATENATE($FK$12,Fixtures!HL$25))="","",IF(INDIRECT(CONCATENATE($FK$12,Fixtures!HL$25))=Fixtures!$DN30,CONCATENATE(HL$10,", "),""))</f>
        <v/>
      </c>
      <c r="HM30" s="606" t="str">
        <f ca="1">IF(INDIRECT(CONCATENATE($FK$12,Fixtures!HM$25))="","",IF(INDIRECT(CONCATENATE($FK$12,Fixtures!HM$25))=Fixtures!$DN30,CONCATENATE(HM$10,", "),""))</f>
        <v/>
      </c>
      <c r="HN30" s="607" t="str">
        <f ca="1">IF(INDIRECT(CONCATENATE($FK$12,Fixtures!HN$25))="","",IF(INDIRECT(CONCATENATE($FK$12,Fixtures!HN$25))=Fixtures!$DN30,CONCATENATE(HN$10,", "),""))</f>
        <v/>
      </c>
      <c r="HO30" s="632" t="str">
        <f ca="1">IF(INDIRECT(CONCATENATE($FK$12,Fixtures!HO$25))="","",IF(INDIRECT(CONCATENATE($FK$12,Fixtures!HO$25))=Fixtures!$DN30,CONCATENATE(HO$10,", "),""))</f>
        <v/>
      </c>
      <c r="HP30" s="632" t="str">
        <f ca="1">IF(INDIRECT(CONCATENATE($FK$12,Fixtures!HP$25))="","",IF(INDIRECT(CONCATENATE($FK$12,Fixtures!HP$25))=Fixtures!$DN30,CONCATENATE(HP$10,", "),""))</f>
        <v/>
      </c>
      <c r="HQ30" s="632" t="str">
        <f ca="1">IF(INDIRECT(CONCATENATE($FK$12,Fixtures!HQ$25))="","",IF(INDIRECT(CONCATENATE($FK$12,Fixtures!HQ$25))=Fixtures!$DN30,CONCATENATE(HQ$10,", "),""))</f>
        <v/>
      </c>
      <c r="HR30" s="632" t="str">
        <f ca="1">IF(INDIRECT(CONCATENATE($FK$12,Fixtures!HR$25))="","",IF(INDIRECT(CONCATENATE($FK$12,Fixtures!HR$25))=Fixtures!$DN30,CONCATENATE(HR$10,", "),""))</f>
        <v/>
      </c>
      <c r="HS30" s="632" t="str">
        <f ca="1">IF(INDIRECT(CONCATENATE($FK$12,Fixtures!HS$25))="","",IF(INDIRECT(CONCATENATE($FK$12,Fixtures!HS$25))=Fixtures!$DN30,CONCATENATE(HS$10,", "),""))</f>
        <v/>
      </c>
      <c r="HT30" s="632" t="str">
        <f ca="1">IF(INDIRECT(CONCATENATE($FK$12,Fixtures!HT$25))="","",IF(INDIRECT(CONCATENATE($FK$12,Fixtures!HT$25))=Fixtures!$DN30,CONCATENATE(HT$10,", "),""))</f>
        <v/>
      </c>
      <c r="HU30" s="632" t="str">
        <f ca="1">IF(INDIRECT(CONCATENATE($FK$12,Fixtures!HU$25))="","",IF(INDIRECT(CONCATENATE($FK$12,Fixtures!HU$25))=Fixtures!$DN30,CONCATENATE(HU$10,", "),""))</f>
        <v/>
      </c>
      <c r="HV30" s="632" t="str">
        <f ca="1">IF(INDIRECT(CONCATENATE($FK$12,Fixtures!HV$25))="","",IF(INDIRECT(CONCATENATE($FK$12,Fixtures!HV$25))=Fixtures!$DN30,CONCATENATE(HV$10,", "),""))</f>
        <v/>
      </c>
      <c r="HW30" s="632" t="str">
        <f ca="1">IF(INDIRECT(CONCATENATE($FK$12,Fixtures!HW$25))="","",IF(INDIRECT(CONCATENATE($FK$12,Fixtures!HW$25))=Fixtures!$DN30,CONCATENATE(HW$10,", "),""))</f>
        <v/>
      </c>
      <c r="HX30" s="632" t="str">
        <f ca="1">IF(INDIRECT(CONCATENATE($FK$12,Fixtures!HX$25))="","",IF(INDIRECT(CONCATENATE($FK$12,Fixtures!HX$25))=Fixtures!$DN30,CONCATENATE(HX$10,", "),""))</f>
        <v/>
      </c>
      <c r="HY30" s="632" t="str">
        <f ca="1">IF(INDIRECT(CONCATENATE($FK$12,Fixtures!HY$25))="","",IF(INDIRECT(CONCATENATE($FK$12,Fixtures!HY$25))=Fixtures!$DN30,CONCATENATE(HY$10,", "),""))</f>
        <v/>
      </c>
      <c r="HZ30" s="632" t="str">
        <f ca="1">IF(INDIRECT(CONCATENATE($FK$12,Fixtures!HZ$25))="","",IF(INDIRECT(CONCATENATE($FK$12,Fixtures!HZ$25))=Fixtures!$DN30,CONCATENATE(HZ$10,", "),""))</f>
        <v/>
      </c>
      <c r="IA30" s="632" t="str">
        <f ca="1">IF(INDIRECT(CONCATENATE($FK$12,Fixtures!IA$25))="","",IF(INDIRECT(CONCATENATE($FK$12,Fixtures!IA$25))=Fixtures!$DN30,CONCATENATE(IA$10,", "),""))</f>
        <v/>
      </c>
      <c r="IB30" s="606" t="str">
        <f ca="1">IF(INDIRECT(CONCATENATE($FK$12,Fixtures!IB$25))="","",IF(INDIRECT(CONCATENATE($FK$12,Fixtures!IB$25))=Fixtures!$DN30,CONCATENATE(IB$10,", "),""))</f>
        <v/>
      </c>
      <c r="IC30" s="607" t="str">
        <f ca="1">IF(INDIRECT(CONCATENATE($FK$12,Fixtures!IC$25))="","",IF(INDIRECT(CONCATENATE($FK$12,Fixtures!IC$25))=Fixtures!$DN30,CONCATENATE(IC$10,", "),""))</f>
        <v/>
      </c>
      <c r="ID30" s="632" t="str">
        <f ca="1">IF(INDIRECT(CONCATENATE($FK$12,Fixtures!ID$25))="","",IF(INDIRECT(CONCATENATE($FK$12,Fixtures!ID$25))=Fixtures!$DN30,CONCATENATE(ID$10,", "),""))</f>
        <v/>
      </c>
      <c r="IE30" s="632" t="str">
        <f ca="1">IF(INDIRECT(CONCATENATE($FK$12,Fixtures!IE$25))="","",IF(INDIRECT(CONCATENATE($FK$12,Fixtures!IE$25))=Fixtures!$DN30,CONCATENATE(IE$10,", "),""))</f>
        <v/>
      </c>
      <c r="IF30" s="632" t="str">
        <f ca="1">IF(INDIRECT(CONCATENATE($FK$12,Fixtures!IF$25))="","",IF(INDIRECT(CONCATENATE($FK$12,Fixtures!IF$25))=Fixtures!$DN30,CONCATENATE(IF$10,", "),""))</f>
        <v/>
      </c>
      <c r="IG30" s="632" t="str">
        <f ca="1">IF(INDIRECT(CONCATENATE($FK$12,Fixtures!IG$25))="","",IF(INDIRECT(CONCATENATE($FK$12,Fixtures!IG$25))=Fixtures!$DN30,CONCATENATE(IG$10,", "),""))</f>
        <v/>
      </c>
      <c r="IH30" s="632" t="str">
        <f ca="1">IF(INDIRECT(CONCATENATE($FK$12,Fixtures!IH$25))="","",IF(INDIRECT(CONCATENATE($FK$12,Fixtures!IH$25))=Fixtures!$DN30,CONCATENATE(IH$10,", "),""))</f>
        <v/>
      </c>
      <c r="II30" s="632" t="str">
        <f ca="1">IF(INDIRECT(CONCATENATE($FK$12,Fixtures!II$25))="","",IF(INDIRECT(CONCATENATE($FK$12,Fixtures!II$25))=Fixtures!$DN30,CONCATENATE(II$10,", "),""))</f>
        <v/>
      </c>
      <c r="IJ30" s="632" t="str">
        <f ca="1">IF(INDIRECT(CONCATENATE($FK$12,Fixtures!IJ$25))="","",IF(INDIRECT(CONCATENATE($FK$12,Fixtures!IJ$25))=Fixtures!$DN30,CONCATENATE(IJ$10,", "),""))</f>
        <v/>
      </c>
      <c r="IK30" s="632" t="str">
        <f ca="1">IF(INDIRECT(CONCATENATE($FK$12,Fixtures!IK$25))="","",IF(INDIRECT(CONCATENATE($FK$12,Fixtures!IK$25))=Fixtures!$DN30,CONCATENATE(IK$10,", "),""))</f>
        <v/>
      </c>
      <c r="IL30" s="632" t="str">
        <f ca="1">IF(INDIRECT(CONCATENATE($FK$12,Fixtures!IL$25))="","",IF(INDIRECT(CONCATENATE($FK$12,Fixtures!IL$25))=Fixtures!$DN30,CONCATENATE(IL$10,", "),""))</f>
        <v/>
      </c>
      <c r="IM30" s="632" t="str">
        <f ca="1">IF(INDIRECT(CONCATENATE($FK$12,Fixtures!IM$25))="","",IF(INDIRECT(CONCATENATE($FK$12,Fixtures!IM$25))=Fixtures!$DN30,CONCATENATE(IM$10,", "),""))</f>
        <v/>
      </c>
      <c r="IN30" s="632" t="str">
        <f ca="1">IF(INDIRECT(CONCATENATE($FK$12,Fixtures!IN$25))="","",IF(INDIRECT(CONCATENATE($FK$12,Fixtures!IN$25))=Fixtures!$DN30,CONCATENATE(IN$10,", "),""))</f>
        <v/>
      </c>
      <c r="IO30" s="632" t="str">
        <f ca="1">IF(INDIRECT(CONCATENATE($FK$12,Fixtures!IO$25))="","",IF(INDIRECT(CONCATENATE($FK$12,Fixtures!IO$25))=Fixtures!$DN30,CONCATENATE(IO$10,", "),""))</f>
        <v/>
      </c>
      <c r="IP30" s="632" t="str">
        <f ca="1">IF(INDIRECT(CONCATENATE($FK$12,Fixtures!IP$25))="","",IF(INDIRECT(CONCATENATE($FK$12,Fixtures!IP$25))=Fixtures!$DN30,CONCATENATE(IP$10,", "),""))</f>
        <v/>
      </c>
      <c r="IQ30" s="606" t="str">
        <f ca="1">IF(INDIRECT(CONCATENATE($FK$12,Fixtures!IQ$25))="","",IF(INDIRECT(CONCATENATE($FK$12,Fixtures!IQ$25))=Fixtures!$DN30,CONCATENATE(IQ$10,", "),""))</f>
        <v/>
      </c>
      <c r="IR30" s="607" t="str">
        <f ca="1">IF(INDIRECT(CONCATENATE($FK$12,Fixtures!IR$25))="","",IF(INDIRECT(CONCATENATE($FK$12,Fixtures!IR$25))=Fixtures!$DN30,CONCATENATE(IR$10,", "),""))</f>
        <v/>
      </c>
      <c r="IS30" s="632" t="str">
        <f ca="1">IF(INDIRECT(CONCATENATE($FK$12,Fixtures!IS$25))="","",IF(INDIRECT(CONCATENATE($FK$12,Fixtures!IS$25))=Fixtures!$DN30,CONCATENATE(IS$10,", "),""))</f>
        <v/>
      </c>
      <c r="IT30" s="632" t="str">
        <f ca="1">IF(INDIRECT(CONCATENATE($FK$12,Fixtures!IT$25))="","",IF(INDIRECT(CONCATENATE($FK$12,Fixtures!IT$25))=Fixtures!$DN30,CONCATENATE(IT$10,", "),""))</f>
        <v/>
      </c>
      <c r="IU30" s="632" t="str">
        <f ca="1">IF(INDIRECT(CONCATENATE($FK$12,Fixtures!IU$25))="","",IF(INDIRECT(CONCATENATE($FK$12,Fixtures!IU$25))=Fixtures!$DN30,CONCATENATE(IU$10,", "),""))</f>
        <v/>
      </c>
      <c r="IV30" s="632" t="str">
        <f ca="1">IF(INDIRECT(CONCATENATE($FK$12,Fixtures!IV$25))="","",IF(INDIRECT(CONCATENATE($FK$12,Fixtures!IV$25))=Fixtures!$DN30,CONCATENATE(IV$10,", "),""))</f>
        <v/>
      </c>
      <c r="IW30" s="632" t="str">
        <f ca="1">IF(INDIRECT(CONCATENATE($FK$12,Fixtures!IW$25))="","",IF(INDIRECT(CONCATENATE($FK$12,Fixtures!IW$25))=Fixtures!$DN30,CONCATENATE(IW$10,", "),""))</f>
        <v/>
      </c>
      <c r="IX30" s="632" t="str">
        <f ca="1">IF(INDIRECT(CONCATENATE($FK$12,Fixtures!IX$25))="","",IF(INDIRECT(CONCATENATE($FK$12,Fixtures!IX$25))=Fixtures!$DN30,CONCATENATE(IX$10,", "),""))</f>
        <v/>
      </c>
      <c r="IY30" s="632" t="str">
        <f ca="1">IF(INDIRECT(CONCATENATE($FK$12,Fixtures!IY$25))="","",IF(INDIRECT(CONCATENATE($FK$12,Fixtures!IY$25))=Fixtures!$DN30,CONCATENATE(IY$10,", "),""))</f>
        <v/>
      </c>
      <c r="IZ30" s="632" t="str">
        <f ca="1">IF(INDIRECT(CONCATENATE($FK$12,Fixtures!IZ$25))="","",IF(INDIRECT(CONCATENATE($FK$12,Fixtures!IZ$25))=Fixtures!$DN30,CONCATENATE(IZ$10,", "),""))</f>
        <v/>
      </c>
      <c r="JA30" s="632" t="str">
        <f ca="1">IF(INDIRECT(CONCATENATE($FK$12,Fixtures!JA$25))="","",IF(INDIRECT(CONCATENATE($FK$12,Fixtures!JA$25))=Fixtures!$DN30,CONCATENATE(JA$10,", "),""))</f>
        <v/>
      </c>
      <c r="JB30" s="632" t="str">
        <f ca="1">IF(INDIRECT(CONCATENATE($FK$12,Fixtures!JB$25))="","",IF(INDIRECT(CONCATENATE($FK$12,Fixtures!JB$25))=Fixtures!$DN30,CONCATENATE(JB$10,", "),""))</f>
        <v/>
      </c>
      <c r="JC30" s="632" t="str">
        <f ca="1">IF(INDIRECT(CONCATENATE($FK$12,Fixtures!JC$25))="","",IF(INDIRECT(CONCATENATE($FK$12,Fixtures!JC$25))=Fixtures!$DN30,CONCATENATE(JC$10,", "),""))</f>
        <v/>
      </c>
      <c r="JD30" s="632" t="str">
        <f ca="1">IF(INDIRECT(CONCATENATE($FK$12,Fixtures!JD$25))="","",IF(INDIRECT(CONCATENATE($FK$12,Fixtures!JD$25))=Fixtures!$DN30,CONCATENATE(JD$10,", "),""))</f>
        <v/>
      </c>
      <c r="JE30" s="632" t="str">
        <f ca="1">IF(INDIRECT(CONCATENATE($FK$12,Fixtures!JE$25))="","",IF(INDIRECT(CONCATENATE($FK$12,Fixtures!JE$25))=Fixtures!$DN30,CONCATENATE(JE$10,", "),""))</f>
        <v/>
      </c>
      <c r="JF30" s="606" t="str">
        <f ca="1">IF(INDIRECT(CONCATENATE($FK$12,Fixtures!JF$25))="","",IF(INDIRECT(CONCATENATE($FK$12,Fixtures!JF$25))=Fixtures!$DN30,CONCATENATE(JF$10,", "),""))</f>
        <v/>
      </c>
      <c r="JG30" s="607" t="str">
        <f ca="1">IF(INDIRECT(CONCATENATE($FK$12,Fixtures!JG$25))="","",IF(INDIRECT(CONCATENATE($FK$12,Fixtures!JG$25))=Fixtures!$DN30,CONCATENATE(JG$10,", "),""))</f>
        <v/>
      </c>
      <c r="JH30" s="632" t="str">
        <f ca="1">IF(INDIRECT(CONCATENATE($FK$12,Fixtures!JH$25))="","",IF(INDIRECT(CONCATENATE($FK$12,Fixtures!JH$25))=Fixtures!$DN30,CONCATENATE(JH$10,", "),""))</f>
        <v/>
      </c>
      <c r="JI30" s="632" t="str">
        <f ca="1">IF(INDIRECT(CONCATENATE($FK$12,Fixtures!JI$25))="","",IF(INDIRECT(CONCATENATE($FK$12,Fixtures!JI$25))=Fixtures!$DN30,CONCATENATE(JI$10,", "),""))</f>
        <v/>
      </c>
      <c r="JJ30" s="632" t="str">
        <f ca="1">IF(INDIRECT(CONCATENATE($FK$12,Fixtures!JJ$25))="","",IF(INDIRECT(CONCATENATE($FK$12,Fixtures!JJ$25))=Fixtures!$DN30,CONCATENATE(JJ$10,", "),""))</f>
        <v/>
      </c>
      <c r="JK30" s="632" t="str">
        <f ca="1">IF(INDIRECT(CONCATENATE($FK$12,Fixtures!JK$25))="","",IF(INDIRECT(CONCATENATE($FK$12,Fixtures!JK$25))=Fixtures!$DN30,CONCATENATE(JK$10,", "),""))</f>
        <v/>
      </c>
      <c r="JL30" s="632" t="str">
        <f ca="1">IF(INDIRECT(CONCATENATE($FK$12,Fixtures!JL$25))="","",IF(INDIRECT(CONCATENATE($FK$12,Fixtures!JL$25))=Fixtures!$DN30,CONCATENATE(JL$10,", "),""))</f>
        <v/>
      </c>
      <c r="JM30" s="632" t="str">
        <f ca="1">IF(INDIRECT(CONCATENATE($FK$12,Fixtures!JM$25))="","",IF(INDIRECT(CONCATENATE($FK$12,Fixtures!JM$25))=Fixtures!$DN30,CONCATENATE(JM$10,", "),""))</f>
        <v/>
      </c>
      <c r="JN30" s="632" t="str">
        <f ca="1">IF(INDIRECT(CONCATENATE($FK$12,Fixtures!JN$25))="","",IF(INDIRECT(CONCATENATE($FK$12,Fixtures!JN$25))=Fixtures!$DN30,CONCATENATE(JN$10,", "),""))</f>
        <v/>
      </c>
      <c r="JO30" s="632" t="str">
        <f ca="1">IF(INDIRECT(CONCATENATE($FK$12,Fixtures!JO$25))="","",IF(INDIRECT(CONCATENATE($FK$12,Fixtures!JO$25))=Fixtures!$DN30,CONCATENATE(JO$10,", "),""))</f>
        <v/>
      </c>
      <c r="JP30" s="632" t="str">
        <f ca="1">IF(INDIRECT(CONCATENATE($FK$12,Fixtures!JP$25))="","",IF(INDIRECT(CONCATENATE($FK$12,Fixtures!JP$25))=Fixtures!$DN30,CONCATENATE(JP$10,", "),""))</f>
        <v/>
      </c>
      <c r="JQ30" s="632" t="str">
        <f ca="1">IF(INDIRECT(CONCATENATE($FK$12,Fixtures!JQ$25))="","",IF(INDIRECT(CONCATENATE($FK$12,Fixtures!JQ$25))=Fixtures!$DN30,CONCATENATE(JQ$10,", "),""))</f>
        <v/>
      </c>
      <c r="JR30" s="632" t="str">
        <f ca="1">IF(INDIRECT(CONCATENATE($FK$12,Fixtures!JR$25))="","",IF(INDIRECT(CONCATENATE($FK$12,Fixtures!JR$25))=Fixtures!$DN30,CONCATENATE(JR$10,", "),""))</f>
        <v/>
      </c>
      <c r="JS30" s="632" t="str">
        <f ca="1">IF(INDIRECT(CONCATENATE($FK$12,Fixtures!JS$25))="","",IF(INDIRECT(CONCATENATE($FK$12,Fixtures!JS$25))=Fixtures!$DN30,CONCATENATE(JS$10,", "),""))</f>
        <v/>
      </c>
      <c r="JT30" s="632" t="str">
        <f ca="1">IF(INDIRECT(CONCATENATE($FK$12,Fixtures!JT$25))="","",IF(INDIRECT(CONCATENATE($FK$12,Fixtures!JT$25))=Fixtures!$DN30,CONCATENATE(JT$10,", "),""))</f>
        <v/>
      </c>
      <c r="JU30" s="606" t="str">
        <f ca="1">IF(INDIRECT(CONCATENATE($FK$12,Fixtures!JU$25))="","",IF(INDIRECT(CONCATENATE($FK$12,Fixtures!JU$25))=Fixtures!$DN30,CONCATENATE(JU$10,", "),""))</f>
        <v/>
      </c>
      <c r="JV30" s="607" t="str">
        <f ca="1">IF(INDIRECT(CONCATENATE($FK$12,Fixtures!JV$25))="","",IF(INDIRECT(CONCATENATE($FK$12,Fixtures!JV$25))=Fixtures!$DN30,CONCATENATE(JV$10,", "),""))</f>
        <v/>
      </c>
      <c r="JW30" s="632" t="str">
        <f ca="1">IF(INDIRECT(CONCATENATE($FK$12,Fixtures!JW$25))="","",IF(INDIRECT(CONCATENATE($FK$12,Fixtures!JW$25))=Fixtures!$DN30,CONCATENATE(JW$10,", "),""))</f>
        <v/>
      </c>
      <c r="JX30" s="632" t="str">
        <f ca="1">IF(INDIRECT(CONCATENATE($FK$12,Fixtures!JX$25))="","",IF(INDIRECT(CONCATENATE($FK$12,Fixtures!JX$25))=Fixtures!$DN30,CONCATENATE(JX$10,", "),""))</f>
        <v/>
      </c>
      <c r="JY30" s="632" t="str">
        <f ca="1">IF(INDIRECT(CONCATENATE($FK$12,Fixtures!JY$25))="","",IF(INDIRECT(CONCATENATE($FK$12,Fixtures!JY$25))=Fixtures!$DN30,CONCATENATE(JY$10,", "),""))</f>
        <v/>
      </c>
      <c r="JZ30" s="632" t="str">
        <f ca="1">IF(INDIRECT(CONCATENATE($FK$12,Fixtures!JZ$25))="","",IF(INDIRECT(CONCATENATE($FK$12,Fixtures!JZ$25))=Fixtures!$DN30,CONCATENATE(JZ$10,", "),""))</f>
        <v/>
      </c>
      <c r="KA30" s="632" t="str">
        <f ca="1">IF(INDIRECT(CONCATENATE($FK$12,Fixtures!KA$25))="","",IF(INDIRECT(CONCATENATE($FK$12,Fixtures!KA$25))=Fixtures!$DN30,CONCATENATE(KA$10,", "),""))</f>
        <v/>
      </c>
      <c r="KB30" s="632" t="str">
        <f ca="1">IF(INDIRECT(CONCATENATE($FK$12,Fixtures!KB$25))="","",IF(INDIRECT(CONCATENATE($FK$12,Fixtures!KB$25))=Fixtures!$DN30,CONCATENATE(KB$10,", "),""))</f>
        <v/>
      </c>
      <c r="KC30" s="632" t="str">
        <f ca="1">IF(INDIRECT(CONCATENATE($FK$12,Fixtures!KC$25))="","",IF(INDIRECT(CONCATENATE($FK$12,Fixtures!KC$25))=Fixtures!$DN30,CONCATENATE(KC$10,", "),""))</f>
        <v/>
      </c>
      <c r="KD30" s="632" t="str">
        <f ca="1">IF(INDIRECT(CONCATENATE($FK$12,Fixtures!KD$25))="","",IF(INDIRECT(CONCATENATE($FK$12,Fixtures!KD$25))=Fixtures!$DN30,CONCATENATE(KD$10,", "),""))</f>
        <v/>
      </c>
      <c r="KE30" s="632" t="str">
        <f ca="1">IF(INDIRECT(CONCATENATE($FK$12,Fixtures!KE$25))="","",IF(INDIRECT(CONCATENATE($FK$12,Fixtures!KE$25))=Fixtures!$DN30,CONCATENATE(KE$10,", "),""))</f>
        <v/>
      </c>
      <c r="KF30" s="632" t="str">
        <f ca="1">IF(INDIRECT(CONCATENATE($FK$12,Fixtures!KF$25))="","",IF(INDIRECT(CONCATENATE($FK$12,Fixtures!KF$25))=Fixtures!$DN30,CONCATENATE(KF$10,", "),""))</f>
        <v/>
      </c>
      <c r="KG30" s="632" t="str">
        <f ca="1">IF(INDIRECT(CONCATENATE($FK$12,Fixtures!KG$25))="","",IF(INDIRECT(CONCATENATE($FK$12,Fixtures!KG$25))=Fixtures!$DN30,CONCATENATE(KG$10,", "),""))</f>
        <v/>
      </c>
      <c r="KH30" s="632" t="str">
        <f ca="1">IF(INDIRECT(CONCATENATE($FK$12,Fixtures!KH$25))="","",IF(INDIRECT(CONCATENATE($FK$12,Fixtures!KH$25))=Fixtures!$DN30,CONCATENATE(KH$10,", "),""))</f>
        <v/>
      </c>
      <c r="KI30" s="632" t="str">
        <f ca="1">IF(INDIRECT(CONCATENATE($FK$12,Fixtures!KI$25))="","",IF(INDIRECT(CONCATENATE($FK$12,Fixtures!KI$25))=Fixtures!$DN30,CONCATENATE(KI$10,", "),""))</f>
        <v/>
      </c>
      <c r="KJ30" s="606" t="str">
        <f ca="1">IF(INDIRECT(CONCATENATE($FK$12,Fixtures!KJ$25))="","",IF(INDIRECT(CONCATENATE($FK$12,Fixtures!KJ$25))=Fixtures!$DN30,CONCATENATE(KJ$10,", "),""))</f>
        <v/>
      </c>
      <c r="KK30" s="607" t="str">
        <f ca="1">IF(INDIRECT(CONCATENATE($FK$12,Fixtures!KK$25))="","",IF(INDIRECT(CONCATENATE($FK$12,Fixtures!KK$25))=Fixtures!$DN30,CONCATENATE(KK$10,", "),""))</f>
        <v/>
      </c>
      <c r="KL30" s="632" t="str">
        <f ca="1">IF(INDIRECT(CONCATENATE($FK$12,Fixtures!KL$25))="","",IF(INDIRECT(CONCATENATE($FK$12,Fixtures!KL$25))=Fixtures!$DN30,CONCATENATE(KL$10,", "),""))</f>
        <v/>
      </c>
      <c r="KM30" s="632" t="str">
        <f ca="1">IF(INDIRECT(CONCATENATE($FK$12,Fixtures!KM$25))="","",IF(INDIRECT(CONCATENATE($FK$12,Fixtures!KM$25))=Fixtures!$DN30,CONCATENATE(KM$10,", "),""))</f>
        <v/>
      </c>
      <c r="KN30" s="632" t="str">
        <f ca="1">IF(INDIRECT(CONCATENATE($FK$12,Fixtures!KN$25))="","",IF(INDIRECT(CONCATENATE($FK$12,Fixtures!KN$25))=Fixtures!$DN30,CONCATENATE(KN$10,", "),""))</f>
        <v/>
      </c>
      <c r="KO30" s="632" t="str">
        <f ca="1">IF(INDIRECT(CONCATENATE($FK$12,Fixtures!KO$25))="","",IF(INDIRECT(CONCATENATE($FK$12,Fixtures!KO$25))=Fixtures!$DN30,CONCATENATE(KO$10,", "),""))</f>
        <v/>
      </c>
      <c r="KP30" s="632" t="str">
        <f ca="1">IF(INDIRECT(CONCATENATE($FK$12,Fixtures!KP$25))="","",IF(INDIRECT(CONCATENATE($FK$12,Fixtures!KP$25))=Fixtures!$DN30,CONCATENATE(KP$10,", "),""))</f>
        <v/>
      </c>
      <c r="KQ30" s="632" t="str">
        <f ca="1">IF(INDIRECT(CONCATENATE($FK$12,Fixtures!KQ$25))="","",IF(INDIRECT(CONCATENATE($FK$12,Fixtures!KQ$25))=Fixtures!$DN30,CONCATENATE(KQ$10,", "),""))</f>
        <v/>
      </c>
      <c r="KR30" s="632" t="str">
        <f ca="1">IF(INDIRECT(CONCATENATE($FK$12,Fixtures!KR$25))="","",IF(INDIRECT(CONCATENATE($FK$12,Fixtures!KR$25))=Fixtures!$DN30,CONCATENATE(KR$10,", "),""))</f>
        <v/>
      </c>
      <c r="KS30" s="632" t="str">
        <f ca="1">IF(INDIRECT(CONCATENATE($FK$12,Fixtures!KS$25))="","",IF(INDIRECT(CONCATENATE($FK$12,Fixtures!KS$25))=Fixtures!$DN30,CONCATENATE(KS$10,", "),""))</f>
        <v/>
      </c>
      <c r="KT30" s="632" t="str">
        <f ca="1">IF(INDIRECT(CONCATENATE($FK$12,Fixtures!KT$25))="","",IF(INDIRECT(CONCATENATE($FK$12,Fixtures!KT$25))=Fixtures!$DN30,CONCATENATE(KT$10,", "),""))</f>
        <v/>
      </c>
      <c r="KU30" s="632" t="str">
        <f ca="1">IF(INDIRECT(CONCATENATE($FK$12,Fixtures!KU$25))="","",IF(INDIRECT(CONCATENATE($FK$12,Fixtures!KU$25))=Fixtures!$DN30,CONCATENATE(KU$10,", "),""))</f>
        <v/>
      </c>
      <c r="KV30" s="632" t="str">
        <f ca="1">IF(INDIRECT(CONCATENATE($FK$12,Fixtures!KV$25))="","",IF(INDIRECT(CONCATENATE($FK$12,Fixtures!KV$25))=Fixtures!$DN30,CONCATENATE(KV$10,", "),""))</f>
        <v/>
      </c>
      <c r="KW30" s="632" t="str">
        <f ca="1">IF(INDIRECT(CONCATENATE($FK$12,Fixtures!KW$25))="","",IF(INDIRECT(CONCATENATE($FK$12,Fixtures!KW$25))=Fixtures!$DN30,CONCATENATE(KW$10,", "),""))</f>
        <v/>
      </c>
      <c r="KX30" s="632" t="str">
        <f ca="1">IF(INDIRECT(CONCATENATE($FK$12,Fixtures!KX$25))="","",IF(INDIRECT(CONCATENATE($FK$12,Fixtures!KX$25))=Fixtures!$DN30,CONCATENATE(KX$10,", "),""))</f>
        <v/>
      </c>
      <c r="KY30" s="632"/>
      <c r="KZ30" s="46"/>
      <c r="LA30" s="46" t="str">
        <f t="shared" ca="1" si="7"/>
        <v/>
      </c>
      <c r="LB30" s="46"/>
      <c r="LC30" s="1010"/>
      <c r="LD30" s="1009" t="str">
        <f>IFERROR((LC30/EF30)/ER30,"")</f>
        <v/>
      </c>
    </row>
    <row r="31" spans="1:316" ht="28.2" customHeight="1" thickTop="1" thickBot="1">
      <c r="A31" s="426" t="str">
        <f t="shared" ref="A31:A78" si="13">IF(E31="","",VLOOKUP(E31,BM$93:BU$192,3,FALSE))</f>
        <v/>
      </c>
      <c r="C31" s="1656" t="str">
        <f t="shared" ref="C31:C76" si="14">CG93</f>
        <v/>
      </c>
      <c r="D31" s="1657"/>
      <c r="E31" s="1653" t="str">
        <f t="shared" ref="E31:E76" si="15">CE93</f>
        <v/>
      </c>
      <c r="F31" s="1654"/>
      <c r="G31" s="1654"/>
      <c r="H31" s="1654"/>
      <c r="I31" s="1654"/>
      <c r="J31" s="1654"/>
      <c r="K31" s="1654"/>
      <c r="L31" s="1654"/>
      <c r="M31" s="1655"/>
      <c r="N31" s="1272" t="str">
        <f t="shared" ref="N31:N78" si="16">CF93</f>
        <v/>
      </c>
      <c r="O31" s="10"/>
      <c r="P31" s="1656" t="str">
        <f>EI93</f>
        <v/>
      </c>
      <c r="Q31" s="1657"/>
      <c r="R31" s="1653" t="str">
        <f t="shared" ref="R31:R36" si="17">EE93</f>
        <v/>
      </c>
      <c r="S31" s="1654"/>
      <c r="T31" s="1654"/>
      <c r="U31" s="1654"/>
      <c r="V31" s="1654"/>
      <c r="W31" s="1654"/>
      <c r="X31" s="1654"/>
      <c r="Y31" s="1272" t="str">
        <f>EF93</f>
        <v/>
      </c>
      <c r="Z31" s="1272" t="str">
        <f>EH93</f>
        <v/>
      </c>
      <c r="AA31" s="1273" t="str">
        <f>EG93</f>
        <v/>
      </c>
      <c r="AB31" s="1274"/>
      <c r="AC31" s="1658" t="str">
        <f t="shared" ref="AC31:AC78" si="18">IF(R31="","",VLOOKUP(R31,$DM$93:$DQ$142,5,FALSE))</f>
        <v/>
      </c>
      <c r="AD31" s="1659"/>
      <c r="AE31" s="1659"/>
      <c r="AF31" s="1659"/>
      <c r="AG31" s="1659"/>
      <c r="AH31" s="1659"/>
      <c r="AK31">
        <f>SUMIFS(Installations!CV$46:CV$803,Installations!CW$46:CW$803,E31,Installations!IC$46:IC$803,TRUE)</f>
        <v>0</v>
      </c>
      <c r="AL31">
        <f>SUMIFS(Installations!CV$46:CV$803,Installations!CW$46:CW$803,R31,Installations!IC$46:IC$803,TRUE)</f>
        <v>0</v>
      </c>
      <c r="BL31" s="9"/>
      <c r="BM31" s="622" t="str">
        <f t="shared" ref="BM31:BM76" si="19">IF(BX31="","",CONCATENATE(BX31," - ",BV31))</f>
        <v/>
      </c>
      <c r="BN31" s="52"/>
      <c r="BO31" s="52"/>
      <c r="BP31" s="52"/>
      <c r="BQ31" s="52"/>
      <c r="BR31" s="52"/>
      <c r="BS31" s="52"/>
      <c r="BT31" s="52"/>
      <c r="BU31" s="373"/>
      <c r="BV31" s="219" t="str">
        <f>IF(CN31&lt;&gt;"Yes","",IFERROR(VLOOKUP(CU31,Existing!A$4:F$367,2,FALSE),""))</f>
        <v/>
      </c>
      <c r="BW31" s="9">
        <v>5</v>
      </c>
      <c r="BX31" s="1625"/>
      <c r="BY31" s="1626"/>
      <c r="BZ31" s="1626"/>
      <c r="CA31" s="1627"/>
      <c r="CB31" s="1622"/>
      <c r="CC31" s="1623"/>
      <c r="CD31" s="1623"/>
      <c r="CE31" s="1624"/>
      <c r="CF31" s="1621"/>
      <c r="CG31" s="1621"/>
      <c r="CH31" s="1621"/>
      <c r="CI31" s="1621"/>
      <c r="CJ31" s="1621"/>
      <c r="CK31" s="1621"/>
      <c r="CL31" s="1621"/>
      <c r="CM31" s="1621"/>
      <c r="CN31" s="1553" t="str">
        <f t="shared" si="0"/>
        <v/>
      </c>
      <c r="CO31" s="1554"/>
      <c r="CP31" s="229" t="str">
        <f>IFERROR(IF(CB31="Existing TLED",CR31*CW31*CY31,VLOOKUP(CU31,Existing!A$3:F$356,6,FALSE)),"")</f>
        <v/>
      </c>
      <c r="CQ31" s="9"/>
      <c r="CR31" s="1660"/>
      <c r="CS31" s="1661"/>
      <c r="CT31" s="9"/>
      <c r="CU31" s="425" t="str">
        <f>IF(CN31="","",IF(CB31="Existing TLED",CONCATENATE(CB31," - ",CF31),CONCATENATE(CB31," - ",CF31," ",CJ31)))</f>
        <v/>
      </c>
      <c r="CV31" s="426" t="b">
        <f>IF(CB31="Existing TLED",TRUE,FALSE)</f>
        <v>0</v>
      </c>
      <c r="CW31" s="426" t="str">
        <f>LEFT(CJ31,1)</f>
        <v/>
      </c>
      <c r="CX31" s="426">
        <f>IFERROR(VLOOKUP(CF31,Lookup!T$100:V$102,3,FALSE),0)</f>
        <v>0</v>
      </c>
      <c r="CY31" s="426">
        <f t="shared" si="8"/>
        <v>1.1100000000000001</v>
      </c>
      <c r="CZ31" s="626" t="b">
        <f t="shared" si="1"/>
        <v>0</v>
      </c>
      <c r="DA31" s="626" t="b">
        <f>IF(CF31&lt;&gt;"",IF(ISERROR(MATCH(CONCATENATE(CB31," - ",CF31),Existing!G$4:G$331,0))=TRUE,FALSE,TRUE),TRUE)</f>
        <v>1</v>
      </c>
      <c r="DB31" s="626" t="b">
        <f t="shared" si="2"/>
        <v>1</v>
      </c>
      <c r="DL31" s="9"/>
      <c r="DM31" s="627" t="s">
        <v>215</v>
      </c>
      <c r="DN31" s="375" t="str">
        <f t="shared" si="3"/>
        <v/>
      </c>
      <c r="DO31" s="52"/>
      <c r="DP31" s="52"/>
      <c r="DQ31" s="52"/>
      <c r="DR31" s="52"/>
      <c r="DS31" s="52"/>
      <c r="DT31" s="226"/>
      <c r="DU31" s="376"/>
      <c r="DV31" s="227" t="str">
        <f t="shared" si="4"/>
        <v/>
      </c>
      <c r="DW31" s="224">
        <v>5</v>
      </c>
      <c r="DX31" s="1572"/>
      <c r="DY31" s="1573"/>
      <c r="DZ31" s="1573"/>
      <c r="EA31" s="1574"/>
      <c r="EB31" s="1618"/>
      <c r="EC31" s="1619"/>
      <c r="ED31" s="1619"/>
      <c r="EE31" s="1620"/>
      <c r="EF31" s="1578"/>
      <c r="EG31" s="1579"/>
      <c r="EH31" s="1572"/>
      <c r="EI31" s="1573"/>
      <c r="EJ31" s="1573"/>
      <c r="EK31" s="1574"/>
      <c r="EL31" s="1575"/>
      <c r="EM31" s="1576"/>
      <c r="EN31" s="1576"/>
      <c r="EO31" s="1577"/>
      <c r="EP31" s="1578"/>
      <c r="EQ31" s="1579"/>
      <c r="ER31" s="1555"/>
      <c r="ES31" s="1556"/>
      <c r="ET31" s="1553" t="str">
        <f t="shared" si="9"/>
        <v/>
      </c>
      <c r="EU31" s="1554"/>
      <c r="EV31" s="1553" t="str">
        <f t="shared" si="5"/>
        <v/>
      </c>
      <c r="EW31" s="1554"/>
      <c r="EX31" s="393"/>
      <c r="EY31" s="225" t="str">
        <f t="shared" si="6"/>
        <v/>
      </c>
      <c r="EZ31" s="225" t="str">
        <f>IFERROR(VLOOKUP(EB31,Lookup!AT$3:AU$13,2,FALSE),"")</f>
        <v/>
      </c>
      <c r="FA31" s="426" t="b">
        <f>IFERROR(IF(VLOOKUP(EB31,Lookup!AT$6:AU$8,2,FALSE)&gt;3,TRUE,FALSE),FALSE)</f>
        <v>0</v>
      </c>
      <c r="FB31" s="426" t="str">
        <f t="shared" si="10"/>
        <v/>
      </c>
      <c r="FC31" t="str">
        <f t="shared" ca="1" si="11"/>
        <v/>
      </c>
      <c r="FG31" t="str">
        <f t="shared" ca="1" si="12"/>
        <v/>
      </c>
      <c r="FI31" s="204" t="str">
        <f ca="1">IFERROR(LEFT(LA31,LEN(LA31)-2),"")</f>
        <v/>
      </c>
      <c r="FJ31" s="204"/>
      <c r="FK31" s="631" t="str">
        <f ca="1">IF(INDIRECT(CONCATENATE($FK$12,Fixtures!FK$25))="","",IF(INDIRECT(CONCATENATE($FK$12,Fixtures!FK$25))=Fixtures!$DN31,CONCATENATE(FK$10,", "),""))</f>
        <v/>
      </c>
      <c r="FL31" s="631" t="str">
        <f ca="1">IF(INDIRECT(CONCATENATE($FK$12,Fixtures!FL$25))="","",IF(INDIRECT(CONCATENATE($FK$12,Fixtures!FL$25))=Fixtures!$DN31,CONCATENATE(FL$10,", "),""))</f>
        <v/>
      </c>
      <c r="FM31" s="631" t="str">
        <f ca="1">IF(INDIRECT(CONCATENATE($FK$12,Fixtures!FM$25))="","",IF(INDIRECT(CONCATENATE($FK$12,Fixtures!FM$25))=Fixtures!$DN31,CONCATENATE(FM$10,", "),""))</f>
        <v/>
      </c>
      <c r="FN31" s="631" t="str">
        <f ca="1">IF(INDIRECT(CONCATENATE($FK$12,Fixtures!FN$25))="","",IF(INDIRECT(CONCATENATE($FK$12,Fixtures!FN$25))=Fixtures!$DN31,CONCATENATE(FN$10,", "),""))</f>
        <v/>
      </c>
      <c r="FO31" s="631" t="str">
        <f ca="1">IF(INDIRECT(CONCATENATE($FK$12,Fixtures!FO$25))="","",IF(INDIRECT(CONCATENATE($FK$12,Fixtures!FO$25))=Fixtures!$DN31,CONCATENATE(FO$10,", "),""))</f>
        <v/>
      </c>
      <c r="FP31" s="631" t="str">
        <f ca="1">IF(INDIRECT(CONCATENATE($FK$12,Fixtures!FP$25))="","",IF(INDIRECT(CONCATENATE($FK$12,Fixtures!FP$25))=Fixtures!$DN31,CONCATENATE(FP$10,", "),""))</f>
        <v/>
      </c>
      <c r="FQ31" s="631" t="str">
        <f ca="1">IF(INDIRECT(CONCATENATE($FK$12,Fixtures!FQ$25))="","",IF(INDIRECT(CONCATENATE($FK$12,Fixtures!FQ$25))=Fixtures!$DN31,CONCATENATE(FQ$10,", "),""))</f>
        <v/>
      </c>
      <c r="FR31" s="631" t="str">
        <f ca="1">IF(INDIRECT(CONCATENATE($FK$12,Fixtures!FR$25))="","",IF(INDIRECT(CONCATENATE($FK$12,Fixtures!FR$25))=Fixtures!$DN31,CONCATENATE(FR$10,", "),""))</f>
        <v/>
      </c>
      <c r="FS31" s="631" t="str">
        <f ca="1">IF(INDIRECT(CONCATENATE($FK$12,Fixtures!FS$25))="","",IF(INDIRECT(CONCATENATE($FK$12,Fixtures!FS$25))=Fixtures!$DN31,CONCATENATE(FS$10,", "),""))</f>
        <v/>
      </c>
      <c r="FT31" s="604" t="str">
        <f ca="1">IF(INDIRECT(CONCATENATE($FK$12,Fixtures!FT$25))="","",IF(INDIRECT(CONCATENATE($FK$12,Fixtures!FT$25))=Fixtures!$DN31,CONCATENATE(FT$10,", "),""))</f>
        <v/>
      </c>
      <c r="FU31" s="605" t="str">
        <f ca="1">IF(INDIRECT(CONCATENATE($FK$12,Fixtures!FU$25))="","",IF(INDIRECT(CONCATENATE($FK$12,Fixtures!FU$25))=Fixtures!$DN31,CONCATENATE(FU$10,", "),""))</f>
        <v/>
      </c>
      <c r="FV31" s="631" t="str">
        <f ca="1">IF(INDIRECT(CONCATENATE($FK$12,Fixtures!FV$25))="","",IF(INDIRECT(CONCATENATE($FK$12,Fixtures!FV$25))=Fixtures!$DN31,CONCATENATE(FV$10,", "),""))</f>
        <v/>
      </c>
      <c r="FW31" s="632" t="str">
        <f ca="1">IF(INDIRECT(CONCATENATE($FK$12,Fixtures!FW$25))="","",IF(INDIRECT(CONCATENATE($FK$12,Fixtures!FW$25))=Fixtures!$DN31,CONCATENATE(FW$10,", "),""))</f>
        <v/>
      </c>
      <c r="FX31" s="632" t="str">
        <f ca="1">IF(INDIRECT(CONCATENATE($FK$12,Fixtures!FX$25))="","",IF(INDIRECT(CONCATENATE($FK$12,Fixtures!FX$25))=Fixtures!$DN31,CONCATENATE(FX$10,", "),""))</f>
        <v/>
      </c>
      <c r="FY31" s="632" t="str">
        <f ca="1">IF(INDIRECT(CONCATENATE($FK$12,Fixtures!FY$25))="","",IF(INDIRECT(CONCATENATE($FK$12,Fixtures!FY$25))=Fixtures!$DN31,CONCATENATE(FY$10,", "),""))</f>
        <v/>
      </c>
      <c r="FZ31" s="632" t="str">
        <f ca="1">IF(INDIRECT(CONCATENATE($FK$12,Fixtures!FZ$25))="","",IF(INDIRECT(CONCATENATE($FK$12,Fixtures!FZ$25))=Fixtures!$DN31,CONCATENATE(FZ$10,", "),""))</f>
        <v/>
      </c>
      <c r="GA31" s="632" t="str">
        <f ca="1">IF(INDIRECT(CONCATENATE($FK$12,Fixtures!GA$25))="","",IF(INDIRECT(CONCATENATE($FK$12,Fixtures!GA$25))=Fixtures!$DN31,CONCATENATE(GA$10,", "),""))</f>
        <v/>
      </c>
      <c r="GB31" s="632" t="str">
        <f ca="1">IF(INDIRECT(CONCATENATE($FK$12,Fixtures!GB$25))="","",IF(INDIRECT(CONCATENATE($FK$12,Fixtures!GB$25))=Fixtures!$DN31,CONCATENATE(GB$10,", "),""))</f>
        <v/>
      </c>
      <c r="GC31" s="632" t="str">
        <f ca="1">IF(INDIRECT(CONCATENATE($FK$12,Fixtures!GC$25))="","",IF(INDIRECT(CONCATENATE($FK$12,Fixtures!GC$25))=Fixtures!$DN31,CONCATENATE(GC$10,", "),""))</f>
        <v/>
      </c>
      <c r="GD31" s="632" t="str">
        <f ca="1">IF(INDIRECT(CONCATENATE($FK$12,Fixtures!GD$25))="","",IF(INDIRECT(CONCATENATE($FK$12,Fixtures!GD$25))=Fixtures!$DN31,CONCATENATE(GD$10,", "),""))</f>
        <v/>
      </c>
      <c r="GE31" s="632" t="str">
        <f ca="1">IF(INDIRECT(CONCATENATE($FK$12,Fixtures!GE$25))="","",IF(INDIRECT(CONCATENATE($FK$12,Fixtures!GE$25))=Fixtures!$DN31,CONCATENATE(GE$10,", "),""))</f>
        <v/>
      </c>
      <c r="GF31" s="632" t="str">
        <f ca="1">IF(INDIRECT(CONCATENATE($FK$12,Fixtures!GF$25))="","",IF(INDIRECT(CONCATENATE($FK$12,Fixtures!GF$25))=Fixtures!$DN31,CONCATENATE(GF$10,", "),""))</f>
        <v/>
      </c>
      <c r="GG31" s="632" t="str">
        <f ca="1">IF(INDIRECT(CONCATENATE($FK$12,Fixtures!GG$25))="","",IF(INDIRECT(CONCATENATE($FK$12,Fixtures!GG$25))=Fixtures!$DN31,CONCATENATE(GG$10,", "),""))</f>
        <v/>
      </c>
      <c r="GH31" s="632" t="str">
        <f ca="1">IF(INDIRECT(CONCATENATE($FK$12,Fixtures!GH$25))="","",IF(INDIRECT(CONCATENATE($FK$12,Fixtures!GH$25))=Fixtures!$DN31,CONCATENATE(GH$10,", "),""))</f>
        <v/>
      </c>
      <c r="GI31" s="606" t="str">
        <f ca="1">IF(INDIRECT(CONCATENATE($FK$12,Fixtures!GI$25))="","",IF(INDIRECT(CONCATENATE($FK$12,Fixtures!GI$25))=Fixtures!$DN31,CONCATENATE(GI$10,", "),""))</f>
        <v/>
      </c>
      <c r="GJ31" s="607" t="str">
        <f ca="1">IF(INDIRECT(CONCATENATE($FK$12,Fixtures!GJ$25))="","",IF(INDIRECT(CONCATENATE($FK$12,Fixtures!GJ$25))=Fixtures!$DN31,CONCATENATE(GJ$10,", "),""))</f>
        <v/>
      </c>
      <c r="GK31" s="632" t="str">
        <f ca="1">IF(INDIRECT(CONCATENATE($FK$12,Fixtures!GK$25))="","",IF(INDIRECT(CONCATENATE($FK$12,Fixtures!GK$25))=Fixtures!$DN31,CONCATENATE(GK$10,", "),""))</f>
        <v/>
      </c>
      <c r="GL31" s="632" t="str">
        <f ca="1">IF(INDIRECT(CONCATENATE($FK$12,Fixtures!GL$25))="","",IF(INDIRECT(CONCATENATE($FK$12,Fixtures!GL$25))=Fixtures!$DN31,CONCATENATE(GL$10,", "),""))</f>
        <v/>
      </c>
      <c r="GM31" s="632" t="str">
        <f ca="1">IF(INDIRECT(CONCATENATE($FK$12,Fixtures!GM$25))="","",IF(INDIRECT(CONCATENATE($FK$12,Fixtures!GM$25))=Fixtures!$DN31,CONCATENATE(GM$10,", "),""))</f>
        <v/>
      </c>
      <c r="GN31" s="632" t="str">
        <f ca="1">IF(INDIRECT(CONCATENATE($FK$12,Fixtures!GN$25))="","",IF(INDIRECT(CONCATENATE($FK$12,Fixtures!GN$25))=Fixtures!$DN31,CONCATENATE(GN$10,", "),""))</f>
        <v/>
      </c>
      <c r="GO31" s="632" t="str">
        <f ca="1">IF(INDIRECT(CONCATENATE($FK$12,Fixtures!GO$25))="","",IF(INDIRECT(CONCATENATE($FK$12,Fixtures!GO$25))=Fixtures!$DN31,CONCATENATE(GO$10,", "),""))</f>
        <v/>
      </c>
      <c r="GP31" s="632" t="str">
        <f ca="1">IF(INDIRECT(CONCATENATE($FK$12,Fixtures!GP$25))="","",IF(INDIRECT(CONCATENATE($FK$12,Fixtures!GP$25))=Fixtures!$DN31,CONCATENATE(GP$10,", "),""))</f>
        <v/>
      </c>
      <c r="GQ31" s="632" t="str">
        <f ca="1">IF(INDIRECT(CONCATENATE($FK$12,Fixtures!GQ$25))="","",IF(INDIRECT(CONCATENATE($FK$12,Fixtures!GQ$25))=Fixtures!$DN31,CONCATENATE(GQ$10,", "),""))</f>
        <v/>
      </c>
      <c r="GR31" s="632" t="str">
        <f ca="1">IF(INDIRECT(CONCATENATE($FK$12,Fixtures!GR$25))="","",IF(INDIRECT(CONCATENATE($FK$12,Fixtures!GR$25))=Fixtures!$DN31,CONCATENATE(GR$10,", "),""))</f>
        <v/>
      </c>
      <c r="GS31" s="632" t="str">
        <f ca="1">IF(INDIRECT(CONCATENATE($FK$12,Fixtures!GS$25))="","",IF(INDIRECT(CONCATENATE($FK$12,Fixtures!GS$25))=Fixtures!$DN31,CONCATENATE(GS$10,", "),""))</f>
        <v/>
      </c>
      <c r="GT31" s="632" t="str">
        <f ca="1">IF(INDIRECT(CONCATENATE($FK$12,Fixtures!GT$25))="","",IF(INDIRECT(CONCATENATE($FK$12,Fixtures!GT$25))=Fixtures!$DN31,CONCATENATE(GT$10,", "),""))</f>
        <v/>
      </c>
      <c r="GU31" s="632" t="str">
        <f ca="1">IF(INDIRECT(CONCATENATE($FK$12,Fixtures!GU$25))="","",IF(INDIRECT(CONCATENATE($FK$12,Fixtures!GU$25))=Fixtures!$DN31,CONCATENATE(GU$10,", "),""))</f>
        <v/>
      </c>
      <c r="GV31" s="632" t="str">
        <f ca="1">IF(INDIRECT(CONCATENATE($FK$12,Fixtures!GV$25))="","",IF(INDIRECT(CONCATENATE($FK$12,Fixtures!GV$25))=Fixtures!$DN31,CONCATENATE(GV$10,", "),""))</f>
        <v/>
      </c>
      <c r="GW31" s="632" t="str">
        <f ca="1">IF(INDIRECT(CONCATENATE($FK$12,Fixtures!GW$25))="","",IF(INDIRECT(CONCATENATE($FK$12,Fixtures!GW$25))=Fixtures!$DN31,CONCATENATE(GW$10,", "),""))</f>
        <v/>
      </c>
      <c r="GX31" s="606" t="str">
        <f ca="1">IF(INDIRECT(CONCATENATE($FK$12,Fixtures!GX$25))="","",IF(INDIRECT(CONCATENATE($FK$12,Fixtures!GX$25))=Fixtures!$DN31,CONCATENATE(GX$10,", "),""))</f>
        <v/>
      </c>
      <c r="GY31" s="607" t="str">
        <f ca="1">IF(INDIRECT(CONCATENATE($FK$12,Fixtures!GY$25))="","",IF(INDIRECT(CONCATENATE($FK$12,Fixtures!GY$25))=Fixtures!$DN31,CONCATENATE(GY$10,", "),""))</f>
        <v/>
      </c>
      <c r="GZ31" s="632" t="str">
        <f ca="1">IF(INDIRECT(CONCATENATE($FK$12,Fixtures!GZ$25))="","",IF(INDIRECT(CONCATENATE($FK$12,Fixtures!GZ$25))=Fixtures!$DN31,CONCATENATE(GZ$10,", "),""))</f>
        <v/>
      </c>
      <c r="HA31" s="632" t="str">
        <f ca="1">IF(INDIRECT(CONCATENATE($FK$12,Fixtures!HA$25))="","",IF(INDIRECT(CONCATENATE($FK$12,Fixtures!HA$25))=Fixtures!$DN31,CONCATENATE(HA$10,", "),""))</f>
        <v/>
      </c>
      <c r="HB31" s="632" t="str">
        <f ca="1">IF(INDIRECT(CONCATENATE($FK$12,Fixtures!HB$25))="","",IF(INDIRECT(CONCATENATE($FK$12,Fixtures!HB$25))=Fixtures!$DN31,CONCATENATE(HB$10,", "),""))</f>
        <v/>
      </c>
      <c r="HC31" s="632" t="str">
        <f ca="1">IF(INDIRECT(CONCATENATE($FK$12,Fixtures!HC$25))="","",IF(INDIRECT(CONCATENATE($FK$12,Fixtures!HC$25))=Fixtures!$DN31,CONCATENATE(HC$10,", "),""))</f>
        <v/>
      </c>
      <c r="HD31" s="632" t="str">
        <f ca="1">IF(INDIRECT(CONCATENATE($FK$12,Fixtures!HD$25))="","",IF(INDIRECT(CONCATENATE($FK$12,Fixtures!HD$25))=Fixtures!$DN31,CONCATENATE(HD$10,", "),""))</f>
        <v/>
      </c>
      <c r="HE31" s="632" t="str">
        <f ca="1">IF(INDIRECT(CONCATENATE($FK$12,Fixtures!HE$25))="","",IF(INDIRECT(CONCATENATE($FK$12,Fixtures!HE$25))=Fixtures!$DN31,CONCATENATE(HE$10,", "),""))</f>
        <v/>
      </c>
      <c r="HF31" s="632" t="str">
        <f ca="1">IF(INDIRECT(CONCATENATE($FK$12,Fixtures!HF$25))="","",IF(INDIRECT(CONCATENATE($FK$12,Fixtures!HF$25))=Fixtures!$DN31,CONCATENATE(HF$10,", "),""))</f>
        <v/>
      </c>
      <c r="HG31" s="632" t="str">
        <f ca="1">IF(INDIRECT(CONCATENATE($FK$12,Fixtures!HG$25))="","",IF(INDIRECT(CONCATENATE($FK$12,Fixtures!HG$25))=Fixtures!$DN31,CONCATENATE(HG$10,", "),""))</f>
        <v/>
      </c>
      <c r="HH31" s="632" t="str">
        <f ca="1">IF(INDIRECT(CONCATENATE($FK$12,Fixtures!HH$25))="","",IF(INDIRECT(CONCATENATE($FK$12,Fixtures!HH$25))=Fixtures!$DN31,CONCATENATE(HH$10,", "),""))</f>
        <v/>
      </c>
      <c r="HI31" s="632" t="str">
        <f ca="1">IF(INDIRECT(CONCATENATE($FK$12,Fixtures!HI$25))="","",IF(INDIRECT(CONCATENATE($FK$12,Fixtures!HI$25))=Fixtures!$DN31,CONCATENATE(HI$10,", "),""))</f>
        <v/>
      </c>
      <c r="HJ31" s="632" t="str">
        <f ca="1">IF(INDIRECT(CONCATENATE($FK$12,Fixtures!HJ$25))="","",IF(INDIRECT(CONCATENATE($FK$12,Fixtures!HJ$25))=Fixtures!$DN31,CONCATENATE(HJ$10,", "),""))</f>
        <v/>
      </c>
      <c r="HK31" s="632" t="str">
        <f ca="1">IF(INDIRECT(CONCATENATE($FK$12,Fixtures!HK$25))="","",IF(INDIRECT(CONCATENATE($FK$12,Fixtures!HK$25))=Fixtures!$DN31,CONCATENATE(HK$10,", "),""))</f>
        <v/>
      </c>
      <c r="HL31" s="632" t="str">
        <f ca="1">IF(INDIRECT(CONCATENATE($FK$12,Fixtures!HL$25))="","",IF(INDIRECT(CONCATENATE($FK$12,Fixtures!HL$25))=Fixtures!$DN31,CONCATENATE(HL$10,", "),""))</f>
        <v/>
      </c>
      <c r="HM31" s="606" t="str">
        <f ca="1">IF(INDIRECT(CONCATENATE($FK$12,Fixtures!HM$25))="","",IF(INDIRECT(CONCATENATE($FK$12,Fixtures!HM$25))=Fixtures!$DN31,CONCATENATE(HM$10,", "),""))</f>
        <v/>
      </c>
      <c r="HN31" s="607" t="str">
        <f ca="1">IF(INDIRECT(CONCATENATE($FK$12,Fixtures!HN$25))="","",IF(INDIRECT(CONCATENATE($FK$12,Fixtures!HN$25))=Fixtures!$DN31,CONCATENATE(HN$10,", "),""))</f>
        <v/>
      </c>
      <c r="HO31" s="632" t="str">
        <f ca="1">IF(INDIRECT(CONCATENATE($FK$12,Fixtures!HO$25))="","",IF(INDIRECT(CONCATENATE($FK$12,Fixtures!HO$25))=Fixtures!$DN31,CONCATENATE(HO$10,", "),""))</f>
        <v/>
      </c>
      <c r="HP31" s="632" t="str">
        <f ca="1">IF(INDIRECT(CONCATENATE($FK$12,Fixtures!HP$25))="","",IF(INDIRECT(CONCATENATE($FK$12,Fixtures!HP$25))=Fixtures!$DN31,CONCATENATE(HP$10,", "),""))</f>
        <v/>
      </c>
      <c r="HQ31" s="632" t="str">
        <f ca="1">IF(INDIRECT(CONCATENATE($FK$12,Fixtures!HQ$25))="","",IF(INDIRECT(CONCATENATE($FK$12,Fixtures!HQ$25))=Fixtures!$DN31,CONCATENATE(HQ$10,", "),""))</f>
        <v/>
      </c>
      <c r="HR31" s="632" t="str">
        <f ca="1">IF(INDIRECT(CONCATENATE($FK$12,Fixtures!HR$25))="","",IF(INDIRECT(CONCATENATE($FK$12,Fixtures!HR$25))=Fixtures!$DN31,CONCATENATE(HR$10,", "),""))</f>
        <v/>
      </c>
      <c r="HS31" s="632" t="str">
        <f ca="1">IF(INDIRECT(CONCATENATE($FK$12,Fixtures!HS$25))="","",IF(INDIRECT(CONCATENATE($FK$12,Fixtures!HS$25))=Fixtures!$DN31,CONCATENATE(HS$10,", "),""))</f>
        <v/>
      </c>
      <c r="HT31" s="632" t="str">
        <f ca="1">IF(INDIRECT(CONCATENATE($FK$12,Fixtures!HT$25))="","",IF(INDIRECT(CONCATENATE($FK$12,Fixtures!HT$25))=Fixtures!$DN31,CONCATENATE(HT$10,", "),""))</f>
        <v/>
      </c>
      <c r="HU31" s="632" t="str">
        <f ca="1">IF(INDIRECT(CONCATENATE($FK$12,Fixtures!HU$25))="","",IF(INDIRECT(CONCATENATE($FK$12,Fixtures!HU$25))=Fixtures!$DN31,CONCATENATE(HU$10,", "),""))</f>
        <v/>
      </c>
      <c r="HV31" s="632" t="str">
        <f ca="1">IF(INDIRECT(CONCATENATE($FK$12,Fixtures!HV$25))="","",IF(INDIRECT(CONCATENATE($FK$12,Fixtures!HV$25))=Fixtures!$DN31,CONCATENATE(HV$10,", "),""))</f>
        <v/>
      </c>
      <c r="HW31" s="632" t="str">
        <f ca="1">IF(INDIRECT(CONCATENATE($FK$12,Fixtures!HW$25))="","",IF(INDIRECT(CONCATENATE($FK$12,Fixtures!HW$25))=Fixtures!$DN31,CONCATENATE(HW$10,", "),""))</f>
        <v/>
      </c>
      <c r="HX31" s="632" t="str">
        <f ca="1">IF(INDIRECT(CONCATENATE($FK$12,Fixtures!HX$25))="","",IF(INDIRECT(CONCATENATE($FK$12,Fixtures!HX$25))=Fixtures!$DN31,CONCATENATE(HX$10,", "),""))</f>
        <v/>
      </c>
      <c r="HY31" s="632" t="str">
        <f ca="1">IF(INDIRECT(CONCATENATE($FK$12,Fixtures!HY$25))="","",IF(INDIRECT(CONCATENATE($FK$12,Fixtures!HY$25))=Fixtures!$DN31,CONCATENATE(HY$10,", "),""))</f>
        <v/>
      </c>
      <c r="HZ31" s="632" t="str">
        <f ca="1">IF(INDIRECT(CONCATENATE($FK$12,Fixtures!HZ$25))="","",IF(INDIRECT(CONCATENATE($FK$12,Fixtures!HZ$25))=Fixtures!$DN31,CONCATENATE(HZ$10,", "),""))</f>
        <v/>
      </c>
      <c r="IA31" s="632" t="str">
        <f ca="1">IF(INDIRECT(CONCATENATE($FK$12,Fixtures!IA$25))="","",IF(INDIRECT(CONCATENATE($FK$12,Fixtures!IA$25))=Fixtures!$DN31,CONCATENATE(IA$10,", "),""))</f>
        <v/>
      </c>
      <c r="IB31" s="606" t="str">
        <f ca="1">IF(INDIRECT(CONCATENATE($FK$12,Fixtures!IB$25))="","",IF(INDIRECT(CONCATENATE($FK$12,Fixtures!IB$25))=Fixtures!$DN31,CONCATENATE(IB$10,", "),""))</f>
        <v/>
      </c>
      <c r="IC31" s="607" t="str">
        <f ca="1">IF(INDIRECT(CONCATENATE($FK$12,Fixtures!IC$25))="","",IF(INDIRECT(CONCATENATE($FK$12,Fixtures!IC$25))=Fixtures!$DN31,CONCATENATE(IC$10,", "),""))</f>
        <v/>
      </c>
      <c r="ID31" s="632" t="str">
        <f ca="1">IF(INDIRECT(CONCATENATE($FK$12,Fixtures!ID$25))="","",IF(INDIRECT(CONCATENATE($FK$12,Fixtures!ID$25))=Fixtures!$DN31,CONCATENATE(ID$10,", "),""))</f>
        <v/>
      </c>
      <c r="IE31" s="632" t="str">
        <f ca="1">IF(INDIRECT(CONCATENATE($FK$12,Fixtures!IE$25))="","",IF(INDIRECT(CONCATENATE($FK$12,Fixtures!IE$25))=Fixtures!$DN31,CONCATENATE(IE$10,", "),""))</f>
        <v/>
      </c>
      <c r="IF31" s="632" t="str">
        <f ca="1">IF(INDIRECT(CONCATENATE($FK$12,Fixtures!IF$25))="","",IF(INDIRECT(CONCATENATE($FK$12,Fixtures!IF$25))=Fixtures!$DN31,CONCATENATE(IF$10,", "),""))</f>
        <v/>
      </c>
      <c r="IG31" s="632" t="str">
        <f ca="1">IF(INDIRECT(CONCATENATE($FK$12,Fixtures!IG$25))="","",IF(INDIRECT(CONCATENATE($FK$12,Fixtures!IG$25))=Fixtures!$DN31,CONCATENATE(IG$10,", "),""))</f>
        <v/>
      </c>
      <c r="IH31" s="632" t="str">
        <f ca="1">IF(INDIRECT(CONCATENATE($FK$12,Fixtures!IH$25))="","",IF(INDIRECT(CONCATENATE($FK$12,Fixtures!IH$25))=Fixtures!$DN31,CONCATENATE(IH$10,", "),""))</f>
        <v/>
      </c>
      <c r="II31" s="632" t="str">
        <f ca="1">IF(INDIRECT(CONCATENATE($FK$12,Fixtures!II$25))="","",IF(INDIRECT(CONCATENATE($FK$12,Fixtures!II$25))=Fixtures!$DN31,CONCATENATE(II$10,", "),""))</f>
        <v/>
      </c>
      <c r="IJ31" s="632" t="str">
        <f ca="1">IF(INDIRECT(CONCATENATE($FK$12,Fixtures!IJ$25))="","",IF(INDIRECT(CONCATENATE($FK$12,Fixtures!IJ$25))=Fixtures!$DN31,CONCATENATE(IJ$10,", "),""))</f>
        <v/>
      </c>
      <c r="IK31" s="632" t="str">
        <f ca="1">IF(INDIRECT(CONCATENATE($FK$12,Fixtures!IK$25))="","",IF(INDIRECT(CONCATENATE($FK$12,Fixtures!IK$25))=Fixtures!$DN31,CONCATENATE(IK$10,", "),""))</f>
        <v/>
      </c>
      <c r="IL31" s="632" t="str">
        <f ca="1">IF(INDIRECT(CONCATENATE($FK$12,Fixtures!IL$25))="","",IF(INDIRECT(CONCATENATE($FK$12,Fixtures!IL$25))=Fixtures!$DN31,CONCATENATE(IL$10,", "),""))</f>
        <v/>
      </c>
      <c r="IM31" s="632" t="str">
        <f ca="1">IF(INDIRECT(CONCATENATE($FK$12,Fixtures!IM$25))="","",IF(INDIRECT(CONCATENATE($FK$12,Fixtures!IM$25))=Fixtures!$DN31,CONCATENATE(IM$10,", "),""))</f>
        <v/>
      </c>
      <c r="IN31" s="632" t="str">
        <f ca="1">IF(INDIRECT(CONCATENATE($FK$12,Fixtures!IN$25))="","",IF(INDIRECT(CONCATENATE($FK$12,Fixtures!IN$25))=Fixtures!$DN31,CONCATENATE(IN$10,", "),""))</f>
        <v/>
      </c>
      <c r="IO31" s="632" t="str">
        <f ca="1">IF(INDIRECT(CONCATENATE($FK$12,Fixtures!IO$25))="","",IF(INDIRECT(CONCATENATE($FK$12,Fixtures!IO$25))=Fixtures!$DN31,CONCATENATE(IO$10,", "),""))</f>
        <v/>
      </c>
      <c r="IP31" s="632" t="str">
        <f ca="1">IF(INDIRECT(CONCATENATE($FK$12,Fixtures!IP$25))="","",IF(INDIRECT(CONCATENATE($FK$12,Fixtures!IP$25))=Fixtures!$DN31,CONCATENATE(IP$10,", "),""))</f>
        <v/>
      </c>
      <c r="IQ31" s="606" t="str">
        <f ca="1">IF(INDIRECT(CONCATENATE($FK$12,Fixtures!IQ$25))="","",IF(INDIRECT(CONCATENATE($FK$12,Fixtures!IQ$25))=Fixtures!$DN31,CONCATENATE(IQ$10,", "),""))</f>
        <v/>
      </c>
      <c r="IR31" s="607" t="str">
        <f ca="1">IF(INDIRECT(CONCATENATE($FK$12,Fixtures!IR$25))="","",IF(INDIRECT(CONCATENATE($FK$12,Fixtures!IR$25))=Fixtures!$DN31,CONCATENATE(IR$10,", "),""))</f>
        <v/>
      </c>
      <c r="IS31" s="632" t="str">
        <f ca="1">IF(INDIRECT(CONCATENATE($FK$12,Fixtures!IS$25))="","",IF(INDIRECT(CONCATENATE($FK$12,Fixtures!IS$25))=Fixtures!$DN31,CONCATENATE(IS$10,", "),""))</f>
        <v/>
      </c>
      <c r="IT31" s="632" t="str">
        <f ca="1">IF(INDIRECT(CONCATENATE($FK$12,Fixtures!IT$25))="","",IF(INDIRECT(CONCATENATE($FK$12,Fixtures!IT$25))=Fixtures!$DN31,CONCATENATE(IT$10,", "),""))</f>
        <v/>
      </c>
      <c r="IU31" s="632" t="str">
        <f ca="1">IF(INDIRECT(CONCATENATE($FK$12,Fixtures!IU$25))="","",IF(INDIRECT(CONCATENATE($FK$12,Fixtures!IU$25))=Fixtures!$DN31,CONCATENATE(IU$10,", "),""))</f>
        <v/>
      </c>
      <c r="IV31" s="632" t="str">
        <f ca="1">IF(INDIRECT(CONCATENATE($FK$12,Fixtures!IV$25))="","",IF(INDIRECT(CONCATENATE($FK$12,Fixtures!IV$25))=Fixtures!$DN31,CONCATENATE(IV$10,", "),""))</f>
        <v/>
      </c>
      <c r="IW31" s="632" t="str">
        <f ca="1">IF(INDIRECT(CONCATENATE($FK$12,Fixtures!IW$25))="","",IF(INDIRECT(CONCATENATE($FK$12,Fixtures!IW$25))=Fixtures!$DN31,CONCATENATE(IW$10,", "),""))</f>
        <v/>
      </c>
      <c r="IX31" s="632" t="str">
        <f ca="1">IF(INDIRECT(CONCATENATE($FK$12,Fixtures!IX$25))="","",IF(INDIRECT(CONCATENATE($FK$12,Fixtures!IX$25))=Fixtures!$DN31,CONCATENATE(IX$10,", "),""))</f>
        <v/>
      </c>
      <c r="IY31" s="632" t="str">
        <f ca="1">IF(INDIRECT(CONCATENATE($FK$12,Fixtures!IY$25))="","",IF(INDIRECT(CONCATENATE($FK$12,Fixtures!IY$25))=Fixtures!$DN31,CONCATENATE(IY$10,", "),""))</f>
        <v/>
      </c>
      <c r="IZ31" s="632" t="str">
        <f ca="1">IF(INDIRECT(CONCATENATE($FK$12,Fixtures!IZ$25))="","",IF(INDIRECT(CONCATENATE($FK$12,Fixtures!IZ$25))=Fixtures!$DN31,CONCATENATE(IZ$10,", "),""))</f>
        <v/>
      </c>
      <c r="JA31" s="632" t="str">
        <f ca="1">IF(INDIRECT(CONCATENATE($FK$12,Fixtures!JA$25))="","",IF(INDIRECT(CONCATENATE($FK$12,Fixtures!JA$25))=Fixtures!$DN31,CONCATENATE(JA$10,", "),""))</f>
        <v/>
      </c>
      <c r="JB31" s="632" t="str">
        <f ca="1">IF(INDIRECT(CONCATENATE($FK$12,Fixtures!JB$25))="","",IF(INDIRECT(CONCATENATE($FK$12,Fixtures!JB$25))=Fixtures!$DN31,CONCATENATE(JB$10,", "),""))</f>
        <v/>
      </c>
      <c r="JC31" s="632" t="str">
        <f ca="1">IF(INDIRECT(CONCATENATE($FK$12,Fixtures!JC$25))="","",IF(INDIRECT(CONCATENATE($FK$12,Fixtures!JC$25))=Fixtures!$DN31,CONCATENATE(JC$10,", "),""))</f>
        <v/>
      </c>
      <c r="JD31" s="632" t="str">
        <f ca="1">IF(INDIRECT(CONCATENATE($FK$12,Fixtures!JD$25))="","",IF(INDIRECT(CONCATENATE($FK$12,Fixtures!JD$25))=Fixtures!$DN31,CONCATENATE(JD$10,", "),""))</f>
        <v/>
      </c>
      <c r="JE31" s="632" t="str">
        <f ca="1">IF(INDIRECT(CONCATENATE($FK$12,Fixtures!JE$25))="","",IF(INDIRECT(CONCATENATE($FK$12,Fixtures!JE$25))=Fixtures!$DN31,CONCATENATE(JE$10,", "),""))</f>
        <v/>
      </c>
      <c r="JF31" s="606" t="str">
        <f ca="1">IF(INDIRECT(CONCATENATE($FK$12,Fixtures!JF$25))="","",IF(INDIRECT(CONCATENATE($FK$12,Fixtures!JF$25))=Fixtures!$DN31,CONCATENATE(JF$10,", "),""))</f>
        <v/>
      </c>
      <c r="JG31" s="607" t="str">
        <f ca="1">IF(INDIRECT(CONCATENATE($FK$12,Fixtures!JG$25))="","",IF(INDIRECT(CONCATENATE($FK$12,Fixtures!JG$25))=Fixtures!$DN31,CONCATENATE(JG$10,", "),""))</f>
        <v/>
      </c>
      <c r="JH31" s="632" t="str">
        <f ca="1">IF(INDIRECT(CONCATENATE($FK$12,Fixtures!JH$25))="","",IF(INDIRECT(CONCATENATE($FK$12,Fixtures!JH$25))=Fixtures!$DN31,CONCATENATE(JH$10,", "),""))</f>
        <v/>
      </c>
      <c r="JI31" s="632" t="str">
        <f ca="1">IF(INDIRECT(CONCATENATE($FK$12,Fixtures!JI$25))="","",IF(INDIRECT(CONCATENATE($FK$12,Fixtures!JI$25))=Fixtures!$DN31,CONCATENATE(JI$10,", "),""))</f>
        <v/>
      </c>
      <c r="JJ31" s="632" t="str">
        <f ca="1">IF(INDIRECT(CONCATENATE($FK$12,Fixtures!JJ$25))="","",IF(INDIRECT(CONCATENATE($FK$12,Fixtures!JJ$25))=Fixtures!$DN31,CONCATENATE(JJ$10,", "),""))</f>
        <v/>
      </c>
      <c r="JK31" s="632" t="str">
        <f ca="1">IF(INDIRECT(CONCATENATE($FK$12,Fixtures!JK$25))="","",IF(INDIRECT(CONCATENATE($FK$12,Fixtures!JK$25))=Fixtures!$DN31,CONCATENATE(JK$10,", "),""))</f>
        <v/>
      </c>
      <c r="JL31" s="632" t="str">
        <f ca="1">IF(INDIRECT(CONCATENATE($FK$12,Fixtures!JL$25))="","",IF(INDIRECT(CONCATENATE($FK$12,Fixtures!JL$25))=Fixtures!$DN31,CONCATENATE(JL$10,", "),""))</f>
        <v/>
      </c>
      <c r="JM31" s="632" t="str">
        <f ca="1">IF(INDIRECT(CONCATENATE($FK$12,Fixtures!JM$25))="","",IF(INDIRECT(CONCATENATE($FK$12,Fixtures!JM$25))=Fixtures!$DN31,CONCATENATE(JM$10,", "),""))</f>
        <v/>
      </c>
      <c r="JN31" s="632" t="str">
        <f ca="1">IF(INDIRECT(CONCATENATE($FK$12,Fixtures!JN$25))="","",IF(INDIRECT(CONCATENATE($FK$12,Fixtures!JN$25))=Fixtures!$DN31,CONCATENATE(JN$10,", "),""))</f>
        <v/>
      </c>
      <c r="JO31" s="632" t="str">
        <f ca="1">IF(INDIRECT(CONCATENATE($FK$12,Fixtures!JO$25))="","",IF(INDIRECT(CONCATENATE($FK$12,Fixtures!JO$25))=Fixtures!$DN31,CONCATENATE(JO$10,", "),""))</f>
        <v/>
      </c>
      <c r="JP31" s="632" t="str">
        <f ca="1">IF(INDIRECT(CONCATENATE($FK$12,Fixtures!JP$25))="","",IF(INDIRECT(CONCATENATE($FK$12,Fixtures!JP$25))=Fixtures!$DN31,CONCATENATE(JP$10,", "),""))</f>
        <v/>
      </c>
      <c r="JQ31" s="632" t="str">
        <f ca="1">IF(INDIRECT(CONCATENATE($FK$12,Fixtures!JQ$25))="","",IF(INDIRECT(CONCATENATE($FK$12,Fixtures!JQ$25))=Fixtures!$DN31,CONCATENATE(JQ$10,", "),""))</f>
        <v/>
      </c>
      <c r="JR31" s="632" t="str">
        <f ca="1">IF(INDIRECT(CONCATENATE($FK$12,Fixtures!JR$25))="","",IF(INDIRECT(CONCATENATE($FK$12,Fixtures!JR$25))=Fixtures!$DN31,CONCATENATE(JR$10,", "),""))</f>
        <v/>
      </c>
      <c r="JS31" s="632" t="str">
        <f ca="1">IF(INDIRECT(CONCATENATE($FK$12,Fixtures!JS$25))="","",IF(INDIRECT(CONCATENATE($FK$12,Fixtures!JS$25))=Fixtures!$DN31,CONCATENATE(JS$10,", "),""))</f>
        <v/>
      </c>
      <c r="JT31" s="632" t="str">
        <f ca="1">IF(INDIRECT(CONCATENATE($FK$12,Fixtures!JT$25))="","",IF(INDIRECT(CONCATENATE($FK$12,Fixtures!JT$25))=Fixtures!$DN31,CONCATENATE(JT$10,", "),""))</f>
        <v/>
      </c>
      <c r="JU31" s="606" t="str">
        <f ca="1">IF(INDIRECT(CONCATENATE($FK$12,Fixtures!JU$25))="","",IF(INDIRECT(CONCATENATE($FK$12,Fixtures!JU$25))=Fixtures!$DN31,CONCATENATE(JU$10,", "),""))</f>
        <v/>
      </c>
      <c r="JV31" s="607" t="str">
        <f ca="1">IF(INDIRECT(CONCATENATE($FK$12,Fixtures!JV$25))="","",IF(INDIRECT(CONCATENATE($FK$12,Fixtures!JV$25))=Fixtures!$DN31,CONCATENATE(JV$10,", "),""))</f>
        <v/>
      </c>
      <c r="JW31" s="632" t="str">
        <f ca="1">IF(INDIRECT(CONCATENATE($FK$12,Fixtures!JW$25))="","",IF(INDIRECT(CONCATENATE($FK$12,Fixtures!JW$25))=Fixtures!$DN31,CONCATENATE(JW$10,", "),""))</f>
        <v/>
      </c>
      <c r="JX31" s="632" t="str">
        <f ca="1">IF(INDIRECT(CONCATENATE($FK$12,Fixtures!JX$25))="","",IF(INDIRECT(CONCATENATE($FK$12,Fixtures!JX$25))=Fixtures!$DN31,CONCATENATE(JX$10,", "),""))</f>
        <v/>
      </c>
      <c r="JY31" s="632" t="str">
        <f ca="1">IF(INDIRECT(CONCATENATE($FK$12,Fixtures!JY$25))="","",IF(INDIRECT(CONCATENATE($FK$12,Fixtures!JY$25))=Fixtures!$DN31,CONCATENATE(JY$10,", "),""))</f>
        <v/>
      </c>
      <c r="JZ31" s="632" t="str">
        <f ca="1">IF(INDIRECT(CONCATENATE($FK$12,Fixtures!JZ$25))="","",IF(INDIRECT(CONCATENATE($FK$12,Fixtures!JZ$25))=Fixtures!$DN31,CONCATENATE(JZ$10,", "),""))</f>
        <v/>
      </c>
      <c r="KA31" s="632" t="str">
        <f ca="1">IF(INDIRECT(CONCATENATE($FK$12,Fixtures!KA$25))="","",IF(INDIRECT(CONCATENATE($FK$12,Fixtures!KA$25))=Fixtures!$DN31,CONCATENATE(KA$10,", "),""))</f>
        <v/>
      </c>
      <c r="KB31" s="632" t="str">
        <f ca="1">IF(INDIRECT(CONCATENATE($FK$12,Fixtures!KB$25))="","",IF(INDIRECT(CONCATENATE($FK$12,Fixtures!KB$25))=Fixtures!$DN31,CONCATENATE(KB$10,", "),""))</f>
        <v/>
      </c>
      <c r="KC31" s="632" t="str">
        <f ca="1">IF(INDIRECT(CONCATENATE($FK$12,Fixtures!KC$25))="","",IF(INDIRECT(CONCATENATE($FK$12,Fixtures!KC$25))=Fixtures!$DN31,CONCATENATE(KC$10,", "),""))</f>
        <v/>
      </c>
      <c r="KD31" s="632" t="str">
        <f ca="1">IF(INDIRECT(CONCATENATE($FK$12,Fixtures!KD$25))="","",IF(INDIRECT(CONCATENATE($FK$12,Fixtures!KD$25))=Fixtures!$DN31,CONCATENATE(KD$10,", "),""))</f>
        <v/>
      </c>
      <c r="KE31" s="632" t="str">
        <f ca="1">IF(INDIRECT(CONCATENATE($FK$12,Fixtures!KE$25))="","",IF(INDIRECT(CONCATENATE($FK$12,Fixtures!KE$25))=Fixtures!$DN31,CONCATENATE(KE$10,", "),""))</f>
        <v/>
      </c>
      <c r="KF31" s="632" t="str">
        <f ca="1">IF(INDIRECT(CONCATENATE($FK$12,Fixtures!KF$25))="","",IF(INDIRECT(CONCATENATE($FK$12,Fixtures!KF$25))=Fixtures!$DN31,CONCATENATE(KF$10,", "),""))</f>
        <v/>
      </c>
      <c r="KG31" s="632" t="str">
        <f ca="1">IF(INDIRECT(CONCATENATE($FK$12,Fixtures!KG$25))="","",IF(INDIRECT(CONCATENATE($FK$12,Fixtures!KG$25))=Fixtures!$DN31,CONCATENATE(KG$10,", "),""))</f>
        <v/>
      </c>
      <c r="KH31" s="632" t="str">
        <f ca="1">IF(INDIRECT(CONCATENATE($FK$12,Fixtures!KH$25))="","",IF(INDIRECT(CONCATENATE($FK$12,Fixtures!KH$25))=Fixtures!$DN31,CONCATENATE(KH$10,", "),""))</f>
        <v/>
      </c>
      <c r="KI31" s="632" t="str">
        <f ca="1">IF(INDIRECT(CONCATENATE($FK$12,Fixtures!KI$25))="","",IF(INDIRECT(CONCATENATE($FK$12,Fixtures!KI$25))=Fixtures!$DN31,CONCATENATE(KI$10,", "),""))</f>
        <v/>
      </c>
      <c r="KJ31" s="606" t="str">
        <f ca="1">IF(INDIRECT(CONCATENATE($FK$12,Fixtures!KJ$25))="","",IF(INDIRECT(CONCATENATE($FK$12,Fixtures!KJ$25))=Fixtures!$DN31,CONCATENATE(KJ$10,", "),""))</f>
        <v/>
      </c>
      <c r="KK31" s="607" t="str">
        <f ca="1">IF(INDIRECT(CONCATENATE($FK$12,Fixtures!KK$25))="","",IF(INDIRECT(CONCATENATE($FK$12,Fixtures!KK$25))=Fixtures!$DN31,CONCATENATE(KK$10,", "),""))</f>
        <v/>
      </c>
      <c r="KL31" s="632" t="str">
        <f ca="1">IF(INDIRECT(CONCATENATE($FK$12,Fixtures!KL$25))="","",IF(INDIRECT(CONCATENATE($FK$12,Fixtures!KL$25))=Fixtures!$DN31,CONCATENATE(KL$10,", "),""))</f>
        <v/>
      </c>
      <c r="KM31" s="632" t="str">
        <f ca="1">IF(INDIRECT(CONCATENATE($FK$12,Fixtures!KM$25))="","",IF(INDIRECT(CONCATENATE($FK$12,Fixtures!KM$25))=Fixtures!$DN31,CONCATENATE(KM$10,", "),""))</f>
        <v/>
      </c>
      <c r="KN31" s="632" t="str">
        <f ca="1">IF(INDIRECT(CONCATENATE($FK$12,Fixtures!KN$25))="","",IF(INDIRECT(CONCATENATE($FK$12,Fixtures!KN$25))=Fixtures!$DN31,CONCATENATE(KN$10,", "),""))</f>
        <v/>
      </c>
      <c r="KO31" s="632" t="str">
        <f ca="1">IF(INDIRECT(CONCATENATE($FK$12,Fixtures!KO$25))="","",IF(INDIRECT(CONCATENATE($FK$12,Fixtures!KO$25))=Fixtures!$DN31,CONCATENATE(KO$10,", "),""))</f>
        <v/>
      </c>
      <c r="KP31" s="632" t="str">
        <f ca="1">IF(INDIRECT(CONCATENATE($FK$12,Fixtures!KP$25))="","",IF(INDIRECT(CONCATENATE($FK$12,Fixtures!KP$25))=Fixtures!$DN31,CONCATENATE(KP$10,", "),""))</f>
        <v/>
      </c>
      <c r="KQ31" s="632" t="str">
        <f ca="1">IF(INDIRECT(CONCATENATE($FK$12,Fixtures!KQ$25))="","",IF(INDIRECT(CONCATENATE($FK$12,Fixtures!KQ$25))=Fixtures!$DN31,CONCATENATE(KQ$10,", "),""))</f>
        <v/>
      </c>
      <c r="KR31" s="632" t="str">
        <f ca="1">IF(INDIRECT(CONCATENATE($FK$12,Fixtures!KR$25))="","",IF(INDIRECT(CONCATENATE($FK$12,Fixtures!KR$25))=Fixtures!$DN31,CONCATENATE(KR$10,", "),""))</f>
        <v/>
      </c>
      <c r="KS31" s="632" t="str">
        <f ca="1">IF(INDIRECT(CONCATENATE($FK$12,Fixtures!KS$25))="","",IF(INDIRECT(CONCATENATE($FK$12,Fixtures!KS$25))=Fixtures!$DN31,CONCATENATE(KS$10,", "),""))</f>
        <v/>
      </c>
      <c r="KT31" s="632" t="str">
        <f ca="1">IF(INDIRECT(CONCATENATE($FK$12,Fixtures!KT$25))="","",IF(INDIRECT(CONCATENATE($FK$12,Fixtures!KT$25))=Fixtures!$DN31,CONCATENATE(KT$10,", "),""))</f>
        <v/>
      </c>
      <c r="KU31" s="632" t="str">
        <f ca="1">IF(INDIRECT(CONCATENATE($FK$12,Fixtures!KU$25))="","",IF(INDIRECT(CONCATENATE($FK$12,Fixtures!KU$25))=Fixtures!$DN31,CONCATENATE(KU$10,", "),""))</f>
        <v/>
      </c>
      <c r="KV31" s="632" t="str">
        <f ca="1">IF(INDIRECT(CONCATENATE($FK$12,Fixtures!KV$25))="","",IF(INDIRECT(CONCATENATE($FK$12,Fixtures!KV$25))=Fixtures!$DN31,CONCATENATE(KV$10,", "),""))</f>
        <v/>
      </c>
      <c r="KW31" s="632" t="str">
        <f ca="1">IF(INDIRECT(CONCATENATE($FK$12,Fixtures!KW$25))="","",IF(INDIRECT(CONCATENATE($FK$12,Fixtures!KW$25))=Fixtures!$DN31,CONCATENATE(KW$10,", "),""))</f>
        <v/>
      </c>
      <c r="KX31" s="632" t="str">
        <f ca="1">IF(INDIRECT(CONCATENATE($FK$12,Fixtures!KX$25))="","",IF(INDIRECT(CONCATENATE($FK$12,Fixtures!KX$25))=Fixtures!$DN31,CONCATENATE(KX$10,", "),""))</f>
        <v/>
      </c>
      <c r="KY31" s="632"/>
      <c r="KZ31" s="46"/>
      <c r="LA31" s="46" t="str">
        <f t="shared" ca="1" si="7"/>
        <v/>
      </c>
      <c r="LB31" s="46"/>
      <c r="LC31" s="1010"/>
      <c r="LD31" s="1009" t="str">
        <f t="shared" ref="LD31:LD75" si="20">IFERROR((LC31/EF31)/ER31,"")</f>
        <v/>
      </c>
    </row>
    <row r="32" spans="1:316" ht="28.2" customHeight="1" thickTop="1" thickBot="1">
      <c r="A32" s="426" t="str">
        <f t="shared" si="13"/>
        <v/>
      </c>
      <c r="C32" s="1640" t="str">
        <f t="shared" si="14"/>
        <v/>
      </c>
      <c r="D32" s="1641"/>
      <c r="E32" s="1568" t="str">
        <f t="shared" si="15"/>
        <v/>
      </c>
      <c r="F32" s="1569"/>
      <c r="G32" s="1569"/>
      <c r="H32" s="1569"/>
      <c r="I32" s="1569"/>
      <c r="J32" s="1569"/>
      <c r="K32" s="1569"/>
      <c r="L32" s="1569"/>
      <c r="M32" s="1642"/>
      <c r="N32" s="203" t="str">
        <f t="shared" si="16"/>
        <v/>
      </c>
      <c r="P32" s="1638" t="str">
        <f>EI94</f>
        <v/>
      </c>
      <c r="Q32" s="1639"/>
      <c r="R32" s="1568" t="str">
        <f t="shared" si="17"/>
        <v/>
      </c>
      <c r="S32" s="1569"/>
      <c r="T32" s="1569"/>
      <c r="U32" s="1569"/>
      <c r="V32" s="1569"/>
      <c r="W32" s="1569"/>
      <c r="X32" s="1569"/>
      <c r="Y32" s="203" t="str">
        <f>EF94</f>
        <v/>
      </c>
      <c r="Z32" s="203" t="str">
        <f>EH94</f>
        <v/>
      </c>
      <c r="AA32" s="394" t="str">
        <f>EG94</f>
        <v/>
      </c>
      <c r="AB32" s="489"/>
      <c r="AC32" s="1564" t="str">
        <f t="shared" si="18"/>
        <v/>
      </c>
      <c r="AD32" s="1565"/>
      <c r="AE32" s="1565"/>
      <c r="AF32" s="1565"/>
      <c r="AG32" s="1565"/>
      <c r="AH32" s="1565"/>
      <c r="AK32">
        <f>SUMIFS(Installations!CV$46:CV$803,Installations!CW$46:CW$803,E32,Installations!IC$46:IC$803,TRUE)</f>
        <v>0</v>
      </c>
      <c r="AL32">
        <f>SUMIFS(Installations!CV$46:CV$803,Installations!CW$46:CW$803,R32,Installations!IC$46:IC$803,TRUE)</f>
        <v>0</v>
      </c>
      <c r="BL32" s="9"/>
      <c r="BM32" s="622" t="str">
        <f t="shared" si="19"/>
        <v/>
      </c>
      <c r="BN32" s="52"/>
      <c r="BO32" s="52"/>
      <c r="BP32" s="52"/>
      <c r="BQ32" s="52"/>
      <c r="BR32" s="52"/>
      <c r="BS32" s="52"/>
      <c r="BT32" s="52"/>
      <c r="BU32" s="373"/>
      <c r="BV32" s="219" t="str">
        <f>IF(CN32&lt;&gt;"Yes","",IFERROR(VLOOKUP(CU32,Existing!A$4:F$367,2,FALSE),""))</f>
        <v/>
      </c>
      <c r="BW32" s="9">
        <v>6</v>
      </c>
      <c r="BX32" s="1625"/>
      <c r="BY32" s="1626"/>
      <c r="BZ32" s="1626"/>
      <c r="CA32" s="1627"/>
      <c r="CB32" s="1622"/>
      <c r="CC32" s="1623"/>
      <c r="CD32" s="1623"/>
      <c r="CE32" s="1624"/>
      <c r="CF32" s="1621"/>
      <c r="CG32" s="1621"/>
      <c r="CH32" s="1621"/>
      <c r="CI32" s="1621"/>
      <c r="CJ32" s="1621"/>
      <c r="CK32" s="1621"/>
      <c r="CL32" s="1621"/>
      <c r="CM32" s="1621"/>
      <c r="CN32" s="1553" t="str">
        <f t="shared" si="0"/>
        <v/>
      </c>
      <c r="CO32" s="1554"/>
      <c r="CP32" s="229" t="str">
        <f>IFERROR(IF(CB32="Existing TLED",CR32*CW32*CY32,VLOOKUP(CU32,Existing!A$3:F$356,6,FALSE)),"")</f>
        <v/>
      </c>
      <c r="CQ32" s="9"/>
      <c r="CR32" s="1660"/>
      <c r="CS32" s="1661"/>
      <c r="CT32" s="9"/>
      <c r="CU32" s="425" t="str">
        <f t="shared" ref="CU32:CU76" si="21">IF(CN32="","",IF(CB32="Existing TLED",CONCATENATE(CB32," - ",CF32),CONCATENATE(CB32," - ",CF32," ",CJ32)))</f>
        <v/>
      </c>
      <c r="CV32" s="426" t="b">
        <f t="shared" ref="CV32:CV76" si="22">IF(CB32="Existing TLED",TRUE,FALSE)</f>
        <v>0</v>
      </c>
      <c r="CW32" s="426" t="str">
        <f t="shared" ref="CW32:CW76" si="23">LEFT(CJ32,1)</f>
        <v/>
      </c>
      <c r="CX32" s="426">
        <f>IFERROR(VLOOKUP(CF32,Lookup!T$100:V$102,3,FALSE),0)</f>
        <v>0</v>
      </c>
      <c r="CY32" s="426">
        <f t="shared" si="8"/>
        <v>1.1100000000000001</v>
      </c>
      <c r="CZ32" s="626" t="b">
        <f t="shared" si="1"/>
        <v>0</v>
      </c>
      <c r="DA32" s="626" t="b">
        <f>IF(CF32&lt;&gt;"",IF(ISERROR(MATCH(CONCATENATE(CB32," - ",CF32),Existing!G$4:G$331,0))=TRUE,FALSE,TRUE),TRUE)</f>
        <v>1</v>
      </c>
      <c r="DB32" s="626" t="b">
        <f t="shared" si="2"/>
        <v>1</v>
      </c>
      <c r="DL32" s="9"/>
      <c r="DM32" s="627" t="s">
        <v>215</v>
      </c>
      <c r="DN32" s="375" t="str">
        <f t="shared" si="3"/>
        <v/>
      </c>
      <c r="DO32" s="52"/>
      <c r="DP32" s="52"/>
      <c r="DQ32" s="52"/>
      <c r="DR32" s="52"/>
      <c r="DS32" s="52"/>
      <c r="DT32" s="226"/>
      <c r="DU32" s="376"/>
      <c r="DV32" s="227" t="str">
        <f t="shared" si="4"/>
        <v/>
      </c>
      <c r="DW32" s="224">
        <v>6</v>
      </c>
      <c r="DX32" s="1572"/>
      <c r="DY32" s="1573"/>
      <c r="DZ32" s="1573"/>
      <c r="EA32" s="1574"/>
      <c r="EB32" s="1618"/>
      <c r="EC32" s="1619"/>
      <c r="ED32" s="1619"/>
      <c r="EE32" s="1620"/>
      <c r="EF32" s="1578"/>
      <c r="EG32" s="1579"/>
      <c r="EH32" s="1572"/>
      <c r="EI32" s="1573"/>
      <c r="EJ32" s="1573"/>
      <c r="EK32" s="1574"/>
      <c r="EL32" s="1575"/>
      <c r="EM32" s="1576"/>
      <c r="EN32" s="1576"/>
      <c r="EO32" s="1577"/>
      <c r="EP32" s="1578"/>
      <c r="EQ32" s="1579"/>
      <c r="ER32" s="1555"/>
      <c r="ES32" s="1556"/>
      <c r="ET32" s="1553" t="str">
        <f t="shared" si="9"/>
        <v/>
      </c>
      <c r="EU32" s="1554"/>
      <c r="EV32" s="1553" t="str">
        <f t="shared" si="5"/>
        <v/>
      </c>
      <c r="EW32" s="1554"/>
      <c r="EX32" s="393"/>
      <c r="EY32" s="225" t="str">
        <f t="shared" si="6"/>
        <v/>
      </c>
      <c r="EZ32" s="225" t="str">
        <f>IFERROR(VLOOKUP(EB32,Lookup!AT$3:AU$13,2,FALSE),"")</f>
        <v/>
      </c>
      <c r="FA32" s="426" t="b">
        <f>IFERROR(IF(VLOOKUP(EB32,Lookup!AT$6:AU$8,2,FALSE)&gt;3,TRUE,FALSE),FALSE)</f>
        <v>0</v>
      </c>
      <c r="FB32" s="426" t="str">
        <f t="shared" si="10"/>
        <v/>
      </c>
      <c r="FC32" t="str">
        <f t="shared" ca="1" si="11"/>
        <v/>
      </c>
      <c r="FG32" t="str">
        <f t="shared" ca="1" si="12"/>
        <v/>
      </c>
      <c r="FI32" s="204" t="str">
        <f t="shared" ref="FI32:FI76" ca="1" si="24">IFERROR(LEFT(LA32,LEN(LA32)-2),"")</f>
        <v/>
      </c>
      <c r="FJ32" s="204"/>
      <c r="FK32" s="631" t="str">
        <f ca="1">IF(INDIRECT(CONCATENATE($FK$12,Fixtures!FK$25))="","",IF(INDIRECT(CONCATENATE($FK$12,Fixtures!FK$25))=Fixtures!$DN32,CONCATENATE(FK$10,", "),""))</f>
        <v/>
      </c>
      <c r="FL32" s="631" t="str">
        <f ca="1">IF(INDIRECT(CONCATENATE($FK$12,Fixtures!FL$25))="","",IF(INDIRECT(CONCATENATE($FK$12,Fixtures!FL$25))=Fixtures!$DN32,CONCATENATE(FL$10,", "),""))</f>
        <v/>
      </c>
      <c r="FM32" s="631" t="str">
        <f ca="1">IF(INDIRECT(CONCATENATE($FK$12,Fixtures!FM$25))="","",IF(INDIRECT(CONCATENATE($FK$12,Fixtures!FM$25))=Fixtures!$DN32,CONCATENATE(FM$10,", "),""))</f>
        <v/>
      </c>
      <c r="FN32" s="631" t="str">
        <f ca="1">IF(INDIRECT(CONCATENATE($FK$12,Fixtures!FN$25))="","",IF(INDIRECT(CONCATENATE($FK$12,Fixtures!FN$25))=Fixtures!$DN32,CONCATENATE(FN$10,", "),""))</f>
        <v/>
      </c>
      <c r="FO32" s="631" t="str">
        <f ca="1">IF(INDIRECT(CONCATENATE($FK$12,Fixtures!FO$25))="","",IF(INDIRECT(CONCATENATE($FK$12,Fixtures!FO$25))=Fixtures!$DN32,CONCATENATE(FO$10,", "),""))</f>
        <v/>
      </c>
      <c r="FP32" s="631" t="str">
        <f ca="1">IF(INDIRECT(CONCATENATE($FK$12,Fixtures!FP$25))="","",IF(INDIRECT(CONCATENATE($FK$12,Fixtures!FP$25))=Fixtures!$DN32,CONCATENATE(FP$10,", "),""))</f>
        <v/>
      </c>
      <c r="FQ32" s="631" t="str">
        <f ca="1">IF(INDIRECT(CONCATENATE($FK$12,Fixtures!FQ$25))="","",IF(INDIRECT(CONCATENATE($FK$12,Fixtures!FQ$25))=Fixtures!$DN32,CONCATENATE(FQ$10,", "),""))</f>
        <v/>
      </c>
      <c r="FR32" s="631" t="str">
        <f ca="1">IF(INDIRECT(CONCATENATE($FK$12,Fixtures!FR$25))="","",IF(INDIRECT(CONCATENATE($FK$12,Fixtures!FR$25))=Fixtures!$DN32,CONCATENATE(FR$10,", "),""))</f>
        <v/>
      </c>
      <c r="FS32" s="631" t="str">
        <f ca="1">IF(INDIRECT(CONCATENATE($FK$12,Fixtures!FS$25))="","",IF(INDIRECT(CONCATENATE($FK$12,Fixtures!FS$25))=Fixtures!$DN32,CONCATENATE(FS$10,", "),""))</f>
        <v/>
      </c>
      <c r="FT32" s="604" t="str">
        <f ca="1">IF(INDIRECT(CONCATENATE($FK$12,Fixtures!FT$25))="","",IF(INDIRECT(CONCATENATE($FK$12,Fixtures!FT$25))=Fixtures!$DN32,CONCATENATE(FT$10,", "),""))</f>
        <v/>
      </c>
      <c r="FU32" s="605" t="str">
        <f ca="1">IF(INDIRECT(CONCATENATE($FK$12,Fixtures!FU$25))="","",IF(INDIRECT(CONCATENATE($FK$12,Fixtures!FU$25))=Fixtures!$DN32,CONCATENATE(FU$10,", "),""))</f>
        <v/>
      </c>
      <c r="FV32" s="631" t="str">
        <f ca="1">IF(INDIRECT(CONCATENATE($FK$12,Fixtures!FV$25))="","",IF(INDIRECT(CONCATENATE($FK$12,Fixtures!FV$25))=Fixtures!$DN32,CONCATENATE(FV$10,", "),""))</f>
        <v/>
      </c>
      <c r="FW32" s="632" t="str">
        <f ca="1">IF(INDIRECT(CONCATENATE($FK$12,Fixtures!FW$25))="","",IF(INDIRECT(CONCATENATE($FK$12,Fixtures!FW$25))=Fixtures!$DN32,CONCATENATE(FW$10,", "),""))</f>
        <v/>
      </c>
      <c r="FX32" s="632" t="str">
        <f ca="1">IF(INDIRECT(CONCATENATE($FK$12,Fixtures!FX$25))="","",IF(INDIRECT(CONCATENATE($FK$12,Fixtures!FX$25))=Fixtures!$DN32,CONCATENATE(FX$10,", "),""))</f>
        <v/>
      </c>
      <c r="FY32" s="632" t="str">
        <f ca="1">IF(INDIRECT(CONCATENATE($FK$12,Fixtures!FY$25))="","",IF(INDIRECT(CONCATENATE($FK$12,Fixtures!FY$25))=Fixtures!$DN32,CONCATENATE(FY$10,", "),""))</f>
        <v/>
      </c>
      <c r="FZ32" s="632" t="str">
        <f ca="1">IF(INDIRECT(CONCATENATE($FK$12,Fixtures!FZ$25))="","",IF(INDIRECT(CONCATENATE($FK$12,Fixtures!FZ$25))=Fixtures!$DN32,CONCATENATE(FZ$10,", "),""))</f>
        <v/>
      </c>
      <c r="GA32" s="632" t="str">
        <f ca="1">IF(INDIRECT(CONCATENATE($FK$12,Fixtures!GA$25))="","",IF(INDIRECT(CONCATENATE($FK$12,Fixtures!GA$25))=Fixtures!$DN32,CONCATENATE(GA$10,", "),""))</f>
        <v/>
      </c>
      <c r="GB32" s="632" t="str">
        <f ca="1">IF(INDIRECT(CONCATENATE($FK$12,Fixtures!GB$25))="","",IF(INDIRECT(CONCATENATE($FK$12,Fixtures!GB$25))=Fixtures!$DN32,CONCATENATE(GB$10,", "),""))</f>
        <v/>
      </c>
      <c r="GC32" s="632" t="str">
        <f ca="1">IF(INDIRECT(CONCATENATE($FK$12,Fixtures!GC$25))="","",IF(INDIRECT(CONCATENATE($FK$12,Fixtures!GC$25))=Fixtures!$DN32,CONCATENATE(GC$10,", "),""))</f>
        <v/>
      </c>
      <c r="GD32" s="632" t="str">
        <f ca="1">IF(INDIRECT(CONCATENATE($FK$12,Fixtures!GD$25))="","",IF(INDIRECT(CONCATENATE($FK$12,Fixtures!GD$25))=Fixtures!$DN32,CONCATENATE(GD$10,", "),""))</f>
        <v/>
      </c>
      <c r="GE32" s="632" t="str">
        <f ca="1">IF(INDIRECT(CONCATENATE($FK$12,Fixtures!GE$25))="","",IF(INDIRECT(CONCATENATE($FK$12,Fixtures!GE$25))=Fixtures!$DN32,CONCATENATE(GE$10,", "),""))</f>
        <v/>
      </c>
      <c r="GF32" s="632" t="str">
        <f ca="1">IF(INDIRECT(CONCATENATE($FK$12,Fixtures!GF$25))="","",IF(INDIRECT(CONCATENATE($FK$12,Fixtures!GF$25))=Fixtures!$DN32,CONCATENATE(GF$10,", "),""))</f>
        <v/>
      </c>
      <c r="GG32" s="632" t="str">
        <f ca="1">IF(INDIRECT(CONCATENATE($FK$12,Fixtures!GG$25))="","",IF(INDIRECT(CONCATENATE($FK$12,Fixtures!GG$25))=Fixtures!$DN32,CONCATENATE(GG$10,", "),""))</f>
        <v/>
      </c>
      <c r="GH32" s="632" t="str">
        <f ca="1">IF(INDIRECT(CONCATENATE($FK$12,Fixtures!GH$25))="","",IF(INDIRECT(CONCATENATE($FK$12,Fixtures!GH$25))=Fixtures!$DN32,CONCATENATE(GH$10,", "),""))</f>
        <v/>
      </c>
      <c r="GI32" s="606" t="str">
        <f ca="1">IF(INDIRECT(CONCATENATE($FK$12,Fixtures!GI$25))="","",IF(INDIRECT(CONCATENATE($FK$12,Fixtures!GI$25))=Fixtures!$DN32,CONCATENATE(GI$10,", "),""))</f>
        <v/>
      </c>
      <c r="GJ32" s="607" t="str">
        <f ca="1">IF(INDIRECT(CONCATENATE($FK$12,Fixtures!GJ$25))="","",IF(INDIRECT(CONCATENATE($FK$12,Fixtures!GJ$25))=Fixtures!$DN32,CONCATENATE(GJ$10,", "),""))</f>
        <v/>
      </c>
      <c r="GK32" s="632" t="str">
        <f ca="1">IF(INDIRECT(CONCATENATE($FK$12,Fixtures!GK$25))="","",IF(INDIRECT(CONCATENATE($FK$12,Fixtures!GK$25))=Fixtures!$DN32,CONCATENATE(GK$10,", "),""))</f>
        <v/>
      </c>
      <c r="GL32" s="632" t="str">
        <f ca="1">IF(INDIRECT(CONCATENATE($FK$12,Fixtures!GL$25))="","",IF(INDIRECT(CONCATENATE($FK$12,Fixtures!GL$25))=Fixtures!$DN32,CONCATENATE(GL$10,", "),""))</f>
        <v/>
      </c>
      <c r="GM32" s="632" t="str">
        <f ca="1">IF(INDIRECT(CONCATENATE($FK$12,Fixtures!GM$25))="","",IF(INDIRECT(CONCATENATE($FK$12,Fixtures!GM$25))=Fixtures!$DN32,CONCATENATE(GM$10,", "),""))</f>
        <v/>
      </c>
      <c r="GN32" s="632" t="str">
        <f ca="1">IF(INDIRECT(CONCATENATE($FK$12,Fixtures!GN$25))="","",IF(INDIRECT(CONCATENATE($FK$12,Fixtures!GN$25))=Fixtures!$DN32,CONCATENATE(GN$10,", "),""))</f>
        <v/>
      </c>
      <c r="GO32" s="632" t="str">
        <f ca="1">IF(INDIRECT(CONCATENATE($FK$12,Fixtures!GO$25))="","",IF(INDIRECT(CONCATENATE($FK$12,Fixtures!GO$25))=Fixtures!$DN32,CONCATENATE(GO$10,", "),""))</f>
        <v/>
      </c>
      <c r="GP32" s="632" t="str">
        <f ca="1">IF(INDIRECT(CONCATENATE($FK$12,Fixtures!GP$25))="","",IF(INDIRECT(CONCATENATE($FK$12,Fixtures!GP$25))=Fixtures!$DN32,CONCATENATE(GP$10,", "),""))</f>
        <v/>
      </c>
      <c r="GQ32" s="632" t="str">
        <f ca="1">IF(INDIRECT(CONCATENATE($FK$12,Fixtures!GQ$25))="","",IF(INDIRECT(CONCATENATE($FK$12,Fixtures!GQ$25))=Fixtures!$DN32,CONCATENATE(GQ$10,", "),""))</f>
        <v/>
      </c>
      <c r="GR32" s="632" t="str">
        <f ca="1">IF(INDIRECT(CONCATENATE($FK$12,Fixtures!GR$25))="","",IF(INDIRECT(CONCATENATE($FK$12,Fixtures!GR$25))=Fixtures!$DN32,CONCATENATE(GR$10,", "),""))</f>
        <v/>
      </c>
      <c r="GS32" s="632" t="str">
        <f ca="1">IF(INDIRECT(CONCATENATE($FK$12,Fixtures!GS$25))="","",IF(INDIRECT(CONCATENATE($FK$12,Fixtures!GS$25))=Fixtures!$DN32,CONCATENATE(GS$10,", "),""))</f>
        <v/>
      </c>
      <c r="GT32" s="632" t="str">
        <f ca="1">IF(INDIRECT(CONCATENATE($FK$12,Fixtures!GT$25))="","",IF(INDIRECT(CONCATENATE($FK$12,Fixtures!GT$25))=Fixtures!$DN32,CONCATENATE(GT$10,", "),""))</f>
        <v/>
      </c>
      <c r="GU32" s="632" t="str">
        <f ca="1">IF(INDIRECT(CONCATENATE($FK$12,Fixtures!GU$25))="","",IF(INDIRECT(CONCATENATE($FK$12,Fixtures!GU$25))=Fixtures!$DN32,CONCATENATE(GU$10,", "),""))</f>
        <v/>
      </c>
      <c r="GV32" s="632" t="str">
        <f ca="1">IF(INDIRECT(CONCATENATE($FK$12,Fixtures!GV$25))="","",IF(INDIRECT(CONCATENATE($FK$12,Fixtures!GV$25))=Fixtures!$DN32,CONCATENATE(GV$10,", "),""))</f>
        <v/>
      </c>
      <c r="GW32" s="632" t="str">
        <f ca="1">IF(INDIRECT(CONCATENATE($FK$12,Fixtures!GW$25))="","",IF(INDIRECT(CONCATENATE($FK$12,Fixtures!GW$25))=Fixtures!$DN32,CONCATENATE(GW$10,", "),""))</f>
        <v/>
      </c>
      <c r="GX32" s="606" t="str">
        <f ca="1">IF(INDIRECT(CONCATENATE($FK$12,Fixtures!GX$25))="","",IF(INDIRECT(CONCATENATE($FK$12,Fixtures!GX$25))=Fixtures!$DN32,CONCATENATE(GX$10,", "),""))</f>
        <v/>
      </c>
      <c r="GY32" s="607" t="str">
        <f ca="1">IF(INDIRECT(CONCATENATE($FK$12,Fixtures!GY$25))="","",IF(INDIRECT(CONCATENATE($FK$12,Fixtures!GY$25))=Fixtures!$DN32,CONCATENATE(GY$10,", "),""))</f>
        <v/>
      </c>
      <c r="GZ32" s="632" t="str">
        <f ca="1">IF(INDIRECT(CONCATENATE($FK$12,Fixtures!GZ$25))="","",IF(INDIRECT(CONCATENATE($FK$12,Fixtures!GZ$25))=Fixtures!$DN32,CONCATENATE(GZ$10,", "),""))</f>
        <v/>
      </c>
      <c r="HA32" s="632" t="str">
        <f ca="1">IF(INDIRECT(CONCATENATE($FK$12,Fixtures!HA$25))="","",IF(INDIRECT(CONCATENATE($FK$12,Fixtures!HA$25))=Fixtures!$DN32,CONCATENATE(HA$10,", "),""))</f>
        <v/>
      </c>
      <c r="HB32" s="632" t="str">
        <f ca="1">IF(INDIRECT(CONCATENATE($FK$12,Fixtures!HB$25))="","",IF(INDIRECT(CONCATENATE($FK$12,Fixtures!HB$25))=Fixtures!$DN32,CONCATENATE(HB$10,", "),""))</f>
        <v/>
      </c>
      <c r="HC32" s="632" t="str">
        <f ca="1">IF(INDIRECT(CONCATENATE($FK$12,Fixtures!HC$25))="","",IF(INDIRECT(CONCATENATE($FK$12,Fixtures!HC$25))=Fixtures!$DN32,CONCATENATE(HC$10,", "),""))</f>
        <v/>
      </c>
      <c r="HD32" s="632" t="str">
        <f ca="1">IF(INDIRECT(CONCATENATE($FK$12,Fixtures!HD$25))="","",IF(INDIRECT(CONCATENATE($FK$12,Fixtures!HD$25))=Fixtures!$DN32,CONCATENATE(HD$10,", "),""))</f>
        <v/>
      </c>
      <c r="HE32" s="632" t="str">
        <f ca="1">IF(INDIRECT(CONCATENATE($FK$12,Fixtures!HE$25))="","",IF(INDIRECT(CONCATENATE($FK$12,Fixtures!HE$25))=Fixtures!$DN32,CONCATENATE(HE$10,", "),""))</f>
        <v/>
      </c>
      <c r="HF32" s="632" t="str">
        <f ca="1">IF(INDIRECT(CONCATENATE($FK$12,Fixtures!HF$25))="","",IF(INDIRECT(CONCATENATE($FK$12,Fixtures!HF$25))=Fixtures!$DN32,CONCATENATE(HF$10,", "),""))</f>
        <v/>
      </c>
      <c r="HG32" s="632" t="str">
        <f ca="1">IF(INDIRECT(CONCATENATE($FK$12,Fixtures!HG$25))="","",IF(INDIRECT(CONCATENATE($FK$12,Fixtures!HG$25))=Fixtures!$DN32,CONCATENATE(HG$10,", "),""))</f>
        <v/>
      </c>
      <c r="HH32" s="632" t="str">
        <f ca="1">IF(INDIRECT(CONCATENATE($FK$12,Fixtures!HH$25))="","",IF(INDIRECT(CONCATENATE($FK$12,Fixtures!HH$25))=Fixtures!$DN32,CONCATENATE(HH$10,", "),""))</f>
        <v/>
      </c>
      <c r="HI32" s="632" t="str">
        <f ca="1">IF(INDIRECT(CONCATENATE($FK$12,Fixtures!HI$25))="","",IF(INDIRECT(CONCATENATE($FK$12,Fixtures!HI$25))=Fixtures!$DN32,CONCATENATE(HI$10,", "),""))</f>
        <v/>
      </c>
      <c r="HJ32" s="632" t="str">
        <f ca="1">IF(INDIRECT(CONCATENATE($FK$12,Fixtures!HJ$25))="","",IF(INDIRECT(CONCATENATE($FK$12,Fixtures!HJ$25))=Fixtures!$DN32,CONCATENATE(HJ$10,", "),""))</f>
        <v/>
      </c>
      <c r="HK32" s="632" t="str">
        <f ca="1">IF(INDIRECT(CONCATENATE($FK$12,Fixtures!HK$25))="","",IF(INDIRECT(CONCATENATE($FK$12,Fixtures!HK$25))=Fixtures!$DN32,CONCATENATE(HK$10,", "),""))</f>
        <v/>
      </c>
      <c r="HL32" s="632" t="str">
        <f ca="1">IF(INDIRECT(CONCATENATE($FK$12,Fixtures!HL$25))="","",IF(INDIRECT(CONCATENATE($FK$12,Fixtures!HL$25))=Fixtures!$DN32,CONCATENATE(HL$10,", "),""))</f>
        <v/>
      </c>
      <c r="HM32" s="606" t="str">
        <f ca="1">IF(INDIRECT(CONCATENATE($FK$12,Fixtures!HM$25))="","",IF(INDIRECT(CONCATENATE($FK$12,Fixtures!HM$25))=Fixtures!$DN32,CONCATENATE(HM$10,", "),""))</f>
        <v/>
      </c>
      <c r="HN32" s="607" t="str">
        <f ca="1">IF(INDIRECT(CONCATENATE($FK$12,Fixtures!HN$25))="","",IF(INDIRECT(CONCATENATE($FK$12,Fixtures!HN$25))=Fixtures!$DN32,CONCATENATE(HN$10,", "),""))</f>
        <v/>
      </c>
      <c r="HO32" s="632" t="str">
        <f ca="1">IF(INDIRECT(CONCATENATE($FK$12,Fixtures!HO$25))="","",IF(INDIRECT(CONCATENATE($FK$12,Fixtures!HO$25))=Fixtures!$DN32,CONCATENATE(HO$10,", "),""))</f>
        <v/>
      </c>
      <c r="HP32" s="632" t="str">
        <f ca="1">IF(INDIRECT(CONCATENATE($FK$12,Fixtures!HP$25))="","",IF(INDIRECT(CONCATENATE($FK$12,Fixtures!HP$25))=Fixtures!$DN32,CONCATENATE(HP$10,", "),""))</f>
        <v/>
      </c>
      <c r="HQ32" s="632" t="str">
        <f ca="1">IF(INDIRECT(CONCATENATE($FK$12,Fixtures!HQ$25))="","",IF(INDIRECT(CONCATENATE($FK$12,Fixtures!HQ$25))=Fixtures!$DN32,CONCATENATE(HQ$10,", "),""))</f>
        <v/>
      </c>
      <c r="HR32" s="632" t="str">
        <f ca="1">IF(INDIRECT(CONCATENATE($FK$12,Fixtures!HR$25))="","",IF(INDIRECT(CONCATENATE($FK$12,Fixtures!HR$25))=Fixtures!$DN32,CONCATENATE(HR$10,", "),""))</f>
        <v/>
      </c>
      <c r="HS32" s="632" t="str">
        <f ca="1">IF(INDIRECT(CONCATENATE($FK$12,Fixtures!HS$25))="","",IF(INDIRECT(CONCATENATE($FK$12,Fixtures!HS$25))=Fixtures!$DN32,CONCATENATE(HS$10,", "),""))</f>
        <v/>
      </c>
      <c r="HT32" s="632" t="str">
        <f ca="1">IF(INDIRECT(CONCATENATE($FK$12,Fixtures!HT$25))="","",IF(INDIRECT(CONCATENATE($FK$12,Fixtures!HT$25))=Fixtures!$DN32,CONCATENATE(HT$10,", "),""))</f>
        <v/>
      </c>
      <c r="HU32" s="632" t="str">
        <f ca="1">IF(INDIRECT(CONCATENATE($FK$12,Fixtures!HU$25))="","",IF(INDIRECT(CONCATENATE($FK$12,Fixtures!HU$25))=Fixtures!$DN32,CONCATENATE(HU$10,", "),""))</f>
        <v/>
      </c>
      <c r="HV32" s="632" t="str">
        <f ca="1">IF(INDIRECT(CONCATENATE($FK$12,Fixtures!HV$25))="","",IF(INDIRECT(CONCATENATE($FK$12,Fixtures!HV$25))=Fixtures!$DN32,CONCATENATE(HV$10,", "),""))</f>
        <v/>
      </c>
      <c r="HW32" s="632" t="str">
        <f ca="1">IF(INDIRECT(CONCATENATE($FK$12,Fixtures!HW$25))="","",IF(INDIRECT(CONCATENATE($FK$12,Fixtures!HW$25))=Fixtures!$DN32,CONCATENATE(HW$10,", "),""))</f>
        <v/>
      </c>
      <c r="HX32" s="632" t="str">
        <f ca="1">IF(INDIRECT(CONCATENATE($FK$12,Fixtures!HX$25))="","",IF(INDIRECT(CONCATENATE($FK$12,Fixtures!HX$25))=Fixtures!$DN32,CONCATENATE(HX$10,", "),""))</f>
        <v/>
      </c>
      <c r="HY32" s="632" t="str">
        <f ca="1">IF(INDIRECT(CONCATENATE($FK$12,Fixtures!HY$25))="","",IF(INDIRECT(CONCATENATE($FK$12,Fixtures!HY$25))=Fixtures!$DN32,CONCATENATE(HY$10,", "),""))</f>
        <v/>
      </c>
      <c r="HZ32" s="632" t="str">
        <f ca="1">IF(INDIRECT(CONCATENATE($FK$12,Fixtures!HZ$25))="","",IF(INDIRECT(CONCATENATE($FK$12,Fixtures!HZ$25))=Fixtures!$DN32,CONCATENATE(HZ$10,", "),""))</f>
        <v/>
      </c>
      <c r="IA32" s="632" t="str">
        <f ca="1">IF(INDIRECT(CONCATENATE($FK$12,Fixtures!IA$25))="","",IF(INDIRECT(CONCATENATE($FK$12,Fixtures!IA$25))=Fixtures!$DN32,CONCATENATE(IA$10,", "),""))</f>
        <v/>
      </c>
      <c r="IB32" s="606" t="str">
        <f ca="1">IF(INDIRECT(CONCATENATE($FK$12,Fixtures!IB$25))="","",IF(INDIRECT(CONCATENATE($FK$12,Fixtures!IB$25))=Fixtures!$DN32,CONCATENATE(IB$10,", "),""))</f>
        <v/>
      </c>
      <c r="IC32" s="607" t="str">
        <f ca="1">IF(INDIRECT(CONCATENATE($FK$12,Fixtures!IC$25))="","",IF(INDIRECT(CONCATENATE($FK$12,Fixtures!IC$25))=Fixtures!$DN32,CONCATENATE(IC$10,", "),""))</f>
        <v/>
      </c>
      <c r="ID32" s="632" t="str">
        <f ca="1">IF(INDIRECT(CONCATENATE($FK$12,Fixtures!ID$25))="","",IF(INDIRECT(CONCATENATE($FK$12,Fixtures!ID$25))=Fixtures!$DN32,CONCATENATE(ID$10,", "),""))</f>
        <v/>
      </c>
      <c r="IE32" s="632" t="str">
        <f ca="1">IF(INDIRECT(CONCATENATE($FK$12,Fixtures!IE$25))="","",IF(INDIRECT(CONCATENATE($FK$12,Fixtures!IE$25))=Fixtures!$DN32,CONCATENATE(IE$10,", "),""))</f>
        <v/>
      </c>
      <c r="IF32" s="632" t="str">
        <f ca="1">IF(INDIRECT(CONCATENATE($FK$12,Fixtures!IF$25))="","",IF(INDIRECT(CONCATENATE($FK$12,Fixtures!IF$25))=Fixtures!$DN32,CONCATENATE(IF$10,", "),""))</f>
        <v/>
      </c>
      <c r="IG32" s="632" t="str">
        <f ca="1">IF(INDIRECT(CONCATENATE($FK$12,Fixtures!IG$25))="","",IF(INDIRECT(CONCATENATE($FK$12,Fixtures!IG$25))=Fixtures!$DN32,CONCATENATE(IG$10,", "),""))</f>
        <v/>
      </c>
      <c r="IH32" s="632" t="str">
        <f ca="1">IF(INDIRECT(CONCATENATE($FK$12,Fixtures!IH$25))="","",IF(INDIRECT(CONCATENATE($FK$12,Fixtures!IH$25))=Fixtures!$DN32,CONCATENATE(IH$10,", "),""))</f>
        <v/>
      </c>
      <c r="II32" s="632" t="str">
        <f ca="1">IF(INDIRECT(CONCATENATE($FK$12,Fixtures!II$25))="","",IF(INDIRECT(CONCATENATE($FK$12,Fixtures!II$25))=Fixtures!$DN32,CONCATENATE(II$10,", "),""))</f>
        <v/>
      </c>
      <c r="IJ32" s="632" t="str">
        <f ca="1">IF(INDIRECT(CONCATENATE($FK$12,Fixtures!IJ$25))="","",IF(INDIRECT(CONCATENATE($FK$12,Fixtures!IJ$25))=Fixtures!$DN32,CONCATENATE(IJ$10,", "),""))</f>
        <v/>
      </c>
      <c r="IK32" s="632" t="str">
        <f ca="1">IF(INDIRECT(CONCATENATE($FK$12,Fixtures!IK$25))="","",IF(INDIRECT(CONCATENATE($FK$12,Fixtures!IK$25))=Fixtures!$DN32,CONCATENATE(IK$10,", "),""))</f>
        <v/>
      </c>
      <c r="IL32" s="632" t="str">
        <f ca="1">IF(INDIRECT(CONCATENATE($FK$12,Fixtures!IL$25))="","",IF(INDIRECT(CONCATENATE($FK$12,Fixtures!IL$25))=Fixtures!$DN32,CONCATENATE(IL$10,", "),""))</f>
        <v/>
      </c>
      <c r="IM32" s="632" t="str">
        <f ca="1">IF(INDIRECT(CONCATENATE($FK$12,Fixtures!IM$25))="","",IF(INDIRECT(CONCATENATE($FK$12,Fixtures!IM$25))=Fixtures!$DN32,CONCATENATE(IM$10,", "),""))</f>
        <v/>
      </c>
      <c r="IN32" s="632" t="str">
        <f ca="1">IF(INDIRECT(CONCATENATE($FK$12,Fixtures!IN$25))="","",IF(INDIRECT(CONCATENATE($FK$12,Fixtures!IN$25))=Fixtures!$DN32,CONCATENATE(IN$10,", "),""))</f>
        <v/>
      </c>
      <c r="IO32" s="632" t="str">
        <f ca="1">IF(INDIRECT(CONCATENATE($FK$12,Fixtures!IO$25))="","",IF(INDIRECT(CONCATENATE($FK$12,Fixtures!IO$25))=Fixtures!$DN32,CONCATENATE(IO$10,", "),""))</f>
        <v/>
      </c>
      <c r="IP32" s="632" t="str">
        <f ca="1">IF(INDIRECT(CONCATENATE($FK$12,Fixtures!IP$25))="","",IF(INDIRECT(CONCATENATE($FK$12,Fixtures!IP$25))=Fixtures!$DN32,CONCATENATE(IP$10,", "),""))</f>
        <v/>
      </c>
      <c r="IQ32" s="606" t="str">
        <f ca="1">IF(INDIRECT(CONCATENATE($FK$12,Fixtures!IQ$25))="","",IF(INDIRECT(CONCATENATE($FK$12,Fixtures!IQ$25))=Fixtures!$DN32,CONCATENATE(IQ$10,", "),""))</f>
        <v/>
      </c>
      <c r="IR32" s="607" t="str">
        <f ca="1">IF(INDIRECT(CONCATENATE($FK$12,Fixtures!IR$25))="","",IF(INDIRECT(CONCATENATE($FK$12,Fixtures!IR$25))=Fixtures!$DN32,CONCATENATE(IR$10,", "),""))</f>
        <v/>
      </c>
      <c r="IS32" s="632" t="str">
        <f ca="1">IF(INDIRECT(CONCATENATE($FK$12,Fixtures!IS$25))="","",IF(INDIRECT(CONCATENATE($FK$12,Fixtures!IS$25))=Fixtures!$DN32,CONCATENATE(IS$10,", "),""))</f>
        <v/>
      </c>
      <c r="IT32" s="632" t="str">
        <f ca="1">IF(INDIRECT(CONCATENATE($FK$12,Fixtures!IT$25))="","",IF(INDIRECT(CONCATENATE($FK$12,Fixtures!IT$25))=Fixtures!$DN32,CONCATENATE(IT$10,", "),""))</f>
        <v/>
      </c>
      <c r="IU32" s="632" t="str">
        <f ca="1">IF(INDIRECT(CONCATENATE($FK$12,Fixtures!IU$25))="","",IF(INDIRECT(CONCATENATE($FK$12,Fixtures!IU$25))=Fixtures!$DN32,CONCATENATE(IU$10,", "),""))</f>
        <v/>
      </c>
      <c r="IV32" s="632" t="str">
        <f ca="1">IF(INDIRECT(CONCATENATE($FK$12,Fixtures!IV$25))="","",IF(INDIRECT(CONCATENATE($FK$12,Fixtures!IV$25))=Fixtures!$DN32,CONCATENATE(IV$10,", "),""))</f>
        <v/>
      </c>
      <c r="IW32" s="632" t="str">
        <f ca="1">IF(INDIRECT(CONCATENATE($FK$12,Fixtures!IW$25))="","",IF(INDIRECT(CONCATENATE($FK$12,Fixtures!IW$25))=Fixtures!$DN32,CONCATENATE(IW$10,", "),""))</f>
        <v/>
      </c>
      <c r="IX32" s="632" t="str">
        <f ca="1">IF(INDIRECT(CONCATENATE($FK$12,Fixtures!IX$25))="","",IF(INDIRECT(CONCATENATE($FK$12,Fixtures!IX$25))=Fixtures!$DN32,CONCATENATE(IX$10,", "),""))</f>
        <v/>
      </c>
      <c r="IY32" s="632" t="str">
        <f ca="1">IF(INDIRECT(CONCATENATE($FK$12,Fixtures!IY$25))="","",IF(INDIRECT(CONCATENATE($FK$12,Fixtures!IY$25))=Fixtures!$DN32,CONCATENATE(IY$10,", "),""))</f>
        <v/>
      </c>
      <c r="IZ32" s="632" t="str">
        <f ca="1">IF(INDIRECT(CONCATENATE($FK$12,Fixtures!IZ$25))="","",IF(INDIRECT(CONCATENATE($FK$12,Fixtures!IZ$25))=Fixtures!$DN32,CONCATENATE(IZ$10,", "),""))</f>
        <v/>
      </c>
      <c r="JA32" s="632" t="str">
        <f ca="1">IF(INDIRECT(CONCATENATE($FK$12,Fixtures!JA$25))="","",IF(INDIRECT(CONCATENATE($FK$12,Fixtures!JA$25))=Fixtures!$DN32,CONCATENATE(JA$10,", "),""))</f>
        <v/>
      </c>
      <c r="JB32" s="632" t="str">
        <f ca="1">IF(INDIRECT(CONCATENATE($FK$12,Fixtures!JB$25))="","",IF(INDIRECT(CONCATENATE($FK$12,Fixtures!JB$25))=Fixtures!$DN32,CONCATENATE(JB$10,", "),""))</f>
        <v/>
      </c>
      <c r="JC32" s="632" t="str">
        <f ca="1">IF(INDIRECT(CONCATENATE($FK$12,Fixtures!JC$25))="","",IF(INDIRECT(CONCATENATE($FK$12,Fixtures!JC$25))=Fixtures!$DN32,CONCATENATE(JC$10,", "),""))</f>
        <v/>
      </c>
      <c r="JD32" s="632" t="str">
        <f ca="1">IF(INDIRECT(CONCATENATE($FK$12,Fixtures!JD$25))="","",IF(INDIRECT(CONCATENATE($FK$12,Fixtures!JD$25))=Fixtures!$DN32,CONCATENATE(JD$10,", "),""))</f>
        <v/>
      </c>
      <c r="JE32" s="632" t="str">
        <f ca="1">IF(INDIRECT(CONCATENATE($FK$12,Fixtures!JE$25))="","",IF(INDIRECT(CONCATENATE($FK$12,Fixtures!JE$25))=Fixtures!$DN32,CONCATENATE(JE$10,", "),""))</f>
        <v/>
      </c>
      <c r="JF32" s="606" t="str">
        <f ca="1">IF(INDIRECT(CONCATENATE($FK$12,Fixtures!JF$25))="","",IF(INDIRECT(CONCATENATE($FK$12,Fixtures!JF$25))=Fixtures!$DN32,CONCATENATE(JF$10,", "),""))</f>
        <v/>
      </c>
      <c r="JG32" s="607" t="str">
        <f ca="1">IF(INDIRECT(CONCATENATE($FK$12,Fixtures!JG$25))="","",IF(INDIRECT(CONCATENATE($FK$12,Fixtures!JG$25))=Fixtures!$DN32,CONCATENATE(JG$10,", "),""))</f>
        <v/>
      </c>
      <c r="JH32" s="632" t="str">
        <f ca="1">IF(INDIRECT(CONCATENATE($FK$12,Fixtures!JH$25))="","",IF(INDIRECT(CONCATENATE($FK$12,Fixtures!JH$25))=Fixtures!$DN32,CONCATENATE(JH$10,", "),""))</f>
        <v/>
      </c>
      <c r="JI32" s="632" t="str">
        <f ca="1">IF(INDIRECT(CONCATENATE($FK$12,Fixtures!JI$25))="","",IF(INDIRECT(CONCATENATE($FK$12,Fixtures!JI$25))=Fixtures!$DN32,CONCATENATE(JI$10,", "),""))</f>
        <v/>
      </c>
      <c r="JJ32" s="632" t="str">
        <f ca="1">IF(INDIRECT(CONCATENATE($FK$12,Fixtures!JJ$25))="","",IF(INDIRECT(CONCATENATE($FK$12,Fixtures!JJ$25))=Fixtures!$DN32,CONCATENATE(JJ$10,", "),""))</f>
        <v/>
      </c>
      <c r="JK32" s="632" t="str">
        <f ca="1">IF(INDIRECT(CONCATENATE($FK$12,Fixtures!JK$25))="","",IF(INDIRECT(CONCATENATE($FK$12,Fixtures!JK$25))=Fixtures!$DN32,CONCATENATE(JK$10,", "),""))</f>
        <v/>
      </c>
      <c r="JL32" s="632" t="str">
        <f ca="1">IF(INDIRECT(CONCATENATE($FK$12,Fixtures!JL$25))="","",IF(INDIRECT(CONCATENATE($FK$12,Fixtures!JL$25))=Fixtures!$DN32,CONCATENATE(JL$10,", "),""))</f>
        <v/>
      </c>
      <c r="JM32" s="632" t="str">
        <f ca="1">IF(INDIRECT(CONCATENATE($FK$12,Fixtures!JM$25))="","",IF(INDIRECT(CONCATENATE($FK$12,Fixtures!JM$25))=Fixtures!$DN32,CONCATENATE(JM$10,", "),""))</f>
        <v/>
      </c>
      <c r="JN32" s="632" t="str">
        <f ca="1">IF(INDIRECT(CONCATENATE($FK$12,Fixtures!JN$25))="","",IF(INDIRECT(CONCATENATE($FK$12,Fixtures!JN$25))=Fixtures!$DN32,CONCATENATE(JN$10,", "),""))</f>
        <v/>
      </c>
      <c r="JO32" s="632" t="str">
        <f ca="1">IF(INDIRECT(CONCATENATE($FK$12,Fixtures!JO$25))="","",IF(INDIRECT(CONCATENATE($FK$12,Fixtures!JO$25))=Fixtures!$DN32,CONCATENATE(JO$10,", "),""))</f>
        <v/>
      </c>
      <c r="JP32" s="632" t="str">
        <f ca="1">IF(INDIRECT(CONCATENATE($FK$12,Fixtures!JP$25))="","",IF(INDIRECT(CONCATENATE($FK$12,Fixtures!JP$25))=Fixtures!$DN32,CONCATENATE(JP$10,", "),""))</f>
        <v/>
      </c>
      <c r="JQ32" s="632" t="str">
        <f ca="1">IF(INDIRECT(CONCATENATE($FK$12,Fixtures!JQ$25))="","",IF(INDIRECT(CONCATENATE($FK$12,Fixtures!JQ$25))=Fixtures!$DN32,CONCATENATE(JQ$10,", "),""))</f>
        <v/>
      </c>
      <c r="JR32" s="632" t="str">
        <f ca="1">IF(INDIRECT(CONCATENATE($FK$12,Fixtures!JR$25))="","",IF(INDIRECT(CONCATENATE($FK$12,Fixtures!JR$25))=Fixtures!$DN32,CONCATENATE(JR$10,", "),""))</f>
        <v/>
      </c>
      <c r="JS32" s="632" t="str">
        <f ca="1">IF(INDIRECT(CONCATENATE($FK$12,Fixtures!JS$25))="","",IF(INDIRECT(CONCATENATE($FK$12,Fixtures!JS$25))=Fixtures!$DN32,CONCATENATE(JS$10,", "),""))</f>
        <v/>
      </c>
      <c r="JT32" s="632" t="str">
        <f ca="1">IF(INDIRECT(CONCATENATE($FK$12,Fixtures!JT$25))="","",IF(INDIRECT(CONCATENATE($FK$12,Fixtures!JT$25))=Fixtures!$DN32,CONCATENATE(JT$10,", "),""))</f>
        <v/>
      </c>
      <c r="JU32" s="606" t="str">
        <f ca="1">IF(INDIRECT(CONCATENATE($FK$12,Fixtures!JU$25))="","",IF(INDIRECT(CONCATENATE($FK$12,Fixtures!JU$25))=Fixtures!$DN32,CONCATENATE(JU$10,", "),""))</f>
        <v/>
      </c>
      <c r="JV32" s="607" t="str">
        <f ca="1">IF(INDIRECT(CONCATENATE($FK$12,Fixtures!JV$25))="","",IF(INDIRECT(CONCATENATE($FK$12,Fixtures!JV$25))=Fixtures!$DN32,CONCATENATE(JV$10,", "),""))</f>
        <v/>
      </c>
      <c r="JW32" s="632" t="str">
        <f ca="1">IF(INDIRECT(CONCATENATE($FK$12,Fixtures!JW$25))="","",IF(INDIRECT(CONCATENATE($FK$12,Fixtures!JW$25))=Fixtures!$DN32,CONCATENATE(JW$10,", "),""))</f>
        <v/>
      </c>
      <c r="JX32" s="632" t="str">
        <f ca="1">IF(INDIRECT(CONCATENATE($FK$12,Fixtures!JX$25))="","",IF(INDIRECT(CONCATENATE($FK$12,Fixtures!JX$25))=Fixtures!$DN32,CONCATENATE(JX$10,", "),""))</f>
        <v/>
      </c>
      <c r="JY32" s="632" t="str">
        <f ca="1">IF(INDIRECT(CONCATENATE($FK$12,Fixtures!JY$25))="","",IF(INDIRECT(CONCATENATE($FK$12,Fixtures!JY$25))=Fixtures!$DN32,CONCATENATE(JY$10,", "),""))</f>
        <v/>
      </c>
      <c r="JZ32" s="632" t="str">
        <f ca="1">IF(INDIRECT(CONCATENATE($FK$12,Fixtures!JZ$25))="","",IF(INDIRECT(CONCATENATE($FK$12,Fixtures!JZ$25))=Fixtures!$DN32,CONCATENATE(JZ$10,", "),""))</f>
        <v/>
      </c>
      <c r="KA32" s="632" t="str">
        <f ca="1">IF(INDIRECT(CONCATENATE($FK$12,Fixtures!KA$25))="","",IF(INDIRECT(CONCATENATE($FK$12,Fixtures!KA$25))=Fixtures!$DN32,CONCATENATE(KA$10,", "),""))</f>
        <v/>
      </c>
      <c r="KB32" s="632" t="str">
        <f ca="1">IF(INDIRECT(CONCATENATE($FK$12,Fixtures!KB$25))="","",IF(INDIRECT(CONCATENATE($FK$12,Fixtures!KB$25))=Fixtures!$DN32,CONCATENATE(KB$10,", "),""))</f>
        <v/>
      </c>
      <c r="KC32" s="632" t="str">
        <f ca="1">IF(INDIRECT(CONCATENATE($FK$12,Fixtures!KC$25))="","",IF(INDIRECT(CONCATENATE($FK$12,Fixtures!KC$25))=Fixtures!$DN32,CONCATENATE(KC$10,", "),""))</f>
        <v/>
      </c>
      <c r="KD32" s="632" t="str">
        <f ca="1">IF(INDIRECT(CONCATENATE($FK$12,Fixtures!KD$25))="","",IF(INDIRECT(CONCATENATE($FK$12,Fixtures!KD$25))=Fixtures!$DN32,CONCATENATE(KD$10,", "),""))</f>
        <v/>
      </c>
      <c r="KE32" s="632" t="str">
        <f ca="1">IF(INDIRECT(CONCATENATE($FK$12,Fixtures!KE$25))="","",IF(INDIRECT(CONCATENATE($FK$12,Fixtures!KE$25))=Fixtures!$DN32,CONCATENATE(KE$10,", "),""))</f>
        <v/>
      </c>
      <c r="KF32" s="632" t="str">
        <f ca="1">IF(INDIRECT(CONCATENATE($FK$12,Fixtures!KF$25))="","",IF(INDIRECT(CONCATENATE($FK$12,Fixtures!KF$25))=Fixtures!$DN32,CONCATENATE(KF$10,", "),""))</f>
        <v/>
      </c>
      <c r="KG32" s="632" t="str">
        <f ca="1">IF(INDIRECT(CONCATENATE($FK$12,Fixtures!KG$25))="","",IF(INDIRECT(CONCATENATE($FK$12,Fixtures!KG$25))=Fixtures!$DN32,CONCATENATE(KG$10,", "),""))</f>
        <v/>
      </c>
      <c r="KH32" s="632" t="str">
        <f ca="1">IF(INDIRECT(CONCATENATE($FK$12,Fixtures!KH$25))="","",IF(INDIRECT(CONCATENATE($FK$12,Fixtures!KH$25))=Fixtures!$DN32,CONCATENATE(KH$10,", "),""))</f>
        <v/>
      </c>
      <c r="KI32" s="632" t="str">
        <f ca="1">IF(INDIRECT(CONCATENATE($FK$12,Fixtures!KI$25))="","",IF(INDIRECT(CONCATENATE($FK$12,Fixtures!KI$25))=Fixtures!$DN32,CONCATENATE(KI$10,", "),""))</f>
        <v/>
      </c>
      <c r="KJ32" s="606" t="str">
        <f ca="1">IF(INDIRECT(CONCATENATE($FK$12,Fixtures!KJ$25))="","",IF(INDIRECT(CONCATENATE($FK$12,Fixtures!KJ$25))=Fixtures!$DN32,CONCATENATE(KJ$10,", "),""))</f>
        <v/>
      </c>
      <c r="KK32" s="607" t="str">
        <f ca="1">IF(INDIRECT(CONCATENATE($FK$12,Fixtures!KK$25))="","",IF(INDIRECT(CONCATENATE($FK$12,Fixtures!KK$25))=Fixtures!$DN32,CONCATENATE(KK$10,", "),""))</f>
        <v/>
      </c>
      <c r="KL32" s="632" t="str">
        <f ca="1">IF(INDIRECT(CONCATENATE($FK$12,Fixtures!KL$25))="","",IF(INDIRECT(CONCATENATE($FK$12,Fixtures!KL$25))=Fixtures!$DN32,CONCATENATE(KL$10,", "),""))</f>
        <v/>
      </c>
      <c r="KM32" s="632" t="str">
        <f ca="1">IF(INDIRECT(CONCATENATE($FK$12,Fixtures!KM$25))="","",IF(INDIRECT(CONCATENATE($FK$12,Fixtures!KM$25))=Fixtures!$DN32,CONCATENATE(KM$10,", "),""))</f>
        <v/>
      </c>
      <c r="KN32" s="632" t="str">
        <f ca="1">IF(INDIRECT(CONCATENATE($FK$12,Fixtures!KN$25))="","",IF(INDIRECT(CONCATENATE($FK$12,Fixtures!KN$25))=Fixtures!$DN32,CONCATENATE(KN$10,", "),""))</f>
        <v/>
      </c>
      <c r="KO32" s="632" t="str">
        <f ca="1">IF(INDIRECT(CONCATENATE($FK$12,Fixtures!KO$25))="","",IF(INDIRECT(CONCATENATE($FK$12,Fixtures!KO$25))=Fixtures!$DN32,CONCATENATE(KO$10,", "),""))</f>
        <v/>
      </c>
      <c r="KP32" s="632" t="str">
        <f ca="1">IF(INDIRECT(CONCATENATE($FK$12,Fixtures!KP$25))="","",IF(INDIRECT(CONCATENATE($FK$12,Fixtures!KP$25))=Fixtures!$DN32,CONCATENATE(KP$10,", "),""))</f>
        <v/>
      </c>
      <c r="KQ32" s="632" t="str">
        <f ca="1">IF(INDIRECT(CONCATENATE($FK$12,Fixtures!KQ$25))="","",IF(INDIRECT(CONCATENATE($FK$12,Fixtures!KQ$25))=Fixtures!$DN32,CONCATENATE(KQ$10,", "),""))</f>
        <v/>
      </c>
      <c r="KR32" s="632" t="str">
        <f ca="1">IF(INDIRECT(CONCATENATE($FK$12,Fixtures!KR$25))="","",IF(INDIRECT(CONCATENATE($FK$12,Fixtures!KR$25))=Fixtures!$DN32,CONCATENATE(KR$10,", "),""))</f>
        <v/>
      </c>
      <c r="KS32" s="632" t="str">
        <f ca="1">IF(INDIRECT(CONCATENATE($FK$12,Fixtures!KS$25))="","",IF(INDIRECT(CONCATENATE($FK$12,Fixtures!KS$25))=Fixtures!$DN32,CONCATENATE(KS$10,", "),""))</f>
        <v/>
      </c>
      <c r="KT32" s="632" t="str">
        <f ca="1">IF(INDIRECT(CONCATENATE($FK$12,Fixtures!KT$25))="","",IF(INDIRECT(CONCATENATE($FK$12,Fixtures!KT$25))=Fixtures!$DN32,CONCATENATE(KT$10,", "),""))</f>
        <v/>
      </c>
      <c r="KU32" s="632" t="str">
        <f ca="1">IF(INDIRECT(CONCATENATE($FK$12,Fixtures!KU$25))="","",IF(INDIRECT(CONCATENATE($FK$12,Fixtures!KU$25))=Fixtures!$DN32,CONCATENATE(KU$10,", "),""))</f>
        <v/>
      </c>
      <c r="KV32" s="632" t="str">
        <f ca="1">IF(INDIRECT(CONCATENATE($FK$12,Fixtures!KV$25))="","",IF(INDIRECT(CONCATENATE($FK$12,Fixtures!KV$25))=Fixtures!$DN32,CONCATENATE(KV$10,", "),""))</f>
        <v/>
      </c>
      <c r="KW32" s="632" t="str">
        <f ca="1">IF(INDIRECT(CONCATENATE($FK$12,Fixtures!KW$25))="","",IF(INDIRECT(CONCATENATE($FK$12,Fixtures!KW$25))=Fixtures!$DN32,CONCATENATE(KW$10,", "),""))</f>
        <v/>
      </c>
      <c r="KX32" s="632" t="str">
        <f ca="1">IF(INDIRECT(CONCATENATE($FK$12,Fixtures!KX$25))="","",IF(INDIRECT(CONCATENATE($FK$12,Fixtures!KX$25))=Fixtures!$DN32,CONCATENATE(KX$10,", "),""))</f>
        <v/>
      </c>
      <c r="KY32" s="632"/>
      <c r="KZ32" s="46"/>
      <c r="LA32" s="46" t="str">
        <f t="shared" ca="1" si="7"/>
        <v/>
      </c>
      <c r="LB32" s="46"/>
      <c r="LC32" s="1010"/>
      <c r="LD32" s="1009" t="str">
        <f t="shared" si="20"/>
        <v/>
      </c>
    </row>
    <row r="33" spans="1:316" ht="28.2" customHeight="1" thickTop="1" thickBot="1">
      <c r="A33" s="426" t="str">
        <f t="shared" si="13"/>
        <v/>
      </c>
      <c r="C33" s="1640" t="str">
        <f t="shared" si="14"/>
        <v/>
      </c>
      <c r="D33" s="1641"/>
      <c r="E33" s="1568" t="str">
        <f t="shared" si="15"/>
        <v/>
      </c>
      <c r="F33" s="1569"/>
      <c r="G33" s="1569"/>
      <c r="H33" s="1569"/>
      <c r="I33" s="1569"/>
      <c r="J33" s="1569"/>
      <c r="K33" s="1569"/>
      <c r="L33" s="1569"/>
      <c r="M33" s="1642"/>
      <c r="N33" s="203" t="str">
        <f t="shared" si="16"/>
        <v/>
      </c>
      <c r="P33" s="1638" t="str">
        <f t="shared" ref="P33:P78" si="25">EI95</f>
        <v/>
      </c>
      <c r="Q33" s="1639"/>
      <c r="R33" s="1568" t="str">
        <f t="shared" si="17"/>
        <v/>
      </c>
      <c r="S33" s="1569"/>
      <c r="T33" s="1569"/>
      <c r="U33" s="1569"/>
      <c r="V33" s="1569"/>
      <c r="W33" s="1569"/>
      <c r="X33" s="1569"/>
      <c r="Y33" s="203" t="str">
        <f t="shared" ref="Y33:Y78" si="26">EF95</f>
        <v/>
      </c>
      <c r="Z33" s="203" t="str">
        <f t="shared" ref="Z33:Z78" si="27">EH95</f>
        <v/>
      </c>
      <c r="AA33" s="394" t="str">
        <f t="shared" ref="AA33:AA78" si="28">EG95</f>
        <v/>
      </c>
      <c r="AB33" s="489"/>
      <c r="AC33" s="1564" t="str">
        <f t="shared" si="18"/>
        <v/>
      </c>
      <c r="AD33" s="1565"/>
      <c r="AE33" s="1565"/>
      <c r="AF33" s="1565"/>
      <c r="AG33" s="1565"/>
      <c r="AH33" s="1565"/>
      <c r="AK33">
        <f>SUMIFS(Installations!CV$46:CV$803,Installations!CW$46:CW$803,E33,Installations!IC$46:IC$803,TRUE)</f>
        <v>0</v>
      </c>
      <c r="AL33">
        <f>SUMIFS(Installations!CV$46:CV$803,Installations!CW$46:CW$803,R33,Installations!IC$46:IC$803,TRUE)</f>
        <v>0</v>
      </c>
      <c r="BL33" s="9"/>
      <c r="BM33" s="622" t="str">
        <f t="shared" si="19"/>
        <v/>
      </c>
      <c r="BN33" s="52"/>
      <c r="BO33" s="52"/>
      <c r="BP33" s="52"/>
      <c r="BQ33" s="52"/>
      <c r="BR33" s="52"/>
      <c r="BS33" s="52"/>
      <c r="BT33" s="52"/>
      <c r="BU33" s="373"/>
      <c r="BV33" s="219" t="str">
        <f>IF(CN33&lt;&gt;"Yes","",IFERROR(VLOOKUP(CU33,Existing!A$4:F$367,2,FALSE),""))</f>
        <v/>
      </c>
      <c r="BW33" s="9">
        <v>7</v>
      </c>
      <c r="BX33" s="1625"/>
      <c r="BY33" s="1626"/>
      <c r="BZ33" s="1626"/>
      <c r="CA33" s="1627"/>
      <c r="CB33" s="1622"/>
      <c r="CC33" s="1623"/>
      <c r="CD33" s="1623"/>
      <c r="CE33" s="1624"/>
      <c r="CF33" s="1621"/>
      <c r="CG33" s="1621"/>
      <c r="CH33" s="1621"/>
      <c r="CI33" s="1621"/>
      <c r="CJ33" s="1621"/>
      <c r="CK33" s="1621"/>
      <c r="CL33" s="1621"/>
      <c r="CM33" s="1621"/>
      <c r="CN33" s="1553" t="str">
        <f t="shared" si="0"/>
        <v/>
      </c>
      <c r="CO33" s="1554"/>
      <c r="CP33" s="229" t="str">
        <f>IFERROR(IF(CB33="Existing TLED",CR33*CW33*CY33,VLOOKUP(CU33,Existing!A$3:F$356,6,FALSE)),"")</f>
        <v/>
      </c>
      <c r="CQ33" s="9"/>
      <c r="CR33" s="1660"/>
      <c r="CS33" s="1661"/>
      <c r="CT33" s="9"/>
      <c r="CU33" s="425" t="str">
        <f t="shared" si="21"/>
        <v/>
      </c>
      <c r="CV33" s="426" t="b">
        <f t="shared" si="22"/>
        <v>0</v>
      </c>
      <c r="CW33" s="426" t="str">
        <f t="shared" si="23"/>
        <v/>
      </c>
      <c r="CX33" s="426">
        <f>IFERROR(VLOOKUP(CF33,Lookup!T$100:V$102,3,FALSE),0)</f>
        <v>0</v>
      </c>
      <c r="CY33" s="426">
        <f t="shared" si="8"/>
        <v>1.1100000000000001</v>
      </c>
      <c r="CZ33" s="626" t="b">
        <f t="shared" si="1"/>
        <v>0</v>
      </c>
      <c r="DA33" s="626" t="b">
        <f>IF(CF33&lt;&gt;"",IF(ISERROR(MATCH(CONCATENATE(CB33," - ",CF33),Existing!G$4:G$331,0))=TRUE,FALSE,TRUE),TRUE)</f>
        <v>1</v>
      </c>
      <c r="DB33" s="626" t="b">
        <f t="shared" si="2"/>
        <v>1</v>
      </c>
      <c r="DL33" s="9"/>
      <c r="DM33" s="627" t="s">
        <v>215</v>
      </c>
      <c r="DN33" s="375" t="str">
        <f t="shared" si="3"/>
        <v/>
      </c>
      <c r="DO33" s="52"/>
      <c r="DP33" s="52"/>
      <c r="DQ33" s="52"/>
      <c r="DR33" s="52"/>
      <c r="DS33" s="52"/>
      <c r="DT33" s="226"/>
      <c r="DU33" s="376"/>
      <c r="DV33" s="227" t="str">
        <f t="shared" si="4"/>
        <v/>
      </c>
      <c r="DW33" s="224">
        <v>7</v>
      </c>
      <c r="DX33" s="1572"/>
      <c r="DY33" s="1573"/>
      <c r="DZ33" s="1573"/>
      <c r="EA33" s="1574"/>
      <c r="EB33" s="1618"/>
      <c r="EC33" s="1619"/>
      <c r="ED33" s="1619"/>
      <c r="EE33" s="1620"/>
      <c r="EF33" s="1578"/>
      <c r="EG33" s="1579"/>
      <c r="EH33" s="1572"/>
      <c r="EI33" s="1573"/>
      <c r="EJ33" s="1573"/>
      <c r="EK33" s="1574"/>
      <c r="EL33" s="1575"/>
      <c r="EM33" s="1576"/>
      <c r="EN33" s="1576"/>
      <c r="EO33" s="1577"/>
      <c r="EP33" s="1578"/>
      <c r="EQ33" s="1579"/>
      <c r="ER33" s="1555"/>
      <c r="ES33" s="1556"/>
      <c r="ET33" s="1553" t="str">
        <f t="shared" si="9"/>
        <v/>
      </c>
      <c r="EU33" s="1554"/>
      <c r="EV33" s="1553" t="str">
        <f t="shared" si="5"/>
        <v/>
      </c>
      <c r="EW33" s="1554"/>
      <c r="EX33" s="393"/>
      <c r="EY33" s="225" t="str">
        <f t="shared" si="6"/>
        <v/>
      </c>
      <c r="EZ33" s="225" t="str">
        <f>IFERROR(VLOOKUP(EB33,Lookup!AT$3:AU$13,2,FALSE),"")</f>
        <v/>
      </c>
      <c r="FA33" s="426" t="b">
        <f>IFERROR(IF(VLOOKUP(EB33,Lookup!AT$6:AU$8,2,FALSE)&gt;3,TRUE,FALSE),FALSE)</f>
        <v>0</v>
      </c>
      <c r="FB33" s="426" t="str">
        <f t="shared" si="10"/>
        <v/>
      </c>
      <c r="FC33" t="str">
        <f t="shared" ca="1" si="11"/>
        <v/>
      </c>
      <c r="FG33" t="str">
        <f t="shared" ca="1" si="12"/>
        <v/>
      </c>
      <c r="FI33" s="204" t="str">
        <f t="shared" ca="1" si="24"/>
        <v/>
      </c>
      <c r="FJ33" s="204"/>
      <c r="FK33" s="631" t="str">
        <f ca="1">IF(INDIRECT(CONCATENATE($FK$12,Fixtures!FK$25))="","",IF(INDIRECT(CONCATENATE($FK$12,Fixtures!FK$25))=Fixtures!$DN33,CONCATENATE(FK$10,", "),""))</f>
        <v/>
      </c>
      <c r="FL33" s="631" t="str">
        <f ca="1">IF(INDIRECT(CONCATENATE($FK$12,Fixtures!FL$25))="","",IF(INDIRECT(CONCATENATE($FK$12,Fixtures!FL$25))=Fixtures!$DN33,CONCATENATE(FL$10,", "),""))</f>
        <v/>
      </c>
      <c r="FM33" s="631" t="str">
        <f ca="1">IF(INDIRECT(CONCATENATE($FK$12,Fixtures!FM$25))="","",IF(INDIRECT(CONCATENATE($FK$12,Fixtures!FM$25))=Fixtures!$DN33,CONCATENATE(FM$10,", "),""))</f>
        <v/>
      </c>
      <c r="FN33" s="631" t="str">
        <f ca="1">IF(INDIRECT(CONCATENATE($FK$12,Fixtures!FN$25))="","",IF(INDIRECT(CONCATENATE($FK$12,Fixtures!FN$25))=Fixtures!$DN33,CONCATENATE(FN$10,", "),""))</f>
        <v/>
      </c>
      <c r="FO33" s="631" t="str">
        <f ca="1">IF(INDIRECT(CONCATENATE($FK$12,Fixtures!FO$25))="","",IF(INDIRECT(CONCATENATE($FK$12,Fixtures!FO$25))=Fixtures!$DN33,CONCATENATE(FO$10,", "),""))</f>
        <v/>
      </c>
      <c r="FP33" s="631" t="str">
        <f ca="1">IF(INDIRECT(CONCATENATE($FK$12,Fixtures!FP$25))="","",IF(INDIRECT(CONCATENATE($FK$12,Fixtures!FP$25))=Fixtures!$DN33,CONCATENATE(FP$10,", "),""))</f>
        <v/>
      </c>
      <c r="FQ33" s="631" t="str">
        <f ca="1">IF(INDIRECT(CONCATENATE($FK$12,Fixtures!FQ$25))="","",IF(INDIRECT(CONCATENATE($FK$12,Fixtures!FQ$25))=Fixtures!$DN33,CONCATENATE(FQ$10,", "),""))</f>
        <v/>
      </c>
      <c r="FR33" s="631" t="str">
        <f ca="1">IF(INDIRECT(CONCATENATE($FK$12,Fixtures!FR$25))="","",IF(INDIRECT(CONCATENATE($FK$12,Fixtures!FR$25))=Fixtures!$DN33,CONCATENATE(FR$10,", "),""))</f>
        <v/>
      </c>
      <c r="FS33" s="631" t="str">
        <f ca="1">IF(INDIRECT(CONCATENATE($FK$12,Fixtures!FS$25))="","",IF(INDIRECT(CONCATENATE($FK$12,Fixtures!FS$25))=Fixtures!$DN33,CONCATENATE(FS$10,", "),""))</f>
        <v/>
      </c>
      <c r="FT33" s="604" t="str">
        <f ca="1">IF(INDIRECT(CONCATENATE($FK$12,Fixtures!FT$25))="","",IF(INDIRECT(CONCATENATE($FK$12,Fixtures!FT$25))=Fixtures!$DN33,CONCATENATE(FT$10,", "),""))</f>
        <v/>
      </c>
      <c r="FU33" s="605" t="str">
        <f ca="1">IF(INDIRECT(CONCATENATE($FK$12,Fixtures!FU$25))="","",IF(INDIRECT(CONCATENATE($FK$12,Fixtures!FU$25))=Fixtures!$DN33,CONCATENATE(FU$10,", "),""))</f>
        <v/>
      </c>
      <c r="FV33" s="631" t="str">
        <f ca="1">IF(INDIRECT(CONCATENATE($FK$12,Fixtures!FV$25))="","",IF(INDIRECT(CONCATENATE($FK$12,Fixtures!FV$25))=Fixtures!$DN33,CONCATENATE(FV$10,", "),""))</f>
        <v/>
      </c>
      <c r="FW33" s="632" t="str">
        <f ca="1">IF(INDIRECT(CONCATENATE($FK$12,Fixtures!FW$25))="","",IF(INDIRECT(CONCATENATE($FK$12,Fixtures!FW$25))=Fixtures!$DN33,CONCATENATE(FW$10,", "),""))</f>
        <v/>
      </c>
      <c r="FX33" s="632" t="str">
        <f ca="1">IF(INDIRECT(CONCATENATE($FK$12,Fixtures!FX$25))="","",IF(INDIRECT(CONCATENATE($FK$12,Fixtures!FX$25))=Fixtures!$DN33,CONCATENATE(FX$10,", "),""))</f>
        <v/>
      </c>
      <c r="FY33" s="632" t="str">
        <f ca="1">IF(INDIRECT(CONCATENATE($FK$12,Fixtures!FY$25))="","",IF(INDIRECT(CONCATENATE($FK$12,Fixtures!FY$25))=Fixtures!$DN33,CONCATENATE(FY$10,", "),""))</f>
        <v/>
      </c>
      <c r="FZ33" s="632" t="str">
        <f ca="1">IF(INDIRECT(CONCATENATE($FK$12,Fixtures!FZ$25))="","",IF(INDIRECT(CONCATENATE($FK$12,Fixtures!FZ$25))=Fixtures!$DN33,CONCATENATE(FZ$10,", "),""))</f>
        <v/>
      </c>
      <c r="GA33" s="632" t="str">
        <f ca="1">IF(INDIRECT(CONCATENATE($FK$12,Fixtures!GA$25))="","",IF(INDIRECT(CONCATENATE($FK$12,Fixtures!GA$25))=Fixtures!$DN33,CONCATENATE(GA$10,", "),""))</f>
        <v/>
      </c>
      <c r="GB33" s="632" t="str">
        <f ca="1">IF(INDIRECT(CONCATENATE($FK$12,Fixtures!GB$25))="","",IF(INDIRECT(CONCATENATE($FK$12,Fixtures!GB$25))=Fixtures!$DN33,CONCATENATE(GB$10,", "),""))</f>
        <v/>
      </c>
      <c r="GC33" s="632" t="str">
        <f ca="1">IF(INDIRECT(CONCATENATE($FK$12,Fixtures!GC$25))="","",IF(INDIRECT(CONCATENATE($FK$12,Fixtures!GC$25))=Fixtures!$DN33,CONCATENATE(GC$10,", "),""))</f>
        <v/>
      </c>
      <c r="GD33" s="632" t="str">
        <f ca="1">IF(INDIRECT(CONCATENATE($FK$12,Fixtures!GD$25))="","",IF(INDIRECT(CONCATENATE($FK$12,Fixtures!GD$25))=Fixtures!$DN33,CONCATENATE(GD$10,", "),""))</f>
        <v/>
      </c>
      <c r="GE33" s="632" t="str">
        <f ca="1">IF(INDIRECT(CONCATENATE($FK$12,Fixtures!GE$25))="","",IF(INDIRECT(CONCATENATE($FK$12,Fixtures!GE$25))=Fixtures!$DN33,CONCATENATE(GE$10,", "),""))</f>
        <v/>
      </c>
      <c r="GF33" s="632" t="str">
        <f ca="1">IF(INDIRECT(CONCATENATE($FK$12,Fixtures!GF$25))="","",IF(INDIRECT(CONCATENATE($FK$12,Fixtures!GF$25))=Fixtures!$DN33,CONCATENATE(GF$10,", "),""))</f>
        <v/>
      </c>
      <c r="GG33" s="632" t="str">
        <f ca="1">IF(INDIRECT(CONCATENATE($FK$12,Fixtures!GG$25))="","",IF(INDIRECT(CONCATENATE($FK$12,Fixtures!GG$25))=Fixtures!$DN33,CONCATENATE(GG$10,", "),""))</f>
        <v/>
      </c>
      <c r="GH33" s="632" t="str">
        <f ca="1">IF(INDIRECT(CONCATENATE($FK$12,Fixtures!GH$25))="","",IF(INDIRECT(CONCATENATE($FK$12,Fixtures!GH$25))=Fixtures!$DN33,CONCATENATE(GH$10,", "),""))</f>
        <v/>
      </c>
      <c r="GI33" s="606" t="str">
        <f ca="1">IF(INDIRECT(CONCATENATE($FK$12,Fixtures!GI$25))="","",IF(INDIRECT(CONCATENATE($FK$12,Fixtures!GI$25))=Fixtures!$DN33,CONCATENATE(GI$10,", "),""))</f>
        <v/>
      </c>
      <c r="GJ33" s="607" t="str">
        <f ca="1">IF(INDIRECT(CONCATENATE($FK$12,Fixtures!GJ$25))="","",IF(INDIRECT(CONCATENATE($FK$12,Fixtures!GJ$25))=Fixtures!$DN33,CONCATENATE(GJ$10,", "),""))</f>
        <v/>
      </c>
      <c r="GK33" s="632" t="str">
        <f ca="1">IF(INDIRECT(CONCATENATE($FK$12,Fixtures!GK$25))="","",IF(INDIRECT(CONCATENATE($FK$12,Fixtures!GK$25))=Fixtures!$DN33,CONCATENATE(GK$10,", "),""))</f>
        <v/>
      </c>
      <c r="GL33" s="632" t="str">
        <f ca="1">IF(INDIRECT(CONCATENATE($FK$12,Fixtures!GL$25))="","",IF(INDIRECT(CONCATENATE($FK$12,Fixtures!GL$25))=Fixtures!$DN33,CONCATENATE(GL$10,", "),""))</f>
        <v/>
      </c>
      <c r="GM33" s="632" t="str">
        <f ca="1">IF(INDIRECT(CONCATENATE($FK$12,Fixtures!GM$25))="","",IF(INDIRECT(CONCATENATE($FK$12,Fixtures!GM$25))=Fixtures!$DN33,CONCATENATE(GM$10,", "),""))</f>
        <v/>
      </c>
      <c r="GN33" s="632" t="str">
        <f ca="1">IF(INDIRECT(CONCATENATE($FK$12,Fixtures!GN$25))="","",IF(INDIRECT(CONCATENATE($FK$12,Fixtures!GN$25))=Fixtures!$DN33,CONCATENATE(GN$10,", "),""))</f>
        <v/>
      </c>
      <c r="GO33" s="632" t="str">
        <f ca="1">IF(INDIRECT(CONCATENATE($FK$12,Fixtures!GO$25))="","",IF(INDIRECT(CONCATENATE($FK$12,Fixtures!GO$25))=Fixtures!$DN33,CONCATENATE(GO$10,", "),""))</f>
        <v/>
      </c>
      <c r="GP33" s="632" t="str">
        <f ca="1">IF(INDIRECT(CONCATENATE($FK$12,Fixtures!GP$25))="","",IF(INDIRECT(CONCATENATE($FK$12,Fixtures!GP$25))=Fixtures!$DN33,CONCATENATE(GP$10,", "),""))</f>
        <v/>
      </c>
      <c r="GQ33" s="632" t="str">
        <f ca="1">IF(INDIRECT(CONCATENATE($FK$12,Fixtures!GQ$25))="","",IF(INDIRECT(CONCATENATE($FK$12,Fixtures!GQ$25))=Fixtures!$DN33,CONCATENATE(GQ$10,", "),""))</f>
        <v/>
      </c>
      <c r="GR33" s="632" t="str">
        <f ca="1">IF(INDIRECT(CONCATENATE($FK$12,Fixtures!GR$25))="","",IF(INDIRECT(CONCATENATE($FK$12,Fixtures!GR$25))=Fixtures!$DN33,CONCATENATE(GR$10,", "),""))</f>
        <v/>
      </c>
      <c r="GS33" s="632" t="str">
        <f ca="1">IF(INDIRECT(CONCATENATE($FK$12,Fixtures!GS$25))="","",IF(INDIRECT(CONCATENATE($FK$12,Fixtures!GS$25))=Fixtures!$DN33,CONCATENATE(GS$10,", "),""))</f>
        <v/>
      </c>
      <c r="GT33" s="632" t="str">
        <f ca="1">IF(INDIRECT(CONCATENATE($FK$12,Fixtures!GT$25))="","",IF(INDIRECT(CONCATENATE($FK$12,Fixtures!GT$25))=Fixtures!$DN33,CONCATENATE(GT$10,", "),""))</f>
        <v/>
      </c>
      <c r="GU33" s="632" t="str">
        <f ca="1">IF(INDIRECT(CONCATENATE($FK$12,Fixtures!GU$25))="","",IF(INDIRECT(CONCATENATE($FK$12,Fixtures!GU$25))=Fixtures!$DN33,CONCATENATE(GU$10,", "),""))</f>
        <v/>
      </c>
      <c r="GV33" s="632" t="str">
        <f ca="1">IF(INDIRECT(CONCATENATE($FK$12,Fixtures!GV$25))="","",IF(INDIRECT(CONCATENATE($FK$12,Fixtures!GV$25))=Fixtures!$DN33,CONCATENATE(GV$10,", "),""))</f>
        <v/>
      </c>
      <c r="GW33" s="632" t="str">
        <f ca="1">IF(INDIRECT(CONCATENATE($FK$12,Fixtures!GW$25))="","",IF(INDIRECT(CONCATENATE($FK$12,Fixtures!GW$25))=Fixtures!$DN33,CONCATENATE(GW$10,", "),""))</f>
        <v/>
      </c>
      <c r="GX33" s="606" t="str">
        <f ca="1">IF(INDIRECT(CONCATENATE($FK$12,Fixtures!GX$25))="","",IF(INDIRECT(CONCATENATE($FK$12,Fixtures!GX$25))=Fixtures!$DN33,CONCATENATE(GX$10,", "),""))</f>
        <v/>
      </c>
      <c r="GY33" s="607" t="str">
        <f ca="1">IF(INDIRECT(CONCATENATE($FK$12,Fixtures!GY$25))="","",IF(INDIRECT(CONCATENATE($FK$12,Fixtures!GY$25))=Fixtures!$DN33,CONCATENATE(GY$10,", "),""))</f>
        <v/>
      </c>
      <c r="GZ33" s="632" t="str">
        <f ca="1">IF(INDIRECT(CONCATENATE($FK$12,Fixtures!GZ$25))="","",IF(INDIRECT(CONCATENATE($FK$12,Fixtures!GZ$25))=Fixtures!$DN33,CONCATENATE(GZ$10,", "),""))</f>
        <v/>
      </c>
      <c r="HA33" s="632" t="str">
        <f ca="1">IF(INDIRECT(CONCATENATE($FK$12,Fixtures!HA$25))="","",IF(INDIRECT(CONCATENATE($FK$12,Fixtures!HA$25))=Fixtures!$DN33,CONCATENATE(HA$10,", "),""))</f>
        <v/>
      </c>
      <c r="HB33" s="632" t="str">
        <f ca="1">IF(INDIRECT(CONCATENATE($FK$12,Fixtures!HB$25))="","",IF(INDIRECT(CONCATENATE($FK$12,Fixtures!HB$25))=Fixtures!$DN33,CONCATENATE(HB$10,", "),""))</f>
        <v/>
      </c>
      <c r="HC33" s="632" t="str">
        <f ca="1">IF(INDIRECT(CONCATENATE($FK$12,Fixtures!HC$25))="","",IF(INDIRECT(CONCATENATE($FK$12,Fixtures!HC$25))=Fixtures!$DN33,CONCATENATE(HC$10,", "),""))</f>
        <v/>
      </c>
      <c r="HD33" s="632" t="str">
        <f ca="1">IF(INDIRECT(CONCATENATE($FK$12,Fixtures!HD$25))="","",IF(INDIRECT(CONCATENATE($FK$12,Fixtures!HD$25))=Fixtures!$DN33,CONCATENATE(HD$10,", "),""))</f>
        <v/>
      </c>
      <c r="HE33" s="632" t="str">
        <f ca="1">IF(INDIRECT(CONCATENATE($FK$12,Fixtures!HE$25))="","",IF(INDIRECT(CONCATENATE($FK$12,Fixtures!HE$25))=Fixtures!$DN33,CONCATENATE(HE$10,", "),""))</f>
        <v/>
      </c>
      <c r="HF33" s="632" t="str">
        <f ca="1">IF(INDIRECT(CONCATENATE($FK$12,Fixtures!HF$25))="","",IF(INDIRECT(CONCATENATE($FK$12,Fixtures!HF$25))=Fixtures!$DN33,CONCATENATE(HF$10,", "),""))</f>
        <v/>
      </c>
      <c r="HG33" s="632" t="str">
        <f ca="1">IF(INDIRECT(CONCATENATE($FK$12,Fixtures!HG$25))="","",IF(INDIRECT(CONCATENATE($FK$12,Fixtures!HG$25))=Fixtures!$DN33,CONCATENATE(HG$10,", "),""))</f>
        <v/>
      </c>
      <c r="HH33" s="632" t="str">
        <f ca="1">IF(INDIRECT(CONCATENATE($FK$12,Fixtures!HH$25))="","",IF(INDIRECT(CONCATENATE($FK$12,Fixtures!HH$25))=Fixtures!$DN33,CONCATENATE(HH$10,", "),""))</f>
        <v/>
      </c>
      <c r="HI33" s="632" t="str">
        <f ca="1">IF(INDIRECT(CONCATENATE($FK$12,Fixtures!HI$25))="","",IF(INDIRECT(CONCATENATE($FK$12,Fixtures!HI$25))=Fixtures!$DN33,CONCATENATE(HI$10,", "),""))</f>
        <v/>
      </c>
      <c r="HJ33" s="632" t="str">
        <f ca="1">IF(INDIRECT(CONCATENATE($FK$12,Fixtures!HJ$25))="","",IF(INDIRECT(CONCATENATE($FK$12,Fixtures!HJ$25))=Fixtures!$DN33,CONCATENATE(HJ$10,", "),""))</f>
        <v/>
      </c>
      <c r="HK33" s="632" t="str">
        <f ca="1">IF(INDIRECT(CONCATENATE($FK$12,Fixtures!HK$25))="","",IF(INDIRECT(CONCATENATE($FK$12,Fixtures!HK$25))=Fixtures!$DN33,CONCATENATE(HK$10,", "),""))</f>
        <v/>
      </c>
      <c r="HL33" s="632" t="str">
        <f ca="1">IF(INDIRECT(CONCATENATE($FK$12,Fixtures!HL$25))="","",IF(INDIRECT(CONCATENATE($FK$12,Fixtures!HL$25))=Fixtures!$DN33,CONCATENATE(HL$10,", "),""))</f>
        <v/>
      </c>
      <c r="HM33" s="606" t="str">
        <f ca="1">IF(INDIRECT(CONCATENATE($FK$12,Fixtures!HM$25))="","",IF(INDIRECT(CONCATENATE($FK$12,Fixtures!HM$25))=Fixtures!$DN33,CONCATENATE(HM$10,", "),""))</f>
        <v/>
      </c>
      <c r="HN33" s="607" t="str">
        <f ca="1">IF(INDIRECT(CONCATENATE($FK$12,Fixtures!HN$25))="","",IF(INDIRECT(CONCATENATE($FK$12,Fixtures!HN$25))=Fixtures!$DN33,CONCATENATE(HN$10,", "),""))</f>
        <v/>
      </c>
      <c r="HO33" s="632" t="str">
        <f ca="1">IF(INDIRECT(CONCATENATE($FK$12,Fixtures!HO$25))="","",IF(INDIRECT(CONCATENATE($FK$12,Fixtures!HO$25))=Fixtures!$DN33,CONCATENATE(HO$10,", "),""))</f>
        <v/>
      </c>
      <c r="HP33" s="632" t="str">
        <f ca="1">IF(INDIRECT(CONCATENATE($FK$12,Fixtures!HP$25))="","",IF(INDIRECT(CONCATENATE($FK$12,Fixtures!HP$25))=Fixtures!$DN33,CONCATENATE(HP$10,", "),""))</f>
        <v/>
      </c>
      <c r="HQ33" s="632" t="str">
        <f ca="1">IF(INDIRECT(CONCATENATE($FK$12,Fixtures!HQ$25))="","",IF(INDIRECT(CONCATENATE($FK$12,Fixtures!HQ$25))=Fixtures!$DN33,CONCATENATE(HQ$10,", "),""))</f>
        <v/>
      </c>
      <c r="HR33" s="632" t="str">
        <f ca="1">IF(INDIRECT(CONCATENATE($FK$12,Fixtures!HR$25))="","",IF(INDIRECT(CONCATENATE($FK$12,Fixtures!HR$25))=Fixtures!$DN33,CONCATENATE(HR$10,", "),""))</f>
        <v/>
      </c>
      <c r="HS33" s="632" t="str">
        <f ca="1">IF(INDIRECT(CONCATENATE($FK$12,Fixtures!HS$25))="","",IF(INDIRECT(CONCATENATE($FK$12,Fixtures!HS$25))=Fixtures!$DN33,CONCATENATE(HS$10,", "),""))</f>
        <v/>
      </c>
      <c r="HT33" s="632" t="str">
        <f ca="1">IF(INDIRECT(CONCATENATE($FK$12,Fixtures!HT$25))="","",IF(INDIRECT(CONCATENATE($FK$12,Fixtures!HT$25))=Fixtures!$DN33,CONCATENATE(HT$10,", "),""))</f>
        <v/>
      </c>
      <c r="HU33" s="632" t="str">
        <f ca="1">IF(INDIRECT(CONCATENATE($FK$12,Fixtures!HU$25))="","",IF(INDIRECT(CONCATENATE($FK$12,Fixtures!HU$25))=Fixtures!$DN33,CONCATENATE(HU$10,", "),""))</f>
        <v/>
      </c>
      <c r="HV33" s="632" t="str">
        <f ca="1">IF(INDIRECT(CONCATENATE($FK$12,Fixtures!HV$25))="","",IF(INDIRECT(CONCATENATE($FK$12,Fixtures!HV$25))=Fixtures!$DN33,CONCATENATE(HV$10,", "),""))</f>
        <v/>
      </c>
      <c r="HW33" s="632" t="str">
        <f ca="1">IF(INDIRECT(CONCATENATE($FK$12,Fixtures!HW$25))="","",IF(INDIRECT(CONCATENATE($FK$12,Fixtures!HW$25))=Fixtures!$DN33,CONCATENATE(HW$10,", "),""))</f>
        <v/>
      </c>
      <c r="HX33" s="632" t="str">
        <f ca="1">IF(INDIRECT(CONCATENATE($FK$12,Fixtures!HX$25))="","",IF(INDIRECT(CONCATENATE($FK$12,Fixtures!HX$25))=Fixtures!$DN33,CONCATENATE(HX$10,", "),""))</f>
        <v/>
      </c>
      <c r="HY33" s="632" t="str">
        <f ca="1">IF(INDIRECT(CONCATENATE($FK$12,Fixtures!HY$25))="","",IF(INDIRECT(CONCATENATE($FK$12,Fixtures!HY$25))=Fixtures!$DN33,CONCATENATE(HY$10,", "),""))</f>
        <v/>
      </c>
      <c r="HZ33" s="632" t="str">
        <f ca="1">IF(INDIRECT(CONCATENATE($FK$12,Fixtures!HZ$25))="","",IF(INDIRECT(CONCATENATE($FK$12,Fixtures!HZ$25))=Fixtures!$DN33,CONCATENATE(HZ$10,", "),""))</f>
        <v/>
      </c>
      <c r="IA33" s="632" t="str">
        <f ca="1">IF(INDIRECT(CONCATENATE($FK$12,Fixtures!IA$25))="","",IF(INDIRECT(CONCATENATE($FK$12,Fixtures!IA$25))=Fixtures!$DN33,CONCATENATE(IA$10,", "),""))</f>
        <v/>
      </c>
      <c r="IB33" s="606" t="str">
        <f ca="1">IF(INDIRECT(CONCATENATE($FK$12,Fixtures!IB$25))="","",IF(INDIRECT(CONCATENATE($FK$12,Fixtures!IB$25))=Fixtures!$DN33,CONCATENATE(IB$10,", "),""))</f>
        <v/>
      </c>
      <c r="IC33" s="607" t="str">
        <f ca="1">IF(INDIRECT(CONCATENATE($FK$12,Fixtures!IC$25))="","",IF(INDIRECT(CONCATENATE($FK$12,Fixtures!IC$25))=Fixtures!$DN33,CONCATENATE(IC$10,", "),""))</f>
        <v/>
      </c>
      <c r="ID33" s="632" t="str">
        <f ca="1">IF(INDIRECT(CONCATENATE($FK$12,Fixtures!ID$25))="","",IF(INDIRECT(CONCATENATE($FK$12,Fixtures!ID$25))=Fixtures!$DN33,CONCATENATE(ID$10,", "),""))</f>
        <v/>
      </c>
      <c r="IE33" s="632" t="str">
        <f ca="1">IF(INDIRECT(CONCATENATE($FK$12,Fixtures!IE$25))="","",IF(INDIRECT(CONCATENATE($FK$12,Fixtures!IE$25))=Fixtures!$DN33,CONCATENATE(IE$10,", "),""))</f>
        <v/>
      </c>
      <c r="IF33" s="632" t="str">
        <f ca="1">IF(INDIRECT(CONCATENATE($FK$12,Fixtures!IF$25))="","",IF(INDIRECT(CONCATENATE($FK$12,Fixtures!IF$25))=Fixtures!$DN33,CONCATENATE(IF$10,", "),""))</f>
        <v/>
      </c>
      <c r="IG33" s="632" t="str">
        <f ca="1">IF(INDIRECT(CONCATENATE($FK$12,Fixtures!IG$25))="","",IF(INDIRECT(CONCATENATE($FK$12,Fixtures!IG$25))=Fixtures!$DN33,CONCATENATE(IG$10,", "),""))</f>
        <v/>
      </c>
      <c r="IH33" s="632" t="str">
        <f ca="1">IF(INDIRECT(CONCATENATE($FK$12,Fixtures!IH$25))="","",IF(INDIRECT(CONCATENATE($FK$12,Fixtures!IH$25))=Fixtures!$DN33,CONCATENATE(IH$10,", "),""))</f>
        <v/>
      </c>
      <c r="II33" s="632" t="str">
        <f ca="1">IF(INDIRECT(CONCATENATE($FK$12,Fixtures!II$25))="","",IF(INDIRECT(CONCATENATE($FK$12,Fixtures!II$25))=Fixtures!$DN33,CONCATENATE(II$10,", "),""))</f>
        <v/>
      </c>
      <c r="IJ33" s="632" t="str">
        <f ca="1">IF(INDIRECT(CONCATENATE($FK$12,Fixtures!IJ$25))="","",IF(INDIRECT(CONCATENATE($FK$12,Fixtures!IJ$25))=Fixtures!$DN33,CONCATENATE(IJ$10,", "),""))</f>
        <v/>
      </c>
      <c r="IK33" s="632" t="str">
        <f ca="1">IF(INDIRECT(CONCATENATE($FK$12,Fixtures!IK$25))="","",IF(INDIRECT(CONCATENATE($FK$12,Fixtures!IK$25))=Fixtures!$DN33,CONCATENATE(IK$10,", "),""))</f>
        <v/>
      </c>
      <c r="IL33" s="632" t="str">
        <f ca="1">IF(INDIRECT(CONCATENATE($FK$12,Fixtures!IL$25))="","",IF(INDIRECT(CONCATENATE($FK$12,Fixtures!IL$25))=Fixtures!$DN33,CONCATENATE(IL$10,", "),""))</f>
        <v/>
      </c>
      <c r="IM33" s="632" t="str">
        <f ca="1">IF(INDIRECT(CONCATENATE($FK$12,Fixtures!IM$25))="","",IF(INDIRECT(CONCATENATE($FK$12,Fixtures!IM$25))=Fixtures!$DN33,CONCATENATE(IM$10,", "),""))</f>
        <v/>
      </c>
      <c r="IN33" s="632" t="str">
        <f ca="1">IF(INDIRECT(CONCATENATE($FK$12,Fixtures!IN$25))="","",IF(INDIRECT(CONCATENATE($FK$12,Fixtures!IN$25))=Fixtures!$DN33,CONCATENATE(IN$10,", "),""))</f>
        <v/>
      </c>
      <c r="IO33" s="632" t="str">
        <f ca="1">IF(INDIRECT(CONCATENATE($FK$12,Fixtures!IO$25))="","",IF(INDIRECT(CONCATENATE($FK$12,Fixtures!IO$25))=Fixtures!$DN33,CONCATENATE(IO$10,", "),""))</f>
        <v/>
      </c>
      <c r="IP33" s="632" t="str">
        <f ca="1">IF(INDIRECT(CONCATENATE($FK$12,Fixtures!IP$25))="","",IF(INDIRECT(CONCATENATE($FK$12,Fixtures!IP$25))=Fixtures!$DN33,CONCATENATE(IP$10,", "),""))</f>
        <v/>
      </c>
      <c r="IQ33" s="606" t="str">
        <f ca="1">IF(INDIRECT(CONCATENATE($FK$12,Fixtures!IQ$25))="","",IF(INDIRECT(CONCATENATE($FK$12,Fixtures!IQ$25))=Fixtures!$DN33,CONCATENATE(IQ$10,", "),""))</f>
        <v/>
      </c>
      <c r="IR33" s="607" t="str">
        <f ca="1">IF(INDIRECT(CONCATENATE($FK$12,Fixtures!IR$25))="","",IF(INDIRECT(CONCATENATE($FK$12,Fixtures!IR$25))=Fixtures!$DN33,CONCATENATE(IR$10,", "),""))</f>
        <v/>
      </c>
      <c r="IS33" s="632" t="str">
        <f ca="1">IF(INDIRECT(CONCATENATE($FK$12,Fixtures!IS$25))="","",IF(INDIRECT(CONCATENATE($FK$12,Fixtures!IS$25))=Fixtures!$DN33,CONCATENATE(IS$10,", "),""))</f>
        <v/>
      </c>
      <c r="IT33" s="632" t="str">
        <f ca="1">IF(INDIRECT(CONCATENATE($FK$12,Fixtures!IT$25))="","",IF(INDIRECT(CONCATENATE($FK$12,Fixtures!IT$25))=Fixtures!$DN33,CONCATENATE(IT$10,", "),""))</f>
        <v/>
      </c>
      <c r="IU33" s="632" t="str">
        <f ca="1">IF(INDIRECT(CONCATENATE($FK$12,Fixtures!IU$25))="","",IF(INDIRECT(CONCATENATE($FK$12,Fixtures!IU$25))=Fixtures!$DN33,CONCATENATE(IU$10,", "),""))</f>
        <v/>
      </c>
      <c r="IV33" s="632" t="str">
        <f ca="1">IF(INDIRECT(CONCATENATE($FK$12,Fixtures!IV$25))="","",IF(INDIRECT(CONCATENATE($FK$12,Fixtures!IV$25))=Fixtures!$DN33,CONCATENATE(IV$10,", "),""))</f>
        <v/>
      </c>
      <c r="IW33" s="632" t="str">
        <f ca="1">IF(INDIRECT(CONCATENATE($FK$12,Fixtures!IW$25))="","",IF(INDIRECT(CONCATENATE($FK$12,Fixtures!IW$25))=Fixtures!$DN33,CONCATENATE(IW$10,", "),""))</f>
        <v/>
      </c>
      <c r="IX33" s="632" t="str">
        <f ca="1">IF(INDIRECT(CONCATENATE($FK$12,Fixtures!IX$25))="","",IF(INDIRECT(CONCATENATE($FK$12,Fixtures!IX$25))=Fixtures!$DN33,CONCATENATE(IX$10,", "),""))</f>
        <v/>
      </c>
      <c r="IY33" s="632" t="str">
        <f ca="1">IF(INDIRECT(CONCATENATE($FK$12,Fixtures!IY$25))="","",IF(INDIRECT(CONCATENATE($FK$12,Fixtures!IY$25))=Fixtures!$DN33,CONCATENATE(IY$10,", "),""))</f>
        <v/>
      </c>
      <c r="IZ33" s="632" t="str">
        <f ca="1">IF(INDIRECT(CONCATENATE($FK$12,Fixtures!IZ$25))="","",IF(INDIRECT(CONCATENATE($FK$12,Fixtures!IZ$25))=Fixtures!$DN33,CONCATENATE(IZ$10,", "),""))</f>
        <v/>
      </c>
      <c r="JA33" s="632" t="str">
        <f ca="1">IF(INDIRECT(CONCATENATE($FK$12,Fixtures!JA$25))="","",IF(INDIRECT(CONCATENATE($FK$12,Fixtures!JA$25))=Fixtures!$DN33,CONCATENATE(JA$10,", "),""))</f>
        <v/>
      </c>
      <c r="JB33" s="632" t="str">
        <f ca="1">IF(INDIRECT(CONCATENATE($FK$12,Fixtures!JB$25))="","",IF(INDIRECT(CONCATENATE($FK$12,Fixtures!JB$25))=Fixtures!$DN33,CONCATENATE(JB$10,", "),""))</f>
        <v/>
      </c>
      <c r="JC33" s="632" t="str">
        <f ca="1">IF(INDIRECT(CONCATENATE($FK$12,Fixtures!JC$25))="","",IF(INDIRECT(CONCATENATE($FK$12,Fixtures!JC$25))=Fixtures!$DN33,CONCATENATE(JC$10,", "),""))</f>
        <v/>
      </c>
      <c r="JD33" s="632" t="str">
        <f ca="1">IF(INDIRECT(CONCATENATE($FK$12,Fixtures!JD$25))="","",IF(INDIRECT(CONCATENATE($FK$12,Fixtures!JD$25))=Fixtures!$DN33,CONCATENATE(JD$10,", "),""))</f>
        <v/>
      </c>
      <c r="JE33" s="632" t="str">
        <f ca="1">IF(INDIRECT(CONCATENATE($FK$12,Fixtures!JE$25))="","",IF(INDIRECT(CONCATENATE($FK$12,Fixtures!JE$25))=Fixtures!$DN33,CONCATENATE(JE$10,", "),""))</f>
        <v/>
      </c>
      <c r="JF33" s="606" t="str">
        <f ca="1">IF(INDIRECT(CONCATENATE($FK$12,Fixtures!JF$25))="","",IF(INDIRECT(CONCATENATE($FK$12,Fixtures!JF$25))=Fixtures!$DN33,CONCATENATE(JF$10,", "),""))</f>
        <v/>
      </c>
      <c r="JG33" s="607" t="str">
        <f ca="1">IF(INDIRECT(CONCATENATE($FK$12,Fixtures!JG$25))="","",IF(INDIRECT(CONCATENATE($FK$12,Fixtures!JG$25))=Fixtures!$DN33,CONCATENATE(JG$10,", "),""))</f>
        <v/>
      </c>
      <c r="JH33" s="632" t="str">
        <f ca="1">IF(INDIRECT(CONCATENATE($FK$12,Fixtures!JH$25))="","",IF(INDIRECT(CONCATENATE($FK$12,Fixtures!JH$25))=Fixtures!$DN33,CONCATENATE(JH$10,", "),""))</f>
        <v/>
      </c>
      <c r="JI33" s="632" t="str">
        <f ca="1">IF(INDIRECT(CONCATENATE($FK$12,Fixtures!JI$25))="","",IF(INDIRECT(CONCATENATE($FK$12,Fixtures!JI$25))=Fixtures!$DN33,CONCATENATE(JI$10,", "),""))</f>
        <v/>
      </c>
      <c r="JJ33" s="632" t="str">
        <f ca="1">IF(INDIRECT(CONCATENATE($FK$12,Fixtures!JJ$25))="","",IF(INDIRECT(CONCATENATE($FK$12,Fixtures!JJ$25))=Fixtures!$DN33,CONCATENATE(JJ$10,", "),""))</f>
        <v/>
      </c>
      <c r="JK33" s="632" t="str">
        <f ca="1">IF(INDIRECT(CONCATENATE($FK$12,Fixtures!JK$25))="","",IF(INDIRECT(CONCATENATE($FK$12,Fixtures!JK$25))=Fixtures!$DN33,CONCATENATE(JK$10,", "),""))</f>
        <v/>
      </c>
      <c r="JL33" s="632" t="str">
        <f ca="1">IF(INDIRECT(CONCATENATE($FK$12,Fixtures!JL$25))="","",IF(INDIRECT(CONCATENATE($FK$12,Fixtures!JL$25))=Fixtures!$DN33,CONCATENATE(JL$10,", "),""))</f>
        <v/>
      </c>
      <c r="JM33" s="632" t="str">
        <f ca="1">IF(INDIRECT(CONCATENATE($FK$12,Fixtures!JM$25))="","",IF(INDIRECT(CONCATENATE($FK$12,Fixtures!JM$25))=Fixtures!$DN33,CONCATENATE(JM$10,", "),""))</f>
        <v/>
      </c>
      <c r="JN33" s="632" t="str">
        <f ca="1">IF(INDIRECT(CONCATENATE($FK$12,Fixtures!JN$25))="","",IF(INDIRECT(CONCATENATE($FK$12,Fixtures!JN$25))=Fixtures!$DN33,CONCATENATE(JN$10,", "),""))</f>
        <v/>
      </c>
      <c r="JO33" s="632" t="str">
        <f ca="1">IF(INDIRECT(CONCATENATE($FK$12,Fixtures!JO$25))="","",IF(INDIRECT(CONCATENATE($FK$12,Fixtures!JO$25))=Fixtures!$DN33,CONCATENATE(JO$10,", "),""))</f>
        <v/>
      </c>
      <c r="JP33" s="632" t="str">
        <f ca="1">IF(INDIRECT(CONCATENATE($FK$12,Fixtures!JP$25))="","",IF(INDIRECT(CONCATENATE($FK$12,Fixtures!JP$25))=Fixtures!$DN33,CONCATENATE(JP$10,", "),""))</f>
        <v/>
      </c>
      <c r="JQ33" s="632" t="str">
        <f ca="1">IF(INDIRECT(CONCATENATE($FK$12,Fixtures!JQ$25))="","",IF(INDIRECT(CONCATENATE($FK$12,Fixtures!JQ$25))=Fixtures!$DN33,CONCATENATE(JQ$10,", "),""))</f>
        <v/>
      </c>
      <c r="JR33" s="632" t="str">
        <f ca="1">IF(INDIRECT(CONCATENATE($FK$12,Fixtures!JR$25))="","",IF(INDIRECT(CONCATENATE($FK$12,Fixtures!JR$25))=Fixtures!$DN33,CONCATENATE(JR$10,", "),""))</f>
        <v/>
      </c>
      <c r="JS33" s="632" t="str">
        <f ca="1">IF(INDIRECT(CONCATENATE($FK$12,Fixtures!JS$25))="","",IF(INDIRECT(CONCATENATE($FK$12,Fixtures!JS$25))=Fixtures!$DN33,CONCATENATE(JS$10,", "),""))</f>
        <v/>
      </c>
      <c r="JT33" s="632" t="str">
        <f ca="1">IF(INDIRECT(CONCATENATE($FK$12,Fixtures!JT$25))="","",IF(INDIRECT(CONCATENATE($FK$12,Fixtures!JT$25))=Fixtures!$DN33,CONCATENATE(JT$10,", "),""))</f>
        <v/>
      </c>
      <c r="JU33" s="606" t="str">
        <f ca="1">IF(INDIRECT(CONCATENATE($FK$12,Fixtures!JU$25))="","",IF(INDIRECT(CONCATENATE($FK$12,Fixtures!JU$25))=Fixtures!$DN33,CONCATENATE(JU$10,", "),""))</f>
        <v/>
      </c>
      <c r="JV33" s="607" t="str">
        <f ca="1">IF(INDIRECT(CONCATENATE($FK$12,Fixtures!JV$25))="","",IF(INDIRECT(CONCATENATE($FK$12,Fixtures!JV$25))=Fixtures!$DN33,CONCATENATE(JV$10,", "),""))</f>
        <v/>
      </c>
      <c r="JW33" s="632" t="str">
        <f ca="1">IF(INDIRECT(CONCATENATE($FK$12,Fixtures!JW$25))="","",IF(INDIRECT(CONCATENATE($FK$12,Fixtures!JW$25))=Fixtures!$DN33,CONCATENATE(JW$10,", "),""))</f>
        <v/>
      </c>
      <c r="JX33" s="632" t="str">
        <f ca="1">IF(INDIRECT(CONCATENATE($FK$12,Fixtures!JX$25))="","",IF(INDIRECT(CONCATENATE($FK$12,Fixtures!JX$25))=Fixtures!$DN33,CONCATENATE(JX$10,", "),""))</f>
        <v/>
      </c>
      <c r="JY33" s="632" t="str">
        <f ca="1">IF(INDIRECT(CONCATENATE($FK$12,Fixtures!JY$25))="","",IF(INDIRECT(CONCATENATE($FK$12,Fixtures!JY$25))=Fixtures!$DN33,CONCATENATE(JY$10,", "),""))</f>
        <v/>
      </c>
      <c r="JZ33" s="632" t="str">
        <f ca="1">IF(INDIRECT(CONCATENATE($FK$12,Fixtures!JZ$25))="","",IF(INDIRECT(CONCATENATE($FK$12,Fixtures!JZ$25))=Fixtures!$DN33,CONCATENATE(JZ$10,", "),""))</f>
        <v/>
      </c>
      <c r="KA33" s="632" t="str">
        <f ca="1">IF(INDIRECT(CONCATENATE($FK$12,Fixtures!KA$25))="","",IF(INDIRECT(CONCATENATE($FK$12,Fixtures!KA$25))=Fixtures!$DN33,CONCATENATE(KA$10,", "),""))</f>
        <v/>
      </c>
      <c r="KB33" s="632" t="str">
        <f ca="1">IF(INDIRECT(CONCATENATE($FK$12,Fixtures!KB$25))="","",IF(INDIRECT(CONCATENATE($FK$12,Fixtures!KB$25))=Fixtures!$DN33,CONCATENATE(KB$10,", "),""))</f>
        <v/>
      </c>
      <c r="KC33" s="632" t="str">
        <f ca="1">IF(INDIRECT(CONCATENATE($FK$12,Fixtures!KC$25))="","",IF(INDIRECT(CONCATENATE($FK$12,Fixtures!KC$25))=Fixtures!$DN33,CONCATENATE(KC$10,", "),""))</f>
        <v/>
      </c>
      <c r="KD33" s="632" t="str">
        <f ca="1">IF(INDIRECT(CONCATENATE($FK$12,Fixtures!KD$25))="","",IF(INDIRECT(CONCATENATE($FK$12,Fixtures!KD$25))=Fixtures!$DN33,CONCATENATE(KD$10,", "),""))</f>
        <v/>
      </c>
      <c r="KE33" s="632" t="str">
        <f ca="1">IF(INDIRECT(CONCATENATE($FK$12,Fixtures!KE$25))="","",IF(INDIRECT(CONCATENATE($FK$12,Fixtures!KE$25))=Fixtures!$DN33,CONCATENATE(KE$10,", "),""))</f>
        <v/>
      </c>
      <c r="KF33" s="632" t="str">
        <f ca="1">IF(INDIRECT(CONCATENATE($FK$12,Fixtures!KF$25))="","",IF(INDIRECT(CONCATENATE($FK$12,Fixtures!KF$25))=Fixtures!$DN33,CONCATENATE(KF$10,", "),""))</f>
        <v/>
      </c>
      <c r="KG33" s="632" t="str">
        <f ca="1">IF(INDIRECT(CONCATENATE($FK$12,Fixtures!KG$25))="","",IF(INDIRECT(CONCATENATE($FK$12,Fixtures!KG$25))=Fixtures!$DN33,CONCATENATE(KG$10,", "),""))</f>
        <v/>
      </c>
      <c r="KH33" s="632" t="str">
        <f ca="1">IF(INDIRECT(CONCATENATE($FK$12,Fixtures!KH$25))="","",IF(INDIRECT(CONCATENATE($FK$12,Fixtures!KH$25))=Fixtures!$DN33,CONCATENATE(KH$10,", "),""))</f>
        <v/>
      </c>
      <c r="KI33" s="632" t="str">
        <f ca="1">IF(INDIRECT(CONCATENATE($FK$12,Fixtures!KI$25))="","",IF(INDIRECT(CONCATENATE($FK$12,Fixtures!KI$25))=Fixtures!$DN33,CONCATENATE(KI$10,", "),""))</f>
        <v/>
      </c>
      <c r="KJ33" s="606" t="str">
        <f ca="1">IF(INDIRECT(CONCATENATE($FK$12,Fixtures!KJ$25))="","",IF(INDIRECT(CONCATENATE($FK$12,Fixtures!KJ$25))=Fixtures!$DN33,CONCATENATE(KJ$10,", "),""))</f>
        <v/>
      </c>
      <c r="KK33" s="607" t="str">
        <f ca="1">IF(INDIRECT(CONCATENATE($FK$12,Fixtures!KK$25))="","",IF(INDIRECT(CONCATENATE($FK$12,Fixtures!KK$25))=Fixtures!$DN33,CONCATENATE(KK$10,", "),""))</f>
        <v/>
      </c>
      <c r="KL33" s="632" t="str">
        <f ca="1">IF(INDIRECT(CONCATENATE($FK$12,Fixtures!KL$25))="","",IF(INDIRECT(CONCATENATE($FK$12,Fixtures!KL$25))=Fixtures!$DN33,CONCATENATE(KL$10,", "),""))</f>
        <v/>
      </c>
      <c r="KM33" s="632" t="str">
        <f ca="1">IF(INDIRECT(CONCATENATE($FK$12,Fixtures!KM$25))="","",IF(INDIRECT(CONCATENATE($FK$12,Fixtures!KM$25))=Fixtures!$DN33,CONCATENATE(KM$10,", "),""))</f>
        <v/>
      </c>
      <c r="KN33" s="632" t="str">
        <f ca="1">IF(INDIRECT(CONCATENATE($FK$12,Fixtures!KN$25))="","",IF(INDIRECT(CONCATENATE($FK$12,Fixtures!KN$25))=Fixtures!$DN33,CONCATENATE(KN$10,", "),""))</f>
        <v/>
      </c>
      <c r="KO33" s="632" t="str">
        <f ca="1">IF(INDIRECT(CONCATENATE($FK$12,Fixtures!KO$25))="","",IF(INDIRECT(CONCATENATE($FK$12,Fixtures!KO$25))=Fixtures!$DN33,CONCATENATE(KO$10,", "),""))</f>
        <v/>
      </c>
      <c r="KP33" s="632" t="str">
        <f ca="1">IF(INDIRECT(CONCATENATE($FK$12,Fixtures!KP$25))="","",IF(INDIRECT(CONCATENATE($FK$12,Fixtures!KP$25))=Fixtures!$DN33,CONCATENATE(KP$10,", "),""))</f>
        <v/>
      </c>
      <c r="KQ33" s="632" t="str">
        <f ca="1">IF(INDIRECT(CONCATENATE($FK$12,Fixtures!KQ$25))="","",IF(INDIRECT(CONCATENATE($FK$12,Fixtures!KQ$25))=Fixtures!$DN33,CONCATENATE(KQ$10,", "),""))</f>
        <v/>
      </c>
      <c r="KR33" s="632" t="str">
        <f ca="1">IF(INDIRECT(CONCATENATE($FK$12,Fixtures!KR$25))="","",IF(INDIRECT(CONCATENATE($FK$12,Fixtures!KR$25))=Fixtures!$DN33,CONCATENATE(KR$10,", "),""))</f>
        <v/>
      </c>
      <c r="KS33" s="632" t="str">
        <f ca="1">IF(INDIRECT(CONCATENATE($FK$12,Fixtures!KS$25))="","",IF(INDIRECT(CONCATENATE($FK$12,Fixtures!KS$25))=Fixtures!$DN33,CONCATENATE(KS$10,", "),""))</f>
        <v/>
      </c>
      <c r="KT33" s="632" t="str">
        <f ca="1">IF(INDIRECT(CONCATENATE($FK$12,Fixtures!KT$25))="","",IF(INDIRECT(CONCATENATE($FK$12,Fixtures!KT$25))=Fixtures!$DN33,CONCATENATE(KT$10,", "),""))</f>
        <v/>
      </c>
      <c r="KU33" s="632" t="str">
        <f ca="1">IF(INDIRECT(CONCATENATE($FK$12,Fixtures!KU$25))="","",IF(INDIRECT(CONCATENATE($FK$12,Fixtures!KU$25))=Fixtures!$DN33,CONCATENATE(KU$10,", "),""))</f>
        <v/>
      </c>
      <c r="KV33" s="632" t="str">
        <f ca="1">IF(INDIRECT(CONCATENATE($FK$12,Fixtures!KV$25))="","",IF(INDIRECT(CONCATENATE($FK$12,Fixtures!KV$25))=Fixtures!$DN33,CONCATENATE(KV$10,", "),""))</f>
        <v/>
      </c>
      <c r="KW33" s="632" t="str">
        <f ca="1">IF(INDIRECT(CONCATENATE($FK$12,Fixtures!KW$25))="","",IF(INDIRECT(CONCATENATE($FK$12,Fixtures!KW$25))=Fixtures!$DN33,CONCATENATE(KW$10,", "),""))</f>
        <v/>
      </c>
      <c r="KX33" s="632" t="str">
        <f ca="1">IF(INDIRECT(CONCATENATE($FK$12,Fixtures!KX$25))="","",IF(INDIRECT(CONCATENATE($FK$12,Fixtures!KX$25))=Fixtures!$DN33,CONCATENATE(KX$10,", "),""))</f>
        <v/>
      </c>
      <c r="KY33" s="632"/>
      <c r="KZ33" s="46"/>
      <c r="LA33" s="46" t="str">
        <f t="shared" ca="1" si="7"/>
        <v/>
      </c>
      <c r="LB33" s="46"/>
      <c r="LC33" s="1010"/>
      <c r="LD33" s="1009" t="str">
        <f t="shared" si="20"/>
        <v/>
      </c>
    </row>
    <row r="34" spans="1:316" ht="28.2" customHeight="1" thickTop="1" thickBot="1">
      <c r="A34" s="426" t="str">
        <f t="shared" si="13"/>
        <v/>
      </c>
      <c r="C34" s="1640" t="str">
        <f t="shared" si="14"/>
        <v/>
      </c>
      <c r="D34" s="1641"/>
      <c r="E34" s="1568" t="str">
        <f t="shared" si="15"/>
        <v/>
      </c>
      <c r="F34" s="1569"/>
      <c r="G34" s="1569"/>
      <c r="H34" s="1569"/>
      <c r="I34" s="1569"/>
      <c r="J34" s="1569"/>
      <c r="K34" s="1569"/>
      <c r="L34" s="1569"/>
      <c r="M34" s="1642"/>
      <c r="N34" s="203" t="str">
        <f t="shared" si="16"/>
        <v/>
      </c>
      <c r="O34" s="541"/>
      <c r="P34" s="1638" t="str">
        <f t="shared" si="25"/>
        <v/>
      </c>
      <c r="Q34" s="1639"/>
      <c r="R34" s="1568" t="str">
        <f t="shared" si="17"/>
        <v/>
      </c>
      <c r="S34" s="1569"/>
      <c r="T34" s="1569"/>
      <c r="U34" s="1569"/>
      <c r="V34" s="1569"/>
      <c r="W34" s="1569"/>
      <c r="X34" s="1569"/>
      <c r="Y34" s="203" t="str">
        <f t="shared" si="26"/>
        <v/>
      </c>
      <c r="Z34" s="203" t="str">
        <f t="shared" si="27"/>
        <v/>
      </c>
      <c r="AA34" s="394" t="str">
        <f t="shared" si="28"/>
        <v/>
      </c>
      <c r="AB34" s="489"/>
      <c r="AC34" s="1564" t="str">
        <f t="shared" si="18"/>
        <v/>
      </c>
      <c r="AD34" s="1565"/>
      <c r="AE34" s="1565"/>
      <c r="AF34" s="1565"/>
      <c r="AG34" s="1565"/>
      <c r="AH34" s="1565"/>
      <c r="AK34">
        <f>SUMIFS(Installations!CV$46:CV$803,Installations!CW$46:CW$803,E34,Installations!IC$46:IC$803,TRUE)</f>
        <v>0</v>
      </c>
      <c r="AL34">
        <f>SUMIFS(Installations!CV$46:CV$803,Installations!CW$46:CW$803,R34,Installations!IC$46:IC$803,TRUE)</f>
        <v>0</v>
      </c>
      <c r="BL34" s="9"/>
      <c r="BM34" s="622" t="str">
        <f t="shared" si="19"/>
        <v/>
      </c>
      <c r="BN34" s="52"/>
      <c r="BO34" s="52"/>
      <c r="BP34" s="52"/>
      <c r="BQ34" s="52"/>
      <c r="BR34" s="52"/>
      <c r="BS34" s="52"/>
      <c r="BT34" s="52"/>
      <c r="BU34" s="373"/>
      <c r="BV34" s="219" t="str">
        <f>IF(CN34&lt;&gt;"Yes","",IFERROR(VLOOKUP(CU34,Existing!A$4:F$367,2,FALSE),""))</f>
        <v/>
      </c>
      <c r="BW34" s="9">
        <v>8</v>
      </c>
      <c r="BX34" s="1625"/>
      <c r="BY34" s="1626"/>
      <c r="BZ34" s="1626"/>
      <c r="CA34" s="1627"/>
      <c r="CB34" s="1622"/>
      <c r="CC34" s="1623"/>
      <c r="CD34" s="1623"/>
      <c r="CE34" s="1624"/>
      <c r="CF34" s="1621"/>
      <c r="CG34" s="1621"/>
      <c r="CH34" s="1621"/>
      <c r="CI34" s="1621"/>
      <c r="CJ34" s="1621"/>
      <c r="CK34" s="1621"/>
      <c r="CL34" s="1621"/>
      <c r="CM34" s="1621"/>
      <c r="CN34" s="1553" t="str">
        <f t="shared" si="0"/>
        <v/>
      </c>
      <c r="CO34" s="1554"/>
      <c r="CP34" s="229" t="str">
        <f>IFERROR(IF(CB34="Existing TLED",CR34*CW34*CY34,VLOOKUP(CU34,Existing!A$3:F$356,6,FALSE)),"")</f>
        <v/>
      </c>
      <c r="CQ34" s="9"/>
      <c r="CR34" s="1660"/>
      <c r="CS34" s="1661"/>
      <c r="CT34" s="9"/>
      <c r="CU34" s="425" t="str">
        <f t="shared" si="21"/>
        <v/>
      </c>
      <c r="CV34" s="426" t="b">
        <f t="shared" si="22"/>
        <v>0</v>
      </c>
      <c r="CW34" s="426" t="str">
        <f t="shared" si="23"/>
        <v/>
      </c>
      <c r="CX34" s="426">
        <f>IFERROR(VLOOKUP(CF34,Lookup!T$100:V$102,3,FALSE),0)</f>
        <v>0</v>
      </c>
      <c r="CY34" s="426">
        <f t="shared" si="8"/>
        <v>1.1100000000000001</v>
      </c>
      <c r="CZ34" s="626" t="b">
        <f t="shared" si="1"/>
        <v>0</v>
      </c>
      <c r="DA34" s="626" t="b">
        <f>IF(CF34&lt;&gt;"",IF(ISERROR(MATCH(CONCATENATE(CB34," - ",CF34),Existing!G$4:G$331,0))=TRUE,FALSE,TRUE),TRUE)</f>
        <v>1</v>
      </c>
      <c r="DB34" s="626" t="b">
        <f t="shared" si="2"/>
        <v>1</v>
      </c>
      <c r="DL34" s="9"/>
      <c r="DM34" s="627" t="s">
        <v>215</v>
      </c>
      <c r="DN34" s="375" t="str">
        <f t="shared" si="3"/>
        <v/>
      </c>
      <c r="DO34" s="52"/>
      <c r="DP34" s="52"/>
      <c r="DQ34" s="52"/>
      <c r="DR34" s="52"/>
      <c r="DS34" s="52"/>
      <c r="DT34" s="226"/>
      <c r="DU34" s="376"/>
      <c r="DV34" s="227" t="str">
        <f t="shared" si="4"/>
        <v/>
      </c>
      <c r="DW34" s="224">
        <v>8</v>
      </c>
      <c r="DX34" s="1572"/>
      <c r="DY34" s="1573"/>
      <c r="DZ34" s="1573"/>
      <c r="EA34" s="1574"/>
      <c r="EB34" s="1618"/>
      <c r="EC34" s="1619"/>
      <c r="ED34" s="1619"/>
      <c r="EE34" s="1620"/>
      <c r="EF34" s="1578"/>
      <c r="EG34" s="1579"/>
      <c r="EH34" s="1572"/>
      <c r="EI34" s="1573"/>
      <c r="EJ34" s="1573"/>
      <c r="EK34" s="1574"/>
      <c r="EL34" s="1575"/>
      <c r="EM34" s="1576"/>
      <c r="EN34" s="1576"/>
      <c r="EO34" s="1577"/>
      <c r="EP34" s="1578"/>
      <c r="EQ34" s="1579"/>
      <c r="ER34" s="1555"/>
      <c r="ES34" s="1556"/>
      <c r="ET34" s="1553" t="str">
        <f t="shared" si="9"/>
        <v/>
      </c>
      <c r="EU34" s="1554"/>
      <c r="EV34" s="1553" t="str">
        <f t="shared" si="5"/>
        <v/>
      </c>
      <c r="EW34" s="1554"/>
      <c r="EX34" s="393"/>
      <c r="EY34" s="225" t="str">
        <f t="shared" si="6"/>
        <v/>
      </c>
      <c r="EZ34" s="225" t="str">
        <f>IFERROR(VLOOKUP(EB34,Lookup!AT$3:AU$13,2,FALSE),"")</f>
        <v/>
      </c>
      <c r="FA34" s="426" t="b">
        <f>IFERROR(IF(VLOOKUP(EB34,Lookup!AT$6:AU$8,2,FALSE)&gt;3,TRUE,FALSE),FALSE)</f>
        <v>0</v>
      </c>
      <c r="FB34" s="426" t="str">
        <f t="shared" si="10"/>
        <v/>
      </c>
      <c r="FC34" t="str">
        <f t="shared" ca="1" si="11"/>
        <v/>
      </c>
      <c r="FG34" t="str">
        <f t="shared" ca="1" si="12"/>
        <v/>
      </c>
      <c r="FI34" s="204" t="str">
        <f t="shared" ca="1" si="24"/>
        <v/>
      </c>
      <c r="FJ34" s="204"/>
      <c r="FK34" s="631" t="str">
        <f ca="1">IF(INDIRECT(CONCATENATE($FK$12,Fixtures!FK$25))="","",IF(INDIRECT(CONCATENATE($FK$12,Fixtures!FK$25))=Fixtures!$DN34,CONCATENATE(FK$10,", "),""))</f>
        <v/>
      </c>
      <c r="FL34" s="631" t="str">
        <f ca="1">IF(INDIRECT(CONCATENATE($FK$12,Fixtures!FL$25))="","",IF(INDIRECT(CONCATENATE($FK$12,Fixtures!FL$25))=Fixtures!$DN34,CONCATENATE(FL$10,", "),""))</f>
        <v/>
      </c>
      <c r="FM34" s="631" t="str">
        <f ca="1">IF(INDIRECT(CONCATENATE($FK$12,Fixtures!FM$25))="","",IF(INDIRECT(CONCATENATE($FK$12,Fixtures!FM$25))=Fixtures!$DN34,CONCATENATE(FM$10,", "),""))</f>
        <v/>
      </c>
      <c r="FN34" s="631" t="str">
        <f ca="1">IF(INDIRECT(CONCATENATE($FK$12,Fixtures!FN$25))="","",IF(INDIRECT(CONCATENATE($FK$12,Fixtures!FN$25))=Fixtures!$DN34,CONCATENATE(FN$10,", "),""))</f>
        <v/>
      </c>
      <c r="FO34" s="631" t="str">
        <f ca="1">IF(INDIRECT(CONCATENATE($FK$12,Fixtures!FO$25))="","",IF(INDIRECT(CONCATENATE($FK$12,Fixtures!FO$25))=Fixtures!$DN34,CONCATENATE(FO$10,", "),""))</f>
        <v/>
      </c>
      <c r="FP34" s="631" t="str">
        <f ca="1">IF(INDIRECT(CONCATENATE($FK$12,Fixtures!FP$25))="","",IF(INDIRECT(CONCATENATE($FK$12,Fixtures!FP$25))=Fixtures!$DN34,CONCATENATE(FP$10,", "),""))</f>
        <v/>
      </c>
      <c r="FQ34" s="631" t="str">
        <f ca="1">IF(INDIRECT(CONCATENATE($FK$12,Fixtures!FQ$25))="","",IF(INDIRECT(CONCATENATE($FK$12,Fixtures!FQ$25))=Fixtures!$DN34,CONCATENATE(FQ$10,", "),""))</f>
        <v/>
      </c>
      <c r="FR34" s="631" t="str">
        <f ca="1">IF(INDIRECT(CONCATENATE($FK$12,Fixtures!FR$25))="","",IF(INDIRECT(CONCATENATE($FK$12,Fixtures!FR$25))=Fixtures!$DN34,CONCATENATE(FR$10,", "),""))</f>
        <v/>
      </c>
      <c r="FS34" s="631" t="str">
        <f ca="1">IF(INDIRECT(CONCATENATE($FK$12,Fixtures!FS$25))="","",IF(INDIRECT(CONCATENATE($FK$12,Fixtures!FS$25))=Fixtures!$DN34,CONCATENATE(FS$10,", "),""))</f>
        <v/>
      </c>
      <c r="FT34" s="604" t="str">
        <f ca="1">IF(INDIRECT(CONCATENATE($FK$12,Fixtures!FT$25))="","",IF(INDIRECT(CONCATENATE($FK$12,Fixtures!FT$25))=Fixtures!$DN34,CONCATENATE(FT$10,", "),""))</f>
        <v/>
      </c>
      <c r="FU34" s="605" t="str">
        <f ca="1">IF(INDIRECT(CONCATENATE($FK$12,Fixtures!FU$25))="","",IF(INDIRECT(CONCATENATE($FK$12,Fixtures!FU$25))=Fixtures!$DN34,CONCATENATE(FU$10,", "),""))</f>
        <v/>
      </c>
      <c r="FV34" s="631" t="str">
        <f ca="1">IF(INDIRECT(CONCATENATE($FK$12,Fixtures!FV$25))="","",IF(INDIRECT(CONCATENATE($FK$12,Fixtures!FV$25))=Fixtures!$DN34,CONCATENATE(FV$10,", "),""))</f>
        <v/>
      </c>
      <c r="FW34" s="632" t="str">
        <f ca="1">IF(INDIRECT(CONCATENATE($FK$12,Fixtures!FW$25))="","",IF(INDIRECT(CONCATENATE($FK$12,Fixtures!FW$25))=Fixtures!$DN34,CONCATENATE(FW$10,", "),""))</f>
        <v/>
      </c>
      <c r="FX34" s="632" t="str">
        <f ca="1">IF(INDIRECT(CONCATENATE($FK$12,Fixtures!FX$25))="","",IF(INDIRECT(CONCATENATE($FK$12,Fixtures!FX$25))=Fixtures!$DN34,CONCATENATE(FX$10,", "),""))</f>
        <v/>
      </c>
      <c r="FY34" s="632" t="str">
        <f ca="1">IF(INDIRECT(CONCATENATE($FK$12,Fixtures!FY$25))="","",IF(INDIRECT(CONCATENATE($FK$12,Fixtures!FY$25))=Fixtures!$DN34,CONCATENATE(FY$10,", "),""))</f>
        <v/>
      </c>
      <c r="FZ34" s="632" t="str">
        <f ca="1">IF(INDIRECT(CONCATENATE($FK$12,Fixtures!FZ$25))="","",IF(INDIRECT(CONCATENATE($FK$12,Fixtures!FZ$25))=Fixtures!$DN34,CONCATENATE(FZ$10,", "),""))</f>
        <v/>
      </c>
      <c r="GA34" s="632" t="str">
        <f ca="1">IF(INDIRECT(CONCATENATE($FK$12,Fixtures!GA$25))="","",IF(INDIRECT(CONCATENATE($FK$12,Fixtures!GA$25))=Fixtures!$DN34,CONCATENATE(GA$10,", "),""))</f>
        <v/>
      </c>
      <c r="GB34" s="632" t="str">
        <f ca="1">IF(INDIRECT(CONCATENATE($FK$12,Fixtures!GB$25))="","",IF(INDIRECT(CONCATENATE($FK$12,Fixtures!GB$25))=Fixtures!$DN34,CONCATENATE(GB$10,", "),""))</f>
        <v/>
      </c>
      <c r="GC34" s="632" t="str">
        <f ca="1">IF(INDIRECT(CONCATENATE($FK$12,Fixtures!GC$25))="","",IF(INDIRECT(CONCATENATE($FK$12,Fixtures!GC$25))=Fixtures!$DN34,CONCATENATE(GC$10,", "),""))</f>
        <v/>
      </c>
      <c r="GD34" s="632" t="str">
        <f ca="1">IF(INDIRECT(CONCATENATE($FK$12,Fixtures!GD$25))="","",IF(INDIRECT(CONCATENATE($FK$12,Fixtures!GD$25))=Fixtures!$DN34,CONCATENATE(GD$10,", "),""))</f>
        <v/>
      </c>
      <c r="GE34" s="632" t="str">
        <f ca="1">IF(INDIRECT(CONCATENATE($FK$12,Fixtures!GE$25))="","",IF(INDIRECT(CONCATENATE($FK$12,Fixtures!GE$25))=Fixtures!$DN34,CONCATENATE(GE$10,", "),""))</f>
        <v/>
      </c>
      <c r="GF34" s="632" t="str">
        <f ca="1">IF(INDIRECT(CONCATENATE($FK$12,Fixtures!GF$25))="","",IF(INDIRECT(CONCATENATE($FK$12,Fixtures!GF$25))=Fixtures!$DN34,CONCATENATE(GF$10,", "),""))</f>
        <v/>
      </c>
      <c r="GG34" s="632" t="str">
        <f ca="1">IF(INDIRECT(CONCATENATE($FK$12,Fixtures!GG$25))="","",IF(INDIRECT(CONCATENATE($FK$12,Fixtures!GG$25))=Fixtures!$DN34,CONCATENATE(GG$10,", "),""))</f>
        <v/>
      </c>
      <c r="GH34" s="632" t="str">
        <f ca="1">IF(INDIRECT(CONCATENATE($FK$12,Fixtures!GH$25))="","",IF(INDIRECT(CONCATENATE($FK$12,Fixtures!GH$25))=Fixtures!$DN34,CONCATENATE(GH$10,", "),""))</f>
        <v/>
      </c>
      <c r="GI34" s="606" t="str">
        <f ca="1">IF(INDIRECT(CONCATENATE($FK$12,Fixtures!GI$25))="","",IF(INDIRECT(CONCATENATE($FK$12,Fixtures!GI$25))=Fixtures!$DN34,CONCATENATE(GI$10,", "),""))</f>
        <v/>
      </c>
      <c r="GJ34" s="607" t="str">
        <f ca="1">IF(INDIRECT(CONCATENATE($FK$12,Fixtures!GJ$25))="","",IF(INDIRECT(CONCATENATE($FK$12,Fixtures!GJ$25))=Fixtures!$DN34,CONCATENATE(GJ$10,", "),""))</f>
        <v/>
      </c>
      <c r="GK34" s="632" t="str">
        <f ca="1">IF(INDIRECT(CONCATENATE($FK$12,Fixtures!GK$25))="","",IF(INDIRECT(CONCATENATE($FK$12,Fixtures!GK$25))=Fixtures!$DN34,CONCATENATE(GK$10,", "),""))</f>
        <v/>
      </c>
      <c r="GL34" s="632" t="str">
        <f ca="1">IF(INDIRECT(CONCATENATE($FK$12,Fixtures!GL$25))="","",IF(INDIRECT(CONCATENATE($FK$12,Fixtures!GL$25))=Fixtures!$DN34,CONCATENATE(GL$10,", "),""))</f>
        <v/>
      </c>
      <c r="GM34" s="632" t="str">
        <f ca="1">IF(INDIRECT(CONCATENATE($FK$12,Fixtures!GM$25))="","",IF(INDIRECT(CONCATENATE($FK$12,Fixtures!GM$25))=Fixtures!$DN34,CONCATENATE(GM$10,", "),""))</f>
        <v/>
      </c>
      <c r="GN34" s="632" t="str">
        <f ca="1">IF(INDIRECT(CONCATENATE($FK$12,Fixtures!GN$25))="","",IF(INDIRECT(CONCATENATE($FK$12,Fixtures!GN$25))=Fixtures!$DN34,CONCATENATE(GN$10,", "),""))</f>
        <v/>
      </c>
      <c r="GO34" s="632" t="str">
        <f ca="1">IF(INDIRECT(CONCATENATE($FK$12,Fixtures!GO$25))="","",IF(INDIRECT(CONCATENATE($FK$12,Fixtures!GO$25))=Fixtures!$DN34,CONCATENATE(GO$10,", "),""))</f>
        <v/>
      </c>
      <c r="GP34" s="632" t="str">
        <f ca="1">IF(INDIRECT(CONCATENATE($FK$12,Fixtures!GP$25))="","",IF(INDIRECT(CONCATENATE($FK$12,Fixtures!GP$25))=Fixtures!$DN34,CONCATENATE(GP$10,", "),""))</f>
        <v/>
      </c>
      <c r="GQ34" s="632" t="str">
        <f ca="1">IF(INDIRECT(CONCATENATE($FK$12,Fixtures!GQ$25))="","",IF(INDIRECT(CONCATENATE($FK$12,Fixtures!GQ$25))=Fixtures!$DN34,CONCATENATE(GQ$10,", "),""))</f>
        <v/>
      </c>
      <c r="GR34" s="632" t="str">
        <f ca="1">IF(INDIRECT(CONCATENATE($FK$12,Fixtures!GR$25))="","",IF(INDIRECT(CONCATENATE($FK$12,Fixtures!GR$25))=Fixtures!$DN34,CONCATENATE(GR$10,", "),""))</f>
        <v/>
      </c>
      <c r="GS34" s="632" t="str">
        <f ca="1">IF(INDIRECT(CONCATENATE($FK$12,Fixtures!GS$25))="","",IF(INDIRECT(CONCATENATE($FK$12,Fixtures!GS$25))=Fixtures!$DN34,CONCATENATE(GS$10,", "),""))</f>
        <v/>
      </c>
      <c r="GT34" s="632" t="str">
        <f ca="1">IF(INDIRECT(CONCATENATE($FK$12,Fixtures!GT$25))="","",IF(INDIRECT(CONCATENATE($FK$12,Fixtures!GT$25))=Fixtures!$DN34,CONCATENATE(GT$10,", "),""))</f>
        <v/>
      </c>
      <c r="GU34" s="632" t="str">
        <f ca="1">IF(INDIRECT(CONCATENATE($FK$12,Fixtures!GU$25))="","",IF(INDIRECT(CONCATENATE($FK$12,Fixtures!GU$25))=Fixtures!$DN34,CONCATENATE(GU$10,", "),""))</f>
        <v/>
      </c>
      <c r="GV34" s="632" t="str">
        <f ca="1">IF(INDIRECT(CONCATENATE($FK$12,Fixtures!GV$25))="","",IF(INDIRECT(CONCATENATE($FK$12,Fixtures!GV$25))=Fixtures!$DN34,CONCATENATE(GV$10,", "),""))</f>
        <v/>
      </c>
      <c r="GW34" s="632" t="str">
        <f ca="1">IF(INDIRECT(CONCATENATE($FK$12,Fixtures!GW$25))="","",IF(INDIRECT(CONCATENATE($FK$12,Fixtures!GW$25))=Fixtures!$DN34,CONCATENATE(GW$10,", "),""))</f>
        <v/>
      </c>
      <c r="GX34" s="606" t="str">
        <f ca="1">IF(INDIRECT(CONCATENATE($FK$12,Fixtures!GX$25))="","",IF(INDIRECT(CONCATENATE($FK$12,Fixtures!GX$25))=Fixtures!$DN34,CONCATENATE(GX$10,", "),""))</f>
        <v/>
      </c>
      <c r="GY34" s="607" t="str">
        <f ca="1">IF(INDIRECT(CONCATENATE($FK$12,Fixtures!GY$25))="","",IF(INDIRECT(CONCATENATE($FK$12,Fixtures!GY$25))=Fixtures!$DN34,CONCATENATE(GY$10,", "),""))</f>
        <v/>
      </c>
      <c r="GZ34" s="632" t="str">
        <f ca="1">IF(INDIRECT(CONCATENATE($FK$12,Fixtures!GZ$25))="","",IF(INDIRECT(CONCATENATE($FK$12,Fixtures!GZ$25))=Fixtures!$DN34,CONCATENATE(GZ$10,", "),""))</f>
        <v/>
      </c>
      <c r="HA34" s="632" t="str">
        <f ca="1">IF(INDIRECT(CONCATENATE($FK$12,Fixtures!HA$25))="","",IF(INDIRECT(CONCATENATE($FK$12,Fixtures!HA$25))=Fixtures!$DN34,CONCATENATE(HA$10,", "),""))</f>
        <v/>
      </c>
      <c r="HB34" s="632" t="str">
        <f ca="1">IF(INDIRECT(CONCATENATE($FK$12,Fixtures!HB$25))="","",IF(INDIRECT(CONCATENATE($FK$12,Fixtures!HB$25))=Fixtures!$DN34,CONCATENATE(HB$10,", "),""))</f>
        <v/>
      </c>
      <c r="HC34" s="632" t="str">
        <f ca="1">IF(INDIRECT(CONCATENATE($FK$12,Fixtures!HC$25))="","",IF(INDIRECT(CONCATENATE($FK$12,Fixtures!HC$25))=Fixtures!$DN34,CONCATENATE(HC$10,", "),""))</f>
        <v/>
      </c>
      <c r="HD34" s="632" t="str">
        <f ca="1">IF(INDIRECT(CONCATENATE($FK$12,Fixtures!HD$25))="","",IF(INDIRECT(CONCATENATE($FK$12,Fixtures!HD$25))=Fixtures!$DN34,CONCATENATE(HD$10,", "),""))</f>
        <v/>
      </c>
      <c r="HE34" s="632" t="str">
        <f ca="1">IF(INDIRECT(CONCATENATE($FK$12,Fixtures!HE$25))="","",IF(INDIRECT(CONCATENATE($FK$12,Fixtures!HE$25))=Fixtures!$DN34,CONCATENATE(HE$10,", "),""))</f>
        <v/>
      </c>
      <c r="HF34" s="632" t="str">
        <f ca="1">IF(INDIRECT(CONCATENATE($FK$12,Fixtures!HF$25))="","",IF(INDIRECT(CONCATENATE($FK$12,Fixtures!HF$25))=Fixtures!$DN34,CONCATENATE(HF$10,", "),""))</f>
        <v/>
      </c>
      <c r="HG34" s="632" t="str">
        <f ca="1">IF(INDIRECT(CONCATENATE($FK$12,Fixtures!HG$25))="","",IF(INDIRECT(CONCATENATE($FK$12,Fixtures!HG$25))=Fixtures!$DN34,CONCATENATE(HG$10,", "),""))</f>
        <v/>
      </c>
      <c r="HH34" s="632" t="str">
        <f ca="1">IF(INDIRECT(CONCATENATE($FK$12,Fixtures!HH$25))="","",IF(INDIRECT(CONCATENATE($FK$12,Fixtures!HH$25))=Fixtures!$DN34,CONCATENATE(HH$10,", "),""))</f>
        <v/>
      </c>
      <c r="HI34" s="632" t="str">
        <f ca="1">IF(INDIRECT(CONCATENATE($FK$12,Fixtures!HI$25))="","",IF(INDIRECT(CONCATENATE($FK$12,Fixtures!HI$25))=Fixtures!$DN34,CONCATENATE(HI$10,", "),""))</f>
        <v/>
      </c>
      <c r="HJ34" s="632" t="str">
        <f ca="1">IF(INDIRECT(CONCATENATE($FK$12,Fixtures!HJ$25))="","",IF(INDIRECT(CONCATENATE($FK$12,Fixtures!HJ$25))=Fixtures!$DN34,CONCATENATE(HJ$10,", "),""))</f>
        <v/>
      </c>
      <c r="HK34" s="632" t="str">
        <f ca="1">IF(INDIRECT(CONCATENATE($FK$12,Fixtures!HK$25))="","",IF(INDIRECT(CONCATENATE($FK$12,Fixtures!HK$25))=Fixtures!$DN34,CONCATENATE(HK$10,", "),""))</f>
        <v/>
      </c>
      <c r="HL34" s="632" t="str">
        <f ca="1">IF(INDIRECT(CONCATENATE($FK$12,Fixtures!HL$25))="","",IF(INDIRECT(CONCATENATE($FK$12,Fixtures!HL$25))=Fixtures!$DN34,CONCATENATE(HL$10,", "),""))</f>
        <v/>
      </c>
      <c r="HM34" s="606" t="str">
        <f ca="1">IF(INDIRECT(CONCATENATE($FK$12,Fixtures!HM$25))="","",IF(INDIRECT(CONCATENATE($FK$12,Fixtures!HM$25))=Fixtures!$DN34,CONCATENATE(HM$10,", "),""))</f>
        <v/>
      </c>
      <c r="HN34" s="607" t="str">
        <f ca="1">IF(INDIRECT(CONCATENATE($FK$12,Fixtures!HN$25))="","",IF(INDIRECT(CONCATENATE($FK$12,Fixtures!HN$25))=Fixtures!$DN34,CONCATENATE(HN$10,", "),""))</f>
        <v/>
      </c>
      <c r="HO34" s="632" t="str">
        <f ca="1">IF(INDIRECT(CONCATENATE($FK$12,Fixtures!HO$25))="","",IF(INDIRECT(CONCATENATE($FK$12,Fixtures!HO$25))=Fixtures!$DN34,CONCATENATE(HO$10,", "),""))</f>
        <v/>
      </c>
      <c r="HP34" s="632" t="str">
        <f ca="1">IF(INDIRECT(CONCATENATE($FK$12,Fixtures!HP$25))="","",IF(INDIRECT(CONCATENATE($FK$12,Fixtures!HP$25))=Fixtures!$DN34,CONCATENATE(HP$10,", "),""))</f>
        <v/>
      </c>
      <c r="HQ34" s="632" t="str">
        <f ca="1">IF(INDIRECT(CONCATENATE($FK$12,Fixtures!HQ$25))="","",IF(INDIRECT(CONCATENATE($FK$12,Fixtures!HQ$25))=Fixtures!$DN34,CONCATENATE(HQ$10,", "),""))</f>
        <v/>
      </c>
      <c r="HR34" s="632" t="str">
        <f ca="1">IF(INDIRECT(CONCATENATE($FK$12,Fixtures!HR$25))="","",IF(INDIRECT(CONCATENATE($FK$12,Fixtures!HR$25))=Fixtures!$DN34,CONCATENATE(HR$10,", "),""))</f>
        <v/>
      </c>
      <c r="HS34" s="632" t="str">
        <f ca="1">IF(INDIRECT(CONCATENATE($FK$12,Fixtures!HS$25))="","",IF(INDIRECT(CONCATENATE($FK$12,Fixtures!HS$25))=Fixtures!$DN34,CONCATENATE(HS$10,", "),""))</f>
        <v/>
      </c>
      <c r="HT34" s="632" t="str">
        <f ca="1">IF(INDIRECT(CONCATENATE($FK$12,Fixtures!HT$25))="","",IF(INDIRECT(CONCATENATE($FK$12,Fixtures!HT$25))=Fixtures!$DN34,CONCATENATE(HT$10,", "),""))</f>
        <v/>
      </c>
      <c r="HU34" s="632" t="str">
        <f ca="1">IF(INDIRECT(CONCATENATE($FK$12,Fixtures!HU$25))="","",IF(INDIRECT(CONCATENATE($FK$12,Fixtures!HU$25))=Fixtures!$DN34,CONCATENATE(HU$10,", "),""))</f>
        <v/>
      </c>
      <c r="HV34" s="632" t="str">
        <f ca="1">IF(INDIRECT(CONCATENATE($FK$12,Fixtures!HV$25))="","",IF(INDIRECT(CONCATENATE($FK$12,Fixtures!HV$25))=Fixtures!$DN34,CONCATENATE(HV$10,", "),""))</f>
        <v/>
      </c>
      <c r="HW34" s="632" t="str">
        <f ca="1">IF(INDIRECT(CONCATENATE($FK$12,Fixtures!HW$25))="","",IF(INDIRECT(CONCATENATE($FK$12,Fixtures!HW$25))=Fixtures!$DN34,CONCATENATE(HW$10,", "),""))</f>
        <v/>
      </c>
      <c r="HX34" s="632" t="str">
        <f ca="1">IF(INDIRECT(CONCATENATE($FK$12,Fixtures!HX$25))="","",IF(INDIRECT(CONCATENATE($FK$12,Fixtures!HX$25))=Fixtures!$DN34,CONCATENATE(HX$10,", "),""))</f>
        <v/>
      </c>
      <c r="HY34" s="632" t="str">
        <f ca="1">IF(INDIRECT(CONCATENATE($FK$12,Fixtures!HY$25))="","",IF(INDIRECT(CONCATENATE($FK$12,Fixtures!HY$25))=Fixtures!$DN34,CONCATENATE(HY$10,", "),""))</f>
        <v/>
      </c>
      <c r="HZ34" s="632" t="str">
        <f ca="1">IF(INDIRECT(CONCATENATE($FK$12,Fixtures!HZ$25))="","",IF(INDIRECT(CONCATENATE($FK$12,Fixtures!HZ$25))=Fixtures!$DN34,CONCATENATE(HZ$10,", "),""))</f>
        <v/>
      </c>
      <c r="IA34" s="632" t="str">
        <f ca="1">IF(INDIRECT(CONCATENATE($FK$12,Fixtures!IA$25))="","",IF(INDIRECT(CONCATENATE($FK$12,Fixtures!IA$25))=Fixtures!$DN34,CONCATENATE(IA$10,", "),""))</f>
        <v/>
      </c>
      <c r="IB34" s="606" t="str">
        <f ca="1">IF(INDIRECT(CONCATENATE($FK$12,Fixtures!IB$25))="","",IF(INDIRECT(CONCATENATE($FK$12,Fixtures!IB$25))=Fixtures!$DN34,CONCATENATE(IB$10,", "),""))</f>
        <v/>
      </c>
      <c r="IC34" s="607" t="str">
        <f ca="1">IF(INDIRECT(CONCATENATE($FK$12,Fixtures!IC$25))="","",IF(INDIRECT(CONCATENATE($FK$12,Fixtures!IC$25))=Fixtures!$DN34,CONCATENATE(IC$10,", "),""))</f>
        <v/>
      </c>
      <c r="ID34" s="632" t="str">
        <f ca="1">IF(INDIRECT(CONCATENATE($FK$12,Fixtures!ID$25))="","",IF(INDIRECT(CONCATENATE($FK$12,Fixtures!ID$25))=Fixtures!$DN34,CONCATENATE(ID$10,", "),""))</f>
        <v/>
      </c>
      <c r="IE34" s="632" t="str">
        <f ca="1">IF(INDIRECT(CONCATENATE($FK$12,Fixtures!IE$25))="","",IF(INDIRECT(CONCATENATE($FK$12,Fixtures!IE$25))=Fixtures!$DN34,CONCATENATE(IE$10,", "),""))</f>
        <v/>
      </c>
      <c r="IF34" s="632" t="str">
        <f ca="1">IF(INDIRECT(CONCATENATE($FK$12,Fixtures!IF$25))="","",IF(INDIRECT(CONCATENATE($FK$12,Fixtures!IF$25))=Fixtures!$DN34,CONCATENATE(IF$10,", "),""))</f>
        <v/>
      </c>
      <c r="IG34" s="632" t="str">
        <f ca="1">IF(INDIRECT(CONCATENATE($FK$12,Fixtures!IG$25))="","",IF(INDIRECT(CONCATENATE($FK$12,Fixtures!IG$25))=Fixtures!$DN34,CONCATENATE(IG$10,", "),""))</f>
        <v/>
      </c>
      <c r="IH34" s="632" t="str">
        <f ca="1">IF(INDIRECT(CONCATENATE($FK$12,Fixtures!IH$25))="","",IF(INDIRECT(CONCATENATE($FK$12,Fixtures!IH$25))=Fixtures!$DN34,CONCATENATE(IH$10,", "),""))</f>
        <v/>
      </c>
      <c r="II34" s="632" t="str">
        <f ca="1">IF(INDIRECT(CONCATENATE($FK$12,Fixtures!II$25))="","",IF(INDIRECT(CONCATENATE($FK$12,Fixtures!II$25))=Fixtures!$DN34,CONCATENATE(II$10,", "),""))</f>
        <v/>
      </c>
      <c r="IJ34" s="632" t="str">
        <f ca="1">IF(INDIRECT(CONCATENATE($FK$12,Fixtures!IJ$25))="","",IF(INDIRECT(CONCATENATE($FK$12,Fixtures!IJ$25))=Fixtures!$DN34,CONCATENATE(IJ$10,", "),""))</f>
        <v/>
      </c>
      <c r="IK34" s="632" t="str">
        <f ca="1">IF(INDIRECT(CONCATENATE($FK$12,Fixtures!IK$25))="","",IF(INDIRECT(CONCATENATE($FK$12,Fixtures!IK$25))=Fixtures!$DN34,CONCATENATE(IK$10,", "),""))</f>
        <v/>
      </c>
      <c r="IL34" s="632" t="str">
        <f ca="1">IF(INDIRECT(CONCATENATE($FK$12,Fixtures!IL$25))="","",IF(INDIRECT(CONCATENATE($FK$12,Fixtures!IL$25))=Fixtures!$DN34,CONCATENATE(IL$10,", "),""))</f>
        <v/>
      </c>
      <c r="IM34" s="632" t="str">
        <f ca="1">IF(INDIRECT(CONCATENATE($FK$12,Fixtures!IM$25))="","",IF(INDIRECT(CONCATENATE($FK$12,Fixtures!IM$25))=Fixtures!$DN34,CONCATENATE(IM$10,", "),""))</f>
        <v/>
      </c>
      <c r="IN34" s="632" t="str">
        <f ca="1">IF(INDIRECT(CONCATENATE($FK$12,Fixtures!IN$25))="","",IF(INDIRECT(CONCATENATE($FK$12,Fixtures!IN$25))=Fixtures!$DN34,CONCATENATE(IN$10,", "),""))</f>
        <v/>
      </c>
      <c r="IO34" s="632" t="str">
        <f ca="1">IF(INDIRECT(CONCATENATE($FK$12,Fixtures!IO$25))="","",IF(INDIRECT(CONCATENATE($FK$12,Fixtures!IO$25))=Fixtures!$DN34,CONCATENATE(IO$10,", "),""))</f>
        <v/>
      </c>
      <c r="IP34" s="632" t="str">
        <f ca="1">IF(INDIRECT(CONCATENATE($FK$12,Fixtures!IP$25))="","",IF(INDIRECT(CONCATENATE($FK$12,Fixtures!IP$25))=Fixtures!$DN34,CONCATENATE(IP$10,", "),""))</f>
        <v/>
      </c>
      <c r="IQ34" s="606" t="str">
        <f ca="1">IF(INDIRECT(CONCATENATE($FK$12,Fixtures!IQ$25))="","",IF(INDIRECT(CONCATENATE($FK$12,Fixtures!IQ$25))=Fixtures!$DN34,CONCATENATE(IQ$10,", "),""))</f>
        <v/>
      </c>
      <c r="IR34" s="607" t="str">
        <f ca="1">IF(INDIRECT(CONCATENATE($FK$12,Fixtures!IR$25))="","",IF(INDIRECT(CONCATENATE($FK$12,Fixtures!IR$25))=Fixtures!$DN34,CONCATENATE(IR$10,", "),""))</f>
        <v/>
      </c>
      <c r="IS34" s="632" t="str">
        <f ca="1">IF(INDIRECT(CONCATENATE($FK$12,Fixtures!IS$25))="","",IF(INDIRECT(CONCATENATE($FK$12,Fixtures!IS$25))=Fixtures!$DN34,CONCATENATE(IS$10,", "),""))</f>
        <v/>
      </c>
      <c r="IT34" s="632" t="str">
        <f ca="1">IF(INDIRECT(CONCATENATE($FK$12,Fixtures!IT$25))="","",IF(INDIRECT(CONCATENATE($FK$12,Fixtures!IT$25))=Fixtures!$DN34,CONCATENATE(IT$10,", "),""))</f>
        <v/>
      </c>
      <c r="IU34" s="632" t="str">
        <f ca="1">IF(INDIRECT(CONCATENATE($FK$12,Fixtures!IU$25))="","",IF(INDIRECT(CONCATENATE($FK$12,Fixtures!IU$25))=Fixtures!$DN34,CONCATENATE(IU$10,", "),""))</f>
        <v/>
      </c>
      <c r="IV34" s="632" t="str">
        <f ca="1">IF(INDIRECT(CONCATENATE($FK$12,Fixtures!IV$25))="","",IF(INDIRECT(CONCATENATE($FK$12,Fixtures!IV$25))=Fixtures!$DN34,CONCATENATE(IV$10,", "),""))</f>
        <v/>
      </c>
      <c r="IW34" s="632" t="str">
        <f ca="1">IF(INDIRECT(CONCATENATE($FK$12,Fixtures!IW$25))="","",IF(INDIRECT(CONCATENATE($FK$12,Fixtures!IW$25))=Fixtures!$DN34,CONCATENATE(IW$10,", "),""))</f>
        <v/>
      </c>
      <c r="IX34" s="632" t="str">
        <f ca="1">IF(INDIRECT(CONCATENATE($FK$12,Fixtures!IX$25))="","",IF(INDIRECT(CONCATENATE($FK$12,Fixtures!IX$25))=Fixtures!$DN34,CONCATENATE(IX$10,", "),""))</f>
        <v/>
      </c>
      <c r="IY34" s="632" t="str">
        <f ca="1">IF(INDIRECT(CONCATENATE($FK$12,Fixtures!IY$25))="","",IF(INDIRECT(CONCATENATE($FK$12,Fixtures!IY$25))=Fixtures!$DN34,CONCATENATE(IY$10,", "),""))</f>
        <v/>
      </c>
      <c r="IZ34" s="632" t="str">
        <f ca="1">IF(INDIRECT(CONCATENATE($FK$12,Fixtures!IZ$25))="","",IF(INDIRECT(CONCATENATE($FK$12,Fixtures!IZ$25))=Fixtures!$DN34,CONCATENATE(IZ$10,", "),""))</f>
        <v/>
      </c>
      <c r="JA34" s="632" t="str">
        <f ca="1">IF(INDIRECT(CONCATENATE($FK$12,Fixtures!JA$25))="","",IF(INDIRECT(CONCATENATE($FK$12,Fixtures!JA$25))=Fixtures!$DN34,CONCATENATE(JA$10,", "),""))</f>
        <v/>
      </c>
      <c r="JB34" s="632" t="str">
        <f ca="1">IF(INDIRECT(CONCATENATE($FK$12,Fixtures!JB$25))="","",IF(INDIRECT(CONCATENATE($FK$12,Fixtures!JB$25))=Fixtures!$DN34,CONCATENATE(JB$10,", "),""))</f>
        <v/>
      </c>
      <c r="JC34" s="632" t="str">
        <f ca="1">IF(INDIRECT(CONCATENATE($FK$12,Fixtures!JC$25))="","",IF(INDIRECT(CONCATENATE($FK$12,Fixtures!JC$25))=Fixtures!$DN34,CONCATENATE(JC$10,", "),""))</f>
        <v/>
      </c>
      <c r="JD34" s="632" t="str">
        <f ca="1">IF(INDIRECT(CONCATENATE($FK$12,Fixtures!JD$25))="","",IF(INDIRECT(CONCATENATE($FK$12,Fixtures!JD$25))=Fixtures!$DN34,CONCATENATE(JD$10,", "),""))</f>
        <v/>
      </c>
      <c r="JE34" s="632" t="str">
        <f ca="1">IF(INDIRECT(CONCATENATE($FK$12,Fixtures!JE$25))="","",IF(INDIRECT(CONCATENATE($FK$12,Fixtures!JE$25))=Fixtures!$DN34,CONCATENATE(JE$10,", "),""))</f>
        <v/>
      </c>
      <c r="JF34" s="606" t="str">
        <f ca="1">IF(INDIRECT(CONCATENATE($FK$12,Fixtures!JF$25))="","",IF(INDIRECT(CONCATENATE($FK$12,Fixtures!JF$25))=Fixtures!$DN34,CONCATENATE(JF$10,", "),""))</f>
        <v/>
      </c>
      <c r="JG34" s="607" t="str">
        <f ca="1">IF(INDIRECT(CONCATENATE($FK$12,Fixtures!JG$25))="","",IF(INDIRECT(CONCATENATE($FK$12,Fixtures!JG$25))=Fixtures!$DN34,CONCATENATE(JG$10,", "),""))</f>
        <v/>
      </c>
      <c r="JH34" s="632" t="str">
        <f ca="1">IF(INDIRECT(CONCATENATE($FK$12,Fixtures!JH$25))="","",IF(INDIRECT(CONCATENATE($FK$12,Fixtures!JH$25))=Fixtures!$DN34,CONCATENATE(JH$10,", "),""))</f>
        <v/>
      </c>
      <c r="JI34" s="632" t="str">
        <f ca="1">IF(INDIRECT(CONCATENATE($FK$12,Fixtures!JI$25))="","",IF(INDIRECT(CONCATENATE($FK$12,Fixtures!JI$25))=Fixtures!$DN34,CONCATENATE(JI$10,", "),""))</f>
        <v/>
      </c>
      <c r="JJ34" s="632" t="str">
        <f ca="1">IF(INDIRECT(CONCATENATE($FK$12,Fixtures!JJ$25))="","",IF(INDIRECT(CONCATENATE($FK$12,Fixtures!JJ$25))=Fixtures!$DN34,CONCATENATE(JJ$10,", "),""))</f>
        <v/>
      </c>
      <c r="JK34" s="632" t="str">
        <f ca="1">IF(INDIRECT(CONCATENATE($FK$12,Fixtures!JK$25))="","",IF(INDIRECT(CONCATENATE($FK$12,Fixtures!JK$25))=Fixtures!$DN34,CONCATENATE(JK$10,", "),""))</f>
        <v/>
      </c>
      <c r="JL34" s="632" t="str">
        <f ca="1">IF(INDIRECT(CONCATENATE($FK$12,Fixtures!JL$25))="","",IF(INDIRECT(CONCATENATE($FK$12,Fixtures!JL$25))=Fixtures!$DN34,CONCATENATE(JL$10,", "),""))</f>
        <v/>
      </c>
      <c r="JM34" s="632" t="str">
        <f ca="1">IF(INDIRECT(CONCATENATE($FK$12,Fixtures!JM$25))="","",IF(INDIRECT(CONCATENATE($FK$12,Fixtures!JM$25))=Fixtures!$DN34,CONCATENATE(JM$10,", "),""))</f>
        <v/>
      </c>
      <c r="JN34" s="632" t="str">
        <f ca="1">IF(INDIRECT(CONCATENATE($FK$12,Fixtures!JN$25))="","",IF(INDIRECT(CONCATENATE($FK$12,Fixtures!JN$25))=Fixtures!$DN34,CONCATENATE(JN$10,", "),""))</f>
        <v/>
      </c>
      <c r="JO34" s="632" t="str">
        <f ca="1">IF(INDIRECT(CONCATENATE($FK$12,Fixtures!JO$25))="","",IF(INDIRECT(CONCATENATE($FK$12,Fixtures!JO$25))=Fixtures!$DN34,CONCATENATE(JO$10,", "),""))</f>
        <v/>
      </c>
      <c r="JP34" s="632" t="str">
        <f ca="1">IF(INDIRECT(CONCATENATE($FK$12,Fixtures!JP$25))="","",IF(INDIRECT(CONCATENATE($FK$12,Fixtures!JP$25))=Fixtures!$DN34,CONCATENATE(JP$10,", "),""))</f>
        <v/>
      </c>
      <c r="JQ34" s="632" t="str">
        <f ca="1">IF(INDIRECT(CONCATENATE($FK$12,Fixtures!JQ$25))="","",IF(INDIRECT(CONCATENATE($FK$12,Fixtures!JQ$25))=Fixtures!$DN34,CONCATENATE(JQ$10,", "),""))</f>
        <v/>
      </c>
      <c r="JR34" s="632" t="str">
        <f ca="1">IF(INDIRECT(CONCATENATE($FK$12,Fixtures!JR$25))="","",IF(INDIRECT(CONCATENATE($FK$12,Fixtures!JR$25))=Fixtures!$DN34,CONCATENATE(JR$10,", "),""))</f>
        <v/>
      </c>
      <c r="JS34" s="632" t="str">
        <f ca="1">IF(INDIRECT(CONCATENATE($FK$12,Fixtures!JS$25))="","",IF(INDIRECT(CONCATENATE($FK$12,Fixtures!JS$25))=Fixtures!$DN34,CONCATENATE(JS$10,", "),""))</f>
        <v/>
      </c>
      <c r="JT34" s="632" t="str">
        <f ca="1">IF(INDIRECT(CONCATENATE($FK$12,Fixtures!JT$25))="","",IF(INDIRECT(CONCATENATE($FK$12,Fixtures!JT$25))=Fixtures!$DN34,CONCATENATE(JT$10,", "),""))</f>
        <v/>
      </c>
      <c r="JU34" s="606" t="str">
        <f ca="1">IF(INDIRECT(CONCATENATE($FK$12,Fixtures!JU$25))="","",IF(INDIRECT(CONCATENATE($FK$12,Fixtures!JU$25))=Fixtures!$DN34,CONCATENATE(JU$10,", "),""))</f>
        <v/>
      </c>
      <c r="JV34" s="607" t="str">
        <f ca="1">IF(INDIRECT(CONCATENATE($FK$12,Fixtures!JV$25))="","",IF(INDIRECT(CONCATENATE($FK$12,Fixtures!JV$25))=Fixtures!$DN34,CONCATENATE(JV$10,", "),""))</f>
        <v/>
      </c>
      <c r="JW34" s="632" t="str">
        <f ca="1">IF(INDIRECT(CONCATENATE($FK$12,Fixtures!JW$25))="","",IF(INDIRECT(CONCATENATE($FK$12,Fixtures!JW$25))=Fixtures!$DN34,CONCATENATE(JW$10,", "),""))</f>
        <v/>
      </c>
      <c r="JX34" s="632" t="str">
        <f ca="1">IF(INDIRECT(CONCATENATE($FK$12,Fixtures!JX$25))="","",IF(INDIRECT(CONCATENATE($FK$12,Fixtures!JX$25))=Fixtures!$DN34,CONCATENATE(JX$10,", "),""))</f>
        <v/>
      </c>
      <c r="JY34" s="632" t="str">
        <f ca="1">IF(INDIRECT(CONCATENATE($FK$12,Fixtures!JY$25))="","",IF(INDIRECT(CONCATENATE($FK$12,Fixtures!JY$25))=Fixtures!$DN34,CONCATENATE(JY$10,", "),""))</f>
        <v/>
      </c>
      <c r="JZ34" s="632" t="str">
        <f ca="1">IF(INDIRECT(CONCATENATE($FK$12,Fixtures!JZ$25))="","",IF(INDIRECT(CONCATENATE($FK$12,Fixtures!JZ$25))=Fixtures!$DN34,CONCATENATE(JZ$10,", "),""))</f>
        <v/>
      </c>
      <c r="KA34" s="632" t="str">
        <f ca="1">IF(INDIRECT(CONCATENATE($FK$12,Fixtures!KA$25))="","",IF(INDIRECT(CONCATENATE($FK$12,Fixtures!KA$25))=Fixtures!$DN34,CONCATENATE(KA$10,", "),""))</f>
        <v/>
      </c>
      <c r="KB34" s="632" t="str">
        <f ca="1">IF(INDIRECT(CONCATENATE($FK$12,Fixtures!KB$25))="","",IF(INDIRECT(CONCATENATE($FK$12,Fixtures!KB$25))=Fixtures!$DN34,CONCATENATE(KB$10,", "),""))</f>
        <v/>
      </c>
      <c r="KC34" s="632" t="str">
        <f ca="1">IF(INDIRECT(CONCATENATE($FK$12,Fixtures!KC$25))="","",IF(INDIRECT(CONCATENATE($FK$12,Fixtures!KC$25))=Fixtures!$DN34,CONCATENATE(KC$10,", "),""))</f>
        <v/>
      </c>
      <c r="KD34" s="632" t="str">
        <f ca="1">IF(INDIRECT(CONCATENATE($FK$12,Fixtures!KD$25))="","",IF(INDIRECT(CONCATENATE($FK$12,Fixtures!KD$25))=Fixtures!$DN34,CONCATENATE(KD$10,", "),""))</f>
        <v/>
      </c>
      <c r="KE34" s="632" t="str">
        <f ca="1">IF(INDIRECT(CONCATENATE($FK$12,Fixtures!KE$25))="","",IF(INDIRECT(CONCATENATE($FK$12,Fixtures!KE$25))=Fixtures!$DN34,CONCATENATE(KE$10,", "),""))</f>
        <v/>
      </c>
      <c r="KF34" s="632" t="str">
        <f ca="1">IF(INDIRECT(CONCATENATE($FK$12,Fixtures!KF$25))="","",IF(INDIRECT(CONCATENATE($FK$12,Fixtures!KF$25))=Fixtures!$DN34,CONCATENATE(KF$10,", "),""))</f>
        <v/>
      </c>
      <c r="KG34" s="632" t="str">
        <f ca="1">IF(INDIRECT(CONCATENATE($FK$12,Fixtures!KG$25))="","",IF(INDIRECT(CONCATENATE($FK$12,Fixtures!KG$25))=Fixtures!$DN34,CONCATENATE(KG$10,", "),""))</f>
        <v/>
      </c>
      <c r="KH34" s="632" t="str">
        <f ca="1">IF(INDIRECT(CONCATENATE($FK$12,Fixtures!KH$25))="","",IF(INDIRECT(CONCATENATE($FK$12,Fixtures!KH$25))=Fixtures!$DN34,CONCATENATE(KH$10,", "),""))</f>
        <v/>
      </c>
      <c r="KI34" s="632" t="str">
        <f ca="1">IF(INDIRECT(CONCATENATE($FK$12,Fixtures!KI$25))="","",IF(INDIRECT(CONCATENATE($FK$12,Fixtures!KI$25))=Fixtures!$DN34,CONCATENATE(KI$10,", "),""))</f>
        <v/>
      </c>
      <c r="KJ34" s="606" t="str">
        <f ca="1">IF(INDIRECT(CONCATENATE($FK$12,Fixtures!KJ$25))="","",IF(INDIRECT(CONCATENATE($FK$12,Fixtures!KJ$25))=Fixtures!$DN34,CONCATENATE(KJ$10,", "),""))</f>
        <v/>
      </c>
      <c r="KK34" s="607" t="str">
        <f ca="1">IF(INDIRECT(CONCATENATE($FK$12,Fixtures!KK$25))="","",IF(INDIRECT(CONCATENATE($FK$12,Fixtures!KK$25))=Fixtures!$DN34,CONCATENATE(KK$10,", "),""))</f>
        <v/>
      </c>
      <c r="KL34" s="632" t="str">
        <f ca="1">IF(INDIRECT(CONCATENATE($FK$12,Fixtures!KL$25))="","",IF(INDIRECT(CONCATENATE($FK$12,Fixtures!KL$25))=Fixtures!$DN34,CONCATENATE(KL$10,", "),""))</f>
        <v/>
      </c>
      <c r="KM34" s="632" t="str">
        <f ca="1">IF(INDIRECT(CONCATENATE($FK$12,Fixtures!KM$25))="","",IF(INDIRECT(CONCATENATE($FK$12,Fixtures!KM$25))=Fixtures!$DN34,CONCATENATE(KM$10,", "),""))</f>
        <v/>
      </c>
      <c r="KN34" s="632" t="str">
        <f ca="1">IF(INDIRECT(CONCATENATE($FK$12,Fixtures!KN$25))="","",IF(INDIRECT(CONCATENATE($FK$12,Fixtures!KN$25))=Fixtures!$DN34,CONCATENATE(KN$10,", "),""))</f>
        <v/>
      </c>
      <c r="KO34" s="632" t="str">
        <f ca="1">IF(INDIRECT(CONCATENATE($FK$12,Fixtures!KO$25))="","",IF(INDIRECT(CONCATENATE($FK$12,Fixtures!KO$25))=Fixtures!$DN34,CONCATENATE(KO$10,", "),""))</f>
        <v/>
      </c>
      <c r="KP34" s="632" t="str">
        <f ca="1">IF(INDIRECT(CONCATENATE($FK$12,Fixtures!KP$25))="","",IF(INDIRECT(CONCATENATE($FK$12,Fixtures!KP$25))=Fixtures!$DN34,CONCATENATE(KP$10,", "),""))</f>
        <v/>
      </c>
      <c r="KQ34" s="632" t="str">
        <f ca="1">IF(INDIRECT(CONCATENATE($FK$12,Fixtures!KQ$25))="","",IF(INDIRECT(CONCATENATE($FK$12,Fixtures!KQ$25))=Fixtures!$DN34,CONCATENATE(KQ$10,", "),""))</f>
        <v/>
      </c>
      <c r="KR34" s="632" t="str">
        <f ca="1">IF(INDIRECT(CONCATENATE($FK$12,Fixtures!KR$25))="","",IF(INDIRECT(CONCATENATE($FK$12,Fixtures!KR$25))=Fixtures!$DN34,CONCATENATE(KR$10,", "),""))</f>
        <v/>
      </c>
      <c r="KS34" s="632" t="str">
        <f ca="1">IF(INDIRECT(CONCATENATE($FK$12,Fixtures!KS$25))="","",IF(INDIRECT(CONCATENATE($FK$12,Fixtures!KS$25))=Fixtures!$DN34,CONCATENATE(KS$10,", "),""))</f>
        <v/>
      </c>
      <c r="KT34" s="632" t="str">
        <f ca="1">IF(INDIRECT(CONCATENATE($FK$12,Fixtures!KT$25))="","",IF(INDIRECT(CONCATENATE($FK$12,Fixtures!KT$25))=Fixtures!$DN34,CONCATENATE(KT$10,", "),""))</f>
        <v/>
      </c>
      <c r="KU34" s="632" t="str">
        <f ca="1">IF(INDIRECT(CONCATENATE($FK$12,Fixtures!KU$25))="","",IF(INDIRECT(CONCATENATE($FK$12,Fixtures!KU$25))=Fixtures!$DN34,CONCATENATE(KU$10,", "),""))</f>
        <v/>
      </c>
      <c r="KV34" s="632" t="str">
        <f ca="1">IF(INDIRECT(CONCATENATE($FK$12,Fixtures!KV$25))="","",IF(INDIRECT(CONCATENATE($FK$12,Fixtures!KV$25))=Fixtures!$DN34,CONCATENATE(KV$10,", "),""))</f>
        <v/>
      </c>
      <c r="KW34" s="632" t="str">
        <f ca="1">IF(INDIRECT(CONCATENATE($FK$12,Fixtures!KW$25))="","",IF(INDIRECT(CONCATENATE($FK$12,Fixtures!KW$25))=Fixtures!$DN34,CONCATENATE(KW$10,", "),""))</f>
        <v/>
      </c>
      <c r="KX34" s="632" t="str">
        <f ca="1">IF(INDIRECT(CONCATENATE($FK$12,Fixtures!KX$25))="","",IF(INDIRECT(CONCATENATE($FK$12,Fixtures!KX$25))=Fixtures!$DN34,CONCATENATE(KX$10,", "),""))</f>
        <v/>
      </c>
      <c r="KY34" s="632"/>
      <c r="KZ34" s="46"/>
      <c r="LA34" s="46" t="str">
        <f t="shared" ca="1" si="7"/>
        <v/>
      </c>
      <c r="LB34" s="46"/>
      <c r="LC34" s="1010"/>
      <c r="LD34" s="1009" t="str">
        <f t="shared" si="20"/>
        <v/>
      </c>
    </row>
    <row r="35" spans="1:316" ht="28.2" customHeight="1" thickTop="1" thickBot="1">
      <c r="A35" s="426" t="str">
        <f t="shared" si="13"/>
        <v/>
      </c>
      <c r="C35" s="1640" t="str">
        <f t="shared" si="14"/>
        <v/>
      </c>
      <c r="D35" s="1641"/>
      <c r="E35" s="1568" t="str">
        <f t="shared" si="15"/>
        <v/>
      </c>
      <c r="F35" s="1569"/>
      <c r="G35" s="1569"/>
      <c r="H35" s="1569"/>
      <c r="I35" s="1569"/>
      <c r="J35" s="1569"/>
      <c r="K35" s="1569"/>
      <c r="L35" s="1569"/>
      <c r="M35" s="1642"/>
      <c r="N35" s="203" t="str">
        <f t="shared" si="16"/>
        <v/>
      </c>
      <c r="O35" s="541"/>
      <c r="P35" s="1638" t="str">
        <f t="shared" si="25"/>
        <v/>
      </c>
      <c r="Q35" s="1639"/>
      <c r="R35" s="1568" t="str">
        <f t="shared" si="17"/>
        <v/>
      </c>
      <c r="S35" s="1569"/>
      <c r="T35" s="1569"/>
      <c r="U35" s="1569"/>
      <c r="V35" s="1569"/>
      <c r="W35" s="1569"/>
      <c r="X35" s="1569"/>
      <c r="Y35" s="203" t="str">
        <f t="shared" si="26"/>
        <v/>
      </c>
      <c r="Z35" s="203" t="str">
        <f t="shared" si="27"/>
        <v/>
      </c>
      <c r="AA35" s="394" t="str">
        <f t="shared" si="28"/>
        <v/>
      </c>
      <c r="AB35" s="489"/>
      <c r="AC35" s="1564" t="str">
        <f t="shared" si="18"/>
        <v/>
      </c>
      <c r="AD35" s="1565"/>
      <c r="AE35" s="1565"/>
      <c r="AF35" s="1565"/>
      <c r="AG35" s="1565"/>
      <c r="AH35" s="1565"/>
      <c r="AK35">
        <f>SUMIFS(Installations!CV$46:CV$803,Installations!CW$46:CW$803,E35,Installations!IC$46:IC$803,TRUE)</f>
        <v>0</v>
      </c>
      <c r="AL35">
        <f>SUMIFS(Installations!CV$46:CV$803,Installations!CW$46:CW$803,R35,Installations!IC$46:IC$803,TRUE)</f>
        <v>0</v>
      </c>
      <c r="BL35" s="9"/>
      <c r="BM35" s="622" t="str">
        <f t="shared" si="19"/>
        <v/>
      </c>
      <c r="BN35" s="52"/>
      <c r="BO35" s="52"/>
      <c r="BP35" s="52"/>
      <c r="BQ35" s="52"/>
      <c r="BR35" s="52"/>
      <c r="BS35" s="52"/>
      <c r="BT35" s="52"/>
      <c r="BU35" s="373"/>
      <c r="BV35" s="219" t="str">
        <f>IF(CN35&lt;&gt;"Yes","",IFERROR(VLOOKUP(CU35,Existing!A$4:F$367,2,FALSE),""))</f>
        <v/>
      </c>
      <c r="BW35" s="9">
        <v>9</v>
      </c>
      <c r="BX35" s="1625"/>
      <c r="BY35" s="1626"/>
      <c r="BZ35" s="1626"/>
      <c r="CA35" s="1627"/>
      <c r="CB35" s="1622"/>
      <c r="CC35" s="1623"/>
      <c r="CD35" s="1623"/>
      <c r="CE35" s="1624"/>
      <c r="CF35" s="1621"/>
      <c r="CG35" s="1621"/>
      <c r="CH35" s="1621"/>
      <c r="CI35" s="1621"/>
      <c r="CJ35" s="1621"/>
      <c r="CK35" s="1621"/>
      <c r="CL35" s="1621"/>
      <c r="CM35" s="1621"/>
      <c r="CN35" s="1553" t="str">
        <f t="shared" si="0"/>
        <v/>
      </c>
      <c r="CO35" s="1554"/>
      <c r="CP35" s="229" t="str">
        <f>IFERROR(IF(CB35="Existing TLED",CR35*CW35*CY35,VLOOKUP(CU35,Existing!A$3:F$356,6,FALSE)),"")</f>
        <v/>
      </c>
      <c r="CQ35" s="9"/>
      <c r="CR35" s="1660"/>
      <c r="CS35" s="1661"/>
      <c r="CT35" s="9"/>
      <c r="CU35" s="425" t="str">
        <f t="shared" si="21"/>
        <v/>
      </c>
      <c r="CV35" s="426" t="b">
        <f t="shared" si="22"/>
        <v>0</v>
      </c>
      <c r="CW35" s="426" t="str">
        <f t="shared" si="23"/>
        <v/>
      </c>
      <c r="CX35" s="426">
        <f>IFERROR(VLOOKUP(CF35,Lookup!T$100:V$102,3,FALSE),0)</f>
        <v>0</v>
      </c>
      <c r="CY35" s="426">
        <f t="shared" si="8"/>
        <v>1.1100000000000001</v>
      </c>
      <c r="CZ35" s="626" t="b">
        <f t="shared" si="1"/>
        <v>0</v>
      </c>
      <c r="DA35" s="626" t="b">
        <f>IF(CF35&lt;&gt;"",IF(ISERROR(MATCH(CONCATENATE(CB35," - ",CF35),Existing!G$4:G$331,0))=TRUE,FALSE,TRUE),TRUE)</f>
        <v>1</v>
      </c>
      <c r="DB35" s="626" t="b">
        <f t="shared" si="2"/>
        <v>1</v>
      </c>
      <c r="DL35" s="9"/>
      <c r="DM35" s="627" t="s">
        <v>215</v>
      </c>
      <c r="DN35" s="375" t="str">
        <f t="shared" si="3"/>
        <v/>
      </c>
      <c r="DO35" s="52"/>
      <c r="DP35" s="52"/>
      <c r="DQ35" s="52"/>
      <c r="DR35" s="52"/>
      <c r="DS35" s="52"/>
      <c r="DT35" s="226"/>
      <c r="DU35" s="376"/>
      <c r="DV35" s="227" t="str">
        <f t="shared" si="4"/>
        <v/>
      </c>
      <c r="DW35" s="224">
        <v>9</v>
      </c>
      <c r="DX35" s="1572"/>
      <c r="DY35" s="1573"/>
      <c r="DZ35" s="1573"/>
      <c r="EA35" s="1574"/>
      <c r="EB35" s="1618"/>
      <c r="EC35" s="1619"/>
      <c r="ED35" s="1619"/>
      <c r="EE35" s="1620"/>
      <c r="EF35" s="1578"/>
      <c r="EG35" s="1579"/>
      <c r="EH35" s="1572"/>
      <c r="EI35" s="1573"/>
      <c r="EJ35" s="1573"/>
      <c r="EK35" s="1574"/>
      <c r="EL35" s="1575"/>
      <c r="EM35" s="1576"/>
      <c r="EN35" s="1576"/>
      <c r="EO35" s="1577"/>
      <c r="EP35" s="1578"/>
      <c r="EQ35" s="1579"/>
      <c r="ER35" s="1555"/>
      <c r="ES35" s="1556"/>
      <c r="ET35" s="1553" t="str">
        <f t="shared" si="9"/>
        <v/>
      </c>
      <c r="EU35" s="1554"/>
      <c r="EV35" s="1553" t="str">
        <f t="shared" ref="EV35:EV76" si="29">IF(DX35&lt;&gt;"",IF(OR(EB35="",EF35="",EH35="",EL35="",IF(FA35=FALSE,EP35="",ER35="")),"NO","YES"),"")</f>
        <v/>
      </c>
      <c r="EW35" s="1554"/>
      <c r="EX35" s="393"/>
      <c r="EY35" s="225" t="str">
        <f t="shared" si="6"/>
        <v/>
      </c>
      <c r="EZ35" s="225" t="str">
        <f>IFERROR(VLOOKUP(EB35,Lookup!AT$3:AU$13,2,FALSE),"")</f>
        <v/>
      </c>
      <c r="FA35" s="426" t="b">
        <f>IFERROR(IF(VLOOKUP(EB35,Lookup!AT$6:AU$8,2,FALSE)&gt;3,TRUE,FALSE),FALSE)</f>
        <v>0</v>
      </c>
      <c r="FB35" s="426" t="str">
        <f t="shared" si="10"/>
        <v/>
      </c>
      <c r="FC35" t="str">
        <f t="shared" ca="1" si="11"/>
        <v/>
      </c>
      <c r="FG35" t="str">
        <f t="shared" ca="1" si="12"/>
        <v/>
      </c>
      <c r="FI35" s="204" t="str">
        <f t="shared" ca="1" si="24"/>
        <v/>
      </c>
      <c r="FJ35" s="204"/>
      <c r="FK35" s="631" t="str">
        <f ca="1">IF(INDIRECT(CONCATENATE($FK$12,Fixtures!FK$25))="","",IF(INDIRECT(CONCATENATE($FK$12,Fixtures!FK$25))=Fixtures!$DN35,CONCATENATE(FK$10,", "),""))</f>
        <v/>
      </c>
      <c r="FL35" s="631" t="str">
        <f ca="1">IF(INDIRECT(CONCATENATE($FK$12,Fixtures!FL$25))="","",IF(INDIRECT(CONCATENATE($FK$12,Fixtures!FL$25))=Fixtures!$DN35,CONCATENATE(FL$10,", "),""))</f>
        <v/>
      </c>
      <c r="FM35" s="631" t="str">
        <f ca="1">IF(INDIRECT(CONCATENATE($FK$12,Fixtures!FM$25))="","",IF(INDIRECT(CONCATENATE($FK$12,Fixtures!FM$25))=Fixtures!$DN35,CONCATENATE(FM$10,", "),""))</f>
        <v/>
      </c>
      <c r="FN35" s="631" t="str">
        <f ca="1">IF(INDIRECT(CONCATENATE($FK$12,Fixtures!FN$25))="","",IF(INDIRECT(CONCATENATE($FK$12,Fixtures!FN$25))=Fixtures!$DN35,CONCATENATE(FN$10,", "),""))</f>
        <v/>
      </c>
      <c r="FO35" s="631" t="str">
        <f ca="1">IF(INDIRECT(CONCATENATE($FK$12,Fixtures!FO$25))="","",IF(INDIRECT(CONCATENATE($FK$12,Fixtures!FO$25))=Fixtures!$DN35,CONCATENATE(FO$10,", "),""))</f>
        <v/>
      </c>
      <c r="FP35" s="631" t="str">
        <f ca="1">IF(INDIRECT(CONCATENATE($FK$12,Fixtures!FP$25))="","",IF(INDIRECT(CONCATENATE($FK$12,Fixtures!FP$25))=Fixtures!$DN35,CONCATENATE(FP$10,", "),""))</f>
        <v/>
      </c>
      <c r="FQ35" s="631" t="str">
        <f ca="1">IF(INDIRECT(CONCATENATE($FK$12,Fixtures!FQ$25))="","",IF(INDIRECT(CONCATENATE($FK$12,Fixtures!FQ$25))=Fixtures!$DN35,CONCATENATE(FQ$10,", "),""))</f>
        <v/>
      </c>
      <c r="FR35" s="631" t="str">
        <f ca="1">IF(INDIRECT(CONCATENATE($FK$12,Fixtures!FR$25))="","",IF(INDIRECT(CONCATENATE($FK$12,Fixtures!FR$25))=Fixtures!$DN35,CONCATENATE(FR$10,", "),""))</f>
        <v/>
      </c>
      <c r="FS35" s="631" t="str">
        <f ca="1">IF(INDIRECT(CONCATENATE($FK$12,Fixtures!FS$25))="","",IF(INDIRECT(CONCATENATE($FK$12,Fixtures!FS$25))=Fixtures!$DN35,CONCATENATE(FS$10,", "),""))</f>
        <v/>
      </c>
      <c r="FT35" s="604" t="str">
        <f ca="1">IF(INDIRECT(CONCATENATE($FK$12,Fixtures!FT$25))="","",IF(INDIRECT(CONCATENATE($FK$12,Fixtures!FT$25))=Fixtures!$DN35,CONCATENATE(FT$10,", "),""))</f>
        <v/>
      </c>
      <c r="FU35" s="605" t="str">
        <f ca="1">IF(INDIRECT(CONCATENATE($FK$12,Fixtures!FU$25))="","",IF(INDIRECT(CONCATENATE($FK$12,Fixtures!FU$25))=Fixtures!$DN35,CONCATENATE(FU$10,", "),""))</f>
        <v/>
      </c>
      <c r="FV35" s="631" t="str">
        <f ca="1">IF(INDIRECT(CONCATENATE($FK$12,Fixtures!FV$25))="","",IF(INDIRECT(CONCATENATE($FK$12,Fixtures!FV$25))=Fixtures!$DN35,CONCATENATE(FV$10,", "),""))</f>
        <v/>
      </c>
      <c r="FW35" s="632" t="str">
        <f ca="1">IF(INDIRECT(CONCATENATE($FK$12,Fixtures!FW$25))="","",IF(INDIRECT(CONCATENATE($FK$12,Fixtures!FW$25))=Fixtures!$DN35,CONCATENATE(FW$10,", "),""))</f>
        <v/>
      </c>
      <c r="FX35" s="632" t="str">
        <f ca="1">IF(INDIRECT(CONCATENATE($FK$12,Fixtures!FX$25))="","",IF(INDIRECT(CONCATENATE($FK$12,Fixtures!FX$25))=Fixtures!$DN35,CONCATENATE(FX$10,", "),""))</f>
        <v/>
      </c>
      <c r="FY35" s="632" t="str">
        <f ca="1">IF(INDIRECT(CONCATENATE($FK$12,Fixtures!FY$25))="","",IF(INDIRECT(CONCATENATE($FK$12,Fixtures!FY$25))=Fixtures!$DN35,CONCATENATE(FY$10,", "),""))</f>
        <v/>
      </c>
      <c r="FZ35" s="632" t="str">
        <f ca="1">IF(INDIRECT(CONCATENATE($FK$12,Fixtures!FZ$25))="","",IF(INDIRECT(CONCATENATE($FK$12,Fixtures!FZ$25))=Fixtures!$DN35,CONCATENATE(FZ$10,", "),""))</f>
        <v/>
      </c>
      <c r="GA35" s="632" t="str">
        <f ca="1">IF(INDIRECT(CONCATENATE($FK$12,Fixtures!GA$25))="","",IF(INDIRECT(CONCATENATE($FK$12,Fixtures!GA$25))=Fixtures!$DN35,CONCATENATE(GA$10,", "),""))</f>
        <v/>
      </c>
      <c r="GB35" s="632" t="str">
        <f ca="1">IF(INDIRECT(CONCATENATE($FK$12,Fixtures!GB$25))="","",IF(INDIRECT(CONCATENATE($FK$12,Fixtures!GB$25))=Fixtures!$DN35,CONCATENATE(GB$10,", "),""))</f>
        <v/>
      </c>
      <c r="GC35" s="632" t="str">
        <f ca="1">IF(INDIRECT(CONCATENATE($FK$12,Fixtures!GC$25))="","",IF(INDIRECT(CONCATENATE($FK$12,Fixtures!GC$25))=Fixtures!$DN35,CONCATENATE(GC$10,", "),""))</f>
        <v/>
      </c>
      <c r="GD35" s="632" t="str">
        <f ca="1">IF(INDIRECT(CONCATENATE($FK$12,Fixtures!GD$25))="","",IF(INDIRECT(CONCATENATE($FK$12,Fixtures!GD$25))=Fixtures!$DN35,CONCATENATE(GD$10,", "),""))</f>
        <v/>
      </c>
      <c r="GE35" s="632" t="str">
        <f ca="1">IF(INDIRECT(CONCATENATE($FK$12,Fixtures!GE$25))="","",IF(INDIRECT(CONCATENATE($FK$12,Fixtures!GE$25))=Fixtures!$DN35,CONCATENATE(GE$10,", "),""))</f>
        <v/>
      </c>
      <c r="GF35" s="632" t="str">
        <f ca="1">IF(INDIRECT(CONCATENATE($FK$12,Fixtures!GF$25))="","",IF(INDIRECT(CONCATENATE($FK$12,Fixtures!GF$25))=Fixtures!$DN35,CONCATENATE(GF$10,", "),""))</f>
        <v/>
      </c>
      <c r="GG35" s="632" t="str">
        <f ca="1">IF(INDIRECT(CONCATENATE($FK$12,Fixtures!GG$25))="","",IF(INDIRECT(CONCATENATE($FK$12,Fixtures!GG$25))=Fixtures!$DN35,CONCATENATE(GG$10,", "),""))</f>
        <v/>
      </c>
      <c r="GH35" s="632" t="str">
        <f ca="1">IF(INDIRECT(CONCATENATE($FK$12,Fixtures!GH$25))="","",IF(INDIRECT(CONCATENATE($FK$12,Fixtures!GH$25))=Fixtures!$DN35,CONCATENATE(GH$10,", "),""))</f>
        <v/>
      </c>
      <c r="GI35" s="606" t="str">
        <f ca="1">IF(INDIRECT(CONCATENATE($FK$12,Fixtures!GI$25))="","",IF(INDIRECT(CONCATENATE($FK$12,Fixtures!GI$25))=Fixtures!$DN35,CONCATENATE(GI$10,", "),""))</f>
        <v/>
      </c>
      <c r="GJ35" s="607" t="str">
        <f ca="1">IF(INDIRECT(CONCATENATE($FK$12,Fixtures!GJ$25))="","",IF(INDIRECT(CONCATENATE($FK$12,Fixtures!GJ$25))=Fixtures!$DN35,CONCATENATE(GJ$10,", "),""))</f>
        <v/>
      </c>
      <c r="GK35" s="632" t="str">
        <f ca="1">IF(INDIRECT(CONCATENATE($FK$12,Fixtures!GK$25))="","",IF(INDIRECT(CONCATENATE($FK$12,Fixtures!GK$25))=Fixtures!$DN35,CONCATENATE(GK$10,", "),""))</f>
        <v/>
      </c>
      <c r="GL35" s="632" t="str">
        <f ca="1">IF(INDIRECT(CONCATENATE($FK$12,Fixtures!GL$25))="","",IF(INDIRECT(CONCATENATE($FK$12,Fixtures!GL$25))=Fixtures!$DN35,CONCATENATE(GL$10,", "),""))</f>
        <v/>
      </c>
      <c r="GM35" s="632" t="str">
        <f ca="1">IF(INDIRECT(CONCATENATE($FK$12,Fixtures!GM$25))="","",IF(INDIRECT(CONCATENATE($FK$12,Fixtures!GM$25))=Fixtures!$DN35,CONCATENATE(GM$10,", "),""))</f>
        <v/>
      </c>
      <c r="GN35" s="632" t="str">
        <f ca="1">IF(INDIRECT(CONCATENATE($FK$12,Fixtures!GN$25))="","",IF(INDIRECT(CONCATENATE($FK$12,Fixtures!GN$25))=Fixtures!$DN35,CONCATENATE(GN$10,", "),""))</f>
        <v/>
      </c>
      <c r="GO35" s="632" t="str">
        <f ca="1">IF(INDIRECT(CONCATENATE($FK$12,Fixtures!GO$25))="","",IF(INDIRECT(CONCATENATE($FK$12,Fixtures!GO$25))=Fixtures!$DN35,CONCATENATE(GO$10,", "),""))</f>
        <v/>
      </c>
      <c r="GP35" s="632" t="str">
        <f ca="1">IF(INDIRECT(CONCATENATE($FK$12,Fixtures!GP$25))="","",IF(INDIRECT(CONCATENATE($FK$12,Fixtures!GP$25))=Fixtures!$DN35,CONCATENATE(GP$10,", "),""))</f>
        <v/>
      </c>
      <c r="GQ35" s="632" t="str">
        <f ca="1">IF(INDIRECT(CONCATENATE($FK$12,Fixtures!GQ$25))="","",IF(INDIRECT(CONCATENATE($FK$12,Fixtures!GQ$25))=Fixtures!$DN35,CONCATENATE(GQ$10,", "),""))</f>
        <v/>
      </c>
      <c r="GR35" s="632" t="str">
        <f ca="1">IF(INDIRECT(CONCATENATE($FK$12,Fixtures!GR$25))="","",IF(INDIRECT(CONCATENATE($FK$12,Fixtures!GR$25))=Fixtures!$DN35,CONCATENATE(GR$10,", "),""))</f>
        <v/>
      </c>
      <c r="GS35" s="632" t="str">
        <f ca="1">IF(INDIRECT(CONCATENATE($FK$12,Fixtures!GS$25))="","",IF(INDIRECT(CONCATENATE($FK$12,Fixtures!GS$25))=Fixtures!$DN35,CONCATENATE(GS$10,", "),""))</f>
        <v/>
      </c>
      <c r="GT35" s="632" t="str">
        <f ca="1">IF(INDIRECT(CONCATENATE($FK$12,Fixtures!GT$25))="","",IF(INDIRECT(CONCATENATE($FK$12,Fixtures!GT$25))=Fixtures!$DN35,CONCATENATE(GT$10,", "),""))</f>
        <v/>
      </c>
      <c r="GU35" s="632" t="str">
        <f ca="1">IF(INDIRECT(CONCATENATE($FK$12,Fixtures!GU$25))="","",IF(INDIRECT(CONCATENATE($FK$12,Fixtures!GU$25))=Fixtures!$DN35,CONCATENATE(GU$10,", "),""))</f>
        <v/>
      </c>
      <c r="GV35" s="632" t="str">
        <f ca="1">IF(INDIRECT(CONCATENATE($FK$12,Fixtures!GV$25))="","",IF(INDIRECT(CONCATENATE($FK$12,Fixtures!GV$25))=Fixtures!$DN35,CONCATENATE(GV$10,", "),""))</f>
        <v/>
      </c>
      <c r="GW35" s="632" t="str">
        <f ca="1">IF(INDIRECT(CONCATENATE($FK$12,Fixtures!GW$25))="","",IF(INDIRECT(CONCATENATE($FK$12,Fixtures!GW$25))=Fixtures!$DN35,CONCATENATE(GW$10,", "),""))</f>
        <v/>
      </c>
      <c r="GX35" s="606" t="str">
        <f ca="1">IF(INDIRECT(CONCATENATE($FK$12,Fixtures!GX$25))="","",IF(INDIRECT(CONCATENATE($FK$12,Fixtures!GX$25))=Fixtures!$DN35,CONCATENATE(GX$10,", "),""))</f>
        <v/>
      </c>
      <c r="GY35" s="607" t="str">
        <f ca="1">IF(INDIRECT(CONCATENATE($FK$12,Fixtures!GY$25))="","",IF(INDIRECT(CONCATENATE($FK$12,Fixtures!GY$25))=Fixtures!$DN35,CONCATENATE(GY$10,", "),""))</f>
        <v/>
      </c>
      <c r="GZ35" s="632" t="str">
        <f ca="1">IF(INDIRECT(CONCATENATE($FK$12,Fixtures!GZ$25))="","",IF(INDIRECT(CONCATENATE($FK$12,Fixtures!GZ$25))=Fixtures!$DN35,CONCATENATE(GZ$10,", "),""))</f>
        <v/>
      </c>
      <c r="HA35" s="632" t="str">
        <f ca="1">IF(INDIRECT(CONCATENATE($FK$12,Fixtures!HA$25))="","",IF(INDIRECT(CONCATENATE($FK$12,Fixtures!HA$25))=Fixtures!$DN35,CONCATENATE(HA$10,", "),""))</f>
        <v/>
      </c>
      <c r="HB35" s="632" t="str">
        <f ca="1">IF(INDIRECT(CONCATENATE($FK$12,Fixtures!HB$25))="","",IF(INDIRECT(CONCATENATE($FK$12,Fixtures!HB$25))=Fixtures!$DN35,CONCATENATE(HB$10,", "),""))</f>
        <v/>
      </c>
      <c r="HC35" s="632" t="str">
        <f ca="1">IF(INDIRECT(CONCATENATE($FK$12,Fixtures!HC$25))="","",IF(INDIRECT(CONCATENATE($FK$12,Fixtures!HC$25))=Fixtures!$DN35,CONCATENATE(HC$10,", "),""))</f>
        <v/>
      </c>
      <c r="HD35" s="632" t="str">
        <f ca="1">IF(INDIRECT(CONCATENATE($FK$12,Fixtures!HD$25))="","",IF(INDIRECT(CONCATENATE($FK$12,Fixtures!HD$25))=Fixtures!$DN35,CONCATENATE(HD$10,", "),""))</f>
        <v/>
      </c>
      <c r="HE35" s="632" t="str">
        <f ca="1">IF(INDIRECT(CONCATENATE($FK$12,Fixtures!HE$25))="","",IF(INDIRECT(CONCATENATE($FK$12,Fixtures!HE$25))=Fixtures!$DN35,CONCATENATE(HE$10,", "),""))</f>
        <v/>
      </c>
      <c r="HF35" s="632" t="str">
        <f ca="1">IF(INDIRECT(CONCATENATE($FK$12,Fixtures!HF$25))="","",IF(INDIRECT(CONCATENATE($FK$12,Fixtures!HF$25))=Fixtures!$DN35,CONCATENATE(HF$10,", "),""))</f>
        <v/>
      </c>
      <c r="HG35" s="632" t="str">
        <f ca="1">IF(INDIRECT(CONCATENATE($FK$12,Fixtures!HG$25))="","",IF(INDIRECT(CONCATENATE($FK$12,Fixtures!HG$25))=Fixtures!$DN35,CONCATENATE(HG$10,", "),""))</f>
        <v/>
      </c>
      <c r="HH35" s="632" t="str">
        <f ca="1">IF(INDIRECT(CONCATENATE($FK$12,Fixtures!HH$25))="","",IF(INDIRECT(CONCATENATE($FK$12,Fixtures!HH$25))=Fixtures!$DN35,CONCATENATE(HH$10,", "),""))</f>
        <v/>
      </c>
      <c r="HI35" s="632" t="str">
        <f ca="1">IF(INDIRECT(CONCATENATE($FK$12,Fixtures!HI$25))="","",IF(INDIRECT(CONCATENATE($FK$12,Fixtures!HI$25))=Fixtures!$DN35,CONCATENATE(HI$10,", "),""))</f>
        <v/>
      </c>
      <c r="HJ35" s="632" t="str">
        <f ca="1">IF(INDIRECT(CONCATENATE($FK$12,Fixtures!HJ$25))="","",IF(INDIRECT(CONCATENATE($FK$12,Fixtures!HJ$25))=Fixtures!$DN35,CONCATENATE(HJ$10,", "),""))</f>
        <v/>
      </c>
      <c r="HK35" s="632" t="str">
        <f ca="1">IF(INDIRECT(CONCATENATE($FK$12,Fixtures!HK$25))="","",IF(INDIRECT(CONCATENATE($FK$12,Fixtures!HK$25))=Fixtures!$DN35,CONCATENATE(HK$10,", "),""))</f>
        <v/>
      </c>
      <c r="HL35" s="632" t="str">
        <f ca="1">IF(INDIRECT(CONCATENATE($FK$12,Fixtures!HL$25))="","",IF(INDIRECT(CONCATENATE($FK$12,Fixtures!HL$25))=Fixtures!$DN35,CONCATENATE(HL$10,", "),""))</f>
        <v/>
      </c>
      <c r="HM35" s="606" t="str">
        <f ca="1">IF(INDIRECT(CONCATENATE($FK$12,Fixtures!HM$25))="","",IF(INDIRECT(CONCATENATE($FK$12,Fixtures!HM$25))=Fixtures!$DN35,CONCATENATE(HM$10,", "),""))</f>
        <v/>
      </c>
      <c r="HN35" s="607" t="str">
        <f ca="1">IF(INDIRECT(CONCATENATE($FK$12,Fixtures!HN$25))="","",IF(INDIRECT(CONCATENATE($FK$12,Fixtures!HN$25))=Fixtures!$DN35,CONCATENATE(HN$10,", "),""))</f>
        <v/>
      </c>
      <c r="HO35" s="632" t="str">
        <f ca="1">IF(INDIRECT(CONCATENATE($FK$12,Fixtures!HO$25))="","",IF(INDIRECT(CONCATENATE($FK$12,Fixtures!HO$25))=Fixtures!$DN35,CONCATENATE(HO$10,", "),""))</f>
        <v/>
      </c>
      <c r="HP35" s="632" t="str">
        <f ca="1">IF(INDIRECT(CONCATENATE($FK$12,Fixtures!HP$25))="","",IF(INDIRECT(CONCATENATE($FK$12,Fixtures!HP$25))=Fixtures!$DN35,CONCATENATE(HP$10,", "),""))</f>
        <v/>
      </c>
      <c r="HQ35" s="632" t="str">
        <f ca="1">IF(INDIRECT(CONCATENATE($FK$12,Fixtures!HQ$25))="","",IF(INDIRECT(CONCATENATE($FK$12,Fixtures!HQ$25))=Fixtures!$DN35,CONCATENATE(HQ$10,", "),""))</f>
        <v/>
      </c>
      <c r="HR35" s="632" t="str">
        <f ca="1">IF(INDIRECT(CONCATENATE($FK$12,Fixtures!HR$25))="","",IF(INDIRECT(CONCATENATE($FK$12,Fixtures!HR$25))=Fixtures!$DN35,CONCATENATE(HR$10,", "),""))</f>
        <v/>
      </c>
      <c r="HS35" s="632" t="str">
        <f ca="1">IF(INDIRECT(CONCATENATE($FK$12,Fixtures!HS$25))="","",IF(INDIRECT(CONCATENATE($FK$12,Fixtures!HS$25))=Fixtures!$DN35,CONCATENATE(HS$10,", "),""))</f>
        <v/>
      </c>
      <c r="HT35" s="632" t="str">
        <f ca="1">IF(INDIRECT(CONCATENATE($FK$12,Fixtures!HT$25))="","",IF(INDIRECT(CONCATENATE($FK$12,Fixtures!HT$25))=Fixtures!$DN35,CONCATENATE(HT$10,", "),""))</f>
        <v/>
      </c>
      <c r="HU35" s="632" t="str">
        <f ca="1">IF(INDIRECT(CONCATENATE($FK$12,Fixtures!HU$25))="","",IF(INDIRECT(CONCATENATE($FK$12,Fixtures!HU$25))=Fixtures!$DN35,CONCATENATE(HU$10,", "),""))</f>
        <v/>
      </c>
      <c r="HV35" s="632" t="str">
        <f ca="1">IF(INDIRECT(CONCATENATE($FK$12,Fixtures!HV$25))="","",IF(INDIRECT(CONCATENATE($FK$12,Fixtures!HV$25))=Fixtures!$DN35,CONCATENATE(HV$10,", "),""))</f>
        <v/>
      </c>
      <c r="HW35" s="632" t="str">
        <f ca="1">IF(INDIRECT(CONCATENATE($FK$12,Fixtures!HW$25))="","",IF(INDIRECT(CONCATENATE($FK$12,Fixtures!HW$25))=Fixtures!$DN35,CONCATENATE(HW$10,", "),""))</f>
        <v/>
      </c>
      <c r="HX35" s="632" t="str">
        <f ca="1">IF(INDIRECT(CONCATENATE($FK$12,Fixtures!HX$25))="","",IF(INDIRECT(CONCATENATE($FK$12,Fixtures!HX$25))=Fixtures!$DN35,CONCATENATE(HX$10,", "),""))</f>
        <v/>
      </c>
      <c r="HY35" s="632" t="str">
        <f ca="1">IF(INDIRECT(CONCATENATE($FK$12,Fixtures!HY$25))="","",IF(INDIRECT(CONCATENATE($FK$12,Fixtures!HY$25))=Fixtures!$DN35,CONCATENATE(HY$10,", "),""))</f>
        <v/>
      </c>
      <c r="HZ35" s="632" t="str">
        <f ca="1">IF(INDIRECT(CONCATENATE($FK$12,Fixtures!HZ$25))="","",IF(INDIRECT(CONCATENATE($FK$12,Fixtures!HZ$25))=Fixtures!$DN35,CONCATENATE(HZ$10,", "),""))</f>
        <v/>
      </c>
      <c r="IA35" s="632" t="str">
        <f ca="1">IF(INDIRECT(CONCATENATE($FK$12,Fixtures!IA$25))="","",IF(INDIRECT(CONCATENATE($FK$12,Fixtures!IA$25))=Fixtures!$DN35,CONCATENATE(IA$10,", "),""))</f>
        <v/>
      </c>
      <c r="IB35" s="606" t="str">
        <f ca="1">IF(INDIRECT(CONCATENATE($FK$12,Fixtures!IB$25))="","",IF(INDIRECT(CONCATENATE($FK$12,Fixtures!IB$25))=Fixtures!$DN35,CONCATENATE(IB$10,", "),""))</f>
        <v/>
      </c>
      <c r="IC35" s="607" t="str">
        <f ca="1">IF(INDIRECT(CONCATENATE($FK$12,Fixtures!IC$25))="","",IF(INDIRECT(CONCATENATE($FK$12,Fixtures!IC$25))=Fixtures!$DN35,CONCATENATE(IC$10,", "),""))</f>
        <v/>
      </c>
      <c r="ID35" s="632" t="str">
        <f ca="1">IF(INDIRECT(CONCATENATE($FK$12,Fixtures!ID$25))="","",IF(INDIRECT(CONCATENATE($FK$12,Fixtures!ID$25))=Fixtures!$DN35,CONCATENATE(ID$10,", "),""))</f>
        <v/>
      </c>
      <c r="IE35" s="632" t="str">
        <f ca="1">IF(INDIRECT(CONCATENATE($FK$12,Fixtures!IE$25))="","",IF(INDIRECT(CONCATENATE($FK$12,Fixtures!IE$25))=Fixtures!$DN35,CONCATENATE(IE$10,", "),""))</f>
        <v/>
      </c>
      <c r="IF35" s="632" t="str">
        <f ca="1">IF(INDIRECT(CONCATENATE($FK$12,Fixtures!IF$25))="","",IF(INDIRECT(CONCATENATE($FK$12,Fixtures!IF$25))=Fixtures!$DN35,CONCATENATE(IF$10,", "),""))</f>
        <v/>
      </c>
      <c r="IG35" s="632" t="str">
        <f ca="1">IF(INDIRECT(CONCATENATE($FK$12,Fixtures!IG$25))="","",IF(INDIRECT(CONCATENATE($FK$12,Fixtures!IG$25))=Fixtures!$DN35,CONCATENATE(IG$10,", "),""))</f>
        <v/>
      </c>
      <c r="IH35" s="632" t="str">
        <f ca="1">IF(INDIRECT(CONCATENATE($FK$12,Fixtures!IH$25))="","",IF(INDIRECT(CONCATENATE($FK$12,Fixtures!IH$25))=Fixtures!$DN35,CONCATENATE(IH$10,", "),""))</f>
        <v/>
      </c>
      <c r="II35" s="632" t="str">
        <f ca="1">IF(INDIRECT(CONCATENATE($FK$12,Fixtures!II$25))="","",IF(INDIRECT(CONCATENATE($FK$12,Fixtures!II$25))=Fixtures!$DN35,CONCATENATE(II$10,", "),""))</f>
        <v/>
      </c>
      <c r="IJ35" s="632" t="str">
        <f ca="1">IF(INDIRECT(CONCATENATE($FK$12,Fixtures!IJ$25))="","",IF(INDIRECT(CONCATENATE($FK$12,Fixtures!IJ$25))=Fixtures!$DN35,CONCATENATE(IJ$10,", "),""))</f>
        <v/>
      </c>
      <c r="IK35" s="632" t="str">
        <f ca="1">IF(INDIRECT(CONCATENATE($FK$12,Fixtures!IK$25))="","",IF(INDIRECT(CONCATENATE($FK$12,Fixtures!IK$25))=Fixtures!$DN35,CONCATENATE(IK$10,", "),""))</f>
        <v/>
      </c>
      <c r="IL35" s="632" t="str">
        <f ca="1">IF(INDIRECT(CONCATENATE($FK$12,Fixtures!IL$25))="","",IF(INDIRECT(CONCATENATE($FK$12,Fixtures!IL$25))=Fixtures!$DN35,CONCATENATE(IL$10,", "),""))</f>
        <v/>
      </c>
      <c r="IM35" s="632" t="str">
        <f ca="1">IF(INDIRECT(CONCATENATE($FK$12,Fixtures!IM$25))="","",IF(INDIRECT(CONCATENATE($FK$12,Fixtures!IM$25))=Fixtures!$DN35,CONCATENATE(IM$10,", "),""))</f>
        <v/>
      </c>
      <c r="IN35" s="632" t="str">
        <f ca="1">IF(INDIRECT(CONCATENATE($FK$12,Fixtures!IN$25))="","",IF(INDIRECT(CONCATENATE($FK$12,Fixtures!IN$25))=Fixtures!$DN35,CONCATENATE(IN$10,", "),""))</f>
        <v/>
      </c>
      <c r="IO35" s="632" t="str">
        <f ca="1">IF(INDIRECT(CONCATENATE($FK$12,Fixtures!IO$25))="","",IF(INDIRECT(CONCATENATE($FK$12,Fixtures!IO$25))=Fixtures!$DN35,CONCATENATE(IO$10,", "),""))</f>
        <v/>
      </c>
      <c r="IP35" s="632" t="str">
        <f ca="1">IF(INDIRECT(CONCATENATE($FK$12,Fixtures!IP$25))="","",IF(INDIRECT(CONCATENATE($FK$12,Fixtures!IP$25))=Fixtures!$DN35,CONCATENATE(IP$10,", "),""))</f>
        <v/>
      </c>
      <c r="IQ35" s="606" t="str">
        <f ca="1">IF(INDIRECT(CONCATENATE($FK$12,Fixtures!IQ$25))="","",IF(INDIRECT(CONCATENATE($FK$12,Fixtures!IQ$25))=Fixtures!$DN35,CONCATENATE(IQ$10,", "),""))</f>
        <v/>
      </c>
      <c r="IR35" s="607" t="str">
        <f ca="1">IF(INDIRECT(CONCATENATE($FK$12,Fixtures!IR$25))="","",IF(INDIRECT(CONCATENATE($FK$12,Fixtures!IR$25))=Fixtures!$DN35,CONCATENATE(IR$10,", "),""))</f>
        <v/>
      </c>
      <c r="IS35" s="632" t="str">
        <f ca="1">IF(INDIRECT(CONCATENATE($FK$12,Fixtures!IS$25))="","",IF(INDIRECT(CONCATENATE($FK$12,Fixtures!IS$25))=Fixtures!$DN35,CONCATENATE(IS$10,", "),""))</f>
        <v/>
      </c>
      <c r="IT35" s="632" t="str">
        <f ca="1">IF(INDIRECT(CONCATENATE($FK$12,Fixtures!IT$25))="","",IF(INDIRECT(CONCATENATE($FK$12,Fixtures!IT$25))=Fixtures!$DN35,CONCATENATE(IT$10,", "),""))</f>
        <v/>
      </c>
      <c r="IU35" s="632" t="str">
        <f ca="1">IF(INDIRECT(CONCATENATE($FK$12,Fixtures!IU$25))="","",IF(INDIRECT(CONCATENATE($FK$12,Fixtures!IU$25))=Fixtures!$DN35,CONCATENATE(IU$10,", "),""))</f>
        <v/>
      </c>
      <c r="IV35" s="632" t="str">
        <f ca="1">IF(INDIRECT(CONCATENATE($FK$12,Fixtures!IV$25))="","",IF(INDIRECT(CONCATENATE($FK$12,Fixtures!IV$25))=Fixtures!$DN35,CONCATENATE(IV$10,", "),""))</f>
        <v/>
      </c>
      <c r="IW35" s="632" t="str">
        <f ca="1">IF(INDIRECT(CONCATENATE($FK$12,Fixtures!IW$25))="","",IF(INDIRECT(CONCATENATE($FK$12,Fixtures!IW$25))=Fixtures!$DN35,CONCATENATE(IW$10,", "),""))</f>
        <v/>
      </c>
      <c r="IX35" s="632" t="str">
        <f ca="1">IF(INDIRECT(CONCATENATE($FK$12,Fixtures!IX$25))="","",IF(INDIRECT(CONCATENATE($FK$12,Fixtures!IX$25))=Fixtures!$DN35,CONCATENATE(IX$10,", "),""))</f>
        <v/>
      </c>
      <c r="IY35" s="632" t="str">
        <f ca="1">IF(INDIRECT(CONCATENATE($FK$12,Fixtures!IY$25))="","",IF(INDIRECT(CONCATENATE($FK$12,Fixtures!IY$25))=Fixtures!$DN35,CONCATENATE(IY$10,", "),""))</f>
        <v/>
      </c>
      <c r="IZ35" s="632" t="str">
        <f ca="1">IF(INDIRECT(CONCATENATE($FK$12,Fixtures!IZ$25))="","",IF(INDIRECT(CONCATENATE($FK$12,Fixtures!IZ$25))=Fixtures!$DN35,CONCATENATE(IZ$10,", "),""))</f>
        <v/>
      </c>
      <c r="JA35" s="632" t="str">
        <f ca="1">IF(INDIRECT(CONCATENATE($FK$12,Fixtures!JA$25))="","",IF(INDIRECT(CONCATENATE($FK$12,Fixtures!JA$25))=Fixtures!$DN35,CONCATENATE(JA$10,", "),""))</f>
        <v/>
      </c>
      <c r="JB35" s="632" t="str">
        <f ca="1">IF(INDIRECT(CONCATENATE($FK$12,Fixtures!JB$25))="","",IF(INDIRECT(CONCATENATE($FK$12,Fixtures!JB$25))=Fixtures!$DN35,CONCATENATE(JB$10,", "),""))</f>
        <v/>
      </c>
      <c r="JC35" s="632" t="str">
        <f ca="1">IF(INDIRECT(CONCATENATE($FK$12,Fixtures!JC$25))="","",IF(INDIRECT(CONCATENATE($FK$12,Fixtures!JC$25))=Fixtures!$DN35,CONCATENATE(JC$10,", "),""))</f>
        <v/>
      </c>
      <c r="JD35" s="632" t="str">
        <f ca="1">IF(INDIRECT(CONCATENATE($FK$12,Fixtures!JD$25))="","",IF(INDIRECT(CONCATENATE($FK$12,Fixtures!JD$25))=Fixtures!$DN35,CONCATENATE(JD$10,", "),""))</f>
        <v/>
      </c>
      <c r="JE35" s="632" t="str">
        <f ca="1">IF(INDIRECT(CONCATENATE($FK$12,Fixtures!JE$25))="","",IF(INDIRECT(CONCATENATE($FK$12,Fixtures!JE$25))=Fixtures!$DN35,CONCATENATE(JE$10,", "),""))</f>
        <v/>
      </c>
      <c r="JF35" s="606" t="str">
        <f ca="1">IF(INDIRECT(CONCATENATE($FK$12,Fixtures!JF$25))="","",IF(INDIRECT(CONCATENATE($FK$12,Fixtures!JF$25))=Fixtures!$DN35,CONCATENATE(JF$10,", "),""))</f>
        <v/>
      </c>
      <c r="JG35" s="607" t="str">
        <f ca="1">IF(INDIRECT(CONCATENATE($FK$12,Fixtures!JG$25))="","",IF(INDIRECT(CONCATENATE($FK$12,Fixtures!JG$25))=Fixtures!$DN35,CONCATENATE(JG$10,", "),""))</f>
        <v/>
      </c>
      <c r="JH35" s="632" t="str">
        <f ca="1">IF(INDIRECT(CONCATENATE($FK$12,Fixtures!JH$25))="","",IF(INDIRECT(CONCATENATE($FK$12,Fixtures!JH$25))=Fixtures!$DN35,CONCATENATE(JH$10,", "),""))</f>
        <v/>
      </c>
      <c r="JI35" s="632" t="str">
        <f ca="1">IF(INDIRECT(CONCATENATE($FK$12,Fixtures!JI$25))="","",IF(INDIRECT(CONCATENATE($FK$12,Fixtures!JI$25))=Fixtures!$DN35,CONCATENATE(JI$10,", "),""))</f>
        <v/>
      </c>
      <c r="JJ35" s="632" t="str">
        <f ca="1">IF(INDIRECT(CONCATENATE($FK$12,Fixtures!JJ$25))="","",IF(INDIRECT(CONCATENATE($FK$12,Fixtures!JJ$25))=Fixtures!$DN35,CONCATENATE(JJ$10,", "),""))</f>
        <v/>
      </c>
      <c r="JK35" s="632" t="str">
        <f ca="1">IF(INDIRECT(CONCATENATE($FK$12,Fixtures!JK$25))="","",IF(INDIRECT(CONCATENATE($FK$12,Fixtures!JK$25))=Fixtures!$DN35,CONCATENATE(JK$10,", "),""))</f>
        <v/>
      </c>
      <c r="JL35" s="632" t="str">
        <f ca="1">IF(INDIRECT(CONCATENATE($FK$12,Fixtures!JL$25))="","",IF(INDIRECT(CONCATENATE($FK$12,Fixtures!JL$25))=Fixtures!$DN35,CONCATENATE(JL$10,", "),""))</f>
        <v/>
      </c>
      <c r="JM35" s="632" t="str">
        <f ca="1">IF(INDIRECT(CONCATENATE($FK$12,Fixtures!JM$25))="","",IF(INDIRECT(CONCATENATE($FK$12,Fixtures!JM$25))=Fixtures!$DN35,CONCATENATE(JM$10,", "),""))</f>
        <v/>
      </c>
      <c r="JN35" s="632" t="str">
        <f ca="1">IF(INDIRECT(CONCATENATE($FK$12,Fixtures!JN$25))="","",IF(INDIRECT(CONCATENATE($FK$12,Fixtures!JN$25))=Fixtures!$DN35,CONCATENATE(JN$10,", "),""))</f>
        <v/>
      </c>
      <c r="JO35" s="632" t="str">
        <f ca="1">IF(INDIRECT(CONCATENATE($FK$12,Fixtures!JO$25))="","",IF(INDIRECT(CONCATENATE($FK$12,Fixtures!JO$25))=Fixtures!$DN35,CONCATENATE(JO$10,", "),""))</f>
        <v/>
      </c>
      <c r="JP35" s="632" t="str">
        <f ca="1">IF(INDIRECT(CONCATENATE($FK$12,Fixtures!JP$25))="","",IF(INDIRECT(CONCATENATE($FK$12,Fixtures!JP$25))=Fixtures!$DN35,CONCATENATE(JP$10,", "),""))</f>
        <v/>
      </c>
      <c r="JQ35" s="632" t="str">
        <f ca="1">IF(INDIRECT(CONCATENATE($FK$12,Fixtures!JQ$25))="","",IF(INDIRECT(CONCATENATE($FK$12,Fixtures!JQ$25))=Fixtures!$DN35,CONCATENATE(JQ$10,", "),""))</f>
        <v/>
      </c>
      <c r="JR35" s="632" t="str">
        <f ca="1">IF(INDIRECT(CONCATENATE($FK$12,Fixtures!JR$25))="","",IF(INDIRECT(CONCATENATE($FK$12,Fixtures!JR$25))=Fixtures!$DN35,CONCATENATE(JR$10,", "),""))</f>
        <v/>
      </c>
      <c r="JS35" s="632" t="str">
        <f ca="1">IF(INDIRECT(CONCATENATE($FK$12,Fixtures!JS$25))="","",IF(INDIRECT(CONCATENATE($FK$12,Fixtures!JS$25))=Fixtures!$DN35,CONCATENATE(JS$10,", "),""))</f>
        <v/>
      </c>
      <c r="JT35" s="632" t="str">
        <f ca="1">IF(INDIRECT(CONCATENATE($FK$12,Fixtures!JT$25))="","",IF(INDIRECT(CONCATENATE($FK$12,Fixtures!JT$25))=Fixtures!$DN35,CONCATENATE(JT$10,", "),""))</f>
        <v/>
      </c>
      <c r="JU35" s="606" t="str">
        <f ca="1">IF(INDIRECT(CONCATENATE($FK$12,Fixtures!JU$25))="","",IF(INDIRECT(CONCATENATE($FK$12,Fixtures!JU$25))=Fixtures!$DN35,CONCATENATE(JU$10,", "),""))</f>
        <v/>
      </c>
      <c r="JV35" s="607" t="str">
        <f ca="1">IF(INDIRECT(CONCATENATE($FK$12,Fixtures!JV$25))="","",IF(INDIRECT(CONCATENATE($FK$12,Fixtures!JV$25))=Fixtures!$DN35,CONCATENATE(JV$10,", "),""))</f>
        <v/>
      </c>
      <c r="JW35" s="632" t="str">
        <f ca="1">IF(INDIRECT(CONCATENATE($FK$12,Fixtures!JW$25))="","",IF(INDIRECT(CONCATENATE($FK$12,Fixtures!JW$25))=Fixtures!$DN35,CONCATENATE(JW$10,", "),""))</f>
        <v/>
      </c>
      <c r="JX35" s="632" t="str">
        <f ca="1">IF(INDIRECT(CONCATENATE($FK$12,Fixtures!JX$25))="","",IF(INDIRECT(CONCATENATE($FK$12,Fixtures!JX$25))=Fixtures!$DN35,CONCATENATE(JX$10,", "),""))</f>
        <v/>
      </c>
      <c r="JY35" s="632" t="str">
        <f ca="1">IF(INDIRECT(CONCATENATE($FK$12,Fixtures!JY$25))="","",IF(INDIRECT(CONCATENATE($FK$12,Fixtures!JY$25))=Fixtures!$DN35,CONCATENATE(JY$10,", "),""))</f>
        <v/>
      </c>
      <c r="JZ35" s="632" t="str">
        <f ca="1">IF(INDIRECT(CONCATENATE($FK$12,Fixtures!JZ$25))="","",IF(INDIRECT(CONCATENATE($FK$12,Fixtures!JZ$25))=Fixtures!$DN35,CONCATENATE(JZ$10,", "),""))</f>
        <v/>
      </c>
      <c r="KA35" s="632" t="str">
        <f ca="1">IF(INDIRECT(CONCATENATE($FK$12,Fixtures!KA$25))="","",IF(INDIRECT(CONCATENATE($FK$12,Fixtures!KA$25))=Fixtures!$DN35,CONCATENATE(KA$10,", "),""))</f>
        <v/>
      </c>
      <c r="KB35" s="632" t="str">
        <f ca="1">IF(INDIRECT(CONCATENATE($FK$12,Fixtures!KB$25))="","",IF(INDIRECT(CONCATENATE($FK$12,Fixtures!KB$25))=Fixtures!$DN35,CONCATENATE(KB$10,", "),""))</f>
        <v/>
      </c>
      <c r="KC35" s="632" t="str">
        <f ca="1">IF(INDIRECT(CONCATENATE($FK$12,Fixtures!KC$25))="","",IF(INDIRECT(CONCATENATE($FK$12,Fixtures!KC$25))=Fixtures!$DN35,CONCATENATE(KC$10,", "),""))</f>
        <v/>
      </c>
      <c r="KD35" s="632" t="str">
        <f ca="1">IF(INDIRECT(CONCATENATE($FK$12,Fixtures!KD$25))="","",IF(INDIRECT(CONCATENATE($FK$12,Fixtures!KD$25))=Fixtures!$DN35,CONCATENATE(KD$10,", "),""))</f>
        <v/>
      </c>
      <c r="KE35" s="632" t="str">
        <f ca="1">IF(INDIRECT(CONCATENATE($FK$12,Fixtures!KE$25))="","",IF(INDIRECT(CONCATENATE($FK$12,Fixtures!KE$25))=Fixtures!$DN35,CONCATENATE(KE$10,", "),""))</f>
        <v/>
      </c>
      <c r="KF35" s="632" t="str">
        <f ca="1">IF(INDIRECT(CONCATENATE($FK$12,Fixtures!KF$25))="","",IF(INDIRECT(CONCATENATE($FK$12,Fixtures!KF$25))=Fixtures!$DN35,CONCATENATE(KF$10,", "),""))</f>
        <v/>
      </c>
      <c r="KG35" s="632" t="str">
        <f ca="1">IF(INDIRECT(CONCATENATE($FK$12,Fixtures!KG$25))="","",IF(INDIRECT(CONCATENATE($FK$12,Fixtures!KG$25))=Fixtures!$DN35,CONCATENATE(KG$10,", "),""))</f>
        <v/>
      </c>
      <c r="KH35" s="632" t="str">
        <f ca="1">IF(INDIRECT(CONCATENATE($FK$12,Fixtures!KH$25))="","",IF(INDIRECT(CONCATENATE($FK$12,Fixtures!KH$25))=Fixtures!$DN35,CONCATENATE(KH$10,", "),""))</f>
        <v/>
      </c>
      <c r="KI35" s="632" t="str">
        <f ca="1">IF(INDIRECT(CONCATENATE($FK$12,Fixtures!KI$25))="","",IF(INDIRECT(CONCATENATE($FK$12,Fixtures!KI$25))=Fixtures!$DN35,CONCATENATE(KI$10,", "),""))</f>
        <v/>
      </c>
      <c r="KJ35" s="606" t="str">
        <f ca="1">IF(INDIRECT(CONCATENATE($FK$12,Fixtures!KJ$25))="","",IF(INDIRECT(CONCATENATE($FK$12,Fixtures!KJ$25))=Fixtures!$DN35,CONCATENATE(KJ$10,", "),""))</f>
        <v/>
      </c>
      <c r="KK35" s="607" t="str">
        <f ca="1">IF(INDIRECT(CONCATENATE($FK$12,Fixtures!KK$25))="","",IF(INDIRECT(CONCATENATE($FK$12,Fixtures!KK$25))=Fixtures!$DN35,CONCATENATE(KK$10,", "),""))</f>
        <v/>
      </c>
      <c r="KL35" s="632" t="str">
        <f ca="1">IF(INDIRECT(CONCATENATE($FK$12,Fixtures!KL$25))="","",IF(INDIRECT(CONCATENATE($FK$12,Fixtures!KL$25))=Fixtures!$DN35,CONCATENATE(KL$10,", "),""))</f>
        <v/>
      </c>
      <c r="KM35" s="632" t="str">
        <f ca="1">IF(INDIRECT(CONCATENATE($FK$12,Fixtures!KM$25))="","",IF(INDIRECT(CONCATENATE($FK$12,Fixtures!KM$25))=Fixtures!$DN35,CONCATENATE(KM$10,", "),""))</f>
        <v/>
      </c>
      <c r="KN35" s="632" t="str">
        <f ca="1">IF(INDIRECT(CONCATENATE($FK$12,Fixtures!KN$25))="","",IF(INDIRECT(CONCATENATE($FK$12,Fixtures!KN$25))=Fixtures!$DN35,CONCATENATE(KN$10,", "),""))</f>
        <v/>
      </c>
      <c r="KO35" s="632" t="str">
        <f ca="1">IF(INDIRECT(CONCATENATE($FK$12,Fixtures!KO$25))="","",IF(INDIRECT(CONCATENATE($FK$12,Fixtures!KO$25))=Fixtures!$DN35,CONCATENATE(KO$10,", "),""))</f>
        <v/>
      </c>
      <c r="KP35" s="632" t="str">
        <f ca="1">IF(INDIRECT(CONCATENATE($FK$12,Fixtures!KP$25))="","",IF(INDIRECT(CONCATENATE($FK$12,Fixtures!KP$25))=Fixtures!$DN35,CONCATENATE(KP$10,", "),""))</f>
        <v/>
      </c>
      <c r="KQ35" s="632" t="str">
        <f ca="1">IF(INDIRECT(CONCATENATE($FK$12,Fixtures!KQ$25))="","",IF(INDIRECT(CONCATENATE($FK$12,Fixtures!KQ$25))=Fixtures!$DN35,CONCATENATE(KQ$10,", "),""))</f>
        <v/>
      </c>
      <c r="KR35" s="632" t="str">
        <f ca="1">IF(INDIRECT(CONCATENATE($FK$12,Fixtures!KR$25))="","",IF(INDIRECT(CONCATENATE($FK$12,Fixtures!KR$25))=Fixtures!$DN35,CONCATENATE(KR$10,", "),""))</f>
        <v/>
      </c>
      <c r="KS35" s="632" t="str">
        <f ca="1">IF(INDIRECT(CONCATENATE($FK$12,Fixtures!KS$25))="","",IF(INDIRECT(CONCATENATE($FK$12,Fixtures!KS$25))=Fixtures!$DN35,CONCATENATE(KS$10,", "),""))</f>
        <v/>
      </c>
      <c r="KT35" s="632" t="str">
        <f ca="1">IF(INDIRECT(CONCATENATE($FK$12,Fixtures!KT$25))="","",IF(INDIRECT(CONCATENATE($FK$12,Fixtures!KT$25))=Fixtures!$DN35,CONCATENATE(KT$10,", "),""))</f>
        <v/>
      </c>
      <c r="KU35" s="632" t="str">
        <f ca="1">IF(INDIRECT(CONCATENATE($FK$12,Fixtures!KU$25))="","",IF(INDIRECT(CONCATENATE($FK$12,Fixtures!KU$25))=Fixtures!$DN35,CONCATENATE(KU$10,", "),""))</f>
        <v/>
      </c>
      <c r="KV35" s="632" t="str">
        <f ca="1">IF(INDIRECT(CONCATENATE($FK$12,Fixtures!KV$25))="","",IF(INDIRECT(CONCATENATE($FK$12,Fixtures!KV$25))=Fixtures!$DN35,CONCATENATE(KV$10,", "),""))</f>
        <v/>
      </c>
      <c r="KW35" s="632" t="str">
        <f ca="1">IF(INDIRECT(CONCATENATE($FK$12,Fixtures!KW$25))="","",IF(INDIRECT(CONCATENATE($FK$12,Fixtures!KW$25))=Fixtures!$DN35,CONCATENATE(KW$10,", "),""))</f>
        <v/>
      </c>
      <c r="KX35" s="632" t="str">
        <f ca="1">IF(INDIRECT(CONCATENATE($FK$12,Fixtures!KX$25))="","",IF(INDIRECT(CONCATENATE($FK$12,Fixtures!KX$25))=Fixtures!$DN35,CONCATENATE(KX$10,", "),""))</f>
        <v/>
      </c>
      <c r="KY35" s="632"/>
      <c r="KZ35" s="46"/>
      <c r="LA35" s="46" t="str">
        <f t="shared" ca="1" si="7"/>
        <v/>
      </c>
      <c r="LB35" s="46"/>
      <c r="LC35" s="1010"/>
      <c r="LD35" s="1009" t="str">
        <f t="shared" si="20"/>
        <v/>
      </c>
    </row>
    <row r="36" spans="1:316" ht="28.2" customHeight="1" thickTop="1" thickBot="1">
      <c r="A36" s="426" t="str">
        <f t="shared" si="13"/>
        <v/>
      </c>
      <c r="C36" s="1640" t="str">
        <f t="shared" si="14"/>
        <v/>
      </c>
      <c r="D36" s="1641"/>
      <c r="E36" s="1568" t="str">
        <f t="shared" si="15"/>
        <v/>
      </c>
      <c r="F36" s="1569"/>
      <c r="G36" s="1569"/>
      <c r="H36" s="1569"/>
      <c r="I36" s="1569"/>
      <c r="J36" s="1569"/>
      <c r="K36" s="1569"/>
      <c r="L36" s="1569"/>
      <c r="M36" s="1642"/>
      <c r="N36" s="203" t="str">
        <f t="shared" si="16"/>
        <v/>
      </c>
      <c r="O36" s="541"/>
      <c r="P36" s="1638" t="str">
        <f t="shared" si="25"/>
        <v/>
      </c>
      <c r="Q36" s="1639"/>
      <c r="R36" s="1568" t="str">
        <f t="shared" si="17"/>
        <v/>
      </c>
      <c r="S36" s="1569"/>
      <c r="T36" s="1569"/>
      <c r="U36" s="1569"/>
      <c r="V36" s="1569"/>
      <c r="W36" s="1569"/>
      <c r="X36" s="1569"/>
      <c r="Y36" s="203" t="str">
        <f t="shared" si="26"/>
        <v/>
      </c>
      <c r="Z36" s="203" t="str">
        <f t="shared" si="27"/>
        <v/>
      </c>
      <c r="AA36" s="394" t="str">
        <f t="shared" si="28"/>
        <v/>
      </c>
      <c r="AB36" s="489"/>
      <c r="AC36" s="1564" t="str">
        <f t="shared" si="18"/>
        <v/>
      </c>
      <c r="AD36" s="1565"/>
      <c r="AE36" s="1565"/>
      <c r="AF36" s="1565"/>
      <c r="AG36" s="1565"/>
      <c r="AH36" s="1565"/>
      <c r="AK36">
        <f>SUMIFS(Installations!CV$46:CV$803,Installations!CW$46:CW$803,E36,Installations!IC$46:IC$803,TRUE)</f>
        <v>0</v>
      </c>
      <c r="AL36">
        <f>SUMIFS(Installations!CV$46:CV$803,Installations!CW$46:CW$803,R36,Installations!IC$46:IC$803,TRUE)</f>
        <v>0</v>
      </c>
      <c r="BK36" s="48"/>
      <c r="BL36" s="9"/>
      <c r="BM36" s="622" t="str">
        <f t="shared" si="19"/>
        <v/>
      </c>
      <c r="BN36" s="52"/>
      <c r="BO36" s="52"/>
      <c r="BP36" s="52"/>
      <c r="BQ36" s="52"/>
      <c r="BR36" s="52"/>
      <c r="BS36" s="52"/>
      <c r="BT36" s="52"/>
      <c r="BU36" s="373"/>
      <c r="BV36" s="219" t="str">
        <f>IF(CN36&lt;&gt;"Yes","",IFERROR(VLOOKUP(CU36,Existing!A$4:F$367,2,FALSE),""))</f>
        <v/>
      </c>
      <c r="BW36" s="9">
        <v>10</v>
      </c>
      <c r="BX36" s="1625"/>
      <c r="BY36" s="1626"/>
      <c r="BZ36" s="1626"/>
      <c r="CA36" s="1627"/>
      <c r="CB36" s="1622"/>
      <c r="CC36" s="1623"/>
      <c r="CD36" s="1623"/>
      <c r="CE36" s="1624"/>
      <c r="CF36" s="1621"/>
      <c r="CG36" s="1621"/>
      <c r="CH36" s="1621"/>
      <c r="CI36" s="1621"/>
      <c r="CJ36" s="1621"/>
      <c r="CK36" s="1621"/>
      <c r="CL36" s="1621"/>
      <c r="CM36" s="1621"/>
      <c r="CN36" s="1553" t="str">
        <f t="shared" si="0"/>
        <v/>
      </c>
      <c r="CO36" s="1554"/>
      <c r="CP36" s="229" t="str">
        <f>IFERROR(IF(CB36="Existing TLED",CR36*CW36*CY36,VLOOKUP(CU36,Existing!A$3:F$356,6,FALSE)),"")</f>
        <v/>
      </c>
      <c r="CQ36" s="9"/>
      <c r="CR36" s="1660"/>
      <c r="CS36" s="1661"/>
      <c r="CT36" s="9"/>
      <c r="CU36" s="425" t="str">
        <f t="shared" si="21"/>
        <v/>
      </c>
      <c r="CV36" s="426" t="b">
        <f t="shared" si="22"/>
        <v>0</v>
      </c>
      <c r="CW36" s="426" t="str">
        <f t="shared" si="23"/>
        <v/>
      </c>
      <c r="CX36" s="426">
        <f>IFERROR(VLOOKUP(CF36,Lookup!T$100:V$102,3,FALSE),0)</f>
        <v>0</v>
      </c>
      <c r="CY36" s="426">
        <f t="shared" si="8"/>
        <v>1.1100000000000001</v>
      </c>
      <c r="CZ36" s="626" t="b">
        <f t="shared" si="1"/>
        <v>0</v>
      </c>
      <c r="DA36" s="626" t="b">
        <f>IF(CF36&lt;&gt;"",IF(ISERROR(MATCH(CONCATENATE(CB36," - ",CF36),Existing!G$4:G$331,0))=TRUE,FALSE,TRUE),TRUE)</f>
        <v>1</v>
      </c>
      <c r="DB36" s="626" t="b">
        <f t="shared" si="2"/>
        <v>1</v>
      </c>
      <c r="DK36" s="48"/>
      <c r="DL36" s="9"/>
      <c r="DM36" s="627" t="s">
        <v>215</v>
      </c>
      <c r="DN36" s="375" t="str">
        <f t="shared" si="3"/>
        <v/>
      </c>
      <c r="DO36" s="52"/>
      <c r="DP36" s="52"/>
      <c r="DQ36" s="52"/>
      <c r="DR36" s="52"/>
      <c r="DS36" s="52"/>
      <c r="DT36" s="226"/>
      <c r="DU36" s="376"/>
      <c r="DV36" s="227" t="str">
        <f t="shared" si="4"/>
        <v/>
      </c>
      <c r="DW36" s="224">
        <v>10</v>
      </c>
      <c r="DX36" s="1572"/>
      <c r="DY36" s="1573"/>
      <c r="DZ36" s="1573"/>
      <c r="EA36" s="1574"/>
      <c r="EB36" s="1618"/>
      <c r="EC36" s="1619"/>
      <c r="ED36" s="1619"/>
      <c r="EE36" s="1620"/>
      <c r="EF36" s="1578"/>
      <c r="EG36" s="1579"/>
      <c r="EH36" s="1572"/>
      <c r="EI36" s="1573"/>
      <c r="EJ36" s="1573"/>
      <c r="EK36" s="1574"/>
      <c r="EL36" s="1575"/>
      <c r="EM36" s="1576"/>
      <c r="EN36" s="1576"/>
      <c r="EO36" s="1577"/>
      <c r="EP36" s="1578"/>
      <c r="EQ36" s="1579"/>
      <c r="ER36" s="1555"/>
      <c r="ES36" s="1556"/>
      <c r="ET36" s="1553" t="str">
        <f t="shared" si="9"/>
        <v/>
      </c>
      <c r="EU36" s="1554"/>
      <c r="EV36" s="1553" t="str">
        <f t="shared" si="29"/>
        <v/>
      </c>
      <c r="EW36" s="1554"/>
      <c r="EX36" s="393"/>
      <c r="EY36" s="225" t="str">
        <f t="shared" si="6"/>
        <v/>
      </c>
      <c r="EZ36" s="225" t="str">
        <f>IFERROR(VLOOKUP(EB36,Lookup!AT$3:AU$13,2,FALSE),"")</f>
        <v/>
      </c>
      <c r="FA36" s="426" t="b">
        <f>IFERROR(IF(VLOOKUP(EB36,Lookup!AT$6:AU$8,2,FALSE)&gt;3,TRUE,FALSE),FALSE)</f>
        <v>0</v>
      </c>
      <c r="FB36" s="426" t="str">
        <f t="shared" si="10"/>
        <v/>
      </c>
      <c r="FC36" t="str">
        <f t="shared" ca="1" si="11"/>
        <v/>
      </c>
      <c r="FG36" t="str">
        <f t="shared" ca="1" si="12"/>
        <v/>
      </c>
      <c r="FI36" s="204" t="str">
        <f t="shared" ca="1" si="24"/>
        <v/>
      </c>
      <c r="FJ36" s="204"/>
      <c r="FK36" s="631" t="str">
        <f ca="1">IF(INDIRECT(CONCATENATE($FK$12,Fixtures!FK$25))="","",IF(INDIRECT(CONCATENATE($FK$12,Fixtures!FK$25))=Fixtures!$DN36,CONCATENATE(FK$10,", "),""))</f>
        <v/>
      </c>
      <c r="FL36" s="631" t="str">
        <f ca="1">IF(INDIRECT(CONCATENATE($FK$12,Fixtures!FL$25))="","",IF(INDIRECT(CONCATENATE($FK$12,Fixtures!FL$25))=Fixtures!$DN36,CONCATENATE(FL$10,", "),""))</f>
        <v/>
      </c>
      <c r="FM36" s="631" t="str">
        <f ca="1">IF(INDIRECT(CONCATENATE($FK$12,Fixtures!FM$25))="","",IF(INDIRECT(CONCATENATE($FK$12,Fixtures!FM$25))=Fixtures!$DN36,CONCATENATE(FM$10,", "),""))</f>
        <v/>
      </c>
      <c r="FN36" s="631" t="str">
        <f ca="1">IF(INDIRECT(CONCATENATE($FK$12,Fixtures!FN$25))="","",IF(INDIRECT(CONCATENATE($FK$12,Fixtures!FN$25))=Fixtures!$DN36,CONCATENATE(FN$10,", "),""))</f>
        <v/>
      </c>
      <c r="FO36" s="631" t="str">
        <f ca="1">IF(INDIRECT(CONCATENATE($FK$12,Fixtures!FO$25))="","",IF(INDIRECT(CONCATENATE($FK$12,Fixtures!FO$25))=Fixtures!$DN36,CONCATENATE(FO$10,", "),""))</f>
        <v/>
      </c>
      <c r="FP36" s="631" t="str">
        <f ca="1">IF(INDIRECT(CONCATENATE($FK$12,Fixtures!FP$25))="","",IF(INDIRECT(CONCATENATE($FK$12,Fixtures!FP$25))=Fixtures!$DN36,CONCATENATE(FP$10,", "),""))</f>
        <v/>
      </c>
      <c r="FQ36" s="631" t="str">
        <f ca="1">IF(INDIRECT(CONCATENATE($FK$12,Fixtures!FQ$25))="","",IF(INDIRECT(CONCATENATE($FK$12,Fixtures!FQ$25))=Fixtures!$DN36,CONCATENATE(FQ$10,", "),""))</f>
        <v/>
      </c>
      <c r="FR36" s="631" t="str">
        <f ca="1">IF(INDIRECT(CONCATENATE($FK$12,Fixtures!FR$25))="","",IF(INDIRECT(CONCATENATE($FK$12,Fixtures!FR$25))=Fixtures!$DN36,CONCATENATE(FR$10,", "),""))</f>
        <v/>
      </c>
      <c r="FS36" s="631" t="str">
        <f ca="1">IF(INDIRECT(CONCATENATE($FK$12,Fixtures!FS$25))="","",IF(INDIRECT(CONCATENATE($FK$12,Fixtures!FS$25))=Fixtures!$DN36,CONCATENATE(FS$10,", "),""))</f>
        <v/>
      </c>
      <c r="FT36" s="604" t="str">
        <f ca="1">IF(INDIRECT(CONCATENATE($FK$12,Fixtures!FT$25))="","",IF(INDIRECT(CONCATENATE($FK$12,Fixtures!FT$25))=Fixtures!$DN36,CONCATENATE(FT$10,", "),""))</f>
        <v/>
      </c>
      <c r="FU36" s="605" t="str">
        <f ca="1">IF(INDIRECT(CONCATENATE($FK$12,Fixtures!FU$25))="","",IF(INDIRECT(CONCATENATE($FK$12,Fixtures!FU$25))=Fixtures!$DN36,CONCATENATE(FU$10,", "),""))</f>
        <v/>
      </c>
      <c r="FV36" s="631" t="str">
        <f ca="1">IF(INDIRECT(CONCATENATE($FK$12,Fixtures!FV$25))="","",IF(INDIRECT(CONCATENATE($FK$12,Fixtures!FV$25))=Fixtures!$DN36,CONCATENATE(FV$10,", "),""))</f>
        <v/>
      </c>
      <c r="FW36" s="632" t="str">
        <f ca="1">IF(INDIRECT(CONCATENATE($FK$12,Fixtures!FW$25))="","",IF(INDIRECT(CONCATENATE($FK$12,Fixtures!FW$25))=Fixtures!$DN36,CONCATENATE(FW$10,", "),""))</f>
        <v/>
      </c>
      <c r="FX36" s="632" t="str">
        <f ca="1">IF(INDIRECT(CONCATENATE($FK$12,Fixtures!FX$25))="","",IF(INDIRECT(CONCATENATE($FK$12,Fixtures!FX$25))=Fixtures!$DN36,CONCATENATE(FX$10,", "),""))</f>
        <v/>
      </c>
      <c r="FY36" s="632" t="str">
        <f ca="1">IF(INDIRECT(CONCATENATE($FK$12,Fixtures!FY$25))="","",IF(INDIRECT(CONCATENATE($FK$12,Fixtures!FY$25))=Fixtures!$DN36,CONCATENATE(FY$10,", "),""))</f>
        <v/>
      </c>
      <c r="FZ36" s="632" t="str">
        <f ca="1">IF(INDIRECT(CONCATENATE($FK$12,Fixtures!FZ$25))="","",IF(INDIRECT(CONCATENATE($FK$12,Fixtures!FZ$25))=Fixtures!$DN36,CONCATENATE(FZ$10,", "),""))</f>
        <v/>
      </c>
      <c r="GA36" s="632" t="str">
        <f ca="1">IF(INDIRECT(CONCATENATE($FK$12,Fixtures!GA$25))="","",IF(INDIRECT(CONCATENATE($FK$12,Fixtures!GA$25))=Fixtures!$DN36,CONCATENATE(GA$10,", "),""))</f>
        <v/>
      </c>
      <c r="GB36" s="632" t="str">
        <f ca="1">IF(INDIRECT(CONCATENATE($FK$12,Fixtures!GB$25))="","",IF(INDIRECT(CONCATENATE($FK$12,Fixtures!GB$25))=Fixtures!$DN36,CONCATENATE(GB$10,", "),""))</f>
        <v/>
      </c>
      <c r="GC36" s="632" t="str">
        <f ca="1">IF(INDIRECT(CONCATENATE($FK$12,Fixtures!GC$25))="","",IF(INDIRECT(CONCATENATE($FK$12,Fixtures!GC$25))=Fixtures!$DN36,CONCATENATE(GC$10,", "),""))</f>
        <v/>
      </c>
      <c r="GD36" s="632" t="str">
        <f ca="1">IF(INDIRECT(CONCATENATE($FK$12,Fixtures!GD$25))="","",IF(INDIRECT(CONCATENATE($FK$12,Fixtures!GD$25))=Fixtures!$DN36,CONCATENATE(GD$10,", "),""))</f>
        <v/>
      </c>
      <c r="GE36" s="632" t="str">
        <f ca="1">IF(INDIRECT(CONCATENATE($FK$12,Fixtures!GE$25))="","",IF(INDIRECT(CONCATENATE($FK$12,Fixtures!GE$25))=Fixtures!$DN36,CONCATENATE(GE$10,", "),""))</f>
        <v/>
      </c>
      <c r="GF36" s="632" t="str">
        <f ca="1">IF(INDIRECT(CONCATENATE($FK$12,Fixtures!GF$25))="","",IF(INDIRECT(CONCATENATE($FK$12,Fixtures!GF$25))=Fixtures!$DN36,CONCATENATE(GF$10,", "),""))</f>
        <v/>
      </c>
      <c r="GG36" s="632" t="str">
        <f ca="1">IF(INDIRECT(CONCATENATE($FK$12,Fixtures!GG$25))="","",IF(INDIRECT(CONCATENATE($FK$12,Fixtures!GG$25))=Fixtures!$DN36,CONCATENATE(GG$10,", "),""))</f>
        <v/>
      </c>
      <c r="GH36" s="632" t="str">
        <f ca="1">IF(INDIRECT(CONCATENATE($FK$12,Fixtures!GH$25))="","",IF(INDIRECT(CONCATENATE($FK$12,Fixtures!GH$25))=Fixtures!$DN36,CONCATENATE(GH$10,", "),""))</f>
        <v/>
      </c>
      <c r="GI36" s="606" t="str">
        <f ca="1">IF(INDIRECT(CONCATENATE($FK$12,Fixtures!GI$25))="","",IF(INDIRECT(CONCATENATE($FK$12,Fixtures!GI$25))=Fixtures!$DN36,CONCATENATE(GI$10,", "),""))</f>
        <v/>
      </c>
      <c r="GJ36" s="607" t="str">
        <f ca="1">IF(INDIRECT(CONCATENATE($FK$12,Fixtures!GJ$25))="","",IF(INDIRECT(CONCATENATE($FK$12,Fixtures!GJ$25))=Fixtures!$DN36,CONCATENATE(GJ$10,", "),""))</f>
        <v/>
      </c>
      <c r="GK36" s="632" t="str">
        <f ca="1">IF(INDIRECT(CONCATENATE($FK$12,Fixtures!GK$25))="","",IF(INDIRECT(CONCATENATE($FK$12,Fixtures!GK$25))=Fixtures!$DN36,CONCATENATE(GK$10,", "),""))</f>
        <v/>
      </c>
      <c r="GL36" s="632" t="str">
        <f ca="1">IF(INDIRECT(CONCATENATE($FK$12,Fixtures!GL$25))="","",IF(INDIRECT(CONCATENATE($FK$12,Fixtures!GL$25))=Fixtures!$DN36,CONCATENATE(GL$10,", "),""))</f>
        <v/>
      </c>
      <c r="GM36" s="632" t="str">
        <f ca="1">IF(INDIRECT(CONCATENATE($FK$12,Fixtures!GM$25))="","",IF(INDIRECT(CONCATENATE($FK$12,Fixtures!GM$25))=Fixtures!$DN36,CONCATENATE(GM$10,", "),""))</f>
        <v/>
      </c>
      <c r="GN36" s="632" t="str">
        <f ca="1">IF(INDIRECT(CONCATENATE($FK$12,Fixtures!GN$25))="","",IF(INDIRECT(CONCATENATE($FK$12,Fixtures!GN$25))=Fixtures!$DN36,CONCATENATE(GN$10,", "),""))</f>
        <v/>
      </c>
      <c r="GO36" s="632" t="str">
        <f ca="1">IF(INDIRECT(CONCATENATE($FK$12,Fixtures!GO$25))="","",IF(INDIRECT(CONCATENATE($FK$12,Fixtures!GO$25))=Fixtures!$DN36,CONCATENATE(GO$10,", "),""))</f>
        <v/>
      </c>
      <c r="GP36" s="632" t="str">
        <f ca="1">IF(INDIRECT(CONCATENATE($FK$12,Fixtures!GP$25))="","",IF(INDIRECT(CONCATENATE($FK$12,Fixtures!GP$25))=Fixtures!$DN36,CONCATENATE(GP$10,", "),""))</f>
        <v/>
      </c>
      <c r="GQ36" s="632" t="str">
        <f ca="1">IF(INDIRECT(CONCATENATE($FK$12,Fixtures!GQ$25))="","",IF(INDIRECT(CONCATENATE($FK$12,Fixtures!GQ$25))=Fixtures!$DN36,CONCATENATE(GQ$10,", "),""))</f>
        <v/>
      </c>
      <c r="GR36" s="632" t="str">
        <f ca="1">IF(INDIRECT(CONCATENATE($FK$12,Fixtures!GR$25))="","",IF(INDIRECT(CONCATENATE($FK$12,Fixtures!GR$25))=Fixtures!$DN36,CONCATENATE(GR$10,", "),""))</f>
        <v/>
      </c>
      <c r="GS36" s="632" t="str">
        <f ca="1">IF(INDIRECT(CONCATENATE($FK$12,Fixtures!GS$25))="","",IF(INDIRECT(CONCATENATE($FK$12,Fixtures!GS$25))=Fixtures!$DN36,CONCATENATE(GS$10,", "),""))</f>
        <v/>
      </c>
      <c r="GT36" s="632" t="str">
        <f ca="1">IF(INDIRECT(CONCATENATE($FK$12,Fixtures!GT$25))="","",IF(INDIRECT(CONCATENATE($FK$12,Fixtures!GT$25))=Fixtures!$DN36,CONCATENATE(GT$10,", "),""))</f>
        <v/>
      </c>
      <c r="GU36" s="632" t="str">
        <f ca="1">IF(INDIRECT(CONCATENATE($FK$12,Fixtures!GU$25))="","",IF(INDIRECT(CONCATENATE($FK$12,Fixtures!GU$25))=Fixtures!$DN36,CONCATENATE(GU$10,", "),""))</f>
        <v/>
      </c>
      <c r="GV36" s="632" t="str">
        <f ca="1">IF(INDIRECT(CONCATENATE($FK$12,Fixtures!GV$25))="","",IF(INDIRECT(CONCATENATE($FK$12,Fixtures!GV$25))=Fixtures!$DN36,CONCATENATE(GV$10,", "),""))</f>
        <v/>
      </c>
      <c r="GW36" s="632" t="str">
        <f ca="1">IF(INDIRECT(CONCATENATE($FK$12,Fixtures!GW$25))="","",IF(INDIRECT(CONCATENATE($FK$12,Fixtures!GW$25))=Fixtures!$DN36,CONCATENATE(GW$10,", "),""))</f>
        <v/>
      </c>
      <c r="GX36" s="606" t="str">
        <f ca="1">IF(INDIRECT(CONCATENATE($FK$12,Fixtures!GX$25))="","",IF(INDIRECT(CONCATENATE($FK$12,Fixtures!GX$25))=Fixtures!$DN36,CONCATENATE(GX$10,", "),""))</f>
        <v/>
      </c>
      <c r="GY36" s="607" t="str">
        <f ca="1">IF(INDIRECT(CONCATENATE($FK$12,Fixtures!GY$25))="","",IF(INDIRECT(CONCATENATE($FK$12,Fixtures!GY$25))=Fixtures!$DN36,CONCATENATE(GY$10,", "),""))</f>
        <v/>
      </c>
      <c r="GZ36" s="632" t="str">
        <f ca="1">IF(INDIRECT(CONCATENATE($FK$12,Fixtures!GZ$25))="","",IF(INDIRECT(CONCATENATE($FK$12,Fixtures!GZ$25))=Fixtures!$DN36,CONCATENATE(GZ$10,", "),""))</f>
        <v/>
      </c>
      <c r="HA36" s="632" t="str">
        <f ca="1">IF(INDIRECT(CONCATENATE($FK$12,Fixtures!HA$25))="","",IF(INDIRECT(CONCATENATE($FK$12,Fixtures!HA$25))=Fixtures!$DN36,CONCATENATE(HA$10,", "),""))</f>
        <v/>
      </c>
      <c r="HB36" s="632" t="str">
        <f ca="1">IF(INDIRECT(CONCATENATE($FK$12,Fixtures!HB$25))="","",IF(INDIRECT(CONCATENATE($FK$12,Fixtures!HB$25))=Fixtures!$DN36,CONCATENATE(HB$10,", "),""))</f>
        <v/>
      </c>
      <c r="HC36" s="632" t="str">
        <f ca="1">IF(INDIRECT(CONCATENATE($FK$12,Fixtures!HC$25))="","",IF(INDIRECT(CONCATENATE($FK$12,Fixtures!HC$25))=Fixtures!$DN36,CONCATENATE(HC$10,", "),""))</f>
        <v/>
      </c>
      <c r="HD36" s="632" t="str">
        <f ca="1">IF(INDIRECT(CONCATENATE($FK$12,Fixtures!HD$25))="","",IF(INDIRECT(CONCATENATE($FK$12,Fixtures!HD$25))=Fixtures!$DN36,CONCATENATE(HD$10,", "),""))</f>
        <v/>
      </c>
      <c r="HE36" s="632" t="str">
        <f ca="1">IF(INDIRECT(CONCATENATE($FK$12,Fixtures!HE$25))="","",IF(INDIRECT(CONCATENATE($FK$12,Fixtures!HE$25))=Fixtures!$DN36,CONCATENATE(HE$10,", "),""))</f>
        <v/>
      </c>
      <c r="HF36" s="632" t="str">
        <f ca="1">IF(INDIRECT(CONCATENATE($FK$12,Fixtures!HF$25))="","",IF(INDIRECT(CONCATENATE($FK$12,Fixtures!HF$25))=Fixtures!$DN36,CONCATENATE(HF$10,", "),""))</f>
        <v/>
      </c>
      <c r="HG36" s="632" t="str">
        <f ca="1">IF(INDIRECT(CONCATENATE($FK$12,Fixtures!HG$25))="","",IF(INDIRECT(CONCATENATE($FK$12,Fixtures!HG$25))=Fixtures!$DN36,CONCATENATE(HG$10,", "),""))</f>
        <v/>
      </c>
      <c r="HH36" s="632" t="str">
        <f ca="1">IF(INDIRECT(CONCATENATE($FK$12,Fixtures!HH$25))="","",IF(INDIRECT(CONCATENATE($FK$12,Fixtures!HH$25))=Fixtures!$DN36,CONCATENATE(HH$10,", "),""))</f>
        <v/>
      </c>
      <c r="HI36" s="632" t="str">
        <f ca="1">IF(INDIRECT(CONCATENATE($FK$12,Fixtures!HI$25))="","",IF(INDIRECT(CONCATENATE($FK$12,Fixtures!HI$25))=Fixtures!$DN36,CONCATENATE(HI$10,", "),""))</f>
        <v/>
      </c>
      <c r="HJ36" s="632" t="str">
        <f ca="1">IF(INDIRECT(CONCATENATE($FK$12,Fixtures!HJ$25))="","",IF(INDIRECT(CONCATENATE($FK$12,Fixtures!HJ$25))=Fixtures!$DN36,CONCATENATE(HJ$10,", "),""))</f>
        <v/>
      </c>
      <c r="HK36" s="632" t="str">
        <f ca="1">IF(INDIRECT(CONCATENATE($FK$12,Fixtures!HK$25))="","",IF(INDIRECT(CONCATENATE($FK$12,Fixtures!HK$25))=Fixtures!$DN36,CONCATENATE(HK$10,", "),""))</f>
        <v/>
      </c>
      <c r="HL36" s="632" t="str">
        <f ca="1">IF(INDIRECT(CONCATENATE($FK$12,Fixtures!HL$25))="","",IF(INDIRECT(CONCATENATE($FK$12,Fixtures!HL$25))=Fixtures!$DN36,CONCATENATE(HL$10,", "),""))</f>
        <v/>
      </c>
      <c r="HM36" s="606" t="str">
        <f ca="1">IF(INDIRECT(CONCATENATE($FK$12,Fixtures!HM$25))="","",IF(INDIRECT(CONCATENATE($FK$12,Fixtures!HM$25))=Fixtures!$DN36,CONCATENATE(HM$10,", "),""))</f>
        <v/>
      </c>
      <c r="HN36" s="607" t="str">
        <f ca="1">IF(INDIRECT(CONCATENATE($FK$12,Fixtures!HN$25))="","",IF(INDIRECT(CONCATENATE($FK$12,Fixtures!HN$25))=Fixtures!$DN36,CONCATENATE(HN$10,", "),""))</f>
        <v/>
      </c>
      <c r="HO36" s="632" t="str">
        <f ca="1">IF(INDIRECT(CONCATENATE($FK$12,Fixtures!HO$25))="","",IF(INDIRECT(CONCATENATE($FK$12,Fixtures!HO$25))=Fixtures!$DN36,CONCATENATE(HO$10,", "),""))</f>
        <v/>
      </c>
      <c r="HP36" s="632" t="str">
        <f ca="1">IF(INDIRECT(CONCATENATE($FK$12,Fixtures!HP$25))="","",IF(INDIRECT(CONCATENATE($FK$12,Fixtures!HP$25))=Fixtures!$DN36,CONCATENATE(HP$10,", "),""))</f>
        <v/>
      </c>
      <c r="HQ36" s="632" t="str">
        <f ca="1">IF(INDIRECT(CONCATENATE($FK$12,Fixtures!HQ$25))="","",IF(INDIRECT(CONCATENATE($FK$12,Fixtures!HQ$25))=Fixtures!$DN36,CONCATENATE(HQ$10,", "),""))</f>
        <v/>
      </c>
      <c r="HR36" s="632" t="str">
        <f ca="1">IF(INDIRECT(CONCATENATE($FK$12,Fixtures!HR$25))="","",IF(INDIRECT(CONCATENATE($FK$12,Fixtures!HR$25))=Fixtures!$DN36,CONCATENATE(HR$10,", "),""))</f>
        <v/>
      </c>
      <c r="HS36" s="632" t="str">
        <f ca="1">IF(INDIRECT(CONCATENATE($FK$12,Fixtures!HS$25))="","",IF(INDIRECT(CONCATENATE($FK$12,Fixtures!HS$25))=Fixtures!$DN36,CONCATENATE(HS$10,", "),""))</f>
        <v/>
      </c>
      <c r="HT36" s="632" t="str">
        <f ca="1">IF(INDIRECT(CONCATENATE($FK$12,Fixtures!HT$25))="","",IF(INDIRECT(CONCATENATE($FK$12,Fixtures!HT$25))=Fixtures!$DN36,CONCATENATE(HT$10,", "),""))</f>
        <v/>
      </c>
      <c r="HU36" s="632" t="str">
        <f ca="1">IF(INDIRECT(CONCATENATE($FK$12,Fixtures!HU$25))="","",IF(INDIRECT(CONCATENATE($FK$12,Fixtures!HU$25))=Fixtures!$DN36,CONCATENATE(HU$10,", "),""))</f>
        <v/>
      </c>
      <c r="HV36" s="632" t="str">
        <f ca="1">IF(INDIRECT(CONCATENATE($FK$12,Fixtures!HV$25))="","",IF(INDIRECT(CONCATENATE($FK$12,Fixtures!HV$25))=Fixtures!$DN36,CONCATENATE(HV$10,", "),""))</f>
        <v/>
      </c>
      <c r="HW36" s="632" t="str">
        <f ca="1">IF(INDIRECT(CONCATENATE($FK$12,Fixtures!HW$25))="","",IF(INDIRECT(CONCATENATE($FK$12,Fixtures!HW$25))=Fixtures!$DN36,CONCATENATE(HW$10,", "),""))</f>
        <v/>
      </c>
      <c r="HX36" s="632" t="str">
        <f ca="1">IF(INDIRECT(CONCATENATE($FK$12,Fixtures!HX$25))="","",IF(INDIRECT(CONCATENATE($FK$12,Fixtures!HX$25))=Fixtures!$DN36,CONCATENATE(HX$10,", "),""))</f>
        <v/>
      </c>
      <c r="HY36" s="632" t="str">
        <f ca="1">IF(INDIRECT(CONCATENATE($FK$12,Fixtures!HY$25))="","",IF(INDIRECT(CONCATENATE($FK$12,Fixtures!HY$25))=Fixtures!$DN36,CONCATENATE(HY$10,", "),""))</f>
        <v/>
      </c>
      <c r="HZ36" s="632" t="str">
        <f ca="1">IF(INDIRECT(CONCATENATE($FK$12,Fixtures!HZ$25))="","",IF(INDIRECT(CONCATENATE($FK$12,Fixtures!HZ$25))=Fixtures!$DN36,CONCATENATE(HZ$10,", "),""))</f>
        <v/>
      </c>
      <c r="IA36" s="632" t="str">
        <f ca="1">IF(INDIRECT(CONCATENATE($FK$12,Fixtures!IA$25))="","",IF(INDIRECT(CONCATENATE($FK$12,Fixtures!IA$25))=Fixtures!$DN36,CONCATENATE(IA$10,", "),""))</f>
        <v/>
      </c>
      <c r="IB36" s="606" t="str">
        <f ca="1">IF(INDIRECT(CONCATENATE($FK$12,Fixtures!IB$25))="","",IF(INDIRECT(CONCATENATE($FK$12,Fixtures!IB$25))=Fixtures!$DN36,CONCATENATE(IB$10,", "),""))</f>
        <v/>
      </c>
      <c r="IC36" s="607" t="str">
        <f ca="1">IF(INDIRECT(CONCATENATE($FK$12,Fixtures!IC$25))="","",IF(INDIRECT(CONCATENATE($FK$12,Fixtures!IC$25))=Fixtures!$DN36,CONCATENATE(IC$10,", "),""))</f>
        <v/>
      </c>
      <c r="ID36" s="632" t="str">
        <f ca="1">IF(INDIRECT(CONCATENATE($FK$12,Fixtures!ID$25))="","",IF(INDIRECT(CONCATENATE($FK$12,Fixtures!ID$25))=Fixtures!$DN36,CONCATENATE(ID$10,", "),""))</f>
        <v/>
      </c>
      <c r="IE36" s="632" t="str">
        <f ca="1">IF(INDIRECT(CONCATENATE($FK$12,Fixtures!IE$25))="","",IF(INDIRECT(CONCATENATE($FK$12,Fixtures!IE$25))=Fixtures!$DN36,CONCATENATE(IE$10,", "),""))</f>
        <v/>
      </c>
      <c r="IF36" s="632" t="str">
        <f ca="1">IF(INDIRECT(CONCATENATE($FK$12,Fixtures!IF$25))="","",IF(INDIRECT(CONCATENATE($FK$12,Fixtures!IF$25))=Fixtures!$DN36,CONCATENATE(IF$10,", "),""))</f>
        <v/>
      </c>
      <c r="IG36" s="632" t="str">
        <f ca="1">IF(INDIRECT(CONCATENATE($FK$12,Fixtures!IG$25))="","",IF(INDIRECT(CONCATENATE($FK$12,Fixtures!IG$25))=Fixtures!$DN36,CONCATENATE(IG$10,", "),""))</f>
        <v/>
      </c>
      <c r="IH36" s="632" t="str">
        <f ca="1">IF(INDIRECT(CONCATENATE($FK$12,Fixtures!IH$25))="","",IF(INDIRECT(CONCATENATE($FK$12,Fixtures!IH$25))=Fixtures!$DN36,CONCATENATE(IH$10,", "),""))</f>
        <v/>
      </c>
      <c r="II36" s="632" t="str">
        <f ca="1">IF(INDIRECT(CONCATENATE($FK$12,Fixtures!II$25))="","",IF(INDIRECT(CONCATENATE($FK$12,Fixtures!II$25))=Fixtures!$DN36,CONCATENATE(II$10,", "),""))</f>
        <v/>
      </c>
      <c r="IJ36" s="632" t="str">
        <f ca="1">IF(INDIRECT(CONCATENATE($FK$12,Fixtures!IJ$25))="","",IF(INDIRECT(CONCATENATE($FK$12,Fixtures!IJ$25))=Fixtures!$DN36,CONCATENATE(IJ$10,", "),""))</f>
        <v/>
      </c>
      <c r="IK36" s="632" t="str">
        <f ca="1">IF(INDIRECT(CONCATENATE($FK$12,Fixtures!IK$25))="","",IF(INDIRECT(CONCATENATE($FK$12,Fixtures!IK$25))=Fixtures!$DN36,CONCATENATE(IK$10,", "),""))</f>
        <v/>
      </c>
      <c r="IL36" s="632" t="str">
        <f ca="1">IF(INDIRECT(CONCATENATE($FK$12,Fixtures!IL$25))="","",IF(INDIRECT(CONCATENATE($FK$12,Fixtures!IL$25))=Fixtures!$DN36,CONCATENATE(IL$10,", "),""))</f>
        <v/>
      </c>
      <c r="IM36" s="632" t="str">
        <f ca="1">IF(INDIRECT(CONCATENATE($FK$12,Fixtures!IM$25))="","",IF(INDIRECT(CONCATENATE($FK$12,Fixtures!IM$25))=Fixtures!$DN36,CONCATENATE(IM$10,", "),""))</f>
        <v/>
      </c>
      <c r="IN36" s="632" t="str">
        <f ca="1">IF(INDIRECT(CONCATENATE($FK$12,Fixtures!IN$25))="","",IF(INDIRECT(CONCATENATE($FK$12,Fixtures!IN$25))=Fixtures!$DN36,CONCATENATE(IN$10,", "),""))</f>
        <v/>
      </c>
      <c r="IO36" s="632" t="str">
        <f ca="1">IF(INDIRECT(CONCATENATE($FK$12,Fixtures!IO$25))="","",IF(INDIRECT(CONCATENATE($FK$12,Fixtures!IO$25))=Fixtures!$DN36,CONCATENATE(IO$10,", "),""))</f>
        <v/>
      </c>
      <c r="IP36" s="632" t="str">
        <f ca="1">IF(INDIRECT(CONCATENATE($FK$12,Fixtures!IP$25))="","",IF(INDIRECT(CONCATENATE($FK$12,Fixtures!IP$25))=Fixtures!$DN36,CONCATENATE(IP$10,", "),""))</f>
        <v/>
      </c>
      <c r="IQ36" s="606" t="str">
        <f ca="1">IF(INDIRECT(CONCATENATE($FK$12,Fixtures!IQ$25))="","",IF(INDIRECT(CONCATENATE($FK$12,Fixtures!IQ$25))=Fixtures!$DN36,CONCATENATE(IQ$10,", "),""))</f>
        <v/>
      </c>
      <c r="IR36" s="607" t="str">
        <f ca="1">IF(INDIRECT(CONCATENATE($FK$12,Fixtures!IR$25))="","",IF(INDIRECT(CONCATENATE($FK$12,Fixtures!IR$25))=Fixtures!$DN36,CONCATENATE(IR$10,", "),""))</f>
        <v/>
      </c>
      <c r="IS36" s="632" t="str">
        <f ca="1">IF(INDIRECT(CONCATENATE($FK$12,Fixtures!IS$25))="","",IF(INDIRECT(CONCATENATE($FK$12,Fixtures!IS$25))=Fixtures!$DN36,CONCATENATE(IS$10,", "),""))</f>
        <v/>
      </c>
      <c r="IT36" s="632" t="str">
        <f ca="1">IF(INDIRECT(CONCATENATE($FK$12,Fixtures!IT$25))="","",IF(INDIRECT(CONCATENATE($FK$12,Fixtures!IT$25))=Fixtures!$DN36,CONCATENATE(IT$10,", "),""))</f>
        <v/>
      </c>
      <c r="IU36" s="632" t="str">
        <f ca="1">IF(INDIRECT(CONCATENATE($FK$12,Fixtures!IU$25))="","",IF(INDIRECT(CONCATENATE($FK$12,Fixtures!IU$25))=Fixtures!$DN36,CONCATENATE(IU$10,", "),""))</f>
        <v/>
      </c>
      <c r="IV36" s="632" t="str">
        <f ca="1">IF(INDIRECT(CONCATENATE($FK$12,Fixtures!IV$25))="","",IF(INDIRECT(CONCATENATE($FK$12,Fixtures!IV$25))=Fixtures!$DN36,CONCATENATE(IV$10,", "),""))</f>
        <v/>
      </c>
      <c r="IW36" s="632" t="str">
        <f ca="1">IF(INDIRECT(CONCATENATE($FK$12,Fixtures!IW$25))="","",IF(INDIRECT(CONCATENATE($FK$12,Fixtures!IW$25))=Fixtures!$DN36,CONCATENATE(IW$10,", "),""))</f>
        <v/>
      </c>
      <c r="IX36" s="632" t="str">
        <f ca="1">IF(INDIRECT(CONCATENATE($FK$12,Fixtures!IX$25))="","",IF(INDIRECT(CONCATENATE($FK$12,Fixtures!IX$25))=Fixtures!$DN36,CONCATENATE(IX$10,", "),""))</f>
        <v/>
      </c>
      <c r="IY36" s="632" t="str">
        <f ca="1">IF(INDIRECT(CONCATENATE($FK$12,Fixtures!IY$25))="","",IF(INDIRECT(CONCATENATE($FK$12,Fixtures!IY$25))=Fixtures!$DN36,CONCATENATE(IY$10,", "),""))</f>
        <v/>
      </c>
      <c r="IZ36" s="632" t="str">
        <f ca="1">IF(INDIRECT(CONCATENATE($FK$12,Fixtures!IZ$25))="","",IF(INDIRECT(CONCATENATE($FK$12,Fixtures!IZ$25))=Fixtures!$DN36,CONCATENATE(IZ$10,", "),""))</f>
        <v/>
      </c>
      <c r="JA36" s="632" t="str">
        <f ca="1">IF(INDIRECT(CONCATENATE($FK$12,Fixtures!JA$25))="","",IF(INDIRECT(CONCATENATE($FK$12,Fixtures!JA$25))=Fixtures!$DN36,CONCATENATE(JA$10,", "),""))</f>
        <v/>
      </c>
      <c r="JB36" s="632" t="str">
        <f ca="1">IF(INDIRECT(CONCATENATE($FK$12,Fixtures!JB$25))="","",IF(INDIRECT(CONCATENATE($FK$12,Fixtures!JB$25))=Fixtures!$DN36,CONCATENATE(JB$10,", "),""))</f>
        <v/>
      </c>
      <c r="JC36" s="632" t="str">
        <f ca="1">IF(INDIRECT(CONCATENATE($FK$12,Fixtures!JC$25))="","",IF(INDIRECT(CONCATENATE($FK$12,Fixtures!JC$25))=Fixtures!$DN36,CONCATENATE(JC$10,", "),""))</f>
        <v/>
      </c>
      <c r="JD36" s="632" t="str">
        <f ca="1">IF(INDIRECT(CONCATENATE($FK$12,Fixtures!JD$25))="","",IF(INDIRECT(CONCATENATE($FK$12,Fixtures!JD$25))=Fixtures!$DN36,CONCATENATE(JD$10,", "),""))</f>
        <v/>
      </c>
      <c r="JE36" s="632" t="str">
        <f ca="1">IF(INDIRECT(CONCATENATE($FK$12,Fixtures!JE$25))="","",IF(INDIRECT(CONCATENATE($FK$12,Fixtures!JE$25))=Fixtures!$DN36,CONCATENATE(JE$10,", "),""))</f>
        <v/>
      </c>
      <c r="JF36" s="606" t="str">
        <f ca="1">IF(INDIRECT(CONCATENATE($FK$12,Fixtures!JF$25))="","",IF(INDIRECT(CONCATENATE($FK$12,Fixtures!JF$25))=Fixtures!$DN36,CONCATENATE(JF$10,", "),""))</f>
        <v/>
      </c>
      <c r="JG36" s="607" t="str">
        <f ca="1">IF(INDIRECT(CONCATENATE($FK$12,Fixtures!JG$25))="","",IF(INDIRECT(CONCATENATE($FK$12,Fixtures!JG$25))=Fixtures!$DN36,CONCATENATE(JG$10,", "),""))</f>
        <v/>
      </c>
      <c r="JH36" s="632" t="str">
        <f ca="1">IF(INDIRECT(CONCATENATE($FK$12,Fixtures!JH$25))="","",IF(INDIRECT(CONCATENATE($FK$12,Fixtures!JH$25))=Fixtures!$DN36,CONCATENATE(JH$10,", "),""))</f>
        <v/>
      </c>
      <c r="JI36" s="632" t="str">
        <f ca="1">IF(INDIRECT(CONCATENATE($FK$12,Fixtures!JI$25))="","",IF(INDIRECT(CONCATENATE($FK$12,Fixtures!JI$25))=Fixtures!$DN36,CONCATENATE(JI$10,", "),""))</f>
        <v/>
      </c>
      <c r="JJ36" s="632" t="str">
        <f ca="1">IF(INDIRECT(CONCATENATE($FK$12,Fixtures!JJ$25))="","",IF(INDIRECT(CONCATENATE($FK$12,Fixtures!JJ$25))=Fixtures!$DN36,CONCATENATE(JJ$10,", "),""))</f>
        <v/>
      </c>
      <c r="JK36" s="632" t="str">
        <f ca="1">IF(INDIRECT(CONCATENATE($FK$12,Fixtures!JK$25))="","",IF(INDIRECT(CONCATENATE($FK$12,Fixtures!JK$25))=Fixtures!$DN36,CONCATENATE(JK$10,", "),""))</f>
        <v/>
      </c>
      <c r="JL36" s="632" t="str">
        <f ca="1">IF(INDIRECT(CONCATENATE($FK$12,Fixtures!JL$25))="","",IF(INDIRECT(CONCATENATE($FK$12,Fixtures!JL$25))=Fixtures!$DN36,CONCATENATE(JL$10,", "),""))</f>
        <v/>
      </c>
      <c r="JM36" s="632" t="str">
        <f ca="1">IF(INDIRECT(CONCATENATE($FK$12,Fixtures!JM$25))="","",IF(INDIRECT(CONCATENATE($FK$12,Fixtures!JM$25))=Fixtures!$DN36,CONCATENATE(JM$10,", "),""))</f>
        <v/>
      </c>
      <c r="JN36" s="632" t="str">
        <f ca="1">IF(INDIRECT(CONCATENATE($FK$12,Fixtures!JN$25))="","",IF(INDIRECT(CONCATENATE($FK$12,Fixtures!JN$25))=Fixtures!$DN36,CONCATENATE(JN$10,", "),""))</f>
        <v/>
      </c>
      <c r="JO36" s="632" t="str">
        <f ca="1">IF(INDIRECT(CONCATENATE($FK$12,Fixtures!JO$25))="","",IF(INDIRECT(CONCATENATE($FK$12,Fixtures!JO$25))=Fixtures!$DN36,CONCATENATE(JO$10,", "),""))</f>
        <v/>
      </c>
      <c r="JP36" s="632" t="str">
        <f ca="1">IF(INDIRECT(CONCATENATE($FK$12,Fixtures!JP$25))="","",IF(INDIRECT(CONCATENATE($FK$12,Fixtures!JP$25))=Fixtures!$DN36,CONCATENATE(JP$10,", "),""))</f>
        <v/>
      </c>
      <c r="JQ36" s="632" t="str">
        <f ca="1">IF(INDIRECT(CONCATENATE($FK$12,Fixtures!JQ$25))="","",IF(INDIRECT(CONCATENATE($FK$12,Fixtures!JQ$25))=Fixtures!$DN36,CONCATENATE(JQ$10,", "),""))</f>
        <v/>
      </c>
      <c r="JR36" s="632" t="str">
        <f ca="1">IF(INDIRECT(CONCATENATE($FK$12,Fixtures!JR$25))="","",IF(INDIRECT(CONCATENATE($FK$12,Fixtures!JR$25))=Fixtures!$DN36,CONCATENATE(JR$10,", "),""))</f>
        <v/>
      </c>
      <c r="JS36" s="632" t="str">
        <f ca="1">IF(INDIRECT(CONCATENATE($FK$12,Fixtures!JS$25))="","",IF(INDIRECT(CONCATENATE($FK$12,Fixtures!JS$25))=Fixtures!$DN36,CONCATENATE(JS$10,", "),""))</f>
        <v/>
      </c>
      <c r="JT36" s="632" t="str">
        <f ca="1">IF(INDIRECT(CONCATENATE($FK$12,Fixtures!JT$25))="","",IF(INDIRECT(CONCATENATE($FK$12,Fixtures!JT$25))=Fixtures!$DN36,CONCATENATE(JT$10,", "),""))</f>
        <v/>
      </c>
      <c r="JU36" s="606" t="str">
        <f ca="1">IF(INDIRECT(CONCATENATE($FK$12,Fixtures!JU$25))="","",IF(INDIRECT(CONCATENATE($FK$12,Fixtures!JU$25))=Fixtures!$DN36,CONCATENATE(JU$10,", "),""))</f>
        <v/>
      </c>
      <c r="JV36" s="607" t="str">
        <f ca="1">IF(INDIRECT(CONCATENATE($FK$12,Fixtures!JV$25))="","",IF(INDIRECT(CONCATENATE($FK$12,Fixtures!JV$25))=Fixtures!$DN36,CONCATENATE(JV$10,", "),""))</f>
        <v/>
      </c>
      <c r="JW36" s="632" t="str">
        <f ca="1">IF(INDIRECT(CONCATENATE($FK$12,Fixtures!JW$25))="","",IF(INDIRECT(CONCATENATE($FK$12,Fixtures!JW$25))=Fixtures!$DN36,CONCATENATE(JW$10,", "),""))</f>
        <v/>
      </c>
      <c r="JX36" s="632" t="str">
        <f ca="1">IF(INDIRECT(CONCATENATE($FK$12,Fixtures!JX$25))="","",IF(INDIRECT(CONCATENATE($FK$12,Fixtures!JX$25))=Fixtures!$DN36,CONCATENATE(JX$10,", "),""))</f>
        <v/>
      </c>
      <c r="JY36" s="632" t="str">
        <f ca="1">IF(INDIRECT(CONCATENATE($FK$12,Fixtures!JY$25))="","",IF(INDIRECT(CONCATENATE($FK$12,Fixtures!JY$25))=Fixtures!$DN36,CONCATENATE(JY$10,", "),""))</f>
        <v/>
      </c>
      <c r="JZ36" s="632" t="str">
        <f ca="1">IF(INDIRECT(CONCATENATE($FK$12,Fixtures!JZ$25))="","",IF(INDIRECT(CONCATENATE($FK$12,Fixtures!JZ$25))=Fixtures!$DN36,CONCATENATE(JZ$10,", "),""))</f>
        <v/>
      </c>
      <c r="KA36" s="632" t="str">
        <f ca="1">IF(INDIRECT(CONCATENATE($FK$12,Fixtures!KA$25))="","",IF(INDIRECT(CONCATENATE($FK$12,Fixtures!KA$25))=Fixtures!$DN36,CONCATENATE(KA$10,", "),""))</f>
        <v/>
      </c>
      <c r="KB36" s="632" t="str">
        <f ca="1">IF(INDIRECT(CONCATENATE($FK$12,Fixtures!KB$25))="","",IF(INDIRECT(CONCATENATE($FK$12,Fixtures!KB$25))=Fixtures!$DN36,CONCATENATE(KB$10,", "),""))</f>
        <v/>
      </c>
      <c r="KC36" s="632" t="str">
        <f ca="1">IF(INDIRECT(CONCATENATE($FK$12,Fixtures!KC$25))="","",IF(INDIRECT(CONCATENATE($FK$12,Fixtures!KC$25))=Fixtures!$DN36,CONCATENATE(KC$10,", "),""))</f>
        <v/>
      </c>
      <c r="KD36" s="632" t="str">
        <f ca="1">IF(INDIRECT(CONCATENATE($FK$12,Fixtures!KD$25))="","",IF(INDIRECT(CONCATENATE($FK$12,Fixtures!KD$25))=Fixtures!$DN36,CONCATENATE(KD$10,", "),""))</f>
        <v/>
      </c>
      <c r="KE36" s="632" t="str">
        <f ca="1">IF(INDIRECT(CONCATENATE($FK$12,Fixtures!KE$25))="","",IF(INDIRECT(CONCATENATE($FK$12,Fixtures!KE$25))=Fixtures!$DN36,CONCATENATE(KE$10,", "),""))</f>
        <v/>
      </c>
      <c r="KF36" s="632" t="str">
        <f ca="1">IF(INDIRECT(CONCATENATE($FK$12,Fixtures!KF$25))="","",IF(INDIRECT(CONCATENATE($FK$12,Fixtures!KF$25))=Fixtures!$DN36,CONCATENATE(KF$10,", "),""))</f>
        <v/>
      </c>
      <c r="KG36" s="632" t="str">
        <f ca="1">IF(INDIRECT(CONCATENATE($FK$12,Fixtures!KG$25))="","",IF(INDIRECT(CONCATENATE($FK$12,Fixtures!KG$25))=Fixtures!$DN36,CONCATENATE(KG$10,", "),""))</f>
        <v/>
      </c>
      <c r="KH36" s="632" t="str">
        <f ca="1">IF(INDIRECT(CONCATENATE($FK$12,Fixtures!KH$25))="","",IF(INDIRECT(CONCATENATE($FK$12,Fixtures!KH$25))=Fixtures!$DN36,CONCATENATE(KH$10,", "),""))</f>
        <v/>
      </c>
      <c r="KI36" s="632" t="str">
        <f ca="1">IF(INDIRECT(CONCATENATE($FK$12,Fixtures!KI$25))="","",IF(INDIRECT(CONCATENATE($FK$12,Fixtures!KI$25))=Fixtures!$DN36,CONCATENATE(KI$10,", "),""))</f>
        <v/>
      </c>
      <c r="KJ36" s="606" t="str">
        <f ca="1">IF(INDIRECT(CONCATENATE($FK$12,Fixtures!KJ$25))="","",IF(INDIRECT(CONCATENATE($FK$12,Fixtures!KJ$25))=Fixtures!$DN36,CONCATENATE(KJ$10,", "),""))</f>
        <v/>
      </c>
      <c r="KK36" s="607" t="str">
        <f ca="1">IF(INDIRECT(CONCATENATE($FK$12,Fixtures!KK$25))="","",IF(INDIRECT(CONCATENATE($FK$12,Fixtures!KK$25))=Fixtures!$DN36,CONCATENATE(KK$10,", "),""))</f>
        <v/>
      </c>
      <c r="KL36" s="632" t="str">
        <f ca="1">IF(INDIRECT(CONCATENATE($FK$12,Fixtures!KL$25))="","",IF(INDIRECT(CONCATENATE($FK$12,Fixtures!KL$25))=Fixtures!$DN36,CONCATENATE(KL$10,", "),""))</f>
        <v/>
      </c>
      <c r="KM36" s="632" t="str">
        <f ca="1">IF(INDIRECT(CONCATENATE($FK$12,Fixtures!KM$25))="","",IF(INDIRECT(CONCATENATE($FK$12,Fixtures!KM$25))=Fixtures!$DN36,CONCATENATE(KM$10,", "),""))</f>
        <v/>
      </c>
      <c r="KN36" s="632" t="str">
        <f ca="1">IF(INDIRECT(CONCATENATE($FK$12,Fixtures!KN$25))="","",IF(INDIRECT(CONCATENATE($FK$12,Fixtures!KN$25))=Fixtures!$DN36,CONCATENATE(KN$10,", "),""))</f>
        <v/>
      </c>
      <c r="KO36" s="632" t="str">
        <f ca="1">IF(INDIRECT(CONCATENATE($FK$12,Fixtures!KO$25))="","",IF(INDIRECT(CONCATENATE($FK$12,Fixtures!KO$25))=Fixtures!$DN36,CONCATENATE(KO$10,", "),""))</f>
        <v/>
      </c>
      <c r="KP36" s="632" t="str">
        <f ca="1">IF(INDIRECT(CONCATENATE($FK$12,Fixtures!KP$25))="","",IF(INDIRECT(CONCATENATE($FK$12,Fixtures!KP$25))=Fixtures!$DN36,CONCATENATE(KP$10,", "),""))</f>
        <v/>
      </c>
      <c r="KQ36" s="632" t="str">
        <f ca="1">IF(INDIRECT(CONCATENATE($FK$12,Fixtures!KQ$25))="","",IF(INDIRECT(CONCATENATE($FK$12,Fixtures!KQ$25))=Fixtures!$DN36,CONCATENATE(KQ$10,", "),""))</f>
        <v/>
      </c>
      <c r="KR36" s="632" t="str">
        <f ca="1">IF(INDIRECT(CONCATENATE($FK$12,Fixtures!KR$25))="","",IF(INDIRECT(CONCATENATE($FK$12,Fixtures!KR$25))=Fixtures!$DN36,CONCATENATE(KR$10,", "),""))</f>
        <v/>
      </c>
      <c r="KS36" s="632" t="str">
        <f ca="1">IF(INDIRECT(CONCATENATE($FK$12,Fixtures!KS$25))="","",IF(INDIRECT(CONCATENATE($FK$12,Fixtures!KS$25))=Fixtures!$DN36,CONCATENATE(KS$10,", "),""))</f>
        <v/>
      </c>
      <c r="KT36" s="632" t="str">
        <f ca="1">IF(INDIRECT(CONCATENATE($FK$12,Fixtures!KT$25))="","",IF(INDIRECT(CONCATENATE($FK$12,Fixtures!KT$25))=Fixtures!$DN36,CONCATENATE(KT$10,", "),""))</f>
        <v/>
      </c>
      <c r="KU36" s="632" t="str">
        <f ca="1">IF(INDIRECT(CONCATENATE($FK$12,Fixtures!KU$25))="","",IF(INDIRECT(CONCATENATE($FK$12,Fixtures!KU$25))=Fixtures!$DN36,CONCATENATE(KU$10,", "),""))</f>
        <v/>
      </c>
      <c r="KV36" s="632" t="str">
        <f ca="1">IF(INDIRECT(CONCATENATE($FK$12,Fixtures!KV$25))="","",IF(INDIRECT(CONCATENATE($FK$12,Fixtures!KV$25))=Fixtures!$DN36,CONCATENATE(KV$10,", "),""))</f>
        <v/>
      </c>
      <c r="KW36" s="632" t="str">
        <f ca="1">IF(INDIRECT(CONCATENATE($FK$12,Fixtures!KW$25))="","",IF(INDIRECT(CONCATENATE($FK$12,Fixtures!KW$25))=Fixtures!$DN36,CONCATENATE(KW$10,", "),""))</f>
        <v/>
      </c>
      <c r="KX36" s="632" t="str">
        <f ca="1">IF(INDIRECT(CONCATENATE($FK$12,Fixtures!KX$25))="","",IF(INDIRECT(CONCATENATE($FK$12,Fixtures!KX$25))=Fixtures!$DN36,CONCATENATE(KX$10,", "),""))</f>
        <v/>
      </c>
      <c r="KY36" s="632"/>
      <c r="KZ36" s="46"/>
      <c r="LA36" s="46" t="str">
        <f t="shared" ca="1" si="7"/>
        <v/>
      </c>
      <c r="LB36" s="46"/>
      <c r="LC36" s="1010"/>
      <c r="LD36" s="1009" t="str">
        <f t="shared" si="20"/>
        <v/>
      </c>
    </row>
    <row r="37" spans="1:316" ht="28.2" customHeight="1" thickTop="1" thickBot="1">
      <c r="A37" s="426" t="str">
        <f t="shared" si="13"/>
        <v/>
      </c>
      <c r="C37" s="1640" t="str">
        <f t="shared" si="14"/>
        <v/>
      </c>
      <c r="D37" s="1641"/>
      <c r="E37" s="1568" t="str">
        <f t="shared" si="15"/>
        <v/>
      </c>
      <c r="F37" s="1569"/>
      <c r="G37" s="1569"/>
      <c r="H37" s="1569"/>
      <c r="I37" s="1569"/>
      <c r="J37" s="1569"/>
      <c r="K37" s="1569"/>
      <c r="L37" s="1569"/>
      <c r="M37" s="1642"/>
      <c r="N37" s="203" t="str">
        <f t="shared" si="16"/>
        <v/>
      </c>
      <c r="O37" s="541"/>
      <c r="P37" s="1638" t="str">
        <f t="shared" si="25"/>
        <v/>
      </c>
      <c r="Q37" s="1639"/>
      <c r="R37" s="1568" t="str">
        <f t="shared" ref="R37:R78" si="30">EE99</f>
        <v/>
      </c>
      <c r="S37" s="1569"/>
      <c r="T37" s="1569"/>
      <c r="U37" s="1569"/>
      <c r="V37" s="1569"/>
      <c r="W37" s="1569"/>
      <c r="X37" s="1569"/>
      <c r="Y37" s="203" t="str">
        <f t="shared" si="26"/>
        <v/>
      </c>
      <c r="Z37" s="203" t="str">
        <f t="shared" si="27"/>
        <v/>
      </c>
      <c r="AA37" s="394" t="str">
        <f t="shared" si="28"/>
        <v/>
      </c>
      <c r="AB37" s="489"/>
      <c r="AC37" s="1564" t="str">
        <f t="shared" si="18"/>
        <v/>
      </c>
      <c r="AD37" s="1565"/>
      <c r="AE37" s="1565"/>
      <c r="AF37" s="1565"/>
      <c r="AG37" s="1565"/>
      <c r="AH37" s="1565"/>
      <c r="AK37">
        <f>SUMIFS(Installations!CV$46:CV$803,Installations!CW$46:CW$803,E37,Installations!IC$46:IC$803,TRUE)</f>
        <v>0</v>
      </c>
      <c r="AL37">
        <f>SUMIFS(Installations!CV$46:CV$803,Installations!CW$46:CW$803,R37,Installations!IC$46:IC$803,TRUE)</f>
        <v>0</v>
      </c>
      <c r="BL37" s="9"/>
      <c r="BM37" s="622" t="str">
        <f t="shared" si="19"/>
        <v/>
      </c>
      <c r="BN37" s="52"/>
      <c r="BO37" s="52"/>
      <c r="BP37" s="52"/>
      <c r="BQ37" s="52"/>
      <c r="BR37" s="52"/>
      <c r="BS37" s="52"/>
      <c r="BT37" s="52"/>
      <c r="BU37" s="373"/>
      <c r="BV37" s="219" t="str">
        <f>IF(CN37&lt;&gt;"Yes","",IFERROR(VLOOKUP(CU37,Existing!A$4:F$367,2,FALSE),""))</f>
        <v/>
      </c>
      <c r="BW37" s="9">
        <v>11</v>
      </c>
      <c r="BX37" s="1625"/>
      <c r="BY37" s="1626"/>
      <c r="BZ37" s="1626"/>
      <c r="CA37" s="1627"/>
      <c r="CB37" s="1622"/>
      <c r="CC37" s="1623"/>
      <c r="CD37" s="1623"/>
      <c r="CE37" s="1624"/>
      <c r="CF37" s="1621"/>
      <c r="CG37" s="1621"/>
      <c r="CH37" s="1621"/>
      <c r="CI37" s="1621"/>
      <c r="CJ37" s="1621"/>
      <c r="CK37" s="1621"/>
      <c r="CL37" s="1621"/>
      <c r="CM37" s="1621"/>
      <c r="CN37" s="1553" t="str">
        <f t="shared" si="0"/>
        <v/>
      </c>
      <c r="CO37" s="1554"/>
      <c r="CP37" s="229" t="str">
        <f>IFERROR(IF(CB37="Existing TLED",CR37*CW37*CY37,VLOOKUP(CU37,Existing!A$3:F$356,6,FALSE)),"")</f>
        <v/>
      </c>
      <c r="CQ37" s="9"/>
      <c r="CR37" s="1660"/>
      <c r="CS37" s="1661"/>
      <c r="CT37" s="9"/>
      <c r="CU37" s="425" t="str">
        <f t="shared" si="21"/>
        <v/>
      </c>
      <c r="CV37" s="426" t="b">
        <f t="shared" si="22"/>
        <v>0</v>
      </c>
      <c r="CW37" s="426" t="str">
        <f t="shared" si="23"/>
        <v/>
      </c>
      <c r="CX37" s="426">
        <f>IFERROR(VLOOKUP(CF37,Lookup!T$100:V$102,3,FALSE),0)</f>
        <v>0</v>
      </c>
      <c r="CY37" s="426">
        <f t="shared" si="8"/>
        <v>1.1100000000000001</v>
      </c>
      <c r="CZ37" s="626" t="b">
        <f t="shared" si="1"/>
        <v>0</v>
      </c>
      <c r="DA37" s="626" t="b">
        <f>IF(CF37&lt;&gt;"",IF(ISERROR(MATCH(CONCATENATE(CB37," - ",CF37),Existing!G$4:G$331,0))=TRUE,FALSE,TRUE),TRUE)</f>
        <v>1</v>
      </c>
      <c r="DB37" s="626" t="b">
        <f t="shared" si="2"/>
        <v>1</v>
      </c>
      <c r="DL37" s="9"/>
      <c r="DM37" s="627" t="s">
        <v>215</v>
      </c>
      <c r="DN37" s="375" t="str">
        <f t="shared" si="3"/>
        <v/>
      </c>
      <c r="DO37" s="52"/>
      <c r="DP37" s="52"/>
      <c r="DQ37" s="52"/>
      <c r="DR37" s="52"/>
      <c r="DS37" s="52"/>
      <c r="DT37" s="226"/>
      <c r="DU37" s="376"/>
      <c r="DV37" s="227" t="str">
        <f t="shared" si="4"/>
        <v/>
      </c>
      <c r="DW37" s="224">
        <v>11</v>
      </c>
      <c r="DX37" s="1572"/>
      <c r="DY37" s="1573"/>
      <c r="DZ37" s="1573"/>
      <c r="EA37" s="1574"/>
      <c r="EB37" s="1618"/>
      <c r="EC37" s="1619"/>
      <c r="ED37" s="1619"/>
      <c r="EE37" s="1620"/>
      <c r="EF37" s="1578"/>
      <c r="EG37" s="1579"/>
      <c r="EH37" s="1572"/>
      <c r="EI37" s="1573"/>
      <c r="EJ37" s="1573"/>
      <c r="EK37" s="1574"/>
      <c r="EL37" s="1575"/>
      <c r="EM37" s="1576"/>
      <c r="EN37" s="1576"/>
      <c r="EO37" s="1577"/>
      <c r="EP37" s="1578"/>
      <c r="EQ37" s="1579"/>
      <c r="ER37" s="1555"/>
      <c r="ES37" s="1556"/>
      <c r="ET37" s="1553" t="str">
        <f t="shared" si="9"/>
        <v/>
      </c>
      <c r="EU37" s="1554"/>
      <c r="EV37" s="1553" t="str">
        <f t="shared" si="29"/>
        <v/>
      </c>
      <c r="EW37" s="1554"/>
      <c r="EX37" s="393"/>
      <c r="EY37" s="225" t="str">
        <f t="shared" si="6"/>
        <v/>
      </c>
      <c r="EZ37" s="225" t="str">
        <f>IFERROR(VLOOKUP(EB37,Lookup!AT$3:AU$13,2,FALSE),"")</f>
        <v/>
      </c>
      <c r="FA37" s="426" t="b">
        <f>IFERROR(IF(VLOOKUP(EB37,Lookup!AT$6:AU$8,2,FALSE)&gt;3,TRUE,FALSE),FALSE)</f>
        <v>0</v>
      </c>
      <c r="FB37" s="426" t="str">
        <f t="shared" si="10"/>
        <v/>
      </c>
      <c r="FC37" t="str">
        <f t="shared" ca="1" si="11"/>
        <v/>
      </c>
      <c r="FG37" t="str">
        <f t="shared" ca="1" si="12"/>
        <v/>
      </c>
      <c r="FI37" s="204" t="str">
        <f t="shared" ca="1" si="24"/>
        <v/>
      </c>
      <c r="FJ37" s="204"/>
      <c r="FK37" s="631" t="str">
        <f ca="1">IF(INDIRECT(CONCATENATE($FK$12,Fixtures!FK$25))="","",IF(INDIRECT(CONCATENATE($FK$12,Fixtures!FK$25))=Fixtures!$DN37,CONCATENATE(FK$10,", "),""))</f>
        <v/>
      </c>
      <c r="FL37" s="631" t="str">
        <f ca="1">IF(INDIRECT(CONCATENATE($FK$12,Fixtures!FL$25))="","",IF(INDIRECT(CONCATENATE($FK$12,Fixtures!FL$25))=Fixtures!$DN37,CONCATENATE(FL$10,", "),""))</f>
        <v/>
      </c>
      <c r="FM37" s="631" t="str">
        <f ca="1">IF(INDIRECT(CONCATENATE($FK$12,Fixtures!FM$25))="","",IF(INDIRECT(CONCATENATE($FK$12,Fixtures!FM$25))=Fixtures!$DN37,CONCATENATE(FM$10,", "),""))</f>
        <v/>
      </c>
      <c r="FN37" s="631" t="str">
        <f ca="1">IF(INDIRECT(CONCATENATE($FK$12,Fixtures!FN$25))="","",IF(INDIRECT(CONCATENATE($FK$12,Fixtures!FN$25))=Fixtures!$DN37,CONCATENATE(FN$10,", "),""))</f>
        <v/>
      </c>
      <c r="FO37" s="631" t="str">
        <f ca="1">IF(INDIRECT(CONCATENATE($FK$12,Fixtures!FO$25))="","",IF(INDIRECT(CONCATENATE($FK$12,Fixtures!FO$25))=Fixtures!$DN37,CONCATENATE(FO$10,", "),""))</f>
        <v/>
      </c>
      <c r="FP37" s="631" t="str">
        <f ca="1">IF(INDIRECT(CONCATENATE($FK$12,Fixtures!FP$25))="","",IF(INDIRECT(CONCATENATE($FK$12,Fixtures!FP$25))=Fixtures!$DN37,CONCATENATE(FP$10,", "),""))</f>
        <v/>
      </c>
      <c r="FQ37" s="631" t="str">
        <f ca="1">IF(INDIRECT(CONCATENATE($FK$12,Fixtures!FQ$25))="","",IF(INDIRECT(CONCATENATE($FK$12,Fixtures!FQ$25))=Fixtures!$DN37,CONCATENATE(FQ$10,", "),""))</f>
        <v/>
      </c>
      <c r="FR37" s="631" t="str">
        <f ca="1">IF(INDIRECT(CONCATENATE($FK$12,Fixtures!FR$25))="","",IF(INDIRECT(CONCATENATE($FK$12,Fixtures!FR$25))=Fixtures!$DN37,CONCATENATE(FR$10,", "),""))</f>
        <v/>
      </c>
      <c r="FS37" s="631" t="str">
        <f ca="1">IF(INDIRECT(CONCATENATE($FK$12,Fixtures!FS$25))="","",IF(INDIRECT(CONCATENATE($FK$12,Fixtures!FS$25))=Fixtures!$DN37,CONCATENATE(FS$10,", "),""))</f>
        <v/>
      </c>
      <c r="FT37" s="604" t="str">
        <f ca="1">IF(INDIRECT(CONCATENATE($FK$12,Fixtures!FT$25))="","",IF(INDIRECT(CONCATENATE($FK$12,Fixtures!FT$25))=Fixtures!$DN37,CONCATENATE(FT$10,", "),""))</f>
        <v/>
      </c>
      <c r="FU37" s="605" t="str">
        <f ca="1">IF(INDIRECT(CONCATENATE($FK$12,Fixtures!FU$25))="","",IF(INDIRECT(CONCATENATE($FK$12,Fixtures!FU$25))=Fixtures!$DN37,CONCATENATE(FU$10,", "),""))</f>
        <v/>
      </c>
      <c r="FV37" s="631" t="str">
        <f ca="1">IF(INDIRECT(CONCATENATE($FK$12,Fixtures!FV$25))="","",IF(INDIRECT(CONCATENATE($FK$12,Fixtures!FV$25))=Fixtures!$DN37,CONCATENATE(FV$10,", "),""))</f>
        <v/>
      </c>
      <c r="FW37" s="632" t="str">
        <f ca="1">IF(INDIRECT(CONCATENATE($FK$12,Fixtures!FW$25))="","",IF(INDIRECT(CONCATENATE($FK$12,Fixtures!FW$25))=Fixtures!$DN37,CONCATENATE(FW$10,", "),""))</f>
        <v/>
      </c>
      <c r="FX37" s="632" t="str">
        <f ca="1">IF(INDIRECT(CONCATENATE($FK$12,Fixtures!FX$25))="","",IF(INDIRECT(CONCATENATE($FK$12,Fixtures!FX$25))=Fixtures!$DN37,CONCATENATE(FX$10,", "),""))</f>
        <v/>
      </c>
      <c r="FY37" s="632" t="str">
        <f ca="1">IF(INDIRECT(CONCATENATE($FK$12,Fixtures!FY$25))="","",IF(INDIRECT(CONCATENATE($FK$12,Fixtures!FY$25))=Fixtures!$DN37,CONCATENATE(FY$10,", "),""))</f>
        <v/>
      </c>
      <c r="FZ37" s="632" t="str">
        <f ca="1">IF(INDIRECT(CONCATENATE($FK$12,Fixtures!FZ$25))="","",IF(INDIRECT(CONCATENATE($FK$12,Fixtures!FZ$25))=Fixtures!$DN37,CONCATENATE(FZ$10,", "),""))</f>
        <v/>
      </c>
      <c r="GA37" s="632" t="str">
        <f ca="1">IF(INDIRECT(CONCATENATE($FK$12,Fixtures!GA$25))="","",IF(INDIRECT(CONCATENATE($FK$12,Fixtures!GA$25))=Fixtures!$DN37,CONCATENATE(GA$10,", "),""))</f>
        <v/>
      </c>
      <c r="GB37" s="632" t="str">
        <f ca="1">IF(INDIRECT(CONCATENATE($FK$12,Fixtures!GB$25))="","",IF(INDIRECT(CONCATENATE($FK$12,Fixtures!GB$25))=Fixtures!$DN37,CONCATENATE(GB$10,", "),""))</f>
        <v/>
      </c>
      <c r="GC37" s="632" t="str">
        <f ca="1">IF(INDIRECT(CONCATENATE($FK$12,Fixtures!GC$25))="","",IF(INDIRECT(CONCATENATE($FK$12,Fixtures!GC$25))=Fixtures!$DN37,CONCATENATE(GC$10,", "),""))</f>
        <v/>
      </c>
      <c r="GD37" s="632" t="str">
        <f ca="1">IF(INDIRECT(CONCATENATE($FK$12,Fixtures!GD$25))="","",IF(INDIRECT(CONCATENATE($FK$12,Fixtures!GD$25))=Fixtures!$DN37,CONCATENATE(GD$10,", "),""))</f>
        <v/>
      </c>
      <c r="GE37" s="632" t="str">
        <f ca="1">IF(INDIRECT(CONCATENATE($FK$12,Fixtures!GE$25))="","",IF(INDIRECT(CONCATENATE($FK$12,Fixtures!GE$25))=Fixtures!$DN37,CONCATENATE(GE$10,", "),""))</f>
        <v/>
      </c>
      <c r="GF37" s="632" t="str">
        <f ca="1">IF(INDIRECT(CONCATENATE($FK$12,Fixtures!GF$25))="","",IF(INDIRECT(CONCATENATE($FK$12,Fixtures!GF$25))=Fixtures!$DN37,CONCATENATE(GF$10,", "),""))</f>
        <v/>
      </c>
      <c r="GG37" s="632" t="str">
        <f ca="1">IF(INDIRECT(CONCATENATE($FK$12,Fixtures!GG$25))="","",IF(INDIRECT(CONCATENATE($FK$12,Fixtures!GG$25))=Fixtures!$DN37,CONCATENATE(GG$10,", "),""))</f>
        <v/>
      </c>
      <c r="GH37" s="632" t="str">
        <f ca="1">IF(INDIRECT(CONCATENATE($FK$12,Fixtures!GH$25))="","",IF(INDIRECT(CONCATENATE($FK$12,Fixtures!GH$25))=Fixtures!$DN37,CONCATENATE(GH$10,", "),""))</f>
        <v/>
      </c>
      <c r="GI37" s="606" t="str">
        <f ca="1">IF(INDIRECT(CONCATENATE($FK$12,Fixtures!GI$25))="","",IF(INDIRECT(CONCATENATE($FK$12,Fixtures!GI$25))=Fixtures!$DN37,CONCATENATE(GI$10,", "),""))</f>
        <v/>
      </c>
      <c r="GJ37" s="607" t="str">
        <f ca="1">IF(INDIRECT(CONCATENATE($FK$12,Fixtures!GJ$25))="","",IF(INDIRECT(CONCATENATE($FK$12,Fixtures!GJ$25))=Fixtures!$DN37,CONCATENATE(GJ$10,", "),""))</f>
        <v/>
      </c>
      <c r="GK37" s="632" t="str">
        <f ca="1">IF(INDIRECT(CONCATENATE($FK$12,Fixtures!GK$25))="","",IF(INDIRECT(CONCATENATE($FK$12,Fixtures!GK$25))=Fixtures!$DN37,CONCATENATE(GK$10,", "),""))</f>
        <v/>
      </c>
      <c r="GL37" s="632" t="str">
        <f ca="1">IF(INDIRECT(CONCATENATE($FK$12,Fixtures!GL$25))="","",IF(INDIRECT(CONCATENATE($FK$12,Fixtures!GL$25))=Fixtures!$DN37,CONCATENATE(GL$10,", "),""))</f>
        <v/>
      </c>
      <c r="GM37" s="632" t="str">
        <f ca="1">IF(INDIRECT(CONCATENATE($FK$12,Fixtures!GM$25))="","",IF(INDIRECT(CONCATENATE($FK$12,Fixtures!GM$25))=Fixtures!$DN37,CONCATENATE(GM$10,", "),""))</f>
        <v/>
      </c>
      <c r="GN37" s="632" t="str">
        <f ca="1">IF(INDIRECT(CONCATENATE($FK$12,Fixtures!GN$25))="","",IF(INDIRECT(CONCATENATE($FK$12,Fixtures!GN$25))=Fixtures!$DN37,CONCATENATE(GN$10,", "),""))</f>
        <v/>
      </c>
      <c r="GO37" s="632" t="str">
        <f ca="1">IF(INDIRECT(CONCATENATE($FK$12,Fixtures!GO$25))="","",IF(INDIRECT(CONCATENATE($FK$12,Fixtures!GO$25))=Fixtures!$DN37,CONCATENATE(GO$10,", "),""))</f>
        <v/>
      </c>
      <c r="GP37" s="632" t="str">
        <f ca="1">IF(INDIRECT(CONCATENATE($FK$12,Fixtures!GP$25))="","",IF(INDIRECT(CONCATENATE($FK$12,Fixtures!GP$25))=Fixtures!$DN37,CONCATENATE(GP$10,", "),""))</f>
        <v/>
      </c>
      <c r="GQ37" s="632" t="str">
        <f ca="1">IF(INDIRECT(CONCATENATE($FK$12,Fixtures!GQ$25))="","",IF(INDIRECT(CONCATENATE($FK$12,Fixtures!GQ$25))=Fixtures!$DN37,CONCATENATE(GQ$10,", "),""))</f>
        <v/>
      </c>
      <c r="GR37" s="632" t="str">
        <f ca="1">IF(INDIRECT(CONCATENATE($FK$12,Fixtures!GR$25))="","",IF(INDIRECT(CONCATENATE($FK$12,Fixtures!GR$25))=Fixtures!$DN37,CONCATENATE(GR$10,", "),""))</f>
        <v/>
      </c>
      <c r="GS37" s="632" t="str">
        <f ca="1">IF(INDIRECT(CONCATENATE($FK$12,Fixtures!GS$25))="","",IF(INDIRECT(CONCATENATE($FK$12,Fixtures!GS$25))=Fixtures!$DN37,CONCATENATE(GS$10,", "),""))</f>
        <v/>
      </c>
      <c r="GT37" s="632" t="str">
        <f ca="1">IF(INDIRECT(CONCATENATE($FK$12,Fixtures!GT$25))="","",IF(INDIRECT(CONCATENATE($FK$12,Fixtures!GT$25))=Fixtures!$DN37,CONCATENATE(GT$10,", "),""))</f>
        <v/>
      </c>
      <c r="GU37" s="632" t="str">
        <f ca="1">IF(INDIRECT(CONCATENATE($FK$12,Fixtures!GU$25))="","",IF(INDIRECT(CONCATENATE($FK$12,Fixtures!GU$25))=Fixtures!$DN37,CONCATENATE(GU$10,", "),""))</f>
        <v/>
      </c>
      <c r="GV37" s="632" t="str">
        <f ca="1">IF(INDIRECT(CONCATENATE($FK$12,Fixtures!GV$25))="","",IF(INDIRECT(CONCATENATE($FK$12,Fixtures!GV$25))=Fixtures!$DN37,CONCATENATE(GV$10,", "),""))</f>
        <v/>
      </c>
      <c r="GW37" s="632" t="str">
        <f ca="1">IF(INDIRECT(CONCATENATE($FK$12,Fixtures!GW$25))="","",IF(INDIRECT(CONCATENATE($FK$12,Fixtures!GW$25))=Fixtures!$DN37,CONCATENATE(GW$10,", "),""))</f>
        <v/>
      </c>
      <c r="GX37" s="606" t="str">
        <f ca="1">IF(INDIRECT(CONCATENATE($FK$12,Fixtures!GX$25))="","",IF(INDIRECT(CONCATENATE($FK$12,Fixtures!GX$25))=Fixtures!$DN37,CONCATENATE(GX$10,", "),""))</f>
        <v/>
      </c>
      <c r="GY37" s="607" t="str">
        <f ca="1">IF(INDIRECT(CONCATENATE($FK$12,Fixtures!GY$25))="","",IF(INDIRECT(CONCATENATE($FK$12,Fixtures!GY$25))=Fixtures!$DN37,CONCATENATE(GY$10,", "),""))</f>
        <v/>
      </c>
      <c r="GZ37" s="632" t="str">
        <f ca="1">IF(INDIRECT(CONCATENATE($FK$12,Fixtures!GZ$25))="","",IF(INDIRECT(CONCATENATE($FK$12,Fixtures!GZ$25))=Fixtures!$DN37,CONCATENATE(GZ$10,", "),""))</f>
        <v/>
      </c>
      <c r="HA37" s="632" t="str">
        <f ca="1">IF(INDIRECT(CONCATENATE($FK$12,Fixtures!HA$25))="","",IF(INDIRECT(CONCATENATE($FK$12,Fixtures!HA$25))=Fixtures!$DN37,CONCATENATE(HA$10,", "),""))</f>
        <v/>
      </c>
      <c r="HB37" s="632" t="str">
        <f ca="1">IF(INDIRECT(CONCATENATE($FK$12,Fixtures!HB$25))="","",IF(INDIRECT(CONCATENATE($FK$12,Fixtures!HB$25))=Fixtures!$DN37,CONCATENATE(HB$10,", "),""))</f>
        <v/>
      </c>
      <c r="HC37" s="632" t="str">
        <f ca="1">IF(INDIRECT(CONCATENATE($FK$12,Fixtures!HC$25))="","",IF(INDIRECT(CONCATENATE($FK$12,Fixtures!HC$25))=Fixtures!$DN37,CONCATENATE(HC$10,", "),""))</f>
        <v/>
      </c>
      <c r="HD37" s="632" t="str">
        <f ca="1">IF(INDIRECT(CONCATENATE($FK$12,Fixtures!HD$25))="","",IF(INDIRECT(CONCATENATE($FK$12,Fixtures!HD$25))=Fixtures!$DN37,CONCATENATE(HD$10,", "),""))</f>
        <v/>
      </c>
      <c r="HE37" s="632" t="str">
        <f ca="1">IF(INDIRECT(CONCATENATE($FK$12,Fixtures!HE$25))="","",IF(INDIRECT(CONCATENATE($FK$12,Fixtures!HE$25))=Fixtures!$DN37,CONCATENATE(HE$10,", "),""))</f>
        <v/>
      </c>
      <c r="HF37" s="632" t="str">
        <f ca="1">IF(INDIRECT(CONCATENATE($FK$12,Fixtures!HF$25))="","",IF(INDIRECT(CONCATENATE($FK$12,Fixtures!HF$25))=Fixtures!$DN37,CONCATENATE(HF$10,", "),""))</f>
        <v/>
      </c>
      <c r="HG37" s="632" t="str">
        <f ca="1">IF(INDIRECT(CONCATENATE($FK$12,Fixtures!HG$25))="","",IF(INDIRECT(CONCATENATE($FK$12,Fixtures!HG$25))=Fixtures!$DN37,CONCATENATE(HG$10,", "),""))</f>
        <v/>
      </c>
      <c r="HH37" s="632" t="str">
        <f ca="1">IF(INDIRECT(CONCATENATE($FK$12,Fixtures!HH$25))="","",IF(INDIRECT(CONCATENATE($FK$12,Fixtures!HH$25))=Fixtures!$DN37,CONCATENATE(HH$10,", "),""))</f>
        <v/>
      </c>
      <c r="HI37" s="632" t="str">
        <f ca="1">IF(INDIRECT(CONCATENATE($FK$12,Fixtures!HI$25))="","",IF(INDIRECT(CONCATENATE($FK$12,Fixtures!HI$25))=Fixtures!$DN37,CONCATENATE(HI$10,", "),""))</f>
        <v/>
      </c>
      <c r="HJ37" s="632" t="str">
        <f ca="1">IF(INDIRECT(CONCATENATE($FK$12,Fixtures!HJ$25))="","",IF(INDIRECT(CONCATENATE($FK$12,Fixtures!HJ$25))=Fixtures!$DN37,CONCATENATE(HJ$10,", "),""))</f>
        <v/>
      </c>
      <c r="HK37" s="632" t="str">
        <f ca="1">IF(INDIRECT(CONCATENATE($FK$12,Fixtures!HK$25))="","",IF(INDIRECT(CONCATENATE($FK$12,Fixtures!HK$25))=Fixtures!$DN37,CONCATENATE(HK$10,", "),""))</f>
        <v/>
      </c>
      <c r="HL37" s="632" t="str">
        <f ca="1">IF(INDIRECT(CONCATENATE($FK$12,Fixtures!HL$25))="","",IF(INDIRECT(CONCATENATE($FK$12,Fixtures!HL$25))=Fixtures!$DN37,CONCATENATE(HL$10,", "),""))</f>
        <v/>
      </c>
      <c r="HM37" s="606" t="str">
        <f ca="1">IF(INDIRECT(CONCATENATE($FK$12,Fixtures!HM$25))="","",IF(INDIRECT(CONCATENATE($FK$12,Fixtures!HM$25))=Fixtures!$DN37,CONCATENATE(HM$10,", "),""))</f>
        <v/>
      </c>
      <c r="HN37" s="607" t="str">
        <f ca="1">IF(INDIRECT(CONCATENATE($FK$12,Fixtures!HN$25))="","",IF(INDIRECT(CONCATENATE($FK$12,Fixtures!HN$25))=Fixtures!$DN37,CONCATENATE(HN$10,", "),""))</f>
        <v/>
      </c>
      <c r="HO37" s="632" t="str">
        <f ca="1">IF(INDIRECT(CONCATENATE($FK$12,Fixtures!HO$25))="","",IF(INDIRECT(CONCATENATE($FK$12,Fixtures!HO$25))=Fixtures!$DN37,CONCATENATE(HO$10,", "),""))</f>
        <v/>
      </c>
      <c r="HP37" s="632" t="str">
        <f ca="1">IF(INDIRECT(CONCATENATE($FK$12,Fixtures!HP$25))="","",IF(INDIRECT(CONCATENATE($FK$12,Fixtures!HP$25))=Fixtures!$DN37,CONCATENATE(HP$10,", "),""))</f>
        <v/>
      </c>
      <c r="HQ37" s="632" t="str">
        <f ca="1">IF(INDIRECT(CONCATENATE($FK$12,Fixtures!HQ$25))="","",IF(INDIRECT(CONCATENATE($FK$12,Fixtures!HQ$25))=Fixtures!$DN37,CONCATENATE(HQ$10,", "),""))</f>
        <v/>
      </c>
      <c r="HR37" s="632" t="str">
        <f ca="1">IF(INDIRECT(CONCATENATE($FK$12,Fixtures!HR$25))="","",IF(INDIRECT(CONCATENATE($FK$12,Fixtures!HR$25))=Fixtures!$DN37,CONCATENATE(HR$10,", "),""))</f>
        <v/>
      </c>
      <c r="HS37" s="632" t="str">
        <f ca="1">IF(INDIRECT(CONCATENATE($FK$12,Fixtures!HS$25))="","",IF(INDIRECT(CONCATENATE($FK$12,Fixtures!HS$25))=Fixtures!$DN37,CONCATENATE(HS$10,", "),""))</f>
        <v/>
      </c>
      <c r="HT37" s="632" t="str">
        <f ca="1">IF(INDIRECT(CONCATENATE($FK$12,Fixtures!HT$25))="","",IF(INDIRECT(CONCATENATE($FK$12,Fixtures!HT$25))=Fixtures!$DN37,CONCATENATE(HT$10,", "),""))</f>
        <v/>
      </c>
      <c r="HU37" s="632" t="str">
        <f ca="1">IF(INDIRECT(CONCATENATE($FK$12,Fixtures!HU$25))="","",IF(INDIRECT(CONCATENATE($FK$12,Fixtures!HU$25))=Fixtures!$DN37,CONCATENATE(HU$10,", "),""))</f>
        <v/>
      </c>
      <c r="HV37" s="632" t="str">
        <f ca="1">IF(INDIRECT(CONCATENATE($FK$12,Fixtures!HV$25))="","",IF(INDIRECT(CONCATENATE($FK$12,Fixtures!HV$25))=Fixtures!$DN37,CONCATENATE(HV$10,", "),""))</f>
        <v/>
      </c>
      <c r="HW37" s="632" t="str">
        <f ca="1">IF(INDIRECT(CONCATENATE($FK$12,Fixtures!HW$25))="","",IF(INDIRECT(CONCATENATE($FK$12,Fixtures!HW$25))=Fixtures!$DN37,CONCATENATE(HW$10,", "),""))</f>
        <v/>
      </c>
      <c r="HX37" s="632" t="str">
        <f ca="1">IF(INDIRECT(CONCATENATE($FK$12,Fixtures!HX$25))="","",IF(INDIRECT(CONCATENATE($FK$12,Fixtures!HX$25))=Fixtures!$DN37,CONCATENATE(HX$10,", "),""))</f>
        <v/>
      </c>
      <c r="HY37" s="632" t="str">
        <f ca="1">IF(INDIRECT(CONCATENATE($FK$12,Fixtures!HY$25))="","",IF(INDIRECT(CONCATENATE($FK$12,Fixtures!HY$25))=Fixtures!$DN37,CONCATENATE(HY$10,", "),""))</f>
        <v/>
      </c>
      <c r="HZ37" s="632" t="str">
        <f ca="1">IF(INDIRECT(CONCATENATE($FK$12,Fixtures!HZ$25))="","",IF(INDIRECT(CONCATENATE($FK$12,Fixtures!HZ$25))=Fixtures!$DN37,CONCATENATE(HZ$10,", "),""))</f>
        <v/>
      </c>
      <c r="IA37" s="632" t="str">
        <f ca="1">IF(INDIRECT(CONCATENATE($FK$12,Fixtures!IA$25))="","",IF(INDIRECT(CONCATENATE($FK$12,Fixtures!IA$25))=Fixtures!$DN37,CONCATENATE(IA$10,", "),""))</f>
        <v/>
      </c>
      <c r="IB37" s="606" t="str">
        <f ca="1">IF(INDIRECT(CONCATENATE($FK$12,Fixtures!IB$25))="","",IF(INDIRECT(CONCATENATE($FK$12,Fixtures!IB$25))=Fixtures!$DN37,CONCATENATE(IB$10,", "),""))</f>
        <v/>
      </c>
      <c r="IC37" s="607" t="str">
        <f ca="1">IF(INDIRECT(CONCATENATE($FK$12,Fixtures!IC$25))="","",IF(INDIRECT(CONCATENATE($FK$12,Fixtures!IC$25))=Fixtures!$DN37,CONCATENATE(IC$10,", "),""))</f>
        <v/>
      </c>
      <c r="ID37" s="632" t="str">
        <f ca="1">IF(INDIRECT(CONCATENATE($FK$12,Fixtures!ID$25))="","",IF(INDIRECT(CONCATENATE($FK$12,Fixtures!ID$25))=Fixtures!$DN37,CONCATENATE(ID$10,", "),""))</f>
        <v/>
      </c>
      <c r="IE37" s="632" t="str">
        <f ca="1">IF(INDIRECT(CONCATENATE($FK$12,Fixtures!IE$25))="","",IF(INDIRECT(CONCATENATE($FK$12,Fixtures!IE$25))=Fixtures!$DN37,CONCATENATE(IE$10,", "),""))</f>
        <v/>
      </c>
      <c r="IF37" s="632" t="str">
        <f ca="1">IF(INDIRECT(CONCATENATE($FK$12,Fixtures!IF$25))="","",IF(INDIRECT(CONCATENATE($FK$12,Fixtures!IF$25))=Fixtures!$DN37,CONCATENATE(IF$10,", "),""))</f>
        <v/>
      </c>
      <c r="IG37" s="632" t="str">
        <f ca="1">IF(INDIRECT(CONCATENATE($FK$12,Fixtures!IG$25))="","",IF(INDIRECT(CONCATENATE($FK$12,Fixtures!IG$25))=Fixtures!$DN37,CONCATENATE(IG$10,", "),""))</f>
        <v/>
      </c>
      <c r="IH37" s="632" t="str">
        <f ca="1">IF(INDIRECT(CONCATENATE($FK$12,Fixtures!IH$25))="","",IF(INDIRECT(CONCATENATE($FK$12,Fixtures!IH$25))=Fixtures!$DN37,CONCATENATE(IH$10,", "),""))</f>
        <v/>
      </c>
      <c r="II37" s="632" t="str">
        <f ca="1">IF(INDIRECT(CONCATENATE($FK$12,Fixtures!II$25))="","",IF(INDIRECT(CONCATENATE($FK$12,Fixtures!II$25))=Fixtures!$DN37,CONCATENATE(II$10,", "),""))</f>
        <v/>
      </c>
      <c r="IJ37" s="632" t="str">
        <f ca="1">IF(INDIRECT(CONCATENATE($FK$12,Fixtures!IJ$25))="","",IF(INDIRECT(CONCATENATE($FK$12,Fixtures!IJ$25))=Fixtures!$DN37,CONCATENATE(IJ$10,", "),""))</f>
        <v/>
      </c>
      <c r="IK37" s="632" t="str">
        <f ca="1">IF(INDIRECT(CONCATENATE($FK$12,Fixtures!IK$25))="","",IF(INDIRECT(CONCATENATE($FK$12,Fixtures!IK$25))=Fixtures!$DN37,CONCATENATE(IK$10,", "),""))</f>
        <v/>
      </c>
      <c r="IL37" s="632" t="str">
        <f ca="1">IF(INDIRECT(CONCATENATE($FK$12,Fixtures!IL$25))="","",IF(INDIRECT(CONCATENATE($FK$12,Fixtures!IL$25))=Fixtures!$DN37,CONCATENATE(IL$10,", "),""))</f>
        <v/>
      </c>
      <c r="IM37" s="632" t="str">
        <f ca="1">IF(INDIRECT(CONCATENATE($FK$12,Fixtures!IM$25))="","",IF(INDIRECT(CONCATENATE($FK$12,Fixtures!IM$25))=Fixtures!$DN37,CONCATENATE(IM$10,", "),""))</f>
        <v/>
      </c>
      <c r="IN37" s="632" t="str">
        <f ca="1">IF(INDIRECT(CONCATENATE($FK$12,Fixtures!IN$25))="","",IF(INDIRECT(CONCATENATE($FK$12,Fixtures!IN$25))=Fixtures!$DN37,CONCATENATE(IN$10,", "),""))</f>
        <v/>
      </c>
      <c r="IO37" s="632" t="str">
        <f ca="1">IF(INDIRECT(CONCATENATE($FK$12,Fixtures!IO$25))="","",IF(INDIRECT(CONCATENATE($FK$12,Fixtures!IO$25))=Fixtures!$DN37,CONCATENATE(IO$10,", "),""))</f>
        <v/>
      </c>
      <c r="IP37" s="632" t="str">
        <f ca="1">IF(INDIRECT(CONCATENATE($FK$12,Fixtures!IP$25))="","",IF(INDIRECT(CONCATENATE($FK$12,Fixtures!IP$25))=Fixtures!$DN37,CONCATENATE(IP$10,", "),""))</f>
        <v/>
      </c>
      <c r="IQ37" s="606" t="str">
        <f ca="1">IF(INDIRECT(CONCATENATE($FK$12,Fixtures!IQ$25))="","",IF(INDIRECT(CONCATENATE($FK$12,Fixtures!IQ$25))=Fixtures!$DN37,CONCATENATE(IQ$10,", "),""))</f>
        <v/>
      </c>
      <c r="IR37" s="607" t="str">
        <f ca="1">IF(INDIRECT(CONCATENATE($FK$12,Fixtures!IR$25))="","",IF(INDIRECT(CONCATENATE($FK$12,Fixtures!IR$25))=Fixtures!$DN37,CONCATENATE(IR$10,", "),""))</f>
        <v/>
      </c>
      <c r="IS37" s="632" t="str">
        <f ca="1">IF(INDIRECT(CONCATENATE($FK$12,Fixtures!IS$25))="","",IF(INDIRECT(CONCATENATE($FK$12,Fixtures!IS$25))=Fixtures!$DN37,CONCATENATE(IS$10,", "),""))</f>
        <v/>
      </c>
      <c r="IT37" s="632" t="str">
        <f ca="1">IF(INDIRECT(CONCATENATE($FK$12,Fixtures!IT$25))="","",IF(INDIRECT(CONCATENATE($FK$12,Fixtures!IT$25))=Fixtures!$DN37,CONCATENATE(IT$10,", "),""))</f>
        <v/>
      </c>
      <c r="IU37" s="632" t="str">
        <f ca="1">IF(INDIRECT(CONCATENATE($FK$12,Fixtures!IU$25))="","",IF(INDIRECT(CONCATENATE($FK$12,Fixtures!IU$25))=Fixtures!$DN37,CONCATENATE(IU$10,", "),""))</f>
        <v/>
      </c>
      <c r="IV37" s="632" t="str">
        <f ca="1">IF(INDIRECT(CONCATENATE($FK$12,Fixtures!IV$25))="","",IF(INDIRECT(CONCATENATE($FK$12,Fixtures!IV$25))=Fixtures!$DN37,CONCATENATE(IV$10,", "),""))</f>
        <v/>
      </c>
      <c r="IW37" s="632" t="str">
        <f ca="1">IF(INDIRECT(CONCATENATE($FK$12,Fixtures!IW$25))="","",IF(INDIRECT(CONCATENATE($FK$12,Fixtures!IW$25))=Fixtures!$DN37,CONCATENATE(IW$10,", "),""))</f>
        <v/>
      </c>
      <c r="IX37" s="632" t="str">
        <f ca="1">IF(INDIRECT(CONCATENATE($FK$12,Fixtures!IX$25))="","",IF(INDIRECT(CONCATENATE($FK$12,Fixtures!IX$25))=Fixtures!$DN37,CONCATENATE(IX$10,", "),""))</f>
        <v/>
      </c>
      <c r="IY37" s="632" t="str">
        <f ca="1">IF(INDIRECT(CONCATENATE($FK$12,Fixtures!IY$25))="","",IF(INDIRECT(CONCATENATE($FK$12,Fixtures!IY$25))=Fixtures!$DN37,CONCATENATE(IY$10,", "),""))</f>
        <v/>
      </c>
      <c r="IZ37" s="632" t="str">
        <f ca="1">IF(INDIRECT(CONCATENATE($FK$12,Fixtures!IZ$25))="","",IF(INDIRECT(CONCATENATE($FK$12,Fixtures!IZ$25))=Fixtures!$DN37,CONCATENATE(IZ$10,", "),""))</f>
        <v/>
      </c>
      <c r="JA37" s="632" t="str">
        <f ca="1">IF(INDIRECT(CONCATENATE($FK$12,Fixtures!JA$25))="","",IF(INDIRECT(CONCATENATE($FK$12,Fixtures!JA$25))=Fixtures!$DN37,CONCATENATE(JA$10,", "),""))</f>
        <v/>
      </c>
      <c r="JB37" s="632" t="str">
        <f ca="1">IF(INDIRECT(CONCATENATE($FK$12,Fixtures!JB$25))="","",IF(INDIRECT(CONCATENATE($FK$12,Fixtures!JB$25))=Fixtures!$DN37,CONCATENATE(JB$10,", "),""))</f>
        <v/>
      </c>
      <c r="JC37" s="632" t="str">
        <f ca="1">IF(INDIRECT(CONCATENATE($FK$12,Fixtures!JC$25))="","",IF(INDIRECT(CONCATENATE($FK$12,Fixtures!JC$25))=Fixtures!$DN37,CONCATENATE(JC$10,", "),""))</f>
        <v/>
      </c>
      <c r="JD37" s="632" t="str">
        <f ca="1">IF(INDIRECT(CONCATENATE($FK$12,Fixtures!JD$25))="","",IF(INDIRECT(CONCATENATE($FK$12,Fixtures!JD$25))=Fixtures!$DN37,CONCATENATE(JD$10,", "),""))</f>
        <v/>
      </c>
      <c r="JE37" s="632" t="str">
        <f ca="1">IF(INDIRECT(CONCATENATE($FK$12,Fixtures!JE$25))="","",IF(INDIRECT(CONCATENATE($FK$12,Fixtures!JE$25))=Fixtures!$DN37,CONCATENATE(JE$10,", "),""))</f>
        <v/>
      </c>
      <c r="JF37" s="606" t="str">
        <f ca="1">IF(INDIRECT(CONCATENATE($FK$12,Fixtures!JF$25))="","",IF(INDIRECT(CONCATENATE($FK$12,Fixtures!JF$25))=Fixtures!$DN37,CONCATENATE(JF$10,", "),""))</f>
        <v/>
      </c>
      <c r="JG37" s="607" t="str">
        <f ca="1">IF(INDIRECT(CONCATENATE($FK$12,Fixtures!JG$25))="","",IF(INDIRECT(CONCATENATE($FK$12,Fixtures!JG$25))=Fixtures!$DN37,CONCATENATE(JG$10,", "),""))</f>
        <v/>
      </c>
      <c r="JH37" s="632" t="str">
        <f ca="1">IF(INDIRECT(CONCATENATE($FK$12,Fixtures!JH$25))="","",IF(INDIRECT(CONCATENATE($FK$12,Fixtures!JH$25))=Fixtures!$DN37,CONCATENATE(JH$10,", "),""))</f>
        <v/>
      </c>
      <c r="JI37" s="632" t="str">
        <f ca="1">IF(INDIRECT(CONCATENATE($FK$12,Fixtures!JI$25))="","",IF(INDIRECT(CONCATENATE($FK$12,Fixtures!JI$25))=Fixtures!$DN37,CONCATENATE(JI$10,", "),""))</f>
        <v/>
      </c>
      <c r="JJ37" s="632" t="str">
        <f ca="1">IF(INDIRECT(CONCATENATE($FK$12,Fixtures!JJ$25))="","",IF(INDIRECT(CONCATENATE($FK$12,Fixtures!JJ$25))=Fixtures!$DN37,CONCATENATE(JJ$10,", "),""))</f>
        <v/>
      </c>
      <c r="JK37" s="632" t="str">
        <f ca="1">IF(INDIRECT(CONCATENATE($FK$12,Fixtures!JK$25))="","",IF(INDIRECT(CONCATENATE($FK$12,Fixtures!JK$25))=Fixtures!$DN37,CONCATENATE(JK$10,", "),""))</f>
        <v/>
      </c>
      <c r="JL37" s="632" t="str">
        <f ca="1">IF(INDIRECT(CONCATENATE($FK$12,Fixtures!JL$25))="","",IF(INDIRECT(CONCATENATE($FK$12,Fixtures!JL$25))=Fixtures!$DN37,CONCATENATE(JL$10,", "),""))</f>
        <v/>
      </c>
      <c r="JM37" s="632" t="str">
        <f ca="1">IF(INDIRECT(CONCATENATE($FK$12,Fixtures!JM$25))="","",IF(INDIRECT(CONCATENATE($FK$12,Fixtures!JM$25))=Fixtures!$DN37,CONCATENATE(JM$10,", "),""))</f>
        <v/>
      </c>
      <c r="JN37" s="632" t="str">
        <f ca="1">IF(INDIRECT(CONCATENATE($FK$12,Fixtures!JN$25))="","",IF(INDIRECT(CONCATENATE($FK$12,Fixtures!JN$25))=Fixtures!$DN37,CONCATENATE(JN$10,", "),""))</f>
        <v/>
      </c>
      <c r="JO37" s="632" t="str">
        <f ca="1">IF(INDIRECT(CONCATENATE($FK$12,Fixtures!JO$25))="","",IF(INDIRECT(CONCATENATE($FK$12,Fixtures!JO$25))=Fixtures!$DN37,CONCATENATE(JO$10,", "),""))</f>
        <v/>
      </c>
      <c r="JP37" s="632" t="str">
        <f ca="1">IF(INDIRECT(CONCATENATE($FK$12,Fixtures!JP$25))="","",IF(INDIRECT(CONCATENATE($FK$12,Fixtures!JP$25))=Fixtures!$DN37,CONCATENATE(JP$10,", "),""))</f>
        <v/>
      </c>
      <c r="JQ37" s="632" t="str">
        <f ca="1">IF(INDIRECT(CONCATENATE($FK$12,Fixtures!JQ$25))="","",IF(INDIRECT(CONCATENATE($FK$12,Fixtures!JQ$25))=Fixtures!$DN37,CONCATENATE(JQ$10,", "),""))</f>
        <v/>
      </c>
      <c r="JR37" s="632" t="str">
        <f ca="1">IF(INDIRECT(CONCATENATE($FK$12,Fixtures!JR$25))="","",IF(INDIRECT(CONCATENATE($FK$12,Fixtures!JR$25))=Fixtures!$DN37,CONCATENATE(JR$10,", "),""))</f>
        <v/>
      </c>
      <c r="JS37" s="632" t="str">
        <f ca="1">IF(INDIRECT(CONCATENATE($FK$12,Fixtures!JS$25))="","",IF(INDIRECT(CONCATENATE($FK$12,Fixtures!JS$25))=Fixtures!$DN37,CONCATENATE(JS$10,", "),""))</f>
        <v/>
      </c>
      <c r="JT37" s="632" t="str">
        <f ca="1">IF(INDIRECT(CONCATENATE($FK$12,Fixtures!JT$25))="","",IF(INDIRECT(CONCATENATE($FK$12,Fixtures!JT$25))=Fixtures!$DN37,CONCATENATE(JT$10,", "),""))</f>
        <v/>
      </c>
      <c r="JU37" s="606" t="str">
        <f ca="1">IF(INDIRECT(CONCATENATE($FK$12,Fixtures!JU$25))="","",IF(INDIRECT(CONCATENATE($FK$12,Fixtures!JU$25))=Fixtures!$DN37,CONCATENATE(JU$10,", "),""))</f>
        <v/>
      </c>
      <c r="JV37" s="607" t="str">
        <f ca="1">IF(INDIRECT(CONCATENATE($FK$12,Fixtures!JV$25))="","",IF(INDIRECT(CONCATENATE($FK$12,Fixtures!JV$25))=Fixtures!$DN37,CONCATENATE(JV$10,", "),""))</f>
        <v/>
      </c>
      <c r="JW37" s="632" t="str">
        <f ca="1">IF(INDIRECT(CONCATENATE($FK$12,Fixtures!JW$25))="","",IF(INDIRECT(CONCATENATE($FK$12,Fixtures!JW$25))=Fixtures!$DN37,CONCATENATE(JW$10,", "),""))</f>
        <v/>
      </c>
      <c r="JX37" s="632" t="str">
        <f ca="1">IF(INDIRECT(CONCATENATE($FK$12,Fixtures!JX$25))="","",IF(INDIRECT(CONCATENATE($FK$12,Fixtures!JX$25))=Fixtures!$DN37,CONCATENATE(JX$10,", "),""))</f>
        <v/>
      </c>
      <c r="JY37" s="632" t="str">
        <f ca="1">IF(INDIRECT(CONCATENATE($FK$12,Fixtures!JY$25))="","",IF(INDIRECT(CONCATENATE($FK$12,Fixtures!JY$25))=Fixtures!$DN37,CONCATENATE(JY$10,", "),""))</f>
        <v/>
      </c>
      <c r="JZ37" s="632" t="str">
        <f ca="1">IF(INDIRECT(CONCATENATE($FK$12,Fixtures!JZ$25))="","",IF(INDIRECT(CONCATENATE($FK$12,Fixtures!JZ$25))=Fixtures!$DN37,CONCATENATE(JZ$10,", "),""))</f>
        <v/>
      </c>
      <c r="KA37" s="632" t="str">
        <f ca="1">IF(INDIRECT(CONCATENATE($FK$12,Fixtures!KA$25))="","",IF(INDIRECT(CONCATENATE($FK$12,Fixtures!KA$25))=Fixtures!$DN37,CONCATENATE(KA$10,", "),""))</f>
        <v/>
      </c>
      <c r="KB37" s="632" t="str">
        <f ca="1">IF(INDIRECT(CONCATENATE($FK$12,Fixtures!KB$25))="","",IF(INDIRECT(CONCATENATE($FK$12,Fixtures!KB$25))=Fixtures!$DN37,CONCATENATE(KB$10,", "),""))</f>
        <v/>
      </c>
      <c r="KC37" s="632" t="str">
        <f ca="1">IF(INDIRECT(CONCATENATE($FK$12,Fixtures!KC$25))="","",IF(INDIRECT(CONCATENATE($FK$12,Fixtures!KC$25))=Fixtures!$DN37,CONCATENATE(KC$10,", "),""))</f>
        <v/>
      </c>
      <c r="KD37" s="632" t="str">
        <f ca="1">IF(INDIRECT(CONCATENATE($FK$12,Fixtures!KD$25))="","",IF(INDIRECT(CONCATENATE($FK$12,Fixtures!KD$25))=Fixtures!$DN37,CONCATENATE(KD$10,", "),""))</f>
        <v/>
      </c>
      <c r="KE37" s="632" t="str">
        <f ca="1">IF(INDIRECT(CONCATENATE($FK$12,Fixtures!KE$25))="","",IF(INDIRECT(CONCATENATE($FK$12,Fixtures!KE$25))=Fixtures!$DN37,CONCATENATE(KE$10,", "),""))</f>
        <v/>
      </c>
      <c r="KF37" s="632" t="str">
        <f ca="1">IF(INDIRECT(CONCATENATE($FK$12,Fixtures!KF$25))="","",IF(INDIRECT(CONCATENATE($FK$12,Fixtures!KF$25))=Fixtures!$DN37,CONCATENATE(KF$10,", "),""))</f>
        <v/>
      </c>
      <c r="KG37" s="632" t="str">
        <f ca="1">IF(INDIRECT(CONCATENATE($FK$12,Fixtures!KG$25))="","",IF(INDIRECT(CONCATENATE($FK$12,Fixtures!KG$25))=Fixtures!$DN37,CONCATENATE(KG$10,", "),""))</f>
        <v/>
      </c>
      <c r="KH37" s="632" t="str">
        <f ca="1">IF(INDIRECT(CONCATENATE($FK$12,Fixtures!KH$25))="","",IF(INDIRECT(CONCATENATE($FK$12,Fixtures!KH$25))=Fixtures!$DN37,CONCATENATE(KH$10,", "),""))</f>
        <v/>
      </c>
      <c r="KI37" s="632" t="str">
        <f ca="1">IF(INDIRECT(CONCATENATE($FK$12,Fixtures!KI$25))="","",IF(INDIRECT(CONCATENATE($FK$12,Fixtures!KI$25))=Fixtures!$DN37,CONCATENATE(KI$10,", "),""))</f>
        <v/>
      </c>
      <c r="KJ37" s="606" t="str">
        <f ca="1">IF(INDIRECT(CONCATENATE($FK$12,Fixtures!KJ$25))="","",IF(INDIRECT(CONCATENATE($FK$12,Fixtures!KJ$25))=Fixtures!$DN37,CONCATENATE(KJ$10,", "),""))</f>
        <v/>
      </c>
      <c r="KK37" s="607" t="str">
        <f ca="1">IF(INDIRECT(CONCATENATE($FK$12,Fixtures!KK$25))="","",IF(INDIRECT(CONCATENATE($FK$12,Fixtures!KK$25))=Fixtures!$DN37,CONCATENATE(KK$10,", "),""))</f>
        <v/>
      </c>
      <c r="KL37" s="632" t="str">
        <f ca="1">IF(INDIRECT(CONCATENATE($FK$12,Fixtures!KL$25))="","",IF(INDIRECT(CONCATENATE($FK$12,Fixtures!KL$25))=Fixtures!$DN37,CONCATENATE(KL$10,", "),""))</f>
        <v/>
      </c>
      <c r="KM37" s="632" t="str">
        <f ca="1">IF(INDIRECT(CONCATENATE($FK$12,Fixtures!KM$25))="","",IF(INDIRECT(CONCATENATE($FK$12,Fixtures!KM$25))=Fixtures!$DN37,CONCATENATE(KM$10,", "),""))</f>
        <v/>
      </c>
      <c r="KN37" s="632" t="str">
        <f ca="1">IF(INDIRECT(CONCATENATE($FK$12,Fixtures!KN$25))="","",IF(INDIRECT(CONCATENATE($FK$12,Fixtures!KN$25))=Fixtures!$DN37,CONCATENATE(KN$10,", "),""))</f>
        <v/>
      </c>
      <c r="KO37" s="632" t="str">
        <f ca="1">IF(INDIRECT(CONCATENATE($FK$12,Fixtures!KO$25))="","",IF(INDIRECT(CONCATENATE($FK$12,Fixtures!KO$25))=Fixtures!$DN37,CONCATENATE(KO$10,", "),""))</f>
        <v/>
      </c>
      <c r="KP37" s="632" t="str">
        <f ca="1">IF(INDIRECT(CONCATENATE($FK$12,Fixtures!KP$25))="","",IF(INDIRECT(CONCATENATE($FK$12,Fixtures!KP$25))=Fixtures!$DN37,CONCATENATE(KP$10,", "),""))</f>
        <v/>
      </c>
      <c r="KQ37" s="632" t="str">
        <f ca="1">IF(INDIRECT(CONCATENATE($FK$12,Fixtures!KQ$25))="","",IF(INDIRECT(CONCATENATE($FK$12,Fixtures!KQ$25))=Fixtures!$DN37,CONCATENATE(KQ$10,", "),""))</f>
        <v/>
      </c>
      <c r="KR37" s="632" t="str">
        <f ca="1">IF(INDIRECT(CONCATENATE($FK$12,Fixtures!KR$25))="","",IF(INDIRECT(CONCATENATE($FK$12,Fixtures!KR$25))=Fixtures!$DN37,CONCATENATE(KR$10,", "),""))</f>
        <v/>
      </c>
      <c r="KS37" s="632" t="str">
        <f ca="1">IF(INDIRECT(CONCATENATE($FK$12,Fixtures!KS$25))="","",IF(INDIRECT(CONCATENATE($FK$12,Fixtures!KS$25))=Fixtures!$DN37,CONCATENATE(KS$10,", "),""))</f>
        <v/>
      </c>
      <c r="KT37" s="632" t="str">
        <f ca="1">IF(INDIRECT(CONCATENATE($FK$12,Fixtures!KT$25))="","",IF(INDIRECT(CONCATENATE($FK$12,Fixtures!KT$25))=Fixtures!$DN37,CONCATENATE(KT$10,", "),""))</f>
        <v/>
      </c>
      <c r="KU37" s="632" t="str">
        <f ca="1">IF(INDIRECT(CONCATENATE($FK$12,Fixtures!KU$25))="","",IF(INDIRECT(CONCATENATE($FK$12,Fixtures!KU$25))=Fixtures!$DN37,CONCATENATE(KU$10,", "),""))</f>
        <v/>
      </c>
      <c r="KV37" s="632" t="str">
        <f ca="1">IF(INDIRECT(CONCATENATE($FK$12,Fixtures!KV$25))="","",IF(INDIRECT(CONCATENATE($FK$12,Fixtures!KV$25))=Fixtures!$DN37,CONCATENATE(KV$10,", "),""))</f>
        <v/>
      </c>
      <c r="KW37" s="632" t="str">
        <f ca="1">IF(INDIRECT(CONCATENATE($FK$12,Fixtures!KW$25))="","",IF(INDIRECT(CONCATENATE($FK$12,Fixtures!KW$25))=Fixtures!$DN37,CONCATENATE(KW$10,", "),""))</f>
        <v/>
      </c>
      <c r="KX37" s="632" t="str">
        <f ca="1">IF(INDIRECT(CONCATENATE($FK$12,Fixtures!KX$25))="","",IF(INDIRECT(CONCATENATE($FK$12,Fixtures!KX$25))=Fixtures!$DN37,CONCATENATE(KX$10,", "),""))</f>
        <v/>
      </c>
      <c r="KY37" s="632"/>
      <c r="KZ37" s="46"/>
      <c r="LA37" s="46" t="str">
        <f t="shared" ca="1" si="7"/>
        <v/>
      </c>
      <c r="LB37" s="46"/>
      <c r="LC37" s="1010"/>
      <c r="LD37" s="1009" t="str">
        <f t="shared" si="20"/>
        <v/>
      </c>
    </row>
    <row r="38" spans="1:316" ht="28.2" customHeight="1" thickTop="1" thickBot="1">
      <c r="A38" s="426" t="str">
        <f t="shared" si="13"/>
        <v/>
      </c>
      <c r="C38" s="1640" t="str">
        <f t="shared" si="14"/>
        <v/>
      </c>
      <c r="D38" s="1641"/>
      <c r="E38" s="1568" t="str">
        <f t="shared" si="15"/>
        <v/>
      </c>
      <c r="F38" s="1569"/>
      <c r="G38" s="1569"/>
      <c r="H38" s="1569"/>
      <c r="I38" s="1569"/>
      <c r="J38" s="1569"/>
      <c r="K38" s="1569"/>
      <c r="L38" s="1569"/>
      <c r="M38" s="1642"/>
      <c r="N38" s="203" t="str">
        <f t="shared" si="16"/>
        <v/>
      </c>
      <c r="O38" s="541"/>
      <c r="P38" s="1638" t="str">
        <f t="shared" si="25"/>
        <v/>
      </c>
      <c r="Q38" s="1639"/>
      <c r="R38" s="1568" t="str">
        <f t="shared" si="30"/>
        <v/>
      </c>
      <c r="S38" s="1569"/>
      <c r="T38" s="1569"/>
      <c r="U38" s="1569"/>
      <c r="V38" s="1569"/>
      <c r="W38" s="1569"/>
      <c r="X38" s="1569"/>
      <c r="Y38" s="203" t="str">
        <f t="shared" si="26"/>
        <v/>
      </c>
      <c r="Z38" s="203" t="str">
        <f t="shared" si="27"/>
        <v/>
      </c>
      <c r="AA38" s="394" t="str">
        <f t="shared" si="28"/>
        <v/>
      </c>
      <c r="AB38" s="489"/>
      <c r="AC38" s="1564" t="str">
        <f t="shared" si="18"/>
        <v/>
      </c>
      <c r="AD38" s="1565"/>
      <c r="AE38" s="1565"/>
      <c r="AF38" s="1565"/>
      <c r="AG38" s="1565"/>
      <c r="AH38" s="1565"/>
      <c r="AK38">
        <f>SUMIFS(Installations!CV$46:CV$803,Installations!CW$46:CW$803,E38,Installations!IC$46:IC$803,TRUE)</f>
        <v>0</v>
      </c>
      <c r="AL38">
        <f>SUMIFS(Installations!CV$46:CV$803,Installations!CW$46:CW$803,R38,Installations!IC$46:IC$803,TRUE)</f>
        <v>0</v>
      </c>
      <c r="BL38" s="9"/>
      <c r="BM38" s="622" t="str">
        <f t="shared" si="19"/>
        <v/>
      </c>
      <c r="BN38" s="52"/>
      <c r="BO38" s="52"/>
      <c r="BP38" s="52"/>
      <c r="BQ38" s="52"/>
      <c r="BR38" s="52"/>
      <c r="BS38" s="52"/>
      <c r="BT38" s="52"/>
      <c r="BU38" s="373"/>
      <c r="BV38" s="219" t="str">
        <f>IF(CN38&lt;&gt;"Yes","",IFERROR(VLOOKUP(CU38,Existing!A$4:F$367,2,FALSE),""))</f>
        <v/>
      </c>
      <c r="BW38" s="9">
        <v>12</v>
      </c>
      <c r="BX38" s="1625"/>
      <c r="BY38" s="1626"/>
      <c r="BZ38" s="1626"/>
      <c r="CA38" s="1627"/>
      <c r="CB38" s="1622"/>
      <c r="CC38" s="1623"/>
      <c r="CD38" s="1623"/>
      <c r="CE38" s="1624"/>
      <c r="CF38" s="1621"/>
      <c r="CG38" s="1621"/>
      <c r="CH38" s="1621"/>
      <c r="CI38" s="1621"/>
      <c r="CJ38" s="1621"/>
      <c r="CK38" s="1621"/>
      <c r="CL38" s="1621"/>
      <c r="CM38" s="1621"/>
      <c r="CN38" s="1553" t="str">
        <f t="shared" si="0"/>
        <v/>
      </c>
      <c r="CO38" s="1554"/>
      <c r="CP38" s="229" t="str">
        <f>IFERROR(IF(CB38="Existing TLED",CR38*CW38*CY38,VLOOKUP(CU38,Existing!A$3:F$356,6,FALSE)),"")</f>
        <v/>
      </c>
      <c r="CQ38" s="9"/>
      <c r="CR38" s="1660"/>
      <c r="CS38" s="1661"/>
      <c r="CT38" s="9"/>
      <c r="CU38" s="425" t="str">
        <f t="shared" si="21"/>
        <v/>
      </c>
      <c r="CV38" s="426" t="b">
        <f t="shared" si="22"/>
        <v>0</v>
      </c>
      <c r="CW38" s="426" t="str">
        <f t="shared" si="23"/>
        <v/>
      </c>
      <c r="CX38" s="426">
        <f>IFERROR(VLOOKUP(CF38,Lookup!T$100:V$102,3,FALSE),0)</f>
        <v>0</v>
      </c>
      <c r="CY38" s="426">
        <f t="shared" si="8"/>
        <v>1.1100000000000001</v>
      </c>
      <c r="CZ38" s="626" t="b">
        <f t="shared" si="1"/>
        <v>0</v>
      </c>
      <c r="DA38" s="626" t="b">
        <f>IF(CF38&lt;&gt;"",IF(ISERROR(MATCH(CONCATENATE(CB38," - ",CF38),Existing!G$4:G$331,0))=TRUE,FALSE,TRUE),TRUE)</f>
        <v>1</v>
      </c>
      <c r="DB38" s="626" t="b">
        <f t="shared" si="2"/>
        <v>1</v>
      </c>
      <c r="DL38" s="9"/>
      <c r="DM38" s="627" t="s">
        <v>215</v>
      </c>
      <c r="DN38" s="375" t="str">
        <f t="shared" si="3"/>
        <v/>
      </c>
      <c r="DO38" s="52"/>
      <c r="DP38" s="52"/>
      <c r="DQ38" s="52"/>
      <c r="DR38" s="52"/>
      <c r="DS38" s="52"/>
      <c r="DT38" s="226"/>
      <c r="DU38" s="376"/>
      <c r="DV38" s="227" t="str">
        <f t="shared" si="4"/>
        <v/>
      </c>
      <c r="DW38" s="224">
        <v>12</v>
      </c>
      <c r="DX38" s="1572"/>
      <c r="DY38" s="1573"/>
      <c r="DZ38" s="1573"/>
      <c r="EA38" s="1574"/>
      <c r="EB38" s="1618"/>
      <c r="EC38" s="1619"/>
      <c r="ED38" s="1619"/>
      <c r="EE38" s="1620"/>
      <c r="EF38" s="1578"/>
      <c r="EG38" s="1579"/>
      <c r="EH38" s="1618"/>
      <c r="EI38" s="1619"/>
      <c r="EJ38" s="1619"/>
      <c r="EK38" s="1620"/>
      <c r="EL38" s="1575"/>
      <c r="EM38" s="1576"/>
      <c r="EN38" s="1576"/>
      <c r="EO38" s="1577"/>
      <c r="EP38" s="1578"/>
      <c r="EQ38" s="1579"/>
      <c r="ER38" s="1555"/>
      <c r="ES38" s="1556"/>
      <c r="ET38" s="1553" t="str">
        <f t="shared" si="9"/>
        <v/>
      </c>
      <c r="EU38" s="1554"/>
      <c r="EV38" s="1553" t="str">
        <f t="shared" si="29"/>
        <v/>
      </c>
      <c r="EW38" s="1554"/>
      <c r="EX38" s="393"/>
      <c r="EY38" s="225" t="str">
        <f t="shared" si="6"/>
        <v/>
      </c>
      <c r="EZ38" s="225" t="str">
        <f>IFERROR(VLOOKUP(EB38,Lookup!AT$3:AU$13,2,FALSE),"")</f>
        <v/>
      </c>
      <c r="FA38" s="426" t="b">
        <f>IFERROR(IF(VLOOKUP(EB38,Lookup!AT$6:AU$8,2,FALSE)&gt;3,TRUE,FALSE),FALSE)</f>
        <v>0</v>
      </c>
      <c r="FB38" s="426" t="str">
        <f t="shared" si="10"/>
        <v/>
      </c>
      <c r="FC38" t="str">
        <f t="shared" ca="1" si="11"/>
        <v/>
      </c>
      <c r="FG38" t="str">
        <f t="shared" ca="1" si="12"/>
        <v/>
      </c>
      <c r="FI38" s="204" t="str">
        <f t="shared" ca="1" si="24"/>
        <v/>
      </c>
      <c r="FJ38" s="204"/>
      <c r="FK38" s="631" t="str">
        <f ca="1">IF(INDIRECT(CONCATENATE($FK$12,Fixtures!FK$25))="","",IF(INDIRECT(CONCATENATE($FK$12,Fixtures!FK$25))=Fixtures!$DN38,CONCATENATE(FK$10,", "),""))</f>
        <v/>
      </c>
      <c r="FL38" s="631" t="str">
        <f ca="1">IF(INDIRECT(CONCATENATE($FK$12,Fixtures!FL$25))="","",IF(INDIRECT(CONCATENATE($FK$12,Fixtures!FL$25))=Fixtures!$DN38,CONCATENATE(FL$10,", "),""))</f>
        <v/>
      </c>
      <c r="FM38" s="631" t="str">
        <f ca="1">IF(INDIRECT(CONCATENATE($FK$12,Fixtures!FM$25))="","",IF(INDIRECT(CONCATENATE($FK$12,Fixtures!FM$25))=Fixtures!$DN38,CONCATENATE(FM$10,", "),""))</f>
        <v/>
      </c>
      <c r="FN38" s="631" t="str">
        <f ca="1">IF(INDIRECT(CONCATENATE($FK$12,Fixtures!FN$25))="","",IF(INDIRECT(CONCATENATE($FK$12,Fixtures!FN$25))=Fixtures!$DN38,CONCATENATE(FN$10,", "),""))</f>
        <v/>
      </c>
      <c r="FO38" s="631" t="str">
        <f ca="1">IF(INDIRECT(CONCATENATE($FK$12,Fixtures!FO$25))="","",IF(INDIRECT(CONCATENATE($FK$12,Fixtures!FO$25))=Fixtures!$DN38,CONCATENATE(FO$10,", "),""))</f>
        <v/>
      </c>
      <c r="FP38" s="631" t="str">
        <f ca="1">IF(INDIRECT(CONCATENATE($FK$12,Fixtures!FP$25))="","",IF(INDIRECT(CONCATENATE($FK$12,Fixtures!FP$25))=Fixtures!$DN38,CONCATENATE(FP$10,", "),""))</f>
        <v/>
      </c>
      <c r="FQ38" s="631" t="str">
        <f ca="1">IF(INDIRECT(CONCATENATE($FK$12,Fixtures!FQ$25))="","",IF(INDIRECT(CONCATENATE($FK$12,Fixtures!FQ$25))=Fixtures!$DN38,CONCATENATE(FQ$10,", "),""))</f>
        <v/>
      </c>
      <c r="FR38" s="631" t="str">
        <f ca="1">IF(INDIRECT(CONCATENATE($FK$12,Fixtures!FR$25))="","",IF(INDIRECT(CONCATENATE($FK$12,Fixtures!FR$25))=Fixtures!$DN38,CONCATENATE(FR$10,", "),""))</f>
        <v/>
      </c>
      <c r="FS38" s="631" t="str">
        <f ca="1">IF(INDIRECT(CONCATENATE($FK$12,Fixtures!FS$25))="","",IF(INDIRECT(CONCATENATE($FK$12,Fixtures!FS$25))=Fixtures!$DN38,CONCATENATE(FS$10,", "),""))</f>
        <v/>
      </c>
      <c r="FT38" s="604" t="str">
        <f ca="1">IF(INDIRECT(CONCATENATE($FK$12,Fixtures!FT$25))="","",IF(INDIRECT(CONCATENATE($FK$12,Fixtures!FT$25))=Fixtures!$DN38,CONCATENATE(FT$10,", "),""))</f>
        <v/>
      </c>
      <c r="FU38" s="605" t="str">
        <f ca="1">IF(INDIRECT(CONCATENATE($FK$12,Fixtures!FU$25))="","",IF(INDIRECT(CONCATENATE($FK$12,Fixtures!FU$25))=Fixtures!$DN38,CONCATENATE(FU$10,", "),""))</f>
        <v/>
      </c>
      <c r="FV38" s="631" t="str">
        <f ca="1">IF(INDIRECT(CONCATENATE($FK$12,Fixtures!FV$25))="","",IF(INDIRECT(CONCATENATE($FK$12,Fixtures!FV$25))=Fixtures!$DN38,CONCATENATE(FV$10,", "),""))</f>
        <v/>
      </c>
      <c r="FW38" s="632" t="str">
        <f ca="1">IF(INDIRECT(CONCATENATE($FK$12,Fixtures!FW$25))="","",IF(INDIRECT(CONCATENATE($FK$12,Fixtures!FW$25))=Fixtures!$DN38,CONCATENATE(FW$10,", "),""))</f>
        <v/>
      </c>
      <c r="FX38" s="632" t="str">
        <f ca="1">IF(INDIRECT(CONCATENATE($FK$12,Fixtures!FX$25))="","",IF(INDIRECT(CONCATENATE($FK$12,Fixtures!FX$25))=Fixtures!$DN38,CONCATENATE(FX$10,", "),""))</f>
        <v/>
      </c>
      <c r="FY38" s="632" t="str">
        <f ca="1">IF(INDIRECT(CONCATENATE($FK$12,Fixtures!FY$25))="","",IF(INDIRECT(CONCATENATE($FK$12,Fixtures!FY$25))=Fixtures!$DN38,CONCATENATE(FY$10,", "),""))</f>
        <v/>
      </c>
      <c r="FZ38" s="632" t="str">
        <f ca="1">IF(INDIRECT(CONCATENATE($FK$12,Fixtures!FZ$25))="","",IF(INDIRECT(CONCATENATE($FK$12,Fixtures!FZ$25))=Fixtures!$DN38,CONCATENATE(FZ$10,", "),""))</f>
        <v/>
      </c>
      <c r="GA38" s="632" t="str">
        <f ca="1">IF(INDIRECT(CONCATENATE($FK$12,Fixtures!GA$25))="","",IF(INDIRECT(CONCATENATE($FK$12,Fixtures!GA$25))=Fixtures!$DN38,CONCATENATE(GA$10,", "),""))</f>
        <v/>
      </c>
      <c r="GB38" s="632" t="str">
        <f ca="1">IF(INDIRECT(CONCATENATE($FK$12,Fixtures!GB$25))="","",IF(INDIRECT(CONCATENATE($FK$12,Fixtures!GB$25))=Fixtures!$DN38,CONCATENATE(GB$10,", "),""))</f>
        <v/>
      </c>
      <c r="GC38" s="632" t="str">
        <f ca="1">IF(INDIRECT(CONCATENATE($FK$12,Fixtures!GC$25))="","",IF(INDIRECT(CONCATENATE($FK$12,Fixtures!GC$25))=Fixtures!$DN38,CONCATENATE(GC$10,", "),""))</f>
        <v/>
      </c>
      <c r="GD38" s="632" t="str">
        <f ca="1">IF(INDIRECT(CONCATENATE($FK$12,Fixtures!GD$25))="","",IF(INDIRECT(CONCATENATE($FK$12,Fixtures!GD$25))=Fixtures!$DN38,CONCATENATE(GD$10,", "),""))</f>
        <v/>
      </c>
      <c r="GE38" s="632" t="str">
        <f ca="1">IF(INDIRECT(CONCATENATE($FK$12,Fixtures!GE$25))="","",IF(INDIRECT(CONCATENATE($FK$12,Fixtures!GE$25))=Fixtures!$DN38,CONCATENATE(GE$10,", "),""))</f>
        <v/>
      </c>
      <c r="GF38" s="632" t="str">
        <f ca="1">IF(INDIRECT(CONCATENATE($FK$12,Fixtures!GF$25))="","",IF(INDIRECT(CONCATENATE($FK$12,Fixtures!GF$25))=Fixtures!$DN38,CONCATENATE(GF$10,", "),""))</f>
        <v/>
      </c>
      <c r="GG38" s="632" t="str">
        <f ca="1">IF(INDIRECT(CONCATENATE($FK$12,Fixtures!GG$25))="","",IF(INDIRECT(CONCATENATE($FK$12,Fixtures!GG$25))=Fixtures!$DN38,CONCATENATE(GG$10,", "),""))</f>
        <v/>
      </c>
      <c r="GH38" s="632" t="str">
        <f ca="1">IF(INDIRECT(CONCATENATE($FK$12,Fixtures!GH$25))="","",IF(INDIRECT(CONCATENATE($FK$12,Fixtures!GH$25))=Fixtures!$DN38,CONCATENATE(GH$10,", "),""))</f>
        <v/>
      </c>
      <c r="GI38" s="606" t="str">
        <f ca="1">IF(INDIRECT(CONCATENATE($FK$12,Fixtures!GI$25))="","",IF(INDIRECT(CONCATENATE($FK$12,Fixtures!GI$25))=Fixtures!$DN38,CONCATENATE(GI$10,", "),""))</f>
        <v/>
      </c>
      <c r="GJ38" s="607" t="str">
        <f ca="1">IF(INDIRECT(CONCATENATE($FK$12,Fixtures!GJ$25))="","",IF(INDIRECT(CONCATENATE($FK$12,Fixtures!GJ$25))=Fixtures!$DN38,CONCATENATE(GJ$10,", "),""))</f>
        <v/>
      </c>
      <c r="GK38" s="632" t="str">
        <f ca="1">IF(INDIRECT(CONCATENATE($FK$12,Fixtures!GK$25))="","",IF(INDIRECT(CONCATENATE($FK$12,Fixtures!GK$25))=Fixtures!$DN38,CONCATENATE(GK$10,", "),""))</f>
        <v/>
      </c>
      <c r="GL38" s="632" t="str">
        <f ca="1">IF(INDIRECT(CONCATENATE($FK$12,Fixtures!GL$25))="","",IF(INDIRECT(CONCATENATE($FK$12,Fixtures!GL$25))=Fixtures!$DN38,CONCATENATE(GL$10,", "),""))</f>
        <v/>
      </c>
      <c r="GM38" s="632" t="str">
        <f ca="1">IF(INDIRECT(CONCATENATE($FK$12,Fixtures!GM$25))="","",IF(INDIRECT(CONCATENATE($FK$12,Fixtures!GM$25))=Fixtures!$DN38,CONCATENATE(GM$10,", "),""))</f>
        <v/>
      </c>
      <c r="GN38" s="632" t="str">
        <f ca="1">IF(INDIRECT(CONCATENATE($FK$12,Fixtures!GN$25))="","",IF(INDIRECT(CONCATENATE($FK$12,Fixtures!GN$25))=Fixtures!$DN38,CONCATENATE(GN$10,", "),""))</f>
        <v/>
      </c>
      <c r="GO38" s="632" t="str">
        <f ca="1">IF(INDIRECT(CONCATENATE($FK$12,Fixtures!GO$25))="","",IF(INDIRECT(CONCATENATE($FK$12,Fixtures!GO$25))=Fixtures!$DN38,CONCATENATE(GO$10,", "),""))</f>
        <v/>
      </c>
      <c r="GP38" s="632" t="str">
        <f ca="1">IF(INDIRECT(CONCATENATE($FK$12,Fixtures!GP$25))="","",IF(INDIRECT(CONCATENATE($FK$12,Fixtures!GP$25))=Fixtures!$DN38,CONCATENATE(GP$10,", "),""))</f>
        <v/>
      </c>
      <c r="GQ38" s="632" t="str">
        <f ca="1">IF(INDIRECT(CONCATENATE($FK$12,Fixtures!GQ$25))="","",IF(INDIRECT(CONCATENATE($FK$12,Fixtures!GQ$25))=Fixtures!$DN38,CONCATENATE(GQ$10,", "),""))</f>
        <v/>
      </c>
      <c r="GR38" s="632" t="str">
        <f ca="1">IF(INDIRECT(CONCATENATE($FK$12,Fixtures!GR$25))="","",IF(INDIRECT(CONCATENATE($FK$12,Fixtures!GR$25))=Fixtures!$DN38,CONCATENATE(GR$10,", "),""))</f>
        <v/>
      </c>
      <c r="GS38" s="632" t="str">
        <f ca="1">IF(INDIRECT(CONCATENATE($FK$12,Fixtures!GS$25))="","",IF(INDIRECT(CONCATENATE($FK$12,Fixtures!GS$25))=Fixtures!$DN38,CONCATENATE(GS$10,", "),""))</f>
        <v/>
      </c>
      <c r="GT38" s="632" t="str">
        <f ca="1">IF(INDIRECT(CONCATENATE($FK$12,Fixtures!GT$25))="","",IF(INDIRECT(CONCATENATE($FK$12,Fixtures!GT$25))=Fixtures!$DN38,CONCATENATE(GT$10,", "),""))</f>
        <v/>
      </c>
      <c r="GU38" s="632" t="str">
        <f ca="1">IF(INDIRECT(CONCATENATE($FK$12,Fixtures!GU$25))="","",IF(INDIRECT(CONCATENATE($FK$12,Fixtures!GU$25))=Fixtures!$DN38,CONCATENATE(GU$10,", "),""))</f>
        <v/>
      </c>
      <c r="GV38" s="632" t="str">
        <f ca="1">IF(INDIRECT(CONCATENATE($FK$12,Fixtures!GV$25))="","",IF(INDIRECT(CONCATENATE($FK$12,Fixtures!GV$25))=Fixtures!$DN38,CONCATENATE(GV$10,", "),""))</f>
        <v/>
      </c>
      <c r="GW38" s="632" t="str">
        <f ca="1">IF(INDIRECT(CONCATENATE($FK$12,Fixtures!GW$25))="","",IF(INDIRECT(CONCATENATE($FK$12,Fixtures!GW$25))=Fixtures!$DN38,CONCATENATE(GW$10,", "),""))</f>
        <v/>
      </c>
      <c r="GX38" s="606" t="str">
        <f ca="1">IF(INDIRECT(CONCATENATE($FK$12,Fixtures!GX$25))="","",IF(INDIRECT(CONCATENATE($FK$12,Fixtures!GX$25))=Fixtures!$DN38,CONCATENATE(GX$10,", "),""))</f>
        <v/>
      </c>
      <c r="GY38" s="607" t="str">
        <f ca="1">IF(INDIRECT(CONCATENATE($FK$12,Fixtures!GY$25))="","",IF(INDIRECT(CONCATENATE($FK$12,Fixtures!GY$25))=Fixtures!$DN38,CONCATENATE(GY$10,", "),""))</f>
        <v/>
      </c>
      <c r="GZ38" s="632" t="str">
        <f ca="1">IF(INDIRECT(CONCATENATE($FK$12,Fixtures!GZ$25))="","",IF(INDIRECT(CONCATENATE($FK$12,Fixtures!GZ$25))=Fixtures!$DN38,CONCATENATE(GZ$10,", "),""))</f>
        <v/>
      </c>
      <c r="HA38" s="632" t="str">
        <f ca="1">IF(INDIRECT(CONCATENATE($FK$12,Fixtures!HA$25))="","",IF(INDIRECT(CONCATENATE($FK$12,Fixtures!HA$25))=Fixtures!$DN38,CONCATENATE(HA$10,", "),""))</f>
        <v/>
      </c>
      <c r="HB38" s="632" t="str">
        <f ca="1">IF(INDIRECT(CONCATENATE($FK$12,Fixtures!HB$25))="","",IF(INDIRECT(CONCATENATE($FK$12,Fixtures!HB$25))=Fixtures!$DN38,CONCATENATE(HB$10,", "),""))</f>
        <v/>
      </c>
      <c r="HC38" s="632" t="str">
        <f ca="1">IF(INDIRECT(CONCATENATE($FK$12,Fixtures!HC$25))="","",IF(INDIRECT(CONCATENATE($FK$12,Fixtures!HC$25))=Fixtures!$DN38,CONCATENATE(HC$10,", "),""))</f>
        <v/>
      </c>
      <c r="HD38" s="632" t="str">
        <f ca="1">IF(INDIRECT(CONCATENATE($FK$12,Fixtures!HD$25))="","",IF(INDIRECT(CONCATENATE($FK$12,Fixtures!HD$25))=Fixtures!$DN38,CONCATENATE(HD$10,", "),""))</f>
        <v/>
      </c>
      <c r="HE38" s="632" t="str">
        <f ca="1">IF(INDIRECT(CONCATENATE($FK$12,Fixtures!HE$25))="","",IF(INDIRECT(CONCATENATE($FK$12,Fixtures!HE$25))=Fixtures!$DN38,CONCATENATE(HE$10,", "),""))</f>
        <v/>
      </c>
      <c r="HF38" s="632" t="str">
        <f ca="1">IF(INDIRECT(CONCATENATE($FK$12,Fixtures!HF$25))="","",IF(INDIRECT(CONCATENATE($FK$12,Fixtures!HF$25))=Fixtures!$DN38,CONCATENATE(HF$10,", "),""))</f>
        <v/>
      </c>
      <c r="HG38" s="632" t="str">
        <f ca="1">IF(INDIRECT(CONCATENATE($FK$12,Fixtures!HG$25))="","",IF(INDIRECT(CONCATENATE($FK$12,Fixtures!HG$25))=Fixtures!$DN38,CONCATENATE(HG$10,", "),""))</f>
        <v/>
      </c>
      <c r="HH38" s="632" t="str">
        <f ca="1">IF(INDIRECT(CONCATENATE($FK$12,Fixtures!HH$25))="","",IF(INDIRECT(CONCATENATE($FK$12,Fixtures!HH$25))=Fixtures!$DN38,CONCATENATE(HH$10,", "),""))</f>
        <v/>
      </c>
      <c r="HI38" s="632" t="str">
        <f ca="1">IF(INDIRECT(CONCATENATE($FK$12,Fixtures!HI$25))="","",IF(INDIRECT(CONCATENATE($FK$12,Fixtures!HI$25))=Fixtures!$DN38,CONCATENATE(HI$10,", "),""))</f>
        <v/>
      </c>
      <c r="HJ38" s="632" t="str">
        <f ca="1">IF(INDIRECT(CONCATENATE($FK$12,Fixtures!HJ$25))="","",IF(INDIRECT(CONCATENATE($FK$12,Fixtures!HJ$25))=Fixtures!$DN38,CONCATENATE(HJ$10,", "),""))</f>
        <v/>
      </c>
      <c r="HK38" s="632" t="str">
        <f ca="1">IF(INDIRECT(CONCATENATE($FK$12,Fixtures!HK$25))="","",IF(INDIRECT(CONCATENATE($FK$12,Fixtures!HK$25))=Fixtures!$DN38,CONCATENATE(HK$10,", "),""))</f>
        <v/>
      </c>
      <c r="HL38" s="632" t="str">
        <f ca="1">IF(INDIRECT(CONCATENATE($FK$12,Fixtures!HL$25))="","",IF(INDIRECT(CONCATENATE($FK$12,Fixtures!HL$25))=Fixtures!$DN38,CONCATENATE(HL$10,", "),""))</f>
        <v/>
      </c>
      <c r="HM38" s="606" t="str">
        <f ca="1">IF(INDIRECT(CONCATENATE($FK$12,Fixtures!HM$25))="","",IF(INDIRECT(CONCATENATE($FK$12,Fixtures!HM$25))=Fixtures!$DN38,CONCATENATE(HM$10,", "),""))</f>
        <v/>
      </c>
      <c r="HN38" s="607" t="str">
        <f ca="1">IF(INDIRECT(CONCATENATE($FK$12,Fixtures!HN$25))="","",IF(INDIRECT(CONCATENATE($FK$12,Fixtures!HN$25))=Fixtures!$DN38,CONCATENATE(HN$10,", "),""))</f>
        <v/>
      </c>
      <c r="HO38" s="632" t="str">
        <f ca="1">IF(INDIRECT(CONCATENATE($FK$12,Fixtures!HO$25))="","",IF(INDIRECT(CONCATENATE($FK$12,Fixtures!HO$25))=Fixtures!$DN38,CONCATENATE(HO$10,", "),""))</f>
        <v/>
      </c>
      <c r="HP38" s="632" t="str">
        <f ca="1">IF(INDIRECT(CONCATENATE($FK$12,Fixtures!HP$25))="","",IF(INDIRECT(CONCATENATE($FK$12,Fixtures!HP$25))=Fixtures!$DN38,CONCATENATE(HP$10,", "),""))</f>
        <v/>
      </c>
      <c r="HQ38" s="632" t="str">
        <f ca="1">IF(INDIRECT(CONCATENATE($FK$12,Fixtures!HQ$25))="","",IF(INDIRECT(CONCATENATE($FK$12,Fixtures!HQ$25))=Fixtures!$DN38,CONCATENATE(HQ$10,", "),""))</f>
        <v/>
      </c>
      <c r="HR38" s="632" t="str">
        <f ca="1">IF(INDIRECT(CONCATENATE($FK$12,Fixtures!HR$25))="","",IF(INDIRECT(CONCATENATE($FK$12,Fixtures!HR$25))=Fixtures!$DN38,CONCATENATE(HR$10,", "),""))</f>
        <v/>
      </c>
      <c r="HS38" s="632" t="str">
        <f ca="1">IF(INDIRECT(CONCATENATE($FK$12,Fixtures!HS$25))="","",IF(INDIRECT(CONCATENATE($FK$12,Fixtures!HS$25))=Fixtures!$DN38,CONCATENATE(HS$10,", "),""))</f>
        <v/>
      </c>
      <c r="HT38" s="632" t="str">
        <f ca="1">IF(INDIRECT(CONCATENATE($FK$12,Fixtures!HT$25))="","",IF(INDIRECT(CONCATENATE($FK$12,Fixtures!HT$25))=Fixtures!$DN38,CONCATENATE(HT$10,", "),""))</f>
        <v/>
      </c>
      <c r="HU38" s="632" t="str">
        <f ca="1">IF(INDIRECT(CONCATENATE($FK$12,Fixtures!HU$25))="","",IF(INDIRECT(CONCATENATE($FK$12,Fixtures!HU$25))=Fixtures!$DN38,CONCATENATE(HU$10,", "),""))</f>
        <v/>
      </c>
      <c r="HV38" s="632" t="str">
        <f ca="1">IF(INDIRECT(CONCATENATE($FK$12,Fixtures!HV$25))="","",IF(INDIRECT(CONCATENATE($FK$12,Fixtures!HV$25))=Fixtures!$DN38,CONCATENATE(HV$10,", "),""))</f>
        <v/>
      </c>
      <c r="HW38" s="632" t="str">
        <f ca="1">IF(INDIRECT(CONCATENATE($FK$12,Fixtures!HW$25))="","",IF(INDIRECT(CONCATENATE($FK$12,Fixtures!HW$25))=Fixtures!$DN38,CONCATENATE(HW$10,", "),""))</f>
        <v/>
      </c>
      <c r="HX38" s="632" t="str">
        <f ca="1">IF(INDIRECT(CONCATENATE($FK$12,Fixtures!HX$25))="","",IF(INDIRECT(CONCATENATE($FK$12,Fixtures!HX$25))=Fixtures!$DN38,CONCATENATE(HX$10,", "),""))</f>
        <v/>
      </c>
      <c r="HY38" s="632" t="str">
        <f ca="1">IF(INDIRECT(CONCATENATE($FK$12,Fixtures!HY$25))="","",IF(INDIRECT(CONCATENATE($FK$12,Fixtures!HY$25))=Fixtures!$DN38,CONCATENATE(HY$10,", "),""))</f>
        <v/>
      </c>
      <c r="HZ38" s="632" t="str">
        <f ca="1">IF(INDIRECT(CONCATENATE($FK$12,Fixtures!HZ$25))="","",IF(INDIRECT(CONCATENATE($FK$12,Fixtures!HZ$25))=Fixtures!$DN38,CONCATENATE(HZ$10,", "),""))</f>
        <v/>
      </c>
      <c r="IA38" s="632" t="str">
        <f ca="1">IF(INDIRECT(CONCATENATE($FK$12,Fixtures!IA$25))="","",IF(INDIRECT(CONCATENATE($FK$12,Fixtures!IA$25))=Fixtures!$DN38,CONCATENATE(IA$10,", "),""))</f>
        <v/>
      </c>
      <c r="IB38" s="606" t="str">
        <f ca="1">IF(INDIRECT(CONCATENATE($FK$12,Fixtures!IB$25))="","",IF(INDIRECT(CONCATENATE($FK$12,Fixtures!IB$25))=Fixtures!$DN38,CONCATENATE(IB$10,", "),""))</f>
        <v/>
      </c>
      <c r="IC38" s="607" t="str">
        <f ca="1">IF(INDIRECT(CONCATENATE($FK$12,Fixtures!IC$25))="","",IF(INDIRECT(CONCATENATE($FK$12,Fixtures!IC$25))=Fixtures!$DN38,CONCATENATE(IC$10,", "),""))</f>
        <v/>
      </c>
      <c r="ID38" s="632" t="str">
        <f ca="1">IF(INDIRECT(CONCATENATE($FK$12,Fixtures!ID$25))="","",IF(INDIRECT(CONCATENATE($FK$12,Fixtures!ID$25))=Fixtures!$DN38,CONCATENATE(ID$10,", "),""))</f>
        <v/>
      </c>
      <c r="IE38" s="632" t="str">
        <f ca="1">IF(INDIRECT(CONCATENATE($FK$12,Fixtures!IE$25))="","",IF(INDIRECT(CONCATENATE($FK$12,Fixtures!IE$25))=Fixtures!$DN38,CONCATENATE(IE$10,", "),""))</f>
        <v/>
      </c>
      <c r="IF38" s="632" t="str">
        <f ca="1">IF(INDIRECT(CONCATENATE($FK$12,Fixtures!IF$25))="","",IF(INDIRECT(CONCATENATE($FK$12,Fixtures!IF$25))=Fixtures!$DN38,CONCATENATE(IF$10,", "),""))</f>
        <v/>
      </c>
      <c r="IG38" s="632" t="str">
        <f ca="1">IF(INDIRECT(CONCATENATE($FK$12,Fixtures!IG$25))="","",IF(INDIRECT(CONCATENATE($FK$12,Fixtures!IG$25))=Fixtures!$DN38,CONCATENATE(IG$10,", "),""))</f>
        <v/>
      </c>
      <c r="IH38" s="632" t="str">
        <f ca="1">IF(INDIRECT(CONCATENATE($FK$12,Fixtures!IH$25))="","",IF(INDIRECT(CONCATENATE($FK$12,Fixtures!IH$25))=Fixtures!$DN38,CONCATENATE(IH$10,", "),""))</f>
        <v/>
      </c>
      <c r="II38" s="632" t="str">
        <f ca="1">IF(INDIRECT(CONCATENATE($FK$12,Fixtures!II$25))="","",IF(INDIRECT(CONCATENATE($FK$12,Fixtures!II$25))=Fixtures!$DN38,CONCATENATE(II$10,", "),""))</f>
        <v/>
      </c>
      <c r="IJ38" s="632" t="str">
        <f ca="1">IF(INDIRECT(CONCATENATE($FK$12,Fixtures!IJ$25))="","",IF(INDIRECT(CONCATENATE($FK$12,Fixtures!IJ$25))=Fixtures!$DN38,CONCATENATE(IJ$10,", "),""))</f>
        <v/>
      </c>
      <c r="IK38" s="632" t="str">
        <f ca="1">IF(INDIRECT(CONCATENATE($FK$12,Fixtures!IK$25))="","",IF(INDIRECT(CONCATENATE($FK$12,Fixtures!IK$25))=Fixtures!$DN38,CONCATENATE(IK$10,", "),""))</f>
        <v/>
      </c>
      <c r="IL38" s="632" t="str">
        <f ca="1">IF(INDIRECT(CONCATENATE($FK$12,Fixtures!IL$25))="","",IF(INDIRECT(CONCATENATE($FK$12,Fixtures!IL$25))=Fixtures!$DN38,CONCATENATE(IL$10,", "),""))</f>
        <v/>
      </c>
      <c r="IM38" s="632" t="str">
        <f ca="1">IF(INDIRECT(CONCATENATE($FK$12,Fixtures!IM$25))="","",IF(INDIRECT(CONCATENATE($FK$12,Fixtures!IM$25))=Fixtures!$DN38,CONCATENATE(IM$10,", "),""))</f>
        <v/>
      </c>
      <c r="IN38" s="632" t="str">
        <f ca="1">IF(INDIRECT(CONCATENATE($FK$12,Fixtures!IN$25))="","",IF(INDIRECT(CONCATENATE($FK$12,Fixtures!IN$25))=Fixtures!$DN38,CONCATENATE(IN$10,", "),""))</f>
        <v/>
      </c>
      <c r="IO38" s="632" t="str">
        <f ca="1">IF(INDIRECT(CONCATENATE($FK$12,Fixtures!IO$25))="","",IF(INDIRECT(CONCATENATE($FK$12,Fixtures!IO$25))=Fixtures!$DN38,CONCATENATE(IO$10,", "),""))</f>
        <v/>
      </c>
      <c r="IP38" s="632" t="str">
        <f ca="1">IF(INDIRECT(CONCATENATE($FK$12,Fixtures!IP$25))="","",IF(INDIRECT(CONCATENATE($FK$12,Fixtures!IP$25))=Fixtures!$DN38,CONCATENATE(IP$10,", "),""))</f>
        <v/>
      </c>
      <c r="IQ38" s="606" t="str">
        <f ca="1">IF(INDIRECT(CONCATENATE($FK$12,Fixtures!IQ$25))="","",IF(INDIRECT(CONCATENATE($FK$12,Fixtures!IQ$25))=Fixtures!$DN38,CONCATENATE(IQ$10,", "),""))</f>
        <v/>
      </c>
      <c r="IR38" s="607" t="str">
        <f ca="1">IF(INDIRECT(CONCATENATE($FK$12,Fixtures!IR$25))="","",IF(INDIRECT(CONCATENATE($FK$12,Fixtures!IR$25))=Fixtures!$DN38,CONCATENATE(IR$10,", "),""))</f>
        <v/>
      </c>
      <c r="IS38" s="632" t="str">
        <f ca="1">IF(INDIRECT(CONCATENATE($FK$12,Fixtures!IS$25))="","",IF(INDIRECT(CONCATENATE($FK$12,Fixtures!IS$25))=Fixtures!$DN38,CONCATENATE(IS$10,", "),""))</f>
        <v/>
      </c>
      <c r="IT38" s="632" t="str">
        <f ca="1">IF(INDIRECT(CONCATENATE($FK$12,Fixtures!IT$25))="","",IF(INDIRECT(CONCATENATE($FK$12,Fixtures!IT$25))=Fixtures!$DN38,CONCATENATE(IT$10,", "),""))</f>
        <v/>
      </c>
      <c r="IU38" s="632" t="str">
        <f ca="1">IF(INDIRECT(CONCATENATE($FK$12,Fixtures!IU$25))="","",IF(INDIRECT(CONCATENATE($FK$12,Fixtures!IU$25))=Fixtures!$DN38,CONCATENATE(IU$10,", "),""))</f>
        <v/>
      </c>
      <c r="IV38" s="632" t="str">
        <f ca="1">IF(INDIRECT(CONCATENATE($FK$12,Fixtures!IV$25))="","",IF(INDIRECT(CONCATENATE($FK$12,Fixtures!IV$25))=Fixtures!$DN38,CONCATENATE(IV$10,", "),""))</f>
        <v/>
      </c>
      <c r="IW38" s="632" t="str">
        <f ca="1">IF(INDIRECT(CONCATENATE($FK$12,Fixtures!IW$25))="","",IF(INDIRECT(CONCATENATE($FK$12,Fixtures!IW$25))=Fixtures!$DN38,CONCATENATE(IW$10,", "),""))</f>
        <v/>
      </c>
      <c r="IX38" s="632" t="str">
        <f ca="1">IF(INDIRECT(CONCATENATE($FK$12,Fixtures!IX$25))="","",IF(INDIRECT(CONCATENATE($FK$12,Fixtures!IX$25))=Fixtures!$DN38,CONCATENATE(IX$10,", "),""))</f>
        <v/>
      </c>
      <c r="IY38" s="632" t="str">
        <f ca="1">IF(INDIRECT(CONCATENATE($FK$12,Fixtures!IY$25))="","",IF(INDIRECT(CONCATENATE($FK$12,Fixtures!IY$25))=Fixtures!$DN38,CONCATENATE(IY$10,", "),""))</f>
        <v/>
      </c>
      <c r="IZ38" s="632" t="str">
        <f ca="1">IF(INDIRECT(CONCATENATE($FK$12,Fixtures!IZ$25))="","",IF(INDIRECT(CONCATENATE($FK$12,Fixtures!IZ$25))=Fixtures!$DN38,CONCATENATE(IZ$10,", "),""))</f>
        <v/>
      </c>
      <c r="JA38" s="632" t="str">
        <f ca="1">IF(INDIRECT(CONCATENATE($FK$12,Fixtures!JA$25))="","",IF(INDIRECT(CONCATENATE($FK$12,Fixtures!JA$25))=Fixtures!$DN38,CONCATENATE(JA$10,", "),""))</f>
        <v/>
      </c>
      <c r="JB38" s="632" t="str">
        <f ca="1">IF(INDIRECT(CONCATENATE($FK$12,Fixtures!JB$25))="","",IF(INDIRECT(CONCATENATE($FK$12,Fixtures!JB$25))=Fixtures!$DN38,CONCATENATE(JB$10,", "),""))</f>
        <v/>
      </c>
      <c r="JC38" s="632" t="str">
        <f ca="1">IF(INDIRECT(CONCATENATE($FK$12,Fixtures!JC$25))="","",IF(INDIRECT(CONCATENATE($FK$12,Fixtures!JC$25))=Fixtures!$DN38,CONCATENATE(JC$10,", "),""))</f>
        <v/>
      </c>
      <c r="JD38" s="632" t="str">
        <f ca="1">IF(INDIRECT(CONCATENATE($FK$12,Fixtures!JD$25))="","",IF(INDIRECT(CONCATENATE($FK$12,Fixtures!JD$25))=Fixtures!$DN38,CONCATENATE(JD$10,", "),""))</f>
        <v/>
      </c>
      <c r="JE38" s="632" t="str">
        <f ca="1">IF(INDIRECT(CONCATENATE($FK$12,Fixtures!JE$25))="","",IF(INDIRECT(CONCATENATE($FK$12,Fixtures!JE$25))=Fixtures!$DN38,CONCATENATE(JE$10,", "),""))</f>
        <v/>
      </c>
      <c r="JF38" s="606" t="str">
        <f ca="1">IF(INDIRECT(CONCATENATE($FK$12,Fixtures!JF$25))="","",IF(INDIRECT(CONCATENATE($FK$12,Fixtures!JF$25))=Fixtures!$DN38,CONCATENATE(JF$10,", "),""))</f>
        <v/>
      </c>
      <c r="JG38" s="607" t="str">
        <f ca="1">IF(INDIRECT(CONCATENATE($FK$12,Fixtures!JG$25))="","",IF(INDIRECT(CONCATENATE($FK$12,Fixtures!JG$25))=Fixtures!$DN38,CONCATENATE(JG$10,", "),""))</f>
        <v/>
      </c>
      <c r="JH38" s="632" t="str">
        <f ca="1">IF(INDIRECT(CONCATENATE($FK$12,Fixtures!JH$25))="","",IF(INDIRECT(CONCATENATE($FK$12,Fixtures!JH$25))=Fixtures!$DN38,CONCATENATE(JH$10,", "),""))</f>
        <v/>
      </c>
      <c r="JI38" s="632" t="str">
        <f ca="1">IF(INDIRECT(CONCATENATE($FK$12,Fixtures!JI$25))="","",IF(INDIRECT(CONCATENATE($FK$12,Fixtures!JI$25))=Fixtures!$DN38,CONCATENATE(JI$10,", "),""))</f>
        <v/>
      </c>
      <c r="JJ38" s="632" t="str">
        <f ca="1">IF(INDIRECT(CONCATENATE($FK$12,Fixtures!JJ$25))="","",IF(INDIRECT(CONCATENATE($FK$12,Fixtures!JJ$25))=Fixtures!$DN38,CONCATENATE(JJ$10,", "),""))</f>
        <v/>
      </c>
      <c r="JK38" s="632" t="str">
        <f ca="1">IF(INDIRECT(CONCATENATE($FK$12,Fixtures!JK$25))="","",IF(INDIRECT(CONCATENATE($FK$12,Fixtures!JK$25))=Fixtures!$DN38,CONCATENATE(JK$10,", "),""))</f>
        <v/>
      </c>
      <c r="JL38" s="632" t="str">
        <f ca="1">IF(INDIRECT(CONCATENATE($FK$12,Fixtures!JL$25))="","",IF(INDIRECT(CONCATENATE($FK$12,Fixtures!JL$25))=Fixtures!$DN38,CONCATENATE(JL$10,", "),""))</f>
        <v/>
      </c>
      <c r="JM38" s="632" t="str">
        <f ca="1">IF(INDIRECT(CONCATENATE($FK$12,Fixtures!JM$25))="","",IF(INDIRECT(CONCATENATE($FK$12,Fixtures!JM$25))=Fixtures!$DN38,CONCATENATE(JM$10,", "),""))</f>
        <v/>
      </c>
      <c r="JN38" s="632" t="str">
        <f ca="1">IF(INDIRECT(CONCATENATE($FK$12,Fixtures!JN$25))="","",IF(INDIRECT(CONCATENATE($FK$12,Fixtures!JN$25))=Fixtures!$DN38,CONCATENATE(JN$10,", "),""))</f>
        <v/>
      </c>
      <c r="JO38" s="632" t="str">
        <f ca="1">IF(INDIRECT(CONCATENATE($FK$12,Fixtures!JO$25))="","",IF(INDIRECT(CONCATENATE($FK$12,Fixtures!JO$25))=Fixtures!$DN38,CONCATENATE(JO$10,", "),""))</f>
        <v/>
      </c>
      <c r="JP38" s="632" t="str">
        <f ca="1">IF(INDIRECT(CONCATENATE($FK$12,Fixtures!JP$25))="","",IF(INDIRECT(CONCATENATE($FK$12,Fixtures!JP$25))=Fixtures!$DN38,CONCATENATE(JP$10,", "),""))</f>
        <v/>
      </c>
      <c r="JQ38" s="632" t="str">
        <f ca="1">IF(INDIRECT(CONCATENATE($FK$12,Fixtures!JQ$25))="","",IF(INDIRECT(CONCATENATE($FK$12,Fixtures!JQ$25))=Fixtures!$DN38,CONCATENATE(JQ$10,", "),""))</f>
        <v/>
      </c>
      <c r="JR38" s="632" t="str">
        <f ca="1">IF(INDIRECT(CONCATENATE($FK$12,Fixtures!JR$25))="","",IF(INDIRECT(CONCATENATE($FK$12,Fixtures!JR$25))=Fixtures!$DN38,CONCATENATE(JR$10,", "),""))</f>
        <v/>
      </c>
      <c r="JS38" s="632" t="str">
        <f ca="1">IF(INDIRECT(CONCATENATE($FK$12,Fixtures!JS$25))="","",IF(INDIRECT(CONCATENATE($FK$12,Fixtures!JS$25))=Fixtures!$DN38,CONCATENATE(JS$10,", "),""))</f>
        <v/>
      </c>
      <c r="JT38" s="632" t="str">
        <f ca="1">IF(INDIRECT(CONCATENATE($FK$12,Fixtures!JT$25))="","",IF(INDIRECT(CONCATENATE($FK$12,Fixtures!JT$25))=Fixtures!$DN38,CONCATENATE(JT$10,", "),""))</f>
        <v/>
      </c>
      <c r="JU38" s="606" t="str">
        <f ca="1">IF(INDIRECT(CONCATENATE($FK$12,Fixtures!JU$25))="","",IF(INDIRECT(CONCATENATE($FK$12,Fixtures!JU$25))=Fixtures!$DN38,CONCATENATE(JU$10,", "),""))</f>
        <v/>
      </c>
      <c r="JV38" s="607" t="str">
        <f ca="1">IF(INDIRECT(CONCATENATE($FK$12,Fixtures!JV$25))="","",IF(INDIRECT(CONCATENATE($FK$12,Fixtures!JV$25))=Fixtures!$DN38,CONCATENATE(JV$10,", "),""))</f>
        <v/>
      </c>
      <c r="JW38" s="632" t="str">
        <f ca="1">IF(INDIRECT(CONCATENATE($FK$12,Fixtures!JW$25))="","",IF(INDIRECT(CONCATENATE($FK$12,Fixtures!JW$25))=Fixtures!$DN38,CONCATENATE(JW$10,", "),""))</f>
        <v/>
      </c>
      <c r="JX38" s="632" t="str">
        <f ca="1">IF(INDIRECT(CONCATENATE($FK$12,Fixtures!JX$25))="","",IF(INDIRECT(CONCATENATE($FK$12,Fixtures!JX$25))=Fixtures!$DN38,CONCATENATE(JX$10,", "),""))</f>
        <v/>
      </c>
      <c r="JY38" s="632" t="str">
        <f ca="1">IF(INDIRECT(CONCATENATE($FK$12,Fixtures!JY$25))="","",IF(INDIRECT(CONCATENATE($FK$12,Fixtures!JY$25))=Fixtures!$DN38,CONCATENATE(JY$10,", "),""))</f>
        <v/>
      </c>
      <c r="JZ38" s="632" t="str">
        <f ca="1">IF(INDIRECT(CONCATENATE($FK$12,Fixtures!JZ$25))="","",IF(INDIRECT(CONCATENATE($FK$12,Fixtures!JZ$25))=Fixtures!$DN38,CONCATENATE(JZ$10,", "),""))</f>
        <v/>
      </c>
      <c r="KA38" s="632" t="str">
        <f ca="1">IF(INDIRECT(CONCATENATE($FK$12,Fixtures!KA$25))="","",IF(INDIRECT(CONCATENATE($FK$12,Fixtures!KA$25))=Fixtures!$DN38,CONCATENATE(KA$10,", "),""))</f>
        <v/>
      </c>
      <c r="KB38" s="632" t="str">
        <f ca="1">IF(INDIRECT(CONCATENATE($FK$12,Fixtures!KB$25))="","",IF(INDIRECT(CONCATENATE($FK$12,Fixtures!KB$25))=Fixtures!$DN38,CONCATENATE(KB$10,", "),""))</f>
        <v/>
      </c>
      <c r="KC38" s="632" t="str">
        <f ca="1">IF(INDIRECT(CONCATENATE($FK$12,Fixtures!KC$25))="","",IF(INDIRECT(CONCATENATE($FK$12,Fixtures!KC$25))=Fixtures!$DN38,CONCATENATE(KC$10,", "),""))</f>
        <v/>
      </c>
      <c r="KD38" s="632" t="str">
        <f ca="1">IF(INDIRECT(CONCATENATE($FK$12,Fixtures!KD$25))="","",IF(INDIRECT(CONCATENATE($FK$12,Fixtures!KD$25))=Fixtures!$DN38,CONCATENATE(KD$10,", "),""))</f>
        <v/>
      </c>
      <c r="KE38" s="632" t="str">
        <f ca="1">IF(INDIRECT(CONCATENATE($FK$12,Fixtures!KE$25))="","",IF(INDIRECT(CONCATENATE($FK$12,Fixtures!KE$25))=Fixtures!$DN38,CONCATENATE(KE$10,", "),""))</f>
        <v/>
      </c>
      <c r="KF38" s="632" t="str">
        <f ca="1">IF(INDIRECT(CONCATENATE($FK$12,Fixtures!KF$25))="","",IF(INDIRECT(CONCATENATE($FK$12,Fixtures!KF$25))=Fixtures!$DN38,CONCATENATE(KF$10,", "),""))</f>
        <v/>
      </c>
      <c r="KG38" s="632" t="str">
        <f ca="1">IF(INDIRECT(CONCATENATE($FK$12,Fixtures!KG$25))="","",IF(INDIRECT(CONCATENATE($FK$12,Fixtures!KG$25))=Fixtures!$DN38,CONCATENATE(KG$10,", "),""))</f>
        <v/>
      </c>
      <c r="KH38" s="632" t="str">
        <f ca="1">IF(INDIRECT(CONCATENATE($FK$12,Fixtures!KH$25))="","",IF(INDIRECT(CONCATENATE($FK$12,Fixtures!KH$25))=Fixtures!$DN38,CONCATENATE(KH$10,", "),""))</f>
        <v/>
      </c>
      <c r="KI38" s="632" t="str">
        <f ca="1">IF(INDIRECT(CONCATENATE($FK$12,Fixtures!KI$25))="","",IF(INDIRECT(CONCATENATE($FK$12,Fixtures!KI$25))=Fixtures!$DN38,CONCATENATE(KI$10,", "),""))</f>
        <v/>
      </c>
      <c r="KJ38" s="606" t="str">
        <f ca="1">IF(INDIRECT(CONCATENATE($FK$12,Fixtures!KJ$25))="","",IF(INDIRECT(CONCATENATE($FK$12,Fixtures!KJ$25))=Fixtures!$DN38,CONCATENATE(KJ$10,", "),""))</f>
        <v/>
      </c>
      <c r="KK38" s="607" t="str">
        <f ca="1">IF(INDIRECT(CONCATENATE($FK$12,Fixtures!KK$25))="","",IF(INDIRECT(CONCATENATE($FK$12,Fixtures!KK$25))=Fixtures!$DN38,CONCATENATE(KK$10,", "),""))</f>
        <v/>
      </c>
      <c r="KL38" s="632" t="str">
        <f ca="1">IF(INDIRECT(CONCATENATE($FK$12,Fixtures!KL$25))="","",IF(INDIRECT(CONCATENATE($FK$12,Fixtures!KL$25))=Fixtures!$DN38,CONCATENATE(KL$10,", "),""))</f>
        <v/>
      </c>
      <c r="KM38" s="632" t="str">
        <f ca="1">IF(INDIRECT(CONCATENATE($FK$12,Fixtures!KM$25))="","",IF(INDIRECT(CONCATENATE($FK$12,Fixtures!KM$25))=Fixtures!$DN38,CONCATENATE(KM$10,", "),""))</f>
        <v/>
      </c>
      <c r="KN38" s="632" t="str">
        <f ca="1">IF(INDIRECT(CONCATENATE($FK$12,Fixtures!KN$25))="","",IF(INDIRECT(CONCATENATE($FK$12,Fixtures!KN$25))=Fixtures!$DN38,CONCATENATE(KN$10,", "),""))</f>
        <v/>
      </c>
      <c r="KO38" s="632" t="str">
        <f ca="1">IF(INDIRECT(CONCATENATE($FK$12,Fixtures!KO$25))="","",IF(INDIRECT(CONCATENATE($FK$12,Fixtures!KO$25))=Fixtures!$DN38,CONCATENATE(KO$10,", "),""))</f>
        <v/>
      </c>
      <c r="KP38" s="632" t="str">
        <f ca="1">IF(INDIRECT(CONCATENATE($FK$12,Fixtures!KP$25))="","",IF(INDIRECT(CONCATENATE($FK$12,Fixtures!KP$25))=Fixtures!$DN38,CONCATENATE(KP$10,", "),""))</f>
        <v/>
      </c>
      <c r="KQ38" s="632" t="str">
        <f ca="1">IF(INDIRECT(CONCATENATE($FK$12,Fixtures!KQ$25))="","",IF(INDIRECT(CONCATENATE($FK$12,Fixtures!KQ$25))=Fixtures!$DN38,CONCATENATE(KQ$10,", "),""))</f>
        <v/>
      </c>
      <c r="KR38" s="632" t="str">
        <f ca="1">IF(INDIRECT(CONCATENATE($FK$12,Fixtures!KR$25))="","",IF(INDIRECT(CONCATENATE($FK$12,Fixtures!KR$25))=Fixtures!$DN38,CONCATENATE(KR$10,", "),""))</f>
        <v/>
      </c>
      <c r="KS38" s="632" t="str">
        <f ca="1">IF(INDIRECT(CONCATENATE($FK$12,Fixtures!KS$25))="","",IF(INDIRECT(CONCATENATE($FK$12,Fixtures!KS$25))=Fixtures!$DN38,CONCATENATE(KS$10,", "),""))</f>
        <v/>
      </c>
      <c r="KT38" s="632" t="str">
        <f ca="1">IF(INDIRECT(CONCATENATE($FK$12,Fixtures!KT$25))="","",IF(INDIRECT(CONCATENATE($FK$12,Fixtures!KT$25))=Fixtures!$DN38,CONCATENATE(KT$10,", "),""))</f>
        <v/>
      </c>
      <c r="KU38" s="632" t="str">
        <f ca="1">IF(INDIRECT(CONCATENATE($FK$12,Fixtures!KU$25))="","",IF(INDIRECT(CONCATENATE($FK$12,Fixtures!KU$25))=Fixtures!$DN38,CONCATENATE(KU$10,", "),""))</f>
        <v/>
      </c>
      <c r="KV38" s="632" t="str">
        <f ca="1">IF(INDIRECT(CONCATENATE($FK$12,Fixtures!KV$25))="","",IF(INDIRECT(CONCATENATE($FK$12,Fixtures!KV$25))=Fixtures!$DN38,CONCATENATE(KV$10,", "),""))</f>
        <v/>
      </c>
      <c r="KW38" s="632" t="str">
        <f ca="1">IF(INDIRECT(CONCATENATE($FK$12,Fixtures!KW$25))="","",IF(INDIRECT(CONCATENATE($FK$12,Fixtures!KW$25))=Fixtures!$DN38,CONCATENATE(KW$10,", "),""))</f>
        <v/>
      </c>
      <c r="KX38" s="632" t="str">
        <f ca="1">IF(INDIRECT(CONCATENATE($FK$12,Fixtures!KX$25))="","",IF(INDIRECT(CONCATENATE($FK$12,Fixtures!KX$25))=Fixtures!$DN38,CONCATENATE(KX$10,", "),""))</f>
        <v/>
      </c>
      <c r="KY38" s="632"/>
      <c r="KZ38" s="46"/>
      <c r="LA38" s="46" t="str">
        <f t="shared" ca="1" si="7"/>
        <v/>
      </c>
      <c r="LB38" s="46"/>
      <c r="LC38" s="1010"/>
      <c r="LD38" s="1009" t="str">
        <f t="shared" si="20"/>
        <v/>
      </c>
    </row>
    <row r="39" spans="1:316" ht="28.2" customHeight="1" thickTop="1" thickBot="1">
      <c r="A39" s="426" t="str">
        <f t="shared" si="13"/>
        <v/>
      </c>
      <c r="C39" s="1640" t="str">
        <f t="shared" si="14"/>
        <v/>
      </c>
      <c r="D39" s="1641"/>
      <c r="E39" s="1568" t="str">
        <f t="shared" si="15"/>
        <v/>
      </c>
      <c r="F39" s="1569"/>
      <c r="G39" s="1569"/>
      <c r="H39" s="1569"/>
      <c r="I39" s="1569"/>
      <c r="J39" s="1569"/>
      <c r="K39" s="1569"/>
      <c r="L39" s="1569"/>
      <c r="M39" s="1642"/>
      <c r="N39" s="203" t="str">
        <f t="shared" si="16"/>
        <v/>
      </c>
      <c r="O39" s="541"/>
      <c r="P39" s="1638" t="str">
        <f t="shared" si="25"/>
        <v/>
      </c>
      <c r="Q39" s="1639"/>
      <c r="R39" s="1568" t="str">
        <f t="shared" si="30"/>
        <v/>
      </c>
      <c r="S39" s="1569"/>
      <c r="T39" s="1569"/>
      <c r="U39" s="1569"/>
      <c r="V39" s="1569"/>
      <c r="W39" s="1569"/>
      <c r="X39" s="1569"/>
      <c r="Y39" s="203" t="str">
        <f t="shared" si="26"/>
        <v/>
      </c>
      <c r="Z39" s="203" t="str">
        <f t="shared" si="27"/>
        <v/>
      </c>
      <c r="AA39" s="394" t="str">
        <f t="shared" si="28"/>
        <v/>
      </c>
      <c r="AB39" s="489"/>
      <c r="AC39" s="1564" t="str">
        <f t="shared" si="18"/>
        <v/>
      </c>
      <c r="AD39" s="1565"/>
      <c r="AE39" s="1565"/>
      <c r="AF39" s="1565"/>
      <c r="AG39" s="1565"/>
      <c r="AH39" s="1565"/>
      <c r="AK39">
        <f>SUMIFS(Installations!CV$46:CV$803,Installations!CW$46:CW$803,E39,Installations!IC$46:IC$803,TRUE)</f>
        <v>0</v>
      </c>
      <c r="AL39">
        <f>SUMIFS(Installations!CV$46:CV$803,Installations!CW$46:CW$803,R39,Installations!IC$46:IC$803,TRUE)</f>
        <v>0</v>
      </c>
      <c r="BL39" s="9"/>
      <c r="BM39" s="622" t="str">
        <f t="shared" si="19"/>
        <v/>
      </c>
      <c r="BN39" s="52"/>
      <c r="BO39" s="52"/>
      <c r="BP39" s="52"/>
      <c r="BQ39" s="52"/>
      <c r="BR39" s="52"/>
      <c r="BS39" s="52"/>
      <c r="BT39" s="52"/>
      <c r="BU39" s="373"/>
      <c r="BV39" s="219" t="str">
        <f>IF(CN39&lt;&gt;"Yes","",IFERROR(VLOOKUP(CU39,Existing!A$4:F$367,2,FALSE),""))</f>
        <v/>
      </c>
      <c r="BW39" s="9">
        <v>13</v>
      </c>
      <c r="BX39" s="1625"/>
      <c r="BY39" s="1626"/>
      <c r="BZ39" s="1626"/>
      <c r="CA39" s="1627"/>
      <c r="CB39" s="1622"/>
      <c r="CC39" s="1623"/>
      <c r="CD39" s="1623"/>
      <c r="CE39" s="1624"/>
      <c r="CF39" s="1621"/>
      <c r="CG39" s="1621"/>
      <c r="CH39" s="1621"/>
      <c r="CI39" s="1621"/>
      <c r="CJ39" s="1621"/>
      <c r="CK39" s="1621"/>
      <c r="CL39" s="1621"/>
      <c r="CM39" s="1621"/>
      <c r="CN39" s="1553" t="str">
        <f t="shared" si="0"/>
        <v/>
      </c>
      <c r="CO39" s="1554"/>
      <c r="CP39" s="229" t="str">
        <f>IFERROR(IF(CB39="Existing TLED",CR39*CW39*CY39,VLOOKUP(CU39,Existing!A$3:F$356,6,FALSE)),"")</f>
        <v/>
      </c>
      <c r="CQ39" s="9"/>
      <c r="CR39" s="1660"/>
      <c r="CS39" s="1661"/>
      <c r="CT39" s="9"/>
      <c r="CU39" s="425" t="str">
        <f t="shared" si="21"/>
        <v/>
      </c>
      <c r="CV39" s="426" t="b">
        <f t="shared" si="22"/>
        <v>0</v>
      </c>
      <c r="CW39" s="426" t="str">
        <f t="shared" si="23"/>
        <v/>
      </c>
      <c r="CX39" s="426">
        <f>IFERROR(VLOOKUP(CF39,Lookup!T$100:V$102,3,FALSE),0)</f>
        <v>0</v>
      </c>
      <c r="CY39" s="426">
        <f t="shared" si="8"/>
        <v>1.1100000000000001</v>
      </c>
      <c r="CZ39" s="626" t="b">
        <f t="shared" si="1"/>
        <v>0</v>
      </c>
      <c r="DA39" s="626" t="b">
        <f>IF(CF39&lt;&gt;"",IF(ISERROR(MATCH(CONCATENATE(CB39," - ",CF39),Existing!G$4:G$331,0))=TRUE,FALSE,TRUE),TRUE)</f>
        <v>1</v>
      </c>
      <c r="DB39" s="626" t="b">
        <f t="shared" si="2"/>
        <v>1</v>
      </c>
      <c r="DL39" s="9"/>
      <c r="DM39" s="627" t="s">
        <v>215</v>
      </c>
      <c r="DN39" s="375" t="str">
        <f t="shared" si="3"/>
        <v/>
      </c>
      <c r="DO39" s="52"/>
      <c r="DP39" s="52"/>
      <c r="DQ39" s="52"/>
      <c r="DR39" s="52"/>
      <c r="DS39" s="52"/>
      <c r="DT39" s="226"/>
      <c r="DU39" s="376"/>
      <c r="DV39" s="227" t="str">
        <f t="shared" si="4"/>
        <v/>
      </c>
      <c r="DW39" s="224">
        <v>13</v>
      </c>
      <c r="DX39" s="1572"/>
      <c r="DY39" s="1573"/>
      <c r="DZ39" s="1573"/>
      <c r="EA39" s="1574"/>
      <c r="EB39" s="1618"/>
      <c r="EC39" s="1619"/>
      <c r="ED39" s="1619"/>
      <c r="EE39" s="1620"/>
      <c r="EF39" s="1578"/>
      <c r="EG39" s="1579"/>
      <c r="EH39" s="1618"/>
      <c r="EI39" s="1619"/>
      <c r="EJ39" s="1619"/>
      <c r="EK39" s="1620"/>
      <c r="EL39" s="1575"/>
      <c r="EM39" s="1576"/>
      <c r="EN39" s="1576"/>
      <c r="EO39" s="1577"/>
      <c r="EP39" s="1578"/>
      <c r="EQ39" s="1579"/>
      <c r="ER39" s="1555"/>
      <c r="ES39" s="1556"/>
      <c r="ET39" s="1553" t="str">
        <f t="shared" si="9"/>
        <v/>
      </c>
      <c r="EU39" s="1554"/>
      <c r="EV39" s="1553" t="str">
        <f t="shared" si="29"/>
        <v/>
      </c>
      <c r="EW39" s="1554"/>
      <c r="EX39" s="393"/>
      <c r="EY39" s="225" t="str">
        <f t="shared" si="6"/>
        <v/>
      </c>
      <c r="EZ39" s="225" t="str">
        <f>IFERROR(VLOOKUP(EB39,Lookup!AT$3:AU$13,2,FALSE),"")</f>
        <v/>
      </c>
      <c r="FA39" s="426" t="b">
        <f>IFERROR(IF(VLOOKUP(EB39,Lookup!AT$6:AU$8,2,FALSE)&gt;3,TRUE,FALSE),FALSE)</f>
        <v>0</v>
      </c>
      <c r="FB39" s="426" t="str">
        <f t="shared" si="10"/>
        <v/>
      </c>
      <c r="FC39" t="str">
        <f t="shared" ca="1" si="11"/>
        <v/>
      </c>
      <c r="FG39" t="str">
        <f t="shared" ca="1" si="12"/>
        <v/>
      </c>
      <c r="FI39" s="204" t="str">
        <f t="shared" ca="1" si="24"/>
        <v/>
      </c>
      <c r="FJ39" s="204"/>
      <c r="FK39" s="631" t="str">
        <f ca="1">IF(INDIRECT(CONCATENATE($FK$12,Fixtures!FK$25))="","",IF(INDIRECT(CONCATENATE($FK$12,Fixtures!FK$25))=Fixtures!$DN39,CONCATENATE(FK$10,", "),""))</f>
        <v/>
      </c>
      <c r="FL39" s="631" t="str">
        <f ca="1">IF(INDIRECT(CONCATENATE($FK$12,Fixtures!FL$25))="","",IF(INDIRECT(CONCATENATE($FK$12,Fixtures!FL$25))=Fixtures!$DN39,CONCATENATE(FL$10,", "),""))</f>
        <v/>
      </c>
      <c r="FM39" s="631" t="str">
        <f ca="1">IF(INDIRECT(CONCATENATE($FK$12,Fixtures!FM$25))="","",IF(INDIRECT(CONCATENATE($FK$12,Fixtures!FM$25))=Fixtures!$DN39,CONCATENATE(FM$10,", "),""))</f>
        <v/>
      </c>
      <c r="FN39" s="631" t="str">
        <f ca="1">IF(INDIRECT(CONCATENATE($FK$12,Fixtures!FN$25))="","",IF(INDIRECT(CONCATENATE($FK$12,Fixtures!FN$25))=Fixtures!$DN39,CONCATENATE(FN$10,", "),""))</f>
        <v/>
      </c>
      <c r="FO39" s="631" t="str">
        <f ca="1">IF(INDIRECT(CONCATENATE($FK$12,Fixtures!FO$25))="","",IF(INDIRECT(CONCATENATE($FK$12,Fixtures!FO$25))=Fixtures!$DN39,CONCATENATE(FO$10,", "),""))</f>
        <v/>
      </c>
      <c r="FP39" s="631" t="str">
        <f ca="1">IF(INDIRECT(CONCATENATE($FK$12,Fixtures!FP$25))="","",IF(INDIRECT(CONCATENATE($FK$12,Fixtures!FP$25))=Fixtures!$DN39,CONCATENATE(FP$10,", "),""))</f>
        <v/>
      </c>
      <c r="FQ39" s="631" t="str">
        <f ca="1">IF(INDIRECT(CONCATENATE($FK$12,Fixtures!FQ$25))="","",IF(INDIRECT(CONCATENATE($FK$12,Fixtures!FQ$25))=Fixtures!$DN39,CONCATENATE(FQ$10,", "),""))</f>
        <v/>
      </c>
      <c r="FR39" s="631" t="str">
        <f ca="1">IF(INDIRECT(CONCATENATE($FK$12,Fixtures!FR$25))="","",IF(INDIRECT(CONCATENATE($FK$12,Fixtures!FR$25))=Fixtures!$DN39,CONCATENATE(FR$10,", "),""))</f>
        <v/>
      </c>
      <c r="FS39" s="631" t="str">
        <f ca="1">IF(INDIRECT(CONCATENATE($FK$12,Fixtures!FS$25))="","",IF(INDIRECT(CONCATENATE($FK$12,Fixtures!FS$25))=Fixtures!$DN39,CONCATENATE(FS$10,", "),""))</f>
        <v/>
      </c>
      <c r="FT39" s="604" t="str">
        <f ca="1">IF(INDIRECT(CONCATENATE($FK$12,Fixtures!FT$25))="","",IF(INDIRECT(CONCATENATE($FK$12,Fixtures!FT$25))=Fixtures!$DN39,CONCATENATE(FT$10,", "),""))</f>
        <v/>
      </c>
      <c r="FU39" s="605" t="str">
        <f ca="1">IF(INDIRECT(CONCATENATE($FK$12,Fixtures!FU$25))="","",IF(INDIRECT(CONCATENATE($FK$12,Fixtures!FU$25))=Fixtures!$DN39,CONCATENATE(FU$10,", "),""))</f>
        <v/>
      </c>
      <c r="FV39" s="631" t="str">
        <f ca="1">IF(INDIRECT(CONCATENATE($FK$12,Fixtures!FV$25))="","",IF(INDIRECT(CONCATENATE($FK$12,Fixtures!FV$25))=Fixtures!$DN39,CONCATENATE(FV$10,", "),""))</f>
        <v/>
      </c>
      <c r="FW39" s="632" t="str">
        <f ca="1">IF(INDIRECT(CONCATENATE($FK$12,Fixtures!FW$25))="","",IF(INDIRECT(CONCATENATE($FK$12,Fixtures!FW$25))=Fixtures!$DN39,CONCATENATE(FW$10,", "),""))</f>
        <v/>
      </c>
      <c r="FX39" s="632" t="str">
        <f ca="1">IF(INDIRECT(CONCATENATE($FK$12,Fixtures!FX$25))="","",IF(INDIRECT(CONCATENATE($FK$12,Fixtures!FX$25))=Fixtures!$DN39,CONCATENATE(FX$10,", "),""))</f>
        <v/>
      </c>
      <c r="FY39" s="632" t="str">
        <f ca="1">IF(INDIRECT(CONCATENATE($FK$12,Fixtures!FY$25))="","",IF(INDIRECT(CONCATENATE($FK$12,Fixtures!FY$25))=Fixtures!$DN39,CONCATENATE(FY$10,", "),""))</f>
        <v/>
      </c>
      <c r="FZ39" s="632" t="str">
        <f ca="1">IF(INDIRECT(CONCATENATE($FK$12,Fixtures!FZ$25))="","",IF(INDIRECT(CONCATENATE($FK$12,Fixtures!FZ$25))=Fixtures!$DN39,CONCATENATE(FZ$10,", "),""))</f>
        <v/>
      </c>
      <c r="GA39" s="632" t="str">
        <f ca="1">IF(INDIRECT(CONCATENATE($FK$12,Fixtures!GA$25))="","",IF(INDIRECT(CONCATENATE($FK$12,Fixtures!GA$25))=Fixtures!$DN39,CONCATENATE(GA$10,", "),""))</f>
        <v/>
      </c>
      <c r="GB39" s="632" t="str">
        <f ca="1">IF(INDIRECT(CONCATENATE($FK$12,Fixtures!GB$25))="","",IF(INDIRECT(CONCATENATE($FK$12,Fixtures!GB$25))=Fixtures!$DN39,CONCATENATE(GB$10,", "),""))</f>
        <v/>
      </c>
      <c r="GC39" s="632" t="str">
        <f ca="1">IF(INDIRECT(CONCATENATE($FK$12,Fixtures!GC$25))="","",IF(INDIRECT(CONCATENATE($FK$12,Fixtures!GC$25))=Fixtures!$DN39,CONCATENATE(GC$10,", "),""))</f>
        <v/>
      </c>
      <c r="GD39" s="632" t="str">
        <f ca="1">IF(INDIRECT(CONCATENATE($FK$12,Fixtures!GD$25))="","",IF(INDIRECT(CONCATENATE($FK$12,Fixtures!GD$25))=Fixtures!$DN39,CONCATENATE(GD$10,", "),""))</f>
        <v/>
      </c>
      <c r="GE39" s="632" t="str">
        <f ca="1">IF(INDIRECT(CONCATENATE($FK$12,Fixtures!GE$25))="","",IF(INDIRECT(CONCATENATE($FK$12,Fixtures!GE$25))=Fixtures!$DN39,CONCATENATE(GE$10,", "),""))</f>
        <v/>
      </c>
      <c r="GF39" s="632" t="str">
        <f ca="1">IF(INDIRECT(CONCATENATE($FK$12,Fixtures!GF$25))="","",IF(INDIRECT(CONCATENATE($FK$12,Fixtures!GF$25))=Fixtures!$DN39,CONCATENATE(GF$10,", "),""))</f>
        <v/>
      </c>
      <c r="GG39" s="632" t="str">
        <f ca="1">IF(INDIRECT(CONCATENATE($FK$12,Fixtures!GG$25))="","",IF(INDIRECT(CONCATENATE($FK$12,Fixtures!GG$25))=Fixtures!$DN39,CONCATENATE(GG$10,", "),""))</f>
        <v/>
      </c>
      <c r="GH39" s="632" t="str">
        <f ca="1">IF(INDIRECT(CONCATENATE($FK$12,Fixtures!GH$25))="","",IF(INDIRECT(CONCATENATE($FK$12,Fixtures!GH$25))=Fixtures!$DN39,CONCATENATE(GH$10,", "),""))</f>
        <v/>
      </c>
      <c r="GI39" s="606" t="str">
        <f ca="1">IF(INDIRECT(CONCATENATE($FK$12,Fixtures!GI$25))="","",IF(INDIRECT(CONCATENATE($FK$12,Fixtures!GI$25))=Fixtures!$DN39,CONCATENATE(GI$10,", "),""))</f>
        <v/>
      </c>
      <c r="GJ39" s="607" t="str">
        <f ca="1">IF(INDIRECT(CONCATENATE($FK$12,Fixtures!GJ$25))="","",IF(INDIRECT(CONCATENATE($FK$12,Fixtures!GJ$25))=Fixtures!$DN39,CONCATENATE(GJ$10,", "),""))</f>
        <v/>
      </c>
      <c r="GK39" s="632" t="str">
        <f ca="1">IF(INDIRECT(CONCATENATE($FK$12,Fixtures!GK$25))="","",IF(INDIRECT(CONCATENATE($FK$12,Fixtures!GK$25))=Fixtures!$DN39,CONCATENATE(GK$10,", "),""))</f>
        <v/>
      </c>
      <c r="GL39" s="632" t="str">
        <f ca="1">IF(INDIRECT(CONCATENATE($FK$12,Fixtures!GL$25))="","",IF(INDIRECT(CONCATENATE($FK$12,Fixtures!GL$25))=Fixtures!$DN39,CONCATENATE(GL$10,", "),""))</f>
        <v/>
      </c>
      <c r="GM39" s="632" t="str">
        <f ca="1">IF(INDIRECT(CONCATENATE($FK$12,Fixtures!GM$25))="","",IF(INDIRECT(CONCATENATE($FK$12,Fixtures!GM$25))=Fixtures!$DN39,CONCATENATE(GM$10,", "),""))</f>
        <v/>
      </c>
      <c r="GN39" s="632" t="str">
        <f ca="1">IF(INDIRECT(CONCATENATE($FK$12,Fixtures!GN$25))="","",IF(INDIRECT(CONCATENATE($FK$12,Fixtures!GN$25))=Fixtures!$DN39,CONCATENATE(GN$10,", "),""))</f>
        <v/>
      </c>
      <c r="GO39" s="632" t="str">
        <f ca="1">IF(INDIRECT(CONCATENATE($FK$12,Fixtures!GO$25))="","",IF(INDIRECT(CONCATENATE($FK$12,Fixtures!GO$25))=Fixtures!$DN39,CONCATENATE(GO$10,", "),""))</f>
        <v/>
      </c>
      <c r="GP39" s="632" t="str">
        <f ca="1">IF(INDIRECT(CONCATENATE($FK$12,Fixtures!GP$25))="","",IF(INDIRECT(CONCATENATE($FK$12,Fixtures!GP$25))=Fixtures!$DN39,CONCATENATE(GP$10,", "),""))</f>
        <v/>
      </c>
      <c r="GQ39" s="632" t="str">
        <f ca="1">IF(INDIRECT(CONCATENATE($FK$12,Fixtures!GQ$25))="","",IF(INDIRECT(CONCATENATE($FK$12,Fixtures!GQ$25))=Fixtures!$DN39,CONCATENATE(GQ$10,", "),""))</f>
        <v/>
      </c>
      <c r="GR39" s="632" t="str">
        <f ca="1">IF(INDIRECT(CONCATENATE($FK$12,Fixtures!GR$25))="","",IF(INDIRECT(CONCATENATE($FK$12,Fixtures!GR$25))=Fixtures!$DN39,CONCATENATE(GR$10,", "),""))</f>
        <v/>
      </c>
      <c r="GS39" s="632" t="str">
        <f ca="1">IF(INDIRECT(CONCATENATE($FK$12,Fixtures!GS$25))="","",IF(INDIRECT(CONCATENATE($FK$12,Fixtures!GS$25))=Fixtures!$DN39,CONCATENATE(GS$10,", "),""))</f>
        <v/>
      </c>
      <c r="GT39" s="632" t="str">
        <f ca="1">IF(INDIRECT(CONCATENATE($FK$12,Fixtures!GT$25))="","",IF(INDIRECT(CONCATENATE($FK$12,Fixtures!GT$25))=Fixtures!$DN39,CONCATENATE(GT$10,", "),""))</f>
        <v/>
      </c>
      <c r="GU39" s="632" t="str">
        <f ca="1">IF(INDIRECT(CONCATENATE($FK$12,Fixtures!GU$25))="","",IF(INDIRECT(CONCATENATE($FK$12,Fixtures!GU$25))=Fixtures!$DN39,CONCATENATE(GU$10,", "),""))</f>
        <v/>
      </c>
      <c r="GV39" s="632" t="str">
        <f ca="1">IF(INDIRECT(CONCATENATE($FK$12,Fixtures!GV$25))="","",IF(INDIRECT(CONCATENATE($FK$12,Fixtures!GV$25))=Fixtures!$DN39,CONCATENATE(GV$10,", "),""))</f>
        <v/>
      </c>
      <c r="GW39" s="632" t="str">
        <f ca="1">IF(INDIRECT(CONCATENATE($FK$12,Fixtures!GW$25))="","",IF(INDIRECT(CONCATENATE($FK$12,Fixtures!GW$25))=Fixtures!$DN39,CONCATENATE(GW$10,", "),""))</f>
        <v/>
      </c>
      <c r="GX39" s="606" t="str">
        <f ca="1">IF(INDIRECT(CONCATENATE($FK$12,Fixtures!GX$25))="","",IF(INDIRECT(CONCATENATE($FK$12,Fixtures!GX$25))=Fixtures!$DN39,CONCATENATE(GX$10,", "),""))</f>
        <v/>
      </c>
      <c r="GY39" s="607" t="str">
        <f ca="1">IF(INDIRECT(CONCATENATE($FK$12,Fixtures!GY$25))="","",IF(INDIRECT(CONCATENATE($FK$12,Fixtures!GY$25))=Fixtures!$DN39,CONCATENATE(GY$10,", "),""))</f>
        <v/>
      </c>
      <c r="GZ39" s="632" t="str">
        <f ca="1">IF(INDIRECT(CONCATENATE($FK$12,Fixtures!GZ$25))="","",IF(INDIRECT(CONCATENATE($FK$12,Fixtures!GZ$25))=Fixtures!$DN39,CONCATENATE(GZ$10,", "),""))</f>
        <v/>
      </c>
      <c r="HA39" s="632" t="str">
        <f ca="1">IF(INDIRECT(CONCATENATE($FK$12,Fixtures!HA$25))="","",IF(INDIRECT(CONCATENATE($FK$12,Fixtures!HA$25))=Fixtures!$DN39,CONCATENATE(HA$10,", "),""))</f>
        <v/>
      </c>
      <c r="HB39" s="632" t="str">
        <f ca="1">IF(INDIRECT(CONCATENATE($FK$12,Fixtures!HB$25))="","",IF(INDIRECT(CONCATENATE($FK$12,Fixtures!HB$25))=Fixtures!$DN39,CONCATENATE(HB$10,", "),""))</f>
        <v/>
      </c>
      <c r="HC39" s="632" t="str">
        <f ca="1">IF(INDIRECT(CONCATENATE($FK$12,Fixtures!HC$25))="","",IF(INDIRECT(CONCATENATE($FK$12,Fixtures!HC$25))=Fixtures!$DN39,CONCATENATE(HC$10,", "),""))</f>
        <v/>
      </c>
      <c r="HD39" s="632" t="str">
        <f ca="1">IF(INDIRECT(CONCATENATE($FK$12,Fixtures!HD$25))="","",IF(INDIRECT(CONCATENATE($FK$12,Fixtures!HD$25))=Fixtures!$DN39,CONCATENATE(HD$10,", "),""))</f>
        <v/>
      </c>
      <c r="HE39" s="632" t="str">
        <f ca="1">IF(INDIRECT(CONCATENATE($FK$12,Fixtures!HE$25))="","",IF(INDIRECT(CONCATENATE($FK$12,Fixtures!HE$25))=Fixtures!$DN39,CONCATENATE(HE$10,", "),""))</f>
        <v/>
      </c>
      <c r="HF39" s="632" t="str">
        <f ca="1">IF(INDIRECT(CONCATENATE($FK$12,Fixtures!HF$25))="","",IF(INDIRECT(CONCATENATE($FK$12,Fixtures!HF$25))=Fixtures!$DN39,CONCATENATE(HF$10,", "),""))</f>
        <v/>
      </c>
      <c r="HG39" s="632" t="str">
        <f ca="1">IF(INDIRECT(CONCATENATE($FK$12,Fixtures!HG$25))="","",IF(INDIRECT(CONCATENATE($FK$12,Fixtures!HG$25))=Fixtures!$DN39,CONCATENATE(HG$10,", "),""))</f>
        <v/>
      </c>
      <c r="HH39" s="632" t="str">
        <f ca="1">IF(INDIRECT(CONCATENATE($FK$12,Fixtures!HH$25))="","",IF(INDIRECT(CONCATENATE($FK$12,Fixtures!HH$25))=Fixtures!$DN39,CONCATENATE(HH$10,", "),""))</f>
        <v/>
      </c>
      <c r="HI39" s="632" t="str">
        <f ca="1">IF(INDIRECT(CONCATENATE($FK$12,Fixtures!HI$25))="","",IF(INDIRECT(CONCATENATE($FK$12,Fixtures!HI$25))=Fixtures!$DN39,CONCATENATE(HI$10,", "),""))</f>
        <v/>
      </c>
      <c r="HJ39" s="632" t="str">
        <f ca="1">IF(INDIRECT(CONCATENATE($FK$12,Fixtures!HJ$25))="","",IF(INDIRECT(CONCATENATE($FK$12,Fixtures!HJ$25))=Fixtures!$DN39,CONCATENATE(HJ$10,", "),""))</f>
        <v/>
      </c>
      <c r="HK39" s="632" t="str">
        <f ca="1">IF(INDIRECT(CONCATENATE($FK$12,Fixtures!HK$25))="","",IF(INDIRECT(CONCATENATE($FK$12,Fixtures!HK$25))=Fixtures!$DN39,CONCATENATE(HK$10,", "),""))</f>
        <v/>
      </c>
      <c r="HL39" s="632" t="str">
        <f ca="1">IF(INDIRECT(CONCATENATE($FK$12,Fixtures!HL$25))="","",IF(INDIRECT(CONCATENATE($FK$12,Fixtures!HL$25))=Fixtures!$DN39,CONCATENATE(HL$10,", "),""))</f>
        <v/>
      </c>
      <c r="HM39" s="606" t="str">
        <f ca="1">IF(INDIRECT(CONCATENATE($FK$12,Fixtures!HM$25))="","",IF(INDIRECT(CONCATENATE($FK$12,Fixtures!HM$25))=Fixtures!$DN39,CONCATENATE(HM$10,", "),""))</f>
        <v/>
      </c>
      <c r="HN39" s="607" t="str">
        <f ca="1">IF(INDIRECT(CONCATENATE($FK$12,Fixtures!HN$25))="","",IF(INDIRECT(CONCATENATE($FK$12,Fixtures!HN$25))=Fixtures!$DN39,CONCATENATE(HN$10,", "),""))</f>
        <v/>
      </c>
      <c r="HO39" s="632" t="str">
        <f ca="1">IF(INDIRECT(CONCATENATE($FK$12,Fixtures!HO$25))="","",IF(INDIRECT(CONCATENATE($FK$12,Fixtures!HO$25))=Fixtures!$DN39,CONCATENATE(HO$10,", "),""))</f>
        <v/>
      </c>
      <c r="HP39" s="632" t="str">
        <f ca="1">IF(INDIRECT(CONCATENATE($FK$12,Fixtures!HP$25))="","",IF(INDIRECT(CONCATENATE($FK$12,Fixtures!HP$25))=Fixtures!$DN39,CONCATENATE(HP$10,", "),""))</f>
        <v/>
      </c>
      <c r="HQ39" s="632" t="str">
        <f ca="1">IF(INDIRECT(CONCATENATE($FK$12,Fixtures!HQ$25))="","",IF(INDIRECT(CONCATENATE($FK$12,Fixtures!HQ$25))=Fixtures!$DN39,CONCATENATE(HQ$10,", "),""))</f>
        <v/>
      </c>
      <c r="HR39" s="632" t="str">
        <f ca="1">IF(INDIRECT(CONCATENATE($FK$12,Fixtures!HR$25))="","",IF(INDIRECT(CONCATENATE($FK$12,Fixtures!HR$25))=Fixtures!$DN39,CONCATENATE(HR$10,", "),""))</f>
        <v/>
      </c>
      <c r="HS39" s="632" t="str">
        <f ca="1">IF(INDIRECT(CONCATENATE($FK$12,Fixtures!HS$25))="","",IF(INDIRECT(CONCATENATE($FK$12,Fixtures!HS$25))=Fixtures!$DN39,CONCATENATE(HS$10,", "),""))</f>
        <v/>
      </c>
      <c r="HT39" s="632" t="str">
        <f ca="1">IF(INDIRECT(CONCATENATE($FK$12,Fixtures!HT$25))="","",IF(INDIRECT(CONCATENATE($FK$12,Fixtures!HT$25))=Fixtures!$DN39,CONCATENATE(HT$10,", "),""))</f>
        <v/>
      </c>
      <c r="HU39" s="632" t="str">
        <f ca="1">IF(INDIRECT(CONCATENATE($FK$12,Fixtures!HU$25))="","",IF(INDIRECT(CONCATENATE($FK$12,Fixtures!HU$25))=Fixtures!$DN39,CONCATENATE(HU$10,", "),""))</f>
        <v/>
      </c>
      <c r="HV39" s="632" t="str">
        <f ca="1">IF(INDIRECT(CONCATENATE($FK$12,Fixtures!HV$25))="","",IF(INDIRECT(CONCATENATE($FK$12,Fixtures!HV$25))=Fixtures!$DN39,CONCATENATE(HV$10,", "),""))</f>
        <v/>
      </c>
      <c r="HW39" s="632" t="str">
        <f ca="1">IF(INDIRECT(CONCATENATE($FK$12,Fixtures!HW$25))="","",IF(INDIRECT(CONCATENATE($FK$12,Fixtures!HW$25))=Fixtures!$DN39,CONCATENATE(HW$10,", "),""))</f>
        <v/>
      </c>
      <c r="HX39" s="632" t="str">
        <f ca="1">IF(INDIRECT(CONCATENATE($FK$12,Fixtures!HX$25))="","",IF(INDIRECT(CONCATENATE($FK$12,Fixtures!HX$25))=Fixtures!$DN39,CONCATENATE(HX$10,", "),""))</f>
        <v/>
      </c>
      <c r="HY39" s="632" t="str">
        <f ca="1">IF(INDIRECT(CONCATENATE($FK$12,Fixtures!HY$25))="","",IF(INDIRECT(CONCATENATE($FK$12,Fixtures!HY$25))=Fixtures!$DN39,CONCATENATE(HY$10,", "),""))</f>
        <v/>
      </c>
      <c r="HZ39" s="632" t="str">
        <f ca="1">IF(INDIRECT(CONCATENATE($FK$12,Fixtures!HZ$25))="","",IF(INDIRECT(CONCATENATE($FK$12,Fixtures!HZ$25))=Fixtures!$DN39,CONCATENATE(HZ$10,", "),""))</f>
        <v/>
      </c>
      <c r="IA39" s="632" t="str">
        <f ca="1">IF(INDIRECT(CONCATENATE($FK$12,Fixtures!IA$25))="","",IF(INDIRECT(CONCATENATE($FK$12,Fixtures!IA$25))=Fixtures!$DN39,CONCATENATE(IA$10,", "),""))</f>
        <v/>
      </c>
      <c r="IB39" s="606" t="str">
        <f ca="1">IF(INDIRECT(CONCATENATE($FK$12,Fixtures!IB$25))="","",IF(INDIRECT(CONCATENATE($FK$12,Fixtures!IB$25))=Fixtures!$DN39,CONCATENATE(IB$10,", "),""))</f>
        <v/>
      </c>
      <c r="IC39" s="607" t="str">
        <f ca="1">IF(INDIRECT(CONCATENATE($FK$12,Fixtures!IC$25))="","",IF(INDIRECT(CONCATENATE($FK$12,Fixtures!IC$25))=Fixtures!$DN39,CONCATENATE(IC$10,", "),""))</f>
        <v/>
      </c>
      <c r="ID39" s="632" t="str">
        <f ca="1">IF(INDIRECT(CONCATENATE($FK$12,Fixtures!ID$25))="","",IF(INDIRECT(CONCATENATE($FK$12,Fixtures!ID$25))=Fixtures!$DN39,CONCATENATE(ID$10,", "),""))</f>
        <v/>
      </c>
      <c r="IE39" s="632" t="str">
        <f ca="1">IF(INDIRECT(CONCATENATE($FK$12,Fixtures!IE$25))="","",IF(INDIRECT(CONCATENATE($FK$12,Fixtures!IE$25))=Fixtures!$DN39,CONCATENATE(IE$10,", "),""))</f>
        <v/>
      </c>
      <c r="IF39" s="632" t="str">
        <f ca="1">IF(INDIRECT(CONCATENATE($FK$12,Fixtures!IF$25))="","",IF(INDIRECT(CONCATENATE($FK$12,Fixtures!IF$25))=Fixtures!$DN39,CONCATENATE(IF$10,", "),""))</f>
        <v/>
      </c>
      <c r="IG39" s="632" t="str">
        <f ca="1">IF(INDIRECT(CONCATENATE($FK$12,Fixtures!IG$25))="","",IF(INDIRECT(CONCATENATE($FK$12,Fixtures!IG$25))=Fixtures!$DN39,CONCATENATE(IG$10,", "),""))</f>
        <v/>
      </c>
      <c r="IH39" s="632" t="str">
        <f ca="1">IF(INDIRECT(CONCATENATE($FK$12,Fixtures!IH$25))="","",IF(INDIRECT(CONCATENATE($FK$12,Fixtures!IH$25))=Fixtures!$DN39,CONCATENATE(IH$10,", "),""))</f>
        <v/>
      </c>
      <c r="II39" s="632" t="str">
        <f ca="1">IF(INDIRECT(CONCATENATE($FK$12,Fixtures!II$25))="","",IF(INDIRECT(CONCATENATE($FK$12,Fixtures!II$25))=Fixtures!$DN39,CONCATENATE(II$10,", "),""))</f>
        <v/>
      </c>
      <c r="IJ39" s="632" t="str">
        <f ca="1">IF(INDIRECT(CONCATENATE($FK$12,Fixtures!IJ$25))="","",IF(INDIRECT(CONCATENATE($FK$12,Fixtures!IJ$25))=Fixtures!$DN39,CONCATENATE(IJ$10,", "),""))</f>
        <v/>
      </c>
      <c r="IK39" s="632" t="str">
        <f ca="1">IF(INDIRECT(CONCATENATE($FK$12,Fixtures!IK$25))="","",IF(INDIRECT(CONCATENATE($FK$12,Fixtures!IK$25))=Fixtures!$DN39,CONCATENATE(IK$10,", "),""))</f>
        <v/>
      </c>
      <c r="IL39" s="632" t="str">
        <f ca="1">IF(INDIRECT(CONCATENATE($FK$12,Fixtures!IL$25))="","",IF(INDIRECT(CONCATENATE($FK$12,Fixtures!IL$25))=Fixtures!$DN39,CONCATENATE(IL$10,", "),""))</f>
        <v/>
      </c>
      <c r="IM39" s="632" t="str">
        <f ca="1">IF(INDIRECT(CONCATENATE($FK$12,Fixtures!IM$25))="","",IF(INDIRECT(CONCATENATE($FK$12,Fixtures!IM$25))=Fixtures!$DN39,CONCATENATE(IM$10,", "),""))</f>
        <v/>
      </c>
      <c r="IN39" s="632" t="str">
        <f ca="1">IF(INDIRECT(CONCATENATE($FK$12,Fixtures!IN$25))="","",IF(INDIRECT(CONCATENATE($FK$12,Fixtures!IN$25))=Fixtures!$DN39,CONCATENATE(IN$10,", "),""))</f>
        <v/>
      </c>
      <c r="IO39" s="632" t="str">
        <f ca="1">IF(INDIRECT(CONCATENATE($FK$12,Fixtures!IO$25))="","",IF(INDIRECT(CONCATENATE($FK$12,Fixtures!IO$25))=Fixtures!$DN39,CONCATENATE(IO$10,", "),""))</f>
        <v/>
      </c>
      <c r="IP39" s="632" t="str">
        <f ca="1">IF(INDIRECT(CONCATENATE($FK$12,Fixtures!IP$25))="","",IF(INDIRECT(CONCATENATE($FK$12,Fixtures!IP$25))=Fixtures!$DN39,CONCATENATE(IP$10,", "),""))</f>
        <v/>
      </c>
      <c r="IQ39" s="606" t="str">
        <f ca="1">IF(INDIRECT(CONCATENATE($FK$12,Fixtures!IQ$25))="","",IF(INDIRECT(CONCATENATE($FK$12,Fixtures!IQ$25))=Fixtures!$DN39,CONCATENATE(IQ$10,", "),""))</f>
        <v/>
      </c>
      <c r="IR39" s="607" t="str">
        <f ca="1">IF(INDIRECT(CONCATENATE($FK$12,Fixtures!IR$25))="","",IF(INDIRECT(CONCATENATE($FK$12,Fixtures!IR$25))=Fixtures!$DN39,CONCATENATE(IR$10,", "),""))</f>
        <v/>
      </c>
      <c r="IS39" s="632" t="str">
        <f ca="1">IF(INDIRECT(CONCATENATE($FK$12,Fixtures!IS$25))="","",IF(INDIRECT(CONCATENATE($FK$12,Fixtures!IS$25))=Fixtures!$DN39,CONCATENATE(IS$10,", "),""))</f>
        <v/>
      </c>
      <c r="IT39" s="632" t="str">
        <f ca="1">IF(INDIRECT(CONCATENATE($FK$12,Fixtures!IT$25))="","",IF(INDIRECT(CONCATENATE($FK$12,Fixtures!IT$25))=Fixtures!$DN39,CONCATENATE(IT$10,", "),""))</f>
        <v/>
      </c>
      <c r="IU39" s="632" t="str">
        <f ca="1">IF(INDIRECT(CONCATENATE($FK$12,Fixtures!IU$25))="","",IF(INDIRECT(CONCATENATE($FK$12,Fixtures!IU$25))=Fixtures!$DN39,CONCATENATE(IU$10,", "),""))</f>
        <v/>
      </c>
      <c r="IV39" s="632" t="str">
        <f ca="1">IF(INDIRECT(CONCATENATE($FK$12,Fixtures!IV$25))="","",IF(INDIRECT(CONCATENATE($FK$12,Fixtures!IV$25))=Fixtures!$DN39,CONCATENATE(IV$10,", "),""))</f>
        <v/>
      </c>
      <c r="IW39" s="632" t="str">
        <f ca="1">IF(INDIRECT(CONCATENATE($FK$12,Fixtures!IW$25))="","",IF(INDIRECT(CONCATENATE($FK$12,Fixtures!IW$25))=Fixtures!$DN39,CONCATENATE(IW$10,", "),""))</f>
        <v/>
      </c>
      <c r="IX39" s="632" t="str">
        <f ca="1">IF(INDIRECT(CONCATENATE($FK$12,Fixtures!IX$25))="","",IF(INDIRECT(CONCATENATE($FK$12,Fixtures!IX$25))=Fixtures!$DN39,CONCATENATE(IX$10,", "),""))</f>
        <v/>
      </c>
      <c r="IY39" s="632" t="str">
        <f ca="1">IF(INDIRECT(CONCATENATE($FK$12,Fixtures!IY$25))="","",IF(INDIRECT(CONCATENATE($FK$12,Fixtures!IY$25))=Fixtures!$DN39,CONCATENATE(IY$10,", "),""))</f>
        <v/>
      </c>
      <c r="IZ39" s="632" t="str">
        <f ca="1">IF(INDIRECT(CONCATENATE($FK$12,Fixtures!IZ$25))="","",IF(INDIRECT(CONCATENATE($FK$12,Fixtures!IZ$25))=Fixtures!$DN39,CONCATENATE(IZ$10,", "),""))</f>
        <v/>
      </c>
      <c r="JA39" s="632" t="str">
        <f ca="1">IF(INDIRECT(CONCATENATE($FK$12,Fixtures!JA$25))="","",IF(INDIRECT(CONCATENATE($FK$12,Fixtures!JA$25))=Fixtures!$DN39,CONCATENATE(JA$10,", "),""))</f>
        <v/>
      </c>
      <c r="JB39" s="632" t="str">
        <f ca="1">IF(INDIRECT(CONCATENATE($FK$12,Fixtures!JB$25))="","",IF(INDIRECT(CONCATENATE($FK$12,Fixtures!JB$25))=Fixtures!$DN39,CONCATENATE(JB$10,", "),""))</f>
        <v/>
      </c>
      <c r="JC39" s="632" t="str">
        <f ca="1">IF(INDIRECT(CONCATENATE($FK$12,Fixtures!JC$25))="","",IF(INDIRECT(CONCATENATE($FK$12,Fixtures!JC$25))=Fixtures!$DN39,CONCATENATE(JC$10,", "),""))</f>
        <v/>
      </c>
      <c r="JD39" s="632" t="str">
        <f ca="1">IF(INDIRECT(CONCATENATE($FK$12,Fixtures!JD$25))="","",IF(INDIRECT(CONCATENATE($FK$12,Fixtures!JD$25))=Fixtures!$DN39,CONCATENATE(JD$10,", "),""))</f>
        <v/>
      </c>
      <c r="JE39" s="632" t="str">
        <f ca="1">IF(INDIRECT(CONCATENATE($FK$12,Fixtures!JE$25))="","",IF(INDIRECT(CONCATENATE($FK$12,Fixtures!JE$25))=Fixtures!$DN39,CONCATENATE(JE$10,", "),""))</f>
        <v/>
      </c>
      <c r="JF39" s="606" t="str">
        <f ca="1">IF(INDIRECT(CONCATENATE($FK$12,Fixtures!JF$25))="","",IF(INDIRECT(CONCATENATE($FK$12,Fixtures!JF$25))=Fixtures!$DN39,CONCATENATE(JF$10,", "),""))</f>
        <v/>
      </c>
      <c r="JG39" s="607" t="str">
        <f ca="1">IF(INDIRECT(CONCATENATE($FK$12,Fixtures!JG$25))="","",IF(INDIRECT(CONCATENATE($FK$12,Fixtures!JG$25))=Fixtures!$DN39,CONCATENATE(JG$10,", "),""))</f>
        <v/>
      </c>
      <c r="JH39" s="632" t="str">
        <f ca="1">IF(INDIRECT(CONCATENATE($FK$12,Fixtures!JH$25))="","",IF(INDIRECT(CONCATENATE($FK$12,Fixtures!JH$25))=Fixtures!$DN39,CONCATENATE(JH$10,", "),""))</f>
        <v/>
      </c>
      <c r="JI39" s="632" t="str">
        <f ca="1">IF(INDIRECT(CONCATENATE($FK$12,Fixtures!JI$25))="","",IF(INDIRECT(CONCATENATE($FK$12,Fixtures!JI$25))=Fixtures!$DN39,CONCATENATE(JI$10,", "),""))</f>
        <v/>
      </c>
      <c r="JJ39" s="632" t="str">
        <f ca="1">IF(INDIRECT(CONCATENATE($FK$12,Fixtures!JJ$25))="","",IF(INDIRECT(CONCATENATE($FK$12,Fixtures!JJ$25))=Fixtures!$DN39,CONCATENATE(JJ$10,", "),""))</f>
        <v/>
      </c>
      <c r="JK39" s="632" t="str">
        <f ca="1">IF(INDIRECT(CONCATENATE($FK$12,Fixtures!JK$25))="","",IF(INDIRECT(CONCATENATE($FK$12,Fixtures!JK$25))=Fixtures!$DN39,CONCATENATE(JK$10,", "),""))</f>
        <v/>
      </c>
      <c r="JL39" s="632" t="str">
        <f ca="1">IF(INDIRECT(CONCATENATE($FK$12,Fixtures!JL$25))="","",IF(INDIRECT(CONCATENATE($FK$12,Fixtures!JL$25))=Fixtures!$DN39,CONCATENATE(JL$10,", "),""))</f>
        <v/>
      </c>
      <c r="JM39" s="632" t="str">
        <f ca="1">IF(INDIRECT(CONCATENATE($FK$12,Fixtures!JM$25))="","",IF(INDIRECT(CONCATENATE($FK$12,Fixtures!JM$25))=Fixtures!$DN39,CONCATENATE(JM$10,", "),""))</f>
        <v/>
      </c>
      <c r="JN39" s="632" t="str">
        <f ca="1">IF(INDIRECT(CONCATENATE($FK$12,Fixtures!JN$25))="","",IF(INDIRECT(CONCATENATE($FK$12,Fixtures!JN$25))=Fixtures!$DN39,CONCATENATE(JN$10,", "),""))</f>
        <v/>
      </c>
      <c r="JO39" s="632" t="str">
        <f ca="1">IF(INDIRECT(CONCATENATE($FK$12,Fixtures!JO$25))="","",IF(INDIRECT(CONCATENATE($FK$12,Fixtures!JO$25))=Fixtures!$DN39,CONCATENATE(JO$10,", "),""))</f>
        <v/>
      </c>
      <c r="JP39" s="632" t="str">
        <f ca="1">IF(INDIRECT(CONCATENATE($FK$12,Fixtures!JP$25))="","",IF(INDIRECT(CONCATENATE($FK$12,Fixtures!JP$25))=Fixtures!$DN39,CONCATENATE(JP$10,", "),""))</f>
        <v/>
      </c>
      <c r="JQ39" s="632" t="str">
        <f ca="1">IF(INDIRECT(CONCATENATE($FK$12,Fixtures!JQ$25))="","",IF(INDIRECT(CONCATENATE($FK$12,Fixtures!JQ$25))=Fixtures!$DN39,CONCATENATE(JQ$10,", "),""))</f>
        <v/>
      </c>
      <c r="JR39" s="632" t="str">
        <f ca="1">IF(INDIRECT(CONCATENATE($FK$12,Fixtures!JR$25))="","",IF(INDIRECT(CONCATENATE($FK$12,Fixtures!JR$25))=Fixtures!$DN39,CONCATENATE(JR$10,", "),""))</f>
        <v/>
      </c>
      <c r="JS39" s="632" t="str">
        <f ca="1">IF(INDIRECT(CONCATENATE($FK$12,Fixtures!JS$25))="","",IF(INDIRECT(CONCATENATE($FK$12,Fixtures!JS$25))=Fixtures!$DN39,CONCATENATE(JS$10,", "),""))</f>
        <v/>
      </c>
      <c r="JT39" s="632" t="str">
        <f ca="1">IF(INDIRECT(CONCATENATE($FK$12,Fixtures!JT$25))="","",IF(INDIRECT(CONCATENATE($FK$12,Fixtures!JT$25))=Fixtures!$DN39,CONCATENATE(JT$10,", "),""))</f>
        <v/>
      </c>
      <c r="JU39" s="606" t="str">
        <f ca="1">IF(INDIRECT(CONCATENATE($FK$12,Fixtures!JU$25))="","",IF(INDIRECT(CONCATENATE($FK$12,Fixtures!JU$25))=Fixtures!$DN39,CONCATENATE(JU$10,", "),""))</f>
        <v/>
      </c>
      <c r="JV39" s="607" t="str">
        <f ca="1">IF(INDIRECT(CONCATENATE($FK$12,Fixtures!JV$25))="","",IF(INDIRECT(CONCATENATE($FK$12,Fixtures!JV$25))=Fixtures!$DN39,CONCATENATE(JV$10,", "),""))</f>
        <v/>
      </c>
      <c r="JW39" s="632" t="str">
        <f ca="1">IF(INDIRECT(CONCATENATE($FK$12,Fixtures!JW$25))="","",IF(INDIRECT(CONCATENATE($FK$12,Fixtures!JW$25))=Fixtures!$DN39,CONCATENATE(JW$10,", "),""))</f>
        <v/>
      </c>
      <c r="JX39" s="632" t="str">
        <f ca="1">IF(INDIRECT(CONCATENATE($FK$12,Fixtures!JX$25))="","",IF(INDIRECT(CONCATENATE($FK$12,Fixtures!JX$25))=Fixtures!$DN39,CONCATENATE(JX$10,", "),""))</f>
        <v/>
      </c>
      <c r="JY39" s="632" t="str">
        <f ca="1">IF(INDIRECT(CONCATENATE($FK$12,Fixtures!JY$25))="","",IF(INDIRECT(CONCATENATE($FK$12,Fixtures!JY$25))=Fixtures!$DN39,CONCATENATE(JY$10,", "),""))</f>
        <v/>
      </c>
      <c r="JZ39" s="632" t="str">
        <f ca="1">IF(INDIRECT(CONCATENATE($FK$12,Fixtures!JZ$25))="","",IF(INDIRECT(CONCATENATE($FK$12,Fixtures!JZ$25))=Fixtures!$DN39,CONCATENATE(JZ$10,", "),""))</f>
        <v/>
      </c>
      <c r="KA39" s="632" t="str">
        <f ca="1">IF(INDIRECT(CONCATENATE($FK$12,Fixtures!KA$25))="","",IF(INDIRECT(CONCATENATE($FK$12,Fixtures!KA$25))=Fixtures!$DN39,CONCATENATE(KA$10,", "),""))</f>
        <v/>
      </c>
      <c r="KB39" s="632" t="str">
        <f ca="1">IF(INDIRECT(CONCATENATE($FK$12,Fixtures!KB$25))="","",IF(INDIRECT(CONCATENATE($FK$12,Fixtures!KB$25))=Fixtures!$DN39,CONCATENATE(KB$10,", "),""))</f>
        <v/>
      </c>
      <c r="KC39" s="632" t="str">
        <f ca="1">IF(INDIRECT(CONCATENATE($FK$12,Fixtures!KC$25))="","",IF(INDIRECT(CONCATENATE($FK$12,Fixtures!KC$25))=Fixtures!$DN39,CONCATENATE(KC$10,", "),""))</f>
        <v/>
      </c>
      <c r="KD39" s="632" t="str">
        <f ca="1">IF(INDIRECT(CONCATENATE($FK$12,Fixtures!KD$25))="","",IF(INDIRECT(CONCATENATE($FK$12,Fixtures!KD$25))=Fixtures!$DN39,CONCATENATE(KD$10,", "),""))</f>
        <v/>
      </c>
      <c r="KE39" s="632" t="str">
        <f ca="1">IF(INDIRECT(CONCATENATE($FK$12,Fixtures!KE$25))="","",IF(INDIRECT(CONCATENATE($FK$12,Fixtures!KE$25))=Fixtures!$DN39,CONCATENATE(KE$10,", "),""))</f>
        <v/>
      </c>
      <c r="KF39" s="632" t="str">
        <f ca="1">IF(INDIRECT(CONCATENATE($FK$12,Fixtures!KF$25))="","",IF(INDIRECT(CONCATENATE($FK$12,Fixtures!KF$25))=Fixtures!$DN39,CONCATENATE(KF$10,", "),""))</f>
        <v/>
      </c>
      <c r="KG39" s="632" t="str">
        <f ca="1">IF(INDIRECT(CONCATENATE($FK$12,Fixtures!KG$25))="","",IF(INDIRECT(CONCATENATE($FK$12,Fixtures!KG$25))=Fixtures!$DN39,CONCATENATE(KG$10,", "),""))</f>
        <v/>
      </c>
      <c r="KH39" s="632" t="str">
        <f ca="1">IF(INDIRECT(CONCATENATE($FK$12,Fixtures!KH$25))="","",IF(INDIRECT(CONCATENATE($FK$12,Fixtures!KH$25))=Fixtures!$DN39,CONCATENATE(KH$10,", "),""))</f>
        <v/>
      </c>
      <c r="KI39" s="632" t="str">
        <f ca="1">IF(INDIRECT(CONCATENATE($FK$12,Fixtures!KI$25))="","",IF(INDIRECT(CONCATENATE($FK$12,Fixtures!KI$25))=Fixtures!$DN39,CONCATENATE(KI$10,", "),""))</f>
        <v/>
      </c>
      <c r="KJ39" s="606" t="str">
        <f ca="1">IF(INDIRECT(CONCATENATE($FK$12,Fixtures!KJ$25))="","",IF(INDIRECT(CONCATENATE($FK$12,Fixtures!KJ$25))=Fixtures!$DN39,CONCATENATE(KJ$10,", "),""))</f>
        <v/>
      </c>
      <c r="KK39" s="607" t="str">
        <f ca="1">IF(INDIRECT(CONCATENATE($FK$12,Fixtures!KK$25))="","",IF(INDIRECT(CONCATENATE($FK$12,Fixtures!KK$25))=Fixtures!$DN39,CONCATENATE(KK$10,", "),""))</f>
        <v/>
      </c>
      <c r="KL39" s="632" t="str">
        <f ca="1">IF(INDIRECT(CONCATENATE($FK$12,Fixtures!KL$25))="","",IF(INDIRECT(CONCATENATE($FK$12,Fixtures!KL$25))=Fixtures!$DN39,CONCATENATE(KL$10,", "),""))</f>
        <v/>
      </c>
      <c r="KM39" s="632" t="str">
        <f ca="1">IF(INDIRECT(CONCATENATE($FK$12,Fixtures!KM$25))="","",IF(INDIRECT(CONCATENATE($FK$12,Fixtures!KM$25))=Fixtures!$DN39,CONCATENATE(KM$10,", "),""))</f>
        <v/>
      </c>
      <c r="KN39" s="632" t="str">
        <f ca="1">IF(INDIRECT(CONCATENATE($FK$12,Fixtures!KN$25))="","",IF(INDIRECT(CONCATENATE($FK$12,Fixtures!KN$25))=Fixtures!$DN39,CONCATENATE(KN$10,", "),""))</f>
        <v/>
      </c>
      <c r="KO39" s="632" t="str">
        <f ca="1">IF(INDIRECT(CONCATENATE($FK$12,Fixtures!KO$25))="","",IF(INDIRECT(CONCATENATE($FK$12,Fixtures!KO$25))=Fixtures!$DN39,CONCATENATE(KO$10,", "),""))</f>
        <v/>
      </c>
      <c r="KP39" s="632" t="str">
        <f ca="1">IF(INDIRECT(CONCATENATE($FK$12,Fixtures!KP$25))="","",IF(INDIRECT(CONCATENATE($FK$12,Fixtures!KP$25))=Fixtures!$DN39,CONCATENATE(KP$10,", "),""))</f>
        <v/>
      </c>
      <c r="KQ39" s="632" t="str">
        <f ca="1">IF(INDIRECT(CONCATENATE($FK$12,Fixtures!KQ$25))="","",IF(INDIRECT(CONCATENATE($FK$12,Fixtures!KQ$25))=Fixtures!$DN39,CONCATENATE(KQ$10,", "),""))</f>
        <v/>
      </c>
      <c r="KR39" s="632" t="str">
        <f ca="1">IF(INDIRECT(CONCATENATE($FK$12,Fixtures!KR$25))="","",IF(INDIRECT(CONCATENATE($FK$12,Fixtures!KR$25))=Fixtures!$DN39,CONCATENATE(KR$10,", "),""))</f>
        <v/>
      </c>
      <c r="KS39" s="632" t="str">
        <f ca="1">IF(INDIRECT(CONCATENATE($FK$12,Fixtures!KS$25))="","",IF(INDIRECT(CONCATENATE($FK$12,Fixtures!KS$25))=Fixtures!$DN39,CONCATENATE(KS$10,", "),""))</f>
        <v/>
      </c>
      <c r="KT39" s="632" t="str">
        <f ca="1">IF(INDIRECT(CONCATENATE($FK$12,Fixtures!KT$25))="","",IF(INDIRECT(CONCATENATE($FK$12,Fixtures!KT$25))=Fixtures!$DN39,CONCATENATE(KT$10,", "),""))</f>
        <v/>
      </c>
      <c r="KU39" s="632" t="str">
        <f ca="1">IF(INDIRECT(CONCATENATE($FK$12,Fixtures!KU$25))="","",IF(INDIRECT(CONCATENATE($FK$12,Fixtures!KU$25))=Fixtures!$DN39,CONCATENATE(KU$10,", "),""))</f>
        <v/>
      </c>
      <c r="KV39" s="632" t="str">
        <f ca="1">IF(INDIRECT(CONCATENATE($FK$12,Fixtures!KV$25))="","",IF(INDIRECT(CONCATENATE($FK$12,Fixtures!KV$25))=Fixtures!$DN39,CONCATENATE(KV$10,", "),""))</f>
        <v/>
      </c>
      <c r="KW39" s="632" t="str">
        <f ca="1">IF(INDIRECT(CONCATENATE($FK$12,Fixtures!KW$25))="","",IF(INDIRECT(CONCATENATE($FK$12,Fixtures!KW$25))=Fixtures!$DN39,CONCATENATE(KW$10,", "),""))</f>
        <v/>
      </c>
      <c r="KX39" s="632" t="str">
        <f ca="1">IF(INDIRECT(CONCATENATE($FK$12,Fixtures!KX$25))="","",IF(INDIRECT(CONCATENATE($FK$12,Fixtures!KX$25))=Fixtures!$DN39,CONCATENATE(KX$10,", "),""))</f>
        <v/>
      </c>
      <c r="KY39" s="632"/>
      <c r="KZ39" s="46"/>
      <c r="LA39" s="46" t="str">
        <f t="shared" ca="1" si="7"/>
        <v/>
      </c>
      <c r="LB39" s="46"/>
      <c r="LC39" s="1010"/>
      <c r="LD39" s="1009" t="str">
        <f t="shared" si="20"/>
        <v/>
      </c>
    </row>
    <row r="40" spans="1:316" ht="28.2" customHeight="1" thickTop="1" thickBot="1">
      <c r="A40" s="426" t="str">
        <f t="shared" si="13"/>
        <v/>
      </c>
      <c r="C40" s="1640" t="str">
        <f t="shared" si="14"/>
        <v/>
      </c>
      <c r="D40" s="1641"/>
      <c r="E40" s="1568" t="str">
        <f t="shared" si="15"/>
        <v/>
      </c>
      <c r="F40" s="1569"/>
      <c r="G40" s="1569"/>
      <c r="H40" s="1569"/>
      <c r="I40" s="1569"/>
      <c r="J40" s="1569"/>
      <c r="K40" s="1569"/>
      <c r="L40" s="1569"/>
      <c r="M40" s="1642"/>
      <c r="N40" s="203" t="str">
        <f t="shared" si="16"/>
        <v/>
      </c>
      <c r="O40" s="541"/>
      <c r="P40" s="1638" t="str">
        <f t="shared" si="25"/>
        <v/>
      </c>
      <c r="Q40" s="1639"/>
      <c r="R40" s="1568" t="str">
        <f t="shared" si="30"/>
        <v/>
      </c>
      <c r="S40" s="1569"/>
      <c r="T40" s="1569"/>
      <c r="U40" s="1569"/>
      <c r="V40" s="1569"/>
      <c r="W40" s="1569"/>
      <c r="X40" s="1569"/>
      <c r="Y40" s="203" t="str">
        <f t="shared" si="26"/>
        <v/>
      </c>
      <c r="Z40" s="203" t="str">
        <f t="shared" si="27"/>
        <v/>
      </c>
      <c r="AA40" s="394" t="str">
        <f t="shared" si="28"/>
        <v/>
      </c>
      <c r="AB40" s="489"/>
      <c r="AC40" s="1564" t="str">
        <f t="shared" si="18"/>
        <v/>
      </c>
      <c r="AD40" s="1565"/>
      <c r="AE40" s="1565"/>
      <c r="AF40" s="1565"/>
      <c r="AG40" s="1565"/>
      <c r="AH40" s="1565"/>
      <c r="AK40">
        <f>SUMIFS(Installations!CV$46:CV$803,Installations!CW$46:CW$803,E40,Installations!IC$46:IC$803,TRUE)</f>
        <v>0</v>
      </c>
      <c r="AL40">
        <f>SUMIFS(Installations!CV$46:CV$803,Installations!CW$46:CW$803,R40,Installations!IC$46:IC$803,TRUE)</f>
        <v>0</v>
      </c>
      <c r="BL40" s="9"/>
      <c r="BM40" s="622" t="str">
        <f t="shared" si="19"/>
        <v/>
      </c>
      <c r="BN40" s="52"/>
      <c r="BO40" s="52"/>
      <c r="BP40" s="52"/>
      <c r="BQ40" s="52"/>
      <c r="BR40" s="52"/>
      <c r="BS40" s="52"/>
      <c r="BT40" s="52"/>
      <c r="BU40" s="373"/>
      <c r="BV40" s="219" t="str">
        <f>IF(CN40&lt;&gt;"Yes","",IFERROR(VLOOKUP(CU40,Existing!A$4:F$367,2,FALSE),""))</f>
        <v/>
      </c>
      <c r="BW40" s="9">
        <v>14</v>
      </c>
      <c r="BX40" s="1625"/>
      <c r="BY40" s="1626"/>
      <c r="BZ40" s="1626"/>
      <c r="CA40" s="1627"/>
      <c r="CB40" s="1622"/>
      <c r="CC40" s="1623"/>
      <c r="CD40" s="1623"/>
      <c r="CE40" s="1624"/>
      <c r="CF40" s="1621"/>
      <c r="CG40" s="1621"/>
      <c r="CH40" s="1621"/>
      <c r="CI40" s="1621"/>
      <c r="CJ40" s="1621"/>
      <c r="CK40" s="1621"/>
      <c r="CL40" s="1621"/>
      <c r="CM40" s="1621"/>
      <c r="CN40" s="1553" t="str">
        <f t="shared" si="0"/>
        <v/>
      </c>
      <c r="CO40" s="1554"/>
      <c r="CP40" s="229" t="str">
        <f>IFERROR(IF(CB40="Existing TLED",CR40*CW40*CY40,VLOOKUP(CU40,Existing!A$3:F$356,6,FALSE)),"")</f>
        <v/>
      </c>
      <c r="CQ40" s="9"/>
      <c r="CR40" s="1660"/>
      <c r="CS40" s="1661"/>
      <c r="CT40" s="9"/>
      <c r="CU40" s="425" t="str">
        <f t="shared" si="21"/>
        <v/>
      </c>
      <c r="CV40" s="426" t="b">
        <f t="shared" si="22"/>
        <v>0</v>
      </c>
      <c r="CW40" s="426" t="str">
        <f t="shared" si="23"/>
        <v/>
      </c>
      <c r="CX40" s="426">
        <f>IFERROR(VLOOKUP(CF40,Lookup!T$100:V$102,3,FALSE),0)</f>
        <v>0</v>
      </c>
      <c r="CY40" s="426">
        <f t="shared" si="8"/>
        <v>1.1100000000000001</v>
      </c>
      <c r="CZ40" s="626" t="b">
        <f t="shared" si="1"/>
        <v>0</v>
      </c>
      <c r="DA40" s="626" t="b">
        <f>IF(CF40&lt;&gt;"",IF(ISERROR(MATCH(CONCATENATE(CB40," - ",CF40),Existing!G$4:G$331,0))=TRUE,FALSE,TRUE),TRUE)</f>
        <v>1</v>
      </c>
      <c r="DB40" s="626" t="b">
        <f t="shared" si="2"/>
        <v>1</v>
      </c>
      <c r="DL40" s="9"/>
      <c r="DM40" s="627" t="s">
        <v>215</v>
      </c>
      <c r="DN40" s="375" t="str">
        <f t="shared" si="3"/>
        <v/>
      </c>
      <c r="DO40" s="52"/>
      <c r="DP40" s="52"/>
      <c r="DQ40" s="52"/>
      <c r="DR40" s="52"/>
      <c r="DS40" s="52"/>
      <c r="DT40" s="226"/>
      <c r="DU40" s="376"/>
      <c r="DV40" s="227" t="str">
        <f t="shared" si="4"/>
        <v/>
      </c>
      <c r="DW40" s="224">
        <v>14</v>
      </c>
      <c r="DX40" s="1572"/>
      <c r="DY40" s="1573"/>
      <c r="DZ40" s="1573"/>
      <c r="EA40" s="1574"/>
      <c r="EB40" s="1618"/>
      <c r="EC40" s="1619"/>
      <c r="ED40" s="1619"/>
      <c r="EE40" s="1620"/>
      <c r="EF40" s="1578"/>
      <c r="EG40" s="1579"/>
      <c r="EH40" s="1618"/>
      <c r="EI40" s="1619"/>
      <c r="EJ40" s="1619"/>
      <c r="EK40" s="1620"/>
      <c r="EL40" s="1575"/>
      <c r="EM40" s="1576"/>
      <c r="EN40" s="1576"/>
      <c r="EO40" s="1577"/>
      <c r="EP40" s="1578"/>
      <c r="EQ40" s="1579"/>
      <c r="ER40" s="1555"/>
      <c r="ES40" s="1556"/>
      <c r="ET40" s="1553" t="str">
        <f t="shared" si="9"/>
        <v/>
      </c>
      <c r="EU40" s="1554"/>
      <c r="EV40" s="1553" t="str">
        <f t="shared" si="29"/>
        <v/>
      </c>
      <c r="EW40" s="1554"/>
      <c r="EX40" s="393"/>
      <c r="EY40" s="225" t="str">
        <f t="shared" si="6"/>
        <v/>
      </c>
      <c r="EZ40" s="225" t="str">
        <f>IFERROR(VLOOKUP(EB40,Lookup!AT$3:AU$13,2,FALSE),"")</f>
        <v/>
      </c>
      <c r="FA40" s="426" t="b">
        <f>IFERROR(IF(VLOOKUP(EB40,Lookup!AT$6:AU$8,2,FALSE)&gt;3,TRUE,FALSE),FALSE)</f>
        <v>0</v>
      </c>
      <c r="FB40" s="426" t="str">
        <f t="shared" si="10"/>
        <v/>
      </c>
      <c r="FC40" t="str">
        <f t="shared" ca="1" si="11"/>
        <v/>
      </c>
      <c r="FG40" t="str">
        <f t="shared" ca="1" si="12"/>
        <v/>
      </c>
      <c r="FI40" s="204" t="str">
        <f t="shared" ca="1" si="24"/>
        <v/>
      </c>
      <c r="FJ40" s="204"/>
      <c r="FK40" s="631" t="str">
        <f ca="1">IF(INDIRECT(CONCATENATE($FK$12,Fixtures!FK$25))="","",IF(INDIRECT(CONCATENATE($FK$12,Fixtures!FK$25))=Fixtures!$DN40,CONCATENATE(FK$10,", "),""))</f>
        <v/>
      </c>
      <c r="FL40" s="631" t="str">
        <f ca="1">IF(INDIRECT(CONCATENATE($FK$12,Fixtures!FL$25))="","",IF(INDIRECT(CONCATENATE($FK$12,Fixtures!FL$25))=Fixtures!$DN40,CONCATENATE(FL$10,", "),""))</f>
        <v/>
      </c>
      <c r="FM40" s="631" t="str">
        <f ca="1">IF(INDIRECT(CONCATENATE($FK$12,Fixtures!FM$25))="","",IF(INDIRECT(CONCATENATE($FK$12,Fixtures!FM$25))=Fixtures!$DN40,CONCATENATE(FM$10,", "),""))</f>
        <v/>
      </c>
      <c r="FN40" s="631" t="str">
        <f ca="1">IF(INDIRECT(CONCATENATE($FK$12,Fixtures!FN$25))="","",IF(INDIRECT(CONCATENATE($FK$12,Fixtures!FN$25))=Fixtures!$DN40,CONCATENATE(FN$10,", "),""))</f>
        <v/>
      </c>
      <c r="FO40" s="631" t="str">
        <f ca="1">IF(INDIRECT(CONCATENATE($FK$12,Fixtures!FO$25))="","",IF(INDIRECT(CONCATENATE($FK$12,Fixtures!FO$25))=Fixtures!$DN40,CONCATENATE(FO$10,", "),""))</f>
        <v/>
      </c>
      <c r="FP40" s="631" t="str">
        <f ca="1">IF(INDIRECT(CONCATENATE($FK$12,Fixtures!FP$25))="","",IF(INDIRECT(CONCATENATE($FK$12,Fixtures!FP$25))=Fixtures!$DN40,CONCATENATE(FP$10,", "),""))</f>
        <v/>
      </c>
      <c r="FQ40" s="631" t="str">
        <f ca="1">IF(INDIRECT(CONCATENATE($FK$12,Fixtures!FQ$25))="","",IF(INDIRECT(CONCATENATE($FK$12,Fixtures!FQ$25))=Fixtures!$DN40,CONCATENATE(FQ$10,", "),""))</f>
        <v/>
      </c>
      <c r="FR40" s="631" t="str">
        <f ca="1">IF(INDIRECT(CONCATENATE($FK$12,Fixtures!FR$25))="","",IF(INDIRECT(CONCATENATE($FK$12,Fixtures!FR$25))=Fixtures!$DN40,CONCATENATE(FR$10,", "),""))</f>
        <v/>
      </c>
      <c r="FS40" s="631" t="str">
        <f ca="1">IF(INDIRECT(CONCATENATE($FK$12,Fixtures!FS$25))="","",IF(INDIRECT(CONCATENATE($FK$12,Fixtures!FS$25))=Fixtures!$DN40,CONCATENATE(FS$10,", "),""))</f>
        <v/>
      </c>
      <c r="FT40" s="604" t="str">
        <f ca="1">IF(INDIRECT(CONCATENATE($FK$12,Fixtures!FT$25))="","",IF(INDIRECT(CONCATENATE($FK$12,Fixtures!FT$25))=Fixtures!$DN40,CONCATENATE(FT$10,", "),""))</f>
        <v/>
      </c>
      <c r="FU40" s="605" t="str">
        <f ca="1">IF(INDIRECT(CONCATENATE($FK$12,Fixtures!FU$25))="","",IF(INDIRECT(CONCATENATE($FK$12,Fixtures!FU$25))=Fixtures!$DN40,CONCATENATE(FU$10,", "),""))</f>
        <v/>
      </c>
      <c r="FV40" s="631" t="str">
        <f ca="1">IF(INDIRECT(CONCATENATE($FK$12,Fixtures!FV$25))="","",IF(INDIRECT(CONCATENATE($FK$12,Fixtures!FV$25))=Fixtures!$DN40,CONCATENATE(FV$10,", "),""))</f>
        <v/>
      </c>
      <c r="FW40" s="632" t="str">
        <f ca="1">IF(INDIRECT(CONCATENATE($FK$12,Fixtures!FW$25))="","",IF(INDIRECT(CONCATENATE($FK$12,Fixtures!FW$25))=Fixtures!$DN40,CONCATENATE(FW$10,", "),""))</f>
        <v/>
      </c>
      <c r="FX40" s="632" t="str">
        <f ca="1">IF(INDIRECT(CONCATENATE($FK$12,Fixtures!FX$25))="","",IF(INDIRECT(CONCATENATE($FK$12,Fixtures!FX$25))=Fixtures!$DN40,CONCATENATE(FX$10,", "),""))</f>
        <v/>
      </c>
      <c r="FY40" s="632" t="str">
        <f ca="1">IF(INDIRECT(CONCATENATE($FK$12,Fixtures!FY$25))="","",IF(INDIRECT(CONCATENATE($FK$12,Fixtures!FY$25))=Fixtures!$DN40,CONCATENATE(FY$10,", "),""))</f>
        <v/>
      </c>
      <c r="FZ40" s="632" t="str">
        <f ca="1">IF(INDIRECT(CONCATENATE($FK$12,Fixtures!FZ$25))="","",IF(INDIRECT(CONCATENATE($FK$12,Fixtures!FZ$25))=Fixtures!$DN40,CONCATENATE(FZ$10,", "),""))</f>
        <v/>
      </c>
      <c r="GA40" s="632" t="str">
        <f ca="1">IF(INDIRECT(CONCATENATE($FK$12,Fixtures!GA$25))="","",IF(INDIRECT(CONCATENATE($FK$12,Fixtures!GA$25))=Fixtures!$DN40,CONCATENATE(GA$10,", "),""))</f>
        <v/>
      </c>
      <c r="GB40" s="632" t="str">
        <f ca="1">IF(INDIRECT(CONCATENATE($FK$12,Fixtures!GB$25))="","",IF(INDIRECT(CONCATENATE($FK$12,Fixtures!GB$25))=Fixtures!$DN40,CONCATENATE(GB$10,", "),""))</f>
        <v/>
      </c>
      <c r="GC40" s="632" t="str">
        <f ca="1">IF(INDIRECT(CONCATENATE($FK$12,Fixtures!GC$25))="","",IF(INDIRECT(CONCATENATE($FK$12,Fixtures!GC$25))=Fixtures!$DN40,CONCATENATE(GC$10,", "),""))</f>
        <v/>
      </c>
      <c r="GD40" s="632" t="str">
        <f ca="1">IF(INDIRECT(CONCATENATE($FK$12,Fixtures!GD$25))="","",IF(INDIRECT(CONCATENATE($FK$12,Fixtures!GD$25))=Fixtures!$DN40,CONCATENATE(GD$10,", "),""))</f>
        <v/>
      </c>
      <c r="GE40" s="632" t="str">
        <f ca="1">IF(INDIRECT(CONCATENATE($FK$12,Fixtures!GE$25))="","",IF(INDIRECT(CONCATENATE($FK$12,Fixtures!GE$25))=Fixtures!$DN40,CONCATENATE(GE$10,", "),""))</f>
        <v/>
      </c>
      <c r="GF40" s="632" t="str">
        <f ca="1">IF(INDIRECT(CONCATENATE($FK$12,Fixtures!GF$25))="","",IF(INDIRECT(CONCATENATE($FK$12,Fixtures!GF$25))=Fixtures!$DN40,CONCATENATE(GF$10,", "),""))</f>
        <v/>
      </c>
      <c r="GG40" s="632" t="str">
        <f ca="1">IF(INDIRECT(CONCATENATE($FK$12,Fixtures!GG$25))="","",IF(INDIRECT(CONCATENATE($FK$12,Fixtures!GG$25))=Fixtures!$DN40,CONCATENATE(GG$10,", "),""))</f>
        <v/>
      </c>
      <c r="GH40" s="632" t="str">
        <f ca="1">IF(INDIRECT(CONCATENATE($FK$12,Fixtures!GH$25))="","",IF(INDIRECT(CONCATENATE($FK$12,Fixtures!GH$25))=Fixtures!$DN40,CONCATENATE(GH$10,", "),""))</f>
        <v/>
      </c>
      <c r="GI40" s="606" t="str">
        <f ca="1">IF(INDIRECT(CONCATENATE($FK$12,Fixtures!GI$25))="","",IF(INDIRECT(CONCATENATE($FK$12,Fixtures!GI$25))=Fixtures!$DN40,CONCATENATE(GI$10,", "),""))</f>
        <v/>
      </c>
      <c r="GJ40" s="607" t="str">
        <f ca="1">IF(INDIRECT(CONCATENATE($FK$12,Fixtures!GJ$25))="","",IF(INDIRECT(CONCATENATE($FK$12,Fixtures!GJ$25))=Fixtures!$DN40,CONCATENATE(GJ$10,", "),""))</f>
        <v/>
      </c>
      <c r="GK40" s="632" t="str">
        <f ca="1">IF(INDIRECT(CONCATENATE($FK$12,Fixtures!GK$25))="","",IF(INDIRECT(CONCATENATE($FK$12,Fixtures!GK$25))=Fixtures!$DN40,CONCATENATE(GK$10,", "),""))</f>
        <v/>
      </c>
      <c r="GL40" s="632" t="str">
        <f ca="1">IF(INDIRECT(CONCATENATE($FK$12,Fixtures!GL$25))="","",IF(INDIRECT(CONCATENATE($FK$12,Fixtures!GL$25))=Fixtures!$DN40,CONCATENATE(GL$10,", "),""))</f>
        <v/>
      </c>
      <c r="GM40" s="632" t="str">
        <f ca="1">IF(INDIRECT(CONCATENATE($FK$12,Fixtures!GM$25))="","",IF(INDIRECT(CONCATENATE($FK$12,Fixtures!GM$25))=Fixtures!$DN40,CONCATENATE(GM$10,", "),""))</f>
        <v/>
      </c>
      <c r="GN40" s="632" t="str">
        <f ca="1">IF(INDIRECT(CONCATENATE($FK$12,Fixtures!GN$25))="","",IF(INDIRECT(CONCATENATE($FK$12,Fixtures!GN$25))=Fixtures!$DN40,CONCATENATE(GN$10,", "),""))</f>
        <v/>
      </c>
      <c r="GO40" s="632" t="str">
        <f ca="1">IF(INDIRECT(CONCATENATE($FK$12,Fixtures!GO$25))="","",IF(INDIRECT(CONCATENATE($FK$12,Fixtures!GO$25))=Fixtures!$DN40,CONCATENATE(GO$10,", "),""))</f>
        <v/>
      </c>
      <c r="GP40" s="632" t="str">
        <f ca="1">IF(INDIRECT(CONCATENATE($FK$12,Fixtures!GP$25))="","",IF(INDIRECT(CONCATENATE($FK$12,Fixtures!GP$25))=Fixtures!$DN40,CONCATENATE(GP$10,", "),""))</f>
        <v/>
      </c>
      <c r="GQ40" s="632" t="str">
        <f ca="1">IF(INDIRECT(CONCATENATE($FK$12,Fixtures!GQ$25))="","",IF(INDIRECT(CONCATENATE($FK$12,Fixtures!GQ$25))=Fixtures!$DN40,CONCATENATE(GQ$10,", "),""))</f>
        <v/>
      </c>
      <c r="GR40" s="632" t="str">
        <f ca="1">IF(INDIRECT(CONCATENATE($FK$12,Fixtures!GR$25))="","",IF(INDIRECT(CONCATENATE($FK$12,Fixtures!GR$25))=Fixtures!$DN40,CONCATENATE(GR$10,", "),""))</f>
        <v/>
      </c>
      <c r="GS40" s="632" t="str">
        <f ca="1">IF(INDIRECT(CONCATENATE($FK$12,Fixtures!GS$25))="","",IF(INDIRECT(CONCATENATE($FK$12,Fixtures!GS$25))=Fixtures!$DN40,CONCATENATE(GS$10,", "),""))</f>
        <v/>
      </c>
      <c r="GT40" s="632" t="str">
        <f ca="1">IF(INDIRECT(CONCATENATE($FK$12,Fixtures!GT$25))="","",IF(INDIRECT(CONCATENATE($FK$12,Fixtures!GT$25))=Fixtures!$DN40,CONCATENATE(GT$10,", "),""))</f>
        <v/>
      </c>
      <c r="GU40" s="632" t="str">
        <f ca="1">IF(INDIRECT(CONCATENATE($FK$12,Fixtures!GU$25))="","",IF(INDIRECT(CONCATENATE($FK$12,Fixtures!GU$25))=Fixtures!$DN40,CONCATENATE(GU$10,", "),""))</f>
        <v/>
      </c>
      <c r="GV40" s="632" t="str">
        <f ca="1">IF(INDIRECT(CONCATENATE($FK$12,Fixtures!GV$25))="","",IF(INDIRECT(CONCATENATE($FK$12,Fixtures!GV$25))=Fixtures!$DN40,CONCATENATE(GV$10,", "),""))</f>
        <v/>
      </c>
      <c r="GW40" s="632" t="str">
        <f ca="1">IF(INDIRECT(CONCATENATE($FK$12,Fixtures!GW$25))="","",IF(INDIRECT(CONCATENATE($FK$12,Fixtures!GW$25))=Fixtures!$DN40,CONCATENATE(GW$10,", "),""))</f>
        <v/>
      </c>
      <c r="GX40" s="606" t="str">
        <f ca="1">IF(INDIRECT(CONCATENATE($FK$12,Fixtures!GX$25))="","",IF(INDIRECT(CONCATENATE($FK$12,Fixtures!GX$25))=Fixtures!$DN40,CONCATENATE(GX$10,", "),""))</f>
        <v/>
      </c>
      <c r="GY40" s="607" t="str">
        <f ca="1">IF(INDIRECT(CONCATENATE($FK$12,Fixtures!GY$25))="","",IF(INDIRECT(CONCATENATE($FK$12,Fixtures!GY$25))=Fixtures!$DN40,CONCATENATE(GY$10,", "),""))</f>
        <v/>
      </c>
      <c r="GZ40" s="632" t="str">
        <f ca="1">IF(INDIRECT(CONCATENATE($FK$12,Fixtures!GZ$25))="","",IF(INDIRECT(CONCATENATE($FK$12,Fixtures!GZ$25))=Fixtures!$DN40,CONCATENATE(GZ$10,", "),""))</f>
        <v/>
      </c>
      <c r="HA40" s="632" t="str">
        <f ca="1">IF(INDIRECT(CONCATENATE($FK$12,Fixtures!HA$25))="","",IF(INDIRECT(CONCATENATE($FK$12,Fixtures!HA$25))=Fixtures!$DN40,CONCATENATE(HA$10,", "),""))</f>
        <v/>
      </c>
      <c r="HB40" s="632" t="str">
        <f ca="1">IF(INDIRECT(CONCATENATE($FK$12,Fixtures!HB$25))="","",IF(INDIRECT(CONCATENATE($FK$12,Fixtures!HB$25))=Fixtures!$DN40,CONCATENATE(HB$10,", "),""))</f>
        <v/>
      </c>
      <c r="HC40" s="632" t="str">
        <f ca="1">IF(INDIRECT(CONCATENATE($FK$12,Fixtures!HC$25))="","",IF(INDIRECT(CONCATENATE($FK$12,Fixtures!HC$25))=Fixtures!$DN40,CONCATENATE(HC$10,", "),""))</f>
        <v/>
      </c>
      <c r="HD40" s="632" t="str">
        <f ca="1">IF(INDIRECT(CONCATENATE($FK$12,Fixtures!HD$25))="","",IF(INDIRECT(CONCATENATE($FK$12,Fixtures!HD$25))=Fixtures!$DN40,CONCATENATE(HD$10,", "),""))</f>
        <v/>
      </c>
      <c r="HE40" s="632" t="str">
        <f ca="1">IF(INDIRECT(CONCATENATE($FK$12,Fixtures!HE$25))="","",IF(INDIRECT(CONCATENATE($FK$12,Fixtures!HE$25))=Fixtures!$DN40,CONCATENATE(HE$10,", "),""))</f>
        <v/>
      </c>
      <c r="HF40" s="632" t="str">
        <f ca="1">IF(INDIRECT(CONCATENATE($FK$12,Fixtures!HF$25))="","",IF(INDIRECT(CONCATENATE($FK$12,Fixtures!HF$25))=Fixtures!$DN40,CONCATENATE(HF$10,", "),""))</f>
        <v/>
      </c>
      <c r="HG40" s="632" t="str">
        <f ca="1">IF(INDIRECT(CONCATENATE($FK$12,Fixtures!HG$25))="","",IF(INDIRECT(CONCATENATE($FK$12,Fixtures!HG$25))=Fixtures!$DN40,CONCATENATE(HG$10,", "),""))</f>
        <v/>
      </c>
      <c r="HH40" s="632" t="str">
        <f ca="1">IF(INDIRECT(CONCATENATE($FK$12,Fixtures!HH$25))="","",IF(INDIRECT(CONCATENATE($FK$12,Fixtures!HH$25))=Fixtures!$DN40,CONCATENATE(HH$10,", "),""))</f>
        <v/>
      </c>
      <c r="HI40" s="632" t="str">
        <f ca="1">IF(INDIRECT(CONCATENATE($FK$12,Fixtures!HI$25))="","",IF(INDIRECT(CONCATENATE($FK$12,Fixtures!HI$25))=Fixtures!$DN40,CONCATENATE(HI$10,", "),""))</f>
        <v/>
      </c>
      <c r="HJ40" s="632" t="str">
        <f ca="1">IF(INDIRECT(CONCATENATE($FK$12,Fixtures!HJ$25))="","",IF(INDIRECT(CONCATENATE($FK$12,Fixtures!HJ$25))=Fixtures!$DN40,CONCATENATE(HJ$10,", "),""))</f>
        <v/>
      </c>
      <c r="HK40" s="632" t="str">
        <f ca="1">IF(INDIRECT(CONCATENATE($FK$12,Fixtures!HK$25))="","",IF(INDIRECT(CONCATENATE($FK$12,Fixtures!HK$25))=Fixtures!$DN40,CONCATENATE(HK$10,", "),""))</f>
        <v/>
      </c>
      <c r="HL40" s="632" t="str">
        <f ca="1">IF(INDIRECT(CONCATENATE($FK$12,Fixtures!HL$25))="","",IF(INDIRECT(CONCATENATE($FK$12,Fixtures!HL$25))=Fixtures!$DN40,CONCATENATE(HL$10,", "),""))</f>
        <v/>
      </c>
      <c r="HM40" s="606" t="str">
        <f ca="1">IF(INDIRECT(CONCATENATE($FK$12,Fixtures!HM$25))="","",IF(INDIRECT(CONCATENATE($FK$12,Fixtures!HM$25))=Fixtures!$DN40,CONCATENATE(HM$10,", "),""))</f>
        <v/>
      </c>
      <c r="HN40" s="607" t="str">
        <f ca="1">IF(INDIRECT(CONCATENATE($FK$12,Fixtures!HN$25))="","",IF(INDIRECT(CONCATENATE($FK$12,Fixtures!HN$25))=Fixtures!$DN40,CONCATENATE(HN$10,", "),""))</f>
        <v/>
      </c>
      <c r="HO40" s="632" t="str">
        <f ca="1">IF(INDIRECT(CONCATENATE($FK$12,Fixtures!HO$25))="","",IF(INDIRECT(CONCATENATE($FK$12,Fixtures!HO$25))=Fixtures!$DN40,CONCATENATE(HO$10,", "),""))</f>
        <v/>
      </c>
      <c r="HP40" s="632" t="str">
        <f ca="1">IF(INDIRECT(CONCATENATE($FK$12,Fixtures!HP$25))="","",IF(INDIRECT(CONCATENATE($FK$12,Fixtures!HP$25))=Fixtures!$DN40,CONCATENATE(HP$10,", "),""))</f>
        <v/>
      </c>
      <c r="HQ40" s="632" t="str">
        <f ca="1">IF(INDIRECT(CONCATENATE($FK$12,Fixtures!HQ$25))="","",IF(INDIRECT(CONCATENATE($FK$12,Fixtures!HQ$25))=Fixtures!$DN40,CONCATENATE(HQ$10,", "),""))</f>
        <v/>
      </c>
      <c r="HR40" s="632" t="str">
        <f ca="1">IF(INDIRECT(CONCATENATE($FK$12,Fixtures!HR$25))="","",IF(INDIRECT(CONCATENATE($FK$12,Fixtures!HR$25))=Fixtures!$DN40,CONCATENATE(HR$10,", "),""))</f>
        <v/>
      </c>
      <c r="HS40" s="632" t="str">
        <f ca="1">IF(INDIRECT(CONCATENATE($FK$12,Fixtures!HS$25))="","",IF(INDIRECT(CONCATENATE($FK$12,Fixtures!HS$25))=Fixtures!$DN40,CONCATENATE(HS$10,", "),""))</f>
        <v/>
      </c>
      <c r="HT40" s="632" t="str">
        <f ca="1">IF(INDIRECT(CONCATENATE($FK$12,Fixtures!HT$25))="","",IF(INDIRECT(CONCATENATE($FK$12,Fixtures!HT$25))=Fixtures!$DN40,CONCATENATE(HT$10,", "),""))</f>
        <v/>
      </c>
      <c r="HU40" s="632" t="str">
        <f ca="1">IF(INDIRECT(CONCATENATE($FK$12,Fixtures!HU$25))="","",IF(INDIRECT(CONCATENATE($FK$12,Fixtures!HU$25))=Fixtures!$DN40,CONCATENATE(HU$10,", "),""))</f>
        <v/>
      </c>
      <c r="HV40" s="632" t="str">
        <f ca="1">IF(INDIRECT(CONCATENATE($FK$12,Fixtures!HV$25))="","",IF(INDIRECT(CONCATENATE($FK$12,Fixtures!HV$25))=Fixtures!$DN40,CONCATENATE(HV$10,", "),""))</f>
        <v/>
      </c>
      <c r="HW40" s="632" t="str">
        <f ca="1">IF(INDIRECT(CONCATENATE($FK$12,Fixtures!HW$25))="","",IF(INDIRECT(CONCATENATE($FK$12,Fixtures!HW$25))=Fixtures!$DN40,CONCATENATE(HW$10,", "),""))</f>
        <v/>
      </c>
      <c r="HX40" s="632" t="str">
        <f ca="1">IF(INDIRECT(CONCATENATE($FK$12,Fixtures!HX$25))="","",IF(INDIRECT(CONCATENATE($FK$12,Fixtures!HX$25))=Fixtures!$DN40,CONCATENATE(HX$10,", "),""))</f>
        <v/>
      </c>
      <c r="HY40" s="632" t="str">
        <f ca="1">IF(INDIRECT(CONCATENATE($FK$12,Fixtures!HY$25))="","",IF(INDIRECT(CONCATENATE($FK$12,Fixtures!HY$25))=Fixtures!$DN40,CONCATENATE(HY$10,", "),""))</f>
        <v/>
      </c>
      <c r="HZ40" s="632" t="str">
        <f ca="1">IF(INDIRECT(CONCATENATE($FK$12,Fixtures!HZ$25))="","",IF(INDIRECT(CONCATENATE($FK$12,Fixtures!HZ$25))=Fixtures!$DN40,CONCATENATE(HZ$10,", "),""))</f>
        <v/>
      </c>
      <c r="IA40" s="632" t="str">
        <f ca="1">IF(INDIRECT(CONCATENATE($FK$12,Fixtures!IA$25))="","",IF(INDIRECT(CONCATENATE($FK$12,Fixtures!IA$25))=Fixtures!$DN40,CONCATENATE(IA$10,", "),""))</f>
        <v/>
      </c>
      <c r="IB40" s="606" t="str">
        <f ca="1">IF(INDIRECT(CONCATENATE($FK$12,Fixtures!IB$25))="","",IF(INDIRECT(CONCATENATE($FK$12,Fixtures!IB$25))=Fixtures!$DN40,CONCATENATE(IB$10,", "),""))</f>
        <v/>
      </c>
      <c r="IC40" s="607" t="str">
        <f ca="1">IF(INDIRECT(CONCATENATE($FK$12,Fixtures!IC$25))="","",IF(INDIRECT(CONCATENATE($FK$12,Fixtures!IC$25))=Fixtures!$DN40,CONCATENATE(IC$10,", "),""))</f>
        <v/>
      </c>
      <c r="ID40" s="632" t="str">
        <f ca="1">IF(INDIRECT(CONCATENATE($FK$12,Fixtures!ID$25))="","",IF(INDIRECT(CONCATENATE($FK$12,Fixtures!ID$25))=Fixtures!$DN40,CONCATENATE(ID$10,", "),""))</f>
        <v/>
      </c>
      <c r="IE40" s="632" t="str">
        <f ca="1">IF(INDIRECT(CONCATENATE($FK$12,Fixtures!IE$25))="","",IF(INDIRECT(CONCATENATE($FK$12,Fixtures!IE$25))=Fixtures!$DN40,CONCATENATE(IE$10,", "),""))</f>
        <v/>
      </c>
      <c r="IF40" s="632" t="str">
        <f ca="1">IF(INDIRECT(CONCATENATE($FK$12,Fixtures!IF$25))="","",IF(INDIRECT(CONCATENATE($FK$12,Fixtures!IF$25))=Fixtures!$DN40,CONCATENATE(IF$10,", "),""))</f>
        <v/>
      </c>
      <c r="IG40" s="632" t="str">
        <f ca="1">IF(INDIRECT(CONCATENATE($FK$12,Fixtures!IG$25))="","",IF(INDIRECT(CONCATENATE($FK$12,Fixtures!IG$25))=Fixtures!$DN40,CONCATENATE(IG$10,", "),""))</f>
        <v/>
      </c>
      <c r="IH40" s="632" t="str">
        <f ca="1">IF(INDIRECT(CONCATENATE($FK$12,Fixtures!IH$25))="","",IF(INDIRECT(CONCATENATE($FK$12,Fixtures!IH$25))=Fixtures!$DN40,CONCATENATE(IH$10,", "),""))</f>
        <v/>
      </c>
      <c r="II40" s="632" t="str">
        <f ca="1">IF(INDIRECT(CONCATENATE($FK$12,Fixtures!II$25))="","",IF(INDIRECT(CONCATENATE($FK$12,Fixtures!II$25))=Fixtures!$DN40,CONCATENATE(II$10,", "),""))</f>
        <v/>
      </c>
      <c r="IJ40" s="632" t="str">
        <f ca="1">IF(INDIRECT(CONCATENATE($FK$12,Fixtures!IJ$25))="","",IF(INDIRECT(CONCATENATE($FK$12,Fixtures!IJ$25))=Fixtures!$DN40,CONCATENATE(IJ$10,", "),""))</f>
        <v/>
      </c>
      <c r="IK40" s="632" t="str">
        <f ca="1">IF(INDIRECT(CONCATENATE($FK$12,Fixtures!IK$25))="","",IF(INDIRECT(CONCATENATE($FK$12,Fixtures!IK$25))=Fixtures!$DN40,CONCATENATE(IK$10,", "),""))</f>
        <v/>
      </c>
      <c r="IL40" s="632" t="str">
        <f ca="1">IF(INDIRECT(CONCATENATE($FK$12,Fixtures!IL$25))="","",IF(INDIRECT(CONCATENATE($FK$12,Fixtures!IL$25))=Fixtures!$DN40,CONCATENATE(IL$10,", "),""))</f>
        <v/>
      </c>
      <c r="IM40" s="632" t="str">
        <f ca="1">IF(INDIRECT(CONCATENATE($FK$12,Fixtures!IM$25))="","",IF(INDIRECT(CONCATENATE($FK$12,Fixtures!IM$25))=Fixtures!$DN40,CONCATENATE(IM$10,", "),""))</f>
        <v/>
      </c>
      <c r="IN40" s="632" t="str">
        <f ca="1">IF(INDIRECT(CONCATENATE($FK$12,Fixtures!IN$25))="","",IF(INDIRECT(CONCATENATE($FK$12,Fixtures!IN$25))=Fixtures!$DN40,CONCATENATE(IN$10,", "),""))</f>
        <v/>
      </c>
      <c r="IO40" s="632" t="str">
        <f ca="1">IF(INDIRECT(CONCATENATE($FK$12,Fixtures!IO$25))="","",IF(INDIRECT(CONCATENATE($FK$12,Fixtures!IO$25))=Fixtures!$DN40,CONCATENATE(IO$10,", "),""))</f>
        <v/>
      </c>
      <c r="IP40" s="632" t="str">
        <f ca="1">IF(INDIRECT(CONCATENATE($FK$12,Fixtures!IP$25))="","",IF(INDIRECT(CONCATENATE($FK$12,Fixtures!IP$25))=Fixtures!$DN40,CONCATENATE(IP$10,", "),""))</f>
        <v/>
      </c>
      <c r="IQ40" s="606" t="str">
        <f ca="1">IF(INDIRECT(CONCATENATE($FK$12,Fixtures!IQ$25))="","",IF(INDIRECT(CONCATENATE($FK$12,Fixtures!IQ$25))=Fixtures!$DN40,CONCATENATE(IQ$10,", "),""))</f>
        <v/>
      </c>
      <c r="IR40" s="607" t="str">
        <f ca="1">IF(INDIRECT(CONCATENATE($FK$12,Fixtures!IR$25))="","",IF(INDIRECT(CONCATENATE($FK$12,Fixtures!IR$25))=Fixtures!$DN40,CONCATENATE(IR$10,", "),""))</f>
        <v/>
      </c>
      <c r="IS40" s="632" t="str">
        <f ca="1">IF(INDIRECT(CONCATENATE($FK$12,Fixtures!IS$25))="","",IF(INDIRECT(CONCATENATE($FK$12,Fixtures!IS$25))=Fixtures!$DN40,CONCATENATE(IS$10,", "),""))</f>
        <v/>
      </c>
      <c r="IT40" s="632" t="str">
        <f ca="1">IF(INDIRECT(CONCATENATE($FK$12,Fixtures!IT$25))="","",IF(INDIRECT(CONCATENATE($FK$12,Fixtures!IT$25))=Fixtures!$DN40,CONCATENATE(IT$10,", "),""))</f>
        <v/>
      </c>
      <c r="IU40" s="632" t="str">
        <f ca="1">IF(INDIRECT(CONCATENATE($FK$12,Fixtures!IU$25))="","",IF(INDIRECT(CONCATENATE($FK$12,Fixtures!IU$25))=Fixtures!$DN40,CONCATENATE(IU$10,", "),""))</f>
        <v/>
      </c>
      <c r="IV40" s="632" t="str">
        <f ca="1">IF(INDIRECT(CONCATENATE($FK$12,Fixtures!IV$25))="","",IF(INDIRECT(CONCATENATE($FK$12,Fixtures!IV$25))=Fixtures!$DN40,CONCATENATE(IV$10,", "),""))</f>
        <v/>
      </c>
      <c r="IW40" s="632" t="str">
        <f ca="1">IF(INDIRECT(CONCATENATE($FK$12,Fixtures!IW$25))="","",IF(INDIRECT(CONCATENATE($FK$12,Fixtures!IW$25))=Fixtures!$DN40,CONCATENATE(IW$10,", "),""))</f>
        <v/>
      </c>
      <c r="IX40" s="632" t="str">
        <f ca="1">IF(INDIRECT(CONCATENATE($FK$12,Fixtures!IX$25))="","",IF(INDIRECT(CONCATENATE($FK$12,Fixtures!IX$25))=Fixtures!$DN40,CONCATENATE(IX$10,", "),""))</f>
        <v/>
      </c>
      <c r="IY40" s="632" t="str">
        <f ca="1">IF(INDIRECT(CONCATENATE($FK$12,Fixtures!IY$25))="","",IF(INDIRECT(CONCATENATE($FK$12,Fixtures!IY$25))=Fixtures!$DN40,CONCATENATE(IY$10,", "),""))</f>
        <v/>
      </c>
      <c r="IZ40" s="632" t="str">
        <f ca="1">IF(INDIRECT(CONCATENATE($FK$12,Fixtures!IZ$25))="","",IF(INDIRECT(CONCATENATE($FK$12,Fixtures!IZ$25))=Fixtures!$DN40,CONCATENATE(IZ$10,", "),""))</f>
        <v/>
      </c>
      <c r="JA40" s="632" t="str">
        <f ca="1">IF(INDIRECT(CONCATENATE($FK$12,Fixtures!JA$25))="","",IF(INDIRECT(CONCATENATE($FK$12,Fixtures!JA$25))=Fixtures!$DN40,CONCATENATE(JA$10,", "),""))</f>
        <v/>
      </c>
      <c r="JB40" s="632" t="str">
        <f ca="1">IF(INDIRECT(CONCATENATE($FK$12,Fixtures!JB$25))="","",IF(INDIRECT(CONCATENATE($FK$12,Fixtures!JB$25))=Fixtures!$DN40,CONCATENATE(JB$10,", "),""))</f>
        <v/>
      </c>
      <c r="JC40" s="632" t="str">
        <f ca="1">IF(INDIRECT(CONCATENATE($FK$12,Fixtures!JC$25))="","",IF(INDIRECT(CONCATENATE($FK$12,Fixtures!JC$25))=Fixtures!$DN40,CONCATENATE(JC$10,", "),""))</f>
        <v/>
      </c>
      <c r="JD40" s="632" t="str">
        <f ca="1">IF(INDIRECT(CONCATENATE($FK$12,Fixtures!JD$25))="","",IF(INDIRECT(CONCATENATE($FK$12,Fixtures!JD$25))=Fixtures!$DN40,CONCATENATE(JD$10,", "),""))</f>
        <v/>
      </c>
      <c r="JE40" s="632" t="str">
        <f ca="1">IF(INDIRECT(CONCATENATE($FK$12,Fixtures!JE$25))="","",IF(INDIRECT(CONCATENATE($FK$12,Fixtures!JE$25))=Fixtures!$DN40,CONCATENATE(JE$10,", "),""))</f>
        <v/>
      </c>
      <c r="JF40" s="606" t="str">
        <f ca="1">IF(INDIRECT(CONCATENATE($FK$12,Fixtures!JF$25))="","",IF(INDIRECT(CONCATENATE($FK$12,Fixtures!JF$25))=Fixtures!$DN40,CONCATENATE(JF$10,", "),""))</f>
        <v/>
      </c>
      <c r="JG40" s="607" t="str">
        <f ca="1">IF(INDIRECT(CONCATENATE($FK$12,Fixtures!JG$25))="","",IF(INDIRECT(CONCATENATE($FK$12,Fixtures!JG$25))=Fixtures!$DN40,CONCATENATE(JG$10,", "),""))</f>
        <v/>
      </c>
      <c r="JH40" s="632" t="str">
        <f ca="1">IF(INDIRECT(CONCATENATE($FK$12,Fixtures!JH$25))="","",IF(INDIRECT(CONCATENATE($FK$12,Fixtures!JH$25))=Fixtures!$DN40,CONCATENATE(JH$10,", "),""))</f>
        <v/>
      </c>
      <c r="JI40" s="632" t="str">
        <f ca="1">IF(INDIRECT(CONCATENATE($FK$12,Fixtures!JI$25))="","",IF(INDIRECT(CONCATENATE($FK$12,Fixtures!JI$25))=Fixtures!$DN40,CONCATENATE(JI$10,", "),""))</f>
        <v/>
      </c>
      <c r="JJ40" s="632" t="str">
        <f ca="1">IF(INDIRECT(CONCATENATE($FK$12,Fixtures!JJ$25))="","",IF(INDIRECT(CONCATENATE($FK$12,Fixtures!JJ$25))=Fixtures!$DN40,CONCATENATE(JJ$10,", "),""))</f>
        <v/>
      </c>
      <c r="JK40" s="632" t="str">
        <f ca="1">IF(INDIRECT(CONCATENATE($FK$12,Fixtures!JK$25))="","",IF(INDIRECT(CONCATENATE($FK$12,Fixtures!JK$25))=Fixtures!$DN40,CONCATENATE(JK$10,", "),""))</f>
        <v/>
      </c>
      <c r="JL40" s="632" t="str">
        <f ca="1">IF(INDIRECT(CONCATENATE($FK$12,Fixtures!JL$25))="","",IF(INDIRECT(CONCATENATE($FK$12,Fixtures!JL$25))=Fixtures!$DN40,CONCATENATE(JL$10,", "),""))</f>
        <v/>
      </c>
      <c r="JM40" s="632" t="str">
        <f ca="1">IF(INDIRECT(CONCATENATE($FK$12,Fixtures!JM$25))="","",IF(INDIRECT(CONCATENATE($FK$12,Fixtures!JM$25))=Fixtures!$DN40,CONCATENATE(JM$10,", "),""))</f>
        <v/>
      </c>
      <c r="JN40" s="632" t="str">
        <f ca="1">IF(INDIRECT(CONCATENATE($FK$12,Fixtures!JN$25))="","",IF(INDIRECT(CONCATENATE($FK$12,Fixtures!JN$25))=Fixtures!$DN40,CONCATENATE(JN$10,", "),""))</f>
        <v/>
      </c>
      <c r="JO40" s="632" t="str">
        <f ca="1">IF(INDIRECT(CONCATENATE($FK$12,Fixtures!JO$25))="","",IF(INDIRECT(CONCATENATE($FK$12,Fixtures!JO$25))=Fixtures!$DN40,CONCATENATE(JO$10,", "),""))</f>
        <v/>
      </c>
      <c r="JP40" s="632" t="str">
        <f ca="1">IF(INDIRECT(CONCATENATE($FK$12,Fixtures!JP$25))="","",IF(INDIRECT(CONCATENATE($FK$12,Fixtures!JP$25))=Fixtures!$DN40,CONCATENATE(JP$10,", "),""))</f>
        <v/>
      </c>
      <c r="JQ40" s="632" t="str">
        <f ca="1">IF(INDIRECT(CONCATENATE($FK$12,Fixtures!JQ$25))="","",IF(INDIRECT(CONCATENATE($FK$12,Fixtures!JQ$25))=Fixtures!$DN40,CONCATENATE(JQ$10,", "),""))</f>
        <v/>
      </c>
      <c r="JR40" s="632" t="str">
        <f ca="1">IF(INDIRECT(CONCATENATE($FK$12,Fixtures!JR$25))="","",IF(INDIRECT(CONCATENATE($FK$12,Fixtures!JR$25))=Fixtures!$DN40,CONCATENATE(JR$10,", "),""))</f>
        <v/>
      </c>
      <c r="JS40" s="632" t="str">
        <f ca="1">IF(INDIRECT(CONCATENATE($FK$12,Fixtures!JS$25))="","",IF(INDIRECT(CONCATENATE($FK$12,Fixtures!JS$25))=Fixtures!$DN40,CONCATENATE(JS$10,", "),""))</f>
        <v/>
      </c>
      <c r="JT40" s="632" t="str">
        <f ca="1">IF(INDIRECT(CONCATENATE($FK$12,Fixtures!JT$25))="","",IF(INDIRECT(CONCATENATE($FK$12,Fixtures!JT$25))=Fixtures!$DN40,CONCATENATE(JT$10,", "),""))</f>
        <v/>
      </c>
      <c r="JU40" s="606" t="str">
        <f ca="1">IF(INDIRECT(CONCATENATE($FK$12,Fixtures!JU$25))="","",IF(INDIRECT(CONCATENATE($FK$12,Fixtures!JU$25))=Fixtures!$DN40,CONCATENATE(JU$10,", "),""))</f>
        <v/>
      </c>
      <c r="JV40" s="607" t="str">
        <f ca="1">IF(INDIRECT(CONCATENATE($FK$12,Fixtures!JV$25))="","",IF(INDIRECT(CONCATENATE($FK$12,Fixtures!JV$25))=Fixtures!$DN40,CONCATENATE(JV$10,", "),""))</f>
        <v/>
      </c>
      <c r="JW40" s="632" t="str">
        <f ca="1">IF(INDIRECT(CONCATENATE($FK$12,Fixtures!JW$25))="","",IF(INDIRECT(CONCATENATE($FK$12,Fixtures!JW$25))=Fixtures!$DN40,CONCATENATE(JW$10,", "),""))</f>
        <v/>
      </c>
      <c r="JX40" s="632" t="str">
        <f ca="1">IF(INDIRECT(CONCATENATE($FK$12,Fixtures!JX$25))="","",IF(INDIRECT(CONCATENATE($FK$12,Fixtures!JX$25))=Fixtures!$DN40,CONCATENATE(JX$10,", "),""))</f>
        <v/>
      </c>
      <c r="JY40" s="632" t="str">
        <f ca="1">IF(INDIRECT(CONCATENATE($FK$12,Fixtures!JY$25))="","",IF(INDIRECT(CONCATENATE($FK$12,Fixtures!JY$25))=Fixtures!$DN40,CONCATENATE(JY$10,", "),""))</f>
        <v/>
      </c>
      <c r="JZ40" s="632" t="str">
        <f ca="1">IF(INDIRECT(CONCATENATE($FK$12,Fixtures!JZ$25))="","",IF(INDIRECT(CONCATENATE($FK$12,Fixtures!JZ$25))=Fixtures!$DN40,CONCATENATE(JZ$10,", "),""))</f>
        <v/>
      </c>
      <c r="KA40" s="632" t="str">
        <f ca="1">IF(INDIRECT(CONCATENATE($FK$12,Fixtures!KA$25))="","",IF(INDIRECT(CONCATENATE($FK$12,Fixtures!KA$25))=Fixtures!$DN40,CONCATENATE(KA$10,", "),""))</f>
        <v/>
      </c>
      <c r="KB40" s="632" t="str">
        <f ca="1">IF(INDIRECT(CONCATENATE($FK$12,Fixtures!KB$25))="","",IF(INDIRECT(CONCATENATE($FK$12,Fixtures!KB$25))=Fixtures!$DN40,CONCATENATE(KB$10,", "),""))</f>
        <v/>
      </c>
      <c r="KC40" s="632" t="str">
        <f ca="1">IF(INDIRECT(CONCATENATE($FK$12,Fixtures!KC$25))="","",IF(INDIRECT(CONCATENATE($FK$12,Fixtures!KC$25))=Fixtures!$DN40,CONCATENATE(KC$10,", "),""))</f>
        <v/>
      </c>
      <c r="KD40" s="632" t="str">
        <f ca="1">IF(INDIRECT(CONCATENATE($FK$12,Fixtures!KD$25))="","",IF(INDIRECT(CONCATENATE($FK$12,Fixtures!KD$25))=Fixtures!$DN40,CONCATENATE(KD$10,", "),""))</f>
        <v/>
      </c>
      <c r="KE40" s="632" t="str">
        <f ca="1">IF(INDIRECT(CONCATENATE($FK$12,Fixtures!KE$25))="","",IF(INDIRECT(CONCATENATE($FK$12,Fixtures!KE$25))=Fixtures!$DN40,CONCATENATE(KE$10,", "),""))</f>
        <v/>
      </c>
      <c r="KF40" s="632" t="str">
        <f ca="1">IF(INDIRECT(CONCATENATE($FK$12,Fixtures!KF$25))="","",IF(INDIRECT(CONCATENATE($FK$12,Fixtures!KF$25))=Fixtures!$DN40,CONCATENATE(KF$10,", "),""))</f>
        <v/>
      </c>
      <c r="KG40" s="632" t="str">
        <f ca="1">IF(INDIRECT(CONCATENATE($FK$12,Fixtures!KG$25))="","",IF(INDIRECT(CONCATENATE($FK$12,Fixtures!KG$25))=Fixtures!$DN40,CONCATENATE(KG$10,", "),""))</f>
        <v/>
      </c>
      <c r="KH40" s="632" t="str">
        <f ca="1">IF(INDIRECT(CONCATENATE($FK$12,Fixtures!KH$25))="","",IF(INDIRECT(CONCATENATE($FK$12,Fixtures!KH$25))=Fixtures!$DN40,CONCATENATE(KH$10,", "),""))</f>
        <v/>
      </c>
      <c r="KI40" s="632" t="str">
        <f ca="1">IF(INDIRECT(CONCATENATE($FK$12,Fixtures!KI$25))="","",IF(INDIRECT(CONCATENATE($FK$12,Fixtures!KI$25))=Fixtures!$DN40,CONCATENATE(KI$10,", "),""))</f>
        <v/>
      </c>
      <c r="KJ40" s="606" t="str">
        <f ca="1">IF(INDIRECT(CONCATENATE($FK$12,Fixtures!KJ$25))="","",IF(INDIRECT(CONCATENATE($FK$12,Fixtures!KJ$25))=Fixtures!$DN40,CONCATENATE(KJ$10,", "),""))</f>
        <v/>
      </c>
      <c r="KK40" s="607" t="str">
        <f ca="1">IF(INDIRECT(CONCATENATE($FK$12,Fixtures!KK$25))="","",IF(INDIRECT(CONCATENATE($FK$12,Fixtures!KK$25))=Fixtures!$DN40,CONCATENATE(KK$10,", "),""))</f>
        <v/>
      </c>
      <c r="KL40" s="632" t="str">
        <f ca="1">IF(INDIRECT(CONCATENATE($FK$12,Fixtures!KL$25))="","",IF(INDIRECT(CONCATENATE($FK$12,Fixtures!KL$25))=Fixtures!$DN40,CONCATENATE(KL$10,", "),""))</f>
        <v/>
      </c>
      <c r="KM40" s="632" t="str">
        <f ca="1">IF(INDIRECT(CONCATENATE($FK$12,Fixtures!KM$25))="","",IF(INDIRECT(CONCATENATE($FK$12,Fixtures!KM$25))=Fixtures!$DN40,CONCATENATE(KM$10,", "),""))</f>
        <v/>
      </c>
      <c r="KN40" s="632" t="str">
        <f ca="1">IF(INDIRECT(CONCATENATE($FK$12,Fixtures!KN$25))="","",IF(INDIRECT(CONCATENATE($FK$12,Fixtures!KN$25))=Fixtures!$DN40,CONCATENATE(KN$10,", "),""))</f>
        <v/>
      </c>
      <c r="KO40" s="632" t="str">
        <f ca="1">IF(INDIRECT(CONCATENATE($FK$12,Fixtures!KO$25))="","",IF(INDIRECT(CONCATENATE($FK$12,Fixtures!KO$25))=Fixtures!$DN40,CONCATENATE(KO$10,", "),""))</f>
        <v/>
      </c>
      <c r="KP40" s="632" t="str">
        <f ca="1">IF(INDIRECT(CONCATENATE($FK$12,Fixtures!KP$25))="","",IF(INDIRECT(CONCATENATE($FK$12,Fixtures!KP$25))=Fixtures!$DN40,CONCATENATE(KP$10,", "),""))</f>
        <v/>
      </c>
      <c r="KQ40" s="632" t="str">
        <f ca="1">IF(INDIRECT(CONCATENATE($FK$12,Fixtures!KQ$25))="","",IF(INDIRECT(CONCATENATE($FK$12,Fixtures!KQ$25))=Fixtures!$DN40,CONCATENATE(KQ$10,", "),""))</f>
        <v/>
      </c>
      <c r="KR40" s="632" t="str">
        <f ca="1">IF(INDIRECT(CONCATENATE($FK$12,Fixtures!KR$25))="","",IF(INDIRECT(CONCATENATE($FK$12,Fixtures!KR$25))=Fixtures!$DN40,CONCATENATE(KR$10,", "),""))</f>
        <v/>
      </c>
      <c r="KS40" s="632" t="str">
        <f ca="1">IF(INDIRECT(CONCATENATE($FK$12,Fixtures!KS$25))="","",IF(INDIRECT(CONCATENATE($FK$12,Fixtures!KS$25))=Fixtures!$DN40,CONCATENATE(KS$10,", "),""))</f>
        <v/>
      </c>
      <c r="KT40" s="632" t="str">
        <f ca="1">IF(INDIRECT(CONCATENATE($FK$12,Fixtures!KT$25))="","",IF(INDIRECT(CONCATENATE($FK$12,Fixtures!KT$25))=Fixtures!$DN40,CONCATENATE(KT$10,", "),""))</f>
        <v/>
      </c>
      <c r="KU40" s="632" t="str">
        <f ca="1">IF(INDIRECT(CONCATENATE($FK$12,Fixtures!KU$25))="","",IF(INDIRECT(CONCATENATE($FK$12,Fixtures!KU$25))=Fixtures!$DN40,CONCATENATE(KU$10,", "),""))</f>
        <v/>
      </c>
      <c r="KV40" s="632" t="str">
        <f ca="1">IF(INDIRECT(CONCATENATE($FK$12,Fixtures!KV$25))="","",IF(INDIRECT(CONCATENATE($FK$12,Fixtures!KV$25))=Fixtures!$DN40,CONCATENATE(KV$10,", "),""))</f>
        <v/>
      </c>
      <c r="KW40" s="632" t="str">
        <f ca="1">IF(INDIRECT(CONCATENATE($FK$12,Fixtures!KW$25))="","",IF(INDIRECT(CONCATENATE($FK$12,Fixtures!KW$25))=Fixtures!$DN40,CONCATENATE(KW$10,", "),""))</f>
        <v/>
      </c>
      <c r="KX40" s="632" t="str">
        <f ca="1">IF(INDIRECT(CONCATENATE($FK$12,Fixtures!KX$25))="","",IF(INDIRECT(CONCATENATE($FK$12,Fixtures!KX$25))=Fixtures!$DN40,CONCATENATE(KX$10,", "),""))</f>
        <v/>
      </c>
      <c r="KY40" s="632"/>
      <c r="KZ40" s="46"/>
      <c r="LA40" s="46" t="str">
        <f t="shared" ca="1" si="7"/>
        <v/>
      </c>
      <c r="LB40" s="46"/>
      <c r="LC40" s="1010"/>
      <c r="LD40" s="1009" t="str">
        <f t="shared" si="20"/>
        <v/>
      </c>
    </row>
    <row r="41" spans="1:316" ht="28.2" customHeight="1" thickTop="1" thickBot="1">
      <c r="A41" s="426" t="str">
        <f t="shared" si="13"/>
        <v/>
      </c>
      <c r="C41" s="1640" t="str">
        <f t="shared" si="14"/>
        <v/>
      </c>
      <c r="D41" s="1641"/>
      <c r="E41" s="1568" t="str">
        <f t="shared" si="15"/>
        <v/>
      </c>
      <c r="F41" s="1569"/>
      <c r="G41" s="1569"/>
      <c r="H41" s="1569"/>
      <c r="I41" s="1569"/>
      <c r="J41" s="1569"/>
      <c r="K41" s="1569"/>
      <c r="L41" s="1569"/>
      <c r="M41" s="1642"/>
      <c r="N41" s="203" t="str">
        <f t="shared" si="16"/>
        <v/>
      </c>
      <c r="O41" s="541"/>
      <c r="P41" s="1638" t="str">
        <f t="shared" si="25"/>
        <v/>
      </c>
      <c r="Q41" s="1639"/>
      <c r="R41" s="1568" t="str">
        <f t="shared" si="30"/>
        <v/>
      </c>
      <c r="S41" s="1569"/>
      <c r="T41" s="1569"/>
      <c r="U41" s="1569"/>
      <c r="V41" s="1569"/>
      <c r="W41" s="1569"/>
      <c r="X41" s="1569"/>
      <c r="Y41" s="203" t="str">
        <f t="shared" si="26"/>
        <v/>
      </c>
      <c r="Z41" s="203" t="str">
        <f t="shared" si="27"/>
        <v/>
      </c>
      <c r="AA41" s="394" t="str">
        <f t="shared" si="28"/>
        <v/>
      </c>
      <c r="AB41" s="489"/>
      <c r="AC41" s="1564" t="str">
        <f t="shared" si="18"/>
        <v/>
      </c>
      <c r="AD41" s="1565"/>
      <c r="AE41" s="1565"/>
      <c r="AF41" s="1565"/>
      <c r="AG41" s="1565"/>
      <c r="AH41" s="1565"/>
      <c r="AK41">
        <f>SUMIFS(Installations!CV$46:CV$803,Installations!CW$46:CW$803,E41,Installations!IC$46:IC$803,TRUE)</f>
        <v>0</v>
      </c>
      <c r="AL41">
        <f>SUMIFS(Installations!CV$46:CV$803,Installations!CW$46:CW$803,R41,Installations!IC$46:IC$803,TRUE)</f>
        <v>0</v>
      </c>
      <c r="BL41" s="9"/>
      <c r="BM41" s="622" t="str">
        <f t="shared" si="19"/>
        <v/>
      </c>
      <c r="BN41" s="52"/>
      <c r="BO41" s="52"/>
      <c r="BP41" s="52"/>
      <c r="BQ41" s="52"/>
      <c r="BR41" s="52"/>
      <c r="BS41" s="52"/>
      <c r="BT41" s="52"/>
      <c r="BU41" s="373"/>
      <c r="BV41" s="219" t="str">
        <f>IF(CN41&lt;&gt;"Yes","",IFERROR(VLOOKUP(CU41,Existing!A$4:F$367,2,FALSE),""))</f>
        <v/>
      </c>
      <c r="BW41" s="9">
        <v>15</v>
      </c>
      <c r="BX41" s="1625"/>
      <c r="BY41" s="1626"/>
      <c r="BZ41" s="1626"/>
      <c r="CA41" s="1627"/>
      <c r="CB41" s="1622"/>
      <c r="CC41" s="1623"/>
      <c r="CD41" s="1623"/>
      <c r="CE41" s="1624"/>
      <c r="CF41" s="1621"/>
      <c r="CG41" s="1621"/>
      <c r="CH41" s="1621"/>
      <c r="CI41" s="1621"/>
      <c r="CJ41" s="1621"/>
      <c r="CK41" s="1621"/>
      <c r="CL41" s="1621"/>
      <c r="CM41" s="1621"/>
      <c r="CN41" s="1553" t="str">
        <f t="shared" si="0"/>
        <v/>
      </c>
      <c r="CO41" s="1554"/>
      <c r="CP41" s="229" t="str">
        <f>IFERROR(IF(CB41="Existing TLED",CR41*CW41*CY41,VLOOKUP(CU41,Existing!A$3:F$356,6,FALSE)),"")</f>
        <v/>
      </c>
      <c r="CQ41" s="9"/>
      <c r="CR41" s="1660"/>
      <c r="CS41" s="1661"/>
      <c r="CT41" s="9"/>
      <c r="CU41" s="425" t="str">
        <f t="shared" si="21"/>
        <v/>
      </c>
      <c r="CV41" s="426" t="b">
        <f t="shared" si="22"/>
        <v>0</v>
      </c>
      <c r="CW41" s="426" t="str">
        <f t="shared" si="23"/>
        <v/>
      </c>
      <c r="CX41" s="426">
        <f>IFERROR(VLOOKUP(CF41,Lookup!T$100:V$102,3,FALSE),0)</f>
        <v>0</v>
      </c>
      <c r="CY41" s="426">
        <f t="shared" si="8"/>
        <v>1.1100000000000001</v>
      </c>
      <c r="CZ41" s="626" t="b">
        <f t="shared" si="1"/>
        <v>0</v>
      </c>
      <c r="DA41" s="626" t="b">
        <f>IF(CF41&lt;&gt;"",IF(ISERROR(MATCH(CONCATENATE(CB41," - ",CF41),Existing!G$4:G$331,0))=TRUE,FALSE,TRUE),TRUE)</f>
        <v>1</v>
      </c>
      <c r="DB41" s="626" t="b">
        <f t="shared" si="2"/>
        <v>1</v>
      </c>
      <c r="DL41" s="9"/>
      <c r="DM41" s="627" t="s">
        <v>215</v>
      </c>
      <c r="DN41" s="375" t="str">
        <f t="shared" si="3"/>
        <v/>
      </c>
      <c r="DO41" s="52"/>
      <c r="DP41" s="52"/>
      <c r="DQ41" s="52"/>
      <c r="DR41" s="52"/>
      <c r="DS41" s="52"/>
      <c r="DT41" s="226"/>
      <c r="DU41" s="376"/>
      <c r="DV41" s="227" t="str">
        <f t="shared" si="4"/>
        <v/>
      </c>
      <c r="DW41" s="224">
        <v>15</v>
      </c>
      <c r="DX41" s="1572"/>
      <c r="DY41" s="1573"/>
      <c r="DZ41" s="1573"/>
      <c r="EA41" s="1574"/>
      <c r="EB41" s="1618"/>
      <c r="EC41" s="1619"/>
      <c r="ED41" s="1619"/>
      <c r="EE41" s="1620"/>
      <c r="EF41" s="1578"/>
      <c r="EG41" s="1579"/>
      <c r="EH41" s="1618"/>
      <c r="EI41" s="1619"/>
      <c r="EJ41" s="1619"/>
      <c r="EK41" s="1620"/>
      <c r="EL41" s="1575"/>
      <c r="EM41" s="1576"/>
      <c r="EN41" s="1576"/>
      <c r="EO41" s="1577"/>
      <c r="EP41" s="1578"/>
      <c r="EQ41" s="1579"/>
      <c r="ER41" s="1555"/>
      <c r="ES41" s="1556"/>
      <c r="ET41" s="1553" t="str">
        <f t="shared" si="9"/>
        <v/>
      </c>
      <c r="EU41" s="1554"/>
      <c r="EV41" s="1553" t="str">
        <f t="shared" si="29"/>
        <v/>
      </c>
      <c r="EW41" s="1554"/>
      <c r="EX41" s="393"/>
      <c r="EY41" s="225" t="str">
        <f t="shared" si="6"/>
        <v/>
      </c>
      <c r="EZ41" s="225" t="str">
        <f>IFERROR(VLOOKUP(EB41,Lookup!AT$3:AU$13,2,FALSE),"")</f>
        <v/>
      </c>
      <c r="FA41" s="426" t="b">
        <f>IFERROR(IF(VLOOKUP(EB41,Lookup!AT$6:AU$8,2,FALSE)&gt;3,TRUE,FALSE),FALSE)</f>
        <v>0</v>
      </c>
      <c r="FB41" s="426" t="str">
        <f t="shared" si="10"/>
        <v/>
      </c>
      <c r="FC41" t="str">
        <f t="shared" ca="1" si="11"/>
        <v/>
      </c>
      <c r="FG41" t="str">
        <f t="shared" ca="1" si="12"/>
        <v/>
      </c>
      <c r="FI41" s="204" t="str">
        <f t="shared" ca="1" si="24"/>
        <v/>
      </c>
      <c r="FJ41" s="204"/>
      <c r="FK41" s="631" t="str">
        <f ca="1">IF(INDIRECT(CONCATENATE($FK$12,Fixtures!FK$25))="","",IF(INDIRECT(CONCATENATE($FK$12,Fixtures!FK$25))=Fixtures!$DN41,CONCATENATE(FK$10,", "),""))</f>
        <v/>
      </c>
      <c r="FL41" s="631" t="str">
        <f ca="1">IF(INDIRECT(CONCATENATE($FK$12,Fixtures!FL$25))="","",IF(INDIRECT(CONCATENATE($FK$12,Fixtures!FL$25))=Fixtures!$DN41,CONCATENATE(FL$10,", "),""))</f>
        <v/>
      </c>
      <c r="FM41" s="631" t="str">
        <f ca="1">IF(INDIRECT(CONCATENATE($FK$12,Fixtures!FM$25))="","",IF(INDIRECT(CONCATENATE($FK$12,Fixtures!FM$25))=Fixtures!$DN41,CONCATENATE(FM$10,", "),""))</f>
        <v/>
      </c>
      <c r="FN41" s="631" t="str">
        <f ca="1">IF(INDIRECT(CONCATENATE($FK$12,Fixtures!FN$25))="","",IF(INDIRECT(CONCATENATE($FK$12,Fixtures!FN$25))=Fixtures!$DN41,CONCATENATE(FN$10,", "),""))</f>
        <v/>
      </c>
      <c r="FO41" s="631" t="str">
        <f ca="1">IF(INDIRECT(CONCATENATE($FK$12,Fixtures!FO$25))="","",IF(INDIRECT(CONCATENATE($FK$12,Fixtures!FO$25))=Fixtures!$DN41,CONCATENATE(FO$10,", "),""))</f>
        <v/>
      </c>
      <c r="FP41" s="631" t="str">
        <f ca="1">IF(INDIRECT(CONCATENATE($FK$12,Fixtures!FP$25))="","",IF(INDIRECT(CONCATENATE($FK$12,Fixtures!FP$25))=Fixtures!$DN41,CONCATENATE(FP$10,", "),""))</f>
        <v/>
      </c>
      <c r="FQ41" s="631" t="str">
        <f ca="1">IF(INDIRECT(CONCATENATE($FK$12,Fixtures!FQ$25))="","",IF(INDIRECT(CONCATENATE($FK$12,Fixtures!FQ$25))=Fixtures!$DN41,CONCATENATE(FQ$10,", "),""))</f>
        <v/>
      </c>
      <c r="FR41" s="631" t="str">
        <f ca="1">IF(INDIRECT(CONCATENATE($FK$12,Fixtures!FR$25))="","",IF(INDIRECT(CONCATENATE($FK$12,Fixtures!FR$25))=Fixtures!$DN41,CONCATENATE(FR$10,", "),""))</f>
        <v/>
      </c>
      <c r="FS41" s="631" t="str">
        <f ca="1">IF(INDIRECT(CONCATENATE($FK$12,Fixtures!FS$25))="","",IF(INDIRECT(CONCATENATE($FK$12,Fixtures!FS$25))=Fixtures!$DN41,CONCATENATE(FS$10,", "),""))</f>
        <v/>
      </c>
      <c r="FT41" s="604" t="str">
        <f ca="1">IF(INDIRECT(CONCATENATE($FK$12,Fixtures!FT$25))="","",IF(INDIRECT(CONCATENATE($FK$12,Fixtures!FT$25))=Fixtures!$DN41,CONCATENATE(FT$10,", "),""))</f>
        <v/>
      </c>
      <c r="FU41" s="605" t="str">
        <f ca="1">IF(INDIRECT(CONCATENATE($FK$12,Fixtures!FU$25))="","",IF(INDIRECT(CONCATENATE($FK$12,Fixtures!FU$25))=Fixtures!$DN41,CONCATENATE(FU$10,", "),""))</f>
        <v/>
      </c>
      <c r="FV41" s="631" t="str">
        <f ca="1">IF(INDIRECT(CONCATENATE($FK$12,Fixtures!FV$25))="","",IF(INDIRECT(CONCATENATE($FK$12,Fixtures!FV$25))=Fixtures!$DN41,CONCATENATE(FV$10,", "),""))</f>
        <v/>
      </c>
      <c r="FW41" s="632" t="str">
        <f ca="1">IF(INDIRECT(CONCATENATE($FK$12,Fixtures!FW$25))="","",IF(INDIRECT(CONCATENATE($FK$12,Fixtures!FW$25))=Fixtures!$DN41,CONCATENATE(FW$10,", "),""))</f>
        <v/>
      </c>
      <c r="FX41" s="632" t="str">
        <f ca="1">IF(INDIRECT(CONCATENATE($FK$12,Fixtures!FX$25))="","",IF(INDIRECT(CONCATENATE($FK$12,Fixtures!FX$25))=Fixtures!$DN41,CONCATENATE(FX$10,", "),""))</f>
        <v/>
      </c>
      <c r="FY41" s="632" t="str">
        <f ca="1">IF(INDIRECT(CONCATENATE($FK$12,Fixtures!FY$25))="","",IF(INDIRECT(CONCATENATE($FK$12,Fixtures!FY$25))=Fixtures!$DN41,CONCATENATE(FY$10,", "),""))</f>
        <v/>
      </c>
      <c r="FZ41" s="632" t="str">
        <f ca="1">IF(INDIRECT(CONCATENATE($FK$12,Fixtures!FZ$25))="","",IF(INDIRECT(CONCATENATE($FK$12,Fixtures!FZ$25))=Fixtures!$DN41,CONCATENATE(FZ$10,", "),""))</f>
        <v/>
      </c>
      <c r="GA41" s="632" t="str">
        <f ca="1">IF(INDIRECT(CONCATENATE($FK$12,Fixtures!GA$25))="","",IF(INDIRECT(CONCATENATE($FK$12,Fixtures!GA$25))=Fixtures!$DN41,CONCATENATE(GA$10,", "),""))</f>
        <v/>
      </c>
      <c r="GB41" s="632" t="str">
        <f ca="1">IF(INDIRECT(CONCATENATE($FK$12,Fixtures!GB$25))="","",IF(INDIRECT(CONCATENATE($FK$12,Fixtures!GB$25))=Fixtures!$DN41,CONCATENATE(GB$10,", "),""))</f>
        <v/>
      </c>
      <c r="GC41" s="632" t="str">
        <f ca="1">IF(INDIRECT(CONCATENATE($FK$12,Fixtures!GC$25))="","",IF(INDIRECT(CONCATENATE($FK$12,Fixtures!GC$25))=Fixtures!$DN41,CONCATENATE(GC$10,", "),""))</f>
        <v/>
      </c>
      <c r="GD41" s="632" t="str">
        <f ca="1">IF(INDIRECT(CONCATENATE($FK$12,Fixtures!GD$25))="","",IF(INDIRECT(CONCATENATE($FK$12,Fixtures!GD$25))=Fixtures!$DN41,CONCATENATE(GD$10,", "),""))</f>
        <v/>
      </c>
      <c r="GE41" s="632" t="str">
        <f ca="1">IF(INDIRECT(CONCATENATE($FK$12,Fixtures!GE$25))="","",IF(INDIRECT(CONCATENATE($FK$12,Fixtures!GE$25))=Fixtures!$DN41,CONCATENATE(GE$10,", "),""))</f>
        <v/>
      </c>
      <c r="GF41" s="632" t="str">
        <f ca="1">IF(INDIRECT(CONCATENATE($FK$12,Fixtures!GF$25))="","",IF(INDIRECT(CONCATENATE($FK$12,Fixtures!GF$25))=Fixtures!$DN41,CONCATENATE(GF$10,", "),""))</f>
        <v/>
      </c>
      <c r="GG41" s="632" t="str">
        <f ca="1">IF(INDIRECT(CONCATENATE($FK$12,Fixtures!GG$25))="","",IF(INDIRECT(CONCATENATE($FK$12,Fixtures!GG$25))=Fixtures!$DN41,CONCATENATE(GG$10,", "),""))</f>
        <v/>
      </c>
      <c r="GH41" s="632" t="str">
        <f ca="1">IF(INDIRECT(CONCATENATE($FK$12,Fixtures!GH$25))="","",IF(INDIRECT(CONCATENATE($FK$12,Fixtures!GH$25))=Fixtures!$DN41,CONCATENATE(GH$10,", "),""))</f>
        <v/>
      </c>
      <c r="GI41" s="606" t="str">
        <f ca="1">IF(INDIRECT(CONCATENATE($FK$12,Fixtures!GI$25))="","",IF(INDIRECT(CONCATENATE($FK$12,Fixtures!GI$25))=Fixtures!$DN41,CONCATENATE(GI$10,", "),""))</f>
        <v/>
      </c>
      <c r="GJ41" s="607" t="str">
        <f ca="1">IF(INDIRECT(CONCATENATE($FK$12,Fixtures!GJ$25))="","",IF(INDIRECT(CONCATENATE($FK$12,Fixtures!GJ$25))=Fixtures!$DN41,CONCATENATE(GJ$10,", "),""))</f>
        <v/>
      </c>
      <c r="GK41" s="632" t="str">
        <f ca="1">IF(INDIRECT(CONCATENATE($FK$12,Fixtures!GK$25))="","",IF(INDIRECT(CONCATENATE($FK$12,Fixtures!GK$25))=Fixtures!$DN41,CONCATENATE(GK$10,", "),""))</f>
        <v/>
      </c>
      <c r="GL41" s="632" t="str">
        <f ca="1">IF(INDIRECT(CONCATENATE($FK$12,Fixtures!GL$25))="","",IF(INDIRECT(CONCATENATE($FK$12,Fixtures!GL$25))=Fixtures!$DN41,CONCATENATE(GL$10,", "),""))</f>
        <v/>
      </c>
      <c r="GM41" s="632" t="str">
        <f ca="1">IF(INDIRECT(CONCATENATE($FK$12,Fixtures!GM$25))="","",IF(INDIRECT(CONCATENATE($FK$12,Fixtures!GM$25))=Fixtures!$DN41,CONCATENATE(GM$10,", "),""))</f>
        <v/>
      </c>
      <c r="GN41" s="632" t="str">
        <f ca="1">IF(INDIRECT(CONCATENATE($FK$12,Fixtures!GN$25))="","",IF(INDIRECT(CONCATENATE($FK$12,Fixtures!GN$25))=Fixtures!$DN41,CONCATENATE(GN$10,", "),""))</f>
        <v/>
      </c>
      <c r="GO41" s="632" t="str">
        <f ca="1">IF(INDIRECT(CONCATENATE($FK$12,Fixtures!GO$25))="","",IF(INDIRECT(CONCATENATE($FK$12,Fixtures!GO$25))=Fixtures!$DN41,CONCATENATE(GO$10,", "),""))</f>
        <v/>
      </c>
      <c r="GP41" s="632" t="str">
        <f ca="1">IF(INDIRECT(CONCATENATE($FK$12,Fixtures!GP$25))="","",IF(INDIRECT(CONCATENATE($FK$12,Fixtures!GP$25))=Fixtures!$DN41,CONCATENATE(GP$10,", "),""))</f>
        <v/>
      </c>
      <c r="GQ41" s="632" t="str">
        <f ca="1">IF(INDIRECT(CONCATENATE($FK$12,Fixtures!GQ$25))="","",IF(INDIRECT(CONCATENATE($FK$12,Fixtures!GQ$25))=Fixtures!$DN41,CONCATENATE(GQ$10,", "),""))</f>
        <v/>
      </c>
      <c r="GR41" s="632" t="str">
        <f ca="1">IF(INDIRECT(CONCATENATE($FK$12,Fixtures!GR$25))="","",IF(INDIRECT(CONCATENATE($FK$12,Fixtures!GR$25))=Fixtures!$DN41,CONCATENATE(GR$10,", "),""))</f>
        <v/>
      </c>
      <c r="GS41" s="632" t="str">
        <f ca="1">IF(INDIRECT(CONCATENATE($FK$12,Fixtures!GS$25))="","",IF(INDIRECT(CONCATENATE($FK$12,Fixtures!GS$25))=Fixtures!$DN41,CONCATENATE(GS$10,", "),""))</f>
        <v/>
      </c>
      <c r="GT41" s="632" t="str">
        <f ca="1">IF(INDIRECT(CONCATENATE($FK$12,Fixtures!GT$25))="","",IF(INDIRECT(CONCATENATE($FK$12,Fixtures!GT$25))=Fixtures!$DN41,CONCATENATE(GT$10,", "),""))</f>
        <v/>
      </c>
      <c r="GU41" s="632" t="str">
        <f ca="1">IF(INDIRECT(CONCATENATE($FK$12,Fixtures!GU$25))="","",IF(INDIRECT(CONCATENATE($FK$12,Fixtures!GU$25))=Fixtures!$DN41,CONCATENATE(GU$10,", "),""))</f>
        <v/>
      </c>
      <c r="GV41" s="632" t="str">
        <f ca="1">IF(INDIRECT(CONCATENATE($FK$12,Fixtures!GV$25))="","",IF(INDIRECT(CONCATENATE($FK$12,Fixtures!GV$25))=Fixtures!$DN41,CONCATENATE(GV$10,", "),""))</f>
        <v/>
      </c>
      <c r="GW41" s="632" t="str">
        <f ca="1">IF(INDIRECT(CONCATENATE($FK$12,Fixtures!GW$25))="","",IF(INDIRECT(CONCATENATE($FK$12,Fixtures!GW$25))=Fixtures!$DN41,CONCATENATE(GW$10,", "),""))</f>
        <v/>
      </c>
      <c r="GX41" s="606" t="str">
        <f ca="1">IF(INDIRECT(CONCATENATE($FK$12,Fixtures!GX$25))="","",IF(INDIRECT(CONCATENATE($FK$12,Fixtures!GX$25))=Fixtures!$DN41,CONCATENATE(GX$10,", "),""))</f>
        <v/>
      </c>
      <c r="GY41" s="607" t="str">
        <f ca="1">IF(INDIRECT(CONCATENATE($FK$12,Fixtures!GY$25))="","",IF(INDIRECT(CONCATENATE($FK$12,Fixtures!GY$25))=Fixtures!$DN41,CONCATENATE(GY$10,", "),""))</f>
        <v/>
      </c>
      <c r="GZ41" s="632" t="str">
        <f ca="1">IF(INDIRECT(CONCATENATE($FK$12,Fixtures!GZ$25))="","",IF(INDIRECT(CONCATENATE($FK$12,Fixtures!GZ$25))=Fixtures!$DN41,CONCATENATE(GZ$10,", "),""))</f>
        <v/>
      </c>
      <c r="HA41" s="632" t="str">
        <f ca="1">IF(INDIRECT(CONCATENATE($FK$12,Fixtures!HA$25))="","",IF(INDIRECT(CONCATENATE($FK$12,Fixtures!HA$25))=Fixtures!$DN41,CONCATENATE(HA$10,", "),""))</f>
        <v/>
      </c>
      <c r="HB41" s="632" t="str">
        <f ca="1">IF(INDIRECT(CONCATENATE($FK$12,Fixtures!HB$25))="","",IF(INDIRECT(CONCATENATE($FK$12,Fixtures!HB$25))=Fixtures!$DN41,CONCATENATE(HB$10,", "),""))</f>
        <v/>
      </c>
      <c r="HC41" s="632" t="str">
        <f ca="1">IF(INDIRECT(CONCATENATE($FK$12,Fixtures!HC$25))="","",IF(INDIRECT(CONCATENATE($FK$12,Fixtures!HC$25))=Fixtures!$DN41,CONCATENATE(HC$10,", "),""))</f>
        <v/>
      </c>
      <c r="HD41" s="632" t="str">
        <f ca="1">IF(INDIRECT(CONCATENATE($FK$12,Fixtures!HD$25))="","",IF(INDIRECT(CONCATENATE($FK$12,Fixtures!HD$25))=Fixtures!$DN41,CONCATENATE(HD$10,", "),""))</f>
        <v/>
      </c>
      <c r="HE41" s="632" t="str">
        <f ca="1">IF(INDIRECT(CONCATENATE($FK$12,Fixtures!HE$25))="","",IF(INDIRECT(CONCATENATE($FK$12,Fixtures!HE$25))=Fixtures!$DN41,CONCATENATE(HE$10,", "),""))</f>
        <v/>
      </c>
      <c r="HF41" s="632" t="str">
        <f ca="1">IF(INDIRECT(CONCATENATE($FK$12,Fixtures!HF$25))="","",IF(INDIRECT(CONCATENATE($FK$12,Fixtures!HF$25))=Fixtures!$DN41,CONCATENATE(HF$10,", "),""))</f>
        <v/>
      </c>
      <c r="HG41" s="632" t="str">
        <f ca="1">IF(INDIRECT(CONCATENATE($FK$12,Fixtures!HG$25))="","",IF(INDIRECT(CONCATENATE($FK$12,Fixtures!HG$25))=Fixtures!$DN41,CONCATENATE(HG$10,", "),""))</f>
        <v/>
      </c>
      <c r="HH41" s="632" t="str">
        <f ca="1">IF(INDIRECT(CONCATENATE($FK$12,Fixtures!HH$25))="","",IF(INDIRECT(CONCATENATE($FK$12,Fixtures!HH$25))=Fixtures!$DN41,CONCATENATE(HH$10,", "),""))</f>
        <v/>
      </c>
      <c r="HI41" s="632" t="str">
        <f ca="1">IF(INDIRECT(CONCATENATE($FK$12,Fixtures!HI$25))="","",IF(INDIRECT(CONCATENATE($FK$12,Fixtures!HI$25))=Fixtures!$DN41,CONCATENATE(HI$10,", "),""))</f>
        <v/>
      </c>
      <c r="HJ41" s="632" t="str">
        <f ca="1">IF(INDIRECT(CONCATENATE($FK$12,Fixtures!HJ$25))="","",IF(INDIRECT(CONCATENATE($FK$12,Fixtures!HJ$25))=Fixtures!$DN41,CONCATENATE(HJ$10,", "),""))</f>
        <v/>
      </c>
      <c r="HK41" s="632" t="str">
        <f ca="1">IF(INDIRECT(CONCATENATE($FK$12,Fixtures!HK$25))="","",IF(INDIRECT(CONCATENATE($FK$12,Fixtures!HK$25))=Fixtures!$DN41,CONCATENATE(HK$10,", "),""))</f>
        <v/>
      </c>
      <c r="HL41" s="632" t="str">
        <f ca="1">IF(INDIRECT(CONCATENATE($FK$12,Fixtures!HL$25))="","",IF(INDIRECT(CONCATENATE($FK$12,Fixtures!HL$25))=Fixtures!$DN41,CONCATENATE(HL$10,", "),""))</f>
        <v/>
      </c>
      <c r="HM41" s="606" t="str">
        <f ca="1">IF(INDIRECT(CONCATENATE($FK$12,Fixtures!HM$25))="","",IF(INDIRECT(CONCATENATE($FK$12,Fixtures!HM$25))=Fixtures!$DN41,CONCATENATE(HM$10,", "),""))</f>
        <v/>
      </c>
      <c r="HN41" s="607" t="str">
        <f ca="1">IF(INDIRECT(CONCATENATE($FK$12,Fixtures!HN$25))="","",IF(INDIRECT(CONCATENATE($FK$12,Fixtures!HN$25))=Fixtures!$DN41,CONCATENATE(HN$10,", "),""))</f>
        <v/>
      </c>
      <c r="HO41" s="632" t="str">
        <f ca="1">IF(INDIRECT(CONCATENATE($FK$12,Fixtures!HO$25))="","",IF(INDIRECT(CONCATENATE($FK$12,Fixtures!HO$25))=Fixtures!$DN41,CONCATENATE(HO$10,", "),""))</f>
        <v/>
      </c>
      <c r="HP41" s="632" t="str">
        <f ca="1">IF(INDIRECT(CONCATENATE($FK$12,Fixtures!HP$25))="","",IF(INDIRECT(CONCATENATE($FK$12,Fixtures!HP$25))=Fixtures!$DN41,CONCATENATE(HP$10,", "),""))</f>
        <v/>
      </c>
      <c r="HQ41" s="632" t="str">
        <f ca="1">IF(INDIRECT(CONCATENATE($FK$12,Fixtures!HQ$25))="","",IF(INDIRECT(CONCATENATE($FK$12,Fixtures!HQ$25))=Fixtures!$DN41,CONCATENATE(HQ$10,", "),""))</f>
        <v/>
      </c>
      <c r="HR41" s="632" t="str">
        <f ca="1">IF(INDIRECT(CONCATENATE($FK$12,Fixtures!HR$25))="","",IF(INDIRECT(CONCATENATE($FK$12,Fixtures!HR$25))=Fixtures!$DN41,CONCATENATE(HR$10,", "),""))</f>
        <v/>
      </c>
      <c r="HS41" s="632" t="str">
        <f ca="1">IF(INDIRECT(CONCATENATE($FK$12,Fixtures!HS$25))="","",IF(INDIRECT(CONCATENATE($FK$12,Fixtures!HS$25))=Fixtures!$DN41,CONCATENATE(HS$10,", "),""))</f>
        <v/>
      </c>
      <c r="HT41" s="632" t="str">
        <f ca="1">IF(INDIRECT(CONCATENATE($FK$12,Fixtures!HT$25))="","",IF(INDIRECT(CONCATENATE($FK$12,Fixtures!HT$25))=Fixtures!$DN41,CONCATENATE(HT$10,", "),""))</f>
        <v/>
      </c>
      <c r="HU41" s="632" t="str">
        <f ca="1">IF(INDIRECT(CONCATENATE($FK$12,Fixtures!HU$25))="","",IF(INDIRECT(CONCATENATE($FK$12,Fixtures!HU$25))=Fixtures!$DN41,CONCATENATE(HU$10,", "),""))</f>
        <v/>
      </c>
      <c r="HV41" s="632" t="str">
        <f ca="1">IF(INDIRECT(CONCATENATE($FK$12,Fixtures!HV$25))="","",IF(INDIRECT(CONCATENATE($FK$12,Fixtures!HV$25))=Fixtures!$DN41,CONCATENATE(HV$10,", "),""))</f>
        <v/>
      </c>
      <c r="HW41" s="632" t="str">
        <f ca="1">IF(INDIRECT(CONCATENATE($FK$12,Fixtures!HW$25))="","",IF(INDIRECT(CONCATENATE($FK$12,Fixtures!HW$25))=Fixtures!$DN41,CONCATENATE(HW$10,", "),""))</f>
        <v/>
      </c>
      <c r="HX41" s="632" t="str">
        <f ca="1">IF(INDIRECT(CONCATENATE($FK$12,Fixtures!HX$25))="","",IF(INDIRECT(CONCATENATE($FK$12,Fixtures!HX$25))=Fixtures!$DN41,CONCATENATE(HX$10,", "),""))</f>
        <v/>
      </c>
      <c r="HY41" s="632" t="str">
        <f ca="1">IF(INDIRECT(CONCATENATE($FK$12,Fixtures!HY$25))="","",IF(INDIRECT(CONCATENATE($FK$12,Fixtures!HY$25))=Fixtures!$DN41,CONCATENATE(HY$10,", "),""))</f>
        <v/>
      </c>
      <c r="HZ41" s="632" t="str">
        <f ca="1">IF(INDIRECT(CONCATENATE($FK$12,Fixtures!HZ$25))="","",IF(INDIRECT(CONCATENATE($FK$12,Fixtures!HZ$25))=Fixtures!$DN41,CONCATENATE(HZ$10,", "),""))</f>
        <v/>
      </c>
      <c r="IA41" s="632" t="str">
        <f ca="1">IF(INDIRECT(CONCATENATE($FK$12,Fixtures!IA$25))="","",IF(INDIRECT(CONCATENATE($FK$12,Fixtures!IA$25))=Fixtures!$DN41,CONCATENATE(IA$10,", "),""))</f>
        <v/>
      </c>
      <c r="IB41" s="606" t="str">
        <f ca="1">IF(INDIRECT(CONCATENATE($FK$12,Fixtures!IB$25))="","",IF(INDIRECT(CONCATENATE($FK$12,Fixtures!IB$25))=Fixtures!$DN41,CONCATENATE(IB$10,", "),""))</f>
        <v/>
      </c>
      <c r="IC41" s="607" t="str">
        <f ca="1">IF(INDIRECT(CONCATENATE($FK$12,Fixtures!IC$25))="","",IF(INDIRECT(CONCATENATE($FK$12,Fixtures!IC$25))=Fixtures!$DN41,CONCATENATE(IC$10,", "),""))</f>
        <v/>
      </c>
      <c r="ID41" s="632" t="str">
        <f ca="1">IF(INDIRECT(CONCATENATE($FK$12,Fixtures!ID$25))="","",IF(INDIRECT(CONCATENATE($FK$12,Fixtures!ID$25))=Fixtures!$DN41,CONCATENATE(ID$10,", "),""))</f>
        <v/>
      </c>
      <c r="IE41" s="632" t="str">
        <f ca="1">IF(INDIRECT(CONCATENATE($FK$12,Fixtures!IE$25))="","",IF(INDIRECT(CONCATENATE($FK$12,Fixtures!IE$25))=Fixtures!$DN41,CONCATENATE(IE$10,", "),""))</f>
        <v/>
      </c>
      <c r="IF41" s="632" t="str">
        <f ca="1">IF(INDIRECT(CONCATENATE($FK$12,Fixtures!IF$25))="","",IF(INDIRECT(CONCATENATE($FK$12,Fixtures!IF$25))=Fixtures!$DN41,CONCATENATE(IF$10,", "),""))</f>
        <v/>
      </c>
      <c r="IG41" s="632" t="str">
        <f ca="1">IF(INDIRECT(CONCATENATE($FK$12,Fixtures!IG$25))="","",IF(INDIRECT(CONCATENATE($FK$12,Fixtures!IG$25))=Fixtures!$DN41,CONCATENATE(IG$10,", "),""))</f>
        <v/>
      </c>
      <c r="IH41" s="632" t="str">
        <f ca="1">IF(INDIRECT(CONCATENATE($FK$12,Fixtures!IH$25))="","",IF(INDIRECT(CONCATENATE($FK$12,Fixtures!IH$25))=Fixtures!$DN41,CONCATENATE(IH$10,", "),""))</f>
        <v/>
      </c>
      <c r="II41" s="632" t="str">
        <f ca="1">IF(INDIRECT(CONCATENATE($FK$12,Fixtures!II$25))="","",IF(INDIRECT(CONCATENATE($FK$12,Fixtures!II$25))=Fixtures!$DN41,CONCATENATE(II$10,", "),""))</f>
        <v/>
      </c>
      <c r="IJ41" s="632" t="str">
        <f ca="1">IF(INDIRECT(CONCATENATE($FK$12,Fixtures!IJ$25))="","",IF(INDIRECT(CONCATENATE($FK$12,Fixtures!IJ$25))=Fixtures!$DN41,CONCATENATE(IJ$10,", "),""))</f>
        <v/>
      </c>
      <c r="IK41" s="632" t="str">
        <f ca="1">IF(INDIRECT(CONCATENATE($FK$12,Fixtures!IK$25))="","",IF(INDIRECT(CONCATENATE($FK$12,Fixtures!IK$25))=Fixtures!$DN41,CONCATENATE(IK$10,", "),""))</f>
        <v/>
      </c>
      <c r="IL41" s="632" t="str">
        <f ca="1">IF(INDIRECT(CONCATENATE($FK$12,Fixtures!IL$25))="","",IF(INDIRECT(CONCATENATE($FK$12,Fixtures!IL$25))=Fixtures!$DN41,CONCATENATE(IL$10,", "),""))</f>
        <v/>
      </c>
      <c r="IM41" s="632" t="str">
        <f ca="1">IF(INDIRECT(CONCATENATE($FK$12,Fixtures!IM$25))="","",IF(INDIRECT(CONCATENATE($FK$12,Fixtures!IM$25))=Fixtures!$DN41,CONCATENATE(IM$10,", "),""))</f>
        <v/>
      </c>
      <c r="IN41" s="632" t="str">
        <f ca="1">IF(INDIRECT(CONCATENATE($FK$12,Fixtures!IN$25))="","",IF(INDIRECT(CONCATENATE($FK$12,Fixtures!IN$25))=Fixtures!$DN41,CONCATENATE(IN$10,", "),""))</f>
        <v/>
      </c>
      <c r="IO41" s="632" t="str">
        <f ca="1">IF(INDIRECT(CONCATENATE($FK$12,Fixtures!IO$25))="","",IF(INDIRECT(CONCATENATE($FK$12,Fixtures!IO$25))=Fixtures!$DN41,CONCATENATE(IO$10,", "),""))</f>
        <v/>
      </c>
      <c r="IP41" s="632" t="str">
        <f ca="1">IF(INDIRECT(CONCATENATE($FK$12,Fixtures!IP$25))="","",IF(INDIRECT(CONCATENATE($FK$12,Fixtures!IP$25))=Fixtures!$DN41,CONCATENATE(IP$10,", "),""))</f>
        <v/>
      </c>
      <c r="IQ41" s="606" t="str">
        <f ca="1">IF(INDIRECT(CONCATENATE($FK$12,Fixtures!IQ$25))="","",IF(INDIRECT(CONCATENATE($FK$12,Fixtures!IQ$25))=Fixtures!$DN41,CONCATENATE(IQ$10,", "),""))</f>
        <v/>
      </c>
      <c r="IR41" s="607" t="str">
        <f ca="1">IF(INDIRECT(CONCATENATE($FK$12,Fixtures!IR$25))="","",IF(INDIRECT(CONCATENATE($FK$12,Fixtures!IR$25))=Fixtures!$DN41,CONCATENATE(IR$10,", "),""))</f>
        <v/>
      </c>
      <c r="IS41" s="632" t="str">
        <f ca="1">IF(INDIRECT(CONCATENATE($FK$12,Fixtures!IS$25))="","",IF(INDIRECT(CONCATENATE($FK$12,Fixtures!IS$25))=Fixtures!$DN41,CONCATENATE(IS$10,", "),""))</f>
        <v/>
      </c>
      <c r="IT41" s="632" t="str">
        <f ca="1">IF(INDIRECT(CONCATENATE($FK$12,Fixtures!IT$25))="","",IF(INDIRECT(CONCATENATE($FK$12,Fixtures!IT$25))=Fixtures!$DN41,CONCATENATE(IT$10,", "),""))</f>
        <v/>
      </c>
      <c r="IU41" s="632" t="str">
        <f ca="1">IF(INDIRECT(CONCATENATE($FK$12,Fixtures!IU$25))="","",IF(INDIRECT(CONCATENATE($FK$12,Fixtures!IU$25))=Fixtures!$DN41,CONCATENATE(IU$10,", "),""))</f>
        <v/>
      </c>
      <c r="IV41" s="632" t="str">
        <f ca="1">IF(INDIRECT(CONCATENATE($FK$12,Fixtures!IV$25))="","",IF(INDIRECT(CONCATENATE($FK$12,Fixtures!IV$25))=Fixtures!$DN41,CONCATENATE(IV$10,", "),""))</f>
        <v/>
      </c>
      <c r="IW41" s="632" t="str">
        <f ca="1">IF(INDIRECT(CONCATENATE($FK$12,Fixtures!IW$25))="","",IF(INDIRECT(CONCATENATE($FK$12,Fixtures!IW$25))=Fixtures!$DN41,CONCATENATE(IW$10,", "),""))</f>
        <v/>
      </c>
      <c r="IX41" s="632" t="str">
        <f ca="1">IF(INDIRECT(CONCATENATE($FK$12,Fixtures!IX$25))="","",IF(INDIRECT(CONCATENATE($FK$12,Fixtures!IX$25))=Fixtures!$DN41,CONCATENATE(IX$10,", "),""))</f>
        <v/>
      </c>
      <c r="IY41" s="632" t="str">
        <f ca="1">IF(INDIRECT(CONCATENATE($FK$12,Fixtures!IY$25))="","",IF(INDIRECT(CONCATENATE($FK$12,Fixtures!IY$25))=Fixtures!$DN41,CONCATENATE(IY$10,", "),""))</f>
        <v/>
      </c>
      <c r="IZ41" s="632" t="str">
        <f ca="1">IF(INDIRECT(CONCATENATE($FK$12,Fixtures!IZ$25))="","",IF(INDIRECT(CONCATENATE($FK$12,Fixtures!IZ$25))=Fixtures!$DN41,CONCATENATE(IZ$10,", "),""))</f>
        <v/>
      </c>
      <c r="JA41" s="632" t="str">
        <f ca="1">IF(INDIRECT(CONCATENATE($FK$12,Fixtures!JA$25))="","",IF(INDIRECT(CONCATENATE($FK$12,Fixtures!JA$25))=Fixtures!$DN41,CONCATENATE(JA$10,", "),""))</f>
        <v/>
      </c>
      <c r="JB41" s="632" t="str">
        <f ca="1">IF(INDIRECT(CONCATENATE($FK$12,Fixtures!JB$25))="","",IF(INDIRECT(CONCATENATE($FK$12,Fixtures!JB$25))=Fixtures!$DN41,CONCATENATE(JB$10,", "),""))</f>
        <v/>
      </c>
      <c r="JC41" s="632" t="str">
        <f ca="1">IF(INDIRECT(CONCATENATE($FK$12,Fixtures!JC$25))="","",IF(INDIRECT(CONCATENATE($FK$12,Fixtures!JC$25))=Fixtures!$DN41,CONCATENATE(JC$10,", "),""))</f>
        <v/>
      </c>
      <c r="JD41" s="632" t="str">
        <f ca="1">IF(INDIRECT(CONCATENATE($FK$12,Fixtures!JD$25))="","",IF(INDIRECT(CONCATENATE($FK$12,Fixtures!JD$25))=Fixtures!$DN41,CONCATENATE(JD$10,", "),""))</f>
        <v/>
      </c>
      <c r="JE41" s="632" t="str">
        <f ca="1">IF(INDIRECT(CONCATENATE($FK$12,Fixtures!JE$25))="","",IF(INDIRECT(CONCATENATE($FK$12,Fixtures!JE$25))=Fixtures!$DN41,CONCATENATE(JE$10,", "),""))</f>
        <v/>
      </c>
      <c r="JF41" s="606" t="str">
        <f ca="1">IF(INDIRECT(CONCATENATE($FK$12,Fixtures!JF$25))="","",IF(INDIRECT(CONCATENATE($FK$12,Fixtures!JF$25))=Fixtures!$DN41,CONCATENATE(JF$10,", "),""))</f>
        <v/>
      </c>
      <c r="JG41" s="607" t="str">
        <f ca="1">IF(INDIRECT(CONCATENATE($FK$12,Fixtures!JG$25))="","",IF(INDIRECT(CONCATENATE($FK$12,Fixtures!JG$25))=Fixtures!$DN41,CONCATENATE(JG$10,", "),""))</f>
        <v/>
      </c>
      <c r="JH41" s="632" t="str">
        <f ca="1">IF(INDIRECT(CONCATENATE($FK$12,Fixtures!JH$25))="","",IF(INDIRECT(CONCATENATE($FK$12,Fixtures!JH$25))=Fixtures!$DN41,CONCATENATE(JH$10,", "),""))</f>
        <v/>
      </c>
      <c r="JI41" s="632" t="str">
        <f ca="1">IF(INDIRECT(CONCATENATE($FK$12,Fixtures!JI$25))="","",IF(INDIRECT(CONCATENATE($FK$12,Fixtures!JI$25))=Fixtures!$DN41,CONCATENATE(JI$10,", "),""))</f>
        <v/>
      </c>
      <c r="JJ41" s="632" t="str">
        <f ca="1">IF(INDIRECT(CONCATENATE($FK$12,Fixtures!JJ$25))="","",IF(INDIRECT(CONCATENATE($FK$12,Fixtures!JJ$25))=Fixtures!$DN41,CONCATENATE(JJ$10,", "),""))</f>
        <v/>
      </c>
      <c r="JK41" s="632" t="str">
        <f ca="1">IF(INDIRECT(CONCATENATE($FK$12,Fixtures!JK$25))="","",IF(INDIRECT(CONCATENATE($FK$12,Fixtures!JK$25))=Fixtures!$DN41,CONCATENATE(JK$10,", "),""))</f>
        <v/>
      </c>
      <c r="JL41" s="632" t="str">
        <f ca="1">IF(INDIRECT(CONCATENATE($FK$12,Fixtures!JL$25))="","",IF(INDIRECT(CONCATENATE($FK$12,Fixtures!JL$25))=Fixtures!$DN41,CONCATENATE(JL$10,", "),""))</f>
        <v/>
      </c>
      <c r="JM41" s="632" t="str">
        <f ca="1">IF(INDIRECT(CONCATENATE($FK$12,Fixtures!JM$25))="","",IF(INDIRECT(CONCATENATE($FK$12,Fixtures!JM$25))=Fixtures!$DN41,CONCATENATE(JM$10,", "),""))</f>
        <v/>
      </c>
      <c r="JN41" s="632" t="str">
        <f ca="1">IF(INDIRECT(CONCATENATE($FK$12,Fixtures!JN$25))="","",IF(INDIRECT(CONCATENATE($FK$12,Fixtures!JN$25))=Fixtures!$DN41,CONCATENATE(JN$10,", "),""))</f>
        <v/>
      </c>
      <c r="JO41" s="632" t="str">
        <f ca="1">IF(INDIRECT(CONCATENATE($FK$12,Fixtures!JO$25))="","",IF(INDIRECT(CONCATENATE($FK$12,Fixtures!JO$25))=Fixtures!$DN41,CONCATENATE(JO$10,", "),""))</f>
        <v/>
      </c>
      <c r="JP41" s="632" t="str">
        <f ca="1">IF(INDIRECT(CONCATENATE($FK$12,Fixtures!JP$25))="","",IF(INDIRECT(CONCATENATE($FK$12,Fixtures!JP$25))=Fixtures!$DN41,CONCATENATE(JP$10,", "),""))</f>
        <v/>
      </c>
      <c r="JQ41" s="632" t="str">
        <f ca="1">IF(INDIRECT(CONCATENATE($FK$12,Fixtures!JQ$25))="","",IF(INDIRECT(CONCATENATE($FK$12,Fixtures!JQ$25))=Fixtures!$DN41,CONCATENATE(JQ$10,", "),""))</f>
        <v/>
      </c>
      <c r="JR41" s="632" t="str">
        <f ca="1">IF(INDIRECT(CONCATENATE($FK$12,Fixtures!JR$25))="","",IF(INDIRECT(CONCATENATE($FK$12,Fixtures!JR$25))=Fixtures!$DN41,CONCATENATE(JR$10,", "),""))</f>
        <v/>
      </c>
      <c r="JS41" s="632" t="str">
        <f ca="1">IF(INDIRECT(CONCATENATE($FK$12,Fixtures!JS$25))="","",IF(INDIRECT(CONCATENATE($FK$12,Fixtures!JS$25))=Fixtures!$DN41,CONCATENATE(JS$10,", "),""))</f>
        <v/>
      </c>
      <c r="JT41" s="632" t="str">
        <f ca="1">IF(INDIRECT(CONCATENATE($FK$12,Fixtures!JT$25))="","",IF(INDIRECT(CONCATENATE($FK$12,Fixtures!JT$25))=Fixtures!$DN41,CONCATENATE(JT$10,", "),""))</f>
        <v/>
      </c>
      <c r="JU41" s="606" t="str">
        <f ca="1">IF(INDIRECT(CONCATENATE($FK$12,Fixtures!JU$25))="","",IF(INDIRECT(CONCATENATE($FK$12,Fixtures!JU$25))=Fixtures!$DN41,CONCATENATE(JU$10,", "),""))</f>
        <v/>
      </c>
      <c r="JV41" s="607" t="str">
        <f ca="1">IF(INDIRECT(CONCATENATE($FK$12,Fixtures!JV$25))="","",IF(INDIRECT(CONCATENATE($FK$12,Fixtures!JV$25))=Fixtures!$DN41,CONCATENATE(JV$10,", "),""))</f>
        <v/>
      </c>
      <c r="JW41" s="632" t="str">
        <f ca="1">IF(INDIRECT(CONCATENATE($FK$12,Fixtures!JW$25))="","",IF(INDIRECT(CONCATENATE($FK$12,Fixtures!JW$25))=Fixtures!$DN41,CONCATENATE(JW$10,", "),""))</f>
        <v/>
      </c>
      <c r="JX41" s="632" t="str">
        <f ca="1">IF(INDIRECT(CONCATENATE($FK$12,Fixtures!JX$25))="","",IF(INDIRECT(CONCATENATE($FK$12,Fixtures!JX$25))=Fixtures!$DN41,CONCATENATE(JX$10,", "),""))</f>
        <v/>
      </c>
      <c r="JY41" s="632" t="str">
        <f ca="1">IF(INDIRECT(CONCATENATE($FK$12,Fixtures!JY$25))="","",IF(INDIRECT(CONCATENATE($FK$12,Fixtures!JY$25))=Fixtures!$DN41,CONCATENATE(JY$10,", "),""))</f>
        <v/>
      </c>
      <c r="JZ41" s="632" t="str">
        <f ca="1">IF(INDIRECT(CONCATENATE($FK$12,Fixtures!JZ$25))="","",IF(INDIRECT(CONCATENATE($FK$12,Fixtures!JZ$25))=Fixtures!$DN41,CONCATENATE(JZ$10,", "),""))</f>
        <v/>
      </c>
      <c r="KA41" s="632" t="str">
        <f ca="1">IF(INDIRECT(CONCATENATE($FK$12,Fixtures!KA$25))="","",IF(INDIRECT(CONCATENATE($FK$12,Fixtures!KA$25))=Fixtures!$DN41,CONCATENATE(KA$10,", "),""))</f>
        <v/>
      </c>
      <c r="KB41" s="632" t="str">
        <f ca="1">IF(INDIRECT(CONCATENATE($FK$12,Fixtures!KB$25))="","",IF(INDIRECT(CONCATENATE($FK$12,Fixtures!KB$25))=Fixtures!$DN41,CONCATENATE(KB$10,", "),""))</f>
        <v/>
      </c>
      <c r="KC41" s="632" t="str">
        <f ca="1">IF(INDIRECT(CONCATENATE($FK$12,Fixtures!KC$25))="","",IF(INDIRECT(CONCATENATE($FK$12,Fixtures!KC$25))=Fixtures!$DN41,CONCATENATE(KC$10,", "),""))</f>
        <v/>
      </c>
      <c r="KD41" s="632" t="str">
        <f ca="1">IF(INDIRECT(CONCATENATE($FK$12,Fixtures!KD$25))="","",IF(INDIRECT(CONCATENATE($FK$12,Fixtures!KD$25))=Fixtures!$DN41,CONCATENATE(KD$10,", "),""))</f>
        <v/>
      </c>
      <c r="KE41" s="632" t="str">
        <f ca="1">IF(INDIRECT(CONCATENATE($FK$12,Fixtures!KE$25))="","",IF(INDIRECT(CONCATENATE($FK$12,Fixtures!KE$25))=Fixtures!$DN41,CONCATENATE(KE$10,", "),""))</f>
        <v/>
      </c>
      <c r="KF41" s="632" t="str">
        <f ca="1">IF(INDIRECT(CONCATENATE($FK$12,Fixtures!KF$25))="","",IF(INDIRECT(CONCATENATE($FK$12,Fixtures!KF$25))=Fixtures!$DN41,CONCATENATE(KF$10,", "),""))</f>
        <v/>
      </c>
      <c r="KG41" s="632" t="str">
        <f ca="1">IF(INDIRECT(CONCATENATE($FK$12,Fixtures!KG$25))="","",IF(INDIRECT(CONCATENATE($FK$12,Fixtures!KG$25))=Fixtures!$DN41,CONCATENATE(KG$10,", "),""))</f>
        <v/>
      </c>
      <c r="KH41" s="632" t="str">
        <f ca="1">IF(INDIRECT(CONCATENATE($FK$12,Fixtures!KH$25))="","",IF(INDIRECT(CONCATENATE($FK$12,Fixtures!KH$25))=Fixtures!$DN41,CONCATENATE(KH$10,", "),""))</f>
        <v/>
      </c>
      <c r="KI41" s="632" t="str">
        <f ca="1">IF(INDIRECT(CONCATENATE($FK$12,Fixtures!KI$25))="","",IF(INDIRECT(CONCATENATE($FK$12,Fixtures!KI$25))=Fixtures!$DN41,CONCATENATE(KI$10,", "),""))</f>
        <v/>
      </c>
      <c r="KJ41" s="606" t="str">
        <f ca="1">IF(INDIRECT(CONCATENATE($FK$12,Fixtures!KJ$25))="","",IF(INDIRECT(CONCATENATE($FK$12,Fixtures!KJ$25))=Fixtures!$DN41,CONCATENATE(KJ$10,", "),""))</f>
        <v/>
      </c>
      <c r="KK41" s="607" t="str">
        <f ca="1">IF(INDIRECT(CONCATENATE($FK$12,Fixtures!KK$25))="","",IF(INDIRECT(CONCATENATE($FK$12,Fixtures!KK$25))=Fixtures!$DN41,CONCATENATE(KK$10,", "),""))</f>
        <v/>
      </c>
      <c r="KL41" s="632" t="str">
        <f ca="1">IF(INDIRECT(CONCATENATE($FK$12,Fixtures!KL$25))="","",IF(INDIRECT(CONCATENATE($FK$12,Fixtures!KL$25))=Fixtures!$DN41,CONCATENATE(KL$10,", "),""))</f>
        <v/>
      </c>
      <c r="KM41" s="632" t="str">
        <f ca="1">IF(INDIRECT(CONCATENATE($FK$12,Fixtures!KM$25))="","",IF(INDIRECT(CONCATENATE($FK$12,Fixtures!KM$25))=Fixtures!$DN41,CONCATENATE(KM$10,", "),""))</f>
        <v/>
      </c>
      <c r="KN41" s="632" t="str">
        <f ca="1">IF(INDIRECT(CONCATENATE($FK$12,Fixtures!KN$25))="","",IF(INDIRECT(CONCATENATE($FK$12,Fixtures!KN$25))=Fixtures!$DN41,CONCATENATE(KN$10,", "),""))</f>
        <v/>
      </c>
      <c r="KO41" s="632" t="str">
        <f ca="1">IF(INDIRECT(CONCATENATE($FK$12,Fixtures!KO$25))="","",IF(INDIRECT(CONCATENATE($FK$12,Fixtures!KO$25))=Fixtures!$DN41,CONCATENATE(KO$10,", "),""))</f>
        <v/>
      </c>
      <c r="KP41" s="632" t="str">
        <f ca="1">IF(INDIRECT(CONCATENATE($FK$12,Fixtures!KP$25))="","",IF(INDIRECT(CONCATENATE($FK$12,Fixtures!KP$25))=Fixtures!$DN41,CONCATENATE(KP$10,", "),""))</f>
        <v/>
      </c>
      <c r="KQ41" s="632" t="str">
        <f ca="1">IF(INDIRECT(CONCATENATE($FK$12,Fixtures!KQ$25))="","",IF(INDIRECT(CONCATENATE($FK$12,Fixtures!KQ$25))=Fixtures!$DN41,CONCATENATE(KQ$10,", "),""))</f>
        <v/>
      </c>
      <c r="KR41" s="632" t="str">
        <f ca="1">IF(INDIRECT(CONCATENATE($FK$12,Fixtures!KR$25))="","",IF(INDIRECT(CONCATENATE($FK$12,Fixtures!KR$25))=Fixtures!$DN41,CONCATENATE(KR$10,", "),""))</f>
        <v/>
      </c>
      <c r="KS41" s="632" t="str">
        <f ca="1">IF(INDIRECT(CONCATENATE($FK$12,Fixtures!KS$25))="","",IF(INDIRECT(CONCATENATE($FK$12,Fixtures!KS$25))=Fixtures!$DN41,CONCATENATE(KS$10,", "),""))</f>
        <v/>
      </c>
      <c r="KT41" s="632" t="str">
        <f ca="1">IF(INDIRECT(CONCATENATE($FK$12,Fixtures!KT$25))="","",IF(INDIRECT(CONCATENATE($FK$12,Fixtures!KT$25))=Fixtures!$DN41,CONCATENATE(KT$10,", "),""))</f>
        <v/>
      </c>
      <c r="KU41" s="632" t="str">
        <f ca="1">IF(INDIRECT(CONCATENATE($FK$12,Fixtures!KU$25))="","",IF(INDIRECT(CONCATENATE($FK$12,Fixtures!KU$25))=Fixtures!$DN41,CONCATENATE(KU$10,", "),""))</f>
        <v/>
      </c>
      <c r="KV41" s="632" t="str">
        <f ca="1">IF(INDIRECT(CONCATENATE($FK$12,Fixtures!KV$25))="","",IF(INDIRECT(CONCATENATE($FK$12,Fixtures!KV$25))=Fixtures!$DN41,CONCATENATE(KV$10,", "),""))</f>
        <v/>
      </c>
      <c r="KW41" s="632" t="str">
        <f ca="1">IF(INDIRECT(CONCATENATE($FK$12,Fixtures!KW$25))="","",IF(INDIRECT(CONCATENATE($FK$12,Fixtures!KW$25))=Fixtures!$DN41,CONCATENATE(KW$10,", "),""))</f>
        <v/>
      </c>
      <c r="KX41" s="632" t="str">
        <f ca="1">IF(INDIRECT(CONCATENATE($FK$12,Fixtures!KX$25))="","",IF(INDIRECT(CONCATENATE($FK$12,Fixtures!KX$25))=Fixtures!$DN41,CONCATENATE(KX$10,", "),""))</f>
        <v/>
      </c>
      <c r="KY41" s="632"/>
      <c r="KZ41" s="46"/>
      <c r="LA41" s="46" t="str">
        <f t="shared" ca="1" si="7"/>
        <v/>
      </c>
      <c r="LB41" s="46"/>
      <c r="LC41" s="1010"/>
      <c r="LD41" s="1009" t="str">
        <f t="shared" si="20"/>
        <v/>
      </c>
    </row>
    <row r="42" spans="1:316" ht="28.2" customHeight="1" thickTop="1" thickBot="1">
      <c r="A42" s="426" t="str">
        <f t="shared" si="13"/>
        <v/>
      </c>
      <c r="C42" s="1640" t="str">
        <f t="shared" si="14"/>
        <v/>
      </c>
      <c r="D42" s="1641"/>
      <c r="E42" s="1568" t="str">
        <f t="shared" si="15"/>
        <v/>
      </c>
      <c r="F42" s="1569"/>
      <c r="G42" s="1569"/>
      <c r="H42" s="1569"/>
      <c r="I42" s="1569"/>
      <c r="J42" s="1569"/>
      <c r="K42" s="1569"/>
      <c r="L42" s="1569"/>
      <c r="M42" s="1642"/>
      <c r="N42" s="203" t="str">
        <f t="shared" si="16"/>
        <v/>
      </c>
      <c r="O42" s="12"/>
      <c r="P42" s="1638" t="str">
        <f t="shared" si="25"/>
        <v/>
      </c>
      <c r="Q42" s="1639"/>
      <c r="R42" s="1568" t="str">
        <f t="shared" si="30"/>
        <v/>
      </c>
      <c r="S42" s="1569"/>
      <c r="T42" s="1569"/>
      <c r="U42" s="1569"/>
      <c r="V42" s="1569"/>
      <c r="W42" s="1569"/>
      <c r="X42" s="1569"/>
      <c r="Y42" s="203" t="str">
        <f t="shared" si="26"/>
        <v/>
      </c>
      <c r="Z42" s="203" t="str">
        <f t="shared" si="27"/>
        <v/>
      </c>
      <c r="AA42" s="394" t="str">
        <f t="shared" si="28"/>
        <v/>
      </c>
      <c r="AB42" s="489"/>
      <c r="AC42" s="1564" t="str">
        <f t="shared" si="18"/>
        <v/>
      </c>
      <c r="AD42" s="1565"/>
      <c r="AE42" s="1565"/>
      <c r="AF42" s="1565"/>
      <c r="AG42" s="1565"/>
      <c r="AH42" s="1565"/>
      <c r="AK42">
        <f>SUMIFS(Installations!CV$46:CV$803,Installations!CW$46:CW$803,E42,Installations!IC$46:IC$803,TRUE)</f>
        <v>0</v>
      </c>
      <c r="AL42">
        <f>SUMIFS(Installations!CV$46:CV$803,Installations!CW$46:CW$803,R42,Installations!IC$46:IC$803,TRUE)</f>
        <v>0</v>
      </c>
      <c r="BL42" s="9"/>
      <c r="BM42" s="622" t="str">
        <f t="shared" si="19"/>
        <v/>
      </c>
      <c r="BN42" s="52"/>
      <c r="BO42" s="52"/>
      <c r="BP42" s="52"/>
      <c r="BQ42" s="52"/>
      <c r="BR42" s="52"/>
      <c r="BS42" s="52"/>
      <c r="BT42" s="52"/>
      <c r="BU42" s="373"/>
      <c r="BV42" s="219" t="str">
        <f>IF(CN42&lt;&gt;"Yes","",IFERROR(VLOOKUP(CU42,Existing!A$4:F$367,2,FALSE),""))</f>
        <v/>
      </c>
      <c r="BW42" s="9">
        <v>16</v>
      </c>
      <c r="BX42" s="1625"/>
      <c r="BY42" s="1626"/>
      <c r="BZ42" s="1626"/>
      <c r="CA42" s="1627"/>
      <c r="CB42" s="1622"/>
      <c r="CC42" s="1623"/>
      <c r="CD42" s="1623"/>
      <c r="CE42" s="1624"/>
      <c r="CF42" s="1621"/>
      <c r="CG42" s="1621"/>
      <c r="CH42" s="1621"/>
      <c r="CI42" s="1621"/>
      <c r="CJ42" s="1621"/>
      <c r="CK42" s="1621"/>
      <c r="CL42" s="1621"/>
      <c r="CM42" s="1621"/>
      <c r="CN42" s="1553" t="str">
        <f t="shared" si="0"/>
        <v/>
      </c>
      <c r="CO42" s="1554"/>
      <c r="CP42" s="229" t="str">
        <f>IFERROR(IF(CB42="Existing TLED",CR42*CW42*CY42,VLOOKUP(CU42,Existing!A$3:F$356,6,FALSE)),"")</f>
        <v/>
      </c>
      <c r="CQ42" s="9"/>
      <c r="CR42" s="1660"/>
      <c r="CS42" s="1661"/>
      <c r="CT42" s="9"/>
      <c r="CU42" s="425" t="str">
        <f t="shared" si="21"/>
        <v/>
      </c>
      <c r="CV42" s="426" t="b">
        <f t="shared" si="22"/>
        <v>0</v>
      </c>
      <c r="CW42" s="426" t="str">
        <f t="shared" si="23"/>
        <v/>
      </c>
      <c r="CX42" s="426">
        <f>IFERROR(VLOOKUP(CF42,Lookup!T$100:V$102,3,FALSE),0)</f>
        <v>0</v>
      </c>
      <c r="CY42" s="426">
        <f t="shared" si="8"/>
        <v>1.1100000000000001</v>
      </c>
      <c r="CZ42" s="626" t="b">
        <f t="shared" si="1"/>
        <v>0</v>
      </c>
      <c r="DA42" s="626" t="b">
        <f>IF(CF42&lt;&gt;"",IF(ISERROR(MATCH(CONCATENATE(CB42," - ",CF42),Existing!G$4:G$331,0))=TRUE,FALSE,TRUE),TRUE)</f>
        <v>1</v>
      </c>
      <c r="DB42" s="626" t="b">
        <f t="shared" si="2"/>
        <v>1</v>
      </c>
      <c r="DL42" s="9"/>
      <c r="DM42" s="627" t="s">
        <v>215</v>
      </c>
      <c r="DN42" s="375" t="str">
        <f t="shared" si="3"/>
        <v/>
      </c>
      <c r="DO42" s="52"/>
      <c r="DP42" s="52"/>
      <c r="DQ42" s="52"/>
      <c r="DR42" s="52"/>
      <c r="DS42" s="52"/>
      <c r="DT42" s="226"/>
      <c r="DU42" s="376"/>
      <c r="DV42" s="227" t="str">
        <f t="shared" si="4"/>
        <v/>
      </c>
      <c r="DW42" s="224">
        <v>16</v>
      </c>
      <c r="DX42" s="1572"/>
      <c r="DY42" s="1573"/>
      <c r="DZ42" s="1573"/>
      <c r="EA42" s="1574"/>
      <c r="EB42" s="1618"/>
      <c r="EC42" s="1619"/>
      <c r="ED42" s="1619"/>
      <c r="EE42" s="1620"/>
      <c r="EF42" s="1578"/>
      <c r="EG42" s="1579"/>
      <c r="EH42" s="1618"/>
      <c r="EI42" s="1619"/>
      <c r="EJ42" s="1619"/>
      <c r="EK42" s="1620"/>
      <c r="EL42" s="1575"/>
      <c r="EM42" s="1576"/>
      <c r="EN42" s="1576"/>
      <c r="EO42" s="1577"/>
      <c r="EP42" s="1578"/>
      <c r="EQ42" s="1579"/>
      <c r="ER42" s="1555"/>
      <c r="ES42" s="1556"/>
      <c r="ET42" s="1553" t="str">
        <f t="shared" si="9"/>
        <v/>
      </c>
      <c r="EU42" s="1554"/>
      <c r="EV42" s="1553" t="str">
        <f t="shared" si="29"/>
        <v/>
      </c>
      <c r="EW42" s="1554"/>
      <c r="EX42" s="393"/>
      <c r="EY42" s="225" t="str">
        <f t="shared" si="6"/>
        <v/>
      </c>
      <c r="EZ42" s="225" t="str">
        <f>IFERROR(VLOOKUP(EB42,Lookup!AT$3:AU$13,2,FALSE),"")</f>
        <v/>
      </c>
      <c r="FA42" s="426" t="b">
        <f>IFERROR(IF(VLOOKUP(EB42,Lookup!AT$6:AU$8,2,FALSE)&gt;3,TRUE,FALSE),FALSE)</f>
        <v>0</v>
      </c>
      <c r="FB42" s="426" t="str">
        <f t="shared" si="10"/>
        <v/>
      </c>
      <c r="FC42" t="str">
        <f t="shared" ca="1" si="11"/>
        <v/>
      </c>
      <c r="FG42" t="str">
        <f t="shared" ca="1" si="12"/>
        <v/>
      </c>
      <c r="FI42" s="204" t="str">
        <f t="shared" ca="1" si="24"/>
        <v/>
      </c>
      <c r="FJ42" s="204"/>
      <c r="FK42" s="631" t="str">
        <f ca="1">IF(INDIRECT(CONCATENATE($FK$12,Fixtures!FK$25))="","",IF(INDIRECT(CONCATENATE($FK$12,Fixtures!FK$25))=Fixtures!$DN42,CONCATENATE(FK$10,", "),""))</f>
        <v/>
      </c>
      <c r="FL42" s="631" t="str">
        <f ca="1">IF(INDIRECT(CONCATENATE($FK$12,Fixtures!FL$25))="","",IF(INDIRECT(CONCATENATE($FK$12,Fixtures!FL$25))=Fixtures!$DN42,CONCATENATE(FL$10,", "),""))</f>
        <v/>
      </c>
      <c r="FM42" s="631" t="str">
        <f ca="1">IF(INDIRECT(CONCATENATE($FK$12,Fixtures!FM$25))="","",IF(INDIRECT(CONCATENATE($FK$12,Fixtures!FM$25))=Fixtures!$DN42,CONCATENATE(FM$10,", "),""))</f>
        <v/>
      </c>
      <c r="FN42" s="631" t="str">
        <f ca="1">IF(INDIRECT(CONCATENATE($FK$12,Fixtures!FN$25))="","",IF(INDIRECT(CONCATENATE($FK$12,Fixtures!FN$25))=Fixtures!$DN42,CONCATENATE(FN$10,", "),""))</f>
        <v/>
      </c>
      <c r="FO42" s="631" t="str">
        <f ca="1">IF(INDIRECT(CONCATENATE($FK$12,Fixtures!FO$25))="","",IF(INDIRECT(CONCATENATE($FK$12,Fixtures!FO$25))=Fixtures!$DN42,CONCATENATE(FO$10,", "),""))</f>
        <v/>
      </c>
      <c r="FP42" s="631" t="str">
        <f ca="1">IF(INDIRECT(CONCATENATE($FK$12,Fixtures!FP$25))="","",IF(INDIRECT(CONCATENATE($FK$12,Fixtures!FP$25))=Fixtures!$DN42,CONCATENATE(FP$10,", "),""))</f>
        <v/>
      </c>
      <c r="FQ42" s="631" t="str">
        <f ca="1">IF(INDIRECT(CONCATENATE($FK$12,Fixtures!FQ$25))="","",IF(INDIRECT(CONCATENATE($FK$12,Fixtures!FQ$25))=Fixtures!$DN42,CONCATENATE(FQ$10,", "),""))</f>
        <v/>
      </c>
      <c r="FR42" s="631" t="str">
        <f ca="1">IF(INDIRECT(CONCATENATE($FK$12,Fixtures!FR$25))="","",IF(INDIRECT(CONCATENATE($FK$12,Fixtures!FR$25))=Fixtures!$DN42,CONCATENATE(FR$10,", "),""))</f>
        <v/>
      </c>
      <c r="FS42" s="631" t="str">
        <f ca="1">IF(INDIRECT(CONCATENATE($FK$12,Fixtures!FS$25))="","",IF(INDIRECT(CONCATENATE($FK$12,Fixtures!FS$25))=Fixtures!$DN42,CONCATENATE(FS$10,", "),""))</f>
        <v/>
      </c>
      <c r="FT42" s="604" t="str">
        <f ca="1">IF(INDIRECT(CONCATENATE($FK$12,Fixtures!FT$25))="","",IF(INDIRECT(CONCATENATE($FK$12,Fixtures!FT$25))=Fixtures!$DN42,CONCATENATE(FT$10,", "),""))</f>
        <v/>
      </c>
      <c r="FU42" s="605" t="str">
        <f ca="1">IF(INDIRECT(CONCATENATE($FK$12,Fixtures!FU$25))="","",IF(INDIRECT(CONCATENATE($FK$12,Fixtures!FU$25))=Fixtures!$DN42,CONCATENATE(FU$10,", "),""))</f>
        <v/>
      </c>
      <c r="FV42" s="631" t="str">
        <f ca="1">IF(INDIRECT(CONCATENATE($FK$12,Fixtures!FV$25))="","",IF(INDIRECT(CONCATENATE($FK$12,Fixtures!FV$25))=Fixtures!$DN42,CONCATENATE(FV$10,", "),""))</f>
        <v/>
      </c>
      <c r="FW42" s="632" t="str">
        <f ca="1">IF(INDIRECT(CONCATENATE($FK$12,Fixtures!FW$25))="","",IF(INDIRECT(CONCATENATE($FK$12,Fixtures!FW$25))=Fixtures!$DN42,CONCATENATE(FW$10,", "),""))</f>
        <v/>
      </c>
      <c r="FX42" s="632" t="str">
        <f ca="1">IF(INDIRECT(CONCATENATE($FK$12,Fixtures!FX$25))="","",IF(INDIRECT(CONCATENATE($FK$12,Fixtures!FX$25))=Fixtures!$DN42,CONCATENATE(FX$10,", "),""))</f>
        <v/>
      </c>
      <c r="FY42" s="632" t="str">
        <f ca="1">IF(INDIRECT(CONCATENATE($FK$12,Fixtures!FY$25))="","",IF(INDIRECT(CONCATENATE($FK$12,Fixtures!FY$25))=Fixtures!$DN42,CONCATENATE(FY$10,", "),""))</f>
        <v/>
      </c>
      <c r="FZ42" s="632" t="str">
        <f ca="1">IF(INDIRECT(CONCATENATE($FK$12,Fixtures!FZ$25))="","",IF(INDIRECT(CONCATENATE($FK$12,Fixtures!FZ$25))=Fixtures!$DN42,CONCATENATE(FZ$10,", "),""))</f>
        <v/>
      </c>
      <c r="GA42" s="632" t="str">
        <f ca="1">IF(INDIRECT(CONCATENATE($FK$12,Fixtures!GA$25))="","",IF(INDIRECT(CONCATENATE($FK$12,Fixtures!GA$25))=Fixtures!$DN42,CONCATENATE(GA$10,", "),""))</f>
        <v/>
      </c>
      <c r="GB42" s="632" t="str">
        <f ca="1">IF(INDIRECT(CONCATENATE($FK$12,Fixtures!GB$25))="","",IF(INDIRECT(CONCATENATE($FK$12,Fixtures!GB$25))=Fixtures!$DN42,CONCATENATE(GB$10,", "),""))</f>
        <v/>
      </c>
      <c r="GC42" s="632" t="str">
        <f ca="1">IF(INDIRECT(CONCATENATE($FK$12,Fixtures!GC$25))="","",IF(INDIRECT(CONCATENATE($FK$12,Fixtures!GC$25))=Fixtures!$DN42,CONCATENATE(GC$10,", "),""))</f>
        <v/>
      </c>
      <c r="GD42" s="632" t="str">
        <f ca="1">IF(INDIRECT(CONCATENATE($FK$12,Fixtures!GD$25))="","",IF(INDIRECT(CONCATENATE($FK$12,Fixtures!GD$25))=Fixtures!$DN42,CONCATENATE(GD$10,", "),""))</f>
        <v/>
      </c>
      <c r="GE42" s="632" t="str">
        <f ca="1">IF(INDIRECT(CONCATENATE($FK$12,Fixtures!GE$25))="","",IF(INDIRECT(CONCATENATE($FK$12,Fixtures!GE$25))=Fixtures!$DN42,CONCATENATE(GE$10,", "),""))</f>
        <v/>
      </c>
      <c r="GF42" s="632" t="str">
        <f ca="1">IF(INDIRECT(CONCATENATE($FK$12,Fixtures!GF$25))="","",IF(INDIRECT(CONCATENATE($FK$12,Fixtures!GF$25))=Fixtures!$DN42,CONCATENATE(GF$10,", "),""))</f>
        <v/>
      </c>
      <c r="GG42" s="632" t="str">
        <f ca="1">IF(INDIRECT(CONCATENATE($FK$12,Fixtures!GG$25))="","",IF(INDIRECT(CONCATENATE($FK$12,Fixtures!GG$25))=Fixtures!$DN42,CONCATENATE(GG$10,", "),""))</f>
        <v/>
      </c>
      <c r="GH42" s="632" t="str">
        <f ca="1">IF(INDIRECT(CONCATENATE($FK$12,Fixtures!GH$25))="","",IF(INDIRECT(CONCATENATE($FK$12,Fixtures!GH$25))=Fixtures!$DN42,CONCATENATE(GH$10,", "),""))</f>
        <v/>
      </c>
      <c r="GI42" s="606" t="str">
        <f ca="1">IF(INDIRECT(CONCATENATE($FK$12,Fixtures!GI$25))="","",IF(INDIRECT(CONCATENATE($FK$12,Fixtures!GI$25))=Fixtures!$DN42,CONCATENATE(GI$10,", "),""))</f>
        <v/>
      </c>
      <c r="GJ42" s="607" t="str">
        <f ca="1">IF(INDIRECT(CONCATENATE($FK$12,Fixtures!GJ$25))="","",IF(INDIRECT(CONCATENATE($FK$12,Fixtures!GJ$25))=Fixtures!$DN42,CONCATENATE(GJ$10,", "),""))</f>
        <v/>
      </c>
      <c r="GK42" s="632" t="str">
        <f ca="1">IF(INDIRECT(CONCATENATE($FK$12,Fixtures!GK$25))="","",IF(INDIRECT(CONCATENATE($FK$12,Fixtures!GK$25))=Fixtures!$DN42,CONCATENATE(GK$10,", "),""))</f>
        <v/>
      </c>
      <c r="GL42" s="632" t="str">
        <f ca="1">IF(INDIRECT(CONCATENATE($FK$12,Fixtures!GL$25))="","",IF(INDIRECT(CONCATENATE($FK$12,Fixtures!GL$25))=Fixtures!$DN42,CONCATENATE(GL$10,", "),""))</f>
        <v/>
      </c>
      <c r="GM42" s="632" t="str">
        <f ca="1">IF(INDIRECT(CONCATENATE($FK$12,Fixtures!GM$25))="","",IF(INDIRECT(CONCATENATE($FK$12,Fixtures!GM$25))=Fixtures!$DN42,CONCATENATE(GM$10,", "),""))</f>
        <v/>
      </c>
      <c r="GN42" s="632" t="str">
        <f ca="1">IF(INDIRECT(CONCATENATE($FK$12,Fixtures!GN$25))="","",IF(INDIRECT(CONCATENATE($FK$12,Fixtures!GN$25))=Fixtures!$DN42,CONCATENATE(GN$10,", "),""))</f>
        <v/>
      </c>
      <c r="GO42" s="632" t="str">
        <f ca="1">IF(INDIRECT(CONCATENATE($FK$12,Fixtures!GO$25))="","",IF(INDIRECT(CONCATENATE($FK$12,Fixtures!GO$25))=Fixtures!$DN42,CONCATENATE(GO$10,", "),""))</f>
        <v/>
      </c>
      <c r="GP42" s="632" t="str">
        <f ca="1">IF(INDIRECT(CONCATENATE($FK$12,Fixtures!GP$25))="","",IF(INDIRECT(CONCATENATE($FK$12,Fixtures!GP$25))=Fixtures!$DN42,CONCATENATE(GP$10,", "),""))</f>
        <v/>
      </c>
      <c r="GQ42" s="632" t="str">
        <f ca="1">IF(INDIRECT(CONCATENATE($FK$12,Fixtures!GQ$25))="","",IF(INDIRECT(CONCATENATE($FK$12,Fixtures!GQ$25))=Fixtures!$DN42,CONCATENATE(GQ$10,", "),""))</f>
        <v/>
      </c>
      <c r="GR42" s="632" t="str">
        <f ca="1">IF(INDIRECT(CONCATENATE($FK$12,Fixtures!GR$25))="","",IF(INDIRECT(CONCATENATE($FK$12,Fixtures!GR$25))=Fixtures!$DN42,CONCATENATE(GR$10,", "),""))</f>
        <v/>
      </c>
      <c r="GS42" s="632" t="str">
        <f ca="1">IF(INDIRECT(CONCATENATE($FK$12,Fixtures!GS$25))="","",IF(INDIRECT(CONCATENATE($FK$12,Fixtures!GS$25))=Fixtures!$DN42,CONCATENATE(GS$10,", "),""))</f>
        <v/>
      </c>
      <c r="GT42" s="632" t="str">
        <f ca="1">IF(INDIRECT(CONCATENATE($FK$12,Fixtures!GT$25))="","",IF(INDIRECT(CONCATENATE($FK$12,Fixtures!GT$25))=Fixtures!$DN42,CONCATENATE(GT$10,", "),""))</f>
        <v/>
      </c>
      <c r="GU42" s="632" t="str">
        <f ca="1">IF(INDIRECT(CONCATENATE($FK$12,Fixtures!GU$25))="","",IF(INDIRECT(CONCATENATE($FK$12,Fixtures!GU$25))=Fixtures!$DN42,CONCATENATE(GU$10,", "),""))</f>
        <v/>
      </c>
      <c r="GV42" s="632" t="str">
        <f ca="1">IF(INDIRECT(CONCATENATE($FK$12,Fixtures!GV$25))="","",IF(INDIRECT(CONCATENATE($FK$12,Fixtures!GV$25))=Fixtures!$DN42,CONCATENATE(GV$10,", "),""))</f>
        <v/>
      </c>
      <c r="GW42" s="632" t="str">
        <f ca="1">IF(INDIRECT(CONCATENATE($FK$12,Fixtures!GW$25))="","",IF(INDIRECT(CONCATENATE($FK$12,Fixtures!GW$25))=Fixtures!$DN42,CONCATENATE(GW$10,", "),""))</f>
        <v/>
      </c>
      <c r="GX42" s="606" t="str">
        <f ca="1">IF(INDIRECT(CONCATENATE($FK$12,Fixtures!GX$25))="","",IF(INDIRECT(CONCATENATE($FK$12,Fixtures!GX$25))=Fixtures!$DN42,CONCATENATE(GX$10,", "),""))</f>
        <v/>
      </c>
      <c r="GY42" s="607" t="str">
        <f ca="1">IF(INDIRECT(CONCATENATE($FK$12,Fixtures!GY$25))="","",IF(INDIRECT(CONCATENATE($FK$12,Fixtures!GY$25))=Fixtures!$DN42,CONCATENATE(GY$10,", "),""))</f>
        <v/>
      </c>
      <c r="GZ42" s="632" t="str">
        <f ca="1">IF(INDIRECT(CONCATENATE($FK$12,Fixtures!GZ$25))="","",IF(INDIRECT(CONCATENATE($FK$12,Fixtures!GZ$25))=Fixtures!$DN42,CONCATENATE(GZ$10,", "),""))</f>
        <v/>
      </c>
      <c r="HA42" s="632" t="str">
        <f ca="1">IF(INDIRECT(CONCATENATE($FK$12,Fixtures!HA$25))="","",IF(INDIRECT(CONCATENATE($FK$12,Fixtures!HA$25))=Fixtures!$DN42,CONCATENATE(HA$10,", "),""))</f>
        <v/>
      </c>
      <c r="HB42" s="632" t="str">
        <f ca="1">IF(INDIRECT(CONCATENATE($FK$12,Fixtures!HB$25))="","",IF(INDIRECT(CONCATENATE($FK$12,Fixtures!HB$25))=Fixtures!$DN42,CONCATENATE(HB$10,", "),""))</f>
        <v/>
      </c>
      <c r="HC42" s="632" t="str">
        <f ca="1">IF(INDIRECT(CONCATENATE($FK$12,Fixtures!HC$25))="","",IF(INDIRECT(CONCATENATE($FK$12,Fixtures!HC$25))=Fixtures!$DN42,CONCATENATE(HC$10,", "),""))</f>
        <v/>
      </c>
      <c r="HD42" s="632" t="str">
        <f ca="1">IF(INDIRECT(CONCATENATE($FK$12,Fixtures!HD$25))="","",IF(INDIRECT(CONCATENATE($FK$12,Fixtures!HD$25))=Fixtures!$DN42,CONCATENATE(HD$10,", "),""))</f>
        <v/>
      </c>
      <c r="HE42" s="632" t="str">
        <f ca="1">IF(INDIRECT(CONCATENATE($FK$12,Fixtures!HE$25))="","",IF(INDIRECT(CONCATENATE($FK$12,Fixtures!HE$25))=Fixtures!$DN42,CONCATENATE(HE$10,", "),""))</f>
        <v/>
      </c>
      <c r="HF42" s="632" t="str">
        <f ca="1">IF(INDIRECT(CONCATENATE($FK$12,Fixtures!HF$25))="","",IF(INDIRECT(CONCATENATE($FK$12,Fixtures!HF$25))=Fixtures!$DN42,CONCATENATE(HF$10,", "),""))</f>
        <v/>
      </c>
      <c r="HG42" s="632" t="str">
        <f ca="1">IF(INDIRECT(CONCATENATE($FK$12,Fixtures!HG$25))="","",IF(INDIRECT(CONCATENATE($FK$12,Fixtures!HG$25))=Fixtures!$DN42,CONCATENATE(HG$10,", "),""))</f>
        <v/>
      </c>
      <c r="HH42" s="632" t="str">
        <f ca="1">IF(INDIRECT(CONCATENATE($FK$12,Fixtures!HH$25))="","",IF(INDIRECT(CONCATENATE($FK$12,Fixtures!HH$25))=Fixtures!$DN42,CONCATENATE(HH$10,", "),""))</f>
        <v/>
      </c>
      <c r="HI42" s="632" t="str">
        <f ca="1">IF(INDIRECT(CONCATENATE($FK$12,Fixtures!HI$25))="","",IF(INDIRECT(CONCATENATE($FK$12,Fixtures!HI$25))=Fixtures!$DN42,CONCATENATE(HI$10,", "),""))</f>
        <v/>
      </c>
      <c r="HJ42" s="632" t="str">
        <f ca="1">IF(INDIRECT(CONCATENATE($FK$12,Fixtures!HJ$25))="","",IF(INDIRECT(CONCATENATE($FK$12,Fixtures!HJ$25))=Fixtures!$DN42,CONCATENATE(HJ$10,", "),""))</f>
        <v/>
      </c>
      <c r="HK42" s="632" t="str">
        <f ca="1">IF(INDIRECT(CONCATENATE($FK$12,Fixtures!HK$25))="","",IF(INDIRECT(CONCATENATE($FK$12,Fixtures!HK$25))=Fixtures!$DN42,CONCATENATE(HK$10,", "),""))</f>
        <v/>
      </c>
      <c r="HL42" s="632" t="str">
        <f ca="1">IF(INDIRECT(CONCATENATE($FK$12,Fixtures!HL$25))="","",IF(INDIRECT(CONCATENATE($FK$12,Fixtures!HL$25))=Fixtures!$DN42,CONCATENATE(HL$10,", "),""))</f>
        <v/>
      </c>
      <c r="HM42" s="606" t="str">
        <f ca="1">IF(INDIRECT(CONCATENATE($FK$12,Fixtures!HM$25))="","",IF(INDIRECT(CONCATENATE($FK$12,Fixtures!HM$25))=Fixtures!$DN42,CONCATENATE(HM$10,", "),""))</f>
        <v/>
      </c>
      <c r="HN42" s="607" t="str">
        <f ca="1">IF(INDIRECT(CONCATENATE($FK$12,Fixtures!HN$25))="","",IF(INDIRECT(CONCATENATE($FK$12,Fixtures!HN$25))=Fixtures!$DN42,CONCATENATE(HN$10,", "),""))</f>
        <v/>
      </c>
      <c r="HO42" s="632" t="str">
        <f ca="1">IF(INDIRECT(CONCATENATE($FK$12,Fixtures!HO$25))="","",IF(INDIRECT(CONCATENATE($FK$12,Fixtures!HO$25))=Fixtures!$DN42,CONCATENATE(HO$10,", "),""))</f>
        <v/>
      </c>
      <c r="HP42" s="632" t="str">
        <f ca="1">IF(INDIRECT(CONCATENATE($FK$12,Fixtures!HP$25))="","",IF(INDIRECT(CONCATENATE($FK$12,Fixtures!HP$25))=Fixtures!$DN42,CONCATENATE(HP$10,", "),""))</f>
        <v/>
      </c>
      <c r="HQ42" s="632" t="str">
        <f ca="1">IF(INDIRECT(CONCATENATE($FK$12,Fixtures!HQ$25))="","",IF(INDIRECT(CONCATENATE($FK$12,Fixtures!HQ$25))=Fixtures!$DN42,CONCATENATE(HQ$10,", "),""))</f>
        <v/>
      </c>
      <c r="HR42" s="632" t="str">
        <f ca="1">IF(INDIRECT(CONCATENATE($FK$12,Fixtures!HR$25))="","",IF(INDIRECT(CONCATENATE($FK$12,Fixtures!HR$25))=Fixtures!$DN42,CONCATENATE(HR$10,", "),""))</f>
        <v/>
      </c>
      <c r="HS42" s="632" t="str">
        <f ca="1">IF(INDIRECT(CONCATENATE($FK$12,Fixtures!HS$25))="","",IF(INDIRECT(CONCATENATE($FK$12,Fixtures!HS$25))=Fixtures!$DN42,CONCATENATE(HS$10,", "),""))</f>
        <v/>
      </c>
      <c r="HT42" s="632" t="str">
        <f ca="1">IF(INDIRECT(CONCATENATE($FK$12,Fixtures!HT$25))="","",IF(INDIRECT(CONCATENATE($FK$12,Fixtures!HT$25))=Fixtures!$DN42,CONCATENATE(HT$10,", "),""))</f>
        <v/>
      </c>
      <c r="HU42" s="632" t="str">
        <f ca="1">IF(INDIRECT(CONCATENATE($FK$12,Fixtures!HU$25))="","",IF(INDIRECT(CONCATENATE($FK$12,Fixtures!HU$25))=Fixtures!$DN42,CONCATENATE(HU$10,", "),""))</f>
        <v/>
      </c>
      <c r="HV42" s="632" t="str">
        <f ca="1">IF(INDIRECT(CONCATENATE($FK$12,Fixtures!HV$25))="","",IF(INDIRECT(CONCATENATE($FK$12,Fixtures!HV$25))=Fixtures!$DN42,CONCATENATE(HV$10,", "),""))</f>
        <v/>
      </c>
      <c r="HW42" s="632" t="str">
        <f ca="1">IF(INDIRECT(CONCATENATE($FK$12,Fixtures!HW$25))="","",IF(INDIRECT(CONCATENATE($FK$12,Fixtures!HW$25))=Fixtures!$DN42,CONCATENATE(HW$10,", "),""))</f>
        <v/>
      </c>
      <c r="HX42" s="632" t="str">
        <f ca="1">IF(INDIRECT(CONCATENATE($FK$12,Fixtures!HX$25))="","",IF(INDIRECT(CONCATENATE($FK$12,Fixtures!HX$25))=Fixtures!$DN42,CONCATENATE(HX$10,", "),""))</f>
        <v/>
      </c>
      <c r="HY42" s="632" t="str">
        <f ca="1">IF(INDIRECT(CONCATENATE($FK$12,Fixtures!HY$25))="","",IF(INDIRECT(CONCATENATE($FK$12,Fixtures!HY$25))=Fixtures!$DN42,CONCATENATE(HY$10,", "),""))</f>
        <v/>
      </c>
      <c r="HZ42" s="632" t="str">
        <f ca="1">IF(INDIRECT(CONCATENATE($FK$12,Fixtures!HZ$25))="","",IF(INDIRECT(CONCATENATE($FK$12,Fixtures!HZ$25))=Fixtures!$DN42,CONCATENATE(HZ$10,", "),""))</f>
        <v/>
      </c>
      <c r="IA42" s="632" t="str">
        <f ca="1">IF(INDIRECT(CONCATENATE($FK$12,Fixtures!IA$25))="","",IF(INDIRECT(CONCATENATE($FK$12,Fixtures!IA$25))=Fixtures!$DN42,CONCATENATE(IA$10,", "),""))</f>
        <v/>
      </c>
      <c r="IB42" s="606" t="str">
        <f ca="1">IF(INDIRECT(CONCATENATE($FK$12,Fixtures!IB$25))="","",IF(INDIRECT(CONCATENATE($FK$12,Fixtures!IB$25))=Fixtures!$DN42,CONCATENATE(IB$10,", "),""))</f>
        <v/>
      </c>
      <c r="IC42" s="607" t="str">
        <f ca="1">IF(INDIRECT(CONCATENATE($FK$12,Fixtures!IC$25))="","",IF(INDIRECT(CONCATENATE($FK$12,Fixtures!IC$25))=Fixtures!$DN42,CONCATENATE(IC$10,", "),""))</f>
        <v/>
      </c>
      <c r="ID42" s="632" t="str">
        <f ca="1">IF(INDIRECT(CONCATENATE($FK$12,Fixtures!ID$25))="","",IF(INDIRECT(CONCATENATE($FK$12,Fixtures!ID$25))=Fixtures!$DN42,CONCATENATE(ID$10,", "),""))</f>
        <v/>
      </c>
      <c r="IE42" s="632" t="str">
        <f ca="1">IF(INDIRECT(CONCATENATE($FK$12,Fixtures!IE$25))="","",IF(INDIRECT(CONCATENATE($FK$12,Fixtures!IE$25))=Fixtures!$DN42,CONCATENATE(IE$10,", "),""))</f>
        <v/>
      </c>
      <c r="IF42" s="632" t="str">
        <f ca="1">IF(INDIRECT(CONCATENATE($FK$12,Fixtures!IF$25))="","",IF(INDIRECT(CONCATENATE($FK$12,Fixtures!IF$25))=Fixtures!$DN42,CONCATENATE(IF$10,", "),""))</f>
        <v/>
      </c>
      <c r="IG42" s="632" t="str">
        <f ca="1">IF(INDIRECT(CONCATENATE($FK$12,Fixtures!IG$25))="","",IF(INDIRECT(CONCATENATE($FK$12,Fixtures!IG$25))=Fixtures!$DN42,CONCATENATE(IG$10,", "),""))</f>
        <v/>
      </c>
      <c r="IH42" s="632" t="str">
        <f ca="1">IF(INDIRECT(CONCATENATE($FK$12,Fixtures!IH$25))="","",IF(INDIRECT(CONCATENATE($FK$12,Fixtures!IH$25))=Fixtures!$DN42,CONCATENATE(IH$10,", "),""))</f>
        <v/>
      </c>
      <c r="II42" s="632" t="str">
        <f ca="1">IF(INDIRECT(CONCATENATE($FK$12,Fixtures!II$25))="","",IF(INDIRECT(CONCATENATE($FK$12,Fixtures!II$25))=Fixtures!$DN42,CONCATENATE(II$10,", "),""))</f>
        <v/>
      </c>
      <c r="IJ42" s="632" t="str">
        <f ca="1">IF(INDIRECT(CONCATENATE($FK$12,Fixtures!IJ$25))="","",IF(INDIRECT(CONCATENATE($FK$12,Fixtures!IJ$25))=Fixtures!$DN42,CONCATENATE(IJ$10,", "),""))</f>
        <v/>
      </c>
      <c r="IK42" s="632" t="str">
        <f ca="1">IF(INDIRECT(CONCATENATE($FK$12,Fixtures!IK$25))="","",IF(INDIRECT(CONCATENATE($FK$12,Fixtures!IK$25))=Fixtures!$DN42,CONCATENATE(IK$10,", "),""))</f>
        <v/>
      </c>
      <c r="IL42" s="632" t="str">
        <f ca="1">IF(INDIRECT(CONCATENATE($FK$12,Fixtures!IL$25))="","",IF(INDIRECT(CONCATENATE($FK$12,Fixtures!IL$25))=Fixtures!$DN42,CONCATENATE(IL$10,", "),""))</f>
        <v/>
      </c>
      <c r="IM42" s="632" t="str">
        <f ca="1">IF(INDIRECT(CONCATENATE($FK$12,Fixtures!IM$25))="","",IF(INDIRECT(CONCATENATE($FK$12,Fixtures!IM$25))=Fixtures!$DN42,CONCATENATE(IM$10,", "),""))</f>
        <v/>
      </c>
      <c r="IN42" s="632" t="str">
        <f ca="1">IF(INDIRECT(CONCATENATE($FK$12,Fixtures!IN$25))="","",IF(INDIRECT(CONCATENATE($FK$12,Fixtures!IN$25))=Fixtures!$DN42,CONCATENATE(IN$10,", "),""))</f>
        <v/>
      </c>
      <c r="IO42" s="632" t="str">
        <f ca="1">IF(INDIRECT(CONCATENATE($FK$12,Fixtures!IO$25))="","",IF(INDIRECT(CONCATENATE($FK$12,Fixtures!IO$25))=Fixtures!$DN42,CONCATENATE(IO$10,", "),""))</f>
        <v/>
      </c>
      <c r="IP42" s="632" t="str">
        <f ca="1">IF(INDIRECT(CONCATENATE($FK$12,Fixtures!IP$25))="","",IF(INDIRECT(CONCATENATE($FK$12,Fixtures!IP$25))=Fixtures!$DN42,CONCATENATE(IP$10,", "),""))</f>
        <v/>
      </c>
      <c r="IQ42" s="606" t="str">
        <f ca="1">IF(INDIRECT(CONCATENATE($FK$12,Fixtures!IQ$25))="","",IF(INDIRECT(CONCATENATE($FK$12,Fixtures!IQ$25))=Fixtures!$DN42,CONCATENATE(IQ$10,", "),""))</f>
        <v/>
      </c>
      <c r="IR42" s="607" t="str">
        <f ca="1">IF(INDIRECT(CONCATENATE($FK$12,Fixtures!IR$25))="","",IF(INDIRECT(CONCATENATE($FK$12,Fixtures!IR$25))=Fixtures!$DN42,CONCATENATE(IR$10,", "),""))</f>
        <v/>
      </c>
      <c r="IS42" s="632" t="str">
        <f ca="1">IF(INDIRECT(CONCATENATE($FK$12,Fixtures!IS$25))="","",IF(INDIRECT(CONCATENATE($FK$12,Fixtures!IS$25))=Fixtures!$DN42,CONCATENATE(IS$10,", "),""))</f>
        <v/>
      </c>
      <c r="IT42" s="632" t="str">
        <f ca="1">IF(INDIRECT(CONCATENATE($FK$12,Fixtures!IT$25))="","",IF(INDIRECT(CONCATENATE($FK$12,Fixtures!IT$25))=Fixtures!$DN42,CONCATENATE(IT$10,", "),""))</f>
        <v/>
      </c>
      <c r="IU42" s="632" t="str">
        <f ca="1">IF(INDIRECT(CONCATENATE($FK$12,Fixtures!IU$25))="","",IF(INDIRECT(CONCATENATE($FK$12,Fixtures!IU$25))=Fixtures!$DN42,CONCATENATE(IU$10,", "),""))</f>
        <v/>
      </c>
      <c r="IV42" s="632" t="str">
        <f ca="1">IF(INDIRECT(CONCATENATE($FK$12,Fixtures!IV$25))="","",IF(INDIRECT(CONCATENATE($FK$12,Fixtures!IV$25))=Fixtures!$DN42,CONCATENATE(IV$10,", "),""))</f>
        <v/>
      </c>
      <c r="IW42" s="632" t="str">
        <f ca="1">IF(INDIRECT(CONCATENATE($FK$12,Fixtures!IW$25))="","",IF(INDIRECT(CONCATENATE($FK$12,Fixtures!IW$25))=Fixtures!$DN42,CONCATENATE(IW$10,", "),""))</f>
        <v/>
      </c>
      <c r="IX42" s="632" t="str">
        <f ca="1">IF(INDIRECT(CONCATENATE($FK$12,Fixtures!IX$25))="","",IF(INDIRECT(CONCATENATE($FK$12,Fixtures!IX$25))=Fixtures!$DN42,CONCATENATE(IX$10,", "),""))</f>
        <v/>
      </c>
      <c r="IY42" s="632" t="str">
        <f ca="1">IF(INDIRECT(CONCATENATE($FK$12,Fixtures!IY$25))="","",IF(INDIRECT(CONCATENATE($FK$12,Fixtures!IY$25))=Fixtures!$DN42,CONCATENATE(IY$10,", "),""))</f>
        <v/>
      </c>
      <c r="IZ42" s="632" t="str">
        <f ca="1">IF(INDIRECT(CONCATENATE($FK$12,Fixtures!IZ$25))="","",IF(INDIRECT(CONCATENATE($FK$12,Fixtures!IZ$25))=Fixtures!$DN42,CONCATENATE(IZ$10,", "),""))</f>
        <v/>
      </c>
      <c r="JA42" s="632" t="str">
        <f ca="1">IF(INDIRECT(CONCATENATE($FK$12,Fixtures!JA$25))="","",IF(INDIRECT(CONCATENATE($FK$12,Fixtures!JA$25))=Fixtures!$DN42,CONCATENATE(JA$10,", "),""))</f>
        <v/>
      </c>
      <c r="JB42" s="632" t="str">
        <f ca="1">IF(INDIRECT(CONCATENATE($FK$12,Fixtures!JB$25))="","",IF(INDIRECT(CONCATENATE($FK$12,Fixtures!JB$25))=Fixtures!$DN42,CONCATENATE(JB$10,", "),""))</f>
        <v/>
      </c>
      <c r="JC42" s="632" t="str">
        <f ca="1">IF(INDIRECT(CONCATENATE($FK$12,Fixtures!JC$25))="","",IF(INDIRECT(CONCATENATE($FK$12,Fixtures!JC$25))=Fixtures!$DN42,CONCATENATE(JC$10,", "),""))</f>
        <v/>
      </c>
      <c r="JD42" s="632" t="str">
        <f ca="1">IF(INDIRECT(CONCATENATE($FK$12,Fixtures!JD$25))="","",IF(INDIRECT(CONCATENATE($FK$12,Fixtures!JD$25))=Fixtures!$DN42,CONCATENATE(JD$10,", "),""))</f>
        <v/>
      </c>
      <c r="JE42" s="632" t="str">
        <f ca="1">IF(INDIRECT(CONCATENATE($FK$12,Fixtures!JE$25))="","",IF(INDIRECT(CONCATENATE($FK$12,Fixtures!JE$25))=Fixtures!$DN42,CONCATENATE(JE$10,", "),""))</f>
        <v/>
      </c>
      <c r="JF42" s="606" t="str">
        <f ca="1">IF(INDIRECT(CONCATENATE($FK$12,Fixtures!JF$25))="","",IF(INDIRECT(CONCATENATE($FK$12,Fixtures!JF$25))=Fixtures!$DN42,CONCATENATE(JF$10,", "),""))</f>
        <v/>
      </c>
      <c r="JG42" s="607" t="str">
        <f ca="1">IF(INDIRECT(CONCATENATE($FK$12,Fixtures!JG$25))="","",IF(INDIRECT(CONCATENATE($FK$12,Fixtures!JG$25))=Fixtures!$DN42,CONCATENATE(JG$10,", "),""))</f>
        <v/>
      </c>
      <c r="JH42" s="632" t="str">
        <f ca="1">IF(INDIRECT(CONCATENATE($FK$12,Fixtures!JH$25))="","",IF(INDIRECT(CONCATENATE($FK$12,Fixtures!JH$25))=Fixtures!$DN42,CONCATENATE(JH$10,", "),""))</f>
        <v/>
      </c>
      <c r="JI42" s="632" t="str">
        <f ca="1">IF(INDIRECT(CONCATENATE($FK$12,Fixtures!JI$25))="","",IF(INDIRECT(CONCATENATE($FK$12,Fixtures!JI$25))=Fixtures!$DN42,CONCATENATE(JI$10,", "),""))</f>
        <v/>
      </c>
      <c r="JJ42" s="632" t="str">
        <f ca="1">IF(INDIRECT(CONCATENATE($FK$12,Fixtures!JJ$25))="","",IF(INDIRECT(CONCATENATE($FK$12,Fixtures!JJ$25))=Fixtures!$DN42,CONCATENATE(JJ$10,", "),""))</f>
        <v/>
      </c>
      <c r="JK42" s="632" t="str">
        <f ca="1">IF(INDIRECT(CONCATENATE($FK$12,Fixtures!JK$25))="","",IF(INDIRECT(CONCATENATE($FK$12,Fixtures!JK$25))=Fixtures!$DN42,CONCATENATE(JK$10,", "),""))</f>
        <v/>
      </c>
      <c r="JL42" s="632" t="str">
        <f ca="1">IF(INDIRECT(CONCATENATE($FK$12,Fixtures!JL$25))="","",IF(INDIRECT(CONCATENATE($FK$12,Fixtures!JL$25))=Fixtures!$DN42,CONCATENATE(JL$10,", "),""))</f>
        <v/>
      </c>
      <c r="JM42" s="632" t="str">
        <f ca="1">IF(INDIRECT(CONCATENATE($FK$12,Fixtures!JM$25))="","",IF(INDIRECT(CONCATENATE($FK$12,Fixtures!JM$25))=Fixtures!$DN42,CONCATENATE(JM$10,", "),""))</f>
        <v/>
      </c>
      <c r="JN42" s="632" t="str">
        <f ca="1">IF(INDIRECT(CONCATENATE($FK$12,Fixtures!JN$25))="","",IF(INDIRECT(CONCATENATE($FK$12,Fixtures!JN$25))=Fixtures!$DN42,CONCATENATE(JN$10,", "),""))</f>
        <v/>
      </c>
      <c r="JO42" s="632" t="str">
        <f ca="1">IF(INDIRECT(CONCATENATE($FK$12,Fixtures!JO$25))="","",IF(INDIRECT(CONCATENATE($FK$12,Fixtures!JO$25))=Fixtures!$DN42,CONCATENATE(JO$10,", "),""))</f>
        <v/>
      </c>
      <c r="JP42" s="632" t="str">
        <f ca="1">IF(INDIRECT(CONCATENATE($FK$12,Fixtures!JP$25))="","",IF(INDIRECT(CONCATENATE($FK$12,Fixtures!JP$25))=Fixtures!$DN42,CONCATENATE(JP$10,", "),""))</f>
        <v/>
      </c>
      <c r="JQ42" s="632" t="str">
        <f ca="1">IF(INDIRECT(CONCATENATE($FK$12,Fixtures!JQ$25))="","",IF(INDIRECT(CONCATENATE($FK$12,Fixtures!JQ$25))=Fixtures!$DN42,CONCATENATE(JQ$10,", "),""))</f>
        <v/>
      </c>
      <c r="JR42" s="632" t="str">
        <f ca="1">IF(INDIRECT(CONCATENATE($FK$12,Fixtures!JR$25))="","",IF(INDIRECT(CONCATENATE($FK$12,Fixtures!JR$25))=Fixtures!$DN42,CONCATENATE(JR$10,", "),""))</f>
        <v/>
      </c>
      <c r="JS42" s="632" t="str">
        <f ca="1">IF(INDIRECT(CONCATENATE($FK$12,Fixtures!JS$25))="","",IF(INDIRECT(CONCATENATE($FK$12,Fixtures!JS$25))=Fixtures!$DN42,CONCATENATE(JS$10,", "),""))</f>
        <v/>
      </c>
      <c r="JT42" s="632" t="str">
        <f ca="1">IF(INDIRECT(CONCATENATE($FK$12,Fixtures!JT$25))="","",IF(INDIRECT(CONCATENATE($FK$12,Fixtures!JT$25))=Fixtures!$DN42,CONCATENATE(JT$10,", "),""))</f>
        <v/>
      </c>
      <c r="JU42" s="606" t="str">
        <f ca="1">IF(INDIRECT(CONCATENATE($FK$12,Fixtures!JU$25))="","",IF(INDIRECT(CONCATENATE($FK$12,Fixtures!JU$25))=Fixtures!$DN42,CONCATENATE(JU$10,", "),""))</f>
        <v/>
      </c>
      <c r="JV42" s="607" t="str">
        <f ca="1">IF(INDIRECT(CONCATENATE($FK$12,Fixtures!JV$25))="","",IF(INDIRECT(CONCATENATE($FK$12,Fixtures!JV$25))=Fixtures!$DN42,CONCATENATE(JV$10,", "),""))</f>
        <v/>
      </c>
      <c r="JW42" s="632" t="str">
        <f ca="1">IF(INDIRECT(CONCATENATE($FK$12,Fixtures!JW$25))="","",IF(INDIRECT(CONCATENATE($FK$12,Fixtures!JW$25))=Fixtures!$DN42,CONCATENATE(JW$10,", "),""))</f>
        <v/>
      </c>
      <c r="JX42" s="632" t="str">
        <f ca="1">IF(INDIRECT(CONCATENATE($FK$12,Fixtures!JX$25))="","",IF(INDIRECT(CONCATENATE($FK$12,Fixtures!JX$25))=Fixtures!$DN42,CONCATENATE(JX$10,", "),""))</f>
        <v/>
      </c>
      <c r="JY42" s="632" t="str">
        <f ca="1">IF(INDIRECT(CONCATENATE($FK$12,Fixtures!JY$25))="","",IF(INDIRECT(CONCATENATE($FK$12,Fixtures!JY$25))=Fixtures!$DN42,CONCATENATE(JY$10,", "),""))</f>
        <v/>
      </c>
      <c r="JZ42" s="632" t="str">
        <f ca="1">IF(INDIRECT(CONCATENATE($FK$12,Fixtures!JZ$25))="","",IF(INDIRECT(CONCATENATE($FK$12,Fixtures!JZ$25))=Fixtures!$DN42,CONCATENATE(JZ$10,", "),""))</f>
        <v/>
      </c>
      <c r="KA42" s="632" t="str">
        <f ca="1">IF(INDIRECT(CONCATENATE($FK$12,Fixtures!KA$25))="","",IF(INDIRECT(CONCATENATE($FK$12,Fixtures!KA$25))=Fixtures!$DN42,CONCATENATE(KA$10,", "),""))</f>
        <v/>
      </c>
      <c r="KB42" s="632" t="str">
        <f ca="1">IF(INDIRECT(CONCATENATE($FK$12,Fixtures!KB$25))="","",IF(INDIRECT(CONCATENATE($FK$12,Fixtures!KB$25))=Fixtures!$DN42,CONCATENATE(KB$10,", "),""))</f>
        <v/>
      </c>
      <c r="KC42" s="632" t="str">
        <f ca="1">IF(INDIRECT(CONCATENATE($FK$12,Fixtures!KC$25))="","",IF(INDIRECT(CONCATENATE($FK$12,Fixtures!KC$25))=Fixtures!$DN42,CONCATENATE(KC$10,", "),""))</f>
        <v/>
      </c>
      <c r="KD42" s="632" t="str">
        <f ca="1">IF(INDIRECT(CONCATENATE($FK$12,Fixtures!KD$25))="","",IF(INDIRECT(CONCATENATE($FK$12,Fixtures!KD$25))=Fixtures!$DN42,CONCATENATE(KD$10,", "),""))</f>
        <v/>
      </c>
      <c r="KE42" s="632" t="str">
        <f ca="1">IF(INDIRECT(CONCATENATE($FK$12,Fixtures!KE$25))="","",IF(INDIRECT(CONCATENATE($FK$12,Fixtures!KE$25))=Fixtures!$DN42,CONCATENATE(KE$10,", "),""))</f>
        <v/>
      </c>
      <c r="KF42" s="632" t="str">
        <f ca="1">IF(INDIRECT(CONCATENATE($FK$12,Fixtures!KF$25))="","",IF(INDIRECT(CONCATENATE($FK$12,Fixtures!KF$25))=Fixtures!$DN42,CONCATENATE(KF$10,", "),""))</f>
        <v/>
      </c>
      <c r="KG42" s="632" t="str">
        <f ca="1">IF(INDIRECT(CONCATENATE($FK$12,Fixtures!KG$25))="","",IF(INDIRECT(CONCATENATE($FK$12,Fixtures!KG$25))=Fixtures!$DN42,CONCATENATE(KG$10,", "),""))</f>
        <v/>
      </c>
      <c r="KH42" s="632" t="str">
        <f ca="1">IF(INDIRECT(CONCATENATE($FK$12,Fixtures!KH$25))="","",IF(INDIRECT(CONCATENATE($FK$12,Fixtures!KH$25))=Fixtures!$DN42,CONCATENATE(KH$10,", "),""))</f>
        <v/>
      </c>
      <c r="KI42" s="632" t="str">
        <f ca="1">IF(INDIRECT(CONCATENATE($FK$12,Fixtures!KI$25))="","",IF(INDIRECT(CONCATENATE($FK$12,Fixtures!KI$25))=Fixtures!$DN42,CONCATENATE(KI$10,", "),""))</f>
        <v/>
      </c>
      <c r="KJ42" s="606" t="str">
        <f ca="1">IF(INDIRECT(CONCATENATE($FK$12,Fixtures!KJ$25))="","",IF(INDIRECT(CONCATENATE($FK$12,Fixtures!KJ$25))=Fixtures!$DN42,CONCATENATE(KJ$10,", "),""))</f>
        <v/>
      </c>
      <c r="KK42" s="607" t="str">
        <f ca="1">IF(INDIRECT(CONCATENATE($FK$12,Fixtures!KK$25))="","",IF(INDIRECT(CONCATENATE($FK$12,Fixtures!KK$25))=Fixtures!$DN42,CONCATENATE(KK$10,", "),""))</f>
        <v/>
      </c>
      <c r="KL42" s="632" t="str">
        <f ca="1">IF(INDIRECT(CONCATENATE($FK$12,Fixtures!KL$25))="","",IF(INDIRECT(CONCATENATE($FK$12,Fixtures!KL$25))=Fixtures!$DN42,CONCATENATE(KL$10,", "),""))</f>
        <v/>
      </c>
      <c r="KM42" s="632" t="str">
        <f ca="1">IF(INDIRECT(CONCATENATE($FK$12,Fixtures!KM$25))="","",IF(INDIRECT(CONCATENATE($FK$12,Fixtures!KM$25))=Fixtures!$DN42,CONCATENATE(KM$10,", "),""))</f>
        <v/>
      </c>
      <c r="KN42" s="632" t="str">
        <f ca="1">IF(INDIRECT(CONCATENATE($FK$12,Fixtures!KN$25))="","",IF(INDIRECT(CONCATENATE($FK$12,Fixtures!KN$25))=Fixtures!$DN42,CONCATENATE(KN$10,", "),""))</f>
        <v/>
      </c>
      <c r="KO42" s="632" t="str">
        <f ca="1">IF(INDIRECT(CONCATENATE($FK$12,Fixtures!KO$25))="","",IF(INDIRECT(CONCATENATE($FK$12,Fixtures!KO$25))=Fixtures!$DN42,CONCATENATE(KO$10,", "),""))</f>
        <v/>
      </c>
      <c r="KP42" s="632" t="str">
        <f ca="1">IF(INDIRECT(CONCATENATE($FK$12,Fixtures!KP$25))="","",IF(INDIRECT(CONCATENATE($FK$12,Fixtures!KP$25))=Fixtures!$DN42,CONCATENATE(KP$10,", "),""))</f>
        <v/>
      </c>
      <c r="KQ42" s="632" t="str">
        <f ca="1">IF(INDIRECT(CONCATENATE($FK$12,Fixtures!KQ$25))="","",IF(INDIRECT(CONCATENATE($FK$12,Fixtures!KQ$25))=Fixtures!$DN42,CONCATENATE(KQ$10,", "),""))</f>
        <v/>
      </c>
      <c r="KR42" s="632" t="str">
        <f ca="1">IF(INDIRECT(CONCATENATE($FK$12,Fixtures!KR$25))="","",IF(INDIRECT(CONCATENATE($FK$12,Fixtures!KR$25))=Fixtures!$DN42,CONCATENATE(KR$10,", "),""))</f>
        <v/>
      </c>
      <c r="KS42" s="632" t="str">
        <f ca="1">IF(INDIRECT(CONCATENATE($FK$12,Fixtures!KS$25))="","",IF(INDIRECT(CONCATENATE($FK$12,Fixtures!KS$25))=Fixtures!$DN42,CONCATENATE(KS$10,", "),""))</f>
        <v/>
      </c>
      <c r="KT42" s="632" t="str">
        <f ca="1">IF(INDIRECT(CONCATENATE($FK$12,Fixtures!KT$25))="","",IF(INDIRECT(CONCATENATE($FK$12,Fixtures!KT$25))=Fixtures!$DN42,CONCATENATE(KT$10,", "),""))</f>
        <v/>
      </c>
      <c r="KU42" s="632" t="str">
        <f ca="1">IF(INDIRECT(CONCATENATE($FK$12,Fixtures!KU$25))="","",IF(INDIRECT(CONCATENATE($FK$12,Fixtures!KU$25))=Fixtures!$DN42,CONCATENATE(KU$10,", "),""))</f>
        <v/>
      </c>
      <c r="KV42" s="632" t="str">
        <f ca="1">IF(INDIRECT(CONCATENATE($FK$12,Fixtures!KV$25))="","",IF(INDIRECT(CONCATENATE($FK$12,Fixtures!KV$25))=Fixtures!$DN42,CONCATENATE(KV$10,", "),""))</f>
        <v/>
      </c>
      <c r="KW42" s="632" t="str">
        <f ca="1">IF(INDIRECT(CONCATENATE($FK$12,Fixtures!KW$25))="","",IF(INDIRECT(CONCATENATE($FK$12,Fixtures!KW$25))=Fixtures!$DN42,CONCATENATE(KW$10,", "),""))</f>
        <v/>
      </c>
      <c r="KX42" s="632" t="str">
        <f ca="1">IF(INDIRECT(CONCATENATE($FK$12,Fixtures!KX$25))="","",IF(INDIRECT(CONCATENATE($FK$12,Fixtures!KX$25))=Fixtures!$DN42,CONCATENATE(KX$10,", "),""))</f>
        <v/>
      </c>
      <c r="KY42" s="632"/>
      <c r="KZ42" s="46"/>
      <c r="LA42" s="46" t="str">
        <f t="shared" ca="1" si="7"/>
        <v/>
      </c>
      <c r="LB42" s="46"/>
      <c r="LC42" s="1010"/>
      <c r="LD42" s="1009" t="str">
        <f t="shared" si="20"/>
        <v/>
      </c>
    </row>
    <row r="43" spans="1:316" ht="28.2" customHeight="1" thickTop="1" thickBot="1">
      <c r="A43" s="426" t="str">
        <f t="shared" si="13"/>
        <v/>
      </c>
      <c r="C43" s="1640" t="str">
        <f t="shared" si="14"/>
        <v/>
      </c>
      <c r="D43" s="1641"/>
      <c r="E43" s="1568" t="str">
        <f t="shared" si="15"/>
        <v/>
      </c>
      <c r="F43" s="1569"/>
      <c r="G43" s="1569"/>
      <c r="H43" s="1569"/>
      <c r="I43" s="1569"/>
      <c r="J43" s="1569"/>
      <c r="K43" s="1569"/>
      <c r="L43" s="1569"/>
      <c r="M43" s="1642"/>
      <c r="N43" s="203" t="str">
        <f t="shared" si="16"/>
        <v/>
      </c>
      <c r="O43" s="12"/>
      <c r="P43" s="1638" t="str">
        <f t="shared" si="25"/>
        <v/>
      </c>
      <c r="Q43" s="1639"/>
      <c r="R43" s="1568" t="str">
        <f t="shared" si="30"/>
        <v/>
      </c>
      <c r="S43" s="1569"/>
      <c r="T43" s="1569"/>
      <c r="U43" s="1569"/>
      <c r="V43" s="1569"/>
      <c r="W43" s="1569"/>
      <c r="X43" s="1569"/>
      <c r="Y43" s="203" t="str">
        <f t="shared" si="26"/>
        <v/>
      </c>
      <c r="Z43" s="203" t="str">
        <f t="shared" si="27"/>
        <v/>
      </c>
      <c r="AA43" s="394" t="str">
        <f t="shared" si="28"/>
        <v/>
      </c>
      <c r="AB43" s="489"/>
      <c r="AC43" s="1564" t="str">
        <f t="shared" si="18"/>
        <v/>
      </c>
      <c r="AD43" s="1565"/>
      <c r="AE43" s="1565"/>
      <c r="AF43" s="1565"/>
      <c r="AG43" s="1565"/>
      <c r="AH43" s="1565"/>
      <c r="AK43">
        <f>SUMIFS(Installations!CV$46:CV$803,Installations!CW$46:CW$803,E43,Installations!IC$46:IC$803,TRUE)</f>
        <v>0</v>
      </c>
      <c r="AL43">
        <f>SUMIFS(Installations!CV$46:CV$803,Installations!CW$46:CW$803,R43,Installations!IC$46:IC$803,TRUE)</f>
        <v>0</v>
      </c>
      <c r="BL43" s="9"/>
      <c r="BM43" s="622" t="str">
        <f t="shared" si="19"/>
        <v/>
      </c>
      <c r="BN43" s="52"/>
      <c r="BO43" s="52"/>
      <c r="BP43" s="52"/>
      <c r="BQ43" s="52"/>
      <c r="BR43" s="52"/>
      <c r="BS43" s="52"/>
      <c r="BT43" s="52"/>
      <c r="BU43" s="373"/>
      <c r="BV43" s="219" t="str">
        <f>IF(CN43&lt;&gt;"Yes","",IFERROR(VLOOKUP(CU43,Existing!A$4:F$367,2,FALSE),""))</f>
        <v/>
      </c>
      <c r="BW43" s="9">
        <v>17</v>
      </c>
      <c r="BX43" s="1625"/>
      <c r="BY43" s="1626"/>
      <c r="BZ43" s="1626"/>
      <c r="CA43" s="1627"/>
      <c r="CB43" s="1622"/>
      <c r="CC43" s="1623"/>
      <c r="CD43" s="1623"/>
      <c r="CE43" s="1624"/>
      <c r="CF43" s="1621"/>
      <c r="CG43" s="1621"/>
      <c r="CH43" s="1621"/>
      <c r="CI43" s="1621"/>
      <c r="CJ43" s="1621"/>
      <c r="CK43" s="1621"/>
      <c r="CL43" s="1621"/>
      <c r="CM43" s="1621"/>
      <c r="CN43" s="1553" t="str">
        <f t="shared" si="0"/>
        <v/>
      </c>
      <c r="CO43" s="1554"/>
      <c r="CP43" s="229" t="str">
        <f>IFERROR(IF(CB43="Existing TLED",CR43*CW43*CY43,VLOOKUP(CU43,Existing!A$3:F$356,6,FALSE)),"")</f>
        <v/>
      </c>
      <c r="CQ43" s="9"/>
      <c r="CR43" s="1660"/>
      <c r="CS43" s="1661"/>
      <c r="CT43" s="9"/>
      <c r="CU43" s="425" t="str">
        <f t="shared" si="21"/>
        <v/>
      </c>
      <c r="CV43" s="426" t="b">
        <f t="shared" si="22"/>
        <v>0</v>
      </c>
      <c r="CW43" s="426" t="str">
        <f t="shared" si="23"/>
        <v/>
      </c>
      <c r="CX43" s="426">
        <f>IFERROR(VLOOKUP(CF43,Lookup!T$100:V$102,3,FALSE),0)</f>
        <v>0</v>
      </c>
      <c r="CY43" s="426">
        <f t="shared" si="8"/>
        <v>1.1100000000000001</v>
      </c>
      <c r="CZ43" s="626" t="b">
        <f t="shared" si="1"/>
        <v>0</v>
      </c>
      <c r="DA43" s="626" t="b">
        <f>IF(CF43&lt;&gt;"",IF(ISERROR(MATCH(CONCATENATE(CB43," - ",CF43),Existing!G$4:G$331,0))=TRUE,FALSE,TRUE),TRUE)</f>
        <v>1</v>
      </c>
      <c r="DB43" s="626" t="b">
        <f t="shared" si="2"/>
        <v>1</v>
      </c>
      <c r="DL43" s="9"/>
      <c r="DM43" s="627" t="s">
        <v>215</v>
      </c>
      <c r="DN43" s="375" t="str">
        <f t="shared" si="3"/>
        <v/>
      </c>
      <c r="DO43" s="52"/>
      <c r="DP43" s="52"/>
      <c r="DQ43" s="52"/>
      <c r="DR43" s="52"/>
      <c r="DS43" s="52"/>
      <c r="DT43" s="226"/>
      <c r="DU43" s="376"/>
      <c r="DV43" s="227" t="str">
        <f t="shared" si="4"/>
        <v/>
      </c>
      <c r="DW43" s="224">
        <v>17</v>
      </c>
      <c r="DX43" s="1572"/>
      <c r="DY43" s="1573"/>
      <c r="DZ43" s="1573"/>
      <c r="EA43" s="1574"/>
      <c r="EB43" s="1618"/>
      <c r="EC43" s="1619"/>
      <c r="ED43" s="1619"/>
      <c r="EE43" s="1620"/>
      <c r="EF43" s="1578"/>
      <c r="EG43" s="1579"/>
      <c r="EH43" s="1618"/>
      <c r="EI43" s="1619"/>
      <c r="EJ43" s="1619"/>
      <c r="EK43" s="1620"/>
      <c r="EL43" s="1575"/>
      <c r="EM43" s="1576"/>
      <c r="EN43" s="1576"/>
      <c r="EO43" s="1577"/>
      <c r="EP43" s="1578"/>
      <c r="EQ43" s="1579"/>
      <c r="ER43" s="1555"/>
      <c r="ES43" s="1556"/>
      <c r="ET43" s="1553" t="str">
        <f t="shared" si="9"/>
        <v/>
      </c>
      <c r="EU43" s="1554"/>
      <c r="EV43" s="1553" t="str">
        <f t="shared" si="29"/>
        <v/>
      </c>
      <c r="EW43" s="1554"/>
      <c r="EX43" s="393"/>
      <c r="EY43" s="225" t="str">
        <f t="shared" si="6"/>
        <v/>
      </c>
      <c r="EZ43" s="225" t="str">
        <f>IFERROR(VLOOKUP(EB43,Lookup!AT$3:AU$13,2,FALSE),"")</f>
        <v/>
      </c>
      <c r="FA43" s="426" t="b">
        <f>IFERROR(IF(VLOOKUP(EB43,Lookup!AT$6:AU$8,2,FALSE)&gt;3,TRUE,FALSE),FALSE)</f>
        <v>0</v>
      </c>
      <c r="FB43" s="426" t="str">
        <f t="shared" si="10"/>
        <v/>
      </c>
      <c r="FC43" t="str">
        <f t="shared" ca="1" si="11"/>
        <v/>
      </c>
      <c r="FG43" t="str">
        <f t="shared" ca="1" si="12"/>
        <v/>
      </c>
      <c r="FI43" s="204" t="str">
        <f t="shared" ca="1" si="24"/>
        <v/>
      </c>
      <c r="FJ43" s="204"/>
      <c r="FK43" s="631" t="str">
        <f ca="1">IF(INDIRECT(CONCATENATE($FK$12,Fixtures!FK$25))="","",IF(INDIRECT(CONCATENATE($FK$12,Fixtures!FK$25))=Fixtures!$DN43,CONCATENATE(FK$10,", "),""))</f>
        <v/>
      </c>
      <c r="FL43" s="631" t="str">
        <f ca="1">IF(INDIRECT(CONCATENATE($FK$12,Fixtures!FL$25))="","",IF(INDIRECT(CONCATENATE($FK$12,Fixtures!FL$25))=Fixtures!$DN43,CONCATENATE(FL$10,", "),""))</f>
        <v/>
      </c>
      <c r="FM43" s="631" t="str">
        <f ca="1">IF(INDIRECT(CONCATENATE($FK$12,Fixtures!FM$25))="","",IF(INDIRECT(CONCATENATE($FK$12,Fixtures!FM$25))=Fixtures!$DN43,CONCATENATE(FM$10,", "),""))</f>
        <v/>
      </c>
      <c r="FN43" s="631" t="str">
        <f ca="1">IF(INDIRECT(CONCATENATE($FK$12,Fixtures!FN$25))="","",IF(INDIRECT(CONCATENATE($FK$12,Fixtures!FN$25))=Fixtures!$DN43,CONCATENATE(FN$10,", "),""))</f>
        <v/>
      </c>
      <c r="FO43" s="631" t="str">
        <f ca="1">IF(INDIRECT(CONCATENATE($FK$12,Fixtures!FO$25))="","",IF(INDIRECT(CONCATENATE($FK$12,Fixtures!FO$25))=Fixtures!$DN43,CONCATENATE(FO$10,", "),""))</f>
        <v/>
      </c>
      <c r="FP43" s="631" t="str">
        <f ca="1">IF(INDIRECT(CONCATENATE($FK$12,Fixtures!FP$25))="","",IF(INDIRECT(CONCATENATE($FK$12,Fixtures!FP$25))=Fixtures!$DN43,CONCATENATE(FP$10,", "),""))</f>
        <v/>
      </c>
      <c r="FQ43" s="631" t="str">
        <f ca="1">IF(INDIRECT(CONCATENATE($FK$12,Fixtures!FQ$25))="","",IF(INDIRECT(CONCATENATE($FK$12,Fixtures!FQ$25))=Fixtures!$DN43,CONCATENATE(FQ$10,", "),""))</f>
        <v/>
      </c>
      <c r="FR43" s="631" t="str">
        <f ca="1">IF(INDIRECT(CONCATENATE($FK$12,Fixtures!FR$25))="","",IF(INDIRECT(CONCATENATE($FK$12,Fixtures!FR$25))=Fixtures!$DN43,CONCATENATE(FR$10,", "),""))</f>
        <v/>
      </c>
      <c r="FS43" s="631" t="str">
        <f ca="1">IF(INDIRECT(CONCATENATE($FK$12,Fixtures!FS$25))="","",IF(INDIRECT(CONCATENATE($FK$12,Fixtures!FS$25))=Fixtures!$DN43,CONCATENATE(FS$10,", "),""))</f>
        <v/>
      </c>
      <c r="FT43" s="604" t="str">
        <f ca="1">IF(INDIRECT(CONCATENATE($FK$12,Fixtures!FT$25))="","",IF(INDIRECT(CONCATENATE($FK$12,Fixtures!FT$25))=Fixtures!$DN43,CONCATENATE(FT$10,", "),""))</f>
        <v/>
      </c>
      <c r="FU43" s="605" t="str">
        <f ca="1">IF(INDIRECT(CONCATENATE($FK$12,Fixtures!FU$25))="","",IF(INDIRECT(CONCATENATE($FK$12,Fixtures!FU$25))=Fixtures!$DN43,CONCATENATE(FU$10,", "),""))</f>
        <v/>
      </c>
      <c r="FV43" s="631" t="str">
        <f ca="1">IF(INDIRECT(CONCATENATE($FK$12,Fixtures!FV$25))="","",IF(INDIRECT(CONCATENATE($FK$12,Fixtures!FV$25))=Fixtures!$DN43,CONCATENATE(FV$10,", "),""))</f>
        <v/>
      </c>
      <c r="FW43" s="632" t="str">
        <f ca="1">IF(INDIRECT(CONCATENATE($FK$12,Fixtures!FW$25))="","",IF(INDIRECT(CONCATENATE($FK$12,Fixtures!FW$25))=Fixtures!$DN43,CONCATENATE(FW$10,", "),""))</f>
        <v/>
      </c>
      <c r="FX43" s="632" t="str">
        <f ca="1">IF(INDIRECT(CONCATENATE($FK$12,Fixtures!FX$25))="","",IF(INDIRECT(CONCATENATE($FK$12,Fixtures!FX$25))=Fixtures!$DN43,CONCATENATE(FX$10,", "),""))</f>
        <v/>
      </c>
      <c r="FY43" s="632" t="str">
        <f ca="1">IF(INDIRECT(CONCATENATE($FK$12,Fixtures!FY$25))="","",IF(INDIRECT(CONCATENATE($FK$12,Fixtures!FY$25))=Fixtures!$DN43,CONCATENATE(FY$10,", "),""))</f>
        <v/>
      </c>
      <c r="FZ43" s="632" t="str">
        <f ca="1">IF(INDIRECT(CONCATENATE($FK$12,Fixtures!FZ$25))="","",IF(INDIRECT(CONCATENATE($FK$12,Fixtures!FZ$25))=Fixtures!$DN43,CONCATENATE(FZ$10,", "),""))</f>
        <v/>
      </c>
      <c r="GA43" s="632" t="str">
        <f ca="1">IF(INDIRECT(CONCATENATE($FK$12,Fixtures!GA$25))="","",IF(INDIRECT(CONCATENATE($FK$12,Fixtures!GA$25))=Fixtures!$DN43,CONCATENATE(GA$10,", "),""))</f>
        <v/>
      </c>
      <c r="GB43" s="632" t="str">
        <f ca="1">IF(INDIRECT(CONCATENATE($FK$12,Fixtures!GB$25))="","",IF(INDIRECT(CONCATENATE($FK$12,Fixtures!GB$25))=Fixtures!$DN43,CONCATENATE(GB$10,", "),""))</f>
        <v/>
      </c>
      <c r="GC43" s="632" t="str">
        <f ca="1">IF(INDIRECT(CONCATENATE($FK$12,Fixtures!GC$25))="","",IF(INDIRECT(CONCATENATE($FK$12,Fixtures!GC$25))=Fixtures!$DN43,CONCATENATE(GC$10,", "),""))</f>
        <v/>
      </c>
      <c r="GD43" s="632" t="str">
        <f ca="1">IF(INDIRECT(CONCATENATE($FK$12,Fixtures!GD$25))="","",IF(INDIRECT(CONCATENATE($FK$12,Fixtures!GD$25))=Fixtures!$DN43,CONCATENATE(GD$10,", "),""))</f>
        <v/>
      </c>
      <c r="GE43" s="632" t="str">
        <f ca="1">IF(INDIRECT(CONCATENATE($FK$12,Fixtures!GE$25))="","",IF(INDIRECT(CONCATENATE($FK$12,Fixtures!GE$25))=Fixtures!$DN43,CONCATENATE(GE$10,", "),""))</f>
        <v/>
      </c>
      <c r="GF43" s="632" t="str">
        <f ca="1">IF(INDIRECT(CONCATENATE($FK$12,Fixtures!GF$25))="","",IF(INDIRECT(CONCATENATE($FK$12,Fixtures!GF$25))=Fixtures!$DN43,CONCATENATE(GF$10,", "),""))</f>
        <v/>
      </c>
      <c r="GG43" s="632" t="str">
        <f ca="1">IF(INDIRECT(CONCATENATE($FK$12,Fixtures!GG$25))="","",IF(INDIRECT(CONCATENATE($FK$12,Fixtures!GG$25))=Fixtures!$DN43,CONCATENATE(GG$10,", "),""))</f>
        <v/>
      </c>
      <c r="GH43" s="632" t="str">
        <f ca="1">IF(INDIRECT(CONCATENATE($FK$12,Fixtures!GH$25))="","",IF(INDIRECT(CONCATENATE($FK$12,Fixtures!GH$25))=Fixtures!$DN43,CONCATENATE(GH$10,", "),""))</f>
        <v/>
      </c>
      <c r="GI43" s="606" t="str">
        <f ca="1">IF(INDIRECT(CONCATENATE($FK$12,Fixtures!GI$25))="","",IF(INDIRECT(CONCATENATE($FK$12,Fixtures!GI$25))=Fixtures!$DN43,CONCATENATE(GI$10,", "),""))</f>
        <v/>
      </c>
      <c r="GJ43" s="607" t="str">
        <f ca="1">IF(INDIRECT(CONCATENATE($FK$12,Fixtures!GJ$25))="","",IF(INDIRECT(CONCATENATE($FK$12,Fixtures!GJ$25))=Fixtures!$DN43,CONCATENATE(GJ$10,", "),""))</f>
        <v/>
      </c>
      <c r="GK43" s="632" t="str">
        <f ca="1">IF(INDIRECT(CONCATENATE($FK$12,Fixtures!GK$25))="","",IF(INDIRECT(CONCATENATE($FK$12,Fixtures!GK$25))=Fixtures!$DN43,CONCATENATE(GK$10,", "),""))</f>
        <v/>
      </c>
      <c r="GL43" s="632" t="str">
        <f ca="1">IF(INDIRECT(CONCATENATE($FK$12,Fixtures!GL$25))="","",IF(INDIRECT(CONCATENATE($FK$12,Fixtures!GL$25))=Fixtures!$DN43,CONCATENATE(GL$10,", "),""))</f>
        <v/>
      </c>
      <c r="GM43" s="632" t="str">
        <f ca="1">IF(INDIRECT(CONCATENATE($FK$12,Fixtures!GM$25))="","",IF(INDIRECT(CONCATENATE($FK$12,Fixtures!GM$25))=Fixtures!$DN43,CONCATENATE(GM$10,", "),""))</f>
        <v/>
      </c>
      <c r="GN43" s="632" t="str">
        <f ca="1">IF(INDIRECT(CONCATENATE($FK$12,Fixtures!GN$25))="","",IF(INDIRECT(CONCATENATE($FK$12,Fixtures!GN$25))=Fixtures!$DN43,CONCATENATE(GN$10,", "),""))</f>
        <v/>
      </c>
      <c r="GO43" s="632" t="str">
        <f ca="1">IF(INDIRECT(CONCATENATE($FK$12,Fixtures!GO$25))="","",IF(INDIRECT(CONCATENATE($FK$12,Fixtures!GO$25))=Fixtures!$DN43,CONCATENATE(GO$10,", "),""))</f>
        <v/>
      </c>
      <c r="GP43" s="632" t="str">
        <f ca="1">IF(INDIRECT(CONCATENATE($FK$12,Fixtures!GP$25))="","",IF(INDIRECT(CONCATENATE($FK$12,Fixtures!GP$25))=Fixtures!$DN43,CONCATENATE(GP$10,", "),""))</f>
        <v/>
      </c>
      <c r="GQ43" s="632" t="str">
        <f ca="1">IF(INDIRECT(CONCATENATE($FK$12,Fixtures!GQ$25))="","",IF(INDIRECT(CONCATENATE($FK$12,Fixtures!GQ$25))=Fixtures!$DN43,CONCATENATE(GQ$10,", "),""))</f>
        <v/>
      </c>
      <c r="GR43" s="632" t="str">
        <f ca="1">IF(INDIRECT(CONCATENATE($FK$12,Fixtures!GR$25))="","",IF(INDIRECT(CONCATENATE($FK$12,Fixtures!GR$25))=Fixtures!$DN43,CONCATENATE(GR$10,", "),""))</f>
        <v/>
      </c>
      <c r="GS43" s="632" t="str">
        <f ca="1">IF(INDIRECT(CONCATENATE($FK$12,Fixtures!GS$25))="","",IF(INDIRECT(CONCATENATE($FK$12,Fixtures!GS$25))=Fixtures!$DN43,CONCATENATE(GS$10,", "),""))</f>
        <v/>
      </c>
      <c r="GT43" s="632" t="str">
        <f ca="1">IF(INDIRECT(CONCATENATE($FK$12,Fixtures!GT$25))="","",IF(INDIRECT(CONCATENATE($FK$12,Fixtures!GT$25))=Fixtures!$DN43,CONCATENATE(GT$10,", "),""))</f>
        <v/>
      </c>
      <c r="GU43" s="632" t="str">
        <f ca="1">IF(INDIRECT(CONCATENATE($FK$12,Fixtures!GU$25))="","",IF(INDIRECT(CONCATENATE($FK$12,Fixtures!GU$25))=Fixtures!$DN43,CONCATENATE(GU$10,", "),""))</f>
        <v/>
      </c>
      <c r="GV43" s="632" t="str">
        <f ca="1">IF(INDIRECT(CONCATENATE($FK$12,Fixtures!GV$25))="","",IF(INDIRECT(CONCATENATE($FK$12,Fixtures!GV$25))=Fixtures!$DN43,CONCATENATE(GV$10,", "),""))</f>
        <v/>
      </c>
      <c r="GW43" s="632" t="str">
        <f ca="1">IF(INDIRECT(CONCATENATE($FK$12,Fixtures!GW$25))="","",IF(INDIRECT(CONCATENATE($FK$12,Fixtures!GW$25))=Fixtures!$DN43,CONCATENATE(GW$10,", "),""))</f>
        <v/>
      </c>
      <c r="GX43" s="606" t="str">
        <f ca="1">IF(INDIRECT(CONCATENATE($FK$12,Fixtures!GX$25))="","",IF(INDIRECT(CONCATENATE($FK$12,Fixtures!GX$25))=Fixtures!$DN43,CONCATENATE(GX$10,", "),""))</f>
        <v/>
      </c>
      <c r="GY43" s="607" t="str">
        <f ca="1">IF(INDIRECT(CONCATENATE($FK$12,Fixtures!GY$25))="","",IF(INDIRECT(CONCATENATE($FK$12,Fixtures!GY$25))=Fixtures!$DN43,CONCATENATE(GY$10,", "),""))</f>
        <v/>
      </c>
      <c r="GZ43" s="632" t="str">
        <f ca="1">IF(INDIRECT(CONCATENATE($FK$12,Fixtures!GZ$25))="","",IF(INDIRECT(CONCATENATE($FK$12,Fixtures!GZ$25))=Fixtures!$DN43,CONCATENATE(GZ$10,", "),""))</f>
        <v/>
      </c>
      <c r="HA43" s="632" t="str">
        <f ca="1">IF(INDIRECT(CONCATENATE($FK$12,Fixtures!HA$25))="","",IF(INDIRECT(CONCATENATE($FK$12,Fixtures!HA$25))=Fixtures!$DN43,CONCATENATE(HA$10,", "),""))</f>
        <v/>
      </c>
      <c r="HB43" s="632" t="str">
        <f ca="1">IF(INDIRECT(CONCATENATE($FK$12,Fixtures!HB$25))="","",IF(INDIRECT(CONCATENATE($FK$12,Fixtures!HB$25))=Fixtures!$DN43,CONCATENATE(HB$10,", "),""))</f>
        <v/>
      </c>
      <c r="HC43" s="632" t="str">
        <f ca="1">IF(INDIRECT(CONCATENATE($FK$12,Fixtures!HC$25))="","",IF(INDIRECT(CONCATENATE($FK$12,Fixtures!HC$25))=Fixtures!$DN43,CONCATENATE(HC$10,", "),""))</f>
        <v/>
      </c>
      <c r="HD43" s="632" t="str">
        <f ca="1">IF(INDIRECT(CONCATENATE($FK$12,Fixtures!HD$25))="","",IF(INDIRECT(CONCATENATE($FK$12,Fixtures!HD$25))=Fixtures!$DN43,CONCATENATE(HD$10,", "),""))</f>
        <v/>
      </c>
      <c r="HE43" s="632" t="str">
        <f ca="1">IF(INDIRECT(CONCATENATE($FK$12,Fixtures!HE$25))="","",IF(INDIRECT(CONCATENATE($FK$12,Fixtures!HE$25))=Fixtures!$DN43,CONCATENATE(HE$10,", "),""))</f>
        <v/>
      </c>
      <c r="HF43" s="632" t="str">
        <f ca="1">IF(INDIRECT(CONCATENATE($FK$12,Fixtures!HF$25))="","",IF(INDIRECT(CONCATENATE($FK$12,Fixtures!HF$25))=Fixtures!$DN43,CONCATENATE(HF$10,", "),""))</f>
        <v/>
      </c>
      <c r="HG43" s="632" t="str">
        <f ca="1">IF(INDIRECT(CONCATENATE($FK$12,Fixtures!HG$25))="","",IF(INDIRECT(CONCATENATE($FK$12,Fixtures!HG$25))=Fixtures!$DN43,CONCATENATE(HG$10,", "),""))</f>
        <v/>
      </c>
      <c r="HH43" s="632" t="str">
        <f ca="1">IF(INDIRECT(CONCATENATE($FK$12,Fixtures!HH$25))="","",IF(INDIRECT(CONCATENATE($FK$12,Fixtures!HH$25))=Fixtures!$DN43,CONCATENATE(HH$10,", "),""))</f>
        <v/>
      </c>
      <c r="HI43" s="632" t="str">
        <f ca="1">IF(INDIRECT(CONCATENATE($FK$12,Fixtures!HI$25))="","",IF(INDIRECT(CONCATENATE($FK$12,Fixtures!HI$25))=Fixtures!$DN43,CONCATENATE(HI$10,", "),""))</f>
        <v/>
      </c>
      <c r="HJ43" s="632" t="str">
        <f ca="1">IF(INDIRECT(CONCATENATE($FK$12,Fixtures!HJ$25))="","",IF(INDIRECT(CONCATENATE($FK$12,Fixtures!HJ$25))=Fixtures!$DN43,CONCATENATE(HJ$10,", "),""))</f>
        <v/>
      </c>
      <c r="HK43" s="632" t="str">
        <f ca="1">IF(INDIRECT(CONCATENATE($FK$12,Fixtures!HK$25))="","",IF(INDIRECT(CONCATENATE($FK$12,Fixtures!HK$25))=Fixtures!$DN43,CONCATENATE(HK$10,", "),""))</f>
        <v/>
      </c>
      <c r="HL43" s="632" t="str">
        <f ca="1">IF(INDIRECT(CONCATENATE($FK$12,Fixtures!HL$25))="","",IF(INDIRECT(CONCATENATE($FK$12,Fixtures!HL$25))=Fixtures!$DN43,CONCATENATE(HL$10,", "),""))</f>
        <v/>
      </c>
      <c r="HM43" s="606" t="str">
        <f ca="1">IF(INDIRECT(CONCATENATE($FK$12,Fixtures!HM$25))="","",IF(INDIRECT(CONCATENATE($FK$12,Fixtures!HM$25))=Fixtures!$DN43,CONCATENATE(HM$10,", "),""))</f>
        <v/>
      </c>
      <c r="HN43" s="607" t="str">
        <f ca="1">IF(INDIRECT(CONCATENATE($FK$12,Fixtures!HN$25))="","",IF(INDIRECT(CONCATENATE($FK$12,Fixtures!HN$25))=Fixtures!$DN43,CONCATENATE(HN$10,", "),""))</f>
        <v/>
      </c>
      <c r="HO43" s="632" t="str">
        <f ca="1">IF(INDIRECT(CONCATENATE($FK$12,Fixtures!HO$25))="","",IF(INDIRECT(CONCATENATE($FK$12,Fixtures!HO$25))=Fixtures!$DN43,CONCATENATE(HO$10,", "),""))</f>
        <v/>
      </c>
      <c r="HP43" s="632" t="str">
        <f ca="1">IF(INDIRECT(CONCATENATE($FK$12,Fixtures!HP$25))="","",IF(INDIRECT(CONCATENATE($FK$12,Fixtures!HP$25))=Fixtures!$DN43,CONCATENATE(HP$10,", "),""))</f>
        <v/>
      </c>
      <c r="HQ43" s="632" t="str">
        <f ca="1">IF(INDIRECT(CONCATENATE($FK$12,Fixtures!HQ$25))="","",IF(INDIRECT(CONCATENATE($FK$12,Fixtures!HQ$25))=Fixtures!$DN43,CONCATENATE(HQ$10,", "),""))</f>
        <v/>
      </c>
      <c r="HR43" s="632" t="str">
        <f ca="1">IF(INDIRECT(CONCATENATE($FK$12,Fixtures!HR$25))="","",IF(INDIRECT(CONCATENATE($FK$12,Fixtures!HR$25))=Fixtures!$DN43,CONCATENATE(HR$10,", "),""))</f>
        <v/>
      </c>
      <c r="HS43" s="632" t="str">
        <f ca="1">IF(INDIRECT(CONCATENATE($FK$12,Fixtures!HS$25))="","",IF(INDIRECT(CONCATENATE($FK$12,Fixtures!HS$25))=Fixtures!$DN43,CONCATENATE(HS$10,", "),""))</f>
        <v/>
      </c>
      <c r="HT43" s="632" t="str">
        <f ca="1">IF(INDIRECT(CONCATENATE($FK$12,Fixtures!HT$25))="","",IF(INDIRECT(CONCATENATE($FK$12,Fixtures!HT$25))=Fixtures!$DN43,CONCATENATE(HT$10,", "),""))</f>
        <v/>
      </c>
      <c r="HU43" s="632" t="str">
        <f ca="1">IF(INDIRECT(CONCATENATE($FK$12,Fixtures!HU$25))="","",IF(INDIRECT(CONCATENATE($FK$12,Fixtures!HU$25))=Fixtures!$DN43,CONCATENATE(HU$10,", "),""))</f>
        <v/>
      </c>
      <c r="HV43" s="632" t="str">
        <f ca="1">IF(INDIRECT(CONCATENATE($FK$12,Fixtures!HV$25))="","",IF(INDIRECT(CONCATENATE($FK$12,Fixtures!HV$25))=Fixtures!$DN43,CONCATENATE(HV$10,", "),""))</f>
        <v/>
      </c>
      <c r="HW43" s="632" t="str">
        <f ca="1">IF(INDIRECT(CONCATENATE($FK$12,Fixtures!HW$25))="","",IF(INDIRECT(CONCATENATE($FK$12,Fixtures!HW$25))=Fixtures!$DN43,CONCATENATE(HW$10,", "),""))</f>
        <v/>
      </c>
      <c r="HX43" s="632" t="str">
        <f ca="1">IF(INDIRECT(CONCATENATE($FK$12,Fixtures!HX$25))="","",IF(INDIRECT(CONCATENATE($FK$12,Fixtures!HX$25))=Fixtures!$DN43,CONCATENATE(HX$10,", "),""))</f>
        <v/>
      </c>
      <c r="HY43" s="632" t="str">
        <f ca="1">IF(INDIRECT(CONCATENATE($FK$12,Fixtures!HY$25))="","",IF(INDIRECT(CONCATENATE($FK$12,Fixtures!HY$25))=Fixtures!$DN43,CONCATENATE(HY$10,", "),""))</f>
        <v/>
      </c>
      <c r="HZ43" s="632" t="str">
        <f ca="1">IF(INDIRECT(CONCATENATE($FK$12,Fixtures!HZ$25))="","",IF(INDIRECT(CONCATENATE($FK$12,Fixtures!HZ$25))=Fixtures!$DN43,CONCATENATE(HZ$10,", "),""))</f>
        <v/>
      </c>
      <c r="IA43" s="632" t="str">
        <f ca="1">IF(INDIRECT(CONCATENATE($FK$12,Fixtures!IA$25))="","",IF(INDIRECT(CONCATENATE($FK$12,Fixtures!IA$25))=Fixtures!$DN43,CONCATENATE(IA$10,", "),""))</f>
        <v/>
      </c>
      <c r="IB43" s="606" t="str">
        <f ca="1">IF(INDIRECT(CONCATENATE($FK$12,Fixtures!IB$25))="","",IF(INDIRECT(CONCATENATE($FK$12,Fixtures!IB$25))=Fixtures!$DN43,CONCATENATE(IB$10,", "),""))</f>
        <v/>
      </c>
      <c r="IC43" s="607" t="str">
        <f ca="1">IF(INDIRECT(CONCATENATE($FK$12,Fixtures!IC$25))="","",IF(INDIRECT(CONCATENATE($FK$12,Fixtures!IC$25))=Fixtures!$DN43,CONCATENATE(IC$10,", "),""))</f>
        <v/>
      </c>
      <c r="ID43" s="632" t="str">
        <f ca="1">IF(INDIRECT(CONCATENATE($FK$12,Fixtures!ID$25))="","",IF(INDIRECT(CONCATENATE($FK$12,Fixtures!ID$25))=Fixtures!$DN43,CONCATENATE(ID$10,", "),""))</f>
        <v/>
      </c>
      <c r="IE43" s="632" t="str">
        <f ca="1">IF(INDIRECT(CONCATENATE($FK$12,Fixtures!IE$25))="","",IF(INDIRECT(CONCATENATE($FK$12,Fixtures!IE$25))=Fixtures!$DN43,CONCATENATE(IE$10,", "),""))</f>
        <v/>
      </c>
      <c r="IF43" s="632" t="str">
        <f ca="1">IF(INDIRECT(CONCATENATE($FK$12,Fixtures!IF$25))="","",IF(INDIRECT(CONCATENATE($FK$12,Fixtures!IF$25))=Fixtures!$DN43,CONCATENATE(IF$10,", "),""))</f>
        <v/>
      </c>
      <c r="IG43" s="632" t="str">
        <f ca="1">IF(INDIRECT(CONCATENATE($FK$12,Fixtures!IG$25))="","",IF(INDIRECT(CONCATENATE($FK$12,Fixtures!IG$25))=Fixtures!$DN43,CONCATENATE(IG$10,", "),""))</f>
        <v/>
      </c>
      <c r="IH43" s="632" t="str">
        <f ca="1">IF(INDIRECT(CONCATENATE($FK$12,Fixtures!IH$25))="","",IF(INDIRECT(CONCATENATE($FK$12,Fixtures!IH$25))=Fixtures!$DN43,CONCATENATE(IH$10,", "),""))</f>
        <v/>
      </c>
      <c r="II43" s="632" t="str">
        <f ca="1">IF(INDIRECT(CONCATENATE($FK$12,Fixtures!II$25))="","",IF(INDIRECT(CONCATENATE($FK$12,Fixtures!II$25))=Fixtures!$DN43,CONCATENATE(II$10,", "),""))</f>
        <v/>
      </c>
      <c r="IJ43" s="632" t="str">
        <f ca="1">IF(INDIRECT(CONCATENATE($FK$12,Fixtures!IJ$25))="","",IF(INDIRECT(CONCATENATE($FK$12,Fixtures!IJ$25))=Fixtures!$DN43,CONCATENATE(IJ$10,", "),""))</f>
        <v/>
      </c>
      <c r="IK43" s="632" t="str">
        <f ca="1">IF(INDIRECT(CONCATENATE($FK$12,Fixtures!IK$25))="","",IF(INDIRECT(CONCATENATE($FK$12,Fixtures!IK$25))=Fixtures!$DN43,CONCATENATE(IK$10,", "),""))</f>
        <v/>
      </c>
      <c r="IL43" s="632" t="str">
        <f ca="1">IF(INDIRECT(CONCATENATE($FK$12,Fixtures!IL$25))="","",IF(INDIRECT(CONCATENATE($FK$12,Fixtures!IL$25))=Fixtures!$DN43,CONCATENATE(IL$10,", "),""))</f>
        <v/>
      </c>
      <c r="IM43" s="632" t="str">
        <f ca="1">IF(INDIRECT(CONCATENATE($FK$12,Fixtures!IM$25))="","",IF(INDIRECT(CONCATENATE($FK$12,Fixtures!IM$25))=Fixtures!$DN43,CONCATENATE(IM$10,", "),""))</f>
        <v/>
      </c>
      <c r="IN43" s="632" t="str">
        <f ca="1">IF(INDIRECT(CONCATENATE($FK$12,Fixtures!IN$25))="","",IF(INDIRECT(CONCATENATE($FK$12,Fixtures!IN$25))=Fixtures!$DN43,CONCATENATE(IN$10,", "),""))</f>
        <v/>
      </c>
      <c r="IO43" s="632" t="str">
        <f ca="1">IF(INDIRECT(CONCATENATE($FK$12,Fixtures!IO$25))="","",IF(INDIRECT(CONCATENATE($FK$12,Fixtures!IO$25))=Fixtures!$DN43,CONCATENATE(IO$10,", "),""))</f>
        <v/>
      </c>
      <c r="IP43" s="632" t="str">
        <f ca="1">IF(INDIRECT(CONCATENATE($FK$12,Fixtures!IP$25))="","",IF(INDIRECT(CONCATENATE($FK$12,Fixtures!IP$25))=Fixtures!$DN43,CONCATENATE(IP$10,", "),""))</f>
        <v/>
      </c>
      <c r="IQ43" s="606" t="str">
        <f ca="1">IF(INDIRECT(CONCATENATE($FK$12,Fixtures!IQ$25))="","",IF(INDIRECT(CONCATENATE($FK$12,Fixtures!IQ$25))=Fixtures!$DN43,CONCATENATE(IQ$10,", "),""))</f>
        <v/>
      </c>
      <c r="IR43" s="607" t="str">
        <f ca="1">IF(INDIRECT(CONCATENATE($FK$12,Fixtures!IR$25))="","",IF(INDIRECT(CONCATENATE($FK$12,Fixtures!IR$25))=Fixtures!$DN43,CONCATENATE(IR$10,", "),""))</f>
        <v/>
      </c>
      <c r="IS43" s="632" t="str">
        <f ca="1">IF(INDIRECT(CONCATENATE($FK$12,Fixtures!IS$25))="","",IF(INDIRECT(CONCATENATE($FK$12,Fixtures!IS$25))=Fixtures!$DN43,CONCATENATE(IS$10,", "),""))</f>
        <v/>
      </c>
      <c r="IT43" s="632" t="str">
        <f ca="1">IF(INDIRECT(CONCATENATE($FK$12,Fixtures!IT$25))="","",IF(INDIRECT(CONCATENATE($FK$12,Fixtures!IT$25))=Fixtures!$DN43,CONCATENATE(IT$10,", "),""))</f>
        <v/>
      </c>
      <c r="IU43" s="632" t="str">
        <f ca="1">IF(INDIRECT(CONCATENATE($FK$12,Fixtures!IU$25))="","",IF(INDIRECT(CONCATENATE($FK$12,Fixtures!IU$25))=Fixtures!$DN43,CONCATENATE(IU$10,", "),""))</f>
        <v/>
      </c>
      <c r="IV43" s="632" t="str">
        <f ca="1">IF(INDIRECT(CONCATENATE($FK$12,Fixtures!IV$25))="","",IF(INDIRECT(CONCATENATE($FK$12,Fixtures!IV$25))=Fixtures!$DN43,CONCATENATE(IV$10,", "),""))</f>
        <v/>
      </c>
      <c r="IW43" s="632" t="str">
        <f ca="1">IF(INDIRECT(CONCATENATE($FK$12,Fixtures!IW$25))="","",IF(INDIRECT(CONCATENATE($FK$12,Fixtures!IW$25))=Fixtures!$DN43,CONCATENATE(IW$10,", "),""))</f>
        <v/>
      </c>
      <c r="IX43" s="632" t="str">
        <f ca="1">IF(INDIRECT(CONCATENATE($FK$12,Fixtures!IX$25))="","",IF(INDIRECT(CONCATENATE($FK$12,Fixtures!IX$25))=Fixtures!$DN43,CONCATENATE(IX$10,", "),""))</f>
        <v/>
      </c>
      <c r="IY43" s="632" t="str">
        <f ca="1">IF(INDIRECT(CONCATENATE($FK$12,Fixtures!IY$25))="","",IF(INDIRECT(CONCATENATE($FK$12,Fixtures!IY$25))=Fixtures!$DN43,CONCATENATE(IY$10,", "),""))</f>
        <v/>
      </c>
      <c r="IZ43" s="632" t="str">
        <f ca="1">IF(INDIRECT(CONCATENATE($FK$12,Fixtures!IZ$25))="","",IF(INDIRECT(CONCATENATE($FK$12,Fixtures!IZ$25))=Fixtures!$DN43,CONCATENATE(IZ$10,", "),""))</f>
        <v/>
      </c>
      <c r="JA43" s="632" t="str">
        <f ca="1">IF(INDIRECT(CONCATENATE($FK$12,Fixtures!JA$25))="","",IF(INDIRECT(CONCATENATE($FK$12,Fixtures!JA$25))=Fixtures!$DN43,CONCATENATE(JA$10,", "),""))</f>
        <v/>
      </c>
      <c r="JB43" s="632" t="str">
        <f ca="1">IF(INDIRECT(CONCATENATE($FK$12,Fixtures!JB$25))="","",IF(INDIRECT(CONCATENATE($FK$12,Fixtures!JB$25))=Fixtures!$DN43,CONCATENATE(JB$10,", "),""))</f>
        <v/>
      </c>
      <c r="JC43" s="632" t="str">
        <f ca="1">IF(INDIRECT(CONCATENATE($FK$12,Fixtures!JC$25))="","",IF(INDIRECT(CONCATENATE($FK$12,Fixtures!JC$25))=Fixtures!$DN43,CONCATENATE(JC$10,", "),""))</f>
        <v/>
      </c>
      <c r="JD43" s="632" t="str">
        <f ca="1">IF(INDIRECT(CONCATENATE($FK$12,Fixtures!JD$25))="","",IF(INDIRECT(CONCATENATE($FK$12,Fixtures!JD$25))=Fixtures!$DN43,CONCATENATE(JD$10,", "),""))</f>
        <v/>
      </c>
      <c r="JE43" s="632" t="str">
        <f ca="1">IF(INDIRECT(CONCATENATE($FK$12,Fixtures!JE$25))="","",IF(INDIRECT(CONCATENATE($FK$12,Fixtures!JE$25))=Fixtures!$DN43,CONCATENATE(JE$10,", "),""))</f>
        <v/>
      </c>
      <c r="JF43" s="606" t="str">
        <f ca="1">IF(INDIRECT(CONCATENATE($FK$12,Fixtures!JF$25))="","",IF(INDIRECT(CONCATENATE($FK$12,Fixtures!JF$25))=Fixtures!$DN43,CONCATENATE(JF$10,", "),""))</f>
        <v/>
      </c>
      <c r="JG43" s="607" t="str">
        <f ca="1">IF(INDIRECT(CONCATENATE($FK$12,Fixtures!JG$25))="","",IF(INDIRECT(CONCATENATE($FK$12,Fixtures!JG$25))=Fixtures!$DN43,CONCATENATE(JG$10,", "),""))</f>
        <v/>
      </c>
      <c r="JH43" s="632" t="str">
        <f ca="1">IF(INDIRECT(CONCATENATE($FK$12,Fixtures!JH$25))="","",IF(INDIRECT(CONCATENATE($FK$12,Fixtures!JH$25))=Fixtures!$DN43,CONCATENATE(JH$10,", "),""))</f>
        <v/>
      </c>
      <c r="JI43" s="632" t="str">
        <f ca="1">IF(INDIRECT(CONCATENATE($FK$12,Fixtures!JI$25))="","",IF(INDIRECT(CONCATENATE($FK$12,Fixtures!JI$25))=Fixtures!$DN43,CONCATENATE(JI$10,", "),""))</f>
        <v/>
      </c>
      <c r="JJ43" s="632" t="str">
        <f ca="1">IF(INDIRECT(CONCATENATE($FK$12,Fixtures!JJ$25))="","",IF(INDIRECT(CONCATENATE($FK$12,Fixtures!JJ$25))=Fixtures!$DN43,CONCATENATE(JJ$10,", "),""))</f>
        <v/>
      </c>
      <c r="JK43" s="632" t="str">
        <f ca="1">IF(INDIRECT(CONCATENATE($FK$12,Fixtures!JK$25))="","",IF(INDIRECT(CONCATENATE($FK$12,Fixtures!JK$25))=Fixtures!$DN43,CONCATENATE(JK$10,", "),""))</f>
        <v/>
      </c>
      <c r="JL43" s="632" t="str">
        <f ca="1">IF(INDIRECT(CONCATENATE($FK$12,Fixtures!JL$25))="","",IF(INDIRECT(CONCATENATE($FK$12,Fixtures!JL$25))=Fixtures!$DN43,CONCATENATE(JL$10,", "),""))</f>
        <v/>
      </c>
      <c r="JM43" s="632" t="str">
        <f ca="1">IF(INDIRECT(CONCATENATE($FK$12,Fixtures!JM$25))="","",IF(INDIRECT(CONCATENATE($FK$12,Fixtures!JM$25))=Fixtures!$DN43,CONCATENATE(JM$10,", "),""))</f>
        <v/>
      </c>
      <c r="JN43" s="632" t="str">
        <f ca="1">IF(INDIRECT(CONCATENATE($FK$12,Fixtures!JN$25))="","",IF(INDIRECT(CONCATENATE($FK$12,Fixtures!JN$25))=Fixtures!$DN43,CONCATENATE(JN$10,", "),""))</f>
        <v/>
      </c>
      <c r="JO43" s="632" t="str">
        <f ca="1">IF(INDIRECT(CONCATENATE($FK$12,Fixtures!JO$25))="","",IF(INDIRECT(CONCATENATE($FK$12,Fixtures!JO$25))=Fixtures!$DN43,CONCATENATE(JO$10,", "),""))</f>
        <v/>
      </c>
      <c r="JP43" s="632" t="str">
        <f ca="1">IF(INDIRECT(CONCATENATE($FK$12,Fixtures!JP$25))="","",IF(INDIRECT(CONCATENATE($FK$12,Fixtures!JP$25))=Fixtures!$DN43,CONCATENATE(JP$10,", "),""))</f>
        <v/>
      </c>
      <c r="JQ43" s="632" t="str">
        <f ca="1">IF(INDIRECT(CONCATENATE($FK$12,Fixtures!JQ$25))="","",IF(INDIRECT(CONCATENATE($FK$12,Fixtures!JQ$25))=Fixtures!$DN43,CONCATENATE(JQ$10,", "),""))</f>
        <v/>
      </c>
      <c r="JR43" s="632" t="str">
        <f ca="1">IF(INDIRECT(CONCATENATE($FK$12,Fixtures!JR$25))="","",IF(INDIRECT(CONCATENATE($FK$12,Fixtures!JR$25))=Fixtures!$DN43,CONCATENATE(JR$10,", "),""))</f>
        <v/>
      </c>
      <c r="JS43" s="632" t="str">
        <f ca="1">IF(INDIRECT(CONCATENATE($FK$12,Fixtures!JS$25))="","",IF(INDIRECT(CONCATENATE($FK$12,Fixtures!JS$25))=Fixtures!$DN43,CONCATENATE(JS$10,", "),""))</f>
        <v/>
      </c>
      <c r="JT43" s="632" t="str">
        <f ca="1">IF(INDIRECT(CONCATENATE($FK$12,Fixtures!JT$25))="","",IF(INDIRECT(CONCATENATE($FK$12,Fixtures!JT$25))=Fixtures!$DN43,CONCATENATE(JT$10,", "),""))</f>
        <v/>
      </c>
      <c r="JU43" s="606" t="str">
        <f ca="1">IF(INDIRECT(CONCATENATE($FK$12,Fixtures!JU$25))="","",IF(INDIRECT(CONCATENATE($FK$12,Fixtures!JU$25))=Fixtures!$DN43,CONCATENATE(JU$10,", "),""))</f>
        <v/>
      </c>
      <c r="JV43" s="607" t="str">
        <f ca="1">IF(INDIRECT(CONCATENATE($FK$12,Fixtures!JV$25))="","",IF(INDIRECT(CONCATENATE($FK$12,Fixtures!JV$25))=Fixtures!$DN43,CONCATENATE(JV$10,", "),""))</f>
        <v/>
      </c>
      <c r="JW43" s="632" t="str">
        <f ca="1">IF(INDIRECT(CONCATENATE($FK$12,Fixtures!JW$25))="","",IF(INDIRECT(CONCATENATE($FK$12,Fixtures!JW$25))=Fixtures!$DN43,CONCATENATE(JW$10,", "),""))</f>
        <v/>
      </c>
      <c r="JX43" s="632" t="str">
        <f ca="1">IF(INDIRECT(CONCATENATE($FK$12,Fixtures!JX$25))="","",IF(INDIRECT(CONCATENATE($FK$12,Fixtures!JX$25))=Fixtures!$DN43,CONCATENATE(JX$10,", "),""))</f>
        <v/>
      </c>
      <c r="JY43" s="632" t="str">
        <f ca="1">IF(INDIRECT(CONCATENATE($FK$12,Fixtures!JY$25))="","",IF(INDIRECT(CONCATENATE($FK$12,Fixtures!JY$25))=Fixtures!$DN43,CONCATENATE(JY$10,", "),""))</f>
        <v/>
      </c>
      <c r="JZ43" s="632" t="str">
        <f ca="1">IF(INDIRECT(CONCATENATE($FK$12,Fixtures!JZ$25))="","",IF(INDIRECT(CONCATENATE($FK$12,Fixtures!JZ$25))=Fixtures!$DN43,CONCATENATE(JZ$10,", "),""))</f>
        <v/>
      </c>
      <c r="KA43" s="632" t="str">
        <f ca="1">IF(INDIRECT(CONCATENATE($FK$12,Fixtures!KA$25))="","",IF(INDIRECT(CONCATENATE($FK$12,Fixtures!KA$25))=Fixtures!$DN43,CONCATENATE(KA$10,", "),""))</f>
        <v/>
      </c>
      <c r="KB43" s="632" t="str">
        <f ca="1">IF(INDIRECT(CONCATENATE($FK$12,Fixtures!KB$25))="","",IF(INDIRECT(CONCATENATE($FK$12,Fixtures!KB$25))=Fixtures!$DN43,CONCATENATE(KB$10,", "),""))</f>
        <v/>
      </c>
      <c r="KC43" s="632" t="str">
        <f ca="1">IF(INDIRECT(CONCATENATE($FK$12,Fixtures!KC$25))="","",IF(INDIRECT(CONCATENATE($FK$12,Fixtures!KC$25))=Fixtures!$DN43,CONCATENATE(KC$10,", "),""))</f>
        <v/>
      </c>
      <c r="KD43" s="632" t="str">
        <f ca="1">IF(INDIRECT(CONCATENATE($FK$12,Fixtures!KD$25))="","",IF(INDIRECT(CONCATENATE($FK$12,Fixtures!KD$25))=Fixtures!$DN43,CONCATENATE(KD$10,", "),""))</f>
        <v/>
      </c>
      <c r="KE43" s="632" t="str">
        <f ca="1">IF(INDIRECT(CONCATENATE($FK$12,Fixtures!KE$25))="","",IF(INDIRECT(CONCATENATE($FK$12,Fixtures!KE$25))=Fixtures!$DN43,CONCATENATE(KE$10,", "),""))</f>
        <v/>
      </c>
      <c r="KF43" s="632" t="str">
        <f ca="1">IF(INDIRECT(CONCATENATE($FK$12,Fixtures!KF$25))="","",IF(INDIRECT(CONCATENATE($FK$12,Fixtures!KF$25))=Fixtures!$DN43,CONCATENATE(KF$10,", "),""))</f>
        <v/>
      </c>
      <c r="KG43" s="632" t="str">
        <f ca="1">IF(INDIRECT(CONCATENATE($FK$12,Fixtures!KG$25))="","",IF(INDIRECT(CONCATENATE($FK$12,Fixtures!KG$25))=Fixtures!$DN43,CONCATENATE(KG$10,", "),""))</f>
        <v/>
      </c>
      <c r="KH43" s="632" t="str">
        <f ca="1">IF(INDIRECT(CONCATENATE($FK$12,Fixtures!KH$25))="","",IF(INDIRECT(CONCATENATE($FK$12,Fixtures!KH$25))=Fixtures!$DN43,CONCATENATE(KH$10,", "),""))</f>
        <v/>
      </c>
      <c r="KI43" s="632" t="str">
        <f ca="1">IF(INDIRECT(CONCATENATE($FK$12,Fixtures!KI$25))="","",IF(INDIRECT(CONCATENATE($FK$12,Fixtures!KI$25))=Fixtures!$DN43,CONCATENATE(KI$10,", "),""))</f>
        <v/>
      </c>
      <c r="KJ43" s="606" t="str">
        <f ca="1">IF(INDIRECT(CONCATENATE($FK$12,Fixtures!KJ$25))="","",IF(INDIRECT(CONCATENATE($FK$12,Fixtures!KJ$25))=Fixtures!$DN43,CONCATENATE(KJ$10,", "),""))</f>
        <v/>
      </c>
      <c r="KK43" s="607" t="str">
        <f ca="1">IF(INDIRECT(CONCATENATE($FK$12,Fixtures!KK$25))="","",IF(INDIRECT(CONCATENATE($FK$12,Fixtures!KK$25))=Fixtures!$DN43,CONCATENATE(KK$10,", "),""))</f>
        <v/>
      </c>
      <c r="KL43" s="632" t="str">
        <f ca="1">IF(INDIRECT(CONCATENATE($FK$12,Fixtures!KL$25))="","",IF(INDIRECT(CONCATENATE($FK$12,Fixtures!KL$25))=Fixtures!$DN43,CONCATENATE(KL$10,", "),""))</f>
        <v/>
      </c>
      <c r="KM43" s="632" t="str">
        <f ca="1">IF(INDIRECT(CONCATENATE($FK$12,Fixtures!KM$25))="","",IF(INDIRECT(CONCATENATE($FK$12,Fixtures!KM$25))=Fixtures!$DN43,CONCATENATE(KM$10,", "),""))</f>
        <v/>
      </c>
      <c r="KN43" s="632" t="str">
        <f ca="1">IF(INDIRECT(CONCATENATE($FK$12,Fixtures!KN$25))="","",IF(INDIRECT(CONCATENATE($FK$12,Fixtures!KN$25))=Fixtures!$DN43,CONCATENATE(KN$10,", "),""))</f>
        <v/>
      </c>
      <c r="KO43" s="632" t="str">
        <f ca="1">IF(INDIRECT(CONCATENATE($FK$12,Fixtures!KO$25))="","",IF(INDIRECT(CONCATENATE($FK$12,Fixtures!KO$25))=Fixtures!$DN43,CONCATENATE(KO$10,", "),""))</f>
        <v/>
      </c>
      <c r="KP43" s="632" t="str">
        <f ca="1">IF(INDIRECT(CONCATENATE($FK$12,Fixtures!KP$25))="","",IF(INDIRECT(CONCATENATE($FK$12,Fixtures!KP$25))=Fixtures!$DN43,CONCATENATE(KP$10,", "),""))</f>
        <v/>
      </c>
      <c r="KQ43" s="632" t="str">
        <f ca="1">IF(INDIRECT(CONCATENATE($FK$12,Fixtures!KQ$25))="","",IF(INDIRECT(CONCATENATE($FK$12,Fixtures!KQ$25))=Fixtures!$DN43,CONCATENATE(KQ$10,", "),""))</f>
        <v/>
      </c>
      <c r="KR43" s="632" t="str">
        <f ca="1">IF(INDIRECT(CONCATENATE($FK$12,Fixtures!KR$25))="","",IF(INDIRECT(CONCATENATE($FK$12,Fixtures!KR$25))=Fixtures!$DN43,CONCATENATE(KR$10,", "),""))</f>
        <v/>
      </c>
      <c r="KS43" s="632" t="str">
        <f ca="1">IF(INDIRECT(CONCATENATE($FK$12,Fixtures!KS$25))="","",IF(INDIRECT(CONCATENATE($FK$12,Fixtures!KS$25))=Fixtures!$DN43,CONCATENATE(KS$10,", "),""))</f>
        <v/>
      </c>
      <c r="KT43" s="632" t="str">
        <f ca="1">IF(INDIRECT(CONCATENATE($FK$12,Fixtures!KT$25))="","",IF(INDIRECT(CONCATENATE($FK$12,Fixtures!KT$25))=Fixtures!$DN43,CONCATENATE(KT$10,", "),""))</f>
        <v/>
      </c>
      <c r="KU43" s="632" t="str">
        <f ca="1">IF(INDIRECT(CONCATENATE($FK$12,Fixtures!KU$25))="","",IF(INDIRECT(CONCATENATE($FK$12,Fixtures!KU$25))=Fixtures!$DN43,CONCATENATE(KU$10,", "),""))</f>
        <v/>
      </c>
      <c r="KV43" s="632" t="str">
        <f ca="1">IF(INDIRECT(CONCATENATE($FK$12,Fixtures!KV$25))="","",IF(INDIRECT(CONCATENATE($FK$12,Fixtures!KV$25))=Fixtures!$DN43,CONCATENATE(KV$10,", "),""))</f>
        <v/>
      </c>
      <c r="KW43" s="632" t="str">
        <f ca="1">IF(INDIRECT(CONCATENATE($FK$12,Fixtures!KW$25))="","",IF(INDIRECT(CONCATENATE($FK$12,Fixtures!KW$25))=Fixtures!$DN43,CONCATENATE(KW$10,", "),""))</f>
        <v/>
      </c>
      <c r="KX43" s="632" t="str">
        <f ca="1">IF(INDIRECT(CONCATENATE($FK$12,Fixtures!KX$25))="","",IF(INDIRECT(CONCATENATE($FK$12,Fixtures!KX$25))=Fixtures!$DN43,CONCATENATE(KX$10,", "),""))</f>
        <v/>
      </c>
      <c r="KY43" s="632"/>
      <c r="KZ43" s="46"/>
      <c r="LA43" s="46" t="str">
        <f t="shared" ca="1" si="7"/>
        <v/>
      </c>
      <c r="LB43" s="46"/>
      <c r="LC43" s="1010"/>
      <c r="LD43" s="1009" t="str">
        <f t="shared" si="20"/>
        <v/>
      </c>
    </row>
    <row r="44" spans="1:316" ht="28.2" customHeight="1" thickTop="1" thickBot="1">
      <c r="A44" s="426" t="str">
        <f t="shared" si="13"/>
        <v/>
      </c>
      <c r="C44" s="1640" t="str">
        <f t="shared" si="14"/>
        <v/>
      </c>
      <c r="D44" s="1641"/>
      <c r="E44" s="1568" t="str">
        <f t="shared" si="15"/>
        <v/>
      </c>
      <c r="F44" s="1569"/>
      <c r="G44" s="1569"/>
      <c r="H44" s="1569"/>
      <c r="I44" s="1569"/>
      <c r="J44" s="1569"/>
      <c r="K44" s="1569"/>
      <c r="L44" s="1569"/>
      <c r="M44" s="1642"/>
      <c r="N44" s="203" t="str">
        <f t="shared" si="16"/>
        <v/>
      </c>
      <c r="O44" s="12"/>
      <c r="P44" s="1638" t="str">
        <f t="shared" si="25"/>
        <v/>
      </c>
      <c r="Q44" s="1639"/>
      <c r="R44" s="1568" t="str">
        <f t="shared" si="30"/>
        <v/>
      </c>
      <c r="S44" s="1569"/>
      <c r="T44" s="1569"/>
      <c r="U44" s="1569"/>
      <c r="V44" s="1569"/>
      <c r="W44" s="1569"/>
      <c r="X44" s="1569"/>
      <c r="Y44" s="203" t="str">
        <f t="shared" si="26"/>
        <v/>
      </c>
      <c r="Z44" s="203" t="str">
        <f t="shared" si="27"/>
        <v/>
      </c>
      <c r="AA44" s="394" t="str">
        <f t="shared" si="28"/>
        <v/>
      </c>
      <c r="AB44" s="489"/>
      <c r="AC44" s="1564" t="str">
        <f t="shared" si="18"/>
        <v/>
      </c>
      <c r="AD44" s="1565"/>
      <c r="AE44" s="1565"/>
      <c r="AF44" s="1565"/>
      <c r="AG44" s="1565"/>
      <c r="AH44" s="1565"/>
      <c r="AK44">
        <f>SUMIFS(Installations!CV$46:CV$803,Installations!CW$46:CW$803,E44,Installations!IC$46:IC$803,TRUE)</f>
        <v>0</v>
      </c>
      <c r="AL44">
        <f>SUMIFS(Installations!CV$46:CV$803,Installations!CW$46:CW$803,R44,Installations!IC$46:IC$803,TRUE)</f>
        <v>0</v>
      </c>
      <c r="BL44" s="9"/>
      <c r="BM44" s="622" t="str">
        <f t="shared" si="19"/>
        <v/>
      </c>
      <c r="BN44" s="52"/>
      <c r="BO44" s="52"/>
      <c r="BP44" s="52"/>
      <c r="BQ44" s="52"/>
      <c r="BR44" s="52"/>
      <c r="BS44" s="52"/>
      <c r="BT44" s="52"/>
      <c r="BU44" s="373"/>
      <c r="BV44" s="219" t="str">
        <f>IF(CN44&lt;&gt;"Yes","",IFERROR(VLOOKUP(CU44,Existing!A$4:F$367,2,FALSE),""))</f>
        <v/>
      </c>
      <c r="BW44" s="9">
        <v>18</v>
      </c>
      <c r="BX44" s="1625"/>
      <c r="BY44" s="1626"/>
      <c r="BZ44" s="1626"/>
      <c r="CA44" s="1627"/>
      <c r="CB44" s="1622"/>
      <c r="CC44" s="1623"/>
      <c r="CD44" s="1623"/>
      <c r="CE44" s="1624"/>
      <c r="CF44" s="1621"/>
      <c r="CG44" s="1621"/>
      <c r="CH44" s="1621"/>
      <c r="CI44" s="1621"/>
      <c r="CJ44" s="1621"/>
      <c r="CK44" s="1621"/>
      <c r="CL44" s="1621"/>
      <c r="CM44" s="1621"/>
      <c r="CN44" s="1553" t="str">
        <f t="shared" si="0"/>
        <v/>
      </c>
      <c r="CO44" s="1554"/>
      <c r="CP44" s="229" t="str">
        <f>IFERROR(IF(CB44="Existing TLED",CR44*CW44*CY44,VLOOKUP(CU44,Existing!A$3:F$356,6,FALSE)),"")</f>
        <v/>
      </c>
      <c r="CQ44" s="9"/>
      <c r="CR44" s="1660"/>
      <c r="CS44" s="1661"/>
      <c r="CT44" s="9"/>
      <c r="CU44" s="425" t="str">
        <f t="shared" si="21"/>
        <v/>
      </c>
      <c r="CV44" s="426" t="b">
        <f t="shared" si="22"/>
        <v>0</v>
      </c>
      <c r="CW44" s="426" t="str">
        <f t="shared" si="23"/>
        <v/>
      </c>
      <c r="CX44" s="426">
        <f>IFERROR(VLOOKUP(CF44,Lookup!T$100:V$102,3,FALSE),0)</f>
        <v>0</v>
      </c>
      <c r="CY44" s="426">
        <f t="shared" si="8"/>
        <v>1.1100000000000001</v>
      </c>
      <c r="CZ44" s="626" t="b">
        <f t="shared" si="1"/>
        <v>0</v>
      </c>
      <c r="DA44" s="626" t="b">
        <f>IF(CF44&lt;&gt;"",IF(ISERROR(MATCH(CONCATENATE(CB44," - ",CF44),Existing!G$4:G$331,0))=TRUE,FALSE,TRUE),TRUE)</f>
        <v>1</v>
      </c>
      <c r="DB44" s="626" t="b">
        <f t="shared" si="2"/>
        <v>1</v>
      </c>
      <c r="DL44" s="9"/>
      <c r="DM44" s="627" t="s">
        <v>215</v>
      </c>
      <c r="DN44" s="375" t="str">
        <f t="shared" si="3"/>
        <v/>
      </c>
      <c r="DO44" s="52"/>
      <c r="DP44" s="52"/>
      <c r="DQ44" s="52"/>
      <c r="DR44" s="52"/>
      <c r="DS44" s="52"/>
      <c r="DT44" s="226"/>
      <c r="DU44" s="376"/>
      <c r="DV44" s="227" t="str">
        <f t="shared" si="4"/>
        <v/>
      </c>
      <c r="DW44" s="224">
        <v>18</v>
      </c>
      <c r="DX44" s="1572"/>
      <c r="DY44" s="1573"/>
      <c r="DZ44" s="1573"/>
      <c r="EA44" s="1574"/>
      <c r="EB44" s="1618"/>
      <c r="EC44" s="1619"/>
      <c r="ED44" s="1619"/>
      <c r="EE44" s="1620"/>
      <c r="EF44" s="1578"/>
      <c r="EG44" s="1579"/>
      <c r="EH44" s="1618"/>
      <c r="EI44" s="1619"/>
      <c r="EJ44" s="1619"/>
      <c r="EK44" s="1620"/>
      <c r="EL44" s="1575"/>
      <c r="EM44" s="1576"/>
      <c r="EN44" s="1576"/>
      <c r="EO44" s="1577"/>
      <c r="EP44" s="1578"/>
      <c r="EQ44" s="1579"/>
      <c r="ER44" s="1555"/>
      <c r="ES44" s="1556"/>
      <c r="ET44" s="1553" t="str">
        <f t="shared" si="9"/>
        <v/>
      </c>
      <c r="EU44" s="1554"/>
      <c r="EV44" s="1553" t="str">
        <f t="shared" si="29"/>
        <v/>
      </c>
      <c r="EW44" s="1554"/>
      <c r="EX44" s="393"/>
      <c r="EY44" s="225" t="str">
        <f t="shared" si="6"/>
        <v/>
      </c>
      <c r="EZ44" s="225" t="str">
        <f>IFERROR(VLOOKUP(EB44,Lookup!AT$3:AU$13,2,FALSE),"")</f>
        <v/>
      </c>
      <c r="FA44" s="426" t="b">
        <f>IFERROR(IF(VLOOKUP(EB44,Lookup!AT$6:AU$8,2,FALSE)&gt;3,TRUE,FALSE),FALSE)</f>
        <v>0</v>
      </c>
      <c r="FB44" s="426" t="str">
        <f t="shared" si="10"/>
        <v/>
      </c>
      <c r="FC44" t="str">
        <f t="shared" ca="1" si="11"/>
        <v/>
      </c>
      <c r="FG44" t="str">
        <f t="shared" ca="1" si="12"/>
        <v/>
      </c>
      <c r="FI44" s="204" t="str">
        <f t="shared" ca="1" si="24"/>
        <v/>
      </c>
      <c r="FJ44" s="204"/>
      <c r="FK44" s="631" t="str">
        <f ca="1">IF(INDIRECT(CONCATENATE($FK$12,Fixtures!FK$25))="","",IF(INDIRECT(CONCATENATE($FK$12,Fixtures!FK$25))=Fixtures!$DN44,CONCATENATE(FK$10,", "),""))</f>
        <v/>
      </c>
      <c r="FL44" s="631" t="str">
        <f ca="1">IF(INDIRECT(CONCATENATE($FK$12,Fixtures!FL$25))="","",IF(INDIRECT(CONCATENATE($FK$12,Fixtures!FL$25))=Fixtures!$DN44,CONCATENATE(FL$10,", "),""))</f>
        <v/>
      </c>
      <c r="FM44" s="631" t="str">
        <f ca="1">IF(INDIRECT(CONCATENATE($FK$12,Fixtures!FM$25))="","",IF(INDIRECT(CONCATENATE($FK$12,Fixtures!FM$25))=Fixtures!$DN44,CONCATENATE(FM$10,", "),""))</f>
        <v/>
      </c>
      <c r="FN44" s="631" t="str">
        <f ca="1">IF(INDIRECT(CONCATENATE($FK$12,Fixtures!FN$25))="","",IF(INDIRECT(CONCATENATE($FK$12,Fixtures!FN$25))=Fixtures!$DN44,CONCATENATE(FN$10,", "),""))</f>
        <v/>
      </c>
      <c r="FO44" s="631" t="str">
        <f ca="1">IF(INDIRECT(CONCATENATE($FK$12,Fixtures!FO$25))="","",IF(INDIRECT(CONCATENATE($FK$12,Fixtures!FO$25))=Fixtures!$DN44,CONCATENATE(FO$10,", "),""))</f>
        <v/>
      </c>
      <c r="FP44" s="631" t="str">
        <f ca="1">IF(INDIRECT(CONCATENATE($FK$12,Fixtures!FP$25))="","",IF(INDIRECT(CONCATENATE($FK$12,Fixtures!FP$25))=Fixtures!$DN44,CONCATENATE(FP$10,", "),""))</f>
        <v/>
      </c>
      <c r="FQ44" s="631" t="str">
        <f ca="1">IF(INDIRECT(CONCATENATE($FK$12,Fixtures!FQ$25))="","",IF(INDIRECT(CONCATENATE($FK$12,Fixtures!FQ$25))=Fixtures!$DN44,CONCATENATE(FQ$10,", "),""))</f>
        <v/>
      </c>
      <c r="FR44" s="631" t="str">
        <f ca="1">IF(INDIRECT(CONCATENATE($FK$12,Fixtures!FR$25))="","",IF(INDIRECT(CONCATENATE($FK$12,Fixtures!FR$25))=Fixtures!$DN44,CONCATENATE(FR$10,", "),""))</f>
        <v/>
      </c>
      <c r="FS44" s="631" t="str">
        <f ca="1">IF(INDIRECT(CONCATENATE($FK$12,Fixtures!FS$25))="","",IF(INDIRECT(CONCATENATE($FK$12,Fixtures!FS$25))=Fixtures!$DN44,CONCATENATE(FS$10,", "),""))</f>
        <v/>
      </c>
      <c r="FT44" s="604" t="str">
        <f ca="1">IF(INDIRECT(CONCATENATE($FK$12,Fixtures!FT$25))="","",IF(INDIRECT(CONCATENATE($FK$12,Fixtures!FT$25))=Fixtures!$DN44,CONCATENATE(FT$10,", "),""))</f>
        <v/>
      </c>
      <c r="FU44" s="605" t="str">
        <f ca="1">IF(INDIRECT(CONCATENATE($FK$12,Fixtures!FU$25))="","",IF(INDIRECT(CONCATENATE($FK$12,Fixtures!FU$25))=Fixtures!$DN44,CONCATENATE(FU$10,", "),""))</f>
        <v/>
      </c>
      <c r="FV44" s="631" t="str">
        <f ca="1">IF(INDIRECT(CONCATENATE($FK$12,Fixtures!FV$25))="","",IF(INDIRECT(CONCATENATE($FK$12,Fixtures!FV$25))=Fixtures!$DN44,CONCATENATE(FV$10,", "),""))</f>
        <v/>
      </c>
      <c r="FW44" s="632" t="str">
        <f ca="1">IF(INDIRECT(CONCATENATE($FK$12,Fixtures!FW$25))="","",IF(INDIRECT(CONCATENATE($FK$12,Fixtures!FW$25))=Fixtures!$DN44,CONCATENATE(FW$10,", "),""))</f>
        <v/>
      </c>
      <c r="FX44" s="632" t="str">
        <f ca="1">IF(INDIRECT(CONCATENATE($FK$12,Fixtures!FX$25))="","",IF(INDIRECT(CONCATENATE($FK$12,Fixtures!FX$25))=Fixtures!$DN44,CONCATENATE(FX$10,", "),""))</f>
        <v/>
      </c>
      <c r="FY44" s="632" t="str">
        <f ca="1">IF(INDIRECT(CONCATENATE($FK$12,Fixtures!FY$25))="","",IF(INDIRECT(CONCATENATE($FK$12,Fixtures!FY$25))=Fixtures!$DN44,CONCATENATE(FY$10,", "),""))</f>
        <v/>
      </c>
      <c r="FZ44" s="632" t="str">
        <f ca="1">IF(INDIRECT(CONCATENATE($FK$12,Fixtures!FZ$25))="","",IF(INDIRECT(CONCATENATE($FK$12,Fixtures!FZ$25))=Fixtures!$DN44,CONCATENATE(FZ$10,", "),""))</f>
        <v/>
      </c>
      <c r="GA44" s="632" t="str">
        <f ca="1">IF(INDIRECT(CONCATENATE($FK$12,Fixtures!GA$25))="","",IF(INDIRECT(CONCATENATE($FK$12,Fixtures!GA$25))=Fixtures!$DN44,CONCATENATE(GA$10,", "),""))</f>
        <v/>
      </c>
      <c r="GB44" s="632" t="str">
        <f ca="1">IF(INDIRECT(CONCATENATE($FK$12,Fixtures!GB$25))="","",IF(INDIRECT(CONCATENATE($FK$12,Fixtures!GB$25))=Fixtures!$DN44,CONCATENATE(GB$10,", "),""))</f>
        <v/>
      </c>
      <c r="GC44" s="632" t="str">
        <f ca="1">IF(INDIRECT(CONCATENATE($FK$12,Fixtures!GC$25))="","",IF(INDIRECT(CONCATENATE($FK$12,Fixtures!GC$25))=Fixtures!$DN44,CONCATENATE(GC$10,", "),""))</f>
        <v/>
      </c>
      <c r="GD44" s="632" t="str">
        <f ca="1">IF(INDIRECT(CONCATENATE($FK$12,Fixtures!GD$25))="","",IF(INDIRECT(CONCATENATE($FK$12,Fixtures!GD$25))=Fixtures!$DN44,CONCATENATE(GD$10,", "),""))</f>
        <v/>
      </c>
      <c r="GE44" s="632" t="str">
        <f ca="1">IF(INDIRECT(CONCATENATE($FK$12,Fixtures!GE$25))="","",IF(INDIRECT(CONCATENATE($FK$12,Fixtures!GE$25))=Fixtures!$DN44,CONCATENATE(GE$10,", "),""))</f>
        <v/>
      </c>
      <c r="GF44" s="632" t="str">
        <f ca="1">IF(INDIRECT(CONCATENATE($FK$12,Fixtures!GF$25))="","",IF(INDIRECT(CONCATENATE($FK$12,Fixtures!GF$25))=Fixtures!$DN44,CONCATENATE(GF$10,", "),""))</f>
        <v/>
      </c>
      <c r="GG44" s="632" t="str">
        <f ca="1">IF(INDIRECT(CONCATENATE($FK$12,Fixtures!GG$25))="","",IF(INDIRECT(CONCATENATE($FK$12,Fixtures!GG$25))=Fixtures!$DN44,CONCATENATE(GG$10,", "),""))</f>
        <v/>
      </c>
      <c r="GH44" s="632" t="str">
        <f ca="1">IF(INDIRECT(CONCATENATE($FK$12,Fixtures!GH$25))="","",IF(INDIRECT(CONCATENATE($FK$12,Fixtures!GH$25))=Fixtures!$DN44,CONCATENATE(GH$10,", "),""))</f>
        <v/>
      </c>
      <c r="GI44" s="606" t="str">
        <f ca="1">IF(INDIRECT(CONCATENATE($FK$12,Fixtures!GI$25))="","",IF(INDIRECT(CONCATENATE($FK$12,Fixtures!GI$25))=Fixtures!$DN44,CONCATENATE(GI$10,", "),""))</f>
        <v/>
      </c>
      <c r="GJ44" s="607" t="str">
        <f ca="1">IF(INDIRECT(CONCATENATE($FK$12,Fixtures!GJ$25))="","",IF(INDIRECT(CONCATENATE($FK$12,Fixtures!GJ$25))=Fixtures!$DN44,CONCATENATE(GJ$10,", "),""))</f>
        <v/>
      </c>
      <c r="GK44" s="632" t="str">
        <f ca="1">IF(INDIRECT(CONCATENATE($FK$12,Fixtures!GK$25))="","",IF(INDIRECT(CONCATENATE($FK$12,Fixtures!GK$25))=Fixtures!$DN44,CONCATENATE(GK$10,", "),""))</f>
        <v/>
      </c>
      <c r="GL44" s="632" t="str">
        <f ca="1">IF(INDIRECT(CONCATENATE($FK$12,Fixtures!GL$25))="","",IF(INDIRECT(CONCATENATE($FK$12,Fixtures!GL$25))=Fixtures!$DN44,CONCATENATE(GL$10,", "),""))</f>
        <v/>
      </c>
      <c r="GM44" s="632" t="str">
        <f ca="1">IF(INDIRECT(CONCATENATE($FK$12,Fixtures!GM$25))="","",IF(INDIRECT(CONCATENATE($FK$12,Fixtures!GM$25))=Fixtures!$DN44,CONCATENATE(GM$10,", "),""))</f>
        <v/>
      </c>
      <c r="GN44" s="632" t="str">
        <f ca="1">IF(INDIRECT(CONCATENATE($FK$12,Fixtures!GN$25))="","",IF(INDIRECT(CONCATENATE($FK$12,Fixtures!GN$25))=Fixtures!$DN44,CONCATENATE(GN$10,", "),""))</f>
        <v/>
      </c>
      <c r="GO44" s="632" t="str">
        <f ca="1">IF(INDIRECT(CONCATENATE($FK$12,Fixtures!GO$25))="","",IF(INDIRECT(CONCATENATE($FK$12,Fixtures!GO$25))=Fixtures!$DN44,CONCATENATE(GO$10,", "),""))</f>
        <v/>
      </c>
      <c r="GP44" s="632" t="str">
        <f ca="1">IF(INDIRECT(CONCATENATE($FK$12,Fixtures!GP$25))="","",IF(INDIRECT(CONCATENATE($FK$12,Fixtures!GP$25))=Fixtures!$DN44,CONCATENATE(GP$10,", "),""))</f>
        <v/>
      </c>
      <c r="GQ44" s="632" t="str">
        <f ca="1">IF(INDIRECT(CONCATENATE($FK$12,Fixtures!GQ$25))="","",IF(INDIRECT(CONCATENATE($FK$12,Fixtures!GQ$25))=Fixtures!$DN44,CONCATENATE(GQ$10,", "),""))</f>
        <v/>
      </c>
      <c r="GR44" s="632" t="str">
        <f ca="1">IF(INDIRECT(CONCATENATE($FK$12,Fixtures!GR$25))="","",IF(INDIRECT(CONCATENATE($FK$12,Fixtures!GR$25))=Fixtures!$DN44,CONCATENATE(GR$10,", "),""))</f>
        <v/>
      </c>
      <c r="GS44" s="632" t="str">
        <f ca="1">IF(INDIRECT(CONCATENATE($FK$12,Fixtures!GS$25))="","",IF(INDIRECT(CONCATENATE($FK$12,Fixtures!GS$25))=Fixtures!$DN44,CONCATENATE(GS$10,", "),""))</f>
        <v/>
      </c>
      <c r="GT44" s="632" t="str">
        <f ca="1">IF(INDIRECT(CONCATENATE($FK$12,Fixtures!GT$25))="","",IF(INDIRECT(CONCATENATE($FK$12,Fixtures!GT$25))=Fixtures!$DN44,CONCATENATE(GT$10,", "),""))</f>
        <v/>
      </c>
      <c r="GU44" s="632" t="str">
        <f ca="1">IF(INDIRECT(CONCATENATE($FK$12,Fixtures!GU$25))="","",IF(INDIRECT(CONCATENATE($FK$12,Fixtures!GU$25))=Fixtures!$DN44,CONCATENATE(GU$10,", "),""))</f>
        <v/>
      </c>
      <c r="GV44" s="632" t="str">
        <f ca="1">IF(INDIRECT(CONCATENATE($FK$12,Fixtures!GV$25))="","",IF(INDIRECT(CONCATENATE($FK$12,Fixtures!GV$25))=Fixtures!$DN44,CONCATENATE(GV$10,", "),""))</f>
        <v/>
      </c>
      <c r="GW44" s="632" t="str">
        <f ca="1">IF(INDIRECT(CONCATENATE($FK$12,Fixtures!GW$25))="","",IF(INDIRECT(CONCATENATE($FK$12,Fixtures!GW$25))=Fixtures!$DN44,CONCATENATE(GW$10,", "),""))</f>
        <v/>
      </c>
      <c r="GX44" s="606" t="str">
        <f ca="1">IF(INDIRECT(CONCATENATE($FK$12,Fixtures!GX$25))="","",IF(INDIRECT(CONCATENATE($FK$12,Fixtures!GX$25))=Fixtures!$DN44,CONCATENATE(GX$10,", "),""))</f>
        <v/>
      </c>
      <c r="GY44" s="607" t="str">
        <f ca="1">IF(INDIRECT(CONCATENATE($FK$12,Fixtures!GY$25))="","",IF(INDIRECT(CONCATENATE($FK$12,Fixtures!GY$25))=Fixtures!$DN44,CONCATENATE(GY$10,", "),""))</f>
        <v/>
      </c>
      <c r="GZ44" s="632" t="str">
        <f ca="1">IF(INDIRECT(CONCATENATE($FK$12,Fixtures!GZ$25))="","",IF(INDIRECT(CONCATENATE($FK$12,Fixtures!GZ$25))=Fixtures!$DN44,CONCATENATE(GZ$10,", "),""))</f>
        <v/>
      </c>
      <c r="HA44" s="632" t="str">
        <f ca="1">IF(INDIRECT(CONCATENATE($FK$12,Fixtures!HA$25))="","",IF(INDIRECT(CONCATENATE($FK$12,Fixtures!HA$25))=Fixtures!$DN44,CONCATENATE(HA$10,", "),""))</f>
        <v/>
      </c>
      <c r="HB44" s="632" t="str">
        <f ca="1">IF(INDIRECT(CONCATENATE($FK$12,Fixtures!HB$25))="","",IF(INDIRECT(CONCATENATE($FK$12,Fixtures!HB$25))=Fixtures!$DN44,CONCATENATE(HB$10,", "),""))</f>
        <v/>
      </c>
      <c r="HC44" s="632" t="str">
        <f ca="1">IF(INDIRECT(CONCATENATE($FK$12,Fixtures!HC$25))="","",IF(INDIRECT(CONCATENATE($FK$12,Fixtures!HC$25))=Fixtures!$DN44,CONCATENATE(HC$10,", "),""))</f>
        <v/>
      </c>
      <c r="HD44" s="632" t="str">
        <f ca="1">IF(INDIRECT(CONCATENATE($FK$12,Fixtures!HD$25))="","",IF(INDIRECT(CONCATENATE($FK$12,Fixtures!HD$25))=Fixtures!$DN44,CONCATENATE(HD$10,", "),""))</f>
        <v/>
      </c>
      <c r="HE44" s="632" t="str">
        <f ca="1">IF(INDIRECT(CONCATENATE($FK$12,Fixtures!HE$25))="","",IF(INDIRECT(CONCATENATE($FK$12,Fixtures!HE$25))=Fixtures!$DN44,CONCATENATE(HE$10,", "),""))</f>
        <v/>
      </c>
      <c r="HF44" s="632" t="str">
        <f ca="1">IF(INDIRECT(CONCATENATE($FK$12,Fixtures!HF$25))="","",IF(INDIRECT(CONCATENATE($FK$12,Fixtures!HF$25))=Fixtures!$DN44,CONCATENATE(HF$10,", "),""))</f>
        <v/>
      </c>
      <c r="HG44" s="632" t="str">
        <f ca="1">IF(INDIRECT(CONCATENATE($FK$12,Fixtures!HG$25))="","",IF(INDIRECT(CONCATENATE($FK$12,Fixtures!HG$25))=Fixtures!$DN44,CONCATENATE(HG$10,", "),""))</f>
        <v/>
      </c>
      <c r="HH44" s="632" t="str">
        <f ca="1">IF(INDIRECT(CONCATENATE($FK$12,Fixtures!HH$25))="","",IF(INDIRECT(CONCATENATE($FK$12,Fixtures!HH$25))=Fixtures!$DN44,CONCATENATE(HH$10,", "),""))</f>
        <v/>
      </c>
      <c r="HI44" s="632" t="str">
        <f ca="1">IF(INDIRECT(CONCATENATE($FK$12,Fixtures!HI$25))="","",IF(INDIRECT(CONCATENATE($FK$12,Fixtures!HI$25))=Fixtures!$DN44,CONCATENATE(HI$10,", "),""))</f>
        <v/>
      </c>
      <c r="HJ44" s="632" t="str">
        <f ca="1">IF(INDIRECT(CONCATENATE($FK$12,Fixtures!HJ$25))="","",IF(INDIRECT(CONCATENATE($FK$12,Fixtures!HJ$25))=Fixtures!$DN44,CONCATENATE(HJ$10,", "),""))</f>
        <v/>
      </c>
      <c r="HK44" s="632" t="str">
        <f ca="1">IF(INDIRECT(CONCATENATE($FK$12,Fixtures!HK$25))="","",IF(INDIRECT(CONCATENATE($FK$12,Fixtures!HK$25))=Fixtures!$DN44,CONCATENATE(HK$10,", "),""))</f>
        <v/>
      </c>
      <c r="HL44" s="632" t="str">
        <f ca="1">IF(INDIRECT(CONCATENATE($FK$12,Fixtures!HL$25))="","",IF(INDIRECT(CONCATENATE($FK$12,Fixtures!HL$25))=Fixtures!$DN44,CONCATENATE(HL$10,", "),""))</f>
        <v/>
      </c>
      <c r="HM44" s="606" t="str">
        <f ca="1">IF(INDIRECT(CONCATENATE($FK$12,Fixtures!HM$25))="","",IF(INDIRECT(CONCATENATE($FK$12,Fixtures!HM$25))=Fixtures!$DN44,CONCATENATE(HM$10,", "),""))</f>
        <v/>
      </c>
      <c r="HN44" s="607" t="str">
        <f ca="1">IF(INDIRECT(CONCATENATE($FK$12,Fixtures!HN$25))="","",IF(INDIRECT(CONCATENATE($FK$12,Fixtures!HN$25))=Fixtures!$DN44,CONCATENATE(HN$10,", "),""))</f>
        <v/>
      </c>
      <c r="HO44" s="632" t="str">
        <f ca="1">IF(INDIRECT(CONCATENATE($FK$12,Fixtures!HO$25))="","",IF(INDIRECT(CONCATENATE($FK$12,Fixtures!HO$25))=Fixtures!$DN44,CONCATENATE(HO$10,", "),""))</f>
        <v/>
      </c>
      <c r="HP44" s="632" t="str">
        <f ca="1">IF(INDIRECT(CONCATENATE($FK$12,Fixtures!HP$25))="","",IF(INDIRECT(CONCATENATE($FK$12,Fixtures!HP$25))=Fixtures!$DN44,CONCATENATE(HP$10,", "),""))</f>
        <v/>
      </c>
      <c r="HQ44" s="632" t="str">
        <f ca="1">IF(INDIRECT(CONCATENATE($FK$12,Fixtures!HQ$25))="","",IF(INDIRECT(CONCATENATE($FK$12,Fixtures!HQ$25))=Fixtures!$DN44,CONCATENATE(HQ$10,", "),""))</f>
        <v/>
      </c>
      <c r="HR44" s="632" t="str">
        <f ca="1">IF(INDIRECT(CONCATENATE($FK$12,Fixtures!HR$25))="","",IF(INDIRECT(CONCATENATE($FK$12,Fixtures!HR$25))=Fixtures!$DN44,CONCATENATE(HR$10,", "),""))</f>
        <v/>
      </c>
      <c r="HS44" s="632" t="str">
        <f ca="1">IF(INDIRECT(CONCATENATE($FK$12,Fixtures!HS$25))="","",IF(INDIRECT(CONCATENATE($FK$12,Fixtures!HS$25))=Fixtures!$DN44,CONCATENATE(HS$10,", "),""))</f>
        <v/>
      </c>
      <c r="HT44" s="632" t="str">
        <f ca="1">IF(INDIRECT(CONCATENATE($FK$12,Fixtures!HT$25))="","",IF(INDIRECT(CONCATENATE($FK$12,Fixtures!HT$25))=Fixtures!$DN44,CONCATENATE(HT$10,", "),""))</f>
        <v/>
      </c>
      <c r="HU44" s="632" t="str">
        <f ca="1">IF(INDIRECT(CONCATENATE($FK$12,Fixtures!HU$25))="","",IF(INDIRECT(CONCATENATE($FK$12,Fixtures!HU$25))=Fixtures!$DN44,CONCATENATE(HU$10,", "),""))</f>
        <v/>
      </c>
      <c r="HV44" s="632" t="str">
        <f ca="1">IF(INDIRECT(CONCATENATE($FK$12,Fixtures!HV$25))="","",IF(INDIRECT(CONCATENATE($FK$12,Fixtures!HV$25))=Fixtures!$DN44,CONCATENATE(HV$10,", "),""))</f>
        <v/>
      </c>
      <c r="HW44" s="632" t="str">
        <f ca="1">IF(INDIRECT(CONCATENATE($FK$12,Fixtures!HW$25))="","",IF(INDIRECT(CONCATENATE($FK$12,Fixtures!HW$25))=Fixtures!$DN44,CONCATENATE(HW$10,", "),""))</f>
        <v/>
      </c>
      <c r="HX44" s="632" t="str">
        <f ca="1">IF(INDIRECT(CONCATENATE($FK$12,Fixtures!HX$25))="","",IF(INDIRECT(CONCATENATE($FK$12,Fixtures!HX$25))=Fixtures!$DN44,CONCATENATE(HX$10,", "),""))</f>
        <v/>
      </c>
      <c r="HY44" s="632" t="str">
        <f ca="1">IF(INDIRECT(CONCATENATE($FK$12,Fixtures!HY$25))="","",IF(INDIRECT(CONCATENATE($FK$12,Fixtures!HY$25))=Fixtures!$DN44,CONCATENATE(HY$10,", "),""))</f>
        <v/>
      </c>
      <c r="HZ44" s="632" t="str">
        <f ca="1">IF(INDIRECT(CONCATENATE($FK$12,Fixtures!HZ$25))="","",IF(INDIRECT(CONCATENATE($FK$12,Fixtures!HZ$25))=Fixtures!$DN44,CONCATENATE(HZ$10,", "),""))</f>
        <v/>
      </c>
      <c r="IA44" s="632" t="str">
        <f ca="1">IF(INDIRECT(CONCATENATE($FK$12,Fixtures!IA$25))="","",IF(INDIRECT(CONCATENATE($FK$12,Fixtures!IA$25))=Fixtures!$DN44,CONCATENATE(IA$10,", "),""))</f>
        <v/>
      </c>
      <c r="IB44" s="606" t="str">
        <f ca="1">IF(INDIRECT(CONCATENATE($FK$12,Fixtures!IB$25))="","",IF(INDIRECT(CONCATENATE($FK$12,Fixtures!IB$25))=Fixtures!$DN44,CONCATENATE(IB$10,", "),""))</f>
        <v/>
      </c>
      <c r="IC44" s="607" t="str">
        <f ca="1">IF(INDIRECT(CONCATENATE($FK$12,Fixtures!IC$25))="","",IF(INDIRECT(CONCATENATE($FK$12,Fixtures!IC$25))=Fixtures!$DN44,CONCATENATE(IC$10,", "),""))</f>
        <v/>
      </c>
      <c r="ID44" s="632" t="str">
        <f ca="1">IF(INDIRECT(CONCATENATE($FK$12,Fixtures!ID$25))="","",IF(INDIRECT(CONCATENATE($FK$12,Fixtures!ID$25))=Fixtures!$DN44,CONCATENATE(ID$10,", "),""))</f>
        <v/>
      </c>
      <c r="IE44" s="632" t="str">
        <f ca="1">IF(INDIRECT(CONCATENATE($FK$12,Fixtures!IE$25))="","",IF(INDIRECT(CONCATENATE($FK$12,Fixtures!IE$25))=Fixtures!$DN44,CONCATENATE(IE$10,", "),""))</f>
        <v/>
      </c>
      <c r="IF44" s="632" t="str">
        <f ca="1">IF(INDIRECT(CONCATENATE($FK$12,Fixtures!IF$25))="","",IF(INDIRECT(CONCATENATE($FK$12,Fixtures!IF$25))=Fixtures!$DN44,CONCATENATE(IF$10,", "),""))</f>
        <v/>
      </c>
      <c r="IG44" s="632" t="str">
        <f ca="1">IF(INDIRECT(CONCATENATE($FK$12,Fixtures!IG$25))="","",IF(INDIRECT(CONCATENATE($FK$12,Fixtures!IG$25))=Fixtures!$DN44,CONCATENATE(IG$10,", "),""))</f>
        <v/>
      </c>
      <c r="IH44" s="632" t="str">
        <f ca="1">IF(INDIRECT(CONCATENATE($FK$12,Fixtures!IH$25))="","",IF(INDIRECT(CONCATENATE($FK$12,Fixtures!IH$25))=Fixtures!$DN44,CONCATENATE(IH$10,", "),""))</f>
        <v/>
      </c>
      <c r="II44" s="632" t="str">
        <f ca="1">IF(INDIRECT(CONCATENATE($FK$12,Fixtures!II$25))="","",IF(INDIRECT(CONCATENATE($FK$12,Fixtures!II$25))=Fixtures!$DN44,CONCATENATE(II$10,", "),""))</f>
        <v/>
      </c>
      <c r="IJ44" s="632" t="str">
        <f ca="1">IF(INDIRECT(CONCATENATE($FK$12,Fixtures!IJ$25))="","",IF(INDIRECT(CONCATENATE($FK$12,Fixtures!IJ$25))=Fixtures!$DN44,CONCATENATE(IJ$10,", "),""))</f>
        <v/>
      </c>
      <c r="IK44" s="632" t="str">
        <f ca="1">IF(INDIRECT(CONCATENATE($FK$12,Fixtures!IK$25))="","",IF(INDIRECT(CONCATENATE($FK$12,Fixtures!IK$25))=Fixtures!$DN44,CONCATENATE(IK$10,", "),""))</f>
        <v/>
      </c>
      <c r="IL44" s="632" t="str">
        <f ca="1">IF(INDIRECT(CONCATENATE($FK$12,Fixtures!IL$25))="","",IF(INDIRECT(CONCATENATE($FK$12,Fixtures!IL$25))=Fixtures!$DN44,CONCATENATE(IL$10,", "),""))</f>
        <v/>
      </c>
      <c r="IM44" s="632" t="str">
        <f ca="1">IF(INDIRECT(CONCATENATE($FK$12,Fixtures!IM$25))="","",IF(INDIRECT(CONCATENATE($FK$12,Fixtures!IM$25))=Fixtures!$DN44,CONCATENATE(IM$10,", "),""))</f>
        <v/>
      </c>
      <c r="IN44" s="632" t="str">
        <f ca="1">IF(INDIRECT(CONCATENATE($FK$12,Fixtures!IN$25))="","",IF(INDIRECT(CONCATENATE($FK$12,Fixtures!IN$25))=Fixtures!$DN44,CONCATENATE(IN$10,", "),""))</f>
        <v/>
      </c>
      <c r="IO44" s="632" t="str">
        <f ca="1">IF(INDIRECT(CONCATENATE($FK$12,Fixtures!IO$25))="","",IF(INDIRECT(CONCATENATE($FK$12,Fixtures!IO$25))=Fixtures!$DN44,CONCATENATE(IO$10,", "),""))</f>
        <v/>
      </c>
      <c r="IP44" s="632" t="str">
        <f ca="1">IF(INDIRECT(CONCATENATE($FK$12,Fixtures!IP$25))="","",IF(INDIRECT(CONCATENATE($FK$12,Fixtures!IP$25))=Fixtures!$DN44,CONCATENATE(IP$10,", "),""))</f>
        <v/>
      </c>
      <c r="IQ44" s="606" t="str">
        <f ca="1">IF(INDIRECT(CONCATENATE($FK$12,Fixtures!IQ$25))="","",IF(INDIRECT(CONCATENATE($FK$12,Fixtures!IQ$25))=Fixtures!$DN44,CONCATENATE(IQ$10,", "),""))</f>
        <v/>
      </c>
      <c r="IR44" s="607" t="str">
        <f ca="1">IF(INDIRECT(CONCATENATE($FK$12,Fixtures!IR$25))="","",IF(INDIRECT(CONCATENATE($FK$12,Fixtures!IR$25))=Fixtures!$DN44,CONCATENATE(IR$10,", "),""))</f>
        <v/>
      </c>
      <c r="IS44" s="632" t="str">
        <f ca="1">IF(INDIRECT(CONCATENATE($FK$12,Fixtures!IS$25))="","",IF(INDIRECT(CONCATENATE($FK$12,Fixtures!IS$25))=Fixtures!$DN44,CONCATENATE(IS$10,", "),""))</f>
        <v/>
      </c>
      <c r="IT44" s="632" t="str">
        <f ca="1">IF(INDIRECT(CONCATENATE($FK$12,Fixtures!IT$25))="","",IF(INDIRECT(CONCATENATE($FK$12,Fixtures!IT$25))=Fixtures!$DN44,CONCATENATE(IT$10,", "),""))</f>
        <v/>
      </c>
      <c r="IU44" s="632" t="str">
        <f ca="1">IF(INDIRECT(CONCATENATE($FK$12,Fixtures!IU$25))="","",IF(INDIRECT(CONCATENATE($FK$12,Fixtures!IU$25))=Fixtures!$DN44,CONCATENATE(IU$10,", "),""))</f>
        <v/>
      </c>
      <c r="IV44" s="632" t="str">
        <f ca="1">IF(INDIRECT(CONCATENATE($FK$12,Fixtures!IV$25))="","",IF(INDIRECT(CONCATENATE($FK$12,Fixtures!IV$25))=Fixtures!$DN44,CONCATENATE(IV$10,", "),""))</f>
        <v/>
      </c>
      <c r="IW44" s="632" t="str">
        <f ca="1">IF(INDIRECT(CONCATENATE($FK$12,Fixtures!IW$25))="","",IF(INDIRECT(CONCATENATE($FK$12,Fixtures!IW$25))=Fixtures!$DN44,CONCATENATE(IW$10,", "),""))</f>
        <v/>
      </c>
      <c r="IX44" s="632" t="str">
        <f ca="1">IF(INDIRECT(CONCATENATE($FK$12,Fixtures!IX$25))="","",IF(INDIRECT(CONCATENATE($FK$12,Fixtures!IX$25))=Fixtures!$DN44,CONCATENATE(IX$10,", "),""))</f>
        <v/>
      </c>
      <c r="IY44" s="632" t="str">
        <f ca="1">IF(INDIRECT(CONCATENATE($FK$12,Fixtures!IY$25))="","",IF(INDIRECT(CONCATENATE($FK$12,Fixtures!IY$25))=Fixtures!$DN44,CONCATENATE(IY$10,", "),""))</f>
        <v/>
      </c>
      <c r="IZ44" s="632" t="str">
        <f ca="1">IF(INDIRECT(CONCATENATE($FK$12,Fixtures!IZ$25))="","",IF(INDIRECT(CONCATENATE($FK$12,Fixtures!IZ$25))=Fixtures!$DN44,CONCATENATE(IZ$10,", "),""))</f>
        <v/>
      </c>
      <c r="JA44" s="632" t="str">
        <f ca="1">IF(INDIRECT(CONCATENATE($FK$12,Fixtures!JA$25))="","",IF(INDIRECT(CONCATENATE($FK$12,Fixtures!JA$25))=Fixtures!$DN44,CONCATENATE(JA$10,", "),""))</f>
        <v/>
      </c>
      <c r="JB44" s="632" t="str">
        <f ca="1">IF(INDIRECT(CONCATENATE($FK$12,Fixtures!JB$25))="","",IF(INDIRECT(CONCATENATE($FK$12,Fixtures!JB$25))=Fixtures!$DN44,CONCATENATE(JB$10,", "),""))</f>
        <v/>
      </c>
      <c r="JC44" s="632" t="str">
        <f ca="1">IF(INDIRECT(CONCATENATE($FK$12,Fixtures!JC$25))="","",IF(INDIRECT(CONCATENATE($FK$12,Fixtures!JC$25))=Fixtures!$DN44,CONCATENATE(JC$10,", "),""))</f>
        <v/>
      </c>
      <c r="JD44" s="632" t="str">
        <f ca="1">IF(INDIRECT(CONCATENATE($FK$12,Fixtures!JD$25))="","",IF(INDIRECT(CONCATENATE($FK$12,Fixtures!JD$25))=Fixtures!$DN44,CONCATENATE(JD$10,", "),""))</f>
        <v/>
      </c>
      <c r="JE44" s="632" t="str">
        <f ca="1">IF(INDIRECT(CONCATENATE($FK$12,Fixtures!JE$25))="","",IF(INDIRECT(CONCATENATE($FK$12,Fixtures!JE$25))=Fixtures!$DN44,CONCATENATE(JE$10,", "),""))</f>
        <v/>
      </c>
      <c r="JF44" s="606" t="str">
        <f ca="1">IF(INDIRECT(CONCATENATE($FK$12,Fixtures!JF$25))="","",IF(INDIRECT(CONCATENATE($FK$12,Fixtures!JF$25))=Fixtures!$DN44,CONCATENATE(JF$10,", "),""))</f>
        <v/>
      </c>
      <c r="JG44" s="607" t="str">
        <f ca="1">IF(INDIRECT(CONCATENATE($FK$12,Fixtures!JG$25))="","",IF(INDIRECT(CONCATENATE($FK$12,Fixtures!JG$25))=Fixtures!$DN44,CONCATENATE(JG$10,", "),""))</f>
        <v/>
      </c>
      <c r="JH44" s="632" t="str">
        <f ca="1">IF(INDIRECT(CONCATENATE($FK$12,Fixtures!JH$25))="","",IF(INDIRECT(CONCATENATE($FK$12,Fixtures!JH$25))=Fixtures!$DN44,CONCATENATE(JH$10,", "),""))</f>
        <v/>
      </c>
      <c r="JI44" s="632" t="str">
        <f ca="1">IF(INDIRECT(CONCATENATE($FK$12,Fixtures!JI$25))="","",IF(INDIRECT(CONCATENATE($FK$12,Fixtures!JI$25))=Fixtures!$DN44,CONCATENATE(JI$10,", "),""))</f>
        <v/>
      </c>
      <c r="JJ44" s="632" t="str">
        <f ca="1">IF(INDIRECT(CONCATENATE($FK$12,Fixtures!JJ$25))="","",IF(INDIRECT(CONCATENATE($FK$12,Fixtures!JJ$25))=Fixtures!$DN44,CONCATENATE(JJ$10,", "),""))</f>
        <v/>
      </c>
      <c r="JK44" s="632" t="str">
        <f ca="1">IF(INDIRECT(CONCATENATE($FK$12,Fixtures!JK$25))="","",IF(INDIRECT(CONCATENATE($FK$12,Fixtures!JK$25))=Fixtures!$DN44,CONCATENATE(JK$10,", "),""))</f>
        <v/>
      </c>
      <c r="JL44" s="632" t="str">
        <f ca="1">IF(INDIRECT(CONCATENATE($FK$12,Fixtures!JL$25))="","",IF(INDIRECT(CONCATENATE($FK$12,Fixtures!JL$25))=Fixtures!$DN44,CONCATENATE(JL$10,", "),""))</f>
        <v/>
      </c>
      <c r="JM44" s="632" t="str">
        <f ca="1">IF(INDIRECT(CONCATENATE($FK$12,Fixtures!JM$25))="","",IF(INDIRECT(CONCATENATE($FK$12,Fixtures!JM$25))=Fixtures!$DN44,CONCATENATE(JM$10,", "),""))</f>
        <v/>
      </c>
      <c r="JN44" s="632" t="str">
        <f ca="1">IF(INDIRECT(CONCATENATE($FK$12,Fixtures!JN$25))="","",IF(INDIRECT(CONCATENATE($FK$12,Fixtures!JN$25))=Fixtures!$DN44,CONCATENATE(JN$10,", "),""))</f>
        <v/>
      </c>
      <c r="JO44" s="632" t="str">
        <f ca="1">IF(INDIRECT(CONCATENATE($FK$12,Fixtures!JO$25))="","",IF(INDIRECT(CONCATENATE($FK$12,Fixtures!JO$25))=Fixtures!$DN44,CONCATENATE(JO$10,", "),""))</f>
        <v/>
      </c>
      <c r="JP44" s="632" t="str">
        <f ca="1">IF(INDIRECT(CONCATENATE($FK$12,Fixtures!JP$25))="","",IF(INDIRECT(CONCATENATE($FK$12,Fixtures!JP$25))=Fixtures!$DN44,CONCATENATE(JP$10,", "),""))</f>
        <v/>
      </c>
      <c r="JQ44" s="632" t="str">
        <f ca="1">IF(INDIRECT(CONCATENATE($FK$12,Fixtures!JQ$25))="","",IF(INDIRECT(CONCATENATE($FK$12,Fixtures!JQ$25))=Fixtures!$DN44,CONCATENATE(JQ$10,", "),""))</f>
        <v/>
      </c>
      <c r="JR44" s="632" t="str">
        <f ca="1">IF(INDIRECT(CONCATENATE($FK$12,Fixtures!JR$25))="","",IF(INDIRECT(CONCATENATE($FK$12,Fixtures!JR$25))=Fixtures!$DN44,CONCATENATE(JR$10,", "),""))</f>
        <v/>
      </c>
      <c r="JS44" s="632" t="str">
        <f ca="1">IF(INDIRECT(CONCATENATE($FK$12,Fixtures!JS$25))="","",IF(INDIRECT(CONCATENATE($FK$12,Fixtures!JS$25))=Fixtures!$DN44,CONCATENATE(JS$10,", "),""))</f>
        <v/>
      </c>
      <c r="JT44" s="632" t="str">
        <f ca="1">IF(INDIRECT(CONCATENATE($FK$12,Fixtures!JT$25))="","",IF(INDIRECT(CONCATENATE($FK$12,Fixtures!JT$25))=Fixtures!$DN44,CONCATENATE(JT$10,", "),""))</f>
        <v/>
      </c>
      <c r="JU44" s="606" t="str">
        <f ca="1">IF(INDIRECT(CONCATENATE($FK$12,Fixtures!JU$25))="","",IF(INDIRECT(CONCATENATE($FK$12,Fixtures!JU$25))=Fixtures!$DN44,CONCATENATE(JU$10,", "),""))</f>
        <v/>
      </c>
      <c r="JV44" s="607" t="str">
        <f ca="1">IF(INDIRECT(CONCATENATE($FK$12,Fixtures!JV$25))="","",IF(INDIRECT(CONCATENATE($FK$12,Fixtures!JV$25))=Fixtures!$DN44,CONCATENATE(JV$10,", "),""))</f>
        <v/>
      </c>
      <c r="JW44" s="632" t="str">
        <f ca="1">IF(INDIRECT(CONCATENATE($FK$12,Fixtures!JW$25))="","",IF(INDIRECT(CONCATENATE($FK$12,Fixtures!JW$25))=Fixtures!$DN44,CONCATENATE(JW$10,", "),""))</f>
        <v/>
      </c>
      <c r="JX44" s="632" t="str">
        <f ca="1">IF(INDIRECT(CONCATENATE($FK$12,Fixtures!JX$25))="","",IF(INDIRECT(CONCATENATE($FK$12,Fixtures!JX$25))=Fixtures!$DN44,CONCATENATE(JX$10,", "),""))</f>
        <v/>
      </c>
      <c r="JY44" s="632" t="str">
        <f ca="1">IF(INDIRECT(CONCATENATE($FK$12,Fixtures!JY$25))="","",IF(INDIRECT(CONCATENATE($FK$12,Fixtures!JY$25))=Fixtures!$DN44,CONCATENATE(JY$10,", "),""))</f>
        <v/>
      </c>
      <c r="JZ44" s="632" t="str">
        <f ca="1">IF(INDIRECT(CONCATENATE($FK$12,Fixtures!JZ$25))="","",IF(INDIRECT(CONCATENATE($FK$12,Fixtures!JZ$25))=Fixtures!$DN44,CONCATENATE(JZ$10,", "),""))</f>
        <v/>
      </c>
      <c r="KA44" s="632" t="str">
        <f ca="1">IF(INDIRECT(CONCATENATE($FK$12,Fixtures!KA$25))="","",IF(INDIRECT(CONCATENATE($FK$12,Fixtures!KA$25))=Fixtures!$DN44,CONCATENATE(KA$10,", "),""))</f>
        <v/>
      </c>
      <c r="KB44" s="632" t="str">
        <f ca="1">IF(INDIRECT(CONCATENATE($FK$12,Fixtures!KB$25))="","",IF(INDIRECT(CONCATENATE($FK$12,Fixtures!KB$25))=Fixtures!$DN44,CONCATENATE(KB$10,", "),""))</f>
        <v/>
      </c>
      <c r="KC44" s="632" t="str">
        <f ca="1">IF(INDIRECT(CONCATENATE($FK$12,Fixtures!KC$25))="","",IF(INDIRECT(CONCATENATE($FK$12,Fixtures!KC$25))=Fixtures!$DN44,CONCATENATE(KC$10,", "),""))</f>
        <v/>
      </c>
      <c r="KD44" s="632" t="str">
        <f ca="1">IF(INDIRECT(CONCATENATE($FK$12,Fixtures!KD$25))="","",IF(INDIRECT(CONCATENATE($FK$12,Fixtures!KD$25))=Fixtures!$DN44,CONCATENATE(KD$10,", "),""))</f>
        <v/>
      </c>
      <c r="KE44" s="632" t="str">
        <f ca="1">IF(INDIRECT(CONCATENATE($FK$12,Fixtures!KE$25))="","",IF(INDIRECT(CONCATENATE($FK$12,Fixtures!KE$25))=Fixtures!$DN44,CONCATENATE(KE$10,", "),""))</f>
        <v/>
      </c>
      <c r="KF44" s="632" t="str">
        <f ca="1">IF(INDIRECT(CONCATENATE($FK$12,Fixtures!KF$25))="","",IF(INDIRECT(CONCATENATE($FK$12,Fixtures!KF$25))=Fixtures!$DN44,CONCATENATE(KF$10,", "),""))</f>
        <v/>
      </c>
      <c r="KG44" s="632" t="str">
        <f ca="1">IF(INDIRECT(CONCATENATE($FK$12,Fixtures!KG$25))="","",IF(INDIRECT(CONCATENATE($FK$12,Fixtures!KG$25))=Fixtures!$DN44,CONCATENATE(KG$10,", "),""))</f>
        <v/>
      </c>
      <c r="KH44" s="632" t="str">
        <f ca="1">IF(INDIRECT(CONCATENATE($FK$12,Fixtures!KH$25))="","",IF(INDIRECT(CONCATENATE($FK$12,Fixtures!KH$25))=Fixtures!$DN44,CONCATENATE(KH$10,", "),""))</f>
        <v/>
      </c>
      <c r="KI44" s="632" t="str">
        <f ca="1">IF(INDIRECT(CONCATENATE($FK$12,Fixtures!KI$25))="","",IF(INDIRECT(CONCATENATE($FK$12,Fixtures!KI$25))=Fixtures!$DN44,CONCATENATE(KI$10,", "),""))</f>
        <v/>
      </c>
      <c r="KJ44" s="606" t="str">
        <f ca="1">IF(INDIRECT(CONCATENATE($FK$12,Fixtures!KJ$25))="","",IF(INDIRECT(CONCATENATE($FK$12,Fixtures!KJ$25))=Fixtures!$DN44,CONCATENATE(KJ$10,", "),""))</f>
        <v/>
      </c>
      <c r="KK44" s="607" t="str">
        <f ca="1">IF(INDIRECT(CONCATENATE($FK$12,Fixtures!KK$25))="","",IF(INDIRECT(CONCATENATE($FK$12,Fixtures!KK$25))=Fixtures!$DN44,CONCATENATE(KK$10,", "),""))</f>
        <v/>
      </c>
      <c r="KL44" s="632" t="str">
        <f ca="1">IF(INDIRECT(CONCATENATE($FK$12,Fixtures!KL$25))="","",IF(INDIRECT(CONCATENATE($FK$12,Fixtures!KL$25))=Fixtures!$DN44,CONCATENATE(KL$10,", "),""))</f>
        <v/>
      </c>
      <c r="KM44" s="632" t="str">
        <f ca="1">IF(INDIRECT(CONCATENATE($FK$12,Fixtures!KM$25))="","",IF(INDIRECT(CONCATENATE($FK$12,Fixtures!KM$25))=Fixtures!$DN44,CONCATENATE(KM$10,", "),""))</f>
        <v/>
      </c>
      <c r="KN44" s="632" t="str">
        <f ca="1">IF(INDIRECT(CONCATENATE($FK$12,Fixtures!KN$25))="","",IF(INDIRECT(CONCATENATE($FK$12,Fixtures!KN$25))=Fixtures!$DN44,CONCATENATE(KN$10,", "),""))</f>
        <v/>
      </c>
      <c r="KO44" s="632" t="str">
        <f ca="1">IF(INDIRECT(CONCATENATE($FK$12,Fixtures!KO$25))="","",IF(INDIRECT(CONCATENATE($FK$12,Fixtures!KO$25))=Fixtures!$DN44,CONCATENATE(KO$10,", "),""))</f>
        <v/>
      </c>
      <c r="KP44" s="632" t="str">
        <f ca="1">IF(INDIRECT(CONCATENATE($FK$12,Fixtures!KP$25))="","",IF(INDIRECT(CONCATENATE($FK$12,Fixtures!KP$25))=Fixtures!$DN44,CONCATENATE(KP$10,", "),""))</f>
        <v/>
      </c>
      <c r="KQ44" s="632" t="str">
        <f ca="1">IF(INDIRECT(CONCATENATE($FK$12,Fixtures!KQ$25))="","",IF(INDIRECT(CONCATENATE($FK$12,Fixtures!KQ$25))=Fixtures!$DN44,CONCATENATE(KQ$10,", "),""))</f>
        <v/>
      </c>
      <c r="KR44" s="632" t="str">
        <f ca="1">IF(INDIRECT(CONCATENATE($FK$12,Fixtures!KR$25))="","",IF(INDIRECT(CONCATENATE($FK$12,Fixtures!KR$25))=Fixtures!$DN44,CONCATENATE(KR$10,", "),""))</f>
        <v/>
      </c>
      <c r="KS44" s="632" t="str">
        <f ca="1">IF(INDIRECT(CONCATENATE($FK$12,Fixtures!KS$25))="","",IF(INDIRECT(CONCATENATE($FK$12,Fixtures!KS$25))=Fixtures!$DN44,CONCATENATE(KS$10,", "),""))</f>
        <v/>
      </c>
      <c r="KT44" s="632" t="str">
        <f ca="1">IF(INDIRECT(CONCATENATE($FK$12,Fixtures!KT$25))="","",IF(INDIRECT(CONCATENATE($FK$12,Fixtures!KT$25))=Fixtures!$DN44,CONCATENATE(KT$10,", "),""))</f>
        <v/>
      </c>
      <c r="KU44" s="632" t="str">
        <f ca="1">IF(INDIRECT(CONCATENATE($FK$12,Fixtures!KU$25))="","",IF(INDIRECT(CONCATENATE($FK$12,Fixtures!KU$25))=Fixtures!$DN44,CONCATENATE(KU$10,", "),""))</f>
        <v/>
      </c>
      <c r="KV44" s="632" t="str">
        <f ca="1">IF(INDIRECT(CONCATENATE($FK$12,Fixtures!KV$25))="","",IF(INDIRECT(CONCATENATE($FK$12,Fixtures!KV$25))=Fixtures!$DN44,CONCATENATE(KV$10,", "),""))</f>
        <v/>
      </c>
      <c r="KW44" s="632" t="str">
        <f ca="1">IF(INDIRECT(CONCATENATE($FK$12,Fixtures!KW$25))="","",IF(INDIRECT(CONCATENATE($FK$12,Fixtures!KW$25))=Fixtures!$DN44,CONCATENATE(KW$10,", "),""))</f>
        <v/>
      </c>
      <c r="KX44" s="632" t="str">
        <f ca="1">IF(INDIRECT(CONCATENATE($FK$12,Fixtures!KX$25))="","",IF(INDIRECT(CONCATENATE($FK$12,Fixtures!KX$25))=Fixtures!$DN44,CONCATENATE(KX$10,", "),""))</f>
        <v/>
      </c>
      <c r="KY44" s="632"/>
      <c r="KZ44" s="46"/>
      <c r="LA44" s="46" t="str">
        <f t="shared" ca="1" si="7"/>
        <v/>
      </c>
      <c r="LB44" s="46"/>
      <c r="LC44" s="1010"/>
      <c r="LD44" s="1009" t="str">
        <f t="shared" si="20"/>
        <v/>
      </c>
    </row>
    <row r="45" spans="1:316" ht="28.2" customHeight="1" thickTop="1" thickBot="1">
      <c r="A45" s="426" t="str">
        <f t="shared" si="13"/>
        <v/>
      </c>
      <c r="C45" s="1640" t="str">
        <f t="shared" si="14"/>
        <v/>
      </c>
      <c r="D45" s="1641"/>
      <c r="E45" s="1568" t="str">
        <f t="shared" si="15"/>
        <v/>
      </c>
      <c r="F45" s="1569"/>
      <c r="G45" s="1569"/>
      <c r="H45" s="1569"/>
      <c r="I45" s="1569"/>
      <c r="J45" s="1569"/>
      <c r="K45" s="1569"/>
      <c r="L45" s="1569"/>
      <c r="M45" s="1642"/>
      <c r="N45" s="203" t="str">
        <f t="shared" si="16"/>
        <v/>
      </c>
      <c r="O45" s="12"/>
      <c r="P45" s="1638" t="str">
        <f t="shared" si="25"/>
        <v/>
      </c>
      <c r="Q45" s="1639"/>
      <c r="R45" s="1568" t="str">
        <f t="shared" si="30"/>
        <v/>
      </c>
      <c r="S45" s="1569"/>
      <c r="T45" s="1569"/>
      <c r="U45" s="1569"/>
      <c r="V45" s="1569"/>
      <c r="W45" s="1569"/>
      <c r="X45" s="1569"/>
      <c r="Y45" s="203" t="str">
        <f t="shared" si="26"/>
        <v/>
      </c>
      <c r="Z45" s="203" t="str">
        <f t="shared" si="27"/>
        <v/>
      </c>
      <c r="AA45" s="394" t="str">
        <f t="shared" si="28"/>
        <v/>
      </c>
      <c r="AB45" s="489"/>
      <c r="AC45" s="1564" t="str">
        <f t="shared" si="18"/>
        <v/>
      </c>
      <c r="AD45" s="1565"/>
      <c r="AE45" s="1565"/>
      <c r="AF45" s="1565"/>
      <c r="AG45" s="1565"/>
      <c r="AH45" s="1565"/>
      <c r="AK45">
        <f>SUMIFS(Installations!CV$46:CV$803,Installations!CW$46:CW$803,E45,Installations!IC$46:IC$803,TRUE)</f>
        <v>0</v>
      </c>
      <c r="AL45">
        <f>SUMIFS(Installations!CV$46:CV$803,Installations!CW$46:CW$803,R45,Installations!IC$46:IC$803,TRUE)</f>
        <v>0</v>
      </c>
      <c r="BL45" s="9"/>
      <c r="BM45" s="622" t="str">
        <f t="shared" si="19"/>
        <v/>
      </c>
      <c r="BN45" s="52"/>
      <c r="BO45" s="52"/>
      <c r="BP45" s="52"/>
      <c r="BQ45" s="52"/>
      <c r="BR45" s="52"/>
      <c r="BS45" s="52"/>
      <c r="BT45" s="52"/>
      <c r="BU45" s="373"/>
      <c r="BV45" s="219" t="str">
        <f>IF(CN45&lt;&gt;"Yes","",IFERROR(VLOOKUP(CU45,Existing!A$4:F$367,2,FALSE),""))</f>
        <v/>
      </c>
      <c r="BW45" s="9">
        <v>19</v>
      </c>
      <c r="BX45" s="1625"/>
      <c r="BY45" s="1626"/>
      <c r="BZ45" s="1626"/>
      <c r="CA45" s="1627"/>
      <c r="CB45" s="1622"/>
      <c r="CC45" s="1623"/>
      <c r="CD45" s="1623"/>
      <c r="CE45" s="1624"/>
      <c r="CF45" s="1621"/>
      <c r="CG45" s="1621"/>
      <c r="CH45" s="1621"/>
      <c r="CI45" s="1621"/>
      <c r="CJ45" s="1621"/>
      <c r="CK45" s="1621"/>
      <c r="CL45" s="1621"/>
      <c r="CM45" s="1621"/>
      <c r="CN45" s="1553" t="str">
        <f t="shared" si="0"/>
        <v/>
      </c>
      <c r="CO45" s="1554"/>
      <c r="CP45" s="229" t="str">
        <f>IFERROR(IF(CB45="Existing TLED",CR45*CW45*CY45,VLOOKUP(CU45,Existing!A$3:F$356,6,FALSE)),"")</f>
        <v/>
      </c>
      <c r="CQ45" s="9"/>
      <c r="CR45" s="1660"/>
      <c r="CS45" s="1661"/>
      <c r="CT45" s="9"/>
      <c r="CU45" s="425" t="str">
        <f t="shared" si="21"/>
        <v/>
      </c>
      <c r="CV45" s="426" t="b">
        <f t="shared" si="22"/>
        <v>0</v>
      </c>
      <c r="CW45" s="426" t="str">
        <f t="shared" si="23"/>
        <v/>
      </c>
      <c r="CX45" s="426">
        <f>IFERROR(VLOOKUP(CF45,Lookup!T$100:V$102,3,FALSE),0)</f>
        <v>0</v>
      </c>
      <c r="CY45" s="426">
        <f t="shared" si="8"/>
        <v>1.1100000000000001</v>
      </c>
      <c r="CZ45" s="626" t="b">
        <f t="shared" si="1"/>
        <v>0</v>
      </c>
      <c r="DA45" s="626" t="b">
        <f>IF(CF45&lt;&gt;"",IF(ISERROR(MATCH(CONCATENATE(CB45," - ",CF45),Existing!G$4:G$331,0))=TRUE,FALSE,TRUE),TRUE)</f>
        <v>1</v>
      </c>
      <c r="DB45" s="626" t="b">
        <f t="shared" si="2"/>
        <v>1</v>
      </c>
      <c r="DL45" s="9"/>
      <c r="DM45" s="627" t="s">
        <v>215</v>
      </c>
      <c r="DN45" s="375" t="str">
        <f t="shared" si="3"/>
        <v/>
      </c>
      <c r="DO45" s="52"/>
      <c r="DP45" s="52"/>
      <c r="DQ45" s="52"/>
      <c r="DR45" s="52"/>
      <c r="DS45" s="52"/>
      <c r="DT45" s="226"/>
      <c r="DU45" s="376"/>
      <c r="DV45" s="227" t="str">
        <f t="shared" si="4"/>
        <v/>
      </c>
      <c r="DW45" s="224">
        <v>19</v>
      </c>
      <c r="DX45" s="1572"/>
      <c r="DY45" s="1573"/>
      <c r="DZ45" s="1573"/>
      <c r="EA45" s="1574"/>
      <c r="EB45" s="1618"/>
      <c r="EC45" s="1619"/>
      <c r="ED45" s="1619"/>
      <c r="EE45" s="1620"/>
      <c r="EF45" s="1578"/>
      <c r="EG45" s="1579"/>
      <c r="EH45" s="1618"/>
      <c r="EI45" s="1619"/>
      <c r="EJ45" s="1619"/>
      <c r="EK45" s="1620"/>
      <c r="EL45" s="1575"/>
      <c r="EM45" s="1576"/>
      <c r="EN45" s="1576"/>
      <c r="EO45" s="1577"/>
      <c r="EP45" s="1578"/>
      <c r="EQ45" s="1579"/>
      <c r="ER45" s="1555"/>
      <c r="ES45" s="1556"/>
      <c r="ET45" s="1553" t="str">
        <f t="shared" si="9"/>
        <v/>
      </c>
      <c r="EU45" s="1554"/>
      <c r="EV45" s="1553" t="str">
        <f t="shared" si="29"/>
        <v/>
      </c>
      <c r="EW45" s="1554"/>
      <c r="EX45" s="393"/>
      <c r="EY45" s="225" t="str">
        <f t="shared" si="6"/>
        <v/>
      </c>
      <c r="EZ45" s="225" t="str">
        <f>IFERROR(VLOOKUP(EB45,Lookup!AT$3:AU$13,2,FALSE),"")</f>
        <v/>
      </c>
      <c r="FA45" s="426" t="b">
        <f>IFERROR(IF(VLOOKUP(EB45,Lookup!AT$6:AU$8,2,FALSE)&gt;3,TRUE,FALSE),FALSE)</f>
        <v>0</v>
      </c>
      <c r="FB45" s="426" t="str">
        <f t="shared" si="10"/>
        <v/>
      </c>
      <c r="FC45" t="str">
        <f t="shared" ca="1" si="11"/>
        <v/>
      </c>
      <c r="FG45" t="str">
        <f t="shared" ca="1" si="12"/>
        <v/>
      </c>
      <c r="FI45" s="204" t="str">
        <f t="shared" ca="1" si="24"/>
        <v/>
      </c>
      <c r="FJ45" s="204"/>
      <c r="FK45" s="631" t="str">
        <f ca="1">IF(INDIRECT(CONCATENATE($FK$12,Fixtures!FK$25))="","",IF(INDIRECT(CONCATENATE($FK$12,Fixtures!FK$25))=Fixtures!$DN45,CONCATENATE(FK$10,", "),""))</f>
        <v/>
      </c>
      <c r="FL45" s="631" t="str">
        <f ca="1">IF(INDIRECT(CONCATENATE($FK$12,Fixtures!FL$25))="","",IF(INDIRECT(CONCATENATE($FK$12,Fixtures!FL$25))=Fixtures!$DN45,CONCATENATE(FL$10,", "),""))</f>
        <v/>
      </c>
      <c r="FM45" s="631" t="str">
        <f ca="1">IF(INDIRECT(CONCATENATE($FK$12,Fixtures!FM$25))="","",IF(INDIRECT(CONCATENATE($FK$12,Fixtures!FM$25))=Fixtures!$DN45,CONCATENATE(FM$10,", "),""))</f>
        <v/>
      </c>
      <c r="FN45" s="631" t="str">
        <f ca="1">IF(INDIRECT(CONCATENATE($FK$12,Fixtures!FN$25))="","",IF(INDIRECT(CONCATENATE($FK$12,Fixtures!FN$25))=Fixtures!$DN45,CONCATENATE(FN$10,", "),""))</f>
        <v/>
      </c>
      <c r="FO45" s="631" t="str">
        <f ca="1">IF(INDIRECT(CONCATENATE($FK$12,Fixtures!FO$25))="","",IF(INDIRECT(CONCATENATE($FK$12,Fixtures!FO$25))=Fixtures!$DN45,CONCATENATE(FO$10,", "),""))</f>
        <v/>
      </c>
      <c r="FP45" s="631" t="str">
        <f ca="1">IF(INDIRECT(CONCATENATE($FK$12,Fixtures!FP$25))="","",IF(INDIRECT(CONCATENATE($FK$12,Fixtures!FP$25))=Fixtures!$DN45,CONCATENATE(FP$10,", "),""))</f>
        <v/>
      </c>
      <c r="FQ45" s="631" t="str">
        <f ca="1">IF(INDIRECT(CONCATENATE($FK$12,Fixtures!FQ$25))="","",IF(INDIRECT(CONCATENATE($FK$12,Fixtures!FQ$25))=Fixtures!$DN45,CONCATENATE(FQ$10,", "),""))</f>
        <v/>
      </c>
      <c r="FR45" s="631" t="str">
        <f ca="1">IF(INDIRECT(CONCATENATE($FK$12,Fixtures!FR$25))="","",IF(INDIRECT(CONCATENATE($FK$12,Fixtures!FR$25))=Fixtures!$DN45,CONCATENATE(FR$10,", "),""))</f>
        <v/>
      </c>
      <c r="FS45" s="631" t="str">
        <f ca="1">IF(INDIRECT(CONCATENATE($FK$12,Fixtures!FS$25))="","",IF(INDIRECT(CONCATENATE($FK$12,Fixtures!FS$25))=Fixtures!$DN45,CONCATENATE(FS$10,", "),""))</f>
        <v/>
      </c>
      <c r="FT45" s="604" t="str">
        <f ca="1">IF(INDIRECT(CONCATENATE($FK$12,Fixtures!FT$25))="","",IF(INDIRECT(CONCATENATE($FK$12,Fixtures!FT$25))=Fixtures!$DN45,CONCATENATE(FT$10,", "),""))</f>
        <v/>
      </c>
      <c r="FU45" s="605" t="str">
        <f ca="1">IF(INDIRECT(CONCATENATE($FK$12,Fixtures!FU$25))="","",IF(INDIRECT(CONCATENATE($FK$12,Fixtures!FU$25))=Fixtures!$DN45,CONCATENATE(FU$10,", "),""))</f>
        <v/>
      </c>
      <c r="FV45" s="631" t="str">
        <f ca="1">IF(INDIRECT(CONCATENATE($FK$12,Fixtures!FV$25))="","",IF(INDIRECT(CONCATENATE($FK$12,Fixtures!FV$25))=Fixtures!$DN45,CONCATENATE(FV$10,", "),""))</f>
        <v/>
      </c>
      <c r="FW45" s="632" t="str">
        <f ca="1">IF(INDIRECT(CONCATENATE($FK$12,Fixtures!FW$25))="","",IF(INDIRECT(CONCATENATE($FK$12,Fixtures!FW$25))=Fixtures!$DN45,CONCATENATE(FW$10,", "),""))</f>
        <v/>
      </c>
      <c r="FX45" s="632" t="str">
        <f ca="1">IF(INDIRECT(CONCATENATE($FK$12,Fixtures!FX$25))="","",IF(INDIRECT(CONCATENATE($FK$12,Fixtures!FX$25))=Fixtures!$DN45,CONCATENATE(FX$10,", "),""))</f>
        <v/>
      </c>
      <c r="FY45" s="632" t="str">
        <f ca="1">IF(INDIRECT(CONCATENATE($FK$12,Fixtures!FY$25))="","",IF(INDIRECT(CONCATENATE($FK$12,Fixtures!FY$25))=Fixtures!$DN45,CONCATENATE(FY$10,", "),""))</f>
        <v/>
      </c>
      <c r="FZ45" s="632" t="str">
        <f ca="1">IF(INDIRECT(CONCATENATE($FK$12,Fixtures!FZ$25))="","",IF(INDIRECT(CONCATENATE($FK$12,Fixtures!FZ$25))=Fixtures!$DN45,CONCATENATE(FZ$10,", "),""))</f>
        <v/>
      </c>
      <c r="GA45" s="632" t="str">
        <f ca="1">IF(INDIRECT(CONCATENATE($FK$12,Fixtures!GA$25))="","",IF(INDIRECT(CONCATENATE($FK$12,Fixtures!GA$25))=Fixtures!$DN45,CONCATENATE(GA$10,", "),""))</f>
        <v/>
      </c>
      <c r="GB45" s="632" t="str">
        <f ca="1">IF(INDIRECT(CONCATENATE($FK$12,Fixtures!GB$25))="","",IF(INDIRECT(CONCATENATE($FK$12,Fixtures!GB$25))=Fixtures!$DN45,CONCATENATE(GB$10,", "),""))</f>
        <v/>
      </c>
      <c r="GC45" s="632" t="str">
        <f ca="1">IF(INDIRECT(CONCATENATE($FK$12,Fixtures!GC$25))="","",IF(INDIRECT(CONCATENATE($FK$12,Fixtures!GC$25))=Fixtures!$DN45,CONCATENATE(GC$10,", "),""))</f>
        <v/>
      </c>
      <c r="GD45" s="632" t="str">
        <f ca="1">IF(INDIRECT(CONCATENATE($FK$12,Fixtures!GD$25))="","",IF(INDIRECT(CONCATENATE($FK$12,Fixtures!GD$25))=Fixtures!$DN45,CONCATENATE(GD$10,", "),""))</f>
        <v/>
      </c>
      <c r="GE45" s="632" t="str">
        <f ca="1">IF(INDIRECT(CONCATENATE($FK$12,Fixtures!GE$25))="","",IF(INDIRECT(CONCATENATE($FK$12,Fixtures!GE$25))=Fixtures!$DN45,CONCATENATE(GE$10,", "),""))</f>
        <v/>
      </c>
      <c r="GF45" s="632" t="str">
        <f ca="1">IF(INDIRECT(CONCATENATE($FK$12,Fixtures!GF$25))="","",IF(INDIRECT(CONCATENATE($FK$12,Fixtures!GF$25))=Fixtures!$DN45,CONCATENATE(GF$10,", "),""))</f>
        <v/>
      </c>
      <c r="GG45" s="632" t="str">
        <f ca="1">IF(INDIRECT(CONCATENATE($FK$12,Fixtures!GG$25))="","",IF(INDIRECT(CONCATENATE($FK$12,Fixtures!GG$25))=Fixtures!$DN45,CONCATENATE(GG$10,", "),""))</f>
        <v/>
      </c>
      <c r="GH45" s="632" t="str">
        <f ca="1">IF(INDIRECT(CONCATENATE($FK$12,Fixtures!GH$25))="","",IF(INDIRECT(CONCATENATE($FK$12,Fixtures!GH$25))=Fixtures!$DN45,CONCATENATE(GH$10,", "),""))</f>
        <v/>
      </c>
      <c r="GI45" s="606" t="str">
        <f ca="1">IF(INDIRECT(CONCATENATE($FK$12,Fixtures!GI$25))="","",IF(INDIRECT(CONCATENATE($FK$12,Fixtures!GI$25))=Fixtures!$DN45,CONCATENATE(GI$10,", "),""))</f>
        <v/>
      </c>
      <c r="GJ45" s="607" t="str">
        <f ca="1">IF(INDIRECT(CONCATENATE($FK$12,Fixtures!GJ$25))="","",IF(INDIRECT(CONCATENATE($FK$12,Fixtures!GJ$25))=Fixtures!$DN45,CONCATENATE(GJ$10,", "),""))</f>
        <v/>
      </c>
      <c r="GK45" s="632" t="str">
        <f ca="1">IF(INDIRECT(CONCATENATE($FK$12,Fixtures!GK$25))="","",IF(INDIRECT(CONCATENATE($FK$12,Fixtures!GK$25))=Fixtures!$DN45,CONCATENATE(GK$10,", "),""))</f>
        <v/>
      </c>
      <c r="GL45" s="632" t="str">
        <f ca="1">IF(INDIRECT(CONCATENATE($FK$12,Fixtures!GL$25))="","",IF(INDIRECT(CONCATENATE($FK$12,Fixtures!GL$25))=Fixtures!$DN45,CONCATENATE(GL$10,", "),""))</f>
        <v/>
      </c>
      <c r="GM45" s="632" t="str">
        <f ca="1">IF(INDIRECT(CONCATENATE($FK$12,Fixtures!GM$25))="","",IF(INDIRECT(CONCATENATE($FK$12,Fixtures!GM$25))=Fixtures!$DN45,CONCATENATE(GM$10,", "),""))</f>
        <v/>
      </c>
      <c r="GN45" s="632" t="str">
        <f ca="1">IF(INDIRECT(CONCATENATE($FK$12,Fixtures!GN$25))="","",IF(INDIRECT(CONCATENATE($FK$12,Fixtures!GN$25))=Fixtures!$DN45,CONCATENATE(GN$10,", "),""))</f>
        <v/>
      </c>
      <c r="GO45" s="632" t="str">
        <f ca="1">IF(INDIRECT(CONCATENATE($FK$12,Fixtures!GO$25))="","",IF(INDIRECT(CONCATENATE($FK$12,Fixtures!GO$25))=Fixtures!$DN45,CONCATENATE(GO$10,", "),""))</f>
        <v/>
      </c>
      <c r="GP45" s="632" t="str">
        <f ca="1">IF(INDIRECT(CONCATENATE($FK$12,Fixtures!GP$25))="","",IF(INDIRECT(CONCATENATE($FK$12,Fixtures!GP$25))=Fixtures!$DN45,CONCATENATE(GP$10,", "),""))</f>
        <v/>
      </c>
      <c r="GQ45" s="632" t="str">
        <f ca="1">IF(INDIRECT(CONCATENATE($FK$12,Fixtures!GQ$25))="","",IF(INDIRECT(CONCATENATE($FK$12,Fixtures!GQ$25))=Fixtures!$DN45,CONCATENATE(GQ$10,", "),""))</f>
        <v/>
      </c>
      <c r="GR45" s="632" t="str">
        <f ca="1">IF(INDIRECT(CONCATENATE($FK$12,Fixtures!GR$25))="","",IF(INDIRECT(CONCATENATE($FK$12,Fixtures!GR$25))=Fixtures!$DN45,CONCATENATE(GR$10,", "),""))</f>
        <v/>
      </c>
      <c r="GS45" s="632" t="str">
        <f ca="1">IF(INDIRECT(CONCATENATE($FK$12,Fixtures!GS$25))="","",IF(INDIRECT(CONCATENATE($FK$12,Fixtures!GS$25))=Fixtures!$DN45,CONCATENATE(GS$10,", "),""))</f>
        <v/>
      </c>
      <c r="GT45" s="632" t="str">
        <f ca="1">IF(INDIRECT(CONCATENATE($FK$12,Fixtures!GT$25))="","",IF(INDIRECT(CONCATENATE($FK$12,Fixtures!GT$25))=Fixtures!$DN45,CONCATENATE(GT$10,", "),""))</f>
        <v/>
      </c>
      <c r="GU45" s="632" t="str">
        <f ca="1">IF(INDIRECT(CONCATENATE($FK$12,Fixtures!GU$25))="","",IF(INDIRECT(CONCATENATE($FK$12,Fixtures!GU$25))=Fixtures!$DN45,CONCATENATE(GU$10,", "),""))</f>
        <v/>
      </c>
      <c r="GV45" s="632" t="str">
        <f ca="1">IF(INDIRECT(CONCATENATE($FK$12,Fixtures!GV$25))="","",IF(INDIRECT(CONCATENATE($FK$12,Fixtures!GV$25))=Fixtures!$DN45,CONCATENATE(GV$10,", "),""))</f>
        <v/>
      </c>
      <c r="GW45" s="632" t="str">
        <f ca="1">IF(INDIRECT(CONCATENATE($FK$12,Fixtures!GW$25))="","",IF(INDIRECT(CONCATENATE($FK$12,Fixtures!GW$25))=Fixtures!$DN45,CONCATENATE(GW$10,", "),""))</f>
        <v/>
      </c>
      <c r="GX45" s="606" t="str">
        <f ca="1">IF(INDIRECT(CONCATENATE($FK$12,Fixtures!GX$25))="","",IF(INDIRECT(CONCATENATE($FK$12,Fixtures!GX$25))=Fixtures!$DN45,CONCATENATE(GX$10,", "),""))</f>
        <v/>
      </c>
      <c r="GY45" s="607" t="str">
        <f ca="1">IF(INDIRECT(CONCATENATE($FK$12,Fixtures!GY$25))="","",IF(INDIRECT(CONCATENATE($FK$12,Fixtures!GY$25))=Fixtures!$DN45,CONCATENATE(GY$10,", "),""))</f>
        <v/>
      </c>
      <c r="GZ45" s="632" t="str">
        <f ca="1">IF(INDIRECT(CONCATENATE($FK$12,Fixtures!GZ$25))="","",IF(INDIRECT(CONCATENATE($FK$12,Fixtures!GZ$25))=Fixtures!$DN45,CONCATENATE(GZ$10,", "),""))</f>
        <v/>
      </c>
      <c r="HA45" s="632" t="str">
        <f ca="1">IF(INDIRECT(CONCATENATE($FK$12,Fixtures!HA$25))="","",IF(INDIRECT(CONCATENATE($FK$12,Fixtures!HA$25))=Fixtures!$DN45,CONCATENATE(HA$10,", "),""))</f>
        <v/>
      </c>
      <c r="HB45" s="632" t="str">
        <f ca="1">IF(INDIRECT(CONCATENATE($FK$12,Fixtures!HB$25))="","",IF(INDIRECT(CONCATENATE($FK$12,Fixtures!HB$25))=Fixtures!$DN45,CONCATENATE(HB$10,", "),""))</f>
        <v/>
      </c>
      <c r="HC45" s="632" t="str">
        <f ca="1">IF(INDIRECT(CONCATENATE($FK$12,Fixtures!HC$25))="","",IF(INDIRECT(CONCATENATE($FK$12,Fixtures!HC$25))=Fixtures!$DN45,CONCATENATE(HC$10,", "),""))</f>
        <v/>
      </c>
      <c r="HD45" s="632" t="str">
        <f ca="1">IF(INDIRECT(CONCATENATE($FK$12,Fixtures!HD$25))="","",IF(INDIRECT(CONCATENATE($FK$12,Fixtures!HD$25))=Fixtures!$DN45,CONCATENATE(HD$10,", "),""))</f>
        <v/>
      </c>
      <c r="HE45" s="632" t="str">
        <f ca="1">IF(INDIRECT(CONCATENATE($FK$12,Fixtures!HE$25))="","",IF(INDIRECT(CONCATENATE($FK$12,Fixtures!HE$25))=Fixtures!$DN45,CONCATENATE(HE$10,", "),""))</f>
        <v/>
      </c>
      <c r="HF45" s="632" t="str">
        <f ca="1">IF(INDIRECT(CONCATENATE($FK$12,Fixtures!HF$25))="","",IF(INDIRECT(CONCATENATE($FK$12,Fixtures!HF$25))=Fixtures!$DN45,CONCATENATE(HF$10,", "),""))</f>
        <v/>
      </c>
      <c r="HG45" s="632" t="str">
        <f ca="1">IF(INDIRECT(CONCATENATE($FK$12,Fixtures!HG$25))="","",IF(INDIRECT(CONCATENATE($FK$12,Fixtures!HG$25))=Fixtures!$DN45,CONCATENATE(HG$10,", "),""))</f>
        <v/>
      </c>
      <c r="HH45" s="632" t="str">
        <f ca="1">IF(INDIRECT(CONCATENATE($FK$12,Fixtures!HH$25))="","",IF(INDIRECT(CONCATENATE($FK$12,Fixtures!HH$25))=Fixtures!$DN45,CONCATENATE(HH$10,", "),""))</f>
        <v/>
      </c>
      <c r="HI45" s="632" t="str">
        <f ca="1">IF(INDIRECT(CONCATENATE($FK$12,Fixtures!HI$25))="","",IF(INDIRECT(CONCATENATE($FK$12,Fixtures!HI$25))=Fixtures!$DN45,CONCATENATE(HI$10,", "),""))</f>
        <v/>
      </c>
      <c r="HJ45" s="632" t="str">
        <f ca="1">IF(INDIRECT(CONCATENATE($FK$12,Fixtures!HJ$25))="","",IF(INDIRECT(CONCATENATE($FK$12,Fixtures!HJ$25))=Fixtures!$DN45,CONCATENATE(HJ$10,", "),""))</f>
        <v/>
      </c>
      <c r="HK45" s="632" t="str">
        <f ca="1">IF(INDIRECT(CONCATENATE($FK$12,Fixtures!HK$25))="","",IF(INDIRECT(CONCATENATE($FK$12,Fixtures!HK$25))=Fixtures!$DN45,CONCATENATE(HK$10,", "),""))</f>
        <v/>
      </c>
      <c r="HL45" s="632" t="str">
        <f ca="1">IF(INDIRECT(CONCATENATE($FK$12,Fixtures!HL$25))="","",IF(INDIRECT(CONCATENATE($FK$12,Fixtures!HL$25))=Fixtures!$DN45,CONCATENATE(HL$10,", "),""))</f>
        <v/>
      </c>
      <c r="HM45" s="606" t="str">
        <f ca="1">IF(INDIRECT(CONCATENATE($FK$12,Fixtures!HM$25))="","",IF(INDIRECT(CONCATENATE($FK$12,Fixtures!HM$25))=Fixtures!$DN45,CONCATENATE(HM$10,", "),""))</f>
        <v/>
      </c>
      <c r="HN45" s="607" t="str">
        <f ca="1">IF(INDIRECT(CONCATENATE($FK$12,Fixtures!HN$25))="","",IF(INDIRECT(CONCATENATE($FK$12,Fixtures!HN$25))=Fixtures!$DN45,CONCATENATE(HN$10,", "),""))</f>
        <v/>
      </c>
      <c r="HO45" s="632" t="str">
        <f ca="1">IF(INDIRECT(CONCATENATE($FK$12,Fixtures!HO$25))="","",IF(INDIRECT(CONCATENATE($FK$12,Fixtures!HO$25))=Fixtures!$DN45,CONCATENATE(HO$10,", "),""))</f>
        <v/>
      </c>
      <c r="HP45" s="632" t="str">
        <f ca="1">IF(INDIRECT(CONCATENATE($FK$12,Fixtures!HP$25))="","",IF(INDIRECT(CONCATENATE($FK$12,Fixtures!HP$25))=Fixtures!$DN45,CONCATENATE(HP$10,", "),""))</f>
        <v/>
      </c>
      <c r="HQ45" s="632" t="str">
        <f ca="1">IF(INDIRECT(CONCATENATE($FK$12,Fixtures!HQ$25))="","",IF(INDIRECT(CONCATENATE($FK$12,Fixtures!HQ$25))=Fixtures!$DN45,CONCATENATE(HQ$10,", "),""))</f>
        <v/>
      </c>
      <c r="HR45" s="632" t="str">
        <f ca="1">IF(INDIRECT(CONCATENATE($FK$12,Fixtures!HR$25))="","",IF(INDIRECT(CONCATENATE($FK$12,Fixtures!HR$25))=Fixtures!$DN45,CONCATENATE(HR$10,", "),""))</f>
        <v/>
      </c>
      <c r="HS45" s="632" t="str">
        <f ca="1">IF(INDIRECT(CONCATENATE($FK$12,Fixtures!HS$25))="","",IF(INDIRECT(CONCATENATE($FK$12,Fixtures!HS$25))=Fixtures!$DN45,CONCATENATE(HS$10,", "),""))</f>
        <v/>
      </c>
      <c r="HT45" s="632" t="str">
        <f ca="1">IF(INDIRECT(CONCATENATE($FK$12,Fixtures!HT$25))="","",IF(INDIRECT(CONCATENATE($FK$12,Fixtures!HT$25))=Fixtures!$DN45,CONCATENATE(HT$10,", "),""))</f>
        <v/>
      </c>
      <c r="HU45" s="632" t="str">
        <f ca="1">IF(INDIRECT(CONCATENATE($FK$12,Fixtures!HU$25))="","",IF(INDIRECT(CONCATENATE($FK$12,Fixtures!HU$25))=Fixtures!$DN45,CONCATENATE(HU$10,", "),""))</f>
        <v/>
      </c>
      <c r="HV45" s="632" t="str">
        <f ca="1">IF(INDIRECT(CONCATENATE($FK$12,Fixtures!HV$25))="","",IF(INDIRECT(CONCATENATE($FK$12,Fixtures!HV$25))=Fixtures!$DN45,CONCATENATE(HV$10,", "),""))</f>
        <v/>
      </c>
      <c r="HW45" s="632" t="str">
        <f ca="1">IF(INDIRECT(CONCATENATE($FK$12,Fixtures!HW$25))="","",IF(INDIRECT(CONCATENATE($FK$12,Fixtures!HW$25))=Fixtures!$DN45,CONCATENATE(HW$10,", "),""))</f>
        <v/>
      </c>
      <c r="HX45" s="632" t="str">
        <f ca="1">IF(INDIRECT(CONCATENATE($FK$12,Fixtures!HX$25))="","",IF(INDIRECT(CONCATENATE($FK$12,Fixtures!HX$25))=Fixtures!$DN45,CONCATENATE(HX$10,", "),""))</f>
        <v/>
      </c>
      <c r="HY45" s="632" t="str">
        <f ca="1">IF(INDIRECT(CONCATENATE($FK$12,Fixtures!HY$25))="","",IF(INDIRECT(CONCATENATE($FK$12,Fixtures!HY$25))=Fixtures!$DN45,CONCATENATE(HY$10,", "),""))</f>
        <v/>
      </c>
      <c r="HZ45" s="632" t="str">
        <f ca="1">IF(INDIRECT(CONCATENATE($FK$12,Fixtures!HZ$25))="","",IF(INDIRECT(CONCATENATE($FK$12,Fixtures!HZ$25))=Fixtures!$DN45,CONCATENATE(HZ$10,", "),""))</f>
        <v/>
      </c>
      <c r="IA45" s="632" t="str">
        <f ca="1">IF(INDIRECT(CONCATENATE($FK$12,Fixtures!IA$25))="","",IF(INDIRECT(CONCATENATE($FK$12,Fixtures!IA$25))=Fixtures!$DN45,CONCATENATE(IA$10,", "),""))</f>
        <v/>
      </c>
      <c r="IB45" s="606" t="str">
        <f ca="1">IF(INDIRECT(CONCATENATE($FK$12,Fixtures!IB$25))="","",IF(INDIRECT(CONCATENATE($FK$12,Fixtures!IB$25))=Fixtures!$DN45,CONCATENATE(IB$10,", "),""))</f>
        <v/>
      </c>
      <c r="IC45" s="607" t="str">
        <f ca="1">IF(INDIRECT(CONCATENATE($FK$12,Fixtures!IC$25))="","",IF(INDIRECT(CONCATENATE($FK$12,Fixtures!IC$25))=Fixtures!$DN45,CONCATENATE(IC$10,", "),""))</f>
        <v/>
      </c>
      <c r="ID45" s="632" t="str">
        <f ca="1">IF(INDIRECT(CONCATENATE($FK$12,Fixtures!ID$25))="","",IF(INDIRECT(CONCATENATE($FK$12,Fixtures!ID$25))=Fixtures!$DN45,CONCATENATE(ID$10,", "),""))</f>
        <v/>
      </c>
      <c r="IE45" s="632" t="str">
        <f ca="1">IF(INDIRECT(CONCATENATE($FK$12,Fixtures!IE$25))="","",IF(INDIRECT(CONCATENATE($FK$12,Fixtures!IE$25))=Fixtures!$DN45,CONCATENATE(IE$10,", "),""))</f>
        <v/>
      </c>
      <c r="IF45" s="632" t="str">
        <f ca="1">IF(INDIRECT(CONCATENATE($FK$12,Fixtures!IF$25))="","",IF(INDIRECT(CONCATENATE($FK$12,Fixtures!IF$25))=Fixtures!$DN45,CONCATENATE(IF$10,", "),""))</f>
        <v/>
      </c>
      <c r="IG45" s="632" t="str">
        <f ca="1">IF(INDIRECT(CONCATENATE($FK$12,Fixtures!IG$25))="","",IF(INDIRECT(CONCATENATE($FK$12,Fixtures!IG$25))=Fixtures!$DN45,CONCATENATE(IG$10,", "),""))</f>
        <v/>
      </c>
      <c r="IH45" s="632" t="str">
        <f ca="1">IF(INDIRECT(CONCATENATE($FK$12,Fixtures!IH$25))="","",IF(INDIRECT(CONCATENATE($FK$12,Fixtures!IH$25))=Fixtures!$DN45,CONCATENATE(IH$10,", "),""))</f>
        <v/>
      </c>
      <c r="II45" s="632" t="str">
        <f ca="1">IF(INDIRECT(CONCATENATE($FK$12,Fixtures!II$25))="","",IF(INDIRECT(CONCATENATE($FK$12,Fixtures!II$25))=Fixtures!$DN45,CONCATENATE(II$10,", "),""))</f>
        <v/>
      </c>
      <c r="IJ45" s="632" t="str">
        <f ca="1">IF(INDIRECT(CONCATENATE($FK$12,Fixtures!IJ$25))="","",IF(INDIRECT(CONCATENATE($FK$12,Fixtures!IJ$25))=Fixtures!$DN45,CONCATENATE(IJ$10,", "),""))</f>
        <v/>
      </c>
      <c r="IK45" s="632" t="str">
        <f ca="1">IF(INDIRECT(CONCATENATE($FK$12,Fixtures!IK$25))="","",IF(INDIRECT(CONCATENATE($FK$12,Fixtures!IK$25))=Fixtures!$DN45,CONCATENATE(IK$10,", "),""))</f>
        <v/>
      </c>
      <c r="IL45" s="632" t="str">
        <f ca="1">IF(INDIRECT(CONCATENATE($FK$12,Fixtures!IL$25))="","",IF(INDIRECT(CONCATENATE($FK$12,Fixtures!IL$25))=Fixtures!$DN45,CONCATENATE(IL$10,", "),""))</f>
        <v/>
      </c>
      <c r="IM45" s="632" t="str">
        <f ca="1">IF(INDIRECT(CONCATENATE($FK$12,Fixtures!IM$25))="","",IF(INDIRECT(CONCATENATE($FK$12,Fixtures!IM$25))=Fixtures!$DN45,CONCATENATE(IM$10,", "),""))</f>
        <v/>
      </c>
      <c r="IN45" s="632" t="str">
        <f ca="1">IF(INDIRECT(CONCATENATE($FK$12,Fixtures!IN$25))="","",IF(INDIRECT(CONCATENATE($FK$12,Fixtures!IN$25))=Fixtures!$DN45,CONCATENATE(IN$10,", "),""))</f>
        <v/>
      </c>
      <c r="IO45" s="632" t="str">
        <f ca="1">IF(INDIRECT(CONCATENATE($FK$12,Fixtures!IO$25))="","",IF(INDIRECT(CONCATENATE($FK$12,Fixtures!IO$25))=Fixtures!$DN45,CONCATENATE(IO$10,", "),""))</f>
        <v/>
      </c>
      <c r="IP45" s="632" t="str">
        <f ca="1">IF(INDIRECT(CONCATENATE($FK$12,Fixtures!IP$25))="","",IF(INDIRECT(CONCATENATE($FK$12,Fixtures!IP$25))=Fixtures!$DN45,CONCATENATE(IP$10,", "),""))</f>
        <v/>
      </c>
      <c r="IQ45" s="606" t="str">
        <f ca="1">IF(INDIRECT(CONCATENATE($FK$12,Fixtures!IQ$25))="","",IF(INDIRECT(CONCATENATE($FK$12,Fixtures!IQ$25))=Fixtures!$DN45,CONCATENATE(IQ$10,", "),""))</f>
        <v/>
      </c>
      <c r="IR45" s="607" t="str">
        <f ca="1">IF(INDIRECT(CONCATENATE($FK$12,Fixtures!IR$25))="","",IF(INDIRECT(CONCATENATE($FK$12,Fixtures!IR$25))=Fixtures!$DN45,CONCATENATE(IR$10,", "),""))</f>
        <v/>
      </c>
      <c r="IS45" s="632" t="str">
        <f ca="1">IF(INDIRECT(CONCATENATE($FK$12,Fixtures!IS$25))="","",IF(INDIRECT(CONCATENATE($FK$12,Fixtures!IS$25))=Fixtures!$DN45,CONCATENATE(IS$10,", "),""))</f>
        <v/>
      </c>
      <c r="IT45" s="632" t="str">
        <f ca="1">IF(INDIRECT(CONCATENATE($FK$12,Fixtures!IT$25))="","",IF(INDIRECT(CONCATENATE($FK$12,Fixtures!IT$25))=Fixtures!$DN45,CONCATENATE(IT$10,", "),""))</f>
        <v/>
      </c>
      <c r="IU45" s="632" t="str">
        <f ca="1">IF(INDIRECT(CONCATENATE($FK$12,Fixtures!IU$25))="","",IF(INDIRECT(CONCATENATE($FK$12,Fixtures!IU$25))=Fixtures!$DN45,CONCATENATE(IU$10,", "),""))</f>
        <v/>
      </c>
      <c r="IV45" s="632" t="str">
        <f ca="1">IF(INDIRECT(CONCATENATE($FK$12,Fixtures!IV$25))="","",IF(INDIRECT(CONCATENATE($FK$12,Fixtures!IV$25))=Fixtures!$DN45,CONCATENATE(IV$10,", "),""))</f>
        <v/>
      </c>
      <c r="IW45" s="632" t="str">
        <f ca="1">IF(INDIRECT(CONCATENATE($FK$12,Fixtures!IW$25))="","",IF(INDIRECT(CONCATENATE($FK$12,Fixtures!IW$25))=Fixtures!$DN45,CONCATENATE(IW$10,", "),""))</f>
        <v/>
      </c>
      <c r="IX45" s="632" t="str">
        <f ca="1">IF(INDIRECT(CONCATENATE($FK$12,Fixtures!IX$25))="","",IF(INDIRECT(CONCATENATE($FK$12,Fixtures!IX$25))=Fixtures!$DN45,CONCATENATE(IX$10,", "),""))</f>
        <v/>
      </c>
      <c r="IY45" s="632" t="str">
        <f ca="1">IF(INDIRECT(CONCATENATE($FK$12,Fixtures!IY$25))="","",IF(INDIRECT(CONCATENATE($FK$12,Fixtures!IY$25))=Fixtures!$DN45,CONCATENATE(IY$10,", "),""))</f>
        <v/>
      </c>
      <c r="IZ45" s="632" t="str">
        <f ca="1">IF(INDIRECT(CONCATENATE($FK$12,Fixtures!IZ$25))="","",IF(INDIRECT(CONCATENATE($FK$12,Fixtures!IZ$25))=Fixtures!$DN45,CONCATENATE(IZ$10,", "),""))</f>
        <v/>
      </c>
      <c r="JA45" s="632" t="str">
        <f ca="1">IF(INDIRECT(CONCATENATE($FK$12,Fixtures!JA$25))="","",IF(INDIRECT(CONCATENATE($FK$12,Fixtures!JA$25))=Fixtures!$DN45,CONCATENATE(JA$10,", "),""))</f>
        <v/>
      </c>
      <c r="JB45" s="632" t="str">
        <f ca="1">IF(INDIRECT(CONCATENATE($FK$12,Fixtures!JB$25))="","",IF(INDIRECT(CONCATENATE($FK$12,Fixtures!JB$25))=Fixtures!$DN45,CONCATENATE(JB$10,", "),""))</f>
        <v/>
      </c>
      <c r="JC45" s="632" t="str">
        <f ca="1">IF(INDIRECT(CONCATENATE($FK$12,Fixtures!JC$25))="","",IF(INDIRECT(CONCATENATE($FK$12,Fixtures!JC$25))=Fixtures!$DN45,CONCATENATE(JC$10,", "),""))</f>
        <v/>
      </c>
      <c r="JD45" s="632" t="str">
        <f ca="1">IF(INDIRECT(CONCATENATE($FK$12,Fixtures!JD$25))="","",IF(INDIRECT(CONCATENATE($FK$12,Fixtures!JD$25))=Fixtures!$DN45,CONCATENATE(JD$10,", "),""))</f>
        <v/>
      </c>
      <c r="JE45" s="632" t="str">
        <f ca="1">IF(INDIRECT(CONCATENATE($FK$12,Fixtures!JE$25))="","",IF(INDIRECT(CONCATENATE($FK$12,Fixtures!JE$25))=Fixtures!$DN45,CONCATENATE(JE$10,", "),""))</f>
        <v/>
      </c>
      <c r="JF45" s="606" t="str">
        <f ca="1">IF(INDIRECT(CONCATENATE($FK$12,Fixtures!JF$25))="","",IF(INDIRECT(CONCATENATE($FK$12,Fixtures!JF$25))=Fixtures!$DN45,CONCATENATE(JF$10,", "),""))</f>
        <v/>
      </c>
      <c r="JG45" s="607" t="str">
        <f ca="1">IF(INDIRECT(CONCATENATE($FK$12,Fixtures!JG$25))="","",IF(INDIRECT(CONCATENATE($FK$12,Fixtures!JG$25))=Fixtures!$DN45,CONCATENATE(JG$10,", "),""))</f>
        <v/>
      </c>
      <c r="JH45" s="632" t="str">
        <f ca="1">IF(INDIRECT(CONCATENATE($FK$12,Fixtures!JH$25))="","",IF(INDIRECT(CONCATENATE($FK$12,Fixtures!JH$25))=Fixtures!$DN45,CONCATENATE(JH$10,", "),""))</f>
        <v/>
      </c>
      <c r="JI45" s="632" t="str">
        <f ca="1">IF(INDIRECT(CONCATENATE($FK$12,Fixtures!JI$25))="","",IF(INDIRECT(CONCATENATE($FK$12,Fixtures!JI$25))=Fixtures!$DN45,CONCATENATE(JI$10,", "),""))</f>
        <v/>
      </c>
      <c r="JJ45" s="632" t="str">
        <f ca="1">IF(INDIRECT(CONCATENATE($FK$12,Fixtures!JJ$25))="","",IF(INDIRECT(CONCATENATE($FK$12,Fixtures!JJ$25))=Fixtures!$DN45,CONCATENATE(JJ$10,", "),""))</f>
        <v/>
      </c>
      <c r="JK45" s="632" t="str">
        <f ca="1">IF(INDIRECT(CONCATENATE($FK$12,Fixtures!JK$25))="","",IF(INDIRECT(CONCATENATE($FK$12,Fixtures!JK$25))=Fixtures!$DN45,CONCATENATE(JK$10,", "),""))</f>
        <v/>
      </c>
      <c r="JL45" s="632" t="str">
        <f ca="1">IF(INDIRECT(CONCATENATE($FK$12,Fixtures!JL$25))="","",IF(INDIRECT(CONCATENATE($FK$12,Fixtures!JL$25))=Fixtures!$DN45,CONCATENATE(JL$10,", "),""))</f>
        <v/>
      </c>
      <c r="JM45" s="632" t="str">
        <f ca="1">IF(INDIRECT(CONCATENATE($FK$12,Fixtures!JM$25))="","",IF(INDIRECT(CONCATENATE($FK$12,Fixtures!JM$25))=Fixtures!$DN45,CONCATENATE(JM$10,", "),""))</f>
        <v/>
      </c>
      <c r="JN45" s="632" t="str">
        <f ca="1">IF(INDIRECT(CONCATENATE($FK$12,Fixtures!JN$25))="","",IF(INDIRECT(CONCATENATE($FK$12,Fixtures!JN$25))=Fixtures!$DN45,CONCATENATE(JN$10,", "),""))</f>
        <v/>
      </c>
      <c r="JO45" s="632" t="str">
        <f ca="1">IF(INDIRECT(CONCATENATE($FK$12,Fixtures!JO$25))="","",IF(INDIRECT(CONCATENATE($FK$12,Fixtures!JO$25))=Fixtures!$DN45,CONCATENATE(JO$10,", "),""))</f>
        <v/>
      </c>
      <c r="JP45" s="632" t="str">
        <f ca="1">IF(INDIRECT(CONCATENATE($FK$12,Fixtures!JP$25))="","",IF(INDIRECT(CONCATENATE($FK$12,Fixtures!JP$25))=Fixtures!$DN45,CONCATENATE(JP$10,", "),""))</f>
        <v/>
      </c>
      <c r="JQ45" s="632" t="str">
        <f ca="1">IF(INDIRECT(CONCATENATE($FK$12,Fixtures!JQ$25))="","",IF(INDIRECT(CONCATENATE($FK$12,Fixtures!JQ$25))=Fixtures!$DN45,CONCATENATE(JQ$10,", "),""))</f>
        <v/>
      </c>
      <c r="JR45" s="632" t="str">
        <f ca="1">IF(INDIRECT(CONCATENATE($FK$12,Fixtures!JR$25))="","",IF(INDIRECT(CONCATENATE($FK$12,Fixtures!JR$25))=Fixtures!$DN45,CONCATENATE(JR$10,", "),""))</f>
        <v/>
      </c>
      <c r="JS45" s="632" t="str">
        <f ca="1">IF(INDIRECT(CONCATENATE($FK$12,Fixtures!JS$25))="","",IF(INDIRECT(CONCATENATE($FK$12,Fixtures!JS$25))=Fixtures!$DN45,CONCATENATE(JS$10,", "),""))</f>
        <v/>
      </c>
      <c r="JT45" s="632" t="str">
        <f ca="1">IF(INDIRECT(CONCATENATE($FK$12,Fixtures!JT$25))="","",IF(INDIRECT(CONCATENATE($FK$12,Fixtures!JT$25))=Fixtures!$DN45,CONCATENATE(JT$10,", "),""))</f>
        <v/>
      </c>
      <c r="JU45" s="606" t="str">
        <f ca="1">IF(INDIRECT(CONCATENATE($FK$12,Fixtures!JU$25))="","",IF(INDIRECT(CONCATENATE($FK$12,Fixtures!JU$25))=Fixtures!$DN45,CONCATENATE(JU$10,", "),""))</f>
        <v/>
      </c>
      <c r="JV45" s="607" t="str">
        <f ca="1">IF(INDIRECT(CONCATENATE($FK$12,Fixtures!JV$25))="","",IF(INDIRECT(CONCATENATE($FK$12,Fixtures!JV$25))=Fixtures!$DN45,CONCATENATE(JV$10,", "),""))</f>
        <v/>
      </c>
      <c r="JW45" s="632" t="str">
        <f ca="1">IF(INDIRECT(CONCATENATE($FK$12,Fixtures!JW$25))="","",IF(INDIRECT(CONCATENATE($FK$12,Fixtures!JW$25))=Fixtures!$DN45,CONCATENATE(JW$10,", "),""))</f>
        <v/>
      </c>
      <c r="JX45" s="632" t="str">
        <f ca="1">IF(INDIRECT(CONCATENATE($FK$12,Fixtures!JX$25))="","",IF(INDIRECT(CONCATENATE($FK$12,Fixtures!JX$25))=Fixtures!$DN45,CONCATENATE(JX$10,", "),""))</f>
        <v/>
      </c>
      <c r="JY45" s="632" t="str">
        <f ca="1">IF(INDIRECT(CONCATENATE($FK$12,Fixtures!JY$25))="","",IF(INDIRECT(CONCATENATE($FK$12,Fixtures!JY$25))=Fixtures!$DN45,CONCATENATE(JY$10,", "),""))</f>
        <v/>
      </c>
      <c r="JZ45" s="632" t="str">
        <f ca="1">IF(INDIRECT(CONCATENATE($FK$12,Fixtures!JZ$25))="","",IF(INDIRECT(CONCATENATE($FK$12,Fixtures!JZ$25))=Fixtures!$DN45,CONCATENATE(JZ$10,", "),""))</f>
        <v/>
      </c>
      <c r="KA45" s="632" t="str">
        <f ca="1">IF(INDIRECT(CONCATENATE($FK$12,Fixtures!KA$25))="","",IF(INDIRECT(CONCATENATE($FK$12,Fixtures!KA$25))=Fixtures!$DN45,CONCATENATE(KA$10,", "),""))</f>
        <v/>
      </c>
      <c r="KB45" s="632" t="str">
        <f ca="1">IF(INDIRECT(CONCATENATE($FK$12,Fixtures!KB$25))="","",IF(INDIRECT(CONCATENATE($FK$12,Fixtures!KB$25))=Fixtures!$DN45,CONCATENATE(KB$10,", "),""))</f>
        <v/>
      </c>
      <c r="KC45" s="632" t="str">
        <f ca="1">IF(INDIRECT(CONCATENATE($FK$12,Fixtures!KC$25))="","",IF(INDIRECT(CONCATENATE($FK$12,Fixtures!KC$25))=Fixtures!$DN45,CONCATENATE(KC$10,", "),""))</f>
        <v/>
      </c>
      <c r="KD45" s="632" t="str">
        <f ca="1">IF(INDIRECT(CONCATENATE($FK$12,Fixtures!KD$25))="","",IF(INDIRECT(CONCATENATE($FK$12,Fixtures!KD$25))=Fixtures!$DN45,CONCATENATE(KD$10,", "),""))</f>
        <v/>
      </c>
      <c r="KE45" s="632" t="str">
        <f ca="1">IF(INDIRECT(CONCATENATE($FK$12,Fixtures!KE$25))="","",IF(INDIRECT(CONCATENATE($FK$12,Fixtures!KE$25))=Fixtures!$DN45,CONCATENATE(KE$10,", "),""))</f>
        <v/>
      </c>
      <c r="KF45" s="632" t="str">
        <f ca="1">IF(INDIRECT(CONCATENATE($FK$12,Fixtures!KF$25))="","",IF(INDIRECT(CONCATENATE($FK$12,Fixtures!KF$25))=Fixtures!$DN45,CONCATENATE(KF$10,", "),""))</f>
        <v/>
      </c>
      <c r="KG45" s="632" t="str">
        <f ca="1">IF(INDIRECT(CONCATENATE($FK$12,Fixtures!KG$25))="","",IF(INDIRECT(CONCATENATE($FK$12,Fixtures!KG$25))=Fixtures!$DN45,CONCATENATE(KG$10,", "),""))</f>
        <v/>
      </c>
      <c r="KH45" s="632" t="str">
        <f ca="1">IF(INDIRECT(CONCATENATE($FK$12,Fixtures!KH$25))="","",IF(INDIRECT(CONCATENATE($FK$12,Fixtures!KH$25))=Fixtures!$DN45,CONCATENATE(KH$10,", "),""))</f>
        <v/>
      </c>
      <c r="KI45" s="632" t="str">
        <f ca="1">IF(INDIRECT(CONCATENATE($FK$12,Fixtures!KI$25))="","",IF(INDIRECT(CONCATENATE($FK$12,Fixtures!KI$25))=Fixtures!$DN45,CONCATENATE(KI$10,", "),""))</f>
        <v/>
      </c>
      <c r="KJ45" s="606" t="str">
        <f ca="1">IF(INDIRECT(CONCATENATE($FK$12,Fixtures!KJ$25))="","",IF(INDIRECT(CONCATENATE($FK$12,Fixtures!KJ$25))=Fixtures!$DN45,CONCATENATE(KJ$10,", "),""))</f>
        <v/>
      </c>
      <c r="KK45" s="607" t="str">
        <f ca="1">IF(INDIRECT(CONCATENATE($FK$12,Fixtures!KK$25))="","",IF(INDIRECT(CONCATENATE($FK$12,Fixtures!KK$25))=Fixtures!$DN45,CONCATENATE(KK$10,", "),""))</f>
        <v/>
      </c>
      <c r="KL45" s="632" t="str">
        <f ca="1">IF(INDIRECT(CONCATENATE($FK$12,Fixtures!KL$25))="","",IF(INDIRECT(CONCATENATE($FK$12,Fixtures!KL$25))=Fixtures!$DN45,CONCATENATE(KL$10,", "),""))</f>
        <v/>
      </c>
      <c r="KM45" s="632" t="str">
        <f ca="1">IF(INDIRECT(CONCATENATE($FK$12,Fixtures!KM$25))="","",IF(INDIRECT(CONCATENATE($FK$12,Fixtures!KM$25))=Fixtures!$DN45,CONCATENATE(KM$10,", "),""))</f>
        <v/>
      </c>
      <c r="KN45" s="632" t="str">
        <f ca="1">IF(INDIRECT(CONCATENATE($FK$12,Fixtures!KN$25))="","",IF(INDIRECT(CONCATENATE($FK$12,Fixtures!KN$25))=Fixtures!$DN45,CONCATENATE(KN$10,", "),""))</f>
        <v/>
      </c>
      <c r="KO45" s="632" t="str">
        <f ca="1">IF(INDIRECT(CONCATENATE($FK$12,Fixtures!KO$25))="","",IF(INDIRECT(CONCATENATE($FK$12,Fixtures!KO$25))=Fixtures!$DN45,CONCATENATE(KO$10,", "),""))</f>
        <v/>
      </c>
      <c r="KP45" s="632" t="str">
        <f ca="1">IF(INDIRECT(CONCATENATE($FK$12,Fixtures!KP$25))="","",IF(INDIRECT(CONCATENATE($FK$12,Fixtures!KP$25))=Fixtures!$DN45,CONCATENATE(KP$10,", "),""))</f>
        <v/>
      </c>
      <c r="KQ45" s="632" t="str">
        <f ca="1">IF(INDIRECT(CONCATENATE($FK$12,Fixtures!KQ$25))="","",IF(INDIRECT(CONCATENATE($FK$12,Fixtures!KQ$25))=Fixtures!$DN45,CONCATENATE(KQ$10,", "),""))</f>
        <v/>
      </c>
      <c r="KR45" s="632" t="str">
        <f ca="1">IF(INDIRECT(CONCATENATE($FK$12,Fixtures!KR$25))="","",IF(INDIRECT(CONCATENATE($FK$12,Fixtures!KR$25))=Fixtures!$DN45,CONCATENATE(KR$10,", "),""))</f>
        <v/>
      </c>
      <c r="KS45" s="632" t="str">
        <f ca="1">IF(INDIRECT(CONCATENATE($FK$12,Fixtures!KS$25))="","",IF(INDIRECT(CONCATENATE($FK$12,Fixtures!KS$25))=Fixtures!$DN45,CONCATENATE(KS$10,", "),""))</f>
        <v/>
      </c>
      <c r="KT45" s="632" t="str">
        <f ca="1">IF(INDIRECT(CONCATENATE($FK$12,Fixtures!KT$25))="","",IF(INDIRECT(CONCATENATE($FK$12,Fixtures!KT$25))=Fixtures!$DN45,CONCATENATE(KT$10,", "),""))</f>
        <v/>
      </c>
      <c r="KU45" s="632" t="str">
        <f ca="1">IF(INDIRECT(CONCATENATE($FK$12,Fixtures!KU$25))="","",IF(INDIRECT(CONCATENATE($FK$12,Fixtures!KU$25))=Fixtures!$DN45,CONCATENATE(KU$10,", "),""))</f>
        <v/>
      </c>
      <c r="KV45" s="632" t="str">
        <f ca="1">IF(INDIRECT(CONCATENATE($FK$12,Fixtures!KV$25))="","",IF(INDIRECT(CONCATENATE($FK$12,Fixtures!KV$25))=Fixtures!$DN45,CONCATENATE(KV$10,", "),""))</f>
        <v/>
      </c>
      <c r="KW45" s="632" t="str">
        <f ca="1">IF(INDIRECT(CONCATENATE($FK$12,Fixtures!KW$25))="","",IF(INDIRECT(CONCATENATE($FK$12,Fixtures!KW$25))=Fixtures!$DN45,CONCATENATE(KW$10,", "),""))</f>
        <v/>
      </c>
      <c r="KX45" s="632" t="str">
        <f ca="1">IF(INDIRECT(CONCATENATE($FK$12,Fixtures!KX$25))="","",IF(INDIRECT(CONCATENATE($FK$12,Fixtures!KX$25))=Fixtures!$DN45,CONCATENATE(KX$10,", "),""))</f>
        <v/>
      </c>
      <c r="KY45" s="632"/>
      <c r="KZ45" s="46"/>
      <c r="LA45" s="46" t="str">
        <f t="shared" ca="1" si="7"/>
        <v/>
      </c>
      <c r="LB45" s="46"/>
      <c r="LC45" s="1010"/>
      <c r="LD45" s="1009" t="str">
        <f t="shared" si="20"/>
        <v/>
      </c>
    </row>
    <row r="46" spans="1:316" ht="28.2" customHeight="1" thickTop="1" thickBot="1">
      <c r="A46" s="426" t="str">
        <f t="shared" si="13"/>
        <v/>
      </c>
      <c r="C46" s="1640" t="str">
        <f t="shared" si="14"/>
        <v/>
      </c>
      <c r="D46" s="1641"/>
      <c r="E46" s="1568" t="str">
        <f t="shared" si="15"/>
        <v/>
      </c>
      <c r="F46" s="1569"/>
      <c r="G46" s="1569"/>
      <c r="H46" s="1569"/>
      <c r="I46" s="1569"/>
      <c r="J46" s="1569"/>
      <c r="K46" s="1569"/>
      <c r="L46" s="1569"/>
      <c r="M46" s="1642"/>
      <c r="N46" s="203" t="str">
        <f t="shared" si="16"/>
        <v/>
      </c>
      <c r="O46" s="12"/>
      <c r="P46" s="1638" t="str">
        <f t="shared" si="25"/>
        <v/>
      </c>
      <c r="Q46" s="1639"/>
      <c r="R46" s="1568" t="str">
        <f t="shared" si="30"/>
        <v/>
      </c>
      <c r="S46" s="1569"/>
      <c r="T46" s="1569"/>
      <c r="U46" s="1569"/>
      <c r="V46" s="1569"/>
      <c r="W46" s="1569"/>
      <c r="X46" s="1569"/>
      <c r="Y46" s="203" t="str">
        <f t="shared" si="26"/>
        <v/>
      </c>
      <c r="Z46" s="203" t="str">
        <f t="shared" si="27"/>
        <v/>
      </c>
      <c r="AA46" s="394" t="str">
        <f t="shared" si="28"/>
        <v/>
      </c>
      <c r="AB46" s="489"/>
      <c r="AC46" s="1564" t="str">
        <f t="shared" si="18"/>
        <v/>
      </c>
      <c r="AD46" s="1565"/>
      <c r="AE46" s="1565"/>
      <c r="AF46" s="1565"/>
      <c r="AG46" s="1565"/>
      <c r="AH46" s="1565"/>
      <c r="AK46">
        <f>SUMIFS(Installations!CV$46:CV$803,Installations!CW$46:CW$803,E46,Installations!IC$46:IC$803,TRUE)</f>
        <v>0</v>
      </c>
      <c r="AL46">
        <f>SUMIFS(Installations!CV$46:CV$803,Installations!CW$46:CW$803,R46,Installations!IC$46:IC$803,TRUE)</f>
        <v>0</v>
      </c>
      <c r="BK46" s="48"/>
      <c r="BL46" s="9"/>
      <c r="BM46" s="622" t="str">
        <f t="shared" si="19"/>
        <v/>
      </c>
      <c r="BN46" s="52"/>
      <c r="BO46" s="52"/>
      <c r="BP46" s="52"/>
      <c r="BQ46" s="52"/>
      <c r="BR46" s="52"/>
      <c r="BS46" s="52"/>
      <c r="BT46" s="52"/>
      <c r="BU46" s="373"/>
      <c r="BV46" s="219" t="str">
        <f>IF(CN46&lt;&gt;"Yes","",IFERROR(VLOOKUP(CU46,Existing!A$4:F$367,2,FALSE),""))</f>
        <v/>
      </c>
      <c r="BW46" s="9">
        <v>20</v>
      </c>
      <c r="BX46" s="1625"/>
      <c r="BY46" s="1626"/>
      <c r="BZ46" s="1626"/>
      <c r="CA46" s="1627"/>
      <c r="CB46" s="1622"/>
      <c r="CC46" s="1623"/>
      <c r="CD46" s="1623"/>
      <c r="CE46" s="1624"/>
      <c r="CF46" s="1621"/>
      <c r="CG46" s="1621"/>
      <c r="CH46" s="1621"/>
      <c r="CI46" s="1621"/>
      <c r="CJ46" s="1621"/>
      <c r="CK46" s="1621"/>
      <c r="CL46" s="1621"/>
      <c r="CM46" s="1621"/>
      <c r="CN46" s="1553" t="str">
        <f t="shared" si="0"/>
        <v/>
      </c>
      <c r="CO46" s="1554"/>
      <c r="CP46" s="229" t="str">
        <f>IFERROR(IF(CB46="Existing TLED",CR46*CW46*CY46,VLOOKUP(CU46,Existing!A$3:F$356,6,FALSE)),"")</f>
        <v/>
      </c>
      <c r="CQ46" s="9"/>
      <c r="CR46" s="1660"/>
      <c r="CS46" s="1661"/>
      <c r="CT46" s="9"/>
      <c r="CU46" s="425" t="str">
        <f t="shared" si="21"/>
        <v/>
      </c>
      <c r="CV46" s="426" t="b">
        <f t="shared" si="22"/>
        <v>0</v>
      </c>
      <c r="CW46" s="426" t="str">
        <f t="shared" si="23"/>
        <v/>
      </c>
      <c r="CX46" s="426">
        <f>IFERROR(VLOOKUP(CF46,Lookup!T$100:V$102,3,FALSE),0)</f>
        <v>0</v>
      </c>
      <c r="CY46" s="426">
        <f t="shared" si="8"/>
        <v>1.1100000000000001</v>
      </c>
      <c r="CZ46" s="626" t="b">
        <f t="shared" si="1"/>
        <v>0</v>
      </c>
      <c r="DA46" s="626" t="b">
        <f>IF(CF46&lt;&gt;"",IF(ISERROR(MATCH(CONCATENATE(CB46," - ",CF46),Existing!G$4:G$331,0))=TRUE,FALSE,TRUE),TRUE)</f>
        <v>1</v>
      </c>
      <c r="DB46" s="626" t="b">
        <f t="shared" si="2"/>
        <v>1</v>
      </c>
      <c r="DK46" s="48"/>
      <c r="DL46" s="9"/>
      <c r="DM46" s="627" t="s">
        <v>215</v>
      </c>
      <c r="DN46" s="375" t="str">
        <f t="shared" si="3"/>
        <v/>
      </c>
      <c r="DO46" s="52"/>
      <c r="DP46" s="52"/>
      <c r="DQ46" s="52"/>
      <c r="DR46" s="52"/>
      <c r="DS46" s="52"/>
      <c r="DT46" s="226"/>
      <c r="DU46" s="376"/>
      <c r="DV46" s="227" t="str">
        <f t="shared" si="4"/>
        <v/>
      </c>
      <c r="DW46" s="224">
        <v>20</v>
      </c>
      <c r="DX46" s="1572"/>
      <c r="DY46" s="1573"/>
      <c r="DZ46" s="1573"/>
      <c r="EA46" s="1574"/>
      <c r="EB46" s="1618"/>
      <c r="EC46" s="1619"/>
      <c r="ED46" s="1619"/>
      <c r="EE46" s="1620"/>
      <c r="EF46" s="1578"/>
      <c r="EG46" s="1579"/>
      <c r="EH46" s="1618"/>
      <c r="EI46" s="1619"/>
      <c r="EJ46" s="1619"/>
      <c r="EK46" s="1620"/>
      <c r="EL46" s="1575"/>
      <c r="EM46" s="1576"/>
      <c r="EN46" s="1576"/>
      <c r="EO46" s="1577"/>
      <c r="EP46" s="1578"/>
      <c r="EQ46" s="1579"/>
      <c r="ER46" s="1555"/>
      <c r="ES46" s="1556"/>
      <c r="ET46" s="1553" t="str">
        <f t="shared" si="9"/>
        <v/>
      </c>
      <c r="EU46" s="1554"/>
      <c r="EV46" s="1553" t="str">
        <f t="shared" si="29"/>
        <v/>
      </c>
      <c r="EW46" s="1554"/>
      <c r="EX46" s="393"/>
      <c r="EY46" s="225" t="str">
        <f t="shared" si="6"/>
        <v/>
      </c>
      <c r="EZ46" s="225" t="str">
        <f>IFERROR(VLOOKUP(EB46,Lookup!AT$3:AU$13,2,FALSE),"")</f>
        <v/>
      </c>
      <c r="FA46" s="426" t="b">
        <f>IFERROR(IF(VLOOKUP(EB46,Lookup!AT$6:AU$8,2,FALSE)&gt;3,TRUE,FALSE),FALSE)</f>
        <v>0</v>
      </c>
      <c r="FB46" s="426" t="str">
        <f t="shared" si="10"/>
        <v/>
      </c>
      <c r="FC46" t="str">
        <f t="shared" ca="1" si="11"/>
        <v/>
      </c>
      <c r="FG46" t="str">
        <f t="shared" ca="1" si="12"/>
        <v/>
      </c>
      <c r="FI46" s="204" t="str">
        <f t="shared" ca="1" si="24"/>
        <v/>
      </c>
      <c r="FJ46" s="204"/>
      <c r="FK46" s="631" t="str">
        <f ca="1">IF(INDIRECT(CONCATENATE($FK$12,Fixtures!FK$25))="","",IF(INDIRECT(CONCATENATE($FK$12,Fixtures!FK$25))=Fixtures!$DN46,CONCATENATE(FK$10,", "),""))</f>
        <v/>
      </c>
      <c r="FL46" s="631" t="str">
        <f ca="1">IF(INDIRECT(CONCATENATE($FK$12,Fixtures!FL$25))="","",IF(INDIRECT(CONCATENATE($FK$12,Fixtures!FL$25))=Fixtures!$DN46,CONCATENATE(FL$10,", "),""))</f>
        <v/>
      </c>
      <c r="FM46" s="631" t="str">
        <f ca="1">IF(INDIRECT(CONCATENATE($FK$12,Fixtures!FM$25))="","",IF(INDIRECT(CONCATENATE($FK$12,Fixtures!FM$25))=Fixtures!$DN46,CONCATENATE(FM$10,", "),""))</f>
        <v/>
      </c>
      <c r="FN46" s="631" t="str">
        <f ca="1">IF(INDIRECT(CONCATENATE($FK$12,Fixtures!FN$25))="","",IF(INDIRECT(CONCATENATE($FK$12,Fixtures!FN$25))=Fixtures!$DN46,CONCATENATE(FN$10,", "),""))</f>
        <v/>
      </c>
      <c r="FO46" s="631" t="str">
        <f ca="1">IF(INDIRECT(CONCATENATE($FK$12,Fixtures!FO$25))="","",IF(INDIRECT(CONCATENATE($FK$12,Fixtures!FO$25))=Fixtures!$DN46,CONCATENATE(FO$10,", "),""))</f>
        <v/>
      </c>
      <c r="FP46" s="631" t="str">
        <f ca="1">IF(INDIRECT(CONCATENATE($FK$12,Fixtures!FP$25))="","",IF(INDIRECT(CONCATENATE($FK$12,Fixtures!FP$25))=Fixtures!$DN46,CONCATENATE(FP$10,", "),""))</f>
        <v/>
      </c>
      <c r="FQ46" s="631" t="str">
        <f ca="1">IF(INDIRECT(CONCATENATE($FK$12,Fixtures!FQ$25))="","",IF(INDIRECT(CONCATENATE($FK$12,Fixtures!FQ$25))=Fixtures!$DN46,CONCATENATE(FQ$10,", "),""))</f>
        <v/>
      </c>
      <c r="FR46" s="631" t="str">
        <f ca="1">IF(INDIRECT(CONCATENATE($FK$12,Fixtures!FR$25))="","",IF(INDIRECT(CONCATENATE($FK$12,Fixtures!FR$25))=Fixtures!$DN46,CONCATENATE(FR$10,", "),""))</f>
        <v/>
      </c>
      <c r="FS46" s="631" t="str">
        <f ca="1">IF(INDIRECT(CONCATENATE($FK$12,Fixtures!FS$25))="","",IF(INDIRECT(CONCATENATE($FK$12,Fixtures!FS$25))=Fixtures!$DN46,CONCATENATE(FS$10,", "),""))</f>
        <v/>
      </c>
      <c r="FT46" s="604" t="str">
        <f ca="1">IF(INDIRECT(CONCATENATE($FK$12,Fixtures!FT$25))="","",IF(INDIRECT(CONCATENATE($FK$12,Fixtures!FT$25))=Fixtures!$DN46,CONCATENATE(FT$10,", "),""))</f>
        <v/>
      </c>
      <c r="FU46" s="605" t="str">
        <f ca="1">IF(INDIRECT(CONCATENATE($FK$12,Fixtures!FU$25))="","",IF(INDIRECT(CONCATENATE($FK$12,Fixtures!FU$25))=Fixtures!$DN46,CONCATENATE(FU$10,", "),""))</f>
        <v/>
      </c>
      <c r="FV46" s="631" t="str">
        <f ca="1">IF(INDIRECT(CONCATENATE($FK$12,Fixtures!FV$25))="","",IF(INDIRECT(CONCATENATE($FK$12,Fixtures!FV$25))=Fixtures!$DN46,CONCATENATE(FV$10,", "),""))</f>
        <v/>
      </c>
      <c r="FW46" s="632" t="str">
        <f ca="1">IF(INDIRECT(CONCATENATE($FK$12,Fixtures!FW$25))="","",IF(INDIRECT(CONCATENATE($FK$12,Fixtures!FW$25))=Fixtures!$DN46,CONCATENATE(FW$10,", "),""))</f>
        <v/>
      </c>
      <c r="FX46" s="632" t="str">
        <f ca="1">IF(INDIRECT(CONCATENATE($FK$12,Fixtures!FX$25))="","",IF(INDIRECT(CONCATENATE($FK$12,Fixtures!FX$25))=Fixtures!$DN46,CONCATENATE(FX$10,", "),""))</f>
        <v/>
      </c>
      <c r="FY46" s="632" t="str">
        <f ca="1">IF(INDIRECT(CONCATENATE($FK$12,Fixtures!FY$25))="","",IF(INDIRECT(CONCATENATE($FK$12,Fixtures!FY$25))=Fixtures!$DN46,CONCATENATE(FY$10,", "),""))</f>
        <v/>
      </c>
      <c r="FZ46" s="632" t="str">
        <f ca="1">IF(INDIRECT(CONCATENATE($FK$12,Fixtures!FZ$25))="","",IF(INDIRECT(CONCATENATE($FK$12,Fixtures!FZ$25))=Fixtures!$DN46,CONCATENATE(FZ$10,", "),""))</f>
        <v/>
      </c>
      <c r="GA46" s="632" t="str">
        <f ca="1">IF(INDIRECT(CONCATENATE($FK$12,Fixtures!GA$25))="","",IF(INDIRECT(CONCATENATE($FK$12,Fixtures!GA$25))=Fixtures!$DN46,CONCATENATE(GA$10,", "),""))</f>
        <v/>
      </c>
      <c r="GB46" s="632" t="str">
        <f ca="1">IF(INDIRECT(CONCATENATE($FK$12,Fixtures!GB$25))="","",IF(INDIRECT(CONCATENATE($FK$12,Fixtures!GB$25))=Fixtures!$DN46,CONCATENATE(GB$10,", "),""))</f>
        <v/>
      </c>
      <c r="GC46" s="632" t="str">
        <f ca="1">IF(INDIRECT(CONCATENATE($FK$12,Fixtures!GC$25))="","",IF(INDIRECT(CONCATENATE($FK$12,Fixtures!GC$25))=Fixtures!$DN46,CONCATENATE(GC$10,", "),""))</f>
        <v/>
      </c>
      <c r="GD46" s="632" t="str">
        <f ca="1">IF(INDIRECT(CONCATENATE($FK$12,Fixtures!GD$25))="","",IF(INDIRECT(CONCATENATE($FK$12,Fixtures!GD$25))=Fixtures!$DN46,CONCATENATE(GD$10,", "),""))</f>
        <v/>
      </c>
      <c r="GE46" s="632" t="str">
        <f ca="1">IF(INDIRECT(CONCATENATE($FK$12,Fixtures!GE$25))="","",IF(INDIRECT(CONCATENATE($FK$12,Fixtures!GE$25))=Fixtures!$DN46,CONCATENATE(GE$10,", "),""))</f>
        <v/>
      </c>
      <c r="GF46" s="632" t="str">
        <f ca="1">IF(INDIRECT(CONCATENATE($FK$12,Fixtures!GF$25))="","",IF(INDIRECT(CONCATENATE($FK$12,Fixtures!GF$25))=Fixtures!$DN46,CONCATENATE(GF$10,", "),""))</f>
        <v/>
      </c>
      <c r="GG46" s="632" t="str">
        <f ca="1">IF(INDIRECT(CONCATENATE($FK$12,Fixtures!GG$25))="","",IF(INDIRECT(CONCATENATE($FK$12,Fixtures!GG$25))=Fixtures!$DN46,CONCATENATE(GG$10,", "),""))</f>
        <v/>
      </c>
      <c r="GH46" s="632" t="str">
        <f ca="1">IF(INDIRECT(CONCATENATE($FK$12,Fixtures!GH$25))="","",IF(INDIRECT(CONCATENATE($FK$12,Fixtures!GH$25))=Fixtures!$DN46,CONCATENATE(GH$10,", "),""))</f>
        <v/>
      </c>
      <c r="GI46" s="606" t="str">
        <f ca="1">IF(INDIRECT(CONCATENATE($FK$12,Fixtures!GI$25))="","",IF(INDIRECT(CONCATENATE($FK$12,Fixtures!GI$25))=Fixtures!$DN46,CONCATENATE(GI$10,", "),""))</f>
        <v/>
      </c>
      <c r="GJ46" s="607" t="str">
        <f ca="1">IF(INDIRECT(CONCATENATE($FK$12,Fixtures!GJ$25))="","",IF(INDIRECT(CONCATENATE($FK$12,Fixtures!GJ$25))=Fixtures!$DN46,CONCATENATE(GJ$10,", "),""))</f>
        <v/>
      </c>
      <c r="GK46" s="632" t="str">
        <f ca="1">IF(INDIRECT(CONCATENATE($FK$12,Fixtures!GK$25))="","",IF(INDIRECT(CONCATENATE($FK$12,Fixtures!GK$25))=Fixtures!$DN46,CONCATENATE(GK$10,", "),""))</f>
        <v/>
      </c>
      <c r="GL46" s="632" t="str">
        <f ca="1">IF(INDIRECT(CONCATENATE($FK$12,Fixtures!GL$25))="","",IF(INDIRECT(CONCATENATE($FK$12,Fixtures!GL$25))=Fixtures!$DN46,CONCATENATE(GL$10,", "),""))</f>
        <v/>
      </c>
      <c r="GM46" s="632" t="str">
        <f ca="1">IF(INDIRECT(CONCATENATE($FK$12,Fixtures!GM$25))="","",IF(INDIRECT(CONCATENATE($FK$12,Fixtures!GM$25))=Fixtures!$DN46,CONCATENATE(GM$10,", "),""))</f>
        <v/>
      </c>
      <c r="GN46" s="632" t="str">
        <f ca="1">IF(INDIRECT(CONCATENATE($FK$12,Fixtures!GN$25))="","",IF(INDIRECT(CONCATENATE($FK$12,Fixtures!GN$25))=Fixtures!$DN46,CONCATENATE(GN$10,", "),""))</f>
        <v/>
      </c>
      <c r="GO46" s="632" t="str">
        <f ca="1">IF(INDIRECT(CONCATENATE($FK$12,Fixtures!GO$25))="","",IF(INDIRECT(CONCATENATE($FK$12,Fixtures!GO$25))=Fixtures!$DN46,CONCATENATE(GO$10,", "),""))</f>
        <v/>
      </c>
      <c r="GP46" s="632" t="str">
        <f ca="1">IF(INDIRECT(CONCATENATE($FK$12,Fixtures!GP$25))="","",IF(INDIRECT(CONCATENATE($FK$12,Fixtures!GP$25))=Fixtures!$DN46,CONCATENATE(GP$10,", "),""))</f>
        <v/>
      </c>
      <c r="GQ46" s="632" t="str">
        <f ca="1">IF(INDIRECT(CONCATENATE($FK$12,Fixtures!GQ$25))="","",IF(INDIRECT(CONCATENATE($FK$12,Fixtures!GQ$25))=Fixtures!$DN46,CONCATENATE(GQ$10,", "),""))</f>
        <v/>
      </c>
      <c r="GR46" s="632" t="str">
        <f ca="1">IF(INDIRECT(CONCATENATE($FK$12,Fixtures!GR$25))="","",IF(INDIRECT(CONCATENATE($FK$12,Fixtures!GR$25))=Fixtures!$DN46,CONCATENATE(GR$10,", "),""))</f>
        <v/>
      </c>
      <c r="GS46" s="632" t="str">
        <f ca="1">IF(INDIRECT(CONCATENATE($FK$12,Fixtures!GS$25))="","",IF(INDIRECT(CONCATENATE($FK$12,Fixtures!GS$25))=Fixtures!$DN46,CONCATENATE(GS$10,", "),""))</f>
        <v/>
      </c>
      <c r="GT46" s="632" t="str">
        <f ca="1">IF(INDIRECT(CONCATENATE($FK$12,Fixtures!GT$25))="","",IF(INDIRECT(CONCATENATE($FK$12,Fixtures!GT$25))=Fixtures!$DN46,CONCATENATE(GT$10,", "),""))</f>
        <v/>
      </c>
      <c r="GU46" s="632" t="str">
        <f ca="1">IF(INDIRECT(CONCATENATE($FK$12,Fixtures!GU$25))="","",IF(INDIRECT(CONCATENATE($FK$12,Fixtures!GU$25))=Fixtures!$DN46,CONCATENATE(GU$10,", "),""))</f>
        <v/>
      </c>
      <c r="GV46" s="632" t="str">
        <f ca="1">IF(INDIRECT(CONCATENATE($FK$12,Fixtures!GV$25))="","",IF(INDIRECT(CONCATENATE($FK$12,Fixtures!GV$25))=Fixtures!$DN46,CONCATENATE(GV$10,", "),""))</f>
        <v/>
      </c>
      <c r="GW46" s="632" t="str">
        <f ca="1">IF(INDIRECT(CONCATENATE($FK$12,Fixtures!GW$25))="","",IF(INDIRECT(CONCATENATE($FK$12,Fixtures!GW$25))=Fixtures!$DN46,CONCATENATE(GW$10,", "),""))</f>
        <v/>
      </c>
      <c r="GX46" s="606" t="str">
        <f ca="1">IF(INDIRECT(CONCATENATE($FK$12,Fixtures!GX$25))="","",IF(INDIRECT(CONCATENATE($FK$12,Fixtures!GX$25))=Fixtures!$DN46,CONCATENATE(GX$10,", "),""))</f>
        <v/>
      </c>
      <c r="GY46" s="607" t="str">
        <f ca="1">IF(INDIRECT(CONCATENATE($FK$12,Fixtures!GY$25))="","",IF(INDIRECT(CONCATENATE($FK$12,Fixtures!GY$25))=Fixtures!$DN46,CONCATENATE(GY$10,", "),""))</f>
        <v/>
      </c>
      <c r="GZ46" s="632" t="str">
        <f ca="1">IF(INDIRECT(CONCATENATE($FK$12,Fixtures!GZ$25))="","",IF(INDIRECT(CONCATENATE($FK$12,Fixtures!GZ$25))=Fixtures!$DN46,CONCATENATE(GZ$10,", "),""))</f>
        <v/>
      </c>
      <c r="HA46" s="632" t="str">
        <f ca="1">IF(INDIRECT(CONCATENATE($FK$12,Fixtures!HA$25))="","",IF(INDIRECT(CONCATENATE($FK$12,Fixtures!HA$25))=Fixtures!$DN46,CONCATENATE(HA$10,", "),""))</f>
        <v/>
      </c>
      <c r="HB46" s="632" t="str">
        <f ca="1">IF(INDIRECT(CONCATENATE($FK$12,Fixtures!HB$25))="","",IF(INDIRECT(CONCATENATE($FK$12,Fixtures!HB$25))=Fixtures!$DN46,CONCATENATE(HB$10,", "),""))</f>
        <v/>
      </c>
      <c r="HC46" s="632" t="str">
        <f ca="1">IF(INDIRECT(CONCATENATE($FK$12,Fixtures!HC$25))="","",IF(INDIRECT(CONCATENATE($FK$12,Fixtures!HC$25))=Fixtures!$DN46,CONCATENATE(HC$10,", "),""))</f>
        <v/>
      </c>
      <c r="HD46" s="632" t="str">
        <f ca="1">IF(INDIRECT(CONCATENATE($FK$12,Fixtures!HD$25))="","",IF(INDIRECT(CONCATENATE($FK$12,Fixtures!HD$25))=Fixtures!$DN46,CONCATENATE(HD$10,", "),""))</f>
        <v/>
      </c>
      <c r="HE46" s="632" t="str">
        <f ca="1">IF(INDIRECT(CONCATENATE($FK$12,Fixtures!HE$25))="","",IF(INDIRECT(CONCATENATE($FK$12,Fixtures!HE$25))=Fixtures!$DN46,CONCATENATE(HE$10,", "),""))</f>
        <v/>
      </c>
      <c r="HF46" s="632" t="str">
        <f ca="1">IF(INDIRECT(CONCATENATE($FK$12,Fixtures!HF$25))="","",IF(INDIRECT(CONCATENATE($FK$12,Fixtures!HF$25))=Fixtures!$DN46,CONCATENATE(HF$10,", "),""))</f>
        <v/>
      </c>
      <c r="HG46" s="632" t="str">
        <f ca="1">IF(INDIRECT(CONCATENATE($FK$12,Fixtures!HG$25))="","",IF(INDIRECT(CONCATENATE($FK$12,Fixtures!HG$25))=Fixtures!$DN46,CONCATENATE(HG$10,", "),""))</f>
        <v/>
      </c>
      <c r="HH46" s="632" t="str">
        <f ca="1">IF(INDIRECT(CONCATENATE($FK$12,Fixtures!HH$25))="","",IF(INDIRECT(CONCATENATE($FK$12,Fixtures!HH$25))=Fixtures!$DN46,CONCATENATE(HH$10,", "),""))</f>
        <v/>
      </c>
      <c r="HI46" s="632" t="str">
        <f ca="1">IF(INDIRECT(CONCATENATE($FK$12,Fixtures!HI$25))="","",IF(INDIRECT(CONCATENATE($FK$12,Fixtures!HI$25))=Fixtures!$DN46,CONCATENATE(HI$10,", "),""))</f>
        <v/>
      </c>
      <c r="HJ46" s="632" t="str">
        <f ca="1">IF(INDIRECT(CONCATENATE($FK$12,Fixtures!HJ$25))="","",IF(INDIRECT(CONCATENATE($FK$12,Fixtures!HJ$25))=Fixtures!$DN46,CONCATENATE(HJ$10,", "),""))</f>
        <v/>
      </c>
      <c r="HK46" s="632" t="str">
        <f ca="1">IF(INDIRECT(CONCATENATE($FK$12,Fixtures!HK$25))="","",IF(INDIRECT(CONCATENATE($FK$12,Fixtures!HK$25))=Fixtures!$DN46,CONCATENATE(HK$10,", "),""))</f>
        <v/>
      </c>
      <c r="HL46" s="632" t="str">
        <f ca="1">IF(INDIRECT(CONCATENATE($FK$12,Fixtures!HL$25))="","",IF(INDIRECT(CONCATENATE($FK$12,Fixtures!HL$25))=Fixtures!$DN46,CONCATENATE(HL$10,", "),""))</f>
        <v/>
      </c>
      <c r="HM46" s="606" t="str">
        <f ca="1">IF(INDIRECT(CONCATENATE($FK$12,Fixtures!HM$25))="","",IF(INDIRECT(CONCATENATE($FK$12,Fixtures!HM$25))=Fixtures!$DN46,CONCATENATE(HM$10,", "),""))</f>
        <v/>
      </c>
      <c r="HN46" s="607" t="str">
        <f ca="1">IF(INDIRECT(CONCATENATE($FK$12,Fixtures!HN$25))="","",IF(INDIRECT(CONCATENATE($FK$12,Fixtures!HN$25))=Fixtures!$DN46,CONCATENATE(HN$10,", "),""))</f>
        <v/>
      </c>
      <c r="HO46" s="632" t="str">
        <f ca="1">IF(INDIRECT(CONCATENATE($FK$12,Fixtures!HO$25))="","",IF(INDIRECT(CONCATENATE($FK$12,Fixtures!HO$25))=Fixtures!$DN46,CONCATENATE(HO$10,", "),""))</f>
        <v/>
      </c>
      <c r="HP46" s="632" t="str">
        <f ca="1">IF(INDIRECT(CONCATENATE($FK$12,Fixtures!HP$25))="","",IF(INDIRECT(CONCATENATE($FK$12,Fixtures!HP$25))=Fixtures!$DN46,CONCATENATE(HP$10,", "),""))</f>
        <v/>
      </c>
      <c r="HQ46" s="632" t="str">
        <f ca="1">IF(INDIRECT(CONCATENATE($FK$12,Fixtures!HQ$25))="","",IF(INDIRECT(CONCATENATE($FK$12,Fixtures!HQ$25))=Fixtures!$DN46,CONCATENATE(HQ$10,", "),""))</f>
        <v/>
      </c>
      <c r="HR46" s="632" t="str">
        <f ca="1">IF(INDIRECT(CONCATENATE($FK$12,Fixtures!HR$25))="","",IF(INDIRECT(CONCATENATE($FK$12,Fixtures!HR$25))=Fixtures!$DN46,CONCATENATE(HR$10,", "),""))</f>
        <v/>
      </c>
      <c r="HS46" s="632" t="str">
        <f ca="1">IF(INDIRECT(CONCATENATE($FK$12,Fixtures!HS$25))="","",IF(INDIRECT(CONCATENATE($FK$12,Fixtures!HS$25))=Fixtures!$DN46,CONCATENATE(HS$10,", "),""))</f>
        <v/>
      </c>
      <c r="HT46" s="632" t="str">
        <f ca="1">IF(INDIRECT(CONCATENATE($FK$12,Fixtures!HT$25))="","",IF(INDIRECT(CONCATENATE($FK$12,Fixtures!HT$25))=Fixtures!$DN46,CONCATENATE(HT$10,", "),""))</f>
        <v/>
      </c>
      <c r="HU46" s="632" t="str">
        <f ca="1">IF(INDIRECT(CONCATENATE($FK$12,Fixtures!HU$25))="","",IF(INDIRECT(CONCATENATE($FK$12,Fixtures!HU$25))=Fixtures!$DN46,CONCATENATE(HU$10,", "),""))</f>
        <v/>
      </c>
      <c r="HV46" s="632" t="str">
        <f ca="1">IF(INDIRECT(CONCATENATE($FK$12,Fixtures!HV$25))="","",IF(INDIRECT(CONCATENATE($FK$12,Fixtures!HV$25))=Fixtures!$DN46,CONCATENATE(HV$10,", "),""))</f>
        <v/>
      </c>
      <c r="HW46" s="632" t="str">
        <f ca="1">IF(INDIRECT(CONCATENATE($FK$12,Fixtures!HW$25))="","",IF(INDIRECT(CONCATENATE($FK$12,Fixtures!HW$25))=Fixtures!$DN46,CONCATENATE(HW$10,", "),""))</f>
        <v/>
      </c>
      <c r="HX46" s="632" t="str">
        <f ca="1">IF(INDIRECT(CONCATENATE($FK$12,Fixtures!HX$25))="","",IF(INDIRECT(CONCATENATE($FK$12,Fixtures!HX$25))=Fixtures!$DN46,CONCATENATE(HX$10,", "),""))</f>
        <v/>
      </c>
      <c r="HY46" s="632" t="str">
        <f ca="1">IF(INDIRECT(CONCATENATE($FK$12,Fixtures!HY$25))="","",IF(INDIRECT(CONCATENATE($FK$12,Fixtures!HY$25))=Fixtures!$DN46,CONCATENATE(HY$10,", "),""))</f>
        <v/>
      </c>
      <c r="HZ46" s="632" t="str">
        <f ca="1">IF(INDIRECT(CONCATENATE($FK$12,Fixtures!HZ$25))="","",IF(INDIRECT(CONCATENATE($FK$12,Fixtures!HZ$25))=Fixtures!$DN46,CONCATENATE(HZ$10,", "),""))</f>
        <v/>
      </c>
      <c r="IA46" s="632" t="str">
        <f ca="1">IF(INDIRECT(CONCATENATE($FK$12,Fixtures!IA$25))="","",IF(INDIRECT(CONCATENATE($FK$12,Fixtures!IA$25))=Fixtures!$DN46,CONCATENATE(IA$10,", "),""))</f>
        <v/>
      </c>
      <c r="IB46" s="606" t="str">
        <f ca="1">IF(INDIRECT(CONCATENATE($FK$12,Fixtures!IB$25))="","",IF(INDIRECT(CONCATENATE($FK$12,Fixtures!IB$25))=Fixtures!$DN46,CONCATENATE(IB$10,", "),""))</f>
        <v/>
      </c>
      <c r="IC46" s="607" t="str">
        <f ca="1">IF(INDIRECT(CONCATENATE($FK$12,Fixtures!IC$25))="","",IF(INDIRECT(CONCATENATE($FK$12,Fixtures!IC$25))=Fixtures!$DN46,CONCATENATE(IC$10,", "),""))</f>
        <v/>
      </c>
      <c r="ID46" s="632" t="str">
        <f ca="1">IF(INDIRECT(CONCATENATE($FK$12,Fixtures!ID$25))="","",IF(INDIRECT(CONCATENATE($FK$12,Fixtures!ID$25))=Fixtures!$DN46,CONCATENATE(ID$10,", "),""))</f>
        <v/>
      </c>
      <c r="IE46" s="632" t="str">
        <f ca="1">IF(INDIRECT(CONCATENATE($FK$12,Fixtures!IE$25))="","",IF(INDIRECT(CONCATENATE($FK$12,Fixtures!IE$25))=Fixtures!$DN46,CONCATENATE(IE$10,", "),""))</f>
        <v/>
      </c>
      <c r="IF46" s="632" t="str">
        <f ca="1">IF(INDIRECT(CONCATENATE($FK$12,Fixtures!IF$25))="","",IF(INDIRECT(CONCATENATE($FK$12,Fixtures!IF$25))=Fixtures!$DN46,CONCATENATE(IF$10,", "),""))</f>
        <v/>
      </c>
      <c r="IG46" s="632" t="str">
        <f ca="1">IF(INDIRECT(CONCATENATE($FK$12,Fixtures!IG$25))="","",IF(INDIRECT(CONCATENATE($FK$12,Fixtures!IG$25))=Fixtures!$DN46,CONCATENATE(IG$10,", "),""))</f>
        <v/>
      </c>
      <c r="IH46" s="632" t="str">
        <f ca="1">IF(INDIRECT(CONCATENATE($FK$12,Fixtures!IH$25))="","",IF(INDIRECT(CONCATENATE($FK$12,Fixtures!IH$25))=Fixtures!$DN46,CONCATENATE(IH$10,", "),""))</f>
        <v/>
      </c>
      <c r="II46" s="632" t="str">
        <f ca="1">IF(INDIRECT(CONCATENATE($FK$12,Fixtures!II$25))="","",IF(INDIRECT(CONCATENATE($FK$12,Fixtures!II$25))=Fixtures!$DN46,CONCATENATE(II$10,", "),""))</f>
        <v/>
      </c>
      <c r="IJ46" s="632" t="str">
        <f ca="1">IF(INDIRECT(CONCATENATE($FK$12,Fixtures!IJ$25))="","",IF(INDIRECT(CONCATENATE($FK$12,Fixtures!IJ$25))=Fixtures!$DN46,CONCATENATE(IJ$10,", "),""))</f>
        <v/>
      </c>
      <c r="IK46" s="632" t="str">
        <f ca="1">IF(INDIRECT(CONCATENATE($FK$12,Fixtures!IK$25))="","",IF(INDIRECT(CONCATENATE($FK$12,Fixtures!IK$25))=Fixtures!$DN46,CONCATENATE(IK$10,", "),""))</f>
        <v/>
      </c>
      <c r="IL46" s="632" t="str">
        <f ca="1">IF(INDIRECT(CONCATENATE($FK$12,Fixtures!IL$25))="","",IF(INDIRECT(CONCATENATE($FK$12,Fixtures!IL$25))=Fixtures!$DN46,CONCATENATE(IL$10,", "),""))</f>
        <v/>
      </c>
      <c r="IM46" s="632" t="str">
        <f ca="1">IF(INDIRECT(CONCATENATE($FK$12,Fixtures!IM$25))="","",IF(INDIRECT(CONCATENATE($FK$12,Fixtures!IM$25))=Fixtures!$DN46,CONCATENATE(IM$10,", "),""))</f>
        <v/>
      </c>
      <c r="IN46" s="632" t="str">
        <f ca="1">IF(INDIRECT(CONCATENATE($FK$12,Fixtures!IN$25))="","",IF(INDIRECT(CONCATENATE($FK$12,Fixtures!IN$25))=Fixtures!$DN46,CONCATENATE(IN$10,", "),""))</f>
        <v/>
      </c>
      <c r="IO46" s="632" t="str">
        <f ca="1">IF(INDIRECT(CONCATENATE($FK$12,Fixtures!IO$25))="","",IF(INDIRECT(CONCATENATE($FK$12,Fixtures!IO$25))=Fixtures!$DN46,CONCATENATE(IO$10,", "),""))</f>
        <v/>
      </c>
      <c r="IP46" s="632" t="str">
        <f ca="1">IF(INDIRECT(CONCATENATE($FK$12,Fixtures!IP$25))="","",IF(INDIRECT(CONCATENATE($FK$12,Fixtures!IP$25))=Fixtures!$DN46,CONCATENATE(IP$10,", "),""))</f>
        <v/>
      </c>
      <c r="IQ46" s="606" t="str">
        <f ca="1">IF(INDIRECT(CONCATENATE($FK$12,Fixtures!IQ$25))="","",IF(INDIRECT(CONCATENATE($FK$12,Fixtures!IQ$25))=Fixtures!$DN46,CONCATENATE(IQ$10,", "),""))</f>
        <v/>
      </c>
      <c r="IR46" s="607" t="str">
        <f ca="1">IF(INDIRECT(CONCATENATE($FK$12,Fixtures!IR$25))="","",IF(INDIRECT(CONCATENATE($FK$12,Fixtures!IR$25))=Fixtures!$DN46,CONCATENATE(IR$10,", "),""))</f>
        <v/>
      </c>
      <c r="IS46" s="632" t="str">
        <f ca="1">IF(INDIRECT(CONCATENATE($FK$12,Fixtures!IS$25))="","",IF(INDIRECT(CONCATENATE($FK$12,Fixtures!IS$25))=Fixtures!$DN46,CONCATENATE(IS$10,", "),""))</f>
        <v/>
      </c>
      <c r="IT46" s="632" t="str">
        <f ca="1">IF(INDIRECT(CONCATENATE($FK$12,Fixtures!IT$25))="","",IF(INDIRECT(CONCATENATE($FK$12,Fixtures!IT$25))=Fixtures!$DN46,CONCATENATE(IT$10,", "),""))</f>
        <v/>
      </c>
      <c r="IU46" s="632" t="str">
        <f ca="1">IF(INDIRECT(CONCATENATE($FK$12,Fixtures!IU$25))="","",IF(INDIRECT(CONCATENATE($FK$12,Fixtures!IU$25))=Fixtures!$DN46,CONCATENATE(IU$10,", "),""))</f>
        <v/>
      </c>
      <c r="IV46" s="632" t="str">
        <f ca="1">IF(INDIRECT(CONCATENATE($FK$12,Fixtures!IV$25))="","",IF(INDIRECT(CONCATENATE($FK$12,Fixtures!IV$25))=Fixtures!$DN46,CONCATENATE(IV$10,", "),""))</f>
        <v/>
      </c>
      <c r="IW46" s="632" t="str">
        <f ca="1">IF(INDIRECT(CONCATENATE($FK$12,Fixtures!IW$25))="","",IF(INDIRECT(CONCATENATE($FK$12,Fixtures!IW$25))=Fixtures!$DN46,CONCATENATE(IW$10,", "),""))</f>
        <v/>
      </c>
      <c r="IX46" s="632" t="str">
        <f ca="1">IF(INDIRECT(CONCATENATE($FK$12,Fixtures!IX$25))="","",IF(INDIRECT(CONCATENATE($FK$12,Fixtures!IX$25))=Fixtures!$DN46,CONCATENATE(IX$10,", "),""))</f>
        <v/>
      </c>
      <c r="IY46" s="632" t="str">
        <f ca="1">IF(INDIRECT(CONCATENATE($FK$12,Fixtures!IY$25))="","",IF(INDIRECT(CONCATENATE($FK$12,Fixtures!IY$25))=Fixtures!$DN46,CONCATENATE(IY$10,", "),""))</f>
        <v/>
      </c>
      <c r="IZ46" s="632" t="str">
        <f ca="1">IF(INDIRECT(CONCATENATE($FK$12,Fixtures!IZ$25))="","",IF(INDIRECT(CONCATENATE($FK$12,Fixtures!IZ$25))=Fixtures!$DN46,CONCATENATE(IZ$10,", "),""))</f>
        <v/>
      </c>
      <c r="JA46" s="632" t="str">
        <f ca="1">IF(INDIRECT(CONCATENATE($FK$12,Fixtures!JA$25))="","",IF(INDIRECT(CONCATENATE($FK$12,Fixtures!JA$25))=Fixtures!$DN46,CONCATENATE(JA$10,", "),""))</f>
        <v/>
      </c>
      <c r="JB46" s="632" t="str">
        <f ca="1">IF(INDIRECT(CONCATENATE($FK$12,Fixtures!JB$25))="","",IF(INDIRECT(CONCATENATE($FK$12,Fixtures!JB$25))=Fixtures!$DN46,CONCATENATE(JB$10,", "),""))</f>
        <v/>
      </c>
      <c r="JC46" s="632" t="str">
        <f ca="1">IF(INDIRECT(CONCATENATE($FK$12,Fixtures!JC$25))="","",IF(INDIRECT(CONCATENATE($FK$12,Fixtures!JC$25))=Fixtures!$DN46,CONCATENATE(JC$10,", "),""))</f>
        <v/>
      </c>
      <c r="JD46" s="632" t="str">
        <f ca="1">IF(INDIRECT(CONCATENATE($FK$12,Fixtures!JD$25))="","",IF(INDIRECT(CONCATENATE($FK$12,Fixtures!JD$25))=Fixtures!$DN46,CONCATENATE(JD$10,", "),""))</f>
        <v/>
      </c>
      <c r="JE46" s="632" t="str">
        <f ca="1">IF(INDIRECT(CONCATENATE($FK$12,Fixtures!JE$25))="","",IF(INDIRECT(CONCATENATE($FK$12,Fixtures!JE$25))=Fixtures!$DN46,CONCATENATE(JE$10,", "),""))</f>
        <v/>
      </c>
      <c r="JF46" s="606" t="str">
        <f ca="1">IF(INDIRECT(CONCATENATE($FK$12,Fixtures!JF$25))="","",IF(INDIRECT(CONCATENATE($FK$12,Fixtures!JF$25))=Fixtures!$DN46,CONCATENATE(JF$10,", "),""))</f>
        <v/>
      </c>
      <c r="JG46" s="607" t="str">
        <f ca="1">IF(INDIRECT(CONCATENATE($FK$12,Fixtures!JG$25))="","",IF(INDIRECT(CONCATENATE($FK$12,Fixtures!JG$25))=Fixtures!$DN46,CONCATENATE(JG$10,", "),""))</f>
        <v/>
      </c>
      <c r="JH46" s="632" t="str">
        <f ca="1">IF(INDIRECT(CONCATENATE($FK$12,Fixtures!JH$25))="","",IF(INDIRECT(CONCATENATE($FK$12,Fixtures!JH$25))=Fixtures!$DN46,CONCATENATE(JH$10,", "),""))</f>
        <v/>
      </c>
      <c r="JI46" s="632" t="str">
        <f ca="1">IF(INDIRECT(CONCATENATE($FK$12,Fixtures!JI$25))="","",IF(INDIRECT(CONCATENATE($FK$12,Fixtures!JI$25))=Fixtures!$DN46,CONCATENATE(JI$10,", "),""))</f>
        <v/>
      </c>
      <c r="JJ46" s="632" t="str">
        <f ca="1">IF(INDIRECT(CONCATENATE($FK$12,Fixtures!JJ$25))="","",IF(INDIRECT(CONCATENATE($FK$12,Fixtures!JJ$25))=Fixtures!$DN46,CONCATENATE(JJ$10,", "),""))</f>
        <v/>
      </c>
      <c r="JK46" s="632" t="str">
        <f ca="1">IF(INDIRECT(CONCATENATE($FK$12,Fixtures!JK$25))="","",IF(INDIRECT(CONCATENATE($FK$12,Fixtures!JK$25))=Fixtures!$DN46,CONCATENATE(JK$10,", "),""))</f>
        <v/>
      </c>
      <c r="JL46" s="632" t="str">
        <f ca="1">IF(INDIRECT(CONCATENATE($FK$12,Fixtures!JL$25))="","",IF(INDIRECT(CONCATENATE($FK$12,Fixtures!JL$25))=Fixtures!$DN46,CONCATENATE(JL$10,", "),""))</f>
        <v/>
      </c>
      <c r="JM46" s="632" t="str">
        <f ca="1">IF(INDIRECT(CONCATENATE($FK$12,Fixtures!JM$25))="","",IF(INDIRECT(CONCATENATE($FK$12,Fixtures!JM$25))=Fixtures!$DN46,CONCATENATE(JM$10,", "),""))</f>
        <v/>
      </c>
      <c r="JN46" s="632" t="str">
        <f ca="1">IF(INDIRECT(CONCATENATE($FK$12,Fixtures!JN$25))="","",IF(INDIRECT(CONCATENATE($FK$12,Fixtures!JN$25))=Fixtures!$DN46,CONCATENATE(JN$10,", "),""))</f>
        <v/>
      </c>
      <c r="JO46" s="632" t="str">
        <f ca="1">IF(INDIRECT(CONCATENATE($FK$12,Fixtures!JO$25))="","",IF(INDIRECT(CONCATENATE($FK$12,Fixtures!JO$25))=Fixtures!$DN46,CONCATENATE(JO$10,", "),""))</f>
        <v/>
      </c>
      <c r="JP46" s="632" t="str">
        <f ca="1">IF(INDIRECT(CONCATENATE($FK$12,Fixtures!JP$25))="","",IF(INDIRECT(CONCATENATE($FK$12,Fixtures!JP$25))=Fixtures!$DN46,CONCATENATE(JP$10,", "),""))</f>
        <v/>
      </c>
      <c r="JQ46" s="632" t="str">
        <f ca="1">IF(INDIRECT(CONCATENATE($FK$12,Fixtures!JQ$25))="","",IF(INDIRECT(CONCATENATE($FK$12,Fixtures!JQ$25))=Fixtures!$DN46,CONCATENATE(JQ$10,", "),""))</f>
        <v/>
      </c>
      <c r="JR46" s="632" t="str">
        <f ca="1">IF(INDIRECT(CONCATENATE($FK$12,Fixtures!JR$25))="","",IF(INDIRECT(CONCATENATE($FK$12,Fixtures!JR$25))=Fixtures!$DN46,CONCATENATE(JR$10,", "),""))</f>
        <v/>
      </c>
      <c r="JS46" s="632" t="str">
        <f ca="1">IF(INDIRECT(CONCATENATE($FK$12,Fixtures!JS$25))="","",IF(INDIRECT(CONCATENATE($FK$12,Fixtures!JS$25))=Fixtures!$DN46,CONCATENATE(JS$10,", "),""))</f>
        <v/>
      </c>
      <c r="JT46" s="632" t="str">
        <f ca="1">IF(INDIRECT(CONCATENATE($FK$12,Fixtures!JT$25))="","",IF(INDIRECT(CONCATENATE($FK$12,Fixtures!JT$25))=Fixtures!$DN46,CONCATENATE(JT$10,", "),""))</f>
        <v/>
      </c>
      <c r="JU46" s="606" t="str">
        <f ca="1">IF(INDIRECT(CONCATENATE($FK$12,Fixtures!JU$25))="","",IF(INDIRECT(CONCATENATE($FK$12,Fixtures!JU$25))=Fixtures!$DN46,CONCATENATE(JU$10,", "),""))</f>
        <v/>
      </c>
      <c r="JV46" s="607" t="str">
        <f ca="1">IF(INDIRECT(CONCATENATE($FK$12,Fixtures!JV$25))="","",IF(INDIRECT(CONCATENATE($FK$12,Fixtures!JV$25))=Fixtures!$DN46,CONCATENATE(JV$10,", "),""))</f>
        <v/>
      </c>
      <c r="JW46" s="632" t="str">
        <f ca="1">IF(INDIRECT(CONCATENATE($FK$12,Fixtures!JW$25))="","",IF(INDIRECT(CONCATENATE($FK$12,Fixtures!JW$25))=Fixtures!$DN46,CONCATENATE(JW$10,", "),""))</f>
        <v/>
      </c>
      <c r="JX46" s="632" t="str">
        <f ca="1">IF(INDIRECT(CONCATENATE($FK$12,Fixtures!JX$25))="","",IF(INDIRECT(CONCATENATE($FK$12,Fixtures!JX$25))=Fixtures!$DN46,CONCATENATE(JX$10,", "),""))</f>
        <v/>
      </c>
      <c r="JY46" s="632" t="str">
        <f ca="1">IF(INDIRECT(CONCATENATE($FK$12,Fixtures!JY$25))="","",IF(INDIRECT(CONCATENATE($FK$12,Fixtures!JY$25))=Fixtures!$DN46,CONCATENATE(JY$10,", "),""))</f>
        <v/>
      </c>
      <c r="JZ46" s="632" t="str">
        <f ca="1">IF(INDIRECT(CONCATENATE($FK$12,Fixtures!JZ$25))="","",IF(INDIRECT(CONCATENATE($FK$12,Fixtures!JZ$25))=Fixtures!$DN46,CONCATENATE(JZ$10,", "),""))</f>
        <v/>
      </c>
      <c r="KA46" s="632" t="str">
        <f ca="1">IF(INDIRECT(CONCATENATE($FK$12,Fixtures!KA$25))="","",IF(INDIRECT(CONCATENATE($FK$12,Fixtures!KA$25))=Fixtures!$DN46,CONCATENATE(KA$10,", "),""))</f>
        <v/>
      </c>
      <c r="KB46" s="632" t="str">
        <f ca="1">IF(INDIRECT(CONCATENATE($FK$12,Fixtures!KB$25))="","",IF(INDIRECT(CONCATENATE($FK$12,Fixtures!KB$25))=Fixtures!$DN46,CONCATENATE(KB$10,", "),""))</f>
        <v/>
      </c>
      <c r="KC46" s="632" t="str">
        <f ca="1">IF(INDIRECT(CONCATENATE($FK$12,Fixtures!KC$25))="","",IF(INDIRECT(CONCATENATE($FK$12,Fixtures!KC$25))=Fixtures!$DN46,CONCATENATE(KC$10,", "),""))</f>
        <v/>
      </c>
      <c r="KD46" s="632" t="str">
        <f ca="1">IF(INDIRECT(CONCATENATE($FK$12,Fixtures!KD$25))="","",IF(INDIRECT(CONCATENATE($FK$12,Fixtures!KD$25))=Fixtures!$DN46,CONCATENATE(KD$10,", "),""))</f>
        <v/>
      </c>
      <c r="KE46" s="632" t="str">
        <f ca="1">IF(INDIRECT(CONCATENATE($FK$12,Fixtures!KE$25))="","",IF(INDIRECT(CONCATENATE($FK$12,Fixtures!KE$25))=Fixtures!$DN46,CONCATENATE(KE$10,", "),""))</f>
        <v/>
      </c>
      <c r="KF46" s="632" t="str">
        <f ca="1">IF(INDIRECT(CONCATENATE($FK$12,Fixtures!KF$25))="","",IF(INDIRECT(CONCATENATE($FK$12,Fixtures!KF$25))=Fixtures!$DN46,CONCATENATE(KF$10,", "),""))</f>
        <v/>
      </c>
      <c r="KG46" s="632" t="str">
        <f ca="1">IF(INDIRECT(CONCATENATE($FK$12,Fixtures!KG$25))="","",IF(INDIRECT(CONCATENATE($FK$12,Fixtures!KG$25))=Fixtures!$DN46,CONCATENATE(KG$10,", "),""))</f>
        <v/>
      </c>
      <c r="KH46" s="632" t="str">
        <f ca="1">IF(INDIRECT(CONCATENATE($FK$12,Fixtures!KH$25))="","",IF(INDIRECT(CONCATENATE($FK$12,Fixtures!KH$25))=Fixtures!$DN46,CONCATENATE(KH$10,", "),""))</f>
        <v/>
      </c>
      <c r="KI46" s="632" t="str">
        <f ca="1">IF(INDIRECT(CONCATENATE($FK$12,Fixtures!KI$25))="","",IF(INDIRECT(CONCATENATE($FK$12,Fixtures!KI$25))=Fixtures!$DN46,CONCATENATE(KI$10,", "),""))</f>
        <v/>
      </c>
      <c r="KJ46" s="606" t="str">
        <f ca="1">IF(INDIRECT(CONCATENATE($FK$12,Fixtures!KJ$25))="","",IF(INDIRECT(CONCATENATE($FK$12,Fixtures!KJ$25))=Fixtures!$DN46,CONCATENATE(KJ$10,", "),""))</f>
        <v/>
      </c>
      <c r="KK46" s="607" t="str">
        <f ca="1">IF(INDIRECT(CONCATENATE($FK$12,Fixtures!KK$25))="","",IF(INDIRECT(CONCATENATE($FK$12,Fixtures!KK$25))=Fixtures!$DN46,CONCATENATE(KK$10,", "),""))</f>
        <v/>
      </c>
      <c r="KL46" s="632" t="str">
        <f ca="1">IF(INDIRECT(CONCATENATE($FK$12,Fixtures!KL$25))="","",IF(INDIRECT(CONCATENATE($FK$12,Fixtures!KL$25))=Fixtures!$DN46,CONCATENATE(KL$10,", "),""))</f>
        <v/>
      </c>
      <c r="KM46" s="632" t="str">
        <f ca="1">IF(INDIRECT(CONCATENATE($FK$12,Fixtures!KM$25))="","",IF(INDIRECT(CONCATENATE($FK$12,Fixtures!KM$25))=Fixtures!$DN46,CONCATENATE(KM$10,", "),""))</f>
        <v/>
      </c>
      <c r="KN46" s="632" t="str">
        <f ca="1">IF(INDIRECT(CONCATENATE($FK$12,Fixtures!KN$25))="","",IF(INDIRECT(CONCATENATE($FK$12,Fixtures!KN$25))=Fixtures!$DN46,CONCATENATE(KN$10,", "),""))</f>
        <v/>
      </c>
      <c r="KO46" s="632" t="str">
        <f ca="1">IF(INDIRECT(CONCATENATE($FK$12,Fixtures!KO$25))="","",IF(INDIRECT(CONCATENATE($FK$12,Fixtures!KO$25))=Fixtures!$DN46,CONCATENATE(KO$10,", "),""))</f>
        <v/>
      </c>
      <c r="KP46" s="632" t="str">
        <f ca="1">IF(INDIRECT(CONCATENATE($FK$12,Fixtures!KP$25))="","",IF(INDIRECT(CONCATENATE($FK$12,Fixtures!KP$25))=Fixtures!$DN46,CONCATENATE(KP$10,", "),""))</f>
        <v/>
      </c>
      <c r="KQ46" s="632" t="str">
        <f ca="1">IF(INDIRECT(CONCATENATE($FK$12,Fixtures!KQ$25))="","",IF(INDIRECT(CONCATENATE($FK$12,Fixtures!KQ$25))=Fixtures!$DN46,CONCATENATE(KQ$10,", "),""))</f>
        <v/>
      </c>
      <c r="KR46" s="632" t="str">
        <f ca="1">IF(INDIRECT(CONCATENATE($FK$12,Fixtures!KR$25))="","",IF(INDIRECT(CONCATENATE($FK$12,Fixtures!KR$25))=Fixtures!$DN46,CONCATENATE(KR$10,", "),""))</f>
        <v/>
      </c>
      <c r="KS46" s="632" t="str">
        <f ca="1">IF(INDIRECT(CONCATENATE($FK$12,Fixtures!KS$25))="","",IF(INDIRECT(CONCATENATE($FK$12,Fixtures!KS$25))=Fixtures!$DN46,CONCATENATE(KS$10,", "),""))</f>
        <v/>
      </c>
      <c r="KT46" s="632" t="str">
        <f ca="1">IF(INDIRECT(CONCATENATE($FK$12,Fixtures!KT$25))="","",IF(INDIRECT(CONCATENATE($FK$12,Fixtures!KT$25))=Fixtures!$DN46,CONCATENATE(KT$10,", "),""))</f>
        <v/>
      </c>
      <c r="KU46" s="632" t="str">
        <f ca="1">IF(INDIRECT(CONCATENATE($FK$12,Fixtures!KU$25))="","",IF(INDIRECT(CONCATENATE($FK$12,Fixtures!KU$25))=Fixtures!$DN46,CONCATENATE(KU$10,", "),""))</f>
        <v/>
      </c>
      <c r="KV46" s="632" t="str">
        <f ca="1">IF(INDIRECT(CONCATENATE($FK$12,Fixtures!KV$25))="","",IF(INDIRECT(CONCATENATE($FK$12,Fixtures!KV$25))=Fixtures!$DN46,CONCATENATE(KV$10,", "),""))</f>
        <v/>
      </c>
      <c r="KW46" s="632" t="str">
        <f ca="1">IF(INDIRECT(CONCATENATE($FK$12,Fixtures!KW$25))="","",IF(INDIRECT(CONCATENATE($FK$12,Fixtures!KW$25))=Fixtures!$DN46,CONCATENATE(KW$10,", "),""))</f>
        <v/>
      </c>
      <c r="KX46" s="632" t="str">
        <f ca="1">IF(INDIRECT(CONCATENATE($FK$12,Fixtures!KX$25))="","",IF(INDIRECT(CONCATENATE($FK$12,Fixtures!KX$25))=Fixtures!$DN46,CONCATENATE(KX$10,", "),""))</f>
        <v/>
      </c>
      <c r="KY46" s="632"/>
      <c r="KZ46" s="46"/>
      <c r="LA46" s="46" t="str">
        <f t="shared" ca="1" si="7"/>
        <v/>
      </c>
      <c r="LB46" s="46"/>
      <c r="LC46" s="1010"/>
      <c r="LD46" s="1009" t="str">
        <f t="shared" si="20"/>
        <v/>
      </c>
    </row>
    <row r="47" spans="1:316" ht="28.2" customHeight="1" thickTop="1" thickBot="1">
      <c r="A47" s="426" t="str">
        <f t="shared" si="13"/>
        <v/>
      </c>
      <c r="C47" s="1640" t="str">
        <f t="shared" si="14"/>
        <v/>
      </c>
      <c r="D47" s="1641"/>
      <c r="E47" s="1568" t="str">
        <f t="shared" si="15"/>
        <v/>
      </c>
      <c r="F47" s="1569"/>
      <c r="G47" s="1569"/>
      <c r="H47" s="1569"/>
      <c r="I47" s="1569"/>
      <c r="J47" s="1569"/>
      <c r="K47" s="1569"/>
      <c r="L47" s="1569"/>
      <c r="M47" s="1642"/>
      <c r="N47" s="203" t="str">
        <f t="shared" si="16"/>
        <v/>
      </c>
      <c r="O47" s="12"/>
      <c r="P47" s="1638" t="str">
        <f t="shared" si="25"/>
        <v/>
      </c>
      <c r="Q47" s="1639"/>
      <c r="R47" s="1568" t="str">
        <f t="shared" si="30"/>
        <v/>
      </c>
      <c r="S47" s="1569"/>
      <c r="T47" s="1569"/>
      <c r="U47" s="1569"/>
      <c r="V47" s="1569"/>
      <c r="W47" s="1569"/>
      <c r="X47" s="1569"/>
      <c r="Y47" s="203" t="str">
        <f t="shared" si="26"/>
        <v/>
      </c>
      <c r="Z47" s="203" t="str">
        <f t="shared" si="27"/>
        <v/>
      </c>
      <c r="AA47" s="394" t="str">
        <f t="shared" si="28"/>
        <v/>
      </c>
      <c r="AB47" s="489"/>
      <c r="AC47" s="1564" t="str">
        <f t="shared" si="18"/>
        <v/>
      </c>
      <c r="AD47" s="1565"/>
      <c r="AE47" s="1565"/>
      <c r="AF47" s="1565"/>
      <c r="AG47" s="1565"/>
      <c r="AH47" s="1565"/>
      <c r="AK47">
        <f>SUMIFS(Installations!CV$46:CV$803,Installations!CW$46:CW$803,E47,Installations!IC$46:IC$803,TRUE)</f>
        <v>0</v>
      </c>
      <c r="AL47">
        <f>SUMIFS(Installations!CV$46:CV$803,Installations!CW$46:CW$803,R47,Installations!IC$46:IC$803,TRUE)</f>
        <v>0</v>
      </c>
      <c r="BL47" s="9"/>
      <c r="BM47" s="622" t="str">
        <f t="shared" si="19"/>
        <v/>
      </c>
      <c r="BN47" s="52"/>
      <c r="BO47" s="52"/>
      <c r="BP47" s="52"/>
      <c r="BQ47" s="52"/>
      <c r="BR47" s="52"/>
      <c r="BS47" s="52"/>
      <c r="BT47" s="52"/>
      <c r="BU47" s="373"/>
      <c r="BV47" s="219" t="str">
        <f>IF(CN47&lt;&gt;"Yes","",IFERROR(VLOOKUP(CU47,Existing!A$4:F$367,2,FALSE),""))</f>
        <v/>
      </c>
      <c r="BW47" s="9">
        <v>21</v>
      </c>
      <c r="BX47" s="1625"/>
      <c r="BY47" s="1626"/>
      <c r="BZ47" s="1626"/>
      <c r="CA47" s="1627"/>
      <c r="CB47" s="1622"/>
      <c r="CC47" s="1623"/>
      <c r="CD47" s="1623"/>
      <c r="CE47" s="1624"/>
      <c r="CF47" s="1621"/>
      <c r="CG47" s="1621"/>
      <c r="CH47" s="1621"/>
      <c r="CI47" s="1621"/>
      <c r="CJ47" s="1621"/>
      <c r="CK47" s="1621"/>
      <c r="CL47" s="1621"/>
      <c r="CM47" s="1621"/>
      <c r="CN47" s="1553" t="str">
        <f t="shared" si="0"/>
        <v/>
      </c>
      <c r="CO47" s="1554"/>
      <c r="CP47" s="229" t="str">
        <f>IFERROR(IF(CB47="Existing TLED",CR47*CW47*CY47,VLOOKUP(CU47,Existing!A$3:F$356,6,FALSE)),"")</f>
        <v/>
      </c>
      <c r="CQ47" s="9"/>
      <c r="CR47" s="1660"/>
      <c r="CS47" s="1661"/>
      <c r="CT47" s="9"/>
      <c r="CU47" s="425" t="str">
        <f t="shared" si="21"/>
        <v/>
      </c>
      <c r="CV47" s="426" t="b">
        <f t="shared" si="22"/>
        <v>0</v>
      </c>
      <c r="CW47" s="426" t="str">
        <f t="shared" si="23"/>
        <v/>
      </c>
      <c r="CX47" s="426">
        <f>IFERROR(VLOOKUP(CF47,Lookup!T$100:V$102,3,FALSE),0)</f>
        <v>0</v>
      </c>
      <c r="CY47" s="426">
        <f t="shared" si="8"/>
        <v>1.1100000000000001</v>
      </c>
      <c r="CZ47" s="626" t="b">
        <f t="shared" si="1"/>
        <v>0</v>
      </c>
      <c r="DA47" s="626" t="b">
        <f>IF(CF47&lt;&gt;"",IF(ISERROR(MATCH(CONCATENATE(CB47," - ",CF47),Existing!G$4:G$331,0))=TRUE,FALSE,TRUE),TRUE)</f>
        <v>1</v>
      </c>
      <c r="DB47" s="626" t="b">
        <f t="shared" si="2"/>
        <v>1</v>
      </c>
      <c r="DL47" s="9"/>
      <c r="DM47" s="627" t="s">
        <v>215</v>
      </c>
      <c r="DN47" s="375" t="str">
        <f t="shared" si="3"/>
        <v/>
      </c>
      <c r="DO47" s="52"/>
      <c r="DP47" s="52"/>
      <c r="DQ47" s="52"/>
      <c r="DR47" s="52"/>
      <c r="DS47" s="52"/>
      <c r="DT47" s="226"/>
      <c r="DU47" s="376"/>
      <c r="DV47" s="227" t="str">
        <f t="shared" si="4"/>
        <v/>
      </c>
      <c r="DW47" s="224">
        <v>21</v>
      </c>
      <c r="DX47" s="1572"/>
      <c r="DY47" s="1573"/>
      <c r="DZ47" s="1573"/>
      <c r="EA47" s="1574"/>
      <c r="EB47" s="1618"/>
      <c r="EC47" s="1619"/>
      <c r="ED47" s="1619"/>
      <c r="EE47" s="1620"/>
      <c r="EF47" s="1578"/>
      <c r="EG47" s="1579"/>
      <c r="EH47" s="1618"/>
      <c r="EI47" s="1619"/>
      <c r="EJ47" s="1619"/>
      <c r="EK47" s="1620"/>
      <c r="EL47" s="1575"/>
      <c r="EM47" s="1576"/>
      <c r="EN47" s="1576"/>
      <c r="EO47" s="1577"/>
      <c r="EP47" s="1578"/>
      <c r="EQ47" s="1579"/>
      <c r="ER47" s="1555"/>
      <c r="ES47" s="1556"/>
      <c r="ET47" s="1553" t="str">
        <f t="shared" si="9"/>
        <v/>
      </c>
      <c r="EU47" s="1554"/>
      <c r="EV47" s="1553" t="str">
        <f t="shared" si="29"/>
        <v/>
      </c>
      <c r="EW47" s="1554"/>
      <c r="EX47" s="393"/>
      <c r="EY47" s="225" t="str">
        <f t="shared" si="6"/>
        <v/>
      </c>
      <c r="EZ47" s="225" t="str">
        <f>IFERROR(VLOOKUP(EB47,Lookup!AT$3:AU$13,2,FALSE),"")</f>
        <v/>
      </c>
      <c r="FA47" s="426" t="b">
        <f>IFERROR(IF(VLOOKUP(EB47,Lookup!AT$6:AU$8,2,FALSE)&gt;3,TRUE,FALSE),FALSE)</f>
        <v>0</v>
      </c>
      <c r="FB47" s="426" t="str">
        <f t="shared" si="10"/>
        <v/>
      </c>
      <c r="FC47" t="str">
        <f t="shared" ca="1" si="11"/>
        <v/>
      </c>
      <c r="FG47" t="str">
        <f t="shared" ca="1" si="12"/>
        <v/>
      </c>
      <c r="FI47" s="204" t="str">
        <f t="shared" ca="1" si="24"/>
        <v/>
      </c>
      <c r="FJ47" s="204"/>
      <c r="FK47" s="631" t="str">
        <f ca="1">IF(INDIRECT(CONCATENATE($FK$12,Fixtures!FK$25))="","",IF(INDIRECT(CONCATENATE($FK$12,Fixtures!FK$25))=Fixtures!$DN47,CONCATENATE(FK$10,", "),""))</f>
        <v/>
      </c>
      <c r="FL47" s="631" t="str">
        <f ca="1">IF(INDIRECT(CONCATENATE($FK$12,Fixtures!FL$25))="","",IF(INDIRECT(CONCATENATE($FK$12,Fixtures!FL$25))=Fixtures!$DN47,CONCATENATE(FL$10,", "),""))</f>
        <v/>
      </c>
      <c r="FM47" s="631" t="str">
        <f ca="1">IF(INDIRECT(CONCATENATE($FK$12,Fixtures!FM$25))="","",IF(INDIRECT(CONCATENATE($FK$12,Fixtures!FM$25))=Fixtures!$DN47,CONCATENATE(FM$10,", "),""))</f>
        <v/>
      </c>
      <c r="FN47" s="631" t="str">
        <f ca="1">IF(INDIRECT(CONCATENATE($FK$12,Fixtures!FN$25))="","",IF(INDIRECT(CONCATENATE($FK$12,Fixtures!FN$25))=Fixtures!$DN47,CONCATENATE(FN$10,", "),""))</f>
        <v/>
      </c>
      <c r="FO47" s="631" t="str">
        <f ca="1">IF(INDIRECT(CONCATENATE($FK$12,Fixtures!FO$25))="","",IF(INDIRECT(CONCATENATE($FK$12,Fixtures!FO$25))=Fixtures!$DN47,CONCATENATE(FO$10,", "),""))</f>
        <v/>
      </c>
      <c r="FP47" s="631" t="str">
        <f ca="1">IF(INDIRECT(CONCATENATE($FK$12,Fixtures!FP$25))="","",IF(INDIRECT(CONCATENATE($FK$12,Fixtures!FP$25))=Fixtures!$DN47,CONCATENATE(FP$10,", "),""))</f>
        <v/>
      </c>
      <c r="FQ47" s="631" t="str">
        <f ca="1">IF(INDIRECT(CONCATENATE($FK$12,Fixtures!FQ$25))="","",IF(INDIRECT(CONCATENATE($FK$12,Fixtures!FQ$25))=Fixtures!$DN47,CONCATENATE(FQ$10,", "),""))</f>
        <v/>
      </c>
      <c r="FR47" s="631" t="str">
        <f ca="1">IF(INDIRECT(CONCATENATE($FK$12,Fixtures!FR$25))="","",IF(INDIRECT(CONCATENATE($FK$12,Fixtures!FR$25))=Fixtures!$DN47,CONCATENATE(FR$10,", "),""))</f>
        <v/>
      </c>
      <c r="FS47" s="631" t="str">
        <f ca="1">IF(INDIRECT(CONCATENATE($FK$12,Fixtures!FS$25))="","",IF(INDIRECT(CONCATENATE($FK$12,Fixtures!FS$25))=Fixtures!$DN47,CONCATENATE(FS$10,", "),""))</f>
        <v/>
      </c>
      <c r="FT47" s="604" t="str">
        <f ca="1">IF(INDIRECT(CONCATENATE($FK$12,Fixtures!FT$25))="","",IF(INDIRECT(CONCATENATE($FK$12,Fixtures!FT$25))=Fixtures!$DN47,CONCATENATE(FT$10,", "),""))</f>
        <v/>
      </c>
      <c r="FU47" s="605" t="str">
        <f ca="1">IF(INDIRECT(CONCATENATE($FK$12,Fixtures!FU$25))="","",IF(INDIRECT(CONCATENATE($FK$12,Fixtures!FU$25))=Fixtures!$DN47,CONCATENATE(FU$10,", "),""))</f>
        <v/>
      </c>
      <c r="FV47" s="631" t="str">
        <f ca="1">IF(INDIRECT(CONCATENATE($FK$12,Fixtures!FV$25))="","",IF(INDIRECT(CONCATENATE($FK$12,Fixtures!FV$25))=Fixtures!$DN47,CONCATENATE(FV$10,", "),""))</f>
        <v/>
      </c>
      <c r="FW47" s="632" t="str">
        <f ca="1">IF(INDIRECT(CONCATENATE($FK$12,Fixtures!FW$25))="","",IF(INDIRECT(CONCATENATE($FK$12,Fixtures!FW$25))=Fixtures!$DN47,CONCATENATE(FW$10,", "),""))</f>
        <v/>
      </c>
      <c r="FX47" s="632" t="str">
        <f ca="1">IF(INDIRECT(CONCATENATE($FK$12,Fixtures!FX$25))="","",IF(INDIRECT(CONCATENATE($FK$12,Fixtures!FX$25))=Fixtures!$DN47,CONCATENATE(FX$10,", "),""))</f>
        <v/>
      </c>
      <c r="FY47" s="632" t="str">
        <f ca="1">IF(INDIRECT(CONCATENATE($FK$12,Fixtures!FY$25))="","",IF(INDIRECT(CONCATENATE($FK$12,Fixtures!FY$25))=Fixtures!$DN47,CONCATENATE(FY$10,", "),""))</f>
        <v/>
      </c>
      <c r="FZ47" s="632" t="str">
        <f ca="1">IF(INDIRECT(CONCATENATE($FK$12,Fixtures!FZ$25))="","",IF(INDIRECT(CONCATENATE($FK$12,Fixtures!FZ$25))=Fixtures!$DN47,CONCATENATE(FZ$10,", "),""))</f>
        <v/>
      </c>
      <c r="GA47" s="632" t="str">
        <f ca="1">IF(INDIRECT(CONCATENATE($FK$12,Fixtures!GA$25))="","",IF(INDIRECT(CONCATENATE($FK$12,Fixtures!GA$25))=Fixtures!$DN47,CONCATENATE(GA$10,", "),""))</f>
        <v/>
      </c>
      <c r="GB47" s="632" t="str">
        <f ca="1">IF(INDIRECT(CONCATENATE($FK$12,Fixtures!GB$25))="","",IF(INDIRECT(CONCATENATE($FK$12,Fixtures!GB$25))=Fixtures!$DN47,CONCATENATE(GB$10,", "),""))</f>
        <v/>
      </c>
      <c r="GC47" s="632" t="str">
        <f ca="1">IF(INDIRECT(CONCATENATE($FK$12,Fixtures!GC$25))="","",IF(INDIRECT(CONCATENATE($FK$12,Fixtures!GC$25))=Fixtures!$DN47,CONCATENATE(GC$10,", "),""))</f>
        <v/>
      </c>
      <c r="GD47" s="632" t="str">
        <f ca="1">IF(INDIRECT(CONCATENATE($FK$12,Fixtures!GD$25))="","",IF(INDIRECT(CONCATENATE($FK$12,Fixtures!GD$25))=Fixtures!$DN47,CONCATENATE(GD$10,", "),""))</f>
        <v/>
      </c>
      <c r="GE47" s="632" t="str">
        <f ca="1">IF(INDIRECT(CONCATENATE($FK$12,Fixtures!GE$25))="","",IF(INDIRECT(CONCATENATE($FK$12,Fixtures!GE$25))=Fixtures!$DN47,CONCATENATE(GE$10,", "),""))</f>
        <v/>
      </c>
      <c r="GF47" s="632" t="str">
        <f ca="1">IF(INDIRECT(CONCATENATE($FK$12,Fixtures!GF$25))="","",IF(INDIRECT(CONCATENATE($FK$12,Fixtures!GF$25))=Fixtures!$DN47,CONCATENATE(GF$10,", "),""))</f>
        <v/>
      </c>
      <c r="GG47" s="632" t="str">
        <f ca="1">IF(INDIRECT(CONCATENATE($FK$12,Fixtures!GG$25))="","",IF(INDIRECT(CONCATENATE($FK$12,Fixtures!GG$25))=Fixtures!$DN47,CONCATENATE(GG$10,", "),""))</f>
        <v/>
      </c>
      <c r="GH47" s="632" t="str">
        <f ca="1">IF(INDIRECT(CONCATENATE($FK$12,Fixtures!GH$25))="","",IF(INDIRECT(CONCATENATE($FK$12,Fixtures!GH$25))=Fixtures!$DN47,CONCATENATE(GH$10,", "),""))</f>
        <v/>
      </c>
      <c r="GI47" s="606" t="str">
        <f ca="1">IF(INDIRECT(CONCATENATE($FK$12,Fixtures!GI$25))="","",IF(INDIRECT(CONCATENATE($FK$12,Fixtures!GI$25))=Fixtures!$DN47,CONCATENATE(GI$10,", "),""))</f>
        <v/>
      </c>
      <c r="GJ47" s="607" t="str">
        <f ca="1">IF(INDIRECT(CONCATENATE($FK$12,Fixtures!GJ$25))="","",IF(INDIRECT(CONCATENATE($FK$12,Fixtures!GJ$25))=Fixtures!$DN47,CONCATENATE(GJ$10,", "),""))</f>
        <v/>
      </c>
      <c r="GK47" s="632" t="str">
        <f ca="1">IF(INDIRECT(CONCATENATE($FK$12,Fixtures!GK$25))="","",IF(INDIRECT(CONCATENATE($FK$12,Fixtures!GK$25))=Fixtures!$DN47,CONCATENATE(GK$10,", "),""))</f>
        <v/>
      </c>
      <c r="GL47" s="632" t="str">
        <f ca="1">IF(INDIRECT(CONCATENATE($FK$12,Fixtures!GL$25))="","",IF(INDIRECT(CONCATENATE($FK$12,Fixtures!GL$25))=Fixtures!$DN47,CONCATENATE(GL$10,", "),""))</f>
        <v/>
      </c>
      <c r="GM47" s="632" t="str">
        <f ca="1">IF(INDIRECT(CONCATENATE($FK$12,Fixtures!GM$25))="","",IF(INDIRECT(CONCATENATE($FK$12,Fixtures!GM$25))=Fixtures!$DN47,CONCATENATE(GM$10,", "),""))</f>
        <v/>
      </c>
      <c r="GN47" s="632" t="str">
        <f ca="1">IF(INDIRECT(CONCATENATE($FK$12,Fixtures!GN$25))="","",IF(INDIRECT(CONCATENATE($FK$12,Fixtures!GN$25))=Fixtures!$DN47,CONCATENATE(GN$10,", "),""))</f>
        <v/>
      </c>
      <c r="GO47" s="632" t="str">
        <f ca="1">IF(INDIRECT(CONCATENATE($FK$12,Fixtures!GO$25))="","",IF(INDIRECT(CONCATENATE($FK$12,Fixtures!GO$25))=Fixtures!$DN47,CONCATENATE(GO$10,", "),""))</f>
        <v/>
      </c>
      <c r="GP47" s="632" t="str">
        <f ca="1">IF(INDIRECT(CONCATENATE($FK$12,Fixtures!GP$25))="","",IF(INDIRECT(CONCATENATE($FK$12,Fixtures!GP$25))=Fixtures!$DN47,CONCATENATE(GP$10,", "),""))</f>
        <v/>
      </c>
      <c r="GQ47" s="632" t="str">
        <f ca="1">IF(INDIRECT(CONCATENATE($FK$12,Fixtures!GQ$25))="","",IF(INDIRECT(CONCATENATE($FK$12,Fixtures!GQ$25))=Fixtures!$DN47,CONCATENATE(GQ$10,", "),""))</f>
        <v/>
      </c>
      <c r="GR47" s="632" t="str">
        <f ca="1">IF(INDIRECT(CONCATENATE($FK$12,Fixtures!GR$25))="","",IF(INDIRECT(CONCATENATE($FK$12,Fixtures!GR$25))=Fixtures!$DN47,CONCATENATE(GR$10,", "),""))</f>
        <v/>
      </c>
      <c r="GS47" s="632" t="str">
        <f ca="1">IF(INDIRECT(CONCATENATE($FK$12,Fixtures!GS$25))="","",IF(INDIRECT(CONCATENATE($FK$12,Fixtures!GS$25))=Fixtures!$DN47,CONCATENATE(GS$10,", "),""))</f>
        <v/>
      </c>
      <c r="GT47" s="632" t="str">
        <f ca="1">IF(INDIRECT(CONCATENATE($FK$12,Fixtures!GT$25))="","",IF(INDIRECT(CONCATENATE($FK$12,Fixtures!GT$25))=Fixtures!$DN47,CONCATENATE(GT$10,", "),""))</f>
        <v/>
      </c>
      <c r="GU47" s="632" t="str">
        <f ca="1">IF(INDIRECT(CONCATENATE($FK$12,Fixtures!GU$25))="","",IF(INDIRECT(CONCATENATE($FK$12,Fixtures!GU$25))=Fixtures!$DN47,CONCATENATE(GU$10,", "),""))</f>
        <v/>
      </c>
      <c r="GV47" s="632" t="str">
        <f ca="1">IF(INDIRECT(CONCATENATE($FK$12,Fixtures!GV$25))="","",IF(INDIRECT(CONCATENATE($FK$12,Fixtures!GV$25))=Fixtures!$DN47,CONCATENATE(GV$10,", "),""))</f>
        <v/>
      </c>
      <c r="GW47" s="632" t="str">
        <f ca="1">IF(INDIRECT(CONCATENATE($FK$12,Fixtures!GW$25))="","",IF(INDIRECT(CONCATENATE($FK$12,Fixtures!GW$25))=Fixtures!$DN47,CONCATENATE(GW$10,", "),""))</f>
        <v/>
      </c>
      <c r="GX47" s="606" t="str">
        <f ca="1">IF(INDIRECT(CONCATENATE($FK$12,Fixtures!GX$25))="","",IF(INDIRECT(CONCATENATE($FK$12,Fixtures!GX$25))=Fixtures!$DN47,CONCATENATE(GX$10,", "),""))</f>
        <v/>
      </c>
      <c r="GY47" s="607" t="str">
        <f ca="1">IF(INDIRECT(CONCATENATE($FK$12,Fixtures!GY$25))="","",IF(INDIRECT(CONCATENATE($FK$12,Fixtures!GY$25))=Fixtures!$DN47,CONCATENATE(GY$10,", "),""))</f>
        <v/>
      </c>
      <c r="GZ47" s="632" t="str">
        <f ca="1">IF(INDIRECT(CONCATENATE($FK$12,Fixtures!GZ$25))="","",IF(INDIRECT(CONCATENATE($FK$12,Fixtures!GZ$25))=Fixtures!$DN47,CONCATENATE(GZ$10,", "),""))</f>
        <v/>
      </c>
      <c r="HA47" s="632" t="str">
        <f ca="1">IF(INDIRECT(CONCATENATE($FK$12,Fixtures!HA$25))="","",IF(INDIRECT(CONCATENATE($FK$12,Fixtures!HA$25))=Fixtures!$DN47,CONCATENATE(HA$10,", "),""))</f>
        <v/>
      </c>
      <c r="HB47" s="632" t="str">
        <f ca="1">IF(INDIRECT(CONCATENATE($FK$12,Fixtures!HB$25))="","",IF(INDIRECT(CONCATENATE($FK$12,Fixtures!HB$25))=Fixtures!$DN47,CONCATENATE(HB$10,", "),""))</f>
        <v/>
      </c>
      <c r="HC47" s="632" t="str">
        <f ca="1">IF(INDIRECT(CONCATENATE($FK$12,Fixtures!HC$25))="","",IF(INDIRECT(CONCATENATE($FK$12,Fixtures!HC$25))=Fixtures!$DN47,CONCATENATE(HC$10,", "),""))</f>
        <v/>
      </c>
      <c r="HD47" s="632" t="str">
        <f ca="1">IF(INDIRECT(CONCATENATE($FK$12,Fixtures!HD$25))="","",IF(INDIRECT(CONCATENATE($FK$12,Fixtures!HD$25))=Fixtures!$DN47,CONCATENATE(HD$10,", "),""))</f>
        <v/>
      </c>
      <c r="HE47" s="632" t="str">
        <f ca="1">IF(INDIRECT(CONCATENATE($FK$12,Fixtures!HE$25))="","",IF(INDIRECT(CONCATENATE($FK$12,Fixtures!HE$25))=Fixtures!$DN47,CONCATENATE(HE$10,", "),""))</f>
        <v/>
      </c>
      <c r="HF47" s="632" t="str">
        <f ca="1">IF(INDIRECT(CONCATENATE($FK$12,Fixtures!HF$25))="","",IF(INDIRECT(CONCATENATE($FK$12,Fixtures!HF$25))=Fixtures!$DN47,CONCATENATE(HF$10,", "),""))</f>
        <v/>
      </c>
      <c r="HG47" s="632" t="str">
        <f ca="1">IF(INDIRECT(CONCATENATE($FK$12,Fixtures!HG$25))="","",IF(INDIRECT(CONCATENATE($FK$12,Fixtures!HG$25))=Fixtures!$DN47,CONCATENATE(HG$10,", "),""))</f>
        <v/>
      </c>
      <c r="HH47" s="632" t="str">
        <f ca="1">IF(INDIRECT(CONCATENATE($FK$12,Fixtures!HH$25))="","",IF(INDIRECT(CONCATENATE($FK$12,Fixtures!HH$25))=Fixtures!$DN47,CONCATENATE(HH$10,", "),""))</f>
        <v/>
      </c>
      <c r="HI47" s="632" t="str">
        <f ca="1">IF(INDIRECT(CONCATENATE($FK$12,Fixtures!HI$25))="","",IF(INDIRECT(CONCATENATE($FK$12,Fixtures!HI$25))=Fixtures!$DN47,CONCATENATE(HI$10,", "),""))</f>
        <v/>
      </c>
      <c r="HJ47" s="632" t="str">
        <f ca="1">IF(INDIRECT(CONCATENATE($FK$12,Fixtures!HJ$25))="","",IF(INDIRECT(CONCATENATE($FK$12,Fixtures!HJ$25))=Fixtures!$DN47,CONCATENATE(HJ$10,", "),""))</f>
        <v/>
      </c>
      <c r="HK47" s="632" t="str">
        <f ca="1">IF(INDIRECT(CONCATENATE($FK$12,Fixtures!HK$25))="","",IF(INDIRECT(CONCATENATE($FK$12,Fixtures!HK$25))=Fixtures!$DN47,CONCATENATE(HK$10,", "),""))</f>
        <v/>
      </c>
      <c r="HL47" s="632" t="str">
        <f ca="1">IF(INDIRECT(CONCATENATE($FK$12,Fixtures!HL$25))="","",IF(INDIRECT(CONCATENATE($FK$12,Fixtures!HL$25))=Fixtures!$DN47,CONCATENATE(HL$10,", "),""))</f>
        <v/>
      </c>
      <c r="HM47" s="606" t="str">
        <f ca="1">IF(INDIRECT(CONCATENATE($FK$12,Fixtures!HM$25))="","",IF(INDIRECT(CONCATENATE($FK$12,Fixtures!HM$25))=Fixtures!$DN47,CONCATENATE(HM$10,", "),""))</f>
        <v/>
      </c>
      <c r="HN47" s="607" t="str">
        <f ca="1">IF(INDIRECT(CONCATENATE($FK$12,Fixtures!HN$25))="","",IF(INDIRECT(CONCATENATE($FK$12,Fixtures!HN$25))=Fixtures!$DN47,CONCATENATE(HN$10,", "),""))</f>
        <v/>
      </c>
      <c r="HO47" s="632" t="str">
        <f ca="1">IF(INDIRECT(CONCATENATE($FK$12,Fixtures!HO$25))="","",IF(INDIRECT(CONCATENATE($FK$12,Fixtures!HO$25))=Fixtures!$DN47,CONCATENATE(HO$10,", "),""))</f>
        <v/>
      </c>
      <c r="HP47" s="632" t="str">
        <f ca="1">IF(INDIRECT(CONCATENATE($FK$12,Fixtures!HP$25))="","",IF(INDIRECT(CONCATENATE($FK$12,Fixtures!HP$25))=Fixtures!$DN47,CONCATENATE(HP$10,", "),""))</f>
        <v/>
      </c>
      <c r="HQ47" s="632" t="str">
        <f ca="1">IF(INDIRECT(CONCATENATE($FK$12,Fixtures!HQ$25))="","",IF(INDIRECT(CONCATENATE($FK$12,Fixtures!HQ$25))=Fixtures!$DN47,CONCATENATE(HQ$10,", "),""))</f>
        <v/>
      </c>
      <c r="HR47" s="632" t="str">
        <f ca="1">IF(INDIRECT(CONCATENATE($FK$12,Fixtures!HR$25))="","",IF(INDIRECT(CONCATENATE($FK$12,Fixtures!HR$25))=Fixtures!$DN47,CONCATENATE(HR$10,", "),""))</f>
        <v/>
      </c>
      <c r="HS47" s="632" t="str">
        <f ca="1">IF(INDIRECT(CONCATENATE($FK$12,Fixtures!HS$25))="","",IF(INDIRECT(CONCATENATE($FK$12,Fixtures!HS$25))=Fixtures!$DN47,CONCATENATE(HS$10,", "),""))</f>
        <v/>
      </c>
      <c r="HT47" s="632" t="str">
        <f ca="1">IF(INDIRECT(CONCATENATE($FK$12,Fixtures!HT$25))="","",IF(INDIRECT(CONCATENATE($FK$12,Fixtures!HT$25))=Fixtures!$DN47,CONCATENATE(HT$10,", "),""))</f>
        <v/>
      </c>
      <c r="HU47" s="632" t="str">
        <f ca="1">IF(INDIRECT(CONCATENATE($FK$12,Fixtures!HU$25))="","",IF(INDIRECT(CONCATENATE($FK$12,Fixtures!HU$25))=Fixtures!$DN47,CONCATENATE(HU$10,", "),""))</f>
        <v/>
      </c>
      <c r="HV47" s="632" t="str">
        <f ca="1">IF(INDIRECT(CONCATENATE($FK$12,Fixtures!HV$25))="","",IF(INDIRECT(CONCATENATE($FK$12,Fixtures!HV$25))=Fixtures!$DN47,CONCATENATE(HV$10,", "),""))</f>
        <v/>
      </c>
      <c r="HW47" s="632" t="str">
        <f ca="1">IF(INDIRECT(CONCATENATE($FK$12,Fixtures!HW$25))="","",IF(INDIRECT(CONCATENATE($FK$12,Fixtures!HW$25))=Fixtures!$DN47,CONCATENATE(HW$10,", "),""))</f>
        <v/>
      </c>
      <c r="HX47" s="632" t="str">
        <f ca="1">IF(INDIRECT(CONCATENATE($FK$12,Fixtures!HX$25))="","",IF(INDIRECT(CONCATENATE($FK$12,Fixtures!HX$25))=Fixtures!$DN47,CONCATENATE(HX$10,", "),""))</f>
        <v/>
      </c>
      <c r="HY47" s="632" t="str">
        <f ca="1">IF(INDIRECT(CONCATENATE($FK$12,Fixtures!HY$25))="","",IF(INDIRECT(CONCATENATE($FK$12,Fixtures!HY$25))=Fixtures!$DN47,CONCATENATE(HY$10,", "),""))</f>
        <v/>
      </c>
      <c r="HZ47" s="632" t="str">
        <f ca="1">IF(INDIRECT(CONCATENATE($FK$12,Fixtures!HZ$25))="","",IF(INDIRECT(CONCATENATE($FK$12,Fixtures!HZ$25))=Fixtures!$DN47,CONCATENATE(HZ$10,", "),""))</f>
        <v/>
      </c>
      <c r="IA47" s="632" t="str">
        <f ca="1">IF(INDIRECT(CONCATENATE($FK$12,Fixtures!IA$25))="","",IF(INDIRECT(CONCATENATE($FK$12,Fixtures!IA$25))=Fixtures!$DN47,CONCATENATE(IA$10,", "),""))</f>
        <v/>
      </c>
      <c r="IB47" s="606" t="str">
        <f ca="1">IF(INDIRECT(CONCATENATE($FK$12,Fixtures!IB$25))="","",IF(INDIRECT(CONCATENATE($FK$12,Fixtures!IB$25))=Fixtures!$DN47,CONCATENATE(IB$10,", "),""))</f>
        <v/>
      </c>
      <c r="IC47" s="607" t="str">
        <f ca="1">IF(INDIRECT(CONCATENATE($FK$12,Fixtures!IC$25))="","",IF(INDIRECT(CONCATENATE($FK$12,Fixtures!IC$25))=Fixtures!$DN47,CONCATENATE(IC$10,", "),""))</f>
        <v/>
      </c>
      <c r="ID47" s="632" t="str">
        <f ca="1">IF(INDIRECT(CONCATENATE($FK$12,Fixtures!ID$25))="","",IF(INDIRECT(CONCATENATE($FK$12,Fixtures!ID$25))=Fixtures!$DN47,CONCATENATE(ID$10,", "),""))</f>
        <v/>
      </c>
      <c r="IE47" s="632" t="str">
        <f ca="1">IF(INDIRECT(CONCATENATE($FK$12,Fixtures!IE$25))="","",IF(INDIRECT(CONCATENATE($FK$12,Fixtures!IE$25))=Fixtures!$DN47,CONCATENATE(IE$10,", "),""))</f>
        <v/>
      </c>
      <c r="IF47" s="632" t="str">
        <f ca="1">IF(INDIRECT(CONCATENATE($FK$12,Fixtures!IF$25))="","",IF(INDIRECT(CONCATENATE($FK$12,Fixtures!IF$25))=Fixtures!$DN47,CONCATENATE(IF$10,", "),""))</f>
        <v/>
      </c>
      <c r="IG47" s="632" t="str">
        <f ca="1">IF(INDIRECT(CONCATENATE($FK$12,Fixtures!IG$25))="","",IF(INDIRECT(CONCATENATE($FK$12,Fixtures!IG$25))=Fixtures!$DN47,CONCATENATE(IG$10,", "),""))</f>
        <v/>
      </c>
      <c r="IH47" s="632" t="str">
        <f ca="1">IF(INDIRECT(CONCATENATE($FK$12,Fixtures!IH$25))="","",IF(INDIRECT(CONCATENATE($FK$12,Fixtures!IH$25))=Fixtures!$DN47,CONCATENATE(IH$10,", "),""))</f>
        <v/>
      </c>
      <c r="II47" s="632" t="str">
        <f ca="1">IF(INDIRECT(CONCATENATE($FK$12,Fixtures!II$25))="","",IF(INDIRECT(CONCATENATE($FK$12,Fixtures!II$25))=Fixtures!$DN47,CONCATENATE(II$10,", "),""))</f>
        <v/>
      </c>
      <c r="IJ47" s="632" t="str">
        <f ca="1">IF(INDIRECT(CONCATENATE($FK$12,Fixtures!IJ$25))="","",IF(INDIRECT(CONCATENATE($FK$12,Fixtures!IJ$25))=Fixtures!$DN47,CONCATENATE(IJ$10,", "),""))</f>
        <v/>
      </c>
      <c r="IK47" s="632" t="str">
        <f ca="1">IF(INDIRECT(CONCATENATE($FK$12,Fixtures!IK$25))="","",IF(INDIRECT(CONCATENATE($FK$12,Fixtures!IK$25))=Fixtures!$DN47,CONCATENATE(IK$10,", "),""))</f>
        <v/>
      </c>
      <c r="IL47" s="632" t="str">
        <f ca="1">IF(INDIRECT(CONCATENATE($FK$12,Fixtures!IL$25))="","",IF(INDIRECT(CONCATENATE($FK$12,Fixtures!IL$25))=Fixtures!$DN47,CONCATENATE(IL$10,", "),""))</f>
        <v/>
      </c>
      <c r="IM47" s="632" t="str">
        <f ca="1">IF(INDIRECT(CONCATENATE($FK$12,Fixtures!IM$25))="","",IF(INDIRECT(CONCATENATE($FK$12,Fixtures!IM$25))=Fixtures!$DN47,CONCATENATE(IM$10,", "),""))</f>
        <v/>
      </c>
      <c r="IN47" s="632" t="str">
        <f ca="1">IF(INDIRECT(CONCATENATE($FK$12,Fixtures!IN$25))="","",IF(INDIRECT(CONCATENATE($FK$12,Fixtures!IN$25))=Fixtures!$DN47,CONCATENATE(IN$10,", "),""))</f>
        <v/>
      </c>
      <c r="IO47" s="632" t="str">
        <f ca="1">IF(INDIRECT(CONCATENATE($FK$12,Fixtures!IO$25))="","",IF(INDIRECT(CONCATENATE($FK$12,Fixtures!IO$25))=Fixtures!$DN47,CONCATENATE(IO$10,", "),""))</f>
        <v/>
      </c>
      <c r="IP47" s="632" t="str">
        <f ca="1">IF(INDIRECT(CONCATENATE($FK$12,Fixtures!IP$25))="","",IF(INDIRECT(CONCATENATE($FK$12,Fixtures!IP$25))=Fixtures!$DN47,CONCATENATE(IP$10,", "),""))</f>
        <v/>
      </c>
      <c r="IQ47" s="606" t="str">
        <f ca="1">IF(INDIRECT(CONCATENATE($FK$12,Fixtures!IQ$25))="","",IF(INDIRECT(CONCATENATE($FK$12,Fixtures!IQ$25))=Fixtures!$DN47,CONCATENATE(IQ$10,", "),""))</f>
        <v/>
      </c>
      <c r="IR47" s="607" t="str">
        <f ca="1">IF(INDIRECT(CONCATENATE($FK$12,Fixtures!IR$25))="","",IF(INDIRECT(CONCATENATE($FK$12,Fixtures!IR$25))=Fixtures!$DN47,CONCATENATE(IR$10,", "),""))</f>
        <v/>
      </c>
      <c r="IS47" s="632" t="str">
        <f ca="1">IF(INDIRECT(CONCATENATE($FK$12,Fixtures!IS$25))="","",IF(INDIRECT(CONCATENATE($FK$12,Fixtures!IS$25))=Fixtures!$DN47,CONCATENATE(IS$10,", "),""))</f>
        <v/>
      </c>
      <c r="IT47" s="632" t="str">
        <f ca="1">IF(INDIRECT(CONCATENATE($FK$12,Fixtures!IT$25))="","",IF(INDIRECT(CONCATENATE($FK$12,Fixtures!IT$25))=Fixtures!$DN47,CONCATENATE(IT$10,", "),""))</f>
        <v/>
      </c>
      <c r="IU47" s="632" t="str">
        <f ca="1">IF(INDIRECT(CONCATENATE($FK$12,Fixtures!IU$25))="","",IF(INDIRECT(CONCATENATE($FK$12,Fixtures!IU$25))=Fixtures!$DN47,CONCATENATE(IU$10,", "),""))</f>
        <v/>
      </c>
      <c r="IV47" s="632" t="str">
        <f ca="1">IF(INDIRECT(CONCATENATE($FK$12,Fixtures!IV$25))="","",IF(INDIRECT(CONCATENATE($FK$12,Fixtures!IV$25))=Fixtures!$DN47,CONCATENATE(IV$10,", "),""))</f>
        <v/>
      </c>
      <c r="IW47" s="632" t="str">
        <f ca="1">IF(INDIRECT(CONCATENATE($FK$12,Fixtures!IW$25))="","",IF(INDIRECT(CONCATENATE($FK$12,Fixtures!IW$25))=Fixtures!$DN47,CONCATENATE(IW$10,", "),""))</f>
        <v/>
      </c>
      <c r="IX47" s="632" t="str">
        <f ca="1">IF(INDIRECT(CONCATENATE($FK$12,Fixtures!IX$25))="","",IF(INDIRECT(CONCATENATE($FK$12,Fixtures!IX$25))=Fixtures!$DN47,CONCATENATE(IX$10,", "),""))</f>
        <v/>
      </c>
      <c r="IY47" s="632" t="str">
        <f ca="1">IF(INDIRECT(CONCATENATE($FK$12,Fixtures!IY$25))="","",IF(INDIRECT(CONCATENATE($FK$12,Fixtures!IY$25))=Fixtures!$DN47,CONCATENATE(IY$10,", "),""))</f>
        <v/>
      </c>
      <c r="IZ47" s="632" t="str">
        <f ca="1">IF(INDIRECT(CONCATENATE($FK$12,Fixtures!IZ$25))="","",IF(INDIRECT(CONCATENATE($FK$12,Fixtures!IZ$25))=Fixtures!$DN47,CONCATENATE(IZ$10,", "),""))</f>
        <v/>
      </c>
      <c r="JA47" s="632" t="str">
        <f ca="1">IF(INDIRECT(CONCATENATE($FK$12,Fixtures!JA$25))="","",IF(INDIRECT(CONCATENATE($FK$12,Fixtures!JA$25))=Fixtures!$DN47,CONCATENATE(JA$10,", "),""))</f>
        <v/>
      </c>
      <c r="JB47" s="632" t="str">
        <f ca="1">IF(INDIRECT(CONCATENATE($FK$12,Fixtures!JB$25))="","",IF(INDIRECT(CONCATENATE($FK$12,Fixtures!JB$25))=Fixtures!$DN47,CONCATENATE(JB$10,", "),""))</f>
        <v/>
      </c>
      <c r="JC47" s="632" t="str">
        <f ca="1">IF(INDIRECT(CONCATENATE($FK$12,Fixtures!JC$25))="","",IF(INDIRECT(CONCATENATE($FK$12,Fixtures!JC$25))=Fixtures!$DN47,CONCATENATE(JC$10,", "),""))</f>
        <v/>
      </c>
      <c r="JD47" s="632" t="str">
        <f ca="1">IF(INDIRECT(CONCATENATE($FK$12,Fixtures!JD$25))="","",IF(INDIRECT(CONCATENATE($FK$12,Fixtures!JD$25))=Fixtures!$DN47,CONCATENATE(JD$10,", "),""))</f>
        <v/>
      </c>
      <c r="JE47" s="632" t="str">
        <f ca="1">IF(INDIRECT(CONCATENATE($FK$12,Fixtures!JE$25))="","",IF(INDIRECT(CONCATENATE($FK$12,Fixtures!JE$25))=Fixtures!$DN47,CONCATENATE(JE$10,", "),""))</f>
        <v/>
      </c>
      <c r="JF47" s="606" t="str">
        <f ca="1">IF(INDIRECT(CONCATENATE($FK$12,Fixtures!JF$25))="","",IF(INDIRECT(CONCATENATE($FK$12,Fixtures!JF$25))=Fixtures!$DN47,CONCATENATE(JF$10,", "),""))</f>
        <v/>
      </c>
      <c r="JG47" s="607" t="str">
        <f ca="1">IF(INDIRECT(CONCATENATE($FK$12,Fixtures!JG$25))="","",IF(INDIRECT(CONCATENATE($FK$12,Fixtures!JG$25))=Fixtures!$DN47,CONCATENATE(JG$10,", "),""))</f>
        <v/>
      </c>
      <c r="JH47" s="632" t="str">
        <f ca="1">IF(INDIRECT(CONCATENATE($FK$12,Fixtures!JH$25))="","",IF(INDIRECT(CONCATENATE($FK$12,Fixtures!JH$25))=Fixtures!$DN47,CONCATENATE(JH$10,", "),""))</f>
        <v/>
      </c>
      <c r="JI47" s="632" t="str">
        <f ca="1">IF(INDIRECT(CONCATENATE($FK$12,Fixtures!JI$25))="","",IF(INDIRECT(CONCATENATE($FK$12,Fixtures!JI$25))=Fixtures!$DN47,CONCATENATE(JI$10,", "),""))</f>
        <v/>
      </c>
      <c r="JJ47" s="632" t="str">
        <f ca="1">IF(INDIRECT(CONCATENATE($FK$12,Fixtures!JJ$25))="","",IF(INDIRECT(CONCATENATE($FK$12,Fixtures!JJ$25))=Fixtures!$DN47,CONCATENATE(JJ$10,", "),""))</f>
        <v/>
      </c>
      <c r="JK47" s="632" t="str">
        <f ca="1">IF(INDIRECT(CONCATENATE($FK$12,Fixtures!JK$25))="","",IF(INDIRECT(CONCATENATE($FK$12,Fixtures!JK$25))=Fixtures!$DN47,CONCATENATE(JK$10,", "),""))</f>
        <v/>
      </c>
      <c r="JL47" s="632" t="str">
        <f ca="1">IF(INDIRECT(CONCATENATE($FK$12,Fixtures!JL$25))="","",IF(INDIRECT(CONCATENATE($FK$12,Fixtures!JL$25))=Fixtures!$DN47,CONCATENATE(JL$10,", "),""))</f>
        <v/>
      </c>
      <c r="JM47" s="632" t="str">
        <f ca="1">IF(INDIRECT(CONCATENATE($FK$12,Fixtures!JM$25))="","",IF(INDIRECT(CONCATENATE($FK$12,Fixtures!JM$25))=Fixtures!$DN47,CONCATENATE(JM$10,", "),""))</f>
        <v/>
      </c>
      <c r="JN47" s="632" t="str">
        <f ca="1">IF(INDIRECT(CONCATENATE($FK$12,Fixtures!JN$25))="","",IF(INDIRECT(CONCATENATE($FK$12,Fixtures!JN$25))=Fixtures!$DN47,CONCATENATE(JN$10,", "),""))</f>
        <v/>
      </c>
      <c r="JO47" s="632" t="str">
        <f ca="1">IF(INDIRECT(CONCATENATE($FK$12,Fixtures!JO$25))="","",IF(INDIRECT(CONCATENATE($FK$12,Fixtures!JO$25))=Fixtures!$DN47,CONCATENATE(JO$10,", "),""))</f>
        <v/>
      </c>
      <c r="JP47" s="632" t="str">
        <f ca="1">IF(INDIRECT(CONCATENATE($FK$12,Fixtures!JP$25))="","",IF(INDIRECT(CONCATENATE($FK$12,Fixtures!JP$25))=Fixtures!$DN47,CONCATENATE(JP$10,", "),""))</f>
        <v/>
      </c>
      <c r="JQ47" s="632" t="str">
        <f ca="1">IF(INDIRECT(CONCATENATE($FK$12,Fixtures!JQ$25))="","",IF(INDIRECT(CONCATENATE($FK$12,Fixtures!JQ$25))=Fixtures!$DN47,CONCATENATE(JQ$10,", "),""))</f>
        <v/>
      </c>
      <c r="JR47" s="632" t="str">
        <f ca="1">IF(INDIRECT(CONCATENATE($FK$12,Fixtures!JR$25))="","",IF(INDIRECT(CONCATENATE($FK$12,Fixtures!JR$25))=Fixtures!$DN47,CONCATENATE(JR$10,", "),""))</f>
        <v/>
      </c>
      <c r="JS47" s="632" t="str">
        <f ca="1">IF(INDIRECT(CONCATENATE($FK$12,Fixtures!JS$25))="","",IF(INDIRECT(CONCATENATE($FK$12,Fixtures!JS$25))=Fixtures!$DN47,CONCATENATE(JS$10,", "),""))</f>
        <v/>
      </c>
      <c r="JT47" s="632" t="str">
        <f ca="1">IF(INDIRECT(CONCATENATE($FK$12,Fixtures!JT$25))="","",IF(INDIRECT(CONCATENATE($FK$12,Fixtures!JT$25))=Fixtures!$DN47,CONCATENATE(JT$10,", "),""))</f>
        <v/>
      </c>
      <c r="JU47" s="606" t="str">
        <f ca="1">IF(INDIRECT(CONCATENATE($FK$12,Fixtures!JU$25))="","",IF(INDIRECT(CONCATENATE($FK$12,Fixtures!JU$25))=Fixtures!$DN47,CONCATENATE(JU$10,", "),""))</f>
        <v/>
      </c>
      <c r="JV47" s="607" t="str">
        <f ca="1">IF(INDIRECT(CONCATENATE($FK$12,Fixtures!JV$25))="","",IF(INDIRECT(CONCATENATE($FK$12,Fixtures!JV$25))=Fixtures!$DN47,CONCATENATE(JV$10,", "),""))</f>
        <v/>
      </c>
      <c r="JW47" s="632" t="str">
        <f ca="1">IF(INDIRECT(CONCATENATE($FK$12,Fixtures!JW$25))="","",IF(INDIRECT(CONCATENATE($FK$12,Fixtures!JW$25))=Fixtures!$DN47,CONCATENATE(JW$10,", "),""))</f>
        <v/>
      </c>
      <c r="JX47" s="632" t="str">
        <f ca="1">IF(INDIRECT(CONCATENATE($FK$12,Fixtures!JX$25))="","",IF(INDIRECT(CONCATENATE($FK$12,Fixtures!JX$25))=Fixtures!$DN47,CONCATENATE(JX$10,", "),""))</f>
        <v/>
      </c>
      <c r="JY47" s="632" t="str">
        <f ca="1">IF(INDIRECT(CONCATENATE($FK$12,Fixtures!JY$25))="","",IF(INDIRECT(CONCATENATE($FK$12,Fixtures!JY$25))=Fixtures!$DN47,CONCATENATE(JY$10,", "),""))</f>
        <v/>
      </c>
      <c r="JZ47" s="632" t="str">
        <f ca="1">IF(INDIRECT(CONCATENATE($FK$12,Fixtures!JZ$25))="","",IF(INDIRECT(CONCATENATE($FK$12,Fixtures!JZ$25))=Fixtures!$DN47,CONCATENATE(JZ$10,", "),""))</f>
        <v/>
      </c>
      <c r="KA47" s="632" t="str">
        <f ca="1">IF(INDIRECT(CONCATENATE($FK$12,Fixtures!KA$25))="","",IF(INDIRECT(CONCATENATE($FK$12,Fixtures!KA$25))=Fixtures!$DN47,CONCATENATE(KA$10,", "),""))</f>
        <v/>
      </c>
      <c r="KB47" s="632" t="str">
        <f ca="1">IF(INDIRECT(CONCATENATE($FK$12,Fixtures!KB$25))="","",IF(INDIRECT(CONCATENATE($FK$12,Fixtures!KB$25))=Fixtures!$DN47,CONCATENATE(KB$10,", "),""))</f>
        <v/>
      </c>
      <c r="KC47" s="632" t="str">
        <f ca="1">IF(INDIRECT(CONCATENATE($FK$12,Fixtures!KC$25))="","",IF(INDIRECT(CONCATENATE($FK$12,Fixtures!KC$25))=Fixtures!$DN47,CONCATENATE(KC$10,", "),""))</f>
        <v/>
      </c>
      <c r="KD47" s="632" t="str">
        <f ca="1">IF(INDIRECT(CONCATENATE($FK$12,Fixtures!KD$25))="","",IF(INDIRECT(CONCATENATE($FK$12,Fixtures!KD$25))=Fixtures!$DN47,CONCATENATE(KD$10,", "),""))</f>
        <v/>
      </c>
      <c r="KE47" s="632" t="str">
        <f ca="1">IF(INDIRECT(CONCATENATE($FK$12,Fixtures!KE$25))="","",IF(INDIRECT(CONCATENATE($FK$12,Fixtures!KE$25))=Fixtures!$DN47,CONCATENATE(KE$10,", "),""))</f>
        <v/>
      </c>
      <c r="KF47" s="632" t="str">
        <f ca="1">IF(INDIRECT(CONCATENATE($FK$12,Fixtures!KF$25))="","",IF(INDIRECT(CONCATENATE($FK$12,Fixtures!KF$25))=Fixtures!$DN47,CONCATENATE(KF$10,", "),""))</f>
        <v/>
      </c>
      <c r="KG47" s="632" t="str">
        <f ca="1">IF(INDIRECT(CONCATENATE($FK$12,Fixtures!KG$25))="","",IF(INDIRECT(CONCATENATE($FK$12,Fixtures!KG$25))=Fixtures!$DN47,CONCATENATE(KG$10,", "),""))</f>
        <v/>
      </c>
      <c r="KH47" s="632" t="str">
        <f ca="1">IF(INDIRECT(CONCATENATE($FK$12,Fixtures!KH$25))="","",IF(INDIRECT(CONCATENATE($FK$12,Fixtures!KH$25))=Fixtures!$DN47,CONCATENATE(KH$10,", "),""))</f>
        <v/>
      </c>
      <c r="KI47" s="632" t="str">
        <f ca="1">IF(INDIRECT(CONCATENATE($FK$12,Fixtures!KI$25))="","",IF(INDIRECT(CONCATENATE($FK$12,Fixtures!KI$25))=Fixtures!$DN47,CONCATENATE(KI$10,", "),""))</f>
        <v/>
      </c>
      <c r="KJ47" s="606" t="str">
        <f ca="1">IF(INDIRECT(CONCATENATE($FK$12,Fixtures!KJ$25))="","",IF(INDIRECT(CONCATENATE($FK$12,Fixtures!KJ$25))=Fixtures!$DN47,CONCATENATE(KJ$10,", "),""))</f>
        <v/>
      </c>
      <c r="KK47" s="607" t="str">
        <f ca="1">IF(INDIRECT(CONCATENATE($FK$12,Fixtures!KK$25))="","",IF(INDIRECT(CONCATENATE($FK$12,Fixtures!KK$25))=Fixtures!$DN47,CONCATENATE(KK$10,", "),""))</f>
        <v/>
      </c>
      <c r="KL47" s="632" t="str">
        <f ca="1">IF(INDIRECT(CONCATENATE($FK$12,Fixtures!KL$25))="","",IF(INDIRECT(CONCATENATE($FK$12,Fixtures!KL$25))=Fixtures!$DN47,CONCATENATE(KL$10,", "),""))</f>
        <v/>
      </c>
      <c r="KM47" s="632" t="str">
        <f ca="1">IF(INDIRECT(CONCATENATE($FK$12,Fixtures!KM$25))="","",IF(INDIRECT(CONCATENATE($FK$12,Fixtures!KM$25))=Fixtures!$DN47,CONCATENATE(KM$10,", "),""))</f>
        <v/>
      </c>
      <c r="KN47" s="632" t="str">
        <f ca="1">IF(INDIRECT(CONCATENATE($FK$12,Fixtures!KN$25))="","",IF(INDIRECT(CONCATENATE($FK$12,Fixtures!KN$25))=Fixtures!$DN47,CONCATENATE(KN$10,", "),""))</f>
        <v/>
      </c>
      <c r="KO47" s="632" t="str">
        <f ca="1">IF(INDIRECT(CONCATENATE($FK$12,Fixtures!KO$25))="","",IF(INDIRECT(CONCATENATE($FK$12,Fixtures!KO$25))=Fixtures!$DN47,CONCATENATE(KO$10,", "),""))</f>
        <v/>
      </c>
      <c r="KP47" s="632" t="str">
        <f ca="1">IF(INDIRECT(CONCATENATE($FK$12,Fixtures!KP$25))="","",IF(INDIRECT(CONCATENATE($FK$12,Fixtures!KP$25))=Fixtures!$DN47,CONCATENATE(KP$10,", "),""))</f>
        <v/>
      </c>
      <c r="KQ47" s="632" t="str">
        <f ca="1">IF(INDIRECT(CONCATENATE($FK$12,Fixtures!KQ$25))="","",IF(INDIRECT(CONCATENATE($FK$12,Fixtures!KQ$25))=Fixtures!$DN47,CONCATENATE(KQ$10,", "),""))</f>
        <v/>
      </c>
      <c r="KR47" s="632" t="str">
        <f ca="1">IF(INDIRECT(CONCATENATE($FK$12,Fixtures!KR$25))="","",IF(INDIRECT(CONCATENATE($FK$12,Fixtures!KR$25))=Fixtures!$DN47,CONCATENATE(KR$10,", "),""))</f>
        <v/>
      </c>
      <c r="KS47" s="632" t="str">
        <f ca="1">IF(INDIRECT(CONCATENATE($FK$12,Fixtures!KS$25))="","",IF(INDIRECT(CONCATENATE($FK$12,Fixtures!KS$25))=Fixtures!$DN47,CONCATENATE(KS$10,", "),""))</f>
        <v/>
      </c>
      <c r="KT47" s="632" t="str">
        <f ca="1">IF(INDIRECT(CONCATENATE($FK$12,Fixtures!KT$25))="","",IF(INDIRECT(CONCATENATE($FK$12,Fixtures!KT$25))=Fixtures!$DN47,CONCATENATE(KT$10,", "),""))</f>
        <v/>
      </c>
      <c r="KU47" s="632" t="str">
        <f ca="1">IF(INDIRECT(CONCATENATE($FK$12,Fixtures!KU$25))="","",IF(INDIRECT(CONCATENATE($FK$12,Fixtures!KU$25))=Fixtures!$DN47,CONCATENATE(KU$10,", "),""))</f>
        <v/>
      </c>
      <c r="KV47" s="632" t="str">
        <f ca="1">IF(INDIRECT(CONCATENATE($FK$12,Fixtures!KV$25))="","",IF(INDIRECT(CONCATENATE($FK$12,Fixtures!KV$25))=Fixtures!$DN47,CONCATENATE(KV$10,", "),""))</f>
        <v/>
      </c>
      <c r="KW47" s="632" t="str">
        <f ca="1">IF(INDIRECT(CONCATENATE($FK$12,Fixtures!KW$25))="","",IF(INDIRECT(CONCATENATE($FK$12,Fixtures!KW$25))=Fixtures!$DN47,CONCATENATE(KW$10,", "),""))</f>
        <v/>
      </c>
      <c r="KX47" s="632" t="str">
        <f ca="1">IF(INDIRECT(CONCATENATE($FK$12,Fixtures!KX$25))="","",IF(INDIRECT(CONCATENATE($FK$12,Fixtures!KX$25))=Fixtures!$DN47,CONCATENATE(KX$10,", "),""))</f>
        <v/>
      </c>
      <c r="KY47" s="632"/>
      <c r="KZ47" s="46"/>
      <c r="LA47" s="46" t="str">
        <f t="shared" ca="1" si="7"/>
        <v/>
      </c>
      <c r="LB47" s="46"/>
      <c r="LC47" s="1010"/>
      <c r="LD47" s="1009" t="str">
        <f t="shared" si="20"/>
        <v/>
      </c>
    </row>
    <row r="48" spans="1:316" ht="28.2" customHeight="1" thickTop="1" thickBot="1">
      <c r="A48" s="426" t="str">
        <f t="shared" si="13"/>
        <v/>
      </c>
      <c r="C48" s="1640" t="str">
        <f t="shared" si="14"/>
        <v/>
      </c>
      <c r="D48" s="1641"/>
      <c r="E48" s="1568" t="str">
        <f t="shared" si="15"/>
        <v/>
      </c>
      <c r="F48" s="1569"/>
      <c r="G48" s="1569"/>
      <c r="H48" s="1569"/>
      <c r="I48" s="1569"/>
      <c r="J48" s="1569"/>
      <c r="K48" s="1569"/>
      <c r="L48" s="1569"/>
      <c r="M48" s="1642"/>
      <c r="N48" s="203" t="str">
        <f t="shared" si="16"/>
        <v/>
      </c>
      <c r="O48" s="12"/>
      <c r="P48" s="1638" t="str">
        <f t="shared" si="25"/>
        <v/>
      </c>
      <c r="Q48" s="1639"/>
      <c r="R48" s="1568" t="str">
        <f t="shared" si="30"/>
        <v/>
      </c>
      <c r="S48" s="1569"/>
      <c r="T48" s="1569"/>
      <c r="U48" s="1569"/>
      <c r="V48" s="1569"/>
      <c r="W48" s="1569"/>
      <c r="X48" s="1569"/>
      <c r="Y48" s="203" t="str">
        <f t="shared" si="26"/>
        <v/>
      </c>
      <c r="Z48" s="203" t="str">
        <f t="shared" si="27"/>
        <v/>
      </c>
      <c r="AA48" s="394" t="str">
        <f t="shared" si="28"/>
        <v/>
      </c>
      <c r="AB48" s="489"/>
      <c r="AC48" s="1564" t="str">
        <f t="shared" si="18"/>
        <v/>
      </c>
      <c r="AD48" s="1565"/>
      <c r="AE48" s="1565"/>
      <c r="AF48" s="1565"/>
      <c r="AG48" s="1565"/>
      <c r="AH48" s="1565"/>
      <c r="AK48">
        <f>SUMIFS(Installations!CV$46:CV$803,Installations!CW$46:CW$803,E48,Installations!IC$46:IC$803,TRUE)</f>
        <v>0</v>
      </c>
      <c r="AL48">
        <f>SUMIFS(Installations!CV$46:CV$803,Installations!CW$46:CW$803,R48,Installations!IC$46:IC$803,TRUE)</f>
        <v>0</v>
      </c>
      <c r="BL48" s="9"/>
      <c r="BM48" s="622" t="str">
        <f t="shared" si="19"/>
        <v/>
      </c>
      <c r="BN48" s="52"/>
      <c r="BO48" s="52"/>
      <c r="BP48" s="52"/>
      <c r="BQ48" s="52"/>
      <c r="BR48" s="52"/>
      <c r="BS48" s="52"/>
      <c r="BT48" s="52"/>
      <c r="BU48" s="373"/>
      <c r="BV48" s="219" t="str">
        <f>IF(CN48&lt;&gt;"Yes","",IFERROR(VLOOKUP(CU48,Existing!A$4:F$367,2,FALSE),""))</f>
        <v/>
      </c>
      <c r="BW48" s="9">
        <v>22</v>
      </c>
      <c r="BX48" s="1625"/>
      <c r="BY48" s="1626"/>
      <c r="BZ48" s="1626"/>
      <c r="CA48" s="1627"/>
      <c r="CB48" s="1622"/>
      <c r="CC48" s="1623"/>
      <c r="CD48" s="1623"/>
      <c r="CE48" s="1624"/>
      <c r="CF48" s="1621"/>
      <c r="CG48" s="1621"/>
      <c r="CH48" s="1621"/>
      <c r="CI48" s="1621"/>
      <c r="CJ48" s="1621"/>
      <c r="CK48" s="1621"/>
      <c r="CL48" s="1621"/>
      <c r="CM48" s="1621"/>
      <c r="CN48" s="1553" t="str">
        <f t="shared" si="0"/>
        <v/>
      </c>
      <c r="CO48" s="1554"/>
      <c r="CP48" s="229" t="str">
        <f>IFERROR(IF(CB48="Existing TLED",CR48*CW48*CY48,VLOOKUP(CU48,Existing!A$3:F$356,6,FALSE)),"")</f>
        <v/>
      </c>
      <c r="CQ48" s="9"/>
      <c r="CR48" s="1660"/>
      <c r="CS48" s="1661"/>
      <c r="CT48" s="9"/>
      <c r="CU48" s="425" t="str">
        <f t="shared" si="21"/>
        <v/>
      </c>
      <c r="CV48" s="426" t="b">
        <f t="shared" si="22"/>
        <v>0</v>
      </c>
      <c r="CW48" s="426" t="str">
        <f t="shared" si="23"/>
        <v/>
      </c>
      <c r="CX48" s="426">
        <f>IFERROR(VLOOKUP(CF48,Lookup!T$100:V$102,3,FALSE),0)</f>
        <v>0</v>
      </c>
      <c r="CY48" s="426">
        <f t="shared" si="8"/>
        <v>1.1100000000000001</v>
      </c>
      <c r="CZ48" s="626" t="b">
        <f t="shared" si="1"/>
        <v>0</v>
      </c>
      <c r="DA48" s="626" t="b">
        <f>IF(CF48&lt;&gt;"",IF(ISERROR(MATCH(CONCATENATE(CB48," - ",CF48),Existing!G$4:G$331,0))=TRUE,FALSE,TRUE),TRUE)</f>
        <v>1</v>
      </c>
      <c r="DB48" s="626" t="b">
        <f t="shared" si="2"/>
        <v>1</v>
      </c>
      <c r="DL48" s="9"/>
      <c r="DM48" s="627" t="s">
        <v>215</v>
      </c>
      <c r="DN48" s="375" t="str">
        <f t="shared" si="3"/>
        <v/>
      </c>
      <c r="DO48" s="52"/>
      <c r="DP48" s="52"/>
      <c r="DQ48" s="52"/>
      <c r="DR48" s="52"/>
      <c r="DS48" s="52"/>
      <c r="DT48" s="226"/>
      <c r="DU48" s="376"/>
      <c r="DV48" s="227" t="str">
        <f t="shared" si="4"/>
        <v/>
      </c>
      <c r="DW48" s="224">
        <v>22</v>
      </c>
      <c r="DX48" s="1572"/>
      <c r="DY48" s="1573"/>
      <c r="DZ48" s="1573"/>
      <c r="EA48" s="1574"/>
      <c r="EB48" s="1618"/>
      <c r="EC48" s="1619"/>
      <c r="ED48" s="1619"/>
      <c r="EE48" s="1620"/>
      <c r="EF48" s="1578"/>
      <c r="EG48" s="1579"/>
      <c r="EH48" s="1618"/>
      <c r="EI48" s="1619"/>
      <c r="EJ48" s="1619"/>
      <c r="EK48" s="1620"/>
      <c r="EL48" s="1575"/>
      <c r="EM48" s="1576"/>
      <c r="EN48" s="1576"/>
      <c r="EO48" s="1577"/>
      <c r="EP48" s="1578"/>
      <c r="EQ48" s="1579"/>
      <c r="ER48" s="1555"/>
      <c r="ES48" s="1556"/>
      <c r="ET48" s="1553" t="str">
        <f t="shared" si="9"/>
        <v/>
      </c>
      <c r="EU48" s="1554"/>
      <c r="EV48" s="1553" t="str">
        <f t="shared" si="29"/>
        <v/>
      </c>
      <c r="EW48" s="1554"/>
      <c r="EX48" s="393"/>
      <c r="EY48" s="225" t="str">
        <f t="shared" si="6"/>
        <v/>
      </c>
      <c r="EZ48" s="225" t="str">
        <f>IFERROR(VLOOKUP(EB48,Lookup!AT$3:AU$13,2,FALSE),"")</f>
        <v/>
      </c>
      <c r="FA48" s="426" t="b">
        <f>IFERROR(IF(VLOOKUP(EB48,Lookup!AT$6:AU$8,2,FALSE)&gt;3,TRUE,FALSE),FALSE)</f>
        <v>0</v>
      </c>
      <c r="FB48" s="426" t="str">
        <f t="shared" si="10"/>
        <v/>
      </c>
      <c r="FC48" t="str">
        <f t="shared" ca="1" si="11"/>
        <v/>
      </c>
      <c r="FG48" t="str">
        <f t="shared" ca="1" si="12"/>
        <v/>
      </c>
      <c r="FI48" s="204" t="str">
        <f t="shared" ca="1" si="24"/>
        <v/>
      </c>
      <c r="FJ48" s="204"/>
      <c r="FK48" s="631" t="str">
        <f ca="1">IF(INDIRECT(CONCATENATE($FK$12,Fixtures!FK$25))="","",IF(INDIRECT(CONCATENATE($FK$12,Fixtures!FK$25))=Fixtures!$DN48,CONCATENATE(FK$10,", "),""))</f>
        <v/>
      </c>
      <c r="FL48" s="631" t="str">
        <f ca="1">IF(INDIRECT(CONCATENATE($FK$12,Fixtures!FL$25))="","",IF(INDIRECT(CONCATENATE($FK$12,Fixtures!FL$25))=Fixtures!$DN48,CONCATENATE(FL$10,", "),""))</f>
        <v/>
      </c>
      <c r="FM48" s="631" t="str">
        <f ca="1">IF(INDIRECT(CONCATENATE($FK$12,Fixtures!FM$25))="","",IF(INDIRECT(CONCATENATE($FK$12,Fixtures!FM$25))=Fixtures!$DN48,CONCATENATE(FM$10,", "),""))</f>
        <v/>
      </c>
      <c r="FN48" s="631" t="str">
        <f ca="1">IF(INDIRECT(CONCATENATE($FK$12,Fixtures!FN$25))="","",IF(INDIRECT(CONCATENATE($FK$12,Fixtures!FN$25))=Fixtures!$DN48,CONCATENATE(FN$10,", "),""))</f>
        <v/>
      </c>
      <c r="FO48" s="631" t="str">
        <f ca="1">IF(INDIRECT(CONCATENATE($FK$12,Fixtures!FO$25))="","",IF(INDIRECT(CONCATENATE($FK$12,Fixtures!FO$25))=Fixtures!$DN48,CONCATENATE(FO$10,", "),""))</f>
        <v/>
      </c>
      <c r="FP48" s="631" t="str">
        <f ca="1">IF(INDIRECT(CONCATENATE($FK$12,Fixtures!FP$25))="","",IF(INDIRECT(CONCATENATE($FK$12,Fixtures!FP$25))=Fixtures!$DN48,CONCATENATE(FP$10,", "),""))</f>
        <v/>
      </c>
      <c r="FQ48" s="631" t="str">
        <f ca="1">IF(INDIRECT(CONCATENATE($FK$12,Fixtures!FQ$25))="","",IF(INDIRECT(CONCATENATE($FK$12,Fixtures!FQ$25))=Fixtures!$DN48,CONCATENATE(FQ$10,", "),""))</f>
        <v/>
      </c>
      <c r="FR48" s="631" t="str">
        <f ca="1">IF(INDIRECT(CONCATENATE($FK$12,Fixtures!FR$25))="","",IF(INDIRECT(CONCATENATE($FK$12,Fixtures!FR$25))=Fixtures!$DN48,CONCATENATE(FR$10,", "),""))</f>
        <v/>
      </c>
      <c r="FS48" s="631" t="str">
        <f ca="1">IF(INDIRECT(CONCATENATE($FK$12,Fixtures!FS$25))="","",IF(INDIRECT(CONCATENATE($FK$12,Fixtures!FS$25))=Fixtures!$DN48,CONCATENATE(FS$10,", "),""))</f>
        <v/>
      </c>
      <c r="FT48" s="604" t="str">
        <f ca="1">IF(INDIRECT(CONCATENATE($FK$12,Fixtures!FT$25))="","",IF(INDIRECT(CONCATENATE($FK$12,Fixtures!FT$25))=Fixtures!$DN48,CONCATENATE(FT$10,", "),""))</f>
        <v/>
      </c>
      <c r="FU48" s="605" t="str">
        <f ca="1">IF(INDIRECT(CONCATENATE($FK$12,Fixtures!FU$25))="","",IF(INDIRECT(CONCATENATE($FK$12,Fixtures!FU$25))=Fixtures!$DN48,CONCATENATE(FU$10,", "),""))</f>
        <v/>
      </c>
      <c r="FV48" s="631" t="str">
        <f ca="1">IF(INDIRECT(CONCATENATE($FK$12,Fixtures!FV$25))="","",IF(INDIRECT(CONCATENATE($FK$12,Fixtures!FV$25))=Fixtures!$DN48,CONCATENATE(FV$10,", "),""))</f>
        <v/>
      </c>
      <c r="FW48" s="632" t="str">
        <f ca="1">IF(INDIRECT(CONCATENATE($FK$12,Fixtures!FW$25))="","",IF(INDIRECT(CONCATENATE($FK$12,Fixtures!FW$25))=Fixtures!$DN48,CONCATENATE(FW$10,", "),""))</f>
        <v/>
      </c>
      <c r="FX48" s="632" t="str">
        <f ca="1">IF(INDIRECT(CONCATENATE($FK$12,Fixtures!FX$25))="","",IF(INDIRECT(CONCATENATE($FK$12,Fixtures!FX$25))=Fixtures!$DN48,CONCATENATE(FX$10,", "),""))</f>
        <v/>
      </c>
      <c r="FY48" s="632" t="str">
        <f ca="1">IF(INDIRECT(CONCATENATE($FK$12,Fixtures!FY$25))="","",IF(INDIRECT(CONCATENATE($FK$12,Fixtures!FY$25))=Fixtures!$DN48,CONCATENATE(FY$10,", "),""))</f>
        <v/>
      </c>
      <c r="FZ48" s="632" t="str">
        <f ca="1">IF(INDIRECT(CONCATENATE($FK$12,Fixtures!FZ$25))="","",IF(INDIRECT(CONCATENATE($FK$12,Fixtures!FZ$25))=Fixtures!$DN48,CONCATENATE(FZ$10,", "),""))</f>
        <v/>
      </c>
      <c r="GA48" s="632" t="str">
        <f ca="1">IF(INDIRECT(CONCATENATE($FK$12,Fixtures!GA$25))="","",IF(INDIRECT(CONCATENATE($FK$12,Fixtures!GA$25))=Fixtures!$DN48,CONCATENATE(GA$10,", "),""))</f>
        <v/>
      </c>
      <c r="GB48" s="632" t="str">
        <f ca="1">IF(INDIRECT(CONCATENATE($FK$12,Fixtures!GB$25))="","",IF(INDIRECT(CONCATENATE($FK$12,Fixtures!GB$25))=Fixtures!$DN48,CONCATENATE(GB$10,", "),""))</f>
        <v/>
      </c>
      <c r="GC48" s="632" t="str">
        <f ca="1">IF(INDIRECT(CONCATENATE($FK$12,Fixtures!GC$25))="","",IF(INDIRECT(CONCATENATE($FK$12,Fixtures!GC$25))=Fixtures!$DN48,CONCATENATE(GC$10,", "),""))</f>
        <v/>
      </c>
      <c r="GD48" s="632" t="str">
        <f ca="1">IF(INDIRECT(CONCATENATE($FK$12,Fixtures!GD$25))="","",IF(INDIRECT(CONCATENATE($FK$12,Fixtures!GD$25))=Fixtures!$DN48,CONCATENATE(GD$10,", "),""))</f>
        <v/>
      </c>
      <c r="GE48" s="632" t="str">
        <f ca="1">IF(INDIRECT(CONCATENATE($FK$12,Fixtures!GE$25))="","",IF(INDIRECT(CONCATENATE($FK$12,Fixtures!GE$25))=Fixtures!$DN48,CONCATENATE(GE$10,", "),""))</f>
        <v/>
      </c>
      <c r="GF48" s="632" t="str">
        <f ca="1">IF(INDIRECT(CONCATENATE($FK$12,Fixtures!GF$25))="","",IF(INDIRECT(CONCATENATE($FK$12,Fixtures!GF$25))=Fixtures!$DN48,CONCATENATE(GF$10,", "),""))</f>
        <v/>
      </c>
      <c r="GG48" s="632" t="str">
        <f ca="1">IF(INDIRECT(CONCATENATE($FK$12,Fixtures!GG$25))="","",IF(INDIRECT(CONCATENATE($FK$12,Fixtures!GG$25))=Fixtures!$DN48,CONCATENATE(GG$10,", "),""))</f>
        <v/>
      </c>
      <c r="GH48" s="632" t="str">
        <f ca="1">IF(INDIRECT(CONCATENATE($FK$12,Fixtures!GH$25))="","",IF(INDIRECT(CONCATENATE($FK$12,Fixtures!GH$25))=Fixtures!$DN48,CONCATENATE(GH$10,", "),""))</f>
        <v/>
      </c>
      <c r="GI48" s="606" t="str">
        <f ca="1">IF(INDIRECT(CONCATENATE($FK$12,Fixtures!GI$25))="","",IF(INDIRECT(CONCATENATE($FK$12,Fixtures!GI$25))=Fixtures!$DN48,CONCATENATE(GI$10,", "),""))</f>
        <v/>
      </c>
      <c r="GJ48" s="607" t="str">
        <f ca="1">IF(INDIRECT(CONCATENATE($FK$12,Fixtures!GJ$25))="","",IF(INDIRECT(CONCATENATE($FK$12,Fixtures!GJ$25))=Fixtures!$DN48,CONCATENATE(GJ$10,", "),""))</f>
        <v/>
      </c>
      <c r="GK48" s="632" t="str">
        <f ca="1">IF(INDIRECT(CONCATENATE($FK$12,Fixtures!GK$25))="","",IF(INDIRECT(CONCATENATE($FK$12,Fixtures!GK$25))=Fixtures!$DN48,CONCATENATE(GK$10,", "),""))</f>
        <v/>
      </c>
      <c r="GL48" s="632" t="str">
        <f ca="1">IF(INDIRECT(CONCATENATE($FK$12,Fixtures!GL$25))="","",IF(INDIRECT(CONCATENATE($FK$12,Fixtures!GL$25))=Fixtures!$DN48,CONCATENATE(GL$10,", "),""))</f>
        <v/>
      </c>
      <c r="GM48" s="632" t="str">
        <f ca="1">IF(INDIRECT(CONCATENATE($FK$12,Fixtures!GM$25))="","",IF(INDIRECT(CONCATENATE($FK$12,Fixtures!GM$25))=Fixtures!$DN48,CONCATENATE(GM$10,", "),""))</f>
        <v/>
      </c>
      <c r="GN48" s="632" t="str">
        <f ca="1">IF(INDIRECT(CONCATENATE($FK$12,Fixtures!GN$25))="","",IF(INDIRECT(CONCATENATE($FK$12,Fixtures!GN$25))=Fixtures!$DN48,CONCATENATE(GN$10,", "),""))</f>
        <v/>
      </c>
      <c r="GO48" s="632" t="str">
        <f ca="1">IF(INDIRECT(CONCATENATE($FK$12,Fixtures!GO$25))="","",IF(INDIRECT(CONCATENATE($FK$12,Fixtures!GO$25))=Fixtures!$DN48,CONCATENATE(GO$10,", "),""))</f>
        <v/>
      </c>
      <c r="GP48" s="632" t="str">
        <f ca="1">IF(INDIRECT(CONCATENATE($FK$12,Fixtures!GP$25))="","",IF(INDIRECT(CONCATENATE($FK$12,Fixtures!GP$25))=Fixtures!$DN48,CONCATENATE(GP$10,", "),""))</f>
        <v/>
      </c>
      <c r="GQ48" s="632" t="str">
        <f ca="1">IF(INDIRECT(CONCATENATE($FK$12,Fixtures!GQ$25))="","",IF(INDIRECT(CONCATENATE($FK$12,Fixtures!GQ$25))=Fixtures!$DN48,CONCATENATE(GQ$10,", "),""))</f>
        <v/>
      </c>
      <c r="GR48" s="632" t="str">
        <f ca="1">IF(INDIRECT(CONCATENATE($FK$12,Fixtures!GR$25))="","",IF(INDIRECT(CONCATENATE($FK$12,Fixtures!GR$25))=Fixtures!$DN48,CONCATENATE(GR$10,", "),""))</f>
        <v/>
      </c>
      <c r="GS48" s="632" t="str">
        <f ca="1">IF(INDIRECT(CONCATENATE($FK$12,Fixtures!GS$25))="","",IF(INDIRECT(CONCATENATE($FK$12,Fixtures!GS$25))=Fixtures!$DN48,CONCATENATE(GS$10,", "),""))</f>
        <v/>
      </c>
      <c r="GT48" s="632" t="str">
        <f ca="1">IF(INDIRECT(CONCATENATE($FK$12,Fixtures!GT$25))="","",IF(INDIRECT(CONCATENATE($FK$12,Fixtures!GT$25))=Fixtures!$DN48,CONCATENATE(GT$10,", "),""))</f>
        <v/>
      </c>
      <c r="GU48" s="632" t="str">
        <f ca="1">IF(INDIRECT(CONCATENATE($FK$12,Fixtures!GU$25))="","",IF(INDIRECT(CONCATENATE($FK$12,Fixtures!GU$25))=Fixtures!$DN48,CONCATENATE(GU$10,", "),""))</f>
        <v/>
      </c>
      <c r="GV48" s="632" t="str">
        <f ca="1">IF(INDIRECT(CONCATENATE($FK$12,Fixtures!GV$25))="","",IF(INDIRECT(CONCATENATE($FK$12,Fixtures!GV$25))=Fixtures!$DN48,CONCATENATE(GV$10,", "),""))</f>
        <v/>
      </c>
      <c r="GW48" s="632" t="str">
        <f ca="1">IF(INDIRECT(CONCATENATE($FK$12,Fixtures!GW$25))="","",IF(INDIRECT(CONCATENATE($FK$12,Fixtures!GW$25))=Fixtures!$DN48,CONCATENATE(GW$10,", "),""))</f>
        <v/>
      </c>
      <c r="GX48" s="606" t="str">
        <f ca="1">IF(INDIRECT(CONCATENATE($FK$12,Fixtures!GX$25))="","",IF(INDIRECT(CONCATENATE($FK$12,Fixtures!GX$25))=Fixtures!$DN48,CONCATENATE(GX$10,", "),""))</f>
        <v/>
      </c>
      <c r="GY48" s="607" t="str">
        <f ca="1">IF(INDIRECT(CONCATENATE($FK$12,Fixtures!GY$25))="","",IF(INDIRECT(CONCATENATE($FK$12,Fixtures!GY$25))=Fixtures!$DN48,CONCATENATE(GY$10,", "),""))</f>
        <v/>
      </c>
      <c r="GZ48" s="632" t="str">
        <f ca="1">IF(INDIRECT(CONCATENATE($FK$12,Fixtures!GZ$25))="","",IF(INDIRECT(CONCATENATE($FK$12,Fixtures!GZ$25))=Fixtures!$DN48,CONCATENATE(GZ$10,", "),""))</f>
        <v/>
      </c>
      <c r="HA48" s="632" t="str">
        <f ca="1">IF(INDIRECT(CONCATENATE($FK$12,Fixtures!HA$25))="","",IF(INDIRECT(CONCATENATE($FK$12,Fixtures!HA$25))=Fixtures!$DN48,CONCATENATE(HA$10,", "),""))</f>
        <v/>
      </c>
      <c r="HB48" s="632" t="str">
        <f ca="1">IF(INDIRECT(CONCATENATE($FK$12,Fixtures!HB$25))="","",IF(INDIRECT(CONCATENATE($FK$12,Fixtures!HB$25))=Fixtures!$DN48,CONCATENATE(HB$10,", "),""))</f>
        <v/>
      </c>
      <c r="HC48" s="632" t="str">
        <f ca="1">IF(INDIRECT(CONCATENATE($FK$12,Fixtures!HC$25))="","",IF(INDIRECT(CONCATENATE($FK$12,Fixtures!HC$25))=Fixtures!$DN48,CONCATENATE(HC$10,", "),""))</f>
        <v/>
      </c>
      <c r="HD48" s="632" t="str">
        <f ca="1">IF(INDIRECT(CONCATENATE($FK$12,Fixtures!HD$25))="","",IF(INDIRECT(CONCATENATE($FK$12,Fixtures!HD$25))=Fixtures!$DN48,CONCATENATE(HD$10,", "),""))</f>
        <v/>
      </c>
      <c r="HE48" s="632" t="str">
        <f ca="1">IF(INDIRECT(CONCATENATE($FK$12,Fixtures!HE$25))="","",IF(INDIRECT(CONCATENATE($FK$12,Fixtures!HE$25))=Fixtures!$DN48,CONCATENATE(HE$10,", "),""))</f>
        <v/>
      </c>
      <c r="HF48" s="632" t="str">
        <f ca="1">IF(INDIRECT(CONCATENATE($FK$12,Fixtures!HF$25))="","",IF(INDIRECT(CONCATENATE($FK$12,Fixtures!HF$25))=Fixtures!$DN48,CONCATENATE(HF$10,", "),""))</f>
        <v/>
      </c>
      <c r="HG48" s="632" t="str">
        <f ca="1">IF(INDIRECT(CONCATENATE($FK$12,Fixtures!HG$25))="","",IF(INDIRECT(CONCATENATE($FK$12,Fixtures!HG$25))=Fixtures!$DN48,CONCATENATE(HG$10,", "),""))</f>
        <v/>
      </c>
      <c r="HH48" s="632" t="str">
        <f ca="1">IF(INDIRECT(CONCATENATE($FK$12,Fixtures!HH$25))="","",IF(INDIRECT(CONCATENATE($FK$12,Fixtures!HH$25))=Fixtures!$DN48,CONCATENATE(HH$10,", "),""))</f>
        <v/>
      </c>
      <c r="HI48" s="632" t="str">
        <f ca="1">IF(INDIRECT(CONCATENATE($FK$12,Fixtures!HI$25))="","",IF(INDIRECT(CONCATENATE($FK$12,Fixtures!HI$25))=Fixtures!$DN48,CONCATENATE(HI$10,", "),""))</f>
        <v/>
      </c>
      <c r="HJ48" s="632" t="str">
        <f ca="1">IF(INDIRECT(CONCATENATE($FK$12,Fixtures!HJ$25))="","",IF(INDIRECT(CONCATENATE($FK$12,Fixtures!HJ$25))=Fixtures!$DN48,CONCATENATE(HJ$10,", "),""))</f>
        <v/>
      </c>
      <c r="HK48" s="632" t="str">
        <f ca="1">IF(INDIRECT(CONCATENATE($FK$12,Fixtures!HK$25))="","",IF(INDIRECT(CONCATENATE($FK$12,Fixtures!HK$25))=Fixtures!$DN48,CONCATENATE(HK$10,", "),""))</f>
        <v/>
      </c>
      <c r="HL48" s="632" t="str">
        <f ca="1">IF(INDIRECT(CONCATENATE($FK$12,Fixtures!HL$25))="","",IF(INDIRECT(CONCATENATE($FK$12,Fixtures!HL$25))=Fixtures!$DN48,CONCATENATE(HL$10,", "),""))</f>
        <v/>
      </c>
      <c r="HM48" s="606" t="str">
        <f ca="1">IF(INDIRECT(CONCATENATE($FK$12,Fixtures!HM$25))="","",IF(INDIRECT(CONCATENATE($FK$12,Fixtures!HM$25))=Fixtures!$DN48,CONCATENATE(HM$10,", "),""))</f>
        <v/>
      </c>
      <c r="HN48" s="607" t="str">
        <f ca="1">IF(INDIRECT(CONCATENATE($FK$12,Fixtures!HN$25))="","",IF(INDIRECT(CONCATENATE($FK$12,Fixtures!HN$25))=Fixtures!$DN48,CONCATENATE(HN$10,", "),""))</f>
        <v/>
      </c>
      <c r="HO48" s="632" t="str">
        <f ca="1">IF(INDIRECT(CONCATENATE($FK$12,Fixtures!HO$25))="","",IF(INDIRECT(CONCATENATE($FK$12,Fixtures!HO$25))=Fixtures!$DN48,CONCATENATE(HO$10,", "),""))</f>
        <v/>
      </c>
      <c r="HP48" s="632" t="str">
        <f ca="1">IF(INDIRECT(CONCATENATE($FK$12,Fixtures!HP$25))="","",IF(INDIRECT(CONCATENATE($FK$12,Fixtures!HP$25))=Fixtures!$DN48,CONCATENATE(HP$10,", "),""))</f>
        <v/>
      </c>
      <c r="HQ48" s="632" t="str">
        <f ca="1">IF(INDIRECT(CONCATENATE($FK$12,Fixtures!HQ$25))="","",IF(INDIRECT(CONCATENATE($FK$12,Fixtures!HQ$25))=Fixtures!$DN48,CONCATENATE(HQ$10,", "),""))</f>
        <v/>
      </c>
      <c r="HR48" s="632" t="str">
        <f ca="1">IF(INDIRECT(CONCATENATE($FK$12,Fixtures!HR$25))="","",IF(INDIRECT(CONCATENATE($FK$12,Fixtures!HR$25))=Fixtures!$DN48,CONCATENATE(HR$10,", "),""))</f>
        <v/>
      </c>
      <c r="HS48" s="632" t="str">
        <f ca="1">IF(INDIRECT(CONCATENATE($FK$12,Fixtures!HS$25))="","",IF(INDIRECT(CONCATENATE($FK$12,Fixtures!HS$25))=Fixtures!$DN48,CONCATENATE(HS$10,", "),""))</f>
        <v/>
      </c>
      <c r="HT48" s="632" t="str">
        <f ca="1">IF(INDIRECT(CONCATENATE($FK$12,Fixtures!HT$25))="","",IF(INDIRECT(CONCATENATE($FK$12,Fixtures!HT$25))=Fixtures!$DN48,CONCATENATE(HT$10,", "),""))</f>
        <v/>
      </c>
      <c r="HU48" s="632" t="str">
        <f ca="1">IF(INDIRECT(CONCATENATE($FK$12,Fixtures!HU$25))="","",IF(INDIRECT(CONCATENATE($FK$12,Fixtures!HU$25))=Fixtures!$DN48,CONCATENATE(HU$10,", "),""))</f>
        <v/>
      </c>
      <c r="HV48" s="632" t="str">
        <f ca="1">IF(INDIRECT(CONCATENATE($FK$12,Fixtures!HV$25))="","",IF(INDIRECT(CONCATENATE($FK$12,Fixtures!HV$25))=Fixtures!$DN48,CONCATENATE(HV$10,", "),""))</f>
        <v/>
      </c>
      <c r="HW48" s="632" t="str">
        <f ca="1">IF(INDIRECT(CONCATENATE($FK$12,Fixtures!HW$25))="","",IF(INDIRECT(CONCATENATE($FK$12,Fixtures!HW$25))=Fixtures!$DN48,CONCATENATE(HW$10,", "),""))</f>
        <v/>
      </c>
      <c r="HX48" s="632" t="str">
        <f ca="1">IF(INDIRECT(CONCATENATE($FK$12,Fixtures!HX$25))="","",IF(INDIRECT(CONCATENATE($FK$12,Fixtures!HX$25))=Fixtures!$DN48,CONCATENATE(HX$10,", "),""))</f>
        <v/>
      </c>
      <c r="HY48" s="632" t="str">
        <f ca="1">IF(INDIRECT(CONCATENATE($FK$12,Fixtures!HY$25))="","",IF(INDIRECT(CONCATENATE($FK$12,Fixtures!HY$25))=Fixtures!$DN48,CONCATENATE(HY$10,", "),""))</f>
        <v/>
      </c>
      <c r="HZ48" s="632" t="str">
        <f ca="1">IF(INDIRECT(CONCATENATE($FK$12,Fixtures!HZ$25))="","",IF(INDIRECT(CONCATENATE($FK$12,Fixtures!HZ$25))=Fixtures!$DN48,CONCATENATE(HZ$10,", "),""))</f>
        <v/>
      </c>
      <c r="IA48" s="632" t="str">
        <f ca="1">IF(INDIRECT(CONCATENATE($FK$12,Fixtures!IA$25))="","",IF(INDIRECT(CONCATENATE($FK$12,Fixtures!IA$25))=Fixtures!$DN48,CONCATENATE(IA$10,", "),""))</f>
        <v/>
      </c>
      <c r="IB48" s="606" t="str">
        <f ca="1">IF(INDIRECT(CONCATENATE($FK$12,Fixtures!IB$25))="","",IF(INDIRECT(CONCATENATE($FK$12,Fixtures!IB$25))=Fixtures!$DN48,CONCATENATE(IB$10,", "),""))</f>
        <v/>
      </c>
      <c r="IC48" s="607" t="str">
        <f ca="1">IF(INDIRECT(CONCATENATE($FK$12,Fixtures!IC$25))="","",IF(INDIRECT(CONCATENATE($FK$12,Fixtures!IC$25))=Fixtures!$DN48,CONCATENATE(IC$10,", "),""))</f>
        <v/>
      </c>
      <c r="ID48" s="632" t="str">
        <f ca="1">IF(INDIRECT(CONCATENATE($FK$12,Fixtures!ID$25))="","",IF(INDIRECT(CONCATENATE($FK$12,Fixtures!ID$25))=Fixtures!$DN48,CONCATENATE(ID$10,", "),""))</f>
        <v/>
      </c>
      <c r="IE48" s="632" t="str">
        <f ca="1">IF(INDIRECT(CONCATENATE($FK$12,Fixtures!IE$25))="","",IF(INDIRECT(CONCATENATE($FK$12,Fixtures!IE$25))=Fixtures!$DN48,CONCATENATE(IE$10,", "),""))</f>
        <v/>
      </c>
      <c r="IF48" s="632" t="str">
        <f ca="1">IF(INDIRECT(CONCATENATE($FK$12,Fixtures!IF$25))="","",IF(INDIRECT(CONCATENATE($FK$12,Fixtures!IF$25))=Fixtures!$DN48,CONCATENATE(IF$10,", "),""))</f>
        <v/>
      </c>
      <c r="IG48" s="632" t="str">
        <f ca="1">IF(INDIRECT(CONCATENATE($FK$12,Fixtures!IG$25))="","",IF(INDIRECT(CONCATENATE($FK$12,Fixtures!IG$25))=Fixtures!$DN48,CONCATENATE(IG$10,", "),""))</f>
        <v/>
      </c>
      <c r="IH48" s="632" t="str">
        <f ca="1">IF(INDIRECT(CONCATENATE($FK$12,Fixtures!IH$25))="","",IF(INDIRECT(CONCATENATE($FK$12,Fixtures!IH$25))=Fixtures!$DN48,CONCATENATE(IH$10,", "),""))</f>
        <v/>
      </c>
      <c r="II48" s="632" t="str">
        <f ca="1">IF(INDIRECT(CONCATENATE($FK$12,Fixtures!II$25))="","",IF(INDIRECT(CONCATENATE($FK$12,Fixtures!II$25))=Fixtures!$DN48,CONCATENATE(II$10,", "),""))</f>
        <v/>
      </c>
      <c r="IJ48" s="632" t="str">
        <f ca="1">IF(INDIRECT(CONCATENATE($FK$12,Fixtures!IJ$25))="","",IF(INDIRECT(CONCATENATE($FK$12,Fixtures!IJ$25))=Fixtures!$DN48,CONCATENATE(IJ$10,", "),""))</f>
        <v/>
      </c>
      <c r="IK48" s="632" t="str">
        <f ca="1">IF(INDIRECT(CONCATENATE($FK$12,Fixtures!IK$25))="","",IF(INDIRECT(CONCATENATE($FK$12,Fixtures!IK$25))=Fixtures!$DN48,CONCATENATE(IK$10,", "),""))</f>
        <v/>
      </c>
      <c r="IL48" s="632" t="str">
        <f ca="1">IF(INDIRECT(CONCATENATE($FK$12,Fixtures!IL$25))="","",IF(INDIRECT(CONCATENATE($FK$12,Fixtures!IL$25))=Fixtures!$DN48,CONCATENATE(IL$10,", "),""))</f>
        <v/>
      </c>
      <c r="IM48" s="632" t="str">
        <f ca="1">IF(INDIRECT(CONCATENATE($FK$12,Fixtures!IM$25))="","",IF(INDIRECT(CONCATENATE($FK$12,Fixtures!IM$25))=Fixtures!$DN48,CONCATENATE(IM$10,", "),""))</f>
        <v/>
      </c>
      <c r="IN48" s="632" t="str">
        <f ca="1">IF(INDIRECT(CONCATENATE($FK$12,Fixtures!IN$25))="","",IF(INDIRECT(CONCATENATE($FK$12,Fixtures!IN$25))=Fixtures!$DN48,CONCATENATE(IN$10,", "),""))</f>
        <v/>
      </c>
      <c r="IO48" s="632" t="str">
        <f ca="1">IF(INDIRECT(CONCATENATE($FK$12,Fixtures!IO$25))="","",IF(INDIRECT(CONCATENATE($FK$12,Fixtures!IO$25))=Fixtures!$DN48,CONCATENATE(IO$10,", "),""))</f>
        <v/>
      </c>
      <c r="IP48" s="632" t="str">
        <f ca="1">IF(INDIRECT(CONCATENATE($FK$12,Fixtures!IP$25))="","",IF(INDIRECT(CONCATENATE($FK$12,Fixtures!IP$25))=Fixtures!$DN48,CONCATENATE(IP$10,", "),""))</f>
        <v/>
      </c>
      <c r="IQ48" s="606" t="str">
        <f ca="1">IF(INDIRECT(CONCATENATE($FK$12,Fixtures!IQ$25))="","",IF(INDIRECT(CONCATENATE($FK$12,Fixtures!IQ$25))=Fixtures!$DN48,CONCATENATE(IQ$10,", "),""))</f>
        <v/>
      </c>
      <c r="IR48" s="607" t="str">
        <f ca="1">IF(INDIRECT(CONCATENATE($FK$12,Fixtures!IR$25))="","",IF(INDIRECT(CONCATENATE($FK$12,Fixtures!IR$25))=Fixtures!$DN48,CONCATENATE(IR$10,", "),""))</f>
        <v/>
      </c>
      <c r="IS48" s="632" t="str">
        <f ca="1">IF(INDIRECT(CONCATENATE($FK$12,Fixtures!IS$25))="","",IF(INDIRECT(CONCATENATE($FK$12,Fixtures!IS$25))=Fixtures!$DN48,CONCATENATE(IS$10,", "),""))</f>
        <v/>
      </c>
      <c r="IT48" s="632" t="str">
        <f ca="1">IF(INDIRECT(CONCATENATE($FK$12,Fixtures!IT$25))="","",IF(INDIRECT(CONCATENATE($FK$12,Fixtures!IT$25))=Fixtures!$DN48,CONCATENATE(IT$10,", "),""))</f>
        <v/>
      </c>
      <c r="IU48" s="632" t="str">
        <f ca="1">IF(INDIRECT(CONCATENATE($FK$12,Fixtures!IU$25))="","",IF(INDIRECT(CONCATENATE($FK$12,Fixtures!IU$25))=Fixtures!$DN48,CONCATENATE(IU$10,", "),""))</f>
        <v/>
      </c>
      <c r="IV48" s="632" t="str">
        <f ca="1">IF(INDIRECT(CONCATENATE($FK$12,Fixtures!IV$25))="","",IF(INDIRECT(CONCATENATE($FK$12,Fixtures!IV$25))=Fixtures!$DN48,CONCATENATE(IV$10,", "),""))</f>
        <v/>
      </c>
      <c r="IW48" s="632" t="str">
        <f ca="1">IF(INDIRECT(CONCATENATE($FK$12,Fixtures!IW$25))="","",IF(INDIRECT(CONCATENATE($FK$12,Fixtures!IW$25))=Fixtures!$DN48,CONCATENATE(IW$10,", "),""))</f>
        <v/>
      </c>
      <c r="IX48" s="632" t="str">
        <f ca="1">IF(INDIRECT(CONCATENATE($FK$12,Fixtures!IX$25))="","",IF(INDIRECT(CONCATENATE($FK$12,Fixtures!IX$25))=Fixtures!$DN48,CONCATENATE(IX$10,", "),""))</f>
        <v/>
      </c>
      <c r="IY48" s="632" t="str">
        <f ca="1">IF(INDIRECT(CONCATENATE($FK$12,Fixtures!IY$25))="","",IF(INDIRECT(CONCATENATE($FK$12,Fixtures!IY$25))=Fixtures!$DN48,CONCATENATE(IY$10,", "),""))</f>
        <v/>
      </c>
      <c r="IZ48" s="632" t="str">
        <f ca="1">IF(INDIRECT(CONCATENATE($FK$12,Fixtures!IZ$25))="","",IF(INDIRECT(CONCATENATE($FK$12,Fixtures!IZ$25))=Fixtures!$DN48,CONCATENATE(IZ$10,", "),""))</f>
        <v/>
      </c>
      <c r="JA48" s="632" t="str">
        <f ca="1">IF(INDIRECT(CONCATENATE($FK$12,Fixtures!JA$25))="","",IF(INDIRECT(CONCATENATE($FK$12,Fixtures!JA$25))=Fixtures!$DN48,CONCATENATE(JA$10,", "),""))</f>
        <v/>
      </c>
      <c r="JB48" s="632" t="str">
        <f ca="1">IF(INDIRECT(CONCATENATE($FK$12,Fixtures!JB$25))="","",IF(INDIRECT(CONCATENATE($FK$12,Fixtures!JB$25))=Fixtures!$DN48,CONCATENATE(JB$10,", "),""))</f>
        <v/>
      </c>
      <c r="JC48" s="632" t="str">
        <f ca="1">IF(INDIRECT(CONCATENATE($FK$12,Fixtures!JC$25))="","",IF(INDIRECT(CONCATENATE($FK$12,Fixtures!JC$25))=Fixtures!$DN48,CONCATENATE(JC$10,", "),""))</f>
        <v/>
      </c>
      <c r="JD48" s="632" t="str">
        <f ca="1">IF(INDIRECT(CONCATENATE($FK$12,Fixtures!JD$25))="","",IF(INDIRECT(CONCATENATE($FK$12,Fixtures!JD$25))=Fixtures!$DN48,CONCATENATE(JD$10,", "),""))</f>
        <v/>
      </c>
      <c r="JE48" s="632" t="str">
        <f ca="1">IF(INDIRECT(CONCATENATE($FK$12,Fixtures!JE$25))="","",IF(INDIRECT(CONCATENATE($FK$12,Fixtures!JE$25))=Fixtures!$DN48,CONCATENATE(JE$10,", "),""))</f>
        <v/>
      </c>
      <c r="JF48" s="606" t="str">
        <f ca="1">IF(INDIRECT(CONCATENATE($FK$12,Fixtures!JF$25))="","",IF(INDIRECT(CONCATENATE($FK$12,Fixtures!JF$25))=Fixtures!$DN48,CONCATENATE(JF$10,", "),""))</f>
        <v/>
      </c>
      <c r="JG48" s="607" t="str">
        <f ca="1">IF(INDIRECT(CONCATENATE($FK$12,Fixtures!JG$25))="","",IF(INDIRECT(CONCATENATE($FK$12,Fixtures!JG$25))=Fixtures!$DN48,CONCATENATE(JG$10,", "),""))</f>
        <v/>
      </c>
      <c r="JH48" s="632" t="str">
        <f ca="1">IF(INDIRECT(CONCATENATE($FK$12,Fixtures!JH$25))="","",IF(INDIRECT(CONCATENATE($FK$12,Fixtures!JH$25))=Fixtures!$DN48,CONCATENATE(JH$10,", "),""))</f>
        <v/>
      </c>
      <c r="JI48" s="632" t="str">
        <f ca="1">IF(INDIRECT(CONCATENATE($FK$12,Fixtures!JI$25))="","",IF(INDIRECT(CONCATENATE($FK$12,Fixtures!JI$25))=Fixtures!$DN48,CONCATENATE(JI$10,", "),""))</f>
        <v/>
      </c>
      <c r="JJ48" s="632" t="str">
        <f ca="1">IF(INDIRECT(CONCATENATE($FK$12,Fixtures!JJ$25))="","",IF(INDIRECT(CONCATENATE($FK$12,Fixtures!JJ$25))=Fixtures!$DN48,CONCATENATE(JJ$10,", "),""))</f>
        <v/>
      </c>
      <c r="JK48" s="632" t="str">
        <f ca="1">IF(INDIRECT(CONCATENATE($FK$12,Fixtures!JK$25))="","",IF(INDIRECT(CONCATENATE($FK$12,Fixtures!JK$25))=Fixtures!$DN48,CONCATENATE(JK$10,", "),""))</f>
        <v/>
      </c>
      <c r="JL48" s="632" t="str">
        <f ca="1">IF(INDIRECT(CONCATENATE($FK$12,Fixtures!JL$25))="","",IF(INDIRECT(CONCATENATE($FK$12,Fixtures!JL$25))=Fixtures!$DN48,CONCATENATE(JL$10,", "),""))</f>
        <v/>
      </c>
      <c r="JM48" s="632" t="str">
        <f ca="1">IF(INDIRECT(CONCATENATE($FK$12,Fixtures!JM$25))="","",IF(INDIRECT(CONCATENATE($FK$12,Fixtures!JM$25))=Fixtures!$DN48,CONCATENATE(JM$10,", "),""))</f>
        <v/>
      </c>
      <c r="JN48" s="632" t="str">
        <f ca="1">IF(INDIRECT(CONCATENATE($FK$12,Fixtures!JN$25))="","",IF(INDIRECT(CONCATENATE($FK$12,Fixtures!JN$25))=Fixtures!$DN48,CONCATENATE(JN$10,", "),""))</f>
        <v/>
      </c>
      <c r="JO48" s="632" t="str">
        <f ca="1">IF(INDIRECT(CONCATENATE($FK$12,Fixtures!JO$25))="","",IF(INDIRECT(CONCATENATE($FK$12,Fixtures!JO$25))=Fixtures!$DN48,CONCATENATE(JO$10,", "),""))</f>
        <v/>
      </c>
      <c r="JP48" s="632" t="str">
        <f ca="1">IF(INDIRECT(CONCATENATE($FK$12,Fixtures!JP$25))="","",IF(INDIRECT(CONCATENATE($FK$12,Fixtures!JP$25))=Fixtures!$DN48,CONCATENATE(JP$10,", "),""))</f>
        <v/>
      </c>
      <c r="JQ48" s="632" t="str">
        <f ca="1">IF(INDIRECT(CONCATENATE($FK$12,Fixtures!JQ$25))="","",IF(INDIRECT(CONCATENATE($FK$12,Fixtures!JQ$25))=Fixtures!$DN48,CONCATENATE(JQ$10,", "),""))</f>
        <v/>
      </c>
      <c r="JR48" s="632" t="str">
        <f ca="1">IF(INDIRECT(CONCATENATE($FK$12,Fixtures!JR$25))="","",IF(INDIRECT(CONCATENATE($FK$12,Fixtures!JR$25))=Fixtures!$DN48,CONCATENATE(JR$10,", "),""))</f>
        <v/>
      </c>
      <c r="JS48" s="632" t="str">
        <f ca="1">IF(INDIRECT(CONCATENATE($FK$12,Fixtures!JS$25))="","",IF(INDIRECT(CONCATENATE($FK$12,Fixtures!JS$25))=Fixtures!$DN48,CONCATENATE(JS$10,", "),""))</f>
        <v/>
      </c>
      <c r="JT48" s="632" t="str">
        <f ca="1">IF(INDIRECT(CONCATENATE($FK$12,Fixtures!JT$25))="","",IF(INDIRECT(CONCATENATE($FK$12,Fixtures!JT$25))=Fixtures!$DN48,CONCATENATE(JT$10,", "),""))</f>
        <v/>
      </c>
      <c r="JU48" s="606" t="str">
        <f ca="1">IF(INDIRECT(CONCATENATE($FK$12,Fixtures!JU$25))="","",IF(INDIRECT(CONCATENATE($FK$12,Fixtures!JU$25))=Fixtures!$DN48,CONCATENATE(JU$10,", "),""))</f>
        <v/>
      </c>
      <c r="JV48" s="607" t="str">
        <f ca="1">IF(INDIRECT(CONCATENATE($FK$12,Fixtures!JV$25))="","",IF(INDIRECT(CONCATENATE($FK$12,Fixtures!JV$25))=Fixtures!$DN48,CONCATENATE(JV$10,", "),""))</f>
        <v/>
      </c>
      <c r="JW48" s="632" t="str">
        <f ca="1">IF(INDIRECT(CONCATENATE($FK$12,Fixtures!JW$25))="","",IF(INDIRECT(CONCATENATE($FK$12,Fixtures!JW$25))=Fixtures!$DN48,CONCATENATE(JW$10,", "),""))</f>
        <v/>
      </c>
      <c r="JX48" s="632" t="str">
        <f ca="1">IF(INDIRECT(CONCATENATE($FK$12,Fixtures!JX$25))="","",IF(INDIRECT(CONCATENATE($FK$12,Fixtures!JX$25))=Fixtures!$DN48,CONCATENATE(JX$10,", "),""))</f>
        <v/>
      </c>
      <c r="JY48" s="632" t="str">
        <f ca="1">IF(INDIRECT(CONCATENATE($FK$12,Fixtures!JY$25))="","",IF(INDIRECT(CONCATENATE($FK$12,Fixtures!JY$25))=Fixtures!$DN48,CONCATENATE(JY$10,", "),""))</f>
        <v/>
      </c>
      <c r="JZ48" s="632" t="str">
        <f ca="1">IF(INDIRECT(CONCATENATE($FK$12,Fixtures!JZ$25))="","",IF(INDIRECT(CONCATENATE($FK$12,Fixtures!JZ$25))=Fixtures!$DN48,CONCATENATE(JZ$10,", "),""))</f>
        <v/>
      </c>
      <c r="KA48" s="632" t="str">
        <f ca="1">IF(INDIRECT(CONCATENATE($FK$12,Fixtures!KA$25))="","",IF(INDIRECT(CONCATENATE($FK$12,Fixtures!KA$25))=Fixtures!$DN48,CONCATENATE(KA$10,", "),""))</f>
        <v/>
      </c>
      <c r="KB48" s="632" t="str">
        <f ca="1">IF(INDIRECT(CONCATENATE($FK$12,Fixtures!KB$25))="","",IF(INDIRECT(CONCATENATE($FK$12,Fixtures!KB$25))=Fixtures!$DN48,CONCATENATE(KB$10,", "),""))</f>
        <v/>
      </c>
      <c r="KC48" s="632" t="str">
        <f ca="1">IF(INDIRECT(CONCATENATE($FK$12,Fixtures!KC$25))="","",IF(INDIRECT(CONCATENATE($FK$12,Fixtures!KC$25))=Fixtures!$DN48,CONCATENATE(KC$10,", "),""))</f>
        <v/>
      </c>
      <c r="KD48" s="632" t="str">
        <f ca="1">IF(INDIRECT(CONCATENATE($FK$12,Fixtures!KD$25))="","",IF(INDIRECT(CONCATENATE($FK$12,Fixtures!KD$25))=Fixtures!$DN48,CONCATENATE(KD$10,", "),""))</f>
        <v/>
      </c>
      <c r="KE48" s="632" t="str">
        <f ca="1">IF(INDIRECT(CONCATENATE($FK$12,Fixtures!KE$25))="","",IF(INDIRECT(CONCATENATE($FK$12,Fixtures!KE$25))=Fixtures!$DN48,CONCATENATE(KE$10,", "),""))</f>
        <v/>
      </c>
      <c r="KF48" s="632" t="str">
        <f ca="1">IF(INDIRECT(CONCATENATE($FK$12,Fixtures!KF$25))="","",IF(INDIRECT(CONCATENATE($FK$12,Fixtures!KF$25))=Fixtures!$DN48,CONCATENATE(KF$10,", "),""))</f>
        <v/>
      </c>
      <c r="KG48" s="632" t="str">
        <f ca="1">IF(INDIRECT(CONCATENATE($FK$12,Fixtures!KG$25))="","",IF(INDIRECT(CONCATENATE($FK$12,Fixtures!KG$25))=Fixtures!$DN48,CONCATENATE(KG$10,", "),""))</f>
        <v/>
      </c>
      <c r="KH48" s="632" t="str">
        <f ca="1">IF(INDIRECT(CONCATENATE($FK$12,Fixtures!KH$25))="","",IF(INDIRECT(CONCATENATE($FK$12,Fixtures!KH$25))=Fixtures!$DN48,CONCATENATE(KH$10,", "),""))</f>
        <v/>
      </c>
      <c r="KI48" s="632" t="str">
        <f ca="1">IF(INDIRECT(CONCATENATE($FK$12,Fixtures!KI$25))="","",IF(INDIRECT(CONCATENATE($FK$12,Fixtures!KI$25))=Fixtures!$DN48,CONCATENATE(KI$10,", "),""))</f>
        <v/>
      </c>
      <c r="KJ48" s="606" t="str">
        <f ca="1">IF(INDIRECT(CONCATENATE($FK$12,Fixtures!KJ$25))="","",IF(INDIRECT(CONCATENATE($FK$12,Fixtures!KJ$25))=Fixtures!$DN48,CONCATENATE(KJ$10,", "),""))</f>
        <v/>
      </c>
      <c r="KK48" s="607" t="str">
        <f ca="1">IF(INDIRECT(CONCATENATE($FK$12,Fixtures!KK$25))="","",IF(INDIRECT(CONCATENATE($FK$12,Fixtures!KK$25))=Fixtures!$DN48,CONCATENATE(KK$10,", "),""))</f>
        <v/>
      </c>
      <c r="KL48" s="632" t="str">
        <f ca="1">IF(INDIRECT(CONCATENATE($FK$12,Fixtures!KL$25))="","",IF(INDIRECT(CONCATENATE($FK$12,Fixtures!KL$25))=Fixtures!$DN48,CONCATENATE(KL$10,", "),""))</f>
        <v/>
      </c>
      <c r="KM48" s="632" t="str">
        <f ca="1">IF(INDIRECT(CONCATENATE($FK$12,Fixtures!KM$25))="","",IF(INDIRECT(CONCATENATE($FK$12,Fixtures!KM$25))=Fixtures!$DN48,CONCATENATE(KM$10,", "),""))</f>
        <v/>
      </c>
      <c r="KN48" s="632" t="str">
        <f ca="1">IF(INDIRECT(CONCATENATE($FK$12,Fixtures!KN$25))="","",IF(INDIRECT(CONCATENATE($FK$12,Fixtures!KN$25))=Fixtures!$DN48,CONCATENATE(KN$10,", "),""))</f>
        <v/>
      </c>
      <c r="KO48" s="632" t="str">
        <f ca="1">IF(INDIRECT(CONCATENATE($FK$12,Fixtures!KO$25))="","",IF(INDIRECT(CONCATENATE($FK$12,Fixtures!KO$25))=Fixtures!$DN48,CONCATENATE(KO$10,", "),""))</f>
        <v/>
      </c>
      <c r="KP48" s="632" t="str">
        <f ca="1">IF(INDIRECT(CONCATENATE($FK$12,Fixtures!KP$25))="","",IF(INDIRECT(CONCATENATE($FK$12,Fixtures!KP$25))=Fixtures!$DN48,CONCATENATE(KP$10,", "),""))</f>
        <v/>
      </c>
      <c r="KQ48" s="632" t="str">
        <f ca="1">IF(INDIRECT(CONCATENATE($FK$12,Fixtures!KQ$25))="","",IF(INDIRECT(CONCATENATE($FK$12,Fixtures!KQ$25))=Fixtures!$DN48,CONCATENATE(KQ$10,", "),""))</f>
        <v/>
      </c>
      <c r="KR48" s="632" t="str">
        <f ca="1">IF(INDIRECT(CONCATENATE($FK$12,Fixtures!KR$25))="","",IF(INDIRECT(CONCATENATE($FK$12,Fixtures!KR$25))=Fixtures!$DN48,CONCATENATE(KR$10,", "),""))</f>
        <v/>
      </c>
      <c r="KS48" s="632" t="str">
        <f ca="1">IF(INDIRECT(CONCATENATE($FK$12,Fixtures!KS$25))="","",IF(INDIRECT(CONCATENATE($FK$12,Fixtures!KS$25))=Fixtures!$DN48,CONCATENATE(KS$10,", "),""))</f>
        <v/>
      </c>
      <c r="KT48" s="632" t="str">
        <f ca="1">IF(INDIRECT(CONCATENATE($FK$12,Fixtures!KT$25))="","",IF(INDIRECT(CONCATENATE($FK$12,Fixtures!KT$25))=Fixtures!$DN48,CONCATENATE(KT$10,", "),""))</f>
        <v/>
      </c>
      <c r="KU48" s="632" t="str">
        <f ca="1">IF(INDIRECT(CONCATENATE($FK$12,Fixtures!KU$25))="","",IF(INDIRECT(CONCATENATE($FK$12,Fixtures!KU$25))=Fixtures!$DN48,CONCATENATE(KU$10,", "),""))</f>
        <v/>
      </c>
      <c r="KV48" s="632" t="str">
        <f ca="1">IF(INDIRECT(CONCATENATE($FK$12,Fixtures!KV$25))="","",IF(INDIRECT(CONCATENATE($FK$12,Fixtures!KV$25))=Fixtures!$DN48,CONCATENATE(KV$10,", "),""))</f>
        <v/>
      </c>
      <c r="KW48" s="632" t="str">
        <f ca="1">IF(INDIRECT(CONCATENATE($FK$12,Fixtures!KW$25))="","",IF(INDIRECT(CONCATENATE($FK$12,Fixtures!KW$25))=Fixtures!$DN48,CONCATENATE(KW$10,", "),""))</f>
        <v/>
      </c>
      <c r="KX48" s="632" t="str">
        <f ca="1">IF(INDIRECT(CONCATENATE($FK$12,Fixtures!KX$25))="","",IF(INDIRECT(CONCATENATE($FK$12,Fixtures!KX$25))=Fixtures!$DN48,CONCATENATE(KX$10,", "),""))</f>
        <v/>
      </c>
      <c r="KY48" s="632"/>
      <c r="KZ48" s="46"/>
      <c r="LA48" s="46" t="str">
        <f t="shared" ca="1" si="7"/>
        <v/>
      </c>
      <c r="LB48" s="46"/>
      <c r="LC48" s="1010"/>
      <c r="LD48" s="1009" t="str">
        <f t="shared" si="20"/>
        <v/>
      </c>
    </row>
    <row r="49" spans="1:316" ht="28.2" customHeight="1" thickTop="1" thickBot="1">
      <c r="A49" s="426" t="str">
        <f t="shared" si="13"/>
        <v/>
      </c>
      <c r="C49" s="1640" t="str">
        <f t="shared" si="14"/>
        <v/>
      </c>
      <c r="D49" s="1641"/>
      <c r="E49" s="1568" t="str">
        <f t="shared" si="15"/>
        <v/>
      </c>
      <c r="F49" s="1569"/>
      <c r="G49" s="1569"/>
      <c r="H49" s="1569"/>
      <c r="I49" s="1569"/>
      <c r="J49" s="1569"/>
      <c r="K49" s="1569"/>
      <c r="L49" s="1569"/>
      <c r="M49" s="1642"/>
      <c r="N49" s="203" t="str">
        <f t="shared" si="16"/>
        <v/>
      </c>
      <c r="O49" s="12"/>
      <c r="P49" s="1638" t="str">
        <f t="shared" si="25"/>
        <v/>
      </c>
      <c r="Q49" s="1639"/>
      <c r="R49" s="1568" t="str">
        <f t="shared" si="30"/>
        <v/>
      </c>
      <c r="S49" s="1569"/>
      <c r="T49" s="1569"/>
      <c r="U49" s="1569"/>
      <c r="V49" s="1569"/>
      <c r="W49" s="1569"/>
      <c r="X49" s="1569"/>
      <c r="Y49" s="203" t="str">
        <f t="shared" si="26"/>
        <v/>
      </c>
      <c r="Z49" s="203" t="str">
        <f t="shared" si="27"/>
        <v/>
      </c>
      <c r="AA49" s="394" t="str">
        <f t="shared" si="28"/>
        <v/>
      </c>
      <c r="AB49" s="489"/>
      <c r="AC49" s="1564" t="str">
        <f t="shared" si="18"/>
        <v/>
      </c>
      <c r="AD49" s="1565"/>
      <c r="AE49" s="1565"/>
      <c r="AF49" s="1565"/>
      <c r="AG49" s="1565"/>
      <c r="AH49" s="1565"/>
      <c r="AK49">
        <f>SUMIFS(Installations!CV$46:CV$803,Installations!CW$46:CW$803,E49,Installations!IC$46:IC$803,TRUE)</f>
        <v>0</v>
      </c>
      <c r="AL49">
        <f>SUMIFS(Installations!CV$46:CV$803,Installations!CW$46:CW$803,R49,Installations!IC$46:IC$803,TRUE)</f>
        <v>0</v>
      </c>
      <c r="BL49" s="9"/>
      <c r="BM49" s="622" t="str">
        <f t="shared" si="19"/>
        <v/>
      </c>
      <c r="BN49" s="52"/>
      <c r="BO49" s="52"/>
      <c r="BP49" s="52"/>
      <c r="BQ49" s="52"/>
      <c r="BR49" s="52"/>
      <c r="BS49" s="52"/>
      <c r="BT49" s="52"/>
      <c r="BU49" s="373"/>
      <c r="BV49" s="219" t="str">
        <f>IF(CN49&lt;&gt;"Yes","",IFERROR(VLOOKUP(CU49,Existing!A$4:F$367,2,FALSE),""))</f>
        <v/>
      </c>
      <c r="BW49" s="9">
        <v>23</v>
      </c>
      <c r="BX49" s="1625"/>
      <c r="BY49" s="1626"/>
      <c r="BZ49" s="1626"/>
      <c r="CA49" s="1627"/>
      <c r="CB49" s="1622"/>
      <c r="CC49" s="1623"/>
      <c r="CD49" s="1623"/>
      <c r="CE49" s="1624"/>
      <c r="CF49" s="1621"/>
      <c r="CG49" s="1621"/>
      <c r="CH49" s="1621"/>
      <c r="CI49" s="1621"/>
      <c r="CJ49" s="1621"/>
      <c r="CK49" s="1621"/>
      <c r="CL49" s="1621"/>
      <c r="CM49" s="1621"/>
      <c r="CN49" s="1553" t="str">
        <f t="shared" si="0"/>
        <v/>
      </c>
      <c r="CO49" s="1554"/>
      <c r="CP49" s="229" t="str">
        <f>IFERROR(IF(CB49="Existing TLED",CR49*CW49*CY49,VLOOKUP(CU49,Existing!A$3:F$356,6,FALSE)),"")</f>
        <v/>
      </c>
      <c r="CQ49" s="9"/>
      <c r="CR49" s="1660"/>
      <c r="CS49" s="1661"/>
      <c r="CT49" s="9"/>
      <c r="CU49" s="425" t="str">
        <f t="shared" si="21"/>
        <v/>
      </c>
      <c r="CV49" s="426" t="b">
        <f t="shared" si="22"/>
        <v>0</v>
      </c>
      <c r="CW49" s="426" t="str">
        <f t="shared" si="23"/>
        <v/>
      </c>
      <c r="CX49" s="426">
        <f>IFERROR(VLOOKUP(CF49,Lookup!T$100:V$102,3,FALSE),0)</f>
        <v>0</v>
      </c>
      <c r="CY49" s="426">
        <f t="shared" si="8"/>
        <v>1.1100000000000001</v>
      </c>
      <c r="CZ49" s="626" t="b">
        <f t="shared" si="1"/>
        <v>0</v>
      </c>
      <c r="DA49" s="626" t="b">
        <f>IF(CF49&lt;&gt;"",IF(ISERROR(MATCH(CONCATENATE(CB49," - ",CF49),Existing!G$4:G$331,0))=TRUE,FALSE,TRUE),TRUE)</f>
        <v>1</v>
      </c>
      <c r="DB49" s="626" t="b">
        <f t="shared" si="2"/>
        <v>1</v>
      </c>
      <c r="DL49" s="9"/>
      <c r="DM49" s="627" t="s">
        <v>215</v>
      </c>
      <c r="DN49" s="375" t="str">
        <f t="shared" si="3"/>
        <v/>
      </c>
      <c r="DO49" s="52"/>
      <c r="DP49" s="52"/>
      <c r="DQ49" s="52"/>
      <c r="DR49" s="52"/>
      <c r="DS49" s="52"/>
      <c r="DT49" s="226"/>
      <c r="DU49" s="376"/>
      <c r="DV49" s="227" t="str">
        <f t="shared" si="4"/>
        <v/>
      </c>
      <c r="DW49" s="224">
        <v>23</v>
      </c>
      <c r="DX49" s="1572"/>
      <c r="DY49" s="1573"/>
      <c r="DZ49" s="1573"/>
      <c r="EA49" s="1574"/>
      <c r="EB49" s="1618"/>
      <c r="EC49" s="1619"/>
      <c r="ED49" s="1619"/>
      <c r="EE49" s="1620"/>
      <c r="EF49" s="1578"/>
      <c r="EG49" s="1579"/>
      <c r="EH49" s="1618"/>
      <c r="EI49" s="1619"/>
      <c r="EJ49" s="1619"/>
      <c r="EK49" s="1620"/>
      <c r="EL49" s="1575"/>
      <c r="EM49" s="1576"/>
      <c r="EN49" s="1576"/>
      <c r="EO49" s="1577"/>
      <c r="EP49" s="1578"/>
      <c r="EQ49" s="1579"/>
      <c r="ER49" s="1555"/>
      <c r="ES49" s="1556"/>
      <c r="ET49" s="1553" t="str">
        <f t="shared" si="9"/>
        <v/>
      </c>
      <c r="EU49" s="1554"/>
      <c r="EV49" s="1553" t="str">
        <f t="shared" si="29"/>
        <v/>
      </c>
      <c r="EW49" s="1554"/>
      <c r="EX49" s="393"/>
      <c r="EY49" s="225" t="str">
        <f t="shared" si="6"/>
        <v/>
      </c>
      <c r="EZ49" s="225" t="str">
        <f>IFERROR(VLOOKUP(EB49,Lookup!AT$3:AU$13,2,FALSE),"")</f>
        <v/>
      </c>
      <c r="FA49" s="426" t="b">
        <f>IFERROR(IF(VLOOKUP(EB49,Lookup!AT$6:AU$8,2,FALSE)&gt;3,TRUE,FALSE),FALSE)</f>
        <v>0</v>
      </c>
      <c r="FB49" s="426" t="str">
        <f t="shared" si="10"/>
        <v/>
      </c>
      <c r="FC49" t="str">
        <f t="shared" ca="1" si="11"/>
        <v/>
      </c>
      <c r="FG49" t="str">
        <f t="shared" ca="1" si="12"/>
        <v/>
      </c>
      <c r="FI49" s="204" t="str">
        <f t="shared" ca="1" si="24"/>
        <v/>
      </c>
      <c r="FJ49" s="204"/>
      <c r="FK49" s="631" t="str">
        <f ca="1">IF(INDIRECT(CONCATENATE($FK$12,Fixtures!FK$25))="","",IF(INDIRECT(CONCATENATE($FK$12,Fixtures!FK$25))=Fixtures!$DN49,CONCATENATE(FK$10,", "),""))</f>
        <v/>
      </c>
      <c r="FL49" s="631" t="str">
        <f ca="1">IF(INDIRECT(CONCATENATE($FK$12,Fixtures!FL$25))="","",IF(INDIRECT(CONCATENATE($FK$12,Fixtures!FL$25))=Fixtures!$DN49,CONCATENATE(FL$10,", "),""))</f>
        <v/>
      </c>
      <c r="FM49" s="631" t="str">
        <f ca="1">IF(INDIRECT(CONCATENATE($FK$12,Fixtures!FM$25))="","",IF(INDIRECT(CONCATENATE($FK$12,Fixtures!FM$25))=Fixtures!$DN49,CONCATENATE(FM$10,", "),""))</f>
        <v/>
      </c>
      <c r="FN49" s="631" t="str">
        <f ca="1">IF(INDIRECT(CONCATENATE($FK$12,Fixtures!FN$25))="","",IF(INDIRECT(CONCATENATE($FK$12,Fixtures!FN$25))=Fixtures!$DN49,CONCATENATE(FN$10,", "),""))</f>
        <v/>
      </c>
      <c r="FO49" s="631" t="str">
        <f ca="1">IF(INDIRECT(CONCATENATE($FK$12,Fixtures!FO$25))="","",IF(INDIRECT(CONCATENATE($FK$12,Fixtures!FO$25))=Fixtures!$DN49,CONCATENATE(FO$10,", "),""))</f>
        <v/>
      </c>
      <c r="FP49" s="631" t="str">
        <f ca="1">IF(INDIRECT(CONCATENATE($FK$12,Fixtures!FP$25))="","",IF(INDIRECT(CONCATENATE($FK$12,Fixtures!FP$25))=Fixtures!$DN49,CONCATENATE(FP$10,", "),""))</f>
        <v/>
      </c>
      <c r="FQ49" s="631" t="str">
        <f ca="1">IF(INDIRECT(CONCATENATE($FK$12,Fixtures!FQ$25))="","",IF(INDIRECT(CONCATENATE($FK$12,Fixtures!FQ$25))=Fixtures!$DN49,CONCATENATE(FQ$10,", "),""))</f>
        <v/>
      </c>
      <c r="FR49" s="631" t="str">
        <f ca="1">IF(INDIRECT(CONCATENATE($FK$12,Fixtures!FR$25))="","",IF(INDIRECT(CONCATENATE($FK$12,Fixtures!FR$25))=Fixtures!$DN49,CONCATENATE(FR$10,", "),""))</f>
        <v/>
      </c>
      <c r="FS49" s="631" t="str">
        <f ca="1">IF(INDIRECT(CONCATENATE($FK$12,Fixtures!FS$25))="","",IF(INDIRECT(CONCATENATE($FK$12,Fixtures!FS$25))=Fixtures!$DN49,CONCATENATE(FS$10,", "),""))</f>
        <v/>
      </c>
      <c r="FT49" s="604" t="str">
        <f ca="1">IF(INDIRECT(CONCATENATE($FK$12,Fixtures!FT$25))="","",IF(INDIRECT(CONCATENATE($FK$12,Fixtures!FT$25))=Fixtures!$DN49,CONCATENATE(FT$10,", "),""))</f>
        <v/>
      </c>
      <c r="FU49" s="605" t="str">
        <f ca="1">IF(INDIRECT(CONCATENATE($FK$12,Fixtures!FU$25))="","",IF(INDIRECT(CONCATENATE($FK$12,Fixtures!FU$25))=Fixtures!$DN49,CONCATENATE(FU$10,", "),""))</f>
        <v/>
      </c>
      <c r="FV49" s="631" t="str">
        <f ca="1">IF(INDIRECT(CONCATENATE($FK$12,Fixtures!FV$25))="","",IF(INDIRECT(CONCATENATE($FK$12,Fixtures!FV$25))=Fixtures!$DN49,CONCATENATE(FV$10,", "),""))</f>
        <v/>
      </c>
      <c r="FW49" s="632" t="str">
        <f ca="1">IF(INDIRECT(CONCATENATE($FK$12,Fixtures!FW$25))="","",IF(INDIRECT(CONCATENATE($FK$12,Fixtures!FW$25))=Fixtures!$DN49,CONCATENATE(FW$10,", "),""))</f>
        <v/>
      </c>
      <c r="FX49" s="632" t="str">
        <f ca="1">IF(INDIRECT(CONCATENATE($FK$12,Fixtures!FX$25))="","",IF(INDIRECT(CONCATENATE($FK$12,Fixtures!FX$25))=Fixtures!$DN49,CONCATENATE(FX$10,", "),""))</f>
        <v/>
      </c>
      <c r="FY49" s="632" t="str">
        <f ca="1">IF(INDIRECT(CONCATENATE($FK$12,Fixtures!FY$25))="","",IF(INDIRECT(CONCATENATE($FK$12,Fixtures!FY$25))=Fixtures!$DN49,CONCATENATE(FY$10,", "),""))</f>
        <v/>
      </c>
      <c r="FZ49" s="632" t="str">
        <f ca="1">IF(INDIRECT(CONCATENATE($FK$12,Fixtures!FZ$25))="","",IF(INDIRECT(CONCATENATE($FK$12,Fixtures!FZ$25))=Fixtures!$DN49,CONCATENATE(FZ$10,", "),""))</f>
        <v/>
      </c>
      <c r="GA49" s="632" t="str">
        <f ca="1">IF(INDIRECT(CONCATENATE($FK$12,Fixtures!GA$25))="","",IF(INDIRECT(CONCATENATE($FK$12,Fixtures!GA$25))=Fixtures!$DN49,CONCATENATE(GA$10,", "),""))</f>
        <v/>
      </c>
      <c r="GB49" s="632" t="str">
        <f ca="1">IF(INDIRECT(CONCATENATE($FK$12,Fixtures!GB$25))="","",IF(INDIRECT(CONCATENATE($FK$12,Fixtures!GB$25))=Fixtures!$DN49,CONCATENATE(GB$10,", "),""))</f>
        <v/>
      </c>
      <c r="GC49" s="632" t="str">
        <f ca="1">IF(INDIRECT(CONCATENATE($FK$12,Fixtures!GC$25))="","",IF(INDIRECT(CONCATENATE($FK$12,Fixtures!GC$25))=Fixtures!$DN49,CONCATENATE(GC$10,", "),""))</f>
        <v/>
      </c>
      <c r="GD49" s="632" t="str">
        <f ca="1">IF(INDIRECT(CONCATENATE($FK$12,Fixtures!GD$25))="","",IF(INDIRECT(CONCATENATE($FK$12,Fixtures!GD$25))=Fixtures!$DN49,CONCATENATE(GD$10,", "),""))</f>
        <v/>
      </c>
      <c r="GE49" s="632" t="str">
        <f ca="1">IF(INDIRECT(CONCATENATE($FK$12,Fixtures!GE$25))="","",IF(INDIRECT(CONCATENATE($FK$12,Fixtures!GE$25))=Fixtures!$DN49,CONCATENATE(GE$10,", "),""))</f>
        <v/>
      </c>
      <c r="GF49" s="632" t="str">
        <f ca="1">IF(INDIRECT(CONCATENATE($FK$12,Fixtures!GF$25))="","",IF(INDIRECT(CONCATENATE($FK$12,Fixtures!GF$25))=Fixtures!$DN49,CONCATENATE(GF$10,", "),""))</f>
        <v/>
      </c>
      <c r="GG49" s="632" t="str">
        <f ca="1">IF(INDIRECT(CONCATENATE($FK$12,Fixtures!GG$25))="","",IF(INDIRECT(CONCATENATE($FK$12,Fixtures!GG$25))=Fixtures!$DN49,CONCATENATE(GG$10,", "),""))</f>
        <v/>
      </c>
      <c r="GH49" s="632" t="str">
        <f ca="1">IF(INDIRECT(CONCATENATE($FK$12,Fixtures!GH$25))="","",IF(INDIRECT(CONCATENATE($FK$12,Fixtures!GH$25))=Fixtures!$DN49,CONCATENATE(GH$10,", "),""))</f>
        <v/>
      </c>
      <c r="GI49" s="606" t="str">
        <f ca="1">IF(INDIRECT(CONCATENATE($FK$12,Fixtures!GI$25))="","",IF(INDIRECT(CONCATENATE($FK$12,Fixtures!GI$25))=Fixtures!$DN49,CONCATENATE(GI$10,", "),""))</f>
        <v/>
      </c>
      <c r="GJ49" s="607" t="str">
        <f ca="1">IF(INDIRECT(CONCATENATE($FK$12,Fixtures!GJ$25))="","",IF(INDIRECT(CONCATENATE($FK$12,Fixtures!GJ$25))=Fixtures!$DN49,CONCATENATE(GJ$10,", "),""))</f>
        <v/>
      </c>
      <c r="GK49" s="632" t="str">
        <f ca="1">IF(INDIRECT(CONCATENATE($FK$12,Fixtures!GK$25))="","",IF(INDIRECT(CONCATENATE($FK$12,Fixtures!GK$25))=Fixtures!$DN49,CONCATENATE(GK$10,", "),""))</f>
        <v/>
      </c>
      <c r="GL49" s="632" t="str">
        <f ca="1">IF(INDIRECT(CONCATENATE($FK$12,Fixtures!GL$25))="","",IF(INDIRECT(CONCATENATE($FK$12,Fixtures!GL$25))=Fixtures!$DN49,CONCATENATE(GL$10,", "),""))</f>
        <v/>
      </c>
      <c r="GM49" s="632" t="str">
        <f ca="1">IF(INDIRECT(CONCATENATE($FK$12,Fixtures!GM$25))="","",IF(INDIRECT(CONCATENATE($FK$12,Fixtures!GM$25))=Fixtures!$DN49,CONCATENATE(GM$10,", "),""))</f>
        <v/>
      </c>
      <c r="GN49" s="632" t="str">
        <f ca="1">IF(INDIRECT(CONCATENATE($FK$12,Fixtures!GN$25))="","",IF(INDIRECT(CONCATENATE($FK$12,Fixtures!GN$25))=Fixtures!$DN49,CONCATENATE(GN$10,", "),""))</f>
        <v/>
      </c>
      <c r="GO49" s="632" t="str">
        <f ca="1">IF(INDIRECT(CONCATENATE($FK$12,Fixtures!GO$25))="","",IF(INDIRECT(CONCATENATE($FK$12,Fixtures!GO$25))=Fixtures!$DN49,CONCATENATE(GO$10,", "),""))</f>
        <v/>
      </c>
      <c r="GP49" s="632" t="str">
        <f ca="1">IF(INDIRECT(CONCATENATE($FK$12,Fixtures!GP$25))="","",IF(INDIRECT(CONCATENATE($FK$12,Fixtures!GP$25))=Fixtures!$DN49,CONCATENATE(GP$10,", "),""))</f>
        <v/>
      </c>
      <c r="GQ49" s="632" t="str">
        <f ca="1">IF(INDIRECT(CONCATENATE($FK$12,Fixtures!GQ$25))="","",IF(INDIRECT(CONCATENATE($FK$12,Fixtures!GQ$25))=Fixtures!$DN49,CONCATENATE(GQ$10,", "),""))</f>
        <v/>
      </c>
      <c r="GR49" s="632" t="str">
        <f ca="1">IF(INDIRECT(CONCATENATE($FK$12,Fixtures!GR$25))="","",IF(INDIRECT(CONCATENATE($FK$12,Fixtures!GR$25))=Fixtures!$DN49,CONCATENATE(GR$10,", "),""))</f>
        <v/>
      </c>
      <c r="GS49" s="632" t="str">
        <f ca="1">IF(INDIRECT(CONCATENATE($FK$12,Fixtures!GS$25))="","",IF(INDIRECT(CONCATENATE($FK$12,Fixtures!GS$25))=Fixtures!$DN49,CONCATENATE(GS$10,", "),""))</f>
        <v/>
      </c>
      <c r="GT49" s="632" t="str">
        <f ca="1">IF(INDIRECT(CONCATENATE($FK$12,Fixtures!GT$25))="","",IF(INDIRECT(CONCATENATE($FK$12,Fixtures!GT$25))=Fixtures!$DN49,CONCATENATE(GT$10,", "),""))</f>
        <v/>
      </c>
      <c r="GU49" s="632" t="str">
        <f ca="1">IF(INDIRECT(CONCATENATE($FK$12,Fixtures!GU$25))="","",IF(INDIRECT(CONCATENATE($FK$12,Fixtures!GU$25))=Fixtures!$DN49,CONCATENATE(GU$10,", "),""))</f>
        <v/>
      </c>
      <c r="GV49" s="632" t="str">
        <f ca="1">IF(INDIRECT(CONCATENATE($FK$12,Fixtures!GV$25))="","",IF(INDIRECT(CONCATENATE($FK$12,Fixtures!GV$25))=Fixtures!$DN49,CONCATENATE(GV$10,", "),""))</f>
        <v/>
      </c>
      <c r="GW49" s="632" t="str">
        <f ca="1">IF(INDIRECT(CONCATENATE($FK$12,Fixtures!GW$25))="","",IF(INDIRECT(CONCATENATE($FK$12,Fixtures!GW$25))=Fixtures!$DN49,CONCATENATE(GW$10,", "),""))</f>
        <v/>
      </c>
      <c r="GX49" s="606" t="str">
        <f ca="1">IF(INDIRECT(CONCATENATE($FK$12,Fixtures!GX$25))="","",IF(INDIRECT(CONCATENATE($FK$12,Fixtures!GX$25))=Fixtures!$DN49,CONCATENATE(GX$10,", "),""))</f>
        <v/>
      </c>
      <c r="GY49" s="607" t="str">
        <f ca="1">IF(INDIRECT(CONCATENATE($FK$12,Fixtures!GY$25))="","",IF(INDIRECT(CONCATENATE($FK$12,Fixtures!GY$25))=Fixtures!$DN49,CONCATENATE(GY$10,", "),""))</f>
        <v/>
      </c>
      <c r="GZ49" s="632" t="str">
        <f ca="1">IF(INDIRECT(CONCATENATE($FK$12,Fixtures!GZ$25))="","",IF(INDIRECT(CONCATENATE($FK$12,Fixtures!GZ$25))=Fixtures!$DN49,CONCATENATE(GZ$10,", "),""))</f>
        <v/>
      </c>
      <c r="HA49" s="632" t="str">
        <f ca="1">IF(INDIRECT(CONCATENATE($FK$12,Fixtures!HA$25))="","",IF(INDIRECT(CONCATENATE($FK$12,Fixtures!HA$25))=Fixtures!$DN49,CONCATENATE(HA$10,", "),""))</f>
        <v/>
      </c>
      <c r="HB49" s="632" t="str">
        <f ca="1">IF(INDIRECT(CONCATENATE($FK$12,Fixtures!HB$25))="","",IF(INDIRECT(CONCATENATE($FK$12,Fixtures!HB$25))=Fixtures!$DN49,CONCATENATE(HB$10,", "),""))</f>
        <v/>
      </c>
      <c r="HC49" s="632" t="str">
        <f ca="1">IF(INDIRECT(CONCATENATE($FK$12,Fixtures!HC$25))="","",IF(INDIRECT(CONCATENATE($FK$12,Fixtures!HC$25))=Fixtures!$DN49,CONCATENATE(HC$10,", "),""))</f>
        <v/>
      </c>
      <c r="HD49" s="632" t="str">
        <f ca="1">IF(INDIRECT(CONCATENATE($FK$12,Fixtures!HD$25))="","",IF(INDIRECT(CONCATENATE($FK$12,Fixtures!HD$25))=Fixtures!$DN49,CONCATENATE(HD$10,", "),""))</f>
        <v/>
      </c>
      <c r="HE49" s="632" t="str">
        <f ca="1">IF(INDIRECT(CONCATENATE($FK$12,Fixtures!HE$25))="","",IF(INDIRECT(CONCATENATE($FK$12,Fixtures!HE$25))=Fixtures!$DN49,CONCATENATE(HE$10,", "),""))</f>
        <v/>
      </c>
      <c r="HF49" s="632" t="str">
        <f ca="1">IF(INDIRECT(CONCATENATE($FK$12,Fixtures!HF$25))="","",IF(INDIRECT(CONCATENATE($FK$12,Fixtures!HF$25))=Fixtures!$DN49,CONCATENATE(HF$10,", "),""))</f>
        <v/>
      </c>
      <c r="HG49" s="632" t="str">
        <f ca="1">IF(INDIRECT(CONCATENATE($FK$12,Fixtures!HG$25))="","",IF(INDIRECT(CONCATENATE($FK$12,Fixtures!HG$25))=Fixtures!$DN49,CONCATENATE(HG$10,", "),""))</f>
        <v/>
      </c>
      <c r="HH49" s="632" t="str">
        <f ca="1">IF(INDIRECT(CONCATENATE($FK$12,Fixtures!HH$25))="","",IF(INDIRECT(CONCATENATE($FK$12,Fixtures!HH$25))=Fixtures!$DN49,CONCATENATE(HH$10,", "),""))</f>
        <v/>
      </c>
      <c r="HI49" s="632" t="str">
        <f ca="1">IF(INDIRECT(CONCATENATE($FK$12,Fixtures!HI$25))="","",IF(INDIRECT(CONCATENATE($FK$12,Fixtures!HI$25))=Fixtures!$DN49,CONCATENATE(HI$10,", "),""))</f>
        <v/>
      </c>
      <c r="HJ49" s="632" t="str">
        <f ca="1">IF(INDIRECT(CONCATENATE($FK$12,Fixtures!HJ$25))="","",IF(INDIRECT(CONCATENATE($FK$12,Fixtures!HJ$25))=Fixtures!$DN49,CONCATENATE(HJ$10,", "),""))</f>
        <v/>
      </c>
      <c r="HK49" s="632" t="str">
        <f ca="1">IF(INDIRECT(CONCATENATE($FK$12,Fixtures!HK$25))="","",IF(INDIRECT(CONCATENATE($FK$12,Fixtures!HK$25))=Fixtures!$DN49,CONCATENATE(HK$10,", "),""))</f>
        <v/>
      </c>
      <c r="HL49" s="632" t="str">
        <f ca="1">IF(INDIRECT(CONCATENATE($FK$12,Fixtures!HL$25))="","",IF(INDIRECT(CONCATENATE($FK$12,Fixtures!HL$25))=Fixtures!$DN49,CONCATENATE(HL$10,", "),""))</f>
        <v/>
      </c>
      <c r="HM49" s="606" t="str">
        <f ca="1">IF(INDIRECT(CONCATENATE($FK$12,Fixtures!HM$25))="","",IF(INDIRECT(CONCATENATE($FK$12,Fixtures!HM$25))=Fixtures!$DN49,CONCATENATE(HM$10,", "),""))</f>
        <v/>
      </c>
      <c r="HN49" s="607" t="str">
        <f ca="1">IF(INDIRECT(CONCATENATE($FK$12,Fixtures!HN$25))="","",IF(INDIRECT(CONCATENATE($FK$12,Fixtures!HN$25))=Fixtures!$DN49,CONCATENATE(HN$10,", "),""))</f>
        <v/>
      </c>
      <c r="HO49" s="632" t="str">
        <f ca="1">IF(INDIRECT(CONCATENATE($FK$12,Fixtures!HO$25))="","",IF(INDIRECT(CONCATENATE($FK$12,Fixtures!HO$25))=Fixtures!$DN49,CONCATENATE(HO$10,", "),""))</f>
        <v/>
      </c>
      <c r="HP49" s="632" t="str">
        <f ca="1">IF(INDIRECT(CONCATENATE($FK$12,Fixtures!HP$25))="","",IF(INDIRECT(CONCATENATE($FK$12,Fixtures!HP$25))=Fixtures!$DN49,CONCATENATE(HP$10,", "),""))</f>
        <v/>
      </c>
      <c r="HQ49" s="632" t="str">
        <f ca="1">IF(INDIRECT(CONCATENATE($FK$12,Fixtures!HQ$25))="","",IF(INDIRECT(CONCATENATE($FK$12,Fixtures!HQ$25))=Fixtures!$DN49,CONCATENATE(HQ$10,", "),""))</f>
        <v/>
      </c>
      <c r="HR49" s="632" t="str">
        <f ca="1">IF(INDIRECT(CONCATENATE($FK$12,Fixtures!HR$25))="","",IF(INDIRECT(CONCATENATE($FK$12,Fixtures!HR$25))=Fixtures!$DN49,CONCATENATE(HR$10,", "),""))</f>
        <v/>
      </c>
      <c r="HS49" s="632" t="str">
        <f ca="1">IF(INDIRECT(CONCATENATE($FK$12,Fixtures!HS$25))="","",IF(INDIRECT(CONCATENATE($FK$12,Fixtures!HS$25))=Fixtures!$DN49,CONCATENATE(HS$10,", "),""))</f>
        <v/>
      </c>
      <c r="HT49" s="632" t="str">
        <f ca="1">IF(INDIRECT(CONCATENATE($FK$12,Fixtures!HT$25))="","",IF(INDIRECT(CONCATENATE($FK$12,Fixtures!HT$25))=Fixtures!$DN49,CONCATENATE(HT$10,", "),""))</f>
        <v/>
      </c>
      <c r="HU49" s="632" t="str">
        <f ca="1">IF(INDIRECT(CONCATENATE($FK$12,Fixtures!HU$25))="","",IF(INDIRECT(CONCATENATE($FK$12,Fixtures!HU$25))=Fixtures!$DN49,CONCATENATE(HU$10,", "),""))</f>
        <v/>
      </c>
      <c r="HV49" s="632" t="str">
        <f ca="1">IF(INDIRECT(CONCATENATE($FK$12,Fixtures!HV$25))="","",IF(INDIRECT(CONCATENATE($FK$12,Fixtures!HV$25))=Fixtures!$DN49,CONCATENATE(HV$10,", "),""))</f>
        <v/>
      </c>
      <c r="HW49" s="632" t="str">
        <f ca="1">IF(INDIRECT(CONCATENATE($FK$12,Fixtures!HW$25))="","",IF(INDIRECT(CONCATENATE($FK$12,Fixtures!HW$25))=Fixtures!$DN49,CONCATENATE(HW$10,", "),""))</f>
        <v/>
      </c>
      <c r="HX49" s="632" t="str">
        <f ca="1">IF(INDIRECT(CONCATENATE($FK$12,Fixtures!HX$25))="","",IF(INDIRECT(CONCATENATE($FK$12,Fixtures!HX$25))=Fixtures!$DN49,CONCATENATE(HX$10,", "),""))</f>
        <v/>
      </c>
      <c r="HY49" s="632" t="str">
        <f ca="1">IF(INDIRECT(CONCATENATE($FK$12,Fixtures!HY$25))="","",IF(INDIRECT(CONCATENATE($FK$12,Fixtures!HY$25))=Fixtures!$DN49,CONCATENATE(HY$10,", "),""))</f>
        <v/>
      </c>
      <c r="HZ49" s="632" t="str">
        <f ca="1">IF(INDIRECT(CONCATENATE($FK$12,Fixtures!HZ$25))="","",IF(INDIRECT(CONCATENATE($FK$12,Fixtures!HZ$25))=Fixtures!$DN49,CONCATENATE(HZ$10,", "),""))</f>
        <v/>
      </c>
      <c r="IA49" s="632" t="str">
        <f ca="1">IF(INDIRECT(CONCATENATE($FK$12,Fixtures!IA$25))="","",IF(INDIRECT(CONCATENATE($FK$12,Fixtures!IA$25))=Fixtures!$DN49,CONCATENATE(IA$10,", "),""))</f>
        <v/>
      </c>
      <c r="IB49" s="606" t="str">
        <f ca="1">IF(INDIRECT(CONCATENATE($FK$12,Fixtures!IB$25))="","",IF(INDIRECT(CONCATENATE($FK$12,Fixtures!IB$25))=Fixtures!$DN49,CONCATENATE(IB$10,", "),""))</f>
        <v/>
      </c>
      <c r="IC49" s="607" t="str">
        <f ca="1">IF(INDIRECT(CONCATENATE($FK$12,Fixtures!IC$25))="","",IF(INDIRECT(CONCATENATE($FK$12,Fixtures!IC$25))=Fixtures!$DN49,CONCATENATE(IC$10,", "),""))</f>
        <v/>
      </c>
      <c r="ID49" s="632" t="str">
        <f ca="1">IF(INDIRECT(CONCATENATE($FK$12,Fixtures!ID$25))="","",IF(INDIRECT(CONCATENATE($FK$12,Fixtures!ID$25))=Fixtures!$DN49,CONCATENATE(ID$10,", "),""))</f>
        <v/>
      </c>
      <c r="IE49" s="632" t="str">
        <f ca="1">IF(INDIRECT(CONCATENATE($FK$12,Fixtures!IE$25))="","",IF(INDIRECT(CONCATENATE($FK$12,Fixtures!IE$25))=Fixtures!$DN49,CONCATENATE(IE$10,", "),""))</f>
        <v/>
      </c>
      <c r="IF49" s="632" t="str">
        <f ca="1">IF(INDIRECT(CONCATENATE($FK$12,Fixtures!IF$25))="","",IF(INDIRECT(CONCATENATE($FK$12,Fixtures!IF$25))=Fixtures!$DN49,CONCATENATE(IF$10,", "),""))</f>
        <v/>
      </c>
      <c r="IG49" s="632" t="str">
        <f ca="1">IF(INDIRECT(CONCATENATE($FK$12,Fixtures!IG$25))="","",IF(INDIRECT(CONCATENATE($FK$12,Fixtures!IG$25))=Fixtures!$DN49,CONCATENATE(IG$10,", "),""))</f>
        <v/>
      </c>
      <c r="IH49" s="632" t="str">
        <f ca="1">IF(INDIRECT(CONCATENATE($FK$12,Fixtures!IH$25))="","",IF(INDIRECT(CONCATENATE($FK$12,Fixtures!IH$25))=Fixtures!$DN49,CONCATENATE(IH$10,", "),""))</f>
        <v/>
      </c>
      <c r="II49" s="632" t="str">
        <f ca="1">IF(INDIRECT(CONCATENATE($FK$12,Fixtures!II$25))="","",IF(INDIRECT(CONCATENATE($FK$12,Fixtures!II$25))=Fixtures!$DN49,CONCATENATE(II$10,", "),""))</f>
        <v/>
      </c>
      <c r="IJ49" s="632" t="str">
        <f ca="1">IF(INDIRECT(CONCATENATE($FK$12,Fixtures!IJ$25))="","",IF(INDIRECT(CONCATENATE($FK$12,Fixtures!IJ$25))=Fixtures!$DN49,CONCATENATE(IJ$10,", "),""))</f>
        <v/>
      </c>
      <c r="IK49" s="632" t="str">
        <f ca="1">IF(INDIRECT(CONCATENATE($FK$12,Fixtures!IK$25))="","",IF(INDIRECT(CONCATENATE($FK$12,Fixtures!IK$25))=Fixtures!$DN49,CONCATENATE(IK$10,", "),""))</f>
        <v/>
      </c>
      <c r="IL49" s="632" t="str">
        <f ca="1">IF(INDIRECT(CONCATENATE($FK$12,Fixtures!IL$25))="","",IF(INDIRECT(CONCATENATE($FK$12,Fixtures!IL$25))=Fixtures!$DN49,CONCATENATE(IL$10,", "),""))</f>
        <v/>
      </c>
      <c r="IM49" s="632" t="str">
        <f ca="1">IF(INDIRECT(CONCATENATE($FK$12,Fixtures!IM$25))="","",IF(INDIRECT(CONCATENATE($FK$12,Fixtures!IM$25))=Fixtures!$DN49,CONCATENATE(IM$10,", "),""))</f>
        <v/>
      </c>
      <c r="IN49" s="632" t="str">
        <f ca="1">IF(INDIRECT(CONCATENATE($FK$12,Fixtures!IN$25))="","",IF(INDIRECT(CONCATENATE($FK$12,Fixtures!IN$25))=Fixtures!$DN49,CONCATENATE(IN$10,", "),""))</f>
        <v/>
      </c>
      <c r="IO49" s="632" t="str">
        <f ca="1">IF(INDIRECT(CONCATENATE($FK$12,Fixtures!IO$25))="","",IF(INDIRECT(CONCATENATE($FK$12,Fixtures!IO$25))=Fixtures!$DN49,CONCATENATE(IO$10,", "),""))</f>
        <v/>
      </c>
      <c r="IP49" s="632" t="str">
        <f ca="1">IF(INDIRECT(CONCATENATE($FK$12,Fixtures!IP$25))="","",IF(INDIRECT(CONCATENATE($FK$12,Fixtures!IP$25))=Fixtures!$DN49,CONCATENATE(IP$10,", "),""))</f>
        <v/>
      </c>
      <c r="IQ49" s="606" t="str">
        <f ca="1">IF(INDIRECT(CONCATENATE($FK$12,Fixtures!IQ$25))="","",IF(INDIRECT(CONCATENATE($FK$12,Fixtures!IQ$25))=Fixtures!$DN49,CONCATENATE(IQ$10,", "),""))</f>
        <v/>
      </c>
      <c r="IR49" s="607" t="str">
        <f ca="1">IF(INDIRECT(CONCATENATE($FK$12,Fixtures!IR$25))="","",IF(INDIRECT(CONCATENATE($FK$12,Fixtures!IR$25))=Fixtures!$DN49,CONCATENATE(IR$10,", "),""))</f>
        <v/>
      </c>
      <c r="IS49" s="632" t="str">
        <f ca="1">IF(INDIRECT(CONCATENATE($FK$12,Fixtures!IS$25))="","",IF(INDIRECT(CONCATENATE($FK$12,Fixtures!IS$25))=Fixtures!$DN49,CONCATENATE(IS$10,", "),""))</f>
        <v/>
      </c>
      <c r="IT49" s="632" t="str">
        <f ca="1">IF(INDIRECT(CONCATENATE($FK$12,Fixtures!IT$25))="","",IF(INDIRECT(CONCATENATE($FK$12,Fixtures!IT$25))=Fixtures!$DN49,CONCATENATE(IT$10,", "),""))</f>
        <v/>
      </c>
      <c r="IU49" s="632" t="str">
        <f ca="1">IF(INDIRECT(CONCATENATE($FK$12,Fixtures!IU$25))="","",IF(INDIRECT(CONCATENATE($FK$12,Fixtures!IU$25))=Fixtures!$DN49,CONCATENATE(IU$10,", "),""))</f>
        <v/>
      </c>
      <c r="IV49" s="632" t="str">
        <f ca="1">IF(INDIRECT(CONCATENATE($FK$12,Fixtures!IV$25))="","",IF(INDIRECT(CONCATENATE($FK$12,Fixtures!IV$25))=Fixtures!$DN49,CONCATENATE(IV$10,", "),""))</f>
        <v/>
      </c>
      <c r="IW49" s="632" t="str">
        <f ca="1">IF(INDIRECT(CONCATENATE($FK$12,Fixtures!IW$25))="","",IF(INDIRECT(CONCATENATE($FK$12,Fixtures!IW$25))=Fixtures!$DN49,CONCATENATE(IW$10,", "),""))</f>
        <v/>
      </c>
      <c r="IX49" s="632" t="str">
        <f ca="1">IF(INDIRECT(CONCATENATE($FK$12,Fixtures!IX$25))="","",IF(INDIRECT(CONCATENATE($FK$12,Fixtures!IX$25))=Fixtures!$DN49,CONCATENATE(IX$10,", "),""))</f>
        <v/>
      </c>
      <c r="IY49" s="632" t="str">
        <f ca="1">IF(INDIRECT(CONCATENATE($FK$12,Fixtures!IY$25))="","",IF(INDIRECT(CONCATENATE($FK$12,Fixtures!IY$25))=Fixtures!$DN49,CONCATENATE(IY$10,", "),""))</f>
        <v/>
      </c>
      <c r="IZ49" s="632" t="str">
        <f ca="1">IF(INDIRECT(CONCATENATE($FK$12,Fixtures!IZ$25))="","",IF(INDIRECT(CONCATENATE($FK$12,Fixtures!IZ$25))=Fixtures!$DN49,CONCATENATE(IZ$10,", "),""))</f>
        <v/>
      </c>
      <c r="JA49" s="632" t="str">
        <f ca="1">IF(INDIRECT(CONCATENATE($FK$12,Fixtures!JA$25))="","",IF(INDIRECT(CONCATENATE($FK$12,Fixtures!JA$25))=Fixtures!$DN49,CONCATENATE(JA$10,", "),""))</f>
        <v/>
      </c>
      <c r="JB49" s="632" t="str">
        <f ca="1">IF(INDIRECT(CONCATENATE($FK$12,Fixtures!JB$25))="","",IF(INDIRECT(CONCATENATE($FK$12,Fixtures!JB$25))=Fixtures!$DN49,CONCATENATE(JB$10,", "),""))</f>
        <v/>
      </c>
      <c r="JC49" s="632" t="str">
        <f ca="1">IF(INDIRECT(CONCATENATE($FK$12,Fixtures!JC$25))="","",IF(INDIRECT(CONCATENATE($FK$12,Fixtures!JC$25))=Fixtures!$DN49,CONCATENATE(JC$10,", "),""))</f>
        <v/>
      </c>
      <c r="JD49" s="632" t="str">
        <f ca="1">IF(INDIRECT(CONCATENATE($FK$12,Fixtures!JD$25))="","",IF(INDIRECT(CONCATENATE($FK$12,Fixtures!JD$25))=Fixtures!$DN49,CONCATENATE(JD$10,", "),""))</f>
        <v/>
      </c>
      <c r="JE49" s="632" t="str">
        <f ca="1">IF(INDIRECT(CONCATENATE($FK$12,Fixtures!JE$25))="","",IF(INDIRECT(CONCATENATE($FK$12,Fixtures!JE$25))=Fixtures!$DN49,CONCATENATE(JE$10,", "),""))</f>
        <v/>
      </c>
      <c r="JF49" s="606" t="str">
        <f ca="1">IF(INDIRECT(CONCATENATE($FK$12,Fixtures!JF$25))="","",IF(INDIRECT(CONCATENATE($FK$12,Fixtures!JF$25))=Fixtures!$DN49,CONCATENATE(JF$10,", "),""))</f>
        <v/>
      </c>
      <c r="JG49" s="607" t="str">
        <f ca="1">IF(INDIRECT(CONCATENATE($FK$12,Fixtures!JG$25))="","",IF(INDIRECT(CONCATENATE($FK$12,Fixtures!JG$25))=Fixtures!$DN49,CONCATENATE(JG$10,", "),""))</f>
        <v/>
      </c>
      <c r="JH49" s="632" t="str">
        <f ca="1">IF(INDIRECT(CONCATENATE($FK$12,Fixtures!JH$25))="","",IF(INDIRECT(CONCATENATE($FK$12,Fixtures!JH$25))=Fixtures!$DN49,CONCATENATE(JH$10,", "),""))</f>
        <v/>
      </c>
      <c r="JI49" s="632" t="str">
        <f ca="1">IF(INDIRECT(CONCATENATE($FK$12,Fixtures!JI$25))="","",IF(INDIRECT(CONCATENATE($FK$12,Fixtures!JI$25))=Fixtures!$DN49,CONCATENATE(JI$10,", "),""))</f>
        <v/>
      </c>
      <c r="JJ49" s="632" t="str">
        <f ca="1">IF(INDIRECT(CONCATENATE($FK$12,Fixtures!JJ$25))="","",IF(INDIRECT(CONCATENATE($FK$12,Fixtures!JJ$25))=Fixtures!$DN49,CONCATENATE(JJ$10,", "),""))</f>
        <v/>
      </c>
      <c r="JK49" s="632" t="str">
        <f ca="1">IF(INDIRECT(CONCATENATE($FK$12,Fixtures!JK$25))="","",IF(INDIRECT(CONCATENATE($FK$12,Fixtures!JK$25))=Fixtures!$DN49,CONCATENATE(JK$10,", "),""))</f>
        <v/>
      </c>
      <c r="JL49" s="632" t="str">
        <f ca="1">IF(INDIRECT(CONCATENATE($FK$12,Fixtures!JL$25))="","",IF(INDIRECT(CONCATENATE($FK$12,Fixtures!JL$25))=Fixtures!$DN49,CONCATENATE(JL$10,", "),""))</f>
        <v/>
      </c>
      <c r="JM49" s="632" t="str">
        <f ca="1">IF(INDIRECT(CONCATENATE($FK$12,Fixtures!JM$25))="","",IF(INDIRECT(CONCATENATE($FK$12,Fixtures!JM$25))=Fixtures!$DN49,CONCATENATE(JM$10,", "),""))</f>
        <v/>
      </c>
      <c r="JN49" s="632" t="str">
        <f ca="1">IF(INDIRECT(CONCATENATE($FK$12,Fixtures!JN$25))="","",IF(INDIRECT(CONCATENATE($FK$12,Fixtures!JN$25))=Fixtures!$DN49,CONCATENATE(JN$10,", "),""))</f>
        <v/>
      </c>
      <c r="JO49" s="632" t="str">
        <f ca="1">IF(INDIRECT(CONCATENATE($FK$12,Fixtures!JO$25))="","",IF(INDIRECT(CONCATENATE($FK$12,Fixtures!JO$25))=Fixtures!$DN49,CONCATENATE(JO$10,", "),""))</f>
        <v/>
      </c>
      <c r="JP49" s="632" t="str">
        <f ca="1">IF(INDIRECT(CONCATENATE($FK$12,Fixtures!JP$25))="","",IF(INDIRECT(CONCATENATE($FK$12,Fixtures!JP$25))=Fixtures!$DN49,CONCATENATE(JP$10,", "),""))</f>
        <v/>
      </c>
      <c r="JQ49" s="632" t="str">
        <f ca="1">IF(INDIRECT(CONCATENATE($FK$12,Fixtures!JQ$25))="","",IF(INDIRECT(CONCATENATE($FK$12,Fixtures!JQ$25))=Fixtures!$DN49,CONCATENATE(JQ$10,", "),""))</f>
        <v/>
      </c>
      <c r="JR49" s="632" t="str">
        <f ca="1">IF(INDIRECT(CONCATENATE($FK$12,Fixtures!JR$25))="","",IF(INDIRECT(CONCATENATE($FK$12,Fixtures!JR$25))=Fixtures!$DN49,CONCATENATE(JR$10,", "),""))</f>
        <v/>
      </c>
      <c r="JS49" s="632" t="str">
        <f ca="1">IF(INDIRECT(CONCATENATE($FK$12,Fixtures!JS$25))="","",IF(INDIRECT(CONCATENATE($FK$12,Fixtures!JS$25))=Fixtures!$DN49,CONCATENATE(JS$10,", "),""))</f>
        <v/>
      </c>
      <c r="JT49" s="632" t="str">
        <f ca="1">IF(INDIRECT(CONCATENATE($FK$12,Fixtures!JT$25))="","",IF(INDIRECT(CONCATENATE($FK$12,Fixtures!JT$25))=Fixtures!$DN49,CONCATENATE(JT$10,", "),""))</f>
        <v/>
      </c>
      <c r="JU49" s="606" t="str">
        <f ca="1">IF(INDIRECT(CONCATENATE($FK$12,Fixtures!JU$25))="","",IF(INDIRECT(CONCATENATE($FK$12,Fixtures!JU$25))=Fixtures!$DN49,CONCATENATE(JU$10,", "),""))</f>
        <v/>
      </c>
      <c r="JV49" s="607" t="str">
        <f ca="1">IF(INDIRECT(CONCATENATE($FK$12,Fixtures!JV$25))="","",IF(INDIRECT(CONCATENATE($FK$12,Fixtures!JV$25))=Fixtures!$DN49,CONCATENATE(JV$10,", "),""))</f>
        <v/>
      </c>
      <c r="JW49" s="632" t="str">
        <f ca="1">IF(INDIRECT(CONCATENATE($FK$12,Fixtures!JW$25))="","",IF(INDIRECT(CONCATENATE($FK$12,Fixtures!JW$25))=Fixtures!$DN49,CONCATENATE(JW$10,", "),""))</f>
        <v/>
      </c>
      <c r="JX49" s="632" t="str">
        <f ca="1">IF(INDIRECT(CONCATENATE($FK$12,Fixtures!JX$25))="","",IF(INDIRECT(CONCATENATE($FK$12,Fixtures!JX$25))=Fixtures!$DN49,CONCATENATE(JX$10,", "),""))</f>
        <v/>
      </c>
      <c r="JY49" s="632" t="str">
        <f ca="1">IF(INDIRECT(CONCATENATE($FK$12,Fixtures!JY$25))="","",IF(INDIRECT(CONCATENATE($FK$12,Fixtures!JY$25))=Fixtures!$DN49,CONCATENATE(JY$10,", "),""))</f>
        <v/>
      </c>
      <c r="JZ49" s="632" t="str">
        <f ca="1">IF(INDIRECT(CONCATENATE($FK$12,Fixtures!JZ$25))="","",IF(INDIRECT(CONCATENATE($FK$12,Fixtures!JZ$25))=Fixtures!$DN49,CONCATENATE(JZ$10,", "),""))</f>
        <v/>
      </c>
      <c r="KA49" s="632" t="str">
        <f ca="1">IF(INDIRECT(CONCATENATE($FK$12,Fixtures!KA$25))="","",IF(INDIRECT(CONCATENATE($FK$12,Fixtures!KA$25))=Fixtures!$DN49,CONCATENATE(KA$10,", "),""))</f>
        <v/>
      </c>
      <c r="KB49" s="632" t="str">
        <f ca="1">IF(INDIRECT(CONCATENATE($FK$12,Fixtures!KB$25))="","",IF(INDIRECT(CONCATENATE($FK$12,Fixtures!KB$25))=Fixtures!$DN49,CONCATENATE(KB$10,", "),""))</f>
        <v/>
      </c>
      <c r="KC49" s="632" t="str">
        <f ca="1">IF(INDIRECT(CONCATENATE($FK$12,Fixtures!KC$25))="","",IF(INDIRECT(CONCATENATE($FK$12,Fixtures!KC$25))=Fixtures!$DN49,CONCATENATE(KC$10,", "),""))</f>
        <v/>
      </c>
      <c r="KD49" s="632" t="str">
        <f ca="1">IF(INDIRECT(CONCATENATE($FK$12,Fixtures!KD$25))="","",IF(INDIRECT(CONCATENATE($FK$12,Fixtures!KD$25))=Fixtures!$DN49,CONCATENATE(KD$10,", "),""))</f>
        <v/>
      </c>
      <c r="KE49" s="632" t="str">
        <f ca="1">IF(INDIRECT(CONCATENATE($FK$12,Fixtures!KE$25))="","",IF(INDIRECT(CONCATENATE($FK$12,Fixtures!KE$25))=Fixtures!$DN49,CONCATENATE(KE$10,", "),""))</f>
        <v/>
      </c>
      <c r="KF49" s="632" t="str">
        <f ca="1">IF(INDIRECT(CONCATENATE($FK$12,Fixtures!KF$25))="","",IF(INDIRECT(CONCATENATE($FK$12,Fixtures!KF$25))=Fixtures!$DN49,CONCATENATE(KF$10,", "),""))</f>
        <v/>
      </c>
      <c r="KG49" s="632" t="str">
        <f ca="1">IF(INDIRECT(CONCATENATE($FK$12,Fixtures!KG$25))="","",IF(INDIRECT(CONCATENATE($FK$12,Fixtures!KG$25))=Fixtures!$DN49,CONCATENATE(KG$10,", "),""))</f>
        <v/>
      </c>
      <c r="KH49" s="632" t="str">
        <f ca="1">IF(INDIRECT(CONCATENATE($FK$12,Fixtures!KH$25))="","",IF(INDIRECT(CONCATENATE($FK$12,Fixtures!KH$25))=Fixtures!$DN49,CONCATENATE(KH$10,", "),""))</f>
        <v/>
      </c>
      <c r="KI49" s="632" t="str">
        <f ca="1">IF(INDIRECT(CONCATENATE($FK$12,Fixtures!KI$25))="","",IF(INDIRECT(CONCATENATE($FK$12,Fixtures!KI$25))=Fixtures!$DN49,CONCATENATE(KI$10,", "),""))</f>
        <v/>
      </c>
      <c r="KJ49" s="606" t="str">
        <f ca="1">IF(INDIRECT(CONCATENATE($FK$12,Fixtures!KJ$25))="","",IF(INDIRECT(CONCATENATE($FK$12,Fixtures!KJ$25))=Fixtures!$DN49,CONCATENATE(KJ$10,", "),""))</f>
        <v/>
      </c>
      <c r="KK49" s="607" t="str">
        <f ca="1">IF(INDIRECT(CONCATENATE($FK$12,Fixtures!KK$25))="","",IF(INDIRECT(CONCATENATE($FK$12,Fixtures!KK$25))=Fixtures!$DN49,CONCATENATE(KK$10,", "),""))</f>
        <v/>
      </c>
      <c r="KL49" s="632" t="str">
        <f ca="1">IF(INDIRECT(CONCATENATE($FK$12,Fixtures!KL$25))="","",IF(INDIRECT(CONCATENATE($FK$12,Fixtures!KL$25))=Fixtures!$DN49,CONCATENATE(KL$10,", "),""))</f>
        <v/>
      </c>
      <c r="KM49" s="632" t="str">
        <f ca="1">IF(INDIRECT(CONCATENATE($FK$12,Fixtures!KM$25))="","",IF(INDIRECT(CONCATENATE($FK$12,Fixtures!KM$25))=Fixtures!$DN49,CONCATENATE(KM$10,", "),""))</f>
        <v/>
      </c>
      <c r="KN49" s="632" t="str">
        <f ca="1">IF(INDIRECT(CONCATENATE($FK$12,Fixtures!KN$25))="","",IF(INDIRECT(CONCATENATE($FK$12,Fixtures!KN$25))=Fixtures!$DN49,CONCATENATE(KN$10,", "),""))</f>
        <v/>
      </c>
      <c r="KO49" s="632" t="str">
        <f ca="1">IF(INDIRECT(CONCATENATE($FK$12,Fixtures!KO$25))="","",IF(INDIRECT(CONCATENATE($FK$12,Fixtures!KO$25))=Fixtures!$DN49,CONCATENATE(KO$10,", "),""))</f>
        <v/>
      </c>
      <c r="KP49" s="632" t="str">
        <f ca="1">IF(INDIRECT(CONCATENATE($FK$12,Fixtures!KP$25))="","",IF(INDIRECT(CONCATENATE($FK$12,Fixtures!KP$25))=Fixtures!$DN49,CONCATENATE(KP$10,", "),""))</f>
        <v/>
      </c>
      <c r="KQ49" s="632" t="str">
        <f ca="1">IF(INDIRECT(CONCATENATE($FK$12,Fixtures!KQ$25))="","",IF(INDIRECT(CONCATENATE($FK$12,Fixtures!KQ$25))=Fixtures!$DN49,CONCATENATE(KQ$10,", "),""))</f>
        <v/>
      </c>
      <c r="KR49" s="632" t="str">
        <f ca="1">IF(INDIRECT(CONCATENATE($FK$12,Fixtures!KR$25))="","",IF(INDIRECT(CONCATENATE($FK$12,Fixtures!KR$25))=Fixtures!$DN49,CONCATENATE(KR$10,", "),""))</f>
        <v/>
      </c>
      <c r="KS49" s="632" t="str">
        <f ca="1">IF(INDIRECT(CONCATENATE($FK$12,Fixtures!KS$25))="","",IF(INDIRECT(CONCATENATE($FK$12,Fixtures!KS$25))=Fixtures!$DN49,CONCATENATE(KS$10,", "),""))</f>
        <v/>
      </c>
      <c r="KT49" s="632" t="str">
        <f ca="1">IF(INDIRECT(CONCATENATE($FK$12,Fixtures!KT$25))="","",IF(INDIRECT(CONCATENATE($FK$12,Fixtures!KT$25))=Fixtures!$DN49,CONCATENATE(KT$10,", "),""))</f>
        <v/>
      </c>
      <c r="KU49" s="632" t="str">
        <f ca="1">IF(INDIRECT(CONCATENATE($FK$12,Fixtures!KU$25))="","",IF(INDIRECT(CONCATENATE($FK$12,Fixtures!KU$25))=Fixtures!$DN49,CONCATENATE(KU$10,", "),""))</f>
        <v/>
      </c>
      <c r="KV49" s="632" t="str">
        <f ca="1">IF(INDIRECT(CONCATENATE($FK$12,Fixtures!KV$25))="","",IF(INDIRECT(CONCATENATE($FK$12,Fixtures!KV$25))=Fixtures!$DN49,CONCATENATE(KV$10,", "),""))</f>
        <v/>
      </c>
      <c r="KW49" s="632" t="str">
        <f ca="1">IF(INDIRECT(CONCATENATE($FK$12,Fixtures!KW$25))="","",IF(INDIRECT(CONCATENATE($FK$12,Fixtures!KW$25))=Fixtures!$DN49,CONCATENATE(KW$10,", "),""))</f>
        <v/>
      </c>
      <c r="KX49" s="632" t="str">
        <f ca="1">IF(INDIRECT(CONCATENATE($FK$12,Fixtures!KX$25))="","",IF(INDIRECT(CONCATENATE($FK$12,Fixtures!KX$25))=Fixtures!$DN49,CONCATENATE(KX$10,", "),""))</f>
        <v/>
      </c>
      <c r="KY49" s="632"/>
      <c r="KZ49" s="46"/>
      <c r="LA49" s="46" t="str">
        <f t="shared" ca="1" si="7"/>
        <v/>
      </c>
      <c r="LB49" s="46"/>
      <c r="LC49" s="1010"/>
      <c r="LD49" s="1009" t="str">
        <f t="shared" si="20"/>
        <v/>
      </c>
    </row>
    <row r="50" spans="1:316" ht="28.2" customHeight="1" thickTop="1" thickBot="1">
      <c r="A50" s="426" t="str">
        <f t="shared" si="13"/>
        <v/>
      </c>
      <c r="C50" s="1640" t="str">
        <f t="shared" si="14"/>
        <v/>
      </c>
      <c r="D50" s="1641"/>
      <c r="E50" s="1568" t="str">
        <f t="shared" si="15"/>
        <v/>
      </c>
      <c r="F50" s="1569"/>
      <c r="G50" s="1569"/>
      <c r="H50" s="1569"/>
      <c r="I50" s="1569"/>
      <c r="J50" s="1569"/>
      <c r="K50" s="1569"/>
      <c r="L50" s="1569"/>
      <c r="M50" s="1642"/>
      <c r="N50" s="203" t="str">
        <f t="shared" si="16"/>
        <v/>
      </c>
      <c r="O50" s="12"/>
      <c r="P50" s="1638" t="str">
        <f t="shared" si="25"/>
        <v/>
      </c>
      <c r="Q50" s="1639"/>
      <c r="R50" s="1568" t="str">
        <f t="shared" si="30"/>
        <v/>
      </c>
      <c r="S50" s="1569"/>
      <c r="T50" s="1569"/>
      <c r="U50" s="1569"/>
      <c r="V50" s="1569"/>
      <c r="W50" s="1569"/>
      <c r="X50" s="1569"/>
      <c r="Y50" s="203" t="str">
        <f t="shared" si="26"/>
        <v/>
      </c>
      <c r="Z50" s="203" t="str">
        <f t="shared" si="27"/>
        <v/>
      </c>
      <c r="AA50" s="394" t="str">
        <f t="shared" si="28"/>
        <v/>
      </c>
      <c r="AB50" s="489"/>
      <c r="AC50" s="1564" t="str">
        <f t="shared" si="18"/>
        <v/>
      </c>
      <c r="AD50" s="1565"/>
      <c r="AE50" s="1565"/>
      <c r="AF50" s="1565"/>
      <c r="AG50" s="1565"/>
      <c r="AH50" s="1565"/>
      <c r="AK50">
        <f>SUMIFS(Installations!CV$46:CV$803,Installations!CW$46:CW$803,E50,Installations!IC$46:IC$803,TRUE)</f>
        <v>0</v>
      </c>
      <c r="AL50">
        <f>SUMIFS(Installations!CV$46:CV$803,Installations!CW$46:CW$803,R50,Installations!IC$46:IC$803,TRUE)</f>
        <v>0</v>
      </c>
      <c r="BL50" s="9"/>
      <c r="BM50" s="622" t="str">
        <f t="shared" si="19"/>
        <v/>
      </c>
      <c r="BN50" s="52"/>
      <c r="BO50" s="52"/>
      <c r="BP50" s="52"/>
      <c r="BQ50" s="52"/>
      <c r="BR50" s="52"/>
      <c r="BS50" s="52"/>
      <c r="BT50" s="52"/>
      <c r="BU50" s="373"/>
      <c r="BV50" s="219" t="str">
        <f>IF(CN50&lt;&gt;"Yes","",IFERROR(VLOOKUP(CU50,Existing!A$4:F$367,2,FALSE),""))</f>
        <v/>
      </c>
      <c r="BW50" s="9">
        <v>24</v>
      </c>
      <c r="BX50" s="1625"/>
      <c r="BY50" s="1626"/>
      <c r="BZ50" s="1626"/>
      <c r="CA50" s="1627"/>
      <c r="CB50" s="1622"/>
      <c r="CC50" s="1623"/>
      <c r="CD50" s="1623"/>
      <c r="CE50" s="1624"/>
      <c r="CF50" s="1621"/>
      <c r="CG50" s="1621"/>
      <c r="CH50" s="1621"/>
      <c r="CI50" s="1621"/>
      <c r="CJ50" s="1621"/>
      <c r="CK50" s="1621"/>
      <c r="CL50" s="1621"/>
      <c r="CM50" s="1621"/>
      <c r="CN50" s="1553" t="str">
        <f t="shared" si="0"/>
        <v/>
      </c>
      <c r="CO50" s="1554"/>
      <c r="CP50" s="229" t="str">
        <f>IFERROR(IF(CB50="Existing TLED",CR50*CW50*CY50,VLOOKUP(CU50,Existing!A$3:F$356,6,FALSE)),"")</f>
        <v/>
      </c>
      <c r="CQ50" s="9"/>
      <c r="CR50" s="1660"/>
      <c r="CS50" s="1661"/>
      <c r="CT50" s="9"/>
      <c r="CU50" s="425" t="str">
        <f t="shared" si="21"/>
        <v/>
      </c>
      <c r="CV50" s="426" t="b">
        <f t="shared" si="22"/>
        <v>0</v>
      </c>
      <c r="CW50" s="426" t="str">
        <f t="shared" si="23"/>
        <v/>
      </c>
      <c r="CX50" s="426">
        <f>IFERROR(VLOOKUP(CF50,Lookup!T$100:V$102,3,FALSE),0)</f>
        <v>0</v>
      </c>
      <c r="CY50" s="426">
        <f t="shared" si="8"/>
        <v>1.1100000000000001</v>
      </c>
      <c r="CZ50" s="626" t="b">
        <f t="shared" si="1"/>
        <v>0</v>
      </c>
      <c r="DA50" s="626" t="b">
        <f>IF(CF50&lt;&gt;"",IF(ISERROR(MATCH(CONCATENATE(CB50," - ",CF50),Existing!G$4:G$331,0))=TRUE,FALSE,TRUE),TRUE)</f>
        <v>1</v>
      </c>
      <c r="DB50" s="626" t="b">
        <f t="shared" si="2"/>
        <v>1</v>
      </c>
      <c r="DL50" s="9"/>
      <c r="DM50" s="627" t="s">
        <v>215</v>
      </c>
      <c r="DN50" s="375" t="str">
        <f t="shared" si="3"/>
        <v/>
      </c>
      <c r="DO50" s="52"/>
      <c r="DP50" s="52"/>
      <c r="DQ50" s="52"/>
      <c r="DR50" s="52"/>
      <c r="DS50" s="52"/>
      <c r="DT50" s="226"/>
      <c r="DU50" s="376"/>
      <c r="DV50" s="227" t="str">
        <f t="shared" si="4"/>
        <v/>
      </c>
      <c r="DW50" s="224">
        <v>24</v>
      </c>
      <c r="DX50" s="1572"/>
      <c r="DY50" s="1573"/>
      <c r="DZ50" s="1573"/>
      <c r="EA50" s="1574"/>
      <c r="EB50" s="1618"/>
      <c r="EC50" s="1619"/>
      <c r="ED50" s="1619"/>
      <c r="EE50" s="1620"/>
      <c r="EF50" s="1578"/>
      <c r="EG50" s="1579"/>
      <c r="EH50" s="1618"/>
      <c r="EI50" s="1619"/>
      <c r="EJ50" s="1619"/>
      <c r="EK50" s="1620"/>
      <c r="EL50" s="1575"/>
      <c r="EM50" s="1576"/>
      <c r="EN50" s="1576"/>
      <c r="EO50" s="1577"/>
      <c r="EP50" s="1578"/>
      <c r="EQ50" s="1579"/>
      <c r="ER50" s="1555"/>
      <c r="ES50" s="1556"/>
      <c r="ET50" s="1553" t="str">
        <f t="shared" si="9"/>
        <v/>
      </c>
      <c r="EU50" s="1554"/>
      <c r="EV50" s="1553" t="str">
        <f t="shared" si="29"/>
        <v/>
      </c>
      <c r="EW50" s="1554"/>
      <c r="EX50" s="393"/>
      <c r="EY50" s="225" t="str">
        <f t="shared" si="6"/>
        <v/>
      </c>
      <c r="EZ50" s="225" t="str">
        <f>IFERROR(VLOOKUP(EB50,Lookup!AT$3:AU$13,2,FALSE),"")</f>
        <v/>
      </c>
      <c r="FA50" s="426" t="b">
        <f>IFERROR(IF(VLOOKUP(EB50,Lookup!AT$6:AU$8,2,FALSE)&gt;3,TRUE,FALSE),FALSE)</f>
        <v>0</v>
      </c>
      <c r="FB50" s="426" t="str">
        <f t="shared" si="10"/>
        <v/>
      </c>
      <c r="FC50" t="str">
        <f t="shared" ca="1" si="11"/>
        <v/>
      </c>
      <c r="FG50" t="str">
        <f t="shared" ca="1" si="12"/>
        <v/>
      </c>
      <c r="FI50" s="204" t="str">
        <f t="shared" ca="1" si="24"/>
        <v/>
      </c>
      <c r="FJ50" s="204"/>
      <c r="FK50" s="631" t="str">
        <f ca="1">IF(INDIRECT(CONCATENATE($FK$12,Fixtures!FK$25))="","",IF(INDIRECT(CONCATENATE($FK$12,Fixtures!FK$25))=Fixtures!$DN50,CONCATENATE(FK$10,", "),""))</f>
        <v/>
      </c>
      <c r="FL50" s="631" t="str">
        <f ca="1">IF(INDIRECT(CONCATENATE($FK$12,Fixtures!FL$25))="","",IF(INDIRECT(CONCATENATE($FK$12,Fixtures!FL$25))=Fixtures!$DN50,CONCATENATE(FL$10,", "),""))</f>
        <v/>
      </c>
      <c r="FM50" s="631" t="str">
        <f ca="1">IF(INDIRECT(CONCATENATE($FK$12,Fixtures!FM$25))="","",IF(INDIRECT(CONCATENATE($FK$12,Fixtures!FM$25))=Fixtures!$DN50,CONCATENATE(FM$10,", "),""))</f>
        <v/>
      </c>
      <c r="FN50" s="631" t="str">
        <f ca="1">IF(INDIRECT(CONCATENATE($FK$12,Fixtures!FN$25))="","",IF(INDIRECT(CONCATENATE($FK$12,Fixtures!FN$25))=Fixtures!$DN50,CONCATENATE(FN$10,", "),""))</f>
        <v/>
      </c>
      <c r="FO50" s="631" t="str">
        <f ca="1">IF(INDIRECT(CONCATENATE($FK$12,Fixtures!FO$25))="","",IF(INDIRECT(CONCATENATE($FK$12,Fixtures!FO$25))=Fixtures!$DN50,CONCATENATE(FO$10,", "),""))</f>
        <v/>
      </c>
      <c r="FP50" s="631" t="str">
        <f ca="1">IF(INDIRECT(CONCATENATE($FK$12,Fixtures!FP$25))="","",IF(INDIRECT(CONCATENATE($FK$12,Fixtures!FP$25))=Fixtures!$DN50,CONCATENATE(FP$10,", "),""))</f>
        <v/>
      </c>
      <c r="FQ50" s="631" t="str">
        <f ca="1">IF(INDIRECT(CONCATENATE($FK$12,Fixtures!FQ$25))="","",IF(INDIRECT(CONCATENATE($FK$12,Fixtures!FQ$25))=Fixtures!$DN50,CONCATENATE(FQ$10,", "),""))</f>
        <v/>
      </c>
      <c r="FR50" s="631" t="str">
        <f ca="1">IF(INDIRECT(CONCATENATE($FK$12,Fixtures!FR$25))="","",IF(INDIRECT(CONCATENATE($FK$12,Fixtures!FR$25))=Fixtures!$DN50,CONCATENATE(FR$10,", "),""))</f>
        <v/>
      </c>
      <c r="FS50" s="631" t="str">
        <f ca="1">IF(INDIRECT(CONCATENATE($FK$12,Fixtures!FS$25))="","",IF(INDIRECT(CONCATENATE($FK$12,Fixtures!FS$25))=Fixtures!$DN50,CONCATENATE(FS$10,", "),""))</f>
        <v/>
      </c>
      <c r="FT50" s="604" t="str">
        <f ca="1">IF(INDIRECT(CONCATENATE($FK$12,Fixtures!FT$25))="","",IF(INDIRECT(CONCATENATE($FK$12,Fixtures!FT$25))=Fixtures!$DN50,CONCATENATE(FT$10,", "),""))</f>
        <v/>
      </c>
      <c r="FU50" s="605" t="str">
        <f ca="1">IF(INDIRECT(CONCATENATE($FK$12,Fixtures!FU$25))="","",IF(INDIRECT(CONCATENATE($FK$12,Fixtures!FU$25))=Fixtures!$DN50,CONCATENATE(FU$10,", "),""))</f>
        <v/>
      </c>
      <c r="FV50" s="631" t="str">
        <f ca="1">IF(INDIRECT(CONCATENATE($FK$12,Fixtures!FV$25))="","",IF(INDIRECT(CONCATENATE($FK$12,Fixtures!FV$25))=Fixtures!$DN50,CONCATENATE(FV$10,", "),""))</f>
        <v/>
      </c>
      <c r="FW50" s="632" t="str">
        <f ca="1">IF(INDIRECT(CONCATENATE($FK$12,Fixtures!FW$25))="","",IF(INDIRECT(CONCATENATE($FK$12,Fixtures!FW$25))=Fixtures!$DN50,CONCATENATE(FW$10,", "),""))</f>
        <v/>
      </c>
      <c r="FX50" s="632" t="str">
        <f ca="1">IF(INDIRECT(CONCATENATE($FK$12,Fixtures!FX$25))="","",IF(INDIRECT(CONCATENATE($FK$12,Fixtures!FX$25))=Fixtures!$DN50,CONCATENATE(FX$10,", "),""))</f>
        <v/>
      </c>
      <c r="FY50" s="632" t="str">
        <f ca="1">IF(INDIRECT(CONCATENATE($FK$12,Fixtures!FY$25))="","",IF(INDIRECT(CONCATENATE($FK$12,Fixtures!FY$25))=Fixtures!$DN50,CONCATENATE(FY$10,", "),""))</f>
        <v/>
      </c>
      <c r="FZ50" s="632" t="str">
        <f ca="1">IF(INDIRECT(CONCATENATE($FK$12,Fixtures!FZ$25))="","",IF(INDIRECT(CONCATENATE($FK$12,Fixtures!FZ$25))=Fixtures!$DN50,CONCATENATE(FZ$10,", "),""))</f>
        <v/>
      </c>
      <c r="GA50" s="632" t="str">
        <f ca="1">IF(INDIRECT(CONCATENATE($FK$12,Fixtures!GA$25))="","",IF(INDIRECT(CONCATENATE($FK$12,Fixtures!GA$25))=Fixtures!$DN50,CONCATENATE(GA$10,", "),""))</f>
        <v/>
      </c>
      <c r="GB50" s="632" t="str">
        <f ca="1">IF(INDIRECT(CONCATENATE($FK$12,Fixtures!GB$25))="","",IF(INDIRECT(CONCATENATE($FK$12,Fixtures!GB$25))=Fixtures!$DN50,CONCATENATE(GB$10,", "),""))</f>
        <v/>
      </c>
      <c r="GC50" s="632" t="str">
        <f ca="1">IF(INDIRECT(CONCATENATE($FK$12,Fixtures!GC$25))="","",IF(INDIRECT(CONCATENATE($FK$12,Fixtures!GC$25))=Fixtures!$DN50,CONCATENATE(GC$10,", "),""))</f>
        <v/>
      </c>
      <c r="GD50" s="632" t="str">
        <f ca="1">IF(INDIRECT(CONCATENATE($FK$12,Fixtures!GD$25))="","",IF(INDIRECT(CONCATENATE($FK$12,Fixtures!GD$25))=Fixtures!$DN50,CONCATENATE(GD$10,", "),""))</f>
        <v/>
      </c>
      <c r="GE50" s="632" t="str">
        <f ca="1">IF(INDIRECT(CONCATENATE($FK$12,Fixtures!GE$25))="","",IF(INDIRECT(CONCATENATE($FK$12,Fixtures!GE$25))=Fixtures!$DN50,CONCATENATE(GE$10,", "),""))</f>
        <v/>
      </c>
      <c r="GF50" s="632" t="str">
        <f ca="1">IF(INDIRECT(CONCATENATE($FK$12,Fixtures!GF$25))="","",IF(INDIRECT(CONCATENATE($FK$12,Fixtures!GF$25))=Fixtures!$DN50,CONCATENATE(GF$10,", "),""))</f>
        <v/>
      </c>
      <c r="GG50" s="632" t="str">
        <f ca="1">IF(INDIRECT(CONCATENATE($FK$12,Fixtures!GG$25))="","",IF(INDIRECT(CONCATENATE($FK$12,Fixtures!GG$25))=Fixtures!$DN50,CONCATENATE(GG$10,", "),""))</f>
        <v/>
      </c>
      <c r="GH50" s="632" t="str">
        <f ca="1">IF(INDIRECT(CONCATENATE($FK$12,Fixtures!GH$25))="","",IF(INDIRECT(CONCATENATE($FK$12,Fixtures!GH$25))=Fixtures!$DN50,CONCATENATE(GH$10,", "),""))</f>
        <v/>
      </c>
      <c r="GI50" s="606" t="str">
        <f ca="1">IF(INDIRECT(CONCATENATE($FK$12,Fixtures!GI$25))="","",IF(INDIRECT(CONCATENATE($FK$12,Fixtures!GI$25))=Fixtures!$DN50,CONCATENATE(GI$10,", "),""))</f>
        <v/>
      </c>
      <c r="GJ50" s="607" t="str">
        <f ca="1">IF(INDIRECT(CONCATENATE($FK$12,Fixtures!GJ$25))="","",IF(INDIRECT(CONCATENATE($FK$12,Fixtures!GJ$25))=Fixtures!$DN50,CONCATENATE(GJ$10,", "),""))</f>
        <v/>
      </c>
      <c r="GK50" s="632" t="str">
        <f ca="1">IF(INDIRECT(CONCATENATE($FK$12,Fixtures!GK$25))="","",IF(INDIRECT(CONCATENATE($FK$12,Fixtures!GK$25))=Fixtures!$DN50,CONCATENATE(GK$10,", "),""))</f>
        <v/>
      </c>
      <c r="GL50" s="632" t="str">
        <f ca="1">IF(INDIRECT(CONCATENATE($FK$12,Fixtures!GL$25))="","",IF(INDIRECT(CONCATENATE($FK$12,Fixtures!GL$25))=Fixtures!$DN50,CONCATENATE(GL$10,", "),""))</f>
        <v/>
      </c>
      <c r="GM50" s="632" t="str">
        <f ca="1">IF(INDIRECT(CONCATENATE($FK$12,Fixtures!GM$25))="","",IF(INDIRECT(CONCATENATE($FK$12,Fixtures!GM$25))=Fixtures!$DN50,CONCATENATE(GM$10,", "),""))</f>
        <v/>
      </c>
      <c r="GN50" s="632" t="str">
        <f ca="1">IF(INDIRECT(CONCATENATE($FK$12,Fixtures!GN$25))="","",IF(INDIRECT(CONCATENATE($FK$12,Fixtures!GN$25))=Fixtures!$DN50,CONCATENATE(GN$10,", "),""))</f>
        <v/>
      </c>
      <c r="GO50" s="632" t="str">
        <f ca="1">IF(INDIRECT(CONCATENATE($FK$12,Fixtures!GO$25))="","",IF(INDIRECT(CONCATENATE($FK$12,Fixtures!GO$25))=Fixtures!$DN50,CONCATENATE(GO$10,", "),""))</f>
        <v/>
      </c>
      <c r="GP50" s="632" t="str">
        <f ca="1">IF(INDIRECT(CONCATENATE($FK$12,Fixtures!GP$25))="","",IF(INDIRECT(CONCATENATE($FK$12,Fixtures!GP$25))=Fixtures!$DN50,CONCATENATE(GP$10,", "),""))</f>
        <v/>
      </c>
      <c r="GQ50" s="632" t="str">
        <f ca="1">IF(INDIRECT(CONCATENATE($FK$12,Fixtures!GQ$25))="","",IF(INDIRECT(CONCATENATE($FK$12,Fixtures!GQ$25))=Fixtures!$DN50,CONCATENATE(GQ$10,", "),""))</f>
        <v/>
      </c>
      <c r="GR50" s="632" t="str">
        <f ca="1">IF(INDIRECT(CONCATENATE($FK$12,Fixtures!GR$25))="","",IF(INDIRECT(CONCATENATE($FK$12,Fixtures!GR$25))=Fixtures!$DN50,CONCATENATE(GR$10,", "),""))</f>
        <v/>
      </c>
      <c r="GS50" s="632" t="str">
        <f ca="1">IF(INDIRECT(CONCATENATE($FK$12,Fixtures!GS$25))="","",IF(INDIRECT(CONCATENATE($FK$12,Fixtures!GS$25))=Fixtures!$DN50,CONCATENATE(GS$10,", "),""))</f>
        <v/>
      </c>
      <c r="GT50" s="632" t="str">
        <f ca="1">IF(INDIRECT(CONCATENATE($FK$12,Fixtures!GT$25))="","",IF(INDIRECT(CONCATENATE($FK$12,Fixtures!GT$25))=Fixtures!$DN50,CONCATENATE(GT$10,", "),""))</f>
        <v/>
      </c>
      <c r="GU50" s="632" t="str">
        <f ca="1">IF(INDIRECT(CONCATENATE($FK$12,Fixtures!GU$25))="","",IF(INDIRECT(CONCATENATE($FK$12,Fixtures!GU$25))=Fixtures!$DN50,CONCATENATE(GU$10,", "),""))</f>
        <v/>
      </c>
      <c r="GV50" s="632" t="str">
        <f ca="1">IF(INDIRECT(CONCATENATE($FK$12,Fixtures!GV$25))="","",IF(INDIRECT(CONCATENATE($FK$12,Fixtures!GV$25))=Fixtures!$DN50,CONCATENATE(GV$10,", "),""))</f>
        <v/>
      </c>
      <c r="GW50" s="632" t="str">
        <f ca="1">IF(INDIRECT(CONCATENATE($FK$12,Fixtures!GW$25))="","",IF(INDIRECT(CONCATENATE($FK$12,Fixtures!GW$25))=Fixtures!$DN50,CONCATENATE(GW$10,", "),""))</f>
        <v/>
      </c>
      <c r="GX50" s="606" t="str">
        <f ca="1">IF(INDIRECT(CONCATENATE($FK$12,Fixtures!GX$25))="","",IF(INDIRECT(CONCATENATE($FK$12,Fixtures!GX$25))=Fixtures!$DN50,CONCATENATE(GX$10,", "),""))</f>
        <v/>
      </c>
      <c r="GY50" s="607" t="str">
        <f ca="1">IF(INDIRECT(CONCATENATE($FK$12,Fixtures!GY$25))="","",IF(INDIRECT(CONCATENATE($FK$12,Fixtures!GY$25))=Fixtures!$DN50,CONCATENATE(GY$10,", "),""))</f>
        <v/>
      </c>
      <c r="GZ50" s="632" t="str">
        <f ca="1">IF(INDIRECT(CONCATENATE($FK$12,Fixtures!GZ$25))="","",IF(INDIRECT(CONCATENATE($FK$12,Fixtures!GZ$25))=Fixtures!$DN50,CONCATENATE(GZ$10,", "),""))</f>
        <v/>
      </c>
      <c r="HA50" s="632" t="str">
        <f ca="1">IF(INDIRECT(CONCATENATE($FK$12,Fixtures!HA$25))="","",IF(INDIRECT(CONCATENATE($FK$12,Fixtures!HA$25))=Fixtures!$DN50,CONCATENATE(HA$10,", "),""))</f>
        <v/>
      </c>
      <c r="HB50" s="632" t="str">
        <f ca="1">IF(INDIRECT(CONCATENATE($FK$12,Fixtures!HB$25))="","",IF(INDIRECT(CONCATENATE($FK$12,Fixtures!HB$25))=Fixtures!$DN50,CONCATENATE(HB$10,", "),""))</f>
        <v/>
      </c>
      <c r="HC50" s="632" t="str">
        <f ca="1">IF(INDIRECT(CONCATENATE($FK$12,Fixtures!HC$25))="","",IF(INDIRECT(CONCATENATE($FK$12,Fixtures!HC$25))=Fixtures!$DN50,CONCATENATE(HC$10,", "),""))</f>
        <v/>
      </c>
      <c r="HD50" s="632" t="str">
        <f ca="1">IF(INDIRECT(CONCATENATE($FK$12,Fixtures!HD$25))="","",IF(INDIRECT(CONCATENATE($FK$12,Fixtures!HD$25))=Fixtures!$DN50,CONCATENATE(HD$10,", "),""))</f>
        <v/>
      </c>
      <c r="HE50" s="632" t="str">
        <f ca="1">IF(INDIRECT(CONCATENATE($FK$12,Fixtures!HE$25))="","",IF(INDIRECT(CONCATENATE($FK$12,Fixtures!HE$25))=Fixtures!$DN50,CONCATENATE(HE$10,", "),""))</f>
        <v/>
      </c>
      <c r="HF50" s="632" t="str">
        <f ca="1">IF(INDIRECT(CONCATENATE($FK$12,Fixtures!HF$25))="","",IF(INDIRECT(CONCATENATE($FK$12,Fixtures!HF$25))=Fixtures!$DN50,CONCATENATE(HF$10,", "),""))</f>
        <v/>
      </c>
      <c r="HG50" s="632" t="str">
        <f ca="1">IF(INDIRECT(CONCATENATE($FK$12,Fixtures!HG$25))="","",IF(INDIRECT(CONCATENATE($FK$12,Fixtures!HG$25))=Fixtures!$DN50,CONCATENATE(HG$10,", "),""))</f>
        <v/>
      </c>
      <c r="HH50" s="632" t="str">
        <f ca="1">IF(INDIRECT(CONCATENATE($FK$12,Fixtures!HH$25))="","",IF(INDIRECT(CONCATENATE($FK$12,Fixtures!HH$25))=Fixtures!$DN50,CONCATENATE(HH$10,", "),""))</f>
        <v/>
      </c>
      <c r="HI50" s="632" t="str">
        <f ca="1">IF(INDIRECT(CONCATENATE($FK$12,Fixtures!HI$25))="","",IF(INDIRECT(CONCATENATE($FK$12,Fixtures!HI$25))=Fixtures!$DN50,CONCATENATE(HI$10,", "),""))</f>
        <v/>
      </c>
      <c r="HJ50" s="632" t="str">
        <f ca="1">IF(INDIRECT(CONCATENATE($FK$12,Fixtures!HJ$25))="","",IF(INDIRECT(CONCATENATE($FK$12,Fixtures!HJ$25))=Fixtures!$DN50,CONCATENATE(HJ$10,", "),""))</f>
        <v/>
      </c>
      <c r="HK50" s="632" t="str">
        <f ca="1">IF(INDIRECT(CONCATENATE($FK$12,Fixtures!HK$25))="","",IF(INDIRECT(CONCATENATE($FK$12,Fixtures!HK$25))=Fixtures!$DN50,CONCATENATE(HK$10,", "),""))</f>
        <v/>
      </c>
      <c r="HL50" s="632" t="str">
        <f ca="1">IF(INDIRECT(CONCATENATE($FK$12,Fixtures!HL$25))="","",IF(INDIRECT(CONCATENATE($FK$12,Fixtures!HL$25))=Fixtures!$DN50,CONCATENATE(HL$10,", "),""))</f>
        <v/>
      </c>
      <c r="HM50" s="606" t="str">
        <f ca="1">IF(INDIRECT(CONCATENATE($FK$12,Fixtures!HM$25))="","",IF(INDIRECT(CONCATENATE($FK$12,Fixtures!HM$25))=Fixtures!$DN50,CONCATENATE(HM$10,", "),""))</f>
        <v/>
      </c>
      <c r="HN50" s="607" t="str">
        <f ca="1">IF(INDIRECT(CONCATENATE($FK$12,Fixtures!HN$25))="","",IF(INDIRECT(CONCATENATE($FK$12,Fixtures!HN$25))=Fixtures!$DN50,CONCATENATE(HN$10,", "),""))</f>
        <v/>
      </c>
      <c r="HO50" s="632" t="str">
        <f ca="1">IF(INDIRECT(CONCATENATE($FK$12,Fixtures!HO$25))="","",IF(INDIRECT(CONCATENATE($FK$12,Fixtures!HO$25))=Fixtures!$DN50,CONCATENATE(HO$10,", "),""))</f>
        <v/>
      </c>
      <c r="HP50" s="632" t="str">
        <f ca="1">IF(INDIRECT(CONCATENATE($FK$12,Fixtures!HP$25))="","",IF(INDIRECT(CONCATENATE($FK$12,Fixtures!HP$25))=Fixtures!$DN50,CONCATENATE(HP$10,", "),""))</f>
        <v/>
      </c>
      <c r="HQ50" s="632" t="str">
        <f ca="1">IF(INDIRECT(CONCATENATE($FK$12,Fixtures!HQ$25))="","",IF(INDIRECT(CONCATENATE($FK$12,Fixtures!HQ$25))=Fixtures!$DN50,CONCATENATE(HQ$10,", "),""))</f>
        <v/>
      </c>
      <c r="HR50" s="632" t="str">
        <f ca="1">IF(INDIRECT(CONCATENATE($FK$12,Fixtures!HR$25))="","",IF(INDIRECT(CONCATENATE($FK$12,Fixtures!HR$25))=Fixtures!$DN50,CONCATENATE(HR$10,", "),""))</f>
        <v/>
      </c>
      <c r="HS50" s="632" t="str">
        <f ca="1">IF(INDIRECT(CONCATENATE($FK$12,Fixtures!HS$25))="","",IF(INDIRECT(CONCATENATE($FK$12,Fixtures!HS$25))=Fixtures!$DN50,CONCATENATE(HS$10,", "),""))</f>
        <v/>
      </c>
      <c r="HT50" s="632" t="str">
        <f ca="1">IF(INDIRECT(CONCATENATE($FK$12,Fixtures!HT$25))="","",IF(INDIRECT(CONCATENATE($FK$12,Fixtures!HT$25))=Fixtures!$DN50,CONCATENATE(HT$10,", "),""))</f>
        <v/>
      </c>
      <c r="HU50" s="632" t="str">
        <f ca="1">IF(INDIRECT(CONCATENATE($FK$12,Fixtures!HU$25))="","",IF(INDIRECT(CONCATENATE($FK$12,Fixtures!HU$25))=Fixtures!$DN50,CONCATENATE(HU$10,", "),""))</f>
        <v/>
      </c>
      <c r="HV50" s="632" t="str">
        <f ca="1">IF(INDIRECT(CONCATENATE($FK$12,Fixtures!HV$25))="","",IF(INDIRECT(CONCATENATE($FK$12,Fixtures!HV$25))=Fixtures!$DN50,CONCATENATE(HV$10,", "),""))</f>
        <v/>
      </c>
      <c r="HW50" s="632" t="str">
        <f ca="1">IF(INDIRECT(CONCATENATE($FK$12,Fixtures!HW$25))="","",IF(INDIRECT(CONCATENATE($FK$12,Fixtures!HW$25))=Fixtures!$DN50,CONCATENATE(HW$10,", "),""))</f>
        <v/>
      </c>
      <c r="HX50" s="632" t="str">
        <f ca="1">IF(INDIRECT(CONCATENATE($FK$12,Fixtures!HX$25))="","",IF(INDIRECT(CONCATENATE($FK$12,Fixtures!HX$25))=Fixtures!$DN50,CONCATENATE(HX$10,", "),""))</f>
        <v/>
      </c>
      <c r="HY50" s="632" t="str">
        <f ca="1">IF(INDIRECT(CONCATENATE($FK$12,Fixtures!HY$25))="","",IF(INDIRECT(CONCATENATE($FK$12,Fixtures!HY$25))=Fixtures!$DN50,CONCATENATE(HY$10,", "),""))</f>
        <v/>
      </c>
      <c r="HZ50" s="632" t="str">
        <f ca="1">IF(INDIRECT(CONCATENATE($FK$12,Fixtures!HZ$25))="","",IF(INDIRECT(CONCATENATE($FK$12,Fixtures!HZ$25))=Fixtures!$DN50,CONCATENATE(HZ$10,", "),""))</f>
        <v/>
      </c>
      <c r="IA50" s="632" t="str">
        <f ca="1">IF(INDIRECT(CONCATENATE($FK$12,Fixtures!IA$25))="","",IF(INDIRECT(CONCATENATE($FK$12,Fixtures!IA$25))=Fixtures!$DN50,CONCATENATE(IA$10,", "),""))</f>
        <v/>
      </c>
      <c r="IB50" s="606" t="str">
        <f ca="1">IF(INDIRECT(CONCATENATE($FK$12,Fixtures!IB$25))="","",IF(INDIRECT(CONCATENATE($FK$12,Fixtures!IB$25))=Fixtures!$DN50,CONCATENATE(IB$10,", "),""))</f>
        <v/>
      </c>
      <c r="IC50" s="607" t="str">
        <f ca="1">IF(INDIRECT(CONCATENATE($FK$12,Fixtures!IC$25))="","",IF(INDIRECT(CONCATENATE($FK$12,Fixtures!IC$25))=Fixtures!$DN50,CONCATENATE(IC$10,", "),""))</f>
        <v/>
      </c>
      <c r="ID50" s="632" t="str">
        <f ca="1">IF(INDIRECT(CONCATENATE($FK$12,Fixtures!ID$25))="","",IF(INDIRECT(CONCATENATE($FK$12,Fixtures!ID$25))=Fixtures!$DN50,CONCATENATE(ID$10,", "),""))</f>
        <v/>
      </c>
      <c r="IE50" s="632" t="str">
        <f ca="1">IF(INDIRECT(CONCATENATE($FK$12,Fixtures!IE$25))="","",IF(INDIRECT(CONCATENATE($FK$12,Fixtures!IE$25))=Fixtures!$DN50,CONCATENATE(IE$10,", "),""))</f>
        <v/>
      </c>
      <c r="IF50" s="632" t="str">
        <f ca="1">IF(INDIRECT(CONCATENATE($FK$12,Fixtures!IF$25))="","",IF(INDIRECT(CONCATENATE($FK$12,Fixtures!IF$25))=Fixtures!$DN50,CONCATENATE(IF$10,", "),""))</f>
        <v/>
      </c>
      <c r="IG50" s="632" t="str">
        <f ca="1">IF(INDIRECT(CONCATENATE($FK$12,Fixtures!IG$25))="","",IF(INDIRECT(CONCATENATE($FK$12,Fixtures!IG$25))=Fixtures!$DN50,CONCATENATE(IG$10,", "),""))</f>
        <v/>
      </c>
      <c r="IH50" s="632" t="str">
        <f ca="1">IF(INDIRECT(CONCATENATE($FK$12,Fixtures!IH$25))="","",IF(INDIRECT(CONCATENATE($FK$12,Fixtures!IH$25))=Fixtures!$DN50,CONCATENATE(IH$10,", "),""))</f>
        <v/>
      </c>
      <c r="II50" s="632" t="str">
        <f ca="1">IF(INDIRECT(CONCATENATE($FK$12,Fixtures!II$25))="","",IF(INDIRECT(CONCATENATE($FK$12,Fixtures!II$25))=Fixtures!$DN50,CONCATENATE(II$10,", "),""))</f>
        <v/>
      </c>
      <c r="IJ50" s="632" t="str">
        <f ca="1">IF(INDIRECT(CONCATENATE($FK$12,Fixtures!IJ$25))="","",IF(INDIRECT(CONCATENATE($FK$12,Fixtures!IJ$25))=Fixtures!$DN50,CONCATENATE(IJ$10,", "),""))</f>
        <v/>
      </c>
      <c r="IK50" s="632" t="str">
        <f ca="1">IF(INDIRECT(CONCATENATE($FK$12,Fixtures!IK$25))="","",IF(INDIRECT(CONCATENATE($FK$12,Fixtures!IK$25))=Fixtures!$DN50,CONCATENATE(IK$10,", "),""))</f>
        <v/>
      </c>
      <c r="IL50" s="632" t="str">
        <f ca="1">IF(INDIRECT(CONCATENATE($FK$12,Fixtures!IL$25))="","",IF(INDIRECT(CONCATENATE($FK$12,Fixtures!IL$25))=Fixtures!$DN50,CONCATENATE(IL$10,", "),""))</f>
        <v/>
      </c>
      <c r="IM50" s="632" t="str">
        <f ca="1">IF(INDIRECT(CONCATENATE($FK$12,Fixtures!IM$25))="","",IF(INDIRECT(CONCATENATE($FK$12,Fixtures!IM$25))=Fixtures!$DN50,CONCATENATE(IM$10,", "),""))</f>
        <v/>
      </c>
      <c r="IN50" s="632" t="str">
        <f ca="1">IF(INDIRECT(CONCATENATE($FK$12,Fixtures!IN$25))="","",IF(INDIRECT(CONCATENATE($FK$12,Fixtures!IN$25))=Fixtures!$DN50,CONCATENATE(IN$10,", "),""))</f>
        <v/>
      </c>
      <c r="IO50" s="632" t="str">
        <f ca="1">IF(INDIRECT(CONCATENATE($FK$12,Fixtures!IO$25))="","",IF(INDIRECT(CONCATENATE($FK$12,Fixtures!IO$25))=Fixtures!$DN50,CONCATENATE(IO$10,", "),""))</f>
        <v/>
      </c>
      <c r="IP50" s="632" t="str">
        <f ca="1">IF(INDIRECT(CONCATENATE($FK$12,Fixtures!IP$25))="","",IF(INDIRECT(CONCATENATE($FK$12,Fixtures!IP$25))=Fixtures!$DN50,CONCATENATE(IP$10,", "),""))</f>
        <v/>
      </c>
      <c r="IQ50" s="606" t="str">
        <f ca="1">IF(INDIRECT(CONCATENATE($FK$12,Fixtures!IQ$25))="","",IF(INDIRECT(CONCATENATE($FK$12,Fixtures!IQ$25))=Fixtures!$DN50,CONCATENATE(IQ$10,", "),""))</f>
        <v/>
      </c>
      <c r="IR50" s="607" t="str">
        <f ca="1">IF(INDIRECT(CONCATENATE($FK$12,Fixtures!IR$25))="","",IF(INDIRECT(CONCATENATE($FK$12,Fixtures!IR$25))=Fixtures!$DN50,CONCATENATE(IR$10,", "),""))</f>
        <v/>
      </c>
      <c r="IS50" s="632" t="str">
        <f ca="1">IF(INDIRECT(CONCATENATE($FK$12,Fixtures!IS$25))="","",IF(INDIRECT(CONCATENATE($FK$12,Fixtures!IS$25))=Fixtures!$DN50,CONCATENATE(IS$10,", "),""))</f>
        <v/>
      </c>
      <c r="IT50" s="632" t="str">
        <f ca="1">IF(INDIRECT(CONCATENATE($FK$12,Fixtures!IT$25))="","",IF(INDIRECT(CONCATENATE($FK$12,Fixtures!IT$25))=Fixtures!$DN50,CONCATENATE(IT$10,", "),""))</f>
        <v/>
      </c>
      <c r="IU50" s="632" t="str">
        <f ca="1">IF(INDIRECT(CONCATENATE($FK$12,Fixtures!IU$25))="","",IF(INDIRECT(CONCATENATE($FK$12,Fixtures!IU$25))=Fixtures!$DN50,CONCATENATE(IU$10,", "),""))</f>
        <v/>
      </c>
      <c r="IV50" s="632" t="str">
        <f ca="1">IF(INDIRECT(CONCATENATE($FK$12,Fixtures!IV$25))="","",IF(INDIRECT(CONCATENATE($FK$12,Fixtures!IV$25))=Fixtures!$DN50,CONCATENATE(IV$10,", "),""))</f>
        <v/>
      </c>
      <c r="IW50" s="632" t="str">
        <f ca="1">IF(INDIRECT(CONCATENATE($FK$12,Fixtures!IW$25))="","",IF(INDIRECT(CONCATENATE($FK$12,Fixtures!IW$25))=Fixtures!$DN50,CONCATENATE(IW$10,", "),""))</f>
        <v/>
      </c>
      <c r="IX50" s="632" t="str">
        <f ca="1">IF(INDIRECT(CONCATENATE($FK$12,Fixtures!IX$25))="","",IF(INDIRECT(CONCATENATE($FK$12,Fixtures!IX$25))=Fixtures!$DN50,CONCATENATE(IX$10,", "),""))</f>
        <v/>
      </c>
      <c r="IY50" s="632" t="str">
        <f ca="1">IF(INDIRECT(CONCATENATE($FK$12,Fixtures!IY$25))="","",IF(INDIRECT(CONCATENATE($FK$12,Fixtures!IY$25))=Fixtures!$DN50,CONCATENATE(IY$10,", "),""))</f>
        <v/>
      </c>
      <c r="IZ50" s="632" t="str">
        <f ca="1">IF(INDIRECT(CONCATENATE($FK$12,Fixtures!IZ$25))="","",IF(INDIRECT(CONCATENATE($FK$12,Fixtures!IZ$25))=Fixtures!$DN50,CONCATENATE(IZ$10,", "),""))</f>
        <v/>
      </c>
      <c r="JA50" s="632" t="str">
        <f ca="1">IF(INDIRECT(CONCATENATE($FK$12,Fixtures!JA$25))="","",IF(INDIRECT(CONCATENATE($FK$12,Fixtures!JA$25))=Fixtures!$DN50,CONCATENATE(JA$10,", "),""))</f>
        <v/>
      </c>
      <c r="JB50" s="632" t="str">
        <f ca="1">IF(INDIRECT(CONCATENATE($FK$12,Fixtures!JB$25))="","",IF(INDIRECT(CONCATENATE($FK$12,Fixtures!JB$25))=Fixtures!$DN50,CONCATENATE(JB$10,", "),""))</f>
        <v/>
      </c>
      <c r="JC50" s="632" t="str">
        <f ca="1">IF(INDIRECT(CONCATENATE($FK$12,Fixtures!JC$25))="","",IF(INDIRECT(CONCATENATE($FK$12,Fixtures!JC$25))=Fixtures!$DN50,CONCATENATE(JC$10,", "),""))</f>
        <v/>
      </c>
      <c r="JD50" s="632" t="str">
        <f ca="1">IF(INDIRECT(CONCATENATE($FK$12,Fixtures!JD$25))="","",IF(INDIRECT(CONCATENATE($FK$12,Fixtures!JD$25))=Fixtures!$DN50,CONCATENATE(JD$10,", "),""))</f>
        <v/>
      </c>
      <c r="JE50" s="632" t="str">
        <f ca="1">IF(INDIRECT(CONCATENATE($FK$12,Fixtures!JE$25))="","",IF(INDIRECT(CONCATENATE($FK$12,Fixtures!JE$25))=Fixtures!$DN50,CONCATENATE(JE$10,", "),""))</f>
        <v/>
      </c>
      <c r="JF50" s="606" t="str">
        <f ca="1">IF(INDIRECT(CONCATENATE($FK$12,Fixtures!JF$25))="","",IF(INDIRECT(CONCATENATE($FK$12,Fixtures!JF$25))=Fixtures!$DN50,CONCATENATE(JF$10,", "),""))</f>
        <v/>
      </c>
      <c r="JG50" s="607" t="str">
        <f ca="1">IF(INDIRECT(CONCATENATE($FK$12,Fixtures!JG$25))="","",IF(INDIRECT(CONCATENATE($FK$12,Fixtures!JG$25))=Fixtures!$DN50,CONCATENATE(JG$10,", "),""))</f>
        <v/>
      </c>
      <c r="JH50" s="632" t="str">
        <f ca="1">IF(INDIRECT(CONCATENATE($FK$12,Fixtures!JH$25))="","",IF(INDIRECT(CONCATENATE($FK$12,Fixtures!JH$25))=Fixtures!$DN50,CONCATENATE(JH$10,", "),""))</f>
        <v/>
      </c>
      <c r="JI50" s="632" t="str">
        <f ca="1">IF(INDIRECT(CONCATENATE($FK$12,Fixtures!JI$25))="","",IF(INDIRECT(CONCATENATE($FK$12,Fixtures!JI$25))=Fixtures!$DN50,CONCATENATE(JI$10,", "),""))</f>
        <v/>
      </c>
      <c r="JJ50" s="632" t="str">
        <f ca="1">IF(INDIRECT(CONCATENATE($FK$12,Fixtures!JJ$25))="","",IF(INDIRECT(CONCATENATE($FK$12,Fixtures!JJ$25))=Fixtures!$DN50,CONCATENATE(JJ$10,", "),""))</f>
        <v/>
      </c>
      <c r="JK50" s="632" t="str">
        <f ca="1">IF(INDIRECT(CONCATENATE($FK$12,Fixtures!JK$25))="","",IF(INDIRECT(CONCATENATE($FK$12,Fixtures!JK$25))=Fixtures!$DN50,CONCATENATE(JK$10,", "),""))</f>
        <v/>
      </c>
      <c r="JL50" s="632" t="str">
        <f ca="1">IF(INDIRECT(CONCATENATE($FK$12,Fixtures!JL$25))="","",IF(INDIRECT(CONCATENATE($FK$12,Fixtures!JL$25))=Fixtures!$DN50,CONCATENATE(JL$10,", "),""))</f>
        <v/>
      </c>
      <c r="JM50" s="632" t="str">
        <f ca="1">IF(INDIRECT(CONCATENATE($FK$12,Fixtures!JM$25))="","",IF(INDIRECT(CONCATENATE($FK$12,Fixtures!JM$25))=Fixtures!$DN50,CONCATENATE(JM$10,", "),""))</f>
        <v/>
      </c>
      <c r="JN50" s="632" t="str">
        <f ca="1">IF(INDIRECT(CONCATENATE($FK$12,Fixtures!JN$25))="","",IF(INDIRECT(CONCATENATE($FK$12,Fixtures!JN$25))=Fixtures!$DN50,CONCATENATE(JN$10,", "),""))</f>
        <v/>
      </c>
      <c r="JO50" s="632" t="str">
        <f ca="1">IF(INDIRECT(CONCATENATE($FK$12,Fixtures!JO$25))="","",IF(INDIRECT(CONCATENATE($FK$12,Fixtures!JO$25))=Fixtures!$DN50,CONCATENATE(JO$10,", "),""))</f>
        <v/>
      </c>
      <c r="JP50" s="632" t="str">
        <f ca="1">IF(INDIRECT(CONCATENATE($FK$12,Fixtures!JP$25))="","",IF(INDIRECT(CONCATENATE($FK$12,Fixtures!JP$25))=Fixtures!$DN50,CONCATENATE(JP$10,", "),""))</f>
        <v/>
      </c>
      <c r="JQ50" s="632" t="str">
        <f ca="1">IF(INDIRECT(CONCATENATE($FK$12,Fixtures!JQ$25))="","",IF(INDIRECT(CONCATENATE($FK$12,Fixtures!JQ$25))=Fixtures!$DN50,CONCATENATE(JQ$10,", "),""))</f>
        <v/>
      </c>
      <c r="JR50" s="632" t="str">
        <f ca="1">IF(INDIRECT(CONCATENATE($FK$12,Fixtures!JR$25))="","",IF(INDIRECT(CONCATENATE($FK$12,Fixtures!JR$25))=Fixtures!$DN50,CONCATENATE(JR$10,", "),""))</f>
        <v/>
      </c>
      <c r="JS50" s="632" t="str">
        <f ca="1">IF(INDIRECT(CONCATENATE($FK$12,Fixtures!JS$25))="","",IF(INDIRECT(CONCATENATE($FK$12,Fixtures!JS$25))=Fixtures!$DN50,CONCATENATE(JS$10,", "),""))</f>
        <v/>
      </c>
      <c r="JT50" s="632" t="str">
        <f ca="1">IF(INDIRECT(CONCATENATE($FK$12,Fixtures!JT$25))="","",IF(INDIRECT(CONCATENATE($FK$12,Fixtures!JT$25))=Fixtures!$DN50,CONCATENATE(JT$10,", "),""))</f>
        <v/>
      </c>
      <c r="JU50" s="606" t="str">
        <f ca="1">IF(INDIRECT(CONCATENATE($FK$12,Fixtures!JU$25))="","",IF(INDIRECT(CONCATENATE($FK$12,Fixtures!JU$25))=Fixtures!$DN50,CONCATENATE(JU$10,", "),""))</f>
        <v/>
      </c>
      <c r="JV50" s="607" t="str">
        <f ca="1">IF(INDIRECT(CONCATENATE($FK$12,Fixtures!JV$25))="","",IF(INDIRECT(CONCATENATE($FK$12,Fixtures!JV$25))=Fixtures!$DN50,CONCATENATE(JV$10,", "),""))</f>
        <v/>
      </c>
      <c r="JW50" s="632" t="str">
        <f ca="1">IF(INDIRECT(CONCATENATE($FK$12,Fixtures!JW$25))="","",IF(INDIRECT(CONCATENATE($FK$12,Fixtures!JW$25))=Fixtures!$DN50,CONCATENATE(JW$10,", "),""))</f>
        <v/>
      </c>
      <c r="JX50" s="632" t="str">
        <f ca="1">IF(INDIRECT(CONCATENATE($FK$12,Fixtures!JX$25))="","",IF(INDIRECT(CONCATENATE($FK$12,Fixtures!JX$25))=Fixtures!$DN50,CONCATENATE(JX$10,", "),""))</f>
        <v/>
      </c>
      <c r="JY50" s="632" t="str">
        <f ca="1">IF(INDIRECT(CONCATENATE($FK$12,Fixtures!JY$25))="","",IF(INDIRECT(CONCATENATE($FK$12,Fixtures!JY$25))=Fixtures!$DN50,CONCATENATE(JY$10,", "),""))</f>
        <v/>
      </c>
      <c r="JZ50" s="632" t="str">
        <f ca="1">IF(INDIRECT(CONCATENATE($FK$12,Fixtures!JZ$25))="","",IF(INDIRECT(CONCATENATE($FK$12,Fixtures!JZ$25))=Fixtures!$DN50,CONCATENATE(JZ$10,", "),""))</f>
        <v/>
      </c>
      <c r="KA50" s="632" t="str">
        <f ca="1">IF(INDIRECT(CONCATENATE($FK$12,Fixtures!KA$25))="","",IF(INDIRECT(CONCATENATE($FK$12,Fixtures!KA$25))=Fixtures!$DN50,CONCATENATE(KA$10,", "),""))</f>
        <v/>
      </c>
      <c r="KB50" s="632" t="str">
        <f ca="1">IF(INDIRECT(CONCATENATE($FK$12,Fixtures!KB$25))="","",IF(INDIRECT(CONCATENATE($FK$12,Fixtures!KB$25))=Fixtures!$DN50,CONCATENATE(KB$10,", "),""))</f>
        <v/>
      </c>
      <c r="KC50" s="632" t="str">
        <f ca="1">IF(INDIRECT(CONCATENATE($FK$12,Fixtures!KC$25))="","",IF(INDIRECT(CONCATENATE($FK$12,Fixtures!KC$25))=Fixtures!$DN50,CONCATENATE(KC$10,", "),""))</f>
        <v/>
      </c>
      <c r="KD50" s="632" t="str">
        <f ca="1">IF(INDIRECT(CONCATENATE($FK$12,Fixtures!KD$25))="","",IF(INDIRECT(CONCATENATE($FK$12,Fixtures!KD$25))=Fixtures!$DN50,CONCATENATE(KD$10,", "),""))</f>
        <v/>
      </c>
      <c r="KE50" s="632" t="str">
        <f ca="1">IF(INDIRECT(CONCATENATE($FK$12,Fixtures!KE$25))="","",IF(INDIRECT(CONCATENATE($FK$12,Fixtures!KE$25))=Fixtures!$DN50,CONCATENATE(KE$10,", "),""))</f>
        <v/>
      </c>
      <c r="KF50" s="632" t="str">
        <f ca="1">IF(INDIRECT(CONCATENATE($FK$12,Fixtures!KF$25))="","",IF(INDIRECT(CONCATENATE($FK$12,Fixtures!KF$25))=Fixtures!$DN50,CONCATENATE(KF$10,", "),""))</f>
        <v/>
      </c>
      <c r="KG50" s="632" t="str">
        <f ca="1">IF(INDIRECT(CONCATENATE($FK$12,Fixtures!KG$25))="","",IF(INDIRECT(CONCATENATE($FK$12,Fixtures!KG$25))=Fixtures!$DN50,CONCATENATE(KG$10,", "),""))</f>
        <v/>
      </c>
      <c r="KH50" s="632" t="str">
        <f ca="1">IF(INDIRECT(CONCATENATE($FK$12,Fixtures!KH$25))="","",IF(INDIRECT(CONCATENATE($FK$12,Fixtures!KH$25))=Fixtures!$DN50,CONCATENATE(KH$10,", "),""))</f>
        <v/>
      </c>
      <c r="KI50" s="632" t="str">
        <f ca="1">IF(INDIRECT(CONCATENATE($FK$12,Fixtures!KI$25))="","",IF(INDIRECT(CONCATENATE($FK$12,Fixtures!KI$25))=Fixtures!$DN50,CONCATENATE(KI$10,", "),""))</f>
        <v/>
      </c>
      <c r="KJ50" s="606" t="str">
        <f ca="1">IF(INDIRECT(CONCATENATE($FK$12,Fixtures!KJ$25))="","",IF(INDIRECT(CONCATENATE($FK$12,Fixtures!KJ$25))=Fixtures!$DN50,CONCATENATE(KJ$10,", "),""))</f>
        <v/>
      </c>
      <c r="KK50" s="607" t="str">
        <f ca="1">IF(INDIRECT(CONCATENATE($FK$12,Fixtures!KK$25))="","",IF(INDIRECT(CONCATENATE($FK$12,Fixtures!KK$25))=Fixtures!$DN50,CONCATENATE(KK$10,", "),""))</f>
        <v/>
      </c>
      <c r="KL50" s="632" t="str">
        <f ca="1">IF(INDIRECT(CONCATENATE($FK$12,Fixtures!KL$25))="","",IF(INDIRECT(CONCATENATE($FK$12,Fixtures!KL$25))=Fixtures!$DN50,CONCATENATE(KL$10,", "),""))</f>
        <v/>
      </c>
      <c r="KM50" s="632" t="str">
        <f ca="1">IF(INDIRECT(CONCATENATE($FK$12,Fixtures!KM$25))="","",IF(INDIRECT(CONCATENATE($FK$12,Fixtures!KM$25))=Fixtures!$DN50,CONCATENATE(KM$10,", "),""))</f>
        <v/>
      </c>
      <c r="KN50" s="632" t="str">
        <f ca="1">IF(INDIRECT(CONCATENATE($FK$12,Fixtures!KN$25))="","",IF(INDIRECT(CONCATENATE($FK$12,Fixtures!KN$25))=Fixtures!$DN50,CONCATENATE(KN$10,", "),""))</f>
        <v/>
      </c>
      <c r="KO50" s="632" t="str">
        <f ca="1">IF(INDIRECT(CONCATENATE($FK$12,Fixtures!KO$25))="","",IF(INDIRECT(CONCATENATE($FK$12,Fixtures!KO$25))=Fixtures!$DN50,CONCATENATE(KO$10,", "),""))</f>
        <v/>
      </c>
      <c r="KP50" s="632" t="str">
        <f ca="1">IF(INDIRECT(CONCATENATE($FK$12,Fixtures!KP$25))="","",IF(INDIRECT(CONCATENATE($FK$12,Fixtures!KP$25))=Fixtures!$DN50,CONCATENATE(KP$10,", "),""))</f>
        <v/>
      </c>
      <c r="KQ50" s="632" t="str">
        <f ca="1">IF(INDIRECT(CONCATENATE($FK$12,Fixtures!KQ$25))="","",IF(INDIRECT(CONCATENATE($FK$12,Fixtures!KQ$25))=Fixtures!$DN50,CONCATENATE(KQ$10,", "),""))</f>
        <v/>
      </c>
      <c r="KR50" s="632" t="str">
        <f ca="1">IF(INDIRECT(CONCATENATE($FK$12,Fixtures!KR$25))="","",IF(INDIRECT(CONCATENATE($FK$12,Fixtures!KR$25))=Fixtures!$DN50,CONCATENATE(KR$10,", "),""))</f>
        <v/>
      </c>
      <c r="KS50" s="632" t="str">
        <f ca="1">IF(INDIRECT(CONCATENATE($FK$12,Fixtures!KS$25))="","",IF(INDIRECT(CONCATENATE($FK$12,Fixtures!KS$25))=Fixtures!$DN50,CONCATENATE(KS$10,", "),""))</f>
        <v/>
      </c>
      <c r="KT50" s="632" t="str">
        <f ca="1">IF(INDIRECT(CONCATENATE($FK$12,Fixtures!KT$25))="","",IF(INDIRECT(CONCATENATE($FK$12,Fixtures!KT$25))=Fixtures!$DN50,CONCATENATE(KT$10,", "),""))</f>
        <v/>
      </c>
      <c r="KU50" s="632" t="str">
        <f ca="1">IF(INDIRECT(CONCATENATE($FK$12,Fixtures!KU$25))="","",IF(INDIRECT(CONCATENATE($FK$12,Fixtures!KU$25))=Fixtures!$DN50,CONCATENATE(KU$10,", "),""))</f>
        <v/>
      </c>
      <c r="KV50" s="632" t="str">
        <f ca="1">IF(INDIRECT(CONCATENATE($FK$12,Fixtures!KV$25))="","",IF(INDIRECT(CONCATENATE($FK$12,Fixtures!KV$25))=Fixtures!$DN50,CONCATENATE(KV$10,", "),""))</f>
        <v/>
      </c>
      <c r="KW50" s="632" t="str">
        <f ca="1">IF(INDIRECT(CONCATENATE($FK$12,Fixtures!KW$25))="","",IF(INDIRECT(CONCATENATE($FK$12,Fixtures!KW$25))=Fixtures!$DN50,CONCATENATE(KW$10,", "),""))</f>
        <v/>
      </c>
      <c r="KX50" s="632" t="str">
        <f ca="1">IF(INDIRECT(CONCATENATE($FK$12,Fixtures!KX$25))="","",IF(INDIRECT(CONCATENATE($FK$12,Fixtures!KX$25))=Fixtures!$DN50,CONCATENATE(KX$10,", "),""))</f>
        <v/>
      </c>
      <c r="KY50" s="632"/>
      <c r="KZ50" s="46"/>
      <c r="LA50" s="46" t="str">
        <f t="shared" ca="1" si="7"/>
        <v/>
      </c>
      <c r="LB50" s="46"/>
      <c r="LC50" s="1010"/>
      <c r="LD50" s="1009" t="str">
        <f t="shared" si="20"/>
        <v/>
      </c>
    </row>
    <row r="51" spans="1:316" ht="28.2" customHeight="1" thickTop="1" thickBot="1">
      <c r="A51" s="426" t="str">
        <f t="shared" si="13"/>
        <v/>
      </c>
      <c r="C51" s="1640" t="str">
        <f t="shared" si="14"/>
        <v/>
      </c>
      <c r="D51" s="1641"/>
      <c r="E51" s="1568" t="str">
        <f t="shared" si="15"/>
        <v/>
      </c>
      <c r="F51" s="1569"/>
      <c r="G51" s="1569"/>
      <c r="H51" s="1569"/>
      <c r="I51" s="1569"/>
      <c r="J51" s="1569"/>
      <c r="K51" s="1569"/>
      <c r="L51" s="1569"/>
      <c r="M51" s="1642"/>
      <c r="N51" s="203" t="str">
        <f t="shared" si="16"/>
        <v/>
      </c>
      <c r="O51" s="12"/>
      <c r="P51" s="1638" t="str">
        <f t="shared" si="25"/>
        <v/>
      </c>
      <c r="Q51" s="1639"/>
      <c r="R51" s="1568" t="str">
        <f t="shared" si="30"/>
        <v/>
      </c>
      <c r="S51" s="1569"/>
      <c r="T51" s="1569"/>
      <c r="U51" s="1569"/>
      <c r="V51" s="1569"/>
      <c r="W51" s="1569"/>
      <c r="X51" s="1569"/>
      <c r="Y51" s="203" t="str">
        <f t="shared" si="26"/>
        <v/>
      </c>
      <c r="Z51" s="203" t="str">
        <f t="shared" si="27"/>
        <v/>
      </c>
      <c r="AA51" s="394" t="str">
        <f t="shared" si="28"/>
        <v/>
      </c>
      <c r="AB51" s="489"/>
      <c r="AC51" s="1564" t="str">
        <f t="shared" si="18"/>
        <v/>
      </c>
      <c r="AD51" s="1565"/>
      <c r="AE51" s="1565"/>
      <c r="AF51" s="1565"/>
      <c r="AG51" s="1565"/>
      <c r="AH51" s="1565"/>
      <c r="AK51">
        <f>SUMIFS(Installations!CV$46:CV$803,Installations!CW$46:CW$803,E51,Installations!IC$46:IC$803,TRUE)</f>
        <v>0</v>
      </c>
      <c r="AL51">
        <f>SUMIFS(Installations!CV$46:CV$803,Installations!CW$46:CW$803,R51,Installations!IC$46:IC$803,TRUE)</f>
        <v>0</v>
      </c>
      <c r="BL51" s="9"/>
      <c r="BM51" s="622" t="str">
        <f t="shared" si="19"/>
        <v/>
      </c>
      <c r="BN51" s="52"/>
      <c r="BO51" s="52"/>
      <c r="BP51" s="52"/>
      <c r="BQ51" s="52"/>
      <c r="BR51" s="52"/>
      <c r="BS51" s="52"/>
      <c r="BT51" s="52"/>
      <c r="BU51" s="373"/>
      <c r="BV51" s="219" t="str">
        <f>IF(CN51&lt;&gt;"Yes","",IFERROR(VLOOKUP(CU51,Existing!A$4:F$367,2,FALSE),""))</f>
        <v/>
      </c>
      <c r="BW51" s="9">
        <v>25</v>
      </c>
      <c r="BX51" s="1625"/>
      <c r="BY51" s="1626"/>
      <c r="BZ51" s="1626"/>
      <c r="CA51" s="1627"/>
      <c r="CB51" s="1622"/>
      <c r="CC51" s="1623"/>
      <c r="CD51" s="1623"/>
      <c r="CE51" s="1624"/>
      <c r="CF51" s="1621"/>
      <c r="CG51" s="1621"/>
      <c r="CH51" s="1621"/>
      <c r="CI51" s="1621"/>
      <c r="CJ51" s="1621"/>
      <c r="CK51" s="1621"/>
      <c r="CL51" s="1621"/>
      <c r="CM51" s="1621"/>
      <c r="CN51" s="1553" t="str">
        <f t="shared" si="0"/>
        <v/>
      </c>
      <c r="CO51" s="1554"/>
      <c r="CP51" s="229" t="str">
        <f>IFERROR(IF(CB51="Existing TLED",CR51*CW51*CY51,VLOOKUP(CU51,Existing!A$3:F$356,6,FALSE)),"")</f>
        <v/>
      </c>
      <c r="CQ51" s="9"/>
      <c r="CR51" s="1660"/>
      <c r="CS51" s="1661"/>
      <c r="CT51" s="9"/>
      <c r="CU51" s="425" t="str">
        <f t="shared" si="21"/>
        <v/>
      </c>
      <c r="CV51" s="426" t="b">
        <f t="shared" si="22"/>
        <v>0</v>
      </c>
      <c r="CW51" s="426" t="str">
        <f t="shared" si="23"/>
        <v/>
      </c>
      <c r="CX51" s="426">
        <f>IFERROR(VLOOKUP(CF51,Lookup!T$100:V$102,3,FALSE),0)</f>
        <v>0</v>
      </c>
      <c r="CY51" s="426">
        <f t="shared" si="8"/>
        <v>1.1100000000000001</v>
      </c>
      <c r="CZ51" s="626" t="b">
        <f t="shared" si="1"/>
        <v>0</v>
      </c>
      <c r="DA51" s="626" t="b">
        <f>IF(CF51&lt;&gt;"",IF(ISERROR(MATCH(CONCATENATE(CB51," - ",CF51),Existing!G$4:G$331,0))=TRUE,FALSE,TRUE),TRUE)</f>
        <v>1</v>
      </c>
      <c r="DB51" s="626" t="b">
        <f t="shared" si="2"/>
        <v>1</v>
      </c>
      <c r="DL51" s="9"/>
      <c r="DM51" s="627" t="s">
        <v>215</v>
      </c>
      <c r="DN51" s="375" t="str">
        <f t="shared" si="3"/>
        <v/>
      </c>
      <c r="DO51" s="52"/>
      <c r="DP51" s="52"/>
      <c r="DQ51" s="52"/>
      <c r="DR51" s="52"/>
      <c r="DS51" s="52"/>
      <c r="DT51" s="226"/>
      <c r="DU51" s="376"/>
      <c r="DV51" s="227" t="str">
        <f t="shared" si="4"/>
        <v/>
      </c>
      <c r="DW51" s="224">
        <v>25</v>
      </c>
      <c r="DX51" s="1572"/>
      <c r="DY51" s="1573"/>
      <c r="DZ51" s="1573"/>
      <c r="EA51" s="1574"/>
      <c r="EB51" s="1618"/>
      <c r="EC51" s="1619"/>
      <c r="ED51" s="1619"/>
      <c r="EE51" s="1620"/>
      <c r="EF51" s="1578"/>
      <c r="EG51" s="1579"/>
      <c r="EH51" s="1618"/>
      <c r="EI51" s="1619"/>
      <c r="EJ51" s="1619"/>
      <c r="EK51" s="1620"/>
      <c r="EL51" s="1575"/>
      <c r="EM51" s="1576"/>
      <c r="EN51" s="1576"/>
      <c r="EO51" s="1577"/>
      <c r="EP51" s="1578"/>
      <c r="EQ51" s="1579"/>
      <c r="ER51" s="1555"/>
      <c r="ES51" s="1556"/>
      <c r="ET51" s="1553" t="str">
        <f t="shared" si="9"/>
        <v/>
      </c>
      <c r="EU51" s="1554"/>
      <c r="EV51" s="1553" t="str">
        <f t="shared" si="29"/>
        <v/>
      </c>
      <c r="EW51" s="1554"/>
      <c r="EX51" s="393"/>
      <c r="EY51" s="225" t="str">
        <f t="shared" si="6"/>
        <v/>
      </c>
      <c r="EZ51" s="225" t="str">
        <f>IFERROR(VLOOKUP(EB51,Lookup!AT$3:AU$13,2,FALSE),"")</f>
        <v/>
      </c>
      <c r="FA51" s="426" t="b">
        <f>IFERROR(IF(VLOOKUP(EB51,Lookup!AT$6:AU$8,2,FALSE)&gt;3,TRUE,FALSE),FALSE)</f>
        <v>0</v>
      </c>
      <c r="FB51" s="426" t="str">
        <f t="shared" si="10"/>
        <v/>
      </c>
      <c r="FC51" t="str">
        <f t="shared" ca="1" si="11"/>
        <v/>
      </c>
      <c r="FG51" t="str">
        <f t="shared" ca="1" si="12"/>
        <v/>
      </c>
      <c r="FI51" s="204" t="str">
        <f t="shared" ca="1" si="24"/>
        <v/>
      </c>
      <c r="FJ51" s="204"/>
      <c r="FK51" s="631" t="str">
        <f ca="1">IF(INDIRECT(CONCATENATE($FK$12,Fixtures!FK$25))="","",IF(INDIRECT(CONCATENATE($FK$12,Fixtures!FK$25))=Fixtures!$DN51,CONCATENATE(FK$10,", "),""))</f>
        <v/>
      </c>
      <c r="FL51" s="631" t="str">
        <f ca="1">IF(INDIRECT(CONCATENATE($FK$12,Fixtures!FL$25))="","",IF(INDIRECT(CONCATENATE($FK$12,Fixtures!FL$25))=Fixtures!$DN51,CONCATENATE(FL$10,", "),""))</f>
        <v/>
      </c>
      <c r="FM51" s="631" t="str">
        <f ca="1">IF(INDIRECT(CONCATENATE($FK$12,Fixtures!FM$25))="","",IF(INDIRECT(CONCATENATE($FK$12,Fixtures!FM$25))=Fixtures!$DN51,CONCATENATE(FM$10,", "),""))</f>
        <v/>
      </c>
      <c r="FN51" s="631" t="str">
        <f ca="1">IF(INDIRECT(CONCATENATE($FK$12,Fixtures!FN$25))="","",IF(INDIRECT(CONCATENATE($FK$12,Fixtures!FN$25))=Fixtures!$DN51,CONCATENATE(FN$10,", "),""))</f>
        <v/>
      </c>
      <c r="FO51" s="631" t="str">
        <f ca="1">IF(INDIRECT(CONCATENATE($FK$12,Fixtures!FO$25))="","",IF(INDIRECT(CONCATENATE($FK$12,Fixtures!FO$25))=Fixtures!$DN51,CONCATENATE(FO$10,", "),""))</f>
        <v/>
      </c>
      <c r="FP51" s="631" t="str">
        <f ca="1">IF(INDIRECT(CONCATENATE($FK$12,Fixtures!FP$25))="","",IF(INDIRECT(CONCATENATE($FK$12,Fixtures!FP$25))=Fixtures!$DN51,CONCATENATE(FP$10,", "),""))</f>
        <v/>
      </c>
      <c r="FQ51" s="631" t="str">
        <f ca="1">IF(INDIRECT(CONCATENATE($FK$12,Fixtures!FQ$25))="","",IF(INDIRECT(CONCATENATE($FK$12,Fixtures!FQ$25))=Fixtures!$DN51,CONCATENATE(FQ$10,", "),""))</f>
        <v/>
      </c>
      <c r="FR51" s="631" t="str">
        <f ca="1">IF(INDIRECT(CONCATENATE($FK$12,Fixtures!FR$25))="","",IF(INDIRECT(CONCATENATE($FK$12,Fixtures!FR$25))=Fixtures!$DN51,CONCATENATE(FR$10,", "),""))</f>
        <v/>
      </c>
      <c r="FS51" s="631" t="str">
        <f ca="1">IF(INDIRECT(CONCATENATE($FK$12,Fixtures!FS$25))="","",IF(INDIRECT(CONCATENATE($FK$12,Fixtures!FS$25))=Fixtures!$DN51,CONCATENATE(FS$10,", "),""))</f>
        <v/>
      </c>
      <c r="FT51" s="604" t="str">
        <f ca="1">IF(INDIRECT(CONCATENATE($FK$12,Fixtures!FT$25))="","",IF(INDIRECT(CONCATENATE($FK$12,Fixtures!FT$25))=Fixtures!$DN51,CONCATENATE(FT$10,", "),""))</f>
        <v/>
      </c>
      <c r="FU51" s="605" t="str">
        <f ca="1">IF(INDIRECT(CONCATENATE($FK$12,Fixtures!FU$25))="","",IF(INDIRECT(CONCATENATE($FK$12,Fixtures!FU$25))=Fixtures!$DN51,CONCATENATE(FU$10,", "),""))</f>
        <v/>
      </c>
      <c r="FV51" s="631" t="str">
        <f ca="1">IF(INDIRECT(CONCATENATE($FK$12,Fixtures!FV$25))="","",IF(INDIRECT(CONCATENATE($FK$12,Fixtures!FV$25))=Fixtures!$DN51,CONCATENATE(FV$10,", "),""))</f>
        <v/>
      </c>
      <c r="FW51" s="632" t="str">
        <f ca="1">IF(INDIRECT(CONCATENATE($FK$12,Fixtures!FW$25))="","",IF(INDIRECT(CONCATENATE($FK$12,Fixtures!FW$25))=Fixtures!$DN51,CONCATENATE(FW$10,", "),""))</f>
        <v/>
      </c>
      <c r="FX51" s="632" t="str">
        <f ca="1">IF(INDIRECT(CONCATENATE($FK$12,Fixtures!FX$25))="","",IF(INDIRECT(CONCATENATE($FK$12,Fixtures!FX$25))=Fixtures!$DN51,CONCATENATE(FX$10,", "),""))</f>
        <v/>
      </c>
      <c r="FY51" s="632" t="str">
        <f ca="1">IF(INDIRECT(CONCATENATE($FK$12,Fixtures!FY$25))="","",IF(INDIRECT(CONCATENATE($FK$12,Fixtures!FY$25))=Fixtures!$DN51,CONCATENATE(FY$10,", "),""))</f>
        <v/>
      </c>
      <c r="FZ51" s="632" t="str">
        <f ca="1">IF(INDIRECT(CONCATENATE($FK$12,Fixtures!FZ$25))="","",IF(INDIRECT(CONCATENATE($FK$12,Fixtures!FZ$25))=Fixtures!$DN51,CONCATENATE(FZ$10,", "),""))</f>
        <v/>
      </c>
      <c r="GA51" s="632" t="str">
        <f ca="1">IF(INDIRECT(CONCATENATE($FK$12,Fixtures!GA$25))="","",IF(INDIRECT(CONCATENATE($FK$12,Fixtures!GA$25))=Fixtures!$DN51,CONCATENATE(GA$10,", "),""))</f>
        <v/>
      </c>
      <c r="GB51" s="632" t="str">
        <f ca="1">IF(INDIRECT(CONCATENATE($FK$12,Fixtures!GB$25))="","",IF(INDIRECT(CONCATENATE($FK$12,Fixtures!GB$25))=Fixtures!$DN51,CONCATENATE(GB$10,", "),""))</f>
        <v/>
      </c>
      <c r="GC51" s="632" t="str">
        <f ca="1">IF(INDIRECT(CONCATENATE($FK$12,Fixtures!GC$25))="","",IF(INDIRECT(CONCATENATE($FK$12,Fixtures!GC$25))=Fixtures!$DN51,CONCATENATE(GC$10,", "),""))</f>
        <v/>
      </c>
      <c r="GD51" s="632" t="str">
        <f ca="1">IF(INDIRECT(CONCATENATE($FK$12,Fixtures!GD$25))="","",IF(INDIRECT(CONCATENATE($FK$12,Fixtures!GD$25))=Fixtures!$DN51,CONCATENATE(GD$10,", "),""))</f>
        <v/>
      </c>
      <c r="GE51" s="632" t="str">
        <f ca="1">IF(INDIRECT(CONCATENATE($FK$12,Fixtures!GE$25))="","",IF(INDIRECT(CONCATENATE($FK$12,Fixtures!GE$25))=Fixtures!$DN51,CONCATENATE(GE$10,", "),""))</f>
        <v/>
      </c>
      <c r="GF51" s="632" t="str">
        <f ca="1">IF(INDIRECT(CONCATENATE($FK$12,Fixtures!GF$25))="","",IF(INDIRECT(CONCATENATE($FK$12,Fixtures!GF$25))=Fixtures!$DN51,CONCATENATE(GF$10,", "),""))</f>
        <v/>
      </c>
      <c r="GG51" s="632" t="str">
        <f ca="1">IF(INDIRECT(CONCATENATE($FK$12,Fixtures!GG$25))="","",IF(INDIRECT(CONCATENATE($FK$12,Fixtures!GG$25))=Fixtures!$DN51,CONCATENATE(GG$10,", "),""))</f>
        <v/>
      </c>
      <c r="GH51" s="632" t="str">
        <f ca="1">IF(INDIRECT(CONCATENATE($FK$12,Fixtures!GH$25))="","",IF(INDIRECT(CONCATENATE($FK$12,Fixtures!GH$25))=Fixtures!$DN51,CONCATENATE(GH$10,", "),""))</f>
        <v/>
      </c>
      <c r="GI51" s="606" t="str">
        <f ca="1">IF(INDIRECT(CONCATENATE($FK$12,Fixtures!GI$25))="","",IF(INDIRECT(CONCATENATE($FK$12,Fixtures!GI$25))=Fixtures!$DN51,CONCATENATE(GI$10,", "),""))</f>
        <v/>
      </c>
      <c r="GJ51" s="607" t="str">
        <f ca="1">IF(INDIRECT(CONCATENATE($FK$12,Fixtures!GJ$25))="","",IF(INDIRECT(CONCATENATE($FK$12,Fixtures!GJ$25))=Fixtures!$DN51,CONCATENATE(GJ$10,", "),""))</f>
        <v/>
      </c>
      <c r="GK51" s="632" t="str">
        <f ca="1">IF(INDIRECT(CONCATENATE($FK$12,Fixtures!GK$25))="","",IF(INDIRECT(CONCATENATE($FK$12,Fixtures!GK$25))=Fixtures!$DN51,CONCATENATE(GK$10,", "),""))</f>
        <v/>
      </c>
      <c r="GL51" s="632" t="str">
        <f ca="1">IF(INDIRECT(CONCATENATE($FK$12,Fixtures!GL$25))="","",IF(INDIRECT(CONCATENATE($FK$12,Fixtures!GL$25))=Fixtures!$DN51,CONCATENATE(GL$10,", "),""))</f>
        <v/>
      </c>
      <c r="GM51" s="632" t="str">
        <f ca="1">IF(INDIRECT(CONCATENATE($FK$12,Fixtures!GM$25))="","",IF(INDIRECT(CONCATENATE($FK$12,Fixtures!GM$25))=Fixtures!$DN51,CONCATENATE(GM$10,", "),""))</f>
        <v/>
      </c>
      <c r="GN51" s="632" t="str">
        <f ca="1">IF(INDIRECT(CONCATENATE($FK$12,Fixtures!GN$25))="","",IF(INDIRECT(CONCATENATE($FK$12,Fixtures!GN$25))=Fixtures!$DN51,CONCATENATE(GN$10,", "),""))</f>
        <v/>
      </c>
      <c r="GO51" s="632" t="str">
        <f ca="1">IF(INDIRECT(CONCATENATE($FK$12,Fixtures!GO$25))="","",IF(INDIRECT(CONCATENATE($FK$12,Fixtures!GO$25))=Fixtures!$DN51,CONCATENATE(GO$10,", "),""))</f>
        <v/>
      </c>
      <c r="GP51" s="632" t="str">
        <f ca="1">IF(INDIRECT(CONCATENATE($FK$12,Fixtures!GP$25))="","",IF(INDIRECT(CONCATENATE($FK$12,Fixtures!GP$25))=Fixtures!$DN51,CONCATENATE(GP$10,", "),""))</f>
        <v/>
      </c>
      <c r="GQ51" s="632" t="str">
        <f ca="1">IF(INDIRECT(CONCATENATE($FK$12,Fixtures!GQ$25))="","",IF(INDIRECT(CONCATENATE($FK$12,Fixtures!GQ$25))=Fixtures!$DN51,CONCATENATE(GQ$10,", "),""))</f>
        <v/>
      </c>
      <c r="GR51" s="632" t="str">
        <f ca="1">IF(INDIRECT(CONCATENATE($FK$12,Fixtures!GR$25))="","",IF(INDIRECT(CONCATENATE($FK$12,Fixtures!GR$25))=Fixtures!$DN51,CONCATENATE(GR$10,", "),""))</f>
        <v/>
      </c>
      <c r="GS51" s="632" t="str">
        <f ca="1">IF(INDIRECT(CONCATENATE($FK$12,Fixtures!GS$25))="","",IF(INDIRECT(CONCATENATE($FK$12,Fixtures!GS$25))=Fixtures!$DN51,CONCATENATE(GS$10,", "),""))</f>
        <v/>
      </c>
      <c r="GT51" s="632" t="str">
        <f ca="1">IF(INDIRECT(CONCATENATE($FK$12,Fixtures!GT$25))="","",IF(INDIRECT(CONCATENATE($FK$12,Fixtures!GT$25))=Fixtures!$DN51,CONCATENATE(GT$10,", "),""))</f>
        <v/>
      </c>
      <c r="GU51" s="632" t="str">
        <f ca="1">IF(INDIRECT(CONCATENATE($FK$12,Fixtures!GU$25))="","",IF(INDIRECT(CONCATENATE($FK$12,Fixtures!GU$25))=Fixtures!$DN51,CONCATENATE(GU$10,", "),""))</f>
        <v/>
      </c>
      <c r="GV51" s="632" t="str">
        <f ca="1">IF(INDIRECT(CONCATENATE($FK$12,Fixtures!GV$25))="","",IF(INDIRECT(CONCATENATE($FK$12,Fixtures!GV$25))=Fixtures!$DN51,CONCATENATE(GV$10,", "),""))</f>
        <v/>
      </c>
      <c r="GW51" s="632" t="str">
        <f ca="1">IF(INDIRECT(CONCATENATE($FK$12,Fixtures!GW$25))="","",IF(INDIRECT(CONCATENATE($FK$12,Fixtures!GW$25))=Fixtures!$DN51,CONCATENATE(GW$10,", "),""))</f>
        <v/>
      </c>
      <c r="GX51" s="606" t="str">
        <f ca="1">IF(INDIRECT(CONCATENATE($FK$12,Fixtures!GX$25))="","",IF(INDIRECT(CONCATENATE($FK$12,Fixtures!GX$25))=Fixtures!$DN51,CONCATENATE(GX$10,", "),""))</f>
        <v/>
      </c>
      <c r="GY51" s="607" t="str">
        <f ca="1">IF(INDIRECT(CONCATENATE($FK$12,Fixtures!GY$25))="","",IF(INDIRECT(CONCATENATE($FK$12,Fixtures!GY$25))=Fixtures!$DN51,CONCATENATE(GY$10,", "),""))</f>
        <v/>
      </c>
      <c r="GZ51" s="632" t="str">
        <f ca="1">IF(INDIRECT(CONCATENATE($FK$12,Fixtures!GZ$25))="","",IF(INDIRECT(CONCATENATE($FK$12,Fixtures!GZ$25))=Fixtures!$DN51,CONCATENATE(GZ$10,", "),""))</f>
        <v/>
      </c>
      <c r="HA51" s="632" t="str">
        <f ca="1">IF(INDIRECT(CONCATENATE($FK$12,Fixtures!HA$25))="","",IF(INDIRECT(CONCATENATE($FK$12,Fixtures!HA$25))=Fixtures!$DN51,CONCATENATE(HA$10,", "),""))</f>
        <v/>
      </c>
      <c r="HB51" s="632" t="str">
        <f ca="1">IF(INDIRECT(CONCATENATE($FK$12,Fixtures!HB$25))="","",IF(INDIRECT(CONCATENATE($FK$12,Fixtures!HB$25))=Fixtures!$DN51,CONCATENATE(HB$10,", "),""))</f>
        <v/>
      </c>
      <c r="HC51" s="632" t="str">
        <f ca="1">IF(INDIRECT(CONCATENATE($FK$12,Fixtures!HC$25))="","",IF(INDIRECT(CONCATENATE($FK$12,Fixtures!HC$25))=Fixtures!$DN51,CONCATENATE(HC$10,", "),""))</f>
        <v/>
      </c>
      <c r="HD51" s="632" t="str">
        <f ca="1">IF(INDIRECT(CONCATENATE($FK$12,Fixtures!HD$25))="","",IF(INDIRECT(CONCATENATE($FK$12,Fixtures!HD$25))=Fixtures!$DN51,CONCATENATE(HD$10,", "),""))</f>
        <v/>
      </c>
      <c r="HE51" s="632" t="str">
        <f ca="1">IF(INDIRECT(CONCATENATE($FK$12,Fixtures!HE$25))="","",IF(INDIRECT(CONCATENATE($FK$12,Fixtures!HE$25))=Fixtures!$DN51,CONCATENATE(HE$10,", "),""))</f>
        <v/>
      </c>
      <c r="HF51" s="632" t="str">
        <f ca="1">IF(INDIRECT(CONCATENATE($FK$12,Fixtures!HF$25))="","",IF(INDIRECT(CONCATENATE($FK$12,Fixtures!HF$25))=Fixtures!$DN51,CONCATENATE(HF$10,", "),""))</f>
        <v/>
      </c>
      <c r="HG51" s="632" t="str">
        <f ca="1">IF(INDIRECT(CONCATENATE($FK$12,Fixtures!HG$25))="","",IF(INDIRECT(CONCATENATE($FK$12,Fixtures!HG$25))=Fixtures!$DN51,CONCATENATE(HG$10,", "),""))</f>
        <v/>
      </c>
      <c r="HH51" s="632" t="str">
        <f ca="1">IF(INDIRECT(CONCATENATE($FK$12,Fixtures!HH$25))="","",IF(INDIRECT(CONCATENATE($FK$12,Fixtures!HH$25))=Fixtures!$DN51,CONCATENATE(HH$10,", "),""))</f>
        <v/>
      </c>
      <c r="HI51" s="632" t="str">
        <f ca="1">IF(INDIRECT(CONCATENATE($FK$12,Fixtures!HI$25))="","",IF(INDIRECT(CONCATENATE($FK$12,Fixtures!HI$25))=Fixtures!$DN51,CONCATENATE(HI$10,", "),""))</f>
        <v/>
      </c>
      <c r="HJ51" s="632" t="str">
        <f ca="1">IF(INDIRECT(CONCATENATE($FK$12,Fixtures!HJ$25))="","",IF(INDIRECT(CONCATENATE($FK$12,Fixtures!HJ$25))=Fixtures!$DN51,CONCATENATE(HJ$10,", "),""))</f>
        <v/>
      </c>
      <c r="HK51" s="632" t="str">
        <f ca="1">IF(INDIRECT(CONCATENATE($FK$12,Fixtures!HK$25))="","",IF(INDIRECT(CONCATENATE($FK$12,Fixtures!HK$25))=Fixtures!$DN51,CONCATENATE(HK$10,", "),""))</f>
        <v/>
      </c>
      <c r="HL51" s="632" t="str">
        <f ca="1">IF(INDIRECT(CONCATENATE($FK$12,Fixtures!HL$25))="","",IF(INDIRECT(CONCATENATE($FK$12,Fixtures!HL$25))=Fixtures!$DN51,CONCATENATE(HL$10,", "),""))</f>
        <v/>
      </c>
      <c r="HM51" s="606" t="str">
        <f ca="1">IF(INDIRECT(CONCATENATE($FK$12,Fixtures!HM$25))="","",IF(INDIRECT(CONCATENATE($FK$12,Fixtures!HM$25))=Fixtures!$DN51,CONCATENATE(HM$10,", "),""))</f>
        <v/>
      </c>
      <c r="HN51" s="607" t="str">
        <f ca="1">IF(INDIRECT(CONCATENATE($FK$12,Fixtures!HN$25))="","",IF(INDIRECT(CONCATENATE($FK$12,Fixtures!HN$25))=Fixtures!$DN51,CONCATENATE(HN$10,", "),""))</f>
        <v/>
      </c>
      <c r="HO51" s="632" t="str">
        <f ca="1">IF(INDIRECT(CONCATENATE($FK$12,Fixtures!HO$25))="","",IF(INDIRECT(CONCATENATE($FK$12,Fixtures!HO$25))=Fixtures!$DN51,CONCATENATE(HO$10,", "),""))</f>
        <v/>
      </c>
      <c r="HP51" s="632" t="str">
        <f ca="1">IF(INDIRECT(CONCATENATE($FK$12,Fixtures!HP$25))="","",IF(INDIRECT(CONCATENATE($FK$12,Fixtures!HP$25))=Fixtures!$DN51,CONCATENATE(HP$10,", "),""))</f>
        <v/>
      </c>
      <c r="HQ51" s="632" t="str">
        <f ca="1">IF(INDIRECT(CONCATENATE($FK$12,Fixtures!HQ$25))="","",IF(INDIRECT(CONCATENATE($FK$12,Fixtures!HQ$25))=Fixtures!$DN51,CONCATENATE(HQ$10,", "),""))</f>
        <v/>
      </c>
      <c r="HR51" s="632" t="str">
        <f ca="1">IF(INDIRECT(CONCATENATE($FK$12,Fixtures!HR$25))="","",IF(INDIRECT(CONCATENATE($FK$12,Fixtures!HR$25))=Fixtures!$DN51,CONCATENATE(HR$10,", "),""))</f>
        <v/>
      </c>
      <c r="HS51" s="632" t="str">
        <f ca="1">IF(INDIRECT(CONCATENATE($FK$12,Fixtures!HS$25))="","",IF(INDIRECT(CONCATENATE($FK$12,Fixtures!HS$25))=Fixtures!$DN51,CONCATENATE(HS$10,", "),""))</f>
        <v/>
      </c>
      <c r="HT51" s="632" t="str">
        <f ca="1">IF(INDIRECT(CONCATENATE($FK$12,Fixtures!HT$25))="","",IF(INDIRECT(CONCATENATE($FK$12,Fixtures!HT$25))=Fixtures!$DN51,CONCATENATE(HT$10,", "),""))</f>
        <v/>
      </c>
      <c r="HU51" s="632" t="str">
        <f ca="1">IF(INDIRECT(CONCATENATE($FK$12,Fixtures!HU$25))="","",IF(INDIRECT(CONCATENATE($FK$12,Fixtures!HU$25))=Fixtures!$DN51,CONCATENATE(HU$10,", "),""))</f>
        <v/>
      </c>
      <c r="HV51" s="632" t="str">
        <f ca="1">IF(INDIRECT(CONCATENATE($FK$12,Fixtures!HV$25))="","",IF(INDIRECT(CONCATENATE($FK$12,Fixtures!HV$25))=Fixtures!$DN51,CONCATENATE(HV$10,", "),""))</f>
        <v/>
      </c>
      <c r="HW51" s="632" t="str">
        <f ca="1">IF(INDIRECT(CONCATENATE($FK$12,Fixtures!HW$25))="","",IF(INDIRECT(CONCATENATE($FK$12,Fixtures!HW$25))=Fixtures!$DN51,CONCATENATE(HW$10,", "),""))</f>
        <v/>
      </c>
      <c r="HX51" s="632" t="str">
        <f ca="1">IF(INDIRECT(CONCATENATE($FK$12,Fixtures!HX$25))="","",IF(INDIRECT(CONCATENATE($FK$12,Fixtures!HX$25))=Fixtures!$DN51,CONCATENATE(HX$10,", "),""))</f>
        <v/>
      </c>
      <c r="HY51" s="632" t="str">
        <f ca="1">IF(INDIRECT(CONCATENATE($FK$12,Fixtures!HY$25))="","",IF(INDIRECT(CONCATENATE($FK$12,Fixtures!HY$25))=Fixtures!$DN51,CONCATENATE(HY$10,", "),""))</f>
        <v/>
      </c>
      <c r="HZ51" s="632" t="str">
        <f ca="1">IF(INDIRECT(CONCATENATE($FK$12,Fixtures!HZ$25))="","",IF(INDIRECT(CONCATENATE($FK$12,Fixtures!HZ$25))=Fixtures!$DN51,CONCATENATE(HZ$10,", "),""))</f>
        <v/>
      </c>
      <c r="IA51" s="632" t="str">
        <f ca="1">IF(INDIRECT(CONCATENATE($FK$12,Fixtures!IA$25))="","",IF(INDIRECT(CONCATENATE($FK$12,Fixtures!IA$25))=Fixtures!$DN51,CONCATENATE(IA$10,", "),""))</f>
        <v/>
      </c>
      <c r="IB51" s="606" t="str">
        <f ca="1">IF(INDIRECT(CONCATENATE($FK$12,Fixtures!IB$25))="","",IF(INDIRECT(CONCATENATE($FK$12,Fixtures!IB$25))=Fixtures!$DN51,CONCATENATE(IB$10,", "),""))</f>
        <v/>
      </c>
      <c r="IC51" s="607" t="str">
        <f ca="1">IF(INDIRECT(CONCATENATE($FK$12,Fixtures!IC$25))="","",IF(INDIRECT(CONCATENATE($FK$12,Fixtures!IC$25))=Fixtures!$DN51,CONCATENATE(IC$10,", "),""))</f>
        <v/>
      </c>
      <c r="ID51" s="632" t="str">
        <f ca="1">IF(INDIRECT(CONCATENATE($FK$12,Fixtures!ID$25))="","",IF(INDIRECT(CONCATENATE($FK$12,Fixtures!ID$25))=Fixtures!$DN51,CONCATENATE(ID$10,", "),""))</f>
        <v/>
      </c>
      <c r="IE51" s="632" t="str">
        <f ca="1">IF(INDIRECT(CONCATENATE($FK$12,Fixtures!IE$25))="","",IF(INDIRECT(CONCATENATE($FK$12,Fixtures!IE$25))=Fixtures!$DN51,CONCATENATE(IE$10,", "),""))</f>
        <v/>
      </c>
      <c r="IF51" s="632" t="str">
        <f ca="1">IF(INDIRECT(CONCATENATE($FK$12,Fixtures!IF$25))="","",IF(INDIRECT(CONCATENATE($FK$12,Fixtures!IF$25))=Fixtures!$DN51,CONCATENATE(IF$10,", "),""))</f>
        <v/>
      </c>
      <c r="IG51" s="632" t="str">
        <f ca="1">IF(INDIRECT(CONCATENATE($FK$12,Fixtures!IG$25))="","",IF(INDIRECT(CONCATENATE($FK$12,Fixtures!IG$25))=Fixtures!$DN51,CONCATENATE(IG$10,", "),""))</f>
        <v/>
      </c>
      <c r="IH51" s="632" t="str">
        <f ca="1">IF(INDIRECT(CONCATENATE($FK$12,Fixtures!IH$25))="","",IF(INDIRECT(CONCATENATE($FK$12,Fixtures!IH$25))=Fixtures!$DN51,CONCATENATE(IH$10,", "),""))</f>
        <v/>
      </c>
      <c r="II51" s="632" t="str">
        <f ca="1">IF(INDIRECT(CONCATENATE($FK$12,Fixtures!II$25))="","",IF(INDIRECT(CONCATENATE($FK$12,Fixtures!II$25))=Fixtures!$DN51,CONCATENATE(II$10,", "),""))</f>
        <v/>
      </c>
      <c r="IJ51" s="632" t="str">
        <f ca="1">IF(INDIRECT(CONCATENATE($FK$12,Fixtures!IJ$25))="","",IF(INDIRECT(CONCATENATE($FK$12,Fixtures!IJ$25))=Fixtures!$DN51,CONCATENATE(IJ$10,", "),""))</f>
        <v/>
      </c>
      <c r="IK51" s="632" t="str">
        <f ca="1">IF(INDIRECT(CONCATENATE($FK$12,Fixtures!IK$25))="","",IF(INDIRECT(CONCATENATE($FK$12,Fixtures!IK$25))=Fixtures!$DN51,CONCATENATE(IK$10,", "),""))</f>
        <v/>
      </c>
      <c r="IL51" s="632" t="str">
        <f ca="1">IF(INDIRECT(CONCATENATE($FK$12,Fixtures!IL$25))="","",IF(INDIRECT(CONCATENATE($FK$12,Fixtures!IL$25))=Fixtures!$DN51,CONCATENATE(IL$10,", "),""))</f>
        <v/>
      </c>
      <c r="IM51" s="632" t="str">
        <f ca="1">IF(INDIRECT(CONCATENATE($FK$12,Fixtures!IM$25))="","",IF(INDIRECT(CONCATENATE($FK$12,Fixtures!IM$25))=Fixtures!$DN51,CONCATENATE(IM$10,", "),""))</f>
        <v/>
      </c>
      <c r="IN51" s="632" t="str">
        <f ca="1">IF(INDIRECT(CONCATENATE($FK$12,Fixtures!IN$25))="","",IF(INDIRECT(CONCATENATE($FK$12,Fixtures!IN$25))=Fixtures!$DN51,CONCATENATE(IN$10,", "),""))</f>
        <v/>
      </c>
      <c r="IO51" s="632" t="str">
        <f ca="1">IF(INDIRECT(CONCATENATE($FK$12,Fixtures!IO$25))="","",IF(INDIRECT(CONCATENATE($FK$12,Fixtures!IO$25))=Fixtures!$DN51,CONCATENATE(IO$10,", "),""))</f>
        <v/>
      </c>
      <c r="IP51" s="632" t="str">
        <f ca="1">IF(INDIRECT(CONCATENATE($FK$12,Fixtures!IP$25))="","",IF(INDIRECT(CONCATENATE($FK$12,Fixtures!IP$25))=Fixtures!$DN51,CONCATENATE(IP$10,", "),""))</f>
        <v/>
      </c>
      <c r="IQ51" s="606" t="str">
        <f ca="1">IF(INDIRECT(CONCATENATE($FK$12,Fixtures!IQ$25))="","",IF(INDIRECT(CONCATENATE($FK$12,Fixtures!IQ$25))=Fixtures!$DN51,CONCATENATE(IQ$10,", "),""))</f>
        <v/>
      </c>
      <c r="IR51" s="607" t="str">
        <f ca="1">IF(INDIRECT(CONCATENATE($FK$12,Fixtures!IR$25))="","",IF(INDIRECT(CONCATENATE($FK$12,Fixtures!IR$25))=Fixtures!$DN51,CONCATENATE(IR$10,", "),""))</f>
        <v/>
      </c>
      <c r="IS51" s="632" t="str">
        <f ca="1">IF(INDIRECT(CONCATENATE($FK$12,Fixtures!IS$25))="","",IF(INDIRECT(CONCATENATE($FK$12,Fixtures!IS$25))=Fixtures!$DN51,CONCATENATE(IS$10,", "),""))</f>
        <v/>
      </c>
      <c r="IT51" s="632" t="str">
        <f ca="1">IF(INDIRECT(CONCATENATE($FK$12,Fixtures!IT$25))="","",IF(INDIRECT(CONCATENATE($FK$12,Fixtures!IT$25))=Fixtures!$DN51,CONCATENATE(IT$10,", "),""))</f>
        <v/>
      </c>
      <c r="IU51" s="632" t="str">
        <f ca="1">IF(INDIRECT(CONCATENATE($FK$12,Fixtures!IU$25))="","",IF(INDIRECT(CONCATENATE($FK$12,Fixtures!IU$25))=Fixtures!$DN51,CONCATENATE(IU$10,", "),""))</f>
        <v/>
      </c>
      <c r="IV51" s="632" t="str">
        <f ca="1">IF(INDIRECT(CONCATENATE($FK$12,Fixtures!IV$25))="","",IF(INDIRECT(CONCATENATE($FK$12,Fixtures!IV$25))=Fixtures!$DN51,CONCATENATE(IV$10,", "),""))</f>
        <v/>
      </c>
      <c r="IW51" s="632" t="str">
        <f ca="1">IF(INDIRECT(CONCATENATE($FK$12,Fixtures!IW$25))="","",IF(INDIRECT(CONCATENATE($FK$12,Fixtures!IW$25))=Fixtures!$DN51,CONCATENATE(IW$10,", "),""))</f>
        <v/>
      </c>
      <c r="IX51" s="632" t="str">
        <f ca="1">IF(INDIRECT(CONCATENATE($FK$12,Fixtures!IX$25))="","",IF(INDIRECT(CONCATENATE($FK$12,Fixtures!IX$25))=Fixtures!$DN51,CONCATENATE(IX$10,", "),""))</f>
        <v/>
      </c>
      <c r="IY51" s="632" t="str">
        <f ca="1">IF(INDIRECT(CONCATENATE($FK$12,Fixtures!IY$25))="","",IF(INDIRECT(CONCATENATE($FK$12,Fixtures!IY$25))=Fixtures!$DN51,CONCATENATE(IY$10,", "),""))</f>
        <v/>
      </c>
      <c r="IZ51" s="632" t="str">
        <f ca="1">IF(INDIRECT(CONCATENATE($FK$12,Fixtures!IZ$25))="","",IF(INDIRECT(CONCATENATE($FK$12,Fixtures!IZ$25))=Fixtures!$DN51,CONCATENATE(IZ$10,", "),""))</f>
        <v/>
      </c>
      <c r="JA51" s="632" t="str">
        <f ca="1">IF(INDIRECT(CONCATENATE($FK$12,Fixtures!JA$25))="","",IF(INDIRECT(CONCATENATE($FK$12,Fixtures!JA$25))=Fixtures!$DN51,CONCATENATE(JA$10,", "),""))</f>
        <v/>
      </c>
      <c r="JB51" s="632" t="str">
        <f ca="1">IF(INDIRECT(CONCATENATE($FK$12,Fixtures!JB$25))="","",IF(INDIRECT(CONCATENATE($FK$12,Fixtures!JB$25))=Fixtures!$DN51,CONCATENATE(JB$10,", "),""))</f>
        <v/>
      </c>
      <c r="JC51" s="632" t="str">
        <f ca="1">IF(INDIRECT(CONCATENATE($FK$12,Fixtures!JC$25))="","",IF(INDIRECT(CONCATENATE($FK$12,Fixtures!JC$25))=Fixtures!$DN51,CONCATENATE(JC$10,", "),""))</f>
        <v/>
      </c>
      <c r="JD51" s="632" t="str">
        <f ca="1">IF(INDIRECT(CONCATENATE($FK$12,Fixtures!JD$25))="","",IF(INDIRECT(CONCATENATE($FK$12,Fixtures!JD$25))=Fixtures!$DN51,CONCATENATE(JD$10,", "),""))</f>
        <v/>
      </c>
      <c r="JE51" s="632" t="str">
        <f ca="1">IF(INDIRECT(CONCATENATE($FK$12,Fixtures!JE$25))="","",IF(INDIRECT(CONCATENATE($FK$12,Fixtures!JE$25))=Fixtures!$DN51,CONCATENATE(JE$10,", "),""))</f>
        <v/>
      </c>
      <c r="JF51" s="606" t="str">
        <f ca="1">IF(INDIRECT(CONCATENATE($FK$12,Fixtures!JF$25))="","",IF(INDIRECT(CONCATENATE($FK$12,Fixtures!JF$25))=Fixtures!$DN51,CONCATENATE(JF$10,", "),""))</f>
        <v/>
      </c>
      <c r="JG51" s="607" t="str">
        <f ca="1">IF(INDIRECT(CONCATENATE($FK$12,Fixtures!JG$25))="","",IF(INDIRECT(CONCATENATE($FK$12,Fixtures!JG$25))=Fixtures!$DN51,CONCATENATE(JG$10,", "),""))</f>
        <v/>
      </c>
      <c r="JH51" s="632" t="str">
        <f ca="1">IF(INDIRECT(CONCATENATE($FK$12,Fixtures!JH$25))="","",IF(INDIRECT(CONCATENATE($FK$12,Fixtures!JH$25))=Fixtures!$DN51,CONCATENATE(JH$10,", "),""))</f>
        <v/>
      </c>
      <c r="JI51" s="632" t="str">
        <f ca="1">IF(INDIRECT(CONCATENATE($FK$12,Fixtures!JI$25))="","",IF(INDIRECT(CONCATENATE($FK$12,Fixtures!JI$25))=Fixtures!$DN51,CONCATENATE(JI$10,", "),""))</f>
        <v/>
      </c>
      <c r="JJ51" s="632" t="str">
        <f ca="1">IF(INDIRECT(CONCATENATE($FK$12,Fixtures!JJ$25))="","",IF(INDIRECT(CONCATENATE($FK$12,Fixtures!JJ$25))=Fixtures!$DN51,CONCATENATE(JJ$10,", "),""))</f>
        <v/>
      </c>
      <c r="JK51" s="632" t="str">
        <f ca="1">IF(INDIRECT(CONCATENATE($FK$12,Fixtures!JK$25))="","",IF(INDIRECT(CONCATENATE($FK$12,Fixtures!JK$25))=Fixtures!$DN51,CONCATENATE(JK$10,", "),""))</f>
        <v/>
      </c>
      <c r="JL51" s="632" t="str">
        <f ca="1">IF(INDIRECT(CONCATENATE($FK$12,Fixtures!JL$25))="","",IF(INDIRECT(CONCATENATE($FK$12,Fixtures!JL$25))=Fixtures!$DN51,CONCATENATE(JL$10,", "),""))</f>
        <v/>
      </c>
      <c r="JM51" s="632" t="str">
        <f ca="1">IF(INDIRECT(CONCATENATE($FK$12,Fixtures!JM$25))="","",IF(INDIRECT(CONCATENATE($FK$12,Fixtures!JM$25))=Fixtures!$DN51,CONCATENATE(JM$10,", "),""))</f>
        <v/>
      </c>
      <c r="JN51" s="632" t="str">
        <f ca="1">IF(INDIRECT(CONCATENATE($FK$12,Fixtures!JN$25))="","",IF(INDIRECT(CONCATENATE($FK$12,Fixtures!JN$25))=Fixtures!$DN51,CONCATENATE(JN$10,", "),""))</f>
        <v/>
      </c>
      <c r="JO51" s="632" t="str">
        <f ca="1">IF(INDIRECT(CONCATENATE($FK$12,Fixtures!JO$25))="","",IF(INDIRECT(CONCATENATE($FK$12,Fixtures!JO$25))=Fixtures!$DN51,CONCATENATE(JO$10,", "),""))</f>
        <v/>
      </c>
      <c r="JP51" s="632" t="str">
        <f ca="1">IF(INDIRECT(CONCATENATE($FK$12,Fixtures!JP$25))="","",IF(INDIRECT(CONCATENATE($FK$12,Fixtures!JP$25))=Fixtures!$DN51,CONCATENATE(JP$10,", "),""))</f>
        <v/>
      </c>
      <c r="JQ51" s="632" t="str">
        <f ca="1">IF(INDIRECT(CONCATENATE($FK$12,Fixtures!JQ$25))="","",IF(INDIRECT(CONCATENATE($FK$12,Fixtures!JQ$25))=Fixtures!$DN51,CONCATENATE(JQ$10,", "),""))</f>
        <v/>
      </c>
      <c r="JR51" s="632" t="str">
        <f ca="1">IF(INDIRECT(CONCATENATE($FK$12,Fixtures!JR$25))="","",IF(INDIRECT(CONCATENATE($FK$12,Fixtures!JR$25))=Fixtures!$DN51,CONCATENATE(JR$10,", "),""))</f>
        <v/>
      </c>
      <c r="JS51" s="632" t="str">
        <f ca="1">IF(INDIRECT(CONCATENATE($FK$12,Fixtures!JS$25))="","",IF(INDIRECT(CONCATENATE($FK$12,Fixtures!JS$25))=Fixtures!$DN51,CONCATENATE(JS$10,", "),""))</f>
        <v/>
      </c>
      <c r="JT51" s="632" t="str">
        <f ca="1">IF(INDIRECT(CONCATENATE($FK$12,Fixtures!JT$25))="","",IF(INDIRECT(CONCATENATE($FK$12,Fixtures!JT$25))=Fixtures!$DN51,CONCATENATE(JT$10,", "),""))</f>
        <v/>
      </c>
      <c r="JU51" s="606" t="str">
        <f ca="1">IF(INDIRECT(CONCATENATE($FK$12,Fixtures!JU$25))="","",IF(INDIRECT(CONCATENATE($FK$12,Fixtures!JU$25))=Fixtures!$DN51,CONCATENATE(JU$10,", "),""))</f>
        <v/>
      </c>
      <c r="JV51" s="607" t="str">
        <f ca="1">IF(INDIRECT(CONCATENATE($FK$12,Fixtures!JV$25))="","",IF(INDIRECT(CONCATENATE($FK$12,Fixtures!JV$25))=Fixtures!$DN51,CONCATENATE(JV$10,", "),""))</f>
        <v/>
      </c>
      <c r="JW51" s="632" t="str">
        <f ca="1">IF(INDIRECT(CONCATENATE($FK$12,Fixtures!JW$25))="","",IF(INDIRECT(CONCATENATE($FK$12,Fixtures!JW$25))=Fixtures!$DN51,CONCATENATE(JW$10,", "),""))</f>
        <v/>
      </c>
      <c r="JX51" s="632" t="str">
        <f ca="1">IF(INDIRECT(CONCATENATE($FK$12,Fixtures!JX$25))="","",IF(INDIRECT(CONCATENATE($FK$12,Fixtures!JX$25))=Fixtures!$DN51,CONCATENATE(JX$10,", "),""))</f>
        <v/>
      </c>
      <c r="JY51" s="632" t="str">
        <f ca="1">IF(INDIRECT(CONCATENATE($FK$12,Fixtures!JY$25))="","",IF(INDIRECT(CONCATENATE($FK$12,Fixtures!JY$25))=Fixtures!$DN51,CONCATENATE(JY$10,", "),""))</f>
        <v/>
      </c>
      <c r="JZ51" s="632" t="str">
        <f ca="1">IF(INDIRECT(CONCATENATE($FK$12,Fixtures!JZ$25))="","",IF(INDIRECT(CONCATENATE($FK$12,Fixtures!JZ$25))=Fixtures!$DN51,CONCATENATE(JZ$10,", "),""))</f>
        <v/>
      </c>
      <c r="KA51" s="632" t="str">
        <f ca="1">IF(INDIRECT(CONCATENATE($FK$12,Fixtures!KA$25))="","",IF(INDIRECT(CONCATENATE($FK$12,Fixtures!KA$25))=Fixtures!$DN51,CONCATENATE(KA$10,", "),""))</f>
        <v/>
      </c>
      <c r="KB51" s="632" t="str">
        <f ca="1">IF(INDIRECT(CONCATENATE($FK$12,Fixtures!KB$25))="","",IF(INDIRECT(CONCATENATE($FK$12,Fixtures!KB$25))=Fixtures!$DN51,CONCATENATE(KB$10,", "),""))</f>
        <v/>
      </c>
      <c r="KC51" s="632" t="str">
        <f ca="1">IF(INDIRECT(CONCATENATE($FK$12,Fixtures!KC$25))="","",IF(INDIRECT(CONCATENATE($FK$12,Fixtures!KC$25))=Fixtures!$DN51,CONCATENATE(KC$10,", "),""))</f>
        <v/>
      </c>
      <c r="KD51" s="632" t="str">
        <f ca="1">IF(INDIRECT(CONCATENATE($FK$12,Fixtures!KD$25))="","",IF(INDIRECT(CONCATENATE($FK$12,Fixtures!KD$25))=Fixtures!$DN51,CONCATENATE(KD$10,", "),""))</f>
        <v/>
      </c>
      <c r="KE51" s="632" t="str">
        <f ca="1">IF(INDIRECT(CONCATENATE($FK$12,Fixtures!KE$25))="","",IF(INDIRECT(CONCATENATE($FK$12,Fixtures!KE$25))=Fixtures!$DN51,CONCATENATE(KE$10,", "),""))</f>
        <v/>
      </c>
      <c r="KF51" s="632" t="str">
        <f ca="1">IF(INDIRECT(CONCATENATE($FK$12,Fixtures!KF$25))="","",IF(INDIRECT(CONCATENATE($FK$12,Fixtures!KF$25))=Fixtures!$DN51,CONCATENATE(KF$10,", "),""))</f>
        <v/>
      </c>
      <c r="KG51" s="632" t="str">
        <f ca="1">IF(INDIRECT(CONCATENATE($FK$12,Fixtures!KG$25))="","",IF(INDIRECT(CONCATENATE($FK$12,Fixtures!KG$25))=Fixtures!$DN51,CONCATENATE(KG$10,", "),""))</f>
        <v/>
      </c>
      <c r="KH51" s="632" t="str">
        <f ca="1">IF(INDIRECT(CONCATENATE($FK$12,Fixtures!KH$25))="","",IF(INDIRECT(CONCATENATE($FK$12,Fixtures!KH$25))=Fixtures!$DN51,CONCATENATE(KH$10,", "),""))</f>
        <v/>
      </c>
      <c r="KI51" s="632" t="str">
        <f ca="1">IF(INDIRECT(CONCATENATE($FK$12,Fixtures!KI$25))="","",IF(INDIRECT(CONCATENATE($FK$12,Fixtures!KI$25))=Fixtures!$DN51,CONCATENATE(KI$10,", "),""))</f>
        <v/>
      </c>
      <c r="KJ51" s="606" t="str">
        <f ca="1">IF(INDIRECT(CONCATENATE($FK$12,Fixtures!KJ$25))="","",IF(INDIRECT(CONCATENATE($FK$12,Fixtures!KJ$25))=Fixtures!$DN51,CONCATENATE(KJ$10,", "),""))</f>
        <v/>
      </c>
      <c r="KK51" s="607" t="str">
        <f ca="1">IF(INDIRECT(CONCATENATE($FK$12,Fixtures!KK$25))="","",IF(INDIRECT(CONCATENATE($FK$12,Fixtures!KK$25))=Fixtures!$DN51,CONCATENATE(KK$10,", "),""))</f>
        <v/>
      </c>
      <c r="KL51" s="632" t="str">
        <f ca="1">IF(INDIRECT(CONCATENATE($FK$12,Fixtures!KL$25))="","",IF(INDIRECT(CONCATENATE($FK$12,Fixtures!KL$25))=Fixtures!$DN51,CONCATENATE(KL$10,", "),""))</f>
        <v/>
      </c>
      <c r="KM51" s="632" t="str">
        <f ca="1">IF(INDIRECT(CONCATENATE($FK$12,Fixtures!KM$25))="","",IF(INDIRECT(CONCATENATE($FK$12,Fixtures!KM$25))=Fixtures!$DN51,CONCATENATE(KM$10,", "),""))</f>
        <v/>
      </c>
      <c r="KN51" s="632" t="str">
        <f ca="1">IF(INDIRECT(CONCATENATE($FK$12,Fixtures!KN$25))="","",IF(INDIRECT(CONCATENATE($FK$12,Fixtures!KN$25))=Fixtures!$DN51,CONCATENATE(KN$10,", "),""))</f>
        <v/>
      </c>
      <c r="KO51" s="632" t="str">
        <f ca="1">IF(INDIRECT(CONCATENATE($FK$12,Fixtures!KO$25))="","",IF(INDIRECT(CONCATENATE($FK$12,Fixtures!KO$25))=Fixtures!$DN51,CONCATENATE(KO$10,", "),""))</f>
        <v/>
      </c>
      <c r="KP51" s="632" t="str">
        <f ca="1">IF(INDIRECT(CONCATENATE($FK$12,Fixtures!KP$25))="","",IF(INDIRECT(CONCATENATE($FK$12,Fixtures!KP$25))=Fixtures!$DN51,CONCATENATE(KP$10,", "),""))</f>
        <v/>
      </c>
      <c r="KQ51" s="632" t="str">
        <f ca="1">IF(INDIRECT(CONCATENATE($FK$12,Fixtures!KQ$25))="","",IF(INDIRECT(CONCATENATE($FK$12,Fixtures!KQ$25))=Fixtures!$DN51,CONCATENATE(KQ$10,", "),""))</f>
        <v/>
      </c>
      <c r="KR51" s="632" t="str">
        <f ca="1">IF(INDIRECT(CONCATENATE($FK$12,Fixtures!KR$25))="","",IF(INDIRECT(CONCATENATE($FK$12,Fixtures!KR$25))=Fixtures!$DN51,CONCATENATE(KR$10,", "),""))</f>
        <v/>
      </c>
      <c r="KS51" s="632" t="str">
        <f ca="1">IF(INDIRECT(CONCATENATE($FK$12,Fixtures!KS$25))="","",IF(INDIRECT(CONCATENATE($FK$12,Fixtures!KS$25))=Fixtures!$DN51,CONCATENATE(KS$10,", "),""))</f>
        <v/>
      </c>
      <c r="KT51" s="632" t="str">
        <f ca="1">IF(INDIRECT(CONCATENATE($FK$12,Fixtures!KT$25))="","",IF(INDIRECT(CONCATENATE($FK$12,Fixtures!KT$25))=Fixtures!$DN51,CONCATENATE(KT$10,", "),""))</f>
        <v/>
      </c>
      <c r="KU51" s="632" t="str">
        <f ca="1">IF(INDIRECT(CONCATENATE($FK$12,Fixtures!KU$25))="","",IF(INDIRECT(CONCATENATE($FK$12,Fixtures!KU$25))=Fixtures!$DN51,CONCATENATE(KU$10,", "),""))</f>
        <v/>
      </c>
      <c r="KV51" s="632" t="str">
        <f ca="1">IF(INDIRECT(CONCATENATE($FK$12,Fixtures!KV$25))="","",IF(INDIRECT(CONCATENATE($FK$12,Fixtures!KV$25))=Fixtures!$DN51,CONCATENATE(KV$10,", "),""))</f>
        <v/>
      </c>
      <c r="KW51" s="632" t="str">
        <f ca="1">IF(INDIRECT(CONCATENATE($FK$12,Fixtures!KW$25))="","",IF(INDIRECT(CONCATENATE($FK$12,Fixtures!KW$25))=Fixtures!$DN51,CONCATENATE(KW$10,", "),""))</f>
        <v/>
      </c>
      <c r="KX51" s="632" t="str">
        <f ca="1">IF(INDIRECT(CONCATENATE($FK$12,Fixtures!KX$25))="","",IF(INDIRECT(CONCATENATE($FK$12,Fixtures!KX$25))=Fixtures!$DN51,CONCATENATE(KX$10,", "),""))</f>
        <v/>
      </c>
      <c r="KY51" s="632"/>
      <c r="KZ51" s="46"/>
      <c r="LA51" s="46" t="str">
        <f t="shared" ca="1" si="7"/>
        <v/>
      </c>
      <c r="LB51" s="46"/>
      <c r="LC51" s="1010"/>
      <c r="LD51" s="1009" t="str">
        <f t="shared" si="20"/>
        <v/>
      </c>
    </row>
    <row r="52" spans="1:316" ht="28.2" customHeight="1" thickTop="1" thickBot="1">
      <c r="A52" s="426" t="str">
        <f t="shared" si="13"/>
        <v/>
      </c>
      <c r="C52" s="1640" t="str">
        <f t="shared" si="14"/>
        <v/>
      </c>
      <c r="D52" s="1641"/>
      <c r="E52" s="1568" t="str">
        <f t="shared" si="15"/>
        <v/>
      </c>
      <c r="F52" s="1569"/>
      <c r="G52" s="1569"/>
      <c r="H52" s="1569"/>
      <c r="I52" s="1569"/>
      <c r="J52" s="1569"/>
      <c r="K52" s="1569"/>
      <c r="L52" s="1569"/>
      <c r="M52" s="1642"/>
      <c r="N52" s="203" t="str">
        <f t="shared" si="16"/>
        <v/>
      </c>
      <c r="O52" s="12"/>
      <c r="P52" s="1638" t="str">
        <f t="shared" si="25"/>
        <v/>
      </c>
      <c r="Q52" s="1639"/>
      <c r="R52" s="1568" t="str">
        <f t="shared" si="30"/>
        <v/>
      </c>
      <c r="S52" s="1569"/>
      <c r="T52" s="1569"/>
      <c r="U52" s="1569"/>
      <c r="V52" s="1569"/>
      <c r="W52" s="1569"/>
      <c r="X52" s="1569"/>
      <c r="Y52" s="203" t="str">
        <f t="shared" si="26"/>
        <v/>
      </c>
      <c r="Z52" s="203" t="str">
        <f t="shared" si="27"/>
        <v/>
      </c>
      <c r="AA52" s="394" t="str">
        <f t="shared" si="28"/>
        <v/>
      </c>
      <c r="AB52" s="489"/>
      <c r="AC52" s="1564" t="str">
        <f t="shared" si="18"/>
        <v/>
      </c>
      <c r="AD52" s="1565"/>
      <c r="AE52" s="1565"/>
      <c r="AF52" s="1565"/>
      <c r="AG52" s="1565"/>
      <c r="AH52" s="1565"/>
      <c r="AK52">
        <f>SUMIFS(Installations!CV$46:CV$803,Installations!CW$46:CW$803,E52,Installations!IC$46:IC$803,TRUE)</f>
        <v>0</v>
      </c>
      <c r="AL52">
        <f>SUMIFS(Installations!CV$46:CV$803,Installations!CW$46:CW$803,R52,Installations!IC$46:IC$803,TRUE)</f>
        <v>0</v>
      </c>
      <c r="BL52" s="9"/>
      <c r="BM52" s="622" t="str">
        <f t="shared" si="19"/>
        <v/>
      </c>
      <c r="BN52" s="52"/>
      <c r="BO52" s="52"/>
      <c r="BP52" s="52"/>
      <c r="BQ52" s="52"/>
      <c r="BR52" s="52"/>
      <c r="BS52" s="52"/>
      <c r="BT52" s="52"/>
      <c r="BU52" s="373"/>
      <c r="BV52" s="219" t="str">
        <f>IF(CN52&lt;&gt;"Yes","",IFERROR(VLOOKUP(CU52,Existing!A$4:F$367,2,FALSE),""))</f>
        <v/>
      </c>
      <c r="BW52" s="9">
        <v>26</v>
      </c>
      <c r="BX52" s="1625"/>
      <c r="BY52" s="1626"/>
      <c r="BZ52" s="1626"/>
      <c r="CA52" s="1627"/>
      <c r="CB52" s="1622"/>
      <c r="CC52" s="1623"/>
      <c r="CD52" s="1623"/>
      <c r="CE52" s="1624"/>
      <c r="CF52" s="1621"/>
      <c r="CG52" s="1621"/>
      <c r="CH52" s="1621"/>
      <c r="CI52" s="1621"/>
      <c r="CJ52" s="1621"/>
      <c r="CK52" s="1621"/>
      <c r="CL52" s="1621"/>
      <c r="CM52" s="1621"/>
      <c r="CN52" s="1553" t="str">
        <f t="shared" si="0"/>
        <v/>
      </c>
      <c r="CO52" s="1554"/>
      <c r="CP52" s="229" t="str">
        <f>IFERROR(IF(CB52="Existing TLED",CR52*CW52*CY52,VLOOKUP(CU52,Existing!A$3:F$356,6,FALSE)),"")</f>
        <v/>
      </c>
      <c r="CQ52" s="9"/>
      <c r="CR52" s="1660"/>
      <c r="CS52" s="1661"/>
      <c r="CT52" s="9"/>
      <c r="CU52" s="425" t="str">
        <f t="shared" si="21"/>
        <v/>
      </c>
      <c r="CV52" s="426" t="b">
        <f t="shared" si="22"/>
        <v>0</v>
      </c>
      <c r="CW52" s="426" t="str">
        <f t="shared" si="23"/>
        <v/>
      </c>
      <c r="CX52" s="426">
        <f>IFERROR(VLOOKUP(CF52,Lookup!T$100:V$102,3,FALSE),0)</f>
        <v>0</v>
      </c>
      <c r="CY52" s="426">
        <f t="shared" si="8"/>
        <v>1.1100000000000001</v>
      </c>
      <c r="CZ52" s="626" t="b">
        <f t="shared" si="1"/>
        <v>0</v>
      </c>
      <c r="DA52" s="626" t="b">
        <f>IF(CF52&lt;&gt;"",IF(ISERROR(MATCH(CONCATENATE(CB52," - ",CF52),Existing!G$4:G$331,0))=TRUE,FALSE,TRUE),TRUE)</f>
        <v>1</v>
      </c>
      <c r="DB52" s="626" t="b">
        <f t="shared" si="2"/>
        <v>1</v>
      </c>
      <c r="DL52" s="9"/>
      <c r="DM52" s="627" t="s">
        <v>215</v>
      </c>
      <c r="DN52" s="375" t="str">
        <f t="shared" si="3"/>
        <v/>
      </c>
      <c r="DO52" s="52"/>
      <c r="DP52" s="52"/>
      <c r="DQ52" s="52"/>
      <c r="DR52" s="52"/>
      <c r="DS52" s="52"/>
      <c r="DT52" s="226"/>
      <c r="DU52" s="376"/>
      <c r="DV52" s="227" t="str">
        <f t="shared" si="4"/>
        <v/>
      </c>
      <c r="DW52" s="224">
        <v>26</v>
      </c>
      <c r="DX52" s="1572"/>
      <c r="DY52" s="1573"/>
      <c r="DZ52" s="1573"/>
      <c r="EA52" s="1574"/>
      <c r="EB52" s="1618"/>
      <c r="EC52" s="1619"/>
      <c r="ED52" s="1619"/>
      <c r="EE52" s="1620"/>
      <c r="EF52" s="1578"/>
      <c r="EG52" s="1579"/>
      <c r="EH52" s="1618"/>
      <c r="EI52" s="1619"/>
      <c r="EJ52" s="1619"/>
      <c r="EK52" s="1620"/>
      <c r="EL52" s="1575"/>
      <c r="EM52" s="1576"/>
      <c r="EN52" s="1576"/>
      <c r="EO52" s="1577"/>
      <c r="EP52" s="1578"/>
      <c r="EQ52" s="1579"/>
      <c r="ER52" s="1555"/>
      <c r="ES52" s="1556"/>
      <c r="ET52" s="1553" t="str">
        <f t="shared" si="9"/>
        <v/>
      </c>
      <c r="EU52" s="1554"/>
      <c r="EV52" s="1553" t="str">
        <f t="shared" si="29"/>
        <v/>
      </c>
      <c r="EW52" s="1554"/>
      <c r="EX52" s="393"/>
      <c r="EY52" s="225" t="str">
        <f t="shared" si="6"/>
        <v/>
      </c>
      <c r="EZ52" s="225" t="str">
        <f>IFERROR(VLOOKUP(EB52,Lookup!AT$3:AU$13,2,FALSE),"")</f>
        <v/>
      </c>
      <c r="FA52" s="426" t="b">
        <f>IFERROR(IF(VLOOKUP(EB52,Lookup!AT$6:AU$8,2,FALSE)&gt;3,TRUE,FALSE),FALSE)</f>
        <v>0</v>
      </c>
      <c r="FB52" s="426" t="str">
        <f t="shared" si="10"/>
        <v/>
      </c>
      <c r="FC52" t="str">
        <f t="shared" ca="1" si="11"/>
        <v/>
      </c>
      <c r="FG52" t="str">
        <f t="shared" ca="1" si="12"/>
        <v/>
      </c>
      <c r="FI52" s="204" t="str">
        <f t="shared" ca="1" si="24"/>
        <v/>
      </c>
      <c r="FJ52" s="204"/>
      <c r="FK52" s="631" t="str">
        <f ca="1">IF(INDIRECT(CONCATENATE($FK$12,Fixtures!FK$25))="","",IF(INDIRECT(CONCATENATE($FK$12,Fixtures!FK$25))=Fixtures!$DN52,CONCATENATE(FK$10,", "),""))</f>
        <v/>
      </c>
      <c r="FL52" s="631" t="str">
        <f ca="1">IF(INDIRECT(CONCATENATE($FK$12,Fixtures!FL$25))="","",IF(INDIRECT(CONCATENATE($FK$12,Fixtures!FL$25))=Fixtures!$DN52,CONCATENATE(FL$10,", "),""))</f>
        <v/>
      </c>
      <c r="FM52" s="631" t="str">
        <f ca="1">IF(INDIRECT(CONCATENATE($FK$12,Fixtures!FM$25))="","",IF(INDIRECT(CONCATENATE($FK$12,Fixtures!FM$25))=Fixtures!$DN52,CONCATENATE(FM$10,", "),""))</f>
        <v/>
      </c>
      <c r="FN52" s="631" t="str">
        <f ca="1">IF(INDIRECT(CONCATENATE($FK$12,Fixtures!FN$25))="","",IF(INDIRECT(CONCATENATE($FK$12,Fixtures!FN$25))=Fixtures!$DN52,CONCATENATE(FN$10,", "),""))</f>
        <v/>
      </c>
      <c r="FO52" s="631" t="str">
        <f ca="1">IF(INDIRECT(CONCATENATE($FK$12,Fixtures!FO$25))="","",IF(INDIRECT(CONCATENATE($FK$12,Fixtures!FO$25))=Fixtures!$DN52,CONCATENATE(FO$10,", "),""))</f>
        <v/>
      </c>
      <c r="FP52" s="631" t="str">
        <f ca="1">IF(INDIRECT(CONCATENATE($FK$12,Fixtures!FP$25))="","",IF(INDIRECT(CONCATENATE($FK$12,Fixtures!FP$25))=Fixtures!$DN52,CONCATENATE(FP$10,", "),""))</f>
        <v/>
      </c>
      <c r="FQ52" s="631" t="str">
        <f ca="1">IF(INDIRECT(CONCATENATE($FK$12,Fixtures!FQ$25))="","",IF(INDIRECT(CONCATENATE($FK$12,Fixtures!FQ$25))=Fixtures!$DN52,CONCATENATE(FQ$10,", "),""))</f>
        <v/>
      </c>
      <c r="FR52" s="631" t="str">
        <f ca="1">IF(INDIRECT(CONCATENATE($FK$12,Fixtures!FR$25))="","",IF(INDIRECT(CONCATENATE($FK$12,Fixtures!FR$25))=Fixtures!$DN52,CONCATENATE(FR$10,", "),""))</f>
        <v/>
      </c>
      <c r="FS52" s="631" t="str">
        <f ca="1">IF(INDIRECT(CONCATENATE($FK$12,Fixtures!FS$25))="","",IF(INDIRECT(CONCATENATE($FK$12,Fixtures!FS$25))=Fixtures!$DN52,CONCATENATE(FS$10,", "),""))</f>
        <v/>
      </c>
      <c r="FT52" s="604" t="str">
        <f ca="1">IF(INDIRECT(CONCATENATE($FK$12,Fixtures!FT$25))="","",IF(INDIRECT(CONCATENATE($FK$12,Fixtures!FT$25))=Fixtures!$DN52,CONCATENATE(FT$10,", "),""))</f>
        <v/>
      </c>
      <c r="FU52" s="605" t="str">
        <f ca="1">IF(INDIRECT(CONCATENATE($FK$12,Fixtures!FU$25))="","",IF(INDIRECT(CONCATENATE($FK$12,Fixtures!FU$25))=Fixtures!$DN52,CONCATENATE(FU$10,", "),""))</f>
        <v/>
      </c>
      <c r="FV52" s="631" t="str">
        <f ca="1">IF(INDIRECT(CONCATENATE($FK$12,Fixtures!FV$25))="","",IF(INDIRECT(CONCATENATE($FK$12,Fixtures!FV$25))=Fixtures!$DN52,CONCATENATE(FV$10,", "),""))</f>
        <v/>
      </c>
      <c r="FW52" s="632" t="str">
        <f ca="1">IF(INDIRECT(CONCATENATE($FK$12,Fixtures!FW$25))="","",IF(INDIRECT(CONCATENATE($FK$12,Fixtures!FW$25))=Fixtures!$DN52,CONCATENATE(FW$10,", "),""))</f>
        <v/>
      </c>
      <c r="FX52" s="632" t="str">
        <f ca="1">IF(INDIRECT(CONCATENATE($FK$12,Fixtures!FX$25))="","",IF(INDIRECT(CONCATENATE($FK$12,Fixtures!FX$25))=Fixtures!$DN52,CONCATENATE(FX$10,", "),""))</f>
        <v/>
      </c>
      <c r="FY52" s="632" t="str">
        <f ca="1">IF(INDIRECT(CONCATENATE($FK$12,Fixtures!FY$25))="","",IF(INDIRECT(CONCATENATE($FK$12,Fixtures!FY$25))=Fixtures!$DN52,CONCATENATE(FY$10,", "),""))</f>
        <v/>
      </c>
      <c r="FZ52" s="632" t="str">
        <f ca="1">IF(INDIRECT(CONCATENATE($FK$12,Fixtures!FZ$25))="","",IF(INDIRECT(CONCATENATE($FK$12,Fixtures!FZ$25))=Fixtures!$DN52,CONCATENATE(FZ$10,", "),""))</f>
        <v/>
      </c>
      <c r="GA52" s="632" t="str">
        <f ca="1">IF(INDIRECT(CONCATENATE($FK$12,Fixtures!GA$25))="","",IF(INDIRECT(CONCATENATE($FK$12,Fixtures!GA$25))=Fixtures!$DN52,CONCATENATE(GA$10,", "),""))</f>
        <v/>
      </c>
      <c r="GB52" s="632" t="str">
        <f ca="1">IF(INDIRECT(CONCATENATE($FK$12,Fixtures!GB$25))="","",IF(INDIRECT(CONCATENATE($FK$12,Fixtures!GB$25))=Fixtures!$DN52,CONCATENATE(GB$10,", "),""))</f>
        <v/>
      </c>
      <c r="GC52" s="632" t="str">
        <f ca="1">IF(INDIRECT(CONCATENATE($FK$12,Fixtures!GC$25))="","",IF(INDIRECT(CONCATENATE($FK$12,Fixtures!GC$25))=Fixtures!$DN52,CONCATENATE(GC$10,", "),""))</f>
        <v/>
      </c>
      <c r="GD52" s="632" t="str">
        <f ca="1">IF(INDIRECT(CONCATENATE($FK$12,Fixtures!GD$25))="","",IF(INDIRECT(CONCATENATE($FK$12,Fixtures!GD$25))=Fixtures!$DN52,CONCATENATE(GD$10,", "),""))</f>
        <v/>
      </c>
      <c r="GE52" s="632" t="str">
        <f ca="1">IF(INDIRECT(CONCATENATE($FK$12,Fixtures!GE$25))="","",IF(INDIRECT(CONCATENATE($FK$12,Fixtures!GE$25))=Fixtures!$DN52,CONCATENATE(GE$10,", "),""))</f>
        <v/>
      </c>
      <c r="GF52" s="632" t="str">
        <f ca="1">IF(INDIRECT(CONCATENATE($FK$12,Fixtures!GF$25))="","",IF(INDIRECT(CONCATENATE($FK$12,Fixtures!GF$25))=Fixtures!$DN52,CONCATENATE(GF$10,", "),""))</f>
        <v/>
      </c>
      <c r="GG52" s="632" t="str">
        <f ca="1">IF(INDIRECT(CONCATENATE($FK$12,Fixtures!GG$25))="","",IF(INDIRECT(CONCATENATE($FK$12,Fixtures!GG$25))=Fixtures!$DN52,CONCATENATE(GG$10,", "),""))</f>
        <v/>
      </c>
      <c r="GH52" s="632" t="str">
        <f ca="1">IF(INDIRECT(CONCATENATE($FK$12,Fixtures!GH$25))="","",IF(INDIRECT(CONCATENATE($FK$12,Fixtures!GH$25))=Fixtures!$DN52,CONCATENATE(GH$10,", "),""))</f>
        <v/>
      </c>
      <c r="GI52" s="606" t="str">
        <f ca="1">IF(INDIRECT(CONCATENATE($FK$12,Fixtures!GI$25))="","",IF(INDIRECT(CONCATENATE($FK$12,Fixtures!GI$25))=Fixtures!$DN52,CONCATENATE(GI$10,", "),""))</f>
        <v/>
      </c>
      <c r="GJ52" s="607" t="str">
        <f ca="1">IF(INDIRECT(CONCATENATE($FK$12,Fixtures!GJ$25))="","",IF(INDIRECT(CONCATENATE($FK$12,Fixtures!GJ$25))=Fixtures!$DN52,CONCATENATE(GJ$10,", "),""))</f>
        <v/>
      </c>
      <c r="GK52" s="632" t="str">
        <f ca="1">IF(INDIRECT(CONCATENATE($FK$12,Fixtures!GK$25))="","",IF(INDIRECT(CONCATENATE($FK$12,Fixtures!GK$25))=Fixtures!$DN52,CONCATENATE(GK$10,", "),""))</f>
        <v/>
      </c>
      <c r="GL52" s="632" t="str">
        <f ca="1">IF(INDIRECT(CONCATENATE($FK$12,Fixtures!GL$25))="","",IF(INDIRECT(CONCATENATE($FK$12,Fixtures!GL$25))=Fixtures!$DN52,CONCATENATE(GL$10,", "),""))</f>
        <v/>
      </c>
      <c r="GM52" s="632" t="str">
        <f ca="1">IF(INDIRECT(CONCATENATE($FK$12,Fixtures!GM$25))="","",IF(INDIRECT(CONCATENATE($FK$12,Fixtures!GM$25))=Fixtures!$DN52,CONCATENATE(GM$10,", "),""))</f>
        <v/>
      </c>
      <c r="GN52" s="632" t="str">
        <f ca="1">IF(INDIRECT(CONCATENATE($FK$12,Fixtures!GN$25))="","",IF(INDIRECT(CONCATENATE($FK$12,Fixtures!GN$25))=Fixtures!$DN52,CONCATENATE(GN$10,", "),""))</f>
        <v/>
      </c>
      <c r="GO52" s="632" t="str">
        <f ca="1">IF(INDIRECT(CONCATENATE($FK$12,Fixtures!GO$25))="","",IF(INDIRECT(CONCATENATE($FK$12,Fixtures!GO$25))=Fixtures!$DN52,CONCATENATE(GO$10,", "),""))</f>
        <v/>
      </c>
      <c r="GP52" s="632" t="str">
        <f ca="1">IF(INDIRECT(CONCATENATE($FK$12,Fixtures!GP$25))="","",IF(INDIRECT(CONCATENATE($FK$12,Fixtures!GP$25))=Fixtures!$DN52,CONCATENATE(GP$10,", "),""))</f>
        <v/>
      </c>
      <c r="GQ52" s="632" t="str">
        <f ca="1">IF(INDIRECT(CONCATENATE($FK$12,Fixtures!GQ$25))="","",IF(INDIRECT(CONCATENATE($FK$12,Fixtures!GQ$25))=Fixtures!$DN52,CONCATENATE(GQ$10,", "),""))</f>
        <v/>
      </c>
      <c r="GR52" s="632" t="str">
        <f ca="1">IF(INDIRECT(CONCATENATE($FK$12,Fixtures!GR$25))="","",IF(INDIRECT(CONCATENATE($FK$12,Fixtures!GR$25))=Fixtures!$DN52,CONCATENATE(GR$10,", "),""))</f>
        <v/>
      </c>
      <c r="GS52" s="632" t="str">
        <f ca="1">IF(INDIRECT(CONCATENATE($FK$12,Fixtures!GS$25))="","",IF(INDIRECT(CONCATENATE($FK$12,Fixtures!GS$25))=Fixtures!$DN52,CONCATENATE(GS$10,", "),""))</f>
        <v/>
      </c>
      <c r="GT52" s="632" t="str">
        <f ca="1">IF(INDIRECT(CONCATENATE($FK$12,Fixtures!GT$25))="","",IF(INDIRECT(CONCATENATE($FK$12,Fixtures!GT$25))=Fixtures!$DN52,CONCATENATE(GT$10,", "),""))</f>
        <v/>
      </c>
      <c r="GU52" s="632" t="str">
        <f ca="1">IF(INDIRECT(CONCATENATE($FK$12,Fixtures!GU$25))="","",IF(INDIRECT(CONCATENATE($FK$12,Fixtures!GU$25))=Fixtures!$DN52,CONCATENATE(GU$10,", "),""))</f>
        <v/>
      </c>
      <c r="GV52" s="632" t="str">
        <f ca="1">IF(INDIRECT(CONCATENATE($FK$12,Fixtures!GV$25))="","",IF(INDIRECT(CONCATENATE($FK$12,Fixtures!GV$25))=Fixtures!$DN52,CONCATENATE(GV$10,", "),""))</f>
        <v/>
      </c>
      <c r="GW52" s="632" t="str">
        <f ca="1">IF(INDIRECT(CONCATENATE($FK$12,Fixtures!GW$25))="","",IF(INDIRECT(CONCATENATE($FK$12,Fixtures!GW$25))=Fixtures!$DN52,CONCATENATE(GW$10,", "),""))</f>
        <v/>
      </c>
      <c r="GX52" s="606" t="str">
        <f ca="1">IF(INDIRECT(CONCATENATE($FK$12,Fixtures!GX$25))="","",IF(INDIRECT(CONCATENATE($FK$12,Fixtures!GX$25))=Fixtures!$DN52,CONCATENATE(GX$10,", "),""))</f>
        <v/>
      </c>
      <c r="GY52" s="607" t="str">
        <f ca="1">IF(INDIRECT(CONCATENATE($FK$12,Fixtures!GY$25))="","",IF(INDIRECT(CONCATENATE($FK$12,Fixtures!GY$25))=Fixtures!$DN52,CONCATENATE(GY$10,", "),""))</f>
        <v/>
      </c>
      <c r="GZ52" s="632" t="str">
        <f ca="1">IF(INDIRECT(CONCATENATE($FK$12,Fixtures!GZ$25))="","",IF(INDIRECT(CONCATENATE($FK$12,Fixtures!GZ$25))=Fixtures!$DN52,CONCATENATE(GZ$10,", "),""))</f>
        <v/>
      </c>
      <c r="HA52" s="632" t="str">
        <f ca="1">IF(INDIRECT(CONCATENATE($FK$12,Fixtures!HA$25))="","",IF(INDIRECT(CONCATENATE($FK$12,Fixtures!HA$25))=Fixtures!$DN52,CONCATENATE(HA$10,", "),""))</f>
        <v/>
      </c>
      <c r="HB52" s="632" t="str">
        <f ca="1">IF(INDIRECT(CONCATENATE($FK$12,Fixtures!HB$25))="","",IF(INDIRECT(CONCATENATE($FK$12,Fixtures!HB$25))=Fixtures!$DN52,CONCATENATE(HB$10,", "),""))</f>
        <v/>
      </c>
      <c r="HC52" s="632" t="str">
        <f ca="1">IF(INDIRECT(CONCATENATE($FK$12,Fixtures!HC$25))="","",IF(INDIRECT(CONCATENATE($FK$12,Fixtures!HC$25))=Fixtures!$DN52,CONCATENATE(HC$10,", "),""))</f>
        <v/>
      </c>
      <c r="HD52" s="632" t="str">
        <f ca="1">IF(INDIRECT(CONCATENATE($FK$12,Fixtures!HD$25))="","",IF(INDIRECT(CONCATENATE($FK$12,Fixtures!HD$25))=Fixtures!$DN52,CONCATENATE(HD$10,", "),""))</f>
        <v/>
      </c>
      <c r="HE52" s="632" t="str">
        <f ca="1">IF(INDIRECT(CONCATENATE($FK$12,Fixtures!HE$25))="","",IF(INDIRECT(CONCATENATE($FK$12,Fixtures!HE$25))=Fixtures!$DN52,CONCATENATE(HE$10,", "),""))</f>
        <v/>
      </c>
      <c r="HF52" s="632" t="str">
        <f ca="1">IF(INDIRECT(CONCATENATE($FK$12,Fixtures!HF$25))="","",IF(INDIRECT(CONCATENATE($FK$12,Fixtures!HF$25))=Fixtures!$DN52,CONCATENATE(HF$10,", "),""))</f>
        <v/>
      </c>
      <c r="HG52" s="632" t="str">
        <f ca="1">IF(INDIRECT(CONCATENATE($FK$12,Fixtures!HG$25))="","",IF(INDIRECT(CONCATENATE($FK$12,Fixtures!HG$25))=Fixtures!$DN52,CONCATENATE(HG$10,", "),""))</f>
        <v/>
      </c>
      <c r="HH52" s="632" t="str">
        <f ca="1">IF(INDIRECT(CONCATENATE($FK$12,Fixtures!HH$25))="","",IF(INDIRECT(CONCATENATE($FK$12,Fixtures!HH$25))=Fixtures!$DN52,CONCATENATE(HH$10,", "),""))</f>
        <v/>
      </c>
      <c r="HI52" s="632" t="str">
        <f ca="1">IF(INDIRECT(CONCATENATE($FK$12,Fixtures!HI$25))="","",IF(INDIRECT(CONCATENATE($FK$12,Fixtures!HI$25))=Fixtures!$DN52,CONCATENATE(HI$10,", "),""))</f>
        <v/>
      </c>
      <c r="HJ52" s="632" t="str">
        <f ca="1">IF(INDIRECT(CONCATENATE($FK$12,Fixtures!HJ$25))="","",IF(INDIRECT(CONCATENATE($FK$12,Fixtures!HJ$25))=Fixtures!$DN52,CONCATENATE(HJ$10,", "),""))</f>
        <v/>
      </c>
      <c r="HK52" s="632" t="str">
        <f ca="1">IF(INDIRECT(CONCATENATE($FK$12,Fixtures!HK$25))="","",IF(INDIRECT(CONCATENATE($FK$12,Fixtures!HK$25))=Fixtures!$DN52,CONCATENATE(HK$10,", "),""))</f>
        <v/>
      </c>
      <c r="HL52" s="632" t="str">
        <f ca="1">IF(INDIRECT(CONCATENATE($FK$12,Fixtures!HL$25))="","",IF(INDIRECT(CONCATENATE($FK$12,Fixtures!HL$25))=Fixtures!$DN52,CONCATENATE(HL$10,", "),""))</f>
        <v/>
      </c>
      <c r="HM52" s="606" t="str">
        <f ca="1">IF(INDIRECT(CONCATENATE($FK$12,Fixtures!HM$25))="","",IF(INDIRECT(CONCATENATE($FK$12,Fixtures!HM$25))=Fixtures!$DN52,CONCATENATE(HM$10,", "),""))</f>
        <v/>
      </c>
      <c r="HN52" s="607" t="str">
        <f ca="1">IF(INDIRECT(CONCATENATE($FK$12,Fixtures!HN$25))="","",IF(INDIRECT(CONCATENATE($FK$12,Fixtures!HN$25))=Fixtures!$DN52,CONCATENATE(HN$10,", "),""))</f>
        <v/>
      </c>
      <c r="HO52" s="632" t="str">
        <f ca="1">IF(INDIRECT(CONCATENATE($FK$12,Fixtures!HO$25))="","",IF(INDIRECT(CONCATENATE($FK$12,Fixtures!HO$25))=Fixtures!$DN52,CONCATENATE(HO$10,", "),""))</f>
        <v/>
      </c>
      <c r="HP52" s="632" t="str">
        <f ca="1">IF(INDIRECT(CONCATENATE($FK$12,Fixtures!HP$25))="","",IF(INDIRECT(CONCATENATE($FK$12,Fixtures!HP$25))=Fixtures!$DN52,CONCATENATE(HP$10,", "),""))</f>
        <v/>
      </c>
      <c r="HQ52" s="632" t="str">
        <f ca="1">IF(INDIRECT(CONCATENATE($FK$12,Fixtures!HQ$25))="","",IF(INDIRECT(CONCATENATE($FK$12,Fixtures!HQ$25))=Fixtures!$DN52,CONCATENATE(HQ$10,", "),""))</f>
        <v/>
      </c>
      <c r="HR52" s="632" t="str">
        <f ca="1">IF(INDIRECT(CONCATENATE($FK$12,Fixtures!HR$25))="","",IF(INDIRECT(CONCATENATE($FK$12,Fixtures!HR$25))=Fixtures!$DN52,CONCATENATE(HR$10,", "),""))</f>
        <v/>
      </c>
      <c r="HS52" s="632" t="str">
        <f ca="1">IF(INDIRECT(CONCATENATE($FK$12,Fixtures!HS$25))="","",IF(INDIRECT(CONCATENATE($FK$12,Fixtures!HS$25))=Fixtures!$DN52,CONCATENATE(HS$10,", "),""))</f>
        <v/>
      </c>
      <c r="HT52" s="632" t="str">
        <f ca="1">IF(INDIRECT(CONCATENATE($FK$12,Fixtures!HT$25))="","",IF(INDIRECT(CONCATENATE($FK$12,Fixtures!HT$25))=Fixtures!$DN52,CONCATENATE(HT$10,", "),""))</f>
        <v/>
      </c>
      <c r="HU52" s="632" t="str">
        <f ca="1">IF(INDIRECT(CONCATENATE($FK$12,Fixtures!HU$25))="","",IF(INDIRECT(CONCATENATE($FK$12,Fixtures!HU$25))=Fixtures!$DN52,CONCATENATE(HU$10,", "),""))</f>
        <v/>
      </c>
      <c r="HV52" s="632" t="str">
        <f ca="1">IF(INDIRECT(CONCATENATE($FK$12,Fixtures!HV$25))="","",IF(INDIRECT(CONCATENATE($FK$12,Fixtures!HV$25))=Fixtures!$DN52,CONCATENATE(HV$10,", "),""))</f>
        <v/>
      </c>
      <c r="HW52" s="632" t="str">
        <f ca="1">IF(INDIRECT(CONCATENATE($FK$12,Fixtures!HW$25))="","",IF(INDIRECT(CONCATENATE($FK$12,Fixtures!HW$25))=Fixtures!$DN52,CONCATENATE(HW$10,", "),""))</f>
        <v/>
      </c>
      <c r="HX52" s="632" t="str">
        <f ca="1">IF(INDIRECT(CONCATENATE($FK$12,Fixtures!HX$25))="","",IF(INDIRECT(CONCATENATE($FK$12,Fixtures!HX$25))=Fixtures!$DN52,CONCATENATE(HX$10,", "),""))</f>
        <v/>
      </c>
      <c r="HY52" s="632" t="str">
        <f ca="1">IF(INDIRECT(CONCATENATE($FK$12,Fixtures!HY$25))="","",IF(INDIRECT(CONCATENATE($FK$12,Fixtures!HY$25))=Fixtures!$DN52,CONCATENATE(HY$10,", "),""))</f>
        <v/>
      </c>
      <c r="HZ52" s="632" t="str">
        <f ca="1">IF(INDIRECT(CONCATENATE($FK$12,Fixtures!HZ$25))="","",IF(INDIRECT(CONCATENATE($FK$12,Fixtures!HZ$25))=Fixtures!$DN52,CONCATENATE(HZ$10,", "),""))</f>
        <v/>
      </c>
      <c r="IA52" s="632" t="str">
        <f ca="1">IF(INDIRECT(CONCATENATE($FK$12,Fixtures!IA$25))="","",IF(INDIRECT(CONCATENATE($FK$12,Fixtures!IA$25))=Fixtures!$DN52,CONCATENATE(IA$10,", "),""))</f>
        <v/>
      </c>
      <c r="IB52" s="606" t="str">
        <f ca="1">IF(INDIRECT(CONCATENATE($FK$12,Fixtures!IB$25))="","",IF(INDIRECT(CONCATENATE($FK$12,Fixtures!IB$25))=Fixtures!$DN52,CONCATENATE(IB$10,", "),""))</f>
        <v/>
      </c>
      <c r="IC52" s="607" t="str">
        <f ca="1">IF(INDIRECT(CONCATENATE($FK$12,Fixtures!IC$25))="","",IF(INDIRECT(CONCATENATE($FK$12,Fixtures!IC$25))=Fixtures!$DN52,CONCATENATE(IC$10,", "),""))</f>
        <v/>
      </c>
      <c r="ID52" s="632" t="str">
        <f ca="1">IF(INDIRECT(CONCATENATE($FK$12,Fixtures!ID$25))="","",IF(INDIRECT(CONCATENATE($FK$12,Fixtures!ID$25))=Fixtures!$DN52,CONCATENATE(ID$10,", "),""))</f>
        <v/>
      </c>
      <c r="IE52" s="632" t="str">
        <f ca="1">IF(INDIRECT(CONCATENATE($FK$12,Fixtures!IE$25))="","",IF(INDIRECT(CONCATENATE($FK$12,Fixtures!IE$25))=Fixtures!$DN52,CONCATENATE(IE$10,", "),""))</f>
        <v/>
      </c>
      <c r="IF52" s="632" t="str">
        <f ca="1">IF(INDIRECT(CONCATENATE($FK$12,Fixtures!IF$25))="","",IF(INDIRECT(CONCATENATE($FK$12,Fixtures!IF$25))=Fixtures!$DN52,CONCATENATE(IF$10,", "),""))</f>
        <v/>
      </c>
      <c r="IG52" s="632" t="str">
        <f ca="1">IF(INDIRECT(CONCATENATE($FK$12,Fixtures!IG$25))="","",IF(INDIRECT(CONCATENATE($FK$12,Fixtures!IG$25))=Fixtures!$DN52,CONCATENATE(IG$10,", "),""))</f>
        <v/>
      </c>
      <c r="IH52" s="632" t="str">
        <f ca="1">IF(INDIRECT(CONCATENATE($FK$12,Fixtures!IH$25))="","",IF(INDIRECT(CONCATENATE($FK$12,Fixtures!IH$25))=Fixtures!$DN52,CONCATENATE(IH$10,", "),""))</f>
        <v/>
      </c>
      <c r="II52" s="632" t="str">
        <f ca="1">IF(INDIRECT(CONCATENATE($FK$12,Fixtures!II$25))="","",IF(INDIRECT(CONCATENATE($FK$12,Fixtures!II$25))=Fixtures!$DN52,CONCATENATE(II$10,", "),""))</f>
        <v/>
      </c>
      <c r="IJ52" s="632" t="str">
        <f ca="1">IF(INDIRECT(CONCATENATE($FK$12,Fixtures!IJ$25))="","",IF(INDIRECT(CONCATENATE($FK$12,Fixtures!IJ$25))=Fixtures!$DN52,CONCATENATE(IJ$10,", "),""))</f>
        <v/>
      </c>
      <c r="IK52" s="632" t="str">
        <f ca="1">IF(INDIRECT(CONCATENATE($FK$12,Fixtures!IK$25))="","",IF(INDIRECT(CONCATENATE($FK$12,Fixtures!IK$25))=Fixtures!$DN52,CONCATENATE(IK$10,", "),""))</f>
        <v/>
      </c>
      <c r="IL52" s="632" t="str">
        <f ca="1">IF(INDIRECT(CONCATENATE($FK$12,Fixtures!IL$25))="","",IF(INDIRECT(CONCATENATE($FK$12,Fixtures!IL$25))=Fixtures!$DN52,CONCATENATE(IL$10,", "),""))</f>
        <v/>
      </c>
      <c r="IM52" s="632" t="str">
        <f ca="1">IF(INDIRECT(CONCATENATE($FK$12,Fixtures!IM$25))="","",IF(INDIRECT(CONCATENATE($FK$12,Fixtures!IM$25))=Fixtures!$DN52,CONCATENATE(IM$10,", "),""))</f>
        <v/>
      </c>
      <c r="IN52" s="632" t="str">
        <f ca="1">IF(INDIRECT(CONCATENATE($FK$12,Fixtures!IN$25))="","",IF(INDIRECT(CONCATENATE($FK$12,Fixtures!IN$25))=Fixtures!$DN52,CONCATENATE(IN$10,", "),""))</f>
        <v/>
      </c>
      <c r="IO52" s="632" t="str">
        <f ca="1">IF(INDIRECT(CONCATENATE($FK$12,Fixtures!IO$25))="","",IF(INDIRECT(CONCATENATE($FK$12,Fixtures!IO$25))=Fixtures!$DN52,CONCATENATE(IO$10,", "),""))</f>
        <v/>
      </c>
      <c r="IP52" s="632" t="str">
        <f ca="1">IF(INDIRECT(CONCATENATE($FK$12,Fixtures!IP$25))="","",IF(INDIRECT(CONCATENATE($FK$12,Fixtures!IP$25))=Fixtures!$DN52,CONCATENATE(IP$10,", "),""))</f>
        <v/>
      </c>
      <c r="IQ52" s="606" t="str">
        <f ca="1">IF(INDIRECT(CONCATENATE($FK$12,Fixtures!IQ$25))="","",IF(INDIRECT(CONCATENATE($FK$12,Fixtures!IQ$25))=Fixtures!$DN52,CONCATENATE(IQ$10,", "),""))</f>
        <v/>
      </c>
      <c r="IR52" s="607" t="str">
        <f ca="1">IF(INDIRECT(CONCATENATE($FK$12,Fixtures!IR$25))="","",IF(INDIRECT(CONCATENATE($FK$12,Fixtures!IR$25))=Fixtures!$DN52,CONCATENATE(IR$10,", "),""))</f>
        <v/>
      </c>
      <c r="IS52" s="632" t="str">
        <f ca="1">IF(INDIRECT(CONCATENATE($FK$12,Fixtures!IS$25))="","",IF(INDIRECT(CONCATENATE($FK$12,Fixtures!IS$25))=Fixtures!$DN52,CONCATENATE(IS$10,", "),""))</f>
        <v/>
      </c>
      <c r="IT52" s="632" t="str">
        <f ca="1">IF(INDIRECT(CONCATENATE($FK$12,Fixtures!IT$25))="","",IF(INDIRECT(CONCATENATE($FK$12,Fixtures!IT$25))=Fixtures!$DN52,CONCATENATE(IT$10,", "),""))</f>
        <v/>
      </c>
      <c r="IU52" s="632" t="str">
        <f ca="1">IF(INDIRECT(CONCATENATE($FK$12,Fixtures!IU$25))="","",IF(INDIRECT(CONCATENATE($FK$12,Fixtures!IU$25))=Fixtures!$DN52,CONCATENATE(IU$10,", "),""))</f>
        <v/>
      </c>
      <c r="IV52" s="632" t="str">
        <f ca="1">IF(INDIRECT(CONCATENATE($FK$12,Fixtures!IV$25))="","",IF(INDIRECT(CONCATENATE($FK$12,Fixtures!IV$25))=Fixtures!$DN52,CONCATENATE(IV$10,", "),""))</f>
        <v/>
      </c>
      <c r="IW52" s="632" t="str">
        <f ca="1">IF(INDIRECT(CONCATENATE($FK$12,Fixtures!IW$25))="","",IF(INDIRECT(CONCATENATE($FK$12,Fixtures!IW$25))=Fixtures!$DN52,CONCATENATE(IW$10,", "),""))</f>
        <v/>
      </c>
      <c r="IX52" s="632" t="str">
        <f ca="1">IF(INDIRECT(CONCATENATE($FK$12,Fixtures!IX$25))="","",IF(INDIRECT(CONCATENATE($FK$12,Fixtures!IX$25))=Fixtures!$DN52,CONCATENATE(IX$10,", "),""))</f>
        <v/>
      </c>
      <c r="IY52" s="632" t="str">
        <f ca="1">IF(INDIRECT(CONCATENATE($FK$12,Fixtures!IY$25))="","",IF(INDIRECT(CONCATENATE($FK$12,Fixtures!IY$25))=Fixtures!$DN52,CONCATENATE(IY$10,", "),""))</f>
        <v/>
      </c>
      <c r="IZ52" s="632" t="str">
        <f ca="1">IF(INDIRECT(CONCATENATE($FK$12,Fixtures!IZ$25))="","",IF(INDIRECT(CONCATENATE($FK$12,Fixtures!IZ$25))=Fixtures!$DN52,CONCATENATE(IZ$10,", "),""))</f>
        <v/>
      </c>
      <c r="JA52" s="632" t="str">
        <f ca="1">IF(INDIRECT(CONCATENATE($FK$12,Fixtures!JA$25))="","",IF(INDIRECT(CONCATENATE($FK$12,Fixtures!JA$25))=Fixtures!$DN52,CONCATENATE(JA$10,", "),""))</f>
        <v/>
      </c>
      <c r="JB52" s="632" t="str">
        <f ca="1">IF(INDIRECT(CONCATENATE($FK$12,Fixtures!JB$25))="","",IF(INDIRECT(CONCATENATE($FK$12,Fixtures!JB$25))=Fixtures!$DN52,CONCATENATE(JB$10,", "),""))</f>
        <v/>
      </c>
      <c r="JC52" s="632" t="str">
        <f ca="1">IF(INDIRECT(CONCATENATE($FK$12,Fixtures!JC$25))="","",IF(INDIRECT(CONCATENATE($FK$12,Fixtures!JC$25))=Fixtures!$DN52,CONCATENATE(JC$10,", "),""))</f>
        <v/>
      </c>
      <c r="JD52" s="632" t="str">
        <f ca="1">IF(INDIRECT(CONCATENATE($FK$12,Fixtures!JD$25))="","",IF(INDIRECT(CONCATENATE($FK$12,Fixtures!JD$25))=Fixtures!$DN52,CONCATENATE(JD$10,", "),""))</f>
        <v/>
      </c>
      <c r="JE52" s="632" t="str">
        <f ca="1">IF(INDIRECT(CONCATENATE($FK$12,Fixtures!JE$25))="","",IF(INDIRECT(CONCATENATE($FK$12,Fixtures!JE$25))=Fixtures!$DN52,CONCATENATE(JE$10,", "),""))</f>
        <v/>
      </c>
      <c r="JF52" s="606" t="str">
        <f ca="1">IF(INDIRECT(CONCATENATE($FK$12,Fixtures!JF$25))="","",IF(INDIRECT(CONCATENATE($FK$12,Fixtures!JF$25))=Fixtures!$DN52,CONCATENATE(JF$10,", "),""))</f>
        <v/>
      </c>
      <c r="JG52" s="607" t="str">
        <f ca="1">IF(INDIRECT(CONCATENATE($FK$12,Fixtures!JG$25))="","",IF(INDIRECT(CONCATENATE($FK$12,Fixtures!JG$25))=Fixtures!$DN52,CONCATENATE(JG$10,", "),""))</f>
        <v/>
      </c>
      <c r="JH52" s="632" t="str">
        <f ca="1">IF(INDIRECT(CONCATENATE($FK$12,Fixtures!JH$25))="","",IF(INDIRECT(CONCATENATE($FK$12,Fixtures!JH$25))=Fixtures!$DN52,CONCATENATE(JH$10,", "),""))</f>
        <v/>
      </c>
      <c r="JI52" s="632" t="str">
        <f ca="1">IF(INDIRECT(CONCATENATE($FK$12,Fixtures!JI$25))="","",IF(INDIRECT(CONCATENATE($FK$12,Fixtures!JI$25))=Fixtures!$DN52,CONCATENATE(JI$10,", "),""))</f>
        <v/>
      </c>
      <c r="JJ52" s="632" t="str">
        <f ca="1">IF(INDIRECT(CONCATENATE($FK$12,Fixtures!JJ$25))="","",IF(INDIRECT(CONCATENATE($FK$12,Fixtures!JJ$25))=Fixtures!$DN52,CONCATENATE(JJ$10,", "),""))</f>
        <v/>
      </c>
      <c r="JK52" s="632" t="str">
        <f ca="1">IF(INDIRECT(CONCATENATE($FK$12,Fixtures!JK$25))="","",IF(INDIRECT(CONCATENATE($FK$12,Fixtures!JK$25))=Fixtures!$DN52,CONCATENATE(JK$10,", "),""))</f>
        <v/>
      </c>
      <c r="JL52" s="632" t="str">
        <f ca="1">IF(INDIRECT(CONCATENATE($FK$12,Fixtures!JL$25))="","",IF(INDIRECT(CONCATENATE($FK$12,Fixtures!JL$25))=Fixtures!$DN52,CONCATENATE(JL$10,", "),""))</f>
        <v/>
      </c>
      <c r="JM52" s="632" t="str">
        <f ca="1">IF(INDIRECT(CONCATENATE($FK$12,Fixtures!JM$25))="","",IF(INDIRECT(CONCATENATE($FK$12,Fixtures!JM$25))=Fixtures!$DN52,CONCATENATE(JM$10,", "),""))</f>
        <v/>
      </c>
      <c r="JN52" s="632" t="str">
        <f ca="1">IF(INDIRECT(CONCATENATE($FK$12,Fixtures!JN$25))="","",IF(INDIRECT(CONCATENATE($FK$12,Fixtures!JN$25))=Fixtures!$DN52,CONCATENATE(JN$10,", "),""))</f>
        <v/>
      </c>
      <c r="JO52" s="632" t="str">
        <f ca="1">IF(INDIRECT(CONCATENATE($FK$12,Fixtures!JO$25))="","",IF(INDIRECT(CONCATENATE($FK$12,Fixtures!JO$25))=Fixtures!$DN52,CONCATENATE(JO$10,", "),""))</f>
        <v/>
      </c>
      <c r="JP52" s="632" t="str">
        <f ca="1">IF(INDIRECT(CONCATENATE($FK$12,Fixtures!JP$25))="","",IF(INDIRECT(CONCATENATE($FK$12,Fixtures!JP$25))=Fixtures!$DN52,CONCATENATE(JP$10,", "),""))</f>
        <v/>
      </c>
      <c r="JQ52" s="632" t="str">
        <f ca="1">IF(INDIRECT(CONCATENATE($FK$12,Fixtures!JQ$25))="","",IF(INDIRECT(CONCATENATE($FK$12,Fixtures!JQ$25))=Fixtures!$DN52,CONCATENATE(JQ$10,", "),""))</f>
        <v/>
      </c>
      <c r="JR52" s="632" t="str">
        <f ca="1">IF(INDIRECT(CONCATENATE($FK$12,Fixtures!JR$25))="","",IF(INDIRECT(CONCATENATE($FK$12,Fixtures!JR$25))=Fixtures!$DN52,CONCATENATE(JR$10,", "),""))</f>
        <v/>
      </c>
      <c r="JS52" s="632" t="str">
        <f ca="1">IF(INDIRECT(CONCATENATE($FK$12,Fixtures!JS$25))="","",IF(INDIRECT(CONCATENATE($FK$12,Fixtures!JS$25))=Fixtures!$DN52,CONCATENATE(JS$10,", "),""))</f>
        <v/>
      </c>
      <c r="JT52" s="632" t="str">
        <f ca="1">IF(INDIRECT(CONCATENATE($FK$12,Fixtures!JT$25))="","",IF(INDIRECT(CONCATENATE($FK$12,Fixtures!JT$25))=Fixtures!$DN52,CONCATENATE(JT$10,", "),""))</f>
        <v/>
      </c>
      <c r="JU52" s="606" t="str">
        <f ca="1">IF(INDIRECT(CONCATENATE($FK$12,Fixtures!JU$25))="","",IF(INDIRECT(CONCATENATE($FK$12,Fixtures!JU$25))=Fixtures!$DN52,CONCATENATE(JU$10,", "),""))</f>
        <v/>
      </c>
      <c r="JV52" s="607" t="str">
        <f ca="1">IF(INDIRECT(CONCATENATE($FK$12,Fixtures!JV$25))="","",IF(INDIRECT(CONCATENATE($FK$12,Fixtures!JV$25))=Fixtures!$DN52,CONCATENATE(JV$10,", "),""))</f>
        <v/>
      </c>
      <c r="JW52" s="632" t="str">
        <f ca="1">IF(INDIRECT(CONCATENATE($FK$12,Fixtures!JW$25))="","",IF(INDIRECT(CONCATENATE($FK$12,Fixtures!JW$25))=Fixtures!$DN52,CONCATENATE(JW$10,", "),""))</f>
        <v/>
      </c>
      <c r="JX52" s="632" t="str">
        <f ca="1">IF(INDIRECT(CONCATENATE($FK$12,Fixtures!JX$25))="","",IF(INDIRECT(CONCATENATE($FK$12,Fixtures!JX$25))=Fixtures!$DN52,CONCATENATE(JX$10,", "),""))</f>
        <v/>
      </c>
      <c r="JY52" s="632" t="str">
        <f ca="1">IF(INDIRECT(CONCATENATE($FK$12,Fixtures!JY$25))="","",IF(INDIRECT(CONCATENATE($FK$12,Fixtures!JY$25))=Fixtures!$DN52,CONCATENATE(JY$10,", "),""))</f>
        <v/>
      </c>
      <c r="JZ52" s="632" t="str">
        <f ca="1">IF(INDIRECT(CONCATENATE($FK$12,Fixtures!JZ$25))="","",IF(INDIRECT(CONCATENATE($FK$12,Fixtures!JZ$25))=Fixtures!$DN52,CONCATENATE(JZ$10,", "),""))</f>
        <v/>
      </c>
      <c r="KA52" s="632" t="str">
        <f ca="1">IF(INDIRECT(CONCATENATE($FK$12,Fixtures!KA$25))="","",IF(INDIRECT(CONCATENATE($FK$12,Fixtures!KA$25))=Fixtures!$DN52,CONCATENATE(KA$10,", "),""))</f>
        <v/>
      </c>
      <c r="KB52" s="632" t="str">
        <f ca="1">IF(INDIRECT(CONCATENATE($FK$12,Fixtures!KB$25))="","",IF(INDIRECT(CONCATENATE($FK$12,Fixtures!KB$25))=Fixtures!$DN52,CONCATENATE(KB$10,", "),""))</f>
        <v/>
      </c>
      <c r="KC52" s="632" t="str">
        <f ca="1">IF(INDIRECT(CONCATENATE($FK$12,Fixtures!KC$25))="","",IF(INDIRECT(CONCATENATE($FK$12,Fixtures!KC$25))=Fixtures!$DN52,CONCATENATE(KC$10,", "),""))</f>
        <v/>
      </c>
      <c r="KD52" s="632" t="str">
        <f ca="1">IF(INDIRECT(CONCATENATE($FK$12,Fixtures!KD$25))="","",IF(INDIRECT(CONCATENATE($FK$12,Fixtures!KD$25))=Fixtures!$DN52,CONCATENATE(KD$10,", "),""))</f>
        <v/>
      </c>
      <c r="KE52" s="632" t="str">
        <f ca="1">IF(INDIRECT(CONCATENATE($FK$12,Fixtures!KE$25))="","",IF(INDIRECT(CONCATENATE($FK$12,Fixtures!KE$25))=Fixtures!$DN52,CONCATENATE(KE$10,", "),""))</f>
        <v/>
      </c>
      <c r="KF52" s="632" t="str">
        <f ca="1">IF(INDIRECT(CONCATENATE($FK$12,Fixtures!KF$25))="","",IF(INDIRECT(CONCATENATE($FK$12,Fixtures!KF$25))=Fixtures!$DN52,CONCATENATE(KF$10,", "),""))</f>
        <v/>
      </c>
      <c r="KG52" s="632" t="str">
        <f ca="1">IF(INDIRECT(CONCATENATE($FK$12,Fixtures!KG$25))="","",IF(INDIRECT(CONCATENATE($FK$12,Fixtures!KG$25))=Fixtures!$DN52,CONCATENATE(KG$10,", "),""))</f>
        <v/>
      </c>
      <c r="KH52" s="632" t="str">
        <f ca="1">IF(INDIRECT(CONCATENATE($FK$12,Fixtures!KH$25))="","",IF(INDIRECT(CONCATENATE($FK$12,Fixtures!KH$25))=Fixtures!$DN52,CONCATENATE(KH$10,", "),""))</f>
        <v/>
      </c>
      <c r="KI52" s="632" t="str">
        <f ca="1">IF(INDIRECT(CONCATENATE($FK$12,Fixtures!KI$25))="","",IF(INDIRECT(CONCATENATE($FK$12,Fixtures!KI$25))=Fixtures!$DN52,CONCATENATE(KI$10,", "),""))</f>
        <v/>
      </c>
      <c r="KJ52" s="606" t="str">
        <f ca="1">IF(INDIRECT(CONCATENATE($FK$12,Fixtures!KJ$25))="","",IF(INDIRECT(CONCATENATE($FK$12,Fixtures!KJ$25))=Fixtures!$DN52,CONCATENATE(KJ$10,", "),""))</f>
        <v/>
      </c>
      <c r="KK52" s="607" t="str">
        <f ca="1">IF(INDIRECT(CONCATENATE($FK$12,Fixtures!KK$25))="","",IF(INDIRECT(CONCATENATE($FK$12,Fixtures!KK$25))=Fixtures!$DN52,CONCATENATE(KK$10,", "),""))</f>
        <v/>
      </c>
      <c r="KL52" s="632" t="str">
        <f ca="1">IF(INDIRECT(CONCATENATE($FK$12,Fixtures!KL$25))="","",IF(INDIRECT(CONCATENATE($FK$12,Fixtures!KL$25))=Fixtures!$DN52,CONCATENATE(KL$10,", "),""))</f>
        <v/>
      </c>
      <c r="KM52" s="632" t="str">
        <f ca="1">IF(INDIRECT(CONCATENATE($FK$12,Fixtures!KM$25))="","",IF(INDIRECT(CONCATENATE($FK$12,Fixtures!KM$25))=Fixtures!$DN52,CONCATENATE(KM$10,", "),""))</f>
        <v/>
      </c>
      <c r="KN52" s="632" t="str">
        <f ca="1">IF(INDIRECT(CONCATENATE($FK$12,Fixtures!KN$25))="","",IF(INDIRECT(CONCATENATE($FK$12,Fixtures!KN$25))=Fixtures!$DN52,CONCATENATE(KN$10,", "),""))</f>
        <v/>
      </c>
      <c r="KO52" s="632" t="str">
        <f ca="1">IF(INDIRECT(CONCATENATE($FK$12,Fixtures!KO$25))="","",IF(INDIRECT(CONCATENATE($FK$12,Fixtures!KO$25))=Fixtures!$DN52,CONCATENATE(KO$10,", "),""))</f>
        <v/>
      </c>
      <c r="KP52" s="632" t="str">
        <f ca="1">IF(INDIRECT(CONCATENATE($FK$12,Fixtures!KP$25))="","",IF(INDIRECT(CONCATENATE($FK$12,Fixtures!KP$25))=Fixtures!$DN52,CONCATENATE(KP$10,", "),""))</f>
        <v/>
      </c>
      <c r="KQ52" s="632" t="str">
        <f ca="1">IF(INDIRECT(CONCATENATE($FK$12,Fixtures!KQ$25))="","",IF(INDIRECT(CONCATENATE($FK$12,Fixtures!KQ$25))=Fixtures!$DN52,CONCATENATE(KQ$10,", "),""))</f>
        <v/>
      </c>
      <c r="KR52" s="632" t="str">
        <f ca="1">IF(INDIRECT(CONCATENATE($FK$12,Fixtures!KR$25))="","",IF(INDIRECT(CONCATENATE($FK$12,Fixtures!KR$25))=Fixtures!$DN52,CONCATENATE(KR$10,", "),""))</f>
        <v/>
      </c>
      <c r="KS52" s="632" t="str">
        <f ca="1">IF(INDIRECT(CONCATENATE($FK$12,Fixtures!KS$25))="","",IF(INDIRECT(CONCATENATE($FK$12,Fixtures!KS$25))=Fixtures!$DN52,CONCATENATE(KS$10,", "),""))</f>
        <v/>
      </c>
      <c r="KT52" s="632" t="str">
        <f ca="1">IF(INDIRECT(CONCATENATE($FK$12,Fixtures!KT$25))="","",IF(INDIRECT(CONCATENATE($FK$12,Fixtures!KT$25))=Fixtures!$DN52,CONCATENATE(KT$10,", "),""))</f>
        <v/>
      </c>
      <c r="KU52" s="632" t="str">
        <f ca="1">IF(INDIRECT(CONCATENATE($FK$12,Fixtures!KU$25))="","",IF(INDIRECT(CONCATENATE($FK$12,Fixtures!KU$25))=Fixtures!$DN52,CONCATENATE(KU$10,", "),""))</f>
        <v/>
      </c>
      <c r="KV52" s="632" t="str">
        <f ca="1">IF(INDIRECT(CONCATENATE($FK$12,Fixtures!KV$25))="","",IF(INDIRECT(CONCATENATE($FK$12,Fixtures!KV$25))=Fixtures!$DN52,CONCATENATE(KV$10,", "),""))</f>
        <v/>
      </c>
      <c r="KW52" s="632" t="str">
        <f ca="1">IF(INDIRECT(CONCATENATE($FK$12,Fixtures!KW$25))="","",IF(INDIRECT(CONCATENATE($FK$12,Fixtures!KW$25))=Fixtures!$DN52,CONCATENATE(KW$10,", "),""))</f>
        <v/>
      </c>
      <c r="KX52" s="632" t="str">
        <f ca="1">IF(INDIRECT(CONCATENATE($FK$12,Fixtures!KX$25))="","",IF(INDIRECT(CONCATENATE($FK$12,Fixtures!KX$25))=Fixtures!$DN52,CONCATENATE(KX$10,", "),""))</f>
        <v/>
      </c>
      <c r="KY52" s="632"/>
      <c r="KZ52" s="46"/>
      <c r="LA52" s="46" t="str">
        <f t="shared" ca="1" si="7"/>
        <v/>
      </c>
      <c r="LB52" s="46"/>
      <c r="LC52" s="1010"/>
      <c r="LD52" s="1009" t="str">
        <f t="shared" si="20"/>
        <v/>
      </c>
    </row>
    <row r="53" spans="1:316" ht="28.2" customHeight="1" thickTop="1" thickBot="1">
      <c r="A53" s="426" t="str">
        <f t="shared" si="13"/>
        <v/>
      </c>
      <c r="C53" s="1640" t="str">
        <f t="shared" si="14"/>
        <v/>
      </c>
      <c r="D53" s="1641"/>
      <c r="E53" s="1568" t="str">
        <f t="shared" si="15"/>
        <v/>
      </c>
      <c r="F53" s="1569"/>
      <c r="G53" s="1569"/>
      <c r="H53" s="1569"/>
      <c r="I53" s="1569"/>
      <c r="J53" s="1569"/>
      <c r="K53" s="1569"/>
      <c r="L53" s="1569"/>
      <c r="M53" s="1642"/>
      <c r="N53" s="203" t="str">
        <f t="shared" si="16"/>
        <v/>
      </c>
      <c r="O53" s="12"/>
      <c r="P53" s="1638" t="str">
        <f t="shared" si="25"/>
        <v/>
      </c>
      <c r="Q53" s="1639"/>
      <c r="R53" s="1568" t="str">
        <f t="shared" si="30"/>
        <v/>
      </c>
      <c r="S53" s="1569"/>
      <c r="T53" s="1569"/>
      <c r="U53" s="1569"/>
      <c r="V53" s="1569"/>
      <c r="W53" s="1569"/>
      <c r="X53" s="1569"/>
      <c r="Y53" s="203" t="str">
        <f t="shared" si="26"/>
        <v/>
      </c>
      <c r="Z53" s="203" t="str">
        <f t="shared" si="27"/>
        <v/>
      </c>
      <c r="AA53" s="394" t="str">
        <f t="shared" si="28"/>
        <v/>
      </c>
      <c r="AB53" s="489"/>
      <c r="AC53" s="1564" t="str">
        <f t="shared" si="18"/>
        <v/>
      </c>
      <c r="AD53" s="1565"/>
      <c r="AE53" s="1565"/>
      <c r="AF53" s="1565"/>
      <c r="AG53" s="1565"/>
      <c r="AH53" s="1565"/>
      <c r="AK53">
        <f>SUMIFS(Installations!CV$46:CV$803,Installations!CW$46:CW$803,E53,Installations!IC$46:IC$803,TRUE)</f>
        <v>0</v>
      </c>
      <c r="AL53">
        <f>SUMIFS(Installations!CV$46:CV$803,Installations!CW$46:CW$803,R53,Installations!IC$46:IC$803,TRUE)</f>
        <v>0</v>
      </c>
      <c r="BL53" s="9"/>
      <c r="BM53" s="622" t="str">
        <f t="shared" si="19"/>
        <v/>
      </c>
      <c r="BN53" s="52"/>
      <c r="BO53" s="52"/>
      <c r="BP53" s="52"/>
      <c r="BQ53" s="52"/>
      <c r="BR53" s="52"/>
      <c r="BS53" s="52"/>
      <c r="BT53" s="52"/>
      <c r="BU53" s="373"/>
      <c r="BV53" s="219" t="str">
        <f>IF(CN53&lt;&gt;"Yes","",IFERROR(VLOOKUP(CU53,Existing!A$4:F$367,2,FALSE),""))</f>
        <v/>
      </c>
      <c r="BW53" s="9">
        <v>27</v>
      </c>
      <c r="BX53" s="1625"/>
      <c r="BY53" s="1626"/>
      <c r="BZ53" s="1626"/>
      <c r="CA53" s="1627"/>
      <c r="CB53" s="1622"/>
      <c r="CC53" s="1623"/>
      <c r="CD53" s="1623"/>
      <c r="CE53" s="1624"/>
      <c r="CF53" s="1621"/>
      <c r="CG53" s="1621"/>
      <c r="CH53" s="1621"/>
      <c r="CI53" s="1621"/>
      <c r="CJ53" s="1621"/>
      <c r="CK53" s="1621"/>
      <c r="CL53" s="1621"/>
      <c r="CM53" s="1621"/>
      <c r="CN53" s="1553" t="str">
        <f>IF(CB53&lt;&gt;"",IF(CB53="Existing TLED",
IF(OR(CF53="",CJ53="",BX53="",CR53=""),"NO","YES"),
IF(OR(CF53="",CJ53="",BX53=""),"NO","YES")
),"")</f>
        <v/>
      </c>
      <c r="CO53" s="1554"/>
      <c r="CP53" s="229" t="str">
        <f>IFERROR(IF(CB53="Existing TLED",CR53*CW53*CY53,VLOOKUP(CU53,Existing!A$3:F$356,6,FALSE)),"")</f>
        <v/>
      </c>
      <c r="CQ53" s="9"/>
      <c r="CR53" s="1660"/>
      <c r="CS53" s="1661"/>
      <c r="CT53" s="9"/>
      <c r="CU53" s="425" t="str">
        <f t="shared" si="21"/>
        <v/>
      </c>
      <c r="CV53" s="426" t="b">
        <f t="shared" si="22"/>
        <v>0</v>
      </c>
      <c r="CW53" s="426" t="str">
        <f t="shared" si="23"/>
        <v/>
      </c>
      <c r="CX53" s="426">
        <f>IFERROR(VLOOKUP(CF53,Lookup!T$100:V$102,3,FALSE),0)</f>
        <v>0</v>
      </c>
      <c r="CY53" s="426">
        <f t="shared" si="8"/>
        <v>1.1100000000000001</v>
      </c>
      <c r="CZ53" s="626" t="b">
        <f t="shared" si="1"/>
        <v>0</v>
      </c>
      <c r="DA53" s="626" t="b">
        <f>IF(CF53&lt;&gt;"",IF(ISERROR(MATCH(CONCATENATE(CB53," - ",CF53),Existing!G$4:G$331,0))=TRUE,FALSE,TRUE),TRUE)</f>
        <v>1</v>
      </c>
      <c r="DB53" s="626" t="b">
        <f t="shared" si="2"/>
        <v>1</v>
      </c>
      <c r="DL53" s="9"/>
      <c r="DM53" s="627" t="s">
        <v>215</v>
      </c>
      <c r="DN53" s="375" t="str">
        <f t="shared" si="3"/>
        <v/>
      </c>
      <c r="DO53" s="52"/>
      <c r="DP53" s="52"/>
      <c r="DQ53" s="52"/>
      <c r="DR53" s="52"/>
      <c r="DS53" s="52"/>
      <c r="DT53" s="226"/>
      <c r="DU53" s="376"/>
      <c r="DV53" s="227" t="str">
        <f t="shared" si="4"/>
        <v/>
      </c>
      <c r="DW53" s="224">
        <v>27</v>
      </c>
      <c r="DX53" s="1572"/>
      <c r="DY53" s="1573"/>
      <c r="DZ53" s="1573"/>
      <c r="EA53" s="1574"/>
      <c r="EB53" s="1618"/>
      <c r="EC53" s="1619"/>
      <c r="ED53" s="1619"/>
      <c r="EE53" s="1620"/>
      <c r="EF53" s="1578"/>
      <c r="EG53" s="1579"/>
      <c r="EH53" s="1618"/>
      <c r="EI53" s="1619"/>
      <c r="EJ53" s="1619"/>
      <c r="EK53" s="1620"/>
      <c r="EL53" s="1575"/>
      <c r="EM53" s="1576"/>
      <c r="EN53" s="1576"/>
      <c r="EO53" s="1577"/>
      <c r="EP53" s="1578"/>
      <c r="EQ53" s="1579"/>
      <c r="ER53" s="1555"/>
      <c r="ES53" s="1556"/>
      <c r="ET53" s="1553" t="str">
        <f t="shared" si="9"/>
        <v/>
      </c>
      <c r="EU53" s="1554"/>
      <c r="EV53" s="1553" t="str">
        <f t="shared" si="29"/>
        <v/>
      </c>
      <c r="EW53" s="1554"/>
      <c r="EX53" s="393"/>
      <c r="EY53" s="225" t="str">
        <f t="shared" si="6"/>
        <v/>
      </c>
      <c r="EZ53" s="225" t="str">
        <f>IFERROR(VLOOKUP(EB53,Lookup!AT$3:AU$13,2,FALSE),"")</f>
        <v/>
      </c>
      <c r="FA53" s="426" t="b">
        <f>IFERROR(IF(VLOOKUP(EB53,Lookup!AT$6:AU$8,2,FALSE)&gt;3,TRUE,FALSE),FALSE)</f>
        <v>0</v>
      </c>
      <c r="FB53" s="426" t="str">
        <f t="shared" si="10"/>
        <v/>
      </c>
      <c r="FC53" t="str">
        <f t="shared" ca="1" si="11"/>
        <v/>
      </c>
      <c r="FG53" t="str">
        <f t="shared" ca="1" si="12"/>
        <v/>
      </c>
      <c r="FI53" s="204" t="str">
        <f t="shared" ca="1" si="24"/>
        <v/>
      </c>
      <c r="FJ53" s="204"/>
      <c r="FK53" s="631" t="str">
        <f ca="1">IF(INDIRECT(CONCATENATE($FK$12,Fixtures!FK$25))="","",IF(INDIRECT(CONCATENATE($FK$12,Fixtures!FK$25))=Fixtures!$DN53,CONCATENATE(FK$10,", "),""))</f>
        <v/>
      </c>
      <c r="FL53" s="631" t="str">
        <f ca="1">IF(INDIRECT(CONCATENATE($FK$12,Fixtures!FL$25))="","",IF(INDIRECT(CONCATENATE($FK$12,Fixtures!FL$25))=Fixtures!$DN53,CONCATENATE(FL$10,", "),""))</f>
        <v/>
      </c>
      <c r="FM53" s="631" t="str">
        <f ca="1">IF(INDIRECT(CONCATENATE($FK$12,Fixtures!FM$25))="","",IF(INDIRECT(CONCATENATE($FK$12,Fixtures!FM$25))=Fixtures!$DN53,CONCATENATE(FM$10,", "),""))</f>
        <v/>
      </c>
      <c r="FN53" s="631" t="str">
        <f ca="1">IF(INDIRECT(CONCATENATE($FK$12,Fixtures!FN$25))="","",IF(INDIRECT(CONCATENATE($FK$12,Fixtures!FN$25))=Fixtures!$DN53,CONCATENATE(FN$10,", "),""))</f>
        <v/>
      </c>
      <c r="FO53" s="631" t="str">
        <f ca="1">IF(INDIRECT(CONCATENATE($FK$12,Fixtures!FO$25))="","",IF(INDIRECT(CONCATENATE($FK$12,Fixtures!FO$25))=Fixtures!$DN53,CONCATENATE(FO$10,", "),""))</f>
        <v/>
      </c>
      <c r="FP53" s="631" t="str">
        <f ca="1">IF(INDIRECT(CONCATENATE($FK$12,Fixtures!FP$25))="","",IF(INDIRECT(CONCATENATE($FK$12,Fixtures!FP$25))=Fixtures!$DN53,CONCATENATE(FP$10,", "),""))</f>
        <v/>
      </c>
      <c r="FQ53" s="631" t="str">
        <f ca="1">IF(INDIRECT(CONCATENATE($FK$12,Fixtures!FQ$25))="","",IF(INDIRECT(CONCATENATE($FK$12,Fixtures!FQ$25))=Fixtures!$DN53,CONCATENATE(FQ$10,", "),""))</f>
        <v/>
      </c>
      <c r="FR53" s="631" t="str">
        <f ca="1">IF(INDIRECT(CONCATENATE($FK$12,Fixtures!FR$25))="","",IF(INDIRECT(CONCATENATE($FK$12,Fixtures!FR$25))=Fixtures!$DN53,CONCATENATE(FR$10,", "),""))</f>
        <v/>
      </c>
      <c r="FS53" s="631" t="str">
        <f ca="1">IF(INDIRECT(CONCATENATE($FK$12,Fixtures!FS$25))="","",IF(INDIRECT(CONCATENATE($FK$12,Fixtures!FS$25))=Fixtures!$DN53,CONCATENATE(FS$10,", "),""))</f>
        <v/>
      </c>
      <c r="FT53" s="604" t="str">
        <f ca="1">IF(INDIRECT(CONCATENATE($FK$12,Fixtures!FT$25))="","",IF(INDIRECT(CONCATENATE($FK$12,Fixtures!FT$25))=Fixtures!$DN53,CONCATENATE(FT$10,", "),""))</f>
        <v/>
      </c>
      <c r="FU53" s="605" t="str">
        <f ca="1">IF(INDIRECT(CONCATENATE($FK$12,Fixtures!FU$25))="","",IF(INDIRECT(CONCATENATE($FK$12,Fixtures!FU$25))=Fixtures!$DN53,CONCATENATE(FU$10,", "),""))</f>
        <v/>
      </c>
      <c r="FV53" s="631" t="str">
        <f ca="1">IF(INDIRECT(CONCATENATE($FK$12,Fixtures!FV$25))="","",IF(INDIRECT(CONCATENATE($FK$12,Fixtures!FV$25))=Fixtures!$DN53,CONCATENATE(FV$10,", "),""))</f>
        <v/>
      </c>
      <c r="FW53" s="632" t="str">
        <f ca="1">IF(INDIRECT(CONCATENATE($FK$12,Fixtures!FW$25))="","",IF(INDIRECT(CONCATENATE($FK$12,Fixtures!FW$25))=Fixtures!$DN53,CONCATENATE(FW$10,", "),""))</f>
        <v/>
      </c>
      <c r="FX53" s="632" t="str">
        <f ca="1">IF(INDIRECT(CONCATENATE($FK$12,Fixtures!FX$25))="","",IF(INDIRECT(CONCATENATE($FK$12,Fixtures!FX$25))=Fixtures!$DN53,CONCATENATE(FX$10,", "),""))</f>
        <v/>
      </c>
      <c r="FY53" s="632" t="str">
        <f ca="1">IF(INDIRECT(CONCATENATE($FK$12,Fixtures!FY$25))="","",IF(INDIRECT(CONCATENATE($FK$12,Fixtures!FY$25))=Fixtures!$DN53,CONCATENATE(FY$10,", "),""))</f>
        <v/>
      </c>
      <c r="FZ53" s="632" t="str">
        <f ca="1">IF(INDIRECT(CONCATENATE($FK$12,Fixtures!FZ$25))="","",IF(INDIRECT(CONCATENATE($FK$12,Fixtures!FZ$25))=Fixtures!$DN53,CONCATENATE(FZ$10,", "),""))</f>
        <v/>
      </c>
      <c r="GA53" s="632" t="str">
        <f ca="1">IF(INDIRECT(CONCATENATE($FK$12,Fixtures!GA$25))="","",IF(INDIRECT(CONCATENATE($FK$12,Fixtures!GA$25))=Fixtures!$DN53,CONCATENATE(GA$10,", "),""))</f>
        <v/>
      </c>
      <c r="GB53" s="632" t="str">
        <f ca="1">IF(INDIRECT(CONCATENATE($FK$12,Fixtures!GB$25))="","",IF(INDIRECT(CONCATENATE($FK$12,Fixtures!GB$25))=Fixtures!$DN53,CONCATENATE(GB$10,", "),""))</f>
        <v/>
      </c>
      <c r="GC53" s="632" t="str">
        <f ca="1">IF(INDIRECT(CONCATENATE($FK$12,Fixtures!GC$25))="","",IF(INDIRECT(CONCATENATE($FK$12,Fixtures!GC$25))=Fixtures!$DN53,CONCATENATE(GC$10,", "),""))</f>
        <v/>
      </c>
      <c r="GD53" s="632" t="str">
        <f ca="1">IF(INDIRECT(CONCATENATE($FK$12,Fixtures!GD$25))="","",IF(INDIRECT(CONCATENATE($FK$12,Fixtures!GD$25))=Fixtures!$DN53,CONCATENATE(GD$10,", "),""))</f>
        <v/>
      </c>
      <c r="GE53" s="632" t="str">
        <f ca="1">IF(INDIRECT(CONCATENATE($FK$12,Fixtures!GE$25))="","",IF(INDIRECT(CONCATENATE($FK$12,Fixtures!GE$25))=Fixtures!$DN53,CONCATENATE(GE$10,", "),""))</f>
        <v/>
      </c>
      <c r="GF53" s="632" t="str">
        <f ca="1">IF(INDIRECT(CONCATENATE($FK$12,Fixtures!GF$25))="","",IF(INDIRECT(CONCATENATE($FK$12,Fixtures!GF$25))=Fixtures!$DN53,CONCATENATE(GF$10,", "),""))</f>
        <v/>
      </c>
      <c r="GG53" s="632" t="str">
        <f ca="1">IF(INDIRECT(CONCATENATE($FK$12,Fixtures!GG$25))="","",IF(INDIRECT(CONCATENATE($FK$12,Fixtures!GG$25))=Fixtures!$DN53,CONCATENATE(GG$10,", "),""))</f>
        <v/>
      </c>
      <c r="GH53" s="632" t="str">
        <f ca="1">IF(INDIRECT(CONCATENATE($FK$12,Fixtures!GH$25))="","",IF(INDIRECT(CONCATENATE($FK$12,Fixtures!GH$25))=Fixtures!$DN53,CONCATENATE(GH$10,", "),""))</f>
        <v/>
      </c>
      <c r="GI53" s="606" t="str">
        <f ca="1">IF(INDIRECT(CONCATENATE($FK$12,Fixtures!GI$25))="","",IF(INDIRECT(CONCATENATE($FK$12,Fixtures!GI$25))=Fixtures!$DN53,CONCATENATE(GI$10,", "),""))</f>
        <v/>
      </c>
      <c r="GJ53" s="607" t="str">
        <f ca="1">IF(INDIRECT(CONCATENATE($FK$12,Fixtures!GJ$25))="","",IF(INDIRECT(CONCATENATE($FK$12,Fixtures!GJ$25))=Fixtures!$DN53,CONCATENATE(GJ$10,", "),""))</f>
        <v/>
      </c>
      <c r="GK53" s="632" t="str">
        <f ca="1">IF(INDIRECT(CONCATENATE($FK$12,Fixtures!GK$25))="","",IF(INDIRECT(CONCATENATE($FK$12,Fixtures!GK$25))=Fixtures!$DN53,CONCATENATE(GK$10,", "),""))</f>
        <v/>
      </c>
      <c r="GL53" s="632" t="str">
        <f ca="1">IF(INDIRECT(CONCATENATE($FK$12,Fixtures!GL$25))="","",IF(INDIRECT(CONCATENATE($FK$12,Fixtures!GL$25))=Fixtures!$DN53,CONCATENATE(GL$10,", "),""))</f>
        <v/>
      </c>
      <c r="GM53" s="632" t="str">
        <f ca="1">IF(INDIRECT(CONCATENATE($FK$12,Fixtures!GM$25))="","",IF(INDIRECT(CONCATENATE($FK$12,Fixtures!GM$25))=Fixtures!$DN53,CONCATENATE(GM$10,", "),""))</f>
        <v/>
      </c>
      <c r="GN53" s="632" t="str">
        <f ca="1">IF(INDIRECT(CONCATENATE($FK$12,Fixtures!GN$25))="","",IF(INDIRECT(CONCATENATE($FK$12,Fixtures!GN$25))=Fixtures!$DN53,CONCATENATE(GN$10,", "),""))</f>
        <v/>
      </c>
      <c r="GO53" s="632" t="str">
        <f ca="1">IF(INDIRECT(CONCATENATE($FK$12,Fixtures!GO$25))="","",IF(INDIRECT(CONCATENATE($FK$12,Fixtures!GO$25))=Fixtures!$DN53,CONCATENATE(GO$10,", "),""))</f>
        <v/>
      </c>
      <c r="GP53" s="632" t="str">
        <f ca="1">IF(INDIRECT(CONCATENATE($FK$12,Fixtures!GP$25))="","",IF(INDIRECT(CONCATENATE($FK$12,Fixtures!GP$25))=Fixtures!$DN53,CONCATENATE(GP$10,", "),""))</f>
        <v/>
      </c>
      <c r="GQ53" s="632" t="str">
        <f ca="1">IF(INDIRECT(CONCATENATE($FK$12,Fixtures!GQ$25))="","",IF(INDIRECT(CONCATENATE($FK$12,Fixtures!GQ$25))=Fixtures!$DN53,CONCATENATE(GQ$10,", "),""))</f>
        <v/>
      </c>
      <c r="GR53" s="632" t="str">
        <f ca="1">IF(INDIRECT(CONCATENATE($FK$12,Fixtures!GR$25))="","",IF(INDIRECT(CONCATENATE($FK$12,Fixtures!GR$25))=Fixtures!$DN53,CONCATENATE(GR$10,", "),""))</f>
        <v/>
      </c>
      <c r="GS53" s="632" t="str">
        <f ca="1">IF(INDIRECT(CONCATENATE($FK$12,Fixtures!GS$25))="","",IF(INDIRECT(CONCATENATE($FK$12,Fixtures!GS$25))=Fixtures!$DN53,CONCATENATE(GS$10,", "),""))</f>
        <v/>
      </c>
      <c r="GT53" s="632" t="str">
        <f ca="1">IF(INDIRECT(CONCATENATE($FK$12,Fixtures!GT$25))="","",IF(INDIRECT(CONCATENATE($FK$12,Fixtures!GT$25))=Fixtures!$DN53,CONCATENATE(GT$10,", "),""))</f>
        <v/>
      </c>
      <c r="GU53" s="632" t="str">
        <f ca="1">IF(INDIRECT(CONCATENATE($FK$12,Fixtures!GU$25))="","",IF(INDIRECT(CONCATENATE($FK$12,Fixtures!GU$25))=Fixtures!$DN53,CONCATENATE(GU$10,", "),""))</f>
        <v/>
      </c>
      <c r="GV53" s="632" t="str">
        <f ca="1">IF(INDIRECT(CONCATENATE($FK$12,Fixtures!GV$25))="","",IF(INDIRECT(CONCATENATE($FK$12,Fixtures!GV$25))=Fixtures!$DN53,CONCATENATE(GV$10,", "),""))</f>
        <v/>
      </c>
      <c r="GW53" s="632" t="str">
        <f ca="1">IF(INDIRECT(CONCATENATE($FK$12,Fixtures!GW$25))="","",IF(INDIRECT(CONCATENATE($FK$12,Fixtures!GW$25))=Fixtures!$DN53,CONCATENATE(GW$10,", "),""))</f>
        <v/>
      </c>
      <c r="GX53" s="606" t="str">
        <f ca="1">IF(INDIRECT(CONCATENATE($FK$12,Fixtures!GX$25))="","",IF(INDIRECT(CONCATENATE($FK$12,Fixtures!GX$25))=Fixtures!$DN53,CONCATENATE(GX$10,", "),""))</f>
        <v/>
      </c>
      <c r="GY53" s="607" t="str">
        <f ca="1">IF(INDIRECT(CONCATENATE($FK$12,Fixtures!GY$25))="","",IF(INDIRECT(CONCATENATE($FK$12,Fixtures!GY$25))=Fixtures!$DN53,CONCATENATE(GY$10,", "),""))</f>
        <v/>
      </c>
      <c r="GZ53" s="632" t="str">
        <f ca="1">IF(INDIRECT(CONCATENATE($FK$12,Fixtures!GZ$25))="","",IF(INDIRECT(CONCATENATE($FK$12,Fixtures!GZ$25))=Fixtures!$DN53,CONCATENATE(GZ$10,", "),""))</f>
        <v/>
      </c>
      <c r="HA53" s="632" t="str">
        <f ca="1">IF(INDIRECT(CONCATENATE($FK$12,Fixtures!HA$25))="","",IF(INDIRECT(CONCATENATE($FK$12,Fixtures!HA$25))=Fixtures!$DN53,CONCATENATE(HA$10,", "),""))</f>
        <v/>
      </c>
      <c r="HB53" s="632" t="str">
        <f ca="1">IF(INDIRECT(CONCATENATE($FK$12,Fixtures!HB$25))="","",IF(INDIRECT(CONCATENATE($FK$12,Fixtures!HB$25))=Fixtures!$DN53,CONCATENATE(HB$10,", "),""))</f>
        <v/>
      </c>
      <c r="HC53" s="632" t="str">
        <f ca="1">IF(INDIRECT(CONCATENATE($FK$12,Fixtures!HC$25))="","",IF(INDIRECT(CONCATENATE($FK$12,Fixtures!HC$25))=Fixtures!$DN53,CONCATENATE(HC$10,", "),""))</f>
        <v/>
      </c>
      <c r="HD53" s="632" t="str">
        <f ca="1">IF(INDIRECT(CONCATENATE($FK$12,Fixtures!HD$25))="","",IF(INDIRECT(CONCATENATE($FK$12,Fixtures!HD$25))=Fixtures!$DN53,CONCATENATE(HD$10,", "),""))</f>
        <v/>
      </c>
      <c r="HE53" s="632" t="str">
        <f ca="1">IF(INDIRECT(CONCATENATE($FK$12,Fixtures!HE$25))="","",IF(INDIRECT(CONCATENATE($FK$12,Fixtures!HE$25))=Fixtures!$DN53,CONCATENATE(HE$10,", "),""))</f>
        <v/>
      </c>
      <c r="HF53" s="632" t="str">
        <f ca="1">IF(INDIRECT(CONCATENATE($FK$12,Fixtures!HF$25))="","",IF(INDIRECT(CONCATENATE($FK$12,Fixtures!HF$25))=Fixtures!$DN53,CONCATENATE(HF$10,", "),""))</f>
        <v/>
      </c>
      <c r="HG53" s="632" t="str">
        <f ca="1">IF(INDIRECT(CONCATENATE($FK$12,Fixtures!HG$25))="","",IF(INDIRECT(CONCATENATE($FK$12,Fixtures!HG$25))=Fixtures!$DN53,CONCATENATE(HG$10,", "),""))</f>
        <v/>
      </c>
      <c r="HH53" s="632" t="str">
        <f ca="1">IF(INDIRECT(CONCATENATE($FK$12,Fixtures!HH$25))="","",IF(INDIRECT(CONCATENATE($FK$12,Fixtures!HH$25))=Fixtures!$DN53,CONCATENATE(HH$10,", "),""))</f>
        <v/>
      </c>
      <c r="HI53" s="632" t="str">
        <f ca="1">IF(INDIRECT(CONCATENATE($FK$12,Fixtures!HI$25))="","",IF(INDIRECT(CONCATENATE($FK$12,Fixtures!HI$25))=Fixtures!$DN53,CONCATENATE(HI$10,", "),""))</f>
        <v/>
      </c>
      <c r="HJ53" s="632" t="str">
        <f ca="1">IF(INDIRECT(CONCATENATE($FK$12,Fixtures!HJ$25))="","",IF(INDIRECT(CONCATENATE($FK$12,Fixtures!HJ$25))=Fixtures!$DN53,CONCATENATE(HJ$10,", "),""))</f>
        <v/>
      </c>
      <c r="HK53" s="632" t="str">
        <f ca="1">IF(INDIRECT(CONCATENATE($FK$12,Fixtures!HK$25))="","",IF(INDIRECT(CONCATENATE($FK$12,Fixtures!HK$25))=Fixtures!$DN53,CONCATENATE(HK$10,", "),""))</f>
        <v/>
      </c>
      <c r="HL53" s="632" t="str">
        <f ca="1">IF(INDIRECT(CONCATENATE($FK$12,Fixtures!HL$25))="","",IF(INDIRECT(CONCATENATE($FK$12,Fixtures!HL$25))=Fixtures!$DN53,CONCATENATE(HL$10,", "),""))</f>
        <v/>
      </c>
      <c r="HM53" s="606" t="str">
        <f ca="1">IF(INDIRECT(CONCATENATE($FK$12,Fixtures!HM$25))="","",IF(INDIRECT(CONCATENATE($FK$12,Fixtures!HM$25))=Fixtures!$DN53,CONCATENATE(HM$10,", "),""))</f>
        <v/>
      </c>
      <c r="HN53" s="607" t="str">
        <f ca="1">IF(INDIRECT(CONCATENATE($FK$12,Fixtures!HN$25))="","",IF(INDIRECT(CONCATENATE($FK$12,Fixtures!HN$25))=Fixtures!$DN53,CONCATENATE(HN$10,", "),""))</f>
        <v/>
      </c>
      <c r="HO53" s="632" t="str">
        <f ca="1">IF(INDIRECT(CONCATENATE($FK$12,Fixtures!HO$25))="","",IF(INDIRECT(CONCATENATE($FK$12,Fixtures!HO$25))=Fixtures!$DN53,CONCATENATE(HO$10,", "),""))</f>
        <v/>
      </c>
      <c r="HP53" s="632" t="str">
        <f ca="1">IF(INDIRECT(CONCATENATE($FK$12,Fixtures!HP$25))="","",IF(INDIRECT(CONCATENATE($FK$12,Fixtures!HP$25))=Fixtures!$DN53,CONCATENATE(HP$10,", "),""))</f>
        <v/>
      </c>
      <c r="HQ53" s="632" t="str">
        <f ca="1">IF(INDIRECT(CONCATENATE($FK$12,Fixtures!HQ$25))="","",IF(INDIRECT(CONCATENATE($FK$12,Fixtures!HQ$25))=Fixtures!$DN53,CONCATENATE(HQ$10,", "),""))</f>
        <v/>
      </c>
      <c r="HR53" s="632" t="str">
        <f ca="1">IF(INDIRECT(CONCATENATE($FK$12,Fixtures!HR$25))="","",IF(INDIRECT(CONCATENATE($FK$12,Fixtures!HR$25))=Fixtures!$DN53,CONCATENATE(HR$10,", "),""))</f>
        <v/>
      </c>
      <c r="HS53" s="632" t="str">
        <f ca="1">IF(INDIRECT(CONCATENATE($FK$12,Fixtures!HS$25))="","",IF(INDIRECT(CONCATENATE($FK$12,Fixtures!HS$25))=Fixtures!$DN53,CONCATENATE(HS$10,", "),""))</f>
        <v/>
      </c>
      <c r="HT53" s="632" t="str">
        <f ca="1">IF(INDIRECT(CONCATENATE($FK$12,Fixtures!HT$25))="","",IF(INDIRECT(CONCATENATE($FK$12,Fixtures!HT$25))=Fixtures!$DN53,CONCATENATE(HT$10,", "),""))</f>
        <v/>
      </c>
      <c r="HU53" s="632" t="str">
        <f ca="1">IF(INDIRECT(CONCATENATE($FK$12,Fixtures!HU$25))="","",IF(INDIRECT(CONCATENATE($FK$12,Fixtures!HU$25))=Fixtures!$DN53,CONCATENATE(HU$10,", "),""))</f>
        <v/>
      </c>
      <c r="HV53" s="632" t="str">
        <f ca="1">IF(INDIRECT(CONCATENATE($FK$12,Fixtures!HV$25))="","",IF(INDIRECT(CONCATENATE($FK$12,Fixtures!HV$25))=Fixtures!$DN53,CONCATENATE(HV$10,", "),""))</f>
        <v/>
      </c>
      <c r="HW53" s="632" t="str">
        <f ca="1">IF(INDIRECT(CONCATENATE($FK$12,Fixtures!HW$25))="","",IF(INDIRECT(CONCATENATE($FK$12,Fixtures!HW$25))=Fixtures!$DN53,CONCATENATE(HW$10,", "),""))</f>
        <v/>
      </c>
      <c r="HX53" s="632" t="str">
        <f ca="1">IF(INDIRECT(CONCATENATE($FK$12,Fixtures!HX$25))="","",IF(INDIRECT(CONCATENATE($FK$12,Fixtures!HX$25))=Fixtures!$DN53,CONCATENATE(HX$10,", "),""))</f>
        <v/>
      </c>
      <c r="HY53" s="632" t="str">
        <f ca="1">IF(INDIRECT(CONCATENATE($FK$12,Fixtures!HY$25))="","",IF(INDIRECT(CONCATENATE($FK$12,Fixtures!HY$25))=Fixtures!$DN53,CONCATENATE(HY$10,", "),""))</f>
        <v/>
      </c>
      <c r="HZ53" s="632" t="str">
        <f ca="1">IF(INDIRECT(CONCATENATE($FK$12,Fixtures!HZ$25))="","",IF(INDIRECT(CONCATENATE($FK$12,Fixtures!HZ$25))=Fixtures!$DN53,CONCATENATE(HZ$10,", "),""))</f>
        <v/>
      </c>
      <c r="IA53" s="632" t="str">
        <f ca="1">IF(INDIRECT(CONCATENATE($FK$12,Fixtures!IA$25))="","",IF(INDIRECT(CONCATENATE($FK$12,Fixtures!IA$25))=Fixtures!$DN53,CONCATENATE(IA$10,", "),""))</f>
        <v/>
      </c>
      <c r="IB53" s="606" t="str">
        <f ca="1">IF(INDIRECT(CONCATENATE($FK$12,Fixtures!IB$25))="","",IF(INDIRECT(CONCATENATE($FK$12,Fixtures!IB$25))=Fixtures!$DN53,CONCATENATE(IB$10,", "),""))</f>
        <v/>
      </c>
      <c r="IC53" s="607" t="str">
        <f ca="1">IF(INDIRECT(CONCATENATE($FK$12,Fixtures!IC$25))="","",IF(INDIRECT(CONCATENATE($FK$12,Fixtures!IC$25))=Fixtures!$DN53,CONCATENATE(IC$10,", "),""))</f>
        <v/>
      </c>
      <c r="ID53" s="632" t="str">
        <f ca="1">IF(INDIRECT(CONCATENATE($FK$12,Fixtures!ID$25))="","",IF(INDIRECT(CONCATENATE($FK$12,Fixtures!ID$25))=Fixtures!$DN53,CONCATENATE(ID$10,", "),""))</f>
        <v/>
      </c>
      <c r="IE53" s="632" t="str">
        <f ca="1">IF(INDIRECT(CONCATENATE($FK$12,Fixtures!IE$25))="","",IF(INDIRECT(CONCATENATE($FK$12,Fixtures!IE$25))=Fixtures!$DN53,CONCATENATE(IE$10,", "),""))</f>
        <v/>
      </c>
      <c r="IF53" s="632" t="str">
        <f ca="1">IF(INDIRECT(CONCATENATE($FK$12,Fixtures!IF$25))="","",IF(INDIRECT(CONCATENATE($FK$12,Fixtures!IF$25))=Fixtures!$DN53,CONCATENATE(IF$10,", "),""))</f>
        <v/>
      </c>
      <c r="IG53" s="632" t="str">
        <f ca="1">IF(INDIRECT(CONCATENATE($FK$12,Fixtures!IG$25))="","",IF(INDIRECT(CONCATENATE($FK$12,Fixtures!IG$25))=Fixtures!$DN53,CONCATENATE(IG$10,", "),""))</f>
        <v/>
      </c>
      <c r="IH53" s="632" t="str">
        <f ca="1">IF(INDIRECT(CONCATENATE($FK$12,Fixtures!IH$25))="","",IF(INDIRECT(CONCATENATE($FK$12,Fixtures!IH$25))=Fixtures!$DN53,CONCATENATE(IH$10,", "),""))</f>
        <v/>
      </c>
      <c r="II53" s="632" t="str">
        <f ca="1">IF(INDIRECT(CONCATENATE($FK$12,Fixtures!II$25))="","",IF(INDIRECT(CONCATENATE($FK$12,Fixtures!II$25))=Fixtures!$DN53,CONCATENATE(II$10,", "),""))</f>
        <v/>
      </c>
      <c r="IJ53" s="632" t="str">
        <f ca="1">IF(INDIRECT(CONCATENATE($FK$12,Fixtures!IJ$25))="","",IF(INDIRECT(CONCATENATE($FK$12,Fixtures!IJ$25))=Fixtures!$DN53,CONCATENATE(IJ$10,", "),""))</f>
        <v/>
      </c>
      <c r="IK53" s="632" t="str">
        <f ca="1">IF(INDIRECT(CONCATENATE($FK$12,Fixtures!IK$25))="","",IF(INDIRECT(CONCATENATE($FK$12,Fixtures!IK$25))=Fixtures!$DN53,CONCATENATE(IK$10,", "),""))</f>
        <v/>
      </c>
      <c r="IL53" s="632" t="str">
        <f ca="1">IF(INDIRECT(CONCATENATE($FK$12,Fixtures!IL$25))="","",IF(INDIRECT(CONCATENATE($FK$12,Fixtures!IL$25))=Fixtures!$DN53,CONCATENATE(IL$10,", "),""))</f>
        <v/>
      </c>
      <c r="IM53" s="632" t="str">
        <f ca="1">IF(INDIRECT(CONCATENATE($FK$12,Fixtures!IM$25))="","",IF(INDIRECT(CONCATENATE($FK$12,Fixtures!IM$25))=Fixtures!$DN53,CONCATENATE(IM$10,", "),""))</f>
        <v/>
      </c>
      <c r="IN53" s="632" t="str">
        <f ca="1">IF(INDIRECT(CONCATENATE($FK$12,Fixtures!IN$25))="","",IF(INDIRECT(CONCATENATE($FK$12,Fixtures!IN$25))=Fixtures!$DN53,CONCATENATE(IN$10,", "),""))</f>
        <v/>
      </c>
      <c r="IO53" s="632" t="str">
        <f ca="1">IF(INDIRECT(CONCATENATE($FK$12,Fixtures!IO$25))="","",IF(INDIRECT(CONCATENATE($FK$12,Fixtures!IO$25))=Fixtures!$DN53,CONCATENATE(IO$10,", "),""))</f>
        <v/>
      </c>
      <c r="IP53" s="632" t="str">
        <f ca="1">IF(INDIRECT(CONCATENATE($FK$12,Fixtures!IP$25))="","",IF(INDIRECT(CONCATENATE($FK$12,Fixtures!IP$25))=Fixtures!$DN53,CONCATENATE(IP$10,", "),""))</f>
        <v/>
      </c>
      <c r="IQ53" s="606" t="str">
        <f ca="1">IF(INDIRECT(CONCATENATE($FK$12,Fixtures!IQ$25))="","",IF(INDIRECT(CONCATENATE($FK$12,Fixtures!IQ$25))=Fixtures!$DN53,CONCATENATE(IQ$10,", "),""))</f>
        <v/>
      </c>
      <c r="IR53" s="607" t="str">
        <f ca="1">IF(INDIRECT(CONCATENATE($FK$12,Fixtures!IR$25))="","",IF(INDIRECT(CONCATENATE($FK$12,Fixtures!IR$25))=Fixtures!$DN53,CONCATENATE(IR$10,", "),""))</f>
        <v/>
      </c>
      <c r="IS53" s="632" t="str">
        <f ca="1">IF(INDIRECT(CONCATENATE($FK$12,Fixtures!IS$25))="","",IF(INDIRECT(CONCATENATE($FK$12,Fixtures!IS$25))=Fixtures!$DN53,CONCATENATE(IS$10,", "),""))</f>
        <v/>
      </c>
      <c r="IT53" s="632" t="str">
        <f ca="1">IF(INDIRECT(CONCATENATE($FK$12,Fixtures!IT$25))="","",IF(INDIRECT(CONCATENATE($FK$12,Fixtures!IT$25))=Fixtures!$DN53,CONCATENATE(IT$10,", "),""))</f>
        <v/>
      </c>
      <c r="IU53" s="632" t="str">
        <f ca="1">IF(INDIRECT(CONCATENATE($FK$12,Fixtures!IU$25))="","",IF(INDIRECT(CONCATENATE($FK$12,Fixtures!IU$25))=Fixtures!$DN53,CONCATENATE(IU$10,", "),""))</f>
        <v/>
      </c>
      <c r="IV53" s="632" t="str">
        <f ca="1">IF(INDIRECT(CONCATENATE($FK$12,Fixtures!IV$25))="","",IF(INDIRECT(CONCATENATE($FK$12,Fixtures!IV$25))=Fixtures!$DN53,CONCATENATE(IV$10,", "),""))</f>
        <v/>
      </c>
      <c r="IW53" s="632" t="str">
        <f ca="1">IF(INDIRECT(CONCATENATE($FK$12,Fixtures!IW$25))="","",IF(INDIRECT(CONCATENATE($FK$12,Fixtures!IW$25))=Fixtures!$DN53,CONCATENATE(IW$10,", "),""))</f>
        <v/>
      </c>
      <c r="IX53" s="632" t="str">
        <f ca="1">IF(INDIRECT(CONCATENATE($FK$12,Fixtures!IX$25))="","",IF(INDIRECT(CONCATENATE($FK$12,Fixtures!IX$25))=Fixtures!$DN53,CONCATENATE(IX$10,", "),""))</f>
        <v/>
      </c>
      <c r="IY53" s="632" t="str">
        <f ca="1">IF(INDIRECT(CONCATENATE($FK$12,Fixtures!IY$25))="","",IF(INDIRECT(CONCATENATE($FK$12,Fixtures!IY$25))=Fixtures!$DN53,CONCATENATE(IY$10,", "),""))</f>
        <v/>
      </c>
      <c r="IZ53" s="632" t="str">
        <f ca="1">IF(INDIRECT(CONCATENATE($FK$12,Fixtures!IZ$25))="","",IF(INDIRECT(CONCATENATE($FK$12,Fixtures!IZ$25))=Fixtures!$DN53,CONCATENATE(IZ$10,", "),""))</f>
        <v/>
      </c>
      <c r="JA53" s="632" t="str">
        <f ca="1">IF(INDIRECT(CONCATENATE($FK$12,Fixtures!JA$25))="","",IF(INDIRECT(CONCATENATE($FK$12,Fixtures!JA$25))=Fixtures!$DN53,CONCATENATE(JA$10,", "),""))</f>
        <v/>
      </c>
      <c r="JB53" s="632" t="str">
        <f ca="1">IF(INDIRECT(CONCATENATE($FK$12,Fixtures!JB$25))="","",IF(INDIRECT(CONCATENATE($FK$12,Fixtures!JB$25))=Fixtures!$DN53,CONCATENATE(JB$10,", "),""))</f>
        <v/>
      </c>
      <c r="JC53" s="632" t="str">
        <f ca="1">IF(INDIRECT(CONCATENATE($FK$12,Fixtures!JC$25))="","",IF(INDIRECT(CONCATENATE($FK$12,Fixtures!JC$25))=Fixtures!$DN53,CONCATENATE(JC$10,", "),""))</f>
        <v/>
      </c>
      <c r="JD53" s="632" t="str">
        <f ca="1">IF(INDIRECT(CONCATENATE($FK$12,Fixtures!JD$25))="","",IF(INDIRECT(CONCATENATE($FK$12,Fixtures!JD$25))=Fixtures!$DN53,CONCATENATE(JD$10,", "),""))</f>
        <v/>
      </c>
      <c r="JE53" s="632" t="str">
        <f ca="1">IF(INDIRECT(CONCATENATE($FK$12,Fixtures!JE$25))="","",IF(INDIRECT(CONCATENATE($FK$12,Fixtures!JE$25))=Fixtures!$DN53,CONCATENATE(JE$10,", "),""))</f>
        <v/>
      </c>
      <c r="JF53" s="606" t="str">
        <f ca="1">IF(INDIRECT(CONCATENATE($FK$12,Fixtures!JF$25))="","",IF(INDIRECT(CONCATENATE($FK$12,Fixtures!JF$25))=Fixtures!$DN53,CONCATENATE(JF$10,", "),""))</f>
        <v/>
      </c>
      <c r="JG53" s="607" t="str">
        <f ca="1">IF(INDIRECT(CONCATENATE($FK$12,Fixtures!JG$25))="","",IF(INDIRECT(CONCATENATE($FK$12,Fixtures!JG$25))=Fixtures!$DN53,CONCATENATE(JG$10,", "),""))</f>
        <v/>
      </c>
      <c r="JH53" s="632" t="str">
        <f ca="1">IF(INDIRECT(CONCATENATE($FK$12,Fixtures!JH$25))="","",IF(INDIRECT(CONCATENATE($FK$12,Fixtures!JH$25))=Fixtures!$DN53,CONCATENATE(JH$10,", "),""))</f>
        <v/>
      </c>
      <c r="JI53" s="632" t="str">
        <f ca="1">IF(INDIRECT(CONCATENATE($FK$12,Fixtures!JI$25))="","",IF(INDIRECT(CONCATENATE($FK$12,Fixtures!JI$25))=Fixtures!$DN53,CONCATENATE(JI$10,", "),""))</f>
        <v/>
      </c>
      <c r="JJ53" s="632" t="str">
        <f ca="1">IF(INDIRECT(CONCATENATE($FK$12,Fixtures!JJ$25))="","",IF(INDIRECT(CONCATENATE($FK$12,Fixtures!JJ$25))=Fixtures!$DN53,CONCATENATE(JJ$10,", "),""))</f>
        <v/>
      </c>
      <c r="JK53" s="632" t="str">
        <f ca="1">IF(INDIRECT(CONCATENATE($FK$12,Fixtures!JK$25))="","",IF(INDIRECT(CONCATENATE($FK$12,Fixtures!JK$25))=Fixtures!$DN53,CONCATENATE(JK$10,", "),""))</f>
        <v/>
      </c>
      <c r="JL53" s="632" t="str">
        <f ca="1">IF(INDIRECT(CONCATENATE($FK$12,Fixtures!JL$25))="","",IF(INDIRECT(CONCATENATE($FK$12,Fixtures!JL$25))=Fixtures!$DN53,CONCATENATE(JL$10,", "),""))</f>
        <v/>
      </c>
      <c r="JM53" s="632" t="str">
        <f ca="1">IF(INDIRECT(CONCATENATE($FK$12,Fixtures!JM$25))="","",IF(INDIRECT(CONCATENATE($FK$12,Fixtures!JM$25))=Fixtures!$DN53,CONCATENATE(JM$10,", "),""))</f>
        <v/>
      </c>
      <c r="JN53" s="632" t="str">
        <f ca="1">IF(INDIRECT(CONCATENATE($FK$12,Fixtures!JN$25))="","",IF(INDIRECT(CONCATENATE($FK$12,Fixtures!JN$25))=Fixtures!$DN53,CONCATENATE(JN$10,", "),""))</f>
        <v/>
      </c>
      <c r="JO53" s="632" t="str">
        <f ca="1">IF(INDIRECT(CONCATENATE($FK$12,Fixtures!JO$25))="","",IF(INDIRECT(CONCATENATE($FK$12,Fixtures!JO$25))=Fixtures!$DN53,CONCATENATE(JO$10,", "),""))</f>
        <v/>
      </c>
      <c r="JP53" s="632" t="str">
        <f ca="1">IF(INDIRECT(CONCATENATE($FK$12,Fixtures!JP$25))="","",IF(INDIRECT(CONCATENATE($FK$12,Fixtures!JP$25))=Fixtures!$DN53,CONCATENATE(JP$10,", "),""))</f>
        <v/>
      </c>
      <c r="JQ53" s="632" t="str">
        <f ca="1">IF(INDIRECT(CONCATENATE($FK$12,Fixtures!JQ$25))="","",IF(INDIRECT(CONCATENATE($FK$12,Fixtures!JQ$25))=Fixtures!$DN53,CONCATENATE(JQ$10,", "),""))</f>
        <v/>
      </c>
      <c r="JR53" s="632" t="str">
        <f ca="1">IF(INDIRECT(CONCATENATE($FK$12,Fixtures!JR$25))="","",IF(INDIRECT(CONCATENATE($FK$12,Fixtures!JR$25))=Fixtures!$DN53,CONCATENATE(JR$10,", "),""))</f>
        <v/>
      </c>
      <c r="JS53" s="632" t="str">
        <f ca="1">IF(INDIRECT(CONCATENATE($FK$12,Fixtures!JS$25))="","",IF(INDIRECT(CONCATENATE($FK$12,Fixtures!JS$25))=Fixtures!$DN53,CONCATENATE(JS$10,", "),""))</f>
        <v/>
      </c>
      <c r="JT53" s="632" t="str">
        <f ca="1">IF(INDIRECT(CONCATENATE($FK$12,Fixtures!JT$25))="","",IF(INDIRECT(CONCATENATE($FK$12,Fixtures!JT$25))=Fixtures!$DN53,CONCATENATE(JT$10,", "),""))</f>
        <v/>
      </c>
      <c r="JU53" s="606" t="str">
        <f ca="1">IF(INDIRECT(CONCATENATE($FK$12,Fixtures!JU$25))="","",IF(INDIRECT(CONCATENATE($FK$12,Fixtures!JU$25))=Fixtures!$DN53,CONCATENATE(JU$10,", "),""))</f>
        <v/>
      </c>
      <c r="JV53" s="607" t="str">
        <f ca="1">IF(INDIRECT(CONCATENATE($FK$12,Fixtures!JV$25))="","",IF(INDIRECT(CONCATENATE($FK$12,Fixtures!JV$25))=Fixtures!$DN53,CONCATENATE(JV$10,", "),""))</f>
        <v/>
      </c>
      <c r="JW53" s="632" t="str">
        <f ca="1">IF(INDIRECT(CONCATENATE($FK$12,Fixtures!JW$25))="","",IF(INDIRECT(CONCATENATE($FK$12,Fixtures!JW$25))=Fixtures!$DN53,CONCATENATE(JW$10,", "),""))</f>
        <v/>
      </c>
      <c r="JX53" s="632" t="str">
        <f ca="1">IF(INDIRECT(CONCATENATE($FK$12,Fixtures!JX$25))="","",IF(INDIRECT(CONCATENATE($FK$12,Fixtures!JX$25))=Fixtures!$DN53,CONCATENATE(JX$10,", "),""))</f>
        <v/>
      </c>
      <c r="JY53" s="632" t="str">
        <f ca="1">IF(INDIRECT(CONCATENATE($FK$12,Fixtures!JY$25))="","",IF(INDIRECT(CONCATENATE($FK$12,Fixtures!JY$25))=Fixtures!$DN53,CONCATENATE(JY$10,", "),""))</f>
        <v/>
      </c>
      <c r="JZ53" s="632" t="str">
        <f ca="1">IF(INDIRECT(CONCATENATE($FK$12,Fixtures!JZ$25))="","",IF(INDIRECT(CONCATENATE($FK$12,Fixtures!JZ$25))=Fixtures!$DN53,CONCATENATE(JZ$10,", "),""))</f>
        <v/>
      </c>
      <c r="KA53" s="632" t="str">
        <f ca="1">IF(INDIRECT(CONCATENATE($FK$12,Fixtures!KA$25))="","",IF(INDIRECT(CONCATENATE($FK$12,Fixtures!KA$25))=Fixtures!$DN53,CONCATENATE(KA$10,", "),""))</f>
        <v/>
      </c>
      <c r="KB53" s="632" t="str">
        <f ca="1">IF(INDIRECT(CONCATENATE($FK$12,Fixtures!KB$25))="","",IF(INDIRECT(CONCATENATE($FK$12,Fixtures!KB$25))=Fixtures!$DN53,CONCATENATE(KB$10,", "),""))</f>
        <v/>
      </c>
      <c r="KC53" s="632" t="str">
        <f ca="1">IF(INDIRECT(CONCATENATE($FK$12,Fixtures!KC$25))="","",IF(INDIRECT(CONCATENATE($FK$12,Fixtures!KC$25))=Fixtures!$DN53,CONCATENATE(KC$10,", "),""))</f>
        <v/>
      </c>
      <c r="KD53" s="632" t="str">
        <f ca="1">IF(INDIRECT(CONCATENATE($FK$12,Fixtures!KD$25))="","",IF(INDIRECT(CONCATENATE($FK$12,Fixtures!KD$25))=Fixtures!$DN53,CONCATENATE(KD$10,", "),""))</f>
        <v/>
      </c>
      <c r="KE53" s="632" t="str">
        <f ca="1">IF(INDIRECT(CONCATENATE($FK$12,Fixtures!KE$25))="","",IF(INDIRECT(CONCATENATE($FK$12,Fixtures!KE$25))=Fixtures!$DN53,CONCATENATE(KE$10,", "),""))</f>
        <v/>
      </c>
      <c r="KF53" s="632" t="str">
        <f ca="1">IF(INDIRECT(CONCATENATE($FK$12,Fixtures!KF$25))="","",IF(INDIRECT(CONCATENATE($FK$12,Fixtures!KF$25))=Fixtures!$DN53,CONCATENATE(KF$10,", "),""))</f>
        <v/>
      </c>
      <c r="KG53" s="632" t="str">
        <f ca="1">IF(INDIRECT(CONCATENATE($FK$12,Fixtures!KG$25))="","",IF(INDIRECT(CONCATENATE($FK$12,Fixtures!KG$25))=Fixtures!$DN53,CONCATENATE(KG$10,", "),""))</f>
        <v/>
      </c>
      <c r="KH53" s="632" t="str">
        <f ca="1">IF(INDIRECT(CONCATENATE($FK$12,Fixtures!KH$25))="","",IF(INDIRECT(CONCATENATE($FK$12,Fixtures!KH$25))=Fixtures!$DN53,CONCATENATE(KH$10,", "),""))</f>
        <v/>
      </c>
      <c r="KI53" s="632" t="str">
        <f ca="1">IF(INDIRECT(CONCATENATE($FK$12,Fixtures!KI$25))="","",IF(INDIRECT(CONCATENATE($FK$12,Fixtures!KI$25))=Fixtures!$DN53,CONCATENATE(KI$10,", "),""))</f>
        <v/>
      </c>
      <c r="KJ53" s="606" t="str">
        <f ca="1">IF(INDIRECT(CONCATENATE($FK$12,Fixtures!KJ$25))="","",IF(INDIRECT(CONCATENATE($FK$12,Fixtures!KJ$25))=Fixtures!$DN53,CONCATENATE(KJ$10,", "),""))</f>
        <v/>
      </c>
      <c r="KK53" s="607" t="str">
        <f ca="1">IF(INDIRECT(CONCATENATE($FK$12,Fixtures!KK$25))="","",IF(INDIRECT(CONCATENATE($FK$12,Fixtures!KK$25))=Fixtures!$DN53,CONCATENATE(KK$10,", "),""))</f>
        <v/>
      </c>
      <c r="KL53" s="632" t="str">
        <f ca="1">IF(INDIRECT(CONCATENATE($FK$12,Fixtures!KL$25))="","",IF(INDIRECT(CONCATENATE($FK$12,Fixtures!KL$25))=Fixtures!$DN53,CONCATENATE(KL$10,", "),""))</f>
        <v/>
      </c>
      <c r="KM53" s="632" t="str">
        <f ca="1">IF(INDIRECT(CONCATENATE($FK$12,Fixtures!KM$25))="","",IF(INDIRECT(CONCATENATE($FK$12,Fixtures!KM$25))=Fixtures!$DN53,CONCATENATE(KM$10,", "),""))</f>
        <v/>
      </c>
      <c r="KN53" s="632" t="str">
        <f ca="1">IF(INDIRECT(CONCATENATE($FK$12,Fixtures!KN$25))="","",IF(INDIRECT(CONCATENATE($FK$12,Fixtures!KN$25))=Fixtures!$DN53,CONCATENATE(KN$10,", "),""))</f>
        <v/>
      </c>
      <c r="KO53" s="632" t="str">
        <f ca="1">IF(INDIRECT(CONCATENATE($FK$12,Fixtures!KO$25))="","",IF(INDIRECT(CONCATENATE($FK$12,Fixtures!KO$25))=Fixtures!$DN53,CONCATENATE(KO$10,", "),""))</f>
        <v/>
      </c>
      <c r="KP53" s="632" t="str">
        <f ca="1">IF(INDIRECT(CONCATENATE($FK$12,Fixtures!KP$25))="","",IF(INDIRECT(CONCATENATE($FK$12,Fixtures!KP$25))=Fixtures!$DN53,CONCATENATE(KP$10,", "),""))</f>
        <v/>
      </c>
      <c r="KQ53" s="632" t="str">
        <f ca="1">IF(INDIRECT(CONCATENATE($FK$12,Fixtures!KQ$25))="","",IF(INDIRECT(CONCATENATE($FK$12,Fixtures!KQ$25))=Fixtures!$DN53,CONCATENATE(KQ$10,", "),""))</f>
        <v/>
      </c>
      <c r="KR53" s="632" t="str">
        <f ca="1">IF(INDIRECT(CONCATENATE($FK$12,Fixtures!KR$25))="","",IF(INDIRECT(CONCATENATE($FK$12,Fixtures!KR$25))=Fixtures!$DN53,CONCATENATE(KR$10,", "),""))</f>
        <v/>
      </c>
      <c r="KS53" s="632" t="str">
        <f ca="1">IF(INDIRECT(CONCATENATE($FK$12,Fixtures!KS$25))="","",IF(INDIRECT(CONCATENATE($FK$12,Fixtures!KS$25))=Fixtures!$DN53,CONCATENATE(KS$10,", "),""))</f>
        <v/>
      </c>
      <c r="KT53" s="632" t="str">
        <f ca="1">IF(INDIRECT(CONCATENATE($FK$12,Fixtures!KT$25))="","",IF(INDIRECT(CONCATENATE($FK$12,Fixtures!KT$25))=Fixtures!$DN53,CONCATENATE(KT$10,", "),""))</f>
        <v/>
      </c>
      <c r="KU53" s="632" t="str">
        <f ca="1">IF(INDIRECT(CONCATENATE($FK$12,Fixtures!KU$25))="","",IF(INDIRECT(CONCATENATE($FK$12,Fixtures!KU$25))=Fixtures!$DN53,CONCATENATE(KU$10,", "),""))</f>
        <v/>
      </c>
      <c r="KV53" s="632" t="str">
        <f ca="1">IF(INDIRECT(CONCATENATE($FK$12,Fixtures!KV$25))="","",IF(INDIRECT(CONCATENATE($FK$12,Fixtures!KV$25))=Fixtures!$DN53,CONCATENATE(KV$10,", "),""))</f>
        <v/>
      </c>
      <c r="KW53" s="632" t="str">
        <f ca="1">IF(INDIRECT(CONCATENATE($FK$12,Fixtures!KW$25))="","",IF(INDIRECT(CONCATENATE($FK$12,Fixtures!KW$25))=Fixtures!$DN53,CONCATENATE(KW$10,", "),""))</f>
        <v/>
      </c>
      <c r="KX53" s="632" t="str">
        <f ca="1">IF(INDIRECT(CONCATENATE($FK$12,Fixtures!KX$25))="","",IF(INDIRECT(CONCATENATE($FK$12,Fixtures!KX$25))=Fixtures!$DN53,CONCATENATE(KX$10,", "),""))</f>
        <v/>
      </c>
      <c r="KY53" s="632"/>
      <c r="KZ53" s="46"/>
      <c r="LA53" s="46" t="str">
        <f t="shared" ca="1" si="7"/>
        <v/>
      </c>
      <c r="LB53" s="46"/>
      <c r="LC53" s="1010"/>
      <c r="LD53" s="1009" t="str">
        <f t="shared" si="20"/>
        <v/>
      </c>
    </row>
    <row r="54" spans="1:316" ht="28.2" customHeight="1" thickTop="1" thickBot="1">
      <c r="A54" s="426" t="str">
        <f t="shared" si="13"/>
        <v/>
      </c>
      <c r="C54" s="1640" t="str">
        <f t="shared" si="14"/>
        <v/>
      </c>
      <c r="D54" s="1641"/>
      <c r="E54" s="1568" t="str">
        <f t="shared" si="15"/>
        <v/>
      </c>
      <c r="F54" s="1569"/>
      <c r="G54" s="1569"/>
      <c r="H54" s="1569"/>
      <c r="I54" s="1569"/>
      <c r="J54" s="1569"/>
      <c r="K54" s="1569"/>
      <c r="L54" s="1569"/>
      <c r="M54" s="1642"/>
      <c r="N54" s="203" t="str">
        <f t="shared" si="16"/>
        <v/>
      </c>
      <c r="O54" s="12"/>
      <c r="P54" s="1638" t="str">
        <f t="shared" si="25"/>
        <v/>
      </c>
      <c r="Q54" s="1639"/>
      <c r="R54" s="1568" t="str">
        <f t="shared" si="30"/>
        <v/>
      </c>
      <c r="S54" s="1569"/>
      <c r="T54" s="1569"/>
      <c r="U54" s="1569"/>
      <c r="V54" s="1569"/>
      <c r="W54" s="1569"/>
      <c r="X54" s="1569"/>
      <c r="Y54" s="203" t="str">
        <f t="shared" si="26"/>
        <v/>
      </c>
      <c r="Z54" s="203" t="str">
        <f t="shared" si="27"/>
        <v/>
      </c>
      <c r="AA54" s="394" t="str">
        <f t="shared" si="28"/>
        <v/>
      </c>
      <c r="AB54" s="489"/>
      <c r="AC54" s="1564" t="str">
        <f t="shared" si="18"/>
        <v/>
      </c>
      <c r="AD54" s="1565"/>
      <c r="AE54" s="1565"/>
      <c r="AF54" s="1565"/>
      <c r="AG54" s="1565"/>
      <c r="AH54" s="1565"/>
      <c r="AK54">
        <f>SUMIFS(Installations!CV$46:CV$803,Installations!CW$46:CW$803,E54,Installations!IC$46:IC$803,TRUE)</f>
        <v>0</v>
      </c>
      <c r="AL54">
        <f>SUMIFS(Installations!CV$46:CV$803,Installations!CW$46:CW$803,R54,Installations!IC$46:IC$803,TRUE)</f>
        <v>0</v>
      </c>
      <c r="BL54" s="9"/>
      <c r="BM54" s="622" t="str">
        <f t="shared" si="19"/>
        <v/>
      </c>
      <c r="BN54" s="52"/>
      <c r="BO54" s="52"/>
      <c r="BP54" s="52"/>
      <c r="BQ54" s="52"/>
      <c r="BR54" s="52"/>
      <c r="BS54" s="52"/>
      <c r="BT54" s="52"/>
      <c r="BU54" s="373"/>
      <c r="BV54" s="219" t="str">
        <f>IF(CN54&lt;&gt;"Yes","",IFERROR(VLOOKUP(CU54,Existing!A$4:F$367,2,FALSE),""))</f>
        <v/>
      </c>
      <c r="BW54" s="9">
        <v>28</v>
      </c>
      <c r="BX54" s="1625"/>
      <c r="BY54" s="1626"/>
      <c r="BZ54" s="1626"/>
      <c r="CA54" s="1627"/>
      <c r="CB54" s="1622"/>
      <c r="CC54" s="1623"/>
      <c r="CD54" s="1623"/>
      <c r="CE54" s="1624"/>
      <c r="CF54" s="1621"/>
      <c r="CG54" s="1621"/>
      <c r="CH54" s="1621"/>
      <c r="CI54" s="1621"/>
      <c r="CJ54" s="1621"/>
      <c r="CK54" s="1621"/>
      <c r="CL54" s="1621"/>
      <c r="CM54" s="1621"/>
      <c r="CN54" s="1553" t="str">
        <f t="shared" ref="CN54:CN76" si="31">IF(CB54&lt;&gt;"",IF(CB54="Existing TLED",
IF(OR(CF54="",CJ54="",BX54="",CR54=""),"NO","YES"),
IF(OR(CF54="",CJ54="",BX54=""),"NO","YES")
),"")</f>
        <v/>
      </c>
      <c r="CO54" s="1554"/>
      <c r="CP54" s="229" t="str">
        <f>IFERROR(IF(CB54="Existing TLED",CR54*CW54*CY54,VLOOKUP(CU54,Existing!A$3:F$356,6,FALSE)),"")</f>
        <v/>
      </c>
      <c r="CQ54" s="9"/>
      <c r="CR54" s="1660"/>
      <c r="CS54" s="1661"/>
      <c r="CT54" s="9"/>
      <c r="CU54" s="425" t="str">
        <f t="shared" si="21"/>
        <v/>
      </c>
      <c r="CV54" s="426" t="b">
        <f t="shared" si="22"/>
        <v>0</v>
      </c>
      <c r="CW54" s="426" t="str">
        <f t="shared" si="23"/>
        <v/>
      </c>
      <c r="CX54" s="426">
        <f>IFERROR(VLOOKUP(CF54,Lookup!T$100:V$102,3,FALSE),0)</f>
        <v>0</v>
      </c>
      <c r="CY54" s="426">
        <f t="shared" si="8"/>
        <v>1.1100000000000001</v>
      </c>
      <c r="CZ54" s="626" t="b">
        <f t="shared" si="1"/>
        <v>0</v>
      </c>
      <c r="DA54" s="626" t="b">
        <f>IF(CF54&lt;&gt;"",IF(ISERROR(MATCH(CONCATENATE(CB54," - ",CF54),Existing!G$4:G$331,0))=TRUE,FALSE,TRUE),TRUE)</f>
        <v>1</v>
      </c>
      <c r="DB54" s="626" t="b">
        <f t="shared" si="2"/>
        <v>1</v>
      </c>
      <c r="DL54" s="9"/>
      <c r="DM54" s="627" t="s">
        <v>215</v>
      </c>
      <c r="DN54" s="375" t="str">
        <f t="shared" si="3"/>
        <v/>
      </c>
      <c r="DO54" s="52"/>
      <c r="DP54" s="52"/>
      <c r="DQ54" s="52"/>
      <c r="DR54" s="52"/>
      <c r="DS54" s="52"/>
      <c r="DT54" s="226"/>
      <c r="DU54" s="376"/>
      <c r="DV54" s="227" t="str">
        <f t="shared" si="4"/>
        <v/>
      </c>
      <c r="DW54" s="224">
        <v>28</v>
      </c>
      <c r="DX54" s="1572"/>
      <c r="DY54" s="1573"/>
      <c r="DZ54" s="1573"/>
      <c r="EA54" s="1574"/>
      <c r="EB54" s="1618"/>
      <c r="EC54" s="1619"/>
      <c r="ED54" s="1619"/>
      <c r="EE54" s="1620"/>
      <c r="EF54" s="1578"/>
      <c r="EG54" s="1579"/>
      <c r="EH54" s="1618"/>
      <c r="EI54" s="1619"/>
      <c r="EJ54" s="1619"/>
      <c r="EK54" s="1620"/>
      <c r="EL54" s="1575"/>
      <c r="EM54" s="1576"/>
      <c r="EN54" s="1576"/>
      <c r="EO54" s="1577"/>
      <c r="EP54" s="1578"/>
      <c r="EQ54" s="1579"/>
      <c r="ER54" s="1555"/>
      <c r="ES54" s="1556"/>
      <c r="ET54" s="1553" t="str">
        <f t="shared" si="9"/>
        <v/>
      </c>
      <c r="EU54" s="1554"/>
      <c r="EV54" s="1553" t="str">
        <f t="shared" si="29"/>
        <v/>
      </c>
      <c r="EW54" s="1554"/>
      <c r="EX54" s="393"/>
      <c r="EY54" s="225" t="str">
        <f t="shared" si="6"/>
        <v/>
      </c>
      <c r="EZ54" s="225" t="str">
        <f>IFERROR(VLOOKUP(EB54,Lookup!AT$3:AU$13,2,FALSE),"")</f>
        <v/>
      </c>
      <c r="FA54" s="426" t="b">
        <f>IFERROR(IF(VLOOKUP(EB54,Lookup!AT$6:AU$8,2,FALSE)&gt;3,TRUE,FALSE),FALSE)</f>
        <v>0</v>
      </c>
      <c r="FB54" s="426" t="str">
        <f t="shared" si="10"/>
        <v/>
      </c>
      <c r="FC54" t="str">
        <f t="shared" ca="1" si="11"/>
        <v/>
      </c>
      <c r="FG54" t="str">
        <f t="shared" ca="1" si="12"/>
        <v/>
      </c>
      <c r="FI54" s="204" t="str">
        <f t="shared" ca="1" si="24"/>
        <v/>
      </c>
      <c r="FJ54" s="204"/>
      <c r="FK54" s="631" t="str">
        <f ca="1">IF(INDIRECT(CONCATENATE($FK$12,Fixtures!FK$25))="","",IF(INDIRECT(CONCATENATE($FK$12,Fixtures!FK$25))=Fixtures!$DN54,CONCATENATE(FK$10,", "),""))</f>
        <v/>
      </c>
      <c r="FL54" s="631" t="str">
        <f ca="1">IF(INDIRECT(CONCATENATE($FK$12,Fixtures!FL$25))="","",IF(INDIRECT(CONCATENATE($FK$12,Fixtures!FL$25))=Fixtures!$DN54,CONCATENATE(FL$10,", "),""))</f>
        <v/>
      </c>
      <c r="FM54" s="631" t="str">
        <f ca="1">IF(INDIRECT(CONCATENATE($FK$12,Fixtures!FM$25))="","",IF(INDIRECT(CONCATENATE($FK$12,Fixtures!FM$25))=Fixtures!$DN54,CONCATENATE(FM$10,", "),""))</f>
        <v/>
      </c>
      <c r="FN54" s="631" t="str">
        <f ca="1">IF(INDIRECT(CONCATENATE($FK$12,Fixtures!FN$25))="","",IF(INDIRECT(CONCATENATE($FK$12,Fixtures!FN$25))=Fixtures!$DN54,CONCATENATE(FN$10,", "),""))</f>
        <v/>
      </c>
      <c r="FO54" s="631" t="str">
        <f ca="1">IF(INDIRECT(CONCATENATE($FK$12,Fixtures!FO$25))="","",IF(INDIRECT(CONCATENATE($FK$12,Fixtures!FO$25))=Fixtures!$DN54,CONCATENATE(FO$10,", "),""))</f>
        <v/>
      </c>
      <c r="FP54" s="631" t="str">
        <f ca="1">IF(INDIRECT(CONCATENATE($FK$12,Fixtures!FP$25))="","",IF(INDIRECT(CONCATENATE($FK$12,Fixtures!FP$25))=Fixtures!$DN54,CONCATENATE(FP$10,", "),""))</f>
        <v/>
      </c>
      <c r="FQ54" s="631" t="str">
        <f ca="1">IF(INDIRECT(CONCATENATE($FK$12,Fixtures!FQ$25))="","",IF(INDIRECT(CONCATENATE($FK$12,Fixtures!FQ$25))=Fixtures!$DN54,CONCATENATE(FQ$10,", "),""))</f>
        <v/>
      </c>
      <c r="FR54" s="631" t="str">
        <f ca="1">IF(INDIRECT(CONCATENATE($FK$12,Fixtures!FR$25))="","",IF(INDIRECT(CONCATENATE($FK$12,Fixtures!FR$25))=Fixtures!$DN54,CONCATENATE(FR$10,", "),""))</f>
        <v/>
      </c>
      <c r="FS54" s="631" t="str">
        <f ca="1">IF(INDIRECT(CONCATENATE($FK$12,Fixtures!FS$25))="","",IF(INDIRECT(CONCATENATE($FK$12,Fixtures!FS$25))=Fixtures!$DN54,CONCATENATE(FS$10,", "),""))</f>
        <v/>
      </c>
      <c r="FT54" s="604" t="str">
        <f ca="1">IF(INDIRECT(CONCATENATE($FK$12,Fixtures!FT$25))="","",IF(INDIRECT(CONCATENATE($FK$12,Fixtures!FT$25))=Fixtures!$DN54,CONCATENATE(FT$10,", "),""))</f>
        <v/>
      </c>
      <c r="FU54" s="605" t="str">
        <f ca="1">IF(INDIRECT(CONCATENATE($FK$12,Fixtures!FU$25))="","",IF(INDIRECT(CONCATENATE($FK$12,Fixtures!FU$25))=Fixtures!$DN54,CONCATENATE(FU$10,", "),""))</f>
        <v/>
      </c>
      <c r="FV54" s="631" t="str">
        <f ca="1">IF(INDIRECT(CONCATENATE($FK$12,Fixtures!FV$25))="","",IF(INDIRECT(CONCATENATE($FK$12,Fixtures!FV$25))=Fixtures!$DN54,CONCATENATE(FV$10,", "),""))</f>
        <v/>
      </c>
      <c r="FW54" s="632" t="str">
        <f ca="1">IF(INDIRECT(CONCATENATE($FK$12,Fixtures!FW$25))="","",IF(INDIRECT(CONCATENATE($FK$12,Fixtures!FW$25))=Fixtures!$DN54,CONCATENATE(FW$10,", "),""))</f>
        <v/>
      </c>
      <c r="FX54" s="632" t="str">
        <f ca="1">IF(INDIRECT(CONCATENATE($FK$12,Fixtures!FX$25))="","",IF(INDIRECT(CONCATENATE($FK$12,Fixtures!FX$25))=Fixtures!$DN54,CONCATENATE(FX$10,", "),""))</f>
        <v/>
      </c>
      <c r="FY54" s="632" t="str">
        <f ca="1">IF(INDIRECT(CONCATENATE($FK$12,Fixtures!FY$25))="","",IF(INDIRECT(CONCATENATE($FK$12,Fixtures!FY$25))=Fixtures!$DN54,CONCATENATE(FY$10,", "),""))</f>
        <v/>
      </c>
      <c r="FZ54" s="632" t="str">
        <f ca="1">IF(INDIRECT(CONCATENATE($FK$12,Fixtures!FZ$25))="","",IF(INDIRECT(CONCATENATE($FK$12,Fixtures!FZ$25))=Fixtures!$DN54,CONCATENATE(FZ$10,", "),""))</f>
        <v/>
      </c>
      <c r="GA54" s="632" t="str">
        <f ca="1">IF(INDIRECT(CONCATENATE($FK$12,Fixtures!GA$25))="","",IF(INDIRECT(CONCATENATE($FK$12,Fixtures!GA$25))=Fixtures!$DN54,CONCATENATE(GA$10,", "),""))</f>
        <v/>
      </c>
      <c r="GB54" s="632" t="str">
        <f ca="1">IF(INDIRECT(CONCATENATE($FK$12,Fixtures!GB$25))="","",IF(INDIRECT(CONCATENATE($FK$12,Fixtures!GB$25))=Fixtures!$DN54,CONCATENATE(GB$10,", "),""))</f>
        <v/>
      </c>
      <c r="GC54" s="632" t="str">
        <f ca="1">IF(INDIRECT(CONCATENATE($FK$12,Fixtures!GC$25))="","",IF(INDIRECT(CONCATENATE($FK$12,Fixtures!GC$25))=Fixtures!$DN54,CONCATENATE(GC$10,", "),""))</f>
        <v/>
      </c>
      <c r="GD54" s="632" t="str">
        <f ca="1">IF(INDIRECT(CONCATENATE($FK$12,Fixtures!GD$25))="","",IF(INDIRECT(CONCATENATE($FK$12,Fixtures!GD$25))=Fixtures!$DN54,CONCATENATE(GD$10,", "),""))</f>
        <v/>
      </c>
      <c r="GE54" s="632" t="str">
        <f ca="1">IF(INDIRECT(CONCATENATE($FK$12,Fixtures!GE$25))="","",IF(INDIRECT(CONCATENATE($FK$12,Fixtures!GE$25))=Fixtures!$DN54,CONCATENATE(GE$10,", "),""))</f>
        <v/>
      </c>
      <c r="GF54" s="632" t="str">
        <f ca="1">IF(INDIRECT(CONCATENATE($FK$12,Fixtures!GF$25))="","",IF(INDIRECT(CONCATENATE($FK$12,Fixtures!GF$25))=Fixtures!$DN54,CONCATENATE(GF$10,", "),""))</f>
        <v/>
      </c>
      <c r="GG54" s="632" t="str">
        <f ca="1">IF(INDIRECT(CONCATENATE($FK$12,Fixtures!GG$25))="","",IF(INDIRECT(CONCATENATE($FK$12,Fixtures!GG$25))=Fixtures!$DN54,CONCATENATE(GG$10,", "),""))</f>
        <v/>
      </c>
      <c r="GH54" s="632" t="str">
        <f ca="1">IF(INDIRECT(CONCATENATE($FK$12,Fixtures!GH$25))="","",IF(INDIRECT(CONCATENATE($FK$12,Fixtures!GH$25))=Fixtures!$DN54,CONCATENATE(GH$10,", "),""))</f>
        <v/>
      </c>
      <c r="GI54" s="606" t="str">
        <f ca="1">IF(INDIRECT(CONCATENATE($FK$12,Fixtures!GI$25))="","",IF(INDIRECT(CONCATENATE($FK$12,Fixtures!GI$25))=Fixtures!$DN54,CONCATENATE(GI$10,", "),""))</f>
        <v/>
      </c>
      <c r="GJ54" s="607" t="str">
        <f ca="1">IF(INDIRECT(CONCATENATE($FK$12,Fixtures!GJ$25))="","",IF(INDIRECT(CONCATENATE($FK$12,Fixtures!GJ$25))=Fixtures!$DN54,CONCATENATE(GJ$10,", "),""))</f>
        <v/>
      </c>
      <c r="GK54" s="632" t="str">
        <f ca="1">IF(INDIRECT(CONCATENATE($FK$12,Fixtures!GK$25))="","",IF(INDIRECT(CONCATENATE($FK$12,Fixtures!GK$25))=Fixtures!$DN54,CONCATENATE(GK$10,", "),""))</f>
        <v/>
      </c>
      <c r="GL54" s="632" t="str">
        <f ca="1">IF(INDIRECT(CONCATENATE($FK$12,Fixtures!GL$25))="","",IF(INDIRECT(CONCATENATE($FK$12,Fixtures!GL$25))=Fixtures!$DN54,CONCATENATE(GL$10,", "),""))</f>
        <v/>
      </c>
      <c r="GM54" s="632" t="str">
        <f ca="1">IF(INDIRECT(CONCATENATE($FK$12,Fixtures!GM$25))="","",IF(INDIRECT(CONCATENATE($FK$12,Fixtures!GM$25))=Fixtures!$DN54,CONCATENATE(GM$10,", "),""))</f>
        <v/>
      </c>
      <c r="GN54" s="632" t="str">
        <f ca="1">IF(INDIRECT(CONCATENATE($FK$12,Fixtures!GN$25))="","",IF(INDIRECT(CONCATENATE($FK$12,Fixtures!GN$25))=Fixtures!$DN54,CONCATENATE(GN$10,", "),""))</f>
        <v/>
      </c>
      <c r="GO54" s="632" t="str">
        <f ca="1">IF(INDIRECT(CONCATENATE($FK$12,Fixtures!GO$25))="","",IF(INDIRECT(CONCATENATE($FK$12,Fixtures!GO$25))=Fixtures!$DN54,CONCATENATE(GO$10,", "),""))</f>
        <v/>
      </c>
      <c r="GP54" s="632" t="str">
        <f ca="1">IF(INDIRECT(CONCATENATE($FK$12,Fixtures!GP$25))="","",IF(INDIRECT(CONCATENATE($FK$12,Fixtures!GP$25))=Fixtures!$DN54,CONCATENATE(GP$10,", "),""))</f>
        <v/>
      </c>
      <c r="GQ54" s="632" t="str">
        <f ca="1">IF(INDIRECT(CONCATENATE($FK$12,Fixtures!GQ$25))="","",IF(INDIRECT(CONCATENATE($FK$12,Fixtures!GQ$25))=Fixtures!$DN54,CONCATENATE(GQ$10,", "),""))</f>
        <v/>
      </c>
      <c r="GR54" s="632" t="str">
        <f ca="1">IF(INDIRECT(CONCATENATE($FK$12,Fixtures!GR$25))="","",IF(INDIRECT(CONCATENATE($FK$12,Fixtures!GR$25))=Fixtures!$DN54,CONCATENATE(GR$10,", "),""))</f>
        <v/>
      </c>
      <c r="GS54" s="632" t="str">
        <f ca="1">IF(INDIRECT(CONCATENATE($FK$12,Fixtures!GS$25))="","",IF(INDIRECT(CONCATENATE($FK$12,Fixtures!GS$25))=Fixtures!$DN54,CONCATENATE(GS$10,", "),""))</f>
        <v/>
      </c>
      <c r="GT54" s="632" t="str">
        <f ca="1">IF(INDIRECT(CONCATENATE($FK$12,Fixtures!GT$25))="","",IF(INDIRECT(CONCATENATE($FK$12,Fixtures!GT$25))=Fixtures!$DN54,CONCATENATE(GT$10,", "),""))</f>
        <v/>
      </c>
      <c r="GU54" s="632" t="str">
        <f ca="1">IF(INDIRECT(CONCATENATE($FK$12,Fixtures!GU$25))="","",IF(INDIRECT(CONCATENATE($FK$12,Fixtures!GU$25))=Fixtures!$DN54,CONCATENATE(GU$10,", "),""))</f>
        <v/>
      </c>
      <c r="GV54" s="632" t="str">
        <f ca="1">IF(INDIRECT(CONCATENATE($FK$12,Fixtures!GV$25))="","",IF(INDIRECT(CONCATENATE($FK$12,Fixtures!GV$25))=Fixtures!$DN54,CONCATENATE(GV$10,", "),""))</f>
        <v/>
      </c>
      <c r="GW54" s="632" t="str">
        <f ca="1">IF(INDIRECT(CONCATENATE($FK$12,Fixtures!GW$25))="","",IF(INDIRECT(CONCATENATE($FK$12,Fixtures!GW$25))=Fixtures!$DN54,CONCATENATE(GW$10,", "),""))</f>
        <v/>
      </c>
      <c r="GX54" s="606" t="str">
        <f ca="1">IF(INDIRECT(CONCATENATE($FK$12,Fixtures!GX$25))="","",IF(INDIRECT(CONCATENATE($FK$12,Fixtures!GX$25))=Fixtures!$DN54,CONCATENATE(GX$10,", "),""))</f>
        <v/>
      </c>
      <c r="GY54" s="607" t="str">
        <f ca="1">IF(INDIRECT(CONCATENATE($FK$12,Fixtures!GY$25))="","",IF(INDIRECT(CONCATENATE($FK$12,Fixtures!GY$25))=Fixtures!$DN54,CONCATENATE(GY$10,", "),""))</f>
        <v/>
      </c>
      <c r="GZ54" s="632" t="str">
        <f ca="1">IF(INDIRECT(CONCATENATE($FK$12,Fixtures!GZ$25))="","",IF(INDIRECT(CONCATENATE($FK$12,Fixtures!GZ$25))=Fixtures!$DN54,CONCATENATE(GZ$10,", "),""))</f>
        <v/>
      </c>
      <c r="HA54" s="632" t="str">
        <f ca="1">IF(INDIRECT(CONCATENATE($FK$12,Fixtures!HA$25))="","",IF(INDIRECT(CONCATENATE($FK$12,Fixtures!HA$25))=Fixtures!$DN54,CONCATENATE(HA$10,", "),""))</f>
        <v/>
      </c>
      <c r="HB54" s="632" t="str">
        <f ca="1">IF(INDIRECT(CONCATENATE($FK$12,Fixtures!HB$25))="","",IF(INDIRECT(CONCATENATE($FK$12,Fixtures!HB$25))=Fixtures!$DN54,CONCATENATE(HB$10,", "),""))</f>
        <v/>
      </c>
      <c r="HC54" s="632" t="str">
        <f ca="1">IF(INDIRECT(CONCATENATE($FK$12,Fixtures!HC$25))="","",IF(INDIRECT(CONCATENATE($FK$12,Fixtures!HC$25))=Fixtures!$DN54,CONCATENATE(HC$10,", "),""))</f>
        <v/>
      </c>
      <c r="HD54" s="632" t="str">
        <f ca="1">IF(INDIRECT(CONCATENATE($FK$12,Fixtures!HD$25))="","",IF(INDIRECT(CONCATENATE($FK$12,Fixtures!HD$25))=Fixtures!$DN54,CONCATENATE(HD$10,", "),""))</f>
        <v/>
      </c>
      <c r="HE54" s="632" t="str">
        <f ca="1">IF(INDIRECT(CONCATENATE($FK$12,Fixtures!HE$25))="","",IF(INDIRECT(CONCATENATE($FK$12,Fixtures!HE$25))=Fixtures!$DN54,CONCATENATE(HE$10,", "),""))</f>
        <v/>
      </c>
      <c r="HF54" s="632" t="str">
        <f ca="1">IF(INDIRECT(CONCATENATE($FK$12,Fixtures!HF$25))="","",IF(INDIRECT(CONCATENATE($FK$12,Fixtures!HF$25))=Fixtures!$DN54,CONCATENATE(HF$10,", "),""))</f>
        <v/>
      </c>
      <c r="HG54" s="632" t="str">
        <f ca="1">IF(INDIRECT(CONCATENATE($FK$12,Fixtures!HG$25))="","",IF(INDIRECT(CONCATENATE($FK$12,Fixtures!HG$25))=Fixtures!$DN54,CONCATENATE(HG$10,", "),""))</f>
        <v/>
      </c>
      <c r="HH54" s="632" t="str">
        <f ca="1">IF(INDIRECT(CONCATENATE($FK$12,Fixtures!HH$25))="","",IF(INDIRECT(CONCATENATE($FK$12,Fixtures!HH$25))=Fixtures!$DN54,CONCATENATE(HH$10,", "),""))</f>
        <v/>
      </c>
      <c r="HI54" s="632" t="str">
        <f ca="1">IF(INDIRECT(CONCATENATE($FK$12,Fixtures!HI$25))="","",IF(INDIRECT(CONCATENATE($FK$12,Fixtures!HI$25))=Fixtures!$DN54,CONCATENATE(HI$10,", "),""))</f>
        <v/>
      </c>
      <c r="HJ54" s="632" t="str">
        <f ca="1">IF(INDIRECT(CONCATENATE($FK$12,Fixtures!HJ$25))="","",IF(INDIRECT(CONCATENATE($FK$12,Fixtures!HJ$25))=Fixtures!$DN54,CONCATENATE(HJ$10,", "),""))</f>
        <v/>
      </c>
      <c r="HK54" s="632" t="str">
        <f ca="1">IF(INDIRECT(CONCATENATE($FK$12,Fixtures!HK$25))="","",IF(INDIRECT(CONCATENATE($FK$12,Fixtures!HK$25))=Fixtures!$DN54,CONCATENATE(HK$10,", "),""))</f>
        <v/>
      </c>
      <c r="HL54" s="632" t="str">
        <f ca="1">IF(INDIRECT(CONCATENATE($FK$12,Fixtures!HL$25))="","",IF(INDIRECT(CONCATENATE($FK$12,Fixtures!HL$25))=Fixtures!$DN54,CONCATENATE(HL$10,", "),""))</f>
        <v/>
      </c>
      <c r="HM54" s="606" t="str">
        <f ca="1">IF(INDIRECT(CONCATENATE($FK$12,Fixtures!HM$25))="","",IF(INDIRECT(CONCATENATE($FK$12,Fixtures!HM$25))=Fixtures!$DN54,CONCATENATE(HM$10,", "),""))</f>
        <v/>
      </c>
      <c r="HN54" s="607" t="str">
        <f ca="1">IF(INDIRECT(CONCATENATE($FK$12,Fixtures!HN$25))="","",IF(INDIRECT(CONCATENATE($FK$12,Fixtures!HN$25))=Fixtures!$DN54,CONCATENATE(HN$10,", "),""))</f>
        <v/>
      </c>
      <c r="HO54" s="632" t="str">
        <f ca="1">IF(INDIRECT(CONCATENATE($FK$12,Fixtures!HO$25))="","",IF(INDIRECT(CONCATENATE($FK$12,Fixtures!HO$25))=Fixtures!$DN54,CONCATENATE(HO$10,", "),""))</f>
        <v/>
      </c>
      <c r="HP54" s="632" t="str">
        <f ca="1">IF(INDIRECT(CONCATENATE($FK$12,Fixtures!HP$25))="","",IF(INDIRECT(CONCATENATE($FK$12,Fixtures!HP$25))=Fixtures!$DN54,CONCATENATE(HP$10,", "),""))</f>
        <v/>
      </c>
      <c r="HQ54" s="632" t="str">
        <f ca="1">IF(INDIRECT(CONCATENATE($FK$12,Fixtures!HQ$25))="","",IF(INDIRECT(CONCATENATE($FK$12,Fixtures!HQ$25))=Fixtures!$DN54,CONCATENATE(HQ$10,", "),""))</f>
        <v/>
      </c>
      <c r="HR54" s="632" t="str">
        <f ca="1">IF(INDIRECT(CONCATENATE($FK$12,Fixtures!HR$25))="","",IF(INDIRECT(CONCATENATE($FK$12,Fixtures!HR$25))=Fixtures!$DN54,CONCATENATE(HR$10,", "),""))</f>
        <v/>
      </c>
      <c r="HS54" s="632" t="str">
        <f ca="1">IF(INDIRECT(CONCATENATE($FK$12,Fixtures!HS$25))="","",IF(INDIRECT(CONCATENATE($FK$12,Fixtures!HS$25))=Fixtures!$DN54,CONCATENATE(HS$10,", "),""))</f>
        <v/>
      </c>
      <c r="HT54" s="632" t="str">
        <f ca="1">IF(INDIRECT(CONCATENATE($FK$12,Fixtures!HT$25))="","",IF(INDIRECT(CONCATENATE($FK$12,Fixtures!HT$25))=Fixtures!$DN54,CONCATENATE(HT$10,", "),""))</f>
        <v/>
      </c>
      <c r="HU54" s="632" t="str">
        <f ca="1">IF(INDIRECT(CONCATENATE($FK$12,Fixtures!HU$25))="","",IF(INDIRECT(CONCATENATE($FK$12,Fixtures!HU$25))=Fixtures!$DN54,CONCATENATE(HU$10,", "),""))</f>
        <v/>
      </c>
      <c r="HV54" s="632" t="str">
        <f ca="1">IF(INDIRECT(CONCATENATE($FK$12,Fixtures!HV$25))="","",IF(INDIRECT(CONCATENATE($FK$12,Fixtures!HV$25))=Fixtures!$DN54,CONCATENATE(HV$10,", "),""))</f>
        <v/>
      </c>
      <c r="HW54" s="632" t="str">
        <f ca="1">IF(INDIRECT(CONCATENATE($FK$12,Fixtures!HW$25))="","",IF(INDIRECT(CONCATENATE($FK$12,Fixtures!HW$25))=Fixtures!$DN54,CONCATENATE(HW$10,", "),""))</f>
        <v/>
      </c>
      <c r="HX54" s="632" t="str">
        <f ca="1">IF(INDIRECT(CONCATENATE($FK$12,Fixtures!HX$25))="","",IF(INDIRECT(CONCATENATE($FK$12,Fixtures!HX$25))=Fixtures!$DN54,CONCATENATE(HX$10,", "),""))</f>
        <v/>
      </c>
      <c r="HY54" s="632" t="str">
        <f ca="1">IF(INDIRECT(CONCATENATE($FK$12,Fixtures!HY$25))="","",IF(INDIRECT(CONCATENATE($FK$12,Fixtures!HY$25))=Fixtures!$DN54,CONCATENATE(HY$10,", "),""))</f>
        <v/>
      </c>
      <c r="HZ54" s="632" t="str">
        <f ca="1">IF(INDIRECT(CONCATENATE($FK$12,Fixtures!HZ$25))="","",IF(INDIRECT(CONCATENATE($FK$12,Fixtures!HZ$25))=Fixtures!$DN54,CONCATENATE(HZ$10,", "),""))</f>
        <v/>
      </c>
      <c r="IA54" s="632" t="str">
        <f ca="1">IF(INDIRECT(CONCATENATE($FK$12,Fixtures!IA$25))="","",IF(INDIRECT(CONCATENATE($FK$12,Fixtures!IA$25))=Fixtures!$DN54,CONCATENATE(IA$10,", "),""))</f>
        <v/>
      </c>
      <c r="IB54" s="606" t="str">
        <f ca="1">IF(INDIRECT(CONCATENATE($FK$12,Fixtures!IB$25))="","",IF(INDIRECT(CONCATENATE($FK$12,Fixtures!IB$25))=Fixtures!$DN54,CONCATENATE(IB$10,", "),""))</f>
        <v/>
      </c>
      <c r="IC54" s="607" t="str">
        <f ca="1">IF(INDIRECT(CONCATENATE($FK$12,Fixtures!IC$25))="","",IF(INDIRECT(CONCATENATE($FK$12,Fixtures!IC$25))=Fixtures!$DN54,CONCATENATE(IC$10,", "),""))</f>
        <v/>
      </c>
      <c r="ID54" s="632" t="str">
        <f ca="1">IF(INDIRECT(CONCATENATE($FK$12,Fixtures!ID$25))="","",IF(INDIRECT(CONCATENATE($FK$12,Fixtures!ID$25))=Fixtures!$DN54,CONCATENATE(ID$10,", "),""))</f>
        <v/>
      </c>
      <c r="IE54" s="632" t="str">
        <f ca="1">IF(INDIRECT(CONCATENATE($FK$12,Fixtures!IE$25))="","",IF(INDIRECT(CONCATENATE($FK$12,Fixtures!IE$25))=Fixtures!$DN54,CONCATENATE(IE$10,", "),""))</f>
        <v/>
      </c>
      <c r="IF54" s="632" t="str">
        <f ca="1">IF(INDIRECT(CONCATENATE($FK$12,Fixtures!IF$25))="","",IF(INDIRECT(CONCATENATE($FK$12,Fixtures!IF$25))=Fixtures!$DN54,CONCATENATE(IF$10,", "),""))</f>
        <v/>
      </c>
      <c r="IG54" s="632" t="str">
        <f ca="1">IF(INDIRECT(CONCATENATE($FK$12,Fixtures!IG$25))="","",IF(INDIRECT(CONCATENATE($FK$12,Fixtures!IG$25))=Fixtures!$DN54,CONCATENATE(IG$10,", "),""))</f>
        <v/>
      </c>
      <c r="IH54" s="632" t="str">
        <f ca="1">IF(INDIRECT(CONCATENATE($FK$12,Fixtures!IH$25))="","",IF(INDIRECT(CONCATENATE($FK$12,Fixtures!IH$25))=Fixtures!$DN54,CONCATENATE(IH$10,", "),""))</f>
        <v/>
      </c>
      <c r="II54" s="632" t="str">
        <f ca="1">IF(INDIRECT(CONCATENATE($FK$12,Fixtures!II$25))="","",IF(INDIRECT(CONCATENATE($FK$12,Fixtures!II$25))=Fixtures!$DN54,CONCATENATE(II$10,", "),""))</f>
        <v/>
      </c>
      <c r="IJ54" s="632" t="str">
        <f ca="1">IF(INDIRECT(CONCATENATE($FK$12,Fixtures!IJ$25))="","",IF(INDIRECT(CONCATENATE($FK$12,Fixtures!IJ$25))=Fixtures!$DN54,CONCATENATE(IJ$10,", "),""))</f>
        <v/>
      </c>
      <c r="IK54" s="632" t="str">
        <f ca="1">IF(INDIRECT(CONCATENATE($FK$12,Fixtures!IK$25))="","",IF(INDIRECT(CONCATENATE($FK$12,Fixtures!IK$25))=Fixtures!$DN54,CONCATENATE(IK$10,", "),""))</f>
        <v/>
      </c>
      <c r="IL54" s="632" t="str">
        <f ca="1">IF(INDIRECT(CONCATENATE($FK$12,Fixtures!IL$25))="","",IF(INDIRECT(CONCATENATE($FK$12,Fixtures!IL$25))=Fixtures!$DN54,CONCATENATE(IL$10,", "),""))</f>
        <v/>
      </c>
      <c r="IM54" s="632" t="str">
        <f ca="1">IF(INDIRECT(CONCATENATE($FK$12,Fixtures!IM$25))="","",IF(INDIRECT(CONCATENATE($FK$12,Fixtures!IM$25))=Fixtures!$DN54,CONCATENATE(IM$10,", "),""))</f>
        <v/>
      </c>
      <c r="IN54" s="632" t="str">
        <f ca="1">IF(INDIRECT(CONCATENATE($FK$12,Fixtures!IN$25))="","",IF(INDIRECT(CONCATENATE($FK$12,Fixtures!IN$25))=Fixtures!$DN54,CONCATENATE(IN$10,", "),""))</f>
        <v/>
      </c>
      <c r="IO54" s="632" t="str">
        <f ca="1">IF(INDIRECT(CONCATENATE($FK$12,Fixtures!IO$25))="","",IF(INDIRECT(CONCATENATE($FK$12,Fixtures!IO$25))=Fixtures!$DN54,CONCATENATE(IO$10,", "),""))</f>
        <v/>
      </c>
      <c r="IP54" s="632" t="str">
        <f ca="1">IF(INDIRECT(CONCATENATE($FK$12,Fixtures!IP$25))="","",IF(INDIRECT(CONCATENATE($FK$12,Fixtures!IP$25))=Fixtures!$DN54,CONCATENATE(IP$10,", "),""))</f>
        <v/>
      </c>
      <c r="IQ54" s="606" t="str">
        <f ca="1">IF(INDIRECT(CONCATENATE($FK$12,Fixtures!IQ$25))="","",IF(INDIRECT(CONCATENATE($FK$12,Fixtures!IQ$25))=Fixtures!$DN54,CONCATENATE(IQ$10,", "),""))</f>
        <v/>
      </c>
      <c r="IR54" s="607" t="str">
        <f ca="1">IF(INDIRECT(CONCATENATE($FK$12,Fixtures!IR$25))="","",IF(INDIRECT(CONCATENATE($FK$12,Fixtures!IR$25))=Fixtures!$DN54,CONCATENATE(IR$10,", "),""))</f>
        <v/>
      </c>
      <c r="IS54" s="632" t="str">
        <f ca="1">IF(INDIRECT(CONCATENATE($FK$12,Fixtures!IS$25))="","",IF(INDIRECT(CONCATENATE($FK$12,Fixtures!IS$25))=Fixtures!$DN54,CONCATENATE(IS$10,", "),""))</f>
        <v/>
      </c>
      <c r="IT54" s="632" t="str">
        <f ca="1">IF(INDIRECT(CONCATENATE($FK$12,Fixtures!IT$25))="","",IF(INDIRECT(CONCATENATE($FK$12,Fixtures!IT$25))=Fixtures!$DN54,CONCATENATE(IT$10,", "),""))</f>
        <v/>
      </c>
      <c r="IU54" s="632" t="str">
        <f ca="1">IF(INDIRECT(CONCATENATE($FK$12,Fixtures!IU$25))="","",IF(INDIRECT(CONCATENATE($FK$12,Fixtures!IU$25))=Fixtures!$DN54,CONCATENATE(IU$10,", "),""))</f>
        <v/>
      </c>
      <c r="IV54" s="632" t="str">
        <f ca="1">IF(INDIRECT(CONCATENATE($FK$12,Fixtures!IV$25))="","",IF(INDIRECT(CONCATENATE($FK$12,Fixtures!IV$25))=Fixtures!$DN54,CONCATENATE(IV$10,", "),""))</f>
        <v/>
      </c>
      <c r="IW54" s="632" t="str">
        <f ca="1">IF(INDIRECT(CONCATENATE($FK$12,Fixtures!IW$25))="","",IF(INDIRECT(CONCATENATE($FK$12,Fixtures!IW$25))=Fixtures!$DN54,CONCATENATE(IW$10,", "),""))</f>
        <v/>
      </c>
      <c r="IX54" s="632" t="str">
        <f ca="1">IF(INDIRECT(CONCATENATE($FK$12,Fixtures!IX$25))="","",IF(INDIRECT(CONCATENATE($FK$12,Fixtures!IX$25))=Fixtures!$DN54,CONCATENATE(IX$10,", "),""))</f>
        <v/>
      </c>
      <c r="IY54" s="632" t="str">
        <f ca="1">IF(INDIRECT(CONCATENATE($FK$12,Fixtures!IY$25))="","",IF(INDIRECT(CONCATENATE($FK$12,Fixtures!IY$25))=Fixtures!$DN54,CONCATENATE(IY$10,", "),""))</f>
        <v/>
      </c>
      <c r="IZ54" s="632" t="str">
        <f ca="1">IF(INDIRECT(CONCATENATE($FK$12,Fixtures!IZ$25))="","",IF(INDIRECT(CONCATENATE($FK$12,Fixtures!IZ$25))=Fixtures!$DN54,CONCATENATE(IZ$10,", "),""))</f>
        <v/>
      </c>
      <c r="JA54" s="632" t="str">
        <f ca="1">IF(INDIRECT(CONCATENATE($FK$12,Fixtures!JA$25))="","",IF(INDIRECT(CONCATENATE($FK$12,Fixtures!JA$25))=Fixtures!$DN54,CONCATENATE(JA$10,", "),""))</f>
        <v/>
      </c>
      <c r="JB54" s="632" t="str">
        <f ca="1">IF(INDIRECT(CONCATENATE($FK$12,Fixtures!JB$25))="","",IF(INDIRECT(CONCATENATE($FK$12,Fixtures!JB$25))=Fixtures!$DN54,CONCATENATE(JB$10,", "),""))</f>
        <v/>
      </c>
      <c r="JC54" s="632" t="str">
        <f ca="1">IF(INDIRECT(CONCATENATE($FK$12,Fixtures!JC$25))="","",IF(INDIRECT(CONCATENATE($FK$12,Fixtures!JC$25))=Fixtures!$DN54,CONCATENATE(JC$10,", "),""))</f>
        <v/>
      </c>
      <c r="JD54" s="632" t="str">
        <f ca="1">IF(INDIRECT(CONCATENATE($FK$12,Fixtures!JD$25))="","",IF(INDIRECT(CONCATENATE($FK$12,Fixtures!JD$25))=Fixtures!$DN54,CONCATENATE(JD$10,", "),""))</f>
        <v/>
      </c>
      <c r="JE54" s="632" t="str">
        <f ca="1">IF(INDIRECT(CONCATENATE($FK$12,Fixtures!JE$25))="","",IF(INDIRECT(CONCATENATE($FK$12,Fixtures!JE$25))=Fixtures!$DN54,CONCATENATE(JE$10,", "),""))</f>
        <v/>
      </c>
      <c r="JF54" s="606" t="str">
        <f ca="1">IF(INDIRECT(CONCATENATE($FK$12,Fixtures!JF$25))="","",IF(INDIRECT(CONCATENATE($FK$12,Fixtures!JF$25))=Fixtures!$DN54,CONCATENATE(JF$10,", "),""))</f>
        <v/>
      </c>
      <c r="JG54" s="607" t="str">
        <f ca="1">IF(INDIRECT(CONCATENATE($FK$12,Fixtures!JG$25))="","",IF(INDIRECT(CONCATENATE($FK$12,Fixtures!JG$25))=Fixtures!$DN54,CONCATENATE(JG$10,", "),""))</f>
        <v/>
      </c>
      <c r="JH54" s="632" t="str">
        <f ca="1">IF(INDIRECT(CONCATENATE($FK$12,Fixtures!JH$25))="","",IF(INDIRECT(CONCATENATE($FK$12,Fixtures!JH$25))=Fixtures!$DN54,CONCATENATE(JH$10,", "),""))</f>
        <v/>
      </c>
      <c r="JI54" s="632" t="str">
        <f ca="1">IF(INDIRECT(CONCATENATE($FK$12,Fixtures!JI$25))="","",IF(INDIRECT(CONCATENATE($FK$12,Fixtures!JI$25))=Fixtures!$DN54,CONCATENATE(JI$10,", "),""))</f>
        <v/>
      </c>
      <c r="JJ54" s="632" t="str">
        <f ca="1">IF(INDIRECT(CONCATENATE($FK$12,Fixtures!JJ$25))="","",IF(INDIRECT(CONCATENATE($FK$12,Fixtures!JJ$25))=Fixtures!$DN54,CONCATENATE(JJ$10,", "),""))</f>
        <v/>
      </c>
      <c r="JK54" s="632" t="str">
        <f ca="1">IF(INDIRECT(CONCATENATE($FK$12,Fixtures!JK$25))="","",IF(INDIRECT(CONCATENATE($FK$12,Fixtures!JK$25))=Fixtures!$DN54,CONCATENATE(JK$10,", "),""))</f>
        <v/>
      </c>
      <c r="JL54" s="632" t="str">
        <f ca="1">IF(INDIRECT(CONCATENATE($FK$12,Fixtures!JL$25))="","",IF(INDIRECT(CONCATENATE($FK$12,Fixtures!JL$25))=Fixtures!$DN54,CONCATENATE(JL$10,", "),""))</f>
        <v/>
      </c>
      <c r="JM54" s="632" t="str">
        <f ca="1">IF(INDIRECT(CONCATENATE($FK$12,Fixtures!JM$25))="","",IF(INDIRECT(CONCATENATE($FK$12,Fixtures!JM$25))=Fixtures!$DN54,CONCATENATE(JM$10,", "),""))</f>
        <v/>
      </c>
      <c r="JN54" s="632" t="str">
        <f ca="1">IF(INDIRECT(CONCATENATE($FK$12,Fixtures!JN$25))="","",IF(INDIRECT(CONCATENATE($FK$12,Fixtures!JN$25))=Fixtures!$DN54,CONCATENATE(JN$10,", "),""))</f>
        <v/>
      </c>
      <c r="JO54" s="632" t="str">
        <f ca="1">IF(INDIRECT(CONCATENATE($FK$12,Fixtures!JO$25))="","",IF(INDIRECT(CONCATENATE($FK$12,Fixtures!JO$25))=Fixtures!$DN54,CONCATENATE(JO$10,", "),""))</f>
        <v/>
      </c>
      <c r="JP54" s="632" t="str">
        <f ca="1">IF(INDIRECT(CONCATENATE($FK$12,Fixtures!JP$25))="","",IF(INDIRECT(CONCATENATE($FK$12,Fixtures!JP$25))=Fixtures!$DN54,CONCATENATE(JP$10,", "),""))</f>
        <v/>
      </c>
      <c r="JQ54" s="632" t="str">
        <f ca="1">IF(INDIRECT(CONCATENATE($FK$12,Fixtures!JQ$25))="","",IF(INDIRECT(CONCATENATE($FK$12,Fixtures!JQ$25))=Fixtures!$DN54,CONCATENATE(JQ$10,", "),""))</f>
        <v/>
      </c>
      <c r="JR54" s="632" t="str">
        <f ca="1">IF(INDIRECT(CONCATENATE($FK$12,Fixtures!JR$25))="","",IF(INDIRECT(CONCATENATE($FK$12,Fixtures!JR$25))=Fixtures!$DN54,CONCATENATE(JR$10,", "),""))</f>
        <v/>
      </c>
      <c r="JS54" s="632" t="str">
        <f ca="1">IF(INDIRECT(CONCATENATE($FK$12,Fixtures!JS$25))="","",IF(INDIRECT(CONCATENATE($FK$12,Fixtures!JS$25))=Fixtures!$DN54,CONCATENATE(JS$10,", "),""))</f>
        <v/>
      </c>
      <c r="JT54" s="632" t="str">
        <f ca="1">IF(INDIRECT(CONCATENATE($FK$12,Fixtures!JT$25))="","",IF(INDIRECT(CONCATENATE($FK$12,Fixtures!JT$25))=Fixtures!$DN54,CONCATENATE(JT$10,", "),""))</f>
        <v/>
      </c>
      <c r="JU54" s="606" t="str">
        <f ca="1">IF(INDIRECT(CONCATENATE($FK$12,Fixtures!JU$25))="","",IF(INDIRECT(CONCATENATE($FK$12,Fixtures!JU$25))=Fixtures!$DN54,CONCATENATE(JU$10,", "),""))</f>
        <v/>
      </c>
      <c r="JV54" s="607" t="str">
        <f ca="1">IF(INDIRECT(CONCATENATE($FK$12,Fixtures!JV$25))="","",IF(INDIRECT(CONCATENATE($FK$12,Fixtures!JV$25))=Fixtures!$DN54,CONCATENATE(JV$10,", "),""))</f>
        <v/>
      </c>
      <c r="JW54" s="632" t="str">
        <f ca="1">IF(INDIRECT(CONCATENATE($FK$12,Fixtures!JW$25))="","",IF(INDIRECT(CONCATENATE($FK$12,Fixtures!JW$25))=Fixtures!$DN54,CONCATENATE(JW$10,", "),""))</f>
        <v/>
      </c>
      <c r="JX54" s="632" t="str">
        <f ca="1">IF(INDIRECT(CONCATENATE($FK$12,Fixtures!JX$25))="","",IF(INDIRECT(CONCATENATE($FK$12,Fixtures!JX$25))=Fixtures!$DN54,CONCATENATE(JX$10,", "),""))</f>
        <v/>
      </c>
      <c r="JY54" s="632" t="str">
        <f ca="1">IF(INDIRECT(CONCATENATE($FK$12,Fixtures!JY$25))="","",IF(INDIRECT(CONCATENATE($FK$12,Fixtures!JY$25))=Fixtures!$DN54,CONCATENATE(JY$10,", "),""))</f>
        <v/>
      </c>
      <c r="JZ54" s="632" t="str">
        <f ca="1">IF(INDIRECT(CONCATENATE($FK$12,Fixtures!JZ$25))="","",IF(INDIRECT(CONCATENATE($FK$12,Fixtures!JZ$25))=Fixtures!$DN54,CONCATENATE(JZ$10,", "),""))</f>
        <v/>
      </c>
      <c r="KA54" s="632" t="str">
        <f ca="1">IF(INDIRECT(CONCATENATE($FK$12,Fixtures!KA$25))="","",IF(INDIRECT(CONCATENATE($FK$12,Fixtures!KA$25))=Fixtures!$DN54,CONCATENATE(KA$10,", "),""))</f>
        <v/>
      </c>
      <c r="KB54" s="632" t="str">
        <f ca="1">IF(INDIRECT(CONCATENATE($FK$12,Fixtures!KB$25))="","",IF(INDIRECT(CONCATENATE($FK$12,Fixtures!KB$25))=Fixtures!$DN54,CONCATENATE(KB$10,", "),""))</f>
        <v/>
      </c>
      <c r="KC54" s="632" t="str">
        <f ca="1">IF(INDIRECT(CONCATENATE($FK$12,Fixtures!KC$25))="","",IF(INDIRECT(CONCATENATE($FK$12,Fixtures!KC$25))=Fixtures!$DN54,CONCATENATE(KC$10,", "),""))</f>
        <v/>
      </c>
      <c r="KD54" s="632" t="str">
        <f ca="1">IF(INDIRECT(CONCATENATE($FK$12,Fixtures!KD$25))="","",IF(INDIRECT(CONCATENATE($FK$12,Fixtures!KD$25))=Fixtures!$DN54,CONCATENATE(KD$10,", "),""))</f>
        <v/>
      </c>
      <c r="KE54" s="632" t="str">
        <f ca="1">IF(INDIRECT(CONCATENATE($FK$12,Fixtures!KE$25))="","",IF(INDIRECT(CONCATENATE($FK$12,Fixtures!KE$25))=Fixtures!$DN54,CONCATENATE(KE$10,", "),""))</f>
        <v/>
      </c>
      <c r="KF54" s="632" t="str">
        <f ca="1">IF(INDIRECT(CONCATENATE($FK$12,Fixtures!KF$25))="","",IF(INDIRECT(CONCATENATE($FK$12,Fixtures!KF$25))=Fixtures!$DN54,CONCATENATE(KF$10,", "),""))</f>
        <v/>
      </c>
      <c r="KG54" s="632" t="str">
        <f ca="1">IF(INDIRECT(CONCATENATE($FK$12,Fixtures!KG$25))="","",IF(INDIRECT(CONCATENATE($FK$12,Fixtures!KG$25))=Fixtures!$DN54,CONCATENATE(KG$10,", "),""))</f>
        <v/>
      </c>
      <c r="KH54" s="632" t="str">
        <f ca="1">IF(INDIRECT(CONCATENATE($FK$12,Fixtures!KH$25))="","",IF(INDIRECT(CONCATENATE($FK$12,Fixtures!KH$25))=Fixtures!$DN54,CONCATENATE(KH$10,", "),""))</f>
        <v/>
      </c>
      <c r="KI54" s="632" t="str">
        <f ca="1">IF(INDIRECT(CONCATENATE($FK$12,Fixtures!KI$25))="","",IF(INDIRECT(CONCATENATE($FK$12,Fixtures!KI$25))=Fixtures!$DN54,CONCATENATE(KI$10,", "),""))</f>
        <v/>
      </c>
      <c r="KJ54" s="606" t="str">
        <f ca="1">IF(INDIRECT(CONCATENATE($FK$12,Fixtures!KJ$25))="","",IF(INDIRECT(CONCATENATE($FK$12,Fixtures!KJ$25))=Fixtures!$DN54,CONCATENATE(KJ$10,", "),""))</f>
        <v/>
      </c>
      <c r="KK54" s="607" t="str">
        <f ca="1">IF(INDIRECT(CONCATENATE($FK$12,Fixtures!KK$25))="","",IF(INDIRECT(CONCATENATE($FK$12,Fixtures!KK$25))=Fixtures!$DN54,CONCATENATE(KK$10,", "),""))</f>
        <v/>
      </c>
      <c r="KL54" s="632" t="str">
        <f ca="1">IF(INDIRECT(CONCATENATE($FK$12,Fixtures!KL$25))="","",IF(INDIRECT(CONCATENATE($FK$12,Fixtures!KL$25))=Fixtures!$DN54,CONCATENATE(KL$10,", "),""))</f>
        <v/>
      </c>
      <c r="KM54" s="632" t="str">
        <f ca="1">IF(INDIRECT(CONCATENATE($FK$12,Fixtures!KM$25))="","",IF(INDIRECT(CONCATENATE($FK$12,Fixtures!KM$25))=Fixtures!$DN54,CONCATENATE(KM$10,", "),""))</f>
        <v/>
      </c>
      <c r="KN54" s="632" t="str">
        <f ca="1">IF(INDIRECT(CONCATENATE($FK$12,Fixtures!KN$25))="","",IF(INDIRECT(CONCATENATE($FK$12,Fixtures!KN$25))=Fixtures!$DN54,CONCATENATE(KN$10,", "),""))</f>
        <v/>
      </c>
      <c r="KO54" s="632" t="str">
        <f ca="1">IF(INDIRECT(CONCATENATE($FK$12,Fixtures!KO$25))="","",IF(INDIRECT(CONCATENATE($FK$12,Fixtures!KO$25))=Fixtures!$DN54,CONCATENATE(KO$10,", "),""))</f>
        <v/>
      </c>
      <c r="KP54" s="632" t="str">
        <f ca="1">IF(INDIRECT(CONCATENATE($FK$12,Fixtures!KP$25))="","",IF(INDIRECT(CONCATENATE($FK$12,Fixtures!KP$25))=Fixtures!$DN54,CONCATENATE(KP$10,", "),""))</f>
        <v/>
      </c>
      <c r="KQ54" s="632" t="str">
        <f ca="1">IF(INDIRECT(CONCATENATE($FK$12,Fixtures!KQ$25))="","",IF(INDIRECT(CONCATENATE($FK$12,Fixtures!KQ$25))=Fixtures!$DN54,CONCATENATE(KQ$10,", "),""))</f>
        <v/>
      </c>
      <c r="KR54" s="632" t="str">
        <f ca="1">IF(INDIRECT(CONCATENATE($FK$12,Fixtures!KR$25))="","",IF(INDIRECT(CONCATENATE($FK$12,Fixtures!KR$25))=Fixtures!$DN54,CONCATENATE(KR$10,", "),""))</f>
        <v/>
      </c>
      <c r="KS54" s="632" t="str">
        <f ca="1">IF(INDIRECT(CONCATENATE($FK$12,Fixtures!KS$25))="","",IF(INDIRECT(CONCATENATE($FK$12,Fixtures!KS$25))=Fixtures!$DN54,CONCATENATE(KS$10,", "),""))</f>
        <v/>
      </c>
      <c r="KT54" s="632" t="str">
        <f ca="1">IF(INDIRECT(CONCATENATE($FK$12,Fixtures!KT$25))="","",IF(INDIRECT(CONCATENATE($FK$12,Fixtures!KT$25))=Fixtures!$DN54,CONCATENATE(KT$10,", "),""))</f>
        <v/>
      </c>
      <c r="KU54" s="632" t="str">
        <f ca="1">IF(INDIRECT(CONCATENATE($FK$12,Fixtures!KU$25))="","",IF(INDIRECT(CONCATENATE($FK$12,Fixtures!KU$25))=Fixtures!$DN54,CONCATENATE(KU$10,", "),""))</f>
        <v/>
      </c>
      <c r="KV54" s="632" t="str">
        <f ca="1">IF(INDIRECT(CONCATENATE($FK$12,Fixtures!KV$25))="","",IF(INDIRECT(CONCATENATE($FK$12,Fixtures!KV$25))=Fixtures!$DN54,CONCATENATE(KV$10,", "),""))</f>
        <v/>
      </c>
      <c r="KW54" s="632" t="str">
        <f ca="1">IF(INDIRECT(CONCATENATE($FK$12,Fixtures!KW$25))="","",IF(INDIRECT(CONCATENATE($FK$12,Fixtures!KW$25))=Fixtures!$DN54,CONCATENATE(KW$10,", "),""))</f>
        <v/>
      </c>
      <c r="KX54" s="632" t="str">
        <f ca="1">IF(INDIRECT(CONCATENATE($FK$12,Fixtures!KX$25))="","",IF(INDIRECT(CONCATENATE($FK$12,Fixtures!KX$25))=Fixtures!$DN54,CONCATENATE(KX$10,", "),""))</f>
        <v/>
      </c>
      <c r="KY54" s="632"/>
      <c r="KZ54" s="46"/>
      <c r="LA54" s="46" t="str">
        <f t="shared" ca="1" si="7"/>
        <v/>
      </c>
      <c r="LB54" s="46"/>
      <c r="LC54" s="1010"/>
      <c r="LD54" s="1009" t="str">
        <f t="shared" si="20"/>
        <v/>
      </c>
    </row>
    <row r="55" spans="1:316" ht="28.2" customHeight="1" thickTop="1" thickBot="1">
      <c r="A55" s="426" t="str">
        <f t="shared" si="13"/>
        <v/>
      </c>
      <c r="C55" s="1640" t="str">
        <f t="shared" si="14"/>
        <v/>
      </c>
      <c r="D55" s="1641"/>
      <c r="E55" s="1568" t="str">
        <f t="shared" si="15"/>
        <v/>
      </c>
      <c r="F55" s="1569"/>
      <c r="G55" s="1569"/>
      <c r="H55" s="1569"/>
      <c r="I55" s="1569"/>
      <c r="J55" s="1569"/>
      <c r="K55" s="1569"/>
      <c r="L55" s="1569"/>
      <c r="M55" s="1642"/>
      <c r="N55" s="203" t="str">
        <f t="shared" si="16"/>
        <v/>
      </c>
      <c r="O55" s="12"/>
      <c r="P55" s="1638" t="str">
        <f t="shared" si="25"/>
        <v/>
      </c>
      <c r="Q55" s="1639"/>
      <c r="R55" s="1568" t="str">
        <f t="shared" si="30"/>
        <v/>
      </c>
      <c r="S55" s="1569"/>
      <c r="T55" s="1569"/>
      <c r="U55" s="1569"/>
      <c r="V55" s="1569"/>
      <c r="W55" s="1569"/>
      <c r="X55" s="1569"/>
      <c r="Y55" s="203" t="str">
        <f t="shared" si="26"/>
        <v/>
      </c>
      <c r="Z55" s="203" t="str">
        <f t="shared" si="27"/>
        <v/>
      </c>
      <c r="AA55" s="394" t="str">
        <f t="shared" si="28"/>
        <v/>
      </c>
      <c r="AB55" s="489"/>
      <c r="AC55" s="1564" t="str">
        <f t="shared" si="18"/>
        <v/>
      </c>
      <c r="AD55" s="1565"/>
      <c r="AE55" s="1565"/>
      <c r="AF55" s="1565"/>
      <c r="AG55" s="1565"/>
      <c r="AH55" s="1565"/>
      <c r="AK55">
        <f>SUMIFS(Installations!CV$46:CV$803,Installations!CW$46:CW$803,E55,Installations!IC$46:IC$803,TRUE)</f>
        <v>0</v>
      </c>
      <c r="AL55">
        <f>SUMIFS(Installations!CV$46:CV$803,Installations!CW$46:CW$803,R55,Installations!IC$46:IC$803,TRUE)</f>
        <v>0</v>
      </c>
      <c r="BL55" s="9"/>
      <c r="BM55" s="622" t="str">
        <f t="shared" si="19"/>
        <v/>
      </c>
      <c r="BN55" s="52"/>
      <c r="BO55" s="52"/>
      <c r="BP55" s="52"/>
      <c r="BQ55" s="52"/>
      <c r="BR55" s="52"/>
      <c r="BS55" s="52"/>
      <c r="BT55" s="52"/>
      <c r="BU55" s="373"/>
      <c r="BV55" s="219" t="str">
        <f>IF(CN55&lt;&gt;"Yes","",IFERROR(VLOOKUP(CU55,Existing!A$4:F$367,2,FALSE),""))</f>
        <v/>
      </c>
      <c r="BW55" s="9">
        <v>29</v>
      </c>
      <c r="BX55" s="1625"/>
      <c r="BY55" s="1626"/>
      <c r="BZ55" s="1626"/>
      <c r="CA55" s="1627"/>
      <c r="CB55" s="1622"/>
      <c r="CC55" s="1623"/>
      <c r="CD55" s="1623"/>
      <c r="CE55" s="1624"/>
      <c r="CF55" s="1621"/>
      <c r="CG55" s="1621"/>
      <c r="CH55" s="1621"/>
      <c r="CI55" s="1621"/>
      <c r="CJ55" s="1621"/>
      <c r="CK55" s="1621"/>
      <c r="CL55" s="1621"/>
      <c r="CM55" s="1621"/>
      <c r="CN55" s="1553" t="str">
        <f t="shared" si="31"/>
        <v/>
      </c>
      <c r="CO55" s="1554"/>
      <c r="CP55" s="229" t="str">
        <f>IFERROR(IF(CB55="Existing TLED",CR55*CW55*CY55,VLOOKUP(CU55,Existing!A$3:F$356,6,FALSE)),"")</f>
        <v/>
      </c>
      <c r="CQ55" s="9"/>
      <c r="CR55" s="1660"/>
      <c r="CS55" s="1661"/>
      <c r="CT55" s="9"/>
      <c r="CU55" s="425" t="str">
        <f t="shared" si="21"/>
        <v/>
      </c>
      <c r="CV55" s="426" t="b">
        <f t="shared" si="22"/>
        <v>0</v>
      </c>
      <c r="CW55" s="426" t="str">
        <f t="shared" si="23"/>
        <v/>
      </c>
      <c r="CX55" s="426">
        <f>IFERROR(VLOOKUP(CF55,Lookup!T$100:V$102,3,FALSE),0)</f>
        <v>0</v>
      </c>
      <c r="CY55" s="426">
        <f t="shared" si="8"/>
        <v>1.1100000000000001</v>
      </c>
      <c r="CZ55" s="626" t="b">
        <f t="shared" si="1"/>
        <v>0</v>
      </c>
      <c r="DA55" s="626" t="b">
        <f>IF(CF55&lt;&gt;"",IF(ISERROR(MATCH(CONCATENATE(CB55," - ",CF55),Existing!G$4:G$331,0))=TRUE,FALSE,TRUE),TRUE)</f>
        <v>1</v>
      </c>
      <c r="DB55" s="626" t="b">
        <f t="shared" si="2"/>
        <v>1</v>
      </c>
      <c r="DL55" s="9"/>
      <c r="DM55" s="627" t="s">
        <v>215</v>
      </c>
      <c r="DN55" s="375" t="str">
        <f t="shared" si="3"/>
        <v/>
      </c>
      <c r="DO55" s="52"/>
      <c r="DP55" s="52"/>
      <c r="DQ55" s="52"/>
      <c r="DR55" s="52"/>
      <c r="DS55" s="52"/>
      <c r="DT55" s="226"/>
      <c r="DU55" s="376"/>
      <c r="DV55" s="227" t="str">
        <f t="shared" si="4"/>
        <v/>
      </c>
      <c r="DW55" s="224">
        <v>29</v>
      </c>
      <c r="DX55" s="1572"/>
      <c r="DY55" s="1573"/>
      <c r="DZ55" s="1573"/>
      <c r="EA55" s="1574"/>
      <c r="EB55" s="1618"/>
      <c r="EC55" s="1619"/>
      <c r="ED55" s="1619"/>
      <c r="EE55" s="1620"/>
      <c r="EF55" s="1578"/>
      <c r="EG55" s="1579"/>
      <c r="EH55" s="1618"/>
      <c r="EI55" s="1619"/>
      <c r="EJ55" s="1619"/>
      <c r="EK55" s="1620"/>
      <c r="EL55" s="1575"/>
      <c r="EM55" s="1576"/>
      <c r="EN55" s="1576"/>
      <c r="EO55" s="1577"/>
      <c r="EP55" s="1578"/>
      <c r="EQ55" s="1579"/>
      <c r="ER55" s="1555"/>
      <c r="ES55" s="1556"/>
      <c r="ET55" s="1553" t="str">
        <f t="shared" si="9"/>
        <v/>
      </c>
      <c r="EU55" s="1554"/>
      <c r="EV55" s="1553" t="str">
        <f t="shared" si="29"/>
        <v/>
      </c>
      <c r="EW55" s="1554"/>
      <c r="EX55" s="393"/>
      <c r="EY55" s="225" t="str">
        <f t="shared" si="6"/>
        <v/>
      </c>
      <c r="EZ55" s="225" t="str">
        <f>IFERROR(VLOOKUP(EB55,Lookup!AT$3:AU$13,2,FALSE),"")</f>
        <v/>
      </c>
      <c r="FA55" s="426" t="b">
        <f>IFERROR(IF(VLOOKUP(EB55,Lookup!AT$6:AU$8,2,FALSE)&gt;3,TRUE,FALSE),FALSE)</f>
        <v>0</v>
      </c>
      <c r="FB55" s="426" t="str">
        <f t="shared" si="10"/>
        <v/>
      </c>
      <c r="FC55" t="str">
        <f t="shared" ca="1" si="11"/>
        <v/>
      </c>
      <c r="FG55" t="str">
        <f t="shared" ca="1" si="12"/>
        <v/>
      </c>
      <c r="FI55" s="204" t="str">
        <f t="shared" ca="1" si="24"/>
        <v/>
      </c>
      <c r="FJ55" s="204"/>
      <c r="FK55" s="631" t="str">
        <f ca="1">IF(INDIRECT(CONCATENATE($FK$12,Fixtures!FK$25))="","",IF(INDIRECT(CONCATENATE($FK$12,Fixtures!FK$25))=Fixtures!$DN55,CONCATENATE(FK$10,", "),""))</f>
        <v/>
      </c>
      <c r="FL55" s="631" t="str">
        <f ca="1">IF(INDIRECT(CONCATENATE($FK$12,Fixtures!FL$25))="","",IF(INDIRECT(CONCATENATE($FK$12,Fixtures!FL$25))=Fixtures!$DN55,CONCATENATE(FL$10,", "),""))</f>
        <v/>
      </c>
      <c r="FM55" s="631" t="str">
        <f ca="1">IF(INDIRECT(CONCATENATE($FK$12,Fixtures!FM$25))="","",IF(INDIRECT(CONCATENATE($FK$12,Fixtures!FM$25))=Fixtures!$DN55,CONCATENATE(FM$10,", "),""))</f>
        <v/>
      </c>
      <c r="FN55" s="631" t="str">
        <f ca="1">IF(INDIRECT(CONCATENATE($FK$12,Fixtures!FN$25))="","",IF(INDIRECT(CONCATENATE($FK$12,Fixtures!FN$25))=Fixtures!$DN55,CONCATENATE(FN$10,", "),""))</f>
        <v/>
      </c>
      <c r="FO55" s="631" t="str">
        <f ca="1">IF(INDIRECT(CONCATENATE($FK$12,Fixtures!FO$25))="","",IF(INDIRECT(CONCATENATE($FK$12,Fixtures!FO$25))=Fixtures!$DN55,CONCATENATE(FO$10,", "),""))</f>
        <v/>
      </c>
      <c r="FP55" s="631" t="str">
        <f ca="1">IF(INDIRECT(CONCATENATE($FK$12,Fixtures!FP$25))="","",IF(INDIRECT(CONCATENATE($FK$12,Fixtures!FP$25))=Fixtures!$DN55,CONCATENATE(FP$10,", "),""))</f>
        <v/>
      </c>
      <c r="FQ55" s="631" t="str">
        <f ca="1">IF(INDIRECT(CONCATENATE($FK$12,Fixtures!FQ$25))="","",IF(INDIRECT(CONCATENATE($FK$12,Fixtures!FQ$25))=Fixtures!$DN55,CONCATENATE(FQ$10,", "),""))</f>
        <v/>
      </c>
      <c r="FR55" s="631" t="str">
        <f ca="1">IF(INDIRECT(CONCATENATE($FK$12,Fixtures!FR$25))="","",IF(INDIRECT(CONCATENATE($FK$12,Fixtures!FR$25))=Fixtures!$DN55,CONCATENATE(FR$10,", "),""))</f>
        <v/>
      </c>
      <c r="FS55" s="631" t="str">
        <f ca="1">IF(INDIRECT(CONCATENATE($FK$12,Fixtures!FS$25))="","",IF(INDIRECT(CONCATENATE($FK$12,Fixtures!FS$25))=Fixtures!$DN55,CONCATENATE(FS$10,", "),""))</f>
        <v/>
      </c>
      <c r="FT55" s="604" t="str">
        <f ca="1">IF(INDIRECT(CONCATENATE($FK$12,Fixtures!FT$25))="","",IF(INDIRECT(CONCATENATE($FK$12,Fixtures!FT$25))=Fixtures!$DN55,CONCATENATE(FT$10,", "),""))</f>
        <v/>
      </c>
      <c r="FU55" s="605" t="str">
        <f ca="1">IF(INDIRECT(CONCATENATE($FK$12,Fixtures!FU$25))="","",IF(INDIRECT(CONCATENATE($FK$12,Fixtures!FU$25))=Fixtures!$DN55,CONCATENATE(FU$10,", "),""))</f>
        <v/>
      </c>
      <c r="FV55" s="631" t="str">
        <f ca="1">IF(INDIRECT(CONCATENATE($FK$12,Fixtures!FV$25))="","",IF(INDIRECT(CONCATENATE($FK$12,Fixtures!FV$25))=Fixtures!$DN55,CONCATENATE(FV$10,", "),""))</f>
        <v/>
      </c>
      <c r="FW55" s="632" t="str">
        <f ca="1">IF(INDIRECT(CONCATENATE($FK$12,Fixtures!FW$25))="","",IF(INDIRECT(CONCATENATE($FK$12,Fixtures!FW$25))=Fixtures!$DN55,CONCATENATE(FW$10,", "),""))</f>
        <v/>
      </c>
      <c r="FX55" s="632" t="str">
        <f ca="1">IF(INDIRECT(CONCATENATE($FK$12,Fixtures!FX$25))="","",IF(INDIRECT(CONCATENATE($FK$12,Fixtures!FX$25))=Fixtures!$DN55,CONCATENATE(FX$10,", "),""))</f>
        <v/>
      </c>
      <c r="FY55" s="632" t="str">
        <f ca="1">IF(INDIRECT(CONCATENATE($FK$12,Fixtures!FY$25))="","",IF(INDIRECT(CONCATENATE($FK$12,Fixtures!FY$25))=Fixtures!$DN55,CONCATENATE(FY$10,", "),""))</f>
        <v/>
      </c>
      <c r="FZ55" s="632" t="str">
        <f ca="1">IF(INDIRECT(CONCATENATE($FK$12,Fixtures!FZ$25))="","",IF(INDIRECT(CONCATENATE($FK$12,Fixtures!FZ$25))=Fixtures!$DN55,CONCATENATE(FZ$10,", "),""))</f>
        <v/>
      </c>
      <c r="GA55" s="632" t="str">
        <f ca="1">IF(INDIRECT(CONCATENATE($FK$12,Fixtures!GA$25))="","",IF(INDIRECT(CONCATENATE($FK$12,Fixtures!GA$25))=Fixtures!$DN55,CONCATENATE(GA$10,", "),""))</f>
        <v/>
      </c>
      <c r="GB55" s="632" t="str">
        <f ca="1">IF(INDIRECT(CONCATENATE($FK$12,Fixtures!GB$25))="","",IF(INDIRECT(CONCATENATE($FK$12,Fixtures!GB$25))=Fixtures!$DN55,CONCATENATE(GB$10,", "),""))</f>
        <v/>
      </c>
      <c r="GC55" s="632" t="str">
        <f ca="1">IF(INDIRECT(CONCATENATE($FK$12,Fixtures!GC$25))="","",IF(INDIRECT(CONCATENATE($FK$12,Fixtures!GC$25))=Fixtures!$DN55,CONCATENATE(GC$10,", "),""))</f>
        <v/>
      </c>
      <c r="GD55" s="632" t="str">
        <f ca="1">IF(INDIRECT(CONCATENATE($FK$12,Fixtures!GD$25))="","",IF(INDIRECT(CONCATENATE($FK$12,Fixtures!GD$25))=Fixtures!$DN55,CONCATENATE(GD$10,", "),""))</f>
        <v/>
      </c>
      <c r="GE55" s="632" t="str">
        <f ca="1">IF(INDIRECT(CONCATENATE($FK$12,Fixtures!GE$25))="","",IF(INDIRECT(CONCATENATE($FK$12,Fixtures!GE$25))=Fixtures!$DN55,CONCATENATE(GE$10,", "),""))</f>
        <v/>
      </c>
      <c r="GF55" s="632" t="str">
        <f ca="1">IF(INDIRECT(CONCATENATE($FK$12,Fixtures!GF$25))="","",IF(INDIRECT(CONCATENATE($FK$12,Fixtures!GF$25))=Fixtures!$DN55,CONCATENATE(GF$10,", "),""))</f>
        <v/>
      </c>
      <c r="GG55" s="632" t="str">
        <f ca="1">IF(INDIRECT(CONCATENATE($FK$12,Fixtures!GG$25))="","",IF(INDIRECT(CONCATENATE($FK$12,Fixtures!GG$25))=Fixtures!$DN55,CONCATENATE(GG$10,", "),""))</f>
        <v/>
      </c>
      <c r="GH55" s="632" t="str">
        <f ca="1">IF(INDIRECT(CONCATENATE($FK$12,Fixtures!GH$25))="","",IF(INDIRECT(CONCATENATE($FK$12,Fixtures!GH$25))=Fixtures!$DN55,CONCATENATE(GH$10,", "),""))</f>
        <v/>
      </c>
      <c r="GI55" s="606" t="str">
        <f ca="1">IF(INDIRECT(CONCATENATE($FK$12,Fixtures!GI$25))="","",IF(INDIRECT(CONCATENATE($FK$12,Fixtures!GI$25))=Fixtures!$DN55,CONCATENATE(GI$10,", "),""))</f>
        <v/>
      </c>
      <c r="GJ55" s="607" t="str">
        <f ca="1">IF(INDIRECT(CONCATENATE($FK$12,Fixtures!GJ$25))="","",IF(INDIRECT(CONCATENATE($FK$12,Fixtures!GJ$25))=Fixtures!$DN55,CONCATENATE(GJ$10,", "),""))</f>
        <v/>
      </c>
      <c r="GK55" s="632" t="str">
        <f ca="1">IF(INDIRECT(CONCATENATE($FK$12,Fixtures!GK$25))="","",IF(INDIRECT(CONCATENATE($FK$12,Fixtures!GK$25))=Fixtures!$DN55,CONCATENATE(GK$10,", "),""))</f>
        <v/>
      </c>
      <c r="GL55" s="632" t="str">
        <f ca="1">IF(INDIRECT(CONCATENATE($FK$12,Fixtures!GL$25))="","",IF(INDIRECT(CONCATENATE($FK$12,Fixtures!GL$25))=Fixtures!$DN55,CONCATENATE(GL$10,", "),""))</f>
        <v/>
      </c>
      <c r="GM55" s="632" t="str">
        <f ca="1">IF(INDIRECT(CONCATENATE($FK$12,Fixtures!GM$25))="","",IF(INDIRECT(CONCATENATE($FK$12,Fixtures!GM$25))=Fixtures!$DN55,CONCATENATE(GM$10,", "),""))</f>
        <v/>
      </c>
      <c r="GN55" s="632" t="str">
        <f ca="1">IF(INDIRECT(CONCATENATE($FK$12,Fixtures!GN$25))="","",IF(INDIRECT(CONCATENATE($FK$12,Fixtures!GN$25))=Fixtures!$DN55,CONCATENATE(GN$10,", "),""))</f>
        <v/>
      </c>
      <c r="GO55" s="632" t="str">
        <f ca="1">IF(INDIRECT(CONCATENATE($FK$12,Fixtures!GO$25))="","",IF(INDIRECT(CONCATENATE($FK$12,Fixtures!GO$25))=Fixtures!$DN55,CONCATENATE(GO$10,", "),""))</f>
        <v/>
      </c>
      <c r="GP55" s="632" t="str">
        <f ca="1">IF(INDIRECT(CONCATENATE($FK$12,Fixtures!GP$25))="","",IF(INDIRECT(CONCATENATE($FK$12,Fixtures!GP$25))=Fixtures!$DN55,CONCATENATE(GP$10,", "),""))</f>
        <v/>
      </c>
      <c r="GQ55" s="632" t="str">
        <f ca="1">IF(INDIRECT(CONCATENATE($FK$12,Fixtures!GQ$25))="","",IF(INDIRECT(CONCATENATE($FK$12,Fixtures!GQ$25))=Fixtures!$DN55,CONCATENATE(GQ$10,", "),""))</f>
        <v/>
      </c>
      <c r="GR55" s="632" t="str">
        <f ca="1">IF(INDIRECT(CONCATENATE($FK$12,Fixtures!GR$25))="","",IF(INDIRECT(CONCATENATE($FK$12,Fixtures!GR$25))=Fixtures!$DN55,CONCATENATE(GR$10,", "),""))</f>
        <v/>
      </c>
      <c r="GS55" s="632" t="str">
        <f ca="1">IF(INDIRECT(CONCATENATE($FK$12,Fixtures!GS$25))="","",IF(INDIRECT(CONCATENATE($FK$12,Fixtures!GS$25))=Fixtures!$DN55,CONCATENATE(GS$10,", "),""))</f>
        <v/>
      </c>
      <c r="GT55" s="632" t="str">
        <f ca="1">IF(INDIRECT(CONCATENATE($FK$12,Fixtures!GT$25))="","",IF(INDIRECT(CONCATENATE($FK$12,Fixtures!GT$25))=Fixtures!$DN55,CONCATENATE(GT$10,", "),""))</f>
        <v/>
      </c>
      <c r="GU55" s="632" t="str">
        <f ca="1">IF(INDIRECT(CONCATENATE($FK$12,Fixtures!GU$25))="","",IF(INDIRECT(CONCATENATE($FK$12,Fixtures!GU$25))=Fixtures!$DN55,CONCATENATE(GU$10,", "),""))</f>
        <v/>
      </c>
      <c r="GV55" s="632" t="str">
        <f ca="1">IF(INDIRECT(CONCATENATE($FK$12,Fixtures!GV$25))="","",IF(INDIRECT(CONCATENATE($FK$12,Fixtures!GV$25))=Fixtures!$DN55,CONCATENATE(GV$10,", "),""))</f>
        <v/>
      </c>
      <c r="GW55" s="632" t="str">
        <f ca="1">IF(INDIRECT(CONCATENATE($FK$12,Fixtures!GW$25))="","",IF(INDIRECT(CONCATENATE($FK$12,Fixtures!GW$25))=Fixtures!$DN55,CONCATENATE(GW$10,", "),""))</f>
        <v/>
      </c>
      <c r="GX55" s="606" t="str">
        <f ca="1">IF(INDIRECT(CONCATENATE($FK$12,Fixtures!GX$25))="","",IF(INDIRECT(CONCATENATE($FK$12,Fixtures!GX$25))=Fixtures!$DN55,CONCATENATE(GX$10,", "),""))</f>
        <v/>
      </c>
      <c r="GY55" s="607" t="str">
        <f ca="1">IF(INDIRECT(CONCATENATE($FK$12,Fixtures!GY$25))="","",IF(INDIRECT(CONCATENATE($FK$12,Fixtures!GY$25))=Fixtures!$DN55,CONCATENATE(GY$10,", "),""))</f>
        <v/>
      </c>
      <c r="GZ55" s="632" t="str">
        <f ca="1">IF(INDIRECT(CONCATENATE($FK$12,Fixtures!GZ$25))="","",IF(INDIRECT(CONCATENATE($FK$12,Fixtures!GZ$25))=Fixtures!$DN55,CONCATENATE(GZ$10,", "),""))</f>
        <v/>
      </c>
      <c r="HA55" s="632" t="str">
        <f ca="1">IF(INDIRECT(CONCATENATE($FK$12,Fixtures!HA$25))="","",IF(INDIRECT(CONCATENATE($FK$12,Fixtures!HA$25))=Fixtures!$DN55,CONCATENATE(HA$10,", "),""))</f>
        <v/>
      </c>
      <c r="HB55" s="632" t="str">
        <f ca="1">IF(INDIRECT(CONCATENATE($FK$12,Fixtures!HB$25))="","",IF(INDIRECT(CONCATENATE($FK$12,Fixtures!HB$25))=Fixtures!$DN55,CONCATENATE(HB$10,", "),""))</f>
        <v/>
      </c>
      <c r="HC55" s="632" t="str">
        <f ca="1">IF(INDIRECT(CONCATENATE($FK$12,Fixtures!HC$25))="","",IF(INDIRECT(CONCATENATE($FK$12,Fixtures!HC$25))=Fixtures!$DN55,CONCATENATE(HC$10,", "),""))</f>
        <v/>
      </c>
      <c r="HD55" s="632" t="str">
        <f ca="1">IF(INDIRECT(CONCATENATE($FK$12,Fixtures!HD$25))="","",IF(INDIRECT(CONCATENATE($FK$12,Fixtures!HD$25))=Fixtures!$DN55,CONCATENATE(HD$10,", "),""))</f>
        <v/>
      </c>
      <c r="HE55" s="632" t="str">
        <f ca="1">IF(INDIRECT(CONCATENATE($FK$12,Fixtures!HE$25))="","",IF(INDIRECT(CONCATENATE($FK$12,Fixtures!HE$25))=Fixtures!$DN55,CONCATENATE(HE$10,", "),""))</f>
        <v/>
      </c>
      <c r="HF55" s="632" t="str">
        <f ca="1">IF(INDIRECT(CONCATENATE($FK$12,Fixtures!HF$25))="","",IF(INDIRECT(CONCATENATE($FK$12,Fixtures!HF$25))=Fixtures!$DN55,CONCATENATE(HF$10,", "),""))</f>
        <v/>
      </c>
      <c r="HG55" s="632" t="str">
        <f ca="1">IF(INDIRECT(CONCATENATE($FK$12,Fixtures!HG$25))="","",IF(INDIRECT(CONCATENATE($FK$12,Fixtures!HG$25))=Fixtures!$DN55,CONCATENATE(HG$10,", "),""))</f>
        <v/>
      </c>
      <c r="HH55" s="632" t="str">
        <f ca="1">IF(INDIRECT(CONCATENATE($FK$12,Fixtures!HH$25))="","",IF(INDIRECT(CONCATENATE($FK$12,Fixtures!HH$25))=Fixtures!$DN55,CONCATENATE(HH$10,", "),""))</f>
        <v/>
      </c>
      <c r="HI55" s="632" t="str">
        <f ca="1">IF(INDIRECT(CONCATENATE($FK$12,Fixtures!HI$25))="","",IF(INDIRECT(CONCATENATE($FK$12,Fixtures!HI$25))=Fixtures!$DN55,CONCATENATE(HI$10,", "),""))</f>
        <v/>
      </c>
      <c r="HJ55" s="632" t="str">
        <f ca="1">IF(INDIRECT(CONCATENATE($FK$12,Fixtures!HJ$25))="","",IF(INDIRECT(CONCATENATE($FK$12,Fixtures!HJ$25))=Fixtures!$DN55,CONCATENATE(HJ$10,", "),""))</f>
        <v/>
      </c>
      <c r="HK55" s="632" t="str">
        <f ca="1">IF(INDIRECT(CONCATENATE($FK$12,Fixtures!HK$25))="","",IF(INDIRECT(CONCATENATE($FK$12,Fixtures!HK$25))=Fixtures!$DN55,CONCATENATE(HK$10,", "),""))</f>
        <v/>
      </c>
      <c r="HL55" s="632" t="str">
        <f ca="1">IF(INDIRECT(CONCATENATE($FK$12,Fixtures!HL$25))="","",IF(INDIRECT(CONCATENATE($FK$12,Fixtures!HL$25))=Fixtures!$DN55,CONCATENATE(HL$10,", "),""))</f>
        <v/>
      </c>
      <c r="HM55" s="606" t="str">
        <f ca="1">IF(INDIRECT(CONCATENATE($FK$12,Fixtures!HM$25))="","",IF(INDIRECT(CONCATENATE($FK$12,Fixtures!HM$25))=Fixtures!$DN55,CONCATENATE(HM$10,", "),""))</f>
        <v/>
      </c>
      <c r="HN55" s="607" t="str">
        <f ca="1">IF(INDIRECT(CONCATENATE($FK$12,Fixtures!HN$25))="","",IF(INDIRECT(CONCATENATE($FK$12,Fixtures!HN$25))=Fixtures!$DN55,CONCATENATE(HN$10,", "),""))</f>
        <v/>
      </c>
      <c r="HO55" s="632" t="str">
        <f ca="1">IF(INDIRECT(CONCATENATE($FK$12,Fixtures!HO$25))="","",IF(INDIRECT(CONCATENATE($FK$12,Fixtures!HO$25))=Fixtures!$DN55,CONCATENATE(HO$10,", "),""))</f>
        <v/>
      </c>
      <c r="HP55" s="632" t="str">
        <f ca="1">IF(INDIRECT(CONCATENATE($FK$12,Fixtures!HP$25))="","",IF(INDIRECT(CONCATENATE($FK$12,Fixtures!HP$25))=Fixtures!$DN55,CONCATENATE(HP$10,", "),""))</f>
        <v/>
      </c>
      <c r="HQ55" s="632" t="str">
        <f ca="1">IF(INDIRECT(CONCATENATE($FK$12,Fixtures!HQ$25))="","",IF(INDIRECT(CONCATENATE($FK$12,Fixtures!HQ$25))=Fixtures!$DN55,CONCATENATE(HQ$10,", "),""))</f>
        <v/>
      </c>
      <c r="HR55" s="632" t="str">
        <f ca="1">IF(INDIRECT(CONCATENATE($FK$12,Fixtures!HR$25))="","",IF(INDIRECT(CONCATENATE($FK$12,Fixtures!HR$25))=Fixtures!$DN55,CONCATENATE(HR$10,", "),""))</f>
        <v/>
      </c>
      <c r="HS55" s="632" t="str">
        <f ca="1">IF(INDIRECT(CONCATENATE($FK$12,Fixtures!HS$25))="","",IF(INDIRECT(CONCATENATE($FK$12,Fixtures!HS$25))=Fixtures!$DN55,CONCATENATE(HS$10,", "),""))</f>
        <v/>
      </c>
      <c r="HT55" s="632" t="str">
        <f ca="1">IF(INDIRECT(CONCATENATE($FK$12,Fixtures!HT$25))="","",IF(INDIRECT(CONCATENATE($FK$12,Fixtures!HT$25))=Fixtures!$DN55,CONCATENATE(HT$10,", "),""))</f>
        <v/>
      </c>
      <c r="HU55" s="632" t="str">
        <f ca="1">IF(INDIRECT(CONCATENATE($FK$12,Fixtures!HU$25))="","",IF(INDIRECT(CONCATENATE($FK$12,Fixtures!HU$25))=Fixtures!$DN55,CONCATENATE(HU$10,", "),""))</f>
        <v/>
      </c>
      <c r="HV55" s="632" t="str">
        <f ca="1">IF(INDIRECT(CONCATENATE($FK$12,Fixtures!HV$25))="","",IF(INDIRECT(CONCATENATE($FK$12,Fixtures!HV$25))=Fixtures!$DN55,CONCATENATE(HV$10,", "),""))</f>
        <v/>
      </c>
      <c r="HW55" s="632" t="str">
        <f ca="1">IF(INDIRECT(CONCATENATE($FK$12,Fixtures!HW$25))="","",IF(INDIRECT(CONCATENATE($FK$12,Fixtures!HW$25))=Fixtures!$DN55,CONCATENATE(HW$10,", "),""))</f>
        <v/>
      </c>
      <c r="HX55" s="632" t="str">
        <f ca="1">IF(INDIRECT(CONCATENATE($FK$12,Fixtures!HX$25))="","",IF(INDIRECT(CONCATENATE($FK$12,Fixtures!HX$25))=Fixtures!$DN55,CONCATENATE(HX$10,", "),""))</f>
        <v/>
      </c>
      <c r="HY55" s="632" t="str">
        <f ca="1">IF(INDIRECT(CONCATENATE($FK$12,Fixtures!HY$25))="","",IF(INDIRECT(CONCATENATE($FK$12,Fixtures!HY$25))=Fixtures!$DN55,CONCATENATE(HY$10,", "),""))</f>
        <v/>
      </c>
      <c r="HZ55" s="632" t="str">
        <f ca="1">IF(INDIRECT(CONCATENATE($FK$12,Fixtures!HZ$25))="","",IF(INDIRECT(CONCATENATE($FK$12,Fixtures!HZ$25))=Fixtures!$DN55,CONCATENATE(HZ$10,", "),""))</f>
        <v/>
      </c>
      <c r="IA55" s="632" t="str">
        <f ca="1">IF(INDIRECT(CONCATENATE($FK$12,Fixtures!IA$25))="","",IF(INDIRECT(CONCATENATE($FK$12,Fixtures!IA$25))=Fixtures!$DN55,CONCATENATE(IA$10,", "),""))</f>
        <v/>
      </c>
      <c r="IB55" s="606" t="str">
        <f ca="1">IF(INDIRECT(CONCATENATE($FK$12,Fixtures!IB$25))="","",IF(INDIRECT(CONCATENATE($FK$12,Fixtures!IB$25))=Fixtures!$DN55,CONCATENATE(IB$10,", "),""))</f>
        <v/>
      </c>
      <c r="IC55" s="607" t="str">
        <f ca="1">IF(INDIRECT(CONCATENATE($FK$12,Fixtures!IC$25))="","",IF(INDIRECT(CONCATENATE($FK$12,Fixtures!IC$25))=Fixtures!$DN55,CONCATENATE(IC$10,", "),""))</f>
        <v/>
      </c>
      <c r="ID55" s="632" t="str">
        <f ca="1">IF(INDIRECT(CONCATENATE($FK$12,Fixtures!ID$25))="","",IF(INDIRECT(CONCATENATE($FK$12,Fixtures!ID$25))=Fixtures!$DN55,CONCATENATE(ID$10,", "),""))</f>
        <v/>
      </c>
      <c r="IE55" s="632" t="str">
        <f ca="1">IF(INDIRECT(CONCATENATE($FK$12,Fixtures!IE$25))="","",IF(INDIRECT(CONCATENATE($FK$12,Fixtures!IE$25))=Fixtures!$DN55,CONCATENATE(IE$10,", "),""))</f>
        <v/>
      </c>
      <c r="IF55" s="632" t="str">
        <f ca="1">IF(INDIRECT(CONCATENATE($FK$12,Fixtures!IF$25))="","",IF(INDIRECT(CONCATENATE($FK$12,Fixtures!IF$25))=Fixtures!$DN55,CONCATENATE(IF$10,", "),""))</f>
        <v/>
      </c>
      <c r="IG55" s="632" t="str">
        <f ca="1">IF(INDIRECT(CONCATENATE($FK$12,Fixtures!IG$25))="","",IF(INDIRECT(CONCATENATE($FK$12,Fixtures!IG$25))=Fixtures!$DN55,CONCATENATE(IG$10,", "),""))</f>
        <v/>
      </c>
      <c r="IH55" s="632" t="str">
        <f ca="1">IF(INDIRECT(CONCATENATE($FK$12,Fixtures!IH$25))="","",IF(INDIRECT(CONCATENATE($FK$12,Fixtures!IH$25))=Fixtures!$DN55,CONCATENATE(IH$10,", "),""))</f>
        <v/>
      </c>
      <c r="II55" s="632" t="str">
        <f ca="1">IF(INDIRECT(CONCATENATE($FK$12,Fixtures!II$25))="","",IF(INDIRECT(CONCATENATE($FK$12,Fixtures!II$25))=Fixtures!$DN55,CONCATENATE(II$10,", "),""))</f>
        <v/>
      </c>
      <c r="IJ55" s="632" t="str">
        <f ca="1">IF(INDIRECT(CONCATENATE($FK$12,Fixtures!IJ$25))="","",IF(INDIRECT(CONCATENATE($FK$12,Fixtures!IJ$25))=Fixtures!$DN55,CONCATENATE(IJ$10,", "),""))</f>
        <v/>
      </c>
      <c r="IK55" s="632" t="str">
        <f ca="1">IF(INDIRECT(CONCATENATE($FK$12,Fixtures!IK$25))="","",IF(INDIRECT(CONCATENATE($FK$12,Fixtures!IK$25))=Fixtures!$DN55,CONCATENATE(IK$10,", "),""))</f>
        <v/>
      </c>
      <c r="IL55" s="632" t="str">
        <f ca="1">IF(INDIRECT(CONCATENATE($FK$12,Fixtures!IL$25))="","",IF(INDIRECT(CONCATENATE($FK$12,Fixtures!IL$25))=Fixtures!$DN55,CONCATENATE(IL$10,", "),""))</f>
        <v/>
      </c>
      <c r="IM55" s="632" t="str">
        <f ca="1">IF(INDIRECT(CONCATENATE($FK$12,Fixtures!IM$25))="","",IF(INDIRECT(CONCATENATE($FK$12,Fixtures!IM$25))=Fixtures!$DN55,CONCATENATE(IM$10,", "),""))</f>
        <v/>
      </c>
      <c r="IN55" s="632" t="str">
        <f ca="1">IF(INDIRECT(CONCATENATE($FK$12,Fixtures!IN$25))="","",IF(INDIRECT(CONCATENATE($FK$12,Fixtures!IN$25))=Fixtures!$DN55,CONCATENATE(IN$10,", "),""))</f>
        <v/>
      </c>
      <c r="IO55" s="632" t="str">
        <f ca="1">IF(INDIRECT(CONCATENATE($FK$12,Fixtures!IO$25))="","",IF(INDIRECT(CONCATENATE($FK$12,Fixtures!IO$25))=Fixtures!$DN55,CONCATENATE(IO$10,", "),""))</f>
        <v/>
      </c>
      <c r="IP55" s="632" t="str">
        <f ca="1">IF(INDIRECT(CONCATENATE($FK$12,Fixtures!IP$25))="","",IF(INDIRECT(CONCATENATE($FK$12,Fixtures!IP$25))=Fixtures!$DN55,CONCATENATE(IP$10,", "),""))</f>
        <v/>
      </c>
      <c r="IQ55" s="606" t="str">
        <f ca="1">IF(INDIRECT(CONCATENATE($FK$12,Fixtures!IQ$25))="","",IF(INDIRECT(CONCATENATE($FK$12,Fixtures!IQ$25))=Fixtures!$DN55,CONCATENATE(IQ$10,", "),""))</f>
        <v/>
      </c>
      <c r="IR55" s="607" t="str">
        <f ca="1">IF(INDIRECT(CONCATENATE($FK$12,Fixtures!IR$25))="","",IF(INDIRECT(CONCATENATE($FK$12,Fixtures!IR$25))=Fixtures!$DN55,CONCATENATE(IR$10,", "),""))</f>
        <v/>
      </c>
      <c r="IS55" s="632" t="str">
        <f ca="1">IF(INDIRECT(CONCATENATE($FK$12,Fixtures!IS$25))="","",IF(INDIRECT(CONCATENATE($FK$12,Fixtures!IS$25))=Fixtures!$DN55,CONCATENATE(IS$10,", "),""))</f>
        <v/>
      </c>
      <c r="IT55" s="632" t="str">
        <f ca="1">IF(INDIRECT(CONCATENATE($FK$12,Fixtures!IT$25))="","",IF(INDIRECT(CONCATENATE($FK$12,Fixtures!IT$25))=Fixtures!$DN55,CONCATENATE(IT$10,", "),""))</f>
        <v/>
      </c>
      <c r="IU55" s="632" t="str">
        <f ca="1">IF(INDIRECT(CONCATENATE($FK$12,Fixtures!IU$25))="","",IF(INDIRECT(CONCATENATE($FK$12,Fixtures!IU$25))=Fixtures!$DN55,CONCATENATE(IU$10,", "),""))</f>
        <v/>
      </c>
      <c r="IV55" s="632" t="str">
        <f ca="1">IF(INDIRECT(CONCATENATE($FK$12,Fixtures!IV$25))="","",IF(INDIRECT(CONCATENATE($FK$12,Fixtures!IV$25))=Fixtures!$DN55,CONCATENATE(IV$10,", "),""))</f>
        <v/>
      </c>
      <c r="IW55" s="632" t="str">
        <f ca="1">IF(INDIRECT(CONCATENATE($FK$12,Fixtures!IW$25))="","",IF(INDIRECT(CONCATENATE($FK$12,Fixtures!IW$25))=Fixtures!$DN55,CONCATENATE(IW$10,", "),""))</f>
        <v/>
      </c>
      <c r="IX55" s="632" t="str">
        <f ca="1">IF(INDIRECT(CONCATENATE($FK$12,Fixtures!IX$25))="","",IF(INDIRECT(CONCATENATE($FK$12,Fixtures!IX$25))=Fixtures!$DN55,CONCATENATE(IX$10,", "),""))</f>
        <v/>
      </c>
      <c r="IY55" s="632" t="str">
        <f ca="1">IF(INDIRECT(CONCATENATE($FK$12,Fixtures!IY$25))="","",IF(INDIRECT(CONCATENATE($FK$12,Fixtures!IY$25))=Fixtures!$DN55,CONCATENATE(IY$10,", "),""))</f>
        <v/>
      </c>
      <c r="IZ55" s="632" t="str">
        <f ca="1">IF(INDIRECT(CONCATENATE($FK$12,Fixtures!IZ$25))="","",IF(INDIRECT(CONCATENATE($FK$12,Fixtures!IZ$25))=Fixtures!$DN55,CONCATENATE(IZ$10,", "),""))</f>
        <v/>
      </c>
      <c r="JA55" s="632" t="str">
        <f ca="1">IF(INDIRECT(CONCATENATE($FK$12,Fixtures!JA$25))="","",IF(INDIRECT(CONCATENATE($FK$12,Fixtures!JA$25))=Fixtures!$DN55,CONCATENATE(JA$10,", "),""))</f>
        <v/>
      </c>
      <c r="JB55" s="632" t="str">
        <f ca="1">IF(INDIRECT(CONCATENATE($FK$12,Fixtures!JB$25))="","",IF(INDIRECT(CONCATENATE($FK$12,Fixtures!JB$25))=Fixtures!$DN55,CONCATENATE(JB$10,", "),""))</f>
        <v/>
      </c>
      <c r="JC55" s="632" t="str">
        <f ca="1">IF(INDIRECT(CONCATENATE($FK$12,Fixtures!JC$25))="","",IF(INDIRECT(CONCATENATE($FK$12,Fixtures!JC$25))=Fixtures!$DN55,CONCATENATE(JC$10,", "),""))</f>
        <v/>
      </c>
      <c r="JD55" s="632" t="str">
        <f ca="1">IF(INDIRECT(CONCATENATE($FK$12,Fixtures!JD$25))="","",IF(INDIRECT(CONCATENATE($FK$12,Fixtures!JD$25))=Fixtures!$DN55,CONCATENATE(JD$10,", "),""))</f>
        <v/>
      </c>
      <c r="JE55" s="632" t="str">
        <f ca="1">IF(INDIRECT(CONCATENATE($FK$12,Fixtures!JE$25))="","",IF(INDIRECT(CONCATENATE($FK$12,Fixtures!JE$25))=Fixtures!$DN55,CONCATENATE(JE$10,", "),""))</f>
        <v/>
      </c>
      <c r="JF55" s="606" t="str">
        <f ca="1">IF(INDIRECT(CONCATENATE($FK$12,Fixtures!JF$25))="","",IF(INDIRECT(CONCATENATE($FK$12,Fixtures!JF$25))=Fixtures!$DN55,CONCATENATE(JF$10,", "),""))</f>
        <v/>
      </c>
      <c r="JG55" s="607" t="str">
        <f ca="1">IF(INDIRECT(CONCATENATE($FK$12,Fixtures!JG$25))="","",IF(INDIRECT(CONCATENATE($FK$12,Fixtures!JG$25))=Fixtures!$DN55,CONCATENATE(JG$10,", "),""))</f>
        <v/>
      </c>
      <c r="JH55" s="632" t="str">
        <f ca="1">IF(INDIRECT(CONCATENATE($FK$12,Fixtures!JH$25))="","",IF(INDIRECT(CONCATENATE($FK$12,Fixtures!JH$25))=Fixtures!$DN55,CONCATENATE(JH$10,", "),""))</f>
        <v/>
      </c>
      <c r="JI55" s="632" t="str">
        <f ca="1">IF(INDIRECT(CONCATENATE($FK$12,Fixtures!JI$25))="","",IF(INDIRECT(CONCATENATE($FK$12,Fixtures!JI$25))=Fixtures!$DN55,CONCATENATE(JI$10,", "),""))</f>
        <v/>
      </c>
      <c r="JJ55" s="632" t="str">
        <f ca="1">IF(INDIRECT(CONCATENATE($FK$12,Fixtures!JJ$25))="","",IF(INDIRECT(CONCATENATE($FK$12,Fixtures!JJ$25))=Fixtures!$DN55,CONCATENATE(JJ$10,", "),""))</f>
        <v/>
      </c>
      <c r="JK55" s="632" t="str">
        <f ca="1">IF(INDIRECT(CONCATENATE($FK$12,Fixtures!JK$25))="","",IF(INDIRECT(CONCATENATE($FK$12,Fixtures!JK$25))=Fixtures!$DN55,CONCATENATE(JK$10,", "),""))</f>
        <v/>
      </c>
      <c r="JL55" s="632" t="str">
        <f ca="1">IF(INDIRECT(CONCATENATE($FK$12,Fixtures!JL$25))="","",IF(INDIRECT(CONCATENATE($FK$12,Fixtures!JL$25))=Fixtures!$DN55,CONCATENATE(JL$10,", "),""))</f>
        <v/>
      </c>
      <c r="JM55" s="632" t="str">
        <f ca="1">IF(INDIRECT(CONCATENATE($FK$12,Fixtures!JM$25))="","",IF(INDIRECT(CONCATENATE($FK$12,Fixtures!JM$25))=Fixtures!$DN55,CONCATENATE(JM$10,", "),""))</f>
        <v/>
      </c>
      <c r="JN55" s="632" t="str">
        <f ca="1">IF(INDIRECT(CONCATENATE($FK$12,Fixtures!JN$25))="","",IF(INDIRECT(CONCATENATE($FK$12,Fixtures!JN$25))=Fixtures!$DN55,CONCATENATE(JN$10,", "),""))</f>
        <v/>
      </c>
      <c r="JO55" s="632" t="str">
        <f ca="1">IF(INDIRECT(CONCATENATE($FK$12,Fixtures!JO$25))="","",IF(INDIRECT(CONCATENATE($FK$12,Fixtures!JO$25))=Fixtures!$DN55,CONCATENATE(JO$10,", "),""))</f>
        <v/>
      </c>
      <c r="JP55" s="632" t="str">
        <f ca="1">IF(INDIRECT(CONCATENATE($FK$12,Fixtures!JP$25))="","",IF(INDIRECT(CONCATENATE($FK$12,Fixtures!JP$25))=Fixtures!$DN55,CONCATENATE(JP$10,", "),""))</f>
        <v/>
      </c>
      <c r="JQ55" s="632" t="str">
        <f ca="1">IF(INDIRECT(CONCATENATE($FK$12,Fixtures!JQ$25))="","",IF(INDIRECT(CONCATENATE($FK$12,Fixtures!JQ$25))=Fixtures!$DN55,CONCATENATE(JQ$10,", "),""))</f>
        <v/>
      </c>
      <c r="JR55" s="632" t="str">
        <f ca="1">IF(INDIRECT(CONCATENATE($FK$12,Fixtures!JR$25))="","",IF(INDIRECT(CONCATENATE($FK$12,Fixtures!JR$25))=Fixtures!$DN55,CONCATENATE(JR$10,", "),""))</f>
        <v/>
      </c>
      <c r="JS55" s="632" t="str">
        <f ca="1">IF(INDIRECT(CONCATENATE($FK$12,Fixtures!JS$25))="","",IF(INDIRECT(CONCATENATE($FK$12,Fixtures!JS$25))=Fixtures!$DN55,CONCATENATE(JS$10,", "),""))</f>
        <v/>
      </c>
      <c r="JT55" s="632" t="str">
        <f ca="1">IF(INDIRECT(CONCATENATE($FK$12,Fixtures!JT$25))="","",IF(INDIRECT(CONCATENATE($FK$12,Fixtures!JT$25))=Fixtures!$DN55,CONCATENATE(JT$10,", "),""))</f>
        <v/>
      </c>
      <c r="JU55" s="606" t="str">
        <f ca="1">IF(INDIRECT(CONCATENATE($FK$12,Fixtures!JU$25))="","",IF(INDIRECT(CONCATENATE($FK$12,Fixtures!JU$25))=Fixtures!$DN55,CONCATENATE(JU$10,", "),""))</f>
        <v/>
      </c>
      <c r="JV55" s="607" t="str">
        <f ca="1">IF(INDIRECT(CONCATENATE($FK$12,Fixtures!JV$25))="","",IF(INDIRECT(CONCATENATE($FK$12,Fixtures!JV$25))=Fixtures!$DN55,CONCATENATE(JV$10,", "),""))</f>
        <v/>
      </c>
      <c r="JW55" s="632" t="str">
        <f ca="1">IF(INDIRECT(CONCATENATE($FK$12,Fixtures!JW$25))="","",IF(INDIRECT(CONCATENATE($FK$12,Fixtures!JW$25))=Fixtures!$DN55,CONCATENATE(JW$10,", "),""))</f>
        <v/>
      </c>
      <c r="JX55" s="632" t="str">
        <f ca="1">IF(INDIRECT(CONCATENATE($FK$12,Fixtures!JX$25))="","",IF(INDIRECT(CONCATENATE($FK$12,Fixtures!JX$25))=Fixtures!$DN55,CONCATENATE(JX$10,", "),""))</f>
        <v/>
      </c>
      <c r="JY55" s="632" t="str">
        <f ca="1">IF(INDIRECT(CONCATENATE($FK$12,Fixtures!JY$25))="","",IF(INDIRECT(CONCATENATE($FK$12,Fixtures!JY$25))=Fixtures!$DN55,CONCATENATE(JY$10,", "),""))</f>
        <v/>
      </c>
      <c r="JZ55" s="632" t="str">
        <f ca="1">IF(INDIRECT(CONCATENATE($FK$12,Fixtures!JZ$25))="","",IF(INDIRECT(CONCATENATE($FK$12,Fixtures!JZ$25))=Fixtures!$DN55,CONCATENATE(JZ$10,", "),""))</f>
        <v/>
      </c>
      <c r="KA55" s="632" t="str">
        <f ca="1">IF(INDIRECT(CONCATENATE($FK$12,Fixtures!KA$25))="","",IF(INDIRECT(CONCATENATE($FK$12,Fixtures!KA$25))=Fixtures!$DN55,CONCATENATE(KA$10,", "),""))</f>
        <v/>
      </c>
      <c r="KB55" s="632" t="str">
        <f ca="1">IF(INDIRECT(CONCATENATE($FK$12,Fixtures!KB$25))="","",IF(INDIRECT(CONCATENATE($FK$12,Fixtures!KB$25))=Fixtures!$DN55,CONCATENATE(KB$10,", "),""))</f>
        <v/>
      </c>
      <c r="KC55" s="632" t="str">
        <f ca="1">IF(INDIRECT(CONCATENATE($FK$12,Fixtures!KC$25))="","",IF(INDIRECT(CONCATENATE($FK$12,Fixtures!KC$25))=Fixtures!$DN55,CONCATENATE(KC$10,", "),""))</f>
        <v/>
      </c>
      <c r="KD55" s="632" t="str">
        <f ca="1">IF(INDIRECT(CONCATENATE($FK$12,Fixtures!KD$25))="","",IF(INDIRECT(CONCATENATE($FK$12,Fixtures!KD$25))=Fixtures!$DN55,CONCATENATE(KD$10,", "),""))</f>
        <v/>
      </c>
      <c r="KE55" s="632" t="str">
        <f ca="1">IF(INDIRECT(CONCATENATE($FK$12,Fixtures!KE$25))="","",IF(INDIRECT(CONCATENATE($FK$12,Fixtures!KE$25))=Fixtures!$DN55,CONCATENATE(KE$10,", "),""))</f>
        <v/>
      </c>
      <c r="KF55" s="632" t="str">
        <f ca="1">IF(INDIRECT(CONCATENATE($FK$12,Fixtures!KF$25))="","",IF(INDIRECT(CONCATENATE($FK$12,Fixtures!KF$25))=Fixtures!$DN55,CONCATENATE(KF$10,", "),""))</f>
        <v/>
      </c>
      <c r="KG55" s="632" t="str">
        <f ca="1">IF(INDIRECT(CONCATENATE($FK$12,Fixtures!KG$25))="","",IF(INDIRECT(CONCATENATE($FK$12,Fixtures!KG$25))=Fixtures!$DN55,CONCATENATE(KG$10,", "),""))</f>
        <v/>
      </c>
      <c r="KH55" s="632" t="str">
        <f ca="1">IF(INDIRECT(CONCATENATE($FK$12,Fixtures!KH$25))="","",IF(INDIRECT(CONCATENATE($FK$12,Fixtures!KH$25))=Fixtures!$DN55,CONCATENATE(KH$10,", "),""))</f>
        <v/>
      </c>
      <c r="KI55" s="632" t="str">
        <f ca="1">IF(INDIRECT(CONCATENATE($FK$12,Fixtures!KI$25))="","",IF(INDIRECT(CONCATENATE($FK$12,Fixtures!KI$25))=Fixtures!$DN55,CONCATENATE(KI$10,", "),""))</f>
        <v/>
      </c>
      <c r="KJ55" s="606" t="str">
        <f ca="1">IF(INDIRECT(CONCATENATE($FK$12,Fixtures!KJ$25))="","",IF(INDIRECT(CONCATENATE($FK$12,Fixtures!KJ$25))=Fixtures!$DN55,CONCATENATE(KJ$10,", "),""))</f>
        <v/>
      </c>
      <c r="KK55" s="607" t="str">
        <f ca="1">IF(INDIRECT(CONCATENATE($FK$12,Fixtures!KK$25))="","",IF(INDIRECT(CONCATENATE($FK$12,Fixtures!KK$25))=Fixtures!$DN55,CONCATENATE(KK$10,", "),""))</f>
        <v/>
      </c>
      <c r="KL55" s="632" t="str">
        <f ca="1">IF(INDIRECT(CONCATENATE($FK$12,Fixtures!KL$25))="","",IF(INDIRECT(CONCATENATE($FK$12,Fixtures!KL$25))=Fixtures!$DN55,CONCATENATE(KL$10,", "),""))</f>
        <v/>
      </c>
      <c r="KM55" s="632" t="str">
        <f ca="1">IF(INDIRECT(CONCATENATE($FK$12,Fixtures!KM$25))="","",IF(INDIRECT(CONCATENATE($FK$12,Fixtures!KM$25))=Fixtures!$DN55,CONCATENATE(KM$10,", "),""))</f>
        <v/>
      </c>
      <c r="KN55" s="632" t="str">
        <f ca="1">IF(INDIRECT(CONCATENATE($FK$12,Fixtures!KN$25))="","",IF(INDIRECT(CONCATENATE($FK$12,Fixtures!KN$25))=Fixtures!$DN55,CONCATENATE(KN$10,", "),""))</f>
        <v/>
      </c>
      <c r="KO55" s="632" t="str">
        <f ca="1">IF(INDIRECT(CONCATENATE($FK$12,Fixtures!KO$25))="","",IF(INDIRECT(CONCATENATE($FK$12,Fixtures!KO$25))=Fixtures!$DN55,CONCATENATE(KO$10,", "),""))</f>
        <v/>
      </c>
      <c r="KP55" s="632" t="str">
        <f ca="1">IF(INDIRECT(CONCATENATE($FK$12,Fixtures!KP$25))="","",IF(INDIRECT(CONCATENATE($FK$12,Fixtures!KP$25))=Fixtures!$DN55,CONCATENATE(KP$10,", "),""))</f>
        <v/>
      </c>
      <c r="KQ55" s="632" t="str">
        <f ca="1">IF(INDIRECT(CONCATENATE($FK$12,Fixtures!KQ$25))="","",IF(INDIRECT(CONCATENATE($FK$12,Fixtures!KQ$25))=Fixtures!$DN55,CONCATENATE(KQ$10,", "),""))</f>
        <v/>
      </c>
      <c r="KR55" s="632" t="str">
        <f ca="1">IF(INDIRECT(CONCATENATE($FK$12,Fixtures!KR$25))="","",IF(INDIRECT(CONCATENATE($FK$12,Fixtures!KR$25))=Fixtures!$DN55,CONCATENATE(KR$10,", "),""))</f>
        <v/>
      </c>
      <c r="KS55" s="632" t="str">
        <f ca="1">IF(INDIRECT(CONCATENATE($FK$12,Fixtures!KS$25))="","",IF(INDIRECT(CONCATENATE($FK$12,Fixtures!KS$25))=Fixtures!$DN55,CONCATENATE(KS$10,", "),""))</f>
        <v/>
      </c>
      <c r="KT55" s="632" t="str">
        <f ca="1">IF(INDIRECT(CONCATENATE($FK$12,Fixtures!KT$25))="","",IF(INDIRECT(CONCATENATE($FK$12,Fixtures!KT$25))=Fixtures!$DN55,CONCATENATE(KT$10,", "),""))</f>
        <v/>
      </c>
      <c r="KU55" s="632" t="str">
        <f ca="1">IF(INDIRECT(CONCATENATE($FK$12,Fixtures!KU$25))="","",IF(INDIRECT(CONCATENATE($FK$12,Fixtures!KU$25))=Fixtures!$DN55,CONCATENATE(KU$10,", "),""))</f>
        <v/>
      </c>
      <c r="KV55" s="632" t="str">
        <f ca="1">IF(INDIRECT(CONCATENATE($FK$12,Fixtures!KV$25))="","",IF(INDIRECT(CONCATENATE($FK$12,Fixtures!KV$25))=Fixtures!$DN55,CONCATENATE(KV$10,", "),""))</f>
        <v/>
      </c>
      <c r="KW55" s="632" t="str">
        <f ca="1">IF(INDIRECT(CONCATENATE($FK$12,Fixtures!KW$25))="","",IF(INDIRECT(CONCATENATE($FK$12,Fixtures!KW$25))=Fixtures!$DN55,CONCATENATE(KW$10,", "),""))</f>
        <v/>
      </c>
      <c r="KX55" s="632" t="str">
        <f ca="1">IF(INDIRECT(CONCATENATE($FK$12,Fixtures!KX$25))="","",IF(INDIRECT(CONCATENATE($FK$12,Fixtures!KX$25))=Fixtures!$DN55,CONCATENATE(KX$10,", "),""))</f>
        <v/>
      </c>
      <c r="KY55" s="632"/>
      <c r="KZ55" s="46"/>
      <c r="LA55" s="46" t="str">
        <f t="shared" ca="1" si="7"/>
        <v/>
      </c>
      <c r="LB55" s="46"/>
      <c r="LC55" s="1010"/>
      <c r="LD55" s="1009" t="str">
        <f t="shared" si="20"/>
        <v/>
      </c>
    </row>
    <row r="56" spans="1:316" ht="28.2" customHeight="1" thickTop="1" thickBot="1">
      <c r="A56" s="426" t="str">
        <f t="shared" si="13"/>
        <v/>
      </c>
      <c r="C56" s="1640" t="str">
        <f t="shared" si="14"/>
        <v/>
      </c>
      <c r="D56" s="1641"/>
      <c r="E56" s="1568" t="str">
        <f t="shared" si="15"/>
        <v/>
      </c>
      <c r="F56" s="1569"/>
      <c r="G56" s="1569"/>
      <c r="H56" s="1569"/>
      <c r="I56" s="1569"/>
      <c r="J56" s="1569"/>
      <c r="K56" s="1569"/>
      <c r="L56" s="1569"/>
      <c r="M56" s="1642"/>
      <c r="N56" s="203" t="str">
        <f t="shared" si="16"/>
        <v/>
      </c>
      <c r="O56" s="12"/>
      <c r="P56" s="1638" t="str">
        <f t="shared" si="25"/>
        <v/>
      </c>
      <c r="Q56" s="1639"/>
      <c r="R56" s="1568" t="str">
        <f t="shared" si="30"/>
        <v/>
      </c>
      <c r="S56" s="1569"/>
      <c r="T56" s="1569"/>
      <c r="U56" s="1569"/>
      <c r="V56" s="1569"/>
      <c r="W56" s="1569"/>
      <c r="X56" s="1569"/>
      <c r="Y56" s="203" t="str">
        <f t="shared" si="26"/>
        <v/>
      </c>
      <c r="Z56" s="203" t="str">
        <f t="shared" si="27"/>
        <v/>
      </c>
      <c r="AA56" s="394" t="str">
        <f t="shared" si="28"/>
        <v/>
      </c>
      <c r="AB56" s="489"/>
      <c r="AC56" s="1564" t="str">
        <f t="shared" si="18"/>
        <v/>
      </c>
      <c r="AD56" s="1565"/>
      <c r="AE56" s="1565"/>
      <c r="AF56" s="1565"/>
      <c r="AG56" s="1565"/>
      <c r="AH56" s="1565"/>
      <c r="AK56">
        <f>SUMIFS(Installations!CV$46:CV$803,Installations!CW$46:CW$803,E56,Installations!IC$46:IC$803,TRUE)</f>
        <v>0</v>
      </c>
      <c r="AL56">
        <f>SUMIFS(Installations!CV$46:CV$803,Installations!CW$46:CW$803,R56,Installations!IC$46:IC$803,TRUE)</f>
        <v>0</v>
      </c>
      <c r="BK56" s="48"/>
      <c r="BL56" s="9"/>
      <c r="BM56" s="622" t="str">
        <f t="shared" si="19"/>
        <v/>
      </c>
      <c r="BN56" s="52"/>
      <c r="BO56" s="52"/>
      <c r="BP56" s="52"/>
      <c r="BQ56" s="52"/>
      <c r="BR56" s="52"/>
      <c r="BS56" s="52"/>
      <c r="BT56" s="52"/>
      <c r="BU56" s="373"/>
      <c r="BV56" s="219" t="str">
        <f>IF(CN56&lt;&gt;"Yes","",IFERROR(VLOOKUP(CU56,Existing!A$4:F$367,2,FALSE),""))</f>
        <v/>
      </c>
      <c r="BW56" s="9">
        <v>30</v>
      </c>
      <c r="BX56" s="1625"/>
      <c r="BY56" s="1626"/>
      <c r="BZ56" s="1626"/>
      <c r="CA56" s="1627"/>
      <c r="CB56" s="1622"/>
      <c r="CC56" s="1623"/>
      <c r="CD56" s="1623"/>
      <c r="CE56" s="1624"/>
      <c r="CF56" s="1621"/>
      <c r="CG56" s="1621"/>
      <c r="CH56" s="1621"/>
      <c r="CI56" s="1621"/>
      <c r="CJ56" s="1621"/>
      <c r="CK56" s="1621"/>
      <c r="CL56" s="1621"/>
      <c r="CM56" s="1621"/>
      <c r="CN56" s="1553" t="str">
        <f t="shared" si="31"/>
        <v/>
      </c>
      <c r="CO56" s="1554"/>
      <c r="CP56" s="229" t="str">
        <f>IFERROR(IF(CB56="Existing TLED",CR56*CW56*CY56,VLOOKUP(CU56,Existing!A$3:F$356,6,FALSE)),"")</f>
        <v/>
      </c>
      <c r="CQ56" s="9"/>
      <c r="CR56" s="1660"/>
      <c r="CS56" s="1661"/>
      <c r="CT56" s="9"/>
      <c r="CU56" s="425" t="str">
        <f t="shared" si="21"/>
        <v/>
      </c>
      <c r="CV56" s="426" t="b">
        <f t="shared" si="22"/>
        <v>0</v>
      </c>
      <c r="CW56" s="426" t="str">
        <f t="shared" si="23"/>
        <v/>
      </c>
      <c r="CX56" s="426">
        <f>IFERROR(VLOOKUP(CF56,Lookup!T$100:V$102,3,FALSE),0)</f>
        <v>0</v>
      </c>
      <c r="CY56" s="426">
        <f t="shared" si="8"/>
        <v>1.1100000000000001</v>
      </c>
      <c r="CZ56" s="626" t="b">
        <f t="shared" si="1"/>
        <v>0</v>
      </c>
      <c r="DA56" s="626" t="b">
        <f>IF(CF56&lt;&gt;"",IF(ISERROR(MATCH(CONCATENATE(CB56," - ",CF56),Existing!G$4:G$331,0))=TRUE,FALSE,TRUE),TRUE)</f>
        <v>1</v>
      </c>
      <c r="DB56" s="626" t="b">
        <f t="shared" si="2"/>
        <v>1</v>
      </c>
      <c r="DK56" s="48"/>
      <c r="DL56" s="9"/>
      <c r="DM56" s="627" t="s">
        <v>215</v>
      </c>
      <c r="DN56" s="375" t="str">
        <f t="shared" si="3"/>
        <v/>
      </c>
      <c r="DO56" s="52"/>
      <c r="DP56" s="52"/>
      <c r="DQ56" s="52"/>
      <c r="DR56" s="52"/>
      <c r="DS56" s="52"/>
      <c r="DT56" s="226"/>
      <c r="DU56" s="376"/>
      <c r="DV56" s="227" t="str">
        <f t="shared" si="4"/>
        <v/>
      </c>
      <c r="DW56" s="224">
        <v>30</v>
      </c>
      <c r="DX56" s="1572"/>
      <c r="DY56" s="1573"/>
      <c r="DZ56" s="1573"/>
      <c r="EA56" s="1574"/>
      <c r="EB56" s="1618"/>
      <c r="EC56" s="1619"/>
      <c r="ED56" s="1619"/>
      <c r="EE56" s="1620"/>
      <c r="EF56" s="1578"/>
      <c r="EG56" s="1579"/>
      <c r="EH56" s="1618"/>
      <c r="EI56" s="1619"/>
      <c r="EJ56" s="1619"/>
      <c r="EK56" s="1620"/>
      <c r="EL56" s="1575"/>
      <c r="EM56" s="1576"/>
      <c r="EN56" s="1576"/>
      <c r="EO56" s="1577"/>
      <c r="EP56" s="1578"/>
      <c r="EQ56" s="1579"/>
      <c r="ER56" s="1555"/>
      <c r="ES56" s="1556"/>
      <c r="ET56" s="1553" t="str">
        <f t="shared" si="9"/>
        <v/>
      </c>
      <c r="EU56" s="1554"/>
      <c r="EV56" s="1553" t="str">
        <f t="shared" si="29"/>
        <v/>
      </c>
      <c r="EW56" s="1554"/>
      <c r="EX56" s="393"/>
      <c r="EY56" s="225" t="str">
        <f t="shared" si="6"/>
        <v/>
      </c>
      <c r="EZ56" s="225" t="str">
        <f>IFERROR(VLOOKUP(EB56,Lookup!AT$3:AU$13,2,FALSE),"")</f>
        <v/>
      </c>
      <c r="FA56" s="426" t="b">
        <f>IFERROR(IF(VLOOKUP(EB56,Lookup!AT$6:AU$8,2,FALSE)&gt;3,TRUE,FALSE),FALSE)</f>
        <v>0</v>
      </c>
      <c r="FB56" s="426" t="str">
        <f t="shared" si="10"/>
        <v/>
      </c>
      <c r="FC56" t="str">
        <f t="shared" ca="1" si="11"/>
        <v/>
      </c>
      <c r="FG56" t="str">
        <f t="shared" ca="1" si="12"/>
        <v/>
      </c>
      <c r="FI56" s="204" t="str">
        <f t="shared" ca="1" si="24"/>
        <v/>
      </c>
      <c r="FJ56" s="204"/>
      <c r="FK56" s="631" t="str">
        <f ca="1">IF(INDIRECT(CONCATENATE($FK$12,Fixtures!FK$25))="","",IF(INDIRECT(CONCATENATE($FK$12,Fixtures!FK$25))=Fixtures!$DN56,CONCATENATE(FK$10,", "),""))</f>
        <v/>
      </c>
      <c r="FL56" s="631" t="str">
        <f ca="1">IF(INDIRECT(CONCATENATE($FK$12,Fixtures!FL$25))="","",IF(INDIRECT(CONCATENATE($FK$12,Fixtures!FL$25))=Fixtures!$DN56,CONCATENATE(FL$10,", "),""))</f>
        <v/>
      </c>
      <c r="FM56" s="631" t="str">
        <f ca="1">IF(INDIRECT(CONCATENATE($FK$12,Fixtures!FM$25))="","",IF(INDIRECT(CONCATENATE($FK$12,Fixtures!FM$25))=Fixtures!$DN56,CONCATENATE(FM$10,", "),""))</f>
        <v/>
      </c>
      <c r="FN56" s="631" t="str">
        <f ca="1">IF(INDIRECT(CONCATENATE($FK$12,Fixtures!FN$25))="","",IF(INDIRECT(CONCATENATE($FK$12,Fixtures!FN$25))=Fixtures!$DN56,CONCATENATE(FN$10,", "),""))</f>
        <v/>
      </c>
      <c r="FO56" s="631" t="str">
        <f ca="1">IF(INDIRECT(CONCATENATE($FK$12,Fixtures!FO$25))="","",IF(INDIRECT(CONCATENATE($FK$12,Fixtures!FO$25))=Fixtures!$DN56,CONCATENATE(FO$10,", "),""))</f>
        <v/>
      </c>
      <c r="FP56" s="631" t="str">
        <f ca="1">IF(INDIRECT(CONCATENATE($FK$12,Fixtures!FP$25))="","",IF(INDIRECT(CONCATENATE($FK$12,Fixtures!FP$25))=Fixtures!$DN56,CONCATENATE(FP$10,", "),""))</f>
        <v/>
      </c>
      <c r="FQ56" s="631" t="str">
        <f ca="1">IF(INDIRECT(CONCATENATE($FK$12,Fixtures!FQ$25))="","",IF(INDIRECT(CONCATENATE($FK$12,Fixtures!FQ$25))=Fixtures!$DN56,CONCATENATE(FQ$10,", "),""))</f>
        <v/>
      </c>
      <c r="FR56" s="631" t="str">
        <f ca="1">IF(INDIRECT(CONCATENATE($FK$12,Fixtures!FR$25))="","",IF(INDIRECT(CONCATENATE($FK$12,Fixtures!FR$25))=Fixtures!$DN56,CONCATENATE(FR$10,", "),""))</f>
        <v/>
      </c>
      <c r="FS56" s="631" t="str">
        <f ca="1">IF(INDIRECT(CONCATENATE($FK$12,Fixtures!FS$25))="","",IF(INDIRECT(CONCATENATE($FK$12,Fixtures!FS$25))=Fixtures!$DN56,CONCATENATE(FS$10,", "),""))</f>
        <v/>
      </c>
      <c r="FT56" s="604" t="str">
        <f ca="1">IF(INDIRECT(CONCATENATE($FK$12,Fixtures!FT$25))="","",IF(INDIRECT(CONCATENATE($FK$12,Fixtures!FT$25))=Fixtures!$DN56,CONCATENATE(FT$10,", "),""))</f>
        <v/>
      </c>
      <c r="FU56" s="605" t="str">
        <f ca="1">IF(INDIRECT(CONCATENATE($FK$12,Fixtures!FU$25))="","",IF(INDIRECT(CONCATENATE($FK$12,Fixtures!FU$25))=Fixtures!$DN56,CONCATENATE(FU$10,", "),""))</f>
        <v/>
      </c>
      <c r="FV56" s="631" t="str">
        <f ca="1">IF(INDIRECT(CONCATENATE($FK$12,Fixtures!FV$25))="","",IF(INDIRECT(CONCATENATE($FK$12,Fixtures!FV$25))=Fixtures!$DN56,CONCATENATE(FV$10,", "),""))</f>
        <v/>
      </c>
      <c r="FW56" s="632" t="str">
        <f ca="1">IF(INDIRECT(CONCATENATE($FK$12,Fixtures!FW$25))="","",IF(INDIRECT(CONCATENATE($FK$12,Fixtures!FW$25))=Fixtures!$DN56,CONCATENATE(FW$10,", "),""))</f>
        <v/>
      </c>
      <c r="FX56" s="632" t="str">
        <f ca="1">IF(INDIRECT(CONCATENATE($FK$12,Fixtures!FX$25))="","",IF(INDIRECT(CONCATENATE($FK$12,Fixtures!FX$25))=Fixtures!$DN56,CONCATENATE(FX$10,", "),""))</f>
        <v/>
      </c>
      <c r="FY56" s="632" t="str">
        <f ca="1">IF(INDIRECT(CONCATENATE($FK$12,Fixtures!FY$25))="","",IF(INDIRECT(CONCATENATE($FK$12,Fixtures!FY$25))=Fixtures!$DN56,CONCATENATE(FY$10,", "),""))</f>
        <v/>
      </c>
      <c r="FZ56" s="632" t="str">
        <f ca="1">IF(INDIRECT(CONCATENATE($FK$12,Fixtures!FZ$25))="","",IF(INDIRECT(CONCATENATE($FK$12,Fixtures!FZ$25))=Fixtures!$DN56,CONCATENATE(FZ$10,", "),""))</f>
        <v/>
      </c>
      <c r="GA56" s="632" t="str">
        <f ca="1">IF(INDIRECT(CONCATENATE($FK$12,Fixtures!GA$25))="","",IF(INDIRECT(CONCATENATE($FK$12,Fixtures!GA$25))=Fixtures!$DN56,CONCATENATE(GA$10,", "),""))</f>
        <v/>
      </c>
      <c r="GB56" s="632" t="str">
        <f ca="1">IF(INDIRECT(CONCATENATE($FK$12,Fixtures!GB$25))="","",IF(INDIRECT(CONCATENATE($FK$12,Fixtures!GB$25))=Fixtures!$DN56,CONCATENATE(GB$10,", "),""))</f>
        <v/>
      </c>
      <c r="GC56" s="632" t="str">
        <f ca="1">IF(INDIRECT(CONCATENATE($FK$12,Fixtures!GC$25))="","",IF(INDIRECT(CONCATENATE($FK$12,Fixtures!GC$25))=Fixtures!$DN56,CONCATENATE(GC$10,", "),""))</f>
        <v/>
      </c>
      <c r="GD56" s="632" t="str">
        <f ca="1">IF(INDIRECT(CONCATENATE($FK$12,Fixtures!GD$25))="","",IF(INDIRECT(CONCATENATE($FK$12,Fixtures!GD$25))=Fixtures!$DN56,CONCATENATE(GD$10,", "),""))</f>
        <v/>
      </c>
      <c r="GE56" s="632" t="str">
        <f ca="1">IF(INDIRECT(CONCATENATE($FK$12,Fixtures!GE$25))="","",IF(INDIRECT(CONCATENATE($FK$12,Fixtures!GE$25))=Fixtures!$DN56,CONCATENATE(GE$10,", "),""))</f>
        <v/>
      </c>
      <c r="GF56" s="632" t="str">
        <f ca="1">IF(INDIRECT(CONCATENATE($FK$12,Fixtures!GF$25))="","",IF(INDIRECT(CONCATENATE($FK$12,Fixtures!GF$25))=Fixtures!$DN56,CONCATENATE(GF$10,", "),""))</f>
        <v/>
      </c>
      <c r="GG56" s="632" t="str">
        <f ca="1">IF(INDIRECT(CONCATENATE($FK$12,Fixtures!GG$25))="","",IF(INDIRECT(CONCATENATE($FK$12,Fixtures!GG$25))=Fixtures!$DN56,CONCATENATE(GG$10,", "),""))</f>
        <v/>
      </c>
      <c r="GH56" s="632" t="str">
        <f ca="1">IF(INDIRECT(CONCATENATE($FK$12,Fixtures!GH$25))="","",IF(INDIRECT(CONCATENATE($FK$12,Fixtures!GH$25))=Fixtures!$DN56,CONCATENATE(GH$10,", "),""))</f>
        <v/>
      </c>
      <c r="GI56" s="606" t="str">
        <f ca="1">IF(INDIRECT(CONCATENATE($FK$12,Fixtures!GI$25))="","",IF(INDIRECT(CONCATENATE($FK$12,Fixtures!GI$25))=Fixtures!$DN56,CONCATENATE(GI$10,", "),""))</f>
        <v/>
      </c>
      <c r="GJ56" s="607" t="str">
        <f ca="1">IF(INDIRECT(CONCATENATE($FK$12,Fixtures!GJ$25))="","",IF(INDIRECT(CONCATENATE($FK$12,Fixtures!GJ$25))=Fixtures!$DN56,CONCATENATE(GJ$10,", "),""))</f>
        <v/>
      </c>
      <c r="GK56" s="632" t="str">
        <f ca="1">IF(INDIRECT(CONCATENATE($FK$12,Fixtures!GK$25))="","",IF(INDIRECT(CONCATENATE($FK$12,Fixtures!GK$25))=Fixtures!$DN56,CONCATENATE(GK$10,", "),""))</f>
        <v/>
      </c>
      <c r="GL56" s="632" t="str">
        <f ca="1">IF(INDIRECT(CONCATENATE($FK$12,Fixtures!GL$25))="","",IF(INDIRECT(CONCATENATE($FK$12,Fixtures!GL$25))=Fixtures!$DN56,CONCATENATE(GL$10,", "),""))</f>
        <v/>
      </c>
      <c r="GM56" s="632" t="str">
        <f ca="1">IF(INDIRECT(CONCATENATE($FK$12,Fixtures!GM$25))="","",IF(INDIRECT(CONCATENATE($FK$12,Fixtures!GM$25))=Fixtures!$DN56,CONCATENATE(GM$10,", "),""))</f>
        <v/>
      </c>
      <c r="GN56" s="632" t="str">
        <f ca="1">IF(INDIRECT(CONCATENATE($FK$12,Fixtures!GN$25))="","",IF(INDIRECT(CONCATENATE($FK$12,Fixtures!GN$25))=Fixtures!$DN56,CONCATENATE(GN$10,", "),""))</f>
        <v/>
      </c>
      <c r="GO56" s="632" t="str">
        <f ca="1">IF(INDIRECT(CONCATENATE($FK$12,Fixtures!GO$25))="","",IF(INDIRECT(CONCATENATE($FK$12,Fixtures!GO$25))=Fixtures!$DN56,CONCATENATE(GO$10,", "),""))</f>
        <v/>
      </c>
      <c r="GP56" s="632" t="str">
        <f ca="1">IF(INDIRECT(CONCATENATE($FK$12,Fixtures!GP$25))="","",IF(INDIRECT(CONCATENATE($FK$12,Fixtures!GP$25))=Fixtures!$DN56,CONCATENATE(GP$10,", "),""))</f>
        <v/>
      </c>
      <c r="GQ56" s="632" t="str">
        <f ca="1">IF(INDIRECT(CONCATENATE($FK$12,Fixtures!GQ$25))="","",IF(INDIRECT(CONCATENATE($FK$12,Fixtures!GQ$25))=Fixtures!$DN56,CONCATENATE(GQ$10,", "),""))</f>
        <v/>
      </c>
      <c r="GR56" s="632" t="str">
        <f ca="1">IF(INDIRECT(CONCATENATE($FK$12,Fixtures!GR$25))="","",IF(INDIRECT(CONCATENATE($FK$12,Fixtures!GR$25))=Fixtures!$DN56,CONCATENATE(GR$10,", "),""))</f>
        <v/>
      </c>
      <c r="GS56" s="632" t="str">
        <f ca="1">IF(INDIRECT(CONCATENATE($FK$12,Fixtures!GS$25))="","",IF(INDIRECT(CONCATENATE($FK$12,Fixtures!GS$25))=Fixtures!$DN56,CONCATENATE(GS$10,", "),""))</f>
        <v/>
      </c>
      <c r="GT56" s="632" t="str">
        <f ca="1">IF(INDIRECT(CONCATENATE($FK$12,Fixtures!GT$25))="","",IF(INDIRECT(CONCATENATE($FK$12,Fixtures!GT$25))=Fixtures!$DN56,CONCATENATE(GT$10,", "),""))</f>
        <v/>
      </c>
      <c r="GU56" s="632" t="str">
        <f ca="1">IF(INDIRECT(CONCATENATE($FK$12,Fixtures!GU$25))="","",IF(INDIRECT(CONCATENATE($FK$12,Fixtures!GU$25))=Fixtures!$DN56,CONCATENATE(GU$10,", "),""))</f>
        <v/>
      </c>
      <c r="GV56" s="632" t="str">
        <f ca="1">IF(INDIRECT(CONCATENATE($FK$12,Fixtures!GV$25))="","",IF(INDIRECT(CONCATENATE($FK$12,Fixtures!GV$25))=Fixtures!$DN56,CONCATENATE(GV$10,", "),""))</f>
        <v/>
      </c>
      <c r="GW56" s="632" t="str">
        <f ca="1">IF(INDIRECT(CONCATENATE($FK$12,Fixtures!GW$25))="","",IF(INDIRECT(CONCATENATE($FK$12,Fixtures!GW$25))=Fixtures!$DN56,CONCATENATE(GW$10,", "),""))</f>
        <v/>
      </c>
      <c r="GX56" s="606" t="str">
        <f ca="1">IF(INDIRECT(CONCATENATE($FK$12,Fixtures!GX$25))="","",IF(INDIRECT(CONCATENATE($FK$12,Fixtures!GX$25))=Fixtures!$DN56,CONCATENATE(GX$10,", "),""))</f>
        <v/>
      </c>
      <c r="GY56" s="607" t="str">
        <f ca="1">IF(INDIRECT(CONCATENATE($FK$12,Fixtures!GY$25))="","",IF(INDIRECT(CONCATENATE($FK$12,Fixtures!GY$25))=Fixtures!$DN56,CONCATENATE(GY$10,", "),""))</f>
        <v/>
      </c>
      <c r="GZ56" s="632" t="str">
        <f ca="1">IF(INDIRECT(CONCATENATE($FK$12,Fixtures!GZ$25))="","",IF(INDIRECT(CONCATENATE($FK$12,Fixtures!GZ$25))=Fixtures!$DN56,CONCATENATE(GZ$10,", "),""))</f>
        <v/>
      </c>
      <c r="HA56" s="632" t="str">
        <f ca="1">IF(INDIRECT(CONCATENATE($FK$12,Fixtures!HA$25))="","",IF(INDIRECT(CONCATENATE($FK$12,Fixtures!HA$25))=Fixtures!$DN56,CONCATENATE(HA$10,", "),""))</f>
        <v/>
      </c>
      <c r="HB56" s="632" t="str">
        <f ca="1">IF(INDIRECT(CONCATENATE($FK$12,Fixtures!HB$25))="","",IF(INDIRECT(CONCATENATE($FK$12,Fixtures!HB$25))=Fixtures!$DN56,CONCATENATE(HB$10,", "),""))</f>
        <v/>
      </c>
      <c r="HC56" s="632" t="str">
        <f ca="1">IF(INDIRECT(CONCATENATE($FK$12,Fixtures!HC$25))="","",IF(INDIRECT(CONCATENATE($FK$12,Fixtures!HC$25))=Fixtures!$DN56,CONCATENATE(HC$10,", "),""))</f>
        <v/>
      </c>
      <c r="HD56" s="632" t="str">
        <f ca="1">IF(INDIRECT(CONCATENATE($FK$12,Fixtures!HD$25))="","",IF(INDIRECT(CONCATENATE($FK$12,Fixtures!HD$25))=Fixtures!$DN56,CONCATENATE(HD$10,", "),""))</f>
        <v/>
      </c>
      <c r="HE56" s="632" t="str">
        <f ca="1">IF(INDIRECT(CONCATENATE($FK$12,Fixtures!HE$25))="","",IF(INDIRECT(CONCATENATE($FK$12,Fixtures!HE$25))=Fixtures!$DN56,CONCATENATE(HE$10,", "),""))</f>
        <v/>
      </c>
      <c r="HF56" s="632" t="str">
        <f ca="1">IF(INDIRECT(CONCATENATE($FK$12,Fixtures!HF$25))="","",IF(INDIRECT(CONCATENATE($FK$12,Fixtures!HF$25))=Fixtures!$DN56,CONCATENATE(HF$10,", "),""))</f>
        <v/>
      </c>
      <c r="HG56" s="632" t="str">
        <f ca="1">IF(INDIRECT(CONCATENATE($FK$12,Fixtures!HG$25))="","",IF(INDIRECT(CONCATENATE($FK$12,Fixtures!HG$25))=Fixtures!$DN56,CONCATENATE(HG$10,", "),""))</f>
        <v/>
      </c>
      <c r="HH56" s="632" t="str">
        <f ca="1">IF(INDIRECT(CONCATENATE($FK$12,Fixtures!HH$25))="","",IF(INDIRECT(CONCATENATE($FK$12,Fixtures!HH$25))=Fixtures!$DN56,CONCATENATE(HH$10,", "),""))</f>
        <v/>
      </c>
      <c r="HI56" s="632" t="str">
        <f ca="1">IF(INDIRECT(CONCATENATE($FK$12,Fixtures!HI$25))="","",IF(INDIRECT(CONCATENATE($FK$12,Fixtures!HI$25))=Fixtures!$DN56,CONCATENATE(HI$10,", "),""))</f>
        <v/>
      </c>
      <c r="HJ56" s="632" t="str">
        <f ca="1">IF(INDIRECT(CONCATENATE($FK$12,Fixtures!HJ$25))="","",IF(INDIRECT(CONCATENATE($FK$12,Fixtures!HJ$25))=Fixtures!$DN56,CONCATENATE(HJ$10,", "),""))</f>
        <v/>
      </c>
      <c r="HK56" s="632" t="str">
        <f ca="1">IF(INDIRECT(CONCATENATE($FK$12,Fixtures!HK$25))="","",IF(INDIRECT(CONCATENATE($FK$12,Fixtures!HK$25))=Fixtures!$DN56,CONCATENATE(HK$10,", "),""))</f>
        <v/>
      </c>
      <c r="HL56" s="632" t="str">
        <f ca="1">IF(INDIRECT(CONCATENATE($FK$12,Fixtures!HL$25))="","",IF(INDIRECT(CONCATENATE($FK$12,Fixtures!HL$25))=Fixtures!$DN56,CONCATENATE(HL$10,", "),""))</f>
        <v/>
      </c>
      <c r="HM56" s="606" t="str">
        <f ca="1">IF(INDIRECT(CONCATENATE($FK$12,Fixtures!HM$25))="","",IF(INDIRECT(CONCATENATE($FK$12,Fixtures!HM$25))=Fixtures!$DN56,CONCATENATE(HM$10,", "),""))</f>
        <v/>
      </c>
      <c r="HN56" s="607" t="str">
        <f ca="1">IF(INDIRECT(CONCATENATE($FK$12,Fixtures!HN$25))="","",IF(INDIRECT(CONCATENATE($FK$12,Fixtures!HN$25))=Fixtures!$DN56,CONCATENATE(HN$10,", "),""))</f>
        <v/>
      </c>
      <c r="HO56" s="632" t="str">
        <f ca="1">IF(INDIRECT(CONCATENATE($FK$12,Fixtures!HO$25))="","",IF(INDIRECT(CONCATENATE($FK$12,Fixtures!HO$25))=Fixtures!$DN56,CONCATENATE(HO$10,", "),""))</f>
        <v/>
      </c>
      <c r="HP56" s="632" t="str">
        <f ca="1">IF(INDIRECT(CONCATENATE($FK$12,Fixtures!HP$25))="","",IF(INDIRECT(CONCATENATE($FK$12,Fixtures!HP$25))=Fixtures!$DN56,CONCATENATE(HP$10,", "),""))</f>
        <v/>
      </c>
      <c r="HQ56" s="632" t="str">
        <f ca="1">IF(INDIRECT(CONCATENATE($FK$12,Fixtures!HQ$25))="","",IF(INDIRECT(CONCATENATE($FK$12,Fixtures!HQ$25))=Fixtures!$DN56,CONCATENATE(HQ$10,", "),""))</f>
        <v/>
      </c>
      <c r="HR56" s="632" t="str">
        <f ca="1">IF(INDIRECT(CONCATENATE($FK$12,Fixtures!HR$25))="","",IF(INDIRECT(CONCATENATE($FK$12,Fixtures!HR$25))=Fixtures!$DN56,CONCATENATE(HR$10,", "),""))</f>
        <v/>
      </c>
      <c r="HS56" s="632" t="str">
        <f ca="1">IF(INDIRECT(CONCATENATE($FK$12,Fixtures!HS$25))="","",IF(INDIRECT(CONCATENATE($FK$12,Fixtures!HS$25))=Fixtures!$DN56,CONCATENATE(HS$10,", "),""))</f>
        <v/>
      </c>
      <c r="HT56" s="632" t="str">
        <f ca="1">IF(INDIRECT(CONCATENATE($FK$12,Fixtures!HT$25))="","",IF(INDIRECT(CONCATENATE($FK$12,Fixtures!HT$25))=Fixtures!$DN56,CONCATENATE(HT$10,", "),""))</f>
        <v/>
      </c>
      <c r="HU56" s="632" t="str">
        <f ca="1">IF(INDIRECT(CONCATENATE($FK$12,Fixtures!HU$25))="","",IF(INDIRECT(CONCATENATE($FK$12,Fixtures!HU$25))=Fixtures!$DN56,CONCATENATE(HU$10,", "),""))</f>
        <v/>
      </c>
      <c r="HV56" s="632" t="str">
        <f ca="1">IF(INDIRECT(CONCATENATE($FK$12,Fixtures!HV$25))="","",IF(INDIRECT(CONCATENATE($FK$12,Fixtures!HV$25))=Fixtures!$DN56,CONCATENATE(HV$10,", "),""))</f>
        <v/>
      </c>
      <c r="HW56" s="632" t="str">
        <f ca="1">IF(INDIRECT(CONCATENATE($FK$12,Fixtures!HW$25))="","",IF(INDIRECT(CONCATENATE($FK$12,Fixtures!HW$25))=Fixtures!$DN56,CONCATENATE(HW$10,", "),""))</f>
        <v/>
      </c>
      <c r="HX56" s="632" t="str">
        <f ca="1">IF(INDIRECT(CONCATENATE($FK$12,Fixtures!HX$25))="","",IF(INDIRECT(CONCATENATE($FK$12,Fixtures!HX$25))=Fixtures!$DN56,CONCATENATE(HX$10,", "),""))</f>
        <v/>
      </c>
      <c r="HY56" s="632" t="str">
        <f ca="1">IF(INDIRECT(CONCATENATE($FK$12,Fixtures!HY$25))="","",IF(INDIRECT(CONCATENATE($FK$12,Fixtures!HY$25))=Fixtures!$DN56,CONCATENATE(HY$10,", "),""))</f>
        <v/>
      </c>
      <c r="HZ56" s="632" t="str">
        <f ca="1">IF(INDIRECT(CONCATENATE($FK$12,Fixtures!HZ$25))="","",IF(INDIRECT(CONCATENATE($FK$12,Fixtures!HZ$25))=Fixtures!$DN56,CONCATENATE(HZ$10,", "),""))</f>
        <v/>
      </c>
      <c r="IA56" s="632" t="str">
        <f ca="1">IF(INDIRECT(CONCATENATE($FK$12,Fixtures!IA$25))="","",IF(INDIRECT(CONCATENATE($FK$12,Fixtures!IA$25))=Fixtures!$DN56,CONCATENATE(IA$10,", "),""))</f>
        <v/>
      </c>
      <c r="IB56" s="606" t="str">
        <f ca="1">IF(INDIRECT(CONCATENATE($FK$12,Fixtures!IB$25))="","",IF(INDIRECT(CONCATENATE($FK$12,Fixtures!IB$25))=Fixtures!$DN56,CONCATENATE(IB$10,", "),""))</f>
        <v/>
      </c>
      <c r="IC56" s="607" t="str">
        <f ca="1">IF(INDIRECT(CONCATENATE($FK$12,Fixtures!IC$25))="","",IF(INDIRECT(CONCATENATE($FK$12,Fixtures!IC$25))=Fixtures!$DN56,CONCATENATE(IC$10,", "),""))</f>
        <v/>
      </c>
      <c r="ID56" s="632" t="str">
        <f ca="1">IF(INDIRECT(CONCATENATE($FK$12,Fixtures!ID$25))="","",IF(INDIRECT(CONCATENATE($FK$12,Fixtures!ID$25))=Fixtures!$DN56,CONCATENATE(ID$10,", "),""))</f>
        <v/>
      </c>
      <c r="IE56" s="632" t="str">
        <f ca="1">IF(INDIRECT(CONCATENATE($FK$12,Fixtures!IE$25))="","",IF(INDIRECT(CONCATENATE($FK$12,Fixtures!IE$25))=Fixtures!$DN56,CONCATENATE(IE$10,", "),""))</f>
        <v/>
      </c>
      <c r="IF56" s="632" t="str">
        <f ca="1">IF(INDIRECT(CONCATENATE($FK$12,Fixtures!IF$25))="","",IF(INDIRECT(CONCATENATE($FK$12,Fixtures!IF$25))=Fixtures!$DN56,CONCATENATE(IF$10,", "),""))</f>
        <v/>
      </c>
      <c r="IG56" s="632" t="str">
        <f ca="1">IF(INDIRECT(CONCATENATE($FK$12,Fixtures!IG$25))="","",IF(INDIRECT(CONCATENATE($FK$12,Fixtures!IG$25))=Fixtures!$DN56,CONCATENATE(IG$10,", "),""))</f>
        <v/>
      </c>
      <c r="IH56" s="632" t="str">
        <f ca="1">IF(INDIRECT(CONCATENATE($FK$12,Fixtures!IH$25))="","",IF(INDIRECT(CONCATENATE($FK$12,Fixtures!IH$25))=Fixtures!$DN56,CONCATENATE(IH$10,", "),""))</f>
        <v/>
      </c>
      <c r="II56" s="632" t="str">
        <f ca="1">IF(INDIRECT(CONCATENATE($FK$12,Fixtures!II$25))="","",IF(INDIRECT(CONCATENATE($FK$12,Fixtures!II$25))=Fixtures!$DN56,CONCATENATE(II$10,", "),""))</f>
        <v/>
      </c>
      <c r="IJ56" s="632" t="str">
        <f ca="1">IF(INDIRECT(CONCATENATE($FK$12,Fixtures!IJ$25))="","",IF(INDIRECT(CONCATENATE($FK$12,Fixtures!IJ$25))=Fixtures!$DN56,CONCATENATE(IJ$10,", "),""))</f>
        <v/>
      </c>
      <c r="IK56" s="632" t="str">
        <f ca="1">IF(INDIRECT(CONCATENATE($FK$12,Fixtures!IK$25))="","",IF(INDIRECT(CONCATENATE($FK$12,Fixtures!IK$25))=Fixtures!$DN56,CONCATENATE(IK$10,", "),""))</f>
        <v/>
      </c>
      <c r="IL56" s="632" t="str">
        <f ca="1">IF(INDIRECT(CONCATENATE($FK$12,Fixtures!IL$25))="","",IF(INDIRECT(CONCATENATE($FK$12,Fixtures!IL$25))=Fixtures!$DN56,CONCATENATE(IL$10,", "),""))</f>
        <v/>
      </c>
      <c r="IM56" s="632" t="str">
        <f ca="1">IF(INDIRECT(CONCATENATE($FK$12,Fixtures!IM$25))="","",IF(INDIRECT(CONCATENATE($FK$12,Fixtures!IM$25))=Fixtures!$DN56,CONCATENATE(IM$10,", "),""))</f>
        <v/>
      </c>
      <c r="IN56" s="632" t="str">
        <f ca="1">IF(INDIRECT(CONCATENATE($FK$12,Fixtures!IN$25))="","",IF(INDIRECT(CONCATENATE($FK$12,Fixtures!IN$25))=Fixtures!$DN56,CONCATENATE(IN$10,", "),""))</f>
        <v/>
      </c>
      <c r="IO56" s="632" t="str">
        <f ca="1">IF(INDIRECT(CONCATENATE($FK$12,Fixtures!IO$25))="","",IF(INDIRECT(CONCATENATE($FK$12,Fixtures!IO$25))=Fixtures!$DN56,CONCATENATE(IO$10,", "),""))</f>
        <v/>
      </c>
      <c r="IP56" s="632" t="str">
        <f ca="1">IF(INDIRECT(CONCATENATE($FK$12,Fixtures!IP$25))="","",IF(INDIRECT(CONCATENATE($FK$12,Fixtures!IP$25))=Fixtures!$DN56,CONCATENATE(IP$10,", "),""))</f>
        <v/>
      </c>
      <c r="IQ56" s="606" t="str">
        <f ca="1">IF(INDIRECT(CONCATENATE($FK$12,Fixtures!IQ$25))="","",IF(INDIRECT(CONCATENATE($FK$12,Fixtures!IQ$25))=Fixtures!$DN56,CONCATENATE(IQ$10,", "),""))</f>
        <v/>
      </c>
      <c r="IR56" s="607" t="str">
        <f ca="1">IF(INDIRECT(CONCATENATE($FK$12,Fixtures!IR$25))="","",IF(INDIRECT(CONCATENATE($FK$12,Fixtures!IR$25))=Fixtures!$DN56,CONCATENATE(IR$10,", "),""))</f>
        <v/>
      </c>
      <c r="IS56" s="632" t="str">
        <f ca="1">IF(INDIRECT(CONCATENATE($FK$12,Fixtures!IS$25))="","",IF(INDIRECT(CONCATENATE($FK$12,Fixtures!IS$25))=Fixtures!$DN56,CONCATENATE(IS$10,", "),""))</f>
        <v/>
      </c>
      <c r="IT56" s="632" t="str">
        <f ca="1">IF(INDIRECT(CONCATENATE($FK$12,Fixtures!IT$25))="","",IF(INDIRECT(CONCATENATE($FK$12,Fixtures!IT$25))=Fixtures!$DN56,CONCATENATE(IT$10,", "),""))</f>
        <v/>
      </c>
      <c r="IU56" s="632" t="str">
        <f ca="1">IF(INDIRECT(CONCATENATE($FK$12,Fixtures!IU$25))="","",IF(INDIRECT(CONCATENATE($FK$12,Fixtures!IU$25))=Fixtures!$DN56,CONCATENATE(IU$10,", "),""))</f>
        <v/>
      </c>
      <c r="IV56" s="632" t="str">
        <f ca="1">IF(INDIRECT(CONCATENATE($FK$12,Fixtures!IV$25))="","",IF(INDIRECT(CONCATENATE($FK$12,Fixtures!IV$25))=Fixtures!$DN56,CONCATENATE(IV$10,", "),""))</f>
        <v/>
      </c>
      <c r="IW56" s="632" t="str">
        <f ca="1">IF(INDIRECT(CONCATENATE($FK$12,Fixtures!IW$25))="","",IF(INDIRECT(CONCATENATE($FK$12,Fixtures!IW$25))=Fixtures!$DN56,CONCATENATE(IW$10,", "),""))</f>
        <v/>
      </c>
      <c r="IX56" s="632" t="str">
        <f ca="1">IF(INDIRECT(CONCATENATE($FK$12,Fixtures!IX$25))="","",IF(INDIRECT(CONCATENATE($FK$12,Fixtures!IX$25))=Fixtures!$DN56,CONCATENATE(IX$10,", "),""))</f>
        <v/>
      </c>
      <c r="IY56" s="632" t="str">
        <f ca="1">IF(INDIRECT(CONCATENATE($FK$12,Fixtures!IY$25))="","",IF(INDIRECT(CONCATENATE($FK$12,Fixtures!IY$25))=Fixtures!$DN56,CONCATENATE(IY$10,", "),""))</f>
        <v/>
      </c>
      <c r="IZ56" s="632" t="str">
        <f ca="1">IF(INDIRECT(CONCATENATE($FK$12,Fixtures!IZ$25))="","",IF(INDIRECT(CONCATENATE($FK$12,Fixtures!IZ$25))=Fixtures!$DN56,CONCATENATE(IZ$10,", "),""))</f>
        <v/>
      </c>
      <c r="JA56" s="632" t="str">
        <f ca="1">IF(INDIRECT(CONCATENATE($FK$12,Fixtures!JA$25))="","",IF(INDIRECT(CONCATENATE($FK$12,Fixtures!JA$25))=Fixtures!$DN56,CONCATENATE(JA$10,", "),""))</f>
        <v/>
      </c>
      <c r="JB56" s="632" t="str">
        <f ca="1">IF(INDIRECT(CONCATENATE($FK$12,Fixtures!JB$25))="","",IF(INDIRECT(CONCATENATE($FK$12,Fixtures!JB$25))=Fixtures!$DN56,CONCATENATE(JB$10,", "),""))</f>
        <v/>
      </c>
      <c r="JC56" s="632" t="str">
        <f ca="1">IF(INDIRECT(CONCATENATE($FK$12,Fixtures!JC$25))="","",IF(INDIRECT(CONCATENATE($FK$12,Fixtures!JC$25))=Fixtures!$DN56,CONCATENATE(JC$10,", "),""))</f>
        <v/>
      </c>
      <c r="JD56" s="632" t="str">
        <f ca="1">IF(INDIRECT(CONCATENATE($FK$12,Fixtures!JD$25))="","",IF(INDIRECT(CONCATENATE($FK$12,Fixtures!JD$25))=Fixtures!$DN56,CONCATENATE(JD$10,", "),""))</f>
        <v/>
      </c>
      <c r="JE56" s="632" t="str">
        <f ca="1">IF(INDIRECT(CONCATENATE($FK$12,Fixtures!JE$25))="","",IF(INDIRECT(CONCATENATE($FK$12,Fixtures!JE$25))=Fixtures!$DN56,CONCATENATE(JE$10,", "),""))</f>
        <v/>
      </c>
      <c r="JF56" s="606" t="str">
        <f ca="1">IF(INDIRECT(CONCATENATE($FK$12,Fixtures!JF$25))="","",IF(INDIRECT(CONCATENATE($FK$12,Fixtures!JF$25))=Fixtures!$DN56,CONCATENATE(JF$10,", "),""))</f>
        <v/>
      </c>
      <c r="JG56" s="607" t="str">
        <f ca="1">IF(INDIRECT(CONCATENATE($FK$12,Fixtures!JG$25))="","",IF(INDIRECT(CONCATENATE($FK$12,Fixtures!JG$25))=Fixtures!$DN56,CONCATENATE(JG$10,", "),""))</f>
        <v/>
      </c>
      <c r="JH56" s="632" t="str">
        <f ca="1">IF(INDIRECT(CONCATENATE($FK$12,Fixtures!JH$25))="","",IF(INDIRECT(CONCATENATE($FK$12,Fixtures!JH$25))=Fixtures!$DN56,CONCATENATE(JH$10,", "),""))</f>
        <v/>
      </c>
      <c r="JI56" s="632" t="str">
        <f ca="1">IF(INDIRECT(CONCATENATE($FK$12,Fixtures!JI$25))="","",IF(INDIRECT(CONCATENATE($FK$12,Fixtures!JI$25))=Fixtures!$DN56,CONCATENATE(JI$10,", "),""))</f>
        <v/>
      </c>
      <c r="JJ56" s="632" t="str">
        <f ca="1">IF(INDIRECT(CONCATENATE($FK$12,Fixtures!JJ$25))="","",IF(INDIRECT(CONCATENATE($FK$12,Fixtures!JJ$25))=Fixtures!$DN56,CONCATENATE(JJ$10,", "),""))</f>
        <v/>
      </c>
      <c r="JK56" s="632" t="str">
        <f ca="1">IF(INDIRECT(CONCATENATE($FK$12,Fixtures!JK$25))="","",IF(INDIRECT(CONCATENATE($FK$12,Fixtures!JK$25))=Fixtures!$DN56,CONCATENATE(JK$10,", "),""))</f>
        <v/>
      </c>
      <c r="JL56" s="632" t="str">
        <f ca="1">IF(INDIRECT(CONCATENATE($FK$12,Fixtures!JL$25))="","",IF(INDIRECT(CONCATENATE($FK$12,Fixtures!JL$25))=Fixtures!$DN56,CONCATENATE(JL$10,", "),""))</f>
        <v/>
      </c>
      <c r="JM56" s="632" t="str">
        <f ca="1">IF(INDIRECT(CONCATENATE($FK$12,Fixtures!JM$25))="","",IF(INDIRECT(CONCATENATE($FK$12,Fixtures!JM$25))=Fixtures!$DN56,CONCATENATE(JM$10,", "),""))</f>
        <v/>
      </c>
      <c r="JN56" s="632" t="str">
        <f ca="1">IF(INDIRECT(CONCATENATE($FK$12,Fixtures!JN$25))="","",IF(INDIRECT(CONCATENATE($FK$12,Fixtures!JN$25))=Fixtures!$DN56,CONCATENATE(JN$10,", "),""))</f>
        <v/>
      </c>
      <c r="JO56" s="632" t="str">
        <f ca="1">IF(INDIRECT(CONCATENATE($FK$12,Fixtures!JO$25))="","",IF(INDIRECT(CONCATENATE($FK$12,Fixtures!JO$25))=Fixtures!$DN56,CONCATENATE(JO$10,", "),""))</f>
        <v/>
      </c>
      <c r="JP56" s="632" t="str">
        <f ca="1">IF(INDIRECT(CONCATENATE($FK$12,Fixtures!JP$25))="","",IF(INDIRECT(CONCATENATE($FK$12,Fixtures!JP$25))=Fixtures!$DN56,CONCATENATE(JP$10,", "),""))</f>
        <v/>
      </c>
      <c r="JQ56" s="632" t="str">
        <f ca="1">IF(INDIRECT(CONCATENATE($FK$12,Fixtures!JQ$25))="","",IF(INDIRECT(CONCATENATE($FK$12,Fixtures!JQ$25))=Fixtures!$DN56,CONCATENATE(JQ$10,", "),""))</f>
        <v/>
      </c>
      <c r="JR56" s="632" t="str">
        <f ca="1">IF(INDIRECT(CONCATENATE($FK$12,Fixtures!JR$25))="","",IF(INDIRECT(CONCATENATE($FK$12,Fixtures!JR$25))=Fixtures!$DN56,CONCATENATE(JR$10,", "),""))</f>
        <v/>
      </c>
      <c r="JS56" s="632" t="str">
        <f ca="1">IF(INDIRECT(CONCATENATE($FK$12,Fixtures!JS$25))="","",IF(INDIRECT(CONCATENATE($FK$12,Fixtures!JS$25))=Fixtures!$DN56,CONCATENATE(JS$10,", "),""))</f>
        <v/>
      </c>
      <c r="JT56" s="632" t="str">
        <f ca="1">IF(INDIRECT(CONCATENATE($FK$12,Fixtures!JT$25))="","",IF(INDIRECT(CONCATENATE($FK$12,Fixtures!JT$25))=Fixtures!$DN56,CONCATENATE(JT$10,", "),""))</f>
        <v/>
      </c>
      <c r="JU56" s="606" t="str">
        <f ca="1">IF(INDIRECT(CONCATENATE($FK$12,Fixtures!JU$25))="","",IF(INDIRECT(CONCATENATE($FK$12,Fixtures!JU$25))=Fixtures!$DN56,CONCATENATE(JU$10,", "),""))</f>
        <v/>
      </c>
      <c r="JV56" s="607" t="str">
        <f ca="1">IF(INDIRECT(CONCATENATE($FK$12,Fixtures!JV$25))="","",IF(INDIRECT(CONCATENATE($FK$12,Fixtures!JV$25))=Fixtures!$DN56,CONCATENATE(JV$10,", "),""))</f>
        <v/>
      </c>
      <c r="JW56" s="632" t="str">
        <f ca="1">IF(INDIRECT(CONCATENATE($FK$12,Fixtures!JW$25))="","",IF(INDIRECT(CONCATENATE($FK$12,Fixtures!JW$25))=Fixtures!$DN56,CONCATENATE(JW$10,", "),""))</f>
        <v/>
      </c>
      <c r="JX56" s="632" t="str">
        <f ca="1">IF(INDIRECT(CONCATENATE($FK$12,Fixtures!JX$25))="","",IF(INDIRECT(CONCATENATE($FK$12,Fixtures!JX$25))=Fixtures!$DN56,CONCATENATE(JX$10,", "),""))</f>
        <v/>
      </c>
      <c r="JY56" s="632" t="str">
        <f ca="1">IF(INDIRECT(CONCATENATE($FK$12,Fixtures!JY$25))="","",IF(INDIRECT(CONCATENATE($FK$12,Fixtures!JY$25))=Fixtures!$DN56,CONCATENATE(JY$10,", "),""))</f>
        <v/>
      </c>
      <c r="JZ56" s="632" t="str">
        <f ca="1">IF(INDIRECT(CONCATENATE($FK$12,Fixtures!JZ$25))="","",IF(INDIRECT(CONCATENATE($FK$12,Fixtures!JZ$25))=Fixtures!$DN56,CONCATENATE(JZ$10,", "),""))</f>
        <v/>
      </c>
      <c r="KA56" s="632" t="str">
        <f ca="1">IF(INDIRECT(CONCATENATE($FK$12,Fixtures!KA$25))="","",IF(INDIRECT(CONCATENATE($FK$12,Fixtures!KA$25))=Fixtures!$DN56,CONCATENATE(KA$10,", "),""))</f>
        <v/>
      </c>
      <c r="KB56" s="632" t="str">
        <f ca="1">IF(INDIRECT(CONCATENATE($FK$12,Fixtures!KB$25))="","",IF(INDIRECT(CONCATENATE($FK$12,Fixtures!KB$25))=Fixtures!$DN56,CONCATENATE(KB$10,", "),""))</f>
        <v/>
      </c>
      <c r="KC56" s="632" t="str">
        <f ca="1">IF(INDIRECT(CONCATENATE($FK$12,Fixtures!KC$25))="","",IF(INDIRECT(CONCATENATE($FK$12,Fixtures!KC$25))=Fixtures!$DN56,CONCATENATE(KC$10,", "),""))</f>
        <v/>
      </c>
      <c r="KD56" s="632" t="str">
        <f ca="1">IF(INDIRECT(CONCATENATE($FK$12,Fixtures!KD$25))="","",IF(INDIRECT(CONCATENATE($FK$12,Fixtures!KD$25))=Fixtures!$DN56,CONCATENATE(KD$10,", "),""))</f>
        <v/>
      </c>
      <c r="KE56" s="632" t="str">
        <f ca="1">IF(INDIRECT(CONCATENATE($FK$12,Fixtures!KE$25))="","",IF(INDIRECT(CONCATENATE($FK$12,Fixtures!KE$25))=Fixtures!$DN56,CONCATENATE(KE$10,", "),""))</f>
        <v/>
      </c>
      <c r="KF56" s="632" t="str">
        <f ca="1">IF(INDIRECT(CONCATENATE($FK$12,Fixtures!KF$25))="","",IF(INDIRECT(CONCATENATE($FK$12,Fixtures!KF$25))=Fixtures!$DN56,CONCATENATE(KF$10,", "),""))</f>
        <v/>
      </c>
      <c r="KG56" s="632" t="str">
        <f ca="1">IF(INDIRECT(CONCATENATE($FK$12,Fixtures!KG$25))="","",IF(INDIRECT(CONCATENATE($FK$12,Fixtures!KG$25))=Fixtures!$DN56,CONCATENATE(KG$10,", "),""))</f>
        <v/>
      </c>
      <c r="KH56" s="632" t="str">
        <f ca="1">IF(INDIRECT(CONCATENATE($FK$12,Fixtures!KH$25))="","",IF(INDIRECT(CONCATENATE($FK$12,Fixtures!KH$25))=Fixtures!$DN56,CONCATENATE(KH$10,", "),""))</f>
        <v/>
      </c>
      <c r="KI56" s="632" t="str">
        <f ca="1">IF(INDIRECT(CONCATENATE($FK$12,Fixtures!KI$25))="","",IF(INDIRECT(CONCATENATE($FK$12,Fixtures!KI$25))=Fixtures!$DN56,CONCATENATE(KI$10,", "),""))</f>
        <v/>
      </c>
      <c r="KJ56" s="606" t="str">
        <f ca="1">IF(INDIRECT(CONCATENATE($FK$12,Fixtures!KJ$25))="","",IF(INDIRECT(CONCATENATE($FK$12,Fixtures!KJ$25))=Fixtures!$DN56,CONCATENATE(KJ$10,", "),""))</f>
        <v/>
      </c>
      <c r="KK56" s="607" t="str">
        <f ca="1">IF(INDIRECT(CONCATENATE($FK$12,Fixtures!KK$25))="","",IF(INDIRECT(CONCATENATE($FK$12,Fixtures!KK$25))=Fixtures!$DN56,CONCATENATE(KK$10,", "),""))</f>
        <v/>
      </c>
      <c r="KL56" s="632" t="str">
        <f ca="1">IF(INDIRECT(CONCATENATE($FK$12,Fixtures!KL$25))="","",IF(INDIRECT(CONCATENATE($FK$12,Fixtures!KL$25))=Fixtures!$DN56,CONCATENATE(KL$10,", "),""))</f>
        <v/>
      </c>
      <c r="KM56" s="632" t="str">
        <f ca="1">IF(INDIRECT(CONCATENATE($FK$12,Fixtures!KM$25))="","",IF(INDIRECT(CONCATENATE($FK$12,Fixtures!KM$25))=Fixtures!$DN56,CONCATENATE(KM$10,", "),""))</f>
        <v/>
      </c>
      <c r="KN56" s="632" t="str">
        <f ca="1">IF(INDIRECT(CONCATENATE($FK$12,Fixtures!KN$25))="","",IF(INDIRECT(CONCATENATE($FK$12,Fixtures!KN$25))=Fixtures!$DN56,CONCATENATE(KN$10,", "),""))</f>
        <v/>
      </c>
      <c r="KO56" s="632" t="str">
        <f ca="1">IF(INDIRECT(CONCATENATE($FK$12,Fixtures!KO$25))="","",IF(INDIRECT(CONCATENATE($FK$12,Fixtures!KO$25))=Fixtures!$DN56,CONCATENATE(KO$10,", "),""))</f>
        <v/>
      </c>
      <c r="KP56" s="632" t="str">
        <f ca="1">IF(INDIRECT(CONCATENATE($FK$12,Fixtures!KP$25))="","",IF(INDIRECT(CONCATENATE($FK$12,Fixtures!KP$25))=Fixtures!$DN56,CONCATENATE(KP$10,", "),""))</f>
        <v/>
      </c>
      <c r="KQ56" s="632" t="str">
        <f ca="1">IF(INDIRECT(CONCATENATE($FK$12,Fixtures!KQ$25))="","",IF(INDIRECT(CONCATENATE($FK$12,Fixtures!KQ$25))=Fixtures!$DN56,CONCATENATE(KQ$10,", "),""))</f>
        <v/>
      </c>
      <c r="KR56" s="632" t="str">
        <f ca="1">IF(INDIRECT(CONCATENATE($FK$12,Fixtures!KR$25))="","",IF(INDIRECT(CONCATENATE($FK$12,Fixtures!KR$25))=Fixtures!$DN56,CONCATENATE(KR$10,", "),""))</f>
        <v/>
      </c>
      <c r="KS56" s="632" t="str">
        <f ca="1">IF(INDIRECT(CONCATENATE($FK$12,Fixtures!KS$25))="","",IF(INDIRECT(CONCATENATE($FK$12,Fixtures!KS$25))=Fixtures!$DN56,CONCATENATE(KS$10,", "),""))</f>
        <v/>
      </c>
      <c r="KT56" s="632" t="str">
        <f ca="1">IF(INDIRECT(CONCATENATE($FK$12,Fixtures!KT$25))="","",IF(INDIRECT(CONCATENATE($FK$12,Fixtures!KT$25))=Fixtures!$DN56,CONCATENATE(KT$10,", "),""))</f>
        <v/>
      </c>
      <c r="KU56" s="632" t="str">
        <f ca="1">IF(INDIRECT(CONCATENATE($FK$12,Fixtures!KU$25))="","",IF(INDIRECT(CONCATENATE($FK$12,Fixtures!KU$25))=Fixtures!$DN56,CONCATENATE(KU$10,", "),""))</f>
        <v/>
      </c>
      <c r="KV56" s="632" t="str">
        <f ca="1">IF(INDIRECT(CONCATENATE($FK$12,Fixtures!KV$25))="","",IF(INDIRECT(CONCATENATE($FK$12,Fixtures!KV$25))=Fixtures!$DN56,CONCATENATE(KV$10,", "),""))</f>
        <v/>
      </c>
      <c r="KW56" s="632" t="str">
        <f ca="1">IF(INDIRECT(CONCATENATE($FK$12,Fixtures!KW$25))="","",IF(INDIRECT(CONCATENATE($FK$12,Fixtures!KW$25))=Fixtures!$DN56,CONCATENATE(KW$10,", "),""))</f>
        <v/>
      </c>
      <c r="KX56" s="632" t="str">
        <f ca="1">IF(INDIRECT(CONCATENATE($FK$12,Fixtures!KX$25))="","",IF(INDIRECT(CONCATENATE($FK$12,Fixtures!KX$25))=Fixtures!$DN56,CONCATENATE(KX$10,", "),""))</f>
        <v/>
      </c>
      <c r="KY56" s="632"/>
      <c r="KZ56" s="542"/>
      <c r="LA56" s="46" t="str">
        <f t="shared" ca="1" si="7"/>
        <v/>
      </c>
      <c r="LB56" s="46"/>
      <c r="LC56" s="1010"/>
      <c r="LD56" s="1009" t="str">
        <f t="shared" si="20"/>
        <v/>
      </c>
    </row>
    <row r="57" spans="1:316" ht="28.2" customHeight="1" thickTop="1" thickBot="1">
      <c r="A57" s="426" t="str">
        <f t="shared" si="13"/>
        <v/>
      </c>
      <c r="C57" s="1640" t="str">
        <f t="shared" si="14"/>
        <v/>
      </c>
      <c r="D57" s="1641"/>
      <c r="E57" s="1568" t="str">
        <f t="shared" si="15"/>
        <v/>
      </c>
      <c r="F57" s="1569"/>
      <c r="G57" s="1569"/>
      <c r="H57" s="1569"/>
      <c r="I57" s="1569"/>
      <c r="J57" s="1569"/>
      <c r="K57" s="1569"/>
      <c r="L57" s="1569"/>
      <c r="M57" s="1642"/>
      <c r="N57" s="203" t="str">
        <f t="shared" si="16"/>
        <v/>
      </c>
      <c r="O57" s="12"/>
      <c r="P57" s="1638" t="str">
        <f t="shared" si="25"/>
        <v/>
      </c>
      <c r="Q57" s="1639"/>
      <c r="R57" s="1568" t="str">
        <f t="shared" si="30"/>
        <v/>
      </c>
      <c r="S57" s="1569"/>
      <c r="T57" s="1569"/>
      <c r="U57" s="1569"/>
      <c r="V57" s="1569"/>
      <c r="W57" s="1569"/>
      <c r="X57" s="1569"/>
      <c r="Y57" s="203" t="str">
        <f t="shared" si="26"/>
        <v/>
      </c>
      <c r="Z57" s="203" t="str">
        <f t="shared" si="27"/>
        <v/>
      </c>
      <c r="AA57" s="394" t="str">
        <f t="shared" si="28"/>
        <v/>
      </c>
      <c r="AB57" s="489"/>
      <c r="AC57" s="1564" t="str">
        <f t="shared" si="18"/>
        <v/>
      </c>
      <c r="AD57" s="1565"/>
      <c r="AE57" s="1565"/>
      <c r="AF57" s="1565"/>
      <c r="AG57" s="1565"/>
      <c r="AH57" s="1565"/>
      <c r="AK57">
        <f>SUMIFS(Installations!CV$46:CV$803,Installations!CW$46:CW$803,E57,Installations!IC$46:IC$803,TRUE)</f>
        <v>0</v>
      </c>
      <c r="AL57">
        <f>SUMIFS(Installations!CV$46:CV$803,Installations!CW$46:CW$803,R57,Installations!IC$46:IC$803,TRUE)</f>
        <v>0</v>
      </c>
      <c r="BL57" s="9"/>
      <c r="BM57" s="622" t="str">
        <f t="shared" si="19"/>
        <v/>
      </c>
      <c r="BN57" s="52"/>
      <c r="BO57" s="52"/>
      <c r="BP57" s="52"/>
      <c r="BQ57" s="52"/>
      <c r="BR57" s="52"/>
      <c r="BS57" s="52"/>
      <c r="BT57" s="52"/>
      <c r="BU57" s="373"/>
      <c r="BV57" s="219" t="str">
        <f>IF(CN57&lt;&gt;"Yes","",IFERROR(VLOOKUP(CU57,Existing!A$4:F$367,2,FALSE),""))</f>
        <v/>
      </c>
      <c r="BW57" s="9">
        <v>31</v>
      </c>
      <c r="BX57" s="1625"/>
      <c r="BY57" s="1626"/>
      <c r="BZ57" s="1626"/>
      <c r="CA57" s="1627"/>
      <c r="CB57" s="1622"/>
      <c r="CC57" s="1623"/>
      <c r="CD57" s="1623"/>
      <c r="CE57" s="1624"/>
      <c r="CF57" s="1621"/>
      <c r="CG57" s="1621"/>
      <c r="CH57" s="1621"/>
      <c r="CI57" s="1621"/>
      <c r="CJ57" s="1621"/>
      <c r="CK57" s="1621"/>
      <c r="CL57" s="1621"/>
      <c r="CM57" s="1621"/>
      <c r="CN57" s="1553" t="str">
        <f t="shared" si="31"/>
        <v/>
      </c>
      <c r="CO57" s="1554"/>
      <c r="CP57" s="229" t="str">
        <f>IFERROR(IF(CB57="Existing TLED",CR57*CW57*CY57,VLOOKUP(CU57,Existing!A$3:F$356,6,FALSE)),"")</f>
        <v/>
      </c>
      <c r="CQ57" s="9"/>
      <c r="CR57" s="1660"/>
      <c r="CS57" s="1661"/>
      <c r="CT57" s="9"/>
      <c r="CU57" s="425" t="str">
        <f t="shared" si="21"/>
        <v/>
      </c>
      <c r="CV57" s="426" t="b">
        <f t="shared" si="22"/>
        <v>0</v>
      </c>
      <c r="CW57" s="426" t="str">
        <f t="shared" si="23"/>
        <v/>
      </c>
      <c r="CX57" s="426">
        <f>IFERROR(VLOOKUP(CF57,Lookup!T$100:V$102,3,FALSE),0)</f>
        <v>0</v>
      </c>
      <c r="CY57" s="426">
        <f t="shared" si="8"/>
        <v>1.1100000000000001</v>
      </c>
      <c r="CZ57" s="626" t="b">
        <f t="shared" si="1"/>
        <v>0</v>
      </c>
      <c r="DA57" s="626" t="b">
        <f>IF(CF57&lt;&gt;"",IF(ISERROR(MATCH(CONCATENATE(CB57," - ",CF57),Existing!G$4:G$331,0))=TRUE,FALSE,TRUE),TRUE)</f>
        <v>1</v>
      </c>
      <c r="DB57" s="626" t="b">
        <f t="shared" si="2"/>
        <v>1</v>
      </c>
      <c r="DL57" s="9"/>
      <c r="DM57" s="627" t="s">
        <v>215</v>
      </c>
      <c r="DN57" s="375" t="str">
        <f t="shared" si="3"/>
        <v/>
      </c>
      <c r="DO57" s="52"/>
      <c r="DP57" s="52"/>
      <c r="DQ57" s="52"/>
      <c r="DR57" s="52"/>
      <c r="DS57" s="52"/>
      <c r="DT57" s="226"/>
      <c r="DU57" s="376"/>
      <c r="DV57" s="227" t="str">
        <f t="shared" si="4"/>
        <v/>
      </c>
      <c r="DW57" s="224">
        <v>31</v>
      </c>
      <c r="DX57" s="1572"/>
      <c r="DY57" s="1573"/>
      <c r="DZ57" s="1573"/>
      <c r="EA57" s="1574"/>
      <c r="EB57" s="1618"/>
      <c r="EC57" s="1619"/>
      <c r="ED57" s="1619"/>
      <c r="EE57" s="1620"/>
      <c r="EF57" s="1578"/>
      <c r="EG57" s="1579"/>
      <c r="EH57" s="1618"/>
      <c r="EI57" s="1619"/>
      <c r="EJ57" s="1619"/>
      <c r="EK57" s="1620"/>
      <c r="EL57" s="1575"/>
      <c r="EM57" s="1576"/>
      <c r="EN57" s="1576"/>
      <c r="EO57" s="1577"/>
      <c r="EP57" s="1578"/>
      <c r="EQ57" s="1579"/>
      <c r="ER57" s="1555"/>
      <c r="ES57" s="1556"/>
      <c r="ET57" s="1553" t="str">
        <f t="shared" si="9"/>
        <v/>
      </c>
      <c r="EU57" s="1554"/>
      <c r="EV57" s="1553" t="str">
        <f t="shared" si="29"/>
        <v/>
      </c>
      <c r="EW57" s="1554"/>
      <c r="EX57" s="393"/>
      <c r="EY57" s="225" t="str">
        <f t="shared" si="6"/>
        <v/>
      </c>
      <c r="EZ57" s="225" t="str">
        <f>IFERROR(VLOOKUP(EB57,Lookup!AT$3:AU$13,2,FALSE),"")</f>
        <v/>
      </c>
      <c r="FA57" s="426" t="b">
        <f>IFERROR(IF(VLOOKUP(EB57,Lookup!AT$6:AU$8,2,FALSE)&gt;3,TRUE,FALSE),FALSE)</f>
        <v>0</v>
      </c>
      <c r="FB57" s="426" t="str">
        <f t="shared" si="10"/>
        <v/>
      </c>
      <c r="FC57" t="str">
        <f t="shared" ca="1" si="11"/>
        <v/>
      </c>
      <c r="FG57" t="str">
        <f t="shared" ca="1" si="12"/>
        <v/>
      </c>
      <c r="FI57" s="204" t="str">
        <f t="shared" ca="1" si="24"/>
        <v/>
      </c>
      <c r="FK57" s="631" t="str">
        <f ca="1">IF(INDIRECT(CONCATENATE($FK$12,Fixtures!FK$25))="","",IF(INDIRECT(CONCATENATE($FK$12,Fixtures!FK$25))=Fixtures!$DN57,CONCATENATE(FK$10,", "),""))</f>
        <v/>
      </c>
      <c r="FL57" s="631" t="str">
        <f ca="1">IF(INDIRECT(CONCATENATE($FK$12,Fixtures!FL$25))="","",IF(INDIRECT(CONCATENATE($FK$12,Fixtures!FL$25))=Fixtures!$DN57,CONCATENATE(FL$10,", "),""))</f>
        <v/>
      </c>
      <c r="FM57" s="631" t="str">
        <f ca="1">IF(INDIRECT(CONCATENATE($FK$12,Fixtures!FM$25))="","",IF(INDIRECT(CONCATENATE($FK$12,Fixtures!FM$25))=Fixtures!$DN57,CONCATENATE(FM$10,", "),""))</f>
        <v/>
      </c>
      <c r="FN57" s="631" t="str">
        <f ca="1">IF(INDIRECT(CONCATENATE($FK$12,Fixtures!FN$25))="","",IF(INDIRECT(CONCATENATE($FK$12,Fixtures!FN$25))=Fixtures!$DN57,CONCATENATE(FN$10,", "),""))</f>
        <v/>
      </c>
      <c r="FO57" s="631" t="str">
        <f ca="1">IF(INDIRECT(CONCATENATE($FK$12,Fixtures!FO$25))="","",IF(INDIRECT(CONCATENATE($FK$12,Fixtures!FO$25))=Fixtures!$DN57,CONCATENATE(FO$10,", "),""))</f>
        <v/>
      </c>
      <c r="FP57" s="631" t="str">
        <f ca="1">IF(INDIRECT(CONCATENATE($FK$12,Fixtures!FP$25))="","",IF(INDIRECT(CONCATENATE($FK$12,Fixtures!FP$25))=Fixtures!$DN57,CONCATENATE(FP$10,", "),""))</f>
        <v/>
      </c>
      <c r="FQ57" s="631" t="str">
        <f ca="1">IF(INDIRECT(CONCATENATE($FK$12,Fixtures!FQ$25))="","",IF(INDIRECT(CONCATENATE($FK$12,Fixtures!FQ$25))=Fixtures!$DN57,CONCATENATE(FQ$10,", "),""))</f>
        <v/>
      </c>
      <c r="FR57" s="631" t="str">
        <f ca="1">IF(INDIRECT(CONCATENATE($FK$12,Fixtures!FR$25))="","",IF(INDIRECT(CONCATENATE($FK$12,Fixtures!FR$25))=Fixtures!$DN57,CONCATENATE(FR$10,", "),""))</f>
        <v/>
      </c>
      <c r="FS57" s="631" t="str">
        <f ca="1">IF(INDIRECT(CONCATENATE($FK$12,Fixtures!FS$25))="","",IF(INDIRECT(CONCATENATE($FK$12,Fixtures!FS$25))=Fixtures!$DN57,CONCATENATE(FS$10,", "),""))</f>
        <v/>
      </c>
      <c r="FT57" s="604" t="str">
        <f ca="1">IF(INDIRECT(CONCATENATE($FK$12,Fixtures!FT$25))="","",IF(INDIRECT(CONCATENATE($FK$12,Fixtures!FT$25))=Fixtures!$DN57,CONCATENATE(FT$10,", "),""))</f>
        <v/>
      </c>
      <c r="FU57" s="605" t="str">
        <f ca="1">IF(INDIRECT(CONCATENATE($FK$12,Fixtures!FU$25))="","",IF(INDIRECT(CONCATENATE($FK$12,Fixtures!FU$25))=Fixtures!$DN57,CONCATENATE(FU$10,", "),""))</f>
        <v/>
      </c>
      <c r="FV57" s="631" t="str">
        <f ca="1">IF(INDIRECT(CONCATENATE($FK$12,Fixtures!FV$25))="","",IF(INDIRECT(CONCATENATE($FK$12,Fixtures!FV$25))=Fixtures!$DN57,CONCATENATE(FV$10,", "),""))</f>
        <v/>
      </c>
      <c r="FW57" s="632" t="str">
        <f ca="1">IF(INDIRECT(CONCATENATE($FK$12,Fixtures!FW$25))="","",IF(INDIRECT(CONCATENATE($FK$12,Fixtures!FW$25))=Fixtures!$DN57,CONCATENATE(FW$10,", "),""))</f>
        <v/>
      </c>
      <c r="FX57" s="632" t="str">
        <f ca="1">IF(INDIRECT(CONCATENATE($FK$12,Fixtures!FX$25))="","",IF(INDIRECT(CONCATENATE($FK$12,Fixtures!FX$25))=Fixtures!$DN57,CONCATENATE(FX$10,", "),""))</f>
        <v/>
      </c>
      <c r="FY57" s="632" t="str">
        <f ca="1">IF(INDIRECT(CONCATENATE($FK$12,Fixtures!FY$25))="","",IF(INDIRECT(CONCATENATE($FK$12,Fixtures!FY$25))=Fixtures!$DN57,CONCATENATE(FY$10,", "),""))</f>
        <v/>
      </c>
      <c r="FZ57" s="632" t="str">
        <f ca="1">IF(INDIRECT(CONCATENATE($FK$12,Fixtures!FZ$25))="","",IF(INDIRECT(CONCATENATE($FK$12,Fixtures!FZ$25))=Fixtures!$DN57,CONCATENATE(FZ$10,", "),""))</f>
        <v/>
      </c>
      <c r="GA57" s="632" t="str">
        <f ca="1">IF(INDIRECT(CONCATENATE($FK$12,Fixtures!GA$25))="","",IF(INDIRECT(CONCATENATE($FK$12,Fixtures!GA$25))=Fixtures!$DN57,CONCATENATE(GA$10,", "),""))</f>
        <v/>
      </c>
      <c r="GB57" s="632" t="str">
        <f ca="1">IF(INDIRECT(CONCATENATE($FK$12,Fixtures!GB$25))="","",IF(INDIRECT(CONCATENATE($FK$12,Fixtures!GB$25))=Fixtures!$DN57,CONCATENATE(GB$10,", "),""))</f>
        <v/>
      </c>
      <c r="GC57" s="632" t="str">
        <f ca="1">IF(INDIRECT(CONCATENATE($FK$12,Fixtures!GC$25))="","",IF(INDIRECT(CONCATENATE($FK$12,Fixtures!GC$25))=Fixtures!$DN57,CONCATENATE(GC$10,", "),""))</f>
        <v/>
      </c>
      <c r="GD57" s="632" t="str">
        <f ca="1">IF(INDIRECT(CONCATENATE($FK$12,Fixtures!GD$25))="","",IF(INDIRECT(CONCATENATE($FK$12,Fixtures!GD$25))=Fixtures!$DN57,CONCATENATE(GD$10,", "),""))</f>
        <v/>
      </c>
      <c r="GE57" s="632" t="str">
        <f ca="1">IF(INDIRECT(CONCATENATE($FK$12,Fixtures!GE$25))="","",IF(INDIRECT(CONCATENATE($FK$12,Fixtures!GE$25))=Fixtures!$DN57,CONCATENATE(GE$10,", "),""))</f>
        <v/>
      </c>
      <c r="GF57" s="632" t="str">
        <f ca="1">IF(INDIRECT(CONCATENATE($FK$12,Fixtures!GF$25))="","",IF(INDIRECT(CONCATENATE($FK$12,Fixtures!GF$25))=Fixtures!$DN57,CONCATENATE(GF$10,", "),""))</f>
        <v/>
      </c>
      <c r="GG57" s="632" t="str">
        <f ca="1">IF(INDIRECT(CONCATENATE($FK$12,Fixtures!GG$25))="","",IF(INDIRECT(CONCATENATE($FK$12,Fixtures!GG$25))=Fixtures!$DN57,CONCATENATE(GG$10,", "),""))</f>
        <v/>
      </c>
      <c r="GH57" s="632" t="str">
        <f ca="1">IF(INDIRECT(CONCATENATE($FK$12,Fixtures!GH$25))="","",IF(INDIRECT(CONCATENATE($FK$12,Fixtures!GH$25))=Fixtures!$DN57,CONCATENATE(GH$10,", "),""))</f>
        <v/>
      </c>
      <c r="GI57" s="606" t="str">
        <f ca="1">IF(INDIRECT(CONCATENATE($FK$12,Fixtures!GI$25))="","",IF(INDIRECT(CONCATENATE($FK$12,Fixtures!GI$25))=Fixtures!$DN57,CONCATENATE(GI$10,", "),""))</f>
        <v/>
      </c>
      <c r="GJ57" s="607" t="str">
        <f ca="1">IF(INDIRECT(CONCATENATE($FK$12,Fixtures!GJ$25))="","",IF(INDIRECT(CONCATENATE($FK$12,Fixtures!GJ$25))=Fixtures!$DN57,CONCATENATE(GJ$10,", "),""))</f>
        <v/>
      </c>
      <c r="GK57" s="632" t="str">
        <f ca="1">IF(INDIRECT(CONCATENATE($FK$12,Fixtures!GK$25))="","",IF(INDIRECT(CONCATENATE($FK$12,Fixtures!GK$25))=Fixtures!$DN57,CONCATENATE(GK$10,", "),""))</f>
        <v/>
      </c>
      <c r="GL57" s="632" t="str">
        <f ca="1">IF(INDIRECT(CONCATENATE($FK$12,Fixtures!GL$25))="","",IF(INDIRECT(CONCATENATE($FK$12,Fixtures!GL$25))=Fixtures!$DN57,CONCATENATE(GL$10,", "),""))</f>
        <v/>
      </c>
      <c r="GM57" s="632" t="str">
        <f ca="1">IF(INDIRECT(CONCATENATE($FK$12,Fixtures!GM$25))="","",IF(INDIRECT(CONCATENATE($FK$12,Fixtures!GM$25))=Fixtures!$DN57,CONCATENATE(GM$10,", "),""))</f>
        <v/>
      </c>
      <c r="GN57" s="632" t="str">
        <f ca="1">IF(INDIRECT(CONCATENATE($FK$12,Fixtures!GN$25))="","",IF(INDIRECT(CONCATENATE($FK$12,Fixtures!GN$25))=Fixtures!$DN57,CONCATENATE(GN$10,", "),""))</f>
        <v/>
      </c>
      <c r="GO57" s="632" t="str">
        <f ca="1">IF(INDIRECT(CONCATENATE($FK$12,Fixtures!GO$25))="","",IF(INDIRECT(CONCATENATE($FK$12,Fixtures!GO$25))=Fixtures!$DN57,CONCATENATE(GO$10,", "),""))</f>
        <v/>
      </c>
      <c r="GP57" s="632" t="str">
        <f ca="1">IF(INDIRECT(CONCATENATE($FK$12,Fixtures!GP$25))="","",IF(INDIRECT(CONCATENATE($FK$12,Fixtures!GP$25))=Fixtures!$DN57,CONCATENATE(GP$10,", "),""))</f>
        <v/>
      </c>
      <c r="GQ57" s="632" t="str">
        <f ca="1">IF(INDIRECT(CONCATENATE($FK$12,Fixtures!GQ$25))="","",IF(INDIRECT(CONCATENATE($FK$12,Fixtures!GQ$25))=Fixtures!$DN57,CONCATENATE(GQ$10,", "),""))</f>
        <v/>
      </c>
      <c r="GR57" s="632" t="str">
        <f ca="1">IF(INDIRECT(CONCATENATE($FK$12,Fixtures!GR$25))="","",IF(INDIRECT(CONCATENATE($FK$12,Fixtures!GR$25))=Fixtures!$DN57,CONCATENATE(GR$10,", "),""))</f>
        <v/>
      </c>
      <c r="GS57" s="632" t="str">
        <f ca="1">IF(INDIRECT(CONCATENATE($FK$12,Fixtures!GS$25))="","",IF(INDIRECT(CONCATENATE($FK$12,Fixtures!GS$25))=Fixtures!$DN57,CONCATENATE(GS$10,", "),""))</f>
        <v/>
      </c>
      <c r="GT57" s="632" t="str">
        <f ca="1">IF(INDIRECT(CONCATENATE($FK$12,Fixtures!GT$25))="","",IF(INDIRECT(CONCATENATE($FK$12,Fixtures!GT$25))=Fixtures!$DN57,CONCATENATE(GT$10,", "),""))</f>
        <v/>
      </c>
      <c r="GU57" s="632" t="str">
        <f ca="1">IF(INDIRECT(CONCATENATE($FK$12,Fixtures!GU$25))="","",IF(INDIRECT(CONCATENATE($FK$12,Fixtures!GU$25))=Fixtures!$DN57,CONCATENATE(GU$10,", "),""))</f>
        <v/>
      </c>
      <c r="GV57" s="632" t="str">
        <f ca="1">IF(INDIRECT(CONCATENATE($FK$12,Fixtures!GV$25))="","",IF(INDIRECT(CONCATENATE($FK$12,Fixtures!GV$25))=Fixtures!$DN57,CONCATENATE(GV$10,", "),""))</f>
        <v/>
      </c>
      <c r="GW57" s="632" t="str">
        <f ca="1">IF(INDIRECT(CONCATENATE($FK$12,Fixtures!GW$25))="","",IF(INDIRECT(CONCATENATE($FK$12,Fixtures!GW$25))=Fixtures!$DN57,CONCATENATE(GW$10,", "),""))</f>
        <v/>
      </c>
      <c r="GX57" s="606" t="str">
        <f ca="1">IF(INDIRECT(CONCATENATE($FK$12,Fixtures!GX$25))="","",IF(INDIRECT(CONCATENATE($FK$12,Fixtures!GX$25))=Fixtures!$DN57,CONCATENATE(GX$10,", "),""))</f>
        <v/>
      </c>
      <c r="GY57" s="607" t="str">
        <f ca="1">IF(INDIRECT(CONCATENATE($FK$12,Fixtures!GY$25))="","",IF(INDIRECT(CONCATENATE($FK$12,Fixtures!GY$25))=Fixtures!$DN57,CONCATENATE(GY$10,", "),""))</f>
        <v/>
      </c>
      <c r="GZ57" s="632" t="str">
        <f ca="1">IF(INDIRECT(CONCATENATE($FK$12,Fixtures!GZ$25))="","",IF(INDIRECT(CONCATENATE($FK$12,Fixtures!GZ$25))=Fixtures!$DN57,CONCATENATE(GZ$10,", "),""))</f>
        <v/>
      </c>
      <c r="HA57" s="632" t="str">
        <f ca="1">IF(INDIRECT(CONCATENATE($FK$12,Fixtures!HA$25))="","",IF(INDIRECT(CONCATENATE($FK$12,Fixtures!HA$25))=Fixtures!$DN57,CONCATENATE(HA$10,", "),""))</f>
        <v/>
      </c>
      <c r="HB57" s="632" t="str">
        <f ca="1">IF(INDIRECT(CONCATENATE($FK$12,Fixtures!HB$25))="","",IF(INDIRECT(CONCATENATE($FK$12,Fixtures!HB$25))=Fixtures!$DN57,CONCATENATE(HB$10,", "),""))</f>
        <v/>
      </c>
      <c r="HC57" s="632" t="str">
        <f ca="1">IF(INDIRECT(CONCATENATE($FK$12,Fixtures!HC$25))="","",IF(INDIRECT(CONCATENATE($FK$12,Fixtures!HC$25))=Fixtures!$DN57,CONCATENATE(HC$10,", "),""))</f>
        <v/>
      </c>
      <c r="HD57" s="632" t="str">
        <f ca="1">IF(INDIRECT(CONCATENATE($FK$12,Fixtures!HD$25))="","",IF(INDIRECT(CONCATENATE($FK$12,Fixtures!HD$25))=Fixtures!$DN57,CONCATENATE(HD$10,", "),""))</f>
        <v/>
      </c>
      <c r="HE57" s="632" t="str">
        <f ca="1">IF(INDIRECT(CONCATENATE($FK$12,Fixtures!HE$25))="","",IF(INDIRECT(CONCATENATE($FK$12,Fixtures!HE$25))=Fixtures!$DN57,CONCATENATE(HE$10,", "),""))</f>
        <v/>
      </c>
      <c r="HF57" s="632" t="str">
        <f ca="1">IF(INDIRECT(CONCATENATE($FK$12,Fixtures!HF$25))="","",IF(INDIRECT(CONCATENATE($FK$12,Fixtures!HF$25))=Fixtures!$DN57,CONCATENATE(HF$10,", "),""))</f>
        <v/>
      </c>
      <c r="HG57" s="632" t="str">
        <f ca="1">IF(INDIRECT(CONCATENATE($FK$12,Fixtures!HG$25))="","",IF(INDIRECT(CONCATENATE($FK$12,Fixtures!HG$25))=Fixtures!$DN57,CONCATENATE(HG$10,", "),""))</f>
        <v/>
      </c>
      <c r="HH57" s="632" t="str">
        <f ca="1">IF(INDIRECT(CONCATENATE($FK$12,Fixtures!HH$25))="","",IF(INDIRECT(CONCATENATE($FK$12,Fixtures!HH$25))=Fixtures!$DN57,CONCATENATE(HH$10,", "),""))</f>
        <v/>
      </c>
      <c r="HI57" s="632" t="str">
        <f ca="1">IF(INDIRECT(CONCATENATE($FK$12,Fixtures!HI$25))="","",IF(INDIRECT(CONCATENATE($FK$12,Fixtures!HI$25))=Fixtures!$DN57,CONCATENATE(HI$10,", "),""))</f>
        <v/>
      </c>
      <c r="HJ57" s="632" t="str">
        <f ca="1">IF(INDIRECT(CONCATENATE($FK$12,Fixtures!HJ$25))="","",IF(INDIRECT(CONCATENATE($FK$12,Fixtures!HJ$25))=Fixtures!$DN57,CONCATENATE(HJ$10,", "),""))</f>
        <v/>
      </c>
      <c r="HK57" s="632" t="str">
        <f ca="1">IF(INDIRECT(CONCATENATE($FK$12,Fixtures!HK$25))="","",IF(INDIRECT(CONCATENATE($FK$12,Fixtures!HK$25))=Fixtures!$DN57,CONCATENATE(HK$10,", "),""))</f>
        <v/>
      </c>
      <c r="HL57" s="632" t="str">
        <f ca="1">IF(INDIRECT(CONCATENATE($FK$12,Fixtures!HL$25))="","",IF(INDIRECT(CONCATENATE($FK$12,Fixtures!HL$25))=Fixtures!$DN57,CONCATENATE(HL$10,", "),""))</f>
        <v/>
      </c>
      <c r="HM57" s="606" t="str">
        <f ca="1">IF(INDIRECT(CONCATENATE($FK$12,Fixtures!HM$25))="","",IF(INDIRECT(CONCATENATE($FK$12,Fixtures!HM$25))=Fixtures!$DN57,CONCATENATE(HM$10,", "),""))</f>
        <v/>
      </c>
      <c r="HN57" s="607" t="str">
        <f ca="1">IF(INDIRECT(CONCATENATE($FK$12,Fixtures!HN$25))="","",IF(INDIRECT(CONCATENATE($FK$12,Fixtures!HN$25))=Fixtures!$DN57,CONCATENATE(HN$10,", "),""))</f>
        <v/>
      </c>
      <c r="HO57" s="632" t="str">
        <f ca="1">IF(INDIRECT(CONCATENATE($FK$12,Fixtures!HO$25))="","",IF(INDIRECT(CONCATENATE($FK$12,Fixtures!HO$25))=Fixtures!$DN57,CONCATENATE(HO$10,", "),""))</f>
        <v/>
      </c>
      <c r="HP57" s="632" t="str">
        <f ca="1">IF(INDIRECT(CONCATENATE($FK$12,Fixtures!HP$25))="","",IF(INDIRECT(CONCATENATE($FK$12,Fixtures!HP$25))=Fixtures!$DN57,CONCATENATE(HP$10,", "),""))</f>
        <v/>
      </c>
      <c r="HQ57" s="632" t="str">
        <f ca="1">IF(INDIRECT(CONCATENATE($FK$12,Fixtures!HQ$25))="","",IF(INDIRECT(CONCATENATE($FK$12,Fixtures!HQ$25))=Fixtures!$DN57,CONCATENATE(HQ$10,", "),""))</f>
        <v/>
      </c>
      <c r="HR57" s="632" t="str">
        <f ca="1">IF(INDIRECT(CONCATENATE($FK$12,Fixtures!HR$25))="","",IF(INDIRECT(CONCATENATE($FK$12,Fixtures!HR$25))=Fixtures!$DN57,CONCATENATE(HR$10,", "),""))</f>
        <v/>
      </c>
      <c r="HS57" s="632" t="str">
        <f ca="1">IF(INDIRECT(CONCATENATE($FK$12,Fixtures!HS$25))="","",IF(INDIRECT(CONCATENATE($FK$12,Fixtures!HS$25))=Fixtures!$DN57,CONCATENATE(HS$10,", "),""))</f>
        <v/>
      </c>
      <c r="HT57" s="632" t="str">
        <f ca="1">IF(INDIRECT(CONCATENATE($FK$12,Fixtures!HT$25))="","",IF(INDIRECT(CONCATENATE($FK$12,Fixtures!HT$25))=Fixtures!$DN57,CONCATENATE(HT$10,", "),""))</f>
        <v/>
      </c>
      <c r="HU57" s="632" t="str">
        <f ca="1">IF(INDIRECT(CONCATENATE($FK$12,Fixtures!HU$25))="","",IF(INDIRECT(CONCATENATE($FK$12,Fixtures!HU$25))=Fixtures!$DN57,CONCATENATE(HU$10,", "),""))</f>
        <v/>
      </c>
      <c r="HV57" s="632" t="str">
        <f ca="1">IF(INDIRECT(CONCATENATE($FK$12,Fixtures!HV$25))="","",IF(INDIRECT(CONCATENATE($FK$12,Fixtures!HV$25))=Fixtures!$DN57,CONCATENATE(HV$10,", "),""))</f>
        <v/>
      </c>
      <c r="HW57" s="632" t="str">
        <f ca="1">IF(INDIRECT(CONCATENATE($FK$12,Fixtures!HW$25))="","",IF(INDIRECT(CONCATENATE($FK$12,Fixtures!HW$25))=Fixtures!$DN57,CONCATENATE(HW$10,", "),""))</f>
        <v/>
      </c>
      <c r="HX57" s="632" t="str">
        <f ca="1">IF(INDIRECT(CONCATENATE($FK$12,Fixtures!HX$25))="","",IF(INDIRECT(CONCATENATE($FK$12,Fixtures!HX$25))=Fixtures!$DN57,CONCATENATE(HX$10,", "),""))</f>
        <v/>
      </c>
      <c r="HY57" s="632" t="str">
        <f ca="1">IF(INDIRECT(CONCATENATE($FK$12,Fixtures!HY$25))="","",IF(INDIRECT(CONCATENATE($FK$12,Fixtures!HY$25))=Fixtures!$DN57,CONCATENATE(HY$10,", "),""))</f>
        <v/>
      </c>
      <c r="HZ57" s="632" t="str">
        <f ca="1">IF(INDIRECT(CONCATENATE($FK$12,Fixtures!HZ$25))="","",IF(INDIRECT(CONCATENATE($FK$12,Fixtures!HZ$25))=Fixtures!$DN57,CONCATENATE(HZ$10,", "),""))</f>
        <v/>
      </c>
      <c r="IA57" s="632" t="str">
        <f ca="1">IF(INDIRECT(CONCATENATE($FK$12,Fixtures!IA$25))="","",IF(INDIRECT(CONCATENATE($FK$12,Fixtures!IA$25))=Fixtures!$DN57,CONCATENATE(IA$10,", "),""))</f>
        <v/>
      </c>
      <c r="IB57" s="606" t="str">
        <f ca="1">IF(INDIRECT(CONCATENATE($FK$12,Fixtures!IB$25))="","",IF(INDIRECT(CONCATENATE($FK$12,Fixtures!IB$25))=Fixtures!$DN57,CONCATENATE(IB$10,", "),""))</f>
        <v/>
      </c>
      <c r="IC57" s="607" t="str">
        <f ca="1">IF(INDIRECT(CONCATENATE($FK$12,Fixtures!IC$25))="","",IF(INDIRECT(CONCATENATE($FK$12,Fixtures!IC$25))=Fixtures!$DN57,CONCATENATE(IC$10,", "),""))</f>
        <v/>
      </c>
      <c r="ID57" s="632" t="str">
        <f ca="1">IF(INDIRECT(CONCATENATE($FK$12,Fixtures!ID$25))="","",IF(INDIRECT(CONCATENATE($FK$12,Fixtures!ID$25))=Fixtures!$DN57,CONCATENATE(ID$10,", "),""))</f>
        <v/>
      </c>
      <c r="IE57" s="632" t="str">
        <f ca="1">IF(INDIRECT(CONCATENATE($FK$12,Fixtures!IE$25))="","",IF(INDIRECT(CONCATENATE($FK$12,Fixtures!IE$25))=Fixtures!$DN57,CONCATENATE(IE$10,", "),""))</f>
        <v/>
      </c>
      <c r="IF57" s="632" t="str">
        <f ca="1">IF(INDIRECT(CONCATENATE($FK$12,Fixtures!IF$25))="","",IF(INDIRECT(CONCATENATE($FK$12,Fixtures!IF$25))=Fixtures!$DN57,CONCATENATE(IF$10,", "),""))</f>
        <v/>
      </c>
      <c r="IG57" s="632" t="str">
        <f ca="1">IF(INDIRECT(CONCATENATE($FK$12,Fixtures!IG$25))="","",IF(INDIRECT(CONCATENATE($FK$12,Fixtures!IG$25))=Fixtures!$DN57,CONCATENATE(IG$10,", "),""))</f>
        <v/>
      </c>
      <c r="IH57" s="632" t="str">
        <f ca="1">IF(INDIRECT(CONCATENATE($FK$12,Fixtures!IH$25))="","",IF(INDIRECT(CONCATENATE($FK$12,Fixtures!IH$25))=Fixtures!$DN57,CONCATENATE(IH$10,", "),""))</f>
        <v/>
      </c>
      <c r="II57" s="632" t="str">
        <f ca="1">IF(INDIRECT(CONCATENATE($FK$12,Fixtures!II$25))="","",IF(INDIRECT(CONCATENATE($FK$12,Fixtures!II$25))=Fixtures!$DN57,CONCATENATE(II$10,", "),""))</f>
        <v/>
      </c>
      <c r="IJ57" s="632" t="str">
        <f ca="1">IF(INDIRECT(CONCATENATE($FK$12,Fixtures!IJ$25))="","",IF(INDIRECT(CONCATENATE($FK$12,Fixtures!IJ$25))=Fixtures!$DN57,CONCATENATE(IJ$10,", "),""))</f>
        <v/>
      </c>
      <c r="IK57" s="632" t="str">
        <f ca="1">IF(INDIRECT(CONCATENATE($FK$12,Fixtures!IK$25))="","",IF(INDIRECT(CONCATENATE($FK$12,Fixtures!IK$25))=Fixtures!$DN57,CONCATENATE(IK$10,", "),""))</f>
        <v/>
      </c>
      <c r="IL57" s="632" t="str">
        <f ca="1">IF(INDIRECT(CONCATENATE($FK$12,Fixtures!IL$25))="","",IF(INDIRECT(CONCATENATE($FK$12,Fixtures!IL$25))=Fixtures!$DN57,CONCATENATE(IL$10,", "),""))</f>
        <v/>
      </c>
      <c r="IM57" s="632" t="str">
        <f ca="1">IF(INDIRECT(CONCATENATE($FK$12,Fixtures!IM$25))="","",IF(INDIRECT(CONCATENATE($FK$12,Fixtures!IM$25))=Fixtures!$DN57,CONCATENATE(IM$10,", "),""))</f>
        <v/>
      </c>
      <c r="IN57" s="632" t="str">
        <f ca="1">IF(INDIRECT(CONCATENATE($FK$12,Fixtures!IN$25))="","",IF(INDIRECT(CONCATENATE($FK$12,Fixtures!IN$25))=Fixtures!$DN57,CONCATENATE(IN$10,", "),""))</f>
        <v/>
      </c>
      <c r="IO57" s="632" t="str">
        <f ca="1">IF(INDIRECT(CONCATENATE($FK$12,Fixtures!IO$25))="","",IF(INDIRECT(CONCATENATE($FK$12,Fixtures!IO$25))=Fixtures!$DN57,CONCATENATE(IO$10,", "),""))</f>
        <v/>
      </c>
      <c r="IP57" s="632" t="str">
        <f ca="1">IF(INDIRECT(CONCATENATE($FK$12,Fixtures!IP$25))="","",IF(INDIRECT(CONCATENATE($FK$12,Fixtures!IP$25))=Fixtures!$DN57,CONCATENATE(IP$10,", "),""))</f>
        <v/>
      </c>
      <c r="IQ57" s="606" t="str">
        <f ca="1">IF(INDIRECT(CONCATENATE($FK$12,Fixtures!IQ$25))="","",IF(INDIRECT(CONCATENATE($FK$12,Fixtures!IQ$25))=Fixtures!$DN57,CONCATENATE(IQ$10,", "),""))</f>
        <v/>
      </c>
      <c r="IR57" s="607" t="str">
        <f ca="1">IF(INDIRECT(CONCATENATE($FK$12,Fixtures!IR$25))="","",IF(INDIRECT(CONCATENATE($FK$12,Fixtures!IR$25))=Fixtures!$DN57,CONCATENATE(IR$10,", "),""))</f>
        <v/>
      </c>
      <c r="IS57" s="632" t="str">
        <f ca="1">IF(INDIRECT(CONCATENATE($FK$12,Fixtures!IS$25))="","",IF(INDIRECT(CONCATENATE($FK$12,Fixtures!IS$25))=Fixtures!$DN57,CONCATENATE(IS$10,", "),""))</f>
        <v/>
      </c>
      <c r="IT57" s="632" t="str">
        <f ca="1">IF(INDIRECT(CONCATENATE($FK$12,Fixtures!IT$25))="","",IF(INDIRECT(CONCATENATE($FK$12,Fixtures!IT$25))=Fixtures!$DN57,CONCATENATE(IT$10,", "),""))</f>
        <v/>
      </c>
      <c r="IU57" s="632" t="str">
        <f ca="1">IF(INDIRECT(CONCATENATE($FK$12,Fixtures!IU$25))="","",IF(INDIRECT(CONCATENATE($FK$12,Fixtures!IU$25))=Fixtures!$DN57,CONCATENATE(IU$10,", "),""))</f>
        <v/>
      </c>
      <c r="IV57" s="632" t="str">
        <f ca="1">IF(INDIRECT(CONCATENATE($FK$12,Fixtures!IV$25))="","",IF(INDIRECT(CONCATENATE($FK$12,Fixtures!IV$25))=Fixtures!$DN57,CONCATENATE(IV$10,", "),""))</f>
        <v/>
      </c>
      <c r="IW57" s="632" t="str">
        <f ca="1">IF(INDIRECT(CONCATENATE($FK$12,Fixtures!IW$25))="","",IF(INDIRECT(CONCATENATE($FK$12,Fixtures!IW$25))=Fixtures!$DN57,CONCATENATE(IW$10,", "),""))</f>
        <v/>
      </c>
      <c r="IX57" s="632" t="str">
        <f ca="1">IF(INDIRECT(CONCATENATE($FK$12,Fixtures!IX$25))="","",IF(INDIRECT(CONCATENATE($FK$12,Fixtures!IX$25))=Fixtures!$DN57,CONCATENATE(IX$10,", "),""))</f>
        <v/>
      </c>
      <c r="IY57" s="632" t="str">
        <f ca="1">IF(INDIRECT(CONCATENATE($FK$12,Fixtures!IY$25))="","",IF(INDIRECT(CONCATENATE($FK$12,Fixtures!IY$25))=Fixtures!$DN57,CONCATENATE(IY$10,", "),""))</f>
        <v/>
      </c>
      <c r="IZ57" s="632" t="str">
        <f ca="1">IF(INDIRECT(CONCATENATE($FK$12,Fixtures!IZ$25))="","",IF(INDIRECT(CONCATENATE($FK$12,Fixtures!IZ$25))=Fixtures!$DN57,CONCATENATE(IZ$10,", "),""))</f>
        <v/>
      </c>
      <c r="JA57" s="632" t="str">
        <f ca="1">IF(INDIRECT(CONCATENATE($FK$12,Fixtures!JA$25))="","",IF(INDIRECT(CONCATENATE($FK$12,Fixtures!JA$25))=Fixtures!$DN57,CONCATENATE(JA$10,", "),""))</f>
        <v/>
      </c>
      <c r="JB57" s="632" t="str">
        <f ca="1">IF(INDIRECT(CONCATENATE($FK$12,Fixtures!JB$25))="","",IF(INDIRECT(CONCATENATE($FK$12,Fixtures!JB$25))=Fixtures!$DN57,CONCATENATE(JB$10,", "),""))</f>
        <v/>
      </c>
      <c r="JC57" s="632" t="str">
        <f ca="1">IF(INDIRECT(CONCATENATE($FK$12,Fixtures!JC$25))="","",IF(INDIRECT(CONCATENATE($FK$12,Fixtures!JC$25))=Fixtures!$DN57,CONCATENATE(JC$10,", "),""))</f>
        <v/>
      </c>
      <c r="JD57" s="632" t="str">
        <f ca="1">IF(INDIRECT(CONCATENATE($FK$12,Fixtures!JD$25))="","",IF(INDIRECT(CONCATENATE($FK$12,Fixtures!JD$25))=Fixtures!$DN57,CONCATENATE(JD$10,", "),""))</f>
        <v/>
      </c>
      <c r="JE57" s="632" t="str">
        <f ca="1">IF(INDIRECT(CONCATENATE($FK$12,Fixtures!JE$25))="","",IF(INDIRECT(CONCATENATE($FK$12,Fixtures!JE$25))=Fixtures!$DN57,CONCATENATE(JE$10,", "),""))</f>
        <v/>
      </c>
      <c r="JF57" s="606" t="str">
        <f ca="1">IF(INDIRECT(CONCATENATE($FK$12,Fixtures!JF$25))="","",IF(INDIRECT(CONCATENATE($FK$12,Fixtures!JF$25))=Fixtures!$DN57,CONCATENATE(JF$10,", "),""))</f>
        <v/>
      </c>
      <c r="JG57" s="607" t="str">
        <f ca="1">IF(INDIRECT(CONCATENATE($FK$12,Fixtures!JG$25))="","",IF(INDIRECT(CONCATENATE($FK$12,Fixtures!JG$25))=Fixtures!$DN57,CONCATENATE(JG$10,", "),""))</f>
        <v/>
      </c>
      <c r="JH57" s="632" t="str">
        <f ca="1">IF(INDIRECT(CONCATENATE($FK$12,Fixtures!JH$25))="","",IF(INDIRECT(CONCATENATE($FK$12,Fixtures!JH$25))=Fixtures!$DN57,CONCATENATE(JH$10,", "),""))</f>
        <v/>
      </c>
      <c r="JI57" s="632" t="str">
        <f ca="1">IF(INDIRECT(CONCATENATE($FK$12,Fixtures!JI$25))="","",IF(INDIRECT(CONCATENATE($FK$12,Fixtures!JI$25))=Fixtures!$DN57,CONCATENATE(JI$10,", "),""))</f>
        <v/>
      </c>
      <c r="JJ57" s="632" t="str">
        <f ca="1">IF(INDIRECT(CONCATENATE($FK$12,Fixtures!JJ$25))="","",IF(INDIRECT(CONCATENATE($FK$12,Fixtures!JJ$25))=Fixtures!$DN57,CONCATENATE(JJ$10,", "),""))</f>
        <v/>
      </c>
      <c r="JK57" s="632" t="str">
        <f ca="1">IF(INDIRECT(CONCATENATE($FK$12,Fixtures!JK$25))="","",IF(INDIRECT(CONCATENATE($FK$12,Fixtures!JK$25))=Fixtures!$DN57,CONCATENATE(JK$10,", "),""))</f>
        <v/>
      </c>
      <c r="JL57" s="632" t="str">
        <f ca="1">IF(INDIRECT(CONCATENATE($FK$12,Fixtures!JL$25))="","",IF(INDIRECT(CONCATENATE($FK$12,Fixtures!JL$25))=Fixtures!$DN57,CONCATENATE(JL$10,", "),""))</f>
        <v/>
      </c>
      <c r="JM57" s="632" t="str">
        <f ca="1">IF(INDIRECT(CONCATENATE($FK$12,Fixtures!JM$25))="","",IF(INDIRECT(CONCATENATE($FK$12,Fixtures!JM$25))=Fixtures!$DN57,CONCATENATE(JM$10,", "),""))</f>
        <v/>
      </c>
      <c r="JN57" s="632" t="str">
        <f ca="1">IF(INDIRECT(CONCATENATE($FK$12,Fixtures!JN$25))="","",IF(INDIRECT(CONCATENATE($FK$12,Fixtures!JN$25))=Fixtures!$DN57,CONCATENATE(JN$10,", "),""))</f>
        <v/>
      </c>
      <c r="JO57" s="632" t="str">
        <f ca="1">IF(INDIRECT(CONCATENATE($FK$12,Fixtures!JO$25))="","",IF(INDIRECT(CONCATENATE($FK$12,Fixtures!JO$25))=Fixtures!$DN57,CONCATENATE(JO$10,", "),""))</f>
        <v/>
      </c>
      <c r="JP57" s="632" t="str">
        <f ca="1">IF(INDIRECT(CONCATENATE($FK$12,Fixtures!JP$25))="","",IF(INDIRECT(CONCATENATE($FK$12,Fixtures!JP$25))=Fixtures!$DN57,CONCATENATE(JP$10,", "),""))</f>
        <v/>
      </c>
      <c r="JQ57" s="632" t="str">
        <f ca="1">IF(INDIRECT(CONCATENATE($FK$12,Fixtures!JQ$25))="","",IF(INDIRECT(CONCATENATE($FK$12,Fixtures!JQ$25))=Fixtures!$DN57,CONCATENATE(JQ$10,", "),""))</f>
        <v/>
      </c>
      <c r="JR57" s="632" t="str">
        <f ca="1">IF(INDIRECT(CONCATENATE($FK$12,Fixtures!JR$25))="","",IF(INDIRECT(CONCATENATE($FK$12,Fixtures!JR$25))=Fixtures!$DN57,CONCATENATE(JR$10,", "),""))</f>
        <v/>
      </c>
      <c r="JS57" s="632" t="str">
        <f ca="1">IF(INDIRECT(CONCATENATE($FK$12,Fixtures!JS$25))="","",IF(INDIRECT(CONCATENATE($FK$12,Fixtures!JS$25))=Fixtures!$DN57,CONCATENATE(JS$10,", "),""))</f>
        <v/>
      </c>
      <c r="JT57" s="632" t="str">
        <f ca="1">IF(INDIRECT(CONCATENATE($FK$12,Fixtures!JT$25))="","",IF(INDIRECT(CONCATENATE($FK$12,Fixtures!JT$25))=Fixtures!$DN57,CONCATENATE(JT$10,", "),""))</f>
        <v/>
      </c>
      <c r="JU57" s="606" t="str">
        <f ca="1">IF(INDIRECT(CONCATENATE($FK$12,Fixtures!JU$25))="","",IF(INDIRECT(CONCATENATE($FK$12,Fixtures!JU$25))=Fixtures!$DN57,CONCATENATE(JU$10,", "),""))</f>
        <v/>
      </c>
      <c r="JV57" s="607" t="str">
        <f ca="1">IF(INDIRECT(CONCATENATE($FK$12,Fixtures!JV$25))="","",IF(INDIRECT(CONCATENATE($FK$12,Fixtures!JV$25))=Fixtures!$DN57,CONCATENATE(JV$10,", "),""))</f>
        <v/>
      </c>
      <c r="JW57" s="632" t="str">
        <f ca="1">IF(INDIRECT(CONCATENATE($FK$12,Fixtures!JW$25))="","",IF(INDIRECT(CONCATENATE($FK$12,Fixtures!JW$25))=Fixtures!$DN57,CONCATENATE(JW$10,", "),""))</f>
        <v/>
      </c>
      <c r="JX57" s="632" t="str">
        <f ca="1">IF(INDIRECT(CONCATENATE($FK$12,Fixtures!JX$25))="","",IF(INDIRECT(CONCATENATE($FK$12,Fixtures!JX$25))=Fixtures!$DN57,CONCATENATE(JX$10,", "),""))</f>
        <v/>
      </c>
      <c r="JY57" s="632" t="str">
        <f ca="1">IF(INDIRECT(CONCATENATE($FK$12,Fixtures!JY$25))="","",IF(INDIRECT(CONCATENATE($FK$12,Fixtures!JY$25))=Fixtures!$DN57,CONCATENATE(JY$10,", "),""))</f>
        <v/>
      </c>
      <c r="JZ57" s="632" t="str">
        <f ca="1">IF(INDIRECT(CONCATENATE($FK$12,Fixtures!JZ$25))="","",IF(INDIRECT(CONCATENATE($FK$12,Fixtures!JZ$25))=Fixtures!$DN57,CONCATENATE(JZ$10,", "),""))</f>
        <v/>
      </c>
      <c r="KA57" s="632" t="str">
        <f ca="1">IF(INDIRECT(CONCATENATE($FK$12,Fixtures!KA$25))="","",IF(INDIRECT(CONCATENATE($FK$12,Fixtures!KA$25))=Fixtures!$DN57,CONCATENATE(KA$10,", "),""))</f>
        <v/>
      </c>
      <c r="KB57" s="632" t="str">
        <f ca="1">IF(INDIRECT(CONCATENATE($FK$12,Fixtures!KB$25))="","",IF(INDIRECT(CONCATENATE($FK$12,Fixtures!KB$25))=Fixtures!$DN57,CONCATENATE(KB$10,", "),""))</f>
        <v/>
      </c>
      <c r="KC57" s="632" t="str">
        <f ca="1">IF(INDIRECT(CONCATENATE($FK$12,Fixtures!KC$25))="","",IF(INDIRECT(CONCATENATE($FK$12,Fixtures!KC$25))=Fixtures!$DN57,CONCATENATE(KC$10,", "),""))</f>
        <v/>
      </c>
      <c r="KD57" s="632" t="str">
        <f ca="1">IF(INDIRECT(CONCATENATE($FK$12,Fixtures!KD$25))="","",IF(INDIRECT(CONCATENATE($FK$12,Fixtures!KD$25))=Fixtures!$DN57,CONCATENATE(KD$10,", "),""))</f>
        <v/>
      </c>
      <c r="KE57" s="632" t="str">
        <f ca="1">IF(INDIRECT(CONCATENATE($FK$12,Fixtures!KE$25))="","",IF(INDIRECT(CONCATENATE($FK$12,Fixtures!KE$25))=Fixtures!$DN57,CONCATENATE(KE$10,", "),""))</f>
        <v/>
      </c>
      <c r="KF57" s="632" t="str">
        <f ca="1">IF(INDIRECT(CONCATENATE($FK$12,Fixtures!KF$25))="","",IF(INDIRECT(CONCATENATE($FK$12,Fixtures!KF$25))=Fixtures!$DN57,CONCATENATE(KF$10,", "),""))</f>
        <v/>
      </c>
      <c r="KG57" s="632" t="str">
        <f ca="1">IF(INDIRECT(CONCATENATE($FK$12,Fixtures!KG$25))="","",IF(INDIRECT(CONCATENATE($FK$12,Fixtures!KG$25))=Fixtures!$DN57,CONCATENATE(KG$10,", "),""))</f>
        <v/>
      </c>
      <c r="KH57" s="632" t="str">
        <f ca="1">IF(INDIRECT(CONCATENATE($FK$12,Fixtures!KH$25))="","",IF(INDIRECT(CONCATENATE($FK$12,Fixtures!KH$25))=Fixtures!$DN57,CONCATENATE(KH$10,", "),""))</f>
        <v/>
      </c>
      <c r="KI57" s="632" t="str">
        <f ca="1">IF(INDIRECT(CONCATENATE($FK$12,Fixtures!KI$25))="","",IF(INDIRECT(CONCATENATE($FK$12,Fixtures!KI$25))=Fixtures!$DN57,CONCATENATE(KI$10,", "),""))</f>
        <v/>
      </c>
      <c r="KJ57" s="606" t="str">
        <f ca="1">IF(INDIRECT(CONCATENATE($FK$12,Fixtures!KJ$25))="","",IF(INDIRECT(CONCATENATE($FK$12,Fixtures!KJ$25))=Fixtures!$DN57,CONCATENATE(KJ$10,", "),""))</f>
        <v/>
      </c>
      <c r="KK57" s="607" t="str">
        <f ca="1">IF(INDIRECT(CONCATENATE($FK$12,Fixtures!KK$25))="","",IF(INDIRECT(CONCATENATE($FK$12,Fixtures!KK$25))=Fixtures!$DN57,CONCATENATE(KK$10,", "),""))</f>
        <v/>
      </c>
      <c r="KL57" s="632" t="str">
        <f ca="1">IF(INDIRECT(CONCATENATE($FK$12,Fixtures!KL$25))="","",IF(INDIRECT(CONCATENATE($FK$12,Fixtures!KL$25))=Fixtures!$DN57,CONCATENATE(KL$10,", "),""))</f>
        <v/>
      </c>
      <c r="KM57" s="632" t="str">
        <f ca="1">IF(INDIRECT(CONCATENATE($FK$12,Fixtures!KM$25))="","",IF(INDIRECT(CONCATENATE($FK$12,Fixtures!KM$25))=Fixtures!$DN57,CONCATENATE(KM$10,", "),""))</f>
        <v/>
      </c>
      <c r="KN57" s="632" t="str">
        <f ca="1">IF(INDIRECT(CONCATENATE($FK$12,Fixtures!KN$25))="","",IF(INDIRECT(CONCATENATE($FK$12,Fixtures!KN$25))=Fixtures!$DN57,CONCATENATE(KN$10,", "),""))</f>
        <v/>
      </c>
      <c r="KO57" s="632" t="str">
        <f ca="1">IF(INDIRECT(CONCATENATE($FK$12,Fixtures!KO$25))="","",IF(INDIRECT(CONCATENATE($FK$12,Fixtures!KO$25))=Fixtures!$DN57,CONCATENATE(KO$10,", "),""))</f>
        <v/>
      </c>
      <c r="KP57" s="632" t="str">
        <f ca="1">IF(INDIRECT(CONCATENATE($FK$12,Fixtures!KP$25))="","",IF(INDIRECT(CONCATENATE($FK$12,Fixtures!KP$25))=Fixtures!$DN57,CONCATENATE(KP$10,", "),""))</f>
        <v/>
      </c>
      <c r="KQ57" s="632" t="str">
        <f ca="1">IF(INDIRECT(CONCATENATE($FK$12,Fixtures!KQ$25))="","",IF(INDIRECT(CONCATENATE($FK$12,Fixtures!KQ$25))=Fixtures!$DN57,CONCATENATE(KQ$10,", "),""))</f>
        <v/>
      </c>
      <c r="KR57" s="632" t="str">
        <f ca="1">IF(INDIRECT(CONCATENATE($FK$12,Fixtures!KR$25))="","",IF(INDIRECT(CONCATENATE($FK$12,Fixtures!KR$25))=Fixtures!$DN57,CONCATENATE(KR$10,", "),""))</f>
        <v/>
      </c>
      <c r="KS57" s="632" t="str">
        <f ca="1">IF(INDIRECT(CONCATENATE($FK$12,Fixtures!KS$25))="","",IF(INDIRECT(CONCATENATE($FK$12,Fixtures!KS$25))=Fixtures!$DN57,CONCATENATE(KS$10,", "),""))</f>
        <v/>
      </c>
      <c r="KT57" s="632" t="str">
        <f ca="1">IF(INDIRECT(CONCATENATE($FK$12,Fixtures!KT$25))="","",IF(INDIRECT(CONCATENATE($FK$12,Fixtures!KT$25))=Fixtures!$DN57,CONCATENATE(KT$10,", "),""))</f>
        <v/>
      </c>
      <c r="KU57" s="632" t="str">
        <f ca="1">IF(INDIRECT(CONCATENATE($FK$12,Fixtures!KU$25))="","",IF(INDIRECT(CONCATENATE($FK$12,Fixtures!KU$25))=Fixtures!$DN57,CONCATENATE(KU$10,", "),""))</f>
        <v/>
      </c>
      <c r="KV57" s="632" t="str">
        <f ca="1">IF(INDIRECT(CONCATENATE($FK$12,Fixtures!KV$25))="","",IF(INDIRECT(CONCATENATE($FK$12,Fixtures!KV$25))=Fixtures!$DN57,CONCATENATE(KV$10,", "),""))</f>
        <v/>
      </c>
      <c r="KW57" s="632" t="str">
        <f ca="1">IF(INDIRECT(CONCATENATE($FK$12,Fixtures!KW$25))="","",IF(INDIRECT(CONCATENATE($FK$12,Fixtures!KW$25))=Fixtures!$DN57,CONCATENATE(KW$10,", "),""))</f>
        <v/>
      </c>
      <c r="KX57" s="632" t="str">
        <f ca="1">IF(INDIRECT(CONCATENATE($FK$12,Fixtures!KX$25))="","",IF(INDIRECT(CONCATENATE($FK$12,Fixtures!KX$25))=Fixtures!$DN57,CONCATENATE(KX$10,", "),""))</f>
        <v/>
      </c>
      <c r="KY57" s="632"/>
      <c r="KZ57" s="542"/>
      <c r="LA57" s="46" t="str">
        <f t="shared" ca="1" si="7"/>
        <v/>
      </c>
      <c r="LB57" s="46"/>
      <c r="LC57" s="1010"/>
      <c r="LD57" s="1009" t="str">
        <f t="shared" si="20"/>
        <v/>
      </c>
    </row>
    <row r="58" spans="1:316" ht="28.2" customHeight="1" thickTop="1" thickBot="1">
      <c r="A58" s="426" t="str">
        <f t="shared" si="13"/>
        <v/>
      </c>
      <c r="C58" s="1640" t="str">
        <f t="shared" si="14"/>
        <v/>
      </c>
      <c r="D58" s="1641"/>
      <c r="E58" s="1568" t="str">
        <f t="shared" si="15"/>
        <v/>
      </c>
      <c r="F58" s="1569"/>
      <c r="G58" s="1569"/>
      <c r="H58" s="1569"/>
      <c r="I58" s="1569"/>
      <c r="J58" s="1569"/>
      <c r="K58" s="1569"/>
      <c r="L58" s="1569"/>
      <c r="M58" s="1642"/>
      <c r="N58" s="203" t="str">
        <f t="shared" si="16"/>
        <v/>
      </c>
      <c r="O58" s="12"/>
      <c r="P58" s="1638" t="str">
        <f t="shared" si="25"/>
        <v/>
      </c>
      <c r="Q58" s="1639"/>
      <c r="R58" s="1568" t="str">
        <f t="shared" si="30"/>
        <v/>
      </c>
      <c r="S58" s="1569"/>
      <c r="T58" s="1569"/>
      <c r="U58" s="1569"/>
      <c r="V58" s="1569"/>
      <c r="W58" s="1569"/>
      <c r="X58" s="1569"/>
      <c r="Y58" s="203" t="str">
        <f t="shared" si="26"/>
        <v/>
      </c>
      <c r="Z58" s="203" t="str">
        <f t="shared" si="27"/>
        <v/>
      </c>
      <c r="AA58" s="394" t="str">
        <f t="shared" si="28"/>
        <v/>
      </c>
      <c r="AB58" s="489"/>
      <c r="AC58" s="1564" t="str">
        <f t="shared" si="18"/>
        <v/>
      </c>
      <c r="AD58" s="1565"/>
      <c r="AE58" s="1565"/>
      <c r="AF58" s="1565"/>
      <c r="AG58" s="1565"/>
      <c r="AH58" s="1565"/>
      <c r="AK58">
        <f>SUMIFS(Installations!CV$46:CV$803,Installations!CW$46:CW$803,E58,Installations!IC$46:IC$803,TRUE)</f>
        <v>0</v>
      </c>
      <c r="AL58">
        <f>SUMIFS(Installations!CV$46:CV$803,Installations!CW$46:CW$803,R58,Installations!IC$46:IC$803,TRUE)</f>
        <v>0</v>
      </c>
      <c r="BL58" s="9"/>
      <c r="BM58" s="622" t="str">
        <f t="shared" si="19"/>
        <v/>
      </c>
      <c r="BN58" s="52"/>
      <c r="BO58" s="52"/>
      <c r="BP58" s="52"/>
      <c r="BQ58" s="52"/>
      <c r="BR58" s="52"/>
      <c r="BS58" s="52"/>
      <c r="BT58" s="52"/>
      <c r="BU58" s="373"/>
      <c r="BV58" s="219" t="str">
        <f>IF(CN58&lt;&gt;"Yes","",IFERROR(VLOOKUP(CU58,Existing!A$4:F$367,2,FALSE),""))</f>
        <v/>
      </c>
      <c r="BW58" s="9">
        <v>32</v>
      </c>
      <c r="BX58" s="1625"/>
      <c r="BY58" s="1626"/>
      <c r="BZ58" s="1626"/>
      <c r="CA58" s="1627"/>
      <c r="CB58" s="1622"/>
      <c r="CC58" s="1623"/>
      <c r="CD58" s="1623"/>
      <c r="CE58" s="1624"/>
      <c r="CF58" s="1621"/>
      <c r="CG58" s="1621"/>
      <c r="CH58" s="1621"/>
      <c r="CI58" s="1621"/>
      <c r="CJ58" s="1621"/>
      <c r="CK58" s="1621"/>
      <c r="CL58" s="1621"/>
      <c r="CM58" s="1621"/>
      <c r="CN58" s="1553" t="str">
        <f t="shared" si="31"/>
        <v/>
      </c>
      <c r="CO58" s="1554"/>
      <c r="CP58" s="229" t="str">
        <f>IFERROR(IF(CB58="Existing TLED",CR58*CW58*CY58,VLOOKUP(CU58,Existing!A$3:F$356,6,FALSE)),"")</f>
        <v/>
      </c>
      <c r="CQ58" s="9"/>
      <c r="CR58" s="1660"/>
      <c r="CS58" s="1661"/>
      <c r="CT58" s="9"/>
      <c r="CU58" s="425" t="str">
        <f t="shared" si="21"/>
        <v/>
      </c>
      <c r="CV58" s="426" t="b">
        <f t="shared" si="22"/>
        <v>0</v>
      </c>
      <c r="CW58" s="426" t="str">
        <f t="shared" si="23"/>
        <v/>
      </c>
      <c r="CX58" s="426">
        <f>IFERROR(VLOOKUP(CF58,Lookup!T$100:V$102,3,FALSE),0)</f>
        <v>0</v>
      </c>
      <c r="CY58" s="426">
        <f t="shared" si="8"/>
        <v>1.1100000000000001</v>
      </c>
      <c r="CZ58" s="626" t="b">
        <f t="shared" si="1"/>
        <v>0</v>
      </c>
      <c r="DA58" s="626" t="b">
        <f>IF(CF58&lt;&gt;"",IF(ISERROR(MATCH(CONCATENATE(CB58," - ",CF58),Existing!G$4:G$331,0))=TRUE,FALSE,TRUE),TRUE)</f>
        <v>1</v>
      </c>
      <c r="DB58" s="626" t="b">
        <f t="shared" si="2"/>
        <v>1</v>
      </c>
      <c r="DL58" s="9"/>
      <c r="DM58" s="627" t="s">
        <v>215</v>
      </c>
      <c r="DN58" s="375" t="str">
        <f t="shared" si="3"/>
        <v/>
      </c>
      <c r="DO58" s="52"/>
      <c r="DP58" s="52"/>
      <c r="DQ58" s="52"/>
      <c r="DR58" s="52"/>
      <c r="DS58" s="52"/>
      <c r="DT58" s="226"/>
      <c r="DU58" s="376"/>
      <c r="DV58" s="227" t="str">
        <f t="shared" si="4"/>
        <v/>
      </c>
      <c r="DW58" s="224">
        <v>32</v>
      </c>
      <c r="DX58" s="1572"/>
      <c r="DY58" s="1573"/>
      <c r="DZ58" s="1573"/>
      <c r="EA58" s="1574"/>
      <c r="EB58" s="1618"/>
      <c r="EC58" s="1619"/>
      <c r="ED58" s="1619"/>
      <c r="EE58" s="1620"/>
      <c r="EF58" s="1578"/>
      <c r="EG58" s="1579"/>
      <c r="EH58" s="1618"/>
      <c r="EI58" s="1619"/>
      <c r="EJ58" s="1619"/>
      <c r="EK58" s="1620"/>
      <c r="EL58" s="1575"/>
      <c r="EM58" s="1576"/>
      <c r="EN58" s="1576"/>
      <c r="EO58" s="1577"/>
      <c r="EP58" s="1578"/>
      <c r="EQ58" s="1579"/>
      <c r="ER58" s="1555"/>
      <c r="ES58" s="1556"/>
      <c r="ET58" s="1553" t="str">
        <f t="shared" si="9"/>
        <v/>
      </c>
      <c r="EU58" s="1554"/>
      <c r="EV58" s="1553" t="str">
        <f t="shared" si="29"/>
        <v/>
      </c>
      <c r="EW58" s="1554"/>
      <c r="EX58" s="393"/>
      <c r="EY58" s="225" t="str">
        <f t="shared" si="6"/>
        <v/>
      </c>
      <c r="EZ58" s="225" t="str">
        <f>IFERROR(VLOOKUP(EB58,Lookup!AT$3:AU$13,2,FALSE),"")</f>
        <v/>
      </c>
      <c r="FA58" s="426" t="b">
        <f>IFERROR(IF(VLOOKUP(EB58,Lookup!AT$6:AU$8,2,FALSE)&gt;3,TRUE,FALSE),FALSE)</f>
        <v>0</v>
      </c>
      <c r="FB58" s="426" t="str">
        <f t="shared" si="10"/>
        <v/>
      </c>
      <c r="FC58" t="str">
        <f t="shared" ca="1" si="11"/>
        <v/>
      </c>
      <c r="FG58" t="str">
        <f t="shared" ca="1" si="12"/>
        <v/>
      </c>
      <c r="FI58" s="204" t="str">
        <f t="shared" ca="1" si="24"/>
        <v/>
      </c>
      <c r="FK58" s="631" t="str">
        <f ca="1">IF(INDIRECT(CONCATENATE($FK$12,Fixtures!FK$25))="","",IF(INDIRECT(CONCATENATE($FK$12,Fixtures!FK$25))=Fixtures!$DN58,CONCATENATE(FK$10,", "),""))</f>
        <v/>
      </c>
      <c r="FL58" s="631" t="str">
        <f ca="1">IF(INDIRECT(CONCATENATE($FK$12,Fixtures!FL$25))="","",IF(INDIRECT(CONCATENATE($FK$12,Fixtures!FL$25))=Fixtures!$DN58,CONCATENATE(FL$10,", "),""))</f>
        <v/>
      </c>
      <c r="FM58" s="631" t="str">
        <f ca="1">IF(INDIRECT(CONCATENATE($FK$12,Fixtures!FM$25))="","",IF(INDIRECT(CONCATENATE($FK$12,Fixtures!FM$25))=Fixtures!$DN58,CONCATENATE(FM$10,", "),""))</f>
        <v/>
      </c>
      <c r="FN58" s="631" t="str">
        <f ca="1">IF(INDIRECT(CONCATENATE($FK$12,Fixtures!FN$25))="","",IF(INDIRECT(CONCATENATE($FK$12,Fixtures!FN$25))=Fixtures!$DN58,CONCATENATE(FN$10,", "),""))</f>
        <v/>
      </c>
      <c r="FO58" s="631" t="str">
        <f ca="1">IF(INDIRECT(CONCATENATE($FK$12,Fixtures!FO$25))="","",IF(INDIRECT(CONCATENATE($FK$12,Fixtures!FO$25))=Fixtures!$DN58,CONCATENATE(FO$10,", "),""))</f>
        <v/>
      </c>
      <c r="FP58" s="631" t="str">
        <f ca="1">IF(INDIRECT(CONCATENATE($FK$12,Fixtures!FP$25))="","",IF(INDIRECT(CONCATENATE($FK$12,Fixtures!FP$25))=Fixtures!$DN58,CONCATENATE(FP$10,", "),""))</f>
        <v/>
      </c>
      <c r="FQ58" s="631" t="str">
        <f ca="1">IF(INDIRECT(CONCATENATE($FK$12,Fixtures!FQ$25))="","",IF(INDIRECT(CONCATENATE($FK$12,Fixtures!FQ$25))=Fixtures!$DN58,CONCATENATE(FQ$10,", "),""))</f>
        <v/>
      </c>
      <c r="FR58" s="631" t="str">
        <f ca="1">IF(INDIRECT(CONCATENATE($FK$12,Fixtures!FR$25))="","",IF(INDIRECT(CONCATENATE($FK$12,Fixtures!FR$25))=Fixtures!$DN58,CONCATENATE(FR$10,", "),""))</f>
        <v/>
      </c>
      <c r="FS58" s="631" t="str">
        <f ca="1">IF(INDIRECT(CONCATENATE($FK$12,Fixtures!FS$25))="","",IF(INDIRECT(CONCATENATE($FK$12,Fixtures!FS$25))=Fixtures!$DN58,CONCATENATE(FS$10,", "),""))</f>
        <v/>
      </c>
      <c r="FT58" s="604" t="str">
        <f ca="1">IF(INDIRECT(CONCATENATE($FK$12,Fixtures!FT$25))="","",IF(INDIRECT(CONCATENATE($FK$12,Fixtures!FT$25))=Fixtures!$DN58,CONCATENATE(FT$10,", "),""))</f>
        <v/>
      </c>
      <c r="FU58" s="605" t="str">
        <f ca="1">IF(INDIRECT(CONCATENATE($FK$12,Fixtures!FU$25))="","",IF(INDIRECT(CONCATENATE($FK$12,Fixtures!FU$25))=Fixtures!$DN58,CONCATENATE(FU$10,", "),""))</f>
        <v/>
      </c>
      <c r="FV58" s="631" t="str">
        <f ca="1">IF(INDIRECT(CONCATENATE($FK$12,Fixtures!FV$25))="","",IF(INDIRECT(CONCATENATE($FK$12,Fixtures!FV$25))=Fixtures!$DN58,CONCATENATE(FV$10,", "),""))</f>
        <v/>
      </c>
      <c r="FW58" s="632" t="str">
        <f ca="1">IF(INDIRECT(CONCATENATE($FK$12,Fixtures!FW$25))="","",IF(INDIRECT(CONCATENATE($FK$12,Fixtures!FW$25))=Fixtures!$DN58,CONCATENATE(FW$10,", "),""))</f>
        <v/>
      </c>
      <c r="FX58" s="632" t="str">
        <f ca="1">IF(INDIRECT(CONCATENATE($FK$12,Fixtures!FX$25))="","",IF(INDIRECT(CONCATENATE($FK$12,Fixtures!FX$25))=Fixtures!$DN58,CONCATENATE(FX$10,", "),""))</f>
        <v/>
      </c>
      <c r="FY58" s="632" t="str">
        <f ca="1">IF(INDIRECT(CONCATENATE($FK$12,Fixtures!FY$25))="","",IF(INDIRECT(CONCATENATE($FK$12,Fixtures!FY$25))=Fixtures!$DN58,CONCATENATE(FY$10,", "),""))</f>
        <v/>
      </c>
      <c r="FZ58" s="632" t="str">
        <f ca="1">IF(INDIRECT(CONCATENATE($FK$12,Fixtures!FZ$25))="","",IF(INDIRECT(CONCATENATE($FK$12,Fixtures!FZ$25))=Fixtures!$DN58,CONCATENATE(FZ$10,", "),""))</f>
        <v/>
      </c>
      <c r="GA58" s="632" t="str">
        <f ca="1">IF(INDIRECT(CONCATENATE($FK$12,Fixtures!GA$25))="","",IF(INDIRECT(CONCATENATE($FK$12,Fixtures!GA$25))=Fixtures!$DN58,CONCATENATE(GA$10,", "),""))</f>
        <v/>
      </c>
      <c r="GB58" s="632" t="str">
        <f ca="1">IF(INDIRECT(CONCATENATE($FK$12,Fixtures!GB$25))="","",IF(INDIRECT(CONCATENATE($FK$12,Fixtures!GB$25))=Fixtures!$DN58,CONCATENATE(GB$10,", "),""))</f>
        <v/>
      </c>
      <c r="GC58" s="632" t="str">
        <f ca="1">IF(INDIRECT(CONCATENATE($FK$12,Fixtures!GC$25))="","",IF(INDIRECT(CONCATENATE($FK$12,Fixtures!GC$25))=Fixtures!$DN58,CONCATENATE(GC$10,", "),""))</f>
        <v/>
      </c>
      <c r="GD58" s="632" t="str">
        <f ca="1">IF(INDIRECT(CONCATENATE($FK$12,Fixtures!GD$25))="","",IF(INDIRECT(CONCATENATE($FK$12,Fixtures!GD$25))=Fixtures!$DN58,CONCATENATE(GD$10,", "),""))</f>
        <v/>
      </c>
      <c r="GE58" s="632" t="str">
        <f ca="1">IF(INDIRECT(CONCATENATE($FK$12,Fixtures!GE$25))="","",IF(INDIRECT(CONCATENATE($FK$12,Fixtures!GE$25))=Fixtures!$DN58,CONCATENATE(GE$10,", "),""))</f>
        <v/>
      </c>
      <c r="GF58" s="632" t="str">
        <f ca="1">IF(INDIRECT(CONCATENATE($FK$12,Fixtures!GF$25))="","",IF(INDIRECT(CONCATENATE($FK$12,Fixtures!GF$25))=Fixtures!$DN58,CONCATENATE(GF$10,", "),""))</f>
        <v/>
      </c>
      <c r="GG58" s="632" t="str">
        <f ca="1">IF(INDIRECT(CONCATENATE($FK$12,Fixtures!GG$25))="","",IF(INDIRECT(CONCATENATE($FK$12,Fixtures!GG$25))=Fixtures!$DN58,CONCATENATE(GG$10,", "),""))</f>
        <v/>
      </c>
      <c r="GH58" s="632" t="str">
        <f ca="1">IF(INDIRECT(CONCATENATE($FK$12,Fixtures!GH$25))="","",IF(INDIRECT(CONCATENATE($FK$12,Fixtures!GH$25))=Fixtures!$DN58,CONCATENATE(GH$10,", "),""))</f>
        <v/>
      </c>
      <c r="GI58" s="606" t="str">
        <f ca="1">IF(INDIRECT(CONCATENATE($FK$12,Fixtures!GI$25))="","",IF(INDIRECT(CONCATENATE($FK$12,Fixtures!GI$25))=Fixtures!$DN58,CONCATENATE(GI$10,", "),""))</f>
        <v/>
      </c>
      <c r="GJ58" s="607" t="str">
        <f ca="1">IF(INDIRECT(CONCATENATE($FK$12,Fixtures!GJ$25))="","",IF(INDIRECT(CONCATENATE($FK$12,Fixtures!GJ$25))=Fixtures!$DN58,CONCATENATE(GJ$10,", "),""))</f>
        <v/>
      </c>
      <c r="GK58" s="632" t="str">
        <f ca="1">IF(INDIRECT(CONCATENATE($FK$12,Fixtures!GK$25))="","",IF(INDIRECT(CONCATENATE($FK$12,Fixtures!GK$25))=Fixtures!$DN58,CONCATENATE(GK$10,", "),""))</f>
        <v/>
      </c>
      <c r="GL58" s="632" t="str">
        <f ca="1">IF(INDIRECT(CONCATENATE($FK$12,Fixtures!GL$25))="","",IF(INDIRECT(CONCATENATE($FK$12,Fixtures!GL$25))=Fixtures!$DN58,CONCATENATE(GL$10,", "),""))</f>
        <v/>
      </c>
      <c r="GM58" s="632" t="str">
        <f ca="1">IF(INDIRECT(CONCATENATE($FK$12,Fixtures!GM$25))="","",IF(INDIRECT(CONCATENATE($FK$12,Fixtures!GM$25))=Fixtures!$DN58,CONCATENATE(GM$10,", "),""))</f>
        <v/>
      </c>
      <c r="GN58" s="632" t="str">
        <f ca="1">IF(INDIRECT(CONCATENATE($FK$12,Fixtures!GN$25))="","",IF(INDIRECT(CONCATENATE($FK$12,Fixtures!GN$25))=Fixtures!$DN58,CONCATENATE(GN$10,", "),""))</f>
        <v/>
      </c>
      <c r="GO58" s="632" t="str">
        <f ca="1">IF(INDIRECT(CONCATENATE($FK$12,Fixtures!GO$25))="","",IF(INDIRECT(CONCATENATE($FK$12,Fixtures!GO$25))=Fixtures!$DN58,CONCATENATE(GO$10,", "),""))</f>
        <v/>
      </c>
      <c r="GP58" s="632" t="str">
        <f ca="1">IF(INDIRECT(CONCATENATE($FK$12,Fixtures!GP$25))="","",IF(INDIRECT(CONCATENATE($FK$12,Fixtures!GP$25))=Fixtures!$DN58,CONCATENATE(GP$10,", "),""))</f>
        <v/>
      </c>
      <c r="GQ58" s="632" t="str">
        <f ca="1">IF(INDIRECT(CONCATENATE($FK$12,Fixtures!GQ$25))="","",IF(INDIRECT(CONCATENATE($FK$12,Fixtures!GQ$25))=Fixtures!$DN58,CONCATENATE(GQ$10,", "),""))</f>
        <v/>
      </c>
      <c r="GR58" s="632" t="str">
        <f ca="1">IF(INDIRECT(CONCATENATE($FK$12,Fixtures!GR$25))="","",IF(INDIRECT(CONCATENATE($FK$12,Fixtures!GR$25))=Fixtures!$DN58,CONCATENATE(GR$10,", "),""))</f>
        <v/>
      </c>
      <c r="GS58" s="632" t="str">
        <f ca="1">IF(INDIRECT(CONCATENATE($FK$12,Fixtures!GS$25))="","",IF(INDIRECT(CONCATENATE($FK$12,Fixtures!GS$25))=Fixtures!$DN58,CONCATENATE(GS$10,", "),""))</f>
        <v/>
      </c>
      <c r="GT58" s="632" t="str">
        <f ca="1">IF(INDIRECT(CONCATENATE($FK$12,Fixtures!GT$25))="","",IF(INDIRECT(CONCATENATE($FK$12,Fixtures!GT$25))=Fixtures!$DN58,CONCATENATE(GT$10,", "),""))</f>
        <v/>
      </c>
      <c r="GU58" s="632" t="str">
        <f ca="1">IF(INDIRECT(CONCATENATE($FK$12,Fixtures!GU$25))="","",IF(INDIRECT(CONCATENATE($FK$12,Fixtures!GU$25))=Fixtures!$DN58,CONCATENATE(GU$10,", "),""))</f>
        <v/>
      </c>
      <c r="GV58" s="632" t="str">
        <f ca="1">IF(INDIRECT(CONCATENATE($FK$12,Fixtures!GV$25))="","",IF(INDIRECT(CONCATENATE($FK$12,Fixtures!GV$25))=Fixtures!$DN58,CONCATENATE(GV$10,", "),""))</f>
        <v/>
      </c>
      <c r="GW58" s="632" t="str">
        <f ca="1">IF(INDIRECT(CONCATENATE($FK$12,Fixtures!GW$25))="","",IF(INDIRECT(CONCATENATE($FK$12,Fixtures!GW$25))=Fixtures!$DN58,CONCATENATE(GW$10,", "),""))</f>
        <v/>
      </c>
      <c r="GX58" s="606" t="str">
        <f ca="1">IF(INDIRECT(CONCATENATE($FK$12,Fixtures!GX$25))="","",IF(INDIRECT(CONCATENATE($FK$12,Fixtures!GX$25))=Fixtures!$DN58,CONCATENATE(GX$10,", "),""))</f>
        <v/>
      </c>
      <c r="GY58" s="607" t="str">
        <f ca="1">IF(INDIRECT(CONCATENATE($FK$12,Fixtures!GY$25))="","",IF(INDIRECT(CONCATENATE($FK$12,Fixtures!GY$25))=Fixtures!$DN58,CONCATENATE(GY$10,", "),""))</f>
        <v/>
      </c>
      <c r="GZ58" s="632" t="str">
        <f ca="1">IF(INDIRECT(CONCATENATE($FK$12,Fixtures!GZ$25))="","",IF(INDIRECT(CONCATENATE($FK$12,Fixtures!GZ$25))=Fixtures!$DN58,CONCATENATE(GZ$10,", "),""))</f>
        <v/>
      </c>
      <c r="HA58" s="632" t="str">
        <f ca="1">IF(INDIRECT(CONCATENATE($FK$12,Fixtures!HA$25))="","",IF(INDIRECT(CONCATENATE($FK$12,Fixtures!HA$25))=Fixtures!$DN58,CONCATENATE(HA$10,", "),""))</f>
        <v/>
      </c>
      <c r="HB58" s="632" t="str">
        <f ca="1">IF(INDIRECT(CONCATENATE($FK$12,Fixtures!HB$25))="","",IF(INDIRECT(CONCATENATE($FK$12,Fixtures!HB$25))=Fixtures!$DN58,CONCATENATE(HB$10,", "),""))</f>
        <v/>
      </c>
      <c r="HC58" s="632" t="str">
        <f ca="1">IF(INDIRECT(CONCATENATE($FK$12,Fixtures!HC$25))="","",IF(INDIRECT(CONCATENATE($FK$12,Fixtures!HC$25))=Fixtures!$DN58,CONCATENATE(HC$10,", "),""))</f>
        <v/>
      </c>
      <c r="HD58" s="632" t="str">
        <f ca="1">IF(INDIRECT(CONCATENATE($FK$12,Fixtures!HD$25))="","",IF(INDIRECT(CONCATENATE($FK$12,Fixtures!HD$25))=Fixtures!$DN58,CONCATENATE(HD$10,", "),""))</f>
        <v/>
      </c>
      <c r="HE58" s="632" t="str">
        <f ca="1">IF(INDIRECT(CONCATENATE($FK$12,Fixtures!HE$25))="","",IF(INDIRECT(CONCATENATE($FK$12,Fixtures!HE$25))=Fixtures!$DN58,CONCATENATE(HE$10,", "),""))</f>
        <v/>
      </c>
      <c r="HF58" s="632" t="str">
        <f ca="1">IF(INDIRECT(CONCATENATE($FK$12,Fixtures!HF$25))="","",IF(INDIRECT(CONCATENATE($FK$12,Fixtures!HF$25))=Fixtures!$DN58,CONCATENATE(HF$10,", "),""))</f>
        <v/>
      </c>
      <c r="HG58" s="632" t="str">
        <f ca="1">IF(INDIRECT(CONCATENATE($FK$12,Fixtures!HG$25))="","",IF(INDIRECT(CONCATENATE($FK$12,Fixtures!HG$25))=Fixtures!$DN58,CONCATENATE(HG$10,", "),""))</f>
        <v/>
      </c>
      <c r="HH58" s="632" t="str">
        <f ca="1">IF(INDIRECT(CONCATENATE($FK$12,Fixtures!HH$25))="","",IF(INDIRECT(CONCATENATE($FK$12,Fixtures!HH$25))=Fixtures!$DN58,CONCATENATE(HH$10,", "),""))</f>
        <v/>
      </c>
      <c r="HI58" s="632" t="str">
        <f ca="1">IF(INDIRECT(CONCATENATE($FK$12,Fixtures!HI$25))="","",IF(INDIRECT(CONCATENATE($FK$12,Fixtures!HI$25))=Fixtures!$DN58,CONCATENATE(HI$10,", "),""))</f>
        <v/>
      </c>
      <c r="HJ58" s="632" t="str">
        <f ca="1">IF(INDIRECT(CONCATENATE($FK$12,Fixtures!HJ$25))="","",IF(INDIRECT(CONCATENATE($FK$12,Fixtures!HJ$25))=Fixtures!$DN58,CONCATENATE(HJ$10,", "),""))</f>
        <v/>
      </c>
      <c r="HK58" s="632" t="str">
        <f ca="1">IF(INDIRECT(CONCATENATE($FK$12,Fixtures!HK$25))="","",IF(INDIRECT(CONCATENATE($FK$12,Fixtures!HK$25))=Fixtures!$DN58,CONCATENATE(HK$10,", "),""))</f>
        <v/>
      </c>
      <c r="HL58" s="632" t="str">
        <f ca="1">IF(INDIRECT(CONCATENATE($FK$12,Fixtures!HL$25))="","",IF(INDIRECT(CONCATENATE($FK$12,Fixtures!HL$25))=Fixtures!$DN58,CONCATENATE(HL$10,", "),""))</f>
        <v/>
      </c>
      <c r="HM58" s="606" t="str">
        <f ca="1">IF(INDIRECT(CONCATENATE($FK$12,Fixtures!HM$25))="","",IF(INDIRECT(CONCATENATE($FK$12,Fixtures!HM$25))=Fixtures!$DN58,CONCATENATE(HM$10,", "),""))</f>
        <v/>
      </c>
      <c r="HN58" s="607" t="str">
        <f ca="1">IF(INDIRECT(CONCATENATE($FK$12,Fixtures!HN$25))="","",IF(INDIRECT(CONCATENATE($FK$12,Fixtures!HN$25))=Fixtures!$DN58,CONCATENATE(HN$10,", "),""))</f>
        <v/>
      </c>
      <c r="HO58" s="632" t="str">
        <f ca="1">IF(INDIRECT(CONCATENATE($FK$12,Fixtures!HO$25))="","",IF(INDIRECT(CONCATENATE($FK$12,Fixtures!HO$25))=Fixtures!$DN58,CONCATENATE(HO$10,", "),""))</f>
        <v/>
      </c>
      <c r="HP58" s="632" t="str">
        <f ca="1">IF(INDIRECT(CONCATENATE($FK$12,Fixtures!HP$25))="","",IF(INDIRECT(CONCATENATE($FK$12,Fixtures!HP$25))=Fixtures!$DN58,CONCATENATE(HP$10,", "),""))</f>
        <v/>
      </c>
      <c r="HQ58" s="632" t="str">
        <f ca="1">IF(INDIRECT(CONCATENATE($FK$12,Fixtures!HQ$25))="","",IF(INDIRECT(CONCATENATE($FK$12,Fixtures!HQ$25))=Fixtures!$DN58,CONCATENATE(HQ$10,", "),""))</f>
        <v/>
      </c>
      <c r="HR58" s="632" t="str">
        <f ca="1">IF(INDIRECT(CONCATENATE($FK$12,Fixtures!HR$25))="","",IF(INDIRECT(CONCATENATE($FK$12,Fixtures!HR$25))=Fixtures!$DN58,CONCATENATE(HR$10,", "),""))</f>
        <v/>
      </c>
      <c r="HS58" s="632" t="str">
        <f ca="1">IF(INDIRECT(CONCATENATE($FK$12,Fixtures!HS$25))="","",IF(INDIRECT(CONCATENATE($FK$12,Fixtures!HS$25))=Fixtures!$DN58,CONCATENATE(HS$10,", "),""))</f>
        <v/>
      </c>
      <c r="HT58" s="632" t="str">
        <f ca="1">IF(INDIRECT(CONCATENATE($FK$12,Fixtures!HT$25))="","",IF(INDIRECT(CONCATENATE($FK$12,Fixtures!HT$25))=Fixtures!$DN58,CONCATENATE(HT$10,", "),""))</f>
        <v/>
      </c>
      <c r="HU58" s="632" t="str">
        <f ca="1">IF(INDIRECT(CONCATENATE($FK$12,Fixtures!HU$25))="","",IF(INDIRECT(CONCATENATE($FK$12,Fixtures!HU$25))=Fixtures!$DN58,CONCATENATE(HU$10,", "),""))</f>
        <v/>
      </c>
      <c r="HV58" s="632" t="str">
        <f ca="1">IF(INDIRECT(CONCATENATE($FK$12,Fixtures!HV$25))="","",IF(INDIRECT(CONCATENATE($FK$12,Fixtures!HV$25))=Fixtures!$DN58,CONCATENATE(HV$10,", "),""))</f>
        <v/>
      </c>
      <c r="HW58" s="632" t="str">
        <f ca="1">IF(INDIRECT(CONCATENATE($FK$12,Fixtures!HW$25))="","",IF(INDIRECT(CONCATENATE($FK$12,Fixtures!HW$25))=Fixtures!$DN58,CONCATENATE(HW$10,", "),""))</f>
        <v/>
      </c>
      <c r="HX58" s="632" t="str">
        <f ca="1">IF(INDIRECT(CONCATENATE($FK$12,Fixtures!HX$25))="","",IF(INDIRECT(CONCATENATE($FK$12,Fixtures!HX$25))=Fixtures!$DN58,CONCATENATE(HX$10,", "),""))</f>
        <v/>
      </c>
      <c r="HY58" s="632" t="str">
        <f ca="1">IF(INDIRECT(CONCATENATE($FK$12,Fixtures!HY$25))="","",IF(INDIRECT(CONCATENATE($FK$12,Fixtures!HY$25))=Fixtures!$DN58,CONCATENATE(HY$10,", "),""))</f>
        <v/>
      </c>
      <c r="HZ58" s="632" t="str">
        <f ca="1">IF(INDIRECT(CONCATENATE($FK$12,Fixtures!HZ$25))="","",IF(INDIRECT(CONCATENATE($FK$12,Fixtures!HZ$25))=Fixtures!$DN58,CONCATENATE(HZ$10,", "),""))</f>
        <v/>
      </c>
      <c r="IA58" s="632" t="str">
        <f ca="1">IF(INDIRECT(CONCATENATE($FK$12,Fixtures!IA$25))="","",IF(INDIRECT(CONCATENATE($FK$12,Fixtures!IA$25))=Fixtures!$DN58,CONCATENATE(IA$10,", "),""))</f>
        <v/>
      </c>
      <c r="IB58" s="606" t="str">
        <f ca="1">IF(INDIRECT(CONCATENATE($FK$12,Fixtures!IB$25))="","",IF(INDIRECT(CONCATENATE($FK$12,Fixtures!IB$25))=Fixtures!$DN58,CONCATENATE(IB$10,", "),""))</f>
        <v/>
      </c>
      <c r="IC58" s="607" t="str">
        <f ca="1">IF(INDIRECT(CONCATENATE($FK$12,Fixtures!IC$25))="","",IF(INDIRECT(CONCATENATE($FK$12,Fixtures!IC$25))=Fixtures!$DN58,CONCATENATE(IC$10,", "),""))</f>
        <v/>
      </c>
      <c r="ID58" s="632" t="str">
        <f ca="1">IF(INDIRECT(CONCATENATE($FK$12,Fixtures!ID$25))="","",IF(INDIRECT(CONCATENATE($FK$12,Fixtures!ID$25))=Fixtures!$DN58,CONCATENATE(ID$10,", "),""))</f>
        <v/>
      </c>
      <c r="IE58" s="632" t="str">
        <f ca="1">IF(INDIRECT(CONCATENATE($FK$12,Fixtures!IE$25))="","",IF(INDIRECT(CONCATENATE($FK$12,Fixtures!IE$25))=Fixtures!$DN58,CONCATENATE(IE$10,", "),""))</f>
        <v/>
      </c>
      <c r="IF58" s="632" t="str">
        <f ca="1">IF(INDIRECT(CONCATENATE($FK$12,Fixtures!IF$25))="","",IF(INDIRECT(CONCATENATE($FK$12,Fixtures!IF$25))=Fixtures!$DN58,CONCATENATE(IF$10,", "),""))</f>
        <v/>
      </c>
      <c r="IG58" s="632" t="str">
        <f ca="1">IF(INDIRECT(CONCATENATE($FK$12,Fixtures!IG$25))="","",IF(INDIRECT(CONCATENATE($FK$12,Fixtures!IG$25))=Fixtures!$DN58,CONCATENATE(IG$10,", "),""))</f>
        <v/>
      </c>
      <c r="IH58" s="632" t="str">
        <f ca="1">IF(INDIRECT(CONCATENATE($FK$12,Fixtures!IH$25))="","",IF(INDIRECT(CONCATENATE($FK$12,Fixtures!IH$25))=Fixtures!$DN58,CONCATENATE(IH$10,", "),""))</f>
        <v/>
      </c>
      <c r="II58" s="632" t="str">
        <f ca="1">IF(INDIRECT(CONCATENATE($FK$12,Fixtures!II$25))="","",IF(INDIRECT(CONCATENATE($FK$12,Fixtures!II$25))=Fixtures!$DN58,CONCATENATE(II$10,", "),""))</f>
        <v/>
      </c>
      <c r="IJ58" s="632" t="str">
        <f ca="1">IF(INDIRECT(CONCATENATE($FK$12,Fixtures!IJ$25))="","",IF(INDIRECT(CONCATENATE($FK$12,Fixtures!IJ$25))=Fixtures!$DN58,CONCATENATE(IJ$10,", "),""))</f>
        <v/>
      </c>
      <c r="IK58" s="632" t="str">
        <f ca="1">IF(INDIRECT(CONCATENATE($FK$12,Fixtures!IK$25))="","",IF(INDIRECT(CONCATENATE($FK$12,Fixtures!IK$25))=Fixtures!$DN58,CONCATENATE(IK$10,", "),""))</f>
        <v/>
      </c>
      <c r="IL58" s="632" t="str">
        <f ca="1">IF(INDIRECT(CONCATENATE($FK$12,Fixtures!IL$25))="","",IF(INDIRECT(CONCATENATE($FK$12,Fixtures!IL$25))=Fixtures!$DN58,CONCATENATE(IL$10,", "),""))</f>
        <v/>
      </c>
      <c r="IM58" s="632" t="str">
        <f ca="1">IF(INDIRECT(CONCATENATE($FK$12,Fixtures!IM$25))="","",IF(INDIRECT(CONCATENATE($FK$12,Fixtures!IM$25))=Fixtures!$DN58,CONCATENATE(IM$10,", "),""))</f>
        <v/>
      </c>
      <c r="IN58" s="632" t="str">
        <f ca="1">IF(INDIRECT(CONCATENATE($FK$12,Fixtures!IN$25))="","",IF(INDIRECT(CONCATENATE($FK$12,Fixtures!IN$25))=Fixtures!$DN58,CONCATENATE(IN$10,", "),""))</f>
        <v/>
      </c>
      <c r="IO58" s="632" t="str">
        <f ca="1">IF(INDIRECT(CONCATENATE($FK$12,Fixtures!IO$25))="","",IF(INDIRECT(CONCATENATE($FK$12,Fixtures!IO$25))=Fixtures!$DN58,CONCATENATE(IO$10,", "),""))</f>
        <v/>
      </c>
      <c r="IP58" s="632" t="str">
        <f ca="1">IF(INDIRECT(CONCATENATE($FK$12,Fixtures!IP$25))="","",IF(INDIRECT(CONCATENATE($FK$12,Fixtures!IP$25))=Fixtures!$DN58,CONCATENATE(IP$10,", "),""))</f>
        <v/>
      </c>
      <c r="IQ58" s="606" t="str">
        <f ca="1">IF(INDIRECT(CONCATENATE($FK$12,Fixtures!IQ$25))="","",IF(INDIRECT(CONCATENATE($FK$12,Fixtures!IQ$25))=Fixtures!$DN58,CONCATENATE(IQ$10,", "),""))</f>
        <v/>
      </c>
      <c r="IR58" s="607" t="str">
        <f ca="1">IF(INDIRECT(CONCATENATE($FK$12,Fixtures!IR$25))="","",IF(INDIRECT(CONCATENATE($FK$12,Fixtures!IR$25))=Fixtures!$DN58,CONCATENATE(IR$10,", "),""))</f>
        <v/>
      </c>
      <c r="IS58" s="632" t="str">
        <f ca="1">IF(INDIRECT(CONCATENATE($FK$12,Fixtures!IS$25))="","",IF(INDIRECT(CONCATENATE($FK$12,Fixtures!IS$25))=Fixtures!$DN58,CONCATENATE(IS$10,", "),""))</f>
        <v/>
      </c>
      <c r="IT58" s="632" t="str">
        <f ca="1">IF(INDIRECT(CONCATENATE($FK$12,Fixtures!IT$25))="","",IF(INDIRECT(CONCATENATE($FK$12,Fixtures!IT$25))=Fixtures!$DN58,CONCATENATE(IT$10,", "),""))</f>
        <v/>
      </c>
      <c r="IU58" s="632" t="str">
        <f ca="1">IF(INDIRECT(CONCATENATE($FK$12,Fixtures!IU$25))="","",IF(INDIRECT(CONCATENATE($FK$12,Fixtures!IU$25))=Fixtures!$DN58,CONCATENATE(IU$10,", "),""))</f>
        <v/>
      </c>
      <c r="IV58" s="632" t="str">
        <f ca="1">IF(INDIRECT(CONCATENATE($FK$12,Fixtures!IV$25))="","",IF(INDIRECT(CONCATENATE($FK$12,Fixtures!IV$25))=Fixtures!$DN58,CONCATENATE(IV$10,", "),""))</f>
        <v/>
      </c>
      <c r="IW58" s="632" t="str">
        <f ca="1">IF(INDIRECT(CONCATENATE($FK$12,Fixtures!IW$25))="","",IF(INDIRECT(CONCATENATE($FK$12,Fixtures!IW$25))=Fixtures!$DN58,CONCATENATE(IW$10,", "),""))</f>
        <v/>
      </c>
      <c r="IX58" s="632" t="str">
        <f ca="1">IF(INDIRECT(CONCATENATE($FK$12,Fixtures!IX$25))="","",IF(INDIRECT(CONCATENATE($FK$12,Fixtures!IX$25))=Fixtures!$DN58,CONCATENATE(IX$10,", "),""))</f>
        <v/>
      </c>
      <c r="IY58" s="632" t="str">
        <f ca="1">IF(INDIRECT(CONCATENATE($FK$12,Fixtures!IY$25))="","",IF(INDIRECT(CONCATENATE($FK$12,Fixtures!IY$25))=Fixtures!$DN58,CONCATENATE(IY$10,", "),""))</f>
        <v/>
      </c>
      <c r="IZ58" s="632" t="str">
        <f ca="1">IF(INDIRECT(CONCATENATE($FK$12,Fixtures!IZ$25))="","",IF(INDIRECT(CONCATENATE($FK$12,Fixtures!IZ$25))=Fixtures!$DN58,CONCATENATE(IZ$10,", "),""))</f>
        <v/>
      </c>
      <c r="JA58" s="632" t="str">
        <f ca="1">IF(INDIRECT(CONCATENATE($FK$12,Fixtures!JA$25))="","",IF(INDIRECT(CONCATENATE($FK$12,Fixtures!JA$25))=Fixtures!$DN58,CONCATENATE(JA$10,", "),""))</f>
        <v/>
      </c>
      <c r="JB58" s="632" t="str">
        <f ca="1">IF(INDIRECT(CONCATENATE($FK$12,Fixtures!JB$25))="","",IF(INDIRECT(CONCATENATE($FK$12,Fixtures!JB$25))=Fixtures!$DN58,CONCATENATE(JB$10,", "),""))</f>
        <v/>
      </c>
      <c r="JC58" s="632" t="str">
        <f ca="1">IF(INDIRECT(CONCATENATE($FK$12,Fixtures!JC$25))="","",IF(INDIRECT(CONCATENATE($FK$12,Fixtures!JC$25))=Fixtures!$DN58,CONCATENATE(JC$10,", "),""))</f>
        <v/>
      </c>
      <c r="JD58" s="632" t="str">
        <f ca="1">IF(INDIRECT(CONCATENATE($FK$12,Fixtures!JD$25))="","",IF(INDIRECT(CONCATENATE($FK$12,Fixtures!JD$25))=Fixtures!$DN58,CONCATENATE(JD$10,", "),""))</f>
        <v/>
      </c>
      <c r="JE58" s="632" t="str">
        <f ca="1">IF(INDIRECT(CONCATENATE($FK$12,Fixtures!JE$25))="","",IF(INDIRECT(CONCATENATE($FK$12,Fixtures!JE$25))=Fixtures!$DN58,CONCATENATE(JE$10,", "),""))</f>
        <v/>
      </c>
      <c r="JF58" s="606" t="str">
        <f ca="1">IF(INDIRECT(CONCATENATE($FK$12,Fixtures!JF$25))="","",IF(INDIRECT(CONCATENATE($FK$12,Fixtures!JF$25))=Fixtures!$DN58,CONCATENATE(JF$10,", "),""))</f>
        <v/>
      </c>
      <c r="JG58" s="607" t="str">
        <f ca="1">IF(INDIRECT(CONCATENATE($FK$12,Fixtures!JG$25))="","",IF(INDIRECT(CONCATENATE($FK$12,Fixtures!JG$25))=Fixtures!$DN58,CONCATENATE(JG$10,", "),""))</f>
        <v/>
      </c>
      <c r="JH58" s="632" t="str">
        <f ca="1">IF(INDIRECT(CONCATENATE($FK$12,Fixtures!JH$25))="","",IF(INDIRECT(CONCATENATE($FK$12,Fixtures!JH$25))=Fixtures!$DN58,CONCATENATE(JH$10,", "),""))</f>
        <v/>
      </c>
      <c r="JI58" s="632" t="str">
        <f ca="1">IF(INDIRECT(CONCATENATE($FK$12,Fixtures!JI$25))="","",IF(INDIRECT(CONCATENATE($FK$12,Fixtures!JI$25))=Fixtures!$DN58,CONCATENATE(JI$10,", "),""))</f>
        <v/>
      </c>
      <c r="JJ58" s="632" t="str">
        <f ca="1">IF(INDIRECT(CONCATENATE($FK$12,Fixtures!JJ$25))="","",IF(INDIRECT(CONCATENATE($FK$12,Fixtures!JJ$25))=Fixtures!$DN58,CONCATENATE(JJ$10,", "),""))</f>
        <v/>
      </c>
      <c r="JK58" s="632" t="str">
        <f ca="1">IF(INDIRECT(CONCATENATE($FK$12,Fixtures!JK$25))="","",IF(INDIRECT(CONCATENATE($FK$12,Fixtures!JK$25))=Fixtures!$DN58,CONCATENATE(JK$10,", "),""))</f>
        <v/>
      </c>
      <c r="JL58" s="632" t="str">
        <f ca="1">IF(INDIRECT(CONCATENATE($FK$12,Fixtures!JL$25))="","",IF(INDIRECT(CONCATENATE($FK$12,Fixtures!JL$25))=Fixtures!$DN58,CONCATENATE(JL$10,", "),""))</f>
        <v/>
      </c>
      <c r="JM58" s="632" t="str">
        <f ca="1">IF(INDIRECT(CONCATENATE($FK$12,Fixtures!JM$25))="","",IF(INDIRECT(CONCATENATE($FK$12,Fixtures!JM$25))=Fixtures!$DN58,CONCATENATE(JM$10,", "),""))</f>
        <v/>
      </c>
      <c r="JN58" s="632" t="str">
        <f ca="1">IF(INDIRECT(CONCATENATE($FK$12,Fixtures!JN$25))="","",IF(INDIRECT(CONCATENATE($FK$12,Fixtures!JN$25))=Fixtures!$DN58,CONCATENATE(JN$10,", "),""))</f>
        <v/>
      </c>
      <c r="JO58" s="632" t="str">
        <f ca="1">IF(INDIRECT(CONCATENATE($FK$12,Fixtures!JO$25))="","",IF(INDIRECT(CONCATENATE($FK$12,Fixtures!JO$25))=Fixtures!$DN58,CONCATENATE(JO$10,", "),""))</f>
        <v/>
      </c>
      <c r="JP58" s="632" t="str">
        <f ca="1">IF(INDIRECT(CONCATENATE($FK$12,Fixtures!JP$25))="","",IF(INDIRECT(CONCATENATE($FK$12,Fixtures!JP$25))=Fixtures!$DN58,CONCATENATE(JP$10,", "),""))</f>
        <v/>
      </c>
      <c r="JQ58" s="632" t="str">
        <f ca="1">IF(INDIRECT(CONCATENATE($FK$12,Fixtures!JQ$25))="","",IF(INDIRECT(CONCATENATE($FK$12,Fixtures!JQ$25))=Fixtures!$DN58,CONCATENATE(JQ$10,", "),""))</f>
        <v/>
      </c>
      <c r="JR58" s="632" t="str">
        <f ca="1">IF(INDIRECT(CONCATENATE($FK$12,Fixtures!JR$25))="","",IF(INDIRECT(CONCATENATE($FK$12,Fixtures!JR$25))=Fixtures!$DN58,CONCATENATE(JR$10,", "),""))</f>
        <v/>
      </c>
      <c r="JS58" s="632" t="str">
        <f ca="1">IF(INDIRECT(CONCATENATE($FK$12,Fixtures!JS$25))="","",IF(INDIRECT(CONCATENATE($FK$12,Fixtures!JS$25))=Fixtures!$DN58,CONCATENATE(JS$10,", "),""))</f>
        <v/>
      </c>
      <c r="JT58" s="632" t="str">
        <f ca="1">IF(INDIRECT(CONCATENATE($FK$12,Fixtures!JT$25))="","",IF(INDIRECT(CONCATENATE($FK$12,Fixtures!JT$25))=Fixtures!$DN58,CONCATENATE(JT$10,", "),""))</f>
        <v/>
      </c>
      <c r="JU58" s="606" t="str">
        <f ca="1">IF(INDIRECT(CONCATENATE($FK$12,Fixtures!JU$25))="","",IF(INDIRECT(CONCATENATE($FK$12,Fixtures!JU$25))=Fixtures!$DN58,CONCATENATE(JU$10,", "),""))</f>
        <v/>
      </c>
      <c r="JV58" s="607" t="str">
        <f ca="1">IF(INDIRECT(CONCATENATE($FK$12,Fixtures!JV$25))="","",IF(INDIRECT(CONCATENATE($FK$12,Fixtures!JV$25))=Fixtures!$DN58,CONCATENATE(JV$10,", "),""))</f>
        <v/>
      </c>
      <c r="JW58" s="632" t="str">
        <f ca="1">IF(INDIRECT(CONCATENATE($FK$12,Fixtures!JW$25))="","",IF(INDIRECT(CONCATENATE($FK$12,Fixtures!JW$25))=Fixtures!$DN58,CONCATENATE(JW$10,", "),""))</f>
        <v/>
      </c>
      <c r="JX58" s="632" t="str">
        <f ca="1">IF(INDIRECT(CONCATENATE($FK$12,Fixtures!JX$25))="","",IF(INDIRECT(CONCATENATE($FK$12,Fixtures!JX$25))=Fixtures!$DN58,CONCATENATE(JX$10,", "),""))</f>
        <v/>
      </c>
      <c r="JY58" s="632" t="str">
        <f ca="1">IF(INDIRECT(CONCATENATE($FK$12,Fixtures!JY$25))="","",IF(INDIRECT(CONCATENATE($FK$12,Fixtures!JY$25))=Fixtures!$DN58,CONCATENATE(JY$10,", "),""))</f>
        <v/>
      </c>
      <c r="JZ58" s="632" t="str">
        <f ca="1">IF(INDIRECT(CONCATENATE($FK$12,Fixtures!JZ$25))="","",IF(INDIRECT(CONCATENATE($FK$12,Fixtures!JZ$25))=Fixtures!$DN58,CONCATENATE(JZ$10,", "),""))</f>
        <v/>
      </c>
      <c r="KA58" s="632" t="str">
        <f ca="1">IF(INDIRECT(CONCATENATE($FK$12,Fixtures!KA$25))="","",IF(INDIRECT(CONCATENATE($FK$12,Fixtures!KA$25))=Fixtures!$DN58,CONCATENATE(KA$10,", "),""))</f>
        <v/>
      </c>
      <c r="KB58" s="632" t="str">
        <f ca="1">IF(INDIRECT(CONCATENATE($FK$12,Fixtures!KB$25))="","",IF(INDIRECT(CONCATENATE($FK$12,Fixtures!KB$25))=Fixtures!$DN58,CONCATENATE(KB$10,", "),""))</f>
        <v/>
      </c>
      <c r="KC58" s="632" t="str">
        <f ca="1">IF(INDIRECT(CONCATENATE($FK$12,Fixtures!KC$25))="","",IF(INDIRECT(CONCATENATE($FK$12,Fixtures!KC$25))=Fixtures!$DN58,CONCATENATE(KC$10,", "),""))</f>
        <v/>
      </c>
      <c r="KD58" s="632" t="str">
        <f ca="1">IF(INDIRECT(CONCATENATE($FK$12,Fixtures!KD$25))="","",IF(INDIRECT(CONCATENATE($FK$12,Fixtures!KD$25))=Fixtures!$DN58,CONCATENATE(KD$10,", "),""))</f>
        <v/>
      </c>
      <c r="KE58" s="632" t="str">
        <f ca="1">IF(INDIRECT(CONCATENATE($FK$12,Fixtures!KE$25))="","",IF(INDIRECT(CONCATENATE($FK$12,Fixtures!KE$25))=Fixtures!$DN58,CONCATENATE(KE$10,", "),""))</f>
        <v/>
      </c>
      <c r="KF58" s="632" t="str">
        <f ca="1">IF(INDIRECT(CONCATENATE($FK$12,Fixtures!KF$25))="","",IF(INDIRECT(CONCATENATE($FK$12,Fixtures!KF$25))=Fixtures!$DN58,CONCATENATE(KF$10,", "),""))</f>
        <v/>
      </c>
      <c r="KG58" s="632" t="str">
        <f ca="1">IF(INDIRECT(CONCATENATE($FK$12,Fixtures!KG$25))="","",IF(INDIRECT(CONCATENATE($FK$12,Fixtures!KG$25))=Fixtures!$DN58,CONCATENATE(KG$10,", "),""))</f>
        <v/>
      </c>
      <c r="KH58" s="632" t="str">
        <f ca="1">IF(INDIRECT(CONCATENATE($FK$12,Fixtures!KH$25))="","",IF(INDIRECT(CONCATENATE($FK$12,Fixtures!KH$25))=Fixtures!$DN58,CONCATENATE(KH$10,", "),""))</f>
        <v/>
      </c>
      <c r="KI58" s="632" t="str">
        <f ca="1">IF(INDIRECT(CONCATENATE($FK$12,Fixtures!KI$25))="","",IF(INDIRECT(CONCATENATE($FK$12,Fixtures!KI$25))=Fixtures!$DN58,CONCATENATE(KI$10,", "),""))</f>
        <v/>
      </c>
      <c r="KJ58" s="606" t="str">
        <f ca="1">IF(INDIRECT(CONCATENATE($FK$12,Fixtures!KJ$25))="","",IF(INDIRECT(CONCATENATE($FK$12,Fixtures!KJ$25))=Fixtures!$DN58,CONCATENATE(KJ$10,", "),""))</f>
        <v/>
      </c>
      <c r="KK58" s="607" t="str">
        <f ca="1">IF(INDIRECT(CONCATENATE($FK$12,Fixtures!KK$25))="","",IF(INDIRECT(CONCATENATE($FK$12,Fixtures!KK$25))=Fixtures!$DN58,CONCATENATE(KK$10,", "),""))</f>
        <v/>
      </c>
      <c r="KL58" s="632" t="str">
        <f ca="1">IF(INDIRECT(CONCATENATE($FK$12,Fixtures!KL$25))="","",IF(INDIRECT(CONCATENATE($FK$12,Fixtures!KL$25))=Fixtures!$DN58,CONCATENATE(KL$10,", "),""))</f>
        <v/>
      </c>
      <c r="KM58" s="632" t="str">
        <f ca="1">IF(INDIRECT(CONCATENATE($FK$12,Fixtures!KM$25))="","",IF(INDIRECT(CONCATENATE($FK$12,Fixtures!KM$25))=Fixtures!$DN58,CONCATENATE(KM$10,", "),""))</f>
        <v/>
      </c>
      <c r="KN58" s="632" t="str">
        <f ca="1">IF(INDIRECT(CONCATENATE($FK$12,Fixtures!KN$25))="","",IF(INDIRECT(CONCATENATE($FK$12,Fixtures!KN$25))=Fixtures!$DN58,CONCATENATE(KN$10,", "),""))</f>
        <v/>
      </c>
      <c r="KO58" s="632" t="str">
        <f ca="1">IF(INDIRECT(CONCATENATE($FK$12,Fixtures!KO$25))="","",IF(INDIRECT(CONCATENATE($FK$12,Fixtures!KO$25))=Fixtures!$DN58,CONCATENATE(KO$10,", "),""))</f>
        <v/>
      </c>
      <c r="KP58" s="632" t="str">
        <f ca="1">IF(INDIRECT(CONCATENATE($FK$12,Fixtures!KP$25))="","",IF(INDIRECT(CONCATENATE($FK$12,Fixtures!KP$25))=Fixtures!$DN58,CONCATENATE(KP$10,", "),""))</f>
        <v/>
      </c>
      <c r="KQ58" s="632" t="str">
        <f ca="1">IF(INDIRECT(CONCATENATE($FK$12,Fixtures!KQ$25))="","",IF(INDIRECT(CONCATENATE($FK$12,Fixtures!KQ$25))=Fixtures!$DN58,CONCATENATE(KQ$10,", "),""))</f>
        <v/>
      </c>
      <c r="KR58" s="632" t="str">
        <f ca="1">IF(INDIRECT(CONCATENATE($FK$12,Fixtures!KR$25))="","",IF(INDIRECT(CONCATENATE($FK$12,Fixtures!KR$25))=Fixtures!$DN58,CONCATENATE(KR$10,", "),""))</f>
        <v/>
      </c>
      <c r="KS58" s="632" t="str">
        <f ca="1">IF(INDIRECT(CONCATENATE($FK$12,Fixtures!KS$25))="","",IF(INDIRECT(CONCATENATE($FK$12,Fixtures!KS$25))=Fixtures!$DN58,CONCATENATE(KS$10,", "),""))</f>
        <v/>
      </c>
      <c r="KT58" s="632" t="str">
        <f ca="1">IF(INDIRECT(CONCATENATE($FK$12,Fixtures!KT$25))="","",IF(INDIRECT(CONCATENATE($FK$12,Fixtures!KT$25))=Fixtures!$DN58,CONCATENATE(KT$10,", "),""))</f>
        <v/>
      </c>
      <c r="KU58" s="632" t="str">
        <f ca="1">IF(INDIRECT(CONCATENATE($FK$12,Fixtures!KU$25))="","",IF(INDIRECT(CONCATENATE($FK$12,Fixtures!KU$25))=Fixtures!$DN58,CONCATENATE(KU$10,", "),""))</f>
        <v/>
      </c>
      <c r="KV58" s="632" t="str">
        <f ca="1">IF(INDIRECT(CONCATENATE($FK$12,Fixtures!KV$25))="","",IF(INDIRECT(CONCATENATE($FK$12,Fixtures!KV$25))=Fixtures!$DN58,CONCATENATE(KV$10,", "),""))</f>
        <v/>
      </c>
      <c r="KW58" s="632" t="str">
        <f ca="1">IF(INDIRECT(CONCATENATE($FK$12,Fixtures!KW$25))="","",IF(INDIRECT(CONCATENATE($FK$12,Fixtures!KW$25))=Fixtures!$DN58,CONCATENATE(KW$10,", "),""))</f>
        <v/>
      </c>
      <c r="KX58" s="632" t="str">
        <f ca="1">IF(INDIRECT(CONCATENATE($FK$12,Fixtures!KX$25))="","",IF(INDIRECT(CONCATENATE($FK$12,Fixtures!KX$25))=Fixtures!$DN58,CONCATENATE(KX$10,", "),""))</f>
        <v/>
      </c>
      <c r="KY58" s="632"/>
      <c r="KZ58" s="542"/>
      <c r="LA58" s="46" t="str">
        <f t="shared" ca="1" si="7"/>
        <v/>
      </c>
      <c r="LB58" s="46"/>
      <c r="LC58" s="1010"/>
      <c r="LD58" s="1009" t="str">
        <f t="shared" si="20"/>
        <v/>
      </c>
    </row>
    <row r="59" spans="1:316" ht="28.2" customHeight="1" thickTop="1" thickBot="1">
      <c r="A59" s="426" t="str">
        <f t="shared" si="13"/>
        <v/>
      </c>
      <c r="C59" s="1640" t="str">
        <f t="shared" si="14"/>
        <v/>
      </c>
      <c r="D59" s="1641"/>
      <c r="E59" s="1568" t="str">
        <f t="shared" si="15"/>
        <v/>
      </c>
      <c r="F59" s="1569"/>
      <c r="G59" s="1569"/>
      <c r="H59" s="1569"/>
      <c r="I59" s="1569"/>
      <c r="J59" s="1569"/>
      <c r="K59" s="1569"/>
      <c r="L59" s="1569"/>
      <c r="M59" s="1642"/>
      <c r="N59" s="203" t="str">
        <f t="shared" si="16"/>
        <v/>
      </c>
      <c r="O59" s="12"/>
      <c r="P59" s="1638" t="str">
        <f t="shared" si="25"/>
        <v/>
      </c>
      <c r="Q59" s="1639"/>
      <c r="R59" s="1568" t="str">
        <f t="shared" si="30"/>
        <v/>
      </c>
      <c r="S59" s="1569"/>
      <c r="T59" s="1569"/>
      <c r="U59" s="1569"/>
      <c r="V59" s="1569"/>
      <c r="W59" s="1569"/>
      <c r="X59" s="1569"/>
      <c r="Y59" s="203" t="str">
        <f t="shared" si="26"/>
        <v/>
      </c>
      <c r="Z59" s="203" t="str">
        <f t="shared" si="27"/>
        <v/>
      </c>
      <c r="AA59" s="394" t="str">
        <f t="shared" si="28"/>
        <v/>
      </c>
      <c r="AB59" s="489"/>
      <c r="AC59" s="1564" t="str">
        <f t="shared" si="18"/>
        <v/>
      </c>
      <c r="AD59" s="1565"/>
      <c r="AE59" s="1565"/>
      <c r="AF59" s="1565"/>
      <c r="AG59" s="1565"/>
      <c r="AH59" s="1565"/>
      <c r="AK59">
        <f>SUMIFS(Installations!CV$46:CV$803,Installations!CW$46:CW$803,E59,Installations!IC$46:IC$803,TRUE)</f>
        <v>0</v>
      </c>
      <c r="AL59">
        <f>SUMIFS(Installations!CV$46:CV$803,Installations!CW$46:CW$803,R59,Installations!IC$46:IC$803,TRUE)</f>
        <v>0</v>
      </c>
      <c r="BL59" s="9"/>
      <c r="BM59" s="622" t="str">
        <f t="shared" si="19"/>
        <v/>
      </c>
      <c r="BN59" s="52"/>
      <c r="BO59" s="52"/>
      <c r="BP59" s="52"/>
      <c r="BQ59" s="52"/>
      <c r="BR59" s="52"/>
      <c r="BS59" s="52"/>
      <c r="BT59" s="52"/>
      <c r="BU59" s="373"/>
      <c r="BV59" s="219" t="str">
        <f>IF(CN59&lt;&gt;"Yes","",IFERROR(VLOOKUP(CU59,Existing!A$4:F$367,2,FALSE),""))</f>
        <v/>
      </c>
      <c r="BW59" s="9">
        <v>33</v>
      </c>
      <c r="BX59" s="1625"/>
      <c r="BY59" s="1626"/>
      <c r="BZ59" s="1626"/>
      <c r="CA59" s="1627"/>
      <c r="CB59" s="1622"/>
      <c r="CC59" s="1623"/>
      <c r="CD59" s="1623"/>
      <c r="CE59" s="1624"/>
      <c r="CF59" s="1621"/>
      <c r="CG59" s="1621"/>
      <c r="CH59" s="1621"/>
      <c r="CI59" s="1621"/>
      <c r="CJ59" s="1621"/>
      <c r="CK59" s="1621"/>
      <c r="CL59" s="1621"/>
      <c r="CM59" s="1621"/>
      <c r="CN59" s="1553" t="str">
        <f t="shared" si="31"/>
        <v/>
      </c>
      <c r="CO59" s="1554"/>
      <c r="CP59" s="229" t="str">
        <f>IFERROR(IF(CB59="Existing TLED",CR59*CW59*CY59,VLOOKUP(CU59,Existing!A$3:F$356,6,FALSE)),"")</f>
        <v/>
      </c>
      <c r="CQ59" s="9"/>
      <c r="CR59" s="1660"/>
      <c r="CS59" s="1661"/>
      <c r="CT59" s="9"/>
      <c r="CU59" s="425" t="str">
        <f t="shared" si="21"/>
        <v/>
      </c>
      <c r="CV59" s="426" t="b">
        <f t="shared" si="22"/>
        <v>0</v>
      </c>
      <c r="CW59" s="426" t="str">
        <f t="shared" si="23"/>
        <v/>
      </c>
      <c r="CX59" s="426">
        <f>IFERROR(VLOOKUP(CF59,Lookup!T$100:V$102,3,FALSE),0)</f>
        <v>0</v>
      </c>
      <c r="CY59" s="426">
        <f t="shared" si="8"/>
        <v>1.1100000000000001</v>
      </c>
      <c r="CZ59" s="626" t="b">
        <f t="shared" ref="CZ59:CZ76" si="32">IF(OR(BX59="",CB59="",CF59="",CJ59="")=TRUE,FALSE,TRUE)</f>
        <v>0</v>
      </c>
      <c r="DA59" s="626" t="b">
        <f>IF(CF59&lt;&gt;"",IF(ISERROR(MATCH(CONCATENATE(CB59," - ",CF59),Existing!G$4:G$331,0))=TRUE,FALSE,TRUE),TRUE)</f>
        <v>1</v>
      </c>
      <c r="DB59" s="626" t="b">
        <f t="shared" ref="DB59:DB76" si="33">IF(AND(CZ59=TRUE,CP59=""),FALSE,TRUE)</f>
        <v>1</v>
      </c>
      <c r="DL59" s="9"/>
      <c r="DM59" s="627" t="s">
        <v>215</v>
      </c>
      <c r="DN59" s="375" t="str">
        <f t="shared" ref="DN59:DN76" si="34">IF(EV59="YES",CONCATENATE(DX59," ",DV59),"")</f>
        <v/>
      </c>
      <c r="DO59" s="52"/>
      <c r="DP59" s="52"/>
      <c r="DQ59" s="52"/>
      <c r="DR59" s="52"/>
      <c r="DS59" s="52"/>
      <c r="DT59" s="226"/>
      <c r="DU59" s="376"/>
      <c r="DV59" s="227" t="str">
        <f t="shared" ref="DV59:DV76" si="35">IF(EV59&lt;&gt;"Yes","",IF(EB59="Removed","Fixture Removed",CONCATENATE(EB59,", (",EF59,") ",EH59," #",EL59)))</f>
        <v/>
      </c>
      <c r="DW59" s="224">
        <v>33</v>
      </c>
      <c r="DX59" s="1572"/>
      <c r="DY59" s="1573"/>
      <c r="DZ59" s="1573"/>
      <c r="EA59" s="1574"/>
      <c r="EB59" s="1618"/>
      <c r="EC59" s="1619"/>
      <c r="ED59" s="1619"/>
      <c r="EE59" s="1620"/>
      <c r="EF59" s="1578"/>
      <c r="EG59" s="1579"/>
      <c r="EH59" s="1618"/>
      <c r="EI59" s="1619"/>
      <c r="EJ59" s="1619"/>
      <c r="EK59" s="1620"/>
      <c r="EL59" s="1575"/>
      <c r="EM59" s="1576"/>
      <c r="EN59" s="1576"/>
      <c r="EO59" s="1577"/>
      <c r="EP59" s="1578"/>
      <c r="EQ59" s="1579"/>
      <c r="ER59" s="1555"/>
      <c r="ES59" s="1556"/>
      <c r="ET59" s="1553" t="str">
        <f t="shared" si="9"/>
        <v/>
      </c>
      <c r="EU59" s="1554"/>
      <c r="EV59" s="1553" t="str">
        <f t="shared" si="29"/>
        <v/>
      </c>
      <c r="EW59" s="1554"/>
      <c r="EX59" s="393"/>
      <c r="EY59" s="225" t="str">
        <f t="shared" ref="EY59:EY76" si="36">IFERROR(IF(OR(LEFT(EB59,4)="TLED",LEFT(EB59,3)="CFL",LEFT(EB59,3)="HID",LEFT(EB59,8)="Existing"),VLOOKUP(EB59,_Fixture_Measure_Life,2,FALSE),VLOOKUP(DX59,_Fixture_Measure_Life,2,FALSE)),"")</f>
        <v/>
      </c>
      <c r="EZ59" s="225" t="str">
        <f>IFERROR(VLOOKUP(EB59,Lookup!AT$3:AU$13,2,FALSE),"")</f>
        <v/>
      </c>
      <c r="FA59" s="426" t="b">
        <f>IFERROR(IF(VLOOKUP(EB59,Lookup!AT$6:AU$8,2,FALSE)&gt;3,TRUE,FALSE),FALSE)</f>
        <v>0</v>
      </c>
      <c r="FB59" s="426" t="str">
        <f t="shared" si="10"/>
        <v/>
      </c>
      <c r="FC59" t="str">
        <f t="shared" ca="1" si="11"/>
        <v/>
      </c>
      <c r="FG59" t="str">
        <f t="shared" ca="1" si="12"/>
        <v/>
      </c>
      <c r="FI59" s="204" t="str">
        <f t="shared" ca="1" si="24"/>
        <v/>
      </c>
      <c r="FK59" s="631" t="str">
        <f ca="1">IF(INDIRECT(CONCATENATE($FK$12,Fixtures!FK$25))="","",IF(INDIRECT(CONCATENATE($FK$12,Fixtures!FK$25))=Fixtures!$DN59,CONCATENATE(FK$10,", "),""))</f>
        <v/>
      </c>
      <c r="FL59" s="631" t="str">
        <f ca="1">IF(INDIRECT(CONCATENATE($FK$12,Fixtures!FL$25))="","",IF(INDIRECT(CONCATENATE($FK$12,Fixtures!FL$25))=Fixtures!$DN59,CONCATENATE(FL$10,", "),""))</f>
        <v/>
      </c>
      <c r="FM59" s="631" t="str">
        <f ca="1">IF(INDIRECT(CONCATENATE($FK$12,Fixtures!FM$25))="","",IF(INDIRECT(CONCATENATE($FK$12,Fixtures!FM$25))=Fixtures!$DN59,CONCATENATE(FM$10,", "),""))</f>
        <v/>
      </c>
      <c r="FN59" s="631" t="str">
        <f ca="1">IF(INDIRECT(CONCATENATE($FK$12,Fixtures!FN$25))="","",IF(INDIRECT(CONCATENATE($FK$12,Fixtures!FN$25))=Fixtures!$DN59,CONCATENATE(FN$10,", "),""))</f>
        <v/>
      </c>
      <c r="FO59" s="631" t="str">
        <f ca="1">IF(INDIRECT(CONCATENATE($FK$12,Fixtures!FO$25))="","",IF(INDIRECT(CONCATENATE($FK$12,Fixtures!FO$25))=Fixtures!$DN59,CONCATENATE(FO$10,", "),""))</f>
        <v/>
      </c>
      <c r="FP59" s="631" t="str">
        <f ca="1">IF(INDIRECT(CONCATENATE($FK$12,Fixtures!FP$25))="","",IF(INDIRECT(CONCATENATE($FK$12,Fixtures!FP$25))=Fixtures!$DN59,CONCATENATE(FP$10,", "),""))</f>
        <v/>
      </c>
      <c r="FQ59" s="631" t="str">
        <f ca="1">IF(INDIRECT(CONCATENATE($FK$12,Fixtures!FQ$25))="","",IF(INDIRECT(CONCATENATE($FK$12,Fixtures!FQ$25))=Fixtures!$DN59,CONCATENATE(FQ$10,", "),""))</f>
        <v/>
      </c>
      <c r="FR59" s="631" t="str">
        <f ca="1">IF(INDIRECT(CONCATENATE($FK$12,Fixtures!FR$25))="","",IF(INDIRECT(CONCATENATE($FK$12,Fixtures!FR$25))=Fixtures!$DN59,CONCATENATE(FR$10,", "),""))</f>
        <v/>
      </c>
      <c r="FS59" s="631" t="str">
        <f ca="1">IF(INDIRECT(CONCATENATE($FK$12,Fixtures!FS$25))="","",IF(INDIRECT(CONCATENATE($FK$12,Fixtures!FS$25))=Fixtures!$DN59,CONCATENATE(FS$10,", "),""))</f>
        <v/>
      </c>
      <c r="FT59" s="604" t="str">
        <f ca="1">IF(INDIRECT(CONCATENATE($FK$12,Fixtures!FT$25))="","",IF(INDIRECT(CONCATENATE($FK$12,Fixtures!FT$25))=Fixtures!$DN59,CONCATENATE(FT$10,", "),""))</f>
        <v/>
      </c>
      <c r="FU59" s="605" t="str">
        <f ca="1">IF(INDIRECT(CONCATENATE($FK$12,Fixtures!FU$25))="","",IF(INDIRECT(CONCATENATE($FK$12,Fixtures!FU$25))=Fixtures!$DN59,CONCATENATE(FU$10,", "),""))</f>
        <v/>
      </c>
      <c r="FV59" s="631" t="str">
        <f ca="1">IF(INDIRECT(CONCATENATE($FK$12,Fixtures!FV$25))="","",IF(INDIRECT(CONCATENATE($FK$12,Fixtures!FV$25))=Fixtures!$DN59,CONCATENATE(FV$10,", "),""))</f>
        <v/>
      </c>
      <c r="FW59" s="632" t="str">
        <f ca="1">IF(INDIRECT(CONCATENATE($FK$12,Fixtures!FW$25))="","",IF(INDIRECT(CONCATENATE($FK$12,Fixtures!FW$25))=Fixtures!$DN59,CONCATENATE(FW$10,", "),""))</f>
        <v/>
      </c>
      <c r="FX59" s="632" t="str">
        <f ca="1">IF(INDIRECT(CONCATENATE($FK$12,Fixtures!FX$25))="","",IF(INDIRECT(CONCATENATE($FK$12,Fixtures!FX$25))=Fixtures!$DN59,CONCATENATE(FX$10,", "),""))</f>
        <v/>
      </c>
      <c r="FY59" s="632" t="str">
        <f ca="1">IF(INDIRECT(CONCATENATE($FK$12,Fixtures!FY$25))="","",IF(INDIRECT(CONCATENATE($FK$12,Fixtures!FY$25))=Fixtures!$DN59,CONCATENATE(FY$10,", "),""))</f>
        <v/>
      </c>
      <c r="FZ59" s="632" t="str">
        <f ca="1">IF(INDIRECT(CONCATENATE($FK$12,Fixtures!FZ$25))="","",IF(INDIRECT(CONCATENATE($FK$12,Fixtures!FZ$25))=Fixtures!$DN59,CONCATENATE(FZ$10,", "),""))</f>
        <v/>
      </c>
      <c r="GA59" s="632" t="str">
        <f ca="1">IF(INDIRECT(CONCATENATE($FK$12,Fixtures!GA$25))="","",IF(INDIRECT(CONCATENATE($FK$12,Fixtures!GA$25))=Fixtures!$DN59,CONCATENATE(GA$10,", "),""))</f>
        <v/>
      </c>
      <c r="GB59" s="632" t="str">
        <f ca="1">IF(INDIRECT(CONCATENATE($FK$12,Fixtures!GB$25))="","",IF(INDIRECT(CONCATENATE($FK$12,Fixtures!GB$25))=Fixtures!$DN59,CONCATENATE(GB$10,", "),""))</f>
        <v/>
      </c>
      <c r="GC59" s="632" t="str">
        <f ca="1">IF(INDIRECT(CONCATENATE($FK$12,Fixtures!GC$25))="","",IF(INDIRECT(CONCATENATE($FK$12,Fixtures!GC$25))=Fixtures!$DN59,CONCATENATE(GC$10,", "),""))</f>
        <v/>
      </c>
      <c r="GD59" s="632" t="str">
        <f ca="1">IF(INDIRECT(CONCATENATE($FK$12,Fixtures!GD$25))="","",IF(INDIRECT(CONCATENATE($FK$12,Fixtures!GD$25))=Fixtures!$DN59,CONCATENATE(GD$10,", "),""))</f>
        <v/>
      </c>
      <c r="GE59" s="632" t="str">
        <f ca="1">IF(INDIRECT(CONCATENATE($FK$12,Fixtures!GE$25))="","",IF(INDIRECT(CONCATENATE($FK$12,Fixtures!GE$25))=Fixtures!$DN59,CONCATENATE(GE$10,", "),""))</f>
        <v/>
      </c>
      <c r="GF59" s="632" t="str">
        <f ca="1">IF(INDIRECT(CONCATENATE($FK$12,Fixtures!GF$25))="","",IF(INDIRECT(CONCATENATE($FK$12,Fixtures!GF$25))=Fixtures!$DN59,CONCATENATE(GF$10,", "),""))</f>
        <v/>
      </c>
      <c r="GG59" s="632" t="str">
        <f ca="1">IF(INDIRECT(CONCATENATE($FK$12,Fixtures!GG$25))="","",IF(INDIRECT(CONCATENATE($FK$12,Fixtures!GG$25))=Fixtures!$DN59,CONCATENATE(GG$10,", "),""))</f>
        <v/>
      </c>
      <c r="GH59" s="632" t="str">
        <f ca="1">IF(INDIRECT(CONCATENATE($FK$12,Fixtures!GH$25))="","",IF(INDIRECT(CONCATENATE($FK$12,Fixtures!GH$25))=Fixtures!$DN59,CONCATENATE(GH$10,", "),""))</f>
        <v/>
      </c>
      <c r="GI59" s="606" t="str">
        <f ca="1">IF(INDIRECT(CONCATENATE($FK$12,Fixtures!GI$25))="","",IF(INDIRECT(CONCATENATE($FK$12,Fixtures!GI$25))=Fixtures!$DN59,CONCATENATE(GI$10,", "),""))</f>
        <v/>
      </c>
      <c r="GJ59" s="607" t="str">
        <f ca="1">IF(INDIRECT(CONCATENATE($FK$12,Fixtures!GJ$25))="","",IF(INDIRECT(CONCATENATE($FK$12,Fixtures!GJ$25))=Fixtures!$DN59,CONCATENATE(GJ$10,", "),""))</f>
        <v/>
      </c>
      <c r="GK59" s="632" t="str">
        <f ca="1">IF(INDIRECT(CONCATENATE($FK$12,Fixtures!GK$25))="","",IF(INDIRECT(CONCATENATE($FK$12,Fixtures!GK$25))=Fixtures!$DN59,CONCATENATE(GK$10,", "),""))</f>
        <v/>
      </c>
      <c r="GL59" s="632" t="str">
        <f ca="1">IF(INDIRECT(CONCATENATE($FK$12,Fixtures!GL$25))="","",IF(INDIRECT(CONCATENATE($FK$12,Fixtures!GL$25))=Fixtures!$DN59,CONCATENATE(GL$10,", "),""))</f>
        <v/>
      </c>
      <c r="GM59" s="632" t="str">
        <f ca="1">IF(INDIRECT(CONCATENATE($FK$12,Fixtures!GM$25))="","",IF(INDIRECT(CONCATENATE($FK$12,Fixtures!GM$25))=Fixtures!$DN59,CONCATENATE(GM$10,", "),""))</f>
        <v/>
      </c>
      <c r="GN59" s="632" t="str">
        <f ca="1">IF(INDIRECT(CONCATENATE($FK$12,Fixtures!GN$25))="","",IF(INDIRECT(CONCATENATE($FK$12,Fixtures!GN$25))=Fixtures!$DN59,CONCATENATE(GN$10,", "),""))</f>
        <v/>
      </c>
      <c r="GO59" s="632" t="str">
        <f ca="1">IF(INDIRECT(CONCATENATE($FK$12,Fixtures!GO$25))="","",IF(INDIRECT(CONCATENATE($FK$12,Fixtures!GO$25))=Fixtures!$DN59,CONCATENATE(GO$10,", "),""))</f>
        <v/>
      </c>
      <c r="GP59" s="632" t="str">
        <f ca="1">IF(INDIRECT(CONCATENATE($FK$12,Fixtures!GP$25))="","",IF(INDIRECT(CONCATENATE($FK$12,Fixtures!GP$25))=Fixtures!$DN59,CONCATENATE(GP$10,", "),""))</f>
        <v/>
      </c>
      <c r="GQ59" s="632" t="str">
        <f ca="1">IF(INDIRECT(CONCATENATE($FK$12,Fixtures!GQ$25))="","",IF(INDIRECT(CONCATENATE($FK$12,Fixtures!GQ$25))=Fixtures!$DN59,CONCATENATE(GQ$10,", "),""))</f>
        <v/>
      </c>
      <c r="GR59" s="632" t="str">
        <f ca="1">IF(INDIRECT(CONCATENATE($FK$12,Fixtures!GR$25))="","",IF(INDIRECT(CONCATENATE($FK$12,Fixtures!GR$25))=Fixtures!$DN59,CONCATENATE(GR$10,", "),""))</f>
        <v/>
      </c>
      <c r="GS59" s="632" t="str">
        <f ca="1">IF(INDIRECT(CONCATENATE($FK$12,Fixtures!GS$25))="","",IF(INDIRECT(CONCATENATE($FK$12,Fixtures!GS$25))=Fixtures!$DN59,CONCATENATE(GS$10,", "),""))</f>
        <v/>
      </c>
      <c r="GT59" s="632" t="str">
        <f ca="1">IF(INDIRECT(CONCATENATE($FK$12,Fixtures!GT$25))="","",IF(INDIRECT(CONCATENATE($FK$12,Fixtures!GT$25))=Fixtures!$DN59,CONCATENATE(GT$10,", "),""))</f>
        <v/>
      </c>
      <c r="GU59" s="632" t="str">
        <f ca="1">IF(INDIRECT(CONCATENATE($FK$12,Fixtures!GU$25))="","",IF(INDIRECT(CONCATENATE($FK$12,Fixtures!GU$25))=Fixtures!$DN59,CONCATENATE(GU$10,", "),""))</f>
        <v/>
      </c>
      <c r="GV59" s="632" t="str">
        <f ca="1">IF(INDIRECT(CONCATENATE($FK$12,Fixtures!GV$25))="","",IF(INDIRECT(CONCATENATE($FK$12,Fixtures!GV$25))=Fixtures!$DN59,CONCATENATE(GV$10,", "),""))</f>
        <v/>
      </c>
      <c r="GW59" s="632" t="str">
        <f ca="1">IF(INDIRECT(CONCATENATE($FK$12,Fixtures!GW$25))="","",IF(INDIRECT(CONCATENATE($FK$12,Fixtures!GW$25))=Fixtures!$DN59,CONCATENATE(GW$10,", "),""))</f>
        <v/>
      </c>
      <c r="GX59" s="606" t="str">
        <f ca="1">IF(INDIRECT(CONCATENATE($FK$12,Fixtures!GX$25))="","",IF(INDIRECT(CONCATENATE($FK$12,Fixtures!GX$25))=Fixtures!$DN59,CONCATENATE(GX$10,", "),""))</f>
        <v/>
      </c>
      <c r="GY59" s="607" t="str">
        <f ca="1">IF(INDIRECT(CONCATENATE($FK$12,Fixtures!GY$25))="","",IF(INDIRECT(CONCATENATE($FK$12,Fixtures!GY$25))=Fixtures!$DN59,CONCATENATE(GY$10,", "),""))</f>
        <v/>
      </c>
      <c r="GZ59" s="632" t="str">
        <f ca="1">IF(INDIRECT(CONCATENATE($FK$12,Fixtures!GZ$25))="","",IF(INDIRECT(CONCATENATE($FK$12,Fixtures!GZ$25))=Fixtures!$DN59,CONCATENATE(GZ$10,", "),""))</f>
        <v/>
      </c>
      <c r="HA59" s="632" t="str">
        <f ca="1">IF(INDIRECT(CONCATENATE($FK$12,Fixtures!HA$25))="","",IF(INDIRECT(CONCATENATE($FK$12,Fixtures!HA$25))=Fixtures!$DN59,CONCATENATE(HA$10,", "),""))</f>
        <v/>
      </c>
      <c r="HB59" s="632" t="str">
        <f ca="1">IF(INDIRECT(CONCATENATE($FK$12,Fixtures!HB$25))="","",IF(INDIRECT(CONCATENATE($FK$12,Fixtures!HB$25))=Fixtures!$DN59,CONCATENATE(HB$10,", "),""))</f>
        <v/>
      </c>
      <c r="HC59" s="632" t="str">
        <f ca="1">IF(INDIRECT(CONCATENATE($FK$12,Fixtures!HC$25))="","",IF(INDIRECT(CONCATENATE($FK$12,Fixtures!HC$25))=Fixtures!$DN59,CONCATENATE(HC$10,", "),""))</f>
        <v/>
      </c>
      <c r="HD59" s="632" t="str">
        <f ca="1">IF(INDIRECT(CONCATENATE($FK$12,Fixtures!HD$25))="","",IF(INDIRECT(CONCATENATE($FK$12,Fixtures!HD$25))=Fixtures!$DN59,CONCATENATE(HD$10,", "),""))</f>
        <v/>
      </c>
      <c r="HE59" s="632" t="str">
        <f ca="1">IF(INDIRECT(CONCATENATE($FK$12,Fixtures!HE$25))="","",IF(INDIRECT(CONCATENATE($FK$12,Fixtures!HE$25))=Fixtures!$DN59,CONCATENATE(HE$10,", "),""))</f>
        <v/>
      </c>
      <c r="HF59" s="632" t="str">
        <f ca="1">IF(INDIRECT(CONCATENATE($FK$12,Fixtures!HF$25))="","",IF(INDIRECT(CONCATENATE($FK$12,Fixtures!HF$25))=Fixtures!$DN59,CONCATENATE(HF$10,", "),""))</f>
        <v/>
      </c>
      <c r="HG59" s="632" t="str">
        <f ca="1">IF(INDIRECT(CONCATENATE($FK$12,Fixtures!HG$25))="","",IF(INDIRECT(CONCATENATE($FK$12,Fixtures!HG$25))=Fixtures!$DN59,CONCATENATE(HG$10,", "),""))</f>
        <v/>
      </c>
      <c r="HH59" s="632" t="str">
        <f ca="1">IF(INDIRECT(CONCATENATE($FK$12,Fixtures!HH$25))="","",IF(INDIRECT(CONCATENATE($FK$12,Fixtures!HH$25))=Fixtures!$DN59,CONCATENATE(HH$10,", "),""))</f>
        <v/>
      </c>
      <c r="HI59" s="632" t="str">
        <f ca="1">IF(INDIRECT(CONCATENATE($FK$12,Fixtures!HI$25))="","",IF(INDIRECT(CONCATENATE($FK$12,Fixtures!HI$25))=Fixtures!$DN59,CONCATENATE(HI$10,", "),""))</f>
        <v/>
      </c>
      <c r="HJ59" s="632" t="str">
        <f ca="1">IF(INDIRECT(CONCATENATE($FK$12,Fixtures!HJ$25))="","",IF(INDIRECT(CONCATENATE($FK$12,Fixtures!HJ$25))=Fixtures!$DN59,CONCATENATE(HJ$10,", "),""))</f>
        <v/>
      </c>
      <c r="HK59" s="632" t="str">
        <f ca="1">IF(INDIRECT(CONCATENATE($FK$12,Fixtures!HK$25))="","",IF(INDIRECT(CONCATENATE($FK$12,Fixtures!HK$25))=Fixtures!$DN59,CONCATENATE(HK$10,", "),""))</f>
        <v/>
      </c>
      <c r="HL59" s="632" t="str">
        <f ca="1">IF(INDIRECT(CONCATENATE($FK$12,Fixtures!HL$25))="","",IF(INDIRECT(CONCATENATE($FK$12,Fixtures!HL$25))=Fixtures!$DN59,CONCATENATE(HL$10,", "),""))</f>
        <v/>
      </c>
      <c r="HM59" s="606" t="str">
        <f ca="1">IF(INDIRECT(CONCATENATE($FK$12,Fixtures!HM$25))="","",IF(INDIRECT(CONCATENATE($FK$12,Fixtures!HM$25))=Fixtures!$DN59,CONCATENATE(HM$10,", "),""))</f>
        <v/>
      </c>
      <c r="HN59" s="607" t="str">
        <f ca="1">IF(INDIRECT(CONCATENATE($FK$12,Fixtures!HN$25))="","",IF(INDIRECT(CONCATENATE($FK$12,Fixtures!HN$25))=Fixtures!$DN59,CONCATENATE(HN$10,", "),""))</f>
        <v/>
      </c>
      <c r="HO59" s="632" t="str">
        <f ca="1">IF(INDIRECT(CONCATENATE($FK$12,Fixtures!HO$25))="","",IF(INDIRECT(CONCATENATE($FK$12,Fixtures!HO$25))=Fixtures!$DN59,CONCATENATE(HO$10,", "),""))</f>
        <v/>
      </c>
      <c r="HP59" s="632" t="str">
        <f ca="1">IF(INDIRECT(CONCATENATE($FK$12,Fixtures!HP$25))="","",IF(INDIRECT(CONCATENATE($FK$12,Fixtures!HP$25))=Fixtures!$DN59,CONCATENATE(HP$10,", "),""))</f>
        <v/>
      </c>
      <c r="HQ59" s="632" t="str">
        <f ca="1">IF(INDIRECT(CONCATENATE($FK$12,Fixtures!HQ$25))="","",IF(INDIRECT(CONCATENATE($FK$12,Fixtures!HQ$25))=Fixtures!$DN59,CONCATENATE(HQ$10,", "),""))</f>
        <v/>
      </c>
      <c r="HR59" s="632" t="str">
        <f ca="1">IF(INDIRECT(CONCATENATE($FK$12,Fixtures!HR$25))="","",IF(INDIRECT(CONCATENATE($FK$12,Fixtures!HR$25))=Fixtures!$DN59,CONCATENATE(HR$10,", "),""))</f>
        <v/>
      </c>
      <c r="HS59" s="632" t="str">
        <f ca="1">IF(INDIRECT(CONCATENATE($FK$12,Fixtures!HS$25))="","",IF(INDIRECT(CONCATENATE($FK$12,Fixtures!HS$25))=Fixtures!$DN59,CONCATENATE(HS$10,", "),""))</f>
        <v/>
      </c>
      <c r="HT59" s="632" t="str">
        <f ca="1">IF(INDIRECT(CONCATENATE($FK$12,Fixtures!HT$25))="","",IF(INDIRECT(CONCATENATE($FK$12,Fixtures!HT$25))=Fixtures!$DN59,CONCATENATE(HT$10,", "),""))</f>
        <v/>
      </c>
      <c r="HU59" s="632" t="str">
        <f ca="1">IF(INDIRECT(CONCATENATE($FK$12,Fixtures!HU$25))="","",IF(INDIRECT(CONCATENATE($FK$12,Fixtures!HU$25))=Fixtures!$DN59,CONCATENATE(HU$10,", "),""))</f>
        <v/>
      </c>
      <c r="HV59" s="632" t="str">
        <f ca="1">IF(INDIRECT(CONCATENATE($FK$12,Fixtures!HV$25))="","",IF(INDIRECT(CONCATENATE($FK$12,Fixtures!HV$25))=Fixtures!$DN59,CONCATENATE(HV$10,", "),""))</f>
        <v/>
      </c>
      <c r="HW59" s="632" t="str">
        <f ca="1">IF(INDIRECT(CONCATENATE($FK$12,Fixtures!HW$25))="","",IF(INDIRECT(CONCATENATE($FK$12,Fixtures!HW$25))=Fixtures!$DN59,CONCATENATE(HW$10,", "),""))</f>
        <v/>
      </c>
      <c r="HX59" s="632" t="str">
        <f ca="1">IF(INDIRECT(CONCATENATE($FK$12,Fixtures!HX$25))="","",IF(INDIRECT(CONCATENATE($FK$12,Fixtures!HX$25))=Fixtures!$DN59,CONCATENATE(HX$10,", "),""))</f>
        <v/>
      </c>
      <c r="HY59" s="632" t="str">
        <f ca="1">IF(INDIRECT(CONCATENATE($FK$12,Fixtures!HY$25))="","",IF(INDIRECT(CONCATENATE($FK$12,Fixtures!HY$25))=Fixtures!$DN59,CONCATENATE(HY$10,", "),""))</f>
        <v/>
      </c>
      <c r="HZ59" s="632" t="str">
        <f ca="1">IF(INDIRECT(CONCATENATE($FK$12,Fixtures!HZ$25))="","",IF(INDIRECT(CONCATENATE($FK$12,Fixtures!HZ$25))=Fixtures!$DN59,CONCATENATE(HZ$10,", "),""))</f>
        <v/>
      </c>
      <c r="IA59" s="632" t="str">
        <f ca="1">IF(INDIRECT(CONCATENATE($FK$12,Fixtures!IA$25))="","",IF(INDIRECT(CONCATENATE($FK$12,Fixtures!IA$25))=Fixtures!$DN59,CONCATENATE(IA$10,", "),""))</f>
        <v/>
      </c>
      <c r="IB59" s="606" t="str">
        <f ca="1">IF(INDIRECT(CONCATENATE($FK$12,Fixtures!IB$25))="","",IF(INDIRECT(CONCATENATE($FK$12,Fixtures!IB$25))=Fixtures!$DN59,CONCATENATE(IB$10,", "),""))</f>
        <v/>
      </c>
      <c r="IC59" s="607" t="str">
        <f ca="1">IF(INDIRECT(CONCATENATE($FK$12,Fixtures!IC$25))="","",IF(INDIRECT(CONCATENATE($FK$12,Fixtures!IC$25))=Fixtures!$DN59,CONCATENATE(IC$10,", "),""))</f>
        <v/>
      </c>
      <c r="ID59" s="632" t="str">
        <f ca="1">IF(INDIRECT(CONCATENATE($FK$12,Fixtures!ID$25))="","",IF(INDIRECT(CONCATENATE($FK$12,Fixtures!ID$25))=Fixtures!$DN59,CONCATENATE(ID$10,", "),""))</f>
        <v/>
      </c>
      <c r="IE59" s="632" t="str">
        <f ca="1">IF(INDIRECT(CONCATENATE($FK$12,Fixtures!IE$25))="","",IF(INDIRECT(CONCATENATE($FK$12,Fixtures!IE$25))=Fixtures!$DN59,CONCATENATE(IE$10,", "),""))</f>
        <v/>
      </c>
      <c r="IF59" s="632" t="str">
        <f ca="1">IF(INDIRECT(CONCATENATE($FK$12,Fixtures!IF$25))="","",IF(INDIRECT(CONCATENATE($FK$12,Fixtures!IF$25))=Fixtures!$DN59,CONCATENATE(IF$10,", "),""))</f>
        <v/>
      </c>
      <c r="IG59" s="632" t="str">
        <f ca="1">IF(INDIRECT(CONCATENATE($FK$12,Fixtures!IG$25))="","",IF(INDIRECT(CONCATENATE($FK$12,Fixtures!IG$25))=Fixtures!$DN59,CONCATENATE(IG$10,", "),""))</f>
        <v/>
      </c>
      <c r="IH59" s="632" t="str">
        <f ca="1">IF(INDIRECT(CONCATENATE($FK$12,Fixtures!IH$25))="","",IF(INDIRECT(CONCATENATE($FK$12,Fixtures!IH$25))=Fixtures!$DN59,CONCATENATE(IH$10,", "),""))</f>
        <v/>
      </c>
      <c r="II59" s="632" t="str">
        <f ca="1">IF(INDIRECT(CONCATENATE($FK$12,Fixtures!II$25))="","",IF(INDIRECT(CONCATENATE($FK$12,Fixtures!II$25))=Fixtures!$DN59,CONCATENATE(II$10,", "),""))</f>
        <v/>
      </c>
      <c r="IJ59" s="632" t="str">
        <f ca="1">IF(INDIRECT(CONCATENATE($FK$12,Fixtures!IJ$25))="","",IF(INDIRECT(CONCATENATE($FK$12,Fixtures!IJ$25))=Fixtures!$DN59,CONCATENATE(IJ$10,", "),""))</f>
        <v/>
      </c>
      <c r="IK59" s="632" t="str">
        <f ca="1">IF(INDIRECT(CONCATENATE($FK$12,Fixtures!IK$25))="","",IF(INDIRECT(CONCATENATE($FK$12,Fixtures!IK$25))=Fixtures!$DN59,CONCATENATE(IK$10,", "),""))</f>
        <v/>
      </c>
      <c r="IL59" s="632" t="str">
        <f ca="1">IF(INDIRECT(CONCATENATE($FK$12,Fixtures!IL$25))="","",IF(INDIRECT(CONCATENATE($FK$12,Fixtures!IL$25))=Fixtures!$DN59,CONCATENATE(IL$10,", "),""))</f>
        <v/>
      </c>
      <c r="IM59" s="632" t="str">
        <f ca="1">IF(INDIRECT(CONCATENATE($FK$12,Fixtures!IM$25))="","",IF(INDIRECT(CONCATENATE($FK$12,Fixtures!IM$25))=Fixtures!$DN59,CONCATENATE(IM$10,", "),""))</f>
        <v/>
      </c>
      <c r="IN59" s="632" t="str">
        <f ca="1">IF(INDIRECT(CONCATENATE($FK$12,Fixtures!IN$25))="","",IF(INDIRECT(CONCATENATE($FK$12,Fixtures!IN$25))=Fixtures!$DN59,CONCATENATE(IN$10,", "),""))</f>
        <v/>
      </c>
      <c r="IO59" s="632" t="str">
        <f ca="1">IF(INDIRECT(CONCATENATE($FK$12,Fixtures!IO$25))="","",IF(INDIRECT(CONCATENATE($FK$12,Fixtures!IO$25))=Fixtures!$DN59,CONCATENATE(IO$10,", "),""))</f>
        <v/>
      </c>
      <c r="IP59" s="632" t="str">
        <f ca="1">IF(INDIRECT(CONCATENATE($FK$12,Fixtures!IP$25))="","",IF(INDIRECT(CONCATENATE($FK$12,Fixtures!IP$25))=Fixtures!$DN59,CONCATENATE(IP$10,", "),""))</f>
        <v/>
      </c>
      <c r="IQ59" s="606" t="str">
        <f ca="1">IF(INDIRECT(CONCATENATE($FK$12,Fixtures!IQ$25))="","",IF(INDIRECT(CONCATENATE($FK$12,Fixtures!IQ$25))=Fixtures!$DN59,CONCATENATE(IQ$10,", "),""))</f>
        <v/>
      </c>
      <c r="IR59" s="607" t="str">
        <f ca="1">IF(INDIRECT(CONCATENATE($FK$12,Fixtures!IR$25))="","",IF(INDIRECT(CONCATENATE($FK$12,Fixtures!IR$25))=Fixtures!$DN59,CONCATENATE(IR$10,", "),""))</f>
        <v/>
      </c>
      <c r="IS59" s="632" t="str">
        <f ca="1">IF(INDIRECT(CONCATENATE($FK$12,Fixtures!IS$25))="","",IF(INDIRECT(CONCATENATE($FK$12,Fixtures!IS$25))=Fixtures!$DN59,CONCATENATE(IS$10,", "),""))</f>
        <v/>
      </c>
      <c r="IT59" s="632" t="str">
        <f ca="1">IF(INDIRECT(CONCATENATE($FK$12,Fixtures!IT$25))="","",IF(INDIRECT(CONCATENATE($FK$12,Fixtures!IT$25))=Fixtures!$DN59,CONCATENATE(IT$10,", "),""))</f>
        <v/>
      </c>
      <c r="IU59" s="632" t="str">
        <f ca="1">IF(INDIRECT(CONCATENATE($FK$12,Fixtures!IU$25))="","",IF(INDIRECT(CONCATENATE($FK$12,Fixtures!IU$25))=Fixtures!$DN59,CONCATENATE(IU$10,", "),""))</f>
        <v/>
      </c>
      <c r="IV59" s="632" t="str">
        <f ca="1">IF(INDIRECT(CONCATENATE($FK$12,Fixtures!IV$25))="","",IF(INDIRECT(CONCATENATE($FK$12,Fixtures!IV$25))=Fixtures!$DN59,CONCATENATE(IV$10,", "),""))</f>
        <v/>
      </c>
      <c r="IW59" s="632" t="str">
        <f ca="1">IF(INDIRECT(CONCATENATE($FK$12,Fixtures!IW$25))="","",IF(INDIRECT(CONCATENATE($FK$12,Fixtures!IW$25))=Fixtures!$DN59,CONCATENATE(IW$10,", "),""))</f>
        <v/>
      </c>
      <c r="IX59" s="632" t="str">
        <f ca="1">IF(INDIRECT(CONCATENATE($FK$12,Fixtures!IX$25))="","",IF(INDIRECT(CONCATENATE($FK$12,Fixtures!IX$25))=Fixtures!$DN59,CONCATENATE(IX$10,", "),""))</f>
        <v/>
      </c>
      <c r="IY59" s="632" t="str">
        <f ca="1">IF(INDIRECT(CONCATENATE($FK$12,Fixtures!IY$25))="","",IF(INDIRECT(CONCATENATE($FK$12,Fixtures!IY$25))=Fixtures!$DN59,CONCATENATE(IY$10,", "),""))</f>
        <v/>
      </c>
      <c r="IZ59" s="632" t="str">
        <f ca="1">IF(INDIRECT(CONCATENATE($FK$12,Fixtures!IZ$25))="","",IF(INDIRECT(CONCATENATE($FK$12,Fixtures!IZ$25))=Fixtures!$DN59,CONCATENATE(IZ$10,", "),""))</f>
        <v/>
      </c>
      <c r="JA59" s="632" t="str">
        <f ca="1">IF(INDIRECT(CONCATENATE($FK$12,Fixtures!JA$25))="","",IF(INDIRECT(CONCATENATE($FK$12,Fixtures!JA$25))=Fixtures!$DN59,CONCATENATE(JA$10,", "),""))</f>
        <v/>
      </c>
      <c r="JB59" s="632" t="str">
        <f ca="1">IF(INDIRECT(CONCATENATE($FK$12,Fixtures!JB$25))="","",IF(INDIRECT(CONCATENATE($FK$12,Fixtures!JB$25))=Fixtures!$DN59,CONCATENATE(JB$10,", "),""))</f>
        <v/>
      </c>
      <c r="JC59" s="632" t="str">
        <f ca="1">IF(INDIRECT(CONCATENATE($FK$12,Fixtures!JC$25))="","",IF(INDIRECT(CONCATENATE($FK$12,Fixtures!JC$25))=Fixtures!$DN59,CONCATENATE(JC$10,", "),""))</f>
        <v/>
      </c>
      <c r="JD59" s="632" t="str">
        <f ca="1">IF(INDIRECT(CONCATENATE($FK$12,Fixtures!JD$25))="","",IF(INDIRECT(CONCATENATE($FK$12,Fixtures!JD$25))=Fixtures!$DN59,CONCATENATE(JD$10,", "),""))</f>
        <v/>
      </c>
      <c r="JE59" s="632" t="str">
        <f ca="1">IF(INDIRECT(CONCATENATE($FK$12,Fixtures!JE$25))="","",IF(INDIRECT(CONCATENATE($FK$12,Fixtures!JE$25))=Fixtures!$DN59,CONCATENATE(JE$10,", "),""))</f>
        <v/>
      </c>
      <c r="JF59" s="606" t="str">
        <f ca="1">IF(INDIRECT(CONCATENATE($FK$12,Fixtures!JF$25))="","",IF(INDIRECT(CONCATENATE($FK$12,Fixtures!JF$25))=Fixtures!$DN59,CONCATENATE(JF$10,", "),""))</f>
        <v/>
      </c>
      <c r="JG59" s="607" t="str">
        <f ca="1">IF(INDIRECT(CONCATENATE($FK$12,Fixtures!JG$25))="","",IF(INDIRECT(CONCATENATE($FK$12,Fixtures!JG$25))=Fixtures!$DN59,CONCATENATE(JG$10,", "),""))</f>
        <v/>
      </c>
      <c r="JH59" s="632" t="str">
        <f ca="1">IF(INDIRECT(CONCATENATE($FK$12,Fixtures!JH$25))="","",IF(INDIRECT(CONCATENATE($FK$12,Fixtures!JH$25))=Fixtures!$DN59,CONCATENATE(JH$10,", "),""))</f>
        <v/>
      </c>
      <c r="JI59" s="632" t="str">
        <f ca="1">IF(INDIRECT(CONCATENATE($FK$12,Fixtures!JI$25))="","",IF(INDIRECT(CONCATENATE($FK$12,Fixtures!JI$25))=Fixtures!$DN59,CONCATENATE(JI$10,", "),""))</f>
        <v/>
      </c>
      <c r="JJ59" s="632" t="str">
        <f ca="1">IF(INDIRECT(CONCATENATE($FK$12,Fixtures!JJ$25))="","",IF(INDIRECT(CONCATENATE($FK$12,Fixtures!JJ$25))=Fixtures!$DN59,CONCATENATE(JJ$10,", "),""))</f>
        <v/>
      </c>
      <c r="JK59" s="632" t="str">
        <f ca="1">IF(INDIRECT(CONCATENATE($FK$12,Fixtures!JK$25))="","",IF(INDIRECT(CONCATENATE($FK$12,Fixtures!JK$25))=Fixtures!$DN59,CONCATENATE(JK$10,", "),""))</f>
        <v/>
      </c>
      <c r="JL59" s="632" t="str">
        <f ca="1">IF(INDIRECT(CONCATENATE($FK$12,Fixtures!JL$25))="","",IF(INDIRECT(CONCATENATE($FK$12,Fixtures!JL$25))=Fixtures!$DN59,CONCATENATE(JL$10,", "),""))</f>
        <v/>
      </c>
      <c r="JM59" s="632" t="str">
        <f ca="1">IF(INDIRECT(CONCATENATE($FK$12,Fixtures!JM$25))="","",IF(INDIRECT(CONCATENATE($FK$12,Fixtures!JM$25))=Fixtures!$DN59,CONCATENATE(JM$10,", "),""))</f>
        <v/>
      </c>
      <c r="JN59" s="632" t="str">
        <f ca="1">IF(INDIRECT(CONCATENATE($FK$12,Fixtures!JN$25))="","",IF(INDIRECT(CONCATENATE($FK$12,Fixtures!JN$25))=Fixtures!$DN59,CONCATENATE(JN$10,", "),""))</f>
        <v/>
      </c>
      <c r="JO59" s="632" t="str">
        <f ca="1">IF(INDIRECT(CONCATENATE($FK$12,Fixtures!JO$25))="","",IF(INDIRECT(CONCATENATE($FK$12,Fixtures!JO$25))=Fixtures!$DN59,CONCATENATE(JO$10,", "),""))</f>
        <v/>
      </c>
      <c r="JP59" s="632" t="str">
        <f ca="1">IF(INDIRECT(CONCATENATE($FK$12,Fixtures!JP$25))="","",IF(INDIRECT(CONCATENATE($FK$12,Fixtures!JP$25))=Fixtures!$DN59,CONCATENATE(JP$10,", "),""))</f>
        <v/>
      </c>
      <c r="JQ59" s="632" t="str">
        <f ca="1">IF(INDIRECT(CONCATENATE($FK$12,Fixtures!JQ$25))="","",IF(INDIRECT(CONCATENATE($FK$12,Fixtures!JQ$25))=Fixtures!$DN59,CONCATENATE(JQ$10,", "),""))</f>
        <v/>
      </c>
      <c r="JR59" s="632" t="str">
        <f ca="1">IF(INDIRECT(CONCATENATE($FK$12,Fixtures!JR$25))="","",IF(INDIRECT(CONCATENATE($FK$12,Fixtures!JR$25))=Fixtures!$DN59,CONCATENATE(JR$10,", "),""))</f>
        <v/>
      </c>
      <c r="JS59" s="632" t="str">
        <f ca="1">IF(INDIRECT(CONCATENATE($FK$12,Fixtures!JS$25))="","",IF(INDIRECT(CONCATENATE($FK$12,Fixtures!JS$25))=Fixtures!$DN59,CONCATENATE(JS$10,", "),""))</f>
        <v/>
      </c>
      <c r="JT59" s="632" t="str">
        <f ca="1">IF(INDIRECT(CONCATENATE($FK$12,Fixtures!JT$25))="","",IF(INDIRECT(CONCATENATE($FK$12,Fixtures!JT$25))=Fixtures!$DN59,CONCATENATE(JT$10,", "),""))</f>
        <v/>
      </c>
      <c r="JU59" s="606" t="str">
        <f ca="1">IF(INDIRECT(CONCATENATE($FK$12,Fixtures!JU$25))="","",IF(INDIRECT(CONCATENATE($FK$12,Fixtures!JU$25))=Fixtures!$DN59,CONCATENATE(JU$10,", "),""))</f>
        <v/>
      </c>
      <c r="JV59" s="607" t="str">
        <f ca="1">IF(INDIRECT(CONCATENATE($FK$12,Fixtures!JV$25))="","",IF(INDIRECT(CONCATENATE($FK$12,Fixtures!JV$25))=Fixtures!$DN59,CONCATENATE(JV$10,", "),""))</f>
        <v/>
      </c>
      <c r="JW59" s="632" t="str">
        <f ca="1">IF(INDIRECT(CONCATENATE($FK$12,Fixtures!JW$25))="","",IF(INDIRECT(CONCATENATE($FK$12,Fixtures!JW$25))=Fixtures!$DN59,CONCATENATE(JW$10,", "),""))</f>
        <v/>
      </c>
      <c r="JX59" s="632" t="str">
        <f ca="1">IF(INDIRECT(CONCATENATE($FK$12,Fixtures!JX$25))="","",IF(INDIRECT(CONCATENATE($FK$12,Fixtures!JX$25))=Fixtures!$DN59,CONCATENATE(JX$10,", "),""))</f>
        <v/>
      </c>
      <c r="JY59" s="632" t="str">
        <f ca="1">IF(INDIRECT(CONCATENATE($FK$12,Fixtures!JY$25))="","",IF(INDIRECT(CONCATENATE($FK$12,Fixtures!JY$25))=Fixtures!$DN59,CONCATENATE(JY$10,", "),""))</f>
        <v/>
      </c>
      <c r="JZ59" s="632" t="str">
        <f ca="1">IF(INDIRECT(CONCATENATE($FK$12,Fixtures!JZ$25))="","",IF(INDIRECT(CONCATENATE($FK$12,Fixtures!JZ$25))=Fixtures!$DN59,CONCATENATE(JZ$10,", "),""))</f>
        <v/>
      </c>
      <c r="KA59" s="632" t="str">
        <f ca="1">IF(INDIRECT(CONCATENATE($FK$12,Fixtures!KA$25))="","",IF(INDIRECT(CONCATENATE($FK$12,Fixtures!KA$25))=Fixtures!$DN59,CONCATENATE(KA$10,", "),""))</f>
        <v/>
      </c>
      <c r="KB59" s="632" t="str">
        <f ca="1">IF(INDIRECT(CONCATENATE($FK$12,Fixtures!KB$25))="","",IF(INDIRECT(CONCATENATE($FK$12,Fixtures!KB$25))=Fixtures!$DN59,CONCATENATE(KB$10,", "),""))</f>
        <v/>
      </c>
      <c r="KC59" s="632" t="str">
        <f ca="1">IF(INDIRECT(CONCATENATE($FK$12,Fixtures!KC$25))="","",IF(INDIRECT(CONCATENATE($FK$12,Fixtures!KC$25))=Fixtures!$DN59,CONCATENATE(KC$10,", "),""))</f>
        <v/>
      </c>
      <c r="KD59" s="632" t="str">
        <f ca="1">IF(INDIRECT(CONCATENATE($FK$12,Fixtures!KD$25))="","",IF(INDIRECT(CONCATENATE($FK$12,Fixtures!KD$25))=Fixtures!$DN59,CONCATENATE(KD$10,", "),""))</f>
        <v/>
      </c>
      <c r="KE59" s="632" t="str">
        <f ca="1">IF(INDIRECT(CONCATENATE($FK$12,Fixtures!KE$25))="","",IF(INDIRECT(CONCATENATE($FK$12,Fixtures!KE$25))=Fixtures!$DN59,CONCATENATE(KE$10,", "),""))</f>
        <v/>
      </c>
      <c r="KF59" s="632" t="str">
        <f ca="1">IF(INDIRECT(CONCATENATE($FK$12,Fixtures!KF$25))="","",IF(INDIRECT(CONCATENATE($FK$12,Fixtures!KF$25))=Fixtures!$DN59,CONCATENATE(KF$10,", "),""))</f>
        <v/>
      </c>
      <c r="KG59" s="632" t="str">
        <f ca="1">IF(INDIRECT(CONCATENATE($FK$12,Fixtures!KG$25))="","",IF(INDIRECT(CONCATENATE($FK$12,Fixtures!KG$25))=Fixtures!$DN59,CONCATENATE(KG$10,", "),""))</f>
        <v/>
      </c>
      <c r="KH59" s="632" t="str">
        <f ca="1">IF(INDIRECT(CONCATENATE($FK$12,Fixtures!KH$25))="","",IF(INDIRECT(CONCATENATE($FK$12,Fixtures!KH$25))=Fixtures!$DN59,CONCATENATE(KH$10,", "),""))</f>
        <v/>
      </c>
      <c r="KI59" s="632" t="str">
        <f ca="1">IF(INDIRECT(CONCATENATE($FK$12,Fixtures!KI$25))="","",IF(INDIRECT(CONCATENATE($FK$12,Fixtures!KI$25))=Fixtures!$DN59,CONCATENATE(KI$10,", "),""))</f>
        <v/>
      </c>
      <c r="KJ59" s="606" t="str">
        <f ca="1">IF(INDIRECT(CONCATENATE($FK$12,Fixtures!KJ$25))="","",IF(INDIRECT(CONCATENATE($FK$12,Fixtures!KJ$25))=Fixtures!$DN59,CONCATENATE(KJ$10,", "),""))</f>
        <v/>
      </c>
      <c r="KK59" s="607" t="str">
        <f ca="1">IF(INDIRECT(CONCATENATE($FK$12,Fixtures!KK$25))="","",IF(INDIRECT(CONCATENATE($FK$12,Fixtures!KK$25))=Fixtures!$DN59,CONCATENATE(KK$10,", "),""))</f>
        <v/>
      </c>
      <c r="KL59" s="632" t="str">
        <f ca="1">IF(INDIRECT(CONCATENATE($FK$12,Fixtures!KL$25))="","",IF(INDIRECT(CONCATENATE($FK$12,Fixtures!KL$25))=Fixtures!$DN59,CONCATENATE(KL$10,", "),""))</f>
        <v/>
      </c>
      <c r="KM59" s="632" t="str">
        <f ca="1">IF(INDIRECT(CONCATENATE($FK$12,Fixtures!KM$25))="","",IF(INDIRECT(CONCATENATE($FK$12,Fixtures!KM$25))=Fixtures!$DN59,CONCATENATE(KM$10,", "),""))</f>
        <v/>
      </c>
      <c r="KN59" s="632" t="str">
        <f ca="1">IF(INDIRECT(CONCATENATE($FK$12,Fixtures!KN$25))="","",IF(INDIRECT(CONCATENATE($FK$12,Fixtures!KN$25))=Fixtures!$DN59,CONCATENATE(KN$10,", "),""))</f>
        <v/>
      </c>
      <c r="KO59" s="632" t="str">
        <f ca="1">IF(INDIRECT(CONCATENATE($FK$12,Fixtures!KO$25))="","",IF(INDIRECT(CONCATENATE($FK$12,Fixtures!KO$25))=Fixtures!$DN59,CONCATENATE(KO$10,", "),""))</f>
        <v/>
      </c>
      <c r="KP59" s="632" t="str">
        <f ca="1">IF(INDIRECT(CONCATENATE($FK$12,Fixtures!KP$25))="","",IF(INDIRECT(CONCATENATE($FK$12,Fixtures!KP$25))=Fixtures!$DN59,CONCATENATE(KP$10,", "),""))</f>
        <v/>
      </c>
      <c r="KQ59" s="632" t="str">
        <f ca="1">IF(INDIRECT(CONCATENATE($FK$12,Fixtures!KQ$25))="","",IF(INDIRECT(CONCATENATE($FK$12,Fixtures!KQ$25))=Fixtures!$DN59,CONCATENATE(KQ$10,", "),""))</f>
        <v/>
      </c>
      <c r="KR59" s="632" t="str">
        <f ca="1">IF(INDIRECT(CONCATENATE($FK$12,Fixtures!KR$25))="","",IF(INDIRECT(CONCATENATE($FK$12,Fixtures!KR$25))=Fixtures!$DN59,CONCATENATE(KR$10,", "),""))</f>
        <v/>
      </c>
      <c r="KS59" s="632" t="str">
        <f ca="1">IF(INDIRECT(CONCATENATE($FK$12,Fixtures!KS$25))="","",IF(INDIRECT(CONCATENATE($FK$12,Fixtures!KS$25))=Fixtures!$DN59,CONCATENATE(KS$10,", "),""))</f>
        <v/>
      </c>
      <c r="KT59" s="632" t="str">
        <f ca="1">IF(INDIRECT(CONCATENATE($FK$12,Fixtures!KT$25))="","",IF(INDIRECT(CONCATENATE($FK$12,Fixtures!KT$25))=Fixtures!$DN59,CONCATENATE(KT$10,", "),""))</f>
        <v/>
      </c>
      <c r="KU59" s="632" t="str">
        <f ca="1">IF(INDIRECT(CONCATENATE($FK$12,Fixtures!KU$25))="","",IF(INDIRECT(CONCATENATE($FK$12,Fixtures!KU$25))=Fixtures!$DN59,CONCATENATE(KU$10,", "),""))</f>
        <v/>
      </c>
      <c r="KV59" s="632" t="str">
        <f ca="1">IF(INDIRECT(CONCATENATE($FK$12,Fixtures!KV$25))="","",IF(INDIRECT(CONCATENATE($FK$12,Fixtures!KV$25))=Fixtures!$DN59,CONCATENATE(KV$10,", "),""))</f>
        <v/>
      </c>
      <c r="KW59" s="632" t="str">
        <f ca="1">IF(INDIRECT(CONCATENATE($FK$12,Fixtures!KW$25))="","",IF(INDIRECT(CONCATENATE($FK$12,Fixtures!KW$25))=Fixtures!$DN59,CONCATENATE(KW$10,", "),""))</f>
        <v/>
      </c>
      <c r="KX59" s="632" t="str">
        <f ca="1">IF(INDIRECT(CONCATENATE($FK$12,Fixtures!KX$25))="","",IF(INDIRECT(CONCATENATE($FK$12,Fixtures!KX$25))=Fixtures!$DN59,CONCATENATE(KX$10,", "),""))</f>
        <v/>
      </c>
      <c r="KY59" s="632"/>
      <c r="KZ59" s="542"/>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010"/>
      <c r="LD59" s="1009" t="str">
        <f t="shared" si="20"/>
        <v/>
      </c>
    </row>
    <row r="60" spans="1:316" ht="28.2" customHeight="1" thickTop="1" thickBot="1">
      <c r="A60" s="426" t="str">
        <f t="shared" si="13"/>
        <v/>
      </c>
      <c r="C60" s="1640" t="str">
        <f t="shared" si="14"/>
        <v/>
      </c>
      <c r="D60" s="1641"/>
      <c r="E60" s="1568" t="str">
        <f t="shared" si="15"/>
        <v/>
      </c>
      <c r="F60" s="1569"/>
      <c r="G60" s="1569"/>
      <c r="H60" s="1569"/>
      <c r="I60" s="1569"/>
      <c r="J60" s="1569"/>
      <c r="K60" s="1569"/>
      <c r="L60" s="1569"/>
      <c r="M60" s="1642"/>
      <c r="N60" s="203" t="str">
        <f t="shared" si="16"/>
        <v/>
      </c>
      <c r="O60" s="12"/>
      <c r="P60" s="1638" t="str">
        <f t="shared" si="25"/>
        <v/>
      </c>
      <c r="Q60" s="1639"/>
      <c r="R60" s="1568" t="str">
        <f t="shared" si="30"/>
        <v/>
      </c>
      <c r="S60" s="1569"/>
      <c r="T60" s="1569"/>
      <c r="U60" s="1569"/>
      <c r="V60" s="1569"/>
      <c r="W60" s="1569"/>
      <c r="X60" s="1569"/>
      <c r="Y60" s="203" t="str">
        <f t="shared" si="26"/>
        <v/>
      </c>
      <c r="Z60" s="203" t="str">
        <f t="shared" si="27"/>
        <v/>
      </c>
      <c r="AA60" s="394" t="str">
        <f t="shared" si="28"/>
        <v/>
      </c>
      <c r="AB60" s="489"/>
      <c r="AC60" s="1564" t="str">
        <f t="shared" si="18"/>
        <v/>
      </c>
      <c r="AD60" s="1565"/>
      <c r="AE60" s="1565"/>
      <c r="AF60" s="1565"/>
      <c r="AG60" s="1565"/>
      <c r="AH60" s="1565"/>
      <c r="AK60">
        <f>SUMIFS(Installations!CV$46:CV$803,Installations!CW$46:CW$803,E60,Installations!IC$46:IC$803,TRUE)</f>
        <v>0</v>
      </c>
      <c r="AL60">
        <f>SUMIFS(Installations!CV$46:CV$803,Installations!CW$46:CW$803,R60,Installations!IC$46:IC$803,TRUE)</f>
        <v>0</v>
      </c>
      <c r="BL60" s="9"/>
      <c r="BM60" s="622" t="str">
        <f t="shared" si="19"/>
        <v/>
      </c>
      <c r="BN60" s="52"/>
      <c r="BO60" s="52"/>
      <c r="BP60" s="52"/>
      <c r="BQ60" s="52"/>
      <c r="BR60" s="52"/>
      <c r="BS60" s="52"/>
      <c r="BT60" s="52"/>
      <c r="BU60" s="373"/>
      <c r="BV60" s="219" t="str">
        <f>IF(CN60&lt;&gt;"Yes","",IFERROR(VLOOKUP(CU60,Existing!A$4:F$367,2,FALSE),""))</f>
        <v/>
      </c>
      <c r="BW60" s="9">
        <v>34</v>
      </c>
      <c r="BX60" s="1625"/>
      <c r="BY60" s="1626"/>
      <c r="BZ60" s="1626"/>
      <c r="CA60" s="1627"/>
      <c r="CB60" s="1622"/>
      <c r="CC60" s="1623"/>
      <c r="CD60" s="1623"/>
      <c r="CE60" s="1624"/>
      <c r="CF60" s="1621"/>
      <c r="CG60" s="1621"/>
      <c r="CH60" s="1621"/>
      <c r="CI60" s="1621"/>
      <c r="CJ60" s="1621"/>
      <c r="CK60" s="1621"/>
      <c r="CL60" s="1621"/>
      <c r="CM60" s="1621"/>
      <c r="CN60" s="1553" t="str">
        <f t="shared" si="31"/>
        <v/>
      </c>
      <c r="CO60" s="1554"/>
      <c r="CP60" s="229" t="str">
        <f>IFERROR(IF(CB60="Existing TLED",CR60*CW60*CY60,VLOOKUP(CU60,Existing!A$3:F$356,6,FALSE)),"")</f>
        <v/>
      </c>
      <c r="CQ60" s="9"/>
      <c r="CR60" s="1660"/>
      <c r="CS60" s="1661"/>
      <c r="CT60" s="9"/>
      <c r="CU60" s="425" t="str">
        <f t="shared" si="21"/>
        <v/>
      </c>
      <c r="CV60" s="426" t="b">
        <f t="shared" si="22"/>
        <v>0</v>
      </c>
      <c r="CW60" s="426" t="str">
        <f t="shared" si="23"/>
        <v/>
      </c>
      <c r="CX60" s="426">
        <f>IFERROR(VLOOKUP(CF60,Lookup!T$100:V$102,3,FALSE),0)</f>
        <v>0</v>
      </c>
      <c r="CY60" s="426">
        <f t="shared" si="8"/>
        <v>1.1100000000000001</v>
      </c>
      <c r="CZ60" s="626" t="b">
        <f t="shared" si="32"/>
        <v>0</v>
      </c>
      <c r="DA60" s="626" t="b">
        <f>IF(CF60&lt;&gt;"",IF(ISERROR(MATCH(CONCATENATE(CB60," - ",CF60),Existing!G$4:G$331,0))=TRUE,FALSE,TRUE),TRUE)</f>
        <v>1</v>
      </c>
      <c r="DB60" s="626" t="b">
        <f t="shared" si="33"/>
        <v>1</v>
      </c>
      <c r="DL60" s="9"/>
      <c r="DM60" s="627" t="s">
        <v>215</v>
      </c>
      <c r="DN60" s="375" t="str">
        <f t="shared" si="34"/>
        <v/>
      </c>
      <c r="DO60" s="52"/>
      <c r="DP60" s="52"/>
      <c r="DQ60" s="52"/>
      <c r="DR60" s="52"/>
      <c r="DS60" s="52"/>
      <c r="DT60" s="226"/>
      <c r="DU60" s="376"/>
      <c r="DV60" s="227" t="str">
        <f t="shared" si="35"/>
        <v/>
      </c>
      <c r="DW60" s="224">
        <v>34</v>
      </c>
      <c r="DX60" s="1572"/>
      <c r="DY60" s="1573"/>
      <c r="DZ60" s="1573"/>
      <c r="EA60" s="1574"/>
      <c r="EB60" s="1618"/>
      <c r="EC60" s="1619"/>
      <c r="ED60" s="1619"/>
      <c r="EE60" s="1620"/>
      <c r="EF60" s="1578"/>
      <c r="EG60" s="1579"/>
      <c r="EH60" s="1618"/>
      <c r="EI60" s="1619"/>
      <c r="EJ60" s="1619"/>
      <c r="EK60" s="1620"/>
      <c r="EL60" s="1575"/>
      <c r="EM60" s="1576"/>
      <c r="EN60" s="1576"/>
      <c r="EO60" s="1577"/>
      <c r="EP60" s="1578"/>
      <c r="EQ60" s="1579"/>
      <c r="ER60" s="1555"/>
      <c r="ES60" s="1556"/>
      <c r="ET60" s="1553" t="str">
        <f t="shared" si="9"/>
        <v/>
      </c>
      <c r="EU60" s="1554"/>
      <c r="EV60" s="1553" t="str">
        <f t="shared" si="29"/>
        <v/>
      </c>
      <c r="EW60" s="1554"/>
      <c r="EX60" s="393"/>
      <c r="EY60" s="225" t="str">
        <f t="shared" si="36"/>
        <v/>
      </c>
      <c r="EZ60" s="225" t="str">
        <f>IFERROR(VLOOKUP(EB60,Lookup!AT$3:AU$13,2,FALSE),"")</f>
        <v/>
      </c>
      <c r="FA60" s="426" t="b">
        <f>IFERROR(IF(VLOOKUP(EB60,Lookup!AT$6:AU$8,2,FALSE)&gt;3,TRUE,FALSE),FALSE)</f>
        <v>0</v>
      </c>
      <c r="FB60" s="426" t="str">
        <f t="shared" si="10"/>
        <v/>
      </c>
      <c r="FC60" t="str">
        <f t="shared" ca="1" si="11"/>
        <v/>
      </c>
      <c r="FG60" t="str">
        <f t="shared" ca="1" si="12"/>
        <v/>
      </c>
      <c r="FI60" s="204" t="str">
        <f t="shared" ca="1" si="24"/>
        <v/>
      </c>
      <c r="FK60" s="631" t="str">
        <f ca="1">IF(INDIRECT(CONCATENATE($FK$12,Fixtures!FK$25))="","",IF(INDIRECT(CONCATENATE($FK$12,Fixtures!FK$25))=Fixtures!$DN60,CONCATENATE(FK$10,", "),""))</f>
        <v/>
      </c>
      <c r="FL60" s="631" t="str">
        <f ca="1">IF(INDIRECT(CONCATENATE($FK$12,Fixtures!FL$25))="","",IF(INDIRECT(CONCATENATE($FK$12,Fixtures!FL$25))=Fixtures!$DN60,CONCATENATE(FL$10,", "),""))</f>
        <v/>
      </c>
      <c r="FM60" s="631" t="str">
        <f ca="1">IF(INDIRECT(CONCATENATE($FK$12,Fixtures!FM$25))="","",IF(INDIRECT(CONCATENATE($FK$12,Fixtures!FM$25))=Fixtures!$DN60,CONCATENATE(FM$10,", "),""))</f>
        <v/>
      </c>
      <c r="FN60" s="631" t="str">
        <f ca="1">IF(INDIRECT(CONCATENATE($FK$12,Fixtures!FN$25))="","",IF(INDIRECT(CONCATENATE($FK$12,Fixtures!FN$25))=Fixtures!$DN60,CONCATENATE(FN$10,", "),""))</f>
        <v/>
      </c>
      <c r="FO60" s="631" t="str">
        <f ca="1">IF(INDIRECT(CONCATENATE($FK$12,Fixtures!FO$25))="","",IF(INDIRECT(CONCATENATE($FK$12,Fixtures!FO$25))=Fixtures!$DN60,CONCATENATE(FO$10,", "),""))</f>
        <v/>
      </c>
      <c r="FP60" s="631" t="str">
        <f ca="1">IF(INDIRECT(CONCATENATE($FK$12,Fixtures!FP$25))="","",IF(INDIRECT(CONCATENATE($FK$12,Fixtures!FP$25))=Fixtures!$DN60,CONCATENATE(FP$10,", "),""))</f>
        <v/>
      </c>
      <c r="FQ60" s="631" t="str">
        <f ca="1">IF(INDIRECT(CONCATENATE($FK$12,Fixtures!FQ$25))="","",IF(INDIRECT(CONCATENATE($FK$12,Fixtures!FQ$25))=Fixtures!$DN60,CONCATENATE(FQ$10,", "),""))</f>
        <v/>
      </c>
      <c r="FR60" s="631" t="str">
        <f ca="1">IF(INDIRECT(CONCATENATE($FK$12,Fixtures!FR$25))="","",IF(INDIRECT(CONCATENATE($FK$12,Fixtures!FR$25))=Fixtures!$DN60,CONCATENATE(FR$10,", "),""))</f>
        <v/>
      </c>
      <c r="FS60" s="631" t="str">
        <f ca="1">IF(INDIRECT(CONCATENATE($FK$12,Fixtures!FS$25))="","",IF(INDIRECT(CONCATENATE($FK$12,Fixtures!FS$25))=Fixtures!$DN60,CONCATENATE(FS$10,", "),""))</f>
        <v/>
      </c>
      <c r="FT60" s="604" t="str">
        <f ca="1">IF(INDIRECT(CONCATENATE($FK$12,Fixtures!FT$25))="","",IF(INDIRECT(CONCATENATE($FK$12,Fixtures!FT$25))=Fixtures!$DN60,CONCATENATE(FT$10,", "),""))</f>
        <v/>
      </c>
      <c r="FU60" s="605" t="str">
        <f ca="1">IF(INDIRECT(CONCATENATE($FK$12,Fixtures!FU$25))="","",IF(INDIRECT(CONCATENATE($FK$12,Fixtures!FU$25))=Fixtures!$DN60,CONCATENATE(FU$10,", "),""))</f>
        <v/>
      </c>
      <c r="FV60" s="631" t="str">
        <f ca="1">IF(INDIRECT(CONCATENATE($FK$12,Fixtures!FV$25))="","",IF(INDIRECT(CONCATENATE($FK$12,Fixtures!FV$25))=Fixtures!$DN60,CONCATENATE(FV$10,", "),""))</f>
        <v/>
      </c>
      <c r="FW60" s="632" t="str">
        <f ca="1">IF(INDIRECT(CONCATENATE($FK$12,Fixtures!FW$25))="","",IF(INDIRECT(CONCATENATE($FK$12,Fixtures!FW$25))=Fixtures!$DN60,CONCATENATE(FW$10,", "),""))</f>
        <v/>
      </c>
      <c r="FX60" s="632" t="str">
        <f ca="1">IF(INDIRECT(CONCATENATE($FK$12,Fixtures!FX$25))="","",IF(INDIRECT(CONCATENATE($FK$12,Fixtures!FX$25))=Fixtures!$DN60,CONCATENATE(FX$10,", "),""))</f>
        <v/>
      </c>
      <c r="FY60" s="632" t="str">
        <f ca="1">IF(INDIRECT(CONCATENATE($FK$12,Fixtures!FY$25))="","",IF(INDIRECT(CONCATENATE($FK$12,Fixtures!FY$25))=Fixtures!$DN60,CONCATENATE(FY$10,", "),""))</f>
        <v/>
      </c>
      <c r="FZ60" s="632" t="str">
        <f ca="1">IF(INDIRECT(CONCATENATE($FK$12,Fixtures!FZ$25))="","",IF(INDIRECT(CONCATENATE($FK$12,Fixtures!FZ$25))=Fixtures!$DN60,CONCATENATE(FZ$10,", "),""))</f>
        <v/>
      </c>
      <c r="GA60" s="632" t="str">
        <f ca="1">IF(INDIRECT(CONCATENATE($FK$12,Fixtures!GA$25))="","",IF(INDIRECT(CONCATENATE($FK$12,Fixtures!GA$25))=Fixtures!$DN60,CONCATENATE(GA$10,", "),""))</f>
        <v/>
      </c>
      <c r="GB60" s="632" t="str">
        <f ca="1">IF(INDIRECT(CONCATENATE($FK$12,Fixtures!GB$25))="","",IF(INDIRECT(CONCATENATE($FK$12,Fixtures!GB$25))=Fixtures!$DN60,CONCATENATE(GB$10,", "),""))</f>
        <v/>
      </c>
      <c r="GC60" s="632" t="str">
        <f ca="1">IF(INDIRECT(CONCATENATE($FK$12,Fixtures!GC$25))="","",IF(INDIRECT(CONCATENATE($FK$12,Fixtures!GC$25))=Fixtures!$DN60,CONCATENATE(GC$10,", "),""))</f>
        <v/>
      </c>
      <c r="GD60" s="632" t="str">
        <f ca="1">IF(INDIRECT(CONCATENATE($FK$12,Fixtures!GD$25))="","",IF(INDIRECT(CONCATENATE($FK$12,Fixtures!GD$25))=Fixtures!$DN60,CONCATENATE(GD$10,", "),""))</f>
        <v/>
      </c>
      <c r="GE60" s="632" t="str">
        <f ca="1">IF(INDIRECT(CONCATENATE($FK$12,Fixtures!GE$25))="","",IF(INDIRECT(CONCATENATE($FK$12,Fixtures!GE$25))=Fixtures!$DN60,CONCATENATE(GE$10,", "),""))</f>
        <v/>
      </c>
      <c r="GF60" s="632" t="str">
        <f ca="1">IF(INDIRECT(CONCATENATE($FK$12,Fixtures!GF$25))="","",IF(INDIRECT(CONCATENATE($FK$12,Fixtures!GF$25))=Fixtures!$DN60,CONCATENATE(GF$10,", "),""))</f>
        <v/>
      </c>
      <c r="GG60" s="632" t="str">
        <f ca="1">IF(INDIRECT(CONCATENATE($FK$12,Fixtures!GG$25))="","",IF(INDIRECT(CONCATENATE($FK$12,Fixtures!GG$25))=Fixtures!$DN60,CONCATENATE(GG$10,", "),""))</f>
        <v/>
      </c>
      <c r="GH60" s="632" t="str">
        <f ca="1">IF(INDIRECT(CONCATENATE($FK$12,Fixtures!GH$25))="","",IF(INDIRECT(CONCATENATE($FK$12,Fixtures!GH$25))=Fixtures!$DN60,CONCATENATE(GH$10,", "),""))</f>
        <v/>
      </c>
      <c r="GI60" s="606" t="str">
        <f ca="1">IF(INDIRECT(CONCATENATE($FK$12,Fixtures!GI$25))="","",IF(INDIRECT(CONCATENATE($FK$12,Fixtures!GI$25))=Fixtures!$DN60,CONCATENATE(GI$10,", "),""))</f>
        <v/>
      </c>
      <c r="GJ60" s="607" t="str">
        <f ca="1">IF(INDIRECT(CONCATENATE($FK$12,Fixtures!GJ$25))="","",IF(INDIRECT(CONCATENATE($FK$12,Fixtures!GJ$25))=Fixtures!$DN60,CONCATENATE(GJ$10,", "),""))</f>
        <v/>
      </c>
      <c r="GK60" s="632" t="str">
        <f ca="1">IF(INDIRECT(CONCATENATE($FK$12,Fixtures!GK$25))="","",IF(INDIRECT(CONCATENATE($FK$12,Fixtures!GK$25))=Fixtures!$DN60,CONCATENATE(GK$10,", "),""))</f>
        <v/>
      </c>
      <c r="GL60" s="632" t="str">
        <f ca="1">IF(INDIRECT(CONCATENATE($FK$12,Fixtures!GL$25))="","",IF(INDIRECT(CONCATENATE($FK$12,Fixtures!GL$25))=Fixtures!$DN60,CONCATENATE(GL$10,", "),""))</f>
        <v/>
      </c>
      <c r="GM60" s="632" t="str">
        <f ca="1">IF(INDIRECT(CONCATENATE($FK$12,Fixtures!GM$25))="","",IF(INDIRECT(CONCATENATE($FK$12,Fixtures!GM$25))=Fixtures!$DN60,CONCATENATE(GM$10,", "),""))</f>
        <v/>
      </c>
      <c r="GN60" s="632" t="str">
        <f ca="1">IF(INDIRECT(CONCATENATE($FK$12,Fixtures!GN$25))="","",IF(INDIRECT(CONCATENATE($FK$12,Fixtures!GN$25))=Fixtures!$DN60,CONCATENATE(GN$10,", "),""))</f>
        <v/>
      </c>
      <c r="GO60" s="632" t="str">
        <f ca="1">IF(INDIRECT(CONCATENATE($FK$12,Fixtures!GO$25))="","",IF(INDIRECT(CONCATENATE($FK$12,Fixtures!GO$25))=Fixtures!$DN60,CONCATENATE(GO$10,", "),""))</f>
        <v/>
      </c>
      <c r="GP60" s="632" t="str">
        <f ca="1">IF(INDIRECT(CONCATENATE($FK$12,Fixtures!GP$25))="","",IF(INDIRECT(CONCATENATE($FK$12,Fixtures!GP$25))=Fixtures!$DN60,CONCATENATE(GP$10,", "),""))</f>
        <v/>
      </c>
      <c r="GQ60" s="632" t="str">
        <f ca="1">IF(INDIRECT(CONCATENATE($FK$12,Fixtures!GQ$25))="","",IF(INDIRECT(CONCATENATE($FK$12,Fixtures!GQ$25))=Fixtures!$DN60,CONCATENATE(GQ$10,", "),""))</f>
        <v/>
      </c>
      <c r="GR60" s="632" t="str">
        <f ca="1">IF(INDIRECT(CONCATENATE($FK$12,Fixtures!GR$25))="","",IF(INDIRECT(CONCATENATE($FK$12,Fixtures!GR$25))=Fixtures!$DN60,CONCATENATE(GR$10,", "),""))</f>
        <v/>
      </c>
      <c r="GS60" s="632" t="str">
        <f ca="1">IF(INDIRECT(CONCATENATE($FK$12,Fixtures!GS$25))="","",IF(INDIRECT(CONCATENATE($FK$12,Fixtures!GS$25))=Fixtures!$DN60,CONCATENATE(GS$10,", "),""))</f>
        <v/>
      </c>
      <c r="GT60" s="632" t="str">
        <f ca="1">IF(INDIRECT(CONCATENATE($FK$12,Fixtures!GT$25))="","",IF(INDIRECT(CONCATENATE($FK$12,Fixtures!GT$25))=Fixtures!$DN60,CONCATENATE(GT$10,", "),""))</f>
        <v/>
      </c>
      <c r="GU60" s="632" t="str">
        <f ca="1">IF(INDIRECT(CONCATENATE($FK$12,Fixtures!GU$25))="","",IF(INDIRECT(CONCATENATE($FK$12,Fixtures!GU$25))=Fixtures!$DN60,CONCATENATE(GU$10,", "),""))</f>
        <v/>
      </c>
      <c r="GV60" s="632" t="str">
        <f ca="1">IF(INDIRECT(CONCATENATE($FK$12,Fixtures!GV$25))="","",IF(INDIRECT(CONCATENATE($FK$12,Fixtures!GV$25))=Fixtures!$DN60,CONCATENATE(GV$10,", "),""))</f>
        <v/>
      </c>
      <c r="GW60" s="632" t="str">
        <f ca="1">IF(INDIRECT(CONCATENATE($FK$12,Fixtures!GW$25))="","",IF(INDIRECT(CONCATENATE($FK$12,Fixtures!GW$25))=Fixtures!$DN60,CONCATENATE(GW$10,", "),""))</f>
        <v/>
      </c>
      <c r="GX60" s="606" t="str">
        <f ca="1">IF(INDIRECT(CONCATENATE($FK$12,Fixtures!GX$25))="","",IF(INDIRECT(CONCATENATE($FK$12,Fixtures!GX$25))=Fixtures!$DN60,CONCATENATE(GX$10,", "),""))</f>
        <v/>
      </c>
      <c r="GY60" s="607" t="str">
        <f ca="1">IF(INDIRECT(CONCATENATE($FK$12,Fixtures!GY$25))="","",IF(INDIRECT(CONCATENATE($FK$12,Fixtures!GY$25))=Fixtures!$DN60,CONCATENATE(GY$10,", "),""))</f>
        <v/>
      </c>
      <c r="GZ60" s="632" t="str">
        <f ca="1">IF(INDIRECT(CONCATENATE($FK$12,Fixtures!GZ$25))="","",IF(INDIRECT(CONCATENATE($FK$12,Fixtures!GZ$25))=Fixtures!$DN60,CONCATENATE(GZ$10,", "),""))</f>
        <v/>
      </c>
      <c r="HA60" s="632" t="str">
        <f ca="1">IF(INDIRECT(CONCATENATE($FK$12,Fixtures!HA$25))="","",IF(INDIRECT(CONCATENATE($FK$12,Fixtures!HA$25))=Fixtures!$DN60,CONCATENATE(HA$10,", "),""))</f>
        <v/>
      </c>
      <c r="HB60" s="632" t="str">
        <f ca="1">IF(INDIRECT(CONCATENATE($FK$12,Fixtures!HB$25))="","",IF(INDIRECT(CONCATENATE($FK$12,Fixtures!HB$25))=Fixtures!$DN60,CONCATENATE(HB$10,", "),""))</f>
        <v/>
      </c>
      <c r="HC60" s="632" t="str">
        <f ca="1">IF(INDIRECT(CONCATENATE($FK$12,Fixtures!HC$25))="","",IF(INDIRECT(CONCATENATE($FK$12,Fixtures!HC$25))=Fixtures!$DN60,CONCATENATE(HC$10,", "),""))</f>
        <v/>
      </c>
      <c r="HD60" s="632" t="str">
        <f ca="1">IF(INDIRECT(CONCATENATE($FK$12,Fixtures!HD$25))="","",IF(INDIRECT(CONCATENATE($FK$12,Fixtures!HD$25))=Fixtures!$DN60,CONCATENATE(HD$10,", "),""))</f>
        <v/>
      </c>
      <c r="HE60" s="632" t="str">
        <f ca="1">IF(INDIRECT(CONCATENATE($FK$12,Fixtures!HE$25))="","",IF(INDIRECT(CONCATENATE($FK$12,Fixtures!HE$25))=Fixtures!$DN60,CONCATENATE(HE$10,", "),""))</f>
        <v/>
      </c>
      <c r="HF60" s="632" t="str">
        <f ca="1">IF(INDIRECT(CONCATENATE($FK$12,Fixtures!HF$25))="","",IF(INDIRECT(CONCATENATE($FK$12,Fixtures!HF$25))=Fixtures!$DN60,CONCATENATE(HF$10,", "),""))</f>
        <v/>
      </c>
      <c r="HG60" s="632" t="str">
        <f ca="1">IF(INDIRECT(CONCATENATE($FK$12,Fixtures!HG$25))="","",IF(INDIRECT(CONCATENATE($FK$12,Fixtures!HG$25))=Fixtures!$DN60,CONCATENATE(HG$10,", "),""))</f>
        <v/>
      </c>
      <c r="HH60" s="632" t="str">
        <f ca="1">IF(INDIRECT(CONCATENATE($FK$12,Fixtures!HH$25))="","",IF(INDIRECT(CONCATENATE($FK$12,Fixtures!HH$25))=Fixtures!$DN60,CONCATENATE(HH$10,", "),""))</f>
        <v/>
      </c>
      <c r="HI60" s="632" t="str">
        <f ca="1">IF(INDIRECT(CONCATENATE($FK$12,Fixtures!HI$25))="","",IF(INDIRECT(CONCATENATE($FK$12,Fixtures!HI$25))=Fixtures!$DN60,CONCATENATE(HI$10,", "),""))</f>
        <v/>
      </c>
      <c r="HJ60" s="632" t="str">
        <f ca="1">IF(INDIRECT(CONCATENATE($FK$12,Fixtures!HJ$25))="","",IF(INDIRECT(CONCATENATE($FK$12,Fixtures!HJ$25))=Fixtures!$DN60,CONCATENATE(HJ$10,", "),""))</f>
        <v/>
      </c>
      <c r="HK60" s="632" t="str">
        <f ca="1">IF(INDIRECT(CONCATENATE($FK$12,Fixtures!HK$25))="","",IF(INDIRECT(CONCATENATE($FK$12,Fixtures!HK$25))=Fixtures!$DN60,CONCATENATE(HK$10,", "),""))</f>
        <v/>
      </c>
      <c r="HL60" s="632" t="str">
        <f ca="1">IF(INDIRECT(CONCATENATE($FK$12,Fixtures!HL$25))="","",IF(INDIRECT(CONCATENATE($FK$12,Fixtures!HL$25))=Fixtures!$DN60,CONCATENATE(HL$10,", "),""))</f>
        <v/>
      </c>
      <c r="HM60" s="606" t="str">
        <f ca="1">IF(INDIRECT(CONCATENATE($FK$12,Fixtures!HM$25))="","",IF(INDIRECT(CONCATENATE($FK$12,Fixtures!HM$25))=Fixtures!$DN60,CONCATENATE(HM$10,", "),""))</f>
        <v/>
      </c>
      <c r="HN60" s="607" t="str">
        <f ca="1">IF(INDIRECT(CONCATENATE($FK$12,Fixtures!HN$25))="","",IF(INDIRECT(CONCATENATE($FK$12,Fixtures!HN$25))=Fixtures!$DN60,CONCATENATE(HN$10,", "),""))</f>
        <v/>
      </c>
      <c r="HO60" s="632" t="str">
        <f ca="1">IF(INDIRECT(CONCATENATE($FK$12,Fixtures!HO$25))="","",IF(INDIRECT(CONCATENATE($FK$12,Fixtures!HO$25))=Fixtures!$DN60,CONCATENATE(HO$10,", "),""))</f>
        <v/>
      </c>
      <c r="HP60" s="632" t="str">
        <f ca="1">IF(INDIRECT(CONCATENATE($FK$12,Fixtures!HP$25))="","",IF(INDIRECT(CONCATENATE($FK$12,Fixtures!HP$25))=Fixtures!$DN60,CONCATENATE(HP$10,", "),""))</f>
        <v/>
      </c>
      <c r="HQ60" s="632" t="str">
        <f ca="1">IF(INDIRECT(CONCATENATE($FK$12,Fixtures!HQ$25))="","",IF(INDIRECT(CONCATENATE($FK$12,Fixtures!HQ$25))=Fixtures!$DN60,CONCATENATE(HQ$10,", "),""))</f>
        <v/>
      </c>
      <c r="HR60" s="632" t="str">
        <f ca="1">IF(INDIRECT(CONCATENATE($FK$12,Fixtures!HR$25))="","",IF(INDIRECT(CONCATENATE($FK$12,Fixtures!HR$25))=Fixtures!$DN60,CONCATENATE(HR$10,", "),""))</f>
        <v/>
      </c>
      <c r="HS60" s="632" t="str">
        <f ca="1">IF(INDIRECT(CONCATENATE($FK$12,Fixtures!HS$25))="","",IF(INDIRECT(CONCATENATE($FK$12,Fixtures!HS$25))=Fixtures!$DN60,CONCATENATE(HS$10,", "),""))</f>
        <v/>
      </c>
      <c r="HT60" s="632" t="str">
        <f ca="1">IF(INDIRECT(CONCATENATE($FK$12,Fixtures!HT$25))="","",IF(INDIRECT(CONCATENATE($FK$12,Fixtures!HT$25))=Fixtures!$DN60,CONCATENATE(HT$10,", "),""))</f>
        <v/>
      </c>
      <c r="HU60" s="632" t="str">
        <f ca="1">IF(INDIRECT(CONCATENATE($FK$12,Fixtures!HU$25))="","",IF(INDIRECT(CONCATENATE($FK$12,Fixtures!HU$25))=Fixtures!$DN60,CONCATENATE(HU$10,", "),""))</f>
        <v/>
      </c>
      <c r="HV60" s="632" t="str">
        <f ca="1">IF(INDIRECT(CONCATENATE($FK$12,Fixtures!HV$25))="","",IF(INDIRECT(CONCATENATE($FK$12,Fixtures!HV$25))=Fixtures!$DN60,CONCATENATE(HV$10,", "),""))</f>
        <v/>
      </c>
      <c r="HW60" s="632" t="str">
        <f ca="1">IF(INDIRECT(CONCATENATE($FK$12,Fixtures!HW$25))="","",IF(INDIRECT(CONCATENATE($FK$12,Fixtures!HW$25))=Fixtures!$DN60,CONCATENATE(HW$10,", "),""))</f>
        <v/>
      </c>
      <c r="HX60" s="632" t="str">
        <f ca="1">IF(INDIRECT(CONCATENATE($FK$12,Fixtures!HX$25))="","",IF(INDIRECT(CONCATENATE($FK$12,Fixtures!HX$25))=Fixtures!$DN60,CONCATENATE(HX$10,", "),""))</f>
        <v/>
      </c>
      <c r="HY60" s="632" t="str">
        <f ca="1">IF(INDIRECT(CONCATENATE($FK$12,Fixtures!HY$25))="","",IF(INDIRECT(CONCATENATE($FK$12,Fixtures!HY$25))=Fixtures!$DN60,CONCATENATE(HY$10,", "),""))</f>
        <v/>
      </c>
      <c r="HZ60" s="632" t="str">
        <f ca="1">IF(INDIRECT(CONCATENATE($FK$12,Fixtures!HZ$25))="","",IF(INDIRECT(CONCATENATE($FK$12,Fixtures!HZ$25))=Fixtures!$DN60,CONCATENATE(HZ$10,", "),""))</f>
        <v/>
      </c>
      <c r="IA60" s="632" t="str">
        <f ca="1">IF(INDIRECT(CONCATENATE($FK$12,Fixtures!IA$25))="","",IF(INDIRECT(CONCATENATE($FK$12,Fixtures!IA$25))=Fixtures!$DN60,CONCATENATE(IA$10,", "),""))</f>
        <v/>
      </c>
      <c r="IB60" s="606" t="str">
        <f ca="1">IF(INDIRECT(CONCATENATE($FK$12,Fixtures!IB$25))="","",IF(INDIRECT(CONCATENATE($FK$12,Fixtures!IB$25))=Fixtures!$DN60,CONCATENATE(IB$10,", "),""))</f>
        <v/>
      </c>
      <c r="IC60" s="607" t="str">
        <f ca="1">IF(INDIRECT(CONCATENATE($FK$12,Fixtures!IC$25))="","",IF(INDIRECT(CONCATENATE($FK$12,Fixtures!IC$25))=Fixtures!$DN60,CONCATENATE(IC$10,", "),""))</f>
        <v/>
      </c>
      <c r="ID60" s="632" t="str">
        <f ca="1">IF(INDIRECT(CONCATENATE($FK$12,Fixtures!ID$25))="","",IF(INDIRECT(CONCATENATE($FK$12,Fixtures!ID$25))=Fixtures!$DN60,CONCATENATE(ID$10,", "),""))</f>
        <v/>
      </c>
      <c r="IE60" s="632" t="str">
        <f ca="1">IF(INDIRECT(CONCATENATE($FK$12,Fixtures!IE$25))="","",IF(INDIRECT(CONCATENATE($FK$12,Fixtures!IE$25))=Fixtures!$DN60,CONCATENATE(IE$10,", "),""))</f>
        <v/>
      </c>
      <c r="IF60" s="632" t="str">
        <f ca="1">IF(INDIRECT(CONCATENATE($FK$12,Fixtures!IF$25))="","",IF(INDIRECT(CONCATENATE($FK$12,Fixtures!IF$25))=Fixtures!$DN60,CONCATENATE(IF$10,", "),""))</f>
        <v/>
      </c>
      <c r="IG60" s="632" t="str">
        <f ca="1">IF(INDIRECT(CONCATENATE($FK$12,Fixtures!IG$25))="","",IF(INDIRECT(CONCATENATE($FK$12,Fixtures!IG$25))=Fixtures!$DN60,CONCATENATE(IG$10,", "),""))</f>
        <v/>
      </c>
      <c r="IH60" s="632" t="str">
        <f ca="1">IF(INDIRECT(CONCATENATE($FK$12,Fixtures!IH$25))="","",IF(INDIRECT(CONCATENATE($FK$12,Fixtures!IH$25))=Fixtures!$DN60,CONCATENATE(IH$10,", "),""))</f>
        <v/>
      </c>
      <c r="II60" s="632" t="str">
        <f ca="1">IF(INDIRECT(CONCATENATE($FK$12,Fixtures!II$25))="","",IF(INDIRECT(CONCATENATE($FK$12,Fixtures!II$25))=Fixtures!$DN60,CONCATENATE(II$10,", "),""))</f>
        <v/>
      </c>
      <c r="IJ60" s="632" t="str">
        <f ca="1">IF(INDIRECT(CONCATENATE($FK$12,Fixtures!IJ$25))="","",IF(INDIRECT(CONCATENATE($FK$12,Fixtures!IJ$25))=Fixtures!$DN60,CONCATENATE(IJ$10,", "),""))</f>
        <v/>
      </c>
      <c r="IK60" s="632" t="str">
        <f ca="1">IF(INDIRECT(CONCATENATE($FK$12,Fixtures!IK$25))="","",IF(INDIRECT(CONCATENATE($FK$12,Fixtures!IK$25))=Fixtures!$DN60,CONCATENATE(IK$10,", "),""))</f>
        <v/>
      </c>
      <c r="IL60" s="632" t="str">
        <f ca="1">IF(INDIRECT(CONCATENATE($FK$12,Fixtures!IL$25))="","",IF(INDIRECT(CONCATENATE($FK$12,Fixtures!IL$25))=Fixtures!$DN60,CONCATENATE(IL$10,", "),""))</f>
        <v/>
      </c>
      <c r="IM60" s="632" t="str">
        <f ca="1">IF(INDIRECT(CONCATENATE($FK$12,Fixtures!IM$25))="","",IF(INDIRECT(CONCATENATE($FK$12,Fixtures!IM$25))=Fixtures!$DN60,CONCATENATE(IM$10,", "),""))</f>
        <v/>
      </c>
      <c r="IN60" s="632" t="str">
        <f ca="1">IF(INDIRECT(CONCATENATE($FK$12,Fixtures!IN$25))="","",IF(INDIRECT(CONCATENATE($FK$12,Fixtures!IN$25))=Fixtures!$DN60,CONCATENATE(IN$10,", "),""))</f>
        <v/>
      </c>
      <c r="IO60" s="632" t="str">
        <f ca="1">IF(INDIRECT(CONCATENATE($FK$12,Fixtures!IO$25))="","",IF(INDIRECT(CONCATENATE($FK$12,Fixtures!IO$25))=Fixtures!$DN60,CONCATENATE(IO$10,", "),""))</f>
        <v/>
      </c>
      <c r="IP60" s="632" t="str">
        <f ca="1">IF(INDIRECT(CONCATENATE($FK$12,Fixtures!IP$25))="","",IF(INDIRECT(CONCATENATE($FK$12,Fixtures!IP$25))=Fixtures!$DN60,CONCATENATE(IP$10,", "),""))</f>
        <v/>
      </c>
      <c r="IQ60" s="606" t="str">
        <f ca="1">IF(INDIRECT(CONCATENATE($FK$12,Fixtures!IQ$25))="","",IF(INDIRECT(CONCATENATE($FK$12,Fixtures!IQ$25))=Fixtures!$DN60,CONCATENATE(IQ$10,", "),""))</f>
        <v/>
      </c>
      <c r="IR60" s="607" t="str">
        <f ca="1">IF(INDIRECT(CONCATENATE($FK$12,Fixtures!IR$25))="","",IF(INDIRECT(CONCATENATE($FK$12,Fixtures!IR$25))=Fixtures!$DN60,CONCATENATE(IR$10,", "),""))</f>
        <v/>
      </c>
      <c r="IS60" s="632" t="str">
        <f ca="1">IF(INDIRECT(CONCATENATE($FK$12,Fixtures!IS$25))="","",IF(INDIRECT(CONCATENATE($FK$12,Fixtures!IS$25))=Fixtures!$DN60,CONCATENATE(IS$10,", "),""))</f>
        <v/>
      </c>
      <c r="IT60" s="632" t="str">
        <f ca="1">IF(INDIRECT(CONCATENATE($FK$12,Fixtures!IT$25))="","",IF(INDIRECT(CONCATENATE($FK$12,Fixtures!IT$25))=Fixtures!$DN60,CONCATENATE(IT$10,", "),""))</f>
        <v/>
      </c>
      <c r="IU60" s="632" t="str">
        <f ca="1">IF(INDIRECT(CONCATENATE($FK$12,Fixtures!IU$25))="","",IF(INDIRECT(CONCATENATE($FK$12,Fixtures!IU$25))=Fixtures!$DN60,CONCATENATE(IU$10,", "),""))</f>
        <v/>
      </c>
      <c r="IV60" s="632" t="str">
        <f ca="1">IF(INDIRECT(CONCATENATE($FK$12,Fixtures!IV$25))="","",IF(INDIRECT(CONCATENATE($FK$12,Fixtures!IV$25))=Fixtures!$DN60,CONCATENATE(IV$10,", "),""))</f>
        <v/>
      </c>
      <c r="IW60" s="632" t="str">
        <f ca="1">IF(INDIRECT(CONCATENATE($FK$12,Fixtures!IW$25))="","",IF(INDIRECT(CONCATENATE($FK$12,Fixtures!IW$25))=Fixtures!$DN60,CONCATENATE(IW$10,", "),""))</f>
        <v/>
      </c>
      <c r="IX60" s="632" t="str">
        <f ca="1">IF(INDIRECT(CONCATENATE($FK$12,Fixtures!IX$25))="","",IF(INDIRECT(CONCATENATE($FK$12,Fixtures!IX$25))=Fixtures!$DN60,CONCATENATE(IX$10,", "),""))</f>
        <v/>
      </c>
      <c r="IY60" s="632" t="str">
        <f ca="1">IF(INDIRECT(CONCATENATE($FK$12,Fixtures!IY$25))="","",IF(INDIRECT(CONCATENATE($FK$12,Fixtures!IY$25))=Fixtures!$DN60,CONCATENATE(IY$10,", "),""))</f>
        <v/>
      </c>
      <c r="IZ60" s="632" t="str">
        <f ca="1">IF(INDIRECT(CONCATENATE($FK$12,Fixtures!IZ$25))="","",IF(INDIRECT(CONCATENATE($FK$12,Fixtures!IZ$25))=Fixtures!$DN60,CONCATENATE(IZ$10,", "),""))</f>
        <v/>
      </c>
      <c r="JA60" s="632" t="str">
        <f ca="1">IF(INDIRECT(CONCATENATE($FK$12,Fixtures!JA$25))="","",IF(INDIRECT(CONCATENATE($FK$12,Fixtures!JA$25))=Fixtures!$DN60,CONCATENATE(JA$10,", "),""))</f>
        <v/>
      </c>
      <c r="JB60" s="632" t="str">
        <f ca="1">IF(INDIRECT(CONCATENATE($FK$12,Fixtures!JB$25))="","",IF(INDIRECT(CONCATENATE($FK$12,Fixtures!JB$25))=Fixtures!$DN60,CONCATENATE(JB$10,", "),""))</f>
        <v/>
      </c>
      <c r="JC60" s="632" t="str">
        <f ca="1">IF(INDIRECT(CONCATENATE($FK$12,Fixtures!JC$25))="","",IF(INDIRECT(CONCATENATE($FK$12,Fixtures!JC$25))=Fixtures!$DN60,CONCATENATE(JC$10,", "),""))</f>
        <v/>
      </c>
      <c r="JD60" s="632" t="str">
        <f ca="1">IF(INDIRECT(CONCATENATE($FK$12,Fixtures!JD$25))="","",IF(INDIRECT(CONCATENATE($FK$12,Fixtures!JD$25))=Fixtures!$DN60,CONCATENATE(JD$10,", "),""))</f>
        <v/>
      </c>
      <c r="JE60" s="632" t="str">
        <f ca="1">IF(INDIRECT(CONCATENATE($FK$12,Fixtures!JE$25))="","",IF(INDIRECT(CONCATENATE($FK$12,Fixtures!JE$25))=Fixtures!$DN60,CONCATENATE(JE$10,", "),""))</f>
        <v/>
      </c>
      <c r="JF60" s="606" t="str">
        <f ca="1">IF(INDIRECT(CONCATENATE($FK$12,Fixtures!JF$25))="","",IF(INDIRECT(CONCATENATE($FK$12,Fixtures!JF$25))=Fixtures!$DN60,CONCATENATE(JF$10,", "),""))</f>
        <v/>
      </c>
      <c r="JG60" s="607" t="str">
        <f ca="1">IF(INDIRECT(CONCATENATE($FK$12,Fixtures!JG$25))="","",IF(INDIRECT(CONCATENATE($FK$12,Fixtures!JG$25))=Fixtures!$DN60,CONCATENATE(JG$10,", "),""))</f>
        <v/>
      </c>
      <c r="JH60" s="632" t="str">
        <f ca="1">IF(INDIRECT(CONCATENATE($FK$12,Fixtures!JH$25))="","",IF(INDIRECT(CONCATENATE($FK$12,Fixtures!JH$25))=Fixtures!$DN60,CONCATENATE(JH$10,", "),""))</f>
        <v/>
      </c>
      <c r="JI60" s="632" t="str">
        <f ca="1">IF(INDIRECT(CONCATENATE($FK$12,Fixtures!JI$25))="","",IF(INDIRECT(CONCATENATE($FK$12,Fixtures!JI$25))=Fixtures!$DN60,CONCATENATE(JI$10,", "),""))</f>
        <v/>
      </c>
      <c r="JJ60" s="632" t="str">
        <f ca="1">IF(INDIRECT(CONCATENATE($FK$12,Fixtures!JJ$25))="","",IF(INDIRECT(CONCATENATE($FK$12,Fixtures!JJ$25))=Fixtures!$DN60,CONCATENATE(JJ$10,", "),""))</f>
        <v/>
      </c>
      <c r="JK60" s="632" t="str">
        <f ca="1">IF(INDIRECT(CONCATENATE($FK$12,Fixtures!JK$25))="","",IF(INDIRECT(CONCATENATE($FK$12,Fixtures!JK$25))=Fixtures!$DN60,CONCATENATE(JK$10,", "),""))</f>
        <v/>
      </c>
      <c r="JL60" s="632" t="str">
        <f ca="1">IF(INDIRECT(CONCATENATE($FK$12,Fixtures!JL$25))="","",IF(INDIRECT(CONCATENATE($FK$12,Fixtures!JL$25))=Fixtures!$DN60,CONCATENATE(JL$10,", "),""))</f>
        <v/>
      </c>
      <c r="JM60" s="632" t="str">
        <f ca="1">IF(INDIRECT(CONCATENATE($FK$12,Fixtures!JM$25))="","",IF(INDIRECT(CONCATENATE($FK$12,Fixtures!JM$25))=Fixtures!$DN60,CONCATENATE(JM$10,", "),""))</f>
        <v/>
      </c>
      <c r="JN60" s="632" t="str">
        <f ca="1">IF(INDIRECT(CONCATENATE($FK$12,Fixtures!JN$25))="","",IF(INDIRECT(CONCATENATE($FK$12,Fixtures!JN$25))=Fixtures!$DN60,CONCATENATE(JN$10,", "),""))</f>
        <v/>
      </c>
      <c r="JO60" s="632" t="str">
        <f ca="1">IF(INDIRECT(CONCATENATE($FK$12,Fixtures!JO$25))="","",IF(INDIRECT(CONCATENATE($FK$12,Fixtures!JO$25))=Fixtures!$DN60,CONCATENATE(JO$10,", "),""))</f>
        <v/>
      </c>
      <c r="JP60" s="632" t="str">
        <f ca="1">IF(INDIRECT(CONCATENATE($FK$12,Fixtures!JP$25))="","",IF(INDIRECT(CONCATENATE($FK$12,Fixtures!JP$25))=Fixtures!$DN60,CONCATENATE(JP$10,", "),""))</f>
        <v/>
      </c>
      <c r="JQ60" s="632" t="str">
        <f ca="1">IF(INDIRECT(CONCATENATE($FK$12,Fixtures!JQ$25))="","",IF(INDIRECT(CONCATENATE($FK$12,Fixtures!JQ$25))=Fixtures!$DN60,CONCATENATE(JQ$10,", "),""))</f>
        <v/>
      </c>
      <c r="JR60" s="632" t="str">
        <f ca="1">IF(INDIRECT(CONCATENATE($FK$12,Fixtures!JR$25))="","",IF(INDIRECT(CONCATENATE($FK$12,Fixtures!JR$25))=Fixtures!$DN60,CONCATENATE(JR$10,", "),""))</f>
        <v/>
      </c>
      <c r="JS60" s="632" t="str">
        <f ca="1">IF(INDIRECT(CONCATENATE($FK$12,Fixtures!JS$25))="","",IF(INDIRECT(CONCATENATE($FK$12,Fixtures!JS$25))=Fixtures!$DN60,CONCATENATE(JS$10,", "),""))</f>
        <v/>
      </c>
      <c r="JT60" s="632" t="str">
        <f ca="1">IF(INDIRECT(CONCATENATE($FK$12,Fixtures!JT$25))="","",IF(INDIRECT(CONCATENATE($FK$12,Fixtures!JT$25))=Fixtures!$DN60,CONCATENATE(JT$10,", "),""))</f>
        <v/>
      </c>
      <c r="JU60" s="606" t="str">
        <f ca="1">IF(INDIRECT(CONCATENATE($FK$12,Fixtures!JU$25))="","",IF(INDIRECT(CONCATENATE($FK$12,Fixtures!JU$25))=Fixtures!$DN60,CONCATENATE(JU$10,", "),""))</f>
        <v/>
      </c>
      <c r="JV60" s="607" t="str">
        <f ca="1">IF(INDIRECT(CONCATENATE($FK$12,Fixtures!JV$25))="","",IF(INDIRECT(CONCATENATE($FK$12,Fixtures!JV$25))=Fixtures!$DN60,CONCATENATE(JV$10,", "),""))</f>
        <v/>
      </c>
      <c r="JW60" s="632" t="str">
        <f ca="1">IF(INDIRECT(CONCATENATE($FK$12,Fixtures!JW$25))="","",IF(INDIRECT(CONCATENATE($FK$12,Fixtures!JW$25))=Fixtures!$DN60,CONCATENATE(JW$10,", "),""))</f>
        <v/>
      </c>
      <c r="JX60" s="632" t="str">
        <f ca="1">IF(INDIRECT(CONCATENATE($FK$12,Fixtures!JX$25))="","",IF(INDIRECT(CONCATENATE($FK$12,Fixtures!JX$25))=Fixtures!$DN60,CONCATENATE(JX$10,", "),""))</f>
        <v/>
      </c>
      <c r="JY60" s="632" t="str">
        <f ca="1">IF(INDIRECT(CONCATENATE($FK$12,Fixtures!JY$25))="","",IF(INDIRECT(CONCATENATE($FK$12,Fixtures!JY$25))=Fixtures!$DN60,CONCATENATE(JY$10,", "),""))</f>
        <v/>
      </c>
      <c r="JZ60" s="632" t="str">
        <f ca="1">IF(INDIRECT(CONCATENATE($FK$12,Fixtures!JZ$25))="","",IF(INDIRECT(CONCATENATE($FK$12,Fixtures!JZ$25))=Fixtures!$DN60,CONCATENATE(JZ$10,", "),""))</f>
        <v/>
      </c>
      <c r="KA60" s="632" t="str">
        <f ca="1">IF(INDIRECT(CONCATENATE($FK$12,Fixtures!KA$25))="","",IF(INDIRECT(CONCATENATE($FK$12,Fixtures!KA$25))=Fixtures!$DN60,CONCATENATE(KA$10,", "),""))</f>
        <v/>
      </c>
      <c r="KB60" s="632" t="str">
        <f ca="1">IF(INDIRECT(CONCATENATE($FK$12,Fixtures!KB$25))="","",IF(INDIRECT(CONCATENATE($FK$12,Fixtures!KB$25))=Fixtures!$DN60,CONCATENATE(KB$10,", "),""))</f>
        <v/>
      </c>
      <c r="KC60" s="632" t="str">
        <f ca="1">IF(INDIRECT(CONCATENATE($FK$12,Fixtures!KC$25))="","",IF(INDIRECT(CONCATENATE($FK$12,Fixtures!KC$25))=Fixtures!$DN60,CONCATENATE(KC$10,", "),""))</f>
        <v/>
      </c>
      <c r="KD60" s="632" t="str">
        <f ca="1">IF(INDIRECT(CONCATENATE($FK$12,Fixtures!KD$25))="","",IF(INDIRECT(CONCATENATE($FK$12,Fixtures!KD$25))=Fixtures!$DN60,CONCATENATE(KD$10,", "),""))</f>
        <v/>
      </c>
      <c r="KE60" s="632" t="str">
        <f ca="1">IF(INDIRECT(CONCATENATE($FK$12,Fixtures!KE$25))="","",IF(INDIRECT(CONCATENATE($FK$12,Fixtures!KE$25))=Fixtures!$DN60,CONCATENATE(KE$10,", "),""))</f>
        <v/>
      </c>
      <c r="KF60" s="632" t="str">
        <f ca="1">IF(INDIRECT(CONCATENATE($FK$12,Fixtures!KF$25))="","",IF(INDIRECT(CONCATENATE($FK$12,Fixtures!KF$25))=Fixtures!$DN60,CONCATENATE(KF$10,", "),""))</f>
        <v/>
      </c>
      <c r="KG60" s="632" t="str">
        <f ca="1">IF(INDIRECT(CONCATENATE($FK$12,Fixtures!KG$25))="","",IF(INDIRECT(CONCATENATE($FK$12,Fixtures!KG$25))=Fixtures!$DN60,CONCATENATE(KG$10,", "),""))</f>
        <v/>
      </c>
      <c r="KH60" s="632" t="str">
        <f ca="1">IF(INDIRECT(CONCATENATE($FK$12,Fixtures!KH$25))="","",IF(INDIRECT(CONCATENATE($FK$12,Fixtures!KH$25))=Fixtures!$DN60,CONCATENATE(KH$10,", "),""))</f>
        <v/>
      </c>
      <c r="KI60" s="632" t="str">
        <f ca="1">IF(INDIRECT(CONCATENATE($FK$12,Fixtures!KI$25))="","",IF(INDIRECT(CONCATENATE($FK$12,Fixtures!KI$25))=Fixtures!$DN60,CONCATENATE(KI$10,", "),""))</f>
        <v/>
      </c>
      <c r="KJ60" s="606" t="str">
        <f ca="1">IF(INDIRECT(CONCATENATE($FK$12,Fixtures!KJ$25))="","",IF(INDIRECT(CONCATENATE($FK$12,Fixtures!KJ$25))=Fixtures!$DN60,CONCATENATE(KJ$10,", "),""))</f>
        <v/>
      </c>
      <c r="KK60" s="607" t="str">
        <f ca="1">IF(INDIRECT(CONCATENATE($FK$12,Fixtures!KK$25))="","",IF(INDIRECT(CONCATENATE($FK$12,Fixtures!KK$25))=Fixtures!$DN60,CONCATENATE(KK$10,", "),""))</f>
        <v/>
      </c>
      <c r="KL60" s="632" t="str">
        <f ca="1">IF(INDIRECT(CONCATENATE($FK$12,Fixtures!KL$25))="","",IF(INDIRECT(CONCATENATE($FK$12,Fixtures!KL$25))=Fixtures!$DN60,CONCATENATE(KL$10,", "),""))</f>
        <v/>
      </c>
      <c r="KM60" s="632" t="str">
        <f ca="1">IF(INDIRECT(CONCATENATE($FK$12,Fixtures!KM$25))="","",IF(INDIRECT(CONCATENATE($FK$12,Fixtures!KM$25))=Fixtures!$DN60,CONCATENATE(KM$10,", "),""))</f>
        <v/>
      </c>
      <c r="KN60" s="632" t="str">
        <f ca="1">IF(INDIRECT(CONCATENATE($FK$12,Fixtures!KN$25))="","",IF(INDIRECT(CONCATENATE($FK$12,Fixtures!KN$25))=Fixtures!$DN60,CONCATENATE(KN$10,", "),""))</f>
        <v/>
      </c>
      <c r="KO60" s="632" t="str">
        <f ca="1">IF(INDIRECT(CONCATENATE($FK$12,Fixtures!KO$25))="","",IF(INDIRECT(CONCATENATE($FK$12,Fixtures!KO$25))=Fixtures!$DN60,CONCATENATE(KO$10,", "),""))</f>
        <v/>
      </c>
      <c r="KP60" s="632" t="str">
        <f ca="1">IF(INDIRECT(CONCATENATE($FK$12,Fixtures!KP$25))="","",IF(INDIRECT(CONCATENATE($FK$12,Fixtures!KP$25))=Fixtures!$DN60,CONCATENATE(KP$10,", "),""))</f>
        <v/>
      </c>
      <c r="KQ60" s="632" t="str">
        <f ca="1">IF(INDIRECT(CONCATENATE($FK$12,Fixtures!KQ$25))="","",IF(INDIRECT(CONCATENATE($FK$12,Fixtures!KQ$25))=Fixtures!$DN60,CONCATENATE(KQ$10,", "),""))</f>
        <v/>
      </c>
      <c r="KR60" s="632" t="str">
        <f ca="1">IF(INDIRECT(CONCATENATE($FK$12,Fixtures!KR$25))="","",IF(INDIRECT(CONCATENATE($FK$12,Fixtures!KR$25))=Fixtures!$DN60,CONCATENATE(KR$10,", "),""))</f>
        <v/>
      </c>
      <c r="KS60" s="632" t="str">
        <f ca="1">IF(INDIRECT(CONCATENATE($FK$12,Fixtures!KS$25))="","",IF(INDIRECT(CONCATENATE($FK$12,Fixtures!KS$25))=Fixtures!$DN60,CONCATENATE(KS$10,", "),""))</f>
        <v/>
      </c>
      <c r="KT60" s="632" t="str">
        <f ca="1">IF(INDIRECT(CONCATENATE($FK$12,Fixtures!KT$25))="","",IF(INDIRECT(CONCATENATE($FK$12,Fixtures!KT$25))=Fixtures!$DN60,CONCATENATE(KT$10,", "),""))</f>
        <v/>
      </c>
      <c r="KU60" s="632" t="str">
        <f ca="1">IF(INDIRECT(CONCATENATE($FK$12,Fixtures!KU$25))="","",IF(INDIRECT(CONCATENATE($FK$12,Fixtures!KU$25))=Fixtures!$DN60,CONCATENATE(KU$10,", "),""))</f>
        <v/>
      </c>
      <c r="KV60" s="632" t="str">
        <f ca="1">IF(INDIRECT(CONCATENATE($FK$12,Fixtures!KV$25))="","",IF(INDIRECT(CONCATENATE($FK$12,Fixtures!KV$25))=Fixtures!$DN60,CONCATENATE(KV$10,", "),""))</f>
        <v/>
      </c>
      <c r="KW60" s="632" t="str">
        <f ca="1">IF(INDIRECT(CONCATENATE($FK$12,Fixtures!KW$25))="","",IF(INDIRECT(CONCATENATE($FK$12,Fixtures!KW$25))=Fixtures!$DN60,CONCATENATE(KW$10,", "),""))</f>
        <v/>
      </c>
      <c r="KX60" s="632" t="str">
        <f ca="1">IF(INDIRECT(CONCATENATE($FK$12,Fixtures!KX$25))="","",IF(INDIRECT(CONCATENATE($FK$12,Fixtures!KX$25))=Fixtures!$DN60,CONCATENATE(KX$10,", "),""))</f>
        <v/>
      </c>
      <c r="KY60" s="632"/>
      <c r="KZ60" s="542"/>
      <c r="LA60" s="46" t="str">
        <f t="shared" ca="1" si="37"/>
        <v/>
      </c>
      <c r="LB60" s="46"/>
      <c r="LC60" s="1010"/>
      <c r="LD60" s="1009" t="str">
        <f t="shared" si="20"/>
        <v/>
      </c>
    </row>
    <row r="61" spans="1:316" ht="28.2" customHeight="1" thickTop="1" thickBot="1">
      <c r="A61" s="426" t="str">
        <f t="shared" si="13"/>
        <v/>
      </c>
      <c r="C61" s="1640" t="str">
        <f t="shared" si="14"/>
        <v/>
      </c>
      <c r="D61" s="1641"/>
      <c r="E61" s="1568" t="str">
        <f t="shared" si="15"/>
        <v/>
      </c>
      <c r="F61" s="1569"/>
      <c r="G61" s="1569"/>
      <c r="H61" s="1569"/>
      <c r="I61" s="1569"/>
      <c r="J61" s="1569"/>
      <c r="K61" s="1569"/>
      <c r="L61" s="1569"/>
      <c r="M61" s="1642"/>
      <c r="N61" s="203" t="str">
        <f t="shared" si="16"/>
        <v/>
      </c>
      <c r="O61" s="12"/>
      <c r="P61" s="1638" t="str">
        <f t="shared" si="25"/>
        <v/>
      </c>
      <c r="Q61" s="1639"/>
      <c r="R61" s="1568" t="str">
        <f t="shared" si="30"/>
        <v/>
      </c>
      <c r="S61" s="1569"/>
      <c r="T61" s="1569"/>
      <c r="U61" s="1569"/>
      <c r="V61" s="1569"/>
      <c r="W61" s="1569"/>
      <c r="X61" s="1569"/>
      <c r="Y61" s="203" t="str">
        <f t="shared" si="26"/>
        <v/>
      </c>
      <c r="Z61" s="203" t="str">
        <f t="shared" si="27"/>
        <v/>
      </c>
      <c r="AA61" s="394" t="str">
        <f t="shared" si="28"/>
        <v/>
      </c>
      <c r="AB61" s="489"/>
      <c r="AC61" s="1564" t="str">
        <f t="shared" si="18"/>
        <v/>
      </c>
      <c r="AD61" s="1565"/>
      <c r="AE61" s="1565"/>
      <c r="AF61" s="1565"/>
      <c r="AG61" s="1565"/>
      <c r="AH61" s="1565"/>
      <c r="AK61">
        <f>SUMIFS(Installations!CV$46:CV$803,Installations!CW$46:CW$803,E61,Installations!IC$46:IC$803,TRUE)</f>
        <v>0</v>
      </c>
      <c r="AL61">
        <f>SUMIFS(Installations!CV$46:CV$803,Installations!CW$46:CW$803,R61,Installations!IC$46:IC$803,TRUE)</f>
        <v>0</v>
      </c>
      <c r="BL61" s="9"/>
      <c r="BM61" s="622" t="str">
        <f t="shared" si="19"/>
        <v/>
      </c>
      <c r="BN61" s="52"/>
      <c r="BO61" s="52"/>
      <c r="BP61" s="52"/>
      <c r="BQ61" s="52"/>
      <c r="BR61" s="52"/>
      <c r="BS61" s="52"/>
      <c r="BT61" s="52"/>
      <c r="BU61" s="373"/>
      <c r="BV61" s="219" t="str">
        <f>IF(CN61&lt;&gt;"Yes","",IFERROR(VLOOKUP(CU61,Existing!A$4:F$367,2,FALSE),""))</f>
        <v/>
      </c>
      <c r="BW61" s="9">
        <v>35</v>
      </c>
      <c r="BX61" s="1625"/>
      <c r="BY61" s="1626"/>
      <c r="BZ61" s="1626"/>
      <c r="CA61" s="1627"/>
      <c r="CB61" s="1622"/>
      <c r="CC61" s="1623"/>
      <c r="CD61" s="1623"/>
      <c r="CE61" s="1624"/>
      <c r="CF61" s="1621"/>
      <c r="CG61" s="1621"/>
      <c r="CH61" s="1621"/>
      <c r="CI61" s="1621"/>
      <c r="CJ61" s="1621"/>
      <c r="CK61" s="1621"/>
      <c r="CL61" s="1621"/>
      <c r="CM61" s="1621"/>
      <c r="CN61" s="1553" t="str">
        <f t="shared" si="31"/>
        <v/>
      </c>
      <c r="CO61" s="1554"/>
      <c r="CP61" s="229" t="str">
        <f>IFERROR(IF(CB61="Existing TLED",CR61*CW61*CY61,VLOOKUP(CU61,Existing!A$3:F$356,6,FALSE)),"")</f>
        <v/>
      </c>
      <c r="CQ61" s="9"/>
      <c r="CR61" s="1660"/>
      <c r="CS61" s="1661"/>
      <c r="CT61" s="9"/>
      <c r="CU61" s="425" t="str">
        <f t="shared" si="21"/>
        <v/>
      </c>
      <c r="CV61" s="426" t="b">
        <f t="shared" si="22"/>
        <v>0</v>
      </c>
      <c r="CW61" s="426" t="str">
        <f t="shared" si="23"/>
        <v/>
      </c>
      <c r="CX61" s="426">
        <f>IFERROR(VLOOKUP(CF61,Lookup!T$100:V$102,3,FALSE),0)</f>
        <v>0</v>
      </c>
      <c r="CY61" s="426">
        <f t="shared" si="8"/>
        <v>1.1100000000000001</v>
      </c>
      <c r="CZ61" s="626" t="b">
        <f t="shared" si="32"/>
        <v>0</v>
      </c>
      <c r="DA61" s="626" t="b">
        <f>IF(CF61&lt;&gt;"",IF(ISERROR(MATCH(CONCATENATE(CB61," - ",CF61),Existing!G$4:G$331,0))=TRUE,FALSE,TRUE),TRUE)</f>
        <v>1</v>
      </c>
      <c r="DB61" s="626" t="b">
        <f t="shared" si="33"/>
        <v>1</v>
      </c>
      <c r="DL61" s="9"/>
      <c r="DM61" s="627" t="s">
        <v>215</v>
      </c>
      <c r="DN61" s="375" t="str">
        <f t="shared" si="34"/>
        <v/>
      </c>
      <c r="DO61" s="52"/>
      <c r="DP61" s="52"/>
      <c r="DQ61" s="52"/>
      <c r="DR61" s="52"/>
      <c r="DS61" s="52"/>
      <c r="DT61" s="226"/>
      <c r="DU61" s="376"/>
      <c r="DV61" s="227" t="str">
        <f t="shared" si="35"/>
        <v/>
      </c>
      <c r="DW61" s="224">
        <v>35</v>
      </c>
      <c r="DX61" s="1572"/>
      <c r="DY61" s="1573"/>
      <c r="DZ61" s="1573"/>
      <c r="EA61" s="1574"/>
      <c r="EB61" s="1618"/>
      <c r="EC61" s="1619"/>
      <c r="ED61" s="1619"/>
      <c r="EE61" s="1620"/>
      <c r="EF61" s="1578"/>
      <c r="EG61" s="1579"/>
      <c r="EH61" s="1618"/>
      <c r="EI61" s="1619"/>
      <c r="EJ61" s="1619"/>
      <c r="EK61" s="1620"/>
      <c r="EL61" s="1575"/>
      <c r="EM61" s="1576"/>
      <c r="EN61" s="1576"/>
      <c r="EO61" s="1577"/>
      <c r="EP61" s="1578"/>
      <c r="EQ61" s="1579"/>
      <c r="ER61" s="1555"/>
      <c r="ES61" s="1556"/>
      <c r="ET61" s="1553" t="str">
        <f t="shared" si="9"/>
        <v/>
      </c>
      <c r="EU61" s="1554"/>
      <c r="EV61" s="1553" t="str">
        <f t="shared" si="29"/>
        <v/>
      </c>
      <c r="EW61" s="1554"/>
      <c r="EX61" s="393"/>
      <c r="EY61" s="225" t="str">
        <f t="shared" si="36"/>
        <v/>
      </c>
      <c r="EZ61" s="225" t="str">
        <f>IFERROR(VLOOKUP(EB61,Lookup!AT$3:AU$13,2,FALSE),"")</f>
        <v/>
      </c>
      <c r="FA61" s="426" t="b">
        <f>IFERROR(IF(VLOOKUP(EB61,Lookup!AT$6:AU$8,2,FALSE)&gt;3,TRUE,FALSE),FALSE)</f>
        <v>0</v>
      </c>
      <c r="FB61" s="426" t="str">
        <f t="shared" si="10"/>
        <v/>
      </c>
      <c r="FC61" t="str">
        <f t="shared" ca="1" si="11"/>
        <v/>
      </c>
      <c r="FG61" t="str">
        <f t="shared" ca="1" si="12"/>
        <v/>
      </c>
      <c r="FI61" s="204" t="str">
        <f t="shared" ca="1" si="24"/>
        <v/>
      </c>
      <c r="FK61" s="631" t="str">
        <f ca="1">IF(INDIRECT(CONCATENATE($FK$12,Fixtures!FK$25))="","",IF(INDIRECT(CONCATENATE($FK$12,Fixtures!FK$25))=Fixtures!$DN61,CONCATENATE(FK$10,", "),""))</f>
        <v/>
      </c>
      <c r="FL61" s="631" t="str">
        <f ca="1">IF(INDIRECT(CONCATENATE($FK$12,Fixtures!FL$25))="","",IF(INDIRECT(CONCATENATE($FK$12,Fixtures!FL$25))=Fixtures!$DN61,CONCATENATE(FL$10,", "),""))</f>
        <v/>
      </c>
      <c r="FM61" s="631" t="str">
        <f ca="1">IF(INDIRECT(CONCATENATE($FK$12,Fixtures!FM$25))="","",IF(INDIRECT(CONCATENATE($FK$12,Fixtures!FM$25))=Fixtures!$DN61,CONCATENATE(FM$10,", "),""))</f>
        <v/>
      </c>
      <c r="FN61" s="631" t="str">
        <f ca="1">IF(INDIRECT(CONCATENATE($FK$12,Fixtures!FN$25))="","",IF(INDIRECT(CONCATENATE($FK$12,Fixtures!FN$25))=Fixtures!$DN61,CONCATENATE(FN$10,", "),""))</f>
        <v/>
      </c>
      <c r="FO61" s="631" t="str">
        <f ca="1">IF(INDIRECT(CONCATENATE($FK$12,Fixtures!FO$25))="","",IF(INDIRECT(CONCATENATE($FK$12,Fixtures!FO$25))=Fixtures!$DN61,CONCATENATE(FO$10,", "),""))</f>
        <v/>
      </c>
      <c r="FP61" s="631" t="str">
        <f ca="1">IF(INDIRECT(CONCATENATE($FK$12,Fixtures!FP$25))="","",IF(INDIRECT(CONCATENATE($FK$12,Fixtures!FP$25))=Fixtures!$DN61,CONCATENATE(FP$10,", "),""))</f>
        <v/>
      </c>
      <c r="FQ61" s="631" t="str">
        <f ca="1">IF(INDIRECT(CONCATENATE($FK$12,Fixtures!FQ$25))="","",IF(INDIRECT(CONCATENATE($FK$12,Fixtures!FQ$25))=Fixtures!$DN61,CONCATENATE(FQ$10,", "),""))</f>
        <v/>
      </c>
      <c r="FR61" s="631" t="str">
        <f ca="1">IF(INDIRECT(CONCATENATE($FK$12,Fixtures!FR$25))="","",IF(INDIRECT(CONCATENATE($FK$12,Fixtures!FR$25))=Fixtures!$DN61,CONCATENATE(FR$10,", "),""))</f>
        <v/>
      </c>
      <c r="FS61" s="631" t="str">
        <f ca="1">IF(INDIRECT(CONCATENATE($FK$12,Fixtures!FS$25))="","",IF(INDIRECT(CONCATENATE($FK$12,Fixtures!FS$25))=Fixtures!$DN61,CONCATENATE(FS$10,", "),""))</f>
        <v/>
      </c>
      <c r="FT61" s="604" t="str">
        <f ca="1">IF(INDIRECT(CONCATENATE($FK$12,Fixtures!FT$25))="","",IF(INDIRECT(CONCATENATE($FK$12,Fixtures!FT$25))=Fixtures!$DN61,CONCATENATE(FT$10,", "),""))</f>
        <v/>
      </c>
      <c r="FU61" s="605" t="str">
        <f ca="1">IF(INDIRECT(CONCATENATE($FK$12,Fixtures!FU$25))="","",IF(INDIRECT(CONCATENATE($FK$12,Fixtures!FU$25))=Fixtures!$DN61,CONCATENATE(FU$10,", "),""))</f>
        <v/>
      </c>
      <c r="FV61" s="631" t="str">
        <f ca="1">IF(INDIRECT(CONCATENATE($FK$12,Fixtures!FV$25))="","",IF(INDIRECT(CONCATENATE($FK$12,Fixtures!FV$25))=Fixtures!$DN61,CONCATENATE(FV$10,", "),""))</f>
        <v/>
      </c>
      <c r="FW61" s="632" t="str">
        <f ca="1">IF(INDIRECT(CONCATENATE($FK$12,Fixtures!FW$25))="","",IF(INDIRECT(CONCATENATE($FK$12,Fixtures!FW$25))=Fixtures!$DN61,CONCATENATE(FW$10,", "),""))</f>
        <v/>
      </c>
      <c r="FX61" s="632" t="str">
        <f ca="1">IF(INDIRECT(CONCATENATE($FK$12,Fixtures!FX$25))="","",IF(INDIRECT(CONCATENATE($FK$12,Fixtures!FX$25))=Fixtures!$DN61,CONCATENATE(FX$10,", "),""))</f>
        <v/>
      </c>
      <c r="FY61" s="632" t="str">
        <f ca="1">IF(INDIRECT(CONCATENATE($FK$12,Fixtures!FY$25))="","",IF(INDIRECT(CONCATENATE($FK$12,Fixtures!FY$25))=Fixtures!$DN61,CONCATENATE(FY$10,", "),""))</f>
        <v/>
      </c>
      <c r="FZ61" s="632" t="str">
        <f ca="1">IF(INDIRECT(CONCATENATE($FK$12,Fixtures!FZ$25))="","",IF(INDIRECT(CONCATENATE($FK$12,Fixtures!FZ$25))=Fixtures!$DN61,CONCATENATE(FZ$10,", "),""))</f>
        <v/>
      </c>
      <c r="GA61" s="632" t="str">
        <f ca="1">IF(INDIRECT(CONCATENATE($FK$12,Fixtures!GA$25))="","",IF(INDIRECT(CONCATENATE($FK$12,Fixtures!GA$25))=Fixtures!$DN61,CONCATENATE(GA$10,", "),""))</f>
        <v/>
      </c>
      <c r="GB61" s="632" t="str">
        <f ca="1">IF(INDIRECT(CONCATENATE($FK$12,Fixtures!GB$25))="","",IF(INDIRECT(CONCATENATE($FK$12,Fixtures!GB$25))=Fixtures!$DN61,CONCATENATE(GB$10,", "),""))</f>
        <v/>
      </c>
      <c r="GC61" s="632" t="str">
        <f ca="1">IF(INDIRECT(CONCATENATE($FK$12,Fixtures!GC$25))="","",IF(INDIRECT(CONCATENATE($FK$12,Fixtures!GC$25))=Fixtures!$DN61,CONCATENATE(GC$10,", "),""))</f>
        <v/>
      </c>
      <c r="GD61" s="632" t="str">
        <f ca="1">IF(INDIRECT(CONCATENATE($FK$12,Fixtures!GD$25))="","",IF(INDIRECT(CONCATENATE($FK$12,Fixtures!GD$25))=Fixtures!$DN61,CONCATENATE(GD$10,", "),""))</f>
        <v/>
      </c>
      <c r="GE61" s="632" t="str">
        <f ca="1">IF(INDIRECT(CONCATENATE($FK$12,Fixtures!GE$25))="","",IF(INDIRECT(CONCATENATE($FK$12,Fixtures!GE$25))=Fixtures!$DN61,CONCATENATE(GE$10,", "),""))</f>
        <v/>
      </c>
      <c r="GF61" s="632" t="str">
        <f ca="1">IF(INDIRECT(CONCATENATE($FK$12,Fixtures!GF$25))="","",IF(INDIRECT(CONCATENATE($FK$12,Fixtures!GF$25))=Fixtures!$DN61,CONCATENATE(GF$10,", "),""))</f>
        <v/>
      </c>
      <c r="GG61" s="632" t="str">
        <f ca="1">IF(INDIRECT(CONCATENATE($FK$12,Fixtures!GG$25))="","",IF(INDIRECT(CONCATENATE($FK$12,Fixtures!GG$25))=Fixtures!$DN61,CONCATENATE(GG$10,", "),""))</f>
        <v/>
      </c>
      <c r="GH61" s="632" t="str">
        <f ca="1">IF(INDIRECT(CONCATENATE($FK$12,Fixtures!GH$25))="","",IF(INDIRECT(CONCATENATE($FK$12,Fixtures!GH$25))=Fixtures!$DN61,CONCATENATE(GH$10,", "),""))</f>
        <v/>
      </c>
      <c r="GI61" s="606" t="str">
        <f ca="1">IF(INDIRECT(CONCATENATE($FK$12,Fixtures!GI$25))="","",IF(INDIRECT(CONCATENATE($FK$12,Fixtures!GI$25))=Fixtures!$DN61,CONCATENATE(GI$10,", "),""))</f>
        <v/>
      </c>
      <c r="GJ61" s="607" t="str">
        <f ca="1">IF(INDIRECT(CONCATENATE($FK$12,Fixtures!GJ$25))="","",IF(INDIRECT(CONCATENATE($FK$12,Fixtures!GJ$25))=Fixtures!$DN61,CONCATENATE(GJ$10,", "),""))</f>
        <v/>
      </c>
      <c r="GK61" s="632" t="str">
        <f ca="1">IF(INDIRECT(CONCATENATE($FK$12,Fixtures!GK$25))="","",IF(INDIRECT(CONCATENATE($FK$12,Fixtures!GK$25))=Fixtures!$DN61,CONCATENATE(GK$10,", "),""))</f>
        <v/>
      </c>
      <c r="GL61" s="632" t="str">
        <f ca="1">IF(INDIRECT(CONCATENATE($FK$12,Fixtures!GL$25))="","",IF(INDIRECT(CONCATENATE($FK$12,Fixtures!GL$25))=Fixtures!$DN61,CONCATENATE(GL$10,", "),""))</f>
        <v/>
      </c>
      <c r="GM61" s="632" t="str">
        <f ca="1">IF(INDIRECT(CONCATENATE($FK$12,Fixtures!GM$25))="","",IF(INDIRECT(CONCATENATE($FK$12,Fixtures!GM$25))=Fixtures!$DN61,CONCATENATE(GM$10,", "),""))</f>
        <v/>
      </c>
      <c r="GN61" s="632" t="str">
        <f ca="1">IF(INDIRECT(CONCATENATE($FK$12,Fixtures!GN$25))="","",IF(INDIRECT(CONCATENATE($FK$12,Fixtures!GN$25))=Fixtures!$DN61,CONCATENATE(GN$10,", "),""))</f>
        <v/>
      </c>
      <c r="GO61" s="632" t="str">
        <f ca="1">IF(INDIRECT(CONCATENATE($FK$12,Fixtures!GO$25))="","",IF(INDIRECT(CONCATENATE($FK$12,Fixtures!GO$25))=Fixtures!$DN61,CONCATENATE(GO$10,", "),""))</f>
        <v/>
      </c>
      <c r="GP61" s="632" t="str">
        <f ca="1">IF(INDIRECT(CONCATENATE($FK$12,Fixtures!GP$25))="","",IF(INDIRECT(CONCATENATE($FK$12,Fixtures!GP$25))=Fixtures!$DN61,CONCATENATE(GP$10,", "),""))</f>
        <v/>
      </c>
      <c r="GQ61" s="632" t="str">
        <f ca="1">IF(INDIRECT(CONCATENATE($FK$12,Fixtures!GQ$25))="","",IF(INDIRECT(CONCATENATE($FK$12,Fixtures!GQ$25))=Fixtures!$DN61,CONCATENATE(GQ$10,", "),""))</f>
        <v/>
      </c>
      <c r="GR61" s="632" t="str">
        <f ca="1">IF(INDIRECT(CONCATENATE($FK$12,Fixtures!GR$25))="","",IF(INDIRECT(CONCATENATE($FK$12,Fixtures!GR$25))=Fixtures!$DN61,CONCATENATE(GR$10,", "),""))</f>
        <v/>
      </c>
      <c r="GS61" s="632" t="str">
        <f ca="1">IF(INDIRECT(CONCATENATE($FK$12,Fixtures!GS$25))="","",IF(INDIRECT(CONCATENATE($FK$12,Fixtures!GS$25))=Fixtures!$DN61,CONCATENATE(GS$10,", "),""))</f>
        <v/>
      </c>
      <c r="GT61" s="632" t="str">
        <f ca="1">IF(INDIRECT(CONCATENATE($FK$12,Fixtures!GT$25))="","",IF(INDIRECT(CONCATENATE($FK$12,Fixtures!GT$25))=Fixtures!$DN61,CONCATENATE(GT$10,", "),""))</f>
        <v/>
      </c>
      <c r="GU61" s="632" t="str">
        <f ca="1">IF(INDIRECT(CONCATENATE($FK$12,Fixtures!GU$25))="","",IF(INDIRECT(CONCATENATE($FK$12,Fixtures!GU$25))=Fixtures!$DN61,CONCATENATE(GU$10,", "),""))</f>
        <v/>
      </c>
      <c r="GV61" s="632" t="str">
        <f ca="1">IF(INDIRECT(CONCATENATE($FK$12,Fixtures!GV$25))="","",IF(INDIRECT(CONCATENATE($FK$12,Fixtures!GV$25))=Fixtures!$DN61,CONCATENATE(GV$10,", "),""))</f>
        <v/>
      </c>
      <c r="GW61" s="632" t="str">
        <f ca="1">IF(INDIRECT(CONCATENATE($FK$12,Fixtures!GW$25))="","",IF(INDIRECT(CONCATENATE($FK$12,Fixtures!GW$25))=Fixtures!$DN61,CONCATENATE(GW$10,", "),""))</f>
        <v/>
      </c>
      <c r="GX61" s="606" t="str">
        <f ca="1">IF(INDIRECT(CONCATENATE($FK$12,Fixtures!GX$25))="","",IF(INDIRECT(CONCATENATE($FK$12,Fixtures!GX$25))=Fixtures!$DN61,CONCATENATE(GX$10,", "),""))</f>
        <v/>
      </c>
      <c r="GY61" s="607" t="str">
        <f ca="1">IF(INDIRECT(CONCATENATE($FK$12,Fixtures!GY$25))="","",IF(INDIRECT(CONCATENATE($FK$12,Fixtures!GY$25))=Fixtures!$DN61,CONCATENATE(GY$10,", "),""))</f>
        <v/>
      </c>
      <c r="GZ61" s="632" t="str">
        <f ca="1">IF(INDIRECT(CONCATENATE($FK$12,Fixtures!GZ$25))="","",IF(INDIRECT(CONCATENATE($FK$12,Fixtures!GZ$25))=Fixtures!$DN61,CONCATENATE(GZ$10,", "),""))</f>
        <v/>
      </c>
      <c r="HA61" s="632" t="str">
        <f ca="1">IF(INDIRECT(CONCATENATE($FK$12,Fixtures!HA$25))="","",IF(INDIRECT(CONCATENATE($FK$12,Fixtures!HA$25))=Fixtures!$DN61,CONCATENATE(HA$10,", "),""))</f>
        <v/>
      </c>
      <c r="HB61" s="632" t="str">
        <f ca="1">IF(INDIRECT(CONCATENATE($FK$12,Fixtures!HB$25))="","",IF(INDIRECT(CONCATENATE($FK$12,Fixtures!HB$25))=Fixtures!$DN61,CONCATENATE(HB$10,", "),""))</f>
        <v/>
      </c>
      <c r="HC61" s="632" t="str">
        <f ca="1">IF(INDIRECT(CONCATENATE($FK$12,Fixtures!HC$25))="","",IF(INDIRECT(CONCATENATE($FK$12,Fixtures!HC$25))=Fixtures!$DN61,CONCATENATE(HC$10,", "),""))</f>
        <v/>
      </c>
      <c r="HD61" s="632" t="str">
        <f ca="1">IF(INDIRECT(CONCATENATE($FK$12,Fixtures!HD$25))="","",IF(INDIRECT(CONCATENATE($FK$12,Fixtures!HD$25))=Fixtures!$DN61,CONCATENATE(HD$10,", "),""))</f>
        <v/>
      </c>
      <c r="HE61" s="632" t="str">
        <f ca="1">IF(INDIRECT(CONCATENATE($FK$12,Fixtures!HE$25))="","",IF(INDIRECT(CONCATENATE($FK$12,Fixtures!HE$25))=Fixtures!$DN61,CONCATENATE(HE$10,", "),""))</f>
        <v/>
      </c>
      <c r="HF61" s="632" t="str">
        <f ca="1">IF(INDIRECT(CONCATENATE($FK$12,Fixtures!HF$25))="","",IF(INDIRECT(CONCATENATE($FK$12,Fixtures!HF$25))=Fixtures!$DN61,CONCATENATE(HF$10,", "),""))</f>
        <v/>
      </c>
      <c r="HG61" s="632" t="str">
        <f ca="1">IF(INDIRECT(CONCATENATE($FK$12,Fixtures!HG$25))="","",IF(INDIRECT(CONCATENATE($FK$12,Fixtures!HG$25))=Fixtures!$DN61,CONCATENATE(HG$10,", "),""))</f>
        <v/>
      </c>
      <c r="HH61" s="632" t="str">
        <f ca="1">IF(INDIRECT(CONCATENATE($FK$12,Fixtures!HH$25))="","",IF(INDIRECT(CONCATENATE($FK$12,Fixtures!HH$25))=Fixtures!$DN61,CONCATENATE(HH$10,", "),""))</f>
        <v/>
      </c>
      <c r="HI61" s="632" t="str">
        <f ca="1">IF(INDIRECT(CONCATENATE($FK$12,Fixtures!HI$25))="","",IF(INDIRECT(CONCATENATE($FK$12,Fixtures!HI$25))=Fixtures!$DN61,CONCATENATE(HI$10,", "),""))</f>
        <v/>
      </c>
      <c r="HJ61" s="632" t="str">
        <f ca="1">IF(INDIRECT(CONCATENATE($FK$12,Fixtures!HJ$25))="","",IF(INDIRECT(CONCATENATE($FK$12,Fixtures!HJ$25))=Fixtures!$DN61,CONCATENATE(HJ$10,", "),""))</f>
        <v/>
      </c>
      <c r="HK61" s="632" t="str">
        <f ca="1">IF(INDIRECT(CONCATENATE($FK$12,Fixtures!HK$25))="","",IF(INDIRECT(CONCATENATE($FK$12,Fixtures!HK$25))=Fixtures!$DN61,CONCATENATE(HK$10,", "),""))</f>
        <v/>
      </c>
      <c r="HL61" s="632" t="str">
        <f ca="1">IF(INDIRECT(CONCATENATE($FK$12,Fixtures!HL$25))="","",IF(INDIRECT(CONCATENATE($FK$12,Fixtures!HL$25))=Fixtures!$DN61,CONCATENATE(HL$10,", "),""))</f>
        <v/>
      </c>
      <c r="HM61" s="606" t="str">
        <f ca="1">IF(INDIRECT(CONCATENATE($FK$12,Fixtures!HM$25))="","",IF(INDIRECT(CONCATENATE($FK$12,Fixtures!HM$25))=Fixtures!$DN61,CONCATENATE(HM$10,", "),""))</f>
        <v/>
      </c>
      <c r="HN61" s="607" t="str">
        <f ca="1">IF(INDIRECT(CONCATENATE($FK$12,Fixtures!HN$25))="","",IF(INDIRECT(CONCATENATE($FK$12,Fixtures!HN$25))=Fixtures!$DN61,CONCATENATE(HN$10,", "),""))</f>
        <v/>
      </c>
      <c r="HO61" s="632" t="str">
        <f ca="1">IF(INDIRECT(CONCATENATE($FK$12,Fixtures!HO$25))="","",IF(INDIRECT(CONCATENATE($FK$12,Fixtures!HO$25))=Fixtures!$DN61,CONCATENATE(HO$10,", "),""))</f>
        <v/>
      </c>
      <c r="HP61" s="632" t="str">
        <f ca="1">IF(INDIRECT(CONCATENATE($FK$12,Fixtures!HP$25))="","",IF(INDIRECT(CONCATENATE($FK$12,Fixtures!HP$25))=Fixtures!$DN61,CONCATENATE(HP$10,", "),""))</f>
        <v/>
      </c>
      <c r="HQ61" s="632" t="str">
        <f ca="1">IF(INDIRECT(CONCATENATE($FK$12,Fixtures!HQ$25))="","",IF(INDIRECT(CONCATENATE($FK$12,Fixtures!HQ$25))=Fixtures!$DN61,CONCATENATE(HQ$10,", "),""))</f>
        <v/>
      </c>
      <c r="HR61" s="632" t="str">
        <f ca="1">IF(INDIRECT(CONCATENATE($FK$12,Fixtures!HR$25))="","",IF(INDIRECT(CONCATENATE($FK$12,Fixtures!HR$25))=Fixtures!$DN61,CONCATENATE(HR$10,", "),""))</f>
        <v/>
      </c>
      <c r="HS61" s="632" t="str">
        <f ca="1">IF(INDIRECT(CONCATENATE($FK$12,Fixtures!HS$25))="","",IF(INDIRECT(CONCATENATE($FK$12,Fixtures!HS$25))=Fixtures!$DN61,CONCATENATE(HS$10,", "),""))</f>
        <v/>
      </c>
      <c r="HT61" s="632" t="str">
        <f ca="1">IF(INDIRECT(CONCATENATE($FK$12,Fixtures!HT$25))="","",IF(INDIRECT(CONCATENATE($FK$12,Fixtures!HT$25))=Fixtures!$DN61,CONCATENATE(HT$10,", "),""))</f>
        <v/>
      </c>
      <c r="HU61" s="632" t="str">
        <f ca="1">IF(INDIRECT(CONCATENATE($FK$12,Fixtures!HU$25))="","",IF(INDIRECT(CONCATENATE($FK$12,Fixtures!HU$25))=Fixtures!$DN61,CONCATENATE(HU$10,", "),""))</f>
        <v/>
      </c>
      <c r="HV61" s="632" t="str">
        <f ca="1">IF(INDIRECT(CONCATENATE($FK$12,Fixtures!HV$25))="","",IF(INDIRECT(CONCATENATE($FK$12,Fixtures!HV$25))=Fixtures!$DN61,CONCATENATE(HV$10,", "),""))</f>
        <v/>
      </c>
      <c r="HW61" s="632" t="str">
        <f ca="1">IF(INDIRECT(CONCATENATE($FK$12,Fixtures!HW$25))="","",IF(INDIRECT(CONCATENATE($FK$12,Fixtures!HW$25))=Fixtures!$DN61,CONCATENATE(HW$10,", "),""))</f>
        <v/>
      </c>
      <c r="HX61" s="632" t="str">
        <f ca="1">IF(INDIRECT(CONCATENATE($FK$12,Fixtures!HX$25))="","",IF(INDIRECT(CONCATENATE($FK$12,Fixtures!HX$25))=Fixtures!$DN61,CONCATENATE(HX$10,", "),""))</f>
        <v/>
      </c>
      <c r="HY61" s="632" t="str">
        <f ca="1">IF(INDIRECT(CONCATENATE($FK$12,Fixtures!HY$25))="","",IF(INDIRECT(CONCATENATE($FK$12,Fixtures!HY$25))=Fixtures!$DN61,CONCATENATE(HY$10,", "),""))</f>
        <v/>
      </c>
      <c r="HZ61" s="632" t="str">
        <f ca="1">IF(INDIRECT(CONCATENATE($FK$12,Fixtures!HZ$25))="","",IF(INDIRECT(CONCATENATE($FK$12,Fixtures!HZ$25))=Fixtures!$DN61,CONCATENATE(HZ$10,", "),""))</f>
        <v/>
      </c>
      <c r="IA61" s="632" t="str">
        <f ca="1">IF(INDIRECT(CONCATENATE($FK$12,Fixtures!IA$25))="","",IF(INDIRECT(CONCATENATE($FK$12,Fixtures!IA$25))=Fixtures!$DN61,CONCATENATE(IA$10,", "),""))</f>
        <v/>
      </c>
      <c r="IB61" s="606" t="str">
        <f ca="1">IF(INDIRECT(CONCATENATE($FK$12,Fixtures!IB$25))="","",IF(INDIRECT(CONCATENATE($FK$12,Fixtures!IB$25))=Fixtures!$DN61,CONCATENATE(IB$10,", "),""))</f>
        <v/>
      </c>
      <c r="IC61" s="607" t="str">
        <f ca="1">IF(INDIRECT(CONCATENATE($FK$12,Fixtures!IC$25))="","",IF(INDIRECT(CONCATENATE($FK$12,Fixtures!IC$25))=Fixtures!$DN61,CONCATENATE(IC$10,", "),""))</f>
        <v/>
      </c>
      <c r="ID61" s="632" t="str">
        <f ca="1">IF(INDIRECT(CONCATENATE($FK$12,Fixtures!ID$25))="","",IF(INDIRECT(CONCATENATE($FK$12,Fixtures!ID$25))=Fixtures!$DN61,CONCATENATE(ID$10,", "),""))</f>
        <v/>
      </c>
      <c r="IE61" s="632" t="str">
        <f ca="1">IF(INDIRECT(CONCATENATE($FK$12,Fixtures!IE$25))="","",IF(INDIRECT(CONCATENATE($FK$12,Fixtures!IE$25))=Fixtures!$DN61,CONCATENATE(IE$10,", "),""))</f>
        <v/>
      </c>
      <c r="IF61" s="632" t="str">
        <f ca="1">IF(INDIRECT(CONCATENATE($FK$12,Fixtures!IF$25))="","",IF(INDIRECT(CONCATENATE($FK$12,Fixtures!IF$25))=Fixtures!$DN61,CONCATENATE(IF$10,", "),""))</f>
        <v/>
      </c>
      <c r="IG61" s="632" t="str">
        <f ca="1">IF(INDIRECT(CONCATENATE($FK$12,Fixtures!IG$25))="","",IF(INDIRECT(CONCATENATE($FK$12,Fixtures!IG$25))=Fixtures!$DN61,CONCATENATE(IG$10,", "),""))</f>
        <v/>
      </c>
      <c r="IH61" s="632" t="str">
        <f ca="1">IF(INDIRECT(CONCATENATE($FK$12,Fixtures!IH$25))="","",IF(INDIRECT(CONCATENATE($FK$12,Fixtures!IH$25))=Fixtures!$DN61,CONCATENATE(IH$10,", "),""))</f>
        <v/>
      </c>
      <c r="II61" s="632" t="str">
        <f ca="1">IF(INDIRECT(CONCATENATE($FK$12,Fixtures!II$25))="","",IF(INDIRECT(CONCATENATE($FK$12,Fixtures!II$25))=Fixtures!$DN61,CONCATENATE(II$10,", "),""))</f>
        <v/>
      </c>
      <c r="IJ61" s="632" t="str">
        <f ca="1">IF(INDIRECT(CONCATENATE($FK$12,Fixtures!IJ$25))="","",IF(INDIRECT(CONCATENATE($FK$12,Fixtures!IJ$25))=Fixtures!$DN61,CONCATENATE(IJ$10,", "),""))</f>
        <v/>
      </c>
      <c r="IK61" s="632" t="str">
        <f ca="1">IF(INDIRECT(CONCATENATE($FK$12,Fixtures!IK$25))="","",IF(INDIRECT(CONCATENATE($FK$12,Fixtures!IK$25))=Fixtures!$DN61,CONCATENATE(IK$10,", "),""))</f>
        <v/>
      </c>
      <c r="IL61" s="632" t="str">
        <f ca="1">IF(INDIRECT(CONCATENATE($FK$12,Fixtures!IL$25))="","",IF(INDIRECT(CONCATENATE($FK$12,Fixtures!IL$25))=Fixtures!$DN61,CONCATENATE(IL$10,", "),""))</f>
        <v/>
      </c>
      <c r="IM61" s="632" t="str">
        <f ca="1">IF(INDIRECT(CONCATENATE($FK$12,Fixtures!IM$25))="","",IF(INDIRECT(CONCATENATE($FK$12,Fixtures!IM$25))=Fixtures!$DN61,CONCATENATE(IM$10,", "),""))</f>
        <v/>
      </c>
      <c r="IN61" s="632" t="str">
        <f ca="1">IF(INDIRECT(CONCATENATE($FK$12,Fixtures!IN$25))="","",IF(INDIRECT(CONCATENATE($FK$12,Fixtures!IN$25))=Fixtures!$DN61,CONCATENATE(IN$10,", "),""))</f>
        <v/>
      </c>
      <c r="IO61" s="632" t="str">
        <f ca="1">IF(INDIRECT(CONCATENATE($FK$12,Fixtures!IO$25))="","",IF(INDIRECT(CONCATENATE($FK$12,Fixtures!IO$25))=Fixtures!$DN61,CONCATENATE(IO$10,", "),""))</f>
        <v/>
      </c>
      <c r="IP61" s="632" t="str">
        <f ca="1">IF(INDIRECT(CONCATENATE($FK$12,Fixtures!IP$25))="","",IF(INDIRECT(CONCATENATE($FK$12,Fixtures!IP$25))=Fixtures!$DN61,CONCATENATE(IP$10,", "),""))</f>
        <v/>
      </c>
      <c r="IQ61" s="606" t="str">
        <f ca="1">IF(INDIRECT(CONCATENATE($FK$12,Fixtures!IQ$25))="","",IF(INDIRECT(CONCATENATE($FK$12,Fixtures!IQ$25))=Fixtures!$DN61,CONCATENATE(IQ$10,", "),""))</f>
        <v/>
      </c>
      <c r="IR61" s="607" t="str">
        <f ca="1">IF(INDIRECT(CONCATENATE($FK$12,Fixtures!IR$25))="","",IF(INDIRECT(CONCATENATE($FK$12,Fixtures!IR$25))=Fixtures!$DN61,CONCATENATE(IR$10,", "),""))</f>
        <v/>
      </c>
      <c r="IS61" s="632" t="str">
        <f ca="1">IF(INDIRECT(CONCATENATE($FK$12,Fixtures!IS$25))="","",IF(INDIRECT(CONCATENATE($FK$12,Fixtures!IS$25))=Fixtures!$DN61,CONCATENATE(IS$10,", "),""))</f>
        <v/>
      </c>
      <c r="IT61" s="632" t="str">
        <f ca="1">IF(INDIRECT(CONCATENATE($FK$12,Fixtures!IT$25))="","",IF(INDIRECT(CONCATENATE($FK$12,Fixtures!IT$25))=Fixtures!$DN61,CONCATENATE(IT$10,", "),""))</f>
        <v/>
      </c>
      <c r="IU61" s="632" t="str">
        <f ca="1">IF(INDIRECT(CONCATENATE($FK$12,Fixtures!IU$25))="","",IF(INDIRECT(CONCATENATE($FK$12,Fixtures!IU$25))=Fixtures!$DN61,CONCATENATE(IU$10,", "),""))</f>
        <v/>
      </c>
      <c r="IV61" s="632" t="str">
        <f ca="1">IF(INDIRECT(CONCATENATE($FK$12,Fixtures!IV$25))="","",IF(INDIRECT(CONCATENATE($FK$12,Fixtures!IV$25))=Fixtures!$DN61,CONCATENATE(IV$10,", "),""))</f>
        <v/>
      </c>
      <c r="IW61" s="632" t="str">
        <f ca="1">IF(INDIRECT(CONCATENATE($FK$12,Fixtures!IW$25))="","",IF(INDIRECT(CONCATENATE($FK$12,Fixtures!IW$25))=Fixtures!$DN61,CONCATENATE(IW$10,", "),""))</f>
        <v/>
      </c>
      <c r="IX61" s="632" t="str">
        <f ca="1">IF(INDIRECT(CONCATENATE($FK$12,Fixtures!IX$25))="","",IF(INDIRECT(CONCATENATE($FK$12,Fixtures!IX$25))=Fixtures!$DN61,CONCATENATE(IX$10,", "),""))</f>
        <v/>
      </c>
      <c r="IY61" s="632" t="str">
        <f ca="1">IF(INDIRECT(CONCATENATE($FK$12,Fixtures!IY$25))="","",IF(INDIRECT(CONCATENATE($FK$12,Fixtures!IY$25))=Fixtures!$DN61,CONCATENATE(IY$10,", "),""))</f>
        <v/>
      </c>
      <c r="IZ61" s="632" t="str">
        <f ca="1">IF(INDIRECT(CONCATENATE($FK$12,Fixtures!IZ$25))="","",IF(INDIRECT(CONCATENATE($FK$12,Fixtures!IZ$25))=Fixtures!$DN61,CONCATENATE(IZ$10,", "),""))</f>
        <v/>
      </c>
      <c r="JA61" s="632" t="str">
        <f ca="1">IF(INDIRECT(CONCATENATE($FK$12,Fixtures!JA$25))="","",IF(INDIRECT(CONCATENATE($FK$12,Fixtures!JA$25))=Fixtures!$DN61,CONCATENATE(JA$10,", "),""))</f>
        <v/>
      </c>
      <c r="JB61" s="632" t="str">
        <f ca="1">IF(INDIRECT(CONCATENATE($FK$12,Fixtures!JB$25))="","",IF(INDIRECT(CONCATENATE($FK$12,Fixtures!JB$25))=Fixtures!$DN61,CONCATENATE(JB$10,", "),""))</f>
        <v/>
      </c>
      <c r="JC61" s="632" t="str">
        <f ca="1">IF(INDIRECT(CONCATENATE($FK$12,Fixtures!JC$25))="","",IF(INDIRECT(CONCATENATE($FK$12,Fixtures!JC$25))=Fixtures!$DN61,CONCATENATE(JC$10,", "),""))</f>
        <v/>
      </c>
      <c r="JD61" s="632" t="str">
        <f ca="1">IF(INDIRECT(CONCATENATE($FK$12,Fixtures!JD$25))="","",IF(INDIRECT(CONCATENATE($FK$12,Fixtures!JD$25))=Fixtures!$DN61,CONCATENATE(JD$10,", "),""))</f>
        <v/>
      </c>
      <c r="JE61" s="632" t="str">
        <f ca="1">IF(INDIRECT(CONCATENATE($FK$12,Fixtures!JE$25))="","",IF(INDIRECT(CONCATENATE($FK$12,Fixtures!JE$25))=Fixtures!$DN61,CONCATENATE(JE$10,", "),""))</f>
        <v/>
      </c>
      <c r="JF61" s="606" t="str">
        <f ca="1">IF(INDIRECT(CONCATENATE($FK$12,Fixtures!JF$25))="","",IF(INDIRECT(CONCATENATE($FK$12,Fixtures!JF$25))=Fixtures!$DN61,CONCATENATE(JF$10,", "),""))</f>
        <v/>
      </c>
      <c r="JG61" s="607" t="str">
        <f ca="1">IF(INDIRECT(CONCATENATE($FK$12,Fixtures!JG$25))="","",IF(INDIRECT(CONCATENATE($FK$12,Fixtures!JG$25))=Fixtures!$DN61,CONCATENATE(JG$10,", "),""))</f>
        <v/>
      </c>
      <c r="JH61" s="632" t="str">
        <f ca="1">IF(INDIRECT(CONCATENATE($FK$12,Fixtures!JH$25))="","",IF(INDIRECT(CONCATENATE($FK$12,Fixtures!JH$25))=Fixtures!$DN61,CONCATENATE(JH$10,", "),""))</f>
        <v/>
      </c>
      <c r="JI61" s="632" t="str">
        <f ca="1">IF(INDIRECT(CONCATENATE($FK$12,Fixtures!JI$25))="","",IF(INDIRECT(CONCATENATE($FK$12,Fixtures!JI$25))=Fixtures!$DN61,CONCATENATE(JI$10,", "),""))</f>
        <v/>
      </c>
      <c r="JJ61" s="632" t="str">
        <f ca="1">IF(INDIRECT(CONCATENATE($FK$12,Fixtures!JJ$25))="","",IF(INDIRECT(CONCATENATE($FK$12,Fixtures!JJ$25))=Fixtures!$DN61,CONCATENATE(JJ$10,", "),""))</f>
        <v/>
      </c>
      <c r="JK61" s="632" t="str">
        <f ca="1">IF(INDIRECT(CONCATENATE($FK$12,Fixtures!JK$25))="","",IF(INDIRECT(CONCATENATE($FK$12,Fixtures!JK$25))=Fixtures!$DN61,CONCATENATE(JK$10,", "),""))</f>
        <v/>
      </c>
      <c r="JL61" s="632" t="str">
        <f ca="1">IF(INDIRECT(CONCATENATE($FK$12,Fixtures!JL$25))="","",IF(INDIRECT(CONCATENATE($FK$12,Fixtures!JL$25))=Fixtures!$DN61,CONCATENATE(JL$10,", "),""))</f>
        <v/>
      </c>
      <c r="JM61" s="632" t="str">
        <f ca="1">IF(INDIRECT(CONCATENATE($FK$12,Fixtures!JM$25))="","",IF(INDIRECT(CONCATENATE($FK$12,Fixtures!JM$25))=Fixtures!$DN61,CONCATENATE(JM$10,", "),""))</f>
        <v/>
      </c>
      <c r="JN61" s="632" t="str">
        <f ca="1">IF(INDIRECT(CONCATENATE($FK$12,Fixtures!JN$25))="","",IF(INDIRECT(CONCATENATE($FK$12,Fixtures!JN$25))=Fixtures!$DN61,CONCATENATE(JN$10,", "),""))</f>
        <v/>
      </c>
      <c r="JO61" s="632" t="str">
        <f ca="1">IF(INDIRECT(CONCATENATE($FK$12,Fixtures!JO$25))="","",IF(INDIRECT(CONCATENATE($FK$12,Fixtures!JO$25))=Fixtures!$DN61,CONCATENATE(JO$10,", "),""))</f>
        <v/>
      </c>
      <c r="JP61" s="632" t="str">
        <f ca="1">IF(INDIRECT(CONCATENATE($FK$12,Fixtures!JP$25))="","",IF(INDIRECT(CONCATENATE($FK$12,Fixtures!JP$25))=Fixtures!$DN61,CONCATENATE(JP$10,", "),""))</f>
        <v/>
      </c>
      <c r="JQ61" s="632" t="str">
        <f ca="1">IF(INDIRECT(CONCATENATE($FK$12,Fixtures!JQ$25))="","",IF(INDIRECT(CONCATENATE($FK$12,Fixtures!JQ$25))=Fixtures!$DN61,CONCATENATE(JQ$10,", "),""))</f>
        <v/>
      </c>
      <c r="JR61" s="632" t="str">
        <f ca="1">IF(INDIRECT(CONCATENATE($FK$12,Fixtures!JR$25))="","",IF(INDIRECT(CONCATENATE($FK$12,Fixtures!JR$25))=Fixtures!$DN61,CONCATENATE(JR$10,", "),""))</f>
        <v/>
      </c>
      <c r="JS61" s="632" t="str">
        <f ca="1">IF(INDIRECT(CONCATENATE($FK$12,Fixtures!JS$25))="","",IF(INDIRECT(CONCATENATE($FK$12,Fixtures!JS$25))=Fixtures!$DN61,CONCATENATE(JS$10,", "),""))</f>
        <v/>
      </c>
      <c r="JT61" s="632" t="str">
        <f ca="1">IF(INDIRECT(CONCATENATE($FK$12,Fixtures!JT$25))="","",IF(INDIRECT(CONCATENATE($FK$12,Fixtures!JT$25))=Fixtures!$DN61,CONCATENATE(JT$10,", "),""))</f>
        <v/>
      </c>
      <c r="JU61" s="606" t="str">
        <f ca="1">IF(INDIRECT(CONCATENATE($FK$12,Fixtures!JU$25))="","",IF(INDIRECT(CONCATENATE($FK$12,Fixtures!JU$25))=Fixtures!$DN61,CONCATENATE(JU$10,", "),""))</f>
        <v/>
      </c>
      <c r="JV61" s="607" t="str">
        <f ca="1">IF(INDIRECT(CONCATENATE($FK$12,Fixtures!JV$25))="","",IF(INDIRECT(CONCATENATE($FK$12,Fixtures!JV$25))=Fixtures!$DN61,CONCATENATE(JV$10,", "),""))</f>
        <v/>
      </c>
      <c r="JW61" s="632" t="str">
        <f ca="1">IF(INDIRECT(CONCATENATE($FK$12,Fixtures!JW$25))="","",IF(INDIRECT(CONCATENATE($FK$12,Fixtures!JW$25))=Fixtures!$DN61,CONCATENATE(JW$10,", "),""))</f>
        <v/>
      </c>
      <c r="JX61" s="632" t="str">
        <f ca="1">IF(INDIRECT(CONCATENATE($FK$12,Fixtures!JX$25))="","",IF(INDIRECT(CONCATENATE($FK$12,Fixtures!JX$25))=Fixtures!$DN61,CONCATENATE(JX$10,", "),""))</f>
        <v/>
      </c>
      <c r="JY61" s="632" t="str">
        <f ca="1">IF(INDIRECT(CONCATENATE($FK$12,Fixtures!JY$25))="","",IF(INDIRECT(CONCATENATE($FK$12,Fixtures!JY$25))=Fixtures!$DN61,CONCATENATE(JY$10,", "),""))</f>
        <v/>
      </c>
      <c r="JZ61" s="632" t="str">
        <f ca="1">IF(INDIRECT(CONCATENATE($FK$12,Fixtures!JZ$25))="","",IF(INDIRECT(CONCATENATE($FK$12,Fixtures!JZ$25))=Fixtures!$DN61,CONCATENATE(JZ$10,", "),""))</f>
        <v/>
      </c>
      <c r="KA61" s="632" t="str">
        <f ca="1">IF(INDIRECT(CONCATENATE($FK$12,Fixtures!KA$25))="","",IF(INDIRECT(CONCATENATE($FK$12,Fixtures!KA$25))=Fixtures!$DN61,CONCATENATE(KA$10,", "),""))</f>
        <v/>
      </c>
      <c r="KB61" s="632" t="str">
        <f ca="1">IF(INDIRECT(CONCATENATE($FK$12,Fixtures!KB$25))="","",IF(INDIRECT(CONCATENATE($FK$12,Fixtures!KB$25))=Fixtures!$DN61,CONCATENATE(KB$10,", "),""))</f>
        <v/>
      </c>
      <c r="KC61" s="632" t="str">
        <f ca="1">IF(INDIRECT(CONCATENATE($FK$12,Fixtures!KC$25))="","",IF(INDIRECT(CONCATENATE($FK$12,Fixtures!KC$25))=Fixtures!$DN61,CONCATENATE(KC$10,", "),""))</f>
        <v/>
      </c>
      <c r="KD61" s="632" t="str">
        <f ca="1">IF(INDIRECT(CONCATENATE($FK$12,Fixtures!KD$25))="","",IF(INDIRECT(CONCATENATE($FK$12,Fixtures!KD$25))=Fixtures!$DN61,CONCATENATE(KD$10,", "),""))</f>
        <v/>
      </c>
      <c r="KE61" s="632" t="str">
        <f ca="1">IF(INDIRECT(CONCATENATE($FK$12,Fixtures!KE$25))="","",IF(INDIRECT(CONCATENATE($FK$12,Fixtures!KE$25))=Fixtures!$DN61,CONCATENATE(KE$10,", "),""))</f>
        <v/>
      </c>
      <c r="KF61" s="632" t="str">
        <f ca="1">IF(INDIRECT(CONCATENATE($FK$12,Fixtures!KF$25))="","",IF(INDIRECT(CONCATENATE($FK$12,Fixtures!KF$25))=Fixtures!$DN61,CONCATENATE(KF$10,", "),""))</f>
        <v/>
      </c>
      <c r="KG61" s="632" t="str">
        <f ca="1">IF(INDIRECT(CONCATENATE($FK$12,Fixtures!KG$25))="","",IF(INDIRECT(CONCATENATE($FK$12,Fixtures!KG$25))=Fixtures!$DN61,CONCATENATE(KG$10,", "),""))</f>
        <v/>
      </c>
      <c r="KH61" s="632" t="str">
        <f ca="1">IF(INDIRECT(CONCATENATE($FK$12,Fixtures!KH$25))="","",IF(INDIRECT(CONCATENATE($FK$12,Fixtures!KH$25))=Fixtures!$DN61,CONCATENATE(KH$10,", "),""))</f>
        <v/>
      </c>
      <c r="KI61" s="632" t="str">
        <f ca="1">IF(INDIRECT(CONCATENATE($FK$12,Fixtures!KI$25))="","",IF(INDIRECT(CONCATENATE($FK$12,Fixtures!KI$25))=Fixtures!$DN61,CONCATENATE(KI$10,", "),""))</f>
        <v/>
      </c>
      <c r="KJ61" s="606" t="str">
        <f ca="1">IF(INDIRECT(CONCATENATE($FK$12,Fixtures!KJ$25))="","",IF(INDIRECT(CONCATENATE($FK$12,Fixtures!KJ$25))=Fixtures!$DN61,CONCATENATE(KJ$10,", "),""))</f>
        <v/>
      </c>
      <c r="KK61" s="607" t="str">
        <f ca="1">IF(INDIRECT(CONCATENATE($FK$12,Fixtures!KK$25))="","",IF(INDIRECT(CONCATENATE($FK$12,Fixtures!KK$25))=Fixtures!$DN61,CONCATENATE(KK$10,", "),""))</f>
        <v/>
      </c>
      <c r="KL61" s="632" t="str">
        <f ca="1">IF(INDIRECT(CONCATENATE($FK$12,Fixtures!KL$25))="","",IF(INDIRECT(CONCATENATE($FK$12,Fixtures!KL$25))=Fixtures!$DN61,CONCATENATE(KL$10,", "),""))</f>
        <v/>
      </c>
      <c r="KM61" s="632" t="str">
        <f ca="1">IF(INDIRECT(CONCATENATE($FK$12,Fixtures!KM$25))="","",IF(INDIRECT(CONCATENATE($FK$12,Fixtures!KM$25))=Fixtures!$DN61,CONCATENATE(KM$10,", "),""))</f>
        <v/>
      </c>
      <c r="KN61" s="632" t="str">
        <f ca="1">IF(INDIRECT(CONCATENATE($FK$12,Fixtures!KN$25))="","",IF(INDIRECT(CONCATENATE($FK$12,Fixtures!KN$25))=Fixtures!$DN61,CONCATENATE(KN$10,", "),""))</f>
        <v/>
      </c>
      <c r="KO61" s="632" t="str">
        <f ca="1">IF(INDIRECT(CONCATENATE($FK$12,Fixtures!KO$25))="","",IF(INDIRECT(CONCATENATE($FK$12,Fixtures!KO$25))=Fixtures!$DN61,CONCATENATE(KO$10,", "),""))</f>
        <v/>
      </c>
      <c r="KP61" s="632" t="str">
        <f ca="1">IF(INDIRECT(CONCATENATE($FK$12,Fixtures!KP$25))="","",IF(INDIRECT(CONCATENATE($FK$12,Fixtures!KP$25))=Fixtures!$DN61,CONCATENATE(KP$10,", "),""))</f>
        <v/>
      </c>
      <c r="KQ61" s="632" t="str">
        <f ca="1">IF(INDIRECT(CONCATENATE($FK$12,Fixtures!KQ$25))="","",IF(INDIRECT(CONCATENATE($FK$12,Fixtures!KQ$25))=Fixtures!$DN61,CONCATENATE(KQ$10,", "),""))</f>
        <v/>
      </c>
      <c r="KR61" s="632" t="str">
        <f ca="1">IF(INDIRECT(CONCATENATE($FK$12,Fixtures!KR$25))="","",IF(INDIRECT(CONCATENATE($FK$12,Fixtures!KR$25))=Fixtures!$DN61,CONCATENATE(KR$10,", "),""))</f>
        <v/>
      </c>
      <c r="KS61" s="632" t="str">
        <f ca="1">IF(INDIRECT(CONCATENATE($FK$12,Fixtures!KS$25))="","",IF(INDIRECT(CONCATENATE($FK$12,Fixtures!KS$25))=Fixtures!$DN61,CONCATENATE(KS$10,", "),""))</f>
        <v/>
      </c>
      <c r="KT61" s="632" t="str">
        <f ca="1">IF(INDIRECT(CONCATENATE($FK$12,Fixtures!KT$25))="","",IF(INDIRECT(CONCATENATE($FK$12,Fixtures!KT$25))=Fixtures!$DN61,CONCATENATE(KT$10,", "),""))</f>
        <v/>
      </c>
      <c r="KU61" s="632" t="str">
        <f ca="1">IF(INDIRECT(CONCATENATE($FK$12,Fixtures!KU$25))="","",IF(INDIRECT(CONCATENATE($FK$12,Fixtures!KU$25))=Fixtures!$DN61,CONCATENATE(KU$10,", "),""))</f>
        <v/>
      </c>
      <c r="KV61" s="632" t="str">
        <f ca="1">IF(INDIRECT(CONCATENATE($FK$12,Fixtures!KV$25))="","",IF(INDIRECT(CONCATENATE($FK$12,Fixtures!KV$25))=Fixtures!$DN61,CONCATENATE(KV$10,", "),""))</f>
        <v/>
      </c>
      <c r="KW61" s="632" t="str">
        <f ca="1">IF(INDIRECT(CONCATENATE($FK$12,Fixtures!KW$25))="","",IF(INDIRECT(CONCATENATE($FK$12,Fixtures!KW$25))=Fixtures!$DN61,CONCATENATE(KW$10,", "),""))</f>
        <v/>
      </c>
      <c r="KX61" s="632" t="str">
        <f ca="1">IF(INDIRECT(CONCATENATE($FK$12,Fixtures!KX$25))="","",IF(INDIRECT(CONCATENATE($FK$12,Fixtures!KX$25))=Fixtures!$DN61,CONCATENATE(KX$10,", "),""))</f>
        <v/>
      </c>
      <c r="KY61" s="632"/>
      <c r="KZ61" s="542"/>
      <c r="LA61" s="46" t="str">
        <f t="shared" ca="1" si="37"/>
        <v/>
      </c>
      <c r="LB61" s="46"/>
      <c r="LC61" s="1010"/>
      <c r="LD61" s="1009" t="str">
        <f t="shared" si="20"/>
        <v/>
      </c>
    </row>
    <row r="62" spans="1:316" ht="28.2" customHeight="1" thickTop="1" thickBot="1">
      <c r="A62" s="426" t="str">
        <f t="shared" si="13"/>
        <v/>
      </c>
      <c r="C62" s="1640" t="str">
        <f t="shared" si="14"/>
        <v/>
      </c>
      <c r="D62" s="1641"/>
      <c r="E62" s="1568" t="str">
        <f t="shared" si="15"/>
        <v/>
      </c>
      <c r="F62" s="1569"/>
      <c r="G62" s="1569"/>
      <c r="H62" s="1569"/>
      <c r="I62" s="1569"/>
      <c r="J62" s="1569"/>
      <c r="K62" s="1569"/>
      <c r="L62" s="1569"/>
      <c r="M62" s="1642"/>
      <c r="N62" s="203" t="str">
        <f t="shared" si="16"/>
        <v/>
      </c>
      <c r="O62" s="12"/>
      <c r="P62" s="1638" t="str">
        <f t="shared" si="25"/>
        <v/>
      </c>
      <c r="Q62" s="1639"/>
      <c r="R62" s="1568" t="str">
        <f t="shared" si="30"/>
        <v/>
      </c>
      <c r="S62" s="1569"/>
      <c r="T62" s="1569"/>
      <c r="U62" s="1569"/>
      <c r="V62" s="1569"/>
      <c r="W62" s="1569"/>
      <c r="X62" s="1569"/>
      <c r="Y62" s="203" t="str">
        <f t="shared" si="26"/>
        <v/>
      </c>
      <c r="Z62" s="203" t="str">
        <f t="shared" si="27"/>
        <v/>
      </c>
      <c r="AA62" s="394" t="str">
        <f t="shared" si="28"/>
        <v/>
      </c>
      <c r="AB62" s="489"/>
      <c r="AC62" s="1564" t="str">
        <f t="shared" si="18"/>
        <v/>
      </c>
      <c r="AD62" s="1565"/>
      <c r="AE62" s="1565"/>
      <c r="AF62" s="1565"/>
      <c r="AG62" s="1565"/>
      <c r="AH62" s="1565"/>
      <c r="AK62">
        <f>SUMIFS(Installations!CV$46:CV$803,Installations!CW$46:CW$803,E62,Installations!IC$46:IC$803,TRUE)</f>
        <v>0</v>
      </c>
      <c r="AL62">
        <f>SUMIFS(Installations!CV$46:CV$803,Installations!CW$46:CW$803,R62,Installations!IC$46:IC$803,TRUE)</f>
        <v>0</v>
      </c>
      <c r="BL62" s="9"/>
      <c r="BM62" s="622" t="str">
        <f t="shared" si="19"/>
        <v/>
      </c>
      <c r="BN62" s="52"/>
      <c r="BO62" s="52"/>
      <c r="BP62" s="52"/>
      <c r="BQ62" s="52"/>
      <c r="BR62" s="52"/>
      <c r="BS62" s="52"/>
      <c r="BT62" s="52"/>
      <c r="BU62" s="373"/>
      <c r="BV62" s="219" t="str">
        <f>IF(CN62&lt;&gt;"Yes","",IFERROR(VLOOKUP(CU62,Existing!A$4:F$367,2,FALSE),""))</f>
        <v/>
      </c>
      <c r="BW62" s="9">
        <v>36</v>
      </c>
      <c r="BX62" s="1625"/>
      <c r="BY62" s="1626"/>
      <c r="BZ62" s="1626"/>
      <c r="CA62" s="1627"/>
      <c r="CB62" s="1622"/>
      <c r="CC62" s="1623"/>
      <c r="CD62" s="1623"/>
      <c r="CE62" s="1624"/>
      <c r="CF62" s="1621"/>
      <c r="CG62" s="1621"/>
      <c r="CH62" s="1621"/>
      <c r="CI62" s="1621"/>
      <c r="CJ62" s="1621"/>
      <c r="CK62" s="1621"/>
      <c r="CL62" s="1621"/>
      <c r="CM62" s="1621"/>
      <c r="CN62" s="1553" t="str">
        <f t="shared" si="31"/>
        <v/>
      </c>
      <c r="CO62" s="1554"/>
      <c r="CP62" s="229" t="str">
        <f>IFERROR(IF(CB62="Existing TLED",CR62*CW62*CY62,VLOOKUP(CU62,Existing!A$3:F$356,6,FALSE)),"")</f>
        <v/>
      </c>
      <c r="CQ62" s="9"/>
      <c r="CR62" s="1660"/>
      <c r="CS62" s="1661"/>
      <c r="CT62" s="9"/>
      <c r="CU62" s="425" t="str">
        <f t="shared" si="21"/>
        <v/>
      </c>
      <c r="CV62" s="426" t="b">
        <f t="shared" si="22"/>
        <v>0</v>
      </c>
      <c r="CW62" s="426" t="str">
        <f t="shared" si="23"/>
        <v/>
      </c>
      <c r="CX62" s="426">
        <f>IFERROR(VLOOKUP(CF62,Lookup!T$100:V$102,3,FALSE),0)</f>
        <v>0</v>
      </c>
      <c r="CY62" s="426">
        <f t="shared" si="8"/>
        <v>1.1100000000000001</v>
      </c>
      <c r="CZ62" s="626" t="b">
        <f t="shared" si="32"/>
        <v>0</v>
      </c>
      <c r="DA62" s="626" t="b">
        <f>IF(CF62&lt;&gt;"",IF(ISERROR(MATCH(CONCATENATE(CB62," - ",CF62),Existing!G$4:G$331,0))=TRUE,FALSE,TRUE),TRUE)</f>
        <v>1</v>
      </c>
      <c r="DB62" s="626" t="b">
        <f t="shared" si="33"/>
        <v>1</v>
      </c>
      <c r="DL62" s="9"/>
      <c r="DM62" s="627" t="s">
        <v>215</v>
      </c>
      <c r="DN62" s="375" t="str">
        <f t="shared" si="34"/>
        <v/>
      </c>
      <c r="DO62" s="52"/>
      <c r="DP62" s="52"/>
      <c r="DQ62" s="52"/>
      <c r="DR62" s="52"/>
      <c r="DS62" s="52"/>
      <c r="DT62" s="226"/>
      <c r="DU62" s="376"/>
      <c r="DV62" s="227" t="str">
        <f t="shared" si="35"/>
        <v/>
      </c>
      <c r="DW62" s="224">
        <v>36</v>
      </c>
      <c r="DX62" s="1572"/>
      <c r="DY62" s="1573"/>
      <c r="DZ62" s="1573"/>
      <c r="EA62" s="1574"/>
      <c r="EB62" s="1618"/>
      <c r="EC62" s="1619"/>
      <c r="ED62" s="1619"/>
      <c r="EE62" s="1620"/>
      <c r="EF62" s="1578"/>
      <c r="EG62" s="1579"/>
      <c r="EH62" s="1618"/>
      <c r="EI62" s="1619"/>
      <c r="EJ62" s="1619"/>
      <c r="EK62" s="1620"/>
      <c r="EL62" s="1575"/>
      <c r="EM62" s="1576"/>
      <c r="EN62" s="1576"/>
      <c r="EO62" s="1577"/>
      <c r="EP62" s="1578"/>
      <c r="EQ62" s="1579"/>
      <c r="ER62" s="1555"/>
      <c r="ES62" s="1556"/>
      <c r="ET62" s="1553" t="str">
        <f t="shared" si="9"/>
        <v/>
      </c>
      <c r="EU62" s="1554"/>
      <c r="EV62" s="1553" t="str">
        <f t="shared" si="29"/>
        <v/>
      </c>
      <c r="EW62" s="1554"/>
      <c r="EX62" s="393"/>
      <c r="EY62" s="225" t="str">
        <f t="shared" si="36"/>
        <v/>
      </c>
      <c r="EZ62" s="225" t="str">
        <f>IFERROR(VLOOKUP(EB62,Lookup!AT$3:AU$13,2,FALSE),"")</f>
        <v/>
      </c>
      <c r="FA62" s="426" t="b">
        <f>IFERROR(IF(VLOOKUP(EB62,Lookup!AT$6:AU$8,2,FALSE)&gt;3,TRUE,FALSE),FALSE)</f>
        <v>0</v>
      </c>
      <c r="FB62" s="426" t="str">
        <f t="shared" si="10"/>
        <v/>
      </c>
      <c r="FC62" t="str">
        <f t="shared" ca="1" si="11"/>
        <v/>
      </c>
      <c r="FG62" t="str">
        <f t="shared" ca="1" si="12"/>
        <v/>
      </c>
      <c r="FI62" s="204" t="str">
        <f t="shared" ca="1" si="24"/>
        <v/>
      </c>
      <c r="FK62" s="631" t="str">
        <f ca="1">IF(INDIRECT(CONCATENATE($FK$12,Fixtures!FK$25))="","",IF(INDIRECT(CONCATENATE($FK$12,Fixtures!FK$25))=Fixtures!$DN62,CONCATENATE(FK$10,", "),""))</f>
        <v/>
      </c>
      <c r="FL62" s="631" t="str">
        <f ca="1">IF(INDIRECT(CONCATENATE($FK$12,Fixtures!FL$25))="","",IF(INDIRECT(CONCATENATE($FK$12,Fixtures!FL$25))=Fixtures!$DN62,CONCATENATE(FL$10,", "),""))</f>
        <v/>
      </c>
      <c r="FM62" s="631" t="str">
        <f ca="1">IF(INDIRECT(CONCATENATE($FK$12,Fixtures!FM$25))="","",IF(INDIRECT(CONCATENATE($FK$12,Fixtures!FM$25))=Fixtures!$DN62,CONCATENATE(FM$10,", "),""))</f>
        <v/>
      </c>
      <c r="FN62" s="631" t="str">
        <f ca="1">IF(INDIRECT(CONCATENATE($FK$12,Fixtures!FN$25))="","",IF(INDIRECT(CONCATENATE($FK$12,Fixtures!FN$25))=Fixtures!$DN62,CONCATENATE(FN$10,", "),""))</f>
        <v/>
      </c>
      <c r="FO62" s="631" t="str">
        <f ca="1">IF(INDIRECT(CONCATENATE($FK$12,Fixtures!FO$25))="","",IF(INDIRECT(CONCATENATE($FK$12,Fixtures!FO$25))=Fixtures!$DN62,CONCATENATE(FO$10,", "),""))</f>
        <v/>
      </c>
      <c r="FP62" s="631" t="str">
        <f ca="1">IF(INDIRECT(CONCATENATE($FK$12,Fixtures!FP$25))="","",IF(INDIRECT(CONCATENATE($FK$12,Fixtures!FP$25))=Fixtures!$DN62,CONCATENATE(FP$10,", "),""))</f>
        <v/>
      </c>
      <c r="FQ62" s="631" t="str">
        <f ca="1">IF(INDIRECT(CONCATENATE($FK$12,Fixtures!FQ$25))="","",IF(INDIRECT(CONCATENATE($FK$12,Fixtures!FQ$25))=Fixtures!$DN62,CONCATENATE(FQ$10,", "),""))</f>
        <v/>
      </c>
      <c r="FR62" s="631" t="str">
        <f ca="1">IF(INDIRECT(CONCATENATE($FK$12,Fixtures!FR$25))="","",IF(INDIRECT(CONCATENATE($FK$12,Fixtures!FR$25))=Fixtures!$DN62,CONCATENATE(FR$10,", "),""))</f>
        <v/>
      </c>
      <c r="FS62" s="631" t="str">
        <f ca="1">IF(INDIRECT(CONCATENATE($FK$12,Fixtures!FS$25))="","",IF(INDIRECT(CONCATENATE($FK$12,Fixtures!FS$25))=Fixtures!$DN62,CONCATENATE(FS$10,", "),""))</f>
        <v/>
      </c>
      <c r="FT62" s="604" t="str">
        <f ca="1">IF(INDIRECT(CONCATENATE($FK$12,Fixtures!FT$25))="","",IF(INDIRECT(CONCATENATE($FK$12,Fixtures!FT$25))=Fixtures!$DN62,CONCATENATE(FT$10,", "),""))</f>
        <v/>
      </c>
      <c r="FU62" s="605" t="str">
        <f ca="1">IF(INDIRECT(CONCATENATE($FK$12,Fixtures!FU$25))="","",IF(INDIRECT(CONCATENATE($FK$12,Fixtures!FU$25))=Fixtures!$DN62,CONCATENATE(FU$10,", "),""))</f>
        <v/>
      </c>
      <c r="FV62" s="631" t="str">
        <f ca="1">IF(INDIRECT(CONCATENATE($FK$12,Fixtures!FV$25))="","",IF(INDIRECT(CONCATENATE($FK$12,Fixtures!FV$25))=Fixtures!$DN62,CONCATENATE(FV$10,", "),""))</f>
        <v/>
      </c>
      <c r="FW62" s="632" t="str">
        <f ca="1">IF(INDIRECT(CONCATENATE($FK$12,Fixtures!FW$25))="","",IF(INDIRECT(CONCATENATE($FK$12,Fixtures!FW$25))=Fixtures!$DN62,CONCATENATE(FW$10,", "),""))</f>
        <v/>
      </c>
      <c r="FX62" s="632" t="str">
        <f ca="1">IF(INDIRECT(CONCATENATE($FK$12,Fixtures!FX$25))="","",IF(INDIRECT(CONCATENATE($FK$12,Fixtures!FX$25))=Fixtures!$DN62,CONCATENATE(FX$10,", "),""))</f>
        <v/>
      </c>
      <c r="FY62" s="632" t="str">
        <f ca="1">IF(INDIRECT(CONCATENATE($FK$12,Fixtures!FY$25))="","",IF(INDIRECT(CONCATENATE($FK$12,Fixtures!FY$25))=Fixtures!$DN62,CONCATENATE(FY$10,", "),""))</f>
        <v/>
      </c>
      <c r="FZ62" s="632" t="str">
        <f ca="1">IF(INDIRECT(CONCATENATE($FK$12,Fixtures!FZ$25))="","",IF(INDIRECT(CONCATENATE($FK$12,Fixtures!FZ$25))=Fixtures!$DN62,CONCATENATE(FZ$10,", "),""))</f>
        <v/>
      </c>
      <c r="GA62" s="632" t="str">
        <f ca="1">IF(INDIRECT(CONCATENATE($FK$12,Fixtures!GA$25))="","",IF(INDIRECT(CONCATENATE($FK$12,Fixtures!GA$25))=Fixtures!$DN62,CONCATENATE(GA$10,", "),""))</f>
        <v/>
      </c>
      <c r="GB62" s="632" t="str">
        <f ca="1">IF(INDIRECT(CONCATENATE($FK$12,Fixtures!GB$25))="","",IF(INDIRECT(CONCATENATE($FK$12,Fixtures!GB$25))=Fixtures!$DN62,CONCATENATE(GB$10,", "),""))</f>
        <v/>
      </c>
      <c r="GC62" s="632" t="str">
        <f ca="1">IF(INDIRECT(CONCATENATE($FK$12,Fixtures!GC$25))="","",IF(INDIRECT(CONCATENATE($FK$12,Fixtures!GC$25))=Fixtures!$DN62,CONCATENATE(GC$10,", "),""))</f>
        <v/>
      </c>
      <c r="GD62" s="632" t="str">
        <f ca="1">IF(INDIRECT(CONCATENATE($FK$12,Fixtures!GD$25))="","",IF(INDIRECT(CONCATENATE($FK$12,Fixtures!GD$25))=Fixtures!$DN62,CONCATENATE(GD$10,", "),""))</f>
        <v/>
      </c>
      <c r="GE62" s="632" t="str">
        <f ca="1">IF(INDIRECT(CONCATENATE($FK$12,Fixtures!GE$25))="","",IF(INDIRECT(CONCATENATE($FK$12,Fixtures!GE$25))=Fixtures!$DN62,CONCATENATE(GE$10,", "),""))</f>
        <v/>
      </c>
      <c r="GF62" s="632" t="str">
        <f ca="1">IF(INDIRECT(CONCATENATE($FK$12,Fixtures!GF$25))="","",IF(INDIRECT(CONCATENATE($FK$12,Fixtures!GF$25))=Fixtures!$DN62,CONCATENATE(GF$10,", "),""))</f>
        <v/>
      </c>
      <c r="GG62" s="632" t="str">
        <f ca="1">IF(INDIRECT(CONCATENATE($FK$12,Fixtures!GG$25))="","",IF(INDIRECT(CONCATENATE($FK$12,Fixtures!GG$25))=Fixtures!$DN62,CONCATENATE(GG$10,", "),""))</f>
        <v/>
      </c>
      <c r="GH62" s="632" t="str">
        <f ca="1">IF(INDIRECT(CONCATENATE($FK$12,Fixtures!GH$25))="","",IF(INDIRECT(CONCATENATE($FK$12,Fixtures!GH$25))=Fixtures!$DN62,CONCATENATE(GH$10,", "),""))</f>
        <v/>
      </c>
      <c r="GI62" s="606" t="str">
        <f ca="1">IF(INDIRECT(CONCATENATE($FK$12,Fixtures!GI$25))="","",IF(INDIRECT(CONCATENATE($FK$12,Fixtures!GI$25))=Fixtures!$DN62,CONCATENATE(GI$10,", "),""))</f>
        <v/>
      </c>
      <c r="GJ62" s="607" t="str">
        <f ca="1">IF(INDIRECT(CONCATENATE($FK$12,Fixtures!GJ$25))="","",IF(INDIRECT(CONCATENATE($FK$12,Fixtures!GJ$25))=Fixtures!$DN62,CONCATENATE(GJ$10,", "),""))</f>
        <v/>
      </c>
      <c r="GK62" s="632" t="str">
        <f ca="1">IF(INDIRECT(CONCATENATE($FK$12,Fixtures!GK$25))="","",IF(INDIRECT(CONCATENATE($FK$12,Fixtures!GK$25))=Fixtures!$DN62,CONCATENATE(GK$10,", "),""))</f>
        <v/>
      </c>
      <c r="GL62" s="632" t="str">
        <f ca="1">IF(INDIRECT(CONCATENATE($FK$12,Fixtures!GL$25))="","",IF(INDIRECT(CONCATENATE($FK$12,Fixtures!GL$25))=Fixtures!$DN62,CONCATENATE(GL$10,", "),""))</f>
        <v/>
      </c>
      <c r="GM62" s="632" t="str">
        <f ca="1">IF(INDIRECT(CONCATENATE($FK$12,Fixtures!GM$25))="","",IF(INDIRECT(CONCATENATE($FK$12,Fixtures!GM$25))=Fixtures!$DN62,CONCATENATE(GM$10,", "),""))</f>
        <v/>
      </c>
      <c r="GN62" s="632" t="str">
        <f ca="1">IF(INDIRECT(CONCATENATE($FK$12,Fixtures!GN$25))="","",IF(INDIRECT(CONCATENATE($FK$12,Fixtures!GN$25))=Fixtures!$DN62,CONCATENATE(GN$10,", "),""))</f>
        <v/>
      </c>
      <c r="GO62" s="632" t="str">
        <f ca="1">IF(INDIRECT(CONCATENATE($FK$12,Fixtures!GO$25))="","",IF(INDIRECT(CONCATENATE($FK$12,Fixtures!GO$25))=Fixtures!$DN62,CONCATENATE(GO$10,", "),""))</f>
        <v/>
      </c>
      <c r="GP62" s="632" t="str">
        <f ca="1">IF(INDIRECT(CONCATENATE($FK$12,Fixtures!GP$25))="","",IF(INDIRECT(CONCATENATE($FK$12,Fixtures!GP$25))=Fixtures!$DN62,CONCATENATE(GP$10,", "),""))</f>
        <v/>
      </c>
      <c r="GQ62" s="632" t="str">
        <f ca="1">IF(INDIRECT(CONCATENATE($FK$12,Fixtures!GQ$25))="","",IF(INDIRECT(CONCATENATE($FK$12,Fixtures!GQ$25))=Fixtures!$DN62,CONCATENATE(GQ$10,", "),""))</f>
        <v/>
      </c>
      <c r="GR62" s="632" t="str">
        <f ca="1">IF(INDIRECT(CONCATENATE($FK$12,Fixtures!GR$25))="","",IF(INDIRECT(CONCATENATE($FK$12,Fixtures!GR$25))=Fixtures!$DN62,CONCATENATE(GR$10,", "),""))</f>
        <v/>
      </c>
      <c r="GS62" s="632" t="str">
        <f ca="1">IF(INDIRECT(CONCATENATE($FK$12,Fixtures!GS$25))="","",IF(INDIRECT(CONCATENATE($FK$12,Fixtures!GS$25))=Fixtures!$DN62,CONCATENATE(GS$10,", "),""))</f>
        <v/>
      </c>
      <c r="GT62" s="632" t="str">
        <f ca="1">IF(INDIRECT(CONCATENATE($FK$12,Fixtures!GT$25))="","",IF(INDIRECT(CONCATENATE($FK$12,Fixtures!GT$25))=Fixtures!$DN62,CONCATENATE(GT$10,", "),""))</f>
        <v/>
      </c>
      <c r="GU62" s="632" t="str">
        <f ca="1">IF(INDIRECT(CONCATENATE($FK$12,Fixtures!GU$25))="","",IF(INDIRECT(CONCATENATE($FK$12,Fixtures!GU$25))=Fixtures!$DN62,CONCATENATE(GU$10,", "),""))</f>
        <v/>
      </c>
      <c r="GV62" s="632" t="str">
        <f ca="1">IF(INDIRECT(CONCATENATE($FK$12,Fixtures!GV$25))="","",IF(INDIRECT(CONCATENATE($FK$12,Fixtures!GV$25))=Fixtures!$DN62,CONCATENATE(GV$10,", "),""))</f>
        <v/>
      </c>
      <c r="GW62" s="632" t="str">
        <f ca="1">IF(INDIRECT(CONCATENATE($FK$12,Fixtures!GW$25))="","",IF(INDIRECT(CONCATENATE($FK$12,Fixtures!GW$25))=Fixtures!$DN62,CONCATENATE(GW$10,", "),""))</f>
        <v/>
      </c>
      <c r="GX62" s="606" t="str">
        <f ca="1">IF(INDIRECT(CONCATENATE($FK$12,Fixtures!GX$25))="","",IF(INDIRECT(CONCATENATE($FK$12,Fixtures!GX$25))=Fixtures!$DN62,CONCATENATE(GX$10,", "),""))</f>
        <v/>
      </c>
      <c r="GY62" s="607" t="str">
        <f ca="1">IF(INDIRECT(CONCATENATE($FK$12,Fixtures!GY$25))="","",IF(INDIRECT(CONCATENATE($FK$12,Fixtures!GY$25))=Fixtures!$DN62,CONCATENATE(GY$10,", "),""))</f>
        <v/>
      </c>
      <c r="GZ62" s="632" t="str">
        <f ca="1">IF(INDIRECT(CONCATENATE($FK$12,Fixtures!GZ$25))="","",IF(INDIRECT(CONCATENATE($FK$12,Fixtures!GZ$25))=Fixtures!$DN62,CONCATENATE(GZ$10,", "),""))</f>
        <v/>
      </c>
      <c r="HA62" s="632" t="str">
        <f ca="1">IF(INDIRECT(CONCATENATE($FK$12,Fixtures!HA$25))="","",IF(INDIRECT(CONCATENATE($FK$12,Fixtures!HA$25))=Fixtures!$DN62,CONCATENATE(HA$10,", "),""))</f>
        <v/>
      </c>
      <c r="HB62" s="632" t="str">
        <f ca="1">IF(INDIRECT(CONCATENATE($FK$12,Fixtures!HB$25))="","",IF(INDIRECT(CONCATENATE($FK$12,Fixtures!HB$25))=Fixtures!$DN62,CONCATENATE(HB$10,", "),""))</f>
        <v/>
      </c>
      <c r="HC62" s="632" t="str">
        <f ca="1">IF(INDIRECT(CONCATENATE($FK$12,Fixtures!HC$25))="","",IF(INDIRECT(CONCATENATE($FK$12,Fixtures!HC$25))=Fixtures!$DN62,CONCATENATE(HC$10,", "),""))</f>
        <v/>
      </c>
      <c r="HD62" s="632" t="str">
        <f ca="1">IF(INDIRECT(CONCATENATE($FK$12,Fixtures!HD$25))="","",IF(INDIRECT(CONCATENATE($FK$12,Fixtures!HD$25))=Fixtures!$DN62,CONCATENATE(HD$10,", "),""))</f>
        <v/>
      </c>
      <c r="HE62" s="632" t="str">
        <f ca="1">IF(INDIRECT(CONCATENATE($FK$12,Fixtures!HE$25))="","",IF(INDIRECT(CONCATENATE($FK$12,Fixtures!HE$25))=Fixtures!$DN62,CONCATENATE(HE$10,", "),""))</f>
        <v/>
      </c>
      <c r="HF62" s="632" t="str">
        <f ca="1">IF(INDIRECT(CONCATENATE($FK$12,Fixtures!HF$25))="","",IF(INDIRECT(CONCATENATE($FK$12,Fixtures!HF$25))=Fixtures!$DN62,CONCATENATE(HF$10,", "),""))</f>
        <v/>
      </c>
      <c r="HG62" s="632" t="str">
        <f ca="1">IF(INDIRECT(CONCATENATE($FK$12,Fixtures!HG$25))="","",IF(INDIRECT(CONCATENATE($FK$12,Fixtures!HG$25))=Fixtures!$DN62,CONCATENATE(HG$10,", "),""))</f>
        <v/>
      </c>
      <c r="HH62" s="632" t="str">
        <f ca="1">IF(INDIRECT(CONCATENATE($FK$12,Fixtures!HH$25))="","",IF(INDIRECT(CONCATENATE($FK$12,Fixtures!HH$25))=Fixtures!$DN62,CONCATENATE(HH$10,", "),""))</f>
        <v/>
      </c>
      <c r="HI62" s="632" t="str">
        <f ca="1">IF(INDIRECT(CONCATENATE($FK$12,Fixtures!HI$25))="","",IF(INDIRECT(CONCATENATE($FK$12,Fixtures!HI$25))=Fixtures!$DN62,CONCATENATE(HI$10,", "),""))</f>
        <v/>
      </c>
      <c r="HJ62" s="632" t="str">
        <f ca="1">IF(INDIRECT(CONCATENATE($FK$12,Fixtures!HJ$25))="","",IF(INDIRECT(CONCATENATE($FK$12,Fixtures!HJ$25))=Fixtures!$DN62,CONCATENATE(HJ$10,", "),""))</f>
        <v/>
      </c>
      <c r="HK62" s="632" t="str">
        <f ca="1">IF(INDIRECT(CONCATENATE($FK$12,Fixtures!HK$25))="","",IF(INDIRECT(CONCATENATE($FK$12,Fixtures!HK$25))=Fixtures!$DN62,CONCATENATE(HK$10,", "),""))</f>
        <v/>
      </c>
      <c r="HL62" s="632" t="str">
        <f ca="1">IF(INDIRECT(CONCATENATE($FK$12,Fixtures!HL$25))="","",IF(INDIRECT(CONCATENATE($FK$12,Fixtures!HL$25))=Fixtures!$DN62,CONCATENATE(HL$10,", "),""))</f>
        <v/>
      </c>
      <c r="HM62" s="606" t="str">
        <f ca="1">IF(INDIRECT(CONCATENATE($FK$12,Fixtures!HM$25))="","",IF(INDIRECT(CONCATENATE($FK$12,Fixtures!HM$25))=Fixtures!$DN62,CONCATENATE(HM$10,", "),""))</f>
        <v/>
      </c>
      <c r="HN62" s="607" t="str">
        <f ca="1">IF(INDIRECT(CONCATENATE($FK$12,Fixtures!HN$25))="","",IF(INDIRECT(CONCATENATE($FK$12,Fixtures!HN$25))=Fixtures!$DN62,CONCATENATE(HN$10,", "),""))</f>
        <v/>
      </c>
      <c r="HO62" s="632" t="str">
        <f ca="1">IF(INDIRECT(CONCATENATE($FK$12,Fixtures!HO$25))="","",IF(INDIRECT(CONCATENATE($FK$12,Fixtures!HO$25))=Fixtures!$DN62,CONCATENATE(HO$10,", "),""))</f>
        <v/>
      </c>
      <c r="HP62" s="632" t="str">
        <f ca="1">IF(INDIRECT(CONCATENATE($FK$12,Fixtures!HP$25))="","",IF(INDIRECT(CONCATENATE($FK$12,Fixtures!HP$25))=Fixtures!$DN62,CONCATENATE(HP$10,", "),""))</f>
        <v/>
      </c>
      <c r="HQ62" s="632" t="str">
        <f ca="1">IF(INDIRECT(CONCATENATE($FK$12,Fixtures!HQ$25))="","",IF(INDIRECT(CONCATENATE($FK$12,Fixtures!HQ$25))=Fixtures!$DN62,CONCATENATE(HQ$10,", "),""))</f>
        <v/>
      </c>
      <c r="HR62" s="632" t="str">
        <f ca="1">IF(INDIRECT(CONCATENATE($FK$12,Fixtures!HR$25))="","",IF(INDIRECT(CONCATENATE($FK$12,Fixtures!HR$25))=Fixtures!$DN62,CONCATENATE(HR$10,", "),""))</f>
        <v/>
      </c>
      <c r="HS62" s="632" t="str">
        <f ca="1">IF(INDIRECT(CONCATENATE($FK$12,Fixtures!HS$25))="","",IF(INDIRECT(CONCATENATE($FK$12,Fixtures!HS$25))=Fixtures!$DN62,CONCATENATE(HS$10,", "),""))</f>
        <v/>
      </c>
      <c r="HT62" s="632" t="str">
        <f ca="1">IF(INDIRECT(CONCATENATE($FK$12,Fixtures!HT$25))="","",IF(INDIRECT(CONCATENATE($FK$12,Fixtures!HT$25))=Fixtures!$DN62,CONCATENATE(HT$10,", "),""))</f>
        <v/>
      </c>
      <c r="HU62" s="632" t="str">
        <f ca="1">IF(INDIRECT(CONCATENATE($FK$12,Fixtures!HU$25))="","",IF(INDIRECT(CONCATENATE($FK$12,Fixtures!HU$25))=Fixtures!$DN62,CONCATENATE(HU$10,", "),""))</f>
        <v/>
      </c>
      <c r="HV62" s="632" t="str">
        <f ca="1">IF(INDIRECT(CONCATENATE($FK$12,Fixtures!HV$25))="","",IF(INDIRECT(CONCATENATE($FK$12,Fixtures!HV$25))=Fixtures!$DN62,CONCATENATE(HV$10,", "),""))</f>
        <v/>
      </c>
      <c r="HW62" s="632" t="str">
        <f ca="1">IF(INDIRECT(CONCATENATE($FK$12,Fixtures!HW$25))="","",IF(INDIRECT(CONCATENATE($FK$12,Fixtures!HW$25))=Fixtures!$DN62,CONCATENATE(HW$10,", "),""))</f>
        <v/>
      </c>
      <c r="HX62" s="632" t="str">
        <f ca="1">IF(INDIRECT(CONCATENATE($FK$12,Fixtures!HX$25))="","",IF(INDIRECT(CONCATENATE($FK$12,Fixtures!HX$25))=Fixtures!$DN62,CONCATENATE(HX$10,", "),""))</f>
        <v/>
      </c>
      <c r="HY62" s="632" t="str">
        <f ca="1">IF(INDIRECT(CONCATENATE($FK$12,Fixtures!HY$25))="","",IF(INDIRECT(CONCATENATE($FK$12,Fixtures!HY$25))=Fixtures!$DN62,CONCATENATE(HY$10,", "),""))</f>
        <v/>
      </c>
      <c r="HZ62" s="632" t="str">
        <f ca="1">IF(INDIRECT(CONCATENATE($FK$12,Fixtures!HZ$25))="","",IF(INDIRECT(CONCATENATE($FK$12,Fixtures!HZ$25))=Fixtures!$DN62,CONCATENATE(HZ$10,", "),""))</f>
        <v/>
      </c>
      <c r="IA62" s="632" t="str">
        <f ca="1">IF(INDIRECT(CONCATENATE($FK$12,Fixtures!IA$25))="","",IF(INDIRECT(CONCATENATE($FK$12,Fixtures!IA$25))=Fixtures!$DN62,CONCATENATE(IA$10,", "),""))</f>
        <v/>
      </c>
      <c r="IB62" s="606" t="str">
        <f ca="1">IF(INDIRECT(CONCATENATE($FK$12,Fixtures!IB$25))="","",IF(INDIRECT(CONCATENATE($FK$12,Fixtures!IB$25))=Fixtures!$DN62,CONCATENATE(IB$10,", "),""))</f>
        <v/>
      </c>
      <c r="IC62" s="607" t="str">
        <f ca="1">IF(INDIRECT(CONCATENATE($FK$12,Fixtures!IC$25))="","",IF(INDIRECT(CONCATENATE($FK$12,Fixtures!IC$25))=Fixtures!$DN62,CONCATENATE(IC$10,", "),""))</f>
        <v/>
      </c>
      <c r="ID62" s="632" t="str">
        <f ca="1">IF(INDIRECT(CONCATENATE($FK$12,Fixtures!ID$25))="","",IF(INDIRECT(CONCATENATE($FK$12,Fixtures!ID$25))=Fixtures!$DN62,CONCATENATE(ID$10,", "),""))</f>
        <v/>
      </c>
      <c r="IE62" s="632" t="str">
        <f ca="1">IF(INDIRECT(CONCATENATE($FK$12,Fixtures!IE$25))="","",IF(INDIRECT(CONCATENATE($FK$12,Fixtures!IE$25))=Fixtures!$DN62,CONCATENATE(IE$10,", "),""))</f>
        <v/>
      </c>
      <c r="IF62" s="632" t="str">
        <f ca="1">IF(INDIRECT(CONCATENATE($FK$12,Fixtures!IF$25))="","",IF(INDIRECT(CONCATENATE($FK$12,Fixtures!IF$25))=Fixtures!$DN62,CONCATENATE(IF$10,", "),""))</f>
        <v/>
      </c>
      <c r="IG62" s="632" t="str">
        <f ca="1">IF(INDIRECT(CONCATENATE($FK$12,Fixtures!IG$25))="","",IF(INDIRECT(CONCATENATE($FK$12,Fixtures!IG$25))=Fixtures!$DN62,CONCATENATE(IG$10,", "),""))</f>
        <v/>
      </c>
      <c r="IH62" s="632" t="str">
        <f ca="1">IF(INDIRECT(CONCATENATE($FK$12,Fixtures!IH$25))="","",IF(INDIRECT(CONCATENATE($FK$12,Fixtures!IH$25))=Fixtures!$DN62,CONCATENATE(IH$10,", "),""))</f>
        <v/>
      </c>
      <c r="II62" s="632" t="str">
        <f ca="1">IF(INDIRECT(CONCATENATE($FK$12,Fixtures!II$25))="","",IF(INDIRECT(CONCATENATE($FK$12,Fixtures!II$25))=Fixtures!$DN62,CONCATENATE(II$10,", "),""))</f>
        <v/>
      </c>
      <c r="IJ62" s="632" t="str">
        <f ca="1">IF(INDIRECT(CONCATENATE($FK$12,Fixtures!IJ$25))="","",IF(INDIRECT(CONCATENATE($FK$12,Fixtures!IJ$25))=Fixtures!$DN62,CONCATENATE(IJ$10,", "),""))</f>
        <v/>
      </c>
      <c r="IK62" s="632" t="str">
        <f ca="1">IF(INDIRECT(CONCATENATE($FK$12,Fixtures!IK$25))="","",IF(INDIRECT(CONCATENATE($FK$12,Fixtures!IK$25))=Fixtures!$DN62,CONCATENATE(IK$10,", "),""))</f>
        <v/>
      </c>
      <c r="IL62" s="632" t="str">
        <f ca="1">IF(INDIRECT(CONCATENATE($FK$12,Fixtures!IL$25))="","",IF(INDIRECT(CONCATENATE($FK$12,Fixtures!IL$25))=Fixtures!$DN62,CONCATENATE(IL$10,", "),""))</f>
        <v/>
      </c>
      <c r="IM62" s="632" t="str">
        <f ca="1">IF(INDIRECT(CONCATENATE($FK$12,Fixtures!IM$25))="","",IF(INDIRECT(CONCATENATE($FK$12,Fixtures!IM$25))=Fixtures!$DN62,CONCATENATE(IM$10,", "),""))</f>
        <v/>
      </c>
      <c r="IN62" s="632" t="str">
        <f ca="1">IF(INDIRECT(CONCATENATE($FK$12,Fixtures!IN$25))="","",IF(INDIRECT(CONCATENATE($FK$12,Fixtures!IN$25))=Fixtures!$DN62,CONCATENATE(IN$10,", "),""))</f>
        <v/>
      </c>
      <c r="IO62" s="632" t="str">
        <f ca="1">IF(INDIRECT(CONCATENATE($FK$12,Fixtures!IO$25))="","",IF(INDIRECT(CONCATENATE($FK$12,Fixtures!IO$25))=Fixtures!$DN62,CONCATENATE(IO$10,", "),""))</f>
        <v/>
      </c>
      <c r="IP62" s="632" t="str">
        <f ca="1">IF(INDIRECT(CONCATENATE($FK$12,Fixtures!IP$25))="","",IF(INDIRECT(CONCATENATE($FK$12,Fixtures!IP$25))=Fixtures!$DN62,CONCATENATE(IP$10,", "),""))</f>
        <v/>
      </c>
      <c r="IQ62" s="606" t="str">
        <f ca="1">IF(INDIRECT(CONCATENATE($FK$12,Fixtures!IQ$25))="","",IF(INDIRECT(CONCATENATE($FK$12,Fixtures!IQ$25))=Fixtures!$DN62,CONCATENATE(IQ$10,", "),""))</f>
        <v/>
      </c>
      <c r="IR62" s="607" t="str">
        <f ca="1">IF(INDIRECT(CONCATENATE($FK$12,Fixtures!IR$25))="","",IF(INDIRECT(CONCATENATE($FK$12,Fixtures!IR$25))=Fixtures!$DN62,CONCATENATE(IR$10,", "),""))</f>
        <v/>
      </c>
      <c r="IS62" s="632" t="str">
        <f ca="1">IF(INDIRECT(CONCATENATE($FK$12,Fixtures!IS$25))="","",IF(INDIRECT(CONCATENATE($FK$12,Fixtures!IS$25))=Fixtures!$DN62,CONCATENATE(IS$10,", "),""))</f>
        <v/>
      </c>
      <c r="IT62" s="632" t="str">
        <f ca="1">IF(INDIRECT(CONCATENATE($FK$12,Fixtures!IT$25))="","",IF(INDIRECT(CONCATENATE($FK$12,Fixtures!IT$25))=Fixtures!$DN62,CONCATENATE(IT$10,", "),""))</f>
        <v/>
      </c>
      <c r="IU62" s="632" t="str">
        <f ca="1">IF(INDIRECT(CONCATENATE($FK$12,Fixtures!IU$25))="","",IF(INDIRECT(CONCATENATE($FK$12,Fixtures!IU$25))=Fixtures!$DN62,CONCATENATE(IU$10,", "),""))</f>
        <v/>
      </c>
      <c r="IV62" s="632" t="str">
        <f ca="1">IF(INDIRECT(CONCATENATE($FK$12,Fixtures!IV$25))="","",IF(INDIRECT(CONCATENATE($FK$12,Fixtures!IV$25))=Fixtures!$DN62,CONCATENATE(IV$10,", "),""))</f>
        <v/>
      </c>
      <c r="IW62" s="632" t="str">
        <f ca="1">IF(INDIRECT(CONCATENATE($FK$12,Fixtures!IW$25))="","",IF(INDIRECT(CONCATENATE($FK$12,Fixtures!IW$25))=Fixtures!$DN62,CONCATENATE(IW$10,", "),""))</f>
        <v/>
      </c>
      <c r="IX62" s="632" t="str">
        <f ca="1">IF(INDIRECT(CONCATENATE($FK$12,Fixtures!IX$25))="","",IF(INDIRECT(CONCATENATE($FK$12,Fixtures!IX$25))=Fixtures!$DN62,CONCATENATE(IX$10,", "),""))</f>
        <v/>
      </c>
      <c r="IY62" s="632" t="str">
        <f ca="1">IF(INDIRECT(CONCATENATE($FK$12,Fixtures!IY$25))="","",IF(INDIRECT(CONCATENATE($FK$12,Fixtures!IY$25))=Fixtures!$DN62,CONCATENATE(IY$10,", "),""))</f>
        <v/>
      </c>
      <c r="IZ62" s="632" t="str">
        <f ca="1">IF(INDIRECT(CONCATENATE($FK$12,Fixtures!IZ$25))="","",IF(INDIRECT(CONCATENATE($FK$12,Fixtures!IZ$25))=Fixtures!$DN62,CONCATENATE(IZ$10,", "),""))</f>
        <v/>
      </c>
      <c r="JA62" s="632" t="str">
        <f ca="1">IF(INDIRECT(CONCATENATE($FK$12,Fixtures!JA$25))="","",IF(INDIRECT(CONCATENATE($FK$12,Fixtures!JA$25))=Fixtures!$DN62,CONCATENATE(JA$10,", "),""))</f>
        <v/>
      </c>
      <c r="JB62" s="632" t="str">
        <f ca="1">IF(INDIRECT(CONCATENATE($FK$12,Fixtures!JB$25))="","",IF(INDIRECT(CONCATENATE($FK$12,Fixtures!JB$25))=Fixtures!$DN62,CONCATENATE(JB$10,", "),""))</f>
        <v/>
      </c>
      <c r="JC62" s="632" t="str">
        <f ca="1">IF(INDIRECT(CONCATENATE($FK$12,Fixtures!JC$25))="","",IF(INDIRECT(CONCATENATE($FK$12,Fixtures!JC$25))=Fixtures!$DN62,CONCATENATE(JC$10,", "),""))</f>
        <v/>
      </c>
      <c r="JD62" s="632" t="str">
        <f ca="1">IF(INDIRECT(CONCATENATE($FK$12,Fixtures!JD$25))="","",IF(INDIRECT(CONCATENATE($FK$12,Fixtures!JD$25))=Fixtures!$DN62,CONCATENATE(JD$10,", "),""))</f>
        <v/>
      </c>
      <c r="JE62" s="632" t="str">
        <f ca="1">IF(INDIRECT(CONCATENATE($FK$12,Fixtures!JE$25))="","",IF(INDIRECT(CONCATENATE($FK$12,Fixtures!JE$25))=Fixtures!$DN62,CONCATENATE(JE$10,", "),""))</f>
        <v/>
      </c>
      <c r="JF62" s="606" t="str">
        <f ca="1">IF(INDIRECT(CONCATENATE($FK$12,Fixtures!JF$25))="","",IF(INDIRECT(CONCATENATE($FK$12,Fixtures!JF$25))=Fixtures!$DN62,CONCATENATE(JF$10,", "),""))</f>
        <v/>
      </c>
      <c r="JG62" s="607" t="str">
        <f ca="1">IF(INDIRECT(CONCATENATE($FK$12,Fixtures!JG$25))="","",IF(INDIRECT(CONCATENATE($FK$12,Fixtures!JG$25))=Fixtures!$DN62,CONCATENATE(JG$10,", "),""))</f>
        <v/>
      </c>
      <c r="JH62" s="632" t="str">
        <f ca="1">IF(INDIRECT(CONCATENATE($FK$12,Fixtures!JH$25))="","",IF(INDIRECT(CONCATENATE($FK$12,Fixtures!JH$25))=Fixtures!$DN62,CONCATENATE(JH$10,", "),""))</f>
        <v/>
      </c>
      <c r="JI62" s="632" t="str">
        <f ca="1">IF(INDIRECT(CONCATENATE($FK$12,Fixtures!JI$25))="","",IF(INDIRECT(CONCATENATE($FK$12,Fixtures!JI$25))=Fixtures!$DN62,CONCATENATE(JI$10,", "),""))</f>
        <v/>
      </c>
      <c r="JJ62" s="632" t="str">
        <f ca="1">IF(INDIRECT(CONCATENATE($FK$12,Fixtures!JJ$25))="","",IF(INDIRECT(CONCATENATE($FK$12,Fixtures!JJ$25))=Fixtures!$DN62,CONCATENATE(JJ$10,", "),""))</f>
        <v/>
      </c>
      <c r="JK62" s="632" t="str">
        <f ca="1">IF(INDIRECT(CONCATENATE($FK$12,Fixtures!JK$25))="","",IF(INDIRECT(CONCATENATE($FK$12,Fixtures!JK$25))=Fixtures!$DN62,CONCATENATE(JK$10,", "),""))</f>
        <v/>
      </c>
      <c r="JL62" s="632" t="str">
        <f ca="1">IF(INDIRECT(CONCATENATE($FK$12,Fixtures!JL$25))="","",IF(INDIRECT(CONCATENATE($FK$12,Fixtures!JL$25))=Fixtures!$DN62,CONCATENATE(JL$10,", "),""))</f>
        <v/>
      </c>
      <c r="JM62" s="632" t="str">
        <f ca="1">IF(INDIRECT(CONCATENATE($FK$12,Fixtures!JM$25))="","",IF(INDIRECT(CONCATENATE($FK$12,Fixtures!JM$25))=Fixtures!$DN62,CONCATENATE(JM$10,", "),""))</f>
        <v/>
      </c>
      <c r="JN62" s="632" t="str">
        <f ca="1">IF(INDIRECT(CONCATENATE($FK$12,Fixtures!JN$25))="","",IF(INDIRECT(CONCATENATE($FK$12,Fixtures!JN$25))=Fixtures!$DN62,CONCATENATE(JN$10,", "),""))</f>
        <v/>
      </c>
      <c r="JO62" s="632" t="str">
        <f ca="1">IF(INDIRECT(CONCATENATE($FK$12,Fixtures!JO$25))="","",IF(INDIRECT(CONCATENATE($FK$12,Fixtures!JO$25))=Fixtures!$DN62,CONCATENATE(JO$10,", "),""))</f>
        <v/>
      </c>
      <c r="JP62" s="632" t="str">
        <f ca="1">IF(INDIRECT(CONCATENATE($FK$12,Fixtures!JP$25))="","",IF(INDIRECT(CONCATENATE($FK$12,Fixtures!JP$25))=Fixtures!$DN62,CONCATENATE(JP$10,", "),""))</f>
        <v/>
      </c>
      <c r="JQ62" s="632" t="str">
        <f ca="1">IF(INDIRECT(CONCATENATE($FK$12,Fixtures!JQ$25))="","",IF(INDIRECT(CONCATENATE($FK$12,Fixtures!JQ$25))=Fixtures!$DN62,CONCATENATE(JQ$10,", "),""))</f>
        <v/>
      </c>
      <c r="JR62" s="632" t="str">
        <f ca="1">IF(INDIRECT(CONCATENATE($FK$12,Fixtures!JR$25))="","",IF(INDIRECT(CONCATENATE($FK$12,Fixtures!JR$25))=Fixtures!$DN62,CONCATENATE(JR$10,", "),""))</f>
        <v/>
      </c>
      <c r="JS62" s="632" t="str">
        <f ca="1">IF(INDIRECT(CONCATENATE($FK$12,Fixtures!JS$25))="","",IF(INDIRECT(CONCATENATE($FK$12,Fixtures!JS$25))=Fixtures!$DN62,CONCATENATE(JS$10,", "),""))</f>
        <v/>
      </c>
      <c r="JT62" s="632" t="str">
        <f ca="1">IF(INDIRECT(CONCATENATE($FK$12,Fixtures!JT$25))="","",IF(INDIRECT(CONCATENATE($FK$12,Fixtures!JT$25))=Fixtures!$DN62,CONCATENATE(JT$10,", "),""))</f>
        <v/>
      </c>
      <c r="JU62" s="606" t="str">
        <f ca="1">IF(INDIRECT(CONCATENATE($FK$12,Fixtures!JU$25))="","",IF(INDIRECT(CONCATENATE($FK$12,Fixtures!JU$25))=Fixtures!$DN62,CONCATENATE(JU$10,", "),""))</f>
        <v/>
      </c>
      <c r="JV62" s="607" t="str">
        <f ca="1">IF(INDIRECT(CONCATENATE($FK$12,Fixtures!JV$25))="","",IF(INDIRECT(CONCATENATE($FK$12,Fixtures!JV$25))=Fixtures!$DN62,CONCATENATE(JV$10,", "),""))</f>
        <v/>
      </c>
      <c r="JW62" s="632" t="str">
        <f ca="1">IF(INDIRECT(CONCATENATE($FK$12,Fixtures!JW$25))="","",IF(INDIRECT(CONCATENATE($FK$12,Fixtures!JW$25))=Fixtures!$DN62,CONCATENATE(JW$10,", "),""))</f>
        <v/>
      </c>
      <c r="JX62" s="632" t="str">
        <f ca="1">IF(INDIRECT(CONCATENATE($FK$12,Fixtures!JX$25))="","",IF(INDIRECT(CONCATENATE($FK$12,Fixtures!JX$25))=Fixtures!$DN62,CONCATENATE(JX$10,", "),""))</f>
        <v/>
      </c>
      <c r="JY62" s="632" t="str">
        <f ca="1">IF(INDIRECT(CONCATENATE($FK$12,Fixtures!JY$25))="","",IF(INDIRECT(CONCATENATE($FK$12,Fixtures!JY$25))=Fixtures!$DN62,CONCATENATE(JY$10,", "),""))</f>
        <v/>
      </c>
      <c r="JZ62" s="632" t="str">
        <f ca="1">IF(INDIRECT(CONCATENATE($FK$12,Fixtures!JZ$25))="","",IF(INDIRECT(CONCATENATE($FK$12,Fixtures!JZ$25))=Fixtures!$DN62,CONCATENATE(JZ$10,", "),""))</f>
        <v/>
      </c>
      <c r="KA62" s="632" t="str">
        <f ca="1">IF(INDIRECT(CONCATENATE($FK$12,Fixtures!KA$25))="","",IF(INDIRECT(CONCATENATE($FK$12,Fixtures!KA$25))=Fixtures!$DN62,CONCATENATE(KA$10,", "),""))</f>
        <v/>
      </c>
      <c r="KB62" s="632" t="str">
        <f ca="1">IF(INDIRECT(CONCATENATE($FK$12,Fixtures!KB$25))="","",IF(INDIRECT(CONCATENATE($FK$12,Fixtures!KB$25))=Fixtures!$DN62,CONCATENATE(KB$10,", "),""))</f>
        <v/>
      </c>
      <c r="KC62" s="632" t="str">
        <f ca="1">IF(INDIRECT(CONCATENATE($FK$12,Fixtures!KC$25))="","",IF(INDIRECT(CONCATENATE($FK$12,Fixtures!KC$25))=Fixtures!$DN62,CONCATENATE(KC$10,", "),""))</f>
        <v/>
      </c>
      <c r="KD62" s="632" t="str">
        <f ca="1">IF(INDIRECT(CONCATENATE($FK$12,Fixtures!KD$25))="","",IF(INDIRECT(CONCATENATE($FK$12,Fixtures!KD$25))=Fixtures!$DN62,CONCATENATE(KD$10,", "),""))</f>
        <v/>
      </c>
      <c r="KE62" s="632" t="str">
        <f ca="1">IF(INDIRECT(CONCATENATE($FK$12,Fixtures!KE$25))="","",IF(INDIRECT(CONCATENATE($FK$12,Fixtures!KE$25))=Fixtures!$DN62,CONCATENATE(KE$10,", "),""))</f>
        <v/>
      </c>
      <c r="KF62" s="632" t="str">
        <f ca="1">IF(INDIRECT(CONCATENATE($FK$12,Fixtures!KF$25))="","",IF(INDIRECT(CONCATENATE($FK$12,Fixtures!KF$25))=Fixtures!$DN62,CONCATENATE(KF$10,", "),""))</f>
        <v/>
      </c>
      <c r="KG62" s="632" t="str">
        <f ca="1">IF(INDIRECT(CONCATENATE($FK$12,Fixtures!KG$25))="","",IF(INDIRECT(CONCATENATE($FK$12,Fixtures!KG$25))=Fixtures!$DN62,CONCATENATE(KG$10,", "),""))</f>
        <v/>
      </c>
      <c r="KH62" s="632" t="str">
        <f ca="1">IF(INDIRECT(CONCATENATE($FK$12,Fixtures!KH$25))="","",IF(INDIRECT(CONCATENATE($FK$12,Fixtures!KH$25))=Fixtures!$DN62,CONCATENATE(KH$10,", "),""))</f>
        <v/>
      </c>
      <c r="KI62" s="632" t="str">
        <f ca="1">IF(INDIRECT(CONCATENATE($FK$12,Fixtures!KI$25))="","",IF(INDIRECT(CONCATENATE($FK$12,Fixtures!KI$25))=Fixtures!$DN62,CONCATENATE(KI$10,", "),""))</f>
        <v/>
      </c>
      <c r="KJ62" s="606" t="str">
        <f ca="1">IF(INDIRECT(CONCATENATE($FK$12,Fixtures!KJ$25))="","",IF(INDIRECT(CONCATENATE($FK$12,Fixtures!KJ$25))=Fixtures!$DN62,CONCATENATE(KJ$10,", "),""))</f>
        <v/>
      </c>
      <c r="KK62" s="607" t="str">
        <f ca="1">IF(INDIRECT(CONCATENATE($FK$12,Fixtures!KK$25))="","",IF(INDIRECT(CONCATENATE($FK$12,Fixtures!KK$25))=Fixtures!$DN62,CONCATENATE(KK$10,", "),""))</f>
        <v/>
      </c>
      <c r="KL62" s="632" t="str">
        <f ca="1">IF(INDIRECT(CONCATENATE($FK$12,Fixtures!KL$25))="","",IF(INDIRECT(CONCATENATE($FK$12,Fixtures!KL$25))=Fixtures!$DN62,CONCATENATE(KL$10,", "),""))</f>
        <v/>
      </c>
      <c r="KM62" s="632" t="str">
        <f ca="1">IF(INDIRECT(CONCATENATE($FK$12,Fixtures!KM$25))="","",IF(INDIRECT(CONCATENATE($FK$12,Fixtures!KM$25))=Fixtures!$DN62,CONCATENATE(KM$10,", "),""))</f>
        <v/>
      </c>
      <c r="KN62" s="632" t="str">
        <f ca="1">IF(INDIRECT(CONCATENATE($FK$12,Fixtures!KN$25))="","",IF(INDIRECT(CONCATENATE($FK$12,Fixtures!KN$25))=Fixtures!$DN62,CONCATENATE(KN$10,", "),""))</f>
        <v/>
      </c>
      <c r="KO62" s="632" t="str">
        <f ca="1">IF(INDIRECT(CONCATENATE($FK$12,Fixtures!KO$25))="","",IF(INDIRECT(CONCATENATE($FK$12,Fixtures!KO$25))=Fixtures!$DN62,CONCATENATE(KO$10,", "),""))</f>
        <v/>
      </c>
      <c r="KP62" s="632" t="str">
        <f ca="1">IF(INDIRECT(CONCATENATE($FK$12,Fixtures!KP$25))="","",IF(INDIRECT(CONCATENATE($FK$12,Fixtures!KP$25))=Fixtures!$DN62,CONCATENATE(KP$10,", "),""))</f>
        <v/>
      </c>
      <c r="KQ62" s="632" t="str">
        <f ca="1">IF(INDIRECT(CONCATENATE($FK$12,Fixtures!KQ$25))="","",IF(INDIRECT(CONCATENATE($FK$12,Fixtures!KQ$25))=Fixtures!$DN62,CONCATENATE(KQ$10,", "),""))</f>
        <v/>
      </c>
      <c r="KR62" s="632" t="str">
        <f ca="1">IF(INDIRECT(CONCATENATE($FK$12,Fixtures!KR$25))="","",IF(INDIRECT(CONCATENATE($FK$12,Fixtures!KR$25))=Fixtures!$DN62,CONCATENATE(KR$10,", "),""))</f>
        <v/>
      </c>
      <c r="KS62" s="632" t="str">
        <f ca="1">IF(INDIRECT(CONCATENATE($FK$12,Fixtures!KS$25))="","",IF(INDIRECT(CONCATENATE($FK$12,Fixtures!KS$25))=Fixtures!$DN62,CONCATENATE(KS$10,", "),""))</f>
        <v/>
      </c>
      <c r="KT62" s="632" t="str">
        <f ca="1">IF(INDIRECT(CONCATENATE($FK$12,Fixtures!KT$25))="","",IF(INDIRECT(CONCATENATE($FK$12,Fixtures!KT$25))=Fixtures!$DN62,CONCATENATE(KT$10,", "),""))</f>
        <v/>
      </c>
      <c r="KU62" s="632" t="str">
        <f ca="1">IF(INDIRECT(CONCATENATE($FK$12,Fixtures!KU$25))="","",IF(INDIRECT(CONCATENATE($FK$12,Fixtures!KU$25))=Fixtures!$DN62,CONCATENATE(KU$10,", "),""))</f>
        <v/>
      </c>
      <c r="KV62" s="632" t="str">
        <f ca="1">IF(INDIRECT(CONCATENATE($FK$12,Fixtures!KV$25))="","",IF(INDIRECT(CONCATENATE($FK$12,Fixtures!KV$25))=Fixtures!$DN62,CONCATENATE(KV$10,", "),""))</f>
        <v/>
      </c>
      <c r="KW62" s="632" t="str">
        <f ca="1">IF(INDIRECT(CONCATENATE($FK$12,Fixtures!KW$25))="","",IF(INDIRECT(CONCATENATE($FK$12,Fixtures!KW$25))=Fixtures!$DN62,CONCATENATE(KW$10,", "),""))</f>
        <v/>
      </c>
      <c r="KX62" s="632" t="str">
        <f ca="1">IF(INDIRECT(CONCATENATE($FK$12,Fixtures!KX$25))="","",IF(INDIRECT(CONCATENATE($FK$12,Fixtures!KX$25))=Fixtures!$DN62,CONCATENATE(KX$10,", "),""))</f>
        <v/>
      </c>
      <c r="KY62" s="632"/>
      <c r="KZ62" s="542"/>
      <c r="LA62" s="46" t="str">
        <f t="shared" ca="1" si="37"/>
        <v/>
      </c>
      <c r="LB62" s="46"/>
      <c r="LC62" s="1010"/>
      <c r="LD62" s="1009" t="str">
        <f t="shared" si="20"/>
        <v/>
      </c>
    </row>
    <row r="63" spans="1:316" ht="28.2" customHeight="1" thickTop="1" thickBot="1">
      <c r="A63" s="426" t="str">
        <f t="shared" si="13"/>
        <v/>
      </c>
      <c r="C63" s="1640" t="str">
        <f t="shared" si="14"/>
        <v/>
      </c>
      <c r="D63" s="1641"/>
      <c r="E63" s="1568" t="str">
        <f t="shared" si="15"/>
        <v/>
      </c>
      <c r="F63" s="1569"/>
      <c r="G63" s="1569"/>
      <c r="H63" s="1569"/>
      <c r="I63" s="1569"/>
      <c r="J63" s="1569"/>
      <c r="K63" s="1569"/>
      <c r="L63" s="1569"/>
      <c r="M63" s="1642"/>
      <c r="N63" s="203" t="str">
        <f t="shared" si="16"/>
        <v/>
      </c>
      <c r="O63" s="12"/>
      <c r="P63" s="1638" t="str">
        <f t="shared" si="25"/>
        <v/>
      </c>
      <c r="Q63" s="1639"/>
      <c r="R63" s="1568" t="str">
        <f t="shared" si="30"/>
        <v/>
      </c>
      <c r="S63" s="1569"/>
      <c r="T63" s="1569"/>
      <c r="U63" s="1569"/>
      <c r="V63" s="1569"/>
      <c r="W63" s="1569"/>
      <c r="X63" s="1569"/>
      <c r="Y63" s="203" t="str">
        <f t="shared" si="26"/>
        <v/>
      </c>
      <c r="Z63" s="203" t="str">
        <f t="shared" si="27"/>
        <v/>
      </c>
      <c r="AA63" s="394" t="str">
        <f t="shared" si="28"/>
        <v/>
      </c>
      <c r="AB63" s="489"/>
      <c r="AC63" s="1564" t="str">
        <f t="shared" si="18"/>
        <v/>
      </c>
      <c r="AD63" s="1565"/>
      <c r="AE63" s="1565"/>
      <c r="AF63" s="1565"/>
      <c r="AG63" s="1565"/>
      <c r="AH63" s="1565"/>
      <c r="AK63">
        <f>SUMIFS(Installations!CV$46:CV$803,Installations!CW$46:CW$803,E63,Installations!IC$46:IC$803,TRUE)</f>
        <v>0</v>
      </c>
      <c r="AL63">
        <f>SUMIFS(Installations!CV$46:CV$803,Installations!CW$46:CW$803,R63,Installations!IC$46:IC$803,TRUE)</f>
        <v>0</v>
      </c>
      <c r="BL63" s="9"/>
      <c r="BM63" s="622" t="str">
        <f t="shared" si="19"/>
        <v/>
      </c>
      <c r="BN63" s="52"/>
      <c r="BO63" s="52"/>
      <c r="BP63" s="52"/>
      <c r="BQ63" s="52"/>
      <c r="BR63" s="52"/>
      <c r="BS63" s="52"/>
      <c r="BT63" s="52"/>
      <c r="BU63" s="373"/>
      <c r="BV63" s="219" t="str">
        <f>IF(CN63&lt;&gt;"Yes","",IFERROR(VLOOKUP(CU63,Existing!A$4:F$367,2,FALSE),""))</f>
        <v/>
      </c>
      <c r="BW63" s="9">
        <v>37</v>
      </c>
      <c r="BX63" s="1625"/>
      <c r="BY63" s="1626"/>
      <c r="BZ63" s="1626"/>
      <c r="CA63" s="1627"/>
      <c r="CB63" s="1622"/>
      <c r="CC63" s="1623"/>
      <c r="CD63" s="1623"/>
      <c r="CE63" s="1624"/>
      <c r="CF63" s="1621"/>
      <c r="CG63" s="1621"/>
      <c r="CH63" s="1621"/>
      <c r="CI63" s="1621"/>
      <c r="CJ63" s="1621"/>
      <c r="CK63" s="1621"/>
      <c r="CL63" s="1621"/>
      <c r="CM63" s="1621"/>
      <c r="CN63" s="1553" t="str">
        <f t="shared" si="31"/>
        <v/>
      </c>
      <c r="CO63" s="1554"/>
      <c r="CP63" s="229" t="str">
        <f>IFERROR(IF(CB63="Existing TLED",CR63*CW63*CY63,VLOOKUP(CU63,Existing!A$3:F$356,6,FALSE)),"")</f>
        <v/>
      </c>
      <c r="CQ63" s="9"/>
      <c r="CR63" s="1660"/>
      <c r="CS63" s="1661"/>
      <c r="CT63" s="9"/>
      <c r="CU63" s="425" t="str">
        <f t="shared" si="21"/>
        <v/>
      </c>
      <c r="CV63" s="426" t="b">
        <f t="shared" si="22"/>
        <v>0</v>
      </c>
      <c r="CW63" s="426" t="str">
        <f t="shared" si="23"/>
        <v/>
      </c>
      <c r="CX63" s="426">
        <f>IFERROR(VLOOKUP(CF63,Lookup!T$100:V$102,3,FALSE),0)</f>
        <v>0</v>
      </c>
      <c r="CY63" s="426">
        <f t="shared" si="8"/>
        <v>1.1100000000000001</v>
      </c>
      <c r="CZ63" s="626" t="b">
        <f t="shared" si="32"/>
        <v>0</v>
      </c>
      <c r="DA63" s="626" t="b">
        <f>IF(CF63&lt;&gt;"",IF(ISERROR(MATCH(CONCATENATE(CB63," - ",CF63),Existing!G$4:G$331,0))=TRUE,FALSE,TRUE),TRUE)</f>
        <v>1</v>
      </c>
      <c r="DB63" s="626" t="b">
        <f t="shared" si="33"/>
        <v>1</v>
      </c>
      <c r="DL63" s="9"/>
      <c r="DM63" s="627" t="s">
        <v>215</v>
      </c>
      <c r="DN63" s="375" t="str">
        <f t="shared" si="34"/>
        <v/>
      </c>
      <c r="DO63" s="52"/>
      <c r="DP63" s="52"/>
      <c r="DQ63" s="52"/>
      <c r="DR63" s="52"/>
      <c r="DS63" s="52"/>
      <c r="DT63" s="226"/>
      <c r="DU63" s="376"/>
      <c r="DV63" s="227" t="str">
        <f t="shared" si="35"/>
        <v/>
      </c>
      <c r="DW63" s="224">
        <v>37</v>
      </c>
      <c r="DX63" s="1572"/>
      <c r="DY63" s="1573"/>
      <c r="DZ63" s="1573"/>
      <c r="EA63" s="1574"/>
      <c r="EB63" s="1618"/>
      <c r="EC63" s="1619"/>
      <c r="ED63" s="1619"/>
      <c r="EE63" s="1620"/>
      <c r="EF63" s="1578"/>
      <c r="EG63" s="1579"/>
      <c r="EH63" s="1618"/>
      <c r="EI63" s="1619"/>
      <c r="EJ63" s="1619"/>
      <c r="EK63" s="1620"/>
      <c r="EL63" s="1575"/>
      <c r="EM63" s="1576"/>
      <c r="EN63" s="1576"/>
      <c r="EO63" s="1577"/>
      <c r="EP63" s="1578"/>
      <c r="EQ63" s="1579"/>
      <c r="ER63" s="1555"/>
      <c r="ES63" s="1556"/>
      <c r="ET63" s="1553" t="str">
        <f t="shared" si="9"/>
        <v/>
      </c>
      <c r="EU63" s="1554"/>
      <c r="EV63" s="1553" t="str">
        <f t="shared" si="29"/>
        <v/>
      </c>
      <c r="EW63" s="1554"/>
      <c r="EX63" s="393"/>
      <c r="EY63" s="225" t="str">
        <f t="shared" si="36"/>
        <v/>
      </c>
      <c r="EZ63" s="225" t="str">
        <f>IFERROR(VLOOKUP(EB63,Lookup!AT$3:AU$13,2,FALSE),"")</f>
        <v/>
      </c>
      <c r="FA63" s="426" t="b">
        <f>IFERROR(IF(VLOOKUP(EB63,Lookup!AT$6:AU$8,2,FALSE)&gt;3,TRUE,FALSE),FALSE)</f>
        <v>0</v>
      </c>
      <c r="FB63" s="426" t="str">
        <f t="shared" si="10"/>
        <v/>
      </c>
      <c r="FC63" t="str">
        <f t="shared" ca="1" si="11"/>
        <v/>
      </c>
      <c r="FG63" t="str">
        <f t="shared" ca="1" si="12"/>
        <v/>
      </c>
      <c r="FI63" s="204" t="str">
        <f t="shared" ca="1" si="24"/>
        <v/>
      </c>
      <c r="FK63" s="631" t="str">
        <f ca="1">IF(INDIRECT(CONCATENATE($FK$12,Fixtures!FK$25))="","",IF(INDIRECT(CONCATENATE($FK$12,Fixtures!FK$25))=Fixtures!$DN63,CONCATENATE(FK$10,", "),""))</f>
        <v/>
      </c>
      <c r="FL63" s="631" t="str">
        <f ca="1">IF(INDIRECT(CONCATENATE($FK$12,Fixtures!FL$25))="","",IF(INDIRECT(CONCATENATE($FK$12,Fixtures!FL$25))=Fixtures!$DN63,CONCATENATE(FL$10,", "),""))</f>
        <v/>
      </c>
      <c r="FM63" s="631" t="str">
        <f ca="1">IF(INDIRECT(CONCATENATE($FK$12,Fixtures!FM$25))="","",IF(INDIRECT(CONCATENATE($FK$12,Fixtures!FM$25))=Fixtures!$DN63,CONCATENATE(FM$10,", "),""))</f>
        <v/>
      </c>
      <c r="FN63" s="631" t="str">
        <f ca="1">IF(INDIRECT(CONCATENATE($FK$12,Fixtures!FN$25))="","",IF(INDIRECT(CONCATENATE($FK$12,Fixtures!FN$25))=Fixtures!$DN63,CONCATENATE(FN$10,", "),""))</f>
        <v/>
      </c>
      <c r="FO63" s="631" t="str">
        <f ca="1">IF(INDIRECT(CONCATENATE($FK$12,Fixtures!FO$25))="","",IF(INDIRECT(CONCATENATE($FK$12,Fixtures!FO$25))=Fixtures!$DN63,CONCATENATE(FO$10,", "),""))</f>
        <v/>
      </c>
      <c r="FP63" s="631" t="str">
        <f ca="1">IF(INDIRECT(CONCATENATE($FK$12,Fixtures!FP$25))="","",IF(INDIRECT(CONCATENATE($FK$12,Fixtures!FP$25))=Fixtures!$DN63,CONCATENATE(FP$10,", "),""))</f>
        <v/>
      </c>
      <c r="FQ63" s="631" t="str">
        <f ca="1">IF(INDIRECT(CONCATENATE($FK$12,Fixtures!FQ$25))="","",IF(INDIRECT(CONCATENATE($FK$12,Fixtures!FQ$25))=Fixtures!$DN63,CONCATENATE(FQ$10,", "),""))</f>
        <v/>
      </c>
      <c r="FR63" s="631" t="str">
        <f ca="1">IF(INDIRECT(CONCATENATE($FK$12,Fixtures!FR$25))="","",IF(INDIRECT(CONCATENATE($FK$12,Fixtures!FR$25))=Fixtures!$DN63,CONCATENATE(FR$10,", "),""))</f>
        <v/>
      </c>
      <c r="FS63" s="631" t="str">
        <f ca="1">IF(INDIRECT(CONCATENATE($FK$12,Fixtures!FS$25))="","",IF(INDIRECT(CONCATENATE($FK$12,Fixtures!FS$25))=Fixtures!$DN63,CONCATENATE(FS$10,", "),""))</f>
        <v/>
      </c>
      <c r="FT63" s="604" t="str">
        <f ca="1">IF(INDIRECT(CONCATENATE($FK$12,Fixtures!FT$25))="","",IF(INDIRECT(CONCATENATE($FK$12,Fixtures!FT$25))=Fixtures!$DN63,CONCATENATE(FT$10,", "),""))</f>
        <v/>
      </c>
      <c r="FU63" s="605" t="str">
        <f ca="1">IF(INDIRECT(CONCATENATE($FK$12,Fixtures!FU$25))="","",IF(INDIRECT(CONCATENATE($FK$12,Fixtures!FU$25))=Fixtures!$DN63,CONCATENATE(FU$10,", "),""))</f>
        <v/>
      </c>
      <c r="FV63" s="631" t="str">
        <f ca="1">IF(INDIRECT(CONCATENATE($FK$12,Fixtures!FV$25))="","",IF(INDIRECT(CONCATENATE($FK$12,Fixtures!FV$25))=Fixtures!$DN63,CONCATENATE(FV$10,", "),""))</f>
        <v/>
      </c>
      <c r="FW63" s="632" t="str">
        <f ca="1">IF(INDIRECT(CONCATENATE($FK$12,Fixtures!FW$25))="","",IF(INDIRECT(CONCATENATE($FK$12,Fixtures!FW$25))=Fixtures!$DN63,CONCATENATE(FW$10,", "),""))</f>
        <v/>
      </c>
      <c r="FX63" s="632" t="str">
        <f ca="1">IF(INDIRECT(CONCATENATE($FK$12,Fixtures!FX$25))="","",IF(INDIRECT(CONCATENATE($FK$12,Fixtures!FX$25))=Fixtures!$DN63,CONCATENATE(FX$10,", "),""))</f>
        <v/>
      </c>
      <c r="FY63" s="632" t="str">
        <f ca="1">IF(INDIRECT(CONCATENATE($FK$12,Fixtures!FY$25))="","",IF(INDIRECT(CONCATENATE($FK$12,Fixtures!FY$25))=Fixtures!$DN63,CONCATENATE(FY$10,", "),""))</f>
        <v/>
      </c>
      <c r="FZ63" s="632" t="str">
        <f ca="1">IF(INDIRECT(CONCATENATE($FK$12,Fixtures!FZ$25))="","",IF(INDIRECT(CONCATENATE($FK$12,Fixtures!FZ$25))=Fixtures!$DN63,CONCATENATE(FZ$10,", "),""))</f>
        <v/>
      </c>
      <c r="GA63" s="632" t="str">
        <f ca="1">IF(INDIRECT(CONCATENATE($FK$12,Fixtures!GA$25))="","",IF(INDIRECT(CONCATENATE($FK$12,Fixtures!GA$25))=Fixtures!$DN63,CONCATENATE(GA$10,", "),""))</f>
        <v/>
      </c>
      <c r="GB63" s="632" t="str">
        <f ca="1">IF(INDIRECT(CONCATENATE($FK$12,Fixtures!GB$25))="","",IF(INDIRECT(CONCATENATE($FK$12,Fixtures!GB$25))=Fixtures!$DN63,CONCATENATE(GB$10,", "),""))</f>
        <v/>
      </c>
      <c r="GC63" s="632" t="str">
        <f ca="1">IF(INDIRECT(CONCATENATE($FK$12,Fixtures!GC$25))="","",IF(INDIRECT(CONCATENATE($FK$12,Fixtures!GC$25))=Fixtures!$DN63,CONCATENATE(GC$10,", "),""))</f>
        <v/>
      </c>
      <c r="GD63" s="632" t="str">
        <f ca="1">IF(INDIRECT(CONCATENATE($FK$12,Fixtures!GD$25))="","",IF(INDIRECT(CONCATENATE($FK$12,Fixtures!GD$25))=Fixtures!$DN63,CONCATENATE(GD$10,", "),""))</f>
        <v/>
      </c>
      <c r="GE63" s="632" t="str">
        <f ca="1">IF(INDIRECT(CONCATENATE($FK$12,Fixtures!GE$25))="","",IF(INDIRECT(CONCATENATE($FK$12,Fixtures!GE$25))=Fixtures!$DN63,CONCATENATE(GE$10,", "),""))</f>
        <v/>
      </c>
      <c r="GF63" s="632" t="str">
        <f ca="1">IF(INDIRECT(CONCATENATE($FK$12,Fixtures!GF$25))="","",IF(INDIRECT(CONCATENATE($FK$12,Fixtures!GF$25))=Fixtures!$DN63,CONCATENATE(GF$10,", "),""))</f>
        <v/>
      </c>
      <c r="GG63" s="632" t="str">
        <f ca="1">IF(INDIRECT(CONCATENATE($FK$12,Fixtures!GG$25))="","",IF(INDIRECT(CONCATENATE($FK$12,Fixtures!GG$25))=Fixtures!$DN63,CONCATENATE(GG$10,", "),""))</f>
        <v/>
      </c>
      <c r="GH63" s="632" t="str">
        <f ca="1">IF(INDIRECT(CONCATENATE($FK$12,Fixtures!GH$25))="","",IF(INDIRECT(CONCATENATE($FK$12,Fixtures!GH$25))=Fixtures!$DN63,CONCATENATE(GH$10,", "),""))</f>
        <v/>
      </c>
      <c r="GI63" s="606" t="str">
        <f ca="1">IF(INDIRECT(CONCATENATE($FK$12,Fixtures!GI$25))="","",IF(INDIRECT(CONCATENATE($FK$12,Fixtures!GI$25))=Fixtures!$DN63,CONCATENATE(GI$10,", "),""))</f>
        <v/>
      </c>
      <c r="GJ63" s="607" t="str">
        <f ca="1">IF(INDIRECT(CONCATENATE($FK$12,Fixtures!GJ$25))="","",IF(INDIRECT(CONCATENATE($FK$12,Fixtures!GJ$25))=Fixtures!$DN63,CONCATENATE(GJ$10,", "),""))</f>
        <v/>
      </c>
      <c r="GK63" s="632" t="str">
        <f ca="1">IF(INDIRECT(CONCATENATE($FK$12,Fixtures!GK$25))="","",IF(INDIRECT(CONCATENATE($FK$12,Fixtures!GK$25))=Fixtures!$DN63,CONCATENATE(GK$10,", "),""))</f>
        <v/>
      </c>
      <c r="GL63" s="632" t="str">
        <f ca="1">IF(INDIRECT(CONCATENATE($FK$12,Fixtures!GL$25))="","",IF(INDIRECT(CONCATENATE($FK$12,Fixtures!GL$25))=Fixtures!$DN63,CONCATENATE(GL$10,", "),""))</f>
        <v/>
      </c>
      <c r="GM63" s="632" t="str">
        <f ca="1">IF(INDIRECT(CONCATENATE($FK$12,Fixtures!GM$25))="","",IF(INDIRECT(CONCATENATE($FK$12,Fixtures!GM$25))=Fixtures!$DN63,CONCATENATE(GM$10,", "),""))</f>
        <v/>
      </c>
      <c r="GN63" s="632" t="str">
        <f ca="1">IF(INDIRECT(CONCATENATE($FK$12,Fixtures!GN$25))="","",IF(INDIRECT(CONCATENATE($FK$12,Fixtures!GN$25))=Fixtures!$DN63,CONCATENATE(GN$10,", "),""))</f>
        <v/>
      </c>
      <c r="GO63" s="632" t="str">
        <f ca="1">IF(INDIRECT(CONCATENATE($FK$12,Fixtures!GO$25))="","",IF(INDIRECT(CONCATENATE($FK$12,Fixtures!GO$25))=Fixtures!$DN63,CONCATENATE(GO$10,", "),""))</f>
        <v/>
      </c>
      <c r="GP63" s="632" t="str">
        <f ca="1">IF(INDIRECT(CONCATENATE($FK$12,Fixtures!GP$25))="","",IF(INDIRECT(CONCATENATE($FK$12,Fixtures!GP$25))=Fixtures!$DN63,CONCATENATE(GP$10,", "),""))</f>
        <v/>
      </c>
      <c r="GQ63" s="632" t="str">
        <f ca="1">IF(INDIRECT(CONCATENATE($FK$12,Fixtures!GQ$25))="","",IF(INDIRECT(CONCATENATE($FK$12,Fixtures!GQ$25))=Fixtures!$DN63,CONCATENATE(GQ$10,", "),""))</f>
        <v/>
      </c>
      <c r="GR63" s="632" t="str">
        <f ca="1">IF(INDIRECT(CONCATENATE($FK$12,Fixtures!GR$25))="","",IF(INDIRECT(CONCATENATE($FK$12,Fixtures!GR$25))=Fixtures!$DN63,CONCATENATE(GR$10,", "),""))</f>
        <v/>
      </c>
      <c r="GS63" s="632" t="str">
        <f ca="1">IF(INDIRECT(CONCATENATE($FK$12,Fixtures!GS$25))="","",IF(INDIRECT(CONCATENATE($FK$12,Fixtures!GS$25))=Fixtures!$DN63,CONCATENATE(GS$10,", "),""))</f>
        <v/>
      </c>
      <c r="GT63" s="632" t="str">
        <f ca="1">IF(INDIRECT(CONCATENATE($FK$12,Fixtures!GT$25))="","",IF(INDIRECT(CONCATENATE($FK$12,Fixtures!GT$25))=Fixtures!$DN63,CONCATENATE(GT$10,", "),""))</f>
        <v/>
      </c>
      <c r="GU63" s="632" t="str">
        <f ca="1">IF(INDIRECT(CONCATENATE($FK$12,Fixtures!GU$25))="","",IF(INDIRECT(CONCATENATE($FK$12,Fixtures!GU$25))=Fixtures!$DN63,CONCATENATE(GU$10,", "),""))</f>
        <v/>
      </c>
      <c r="GV63" s="632" t="str">
        <f ca="1">IF(INDIRECT(CONCATENATE($FK$12,Fixtures!GV$25))="","",IF(INDIRECT(CONCATENATE($FK$12,Fixtures!GV$25))=Fixtures!$DN63,CONCATENATE(GV$10,", "),""))</f>
        <v/>
      </c>
      <c r="GW63" s="632" t="str">
        <f ca="1">IF(INDIRECT(CONCATENATE($FK$12,Fixtures!GW$25))="","",IF(INDIRECT(CONCATENATE($FK$12,Fixtures!GW$25))=Fixtures!$DN63,CONCATENATE(GW$10,", "),""))</f>
        <v/>
      </c>
      <c r="GX63" s="606" t="str">
        <f ca="1">IF(INDIRECT(CONCATENATE($FK$12,Fixtures!GX$25))="","",IF(INDIRECT(CONCATENATE($FK$12,Fixtures!GX$25))=Fixtures!$DN63,CONCATENATE(GX$10,", "),""))</f>
        <v/>
      </c>
      <c r="GY63" s="607" t="str">
        <f ca="1">IF(INDIRECT(CONCATENATE($FK$12,Fixtures!GY$25))="","",IF(INDIRECT(CONCATENATE($FK$12,Fixtures!GY$25))=Fixtures!$DN63,CONCATENATE(GY$10,", "),""))</f>
        <v/>
      </c>
      <c r="GZ63" s="632" t="str">
        <f ca="1">IF(INDIRECT(CONCATENATE($FK$12,Fixtures!GZ$25))="","",IF(INDIRECT(CONCATENATE($FK$12,Fixtures!GZ$25))=Fixtures!$DN63,CONCATENATE(GZ$10,", "),""))</f>
        <v/>
      </c>
      <c r="HA63" s="632" t="str">
        <f ca="1">IF(INDIRECT(CONCATENATE($FK$12,Fixtures!HA$25))="","",IF(INDIRECT(CONCATENATE($FK$12,Fixtures!HA$25))=Fixtures!$DN63,CONCATENATE(HA$10,", "),""))</f>
        <v/>
      </c>
      <c r="HB63" s="632" t="str">
        <f ca="1">IF(INDIRECT(CONCATENATE($FK$12,Fixtures!HB$25))="","",IF(INDIRECT(CONCATENATE($FK$12,Fixtures!HB$25))=Fixtures!$DN63,CONCATENATE(HB$10,", "),""))</f>
        <v/>
      </c>
      <c r="HC63" s="632" t="str">
        <f ca="1">IF(INDIRECT(CONCATENATE($FK$12,Fixtures!HC$25))="","",IF(INDIRECT(CONCATENATE($FK$12,Fixtures!HC$25))=Fixtures!$DN63,CONCATENATE(HC$10,", "),""))</f>
        <v/>
      </c>
      <c r="HD63" s="632" t="str">
        <f ca="1">IF(INDIRECT(CONCATENATE($FK$12,Fixtures!HD$25))="","",IF(INDIRECT(CONCATENATE($FK$12,Fixtures!HD$25))=Fixtures!$DN63,CONCATENATE(HD$10,", "),""))</f>
        <v/>
      </c>
      <c r="HE63" s="632" t="str">
        <f ca="1">IF(INDIRECT(CONCATENATE($FK$12,Fixtures!HE$25))="","",IF(INDIRECT(CONCATENATE($FK$12,Fixtures!HE$25))=Fixtures!$DN63,CONCATENATE(HE$10,", "),""))</f>
        <v/>
      </c>
      <c r="HF63" s="632" t="str">
        <f ca="1">IF(INDIRECT(CONCATENATE($FK$12,Fixtures!HF$25))="","",IF(INDIRECT(CONCATENATE($FK$12,Fixtures!HF$25))=Fixtures!$DN63,CONCATENATE(HF$10,", "),""))</f>
        <v/>
      </c>
      <c r="HG63" s="632" t="str">
        <f ca="1">IF(INDIRECT(CONCATENATE($FK$12,Fixtures!HG$25))="","",IF(INDIRECT(CONCATENATE($FK$12,Fixtures!HG$25))=Fixtures!$DN63,CONCATENATE(HG$10,", "),""))</f>
        <v/>
      </c>
      <c r="HH63" s="632" t="str">
        <f ca="1">IF(INDIRECT(CONCATENATE($FK$12,Fixtures!HH$25))="","",IF(INDIRECT(CONCATENATE($FK$12,Fixtures!HH$25))=Fixtures!$DN63,CONCATENATE(HH$10,", "),""))</f>
        <v/>
      </c>
      <c r="HI63" s="632" t="str">
        <f ca="1">IF(INDIRECT(CONCATENATE($FK$12,Fixtures!HI$25))="","",IF(INDIRECT(CONCATENATE($FK$12,Fixtures!HI$25))=Fixtures!$DN63,CONCATENATE(HI$10,", "),""))</f>
        <v/>
      </c>
      <c r="HJ63" s="632" t="str">
        <f ca="1">IF(INDIRECT(CONCATENATE($FK$12,Fixtures!HJ$25))="","",IF(INDIRECT(CONCATENATE($FK$12,Fixtures!HJ$25))=Fixtures!$DN63,CONCATENATE(HJ$10,", "),""))</f>
        <v/>
      </c>
      <c r="HK63" s="632" t="str">
        <f ca="1">IF(INDIRECT(CONCATENATE($FK$12,Fixtures!HK$25))="","",IF(INDIRECT(CONCATENATE($FK$12,Fixtures!HK$25))=Fixtures!$DN63,CONCATENATE(HK$10,", "),""))</f>
        <v/>
      </c>
      <c r="HL63" s="632" t="str">
        <f ca="1">IF(INDIRECT(CONCATENATE($FK$12,Fixtures!HL$25))="","",IF(INDIRECT(CONCATENATE($FK$12,Fixtures!HL$25))=Fixtures!$DN63,CONCATENATE(HL$10,", "),""))</f>
        <v/>
      </c>
      <c r="HM63" s="606" t="str">
        <f ca="1">IF(INDIRECT(CONCATENATE($FK$12,Fixtures!HM$25))="","",IF(INDIRECT(CONCATENATE($FK$12,Fixtures!HM$25))=Fixtures!$DN63,CONCATENATE(HM$10,", "),""))</f>
        <v/>
      </c>
      <c r="HN63" s="607" t="str">
        <f ca="1">IF(INDIRECT(CONCATENATE($FK$12,Fixtures!HN$25))="","",IF(INDIRECT(CONCATENATE($FK$12,Fixtures!HN$25))=Fixtures!$DN63,CONCATENATE(HN$10,", "),""))</f>
        <v/>
      </c>
      <c r="HO63" s="632" t="str">
        <f ca="1">IF(INDIRECT(CONCATENATE($FK$12,Fixtures!HO$25))="","",IF(INDIRECT(CONCATENATE($FK$12,Fixtures!HO$25))=Fixtures!$DN63,CONCATENATE(HO$10,", "),""))</f>
        <v/>
      </c>
      <c r="HP63" s="632" t="str">
        <f ca="1">IF(INDIRECT(CONCATENATE($FK$12,Fixtures!HP$25))="","",IF(INDIRECT(CONCATENATE($FK$12,Fixtures!HP$25))=Fixtures!$DN63,CONCATENATE(HP$10,", "),""))</f>
        <v/>
      </c>
      <c r="HQ63" s="632" t="str">
        <f ca="1">IF(INDIRECT(CONCATENATE($FK$12,Fixtures!HQ$25))="","",IF(INDIRECT(CONCATENATE($FK$12,Fixtures!HQ$25))=Fixtures!$DN63,CONCATENATE(HQ$10,", "),""))</f>
        <v/>
      </c>
      <c r="HR63" s="632" t="str">
        <f ca="1">IF(INDIRECT(CONCATENATE($FK$12,Fixtures!HR$25))="","",IF(INDIRECT(CONCATENATE($FK$12,Fixtures!HR$25))=Fixtures!$DN63,CONCATENATE(HR$10,", "),""))</f>
        <v/>
      </c>
      <c r="HS63" s="632" t="str">
        <f ca="1">IF(INDIRECT(CONCATENATE($FK$12,Fixtures!HS$25))="","",IF(INDIRECT(CONCATENATE($FK$12,Fixtures!HS$25))=Fixtures!$DN63,CONCATENATE(HS$10,", "),""))</f>
        <v/>
      </c>
      <c r="HT63" s="632" t="str">
        <f ca="1">IF(INDIRECT(CONCATENATE($FK$12,Fixtures!HT$25))="","",IF(INDIRECT(CONCATENATE($FK$12,Fixtures!HT$25))=Fixtures!$DN63,CONCATENATE(HT$10,", "),""))</f>
        <v/>
      </c>
      <c r="HU63" s="632" t="str">
        <f ca="1">IF(INDIRECT(CONCATENATE($FK$12,Fixtures!HU$25))="","",IF(INDIRECT(CONCATENATE($FK$12,Fixtures!HU$25))=Fixtures!$DN63,CONCATENATE(HU$10,", "),""))</f>
        <v/>
      </c>
      <c r="HV63" s="632" t="str">
        <f ca="1">IF(INDIRECT(CONCATENATE($FK$12,Fixtures!HV$25))="","",IF(INDIRECT(CONCATENATE($FK$12,Fixtures!HV$25))=Fixtures!$DN63,CONCATENATE(HV$10,", "),""))</f>
        <v/>
      </c>
      <c r="HW63" s="632" t="str">
        <f ca="1">IF(INDIRECT(CONCATENATE($FK$12,Fixtures!HW$25))="","",IF(INDIRECT(CONCATENATE($FK$12,Fixtures!HW$25))=Fixtures!$DN63,CONCATENATE(HW$10,", "),""))</f>
        <v/>
      </c>
      <c r="HX63" s="632" t="str">
        <f ca="1">IF(INDIRECT(CONCATENATE($FK$12,Fixtures!HX$25))="","",IF(INDIRECT(CONCATENATE($FK$12,Fixtures!HX$25))=Fixtures!$DN63,CONCATENATE(HX$10,", "),""))</f>
        <v/>
      </c>
      <c r="HY63" s="632" t="str">
        <f ca="1">IF(INDIRECT(CONCATENATE($FK$12,Fixtures!HY$25))="","",IF(INDIRECT(CONCATENATE($FK$12,Fixtures!HY$25))=Fixtures!$DN63,CONCATENATE(HY$10,", "),""))</f>
        <v/>
      </c>
      <c r="HZ63" s="632" t="str">
        <f ca="1">IF(INDIRECT(CONCATENATE($FK$12,Fixtures!HZ$25))="","",IF(INDIRECT(CONCATENATE($FK$12,Fixtures!HZ$25))=Fixtures!$DN63,CONCATENATE(HZ$10,", "),""))</f>
        <v/>
      </c>
      <c r="IA63" s="632" t="str">
        <f ca="1">IF(INDIRECT(CONCATENATE($FK$12,Fixtures!IA$25))="","",IF(INDIRECT(CONCATENATE($FK$12,Fixtures!IA$25))=Fixtures!$DN63,CONCATENATE(IA$10,", "),""))</f>
        <v/>
      </c>
      <c r="IB63" s="606" t="str">
        <f ca="1">IF(INDIRECT(CONCATENATE($FK$12,Fixtures!IB$25))="","",IF(INDIRECT(CONCATENATE($FK$12,Fixtures!IB$25))=Fixtures!$DN63,CONCATENATE(IB$10,", "),""))</f>
        <v/>
      </c>
      <c r="IC63" s="607" t="str">
        <f ca="1">IF(INDIRECT(CONCATENATE($FK$12,Fixtures!IC$25))="","",IF(INDIRECT(CONCATENATE($FK$12,Fixtures!IC$25))=Fixtures!$DN63,CONCATENATE(IC$10,", "),""))</f>
        <v/>
      </c>
      <c r="ID63" s="632" t="str">
        <f ca="1">IF(INDIRECT(CONCATENATE($FK$12,Fixtures!ID$25))="","",IF(INDIRECT(CONCATENATE($FK$12,Fixtures!ID$25))=Fixtures!$DN63,CONCATENATE(ID$10,", "),""))</f>
        <v/>
      </c>
      <c r="IE63" s="632" t="str">
        <f ca="1">IF(INDIRECT(CONCATENATE($FK$12,Fixtures!IE$25))="","",IF(INDIRECT(CONCATENATE($FK$12,Fixtures!IE$25))=Fixtures!$DN63,CONCATENATE(IE$10,", "),""))</f>
        <v/>
      </c>
      <c r="IF63" s="632" t="str">
        <f ca="1">IF(INDIRECT(CONCATENATE($FK$12,Fixtures!IF$25))="","",IF(INDIRECT(CONCATENATE($FK$12,Fixtures!IF$25))=Fixtures!$DN63,CONCATENATE(IF$10,", "),""))</f>
        <v/>
      </c>
      <c r="IG63" s="632" t="str">
        <f ca="1">IF(INDIRECT(CONCATENATE($FK$12,Fixtures!IG$25))="","",IF(INDIRECT(CONCATENATE($FK$12,Fixtures!IG$25))=Fixtures!$DN63,CONCATENATE(IG$10,", "),""))</f>
        <v/>
      </c>
      <c r="IH63" s="632" t="str">
        <f ca="1">IF(INDIRECT(CONCATENATE($FK$12,Fixtures!IH$25))="","",IF(INDIRECT(CONCATENATE($FK$12,Fixtures!IH$25))=Fixtures!$DN63,CONCATENATE(IH$10,", "),""))</f>
        <v/>
      </c>
      <c r="II63" s="632" t="str">
        <f ca="1">IF(INDIRECT(CONCATENATE($FK$12,Fixtures!II$25))="","",IF(INDIRECT(CONCATENATE($FK$12,Fixtures!II$25))=Fixtures!$DN63,CONCATENATE(II$10,", "),""))</f>
        <v/>
      </c>
      <c r="IJ63" s="632" t="str">
        <f ca="1">IF(INDIRECT(CONCATENATE($FK$12,Fixtures!IJ$25))="","",IF(INDIRECT(CONCATENATE($FK$12,Fixtures!IJ$25))=Fixtures!$DN63,CONCATENATE(IJ$10,", "),""))</f>
        <v/>
      </c>
      <c r="IK63" s="632" t="str">
        <f ca="1">IF(INDIRECT(CONCATENATE($FK$12,Fixtures!IK$25))="","",IF(INDIRECT(CONCATENATE($FK$12,Fixtures!IK$25))=Fixtures!$DN63,CONCATENATE(IK$10,", "),""))</f>
        <v/>
      </c>
      <c r="IL63" s="632" t="str">
        <f ca="1">IF(INDIRECT(CONCATENATE($FK$12,Fixtures!IL$25))="","",IF(INDIRECT(CONCATENATE($FK$12,Fixtures!IL$25))=Fixtures!$DN63,CONCATENATE(IL$10,", "),""))</f>
        <v/>
      </c>
      <c r="IM63" s="632" t="str">
        <f ca="1">IF(INDIRECT(CONCATENATE($FK$12,Fixtures!IM$25))="","",IF(INDIRECT(CONCATENATE($FK$12,Fixtures!IM$25))=Fixtures!$DN63,CONCATENATE(IM$10,", "),""))</f>
        <v/>
      </c>
      <c r="IN63" s="632" t="str">
        <f ca="1">IF(INDIRECT(CONCATENATE($FK$12,Fixtures!IN$25))="","",IF(INDIRECT(CONCATENATE($FK$12,Fixtures!IN$25))=Fixtures!$DN63,CONCATENATE(IN$10,", "),""))</f>
        <v/>
      </c>
      <c r="IO63" s="632" t="str">
        <f ca="1">IF(INDIRECT(CONCATENATE($FK$12,Fixtures!IO$25))="","",IF(INDIRECT(CONCATENATE($FK$12,Fixtures!IO$25))=Fixtures!$DN63,CONCATENATE(IO$10,", "),""))</f>
        <v/>
      </c>
      <c r="IP63" s="632" t="str">
        <f ca="1">IF(INDIRECT(CONCATENATE($FK$12,Fixtures!IP$25))="","",IF(INDIRECT(CONCATENATE($FK$12,Fixtures!IP$25))=Fixtures!$DN63,CONCATENATE(IP$10,", "),""))</f>
        <v/>
      </c>
      <c r="IQ63" s="606" t="str">
        <f ca="1">IF(INDIRECT(CONCATENATE($FK$12,Fixtures!IQ$25))="","",IF(INDIRECT(CONCATENATE($FK$12,Fixtures!IQ$25))=Fixtures!$DN63,CONCATENATE(IQ$10,", "),""))</f>
        <v/>
      </c>
      <c r="IR63" s="607" t="str">
        <f ca="1">IF(INDIRECT(CONCATENATE($FK$12,Fixtures!IR$25))="","",IF(INDIRECT(CONCATENATE($FK$12,Fixtures!IR$25))=Fixtures!$DN63,CONCATENATE(IR$10,", "),""))</f>
        <v/>
      </c>
      <c r="IS63" s="632" t="str">
        <f ca="1">IF(INDIRECT(CONCATENATE($FK$12,Fixtures!IS$25))="","",IF(INDIRECT(CONCATENATE($FK$12,Fixtures!IS$25))=Fixtures!$DN63,CONCATENATE(IS$10,", "),""))</f>
        <v/>
      </c>
      <c r="IT63" s="632" t="str">
        <f ca="1">IF(INDIRECT(CONCATENATE($FK$12,Fixtures!IT$25))="","",IF(INDIRECT(CONCATENATE($FK$12,Fixtures!IT$25))=Fixtures!$DN63,CONCATENATE(IT$10,", "),""))</f>
        <v/>
      </c>
      <c r="IU63" s="632" t="str">
        <f ca="1">IF(INDIRECT(CONCATENATE($FK$12,Fixtures!IU$25))="","",IF(INDIRECT(CONCATENATE($FK$12,Fixtures!IU$25))=Fixtures!$DN63,CONCATENATE(IU$10,", "),""))</f>
        <v/>
      </c>
      <c r="IV63" s="632" t="str">
        <f ca="1">IF(INDIRECT(CONCATENATE($FK$12,Fixtures!IV$25))="","",IF(INDIRECT(CONCATENATE($FK$12,Fixtures!IV$25))=Fixtures!$DN63,CONCATENATE(IV$10,", "),""))</f>
        <v/>
      </c>
      <c r="IW63" s="632" t="str">
        <f ca="1">IF(INDIRECT(CONCATENATE($FK$12,Fixtures!IW$25))="","",IF(INDIRECT(CONCATENATE($FK$12,Fixtures!IW$25))=Fixtures!$DN63,CONCATENATE(IW$10,", "),""))</f>
        <v/>
      </c>
      <c r="IX63" s="632" t="str">
        <f ca="1">IF(INDIRECT(CONCATENATE($FK$12,Fixtures!IX$25))="","",IF(INDIRECT(CONCATENATE($FK$12,Fixtures!IX$25))=Fixtures!$DN63,CONCATENATE(IX$10,", "),""))</f>
        <v/>
      </c>
      <c r="IY63" s="632" t="str">
        <f ca="1">IF(INDIRECT(CONCATENATE($FK$12,Fixtures!IY$25))="","",IF(INDIRECT(CONCATENATE($FK$12,Fixtures!IY$25))=Fixtures!$DN63,CONCATENATE(IY$10,", "),""))</f>
        <v/>
      </c>
      <c r="IZ63" s="632" t="str">
        <f ca="1">IF(INDIRECT(CONCATENATE($FK$12,Fixtures!IZ$25))="","",IF(INDIRECT(CONCATENATE($FK$12,Fixtures!IZ$25))=Fixtures!$DN63,CONCATENATE(IZ$10,", "),""))</f>
        <v/>
      </c>
      <c r="JA63" s="632" t="str">
        <f ca="1">IF(INDIRECT(CONCATENATE($FK$12,Fixtures!JA$25))="","",IF(INDIRECT(CONCATENATE($FK$12,Fixtures!JA$25))=Fixtures!$DN63,CONCATENATE(JA$10,", "),""))</f>
        <v/>
      </c>
      <c r="JB63" s="632" t="str">
        <f ca="1">IF(INDIRECT(CONCATENATE($FK$12,Fixtures!JB$25))="","",IF(INDIRECT(CONCATENATE($FK$12,Fixtures!JB$25))=Fixtures!$DN63,CONCATENATE(JB$10,", "),""))</f>
        <v/>
      </c>
      <c r="JC63" s="632" t="str">
        <f ca="1">IF(INDIRECT(CONCATENATE($FK$12,Fixtures!JC$25))="","",IF(INDIRECT(CONCATENATE($FK$12,Fixtures!JC$25))=Fixtures!$DN63,CONCATENATE(JC$10,", "),""))</f>
        <v/>
      </c>
      <c r="JD63" s="632" t="str">
        <f ca="1">IF(INDIRECT(CONCATENATE($FK$12,Fixtures!JD$25))="","",IF(INDIRECT(CONCATENATE($FK$12,Fixtures!JD$25))=Fixtures!$DN63,CONCATENATE(JD$10,", "),""))</f>
        <v/>
      </c>
      <c r="JE63" s="632" t="str">
        <f ca="1">IF(INDIRECT(CONCATENATE($FK$12,Fixtures!JE$25))="","",IF(INDIRECT(CONCATENATE($FK$12,Fixtures!JE$25))=Fixtures!$DN63,CONCATENATE(JE$10,", "),""))</f>
        <v/>
      </c>
      <c r="JF63" s="606" t="str">
        <f ca="1">IF(INDIRECT(CONCATENATE($FK$12,Fixtures!JF$25))="","",IF(INDIRECT(CONCATENATE($FK$12,Fixtures!JF$25))=Fixtures!$DN63,CONCATENATE(JF$10,", "),""))</f>
        <v/>
      </c>
      <c r="JG63" s="607" t="str">
        <f ca="1">IF(INDIRECT(CONCATENATE($FK$12,Fixtures!JG$25))="","",IF(INDIRECT(CONCATENATE($FK$12,Fixtures!JG$25))=Fixtures!$DN63,CONCATENATE(JG$10,", "),""))</f>
        <v/>
      </c>
      <c r="JH63" s="632" t="str">
        <f ca="1">IF(INDIRECT(CONCATENATE($FK$12,Fixtures!JH$25))="","",IF(INDIRECT(CONCATENATE($FK$12,Fixtures!JH$25))=Fixtures!$DN63,CONCATENATE(JH$10,", "),""))</f>
        <v/>
      </c>
      <c r="JI63" s="632" t="str">
        <f ca="1">IF(INDIRECT(CONCATENATE($FK$12,Fixtures!JI$25))="","",IF(INDIRECT(CONCATENATE($FK$12,Fixtures!JI$25))=Fixtures!$DN63,CONCATENATE(JI$10,", "),""))</f>
        <v/>
      </c>
      <c r="JJ63" s="632" t="str">
        <f ca="1">IF(INDIRECT(CONCATENATE($FK$12,Fixtures!JJ$25))="","",IF(INDIRECT(CONCATENATE($FK$12,Fixtures!JJ$25))=Fixtures!$DN63,CONCATENATE(JJ$10,", "),""))</f>
        <v/>
      </c>
      <c r="JK63" s="632" t="str">
        <f ca="1">IF(INDIRECT(CONCATENATE($FK$12,Fixtures!JK$25))="","",IF(INDIRECT(CONCATENATE($FK$12,Fixtures!JK$25))=Fixtures!$DN63,CONCATENATE(JK$10,", "),""))</f>
        <v/>
      </c>
      <c r="JL63" s="632" t="str">
        <f ca="1">IF(INDIRECT(CONCATENATE($FK$12,Fixtures!JL$25))="","",IF(INDIRECT(CONCATENATE($FK$12,Fixtures!JL$25))=Fixtures!$DN63,CONCATENATE(JL$10,", "),""))</f>
        <v/>
      </c>
      <c r="JM63" s="632" t="str">
        <f ca="1">IF(INDIRECT(CONCATENATE($FK$12,Fixtures!JM$25))="","",IF(INDIRECT(CONCATENATE($FK$12,Fixtures!JM$25))=Fixtures!$DN63,CONCATENATE(JM$10,", "),""))</f>
        <v/>
      </c>
      <c r="JN63" s="632" t="str">
        <f ca="1">IF(INDIRECT(CONCATENATE($FK$12,Fixtures!JN$25))="","",IF(INDIRECT(CONCATENATE($FK$12,Fixtures!JN$25))=Fixtures!$DN63,CONCATENATE(JN$10,", "),""))</f>
        <v/>
      </c>
      <c r="JO63" s="632" t="str">
        <f ca="1">IF(INDIRECT(CONCATENATE($FK$12,Fixtures!JO$25))="","",IF(INDIRECT(CONCATENATE($FK$12,Fixtures!JO$25))=Fixtures!$DN63,CONCATENATE(JO$10,", "),""))</f>
        <v/>
      </c>
      <c r="JP63" s="632" t="str">
        <f ca="1">IF(INDIRECT(CONCATENATE($FK$12,Fixtures!JP$25))="","",IF(INDIRECT(CONCATENATE($FK$12,Fixtures!JP$25))=Fixtures!$DN63,CONCATENATE(JP$10,", "),""))</f>
        <v/>
      </c>
      <c r="JQ63" s="632" t="str">
        <f ca="1">IF(INDIRECT(CONCATENATE($FK$12,Fixtures!JQ$25))="","",IF(INDIRECT(CONCATENATE($FK$12,Fixtures!JQ$25))=Fixtures!$DN63,CONCATENATE(JQ$10,", "),""))</f>
        <v/>
      </c>
      <c r="JR63" s="632" t="str">
        <f ca="1">IF(INDIRECT(CONCATENATE($FK$12,Fixtures!JR$25))="","",IF(INDIRECT(CONCATENATE($FK$12,Fixtures!JR$25))=Fixtures!$DN63,CONCATENATE(JR$10,", "),""))</f>
        <v/>
      </c>
      <c r="JS63" s="632" t="str">
        <f ca="1">IF(INDIRECT(CONCATENATE($FK$12,Fixtures!JS$25))="","",IF(INDIRECT(CONCATENATE($FK$12,Fixtures!JS$25))=Fixtures!$DN63,CONCATENATE(JS$10,", "),""))</f>
        <v/>
      </c>
      <c r="JT63" s="632" t="str">
        <f ca="1">IF(INDIRECT(CONCATENATE($FK$12,Fixtures!JT$25))="","",IF(INDIRECT(CONCATENATE($FK$12,Fixtures!JT$25))=Fixtures!$DN63,CONCATENATE(JT$10,", "),""))</f>
        <v/>
      </c>
      <c r="JU63" s="606" t="str">
        <f ca="1">IF(INDIRECT(CONCATENATE($FK$12,Fixtures!JU$25))="","",IF(INDIRECT(CONCATENATE($FK$12,Fixtures!JU$25))=Fixtures!$DN63,CONCATENATE(JU$10,", "),""))</f>
        <v/>
      </c>
      <c r="JV63" s="607" t="str">
        <f ca="1">IF(INDIRECT(CONCATENATE($FK$12,Fixtures!JV$25))="","",IF(INDIRECT(CONCATENATE($FK$12,Fixtures!JV$25))=Fixtures!$DN63,CONCATENATE(JV$10,", "),""))</f>
        <v/>
      </c>
      <c r="JW63" s="632" t="str">
        <f ca="1">IF(INDIRECT(CONCATENATE($FK$12,Fixtures!JW$25))="","",IF(INDIRECT(CONCATENATE($FK$12,Fixtures!JW$25))=Fixtures!$DN63,CONCATENATE(JW$10,", "),""))</f>
        <v/>
      </c>
      <c r="JX63" s="632" t="str">
        <f ca="1">IF(INDIRECT(CONCATENATE($FK$12,Fixtures!JX$25))="","",IF(INDIRECT(CONCATENATE($FK$12,Fixtures!JX$25))=Fixtures!$DN63,CONCATENATE(JX$10,", "),""))</f>
        <v/>
      </c>
      <c r="JY63" s="632" t="str">
        <f ca="1">IF(INDIRECT(CONCATENATE($FK$12,Fixtures!JY$25))="","",IF(INDIRECT(CONCATENATE($FK$12,Fixtures!JY$25))=Fixtures!$DN63,CONCATENATE(JY$10,", "),""))</f>
        <v/>
      </c>
      <c r="JZ63" s="632" t="str">
        <f ca="1">IF(INDIRECT(CONCATENATE($FK$12,Fixtures!JZ$25))="","",IF(INDIRECT(CONCATENATE($FK$12,Fixtures!JZ$25))=Fixtures!$DN63,CONCATENATE(JZ$10,", "),""))</f>
        <v/>
      </c>
      <c r="KA63" s="632" t="str">
        <f ca="1">IF(INDIRECT(CONCATENATE($FK$12,Fixtures!KA$25))="","",IF(INDIRECT(CONCATENATE($FK$12,Fixtures!KA$25))=Fixtures!$DN63,CONCATENATE(KA$10,", "),""))</f>
        <v/>
      </c>
      <c r="KB63" s="632" t="str">
        <f ca="1">IF(INDIRECT(CONCATENATE($FK$12,Fixtures!KB$25))="","",IF(INDIRECT(CONCATENATE($FK$12,Fixtures!KB$25))=Fixtures!$DN63,CONCATENATE(KB$10,", "),""))</f>
        <v/>
      </c>
      <c r="KC63" s="632" t="str">
        <f ca="1">IF(INDIRECT(CONCATENATE($FK$12,Fixtures!KC$25))="","",IF(INDIRECT(CONCATENATE($FK$12,Fixtures!KC$25))=Fixtures!$DN63,CONCATENATE(KC$10,", "),""))</f>
        <v/>
      </c>
      <c r="KD63" s="632" t="str">
        <f ca="1">IF(INDIRECT(CONCATENATE($FK$12,Fixtures!KD$25))="","",IF(INDIRECT(CONCATENATE($FK$12,Fixtures!KD$25))=Fixtures!$DN63,CONCATENATE(KD$10,", "),""))</f>
        <v/>
      </c>
      <c r="KE63" s="632" t="str">
        <f ca="1">IF(INDIRECT(CONCATENATE($FK$12,Fixtures!KE$25))="","",IF(INDIRECT(CONCATENATE($FK$12,Fixtures!KE$25))=Fixtures!$DN63,CONCATENATE(KE$10,", "),""))</f>
        <v/>
      </c>
      <c r="KF63" s="632" t="str">
        <f ca="1">IF(INDIRECT(CONCATENATE($FK$12,Fixtures!KF$25))="","",IF(INDIRECT(CONCATENATE($FK$12,Fixtures!KF$25))=Fixtures!$DN63,CONCATENATE(KF$10,", "),""))</f>
        <v/>
      </c>
      <c r="KG63" s="632" t="str">
        <f ca="1">IF(INDIRECT(CONCATENATE($FK$12,Fixtures!KG$25))="","",IF(INDIRECT(CONCATENATE($FK$12,Fixtures!KG$25))=Fixtures!$DN63,CONCATENATE(KG$10,", "),""))</f>
        <v/>
      </c>
      <c r="KH63" s="632" t="str">
        <f ca="1">IF(INDIRECT(CONCATENATE($FK$12,Fixtures!KH$25))="","",IF(INDIRECT(CONCATENATE($FK$12,Fixtures!KH$25))=Fixtures!$DN63,CONCATENATE(KH$10,", "),""))</f>
        <v/>
      </c>
      <c r="KI63" s="632" t="str">
        <f ca="1">IF(INDIRECT(CONCATENATE($FK$12,Fixtures!KI$25))="","",IF(INDIRECT(CONCATENATE($FK$12,Fixtures!KI$25))=Fixtures!$DN63,CONCATENATE(KI$10,", "),""))</f>
        <v/>
      </c>
      <c r="KJ63" s="606" t="str">
        <f ca="1">IF(INDIRECT(CONCATENATE($FK$12,Fixtures!KJ$25))="","",IF(INDIRECT(CONCATENATE($FK$12,Fixtures!KJ$25))=Fixtures!$DN63,CONCATENATE(KJ$10,", "),""))</f>
        <v/>
      </c>
      <c r="KK63" s="607" t="str">
        <f ca="1">IF(INDIRECT(CONCATENATE($FK$12,Fixtures!KK$25))="","",IF(INDIRECT(CONCATENATE($FK$12,Fixtures!KK$25))=Fixtures!$DN63,CONCATENATE(KK$10,", "),""))</f>
        <v/>
      </c>
      <c r="KL63" s="632" t="str">
        <f ca="1">IF(INDIRECT(CONCATENATE($FK$12,Fixtures!KL$25))="","",IF(INDIRECT(CONCATENATE($FK$12,Fixtures!KL$25))=Fixtures!$DN63,CONCATENATE(KL$10,", "),""))</f>
        <v/>
      </c>
      <c r="KM63" s="632" t="str">
        <f ca="1">IF(INDIRECT(CONCATENATE($FK$12,Fixtures!KM$25))="","",IF(INDIRECT(CONCATENATE($FK$12,Fixtures!KM$25))=Fixtures!$DN63,CONCATENATE(KM$10,", "),""))</f>
        <v/>
      </c>
      <c r="KN63" s="632" t="str">
        <f ca="1">IF(INDIRECT(CONCATENATE($FK$12,Fixtures!KN$25))="","",IF(INDIRECT(CONCATENATE($FK$12,Fixtures!KN$25))=Fixtures!$DN63,CONCATENATE(KN$10,", "),""))</f>
        <v/>
      </c>
      <c r="KO63" s="632" t="str">
        <f ca="1">IF(INDIRECT(CONCATENATE($FK$12,Fixtures!KO$25))="","",IF(INDIRECT(CONCATENATE($FK$12,Fixtures!KO$25))=Fixtures!$DN63,CONCATENATE(KO$10,", "),""))</f>
        <v/>
      </c>
      <c r="KP63" s="632" t="str">
        <f ca="1">IF(INDIRECT(CONCATENATE($FK$12,Fixtures!KP$25))="","",IF(INDIRECT(CONCATENATE($FK$12,Fixtures!KP$25))=Fixtures!$DN63,CONCATENATE(KP$10,", "),""))</f>
        <v/>
      </c>
      <c r="KQ63" s="632" t="str">
        <f ca="1">IF(INDIRECT(CONCATENATE($FK$12,Fixtures!KQ$25))="","",IF(INDIRECT(CONCATENATE($FK$12,Fixtures!KQ$25))=Fixtures!$DN63,CONCATENATE(KQ$10,", "),""))</f>
        <v/>
      </c>
      <c r="KR63" s="632" t="str">
        <f ca="1">IF(INDIRECT(CONCATENATE($FK$12,Fixtures!KR$25))="","",IF(INDIRECT(CONCATENATE($FK$12,Fixtures!KR$25))=Fixtures!$DN63,CONCATENATE(KR$10,", "),""))</f>
        <v/>
      </c>
      <c r="KS63" s="632" t="str">
        <f ca="1">IF(INDIRECT(CONCATENATE($FK$12,Fixtures!KS$25))="","",IF(INDIRECT(CONCATENATE($FK$12,Fixtures!KS$25))=Fixtures!$DN63,CONCATENATE(KS$10,", "),""))</f>
        <v/>
      </c>
      <c r="KT63" s="632" t="str">
        <f ca="1">IF(INDIRECT(CONCATENATE($FK$12,Fixtures!KT$25))="","",IF(INDIRECT(CONCATENATE($FK$12,Fixtures!KT$25))=Fixtures!$DN63,CONCATENATE(KT$10,", "),""))</f>
        <v/>
      </c>
      <c r="KU63" s="632" t="str">
        <f ca="1">IF(INDIRECT(CONCATENATE($FK$12,Fixtures!KU$25))="","",IF(INDIRECT(CONCATENATE($FK$12,Fixtures!KU$25))=Fixtures!$DN63,CONCATENATE(KU$10,", "),""))</f>
        <v/>
      </c>
      <c r="KV63" s="632" t="str">
        <f ca="1">IF(INDIRECT(CONCATENATE($FK$12,Fixtures!KV$25))="","",IF(INDIRECT(CONCATENATE($FK$12,Fixtures!KV$25))=Fixtures!$DN63,CONCATENATE(KV$10,", "),""))</f>
        <v/>
      </c>
      <c r="KW63" s="632" t="str">
        <f ca="1">IF(INDIRECT(CONCATENATE($FK$12,Fixtures!KW$25))="","",IF(INDIRECT(CONCATENATE($FK$12,Fixtures!KW$25))=Fixtures!$DN63,CONCATENATE(KW$10,", "),""))</f>
        <v/>
      </c>
      <c r="KX63" s="632" t="str">
        <f ca="1">IF(INDIRECT(CONCATENATE($FK$12,Fixtures!KX$25))="","",IF(INDIRECT(CONCATENATE($FK$12,Fixtures!KX$25))=Fixtures!$DN63,CONCATENATE(KX$10,", "),""))</f>
        <v/>
      </c>
      <c r="KY63" s="632"/>
      <c r="KZ63" s="542"/>
      <c r="LA63" s="46" t="str">
        <f t="shared" ca="1" si="37"/>
        <v/>
      </c>
      <c r="LB63" s="46"/>
      <c r="LC63" s="1010"/>
      <c r="LD63" s="1009" t="str">
        <f t="shared" si="20"/>
        <v/>
      </c>
    </row>
    <row r="64" spans="1:316" ht="28.2" customHeight="1" thickTop="1" thickBot="1">
      <c r="A64" s="426" t="str">
        <f t="shared" si="13"/>
        <v/>
      </c>
      <c r="C64" s="1640" t="str">
        <f t="shared" si="14"/>
        <v/>
      </c>
      <c r="D64" s="1641"/>
      <c r="E64" s="1568" t="str">
        <f t="shared" si="15"/>
        <v/>
      </c>
      <c r="F64" s="1569"/>
      <c r="G64" s="1569"/>
      <c r="H64" s="1569"/>
      <c r="I64" s="1569"/>
      <c r="J64" s="1569"/>
      <c r="K64" s="1569"/>
      <c r="L64" s="1569"/>
      <c r="M64" s="1642"/>
      <c r="N64" s="203" t="str">
        <f t="shared" si="16"/>
        <v/>
      </c>
      <c r="O64" s="12"/>
      <c r="P64" s="1638" t="str">
        <f t="shared" si="25"/>
        <v/>
      </c>
      <c r="Q64" s="1639"/>
      <c r="R64" s="1568" t="str">
        <f t="shared" si="30"/>
        <v/>
      </c>
      <c r="S64" s="1569"/>
      <c r="T64" s="1569"/>
      <c r="U64" s="1569"/>
      <c r="V64" s="1569"/>
      <c r="W64" s="1569"/>
      <c r="X64" s="1569"/>
      <c r="Y64" s="203" t="str">
        <f t="shared" si="26"/>
        <v/>
      </c>
      <c r="Z64" s="203" t="str">
        <f t="shared" si="27"/>
        <v/>
      </c>
      <c r="AA64" s="394" t="str">
        <f t="shared" si="28"/>
        <v/>
      </c>
      <c r="AB64" s="489"/>
      <c r="AC64" s="1564" t="str">
        <f t="shared" si="18"/>
        <v/>
      </c>
      <c r="AD64" s="1565"/>
      <c r="AE64" s="1565"/>
      <c r="AF64" s="1565"/>
      <c r="AG64" s="1565"/>
      <c r="AH64" s="1565"/>
      <c r="AK64">
        <f>SUMIFS(Installations!CV$46:CV$803,Installations!CW$46:CW$803,E64,Installations!IC$46:IC$803,TRUE)</f>
        <v>0</v>
      </c>
      <c r="AL64">
        <f>SUMIFS(Installations!CV$46:CV$803,Installations!CW$46:CW$803,R64,Installations!IC$46:IC$803,TRUE)</f>
        <v>0</v>
      </c>
      <c r="BL64" s="9"/>
      <c r="BM64" s="622" t="str">
        <f t="shared" si="19"/>
        <v/>
      </c>
      <c r="BN64" s="52"/>
      <c r="BO64" s="52"/>
      <c r="BP64" s="52"/>
      <c r="BQ64" s="52"/>
      <c r="BR64" s="52"/>
      <c r="BS64" s="52"/>
      <c r="BT64" s="52"/>
      <c r="BU64" s="373"/>
      <c r="BV64" s="219" t="str">
        <f>IF(CN64&lt;&gt;"Yes","",IFERROR(VLOOKUP(CU64,Existing!A$4:F$367,2,FALSE),""))</f>
        <v/>
      </c>
      <c r="BW64" s="9">
        <v>38</v>
      </c>
      <c r="BX64" s="1625"/>
      <c r="BY64" s="1626"/>
      <c r="BZ64" s="1626"/>
      <c r="CA64" s="1627"/>
      <c r="CB64" s="1622"/>
      <c r="CC64" s="1623"/>
      <c r="CD64" s="1623"/>
      <c r="CE64" s="1624"/>
      <c r="CF64" s="1621"/>
      <c r="CG64" s="1621"/>
      <c r="CH64" s="1621"/>
      <c r="CI64" s="1621"/>
      <c r="CJ64" s="1621"/>
      <c r="CK64" s="1621"/>
      <c r="CL64" s="1621"/>
      <c r="CM64" s="1621"/>
      <c r="CN64" s="1553" t="str">
        <f t="shared" si="31"/>
        <v/>
      </c>
      <c r="CO64" s="1554"/>
      <c r="CP64" s="229" t="str">
        <f>IFERROR(IF(CB64="Existing TLED",CR64*CW64*CY64,VLOOKUP(CU64,Existing!A$3:F$356,6,FALSE)),"")</f>
        <v/>
      </c>
      <c r="CQ64" s="9"/>
      <c r="CR64" s="1660"/>
      <c r="CS64" s="1661"/>
      <c r="CT64" s="9"/>
      <c r="CU64" s="425" t="str">
        <f t="shared" si="21"/>
        <v/>
      </c>
      <c r="CV64" s="426" t="b">
        <f t="shared" si="22"/>
        <v>0</v>
      </c>
      <c r="CW64" s="426" t="str">
        <f t="shared" si="23"/>
        <v/>
      </c>
      <c r="CX64" s="426">
        <f>IFERROR(VLOOKUP(CF64,Lookup!T$100:V$102,3,FALSE),0)</f>
        <v>0</v>
      </c>
      <c r="CY64" s="426">
        <f t="shared" si="8"/>
        <v>1.1100000000000001</v>
      </c>
      <c r="CZ64" s="626" t="b">
        <f t="shared" si="32"/>
        <v>0</v>
      </c>
      <c r="DA64" s="626" t="b">
        <f>IF(CF64&lt;&gt;"",IF(ISERROR(MATCH(CONCATENATE(CB64," - ",CF64),Existing!G$4:G$331,0))=TRUE,FALSE,TRUE),TRUE)</f>
        <v>1</v>
      </c>
      <c r="DB64" s="626" t="b">
        <f t="shared" si="33"/>
        <v>1</v>
      </c>
      <c r="DL64" s="9"/>
      <c r="DM64" s="627" t="s">
        <v>215</v>
      </c>
      <c r="DN64" s="375" t="str">
        <f t="shared" si="34"/>
        <v/>
      </c>
      <c r="DO64" s="52"/>
      <c r="DP64" s="52"/>
      <c r="DQ64" s="52"/>
      <c r="DR64" s="52"/>
      <c r="DS64" s="52"/>
      <c r="DT64" s="226"/>
      <c r="DU64" s="376"/>
      <c r="DV64" s="227" t="str">
        <f t="shared" si="35"/>
        <v/>
      </c>
      <c r="DW64" s="224">
        <v>38</v>
      </c>
      <c r="DX64" s="1572"/>
      <c r="DY64" s="1573"/>
      <c r="DZ64" s="1573"/>
      <c r="EA64" s="1574"/>
      <c r="EB64" s="1618"/>
      <c r="EC64" s="1619"/>
      <c r="ED64" s="1619"/>
      <c r="EE64" s="1620"/>
      <c r="EF64" s="1578"/>
      <c r="EG64" s="1579"/>
      <c r="EH64" s="1618"/>
      <c r="EI64" s="1619"/>
      <c r="EJ64" s="1619"/>
      <c r="EK64" s="1620"/>
      <c r="EL64" s="1575"/>
      <c r="EM64" s="1576"/>
      <c r="EN64" s="1576"/>
      <c r="EO64" s="1577"/>
      <c r="EP64" s="1578"/>
      <c r="EQ64" s="1579"/>
      <c r="ER64" s="1555"/>
      <c r="ES64" s="1556"/>
      <c r="ET64" s="1553" t="str">
        <f t="shared" si="9"/>
        <v/>
      </c>
      <c r="EU64" s="1554"/>
      <c r="EV64" s="1553" t="str">
        <f t="shared" si="29"/>
        <v/>
      </c>
      <c r="EW64" s="1554"/>
      <c r="EX64" s="393"/>
      <c r="EY64" s="225" t="str">
        <f t="shared" si="36"/>
        <v/>
      </c>
      <c r="EZ64" s="225" t="str">
        <f>IFERROR(VLOOKUP(EB64,Lookup!AT$3:AU$13,2,FALSE),"")</f>
        <v/>
      </c>
      <c r="FA64" s="426" t="b">
        <f>IFERROR(IF(VLOOKUP(EB64,Lookup!AT$6:AU$8,2,FALSE)&gt;3,TRUE,FALSE),FALSE)</f>
        <v>0</v>
      </c>
      <c r="FB64" s="426" t="str">
        <f t="shared" si="10"/>
        <v/>
      </c>
      <c r="FC64" t="str">
        <f t="shared" ca="1" si="11"/>
        <v/>
      </c>
      <c r="FG64" t="str">
        <f t="shared" ca="1" si="12"/>
        <v/>
      </c>
      <c r="FI64" s="204" t="str">
        <f t="shared" ca="1" si="24"/>
        <v/>
      </c>
      <c r="FK64" s="631" t="str">
        <f ca="1">IF(INDIRECT(CONCATENATE($FK$12,Fixtures!FK$25))="","",IF(INDIRECT(CONCATENATE($FK$12,Fixtures!FK$25))=Fixtures!$DN64,CONCATENATE(FK$10,", "),""))</f>
        <v/>
      </c>
      <c r="FL64" s="631" t="str">
        <f ca="1">IF(INDIRECT(CONCATENATE($FK$12,Fixtures!FL$25))="","",IF(INDIRECT(CONCATENATE($FK$12,Fixtures!FL$25))=Fixtures!$DN64,CONCATENATE(FL$10,", "),""))</f>
        <v/>
      </c>
      <c r="FM64" s="631" t="str">
        <f ca="1">IF(INDIRECT(CONCATENATE($FK$12,Fixtures!FM$25))="","",IF(INDIRECT(CONCATENATE($FK$12,Fixtures!FM$25))=Fixtures!$DN64,CONCATENATE(FM$10,", "),""))</f>
        <v/>
      </c>
      <c r="FN64" s="631" t="str">
        <f ca="1">IF(INDIRECT(CONCATENATE($FK$12,Fixtures!FN$25))="","",IF(INDIRECT(CONCATENATE($FK$12,Fixtures!FN$25))=Fixtures!$DN64,CONCATENATE(FN$10,", "),""))</f>
        <v/>
      </c>
      <c r="FO64" s="631" t="str">
        <f ca="1">IF(INDIRECT(CONCATENATE($FK$12,Fixtures!FO$25))="","",IF(INDIRECT(CONCATENATE($FK$12,Fixtures!FO$25))=Fixtures!$DN64,CONCATENATE(FO$10,", "),""))</f>
        <v/>
      </c>
      <c r="FP64" s="631" t="str">
        <f ca="1">IF(INDIRECT(CONCATENATE($FK$12,Fixtures!FP$25))="","",IF(INDIRECT(CONCATENATE($FK$12,Fixtures!FP$25))=Fixtures!$DN64,CONCATENATE(FP$10,", "),""))</f>
        <v/>
      </c>
      <c r="FQ64" s="631" t="str">
        <f ca="1">IF(INDIRECT(CONCATENATE($FK$12,Fixtures!FQ$25))="","",IF(INDIRECT(CONCATENATE($FK$12,Fixtures!FQ$25))=Fixtures!$DN64,CONCATENATE(FQ$10,", "),""))</f>
        <v/>
      </c>
      <c r="FR64" s="631" t="str">
        <f ca="1">IF(INDIRECT(CONCATENATE($FK$12,Fixtures!FR$25))="","",IF(INDIRECT(CONCATENATE($FK$12,Fixtures!FR$25))=Fixtures!$DN64,CONCATENATE(FR$10,", "),""))</f>
        <v/>
      </c>
      <c r="FS64" s="631" t="str">
        <f ca="1">IF(INDIRECT(CONCATENATE($FK$12,Fixtures!FS$25))="","",IF(INDIRECT(CONCATENATE($FK$12,Fixtures!FS$25))=Fixtures!$DN64,CONCATENATE(FS$10,", "),""))</f>
        <v/>
      </c>
      <c r="FT64" s="604" t="str">
        <f ca="1">IF(INDIRECT(CONCATENATE($FK$12,Fixtures!FT$25))="","",IF(INDIRECT(CONCATENATE($FK$12,Fixtures!FT$25))=Fixtures!$DN64,CONCATENATE(FT$10,", "),""))</f>
        <v/>
      </c>
      <c r="FU64" s="605" t="str">
        <f ca="1">IF(INDIRECT(CONCATENATE($FK$12,Fixtures!FU$25))="","",IF(INDIRECT(CONCATENATE($FK$12,Fixtures!FU$25))=Fixtures!$DN64,CONCATENATE(FU$10,", "),""))</f>
        <v/>
      </c>
      <c r="FV64" s="631" t="str">
        <f ca="1">IF(INDIRECT(CONCATENATE($FK$12,Fixtures!FV$25))="","",IF(INDIRECT(CONCATENATE($FK$12,Fixtures!FV$25))=Fixtures!$DN64,CONCATENATE(FV$10,", "),""))</f>
        <v/>
      </c>
      <c r="FW64" s="632" t="str">
        <f ca="1">IF(INDIRECT(CONCATENATE($FK$12,Fixtures!FW$25))="","",IF(INDIRECT(CONCATENATE($FK$12,Fixtures!FW$25))=Fixtures!$DN64,CONCATENATE(FW$10,", "),""))</f>
        <v/>
      </c>
      <c r="FX64" s="632" t="str">
        <f ca="1">IF(INDIRECT(CONCATENATE($FK$12,Fixtures!FX$25))="","",IF(INDIRECT(CONCATENATE($FK$12,Fixtures!FX$25))=Fixtures!$DN64,CONCATENATE(FX$10,", "),""))</f>
        <v/>
      </c>
      <c r="FY64" s="632" t="str">
        <f ca="1">IF(INDIRECT(CONCATENATE($FK$12,Fixtures!FY$25))="","",IF(INDIRECT(CONCATENATE($FK$12,Fixtures!FY$25))=Fixtures!$DN64,CONCATENATE(FY$10,", "),""))</f>
        <v/>
      </c>
      <c r="FZ64" s="632" t="str">
        <f ca="1">IF(INDIRECT(CONCATENATE($FK$12,Fixtures!FZ$25))="","",IF(INDIRECT(CONCATENATE($FK$12,Fixtures!FZ$25))=Fixtures!$DN64,CONCATENATE(FZ$10,", "),""))</f>
        <v/>
      </c>
      <c r="GA64" s="632" t="str">
        <f ca="1">IF(INDIRECT(CONCATENATE($FK$12,Fixtures!GA$25))="","",IF(INDIRECT(CONCATENATE($FK$12,Fixtures!GA$25))=Fixtures!$DN64,CONCATENATE(GA$10,", "),""))</f>
        <v/>
      </c>
      <c r="GB64" s="632" t="str">
        <f ca="1">IF(INDIRECT(CONCATENATE($FK$12,Fixtures!GB$25))="","",IF(INDIRECT(CONCATENATE($FK$12,Fixtures!GB$25))=Fixtures!$DN64,CONCATENATE(GB$10,", "),""))</f>
        <v/>
      </c>
      <c r="GC64" s="632" t="str">
        <f ca="1">IF(INDIRECT(CONCATENATE($FK$12,Fixtures!GC$25))="","",IF(INDIRECT(CONCATENATE($FK$12,Fixtures!GC$25))=Fixtures!$DN64,CONCATENATE(GC$10,", "),""))</f>
        <v/>
      </c>
      <c r="GD64" s="632" t="str">
        <f ca="1">IF(INDIRECT(CONCATENATE($FK$12,Fixtures!GD$25))="","",IF(INDIRECT(CONCATENATE($FK$12,Fixtures!GD$25))=Fixtures!$DN64,CONCATENATE(GD$10,", "),""))</f>
        <v/>
      </c>
      <c r="GE64" s="632" t="str">
        <f ca="1">IF(INDIRECT(CONCATENATE($FK$12,Fixtures!GE$25))="","",IF(INDIRECT(CONCATENATE($FK$12,Fixtures!GE$25))=Fixtures!$DN64,CONCATENATE(GE$10,", "),""))</f>
        <v/>
      </c>
      <c r="GF64" s="632" t="str">
        <f ca="1">IF(INDIRECT(CONCATENATE($FK$12,Fixtures!GF$25))="","",IF(INDIRECT(CONCATENATE($FK$12,Fixtures!GF$25))=Fixtures!$DN64,CONCATENATE(GF$10,", "),""))</f>
        <v/>
      </c>
      <c r="GG64" s="632" t="str">
        <f ca="1">IF(INDIRECT(CONCATENATE($FK$12,Fixtures!GG$25))="","",IF(INDIRECT(CONCATENATE($FK$12,Fixtures!GG$25))=Fixtures!$DN64,CONCATENATE(GG$10,", "),""))</f>
        <v/>
      </c>
      <c r="GH64" s="632" t="str">
        <f ca="1">IF(INDIRECT(CONCATENATE($FK$12,Fixtures!GH$25))="","",IF(INDIRECT(CONCATENATE($FK$12,Fixtures!GH$25))=Fixtures!$DN64,CONCATENATE(GH$10,", "),""))</f>
        <v/>
      </c>
      <c r="GI64" s="606" t="str">
        <f ca="1">IF(INDIRECT(CONCATENATE($FK$12,Fixtures!GI$25))="","",IF(INDIRECT(CONCATENATE($FK$12,Fixtures!GI$25))=Fixtures!$DN64,CONCATENATE(GI$10,", "),""))</f>
        <v/>
      </c>
      <c r="GJ64" s="607" t="str">
        <f ca="1">IF(INDIRECT(CONCATENATE($FK$12,Fixtures!GJ$25))="","",IF(INDIRECT(CONCATENATE($FK$12,Fixtures!GJ$25))=Fixtures!$DN64,CONCATENATE(GJ$10,", "),""))</f>
        <v/>
      </c>
      <c r="GK64" s="632" t="str">
        <f ca="1">IF(INDIRECT(CONCATENATE($FK$12,Fixtures!GK$25))="","",IF(INDIRECT(CONCATENATE($FK$12,Fixtures!GK$25))=Fixtures!$DN64,CONCATENATE(GK$10,", "),""))</f>
        <v/>
      </c>
      <c r="GL64" s="632" t="str">
        <f ca="1">IF(INDIRECT(CONCATENATE($FK$12,Fixtures!GL$25))="","",IF(INDIRECT(CONCATENATE($FK$12,Fixtures!GL$25))=Fixtures!$DN64,CONCATENATE(GL$10,", "),""))</f>
        <v/>
      </c>
      <c r="GM64" s="632" t="str">
        <f ca="1">IF(INDIRECT(CONCATENATE($FK$12,Fixtures!GM$25))="","",IF(INDIRECT(CONCATENATE($FK$12,Fixtures!GM$25))=Fixtures!$DN64,CONCATENATE(GM$10,", "),""))</f>
        <v/>
      </c>
      <c r="GN64" s="632" t="str">
        <f ca="1">IF(INDIRECT(CONCATENATE($FK$12,Fixtures!GN$25))="","",IF(INDIRECT(CONCATENATE($FK$12,Fixtures!GN$25))=Fixtures!$DN64,CONCATENATE(GN$10,", "),""))</f>
        <v/>
      </c>
      <c r="GO64" s="632" t="str">
        <f ca="1">IF(INDIRECT(CONCATENATE($FK$12,Fixtures!GO$25))="","",IF(INDIRECT(CONCATENATE($FK$12,Fixtures!GO$25))=Fixtures!$DN64,CONCATENATE(GO$10,", "),""))</f>
        <v/>
      </c>
      <c r="GP64" s="632" t="str">
        <f ca="1">IF(INDIRECT(CONCATENATE($FK$12,Fixtures!GP$25))="","",IF(INDIRECT(CONCATENATE($FK$12,Fixtures!GP$25))=Fixtures!$DN64,CONCATENATE(GP$10,", "),""))</f>
        <v/>
      </c>
      <c r="GQ64" s="632" t="str">
        <f ca="1">IF(INDIRECT(CONCATENATE($FK$12,Fixtures!GQ$25))="","",IF(INDIRECT(CONCATENATE($FK$12,Fixtures!GQ$25))=Fixtures!$DN64,CONCATENATE(GQ$10,", "),""))</f>
        <v/>
      </c>
      <c r="GR64" s="632" t="str">
        <f ca="1">IF(INDIRECT(CONCATENATE($FK$12,Fixtures!GR$25))="","",IF(INDIRECT(CONCATENATE($FK$12,Fixtures!GR$25))=Fixtures!$DN64,CONCATENATE(GR$10,", "),""))</f>
        <v/>
      </c>
      <c r="GS64" s="632" t="str">
        <f ca="1">IF(INDIRECT(CONCATENATE($FK$12,Fixtures!GS$25))="","",IF(INDIRECT(CONCATENATE($FK$12,Fixtures!GS$25))=Fixtures!$DN64,CONCATENATE(GS$10,", "),""))</f>
        <v/>
      </c>
      <c r="GT64" s="632" t="str">
        <f ca="1">IF(INDIRECT(CONCATENATE($FK$12,Fixtures!GT$25))="","",IF(INDIRECT(CONCATENATE($FK$12,Fixtures!GT$25))=Fixtures!$DN64,CONCATENATE(GT$10,", "),""))</f>
        <v/>
      </c>
      <c r="GU64" s="632" t="str">
        <f ca="1">IF(INDIRECT(CONCATENATE($FK$12,Fixtures!GU$25))="","",IF(INDIRECT(CONCATENATE($FK$12,Fixtures!GU$25))=Fixtures!$DN64,CONCATENATE(GU$10,", "),""))</f>
        <v/>
      </c>
      <c r="GV64" s="632" t="str">
        <f ca="1">IF(INDIRECT(CONCATENATE($FK$12,Fixtures!GV$25))="","",IF(INDIRECT(CONCATENATE($FK$12,Fixtures!GV$25))=Fixtures!$DN64,CONCATENATE(GV$10,", "),""))</f>
        <v/>
      </c>
      <c r="GW64" s="632" t="str">
        <f ca="1">IF(INDIRECT(CONCATENATE($FK$12,Fixtures!GW$25))="","",IF(INDIRECT(CONCATENATE($FK$12,Fixtures!GW$25))=Fixtures!$DN64,CONCATENATE(GW$10,", "),""))</f>
        <v/>
      </c>
      <c r="GX64" s="606" t="str">
        <f ca="1">IF(INDIRECT(CONCATENATE($FK$12,Fixtures!GX$25))="","",IF(INDIRECT(CONCATENATE($FK$12,Fixtures!GX$25))=Fixtures!$DN64,CONCATENATE(GX$10,", "),""))</f>
        <v/>
      </c>
      <c r="GY64" s="607" t="str">
        <f ca="1">IF(INDIRECT(CONCATENATE($FK$12,Fixtures!GY$25))="","",IF(INDIRECT(CONCATENATE($FK$12,Fixtures!GY$25))=Fixtures!$DN64,CONCATENATE(GY$10,", "),""))</f>
        <v/>
      </c>
      <c r="GZ64" s="632" t="str">
        <f ca="1">IF(INDIRECT(CONCATENATE($FK$12,Fixtures!GZ$25))="","",IF(INDIRECT(CONCATENATE($FK$12,Fixtures!GZ$25))=Fixtures!$DN64,CONCATENATE(GZ$10,", "),""))</f>
        <v/>
      </c>
      <c r="HA64" s="632" t="str">
        <f ca="1">IF(INDIRECT(CONCATENATE($FK$12,Fixtures!HA$25))="","",IF(INDIRECT(CONCATENATE($FK$12,Fixtures!HA$25))=Fixtures!$DN64,CONCATENATE(HA$10,", "),""))</f>
        <v/>
      </c>
      <c r="HB64" s="632" t="str">
        <f ca="1">IF(INDIRECT(CONCATENATE($FK$12,Fixtures!HB$25))="","",IF(INDIRECT(CONCATENATE($FK$12,Fixtures!HB$25))=Fixtures!$DN64,CONCATENATE(HB$10,", "),""))</f>
        <v/>
      </c>
      <c r="HC64" s="632" t="str">
        <f ca="1">IF(INDIRECT(CONCATENATE($FK$12,Fixtures!HC$25))="","",IF(INDIRECT(CONCATENATE($FK$12,Fixtures!HC$25))=Fixtures!$DN64,CONCATENATE(HC$10,", "),""))</f>
        <v/>
      </c>
      <c r="HD64" s="632" t="str">
        <f ca="1">IF(INDIRECT(CONCATENATE($FK$12,Fixtures!HD$25))="","",IF(INDIRECT(CONCATENATE($FK$12,Fixtures!HD$25))=Fixtures!$DN64,CONCATENATE(HD$10,", "),""))</f>
        <v/>
      </c>
      <c r="HE64" s="632" t="str">
        <f ca="1">IF(INDIRECT(CONCATENATE($FK$12,Fixtures!HE$25))="","",IF(INDIRECT(CONCATENATE($FK$12,Fixtures!HE$25))=Fixtures!$DN64,CONCATENATE(HE$10,", "),""))</f>
        <v/>
      </c>
      <c r="HF64" s="632" t="str">
        <f ca="1">IF(INDIRECT(CONCATENATE($FK$12,Fixtures!HF$25))="","",IF(INDIRECT(CONCATENATE($FK$12,Fixtures!HF$25))=Fixtures!$DN64,CONCATENATE(HF$10,", "),""))</f>
        <v/>
      </c>
      <c r="HG64" s="632" t="str">
        <f ca="1">IF(INDIRECT(CONCATENATE($FK$12,Fixtures!HG$25))="","",IF(INDIRECT(CONCATENATE($FK$12,Fixtures!HG$25))=Fixtures!$DN64,CONCATENATE(HG$10,", "),""))</f>
        <v/>
      </c>
      <c r="HH64" s="632" t="str">
        <f ca="1">IF(INDIRECT(CONCATENATE($FK$12,Fixtures!HH$25))="","",IF(INDIRECT(CONCATENATE($FK$12,Fixtures!HH$25))=Fixtures!$DN64,CONCATENATE(HH$10,", "),""))</f>
        <v/>
      </c>
      <c r="HI64" s="632" t="str">
        <f ca="1">IF(INDIRECT(CONCATENATE($FK$12,Fixtures!HI$25))="","",IF(INDIRECT(CONCATENATE($FK$12,Fixtures!HI$25))=Fixtures!$DN64,CONCATENATE(HI$10,", "),""))</f>
        <v/>
      </c>
      <c r="HJ64" s="632" t="str">
        <f ca="1">IF(INDIRECT(CONCATENATE($FK$12,Fixtures!HJ$25))="","",IF(INDIRECT(CONCATENATE($FK$12,Fixtures!HJ$25))=Fixtures!$DN64,CONCATENATE(HJ$10,", "),""))</f>
        <v/>
      </c>
      <c r="HK64" s="632" t="str">
        <f ca="1">IF(INDIRECT(CONCATENATE($FK$12,Fixtures!HK$25))="","",IF(INDIRECT(CONCATENATE($FK$12,Fixtures!HK$25))=Fixtures!$DN64,CONCATENATE(HK$10,", "),""))</f>
        <v/>
      </c>
      <c r="HL64" s="632" t="str">
        <f ca="1">IF(INDIRECT(CONCATENATE($FK$12,Fixtures!HL$25))="","",IF(INDIRECT(CONCATENATE($FK$12,Fixtures!HL$25))=Fixtures!$DN64,CONCATENATE(HL$10,", "),""))</f>
        <v/>
      </c>
      <c r="HM64" s="606" t="str">
        <f ca="1">IF(INDIRECT(CONCATENATE($FK$12,Fixtures!HM$25))="","",IF(INDIRECT(CONCATENATE($FK$12,Fixtures!HM$25))=Fixtures!$DN64,CONCATENATE(HM$10,", "),""))</f>
        <v/>
      </c>
      <c r="HN64" s="607" t="str">
        <f ca="1">IF(INDIRECT(CONCATENATE($FK$12,Fixtures!HN$25))="","",IF(INDIRECT(CONCATENATE($FK$12,Fixtures!HN$25))=Fixtures!$DN64,CONCATENATE(HN$10,", "),""))</f>
        <v/>
      </c>
      <c r="HO64" s="632" t="str">
        <f ca="1">IF(INDIRECT(CONCATENATE($FK$12,Fixtures!HO$25))="","",IF(INDIRECT(CONCATENATE($FK$12,Fixtures!HO$25))=Fixtures!$DN64,CONCATENATE(HO$10,", "),""))</f>
        <v/>
      </c>
      <c r="HP64" s="632" t="str">
        <f ca="1">IF(INDIRECT(CONCATENATE($FK$12,Fixtures!HP$25))="","",IF(INDIRECT(CONCATENATE($FK$12,Fixtures!HP$25))=Fixtures!$DN64,CONCATENATE(HP$10,", "),""))</f>
        <v/>
      </c>
      <c r="HQ64" s="632" t="str">
        <f ca="1">IF(INDIRECT(CONCATENATE($FK$12,Fixtures!HQ$25))="","",IF(INDIRECT(CONCATENATE($FK$12,Fixtures!HQ$25))=Fixtures!$DN64,CONCATENATE(HQ$10,", "),""))</f>
        <v/>
      </c>
      <c r="HR64" s="632" t="str">
        <f ca="1">IF(INDIRECT(CONCATENATE($FK$12,Fixtures!HR$25))="","",IF(INDIRECT(CONCATENATE($FK$12,Fixtures!HR$25))=Fixtures!$DN64,CONCATENATE(HR$10,", "),""))</f>
        <v/>
      </c>
      <c r="HS64" s="632" t="str">
        <f ca="1">IF(INDIRECT(CONCATENATE($FK$12,Fixtures!HS$25))="","",IF(INDIRECT(CONCATENATE($FK$12,Fixtures!HS$25))=Fixtures!$DN64,CONCATENATE(HS$10,", "),""))</f>
        <v/>
      </c>
      <c r="HT64" s="632" t="str">
        <f ca="1">IF(INDIRECT(CONCATENATE($FK$12,Fixtures!HT$25))="","",IF(INDIRECT(CONCATENATE($FK$12,Fixtures!HT$25))=Fixtures!$DN64,CONCATENATE(HT$10,", "),""))</f>
        <v/>
      </c>
      <c r="HU64" s="632" t="str">
        <f ca="1">IF(INDIRECT(CONCATENATE($FK$12,Fixtures!HU$25))="","",IF(INDIRECT(CONCATENATE($FK$12,Fixtures!HU$25))=Fixtures!$DN64,CONCATENATE(HU$10,", "),""))</f>
        <v/>
      </c>
      <c r="HV64" s="632" t="str">
        <f ca="1">IF(INDIRECT(CONCATENATE($FK$12,Fixtures!HV$25))="","",IF(INDIRECT(CONCATENATE($FK$12,Fixtures!HV$25))=Fixtures!$DN64,CONCATENATE(HV$10,", "),""))</f>
        <v/>
      </c>
      <c r="HW64" s="632" t="str">
        <f ca="1">IF(INDIRECT(CONCATENATE($FK$12,Fixtures!HW$25))="","",IF(INDIRECT(CONCATENATE($FK$12,Fixtures!HW$25))=Fixtures!$DN64,CONCATENATE(HW$10,", "),""))</f>
        <v/>
      </c>
      <c r="HX64" s="632" t="str">
        <f ca="1">IF(INDIRECT(CONCATENATE($FK$12,Fixtures!HX$25))="","",IF(INDIRECT(CONCATENATE($FK$12,Fixtures!HX$25))=Fixtures!$DN64,CONCATENATE(HX$10,", "),""))</f>
        <v/>
      </c>
      <c r="HY64" s="632" t="str">
        <f ca="1">IF(INDIRECT(CONCATENATE($FK$12,Fixtures!HY$25))="","",IF(INDIRECT(CONCATENATE($FK$12,Fixtures!HY$25))=Fixtures!$DN64,CONCATENATE(HY$10,", "),""))</f>
        <v/>
      </c>
      <c r="HZ64" s="632" t="str">
        <f ca="1">IF(INDIRECT(CONCATENATE($FK$12,Fixtures!HZ$25))="","",IF(INDIRECT(CONCATENATE($FK$12,Fixtures!HZ$25))=Fixtures!$DN64,CONCATENATE(HZ$10,", "),""))</f>
        <v/>
      </c>
      <c r="IA64" s="632" t="str">
        <f ca="1">IF(INDIRECT(CONCATENATE($FK$12,Fixtures!IA$25))="","",IF(INDIRECT(CONCATENATE($FK$12,Fixtures!IA$25))=Fixtures!$DN64,CONCATENATE(IA$10,", "),""))</f>
        <v/>
      </c>
      <c r="IB64" s="606" t="str">
        <f ca="1">IF(INDIRECT(CONCATENATE($FK$12,Fixtures!IB$25))="","",IF(INDIRECT(CONCATENATE($FK$12,Fixtures!IB$25))=Fixtures!$DN64,CONCATENATE(IB$10,", "),""))</f>
        <v/>
      </c>
      <c r="IC64" s="607" t="str">
        <f ca="1">IF(INDIRECT(CONCATENATE($FK$12,Fixtures!IC$25))="","",IF(INDIRECT(CONCATENATE($FK$12,Fixtures!IC$25))=Fixtures!$DN64,CONCATENATE(IC$10,", "),""))</f>
        <v/>
      </c>
      <c r="ID64" s="632" t="str">
        <f ca="1">IF(INDIRECT(CONCATENATE($FK$12,Fixtures!ID$25))="","",IF(INDIRECT(CONCATENATE($FK$12,Fixtures!ID$25))=Fixtures!$DN64,CONCATENATE(ID$10,", "),""))</f>
        <v/>
      </c>
      <c r="IE64" s="632" t="str">
        <f ca="1">IF(INDIRECT(CONCATENATE($FK$12,Fixtures!IE$25))="","",IF(INDIRECT(CONCATENATE($FK$12,Fixtures!IE$25))=Fixtures!$DN64,CONCATENATE(IE$10,", "),""))</f>
        <v/>
      </c>
      <c r="IF64" s="632" t="str">
        <f ca="1">IF(INDIRECT(CONCATENATE($FK$12,Fixtures!IF$25))="","",IF(INDIRECT(CONCATENATE($FK$12,Fixtures!IF$25))=Fixtures!$DN64,CONCATENATE(IF$10,", "),""))</f>
        <v/>
      </c>
      <c r="IG64" s="632" t="str">
        <f ca="1">IF(INDIRECT(CONCATENATE($FK$12,Fixtures!IG$25))="","",IF(INDIRECT(CONCATENATE($FK$12,Fixtures!IG$25))=Fixtures!$DN64,CONCATENATE(IG$10,", "),""))</f>
        <v/>
      </c>
      <c r="IH64" s="632" t="str">
        <f ca="1">IF(INDIRECT(CONCATENATE($FK$12,Fixtures!IH$25))="","",IF(INDIRECT(CONCATENATE($FK$12,Fixtures!IH$25))=Fixtures!$DN64,CONCATENATE(IH$10,", "),""))</f>
        <v/>
      </c>
      <c r="II64" s="632" t="str">
        <f ca="1">IF(INDIRECT(CONCATENATE($FK$12,Fixtures!II$25))="","",IF(INDIRECT(CONCATENATE($FK$12,Fixtures!II$25))=Fixtures!$DN64,CONCATENATE(II$10,", "),""))</f>
        <v/>
      </c>
      <c r="IJ64" s="632" t="str">
        <f ca="1">IF(INDIRECT(CONCATENATE($FK$12,Fixtures!IJ$25))="","",IF(INDIRECT(CONCATENATE($FK$12,Fixtures!IJ$25))=Fixtures!$DN64,CONCATENATE(IJ$10,", "),""))</f>
        <v/>
      </c>
      <c r="IK64" s="632" t="str">
        <f ca="1">IF(INDIRECT(CONCATENATE($FK$12,Fixtures!IK$25))="","",IF(INDIRECT(CONCATENATE($FK$12,Fixtures!IK$25))=Fixtures!$DN64,CONCATENATE(IK$10,", "),""))</f>
        <v/>
      </c>
      <c r="IL64" s="632" t="str">
        <f ca="1">IF(INDIRECT(CONCATENATE($FK$12,Fixtures!IL$25))="","",IF(INDIRECT(CONCATENATE($FK$12,Fixtures!IL$25))=Fixtures!$DN64,CONCATENATE(IL$10,", "),""))</f>
        <v/>
      </c>
      <c r="IM64" s="632" t="str">
        <f ca="1">IF(INDIRECT(CONCATENATE($FK$12,Fixtures!IM$25))="","",IF(INDIRECT(CONCATENATE($FK$12,Fixtures!IM$25))=Fixtures!$DN64,CONCATENATE(IM$10,", "),""))</f>
        <v/>
      </c>
      <c r="IN64" s="632" t="str">
        <f ca="1">IF(INDIRECT(CONCATENATE($FK$12,Fixtures!IN$25))="","",IF(INDIRECT(CONCATENATE($FK$12,Fixtures!IN$25))=Fixtures!$DN64,CONCATENATE(IN$10,", "),""))</f>
        <v/>
      </c>
      <c r="IO64" s="632" t="str">
        <f ca="1">IF(INDIRECT(CONCATENATE($FK$12,Fixtures!IO$25))="","",IF(INDIRECT(CONCATENATE($FK$12,Fixtures!IO$25))=Fixtures!$DN64,CONCATENATE(IO$10,", "),""))</f>
        <v/>
      </c>
      <c r="IP64" s="632" t="str">
        <f ca="1">IF(INDIRECT(CONCATENATE($FK$12,Fixtures!IP$25))="","",IF(INDIRECT(CONCATENATE($FK$12,Fixtures!IP$25))=Fixtures!$DN64,CONCATENATE(IP$10,", "),""))</f>
        <v/>
      </c>
      <c r="IQ64" s="606" t="str">
        <f ca="1">IF(INDIRECT(CONCATENATE($FK$12,Fixtures!IQ$25))="","",IF(INDIRECT(CONCATENATE($FK$12,Fixtures!IQ$25))=Fixtures!$DN64,CONCATENATE(IQ$10,", "),""))</f>
        <v/>
      </c>
      <c r="IR64" s="607" t="str">
        <f ca="1">IF(INDIRECT(CONCATENATE($FK$12,Fixtures!IR$25))="","",IF(INDIRECT(CONCATENATE($FK$12,Fixtures!IR$25))=Fixtures!$DN64,CONCATENATE(IR$10,", "),""))</f>
        <v/>
      </c>
      <c r="IS64" s="632" t="str">
        <f ca="1">IF(INDIRECT(CONCATENATE($FK$12,Fixtures!IS$25))="","",IF(INDIRECT(CONCATENATE($FK$12,Fixtures!IS$25))=Fixtures!$DN64,CONCATENATE(IS$10,", "),""))</f>
        <v/>
      </c>
      <c r="IT64" s="632" t="str">
        <f ca="1">IF(INDIRECT(CONCATENATE($FK$12,Fixtures!IT$25))="","",IF(INDIRECT(CONCATENATE($FK$12,Fixtures!IT$25))=Fixtures!$DN64,CONCATENATE(IT$10,", "),""))</f>
        <v/>
      </c>
      <c r="IU64" s="632" t="str">
        <f ca="1">IF(INDIRECT(CONCATENATE($FK$12,Fixtures!IU$25))="","",IF(INDIRECT(CONCATENATE($FK$12,Fixtures!IU$25))=Fixtures!$DN64,CONCATENATE(IU$10,", "),""))</f>
        <v/>
      </c>
      <c r="IV64" s="632" t="str">
        <f ca="1">IF(INDIRECT(CONCATENATE($FK$12,Fixtures!IV$25))="","",IF(INDIRECT(CONCATENATE($FK$12,Fixtures!IV$25))=Fixtures!$DN64,CONCATENATE(IV$10,", "),""))</f>
        <v/>
      </c>
      <c r="IW64" s="632" t="str">
        <f ca="1">IF(INDIRECT(CONCATENATE($FK$12,Fixtures!IW$25))="","",IF(INDIRECT(CONCATENATE($FK$12,Fixtures!IW$25))=Fixtures!$DN64,CONCATENATE(IW$10,", "),""))</f>
        <v/>
      </c>
      <c r="IX64" s="632" t="str">
        <f ca="1">IF(INDIRECT(CONCATENATE($FK$12,Fixtures!IX$25))="","",IF(INDIRECT(CONCATENATE($FK$12,Fixtures!IX$25))=Fixtures!$DN64,CONCATENATE(IX$10,", "),""))</f>
        <v/>
      </c>
      <c r="IY64" s="632" t="str">
        <f ca="1">IF(INDIRECT(CONCATENATE($FK$12,Fixtures!IY$25))="","",IF(INDIRECT(CONCATENATE($FK$12,Fixtures!IY$25))=Fixtures!$DN64,CONCATENATE(IY$10,", "),""))</f>
        <v/>
      </c>
      <c r="IZ64" s="632" t="str">
        <f ca="1">IF(INDIRECT(CONCATENATE($FK$12,Fixtures!IZ$25))="","",IF(INDIRECT(CONCATENATE($FK$12,Fixtures!IZ$25))=Fixtures!$DN64,CONCATENATE(IZ$10,", "),""))</f>
        <v/>
      </c>
      <c r="JA64" s="632" t="str">
        <f ca="1">IF(INDIRECT(CONCATENATE($FK$12,Fixtures!JA$25))="","",IF(INDIRECT(CONCATENATE($FK$12,Fixtures!JA$25))=Fixtures!$DN64,CONCATENATE(JA$10,", "),""))</f>
        <v/>
      </c>
      <c r="JB64" s="632" t="str">
        <f ca="1">IF(INDIRECT(CONCATENATE($FK$12,Fixtures!JB$25))="","",IF(INDIRECT(CONCATENATE($FK$12,Fixtures!JB$25))=Fixtures!$DN64,CONCATENATE(JB$10,", "),""))</f>
        <v/>
      </c>
      <c r="JC64" s="632" t="str">
        <f ca="1">IF(INDIRECT(CONCATENATE($FK$12,Fixtures!JC$25))="","",IF(INDIRECT(CONCATENATE($FK$12,Fixtures!JC$25))=Fixtures!$DN64,CONCATENATE(JC$10,", "),""))</f>
        <v/>
      </c>
      <c r="JD64" s="632" t="str">
        <f ca="1">IF(INDIRECT(CONCATENATE($FK$12,Fixtures!JD$25))="","",IF(INDIRECT(CONCATENATE($FK$12,Fixtures!JD$25))=Fixtures!$DN64,CONCATENATE(JD$10,", "),""))</f>
        <v/>
      </c>
      <c r="JE64" s="632" t="str">
        <f ca="1">IF(INDIRECT(CONCATENATE($FK$12,Fixtures!JE$25))="","",IF(INDIRECT(CONCATENATE($FK$12,Fixtures!JE$25))=Fixtures!$DN64,CONCATENATE(JE$10,", "),""))</f>
        <v/>
      </c>
      <c r="JF64" s="606" t="str">
        <f ca="1">IF(INDIRECT(CONCATENATE($FK$12,Fixtures!JF$25))="","",IF(INDIRECT(CONCATENATE($FK$12,Fixtures!JF$25))=Fixtures!$DN64,CONCATENATE(JF$10,", "),""))</f>
        <v/>
      </c>
      <c r="JG64" s="607" t="str">
        <f ca="1">IF(INDIRECT(CONCATENATE($FK$12,Fixtures!JG$25))="","",IF(INDIRECT(CONCATENATE($FK$12,Fixtures!JG$25))=Fixtures!$DN64,CONCATENATE(JG$10,", "),""))</f>
        <v/>
      </c>
      <c r="JH64" s="632" t="str">
        <f ca="1">IF(INDIRECT(CONCATENATE($FK$12,Fixtures!JH$25))="","",IF(INDIRECT(CONCATENATE($FK$12,Fixtures!JH$25))=Fixtures!$DN64,CONCATENATE(JH$10,", "),""))</f>
        <v/>
      </c>
      <c r="JI64" s="632" t="str">
        <f ca="1">IF(INDIRECT(CONCATENATE($FK$12,Fixtures!JI$25))="","",IF(INDIRECT(CONCATENATE($FK$12,Fixtures!JI$25))=Fixtures!$DN64,CONCATENATE(JI$10,", "),""))</f>
        <v/>
      </c>
      <c r="JJ64" s="632" t="str">
        <f ca="1">IF(INDIRECT(CONCATENATE($FK$12,Fixtures!JJ$25))="","",IF(INDIRECT(CONCATENATE($FK$12,Fixtures!JJ$25))=Fixtures!$DN64,CONCATENATE(JJ$10,", "),""))</f>
        <v/>
      </c>
      <c r="JK64" s="632" t="str">
        <f ca="1">IF(INDIRECT(CONCATENATE($FK$12,Fixtures!JK$25))="","",IF(INDIRECT(CONCATENATE($FK$12,Fixtures!JK$25))=Fixtures!$DN64,CONCATENATE(JK$10,", "),""))</f>
        <v/>
      </c>
      <c r="JL64" s="632" t="str">
        <f ca="1">IF(INDIRECT(CONCATENATE($FK$12,Fixtures!JL$25))="","",IF(INDIRECT(CONCATENATE($FK$12,Fixtures!JL$25))=Fixtures!$DN64,CONCATENATE(JL$10,", "),""))</f>
        <v/>
      </c>
      <c r="JM64" s="632" t="str">
        <f ca="1">IF(INDIRECT(CONCATENATE($FK$12,Fixtures!JM$25))="","",IF(INDIRECT(CONCATENATE($FK$12,Fixtures!JM$25))=Fixtures!$DN64,CONCATENATE(JM$10,", "),""))</f>
        <v/>
      </c>
      <c r="JN64" s="632" t="str">
        <f ca="1">IF(INDIRECT(CONCATENATE($FK$12,Fixtures!JN$25))="","",IF(INDIRECT(CONCATENATE($FK$12,Fixtures!JN$25))=Fixtures!$DN64,CONCATENATE(JN$10,", "),""))</f>
        <v/>
      </c>
      <c r="JO64" s="632" t="str">
        <f ca="1">IF(INDIRECT(CONCATENATE($FK$12,Fixtures!JO$25))="","",IF(INDIRECT(CONCATENATE($FK$12,Fixtures!JO$25))=Fixtures!$DN64,CONCATENATE(JO$10,", "),""))</f>
        <v/>
      </c>
      <c r="JP64" s="632" t="str">
        <f ca="1">IF(INDIRECT(CONCATENATE($FK$12,Fixtures!JP$25))="","",IF(INDIRECT(CONCATENATE($FK$12,Fixtures!JP$25))=Fixtures!$DN64,CONCATENATE(JP$10,", "),""))</f>
        <v/>
      </c>
      <c r="JQ64" s="632" t="str">
        <f ca="1">IF(INDIRECT(CONCATENATE($FK$12,Fixtures!JQ$25))="","",IF(INDIRECT(CONCATENATE($FK$12,Fixtures!JQ$25))=Fixtures!$DN64,CONCATENATE(JQ$10,", "),""))</f>
        <v/>
      </c>
      <c r="JR64" s="632" t="str">
        <f ca="1">IF(INDIRECT(CONCATENATE($FK$12,Fixtures!JR$25))="","",IF(INDIRECT(CONCATENATE($FK$12,Fixtures!JR$25))=Fixtures!$DN64,CONCATENATE(JR$10,", "),""))</f>
        <v/>
      </c>
      <c r="JS64" s="632" t="str">
        <f ca="1">IF(INDIRECT(CONCATENATE($FK$12,Fixtures!JS$25))="","",IF(INDIRECT(CONCATENATE($FK$12,Fixtures!JS$25))=Fixtures!$DN64,CONCATENATE(JS$10,", "),""))</f>
        <v/>
      </c>
      <c r="JT64" s="632" t="str">
        <f ca="1">IF(INDIRECT(CONCATENATE($FK$12,Fixtures!JT$25))="","",IF(INDIRECT(CONCATENATE($FK$12,Fixtures!JT$25))=Fixtures!$DN64,CONCATENATE(JT$10,", "),""))</f>
        <v/>
      </c>
      <c r="JU64" s="606" t="str">
        <f ca="1">IF(INDIRECT(CONCATENATE($FK$12,Fixtures!JU$25))="","",IF(INDIRECT(CONCATENATE($FK$12,Fixtures!JU$25))=Fixtures!$DN64,CONCATENATE(JU$10,", "),""))</f>
        <v/>
      </c>
      <c r="JV64" s="607" t="str">
        <f ca="1">IF(INDIRECT(CONCATENATE($FK$12,Fixtures!JV$25))="","",IF(INDIRECT(CONCATENATE($FK$12,Fixtures!JV$25))=Fixtures!$DN64,CONCATENATE(JV$10,", "),""))</f>
        <v/>
      </c>
      <c r="JW64" s="632" t="str">
        <f ca="1">IF(INDIRECT(CONCATENATE($FK$12,Fixtures!JW$25))="","",IF(INDIRECT(CONCATENATE($FK$12,Fixtures!JW$25))=Fixtures!$DN64,CONCATENATE(JW$10,", "),""))</f>
        <v/>
      </c>
      <c r="JX64" s="632" t="str">
        <f ca="1">IF(INDIRECT(CONCATENATE($FK$12,Fixtures!JX$25))="","",IF(INDIRECT(CONCATENATE($FK$12,Fixtures!JX$25))=Fixtures!$DN64,CONCATENATE(JX$10,", "),""))</f>
        <v/>
      </c>
      <c r="JY64" s="632" t="str">
        <f ca="1">IF(INDIRECT(CONCATENATE($FK$12,Fixtures!JY$25))="","",IF(INDIRECT(CONCATENATE($FK$12,Fixtures!JY$25))=Fixtures!$DN64,CONCATENATE(JY$10,", "),""))</f>
        <v/>
      </c>
      <c r="JZ64" s="632" t="str">
        <f ca="1">IF(INDIRECT(CONCATENATE($FK$12,Fixtures!JZ$25))="","",IF(INDIRECT(CONCATENATE($FK$12,Fixtures!JZ$25))=Fixtures!$DN64,CONCATENATE(JZ$10,", "),""))</f>
        <v/>
      </c>
      <c r="KA64" s="632" t="str">
        <f ca="1">IF(INDIRECT(CONCATENATE($FK$12,Fixtures!KA$25))="","",IF(INDIRECT(CONCATENATE($FK$12,Fixtures!KA$25))=Fixtures!$DN64,CONCATENATE(KA$10,", "),""))</f>
        <v/>
      </c>
      <c r="KB64" s="632" t="str">
        <f ca="1">IF(INDIRECT(CONCATENATE($FK$12,Fixtures!KB$25))="","",IF(INDIRECT(CONCATENATE($FK$12,Fixtures!KB$25))=Fixtures!$DN64,CONCATENATE(KB$10,", "),""))</f>
        <v/>
      </c>
      <c r="KC64" s="632" t="str">
        <f ca="1">IF(INDIRECT(CONCATENATE($FK$12,Fixtures!KC$25))="","",IF(INDIRECT(CONCATENATE($FK$12,Fixtures!KC$25))=Fixtures!$DN64,CONCATENATE(KC$10,", "),""))</f>
        <v/>
      </c>
      <c r="KD64" s="632" t="str">
        <f ca="1">IF(INDIRECT(CONCATENATE($FK$12,Fixtures!KD$25))="","",IF(INDIRECT(CONCATENATE($FK$12,Fixtures!KD$25))=Fixtures!$DN64,CONCATENATE(KD$10,", "),""))</f>
        <v/>
      </c>
      <c r="KE64" s="632" t="str">
        <f ca="1">IF(INDIRECT(CONCATENATE($FK$12,Fixtures!KE$25))="","",IF(INDIRECT(CONCATENATE($FK$12,Fixtures!KE$25))=Fixtures!$DN64,CONCATENATE(KE$10,", "),""))</f>
        <v/>
      </c>
      <c r="KF64" s="632" t="str">
        <f ca="1">IF(INDIRECT(CONCATENATE($FK$12,Fixtures!KF$25))="","",IF(INDIRECT(CONCATENATE($FK$12,Fixtures!KF$25))=Fixtures!$DN64,CONCATENATE(KF$10,", "),""))</f>
        <v/>
      </c>
      <c r="KG64" s="632" t="str">
        <f ca="1">IF(INDIRECT(CONCATENATE($FK$12,Fixtures!KG$25))="","",IF(INDIRECT(CONCATENATE($FK$12,Fixtures!KG$25))=Fixtures!$DN64,CONCATENATE(KG$10,", "),""))</f>
        <v/>
      </c>
      <c r="KH64" s="632" t="str">
        <f ca="1">IF(INDIRECT(CONCATENATE($FK$12,Fixtures!KH$25))="","",IF(INDIRECT(CONCATENATE($FK$12,Fixtures!KH$25))=Fixtures!$DN64,CONCATENATE(KH$10,", "),""))</f>
        <v/>
      </c>
      <c r="KI64" s="632" t="str">
        <f ca="1">IF(INDIRECT(CONCATENATE($FK$12,Fixtures!KI$25))="","",IF(INDIRECT(CONCATENATE($FK$12,Fixtures!KI$25))=Fixtures!$DN64,CONCATENATE(KI$10,", "),""))</f>
        <v/>
      </c>
      <c r="KJ64" s="606" t="str">
        <f ca="1">IF(INDIRECT(CONCATENATE($FK$12,Fixtures!KJ$25))="","",IF(INDIRECT(CONCATENATE($FK$12,Fixtures!KJ$25))=Fixtures!$DN64,CONCATENATE(KJ$10,", "),""))</f>
        <v/>
      </c>
      <c r="KK64" s="607" t="str">
        <f ca="1">IF(INDIRECT(CONCATENATE($FK$12,Fixtures!KK$25))="","",IF(INDIRECT(CONCATENATE($FK$12,Fixtures!KK$25))=Fixtures!$DN64,CONCATENATE(KK$10,", "),""))</f>
        <v/>
      </c>
      <c r="KL64" s="632" t="str">
        <f ca="1">IF(INDIRECT(CONCATENATE($FK$12,Fixtures!KL$25))="","",IF(INDIRECT(CONCATENATE($FK$12,Fixtures!KL$25))=Fixtures!$DN64,CONCATENATE(KL$10,", "),""))</f>
        <v/>
      </c>
      <c r="KM64" s="632" t="str">
        <f ca="1">IF(INDIRECT(CONCATENATE($FK$12,Fixtures!KM$25))="","",IF(INDIRECT(CONCATENATE($FK$12,Fixtures!KM$25))=Fixtures!$DN64,CONCATENATE(KM$10,", "),""))</f>
        <v/>
      </c>
      <c r="KN64" s="632" t="str">
        <f ca="1">IF(INDIRECT(CONCATENATE($FK$12,Fixtures!KN$25))="","",IF(INDIRECT(CONCATENATE($FK$12,Fixtures!KN$25))=Fixtures!$DN64,CONCATENATE(KN$10,", "),""))</f>
        <v/>
      </c>
      <c r="KO64" s="632" t="str">
        <f ca="1">IF(INDIRECT(CONCATENATE($FK$12,Fixtures!KO$25))="","",IF(INDIRECT(CONCATENATE($FK$12,Fixtures!KO$25))=Fixtures!$DN64,CONCATENATE(KO$10,", "),""))</f>
        <v/>
      </c>
      <c r="KP64" s="632" t="str">
        <f ca="1">IF(INDIRECT(CONCATENATE($FK$12,Fixtures!KP$25))="","",IF(INDIRECT(CONCATENATE($FK$12,Fixtures!KP$25))=Fixtures!$DN64,CONCATENATE(KP$10,", "),""))</f>
        <v/>
      </c>
      <c r="KQ64" s="632" t="str">
        <f ca="1">IF(INDIRECT(CONCATENATE($FK$12,Fixtures!KQ$25))="","",IF(INDIRECT(CONCATENATE($FK$12,Fixtures!KQ$25))=Fixtures!$DN64,CONCATENATE(KQ$10,", "),""))</f>
        <v/>
      </c>
      <c r="KR64" s="632" t="str">
        <f ca="1">IF(INDIRECT(CONCATENATE($FK$12,Fixtures!KR$25))="","",IF(INDIRECT(CONCATENATE($FK$12,Fixtures!KR$25))=Fixtures!$DN64,CONCATENATE(KR$10,", "),""))</f>
        <v/>
      </c>
      <c r="KS64" s="632" t="str">
        <f ca="1">IF(INDIRECT(CONCATENATE($FK$12,Fixtures!KS$25))="","",IF(INDIRECT(CONCATENATE($FK$12,Fixtures!KS$25))=Fixtures!$DN64,CONCATENATE(KS$10,", "),""))</f>
        <v/>
      </c>
      <c r="KT64" s="632" t="str">
        <f ca="1">IF(INDIRECT(CONCATENATE($FK$12,Fixtures!KT$25))="","",IF(INDIRECT(CONCATENATE($FK$12,Fixtures!KT$25))=Fixtures!$DN64,CONCATENATE(KT$10,", "),""))</f>
        <v/>
      </c>
      <c r="KU64" s="632" t="str">
        <f ca="1">IF(INDIRECT(CONCATENATE($FK$12,Fixtures!KU$25))="","",IF(INDIRECT(CONCATENATE($FK$12,Fixtures!KU$25))=Fixtures!$DN64,CONCATENATE(KU$10,", "),""))</f>
        <v/>
      </c>
      <c r="KV64" s="632" t="str">
        <f ca="1">IF(INDIRECT(CONCATENATE($FK$12,Fixtures!KV$25))="","",IF(INDIRECT(CONCATENATE($FK$12,Fixtures!KV$25))=Fixtures!$DN64,CONCATENATE(KV$10,", "),""))</f>
        <v/>
      </c>
      <c r="KW64" s="632" t="str">
        <f ca="1">IF(INDIRECT(CONCATENATE($FK$12,Fixtures!KW$25))="","",IF(INDIRECT(CONCATENATE($FK$12,Fixtures!KW$25))=Fixtures!$DN64,CONCATENATE(KW$10,", "),""))</f>
        <v/>
      </c>
      <c r="KX64" s="632" t="str">
        <f ca="1">IF(INDIRECT(CONCATENATE($FK$12,Fixtures!KX$25))="","",IF(INDIRECT(CONCATENATE($FK$12,Fixtures!KX$25))=Fixtures!$DN64,CONCATENATE(KX$10,", "),""))</f>
        <v/>
      </c>
      <c r="KY64" s="632"/>
      <c r="KZ64" s="542"/>
      <c r="LA64" s="46" t="str">
        <f t="shared" ca="1" si="37"/>
        <v/>
      </c>
      <c r="LB64" s="46"/>
      <c r="LC64" s="1010"/>
      <c r="LD64" s="1009" t="str">
        <f t="shared" si="20"/>
        <v/>
      </c>
    </row>
    <row r="65" spans="1:316" ht="28.2" customHeight="1" thickTop="1" thickBot="1">
      <c r="A65" s="426" t="str">
        <f t="shared" si="13"/>
        <v/>
      </c>
      <c r="C65" s="1640" t="str">
        <f t="shared" si="14"/>
        <v/>
      </c>
      <c r="D65" s="1641"/>
      <c r="E65" s="1568" t="str">
        <f t="shared" si="15"/>
        <v/>
      </c>
      <c r="F65" s="1569"/>
      <c r="G65" s="1569"/>
      <c r="H65" s="1569"/>
      <c r="I65" s="1569"/>
      <c r="J65" s="1569"/>
      <c r="K65" s="1569"/>
      <c r="L65" s="1569"/>
      <c r="M65" s="1642"/>
      <c r="N65" s="203" t="str">
        <f t="shared" si="16"/>
        <v/>
      </c>
      <c r="O65" s="12"/>
      <c r="P65" s="1638" t="str">
        <f t="shared" si="25"/>
        <v/>
      </c>
      <c r="Q65" s="1639"/>
      <c r="R65" s="1568" t="str">
        <f t="shared" si="30"/>
        <v/>
      </c>
      <c r="S65" s="1569"/>
      <c r="T65" s="1569"/>
      <c r="U65" s="1569"/>
      <c r="V65" s="1569"/>
      <c r="W65" s="1569"/>
      <c r="X65" s="1569"/>
      <c r="Y65" s="203" t="str">
        <f t="shared" si="26"/>
        <v/>
      </c>
      <c r="Z65" s="203" t="str">
        <f t="shared" si="27"/>
        <v/>
      </c>
      <c r="AA65" s="394" t="str">
        <f t="shared" si="28"/>
        <v/>
      </c>
      <c r="AB65" s="489"/>
      <c r="AC65" s="1564" t="str">
        <f t="shared" si="18"/>
        <v/>
      </c>
      <c r="AD65" s="1565"/>
      <c r="AE65" s="1565"/>
      <c r="AF65" s="1565"/>
      <c r="AG65" s="1565"/>
      <c r="AH65" s="1565"/>
      <c r="AK65">
        <f>SUMIFS(Installations!CV$46:CV$803,Installations!CW$46:CW$803,E65,Installations!IC$46:IC$803,TRUE)</f>
        <v>0</v>
      </c>
      <c r="AL65">
        <f>SUMIFS(Installations!CV$46:CV$803,Installations!CW$46:CW$803,R65,Installations!IC$46:IC$803,TRUE)</f>
        <v>0</v>
      </c>
      <c r="BL65" s="9"/>
      <c r="BM65" s="622" t="str">
        <f t="shared" si="19"/>
        <v/>
      </c>
      <c r="BN65" s="52"/>
      <c r="BO65" s="52"/>
      <c r="BP65" s="52"/>
      <c r="BQ65" s="52"/>
      <c r="BR65" s="52"/>
      <c r="BS65" s="52"/>
      <c r="BT65" s="52"/>
      <c r="BU65" s="373"/>
      <c r="BV65" s="219" t="str">
        <f>IF(CN65&lt;&gt;"Yes","",IFERROR(VLOOKUP(CU65,Existing!A$4:F$367,2,FALSE),""))</f>
        <v/>
      </c>
      <c r="BW65" s="9">
        <v>39</v>
      </c>
      <c r="BX65" s="1625"/>
      <c r="BY65" s="1626"/>
      <c r="BZ65" s="1626"/>
      <c r="CA65" s="1627"/>
      <c r="CB65" s="1622"/>
      <c r="CC65" s="1623"/>
      <c r="CD65" s="1623"/>
      <c r="CE65" s="1624"/>
      <c r="CF65" s="1621"/>
      <c r="CG65" s="1621"/>
      <c r="CH65" s="1621"/>
      <c r="CI65" s="1621"/>
      <c r="CJ65" s="1621"/>
      <c r="CK65" s="1621"/>
      <c r="CL65" s="1621"/>
      <c r="CM65" s="1621"/>
      <c r="CN65" s="1553" t="str">
        <f t="shared" si="31"/>
        <v/>
      </c>
      <c r="CO65" s="1554"/>
      <c r="CP65" s="229" t="str">
        <f>IFERROR(IF(CB65="Existing TLED",CR65*CW65*CY65,VLOOKUP(CU65,Existing!A$3:F$356,6,FALSE)),"")</f>
        <v/>
      </c>
      <c r="CQ65" s="9"/>
      <c r="CR65" s="1660"/>
      <c r="CS65" s="1661"/>
      <c r="CT65" s="9"/>
      <c r="CU65" s="425" t="str">
        <f t="shared" si="21"/>
        <v/>
      </c>
      <c r="CV65" s="426" t="b">
        <f t="shared" si="22"/>
        <v>0</v>
      </c>
      <c r="CW65" s="426" t="str">
        <f t="shared" si="23"/>
        <v/>
      </c>
      <c r="CX65" s="426">
        <f>IFERROR(VLOOKUP(CF65,Lookup!T$100:V$102,3,FALSE),0)</f>
        <v>0</v>
      </c>
      <c r="CY65" s="426">
        <f t="shared" si="8"/>
        <v>1.1100000000000001</v>
      </c>
      <c r="CZ65" s="626" t="b">
        <f t="shared" si="32"/>
        <v>0</v>
      </c>
      <c r="DA65" s="626" t="b">
        <f>IF(CF65&lt;&gt;"",IF(ISERROR(MATCH(CONCATENATE(CB65," - ",CF65),Existing!G$4:G$331,0))=TRUE,FALSE,TRUE),TRUE)</f>
        <v>1</v>
      </c>
      <c r="DB65" s="626" t="b">
        <f t="shared" si="33"/>
        <v>1</v>
      </c>
      <c r="DL65" s="9"/>
      <c r="DM65" s="627" t="s">
        <v>215</v>
      </c>
      <c r="DN65" s="375" t="str">
        <f t="shared" si="34"/>
        <v/>
      </c>
      <c r="DO65" s="52"/>
      <c r="DP65" s="52"/>
      <c r="DQ65" s="52"/>
      <c r="DR65" s="52"/>
      <c r="DS65" s="52"/>
      <c r="DT65" s="226"/>
      <c r="DU65" s="376"/>
      <c r="DV65" s="227" t="str">
        <f t="shared" si="35"/>
        <v/>
      </c>
      <c r="DW65" s="224">
        <v>39</v>
      </c>
      <c r="DX65" s="1572"/>
      <c r="DY65" s="1573"/>
      <c r="DZ65" s="1573"/>
      <c r="EA65" s="1574"/>
      <c r="EB65" s="1618"/>
      <c r="EC65" s="1619"/>
      <c r="ED65" s="1619"/>
      <c r="EE65" s="1620"/>
      <c r="EF65" s="1578"/>
      <c r="EG65" s="1579"/>
      <c r="EH65" s="1618"/>
      <c r="EI65" s="1619"/>
      <c r="EJ65" s="1619"/>
      <c r="EK65" s="1620"/>
      <c r="EL65" s="1575"/>
      <c r="EM65" s="1576"/>
      <c r="EN65" s="1576"/>
      <c r="EO65" s="1577"/>
      <c r="EP65" s="1578"/>
      <c r="EQ65" s="1579"/>
      <c r="ER65" s="1555"/>
      <c r="ES65" s="1556"/>
      <c r="ET65" s="1553" t="str">
        <f t="shared" si="9"/>
        <v/>
      </c>
      <c r="EU65" s="1554"/>
      <c r="EV65" s="1553" t="str">
        <f t="shared" si="29"/>
        <v/>
      </c>
      <c r="EW65" s="1554"/>
      <c r="EX65" s="393"/>
      <c r="EY65" s="225" t="str">
        <f t="shared" si="36"/>
        <v/>
      </c>
      <c r="EZ65" s="225" t="str">
        <f>IFERROR(VLOOKUP(EB65,Lookup!AT$3:AU$13,2,FALSE),"")</f>
        <v/>
      </c>
      <c r="FA65" s="426" t="b">
        <f>IFERROR(IF(VLOOKUP(EB65,Lookup!AT$6:AU$8,2,FALSE)&gt;3,TRUE,FALSE),FALSE)</f>
        <v>0</v>
      </c>
      <c r="FB65" s="426" t="str">
        <f t="shared" si="10"/>
        <v/>
      </c>
      <c r="FC65" t="str">
        <f t="shared" ca="1" si="11"/>
        <v/>
      </c>
      <c r="FG65" t="str">
        <f t="shared" ca="1" si="12"/>
        <v/>
      </c>
      <c r="FI65" s="204" t="str">
        <f t="shared" ca="1" si="24"/>
        <v/>
      </c>
      <c r="FK65" s="631" t="str">
        <f ca="1">IF(INDIRECT(CONCATENATE($FK$12,Fixtures!FK$25))="","",IF(INDIRECT(CONCATENATE($FK$12,Fixtures!FK$25))=Fixtures!$DN65,CONCATENATE(FK$10,", "),""))</f>
        <v/>
      </c>
      <c r="FL65" s="631" t="str">
        <f ca="1">IF(INDIRECT(CONCATENATE($FK$12,Fixtures!FL$25))="","",IF(INDIRECT(CONCATENATE($FK$12,Fixtures!FL$25))=Fixtures!$DN65,CONCATENATE(FL$10,", "),""))</f>
        <v/>
      </c>
      <c r="FM65" s="631" t="str">
        <f ca="1">IF(INDIRECT(CONCATENATE($FK$12,Fixtures!FM$25))="","",IF(INDIRECT(CONCATENATE($FK$12,Fixtures!FM$25))=Fixtures!$DN65,CONCATENATE(FM$10,", "),""))</f>
        <v/>
      </c>
      <c r="FN65" s="631" t="str">
        <f ca="1">IF(INDIRECT(CONCATENATE($FK$12,Fixtures!FN$25))="","",IF(INDIRECT(CONCATENATE($FK$12,Fixtures!FN$25))=Fixtures!$DN65,CONCATENATE(FN$10,", "),""))</f>
        <v/>
      </c>
      <c r="FO65" s="631" t="str">
        <f ca="1">IF(INDIRECT(CONCATENATE($FK$12,Fixtures!FO$25))="","",IF(INDIRECT(CONCATENATE($FK$12,Fixtures!FO$25))=Fixtures!$DN65,CONCATENATE(FO$10,", "),""))</f>
        <v/>
      </c>
      <c r="FP65" s="631" t="str">
        <f ca="1">IF(INDIRECT(CONCATENATE($FK$12,Fixtures!FP$25))="","",IF(INDIRECT(CONCATENATE($FK$12,Fixtures!FP$25))=Fixtures!$DN65,CONCATENATE(FP$10,", "),""))</f>
        <v/>
      </c>
      <c r="FQ65" s="631" t="str">
        <f ca="1">IF(INDIRECT(CONCATENATE($FK$12,Fixtures!FQ$25))="","",IF(INDIRECT(CONCATENATE($FK$12,Fixtures!FQ$25))=Fixtures!$DN65,CONCATENATE(FQ$10,", "),""))</f>
        <v/>
      </c>
      <c r="FR65" s="631" t="str">
        <f ca="1">IF(INDIRECT(CONCATENATE($FK$12,Fixtures!FR$25))="","",IF(INDIRECT(CONCATENATE($FK$12,Fixtures!FR$25))=Fixtures!$DN65,CONCATENATE(FR$10,", "),""))</f>
        <v/>
      </c>
      <c r="FS65" s="631" t="str">
        <f ca="1">IF(INDIRECT(CONCATENATE($FK$12,Fixtures!FS$25))="","",IF(INDIRECT(CONCATENATE($FK$12,Fixtures!FS$25))=Fixtures!$DN65,CONCATENATE(FS$10,", "),""))</f>
        <v/>
      </c>
      <c r="FT65" s="604" t="str">
        <f ca="1">IF(INDIRECT(CONCATENATE($FK$12,Fixtures!FT$25))="","",IF(INDIRECT(CONCATENATE($FK$12,Fixtures!FT$25))=Fixtures!$DN65,CONCATENATE(FT$10,", "),""))</f>
        <v/>
      </c>
      <c r="FU65" s="605" t="str">
        <f ca="1">IF(INDIRECT(CONCATENATE($FK$12,Fixtures!FU$25))="","",IF(INDIRECT(CONCATENATE($FK$12,Fixtures!FU$25))=Fixtures!$DN65,CONCATENATE(FU$10,", "),""))</f>
        <v/>
      </c>
      <c r="FV65" s="631" t="str">
        <f ca="1">IF(INDIRECT(CONCATENATE($FK$12,Fixtures!FV$25))="","",IF(INDIRECT(CONCATENATE($FK$12,Fixtures!FV$25))=Fixtures!$DN65,CONCATENATE(FV$10,", "),""))</f>
        <v/>
      </c>
      <c r="FW65" s="632" t="str">
        <f ca="1">IF(INDIRECT(CONCATENATE($FK$12,Fixtures!FW$25))="","",IF(INDIRECT(CONCATENATE($FK$12,Fixtures!FW$25))=Fixtures!$DN65,CONCATENATE(FW$10,", "),""))</f>
        <v/>
      </c>
      <c r="FX65" s="632" t="str">
        <f ca="1">IF(INDIRECT(CONCATENATE($FK$12,Fixtures!FX$25))="","",IF(INDIRECT(CONCATENATE($FK$12,Fixtures!FX$25))=Fixtures!$DN65,CONCATENATE(FX$10,", "),""))</f>
        <v/>
      </c>
      <c r="FY65" s="632" t="str">
        <f ca="1">IF(INDIRECT(CONCATENATE($FK$12,Fixtures!FY$25))="","",IF(INDIRECT(CONCATENATE($FK$12,Fixtures!FY$25))=Fixtures!$DN65,CONCATENATE(FY$10,", "),""))</f>
        <v/>
      </c>
      <c r="FZ65" s="632" t="str">
        <f ca="1">IF(INDIRECT(CONCATENATE($FK$12,Fixtures!FZ$25))="","",IF(INDIRECT(CONCATENATE($FK$12,Fixtures!FZ$25))=Fixtures!$DN65,CONCATENATE(FZ$10,", "),""))</f>
        <v/>
      </c>
      <c r="GA65" s="632" t="str">
        <f ca="1">IF(INDIRECT(CONCATENATE($FK$12,Fixtures!GA$25))="","",IF(INDIRECT(CONCATENATE($FK$12,Fixtures!GA$25))=Fixtures!$DN65,CONCATENATE(GA$10,", "),""))</f>
        <v/>
      </c>
      <c r="GB65" s="632" t="str">
        <f ca="1">IF(INDIRECT(CONCATENATE($FK$12,Fixtures!GB$25))="","",IF(INDIRECT(CONCATENATE($FK$12,Fixtures!GB$25))=Fixtures!$DN65,CONCATENATE(GB$10,", "),""))</f>
        <v/>
      </c>
      <c r="GC65" s="632" t="str">
        <f ca="1">IF(INDIRECT(CONCATENATE($FK$12,Fixtures!GC$25))="","",IF(INDIRECT(CONCATENATE($FK$12,Fixtures!GC$25))=Fixtures!$DN65,CONCATENATE(GC$10,", "),""))</f>
        <v/>
      </c>
      <c r="GD65" s="632" t="str">
        <f ca="1">IF(INDIRECT(CONCATENATE($FK$12,Fixtures!GD$25))="","",IF(INDIRECT(CONCATENATE($FK$12,Fixtures!GD$25))=Fixtures!$DN65,CONCATENATE(GD$10,", "),""))</f>
        <v/>
      </c>
      <c r="GE65" s="632" t="str">
        <f ca="1">IF(INDIRECT(CONCATENATE($FK$12,Fixtures!GE$25))="","",IF(INDIRECT(CONCATENATE($FK$12,Fixtures!GE$25))=Fixtures!$DN65,CONCATENATE(GE$10,", "),""))</f>
        <v/>
      </c>
      <c r="GF65" s="632" t="str">
        <f ca="1">IF(INDIRECT(CONCATENATE($FK$12,Fixtures!GF$25))="","",IF(INDIRECT(CONCATENATE($FK$12,Fixtures!GF$25))=Fixtures!$DN65,CONCATENATE(GF$10,", "),""))</f>
        <v/>
      </c>
      <c r="GG65" s="632" t="str">
        <f ca="1">IF(INDIRECT(CONCATENATE($FK$12,Fixtures!GG$25))="","",IF(INDIRECT(CONCATENATE($FK$12,Fixtures!GG$25))=Fixtures!$DN65,CONCATENATE(GG$10,", "),""))</f>
        <v/>
      </c>
      <c r="GH65" s="632" t="str">
        <f ca="1">IF(INDIRECT(CONCATENATE($FK$12,Fixtures!GH$25))="","",IF(INDIRECT(CONCATENATE($FK$12,Fixtures!GH$25))=Fixtures!$DN65,CONCATENATE(GH$10,", "),""))</f>
        <v/>
      </c>
      <c r="GI65" s="606" t="str">
        <f ca="1">IF(INDIRECT(CONCATENATE($FK$12,Fixtures!GI$25))="","",IF(INDIRECT(CONCATENATE($FK$12,Fixtures!GI$25))=Fixtures!$DN65,CONCATENATE(GI$10,", "),""))</f>
        <v/>
      </c>
      <c r="GJ65" s="607" t="str">
        <f ca="1">IF(INDIRECT(CONCATENATE($FK$12,Fixtures!GJ$25))="","",IF(INDIRECT(CONCATENATE($FK$12,Fixtures!GJ$25))=Fixtures!$DN65,CONCATENATE(GJ$10,", "),""))</f>
        <v/>
      </c>
      <c r="GK65" s="632" t="str">
        <f ca="1">IF(INDIRECT(CONCATENATE($FK$12,Fixtures!GK$25))="","",IF(INDIRECT(CONCATENATE($FK$12,Fixtures!GK$25))=Fixtures!$DN65,CONCATENATE(GK$10,", "),""))</f>
        <v/>
      </c>
      <c r="GL65" s="632" t="str">
        <f ca="1">IF(INDIRECT(CONCATENATE($FK$12,Fixtures!GL$25))="","",IF(INDIRECT(CONCATENATE($FK$12,Fixtures!GL$25))=Fixtures!$DN65,CONCATENATE(GL$10,", "),""))</f>
        <v/>
      </c>
      <c r="GM65" s="632" t="str">
        <f ca="1">IF(INDIRECT(CONCATENATE($FK$12,Fixtures!GM$25))="","",IF(INDIRECT(CONCATENATE($FK$12,Fixtures!GM$25))=Fixtures!$DN65,CONCATENATE(GM$10,", "),""))</f>
        <v/>
      </c>
      <c r="GN65" s="632" t="str">
        <f ca="1">IF(INDIRECT(CONCATENATE($FK$12,Fixtures!GN$25))="","",IF(INDIRECT(CONCATENATE($FK$12,Fixtures!GN$25))=Fixtures!$DN65,CONCATENATE(GN$10,", "),""))</f>
        <v/>
      </c>
      <c r="GO65" s="632" t="str">
        <f ca="1">IF(INDIRECT(CONCATENATE($FK$12,Fixtures!GO$25))="","",IF(INDIRECT(CONCATENATE($FK$12,Fixtures!GO$25))=Fixtures!$DN65,CONCATENATE(GO$10,", "),""))</f>
        <v/>
      </c>
      <c r="GP65" s="632" t="str">
        <f ca="1">IF(INDIRECT(CONCATENATE($FK$12,Fixtures!GP$25))="","",IF(INDIRECT(CONCATENATE($FK$12,Fixtures!GP$25))=Fixtures!$DN65,CONCATENATE(GP$10,", "),""))</f>
        <v/>
      </c>
      <c r="GQ65" s="632" t="str">
        <f ca="1">IF(INDIRECT(CONCATENATE($FK$12,Fixtures!GQ$25))="","",IF(INDIRECT(CONCATENATE($FK$12,Fixtures!GQ$25))=Fixtures!$DN65,CONCATENATE(GQ$10,", "),""))</f>
        <v/>
      </c>
      <c r="GR65" s="632" t="str">
        <f ca="1">IF(INDIRECT(CONCATENATE($FK$12,Fixtures!GR$25))="","",IF(INDIRECT(CONCATENATE($FK$12,Fixtures!GR$25))=Fixtures!$DN65,CONCATENATE(GR$10,", "),""))</f>
        <v/>
      </c>
      <c r="GS65" s="632" t="str">
        <f ca="1">IF(INDIRECT(CONCATENATE($FK$12,Fixtures!GS$25))="","",IF(INDIRECT(CONCATENATE($FK$12,Fixtures!GS$25))=Fixtures!$DN65,CONCATENATE(GS$10,", "),""))</f>
        <v/>
      </c>
      <c r="GT65" s="632" t="str">
        <f ca="1">IF(INDIRECT(CONCATENATE($FK$12,Fixtures!GT$25))="","",IF(INDIRECT(CONCATENATE($FK$12,Fixtures!GT$25))=Fixtures!$DN65,CONCATENATE(GT$10,", "),""))</f>
        <v/>
      </c>
      <c r="GU65" s="632" t="str">
        <f ca="1">IF(INDIRECT(CONCATENATE($FK$12,Fixtures!GU$25))="","",IF(INDIRECT(CONCATENATE($FK$12,Fixtures!GU$25))=Fixtures!$DN65,CONCATENATE(GU$10,", "),""))</f>
        <v/>
      </c>
      <c r="GV65" s="632" t="str">
        <f ca="1">IF(INDIRECT(CONCATENATE($FK$12,Fixtures!GV$25))="","",IF(INDIRECT(CONCATENATE($FK$12,Fixtures!GV$25))=Fixtures!$DN65,CONCATENATE(GV$10,", "),""))</f>
        <v/>
      </c>
      <c r="GW65" s="632" t="str">
        <f ca="1">IF(INDIRECT(CONCATENATE($FK$12,Fixtures!GW$25))="","",IF(INDIRECT(CONCATENATE($FK$12,Fixtures!GW$25))=Fixtures!$DN65,CONCATENATE(GW$10,", "),""))</f>
        <v/>
      </c>
      <c r="GX65" s="606" t="str">
        <f ca="1">IF(INDIRECT(CONCATENATE($FK$12,Fixtures!GX$25))="","",IF(INDIRECT(CONCATENATE($FK$12,Fixtures!GX$25))=Fixtures!$DN65,CONCATENATE(GX$10,", "),""))</f>
        <v/>
      </c>
      <c r="GY65" s="607" t="str">
        <f ca="1">IF(INDIRECT(CONCATENATE($FK$12,Fixtures!GY$25))="","",IF(INDIRECT(CONCATENATE($FK$12,Fixtures!GY$25))=Fixtures!$DN65,CONCATENATE(GY$10,", "),""))</f>
        <v/>
      </c>
      <c r="GZ65" s="632" t="str">
        <f ca="1">IF(INDIRECT(CONCATENATE($FK$12,Fixtures!GZ$25))="","",IF(INDIRECT(CONCATENATE($FK$12,Fixtures!GZ$25))=Fixtures!$DN65,CONCATENATE(GZ$10,", "),""))</f>
        <v/>
      </c>
      <c r="HA65" s="632" t="str">
        <f ca="1">IF(INDIRECT(CONCATENATE($FK$12,Fixtures!HA$25))="","",IF(INDIRECT(CONCATENATE($FK$12,Fixtures!HA$25))=Fixtures!$DN65,CONCATENATE(HA$10,", "),""))</f>
        <v/>
      </c>
      <c r="HB65" s="632" t="str">
        <f ca="1">IF(INDIRECT(CONCATENATE($FK$12,Fixtures!HB$25))="","",IF(INDIRECT(CONCATENATE($FK$12,Fixtures!HB$25))=Fixtures!$DN65,CONCATENATE(HB$10,", "),""))</f>
        <v/>
      </c>
      <c r="HC65" s="632" t="str">
        <f ca="1">IF(INDIRECT(CONCATENATE($FK$12,Fixtures!HC$25))="","",IF(INDIRECT(CONCATENATE($FK$12,Fixtures!HC$25))=Fixtures!$DN65,CONCATENATE(HC$10,", "),""))</f>
        <v/>
      </c>
      <c r="HD65" s="632" t="str">
        <f ca="1">IF(INDIRECT(CONCATENATE($FK$12,Fixtures!HD$25))="","",IF(INDIRECT(CONCATENATE($FK$12,Fixtures!HD$25))=Fixtures!$DN65,CONCATENATE(HD$10,", "),""))</f>
        <v/>
      </c>
      <c r="HE65" s="632" t="str">
        <f ca="1">IF(INDIRECT(CONCATENATE($FK$12,Fixtures!HE$25))="","",IF(INDIRECT(CONCATENATE($FK$12,Fixtures!HE$25))=Fixtures!$DN65,CONCATENATE(HE$10,", "),""))</f>
        <v/>
      </c>
      <c r="HF65" s="632" t="str">
        <f ca="1">IF(INDIRECT(CONCATENATE($FK$12,Fixtures!HF$25))="","",IF(INDIRECT(CONCATENATE($FK$12,Fixtures!HF$25))=Fixtures!$DN65,CONCATENATE(HF$10,", "),""))</f>
        <v/>
      </c>
      <c r="HG65" s="632" t="str">
        <f ca="1">IF(INDIRECT(CONCATENATE($FK$12,Fixtures!HG$25))="","",IF(INDIRECT(CONCATENATE($FK$12,Fixtures!HG$25))=Fixtures!$DN65,CONCATENATE(HG$10,", "),""))</f>
        <v/>
      </c>
      <c r="HH65" s="632" t="str">
        <f ca="1">IF(INDIRECT(CONCATENATE($FK$12,Fixtures!HH$25))="","",IF(INDIRECT(CONCATENATE($FK$12,Fixtures!HH$25))=Fixtures!$DN65,CONCATENATE(HH$10,", "),""))</f>
        <v/>
      </c>
      <c r="HI65" s="632" t="str">
        <f ca="1">IF(INDIRECT(CONCATENATE($FK$12,Fixtures!HI$25))="","",IF(INDIRECT(CONCATENATE($FK$12,Fixtures!HI$25))=Fixtures!$DN65,CONCATENATE(HI$10,", "),""))</f>
        <v/>
      </c>
      <c r="HJ65" s="632" t="str">
        <f ca="1">IF(INDIRECT(CONCATENATE($FK$12,Fixtures!HJ$25))="","",IF(INDIRECT(CONCATENATE($FK$12,Fixtures!HJ$25))=Fixtures!$DN65,CONCATENATE(HJ$10,", "),""))</f>
        <v/>
      </c>
      <c r="HK65" s="632" t="str">
        <f ca="1">IF(INDIRECT(CONCATENATE($FK$12,Fixtures!HK$25))="","",IF(INDIRECT(CONCATENATE($FK$12,Fixtures!HK$25))=Fixtures!$DN65,CONCATENATE(HK$10,", "),""))</f>
        <v/>
      </c>
      <c r="HL65" s="632" t="str">
        <f ca="1">IF(INDIRECT(CONCATENATE($FK$12,Fixtures!HL$25))="","",IF(INDIRECT(CONCATENATE($FK$12,Fixtures!HL$25))=Fixtures!$DN65,CONCATENATE(HL$10,", "),""))</f>
        <v/>
      </c>
      <c r="HM65" s="606" t="str">
        <f ca="1">IF(INDIRECT(CONCATENATE($FK$12,Fixtures!HM$25))="","",IF(INDIRECT(CONCATENATE($FK$12,Fixtures!HM$25))=Fixtures!$DN65,CONCATENATE(HM$10,", "),""))</f>
        <v/>
      </c>
      <c r="HN65" s="607" t="str">
        <f ca="1">IF(INDIRECT(CONCATENATE($FK$12,Fixtures!HN$25))="","",IF(INDIRECT(CONCATENATE($FK$12,Fixtures!HN$25))=Fixtures!$DN65,CONCATENATE(HN$10,", "),""))</f>
        <v/>
      </c>
      <c r="HO65" s="632" t="str">
        <f ca="1">IF(INDIRECT(CONCATENATE($FK$12,Fixtures!HO$25))="","",IF(INDIRECT(CONCATENATE($FK$12,Fixtures!HO$25))=Fixtures!$DN65,CONCATENATE(HO$10,", "),""))</f>
        <v/>
      </c>
      <c r="HP65" s="632" t="str">
        <f ca="1">IF(INDIRECT(CONCATENATE($FK$12,Fixtures!HP$25))="","",IF(INDIRECT(CONCATENATE($FK$12,Fixtures!HP$25))=Fixtures!$DN65,CONCATENATE(HP$10,", "),""))</f>
        <v/>
      </c>
      <c r="HQ65" s="632" t="str">
        <f ca="1">IF(INDIRECT(CONCATENATE($FK$12,Fixtures!HQ$25))="","",IF(INDIRECT(CONCATENATE($FK$12,Fixtures!HQ$25))=Fixtures!$DN65,CONCATENATE(HQ$10,", "),""))</f>
        <v/>
      </c>
      <c r="HR65" s="632" t="str">
        <f ca="1">IF(INDIRECT(CONCATENATE($FK$12,Fixtures!HR$25))="","",IF(INDIRECT(CONCATENATE($FK$12,Fixtures!HR$25))=Fixtures!$DN65,CONCATENATE(HR$10,", "),""))</f>
        <v/>
      </c>
      <c r="HS65" s="632" t="str">
        <f ca="1">IF(INDIRECT(CONCATENATE($FK$12,Fixtures!HS$25))="","",IF(INDIRECT(CONCATENATE($FK$12,Fixtures!HS$25))=Fixtures!$DN65,CONCATENATE(HS$10,", "),""))</f>
        <v/>
      </c>
      <c r="HT65" s="632" t="str">
        <f ca="1">IF(INDIRECT(CONCATENATE($FK$12,Fixtures!HT$25))="","",IF(INDIRECT(CONCATENATE($FK$12,Fixtures!HT$25))=Fixtures!$DN65,CONCATENATE(HT$10,", "),""))</f>
        <v/>
      </c>
      <c r="HU65" s="632" t="str">
        <f ca="1">IF(INDIRECT(CONCATENATE($FK$12,Fixtures!HU$25))="","",IF(INDIRECT(CONCATENATE($FK$12,Fixtures!HU$25))=Fixtures!$DN65,CONCATENATE(HU$10,", "),""))</f>
        <v/>
      </c>
      <c r="HV65" s="632" t="str">
        <f ca="1">IF(INDIRECT(CONCATENATE($FK$12,Fixtures!HV$25))="","",IF(INDIRECT(CONCATENATE($FK$12,Fixtures!HV$25))=Fixtures!$DN65,CONCATENATE(HV$10,", "),""))</f>
        <v/>
      </c>
      <c r="HW65" s="632" t="str">
        <f ca="1">IF(INDIRECT(CONCATENATE($FK$12,Fixtures!HW$25))="","",IF(INDIRECT(CONCATENATE($FK$12,Fixtures!HW$25))=Fixtures!$DN65,CONCATENATE(HW$10,", "),""))</f>
        <v/>
      </c>
      <c r="HX65" s="632" t="str">
        <f ca="1">IF(INDIRECT(CONCATENATE($FK$12,Fixtures!HX$25))="","",IF(INDIRECT(CONCATENATE($FK$12,Fixtures!HX$25))=Fixtures!$DN65,CONCATENATE(HX$10,", "),""))</f>
        <v/>
      </c>
      <c r="HY65" s="632" t="str">
        <f ca="1">IF(INDIRECT(CONCATENATE($FK$12,Fixtures!HY$25))="","",IF(INDIRECT(CONCATENATE($FK$12,Fixtures!HY$25))=Fixtures!$DN65,CONCATENATE(HY$10,", "),""))</f>
        <v/>
      </c>
      <c r="HZ65" s="632" t="str">
        <f ca="1">IF(INDIRECT(CONCATENATE($FK$12,Fixtures!HZ$25))="","",IF(INDIRECT(CONCATENATE($FK$12,Fixtures!HZ$25))=Fixtures!$DN65,CONCATENATE(HZ$10,", "),""))</f>
        <v/>
      </c>
      <c r="IA65" s="632" t="str">
        <f ca="1">IF(INDIRECT(CONCATENATE($FK$12,Fixtures!IA$25))="","",IF(INDIRECT(CONCATENATE($FK$12,Fixtures!IA$25))=Fixtures!$DN65,CONCATENATE(IA$10,", "),""))</f>
        <v/>
      </c>
      <c r="IB65" s="606" t="str">
        <f ca="1">IF(INDIRECT(CONCATENATE($FK$12,Fixtures!IB$25))="","",IF(INDIRECT(CONCATENATE($FK$12,Fixtures!IB$25))=Fixtures!$DN65,CONCATENATE(IB$10,", "),""))</f>
        <v/>
      </c>
      <c r="IC65" s="607" t="str">
        <f ca="1">IF(INDIRECT(CONCATENATE($FK$12,Fixtures!IC$25))="","",IF(INDIRECT(CONCATENATE($FK$12,Fixtures!IC$25))=Fixtures!$DN65,CONCATENATE(IC$10,", "),""))</f>
        <v/>
      </c>
      <c r="ID65" s="632" t="str">
        <f ca="1">IF(INDIRECT(CONCATENATE($FK$12,Fixtures!ID$25))="","",IF(INDIRECT(CONCATENATE($FK$12,Fixtures!ID$25))=Fixtures!$DN65,CONCATENATE(ID$10,", "),""))</f>
        <v/>
      </c>
      <c r="IE65" s="632" t="str">
        <f ca="1">IF(INDIRECT(CONCATENATE($FK$12,Fixtures!IE$25))="","",IF(INDIRECT(CONCATENATE($FK$12,Fixtures!IE$25))=Fixtures!$DN65,CONCATENATE(IE$10,", "),""))</f>
        <v/>
      </c>
      <c r="IF65" s="632" t="str">
        <f ca="1">IF(INDIRECT(CONCATENATE($FK$12,Fixtures!IF$25))="","",IF(INDIRECT(CONCATENATE($FK$12,Fixtures!IF$25))=Fixtures!$DN65,CONCATENATE(IF$10,", "),""))</f>
        <v/>
      </c>
      <c r="IG65" s="632" t="str">
        <f ca="1">IF(INDIRECT(CONCATENATE($FK$12,Fixtures!IG$25))="","",IF(INDIRECT(CONCATENATE($FK$12,Fixtures!IG$25))=Fixtures!$DN65,CONCATENATE(IG$10,", "),""))</f>
        <v/>
      </c>
      <c r="IH65" s="632" t="str">
        <f ca="1">IF(INDIRECT(CONCATENATE($FK$12,Fixtures!IH$25))="","",IF(INDIRECT(CONCATENATE($FK$12,Fixtures!IH$25))=Fixtures!$DN65,CONCATENATE(IH$10,", "),""))</f>
        <v/>
      </c>
      <c r="II65" s="632" t="str">
        <f ca="1">IF(INDIRECT(CONCATENATE($FK$12,Fixtures!II$25))="","",IF(INDIRECT(CONCATENATE($FK$12,Fixtures!II$25))=Fixtures!$DN65,CONCATENATE(II$10,", "),""))</f>
        <v/>
      </c>
      <c r="IJ65" s="632" t="str">
        <f ca="1">IF(INDIRECT(CONCATENATE($FK$12,Fixtures!IJ$25))="","",IF(INDIRECT(CONCATENATE($FK$12,Fixtures!IJ$25))=Fixtures!$DN65,CONCATENATE(IJ$10,", "),""))</f>
        <v/>
      </c>
      <c r="IK65" s="632" t="str">
        <f ca="1">IF(INDIRECT(CONCATENATE($FK$12,Fixtures!IK$25))="","",IF(INDIRECT(CONCATENATE($FK$12,Fixtures!IK$25))=Fixtures!$DN65,CONCATENATE(IK$10,", "),""))</f>
        <v/>
      </c>
      <c r="IL65" s="632" t="str">
        <f ca="1">IF(INDIRECT(CONCATENATE($FK$12,Fixtures!IL$25))="","",IF(INDIRECT(CONCATENATE($FK$12,Fixtures!IL$25))=Fixtures!$DN65,CONCATENATE(IL$10,", "),""))</f>
        <v/>
      </c>
      <c r="IM65" s="632" t="str">
        <f ca="1">IF(INDIRECT(CONCATENATE($FK$12,Fixtures!IM$25))="","",IF(INDIRECT(CONCATENATE($FK$12,Fixtures!IM$25))=Fixtures!$DN65,CONCATENATE(IM$10,", "),""))</f>
        <v/>
      </c>
      <c r="IN65" s="632" t="str">
        <f ca="1">IF(INDIRECT(CONCATENATE($FK$12,Fixtures!IN$25))="","",IF(INDIRECT(CONCATENATE($FK$12,Fixtures!IN$25))=Fixtures!$DN65,CONCATENATE(IN$10,", "),""))</f>
        <v/>
      </c>
      <c r="IO65" s="632" t="str">
        <f ca="1">IF(INDIRECT(CONCATENATE($FK$12,Fixtures!IO$25))="","",IF(INDIRECT(CONCATENATE($FK$12,Fixtures!IO$25))=Fixtures!$DN65,CONCATENATE(IO$10,", "),""))</f>
        <v/>
      </c>
      <c r="IP65" s="632" t="str">
        <f ca="1">IF(INDIRECT(CONCATENATE($FK$12,Fixtures!IP$25))="","",IF(INDIRECT(CONCATENATE($FK$12,Fixtures!IP$25))=Fixtures!$DN65,CONCATENATE(IP$10,", "),""))</f>
        <v/>
      </c>
      <c r="IQ65" s="606" t="str">
        <f ca="1">IF(INDIRECT(CONCATENATE($FK$12,Fixtures!IQ$25))="","",IF(INDIRECT(CONCATENATE($FK$12,Fixtures!IQ$25))=Fixtures!$DN65,CONCATENATE(IQ$10,", "),""))</f>
        <v/>
      </c>
      <c r="IR65" s="607" t="str">
        <f ca="1">IF(INDIRECT(CONCATENATE($FK$12,Fixtures!IR$25))="","",IF(INDIRECT(CONCATENATE($FK$12,Fixtures!IR$25))=Fixtures!$DN65,CONCATENATE(IR$10,", "),""))</f>
        <v/>
      </c>
      <c r="IS65" s="632" t="str">
        <f ca="1">IF(INDIRECT(CONCATENATE($FK$12,Fixtures!IS$25))="","",IF(INDIRECT(CONCATENATE($FK$12,Fixtures!IS$25))=Fixtures!$DN65,CONCATENATE(IS$10,", "),""))</f>
        <v/>
      </c>
      <c r="IT65" s="632" t="str">
        <f ca="1">IF(INDIRECT(CONCATENATE($FK$12,Fixtures!IT$25))="","",IF(INDIRECT(CONCATENATE($FK$12,Fixtures!IT$25))=Fixtures!$DN65,CONCATENATE(IT$10,", "),""))</f>
        <v/>
      </c>
      <c r="IU65" s="632" t="str">
        <f ca="1">IF(INDIRECT(CONCATENATE($FK$12,Fixtures!IU$25))="","",IF(INDIRECT(CONCATENATE($FK$12,Fixtures!IU$25))=Fixtures!$DN65,CONCATENATE(IU$10,", "),""))</f>
        <v/>
      </c>
      <c r="IV65" s="632" t="str">
        <f ca="1">IF(INDIRECT(CONCATENATE($FK$12,Fixtures!IV$25))="","",IF(INDIRECT(CONCATENATE($FK$12,Fixtures!IV$25))=Fixtures!$DN65,CONCATENATE(IV$10,", "),""))</f>
        <v/>
      </c>
      <c r="IW65" s="632" t="str">
        <f ca="1">IF(INDIRECT(CONCATENATE($FK$12,Fixtures!IW$25))="","",IF(INDIRECT(CONCATENATE($FK$12,Fixtures!IW$25))=Fixtures!$DN65,CONCATENATE(IW$10,", "),""))</f>
        <v/>
      </c>
      <c r="IX65" s="632" t="str">
        <f ca="1">IF(INDIRECT(CONCATENATE($FK$12,Fixtures!IX$25))="","",IF(INDIRECT(CONCATENATE($FK$12,Fixtures!IX$25))=Fixtures!$DN65,CONCATENATE(IX$10,", "),""))</f>
        <v/>
      </c>
      <c r="IY65" s="632" t="str">
        <f ca="1">IF(INDIRECT(CONCATENATE($FK$12,Fixtures!IY$25))="","",IF(INDIRECT(CONCATENATE($FK$12,Fixtures!IY$25))=Fixtures!$DN65,CONCATENATE(IY$10,", "),""))</f>
        <v/>
      </c>
      <c r="IZ65" s="632" t="str">
        <f ca="1">IF(INDIRECT(CONCATENATE($FK$12,Fixtures!IZ$25))="","",IF(INDIRECT(CONCATENATE($FK$12,Fixtures!IZ$25))=Fixtures!$DN65,CONCATENATE(IZ$10,", "),""))</f>
        <v/>
      </c>
      <c r="JA65" s="632" t="str">
        <f ca="1">IF(INDIRECT(CONCATENATE($FK$12,Fixtures!JA$25))="","",IF(INDIRECT(CONCATENATE($FK$12,Fixtures!JA$25))=Fixtures!$DN65,CONCATENATE(JA$10,", "),""))</f>
        <v/>
      </c>
      <c r="JB65" s="632" t="str">
        <f ca="1">IF(INDIRECT(CONCATENATE($FK$12,Fixtures!JB$25))="","",IF(INDIRECT(CONCATENATE($FK$12,Fixtures!JB$25))=Fixtures!$DN65,CONCATENATE(JB$10,", "),""))</f>
        <v/>
      </c>
      <c r="JC65" s="632" t="str">
        <f ca="1">IF(INDIRECT(CONCATENATE($FK$12,Fixtures!JC$25))="","",IF(INDIRECT(CONCATENATE($FK$12,Fixtures!JC$25))=Fixtures!$DN65,CONCATENATE(JC$10,", "),""))</f>
        <v/>
      </c>
      <c r="JD65" s="632" t="str">
        <f ca="1">IF(INDIRECT(CONCATENATE($FK$12,Fixtures!JD$25))="","",IF(INDIRECT(CONCATENATE($FK$12,Fixtures!JD$25))=Fixtures!$DN65,CONCATENATE(JD$10,", "),""))</f>
        <v/>
      </c>
      <c r="JE65" s="632" t="str">
        <f ca="1">IF(INDIRECT(CONCATENATE($FK$12,Fixtures!JE$25))="","",IF(INDIRECT(CONCATENATE($FK$12,Fixtures!JE$25))=Fixtures!$DN65,CONCATENATE(JE$10,", "),""))</f>
        <v/>
      </c>
      <c r="JF65" s="606" t="str">
        <f ca="1">IF(INDIRECT(CONCATENATE($FK$12,Fixtures!JF$25))="","",IF(INDIRECT(CONCATENATE($FK$12,Fixtures!JF$25))=Fixtures!$DN65,CONCATENATE(JF$10,", "),""))</f>
        <v/>
      </c>
      <c r="JG65" s="607" t="str">
        <f ca="1">IF(INDIRECT(CONCATENATE($FK$12,Fixtures!JG$25))="","",IF(INDIRECT(CONCATENATE($FK$12,Fixtures!JG$25))=Fixtures!$DN65,CONCATENATE(JG$10,", "),""))</f>
        <v/>
      </c>
      <c r="JH65" s="632" t="str">
        <f ca="1">IF(INDIRECT(CONCATENATE($FK$12,Fixtures!JH$25))="","",IF(INDIRECT(CONCATENATE($FK$12,Fixtures!JH$25))=Fixtures!$DN65,CONCATENATE(JH$10,", "),""))</f>
        <v/>
      </c>
      <c r="JI65" s="632" t="str">
        <f ca="1">IF(INDIRECT(CONCATENATE($FK$12,Fixtures!JI$25))="","",IF(INDIRECT(CONCATENATE($FK$12,Fixtures!JI$25))=Fixtures!$DN65,CONCATENATE(JI$10,", "),""))</f>
        <v/>
      </c>
      <c r="JJ65" s="632" t="str">
        <f ca="1">IF(INDIRECT(CONCATENATE($FK$12,Fixtures!JJ$25))="","",IF(INDIRECT(CONCATENATE($FK$12,Fixtures!JJ$25))=Fixtures!$DN65,CONCATENATE(JJ$10,", "),""))</f>
        <v/>
      </c>
      <c r="JK65" s="632" t="str">
        <f ca="1">IF(INDIRECT(CONCATENATE($FK$12,Fixtures!JK$25))="","",IF(INDIRECT(CONCATENATE($FK$12,Fixtures!JK$25))=Fixtures!$DN65,CONCATENATE(JK$10,", "),""))</f>
        <v/>
      </c>
      <c r="JL65" s="632" t="str">
        <f ca="1">IF(INDIRECT(CONCATENATE($FK$12,Fixtures!JL$25))="","",IF(INDIRECT(CONCATENATE($FK$12,Fixtures!JL$25))=Fixtures!$DN65,CONCATENATE(JL$10,", "),""))</f>
        <v/>
      </c>
      <c r="JM65" s="632" t="str">
        <f ca="1">IF(INDIRECT(CONCATENATE($FK$12,Fixtures!JM$25))="","",IF(INDIRECT(CONCATENATE($FK$12,Fixtures!JM$25))=Fixtures!$DN65,CONCATENATE(JM$10,", "),""))</f>
        <v/>
      </c>
      <c r="JN65" s="632" t="str">
        <f ca="1">IF(INDIRECT(CONCATENATE($FK$12,Fixtures!JN$25))="","",IF(INDIRECT(CONCATENATE($FK$12,Fixtures!JN$25))=Fixtures!$DN65,CONCATENATE(JN$10,", "),""))</f>
        <v/>
      </c>
      <c r="JO65" s="632" t="str">
        <f ca="1">IF(INDIRECT(CONCATENATE($FK$12,Fixtures!JO$25))="","",IF(INDIRECT(CONCATENATE($FK$12,Fixtures!JO$25))=Fixtures!$DN65,CONCATENATE(JO$10,", "),""))</f>
        <v/>
      </c>
      <c r="JP65" s="632" t="str">
        <f ca="1">IF(INDIRECT(CONCATENATE($FK$12,Fixtures!JP$25))="","",IF(INDIRECT(CONCATENATE($FK$12,Fixtures!JP$25))=Fixtures!$DN65,CONCATENATE(JP$10,", "),""))</f>
        <v/>
      </c>
      <c r="JQ65" s="632" t="str">
        <f ca="1">IF(INDIRECT(CONCATENATE($FK$12,Fixtures!JQ$25))="","",IF(INDIRECT(CONCATENATE($FK$12,Fixtures!JQ$25))=Fixtures!$DN65,CONCATENATE(JQ$10,", "),""))</f>
        <v/>
      </c>
      <c r="JR65" s="632" t="str">
        <f ca="1">IF(INDIRECT(CONCATENATE($FK$12,Fixtures!JR$25))="","",IF(INDIRECT(CONCATENATE($FK$12,Fixtures!JR$25))=Fixtures!$DN65,CONCATENATE(JR$10,", "),""))</f>
        <v/>
      </c>
      <c r="JS65" s="632" t="str">
        <f ca="1">IF(INDIRECT(CONCATENATE($FK$12,Fixtures!JS$25))="","",IF(INDIRECT(CONCATENATE($FK$12,Fixtures!JS$25))=Fixtures!$DN65,CONCATENATE(JS$10,", "),""))</f>
        <v/>
      </c>
      <c r="JT65" s="632" t="str">
        <f ca="1">IF(INDIRECT(CONCATENATE($FK$12,Fixtures!JT$25))="","",IF(INDIRECT(CONCATENATE($FK$12,Fixtures!JT$25))=Fixtures!$DN65,CONCATENATE(JT$10,", "),""))</f>
        <v/>
      </c>
      <c r="JU65" s="606" t="str">
        <f ca="1">IF(INDIRECT(CONCATENATE($FK$12,Fixtures!JU$25))="","",IF(INDIRECT(CONCATENATE($FK$12,Fixtures!JU$25))=Fixtures!$DN65,CONCATENATE(JU$10,", "),""))</f>
        <v/>
      </c>
      <c r="JV65" s="607" t="str">
        <f ca="1">IF(INDIRECT(CONCATENATE($FK$12,Fixtures!JV$25))="","",IF(INDIRECT(CONCATENATE($FK$12,Fixtures!JV$25))=Fixtures!$DN65,CONCATENATE(JV$10,", "),""))</f>
        <v/>
      </c>
      <c r="JW65" s="632" t="str">
        <f ca="1">IF(INDIRECT(CONCATENATE($FK$12,Fixtures!JW$25))="","",IF(INDIRECT(CONCATENATE($FK$12,Fixtures!JW$25))=Fixtures!$DN65,CONCATENATE(JW$10,", "),""))</f>
        <v/>
      </c>
      <c r="JX65" s="632" t="str">
        <f ca="1">IF(INDIRECT(CONCATENATE($FK$12,Fixtures!JX$25))="","",IF(INDIRECT(CONCATENATE($FK$12,Fixtures!JX$25))=Fixtures!$DN65,CONCATENATE(JX$10,", "),""))</f>
        <v/>
      </c>
      <c r="JY65" s="632" t="str">
        <f ca="1">IF(INDIRECT(CONCATENATE($FK$12,Fixtures!JY$25))="","",IF(INDIRECT(CONCATENATE($FK$12,Fixtures!JY$25))=Fixtures!$DN65,CONCATENATE(JY$10,", "),""))</f>
        <v/>
      </c>
      <c r="JZ65" s="632" t="str">
        <f ca="1">IF(INDIRECT(CONCATENATE($FK$12,Fixtures!JZ$25))="","",IF(INDIRECT(CONCATENATE($FK$12,Fixtures!JZ$25))=Fixtures!$DN65,CONCATENATE(JZ$10,", "),""))</f>
        <v/>
      </c>
      <c r="KA65" s="632" t="str">
        <f ca="1">IF(INDIRECT(CONCATENATE($FK$12,Fixtures!KA$25))="","",IF(INDIRECT(CONCATENATE($FK$12,Fixtures!KA$25))=Fixtures!$DN65,CONCATENATE(KA$10,", "),""))</f>
        <v/>
      </c>
      <c r="KB65" s="632" t="str">
        <f ca="1">IF(INDIRECT(CONCATENATE($FK$12,Fixtures!KB$25))="","",IF(INDIRECT(CONCATENATE($FK$12,Fixtures!KB$25))=Fixtures!$DN65,CONCATENATE(KB$10,", "),""))</f>
        <v/>
      </c>
      <c r="KC65" s="632" t="str">
        <f ca="1">IF(INDIRECT(CONCATENATE($FK$12,Fixtures!KC$25))="","",IF(INDIRECT(CONCATENATE($FK$12,Fixtures!KC$25))=Fixtures!$DN65,CONCATENATE(KC$10,", "),""))</f>
        <v/>
      </c>
      <c r="KD65" s="632" t="str">
        <f ca="1">IF(INDIRECT(CONCATENATE($FK$12,Fixtures!KD$25))="","",IF(INDIRECT(CONCATENATE($FK$12,Fixtures!KD$25))=Fixtures!$DN65,CONCATENATE(KD$10,", "),""))</f>
        <v/>
      </c>
      <c r="KE65" s="632" t="str">
        <f ca="1">IF(INDIRECT(CONCATENATE($FK$12,Fixtures!KE$25))="","",IF(INDIRECT(CONCATENATE($FK$12,Fixtures!KE$25))=Fixtures!$DN65,CONCATENATE(KE$10,", "),""))</f>
        <v/>
      </c>
      <c r="KF65" s="632" t="str">
        <f ca="1">IF(INDIRECT(CONCATENATE($FK$12,Fixtures!KF$25))="","",IF(INDIRECT(CONCATENATE($FK$12,Fixtures!KF$25))=Fixtures!$DN65,CONCATENATE(KF$10,", "),""))</f>
        <v/>
      </c>
      <c r="KG65" s="632" t="str">
        <f ca="1">IF(INDIRECT(CONCATENATE($FK$12,Fixtures!KG$25))="","",IF(INDIRECT(CONCATENATE($FK$12,Fixtures!KG$25))=Fixtures!$DN65,CONCATENATE(KG$10,", "),""))</f>
        <v/>
      </c>
      <c r="KH65" s="632" t="str">
        <f ca="1">IF(INDIRECT(CONCATENATE($FK$12,Fixtures!KH$25))="","",IF(INDIRECT(CONCATENATE($FK$12,Fixtures!KH$25))=Fixtures!$DN65,CONCATENATE(KH$10,", "),""))</f>
        <v/>
      </c>
      <c r="KI65" s="632" t="str">
        <f ca="1">IF(INDIRECT(CONCATENATE($FK$12,Fixtures!KI$25))="","",IF(INDIRECT(CONCATENATE($FK$12,Fixtures!KI$25))=Fixtures!$DN65,CONCATENATE(KI$10,", "),""))</f>
        <v/>
      </c>
      <c r="KJ65" s="606" t="str">
        <f ca="1">IF(INDIRECT(CONCATENATE($FK$12,Fixtures!KJ$25))="","",IF(INDIRECT(CONCATENATE($FK$12,Fixtures!KJ$25))=Fixtures!$DN65,CONCATENATE(KJ$10,", "),""))</f>
        <v/>
      </c>
      <c r="KK65" s="607" t="str">
        <f ca="1">IF(INDIRECT(CONCATENATE($FK$12,Fixtures!KK$25))="","",IF(INDIRECT(CONCATENATE($FK$12,Fixtures!KK$25))=Fixtures!$DN65,CONCATENATE(KK$10,", "),""))</f>
        <v/>
      </c>
      <c r="KL65" s="632" t="str">
        <f ca="1">IF(INDIRECT(CONCATENATE($FK$12,Fixtures!KL$25))="","",IF(INDIRECT(CONCATENATE($FK$12,Fixtures!KL$25))=Fixtures!$DN65,CONCATENATE(KL$10,", "),""))</f>
        <v/>
      </c>
      <c r="KM65" s="632" t="str">
        <f ca="1">IF(INDIRECT(CONCATENATE($FK$12,Fixtures!KM$25))="","",IF(INDIRECT(CONCATENATE($FK$12,Fixtures!KM$25))=Fixtures!$DN65,CONCATENATE(KM$10,", "),""))</f>
        <v/>
      </c>
      <c r="KN65" s="632" t="str">
        <f ca="1">IF(INDIRECT(CONCATENATE($FK$12,Fixtures!KN$25))="","",IF(INDIRECT(CONCATENATE($FK$12,Fixtures!KN$25))=Fixtures!$DN65,CONCATENATE(KN$10,", "),""))</f>
        <v/>
      </c>
      <c r="KO65" s="632" t="str">
        <f ca="1">IF(INDIRECT(CONCATENATE($FK$12,Fixtures!KO$25))="","",IF(INDIRECT(CONCATENATE($FK$12,Fixtures!KO$25))=Fixtures!$DN65,CONCATENATE(KO$10,", "),""))</f>
        <v/>
      </c>
      <c r="KP65" s="632" t="str">
        <f ca="1">IF(INDIRECT(CONCATENATE($FK$12,Fixtures!KP$25))="","",IF(INDIRECT(CONCATENATE($FK$12,Fixtures!KP$25))=Fixtures!$DN65,CONCATENATE(KP$10,", "),""))</f>
        <v/>
      </c>
      <c r="KQ65" s="632" t="str">
        <f ca="1">IF(INDIRECT(CONCATENATE($FK$12,Fixtures!KQ$25))="","",IF(INDIRECT(CONCATENATE($FK$12,Fixtures!KQ$25))=Fixtures!$DN65,CONCATENATE(KQ$10,", "),""))</f>
        <v/>
      </c>
      <c r="KR65" s="632" t="str">
        <f ca="1">IF(INDIRECT(CONCATENATE($FK$12,Fixtures!KR$25))="","",IF(INDIRECT(CONCATENATE($FK$12,Fixtures!KR$25))=Fixtures!$DN65,CONCATENATE(KR$10,", "),""))</f>
        <v/>
      </c>
      <c r="KS65" s="632" t="str">
        <f ca="1">IF(INDIRECT(CONCATENATE($FK$12,Fixtures!KS$25))="","",IF(INDIRECT(CONCATENATE($FK$12,Fixtures!KS$25))=Fixtures!$DN65,CONCATENATE(KS$10,", "),""))</f>
        <v/>
      </c>
      <c r="KT65" s="632" t="str">
        <f ca="1">IF(INDIRECT(CONCATENATE($FK$12,Fixtures!KT$25))="","",IF(INDIRECT(CONCATENATE($FK$12,Fixtures!KT$25))=Fixtures!$DN65,CONCATENATE(KT$10,", "),""))</f>
        <v/>
      </c>
      <c r="KU65" s="632" t="str">
        <f ca="1">IF(INDIRECT(CONCATENATE($FK$12,Fixtures!KU$25))="","",IF(INDIRECT(CONCATENATE($FK$12,Fixtures!KU$25))=Fixtures!$DN65,CONCATENATE(KU$10,", "),""))</f>
        <v/>
      </c>
      <c r="KV65" s="632" t="str">
        <f ca="1">IF(INDIRECT(CONCATENATE($FK$12,Fixtures!KV$25))="","",IF(INDIRECT(CONCATENATE($FK$12,Fixtures!KV$25))=Fixtures!$DN65,CONCATENATE(KV$10,", "),""))</f>
        <v/>
      </c>
      <c r="KW65" s="632" t="str">
        <f ca="1">IF(INDIRECT(CONCATENATE($FK$12,Fixtures!KW$25))="","",IF(INDIRECT(CONCATENATE($FK$12,Fixtures!KW$25))=Fixtures!$DN65,CONCATENATE(KW$10,", "),""))</f>
        <v/>
      </c>
      <c r="KX65" s="632" t="str">
        <f ca="1">IF(INDIRECT(CONCATENATE($FK$12,Fixtures!KX$25))="","",IF(INDIRECT(CONCATENATE($FK$12,Fixtures!KX$25))=Fixtures!$DN65,CONCATENATE(KX$10,", "),""))</f>
        <v/>
      </c>
      <c r="KY65" s="632"/>
      <c r="KZ65" s="542"/>
      <c r="LA65" s="46" t="str">
        <f t="shared" ca="1" si="37"/>
        <v/>
      </c>
      <c r="LB65" s="46"/>
      <c r="LC65" s="1010"/>
      <c r="LD65" s="1009" t="str">
        <f t="shared" si="20"/>
        <v/>
      </c>
    </row>
    <row r="66" spans="1:316" ht="28.2" customHeight="1" thickTop="1" thickBot="1">
      <c r="A66" s="426" t="str">
        <f t="shared" si="13"/>
        <v/>
      </c>
      <c r="C66" s="1640" t="str">
        <f t="shared" si="14"/>
        <v/>
      </c>
      <c r="D66" s="1641"/>
      <c r="E66" s="1568" t="str">
        <f t="shared" si="15"/>
        <v/>
      </c>
      <c r="F66" s="1569"/>
      <c r="G66" s="1569"/>
      <c r="H66" s="1569"/>
      <c r="I66" s="1569"/>
      <c r="J66" s="1569"/>
      <c r="K66" s="1569"/>
      <c r="L66" s="1569"/>
      <c r="M66" s="1642"/>
      <c r="N66" s="203" t="str">
        <f t="shared" si="16"/>
        <v/>
      </c>
      <c r="O66" s="12"/>
      <c r="P66" s="1638" t="str">
        <f t="shared" si="25"/>
        <v/>
      </c>
      <c r="Q66" s="1639"/>
      <c r="R66" s="1568" t="str">
        <f t="shared" si="30"/>
        <v/>
      </c>
      <c r="S66" s="1569"/>
      <c r="T66" s="1569"/>
      <c r="U66" s="1569"/>
      <c r="V66" s="1569"/>
      <c r="W66" s="1569"/>
      <c r="X66" s="1569"/>
      <c r="Y66" s="203" t="str">
        <f t="shared" si="26"/>
        <v/>
      </c>
      <c r="Z66" s="203" t="str">
        <f t="shared" si="27"/>
        <v/>
      </c>
      <c r="AA66" s="394" t="str">
        <f t="shared" si="28"/>
        <v/>
      </c>
      <c r="AB66" s="489"/>
      <c r="AC66" s="1564" t="str">
        <f t="shared" si="18"/>
        <v/>
      </c>
      <c r="AD66" s="1565"/>
      <c r="AE66" s="1565"/>
      <c r="AF66" s="1565"/>
      <c r="AG66" s="1565"/>
      <c r="AH66" s="1565"/>
      <c r="AK66">
        <f>SUMIFS(Installations!CV$46:CV$803,Installations!CW$46:CW$803,E66,Installations!IC$46:IC$803,TRUE)</f>
        <v>0</v>
      </c>
      <c r="AL66">
        <f>SUMIFS(Installations!CV$46:CV$803,Installations!CW$46:CW$803,R66,Installations!IC$46:IC$803,TRUE)</f>
        <v>0</v>
      </c>
      <c r="BL66" s="9"/>
      <c r="BM66" s="622" t="str">
        <f t="shared" si="19"/>
        <v/>
      </c>
      <c r="BN66" s="52"/>
      <c r="BO66" s="52"/>
      <c r="BP66" s="52"/>
      <c r="BQ66" s="52"/>
      <c r="BR66" s="52"/>
      <c r="BS66" s="52"/>
      <c r="BT66" s="52"/>
      <c r="BU66" s="373"/>
      <c r="BV66" s="219" t="str">
        <f>IF(CN66&lt;&gt;"Yes","",IFERROR(VLOOKUP(CU66,Existing!A$4:F$367,2,FALSE),""))</f>
        <v/>
      </c>
      <c r="BW66" s="9">
        <v>40</v>
      </c>
      <c r="BX66" s="1625"/>
      <c r="BY66" s="1626"/>
      <c r="BZ66" s="1626"/>
      <c r="CA66" s="1627"/>
      <c r="CB66" s="1622"/>
      <c r="CC66" s="1623"/>
      <c r="CD66" s="1623"/>
      <c r="CE66" s="1624"/>
      <c r="CF66" s="1621"/>
      <c r="CG66" s="1621"/>
      <c r="CH66" s="1621"/>
      <c r="CI66" s="1621"/>
      <c r="CJ66" s="1621"/>
      <c r="CK66" s="1621"/>
      <c r="CL66" s="1621"/>
      <c r="CM66" s="1621"/>
      <c r="CN66" s="1553" t="str">
        <f t="shared" si="31"/>
        <v/>
      </c>
      <c r="CO66" s="1554"/>
      <c r="CP66" s="229" t="str">
        <f>IFERROR(IF(CB66="Existing TLED",CR66*CW66*CY66,VLOOKUP(CU66,Existing!A$3:F$356,6,FALSE)),"")</f>
        <v/>
      </c>
      <c r="CQ66" s="9"/>
      <c r="CR66" s="1660"/>
      <c r="CS66" s="1661"/>
      <c r="CT66" s="9"/>
      <c r="CU66" s="425" t="str">
        <f t="shared" si="21"/>
        <v/>
      </c>
      <c r="CV66" s="426" t="b">
        <f t="shared" si="22"/>
        <v>0</v>
      </c>
      <c r="CW66" s="426" t="str">
        <f t="shared" si="23"/>
        <v/>
      </c>
      <c r="CX66" s="426">
        <f>IFERROR(VLOOKUP(CF66,Lookup!T$100:V$102,3,FALSE),0)</f>
        <v>0</v>
      </c>
      <c r="CY66" s="426">
        <f t="shared" si="8"/>
        <v>1.1100000000000001</v>
      </c>
      <c r="CZ66" s="626" t="b">
        <f t="shared" si="32"/>
        <v>0</v>
      </c>
      <c r="DA66" s="626" t="b">
        <f>IF(CF66&lt;&gt;"",IF(ISERROR(MATCH(CONCATENATE(CB66," - ",CF66),Existing!G$4:G$331,0))=TRUE,FALSE,TRUE),TRUE)</f>
        <v>1</v>
      </c>
      <c r="DB66" s="626" t="b">
        <f t="shared" si="33"/>
        <v>1</v>
      </c>
      <c r="DK66" s="48"/>
      <c r="DL66" s="9"/>
      <c r="DM66" s="627" t="s">
        <v>215</v>
      </c>
      <c r="DN66" s="375" t="str">
        <f t="shared" si="34"/>
        <v/>
      </c>
      <c r="DO66" s="52"/>
      <c r="DP66" s="52"/>
      <c r="DQ66" s="52"/>
      <c r="DR66" s="52"/>
      <c r="DS66" s="52"/>
      <c r="DT66" s="226"/>
      <c r="DU66" s="376"/>
      <c r="DV66" s="227" t="str">
        <f t="shared" si="35"/>
        <v/>
      </c>
      <c r="DW66" s="224">
        <v>40</v>
      </c>
      <c r="DX66" s="1572"/>
      <c r="DY66" s="1573"/>
      <c r="DZ66" s="1573"/>
      <c r="EA66" s="1574"/>
      <c r="EB66" s="1618"/>
      <c r="EC66" s="1619"/>
      <c r="ED66" s="1619"/>
      <c r="EE66" s="1620"/>
      <c r="EF66" s="1578"/>
      <c r="EG66" s="1579"/>
      <c r="EH66" s="1618"/>
      <c r="EI66" s="1619"/>
      <c r="EJ66" s="1619"/>
      <c r="EK66" s="1620"/>
      <c r="EL66" s="1575"/>
      <c r="EM66" s="1576"/>
      <c r="EN66" s="1576"/>
      <c r="EO66" s="1577"/>
      <c r="EP66" s="1578"/>
      <c r="EQ66" s="1579"/>
      <c r="ER66" s="1555"/>
      <c r="ES66" s="1556"/>
      <c r="ET66" s="1553" t="str">
        <f t="shared" si="9"/>
        <v/>
      </c>
      <c r="EU66" s="1554"/>
      <c r="EV66" s="1553" t="str">
        <f t="shared" si="29"/>
        <v/>
      </c>
      <c r="EW66" s="1554"/>
      <c r="EX66" s="393"/>
      <c r="EY66" s="225" t="str">
        <f t="shared" si="36"/>
        <v/>
      </c>
      <c r="EZ66" s="225" t="str">
        <f>IFERROR(VLOOKUP(EB66,Lookup!AT$3:AU$13,2,FALSE),"")</f>
        <v/>
      </c>
      <c r="FA66" s="426" t="b">
        <f>IFERROR(IF(VLOOKUP(EB66,Lookup!AT$6:AU$8,2,FALSE)&gt;3,TRUE,FALSE),FALSE)</f>
        <v>0</v>
      </c>
      <c r="FB66" s="426" t="str">
        <f t="shared" si="10"/>
        <v/>
      </c>
      <c r="FC66" t="str">
        <f t="shared" ca="1" si="11"/>
        <v/>
      </c>
      <c r="FG66" t="str">
        <f t="shared" ca="1" si="12"/>
        <v/>
      </c>
      <c r="FI66" s="204" t="str">
        <f t="shared" ca="1" si="24"/>
        <v/>
      </c>
      <c r="FK66" s="631" t="str">
        <f ca="1">IF(INDIRECT(CONCATENATE($FK$12,Fixtures!FK$25))="","",IF(INDIRECT(CONCATENATE($FK$12,Fixtures!FK$25))=Fixtures!$DN66,CONCATENATE(FK$10,", "),""))</f>
        <v/>
      </c>
      <c r="FL66" s="631" t="str">
        <f ca="1">IF(INDIRECT(CONCATENATE($FK$12,Fixtures!FL$25))="","",IF(INDIRECT(CONCATENATE($FK$12,Fixtures!FL$25))=Fixtures!$DN66,CONCATENATE(FL$10,", "),""))</f>
        <v/>
      </c>
      <c r="FM66" s="631" t="str">
        <f ca="1">IF(INDIRECT(CONCATENATE($FK$12,Fixtures!FM$25))="","",IF(INDIRECT(CONCATENATE($FK$12,Fixtures!FM$25))=Fixtures!$DN66,CONCATENATE(FM$10,", "),""))</f>
        <v/>
      </c>
      <c r="FN66" s="631" t="str">
        <f ca="1">IF(INDIRECT(CONCATENATE($FK$12,Fixtures!FN$25))="","",IF(INDIRECT(CONCATENATE($FK$12,Fixtures!FN$25))=Fixtures!$DN66,CONCATENATE(FN$10,", "),""))</f>
        <v/>
      </c>
      <c r="FO66" s="631" t="str">
        <f ca="1">IF(INDIRECT(CONCATENATE($FK$12,Fixtures!FO$25))="","",IF(INDIRECT(CONCATENATE($FK$12,Fixtures!FO$25))=Fixtures!$DN66,CONCATENATE(FO$10,", "),""))</f>
        <v/>
      </c>
      <c r="FP66" s="631" t="str">
        <f ca="1">IF(INDIRECT(CONCATENATE($FK$12,Fixtures!FP$25))="","",IF(INDIRECT(CONCATENATE($FK$12,Fixtures!FP$25))=Fixtures!$DN66,CONCATENATE(FP$10,", "),""))</f>
        <v/>
      </c>
      <c r="FQ66" s="631" t="str">
        <f ca="1">IF(INDIRECT(CONCATENATE($FK$12,Fixtures!FQ$25))="","",IF(INDIRECT(CONCATENATE($FK$12,Fixtures!FQ$25))=Fixtures!$DN66,CONCATENATE(FQ$10,", "),""))</f>
        <v/>
      </c>
      <c r="FR66" s="631" t="str">
        <f ca="1">IF(INDIRECT(CONCATENATE($FK$12,Fixtures!FR$25))="","",IF(INDIRECT(CONCATENATE($FK$12,Fixtures!FR$25))=Fixtures!$DN66,CONCATENATE(FR$10,", "),""))</f>
        <v/>
      </c>
      <c r="FS66" s="631" t="str">
        <f ca="1">IF(INDIRECT(CONCATENATE($FK$12,Fixtures!FS$25))="","",IF(INDIRECT(CONCATENATE($FK$12,Fixtures!FS$25))=Fixtures!$DN66,CONCATENATE(FS$10,", "),""))</f>
        <v/>
      </c>
      <c r="FT66" s="604" t="str">
        <f ca="1">IF(INDIRECT(CONCATENATE($FK$12,Fixtures!FT$25))="","",IF(INDIRECT(CONCATENATE($FK$12,Fixtures!FT$25))=Fixtures!$DN66,CONCATENATE(FT$10,", "),""))</f>
        <v/>
      </c>
      <c r="FU66" s="605" t="str">
        <f ca="1">IF(INDIRECT(CONCATENATE($FK$12,Fixtures!FU$25))="","",IF(INDIRECT(CONCATENATE($FK$12,Fixtures!FU$25))=Fixtures!$DN66,CONCATENATE(FU$10,", "),""))</f>
        <v/>
      </c>
      <c r="FV66" s="631" t="str">
        <f ca="1">IF(INDIRECT(CONCATENATE($FK$12,Fixtures!FV$25))="","",IF(INDIRECT(CONCATENATE($FK$12,Fixtures!FV$25))=Fixtures!$DN66,CONCATENATE(FV$10,", "),""))</f>
        <v/>
      </c>
      <c r="FW66" s="632" t="str">
        <f ca="1">IF(INDIRECT(CONCATENATE($FK$12,Fixtures!FW$25))="","",IF(INDIRECT(CONCATENATE($FK$12,Fixtures!FW$25))=Fixtures!$DN66,CONCATENATE(FW$10,", "),""))</f>
        <v/>
      </c>
      <c r="FX66" s="632" t="str">
        <f ca="1">IF(INDIRECT(CONCATENATE($FK$12,Fixtures!FX$25))="","",IF(INDIRECT(CONCATENATE($FK$12,Fixtures!FX$25))=Fixtures!$DN66,CONCATENATE(FX$10,", "),""))</f>
        <v/>
      </c>
      <c r="FY66" s="632" t="str">
        <f ca="1">IF(INDIRECT(CONCATENATE($FK$12,Fixtures!FY$25))="","",IF(INDIRECT(CONCATENATE($FK$12,Fixtures!FY$25))=Fixtures!$DN66,CONCATENATE(FY$10,", "),""))</f>
        <v/>
      </c>
      <c r="FZ66" s="632" t="str">
        <f ca="1">IF(INDIRECT(CONCATENATE($FK$12,Fixtures!FZ$25))="","",IF(INDIRECT(CONCATENATE($FK$12,Fixtures!FZ$25))=Fixtures!$DN66,CONCATENATE(FZ$10,", "),""))</f>
        <v/>
      </c>
      <c r="GA66" s="632" t="str">
        <f ca="1">IF(INDIRECT(CONCATENATE($FK$12,Fixtures!GA$25))="","",IF(INDIRECT(CONCATENATE($FK$12,Fixtures!GA$25))=Fixtures!$DN66,CONCATENATE(GA$10,", "),""))</f>
        <v/>
      </c>
      <c r="GB66" s="632" t="str">
        <f ca="1">IF(INDIRECT(CONCATENATE($FK$12,Fixtures!GB$25))="","",IF(INDIRECT(CONCATENATE($FK$12,Fixtures!GB$25))=Fixtures!$DN66,CONCATENATE(GB$10,", "),""))</f>
        <v/>
      </c>
      <c r="GC66" s="632" t="str">
        <f ca="1">IF(INDIRECT(CONCATENATE($FK$12,Fixtures!GC$25))="","",IF(INDIRECT(CONCATENATE($FK$12,Fixtures!GC$25))=Fixtures!$DN66,CONCATENATE(GC$10,", "),""))</f>
        <v/>
      </c>
      <c r="GD66" s="632" t="str">
        <f ca="1">IF(INDIRECT(CONCATENATE($FK$12,Fixtures!GD$25))="","",IF(INDIRECT(CONCATENATE($FK$12,Fixtures!GD$25))=Fixtures!$DN66,CONCATENATE(GD$10,", "),""))</f>
        <v/>
      </c>
      <c r="GE66" s="632" t="str">
        <f ca="1">IF(INDIRECT(CONCATENATE($FK$12,Fixtures!GE$25))="","",IF(INDIRECT(CONCATENATE($FK$12,Fixtures!GE$25))=Fixtures!$DN66,CONCATENATE(GE$10,", "),""))</f>
        <v/>
      </c>
      <c r="GF66" s="632" t="str">
        <f ca="1">IF(INDIRECT(CONCATENATE($FK$12,Fixtures!GF$25))="","",IF(INDIRECT(CONCATENATE($FK$12,Fixtures!GF$25))=Fixtures!$DN66,CONCATENATE(GF$10,", "),""))</f>
        <v/>
      </c>
      <c r="GG66" s="632" t="str">
        <f ca="1">IF(INDIRECT(CONCATENATE($FK$12,Fixtures!GG$25))="","",IF(INDIRECT(CONCATENATE($FK$12,Fixtures!GG$25))=Fixtures!$DN66,CONCATENATE(GG$10,", "),""))</f>
        <v/>
      </c>
      <c r="GH66" s="632" t="str">
        <f ca="1">IF(INDIRECT(CONCATENATE($FK$12,Fixtures!GH$25))="","",IF(INDIRECT(CONCATENATE($FK$12,Fixtures!GH$25))=Fixtures!$DN66,CONCATENATE(GH$10,", "),""))</f>
        <v/>
      </c>
      <c r="GI66" s="606" t="str">
        <f ca="1">IF(INDIRECT(CONCATENATE($FK$12,Fixtures!GI$25))="","",IF(INDIRECT(CONCATENATE($FK$12,Fixtures!GI$25))=Fixtures!$DN66,CONCATENATE(GI$10,", "),""))</f>
        <v/>
      </c>
      <c r="GJ66" s="607" t="str">
        <f ca="1">IF(INDIRECT(CONCATENATE($FK$12,Fixtures!GJ$25))="","",IF(INDIRECT(CONCATENATE($FK$12,Fixtures!GJ$25))=Fixtures!$DN66,CONCATENATE(GJ$10,", "),""))</f>
        <v/>
      </c>
      <c r="GK66" s="632" t="str">
        <f ca="1">IF(INDIRECT(CONCATENATE($FK$12,Fixtures!GK$25))="","",IF(INDIRECT(CONCATENATE($FK$12,Fixtures!GK$25))=Fixtures!$DN66,CONCATENATE(GK$10,", "),""))</f>
        <v/>
      </c>
      <c r="GL66" s="632" t="str">
        <f ca="1">IF(INDIRECT(CONCATENATE($FK$12,Fixtures!GL$25))="","",IF(INDIRECT(CONCATENATE($FK$12,Fixtures!GL$25))=Fixtures!$DN66,CONCATENATE(GL$10,", "),""))</f>
        <v/>
      </c>
      <c r="GM66" s="632" t="str">
        <f ca="1">IF(INDIRECT(CONCATENATE($FK$12,Fixtures!GM$25))="","",IF(INDIRECT(CONCATENATE($FK$12,Fixtures!GM$25))=Fixtures!$DN66,CONCATENATE(GM$10,", "),""))</f>
        <v/>
      </c>
      <c r="GN66" s="632" t="str">
        <f ca="1">IF(INDIRECT(CONCATENATE($FK$12,Fixtures!GN$25))="","",IF(INDIRECT(CONCATENATE($FK$12,Fixtures!GN$25))=Fixtures!$DN66,CONCATENATE(GN$10,", "),""))</f>
        <v/>
      </c>
      <c r="GO66" s="632" t="str">
        <f ca="1">IF(INDIRECT(CONCATENATE($FK$12,Fixtures!GO$25))="","",IF(INDIRECT(CONCATENATE($FK$12,Fixtures!GO$25))=Fixtures!$DN66,CONCATENATE(GO$10,", "),""))</f>
        <v/>
      </c>
      <c r="GP66" s="632" t="str">
        <f ca="1">IF(INDIRECT(CONCATENATE($FK$12,Fixtures!GP$25))="","",IF(INDIRECT(CONCATENATE($FK$12,Fixtures!GP$25))=Fixtures!$DN66,CONCATENATE(GP$10,", "),""))</f>
        <v/>
      </c>
      <c r="GQ66" s="632" t="str">
        <f ca="1">IF(INDIRECT(CONCATENATE($FK$12,Fixtures!GQ$25))="","",IF(INDIRECT(CONCATENATE($FK$12,Fixtures!GQ$25))=Fixtures!$DN66,CONCATENATE(GQ$10,", "),""))</f>
        <v/>
      </c>
      <c r="GR66" s="632" t="str">
        <f ca="1">IF(INDIRECT(CONCATENATE($FK$12,Fixtures!GR$25))="","",IF(INDIRECT(CONCATENATE($FK$12,Fixtures!GR$25))=Fixtures!$DN66,CONCATENATE(GR$10,", "),""))</f>
        <v/>
      </c>
      <c r="GS66" s="632" t="str">
        <f ca="1">IF(INDIRECT(CONCATENATE($FK$12,Fixtures!GS$25))="","",IF(INDIRECT(CONCATENATE($FK$12,Fixtures!GS$25))=Fixtures!$DN66,CONCATENATE(GS$10,", "),""))</f>
        <v/>
      </c>
      <c r="GT66" s="632" t="str">
        <f ca="1">IF(INDIRECT(CONCATENATE($FK$12,Fixtures!GT$25))="","",IF(INDIRECT(CONCATENATE($FK$12,Fixtures!GT$25))=Fixtures!$DN66,CONCATENATE(GT$10,", "),""))</f>
        <v/>
      </c>
      <c r="GU66" s="632" t="str">
        <f ca="1">IF(INDIRECT(CONCATENATE($FK$12,Fixtures!GU$25))="","",IF(INDIRECT(CONCATENATE($FK$12,Fixtures!GU$25))=Fixtures!$DN66,CONCATENATE(GU$10,", "),""))</f>
        <v/>
      </c>
      <c r="GV66" s="632" t="str">
        <f ca="1">IF(INDIRECT(CONCATENATE($FK$12,Fixtures!GV$25))="","",IF(INDIRECT(CONCATENATE($FK$12,Fixtures!GV$25))=Fixtures!$DN66,CONCATENATE(GV$10,", "),""))</f>
        <v/>
      </c>
      <c r="GW66" s="632" t="str">
        <f ca="1">IF(INDIRECT(CONCATENATE($FK$12,Fixtures!GW$25))="","",IF(INDIRECT(CONCATENATE($FK$12,Fixtures!GW$25))=Fixtures!$DN66,CONCATENATE(GW$10,", "),""))</f>
        <v/>
      </c>
      <c r="GX66" s="606" t="str">
        <f ca="1">IF(INDIRECT(CONCATENATE($FK$12,Fixtures!GX$25))="","",IF(INDIRECT(CONCATENATE($FK$12,Fixtures!GX$25))=Fixtures!$DN66,CONCATENATE(GX$10,", "),""))</f>
        <v/>
      </c>
      <c r="GY66" s="607" t="str">
        <f ca="1">IF(INDIRECT(CONCATENATE($FK$12,Fixtures!GY$25))="","",IF(INDIRECT(CONCATENATE($FK$12,Fixtures!GY$25))=Fixtures!$DN66,CONCATENATE(GY$10,", "),""))</f>
        <v/>
      </c>
      <c r="GZ66" s="632" t="str">
        <f ca="1">IF(INDIRECT(CONCATENATE($FK$12,Fixtures!GZ$25))="","",IF(INDIRECT(CONCATENATE($FK$12,Fixtures!GZ$25))=Fixtures!$DN66,CONCATENATE(GZ$10,", "),""))</f>
        <v/>
      </c>
      <c r="HA66" s="632" t="str">
        <f ca="1">IF(INDIRECT(CONCATENATE($FK$12,Fixtures!HA$25))="","",IF(INDIRECT(CONCATENATE($FK$12,Fixtures!HA$25))=Fixtures!$DN66,CONCATENATE(HA$10,", "),""))</f>
        <v/>
      </c>
      <c r="HB66" s="632" t="str">
        <f ca="1">IF(INDIRECT(CONCATENATE($FK$12,Fixtures!HB$25))="","",IF(INDIRECT(CONCATENATE($FK$12,Fixtures!HB$25))=Fixtures!$DN66,CONCATENATE(HB$10,", "),""))</f>
        <v/>
      </c>
      <c r="HC66" s="632" t="str">
        <f ca="1">IF(INDIRECT(CONCATENATE($FK$12,Fixtures!HC$25))="","",IF(INDIRECT(CONCATENATE($FK$12,Fixtures!HC$25))=Fixtures!$DN66,CONCATENATE(HC$10,", "),""))</f>
        <v/>
      </c>
      <c r="HD66" s="632" t="str">
        <f ca="1">IF(INDIRECT(CONCATENATE($FK$12,Fixtures!HD$25))="","",IF(INDIRECT(CONCATENATE($FK$12,Fixtures!HD$25))=Fixtures!$DN66,CONCATENATE(HD$10,", "),""))</f>
        <v/>
      </c>
      <c r="HE66" s="632" t="str">
        <f ca="1">IF(INDIRECT(CONCATENATE($FK$12,Fixtures!HE$25))="","",IF(INDIRECT(CONCATENATE($FK$12,Fixtures!HE$25))=Fixtures!$DN66,CONCATENATE(HE$10,", "),""))</f>
        <v/>
      </c>
      <c r="HF66" s="632" t="str">
        <f ca="1">IF(INDIRECT(CONCATENATE($FK$12,Fixtures!HF$25))="","",IF(INDIRECT(CONCATENATE($FK$12,Fixtures!HF$25))=Fixtures!$DN66,CONCATENATE(HF$10,", "),""))</f>
        <v/>
      </c>
      <c r="HG66" s="632" t="str">
        <f ca="1">IF(INDIRECT(CONCATENATE($FK$12,Fixtures!HG$25))="","",IF(INDIRECT(CONCATENATE($FK$12,Fixtures!HG$25))=Fixtures!$DN66,CONCATENATE(HG$10,", "),""))</f>
        <v/>
      </c>
      <c r="HH66" s="632" t="str">
        <f ca="1">IF(INDIRECT(CONCATENATE($FK$12,Fixtures!HH$25))="","",IF(INDIRECT(CONCATENATE($FK$12,Fixtures!HH$25))=Fixtures!$DN66,CONCATENATE(HH$10,", "),""))</f>
        <v/>
      </c>
      <c r="HI66" s="632" t="str">
        <f ca="1">IF(INDIRECT(CONCATENATE($FK$12,Fixtures!HI$25))="","",IF(INDIRECT(CONCATENATE($FK$12,Fixtures!HI$25))=Fixtures!$DN66,CONCATENATE(HI$10,", "),""))</f>
        <v/>
      </c>
      <c r="HJ66" s="632" t="str">
        <f ca="1">IF(INDIRECT(CONCATENATE($FK$12,Fixtures!HJ$25))="","",IF(INDIRECT(CONCATENATE($FK$12,Fixtures!HJ$25))=Fixtures!$DN66,CONCATENATE(HJ$10,", "),""))</f>
        <v/>
      </c>
      <c r="HK66" s="632" t="str">
        <f ca="1">IF(INDIRECT(CONCATENATE($FK$12,Fixtures!HK$25))="","",IF(INDIRECT(CONCATENATE($FK$12,Fixtures!HK$25))=Fixtures!$DN66,CONCATENATE(HK$10,", "),""))</f>
        <v/>
      </c>
      <c r="HL66" s="632" t="str">
        <f ca="1">IF(INDIRECT(CONCATENATE($FK$12,Fixtures!HL$25))="","",IF(INDIRECT(CONCATENATE($FK$12,Fixtures!HL$25))=Fixtures!$DN66,CONCATENATE(HL$10,", "),""))</f>
        <v/>
      </c>
      <c r="HM66" s="606" t="str">
        <f ca="1">IF(INDIRECT(CONCATENATE($FK$12,Fixtures!HM$25))="","",IF(INDIRECT(CONCATENATE($FK$12,Fixtures!HM$25))=Fixtures!$DN66,CONCATENATE(HM$10,", "),""))</f>
        <v/>
      </c>
      <c r="HN66" s="607" t="str">
        <f ca="1">IF(INDIRECT(CONCATENATE($FK$12,Fixtures!HN$25))="","",IF(INDIRECT(CONCATENATE($FK$12,Fixtures!HN$25))=Fixtures!$DN66,CONCATENATE(HN$10,", "),""))</f>
        <v/>
      </c>
      <c r="HO66" s="632" t="str">
        <f ca="1">IF(INDIRECT(CONCATENATE($FK$12,Fixtures!HO$25))="","",IF(INDIRECT(CONCATENATE($FK$12,Fixtures!HO$25))=Fixtures!$DN66,CONCATENATE(HO$10,", "),""))</f>
        <v/>
      </c>
      <c r="HP66" s="632" t="str">
        <f ca="1">IF(INDIRECT(CONCATENATE($FK$12,Fixtures!HP$25))="","",IF(INDIRECT(CONCATENATE($FK$12,Fixtures!HP$25))=Fixtures!$DN66,CONCATENATE(HP$10,", "),""))</f>
        <v/>
      </c>
      <c r="HQ66" s="632" t="str">
        <f ca="1">IF(INDIRECT(CONCATENATE($FK$12,Fixtures!HQ$25))="","",IF(INDIRECT(CONCATENATE($FK$12,Fixtures!HQ$25))=Fixtures!$DN66,CONCATENATE(HQ$10,", "),""))</f>
        <v/>
      </c>
      <c r="HR66" s="632" t="str">
        <f ca="1">IF(INDIRECT(CONCATENATE($FK$12,Fixtures!HR$25))="","",IF(INDIRECT(CONCATENATE($FK$12,Fixtures!HR$25))=Fixtures!$DN66,CONCATENATE(HR$10,", "),""))</f>
        <v/>
      </c>
      <c r="HS66" s="632" t="str">
        <f ca="1">IF(INDIRECT(CONCATENATE($FK$12,Fixtures!HS$25))="","",IF(INDIRECT(CONCATENATE($FK$12,Fixtures!HS$25))=Fixtures!$DN66,CONCATENATE(HS$10,", "),""))</f>
        <v/>
      </c>
      <c r="HT66" s="632" t="str">
        <f ca="1">IF(INDIRECT(CONCATENATE($FK$12,Fixtures!HT$25))="","",IF(INDIRECT(CONCATENATE($FK$12,Fixtures!HT$25))=Fixtures!$DN66,CONCATENATE(HT$10,", "),""))</f>
        <v/>
      </c>
      <c r="HU66" s="632" t="str">
        <f ca="1">IF(INDIRECT(CONCATENATE($FK$12,Fixtures!HU$25))="","",IF(INDIRECT(CONCATENATE($FK$12,Fixtures!HU$25))=Fixtures!$DN66,CONCATENATE(HU$10,", "),""))</f>
        <v/>
      </c>
      <c r="HV66" s="632" t="str">
        <f ca="1">IF(INDIRECT(CONCATENATE($FK$12,Fixtures!HV$25))="","",IF(INDIRECT(CONCATENATE($FK$12,Fixtures!HV$25))=Fixtures!$DN66,CONCATENATE(HV$10,", "),""))</f>
        <v/>
      </c>
      <c r="HW66" s="632" t="str">
        <f ca="1">IF(INDIRECT(CONCATENATE($FK$12,Fixtures!HW$25))="","",IF(INDIRECT(CONCATENATE($FK$12,Fixtures!HW$25))=Fixtures!$DN66,CONCATENATE(HW$10,", "),""))</f>
        <v/>
      </c>
      <c r="HX66" s="632" t="str">
        <f ca="1">IF(INDIRECT(CONCATENATE($FK$12,Fixtures!HX$25))="","",IF(INDIRECT(CONCATENATE($FK$12,Fixtures!HX$25))=Fixtures!$DN66,CONCATENATE(HX$10,", "),""))</f>
        <v/>
      </c>
      <c r="HY66" s="632" t="str">
        <f ca="1">IF(INDIRECT(CONCATENATE($FK$12,Fixtures!HY$25))="","",IF(INDIRECT(CONCATENATE($FK$12,Fixtures!HY$25))=Fixtures!$DN66,CONCATENATE(HY$10,", "),""))</f>
        <v/>
      </c>
      <c r="HZ66" s="632" t="str">
        <f ca="1">IF(INDIRECT(CONCATENATE($FK$12,Fixtures!HZ$25))="","",IF(INDIRECT(CONCATENATE($FK$12,Fixtures!HZ$25))=Fixtures!$DN66,CONCATENATE(HZ$10,", "),""))</f>
        <v/>
      </c>
      <c r="IA66" s="632" t="str">
        <f ca="1">IF(INDIRECT(CONCATENATE($FK$12,Fixtures!IA$25))="","",IF(INDIRECT(CONCATENATE($FK$12,Fixtures!IA$25))=Fixtures!$DN66,CONCATENATE(IA$10,", "),""))</f>
        <v/>
      </c>
      <c r="IB66" s="606" t="str">
        <f ca="1">IF(INDIRECT(CONCATENATE($FK$12,Fixtures!IB$25))="","",IF(INDIRECT(CONCATENATE($FK$12,Fixtures!IB$25))=Fixtures!$DN66,CONCATENATE(IB$10,", "),""))</f>
        <v/>
      </c>
      <c r="IC66" s="607" t="str">
        <f ca="1">IF(INDIRECT(CONCATENATE($FK$12,Fixtures!IC$25))="","",IF(INDIRECT(CONCATENATE($FK$12,Fixtures!IC$25))=Fixtures!$DN66,CONCATENATE(IC$10,", "),""))</f>
        <v/>
      </c>
      <c r="ID66" s="632" t="str">
        <f ca="1">IF(INDIRECT(CONCATENATE($FK$12,Fixtures!ID$25))="","",IF(INDIRECT(CONCATENATE($FK$12,Fixtures!ID$25))=Fixtures!$DN66,CONCATENATE(ID$10,", "),""))</f>
        <v/>
      </c>
      <c r="IE66" s="632" t="str">
        <f ca="1">IF(INDIRECT(CONCATENATE($FK$12,Fixtures!IE$25))="","",IF(INDIRECT(CONCATENATE($FK$12,Fixtures!IE$25))=Fixtures!$DN66,CONCATENATE(IE$10,", "),""))</f>
        <v/>
      </c>
      <c r="IF66" s="632" t="str">
        <f ca="1">IF(INDIRECT(CONCATENATE($FK$12,Fixtures!IF$25))="","",IF(INDIRECT(CONCATENATE($FK$12,Fixtures!IF$25))=Fixtures!$DN66,CONCATENATE(IF$10,", "),""))</f>
        <v/>
      </c>
      <c r="IG66" s="632" t="str">
        <f ca="1">IF(INDIRECT(CONCATENATE($FK$12,Fixtures!IG$25))="","",IF(INDIRECT(CONCATENATE($FK$12,Fixtures!IG$25))=Fixtures!$DN66,CONCATENATE(IG$10,", "),""))</f>
        <v/>
      </c>
      <c r="IH66" s="632" t="str">
        <f ca="1">IF(INDIRECT(CONCATENATE($FK$12,Fixtures!IH$25))="","",IF(INDIRECT(CONCATENATE($FK$12,Fixtures!IH$25))=Fixtures!$DN66,CONCATENATE(IH$10,", "),""))</f>
        <v/>
      </c>
      <c r="II66" s="632" t="str">
        <f ca="1">IF(INDIRECT(CONCATENATE($FK$12,Fixtures!II$25))="","",IF(INDIRECT(CONCATENATE($FK$12,Fixtures!II$25))=Fixtures!$DN66,CONCATENATE(II$10,", "),""))</f>
        <v/>
      </c>
      <c r="IJ66" s="632" t="str">
        <f ca="1">IF(INDIRECT(CONCATENATE($FK$12,Fixtures!IJ$25))="","",IF(INDIRECT(CONCATENATE($FK$12,Fixtures!IJ$25))=Fixtures!$DN66,CONCATENATE(IJ$10,", "),""))</f>
        <v/>
      </c>
      <c r="IK66" s="632" t="str">
        <f ca="1">IF(INDIRECT(CONCATENATE($FK$12,Fixtures!IK$25))="","",IF(INDIRECT(CONCATENATE($FK$12,Fixtures!IK$25))=Fixtures!$DN66,CONCATENATE(IK$10,", "),""))</f>
        <v/>
      </c>
      <c r="IL66" s="632" t="str">
        <f ca="1">IF(INDIRECT(CONCATENATE($FK$12,Fixtures!IL$25))="","",IF(INDIRECT(CONCATENATE($FK$12,Fixtures!IL$25))=Fixtures!$DN66,CONCATENATE(IL$10,", "),""))</f>
        <v/>
      </c>
      <c r="IM66" s="632" t="str">
        <f ca="1">IF(INDIRECT(CONCATENATE($FK$12,Fixtures!IM$25))="","",IF(INDIRECT(CONCATENATE($FK$12,Fixtures!IM$25))=Fixtures!$DN66,CONCATENATE(IM$10,", "),""))</f>
        <v/>
      </c>
      <c r="IN66" s="632" t="str">
        <f ca="1">IF(INDIRECT(CONCATENATE($FK$12,Fixtures!IN$25))="","",IF(INDIRECT(CONCATENATE($FK$12,Fixtures!IN$25))=Fixtures!$DN66,CONCATENATE(IN$10,", "),""))</f>
        <v/>
      </c>
      <c r="IO66" s="632" t="str">
        <f ca="1">IF(INDIRECT(CONCATENATE($FK$12,Fixtures!IO$25))="","",IF(INDIRECT(CONCATENATE($FK$12,Fixtures!IO$25))=Fixtures!$DN66,CONCATENATE(IO$10,", "),""))</f>
        <v/>
      </c>
      <c r="IP66" s="632" t="str">
        <f ca="1">IF(INDIRECT(CONCATENATE($FK$12,Fixtures!IP$25))="","",IF(INDIRECT(CONCATENATE($FK$12,Fixtures!IP$25))=Fixtures!$DN66,CONCATENATE(IP$10,", "),""))</f>
        <v/>
      </c>
      <c r="IQ66" s="606" t="str">
        <f ca="1">IF(INDIRECT(CONCATENATE($FK$12,Fixtures!IQ$25))="","",IF(INDIRECT(CONCATENATE($FK$12,Fixtures!IQ$25))=Fixtures!$DN66,CONCATENATE(IQ$10,", "),""))</f>
        <v/>
      </c>
      <c r="IR66" s="607" t="str">
        <f ca="1">IF(INDIRECT(CONCATENATE($FK$12,Fixtures!IR$25))="","",IF(INDIRECT(CONCATENATE($FK$12,Fixtures!IR$25))=Fixtures!$DN66,CONCATENATE(IR$10,", "),""))</f>
        <v/>
      </c>
      <c r="IS66" s="632" t="str">
        <f ca="1">IF(INDIRECT(CONCATENATE($FK$12,Fixtures!IS$25))="","",IF(INDIRECT(CONCATENATE($FK$12,Fixtures!IS$25))=Fixtures!$DN66,CONCATENATE(IS$10,", "),""))</f>
        <v/>
      </c>
      <c r="IT66" s="632" t="str">
        <f ca="1">IF(INDIRECT(CONCATENATE($FK$12,Fixtures!IT$25))="","",IF(INDIRECT(CONCATENATE($FK$12,Fixtures!IT$25))=Fixtures!$DN66,CONCATENATE(IT$10,", "),""))</f>
        <v/>
      </c>
      <c r="IU66" s="632" t="str">
        <f ca="1">IF(INDIRECT(CONCATENATE($FK$12,Fixtures!IU$25))="","",IF(INDIRECT(CONCATENATE($FK$12,Fixtures!IU$25))=Fixtures!$DN66,CONCATENATE(IU$10,", "),""))</f>
        <v/>
      </c>
      <c r="IV66" s="632" t="str">
        <f ca="1">IF(INDIRECT(CONCATENATE($FK$12,Fixtures!IV$25))="","",IF(INDIRECT(CONCATENATE($FK$12,Fixtures!IV$25))=Fixtures!$DN66,CONCATENATE(IV$10,", "),""))</f>
        <v/>
      </c>
      <c r="IW66" s="632" t="str">
        <f ca="1">IF(INDIRECT(CONCATENATE($FK$12,Fixtures!IW$25))="","",IF(INDIRECT(CONCATENATE($FK$12,Fixtures!IW$25))=Fixtures!$DN66,CONCATENATE(IW$10,", "),""))</f>
        <v/>
      </c>
      <c r="IX66" s="632" t="str">
        <f ca="1">IF(INDIRECT(CONCATENATE($FK$12,Fixtures!IX$25))="","",IF(INDIRECT(CONCATENATE($FK$12,Fixtures!IX$25))=Fixtures!$DN66,CONCATENATE(IX$10,", "),""))</f>
        <v/>
      </c>
      <c r="IY66" s="632" t="str">
        <f ca="1">IF(INDIRECT(CONCATENATE($FK$12,Fixtures!IY$25))="","",IF(INDIRECT(CONCATENATE($FK$12,Fixtures!IY$25))=Fixtures!$DN66,CONCATENATE(IY$10,", "),""))</f>
        <v/>
      </c>
      <c r="IZ66" s="632" t="str">
        <f ca="1">IF(INDIRECT(CONCATENATE($FK$12,Fixtures!IZ$25))="","",IF(INDIRECT(CONCATENATE($FK$12,Fixtures!IZ$25))=Fixtures!$DN66,CONCATENATE(IZ$10,", "),""))</f>
        <v/>
      </c>
      <c r="JA66" s="632" t="str">
        <f ca="1">IF(INDIRECT(CONCATENATE($FK$12,Fixtures!JA$25))="","",IF(INDIRECT(CONCATENATE($FK$12,Fixtures!JA$25))=Fixtures!$DN66,CONCATENATE(JA$10,", "),""))</f>
        <v/>
      </c>
      <c r="JB66" s="632" t="str">
        <f ca="1">IF(INDIRECT(CONCATENATE($FK$12,Fixtures!JB$25))="","",IF(INDIRECT(CONCATENATE($FK$12,Fixtures!JB$25))=Fixtures!$DN66,CONCATENATE(JB$10,", "),""))</f>
        <v/>
      </c>
      <c r="JC66" s="632" t="str">
        <f ca="1">IF(INDIRECT(CONCATENATE($FK$12,Fixtures!JC$25))="","",IF(INDIRECT(CONCATENATE($FK$12,Fixtures!JC$25))=Fixtures!$DN66,CONCATENATE(JC$10,", "),""))</f>
        <v/>
      </c>
      <c r="JD66" s="632" t="str">
        <f ca="1">IF(INDIRECT(CONCATENATE($FK$12,Fixtures!JD$25))="","",IF(INDIRECT(CONCATENATE($FK$12,Fixtures!JD$25))=Fixtures!$DN66,CONCATENATE(JD$10,", "),""))</f>
        <v/>
      </c>
      <c r="JE66" s="632" t="str">
        <f ca="1">IF(INDIRECT(CONCATENATE($FK$12,Fixtures!JE$25))="","",IF(INDIRECT(CONCATENATE($FK$12,Fixtures!JE$25))=Fixtures!$DN66,CONCATENATE(JE$10,", "),""))</f>
        <v/>
      </c>
      <c r="JF66" s="606" t="str">
        <f ca="1">IF(INDIRECT(CONCATENATE($FK$12,Fixtures!JF$25))="","",IF(INDIRECT(CONCATENATE($FK$12,Fixtures!JF$25))=Fixtures!$DN66,CONCATENATE(JF$10,", "),""))</f>
        <v/>
      </c>
      <c r="JG66" s="607" t="str">
        <f ca="1">IF(INDIRECT(CONCATENATE($FK$12,Fixtures!JG$25))="","",IF(INDIRECT(CONCATENATE($FK$12,Fixtures!JG$25))=Fixtures!$DN66,CONCATENATE(JG$10,", "),""))</f>
        <v/>
      </c>
      <c r="JH66" s="632" t="str">
        <f ca="1">IF(INDIRECT(CONCATENATE($FK$12,Fixtures!JH$25))="","",IF(INDIRECT(CONCATENATE($FK$12,Fixtures!JH$25))=Fixtures!$DN66,CONCATENATE(JH$10,", "),""))</f>
        <v/>
      </c>
      <c r="JI66" s="632" t="str">
        <f ca="1">IF(INDIRECT(CONCATENATE($FK$12,Fixtures!JI$25))="","",IF(INDIRECT(CONCATENATE($FK$12,Fixtures!JI$25))=Fixtures!$DN66,CONCATENATE(JI$10,", "),""))</f>
        <v/>
      </c>
      <c r="JJ66" s="632" t="str">
        <f ca="1">IF(INDIRECT(CONCATENATE($FK$12,Fixtures!JJ$25))="","",IF(INDIRECT(CONCATENATE($FK$12,Fixtures!JJ$25))=Fixtures!$DN66,CONCATENATE(JJ$10,", "),""))</f>
        <v/>
      </c>
      <c r="JK66" s="632" t="str">
        <f ca="1">IF(INDIRECT(CONCATENATE($FK$12,Fixtures!JK$25))="","",IF(INDIRECT(CONCATENATE($FK$12,Fixtures!JK$25))=Fixtures!$DN66,CONCATENATE(JK$10,", "),""))</f>
        <v/>
      </c>
      <c r="JL66" s="632" t="str">
        <f ca="1">IF(INDIRECT(CONCATENATE($FK$12,Fixtures!JL$25))="","",IF(INDIRECT(CONCATENATE($FK$12,Fixtures!JL$25))=Fixtures!$DN66,CONCATENATE(JL$10,", "),""))</f>
        <v/>
      </c>
      <c r="JM66" s="632" t="str">
        <f ca="1">IF(INDIRECT(CONCATENATE($FK$12,Fixtures!JM$25))="","",IF(INDIRECT(CONCATENATE($FK$12,Fixtures!JM$25))=Fixtures!$DN66,CONCATENATE(JM$10,", "),""))</f>
        <v/>
      </c>
      <c r="JN66" s="632" t="str">
        <f ca="1">IF(INDIRECT(CONCATENATE($FK$12,Fixtures!JN$25))="","",IF(INDIRECT(CONCATENATE($FK$12,Fixtures!JN$25))=Fixtures!$DN66,CONCATENATE(JN$10,", "),""))</f>
        <v/>
      </c>
      <c r="JO66" s="632" t="str">
        <f ca="1">IF(INDIRECT(CONCATENATE($FK$12,Fixtures!JO$25))="","",IF(INDIRECT(CONCATENATE($FK$12,Fixtures!JO$25))=Fixtures!$DN66,CONCATENATE(JO$10,", "),""))</f>
        <v/>
      </c>
      <c r="JP66" s="632" t="str">
        <f ca="1">IF(INDIRECT(CONCATENATE($FK$12,Fixtures!JP$25))="","",IF(INDIRECT(CONCATENATE($FK$12,Fixtures!JP$25))=Fixtures!$DN66,CONCATENATE(JP$10,", "),""))</f>
        <v/>
      </c>
      <c r="JQ66" s="632" t="str">
        <f ca="1">IF(INDIRECT(CONCATENATE($FK$12,Fixtures!JQ$25))="","",IF(INDIRECT(CONCATENATE($FK$12,Fixtures!JQ$25))=Fixtures!$DN66,CONCATENATE(JQ$10,", "),""))</f>
        <v/>
      </c>
      <c r="JR66" s="632" t="str">
        <f ca="1">IF(INDIRECT(CONCATENATE($FK$12,Fixtures!JR$25))="","",IF(INDIRECT(CONCATENATE($FK$12,Fixtures!JR$25))=Fixtures!$DN66,CONCATENATE(JR$10,", "),""))</f>
        <v/>
      </c>
      <c r="JS66" s="632" t="str">
        <f ca="1">IF(INDIRECT(CONCATENATE($FK$12,Fixtures!JS$25))="","",IF(INDIRECT(CONCATENATE($FK$12,Fixtures!JS$25))=Fixtures!$DN66,CONCATENATE(JS$10,", "),""))</f>
        <v/>
      </c>
      <c r="JT66" s="632" t="str">
        <f ca="1">IF(INDIRECT(CONCATENATE($FK$12,Fixtures!JT$25))="","",IF(INDIRECT(CONCATENATE($FK$12,Fixtures!JT$25))=Fixtures!$DN66,CONCATENATE(JT$10,", "),""))</f>
        <v/>
      </c>
      <c r="JU66" s="606" t="str">
        <f ca="1">IF(INDIRECT(CONCATENATE($FK$12,Fixtures!JU$25))="","",IF(INDIRECT(CONCATENATE($FK$12,Fixtures!JU$25))=Fixtures!$DN66,CONCATENATE(JU$10,", "),""))</f>
        <v/>
      </c>
      <c r="JV66" s="607" t="str">
        <f ca="1">IF(INDIRECT(CONCATENATE($FK$12,Fixtures!JV$25))="","",IF(INDIRECT(CONCATENATE($FK$12,Fixtures!JV$25))=Fixtures!$DN66,CONCATENATE(JV$10,", "),""))</f>
        <v/>
      </c>
      <c r="JW66" s="632" t="str">
        <f ca="1">IF(INDIRECT(CONCATENATE($FK$12,Fixtures!JW$25))="","",IF(INDIRECT(CONCATENATE($FK$12,Fixtures!JW$25))=Fixtures!$DN66,CONCATENATE(JW$10,", "),""))</f>
        <v/>
      </c>
      <c r="JX66" s="632" t="str">
        <f ca="1">IF(INDIRECT(CONCATENATE($FK$12,Fixtures!JX$25))="","",IF(INDIRECT(CONCATENATE($FK$12,Fixtures!JX$25))=Fixtures!$DN66,CONCATENATE(JX$10,", "),""))</f>
        <v/>
      </c>
      <c r="JY66" s="632" t="str">
        <f ca="1">IF(INDIRECT(CONCATENATE($FK$12,Fixtures!JY$25))="","",IF(INDIRECT(CONCATENATE($FK$12,Fixtures!JY$25))=Fixtures!$DN66,CONCATENATE(JY$10,", "),""))</f>
        <v/>
      </c>
      <c r="JZ66" s="632" t="str">
        <f ca="1">IF(INDIRECT(CONCATENATE($FK$12,Fixtures!JZ$25))="","",IF(INDIRECT(CONCATENATE($FK$12,Fixtures!JZ$25))=Fixtures!$DN66,CONCATENATE(JZ$10,", "),""))</f>
        <v/>
      </c>
      <c r="KA66" s="632" t="str">
        <f ca="1">IF(INDIRECT(CONCATENATE($FK$12,Fixtures!KA$25))="","",IF(INDIRECT(CONCATENATE($FK$12,Fixtures!KA$25))=Fixtures!$DN66,CONCATENATE(KA$10,", "),""))</f>
        <v/>
      </c>
      <c r="KB66" s="632" t="str">
        <f ca="1">IF(INDIRECT(CONCATENATE($FK$12,Fixtures!KB$25))="","",IF(INDIRECT(CONCATENATE($FK$12,Fixtures!KB$25))=Fixtures!$DN66,CONCATENATE(KB$10,", "),""))</f>
        <v/>
      </c>
      <c r="KC66" s="632" t="str">
        <f ca="1">IF(INDIRECT(CONCATENATE($FK$12,Fixtures!KC$25))="","",IF(INDIRECT(CONCATENATE($FK$12,Fixtures!KC$25))=Fixtures!$DN66,CONCATENATE(KC$10,", "),""))</f>
        <v/>
      </c>
      <c r="KD66" s="632" t="str">
        <f ca="1">IF(INDIRECT(CONCATENATE($FK$12,Fixtures!KD$25))="","",IF(INDIRECT(CONCATENATE($FK$12,Fixtures!KD$25))=Fixtures!$DN66,CONCATENATE(KD$10,", "),""))</f>
        <v/>
      </c>
      <c r="KE66" s="632" t="str">
        <f ca="1">IF(INDIRECT(CONCATENATE($FK$12,Fixtures!KE$25))="","",IF(INDIRECT(CONCATENATE($FK$12,Fixtures!KE$25))=Fixtures!$DN66,CONCATENATE(KE$10,", "),""))</f>
        <v/>
      </c>
      <c r="KF66" s="632" t="str">
        <f ca="1">IF(INDIRECT(CONCATENATE($FK$12,Fixtures!KF$25))="","",IF(INDIRECT(CONCATENATE($FK$12,Fixtures!KF$25))=Fixtures!$DN66,CONCATENATE(KF$10,", "),""))</f>
        <v/>
      </c>
      <c r="KG66" s="632" t="str">
        <f ca="1">IF(INDIRECT(CONCATENATE($FK$12,Fixtures!KG$25))="","",IF(INDIRECT(CONCATENATE($FK$12,Fixtures!KG$25))=Fixtures!$DN66,CONCATENATE(KG$10,", "),""))</f>
        <v/>
      </c>
      <c r="KH66" s="632" t="str">
        <f ca="1">IF(INDIRECT(CONCATENATE($FK$12,Fixtures!KH$25))="","",IF(INDIRECT(CONCATENATE($FK$12,Fixtures!KH$25))=Fixtures!$DN66,CONCATENATE(KH$10,", "),""))</f>
        <v/>
      </c>
      <c r="KI66" s="632" t="str">
        <f ca="1">IF(INDIRECT(CONCATENATE($FK$12,Fixtures!KI$25))="","",IF(INDIRECT(CONCATENATE($FK$12,Fixtures!KI$25))=Fixtures!$DN66,CONCATENATE(KI$10,", "),""))</f>
        <v/>
      </c>
      <c r="KJ66" s="606" t="str">
        <f ca="1">IF(INDIRECT(CONCATENATE($FK$12,Fixtures!KJ$25))="","",IF(INDIRECT(CONCATENATE($FK$12,Fixtures!KJ$25))=Fixtures!$DN66,CONCATENATE(KJ$10,", "),""))</f>
        <v/>
      </c>
      <c r="KK66" s="607" t="str">
        <f ca="1">IF(INDIRECT(CONCATENATE($FK$12,Fixtures!KK$25))="","",IF(INDIRECT(CONCATENATE($FK$12,Fixtures!KK$25))=Fixtures!$DN66,CONCATENATE(KK$10,", "),""))</f>
        <v/>
      </c>
      <c r="KL66" s="632" t="str">
        <f ca="1">IF(INDIRECT(CONCATENATE($FK$12,Fixtures!KL$25))="","",IF(INDIRECT(CONCATENATE($FK$12,Fixtures!KL$25))=Fixtures!$DN66,CONCATENATE(KL$10,", "),""))</f>
        <v/>
      </c>
      <c r="KM66" s="632" t="str">
        <f ca="1">IF(INDIRECT(CONCATENATE($FK$12,Fixtures!KM$25))="","",IF(INDIRECT(CONCATENATE($FK$12,Fixtures!KM$25))=Fixtures!$DN66,CONCATENATE(KM$10,", "),""))</f>
        <v/>
      </c>
      <c r="KN66" s="632" t="str">
        <f ca="1">IF(INDIRECT(CONCATENATE($FK$12,Fixtures!KN$25))="","",IF(INDIRECT(CONCATENATE($FK$12,Fixtures!KN$25))=Fixtures!$DN66,CONCATENATE(KN$10,", "),""))</f>
        <v/>
      </c>
      <c r="KO66" s="632" t="str">
        <f ca="1">IF(INDIRECT(CONCATENATE($FK$12,Fixtures!KO$25))="","",IF(INDIRECT(CONCATENATE($FK$12,Fixtures!KO$25))=Fixtures!$DN66,CONCATENATE(KO$10,", "),""))</f>
        <v/>
      </c>
      <c r="KP66" s="632" t="str">
        <f ca="1">IF(INDIRECT(CONCATENATE($FK$12,Fixtures!KP$25))="","",IF(INDIRECT(CONCATENATE($FK$12,Fixtures!KP$25))=Fixtures!$DN66,CONCATENATE(KP$10,", "),""))</f>
        <v/>
      </c>
      <c r="KQ66" s="632" t="str">
        <f ca="1">IF(INDIRECT(CONCATENATE($FK$12,Fixtures!KQ$25))="","",IF(INDIRECT(CONCATENATE($FK$12,Fixtures!KQ$25))=Fixtures!$DN66,CONCATENATE(KQ$10,", "),""))</f>
        <v/>
      </c>
      <c r="KR66" s="632" t="str">
        <f ca="1">IF(INDIRECT(CONCATENATE($FK$12,Fixtures!KR$25))="","",IF(INDIRECT(CONCATENATE($FK$12,Fixtures!KR$25))=Fixtures!$DN66,CONCATENATE(KR$10,", "),""))</f>
        <v/>
      </c>
      <c r="KS66" s="632" t="str">
        <f ca="1">IF(INDIRECT(CONCATENATE($FK$12,Fixtures!KS$25))="","",IF(INDIRECT(CONCATENATE($FK$12,Fixtures!KS$25))=Fixtures!$DN66,CONCATENATE(KS$10,", "),""))</f>
        <v/>
      </c>
      <c r="KT66" s="632" t="str">
        <f ca="1">IF(INDIRECT(CONCATENATE($FK$12,Fixtures!KT$25))="","",IF(INDIRECT(CONCATENATE($FK$12,Fixtures!KT$25))=Fixtures!$DN66,CONCATENATE(KT$10,", "),""))</f>
        <v/>
      </c>
      <c r="KU66" s="632" t="str">
        <f ca="1">IF(INDIRECT(CONCATENATE($FK$12,Fixtures!KU$25))="","",IF(INDIRECT(CONCATENATE($FK$12,Fixtures!KU$25))=Fixtures!$DN66,CONCATENATE(KU$10,", "),""))</f>
        <v/>
      </c>
      <c r="KV66" s="632" t="str">
        <f ca="1">IF(INDIRECT(CONCATENATE($FK$12,Fixtures!KV$25))="","",IF(INDIRECT(CONCATENATE($FK$12,Fixtures!KV$25))=Fixtures!$DN66,CONCATENATE(KV$10,", "),""))</f>
        <v/>
      </c>
      <c r="KW66" s="632" t="str">
        <f ca="1">IF(INDIRECT(CONCATENATE($FK$12,Fixtures!KW$25))="","",IF(INDIRECT(CONCATENATE($FK$12,Fixtures!KW$25))=Fixtures!$DN66,CONCATENATE(KW$10,", "),""))</f>
        <v/>
      </c>
      <c r="KX66" s="632" t="str">
        <f ca="1">IF(INDIRECT(CONCATENATE($FK$12,Fixtures!KX$25))="","",IF(INDIRECT(CONCATENATE($FK$12,Fixtures!KX$25))=Fixtures!$DN66,CONCATENATE(KX$10,", "),""))</f>
        <v/>
      </c>
      <c r="KY66" s="632"/>
      <c r="KZ66" s="542"/>
      <c r="LA66" s="46" t="str">
        <f t="shared" ca="1" si="37"/>
        <v/>
      </c>
      <c r="LB66" s="46"/>
      <c r="LC66" s="1010"/>
      <c r="LD66" s="1009" t="str">
        <f t="shared" si="20"/>
        <v/>
      </c>
    </row>
    <row r="67" spans="1:316" ht="28.2" customHeight="1" thickTop="1" thickBot="1">
      <c r="A67" s="426" t="str">
        <f t="shared" si="13"/>
        <v/>
      </c>
      <c r="C67" s="1640" t="str">
        <f t="shared" si="14"/>
        <v/>
      </c>
      <c r="D67" s="1641"/>
      <c r="E67" s="1568" t="str">
        <f t="shared" si="15"/>
        <v/>
      </c>
      <c r="F67" s="1569"/>
      <c r="G67" s="1569"/>
      <c r="H67" s="1569"/>
      <c r="I67" s="1569"/>
      <c r="J67" s="1569"/>
      <c r="K67" s="1569"/>
      <c r="L67" s="1569"/>
      <c r="M67" s="1642"/>
      <c r="N67" s="203" t="str">
        <f t="shared" si="16"/>
        <v/>
      </c>
      <c r="O67" s="12"/>
      <c r="P67" s="1638" t="str">
        <f t="shared" si="25"/>
        <v/>
      </c>
      <c r="Q67" s="1639"/>
      <c r="R67" s="1568" t="str">
        <f t="shared" si="30"/>
        <v/>
      </c>
      <c r="S67" s="1569"/>
      <c r="T67" s="1569"/>
      <c r="U67" s="1569"/>
      <c r="V67" s="1569"/>
      <c r="W67" s="1569"/>
      <c r="X67" s="1569"/>
      <c r="Y67" s="203" t="str">
        <f t="shared" si="26"/>
        <v/>
      </c>
      <c r="Z67" s="203" t="str">
        <f t="shared" si="27"/>
        <v/>
      </c>
      <c r="AA67" s="394" t="str">
        <f t="shared" si="28"/>
        <v/>
      </c>
      <c r="AB67" s="489"/>
      <c r="AC67" s="1564" t="str">
        <f t="shared" si="18"/>
        <v/>
      </c>
      <c r="AD67" s="1565"/>
      <c r="AE67" s="1565"/>
      <c r="AF67" s="1565"/>
      <c r="AG67" s="1565"/>
      <c r="AH67" s="1565"/>
      <c r="AK67">
        <f>SUMIFS(Installations!CV$46:CV$803,Installations!CW$46:CW$803,E67,Installations!IC$46:IC$803,TRUE)</f>
        <v>0</v>
      </c>
      <c r="AL67">
        <f>SUMIFS(Installations!CV$46:CV$803,Installations!CW$46:CW$803,R67,Installations!IC$46:IC$803,TRUE)</f>
        <v>0</v>
      </c>
      <c r="BL67" s="9"/>
      <c r="BM67" s="622" t="str">
        <f t="shared" si="19"/>
        <v/>
      </c>
      <c r="BN67" s="52"/>
      <c r="BO67" s="52"/>
      <c r="BP67" s="52"/>
      <c r="BQ67" s="52"/>
      <c r="BR67" s="52"/>
      <c r="BS67" s="52"/>
      <c r="BT67" s="52"/>
      <c r="BU67" s="373"/>
      <c r="BV67" s="219" t="str">
        <f>IF(CN67&lt;&gt;"Yes","",IFERROR(VLOOKUP(CU67,Existing!A$4:F$367,2,FALSE),""))</f>
        <v/>
      </c>
      <c r="BW67" s="9">
        <v>41</v>
      </c>
      <c r="BX67" s="1625"/>
      <c r="BY67" s="1626"/>
      <c r="BZ67" s="1626"/>
      <c r="CA67" s="1627"/>
      <c r="CB67" s="1622"/>
      <c r="CC67" s="1623"/>
      <c r="CD67" s="1623"/>
      <c r="CE67" s="1624"/>
      <c r="CF67" s="1621"/>
      <c r="CG67" s="1621"/>
      <c r="CH67" s="1621"/>
      <c r="CI67" s="1621"/>
      <c r="CJ67" s="1621"/>
      <c r="CK67" s="1621"/>
      <c r="CL67" s="1621"/>
      <c r="CM67" s="1621"/>
      <c r="CN67" s="1553" t="str">
        <f t="shared" si="31"/>
        <v/>
      </c>
      <c r="CO67" s="1554"/>
      <c r="CP67" s="229" t="str">
        <f>IFERROR(IF(CB67="Existing TLED",CR67*CW67*CY67,VLOOKUP(CU67,Existing!A$3:F$356,6,FALSE)),"")</f>
        <v/>
      </c>
      <c r="CQ67" s="9"/>
      <c r="CR67" s="1660"/>
      <c r="CS67" s="1661"/>
      <c r="CT67" s="9"/>
      <c r="CU67" s="425" t="str">
        <f t="shared" si="21"/>
        <v/>
      </c>
      <c r="CV67" s="426" t="b">
        <f t="shared" si="22"/>
        <v>0</v>
      </c>
      <c r="CW67" s="426" t="str">
        <f t="shared" si="23"/>
        <v/>
      </c>
      <c r="CX67" s="426">
        <f>IFERROR(VLOOKUP(CF67,Lookup!T$100:V$102,3,FALSE),0)</f>
        <v>0</v>
      </c>
      <c r="CY67" s="426">
        <f t="shared" si="8"/>
        <v>1.1100000000000001</v>
      </c>
      <c r="CZ67" s="626" t="b">
        <f t="shared" si="32"/>
        <v>0</v>
      </c>
      <c r="DA67" s="626" t="b">
        <f>IF(CF67&lt;&gt;"",IF(ISERROR(MATCH(CONCATENATE(CB67," - ",CF67),Existing!G$4:G$331,0))=TRUE,FALSE,TRUE),TRUE)</f>
        <v>1</v>
      </c>
      <c r="DB67" s="626" t="b">
        <f t="shared" si="33"/>
        <v>1</v>
      </c>
      <c r="DL67" s="9"/>
      <c r="DM67" s="627" t="s">
        <v>215</v>
      </c>
      <c r="DN67" s="375" t="str">
        <f t="shared" si="34"/>
        <v/>
      </c>
      <c r="DO67" s="52"/>
      <c r="DP67" s="52"/>
      <c r="DQ67" s="52"/>
      <c r="DR67" s="52"/>
      <c r="DS67" s="52"/>
      <c r="DT67" s="226"/>
      <c r="DU67" s="376"/>
      <c r="DV67" s="227" t="str">
        <f t="shared" si="35"/>
        <v/>
      </c>
      <c r="DW67" s="224">
        <v>41</v>
      </c>
      <c r="DX67" s="1572"/>
      <c r="DY67" s="1573"/>
      <c r="DZ67" s="1573"/>
      <c r="EA67" s="1574"/>
      <c r="EB67" s="1618"/>
      <c r="EC67" s="1619"/>
      <c r="ED67" s="1619"/>
      <c r="EE67" s="1620"/>
      <c r="EF67" s="1578"/>
      <c r="EG67" s="1579"/>
      <c r="EH67" s="1618"/>
      <c r="EI67" s="1619"/>
      <c r="EJ67" s="1619"/>
      <c r="EK67" s="1620"/>
      <c r="EL67" s="1575"/>
      <c r="EM67" s="1576"/>
      <c r="EN67" s="1576"/>
      <c r="EO67" s="1577"/>
      <c r="EP67" s="1578"/>
      <c r="EQ67" s="1579"/>
      <c r="ER67" s="1555"/>
      <c r="ES67" s="1556"/>
      <c r="ET67" s="1553" t="str">
        <f t="shared" si="9"/>
        <v/>
      </c>
      <c r="EU67" s="1554"/>
      <c r="EV67" s="1553" t="str">
        <f t="shared" si="29"/>
        <v/>
      </c>
      <c r="EW67" s="1554"/>
      <c r="EX67" s="393"/>
      <c r="EY67" s="225" t="str">
        <f t="shared" si="36"/>
        <v/>
      </c>
      <c r="EZ67" s="225" t="str">
        <f>IFERROR(VLOOKUP(EB67,Lookup!AT$3:AU$13,2,FALSE),"")</f>
        <v/>
      </c>
      <c r="FA67" s="426" t="b">
        <f>IFERROR(IF(VLOOKUP(EB67,Lookup!AT$6:AU$8,2,FALSE)&gt;3,TRUE,FALSE),FALSE)</f>
        <v>0</v>
      </c>
      <c r="FB67" s="426" t="str">
        <f t="shared" si="10"/>
        <v/>
      </c>
      <c r="FC67" t="str">
        <f t="shared" ca="1" si="11"/>
        <v/>
      </c>
      <c r="FG67" t="str">
        <f t="shared" ca="1" si="12"/>
        <v/>
      </c>
      <c r="FI67" s="204" t="str">
        <f t="shared" ca="1" si="24"/>
        <v/>
      </c>
      <c r="FK67" s="631" t="str">
        <f ca="1">IF(INDIRECT(CONCATENATE($FK$12,Fixtures!FK$25))="","",IF(INDIRECT(CONCATENATE($FK$12,Fixtures!FK$25))=Fixtures!$DN67,CONCATENATE(FK$10,", "),""))</f>
        <v/>
      </c>
      <c r="FL67" s="631" t="str">
        <f ca="1">IF(INDIRECT(CONCATENATE($FK$12,Fixtures!FL$25))="","",IF(INDIRECT(CONCATENATE($FK$12,Fixtures!FL$25))=Fixtures!$DN67,CONCATENATE(FL$10,", "),""))</f>
        <v/>
      </c>
      <c r="FM67" s="631" t="str">
        <f ca="1">IF(INDIRECT(CONCATENATE($FK$12,Fixtures!FM$25))="","",IF(INDIRECT(CONCATENATE($FK$12,Fixtures!FM$25))=Fixtures!$DN67,CONCATENATE(FM$10,", "),""))</f>
        <v/>
      </c>
      <c r="FN67" s="631" t="str">
        <f ca="1">IF(INDIRECT(CONCATENATE($FK$12,Fixtures!FN$25))="","",IF(INDIRECT(CONCATENATE($FK$12,Fixtures!FN$25))=Fixtures!$DN67,CONCATENATE(FN$10,", "),""))</f>
        <v/>
      </c>
      <c r="FO67" s="631" t="str">
        <f ca="1">IF(INDIRECT(CONCATENATE($FK$12,Fixtures!FO$25))="","",IF(INDIRECT(CONCATENATE($FK$12,Fixtures!FO$25))=Fixtures!$DN67,CONCATENATE(FO$10,", "),""))</f>
        <v/>
      </c>
      <c r="FP67" s="631" t="str">
        <f ca="1">IF(INDIRECT(CONCATENATE($FK$12,Fixtures!FP$25))="","",IF(INDIRECT(CONCATENATE($FK$12,Fixtures!FP$25))=Fixtures!$DN67,CONCATENATE(FP$10,", "),""))</f>
        <v/>
      </c>
      <c r="FQ67" s="631" t="str">
        <f ca="1">IF(INDIRECT(CONCATENATE($FK$12,Fixtures!FQ$25))="","",IF(INDIRECT(CONCATENATE($FK$12,Fixtures!FQ$25))=Fixtures!$DN67,CONCATENATE(FQ$10,", "),""))</f>
        <v/>
      </c>
      <c r="FR67" s="631" t="str">
        <f ca="1">IF(INDIRECT(CONCATENATE($FK$12,Fixtures!FR$25))="","",IF(INDIRECT(CONCATENATE($FK$12,Fixtures!FR$25))=Fixtures!$DN67,CONCATENATE(FR$10,", "),""))</f>
        <v/>
      </c>
      <c r="FS67" s="631" t="str">
        <f ca="1">IF(INDIRECT(CONCATENATE($FK$12,Fixtures!FS$25))="","",IF(INDIRECT(CONCATENATE($FK$12,Fixtures!FS$25))=Fixtures!$DN67,CONCATENATE(FS$10,", "),""))</f>
        <v/>
      </c>
      <c r="FT67" s="604" t="str">
        <f ca="1">IF(INDIRECT(CONCATENATE($FK$12,Fixtures!FT$25))="","",IF(INDIRECT(CONCATENATE($FK$12,Fixtures!FT$25))=Fixtures!$DN67,CONCATENATE(FT$10,", "),""))</f>
        <v/>
      </c>
      <c r="FU67" s="605" t="str">
        <f ca="1">IF(INDIRECT(CONCATENATE($FK$12,Fixtures!FU$25))="","",IF(INDIRECT(CONCATENATE($FK$12,Fixtures!FU$25))=Fixtures!$DN67,CONCATENATE(FU$10,", "),""))</f>
        <v/>
      </c>
      <c r="FV67" s="631" t="str">
        <f ca="1">IF(INDIRECT(CONCATENATE($FK$12,Fixtures!FV$25))="","",IF(INDIRECT(CONCATENATE($FK$12,Fixtures!FV$25))=Fixtures!$DN67,CONCATENATE(FV$10,", "),""))</f>
        <v/>
      </c>
      <c r="FW67" s="632" t="str">
        <f ca="1">IF(INDIRECT(CONCATENATE($FK$12,Fixtures!FW$25))="","",IF(INDIRECT(CONCATENATE($FK$12,Fixtures!FW$25))=Fixtures!$DN67,CONCATENATE(FW$10,", "),""))</f>
        <v/>
      </c>
      <c r="FX67" s="632" t="str">
        <f ca="1">IF(INDIRECT(CONCATENATE($FK$12,Fixtures!FX$25))="","",IF(INDIRECT(CONCATENATE($FK$12,Fixtures!FX$25))=Fixtures!$DN67,CONCATENATE(FX$10,", "),""))</f>
        <v/>
      </c>
      <c r="FY67" s="632" t="str">
        <f ca="1">IF(INDIRECT(CONCATENATE($FK$12,Fixtures!FY$25))="","",IF(INDIRECT(CONCATENATE($FK$12,Fixtures!FY$25))=Fixtures!$DN67,CONCATENATE(FY$10,", "),""))</f>
        <v/>
      </c>
      <c r="FZ67" s="632" t="str">
        <f ca="1">IF(INDIRECT(CONCATENATE($FK$12,Fixtures!FZ$25))="","",IF(INDIRECT(CONCATENATE($FK$12,Fixtures!FZ$25))=Fixtures!$DN67,CONCATENATE(FZ$10,", "),""))</f>
        <v/>
      </c>
      <c r="GA67" s="632" t="str">
        <f ca="1">IF(INDIRECT(CONCATENATE($FK$12,Fixtures!GA$25))="","",IF(INDIRECT(CONCATENATE($FK$12,Fixtures!GA$25))=Fixtures!$DN67,CONCATENATE(GA$10,", "),""))</f>
        <v/>
      </c>
      <c r="GB67" s="632" t="str">
        <f ca="1">IF(INDIRECT(CONCATENATE($FK$12,Fixtures!GB$25))="","",IF(INDIRECT(CONCATENATE($FK$12,Fixtures!GB$25))=Fixtures!$DN67,CONCATENATE(GB$10,", "),""))</f>
        <v/>
      </c>
      <c r="GC67" s="632" t="str">
        <f ca="1">IF(INDIRECT(CONCATENATE($FK$12,Fixtures!GC$25))="","",IF(INDIRECT(CONCATENATE($FK$12,Fixtures!GC$25))=Fixtures!$DN67,CONCATENATE(GC$10,", "),""))</f>
        <v/>
      </c>
      <c r="GD67" s="632" t="str">
        <f ca="1">IF(INDIRECT(CONCATENATE($FK$12,Fixtures!GD$25))="","",IF(INDIRECT(CONCATENATE($FK$12,Fixtures!GD$25))=Fixtures!$DN67,CONCATENATE(GD$10,", "),""))</f>
        <v/>
      </c>
      <c r="GE67" s="632" t="str">
        <f ca="1">IF(INDIRECT(CONCATENATE($FK$12,Fixtures!GE$25))="","",IF(INDIRECT(CONCATENATE($FK$12,Fixtures!GE$25))=Fixtures!$DN67,CONCATENATE(GE$10,", "),""))</f>
        <v/>
      </c>
      <c r="GF67" s="632" t="str">
        <f ca="1">IF(INDIRECT(CONCATENATE($FK$12,Fixtures!GF$25))="","",IF(INDIRECT(CONCATENATE($FK$12,Fixtures!GF$25))=Fixtures!$DN67,CONCATENATE(GF$10,", "),""))</f>
        <v/>
      </c>
      <c r="GG67" s="632" t="str">
        <f ca="1">IF(INDIRECT(CONCATENATE($FK$12,Fixtures!GG$25))="","",IF(INDIRECT(CONCATENATE($FK$12,Fixtures!GG$25))=Fixtures!$DN67,CONCATENATE(GG$10,", "),""))</f>
        <v/>
      </c>
      <c r="GH67" s="632" t="str">
        <f ca="1">IF(INDIRECT(CONCATENATE($FK$12,Fixtures!GH$25))="","",IF(INDIRECT(CONCATENATE($FK$12,Fixtures!GH$25))=Fixtures!$DN67,CONCATENATE(GH$10,", "),""))</f>
        <v/>
      </c>
      <c r="GI67" s="606" t="str">
        <f ca="1">IF(INDIRECT(CONCATENATE($FK$12,Fixtures!GI$25))="","",IF(INDIRECT(CONCATENATE($FK$12,Fixtures!GI$25))=Fixtures!$DN67,CONCATENATE(GI$10,", "),""))</f>
        <v/>
      </c>
      <c r="GJ67" s="607" t="str">
        <f ca="1">IF(INDIRECT(CONCATENATE($FK$12,Fixtures!GJ$25))="","",IF(INDIRECT(CONCATENATE($FK$12,Fixtures!GJ$25))=Fixtures!$DN67,CONCATENATE(GJ$10,", "),""))</f>
        <v/>
      </c>
      <c r="GK67" s="632" t="str">
        <f ca="1">IF(INDIRECT(CONCATENATE($FK$12,Fixtures!GK$25))="","",IF(INDIRECT(CONCATENATE($FK$12,Fixtures!GK$25))=Fixtures!$DN67,CONCATENATE(GK$10,", "),""))</f>
        <v/>
      </c>
      <c r="GL67" s="632" t="str">
        <f ca="1">IF(INDIRECT(CONCATENATE($FK$12,Fixtures!GL$25))="","",IF(INDIRECT(CONCATENATE($FK$12,Fixtures!GL$25))=Fixtures!$DN67,CONCATENATE(GL$10,", "),""))</f>
        <v/>
      </c>
      <c r="GM67" s="632" t="str">
        <f ca="1">IF(INDIRECT(CONCATENATE($FK$12,Fixtures!GM$25))="","",IF(INDIRECT(CONCATENATE($FK$12,Fixtures!GM$25))=Fixtures!$DN67,CONCATENATE(GM$10,", "),""))</f>
        <v/>
      </c>
      <c r="GN67" s="632" t="str">
        <f ca="1">IF(INDIRECT(CONCATENATE($FK$12,Fixtures!GN$25))="","",IF(INDIRECT(CONCATENATE($FK$12,Fixtures!GN$25))=Fixtures!$DN67,CONCATENATE(GN$10,", "),""))</f>
        <v/>
      </c>
      <c r="GO67" s="632" t="str">
        <f ca="1">IF(INDIRECT(CONCATENATE($FK$12,Fixtures!GO$25))="","",IF(INDIRECT(CONCATENATE($FK$12,Fixtures!GO$25))=Fixtures!$DN67,CONCATENATE(GO$10,", "),""))</f>
        <v/>
      </c>
      <c r="GP67" s="632" t="str">
        <f ca="1">IF(INDIRECT(CONCATENATE($FK$12,Fixtures!GP$25))="","",IF(INDIRECT(CONCATENATE($FK$12,Fixtures!GP$25))=Fixtures!$DN67,CONCATENATE(GP$10,", "),""))</f>
        <v/>
      </c>
      <c r="GQ67" s="632" t="str">
        <f ca="1">IF(INDIRECT(CONCATENATE($FK$12,Fixtures!GQ$25))="","",IF(INDIRECT(CONCATENATE($FK$12,Fixtures!GQ$25))=Fixtures!$DN67,CONCATENATE(GQ$10,", "),""))</f>
        <v/>
      </c>
      <c r="GR67" s="632" t="str">
        <f ca="1">IF(INDIRECT(CONCATENATE($FK$12,Fixtures!GR$25))="","",IF(INDIRECT(CONCATENATE($FK$12,Fixtures!GR$25))=Fixtures!$DN67,CONCATENATE(GR$10,", "),""))</f>
        <v/>
      </c>
      <c r="GS67" s="632" t="str">
        <f ca="1">IF(INDIRECT(CONCATENATE($FK$12,Fixtures!GS$25))="","",IF(INDIRECT(CONCATENATE($FK$12,Fixtures!GS$25))=Fixtures!$DN67,CONCATENATE(GS$10,", "),""))</f>
        <v/>
      </c>
      <c r="GT67" s="632" t="str">
        <f ca="1">IF(INDIRECT(CONCATENATE($FK$12,Fixtures!GT$25))="","",IF(INDIRECT(CONCATENATE($FK$12,Fixtures!GT$25))=Fixtures!$DN67,CONCATENATE(GT$10,", "),""))</f>
        <v/>
      </c>
      <c r="GU67" s="632" t="str">
        <f ca="1">IF(INDIRECT(CONCATENATE($FK$12,Fixtures!GU$25))="","",IF(INDIRECT(CONCATENATE($FK$12,Fixtures!GU$25))=Fixtures!$DN67,CONCATENATE(GU$10,", "),""))</f>
        <v/>
      </c>
      <c r="GV67" s="632" t="str">
        <f ca="1">IF(INDIRECT(CONCATENATE($FK$12,Fixtures!GV$25))="","",IF(INDIRECT(CONCATENATE($FK$12,Fixtures!GV$25))=Fixtures!$DN67,CONCATENATE(GV$10,", "),""))</f>
        <v/>
      </c>
      <c r="GW67" s="632" t="str">
        <f ca="1">IF(INDIRECT(CONCATENATE($FK$12,Fixtures!GW$25))="","",IF(INDIRECT(CONCATENATE($FK$12,Fixtures!GW$25))=Fixtures!$DN67,CONCATENATE(GW$10,", "),""))</f>
        <v/>
      </c>
      <c r="GX67" s="606" t="str">
        <f ca="1">IF(INDIRECT(CONCATENATE($FK$12,Fixtures!GX$25))="","",IF(INDIRECT(CONCATENATE($FK$12,Fixtures!GX$25))=Fixtures!$DN67,CONCATENATE(GX$10,", "),""))</f>
        <v/>
      </c>
      <c r="GY67" s="607" t="str">
        <f ca="1">IF(INDIRECT(CONCATENATE($FK$12,Fixtures!GY$25))="","",IF(INDIRECT(CONCATENATE($FK$12,Fixtures!GY$25))=Fixtures!$DN67,CONCATENATE(GY$10,", "),""))</f>
        <v/>
      </c>
      <c r="GZ67" s="632" t="str">
        <f ca="1">IF(INDIRECT(CONCATENATE($FK$12,Fixtures!GZ$25))="","",IF(INDIRECT(CONCATENATE($FK$12,Fixtures!GZ$25))=Fixtures!$DN67,CONCATENATE(GZ$10,", "),""))</f>
        <v/>
      </c>
      <c r="HA67" s="632" t="str">
        <f ca="1">IF(INDIRECT(CONCATENATE($FK$12,Fixtures!HA$25))="","",IF(INDIRECT(CONCATENATE($FK$12,Fixtures!HA$25))=Fixtures!$DN67,CONCATENATE(HA$10,", "),""))</f>
        <v/>
      </c>
      <c r="HB67" s="632" t="str">
        <f ca="1">IF(INDIRECT(CONCATENATE($FK$12,Fixtures!HB$25))="","",IF(INDIRECT(CONCATENATE($FK$12,Fixtures!HB$25))=Fixtures!$DN67,CONCATENATE(HB$10,", "),""))</f>
        <v/>
      </c>
      <c r="HC67" s="632" t="str">
        <f ca="1">IF(INDIRECT(CONCATENATE($FK$12,Fixtures!HC$25))="","",IF(INDIRECT(CONCATENATE($FK$12,Fixtures!HC$25))=Fixtures!$DN67,CONCATENATE(HC$10,", "),""))</f>
        <v/>
      </c>
      <c r="HD67" s="632" t="str">
        <f ca="1">IF(INDIRECT(CONCATENATE($FK$12,Fixtures!HD$25))="","",IF(INDIRECT(CONCATENATE($FK$12,Fixtures!HD$25))=Fixtures!$DN67,CONCATENATE(HD$10,", "),""))</f>
        <v/>
      </c>
      <c r="HE67" s="632" t="str">
        <f ca="1">IF(INDIRECT(CONCATENATE($FK$12,Fixtures!HE$25))="","",IF(INDIRECT(CONCATENATE($FK$12,Fixtures!HE$25))=Fixtures!$DN67,CONCATENATE(HE$10,", "),""))</f>
        <v/>
      </c>
      <c r="HF67" s="632" t="str">
        <f ca="1">IF(INDIRECT(CONCATENATE($FK$12,Fixtures!HF$25))="","",IF(INDIRECT(CONCATENATE($FK$12,Fixtures!HF$25))=Fixtures!$DN67,CONCATENATE(HF$10,", "),""))</f>
        <v/>
      </c>
      <c r="HG67" s="632" t="str">
        <f ca="1">IF(INDIRECT(CONCATENATE($FK$12,Fixtures!HG$25))="","",IF(INDIRECT(CONCATENATE($FK$12,Fixtures!HG$25))=Fixtures!$DN67,CONCATENATE(HG$10,", "),""))</f>
        <v/>
      </c>
      <c r="HH67" s="632" t="str">
        <f ca="1">IF(INDIRECT(CONCATENATE($FK$12,Fixtures!HH$25))="","",IF(INDIRECT(CONCATENATE($FK$12,Fixtures!HH$25))=Fixtures!$DN67,CONCATENATE(HH$10,", "),""))</f>
        <v/>
      </c>
      <c r="HI67" s="632" t="str">
        <f ca="1">IF(INDIRECT(CONCATENATE($FK$12,Fixtures!HI$25))="","",IF(INDIRECT(CONCATENATE($FK$12,Fixtures!HI$25))=Fixtures!$DN67,CONCATENATE(HI$10,", "),""))</f>
        <v/>
      </c>
      <c r="HJ67" s="632" t="str">
        <f ca="1">IF(INDIRECT(CONCATENATE($FK$12,Fixtures!HJ$25))="","",IF(INDIRECT(CONCATENATE($FK$12,Fixtures!HJ$25))=Fixtures!$DN67,CONCATENATE(HJ$10,", "),""))</f>
        <v/>
      </c>
      <c r="HK67" s="632" t="str">
        <f ca="1">IF(INDIRECT(CONCATENATE($FK$12,Fixtures!HK$25))="","",IF(INDIRECT(CONCATENATE($FK$12,Fixtures!HK$25))=Fixtures!$DN67,CONCATENATE(HK$10,", "),""))</f>
        <v/>
      </c>
      <c r="HL67" s="632" t="str">
        <f ca="1">IF(INDIRECT(CONCATENATE($FK$12,Fixtures!HL$25))="","",IF(INDIRECT(CONCATENATE($FK$12,Fixtures!HL$25))=Fixtures!$DN67,CONCATENATE(HL$10,", "),""))</f>
        <v/>
      </c>
      <c r="HM67" s="606" t="str">
        <f ca="1">IF(INDIRECT(CONCATENATE($FK$12,Fixtures!HM$25))="","",IF(INDIRECT(CONCATENATE($FK$12,Fixtures!HM$25))=Fixtures!$DN67,CONCATENATE(HM$10,", "),""))</f>
        <v/>
      </c>
      <c r="HN67" s="607" t="str">
        <f ca="1">IF(INDIRECT(CONCATENATE($FK$12,Fixtures!HN$25))="","",IF(INDIRECT(CONCATENATE($FK$12,Fixtures!HN$25))=Fixtures!$DN67,CONCATENATE(HN$10,", "),""))</f>
        <v/>
      </c>
      <c r="HO67" s="632" t="str">
        <f ca="1">IF(INDIRECT(CONCATENATE($FK$12,Fixtures!HO$25))="","",IF(INDIRECT(CONCATENATE($FK$12,Fixtures!HO$25))=Fixtures!$DN67,CONCATENATE(HO$10,", "),""))</f>
        <v/>
      </c>
      <c r="HP67" s="632" t="str">
        <f ca="1">IF(INDIRECT(CONCATENATE($FK$12,Fixtures!HP$25))="","",IF(INDIRECT(CONCATENATE($FK$12,Fixtures!HP$25))=Fixtures!$DN67,CONCATENATE(HP$10,", "),""))</f>
        <v/>
      </c>
      <c r="HQ67" s="632" t="str">
        <f ca="1">IF(INDIRECT(CONCATENATE($FK$12,Fixtures!HQ$25))="","",IF(INDIRECT(CONCATENATE($FK$12,Fixtures!HQ$25))=Fixtures!$DN67,CONCATENATE(HQ$10,", "),""))</f>
        <v/>
      </c>
      <c r="HR67" s="632" t="str">
        <f ca="1">IF(INDIRECT(CONCATENATE($FK$12,Fixtures!HR$25))="","",IF(INDIRECT(CONCATENATE($FK$12,Fixtures!HR$25))=Fixtures!$DN67,CONCATENATE(HR$10,", "),""))</f>
        <v/>
      </c>
      <c r="HS67" s="632" t="str">
        <f ca="1">IF(INDIRECT(CONCATENATE($FK$12,Fixtures!HS$25))="","",IF(INDIRECT(CONCATENATE($FK$12,Fixtures!HS$25))=Fixtures!$DN67,CONCATENATE(HS$10,", "),""))</f>
        <v/>
      </c>
      <c r="HT67" s="632" t="str">
        <f ca="1">IF(INDIRECT(CONCATENATE($FK$12,Fixtures!HT$25))="","",IF(INDIRECT(CONCATENATE($FK$12,Fixtures!HT$25))=Fixtures!$DN67,CONCATENATE(HT$10,", "),""))</f>
        <v/>
      </c>
      <c r="HU67" s="632" t="str">
        <f ca="1">IF(INDIRECT(CONCATENATE($FK$12,Fixtures!HU$25))="","",IF(INDIRECT(CONCATENATE($FK$12,Fixtures!HU$25))=Fixtures!$DN67,CONCATENATE(HU$10,", "),""))</f>
        <v/>
      </c>
      <c r="HV67" s="632" t="str">
        <f ca="1">IF(INDIRECT(CONCATENATE($FK$12,Fixtures!HV$25))="","",IF(INDIRECT(CONCATENATE($FK$12,Fixtures!HV$25))=Fixtures!$DN67,CONCATENATE(HV$10,", "),""))</f>
        <v/>
      </c>
      <c r="HW67" s="632" t="str">
        <f ca="1">IF(INDIRECT(CONCATENATE($FK$12,Fixtures!HW$25))="","",IF(INDIRECT(CONCATENATE($FK$12,Fixtures!HW$25))=Fixtures!$DN67,CONCATENATE(HW$10,", "),""))</f>
        <v/>
      </c>
      <c r="HX67" s="632" t="str">
        <f ca="1">IF(INDIRECT(CONCATENATE($FK$12,Fixtures!HX$25))="","",IF(INDIRECT(CONCATENATE($FK$12,Fixtures!HX$25))=Fixtures!$DN67,CONCATENATE(HX$10,", "),""))</f>
        <v/>
      </c>
      <c r="HY67" s="632" t="str">
        <f ca="1">IF(INDIRECT(CONCATENATE($FK$12,Fixtures!HY$25))="","",IF(INDIRECT(CONCATENATE($FK$12,Fixtures!HY$25))=Fixtures!$DN67,CONCATENATE(HY$10,", "),""))</f>
        <v/>
      </c>
      <c r="HZ67" s="632" t="str">
        <f ca="1">IF(INDIRECT(CONCATENATE($FK$12,Fixtures!HZ$25))="","",IF(INDIRECT(CONCATENATE($FK$12,Fixtures!HZ$25))=Fixtures!$DN67,CONCATENATE(HZ$10,", "),""))</f>
        <v/>
      </c>
      <c r="IA67" s="632" t="str">
        <f ca="1">IF(INDIRECT(CONCATENATE($FK$12,Fixtures!IA$25))="","",IF(INDIRECT(CONCATENATE($FK$12,Fixtures!IA$25))=Fixtures!$DN67,CONCATENATE(IA$10,", "),""))</f>
        <v/>
      </c>
      <c r="IB67" s="606" t="str">
        <f ca="1">IF(INDIRECT(CONCATENATE($FK$12,Fixtures!IB$25))="","",IF(INDIRECT(CONCATENATE($FK$12,Fixtures!IB$25))=Fixtures!$DN67,CONCATENATE(IB$10,", "),""))</f>
        <v/>
      </c>
      <c r="IC67" s="607" t="str">
        <f ca="1">IF(INDIRECT(CONCATENATE($FK$12,Fixtures!IC$25))="","",IF(INDIRECT(CONCATENATE($FK$12,Fixtures!IC$25))=Fixtures!$DN67,CONCATENATE(IC$10,", "),""))</f>
        <v/>
      </c>
      <c r="ID67" s="632" t="str">
        <f ca="1">IF(INDIRECT(CONCATENATE($FK$12,Fixtures!ID$25))="","",IF(INDIRECT(CONCATENATE($FK$12,Fixtures!ID$25))=Fixtures!$DN67,CONCATENATE(ID$10,", "),""))</f>
        <v/>
      </c>
      <c r="IE67" s="632" t="str">
        <f ca="1">IF(INDIRECT(CONCATENATE($FK$12,Fixtures!IE$25))="","",IF(INDIRECT(CONCATENATE($FK$12,Fixtures!IE$25))=Fixtures!$DN67,CONCATENATE(IE$10,", "),""))</f>
        <v/>
      </c>
      <c r="IF67" s="632" t="str">
        <f ca="1">IF(INDIRECT(CONCATENATE($FK$12,Fixtures!IF$25))="","",IF(INDIRECT(CONCATENATE($FK$12,Fixtures!IF$25))=Fixtures!$DN67,CONCATENATE(IF$10,", "),""))</f>
        <v/>
      </c>
      <c r="IG67" s="632" t="str">
        <f ca="1">IF(INDIRECT(CONCATENATE($FK$12,Fixtures!IG$25))="","",IF(INDIRECT(CONCATENATE($FK$12,Fixtures!IG$25))=Fixtures!$DN67,CONCATENATE(IG$10,", "),""))</f>
        <v/>
      </c>
      <c r="IH67" s="632" t="str">
        <f ca="1">IF(INDIRECT(CONCATENATE($FK$12,Fixtures!IH$25))="","",IF(INDIRECT(CONCATENATE($FK$12,Fixtures!IH$25))=Fixtures!$DN67,CONCATENATE(IH$10,", "),""))</f>
        <v/>
      </c>
      <c r="II67" s="632" t="str">
        <f ca="1">IF(INDIRECT(CONCATENATE($FK$12,Fixtures!II$25))="","",IF(INDIRECT(CONCATENATE($FK$12,Fixtures!II$25))=Fixtures!$DN67,CONCATENATE(II$10,", "),""))</f>
        <v/>
      </c>
      <c r="IJ67" s="632" t="str">
        <f ca="1">IF(INDIRECT(CONCATENATE($FK$12,Fixtures!IJ$25))="","",IF(INDIRECT(CONCATENATE($FK$12,Fixtures!IJ$25))=Fixtures!$DN67,CONCATENATE(IJ$10,", "),""))</f>
        <v/>
      </c>
      <c r="IK67" s="632" t="str">
        <f ca="1">IF(INDIRECT(CONCATENATE($FK$12,Fixtures!IK$25))="","",IF(INDIRECT(CONCATENATE($FK$12,Fixtures!IK$25))=Fixtures!$DN67,CONCATENATE(IK$10,", "),""))</f>
        <v/>
      </c>
      <c r="IL67" s="632" t="str">
        <f ca="1">IF(INDIRECT(CONCATENATE($FK$12,Fixtures!IL$25))="","",IF(INDIRECT(CONCATENATE($FK$12,Fixtures!IL$25))=Fixtures!$DN67,CONCATENATE(IL$10,", "),""))</f>
        <v/>
      </c>
      <c r="IM67" s="632" t="str">
        <f ca="1">IF(INDIRECT(CONCATENATE($FK$12,Fixtures!IM$25))="","",IF(INDIRECT(CONCATENATE($FK$12,Fixtures!IM$25))=Fixtures!$DN67,CONCATENATE(IM$10,", "),""))</f>
        <v/>
      </c>
      <c r="IN67" s="632" t="str">
        <f ca="1">IF(INDIRECT(CONCATENATE($FK$12,Fixtures!IN$25))="","",IF(INDIRECT(CONCATENATE($FK$12,Fixtures!IN$25))=Fixtures!$DN67,CONCATENATE(IN$10,", "),""))</f>
        <v/>
      </c>
      <c r="IO67" s="632" t="str">
        <f ca="1">IF(INDIRECT(CONCATENATE($FK$12,Fixtures!IO$25))="","",IF(INDIRECT(CONCATENATE($FK$12,Fixtures!IO$25))=Fixtures!$DN67,CONCATENATE(IO$10,", "),""))</f>
        <v/>
      </c>
      <c r="IP67" s="632" t="str">
        <f ca="1">IF(INDIRECT(CONCATENATE($FK$12,Fixtures!IP$25))="","",IF(INDIRECT(CONCATENATE($FK$12,Fixtures!IP$25))=Fixtures!$DN67,CONCATENATE(IP$10,", "),""))</f>
        <v/>
      </c>
      <c r="IQ67" s="606" t="str">
        <f ca="1">IF(INDIRECT(CONCATENATE($FK$12,Fixtures!IQ$25))="","",IF(INDIRECT(CONCATENATE($FK$12,Fixtures!IQ$25))=Fixtures!$DN67,CONCATENATE(IQ$10,", "),""))</f>
        <v/>
      </c>
      <c r="IR67" s="607" t="str">
        <f ca="1">IF(INDIRECT(CONCATENATE($FK$12,Fixtures!IR$25))="","",IF(INDIRECT(CONCATENATE($FK$12,Fixtures!IR$25))=Fixtures!$DN67,CONCATENATE(IR$10,", "),""))</f>
        <v/>
      </c>
      <c r="IS67" s="632" t="str">
        <f ca="1">IF(INDIRECT(CONCATENATE($FK$12,Fixtures!IS$25))="","",IF(INDIRECT(CONCATENATE($FK$12,Fixtures!IS$25))=Fixtures!$DN67,CONCATENATE(IS$10,", "),""))</f>
        <v/>
      </c>
      <c r="IT67" s="632" t="str">
        <f ca="1">IF(INDIRECT(CONCATENATE($FK$12,Fixtures!IT$25))="","",IF(INDIRECT(CONCATENATE($FK$12,Fixtures!IT$25))=Fixtures!$DN67,CONCATENATE(IT$10,", "),""))</f>
        <v/>
      </c>
      <c r="IU67" s="632" t="str">
        <f ca="1">IF(INDIRECT(CONCATENATE($FK$12,Fixtures!IU$25))="","",IF(INDIRECT(CONCATENATE($FK$12,Fixtures!IU$25))=Fixtures!$DN67,CONCATENATE(IU$10,", "),""))</f>
        <v/>
      </c>
      <c r="IV67" s="632" t="str">
        <f ca="1">IF(INDIRECT(CONCATENATE($FK$12,Fixtures!IV$25))="","",IF(INDIRECT(CONCATENATE($FK$12,Fixtures!IV$25))=Fixtures!$DN67,CONCATENATE(IV$10,", "),""))</f>
        <v/>
      </c>
      <c r="IW67" s="632" t="str">
        <f ca="1">IF(INDIRECT(CONCATENATE($FK$12,Fixtures!IW$25))="","",IF(INDIRECT(CONCATENATE($FK$12,Fixtures!IW$25))=Fixtures!$DN67,CONCATENATE(IW$10,", "),""))</f>
        <v/>
      </c>
      <c r="IX67" s="632" t="str">
        <f ca="1">IF(INDIRECT(CONCATENATE($FK$12,Fixtures!IX$25))="","",IF(INDIRECT(CONCATENATE($FK$12,Fixtures!IX$25))=Fixtures!$DN67,CONCATENATE(IX$10,", "),""))</f>
        <v/>
      </c>
      <c r="IY67" s="632" t="str">
        <f ca="1">IF(INDIRECT(CONCATENATE($FK$12,Fixtures!IY$25))="","",IF(INDIRECT(CONCATENATE($FK$12,Fixtures!IY$25))=Fixtures!$DN67,CONCATENATE(IY$10,", "),""))</f>
        <v/>
      </c>
      <c r="IZ67" s="632" t="str">
        <f ca="1">IF(INDIRECT(CONCATENATE($FK$12,Fixtures!IZ$25))="","",IF(INDIRECT(CONCATENATE($FK$12,Fixtures!IZ$25))=Fixtures!$DN67,CONCATENATE(IZ$10,", "),""))</f>
        <v/>
      </c>
      <c r="JA67" s="632" t="str">
        <f ca="1">IF(INDIRECT(CONCATENATE($FK$12,Fixtures!JA$25))="","",IF(INDIRECT(CONCATENATE($FK$12,Fixtures!JA$25))=Fixtures!$DN67,CONCATENATE(JA$10,", "),""))</f>
        <v/>
      </c>
      <c r="JB67" s="632" t="str">
        <f ca="1">IF(INDIRECT(CONCATENATE($FK$12,Fixtures!JB$25))="","",IF(INDIRECT(CONCATENATE($FK$12,Fixtures!JB$25))=Fixtures!$DN67,CONCATENATE(JB$10,", "),""))</f>
        <v/>
      </c>
      <c r="JC67" s="632" t="str">
        <f ca="1">IF(INDIRECT(CONCATENATE($FK$12,Fixtures!JC$25))="","",IF(INDIRECT(CONCATENATE($FK$12,Fixtures!JC$25))=Fixtures!$DN67,CONCATENATE(JC$10,", "),""))</f>
        <v/>
      </c>
      <c r="JD67" s="632" t="str">
        <f ca="1">IF(INDIRECT(CONCATENATE($FK$12,Fixtures!JD$25))="","",IF(INDIRECT(CONCATENATE($FK$12,Fixtures!JD$25))=Fixtures!$DN67,CONCATENATE(JD$10,", "),""))</f>
        <v/>
      </c>
      <c r="JE67" s="632" t="str">
        <f ca="1">IF(INDIRECT(CONCATENATE($FK$12,Fixtures!JE$25))="","",IF(INDIRECT(CONCATENATE($FK$12,Fixtures!JE$25))=Fixtures!$DN67,CONCATENATE(JE$10,", "),""))</f>
        <v/>
      </c>
      <c r="JF67" s="606" t="str">
        <f ca="1">IF(INDIRECT(CONCATENATE($FK$12,Fixtures!JF$25))="","",IF(INDIRECT(CONCATENATE($FK$12,Fixtures!JF$25))=Fixtures!$DN67,CONCATENATE(JF$10,", "),""))</f>
        <v/>
      </c>
      <c r="JG67" s="607" t="str">
        <f ca="1">IF(INDIRECT(CONCATENATE($FK$12,Fixtures!JG$25))="","",IF(INDIRECT(CONCATENATE($FK$12,Fixtures!JG$25))=Fixtures!$DN67,CONCATENATE(JG$10,", "),""))</f>
        <v/>
      </c>
      <c r="JH67" s="632" t="str">
        <f ca="1">IF(INDIRECT(CONCATENATE($FK$12,Fixtures!JH$25))="","",IF(INDIRECT(CONCATENATE($FK$12,Fixtures!JH$25))=Fixtures!$DN67,CONCATENATE(JH$10,", "),""))</f>
        <v/>
      </c>
      <c r="JI67" s="632" t="str">
        <f ca="1">IF(INDIRECT(CONCATENATE($FK$12,Fixtures!JI$25))="","",IF(INDIRECT(CONCATENATE($FK$12,Fixtures!JI$25))=Fixtures!$DN67,CONCATENATE(JI$10,", "),""))</f>
        <v/>
      </c>
      <c r="JJ67" s="632" t="str">
        <f ca="1">IF(INDIRECT(CONCATENATE($FK$12,Fixtures!JJ$25))="","",IF(INDIRECT(CONCATENATE($FK$12,Fixtures!JJ$25))=Fixtures!$DN67,CONCATENATE(JJ$10,", "),""))</f>
        <v/>
      </c>
      <c r="JK67" s="632" t="str">
        <f ca="1">IF(INDIRECT(CONCATENATE($FK$12,Fixtures!JK$25))="","",IF(INDIRECT(CONCATENATE($FK$12,Fixtures!JK$25))=Fixtures!$DN67,CONCATENATE(JK$10,", "),""))</f>
        <v/>
      </c>
      <c r="JL67" s="632" t="str">
        <f ca="1">IF(INDIRECT(CONCATENATE($FK$12,Fixtures!JL$25))="","",IF(INDIRECT(CONCATENATE($FK$12,Fixtures!JL$25))=Fixtures!$DN67,CONCATENATE(JL$10,", "),""))</f>
        <v/>
      </c>
      <c r="JM67" s="632" t="str">
        <f ca="1">IF(INDIRECT(CONCATENATE($FK$12,Fixtures!JM$25))="","",IF(INDIRECT(CONCATENATE($FK$12,Fixtures!JM$25))=Fixtures!$DN67,CONCATENATE(JM$10,", "),""))</f>
        <v/>
      </c>
      <c r="JN67" s="632" t="str">
        <f ca="1">IF(INDIRECT(CONCATENATE($FK$12,Fixtures!JN$25))="","",IF(INDIRECT(CONCATENATE($FK$12,Fixtures!JN$25))=Fixtures!$DN67,CONCATENATE(JN$10,", "),""))</f>
        <v/>
      </c>
      <c r="JO67" s="632" t="str">
        <f ca="1">IF(INDIRECT(CONCATENATE($FK$12,Fixtures!JO$25))="","",IF(INDIRECT(CONCATENATE($FK$12,Fixtures!JO$25))=Fixtures!$DN67,CONCATENATE(JO$10,", "),""))</f>
        <v/>
      </c>
      <c r="JP67" s="632" t="str">
        <f ca="1">IF(INDIRECT(CONCATENATE($FK$12,Fixtures!JP$25))="","",IF(INDIRECT(CONCATENATE($FK$12,Fixtures!JP$25))=Fixtures!$DN67,CONCATENATE(JP$10,", "),""))</f>
        <v/>
      </c>
      <c r="JQ67" s="632" t="str">
        <f ca="1">IF(INDIRECT(CONCATENATE($FK$12,Fixtures!JQ$25))="","",IF(INDIRECT(CONCATENATE($FK$12,Fixtures!JQ$25))=Fixtures!$DN67,CONCATENATE(JQ$10,", "),""))</f>
        <v/>
      </c>
      <c r="JR67" s="632" t="str">
        <f ca="1">IF(INDIRECT(CONCATENATE($FK$12,Fixtures!JR$25))="","",IF(INDIRECT(CONCATENATE($FK$12,Fixtures!JR$25))=Fixtures!$DN67,CONCATENATE(JR$10,", "),""))</f>
        <v/>
      </c>
      <c r="JS67" s="632" t="str">
        <f ca="1">IF(INDIRECT(CONCATENATE($FK$12,Fixtures!JS$25))="","",IF(INDIRECT(CONCATENATE($FK$12,Fixtures!JS$25))=Fixtures!$DN67,CONCATENATE(JS$10,", "),""))</f>
        <v/>
      </c>
      <c r="JT67" s="632" t="str">
        <f ca="1">IF(INDIRECT(CONCATENATE($FK$12,Fixtures!JT$25))="","",IF(INDIRECT(CONCATENATE($FK$12,Fixtures!JT$25))=Fixtures!$DN67,CONCATENATE(JT$10,", "),""))</f>
        <v/>
      </c>
      <c r="JU67" s="606" t="str">
        <f ca="1">IF(INDIRECT(CONCATENATE($FK$12,Fixtures!JU$25))="","",IF(INDIRECT(CONCATENATE($FK$12,Fixtures!JU$25))=Fixtures!$DN67,CONCATENATE(JU$10,", "),""))</f>
        <v/>
      </c>
      <c r="JV67" s="607" t="str">
        <f ca="1">IF(INDIRECT(CONCATENATE($FK$12,Fixtures!JV$25))="","",IF(INDIRECT(CONCATENATE($FK$12,Fixtures!JV$25))=Fixtures!$DN67,CONCATENATE(JV$10,", "),""))</f>
        <v/>
      </c>
      <c r="JW67" s="632" t="str">
        <f ca="1">IF(INDIRECT(CONCATENATE($FK$12,Fixtures!JW$25))="","",IF(INDIRECT(CONCATENATE($FK$12,Fixtures!JW$25))=Fixtures!$DN67,CONCATENATE(JW$10,", "),""))</f>
        <v/>
      </c>
      <c r="JX67" s="632" t="str">
        <f ca="1">IF(INDIRECT(CONCATENATE($FK$12,Fixtures!JX$25))="","",IF(INDIRECT(CONCATENATE($FK$12,Fixtures!JX$25))=Fixtures!$DN67,CONCATENATE(JX$10,", "),""))</f>
        <v/>
      </c>
      <c r="JY67" s="632" t="str">
        <f ca="1">IF(INDIRECT(CONCATENATE($FK$12,Fixtures!JY$25))="","",IF(INDIRECT(CONCATENATE($FK$12,Fixtures!JY$25))=Fixtures!$DN67,CONCATENATE(JY$10,", "),""))</f>
        <v/>
      </c>
      <c r="JZ67" s="632" t="str">
        <f ca="1">IF(INDIRECT(CONCATENATE($FK$12,Fixtures!JZ$25))="","",IF(INDIRECT(CONCATENATE($FK$12,Fixtures!JZ$25))=Fixtures!$DN67,CONCATENATE(JZ$10,", "),""))</f>
        <v/>
      </c>
      <c r="KA67" s="632" t="str">
        <f ca="1">IF(INDIRECT(CONCATENATE($FK$12,Fixtures!KA$25))="","",IF(INDIRECT(CONCATENATE($FK$12,Fixtures!KA$25))=Fixtures!$DN67,CONCATENATE(KA$10,", "),""))</f>
        <v/>
      </c>
      <c r="KB67" s="632" t="str">
        <f ca="1">IF(INDIRECT(CONCATENATE($FK$12,Fixtures!KB$25))="","",IF(INDIRECT(CONCATENATE($FK$12,Fixtures!KB$25))=Fixtures!$DN67,CONCATENATE(KB$10,", "),""))</f>
        <v/>
      </c>
      <c r="KC67" s="632" t="str">
        <f ca="1">IF(INDIRECT(CONCATENATE($FK$12,Fixtures!KC$25))="","",IF(INDIRECT(CONCATENATE($FK$12,Fixtures!KC$25))=Fixtures!$DN67,CONCATENATE(KC$10,", "),""))</f>
        <v/>
      </c>
      <c r="KD67" s="632" t="str">
        <f ca="1">IF(INDIRECT(CONCATENATE($FK$12,Fixtures!KD$25))="","",IF(INDIRECT(CONCATENATE($FK$12,Fixtures!KD$25))=Fixtures!$DN67,CONCATENATE(KD$10,", "),""))</f>
        <v/>
      </c>
      <c r="KE67" s="632" t="str">
        <f ca="1">IF(INDIRECT(CONCATENATE($FK$12,Fixtures!KE$25))="","",IF(INDIRECT(CONCATENATE($FK$12,Fixtures!KE$25))=Fixtures!$DN67,CONCATENATE(KE$10,", "),""))</f>
        <v/>
      </c>
      <c r="KF67" s="632" t="str">
        <f ca="1">IF(INDIRECT(CONCATENATE($FK$12,Fixtures!KF$25))="","",IF(INDIRECT(CONCATENATE($FK$12,Fixtures!KF$25))=Fixtures!$DN67,CONCATENATE(KF$10,", "),""))</f>
        <v/>
      </c>
      <c r="KG67" s="632" t="str">
        <f ca="1">IF(INDIRECT(CONCATENATE($FK$12,Fixtures!KG$25))="","",IF(INDIRECT(CONCATENATE($FK$12,Fixtures!KG$25))=Fixtures!$DN67,CONCATENATE(KG$10,", "),""))</f>
        <v/>
      </c>
      <c r="KH67" s="632" t="str">
        <f ca="1">IF(INDIRECT(CONCATENATE($FK$12,Fixtures!KH$25))="","",IF(INDIRECT(CONCATENATE($FK$12,Fixtures!KH$25))=Fixtures!$DN67,CONCATENATE(KH$10,", "),""))</f>
        <v/>
      </c>
      <c r="KI67" s="632" t="str">
        <f ca="1">IF(INDIRECT(CONCATENATE($FK$12,Fixtures!KI$25))="","",IF(INDIRECT(CONCATENATE($FK$12,Fixtures!KI$25))=Fixtures!$DN67,CONCATENATE(KI$10,", "),""))</f>
        <v/>
      </c>
      <c r="KJ67" s="606" t="str">
        <f ca="1">IF(INDIRECT(CONCATENATE($FK$12,Fixtures!KJ$25))="","",IF(INDIRECT(CONCATENATE($FK$12,Fixtures!KJ$25))=Fixtures!$DN67,CONCATENATE(KJ$10,", "),""))</f>
        <v/>
      </c>
      <c r="KK67" s="607" t="str">
        <f ca="1">IF(INDIRECT(CONCATENATE($FK$12,Fixtures!KK$25))="","",IF(INDIRECT(CONCATENATE($FK$12,Fixtures!KK$25))=Fixtures!$DN67,CONCATENATE(KK$10,", "),""))</f>
        <v/>
      </c>
      <c r="KL67" s="632" t="str">
        <f ca="1">IF(INDIRECT(CONCATENATE($FK$12,Fixtures!KL$25))="","",IF(INDIRECT(CONCATENATE($FK$12,Fixtures!KL$25))=Fixtures!$DN67,CONCATENATE(KL$10,", "),""))</f>
        <v/>
      </c>
      <c r="KM67" s="632" t="str">
        <f ca="1">IF(INDIRECT(CONCATENATE($FK$12,Fixtures!KM$25))="","",IF(INDIRECT(CONCATENATE($FK$12,Fixtures!KM$25))=Fixtures!$DN67,CONCATENATE(KM$10,", "),""))</f>
        <v/>
      </c>
      <c r="KN67" s="632" t="str">
        <f ca="1">IF(INDIRECT(CONCATENATE($FK$12,Fixtures!KN$25))="","",IF(INDIRECT(CONCATENATE($FK$12,Fixtures!KN$25))=Fixtures!$DN67,CONCATENATE(KN$10,", "),""))</f>
        <v/>
      </c>
      <c r="KO67" s="632" t="str">
        <f ca="1">IF(INDIRECT(CONCATENATE($FK$12,Fixtures!KO$25))="","",IF(INDIRECT(CONCATENATE($FK$12,Fixtures!KO$25))=Fixtures!$DN67,CONCATENATE(KO$10,", "),""))</f>
        <v/>
      </c>
      <c r="KP67" s="632" t="str">
        <f ca="1">IF(INDIRECT(CONCATENATE($FK$12,Fixtures!KP$25))="","",IF(INDIRECT(CONCATENATE($FK$12,Fixtures!KP$25))=Fixtures!$DN67,CONCATENATE(KP$10,", "),""))</f>
        <v/>
      </c>
      <c r="KQ67" s="632" t="str">
        <f ca="1">IF(INDIRECT(CONCATENATE($FK$12,Fixtures!KQ$25))="","",IF(INDIRECT(CONCATENATE($FK$12,Fixtures!KQ$25))=Fixtures!$DN67,CONCATENATE(KQ$10,", "),""))</f>
        <v/>
      </c>
      <c r="KR67" s="632" t="str">
        <f ca="1">IF(INDIRECT(CONCATENATE($FK$12,Fixtures!KR$25))="","",IF(INDIRECT(CONCATENATE($FK$12,Fixtures!KR$25))=Fixtures!$DN67,CONCATENATE(KR$10,", "),""))</f>
        <v/>
      </c>
      <c r="KS67" s="632" t="str">
        <f ca="1">IF(INDIRECT(CONCATENATE($FK$12,Fixtures!KS$25))="","",IF(INDIRECT(CONCATENATE($FK$12,Fixtures!KS$25))=Fixtures!$DN67,CONCATENATE(KS$10,", "),""))</f>
        <v/>
      </c>
      <c r="KT67" s="632" t="str">
        <f ca="1">IF(INDIRECT(CONCATENATE($FK$12,Fixtures!KT$25))="","",IF(INDIRECT(CONCATENATE($FK$12,Fixtures!KT$25))=Fixtures!$DN67,CONCATENATE(KT$10,", "),""))</f>
        <v/>
      </c>
      <c r="KU67" s="632" t="str">
        <f ca="1">IF(INDIRECT(CONCATENATE($FK$12,Fixtures!KU$25))="","",IF(INDIRECT(CONCATENATE($FK$12,Fixtures!KU$25))=Fixtures!$DN67,CONCATENATE(KU$10,", "),""))</f>
        <v/>
      </c>
      <c r="KV67" s="632" t="str">
        <f ca="1">IF(INDIRECT(CONCATENATE($FK$12,Fixtures!KV$25))="","",IF(INDIRECT(CONCATENATE($FK$12,Fixtures!KV$25))=Fixtures!$DN67,CONCATENATE(KV$10,", "),""))</f>
        <v/>
      </c>
      <c r="KW67" s="632" t="str">
        <f ca="1">IF(INDIRECT(CONCATENATE($FK$12,Fixtures!KW$25))="","",IF(INDIRECT(CONCATENATE($FK$12,Fixtures!KW$25))=Fixtures!$DN67,CONCATENATE(KW$10,", "),""))</f>
        <v/>
      </c>
      <c r="KX67" s="632" t="str">
        <f ca="1">IF(INDIRECT(CONCATENATE($FK$12,Fixtures!KX$25))="","",IF(INDIRECT(CONCATENATE($FK$12,Fixtures!KX$25))=Fixtures!$DN67,CONCATENATE(KX$10,", "),""))</f>
        <v/>
      </c>
      <c r="KY67" s="632"/>
      <c r="KZ67" s="542"/>
      <c r="LA67" s="46" t="str">
        <f t="shared" ca="1" si="37"/>
        <v/>
      </c>
      <c r="LB67" s="46"/>
      <c r="LC67" s="1010"/>
      <c r="LD67" s="1009" t="str">
        <f t="shared" si="20"/>
        <v/>
      </c>
    </row>
    <row r="68" spans="1:316" ht="28.2" customHeight="1" thickTop="1" thickBot="1">
      <c r="A68" s="426" t="str">
        <f t="shared" si="13"/>
        <v/>
      </c>
      <c r="C68" s="1640" t="str">
        <f t="shared" si="14"/>
        <v/>
      </c>
      <c r="D68" s="1641"/>
      <c r="E68" s="1568" t="str">
        <f t="shared" si="15"/>
        <v/>
      </c>
      <c r="F68" s="1569"/>
      <c r="G68" s="1569"/>
      <c r="H68" s="1569"/>
      <c r="I68" s="1569"/>
      <c r="J68" s="1569"/>
      <c r="K68" s="1569"/>
      <c r="L68" s="1569"/>
      <c r="M68" s="1642"/>
      <c r="N68" s="203" t="str">
        <f t="shared" si="16"/>
        <v/>
      </c>
      <c r="O68" s="12"/>
      <c r="P68" s="1638" t="str">
        <f t="shared" si="25"/>
        <v/>
      </c>
      <c r="Q68" s="1639"/>
      <c r="R68" s="1568" t="str">
        <f t="shared" si="30"/>
        <v/>
      </c>
      <c r="S68" s="1569"/>
      <c r="T68" s="1569"/>
      <c r="U68" s="1569"/>
      <c r="V68" s="1569"/>
      <c r="W68" s="1569"/>
      <c r="X68" s="1569"/>
      <c r="Y68" s="203" t="str">
        <f t="shared" si="26"/>
        <v/>
      </c>
      <c r="Z68" s="203" t="str">
        <f t="shared" si="27"/>
        <v/>
      </c>
      <c r="AA68" s="394" t="str">
        <f t="shared" si="28"/>
        <v/>
      </c>
      <c r="AB68" s="489"/>
      <c r="AC68" s="1564" t="str">
        <f t="shared" si="18"/>
        <v/>
      </c>
      <c r="AD68" s="1565"/>
      <c r="AE68" s="1565"/>
      <c r="AF68" s="1565"/>
      <c r="AG68" s="1565"/>
      <c r="AH68" s="1565"/>
      <c r="AK68">
        <f>SUMIFS(Installations!CV$46:CV$803,Installations!CW$46:CW$803,E68,Installations!IC$46:IC$803,TRUE)</f>
        <v>0</v>
      </c>
      <c r="AL68">
        <f>SUMIFS(Installations!CV$46:CV$803,Installations!CW$46:CW$803,R68,Installations!IC$46:IC$803,TRUE)</f>
        <v>0</v>
      </c>
      <c r="BL68" s="9"/>
      <c r="BM68" s="622" t="str">
        <f t="shared" si="19"/>
        <v/>
      </c>
      <c r="BN68" s="52"/>
      <c r="BO68" s="52"/>
      <c r="BP68" s="52"/>
      <c r="BQ68" s="52"/>
      <c r="BR68" s="52"/>
      <c r="BS68" s="52"/>
      <c r="BT68" s="52"/>
      <c r="BU68" s="373"/>
      <c r="BV68" s="219" t="str">
        <f>IF(CN68&lt;&gt;"Yes","",IFERROR(VLOOKUP(CU68,Existing!A$4:F$367,2,FALSE),""))</f>
        <v/>
      </c>
      <c r="BW68" s="9">
        <v>42</v>
      </c>
      <c r="BX68" s="1625"/>
      <c r="BY68" s="1626"/>
      <c r="BZ68" s="1626"/>
      <c r="CA68" s="1627"/>
      <c r="CB68" s="1622"/>
      <c r="CC68" s="1623"/>
      <c r="CD68" s="1623"/>
      <c r="CE68" s="1624"/>
      <c r="CF68" s="1621"/>
      <c r="CG68" s="1621"/>
      <c r="CH68" s="1621"/>
      <c r="CI68" s="1621"/>
      <c r="CJ68" s="1621"/>
      <c r="CK68" s="1621"/>
      <c r="CL68" s="1621"/>
      <c r="CM68" s="1621"/>
      <c r="CN68" s="1553" t="str">
        <f t="shared" si="31"/>
        <v/>
      </c>
      <c r="CO68" s="1554"/>
      <c r="CP68" s="229" t="str">
        <f>IFERROR(IF(CB68="Existing TLED",CR68*CW68*CY68,VLOOKUP(CU68,Existing!A$3:F$356,6,FALSE)),"")</f>
        <v/>
      </c>
      <c r="CQ68" s="9"/>
      <c r="CR68" s="1660"/>
      <c r="CS68" s="1661"/>
      <c r="CT68" s="9"/>
      <c r="CU68" s="425" t="str">
        <f t="shared" si="21"/>
        <v/>
      </c>
      <c r="CV68" s="426" t="b">
        <f t="shared" si="22"/>
        <v>0</v>
      </c>
      <c r="CW68" s="426" t="str">
        <f t="shared" si="23"/>
        <v/>
      </c>
      <c r="CX68" s="426">
        <f>IFERROR(VLOOKUP(CF68,Lookup!T$100:V$102,3,FALSE),0)</f>
        <v>0</v>
      </c>
      <c r="CY68" s="426">
        <f t="shared" si="8"/>
        <v>1.1100000000000001</v>
      </c>
      <c r="CZ68" s="626" t="b">
        <f t="shared" si="32"/>
        <v>0</v>
      </c>
      <c r="DA68" s="626" t="b">
        <f>IF(CF68&lt;&gt;"",IF(ISERROR(MATCH(CONCATENATE(CB68," - ",CF68),Existing!G$4:G$331,0))=TRUE,FALSE,TRUE),TRUE)</f>
        <v>1</v>
      </c>
      <c r="DB68" s="626" t="b">
        <f t="shared" si="33"/>
        <v>1</v>
      </c>
      <c r="DL68" s="9"/>
      <c r="DM68" s="627" t="s">
        <v>215</v>
      </c>
      <c r="DN68" s="375" t="str">
        <f t="shared" si="34"/>
        <v/>
      </c>
      <c r="DO68" s="52"/>
      <c r="DP68" s="52"/>
      <c r="DQ68" s="52"/>
      <c r="DR68" s="52"/>
      <c r="DS68" s="52"/>
      <c r="DT68" s="226"/>
      <c r="DU68" s="376"/>
      <c r="DV68" s="227" t="str">
        <f t="shared" si="35"/>
        <v/>
      </c>
      <c r="DW68" s="224">
        <v>42</v>
      </c>
      <c r="DX68" s="1572"/>
      <c r="DY68" s="1573"/>
      <c r="DZ68" s="1573"/>
      <c r="EA68" s="1574"/>
      <c r="EB68" s="1618"/>
      <c r="EC68" s="1619"/>
      <c r="ED68" s="1619"/>
      <c r="EE68" s="1620"/>
      <c r="EF68" s="1578"/>
      <c r="EG68" s="1579"/>
      <c r="EH68" s="1618"/>
      <c r="EI68" s="1619"/>
      <c r="EJ68" s="1619"/>
      <c r="EK68" s="1620"/>
      <c r="EL68" s="1575"/>
      <c r="EM68" s="1576"/>
      <c r="EN68" s="1576"/>
      <c r="EO68" s="1577"/>
      <c r="EP68" s="1578"/>
      <c r="EQ68" s="1579"/>
      <c r="ER68" s="1555"/>
      <c r="ES68" s="1556"/>
      <c r="ET68" s="1553" t="str">
        <f t="shared" si="9"/>
        <v/>
      </c>
      <c r="EU68" s="1554"/>
      <c r="EV68" s="1553" t="str">
        <f t="shared" si="29"/>
        <v/>
      </c>
      <c r="EW68" s="1554"/>
      <c r="EX68" s="393"/>
      <c r="EY68" s="225" t="str">
        <f t="shared" si="36"/>
        <v/>
      </c>
      <c r="EZ68" s="225" t="str">
        <f>IFERROR(VLOOKUP(EB68,Lookup!AT$3:AU$13,2,FALSE),"")</f>
        <v/>
      </c>
      <c r="FA68" s="426" t="b">
        <f>IFERROR(IF(VLOOKUP(EB68,Lookup!AT$6:AU$8,2,FALSE)&gt;3,TRUE,FALSE),FALSE)</f>
        <v>0</v>
      </c>
      <c r="FB68" s="426" t="str">
        <f t="shared" si="10"/>
        <v/>
      </c>
      <c r="FC68" t="str">
        <f t="shared" ca="1" si="11"/>
        <v/>
      </c>
      <c r="FG68" t="str">
        <f t="shared" ca="1" si="12"/>
        <v/>
      </c>
      <c r="FI68" s="204" t="str">
        <f t="shared" ca="1" si="24"/>
        <v/>
      </c>
      <c r="FK68" s="631" t="str">
        <f ca="1">IF(INDIRECT(CONCATENATE($FK$12,Fixtures!FK$25))="","",IF(INDIRECT(CONCATENATE($FK$12,Fixtures!FK$25))=Fixtures!$DN68,CONCATENATE(FK$10,", "),""))</f>
        <v/>
      </c>
      <c r="FL68" s="631" t="str">
        <f ca="1">IF(INDIRECT(CONCATENATE($FK$12,Fixtures!FL$25))="","",IF(INDIRECT(CONCATENATE($FK$12,Fixtures!FL$25))=Fixtures!$DN68,CONCATENATE(FL$10,", "),""))</f>
        <v/>
      </c>
      <c r="FM68" s="631" t="str">
        <f ca="1">IF(INDIRECT(CONCATENATE($FK$12,Fixtures!FM$25))="","",IF(INDIRECT(CONCATENATE($FK$12,Fixtures!FM$25))=Fixtures!$DN68,CONCATENATE(FM$10,", "),""))</f>
        <v/>
      </c>
      <c r="FN68" s="631" t="str">
        <f ca="1">IF(INDIRECT(CONCATENATE($FK$12,Fixtures!FN$25))="","",IF(INDIRECT(CONCATENATE($FK$12,Fixtures!FN$25))=Fixtures!$DN68,CONCATENATE(FN$10,", "),""))</f>
        <v/>
      </c>
      <c r="FO68" s="631" t="str">
        <f ca="1">IF(INDIRECT(CONCATENATE($FK$12,Fixtures!FO$25))="","",IF(INDIRECT(CONCATENATE($FK$12,Fixtures!FO$25))=Fixtures!$DN68,CONCATENATE(FO$10,", "),""))</f>
        <v/>
      </c>
      <c r="FP68" s="631" t="str">
        <f ca="1">IF(INDIRECT(CONCATENATE($FK$12,Fixtures!FP$25))="","",IF(INDIRECT(CONCATENATE($FK$12,Fixtures!FP$25))=Fixtures!$DN68,CONCATENATE(FP$10,", "),""))</f>
        <v/>
      </c>
      <c r="FQ68" s="631" t="str">
        <f ca="1">IF(INDIRECT(CONCATENATE($FK$12,Fixtures!FQ$25))="","",IF(INDIRECT(CONCATENATE($FK$12,Fixtures!FQ$25))=Fixtures!$DN68,CONCATENATE(FQ$10,", "),""))</f>
        <v/>
      </c>
      <c r="FR68" s="631" t="str">
        <f ca="1">IF(INDIRECT(CONCATENATE($FK$12,Fixtures!FR$25))="","",IF(INDIRECT(CONCATENATE($FK$12,Fixtures!FR$25))=Fixtures!$DN68,CONCATENATE(FR$10,", "),""))</f>
        <v/>
      </c>
      <c r="FS68" s="631" t="str">
        <f ca="1">IF(INDIRECT(CONCATENATE($FK$12,Fixtures!FS$25))="","",IF(INDIRECT(CONCATENATE($FK$12,Fixtures!FS$25))=Fixtures!$DN68,CONCATENATE(FS$10,", "),""))</f>
        <v/>
      </c>
      <c r="FT68" s="604" t="str">
        <f ca="1">IF(INDIRECT(CONCATENATE($FK$12,Fixtures!FT$25))="","",IF(INDIRECT(CONCATENATE($FK$12,Fixtures!FT$25))=Fixtures!$DN68,CONCATENATE(FT$10,", "),""))</f>
        <v/>
      </c>
      <c r="FU68" s="605" t="str">
        <f ca="1">IF(INDIRECT(CONCATENATE($FK$12,Fixtures!FU$25))="","",IF(INDIRECT(CONCATENATE($FK$12,Fixtures!FU$25))=Fixtures!$DN68,CONCATENATE(FU$10,", "),""))</f>
        <v/>
      </c>
      <c r="FV68" s="631" t="str">
        <f ca="1">IF(INDIRECT(CONCATENATE($FK$12,Fixtures!FV$25))="","",IF(INDIRECT(CONCATENATE($FK$12,Fixtures!FV$25))=Fixtures!$DN68,CONCATENATE(FV$10,", "),""))</f>
        <v/>
      </c>
      <c r="FW68" s="632" t="str">
        <f ca="1">IF(INDIRECT(CONCATENATE($FK$12,Fixtures!FW$25))="","",IF(INDIRECT(CONCATENATE($FK$12,Fixtures!FW$25))=Fixtures!$DN68,CONCATENATE(FW$10,", "),""))</f>
        <v/>
      </c>
      <c r="FX68" s="632" t="str">
        <f ca="1">IF(INDIRECT(CONCATENATE($FK$12,Fixtures!FX$25))="","",IF(INDIRECT(CONCATENATE($FK$12,Fixtures!FX$25))=Fixtures!$DN68,CONCATENATE(FX$10,", "),""))</f>
        <v/>
      </c>
      <c r="FY68" s="632" t="str">
        <f ca="1">IF(INDIRECT(CONCATENATE($FK$12,Fixtures!FY$25))="","",IF(INDIRECT(CONCATENATE($FK$12,Fixtures!FY$25))=Fixtures!$DN68,CONCATENATE(FY$10,", "),""))</f>
        <v/>
      </c>
      <c r="FZ68" s="632" t="str">
        <f ca="1">IF(INDIRECT(CONCATENATE($FK$12,Fixtures!FZ$25))="","",IF(INDIRECT(CONCATENATE($FK$12,Fixtures!FZ$25))=Fixtures!$DN68,CONCATENATE(FZ$10,", "),""))</f>
        <v/>
      </c>
      <c r="GA68" s="632" t="str">
        <f ca="1">IF(INDIRECT(CONCATENATE($FK$12,Fixtures!GA$25))="","",IF(INDIRECT(CONCATENATE($FK$12,Fixtures!GA$25))=Fixtures!$DN68,CONCATENATE(GA$10,", "),""))</f>
        <v/>
      </c>
      <c r="GB68" s="632" t="str">
        <f ca="1">IF(INDIRECT(CONCATENATE($FK$12,Fixtures!GB$25))="","",IF(INDIRECT(CONCATENATE($FK$12,Fixtures!GB$25))=Fixtures!$DN68,CONCATENATE(GB$10,", "),""))</f>
        <v/>
      </c>
      <c r="GC68" s="632" t="str">
        <f ca="1">IF(INDIRECT(CONCATENATE($FK$12,Fixtures!GC$25))="","",IF(INDIRECT(CONCATENATE($FK$12,Fixtures!GC$25))=Fixtures!$DN68,CONCATENATE(GC$10,", "),""))</f>
        <v/>
      </c>
      <c r="GD68" s="632" t="str">
        <f ca="1">IF(INDIRECT(CONCATENATE($FK$12,Fixtures!GD$25))="","",IF(INDIRECT(CONCATENATE($FK$12,Fixtures!GD$25))=Fixtures!$DN68,CONCATENATE(GD$10,", "),""))</f>
        <v/>
      </c>
      <c r="GE68" s="632" t="str">
        <f ca="1">IF(INDIRECT(CONCATENATE($FK$12,Fixtures!GE$25))="","",IF(INDIRECT(CONCATENATE($FK$12,Fixtures!GE$25))=Fixtures!$DN68,CONCATENATE(GE$10,", "),""))</f>
        <v/>
      </c>
      <c r="GF68" s="632" t="str">
        <f ca="1">IF(INDIRECT(CONCATENATE($FK$12,Fixtures!GF$25))="","",IF(INDIRECT(CONCATENATE($FK$12,Fixtures!GF$25))=Fixtures!$DN68,CONCATENATE(GF$10,", "),""))</f>
        <v/>
      </c>
      <c r="GG68" s="632" t="str">
        <f ca="1">IF(INDIRECT(CONCATENATE($FK$12,Fixtures!GG$25))="","",IF(INDIRECT(CONCATENATE($FK$12,Fixtures!GG$25))=Fixtures!$DN68,CONCATENATE(GG$10,", "),""))</f>
        <v/>
      </c>
      <c r="GH68" s="632" t="str">
        <f ca="1">IF(INDIRECT(CONCATENATE($FK$12,Fixtures!GH$25))="","",IF(INDIRECT(CONCATENATE($FK$12,Fixtures!GH$25))=Fixtures!$DN68,CONCATENATE(GH$10,", "),""))</f>
        <v/>
      </c>
      <c r="GI68" s="606" t="str">
        <f ca="1">IF(INDIRECT(CONCATENATE($FK$12,Fixtures!GI$25))="","",IF(INDIRECT(CONCATENATE($FK$12,Fixtures!GI$25))=Fixtures!$DN68,CONCATENATE(GI$10,", "),""))</f>
        <v/>
      </c>
      <c r="GJ68" s="607" t="str">
        <f ca="1">IF(INDIRECT(CONCATENATE($FK$12,Fixtures!GJ$25))="","",IF(INDIRECT(CONCATENATE($FK$12,Fixtures!GJ$25))=Fixtures!$DN68,CONCATENATE(GJ$10,", "),""))</f>
        <v/>
      </c>
      <c r="GK68" s="632" t="str">
        <f ca="1">IF(INDIRECT(CONCATENATE($FK$12,Fixtures!GK$25))="","",IF(INDIRECT(CONCATENATE($FK$12,Fixtures!GK$25))=Fixtures!$DN68,CONCATENATE(GK$10,", "),""))</f>
        <v/>
      </c>
      <c r="GL68" s="632" t="str">
        <f ca="1">IF(INDIRECT(CONCATENATE($FK$12,Fixtures!GL$25))="","",IF(INDIRECT(CONCATENATE($FK$12,Fixtures!GL$25))=Fixtures!$DN68,CONCATENATE(GL$10,", "),""))</f>
        <v/>
      </c>
      <c r="GM68" s="632" t="str">
        <f ca="1">IF(INDIRECT(CONCATENATE($FK$12,Fixtures!GM$25))="","",IF(INDIRECT(CONCATENATE($FK$12,Fixtures!GM$25))=Fixtures!$DN68,CONCATENATE(GM$10,", "),""))</f>
        <v/>
      </c>
      <c r="GN68" s="632" t="str">
        <f ca="1">IF(INDIRECT(CONCATENATE($FK$12,Fixtures!GN$25))="","",IF(INDIRECT(CONCATENATE($FK$12,Fixtures!GN$25))=Fixtures!$DN68,CONCATENATE(GN$10,", "),""))</f>
        <v/>
      </c>
      <c r="GO68" s="632" t="str">
        <f ca="1">IF(INDIRECT(CONCATENATE($FK$12,Fixtures!GO$25))="","",IF(INDIRECT(CONCATENATE($FK$12,Fixtures!GO$25))=Fixtures!$DN68,CONCATENATE(GO$10,", "),""))</f>
        <v/>
      </c>
      <c r="GP68" s="632" t="str">
        <f ca="1">IF(INDIRECT(CONCATENATE($FK$12,Fixtures!GP$25))="","",IF(INDIRECT(CONCATENATE($FK$12,Fixtures!GP$25))=Fixtures!$DN68,CONCATENATE(GP$10,", "),""))</f>
        <v/>
      </c>
      <c r="GQ68" s="632" t="str">
        <f ca="1">IF(INDIRECT(CONCATENATE($FK$12,Fixtures!GQ$25))="","",IF(INDIRECT(CONCATENATE($FK$12,Fixtures!GQ$25))=Fixtures!$DN68,CONCATENATE(GQ$10,", "),""))</f>
        <v/>
      </c>
      <c r="GR68" s="632" t="str">
        <f ca="1">IF(INDIRECT(CONCATENATE($FK$12,Fixtures!GR$25))="","",IF(INDIRECT(CONCATENATE($FK$12,Fixtures!GR$25))=Fixtures!$DN68,CONCATENATE(GR$10,", "),""))</f>
        <v/>
      </c>
      <c r="GS68" s="632" t="str">
        <f ca="1">IF(INDIRECT(CONCATENATE($FK$12,Fixtures!GS$25))="","",IF(INDIRECT(CONCATENATE($FK$12,Fixtures!GS$25))=Fixtures!$DN68,CONCATENATE(GS$10,", "),""))</f>
        <v/>
      </c>
      <c r="GT68" s="632" t="str">
        <f ca="1">IF(INDIRECT(CONCATENATE($FK$12,Fixtures!GT$25))="","",IF(INDIRECT(CONCATENATE($FK$12,Fixtures!GT$25))=Fixtures!$DN68,CONCATENATE(GT$10,", "),""))</f>
        <v/>
      </c>
      <c r="GU68" s="632" t="str">
        <f ca="1">IF(INDIRECT(CONCATENATE($FK$12,Fixtures!GU$25))="","",IF(INDIRECT(CONCATENATE($FK$12,Fixtures!GU$25))=Fixtures!$DN68,CONCATENATE(GU$10,", "),""))</f>
        <v/>
      </c>
      <c r="GV68" s="632" t="str">
        <f ca="1">IF(INDIRECT(CONCATENATE($FK$12,Fixtures!GV$25))="","",IF(INDIRECT(CONCATENATE($FK$12,Fixtures!GV$25))=Fixtures!$DN68,CONCATENATE(GV$10,", "),""))</f>
        <v/>
      </c>
      <c r="GW68" s="632" t="str">
        <f ca="1">IF(INDIRECT(CONCATENATE($FK$12,Fixtures!GW$25))="","",IF(INDIRECT(CONCATENATE($FK$12,Fixtures!GW$25))=Fixtures!$DN68,CONCATENATE(GW$10,", "),""))</f>
        <v/>
      </c>
      <c r="GX68" s="606" t="str">
        <f ca="1">IF(INDIRECT(CONCATENATE($FK$12,Fixtures!GX$25))="","",IF(INDIRECT(CONCATENATE($FK$12,Fixtures!GX$25))=Fixtures!$DN68,CONCATENATE(GX$10,", "),""))</f>
        <v/>
      </c>
      <c r="GY68" s="607" t="str">
        <f ca="1">IF(INDIRECT(CONCATENATE($FK$12,Fixtures!GY$25))="","",IF(INDIRECT(CONCATENATE($FK$12,Fixtures!GY$25))=Fixtures!$DN68,CONCATENATE(GY$10,", "),""))</f>
        <v/>
      </c>
      <c r="GZ68" s="632" t="str">
        <f ca="1">IF(INDIRECT(CONCATENATE($FK$12,Fixtures!GZ$25))="","",IF(INDIRECT(CONCATENATE($FK$12,Fixtures!GZ$25))=Fixtures!$DN68,CONCATENATE(GZ$10,", "),""))</f>
        <v/>
      </c>
      <c r="HA68" s="632" t="str">
        <f ca="1">IF(INDIRECT(CONCATENATE($FK$12,Fixtures!HA$25))="","",IF(INDIRECT(CONCATENATE($FK$12,Fixtures!HA$25))=Fixtures!$DN68,CONCATENATE(HA$10,", "),""))</f>
        <v/>
      </c>
      <c r="HB68" s="632" t="str">
        <f ca="1">IF(INDIRECT(CONCATENATE($FK$12,Fixtures!HB$25))="","",IF(INDIRECT(CONCATENATE($FK$12,Fixtures!HB$25))=Fixtures!$DN68,CONCATENATE(HB$10,", "),""))</f>
        <v/>
      </c>
      <c r="HC68" s="632" t="str">
        <f ca="1">IF(INDIRECT(CONCATENATE($FK$12,Fixtures!HC$25))="","",IF(INDIRECT(CONCATENATE($FK$12,Fixtures!HC$25))=Fixtures!$DN68,CONCATENATE(HC$10,", "),""))</f>
        <v/>
      </c>
      <c r="HD68" s="632" t="str">
        <f ca="1">IF(INDIRECT(CONCATENATE($FK$12,Fixtures!HD$25))="","",IF(INDIRECT(CONCATENATE($FK$12,Fixtures!HD$25))=Fixtures!$DN68,CONCATENATE(HD$10,", "),""))</f>
        <v/>
      </c>
      <c r="HE68" s="632" t="str">
        <f ca="1">IF(INDIRECT(CONCATENATE($FK$12,Fixtures!HE$25))="","",IF(INDIRECT(CONCATENATE($FK$12,Fixtures!HE$25))=Fixtures!$DN68,CONCATENATE(HE$10,", "),""))</f>
        <v/>
      </c>
      <c r="HF68" s="632" t="str">
        <f ca="1">IF(INDIRECT(CONCATENATE($FK$12,Fixtures!HF$25))="","",IF(INDIRECT(CONCATENATE($FK$12,Fixtures!HF$25))=Fixtures!$DN68,CONCATENATE(HF$10,", "),""))</f>
        <v/>
      </c>
      <c r="HG68" s="632" t="str">
        <f ca="1">IF(INDIRECT(CONCATENATE($FK$12,Fixtures!HG$25))="","",IF(INDIRECT(CONCATENATE($FK$12,Fixtures!HG$25))=Fixtures!$DN68,CONCATENATE(HG$10,", "),""))</f>
        <v/>
      </c>
      <c r="HH68" s="632" t="str">
        <f ca="1">IF(INDIRECT(CONCATENATE($FK$12,Fixtures!HH$25))="","",IF(INDIRECT(CONCATENATE($FK$12,Fixtures!HH$25))=Fixtures!$DN68,CONCATENATE(HH$10,", "),""))</f>
        <v/>
      </c>
      <c r="HI68" s="632" t="str">
        <f ca="1">IF(INDIRECT(CONCATENATE($FK$12,Fixtures!HI$25))="","",IF(INDIRECT(CONCATENATE($FK$12,Fixtures!HI$25))=Fixtures!$DN68,CONCATENATE(HI$10,", "),""))</f>
        <v/>
      </c>
      <c r="HJ68" s="632" t="str">
        <f ca="1">IF(INDIRECT(CONCATENATE($FK$12,Fixtures!HJ$25))="","",IF(INDIRECT(CONCATENATE($FK$12,Fixtures!HJ$25))=Fixtures!$DN68,CONCATENATE(HJ$10,", "),""))</f>
        <v/>
      </c>
      <c r="HK68" s="632" t="str">
        <f ca="1">IF(INDIRECT(CONCATENATE($FK$12,Fixtures!HK$25))="","",IF(INDIRECT(CONCATENATE($FK$12,Fixtures!HK$25))=Fixtures!$DN68,CONCATENATE(HK$10,", "),""))</f>
        <v/>
      </c>
      <c r="HL68" s="632" t="str">
        <f ca="1">IF(INDIRECT(CONCATENATE($FK$12,Fixtures!HL$25))="","",IF(INDIRECT(CONCATENATE($FK$12,Fixtures!HL$25))=Fixtures!$DN68,CONCATENATE(HL$10,", "),""))</f>
        <v/>
      </c>
      <c r="HM68" s="606" t="str">
        <f ca="1">IF(INDIRECT(CONCATENATE($FK$12,Fixtures!HM$25))="","",IF(INDIRECT(CONCATENATE($FK$12,Fixtures!HM$25))=Fixtures!$DN68,CONCATENATE(HM$10,", "),""))</f>
        <v/>
      </c>
      <c r="HN68" s="607" t="str">
        <f ca="1">IF(INDIRECT(CONCATENATE($FK$12,Fixtures!HN$25))="","",IF(INDIRECT(CONCATENATE($FK$12,Fixtures!HN$25))=Fixtures!$DN68,CONCATENATE(HN$10,", "),""))</f>
        <v/>
      </c>
      <c r="HO68" s="632" t="str">
        <f ca="1">IF(INDIRECT(CONCATENATE($FK$12,Fixtures!HO$25))="","",IF(INDIRECT(CONCATENATE($FK$12,Fixtures!HO$25))=Fixtures!$DN68,CONCATENATE(HO$10,", "),""))</f>
        <v/>
      </c>
      <c r="HP68" s="632" t="str">
        <f ca="1">IF(INDIRECT(CONCATENATE($FK$12,Fixtures!HP$25))="","",IF(INDIRECT(CONCATENATE($FK$12,Fixtures!HP$25))=Fixtures!$DN68,CONCATENATE(HP$10,", "),""))</f>
        <v/>
      </c>
      <c r="HQ68" s="632" t="str">
        <f ca="1">IF(INDIRECT(CONCATENATE($FK$12,Fixtures!HQ$25))="","",IF(INDIRECT(CONCATENATE($FK$12,Fixtures!HQ$25))=Fixtures!$DN68,CONCATENATE(HQ$10,", "),""))</f>
        <v/>
      </c>
      <c r="HR68" s="632" t="str">
        <f ca="1">IF(INDIRECT(CONCATENATE($FK$12,Fixtures!HR$25))="","",IF(INDIRECT(CONCATENATE($FK$12,Fixtures!HR$25))=Fixtures!$DN68,CONCATENATE(HR$10,", "),""))</f>
        <v/>
      </c>
      <c r="HS68" s="632" t="str">
        <f ca="1">IF(INDIRECT(CONCATENATE($FK$12,Fixtures!HS$25))="","",IF(INDIRECT(CONCATENATE($FK$12,Fixtures!HS$25))=Fixtures!$DN68,CONCATENATE(HS$10,", "),""))</f>
        <v/>
      </c>
      <c r="HT68" s="632" t="str">
        <f ca="1">IF(INDIRECT(CONCATENATE($FK$12,Fixtures!HT$25))="","",IF(INDIRECT(CONCATENATE($FK$12,Fixtures!HT$25))=Fixtures!$DN68,CONCATENATE(HT$10,", "),""))</f>
        <v/>
      </c>
      <c r="HU68" s="632" t="str">
        <f ca="1">IF(INDIRECT(CONCATENATE($FK$12,Fixtures!HU$25))="","",IF(INDIRECT(CONCATENATE($FK$12,Fixtures!HU$25))=Fixtures!$DN68,CONCATENATE(HU$10,", "),""))</f>
        <v/>
      </c>
      <c r="HV68" s="632" t="str">
        <f ca="1">IF(INDIRECT(CONCATENATE($FK$12,Fixtures!HV$25))="","",IF(INDIRECT(CONCATENATE($FK$12,Fixtures!HV$25))=Fixtures!$DN68,CONCATENATE(HV$10,", "),""))</f>
        <v/>
      </c>
      <c r="HW68" s="632" t="str">
        <f ca="1">IF(INDIRECT(CONCATENATE($FK$12,Fixtures!HW$25))="","",IF(INDIRECT(CONCATENATE($FK$12,Fixtures!HW$25))=Fixtures!$DN68,CONCATENATE(HW$10,", "),""))</f>
        <v/>
      </c>
      <c r="HX68" s="632" t="str">
        <f ca="1">IF(INDIRECT(CONCATENATE($FK$12,Fixtures!HX$25))="","",IF(INDIRECT(CONCATENATE($FK$12,Fixtures!HX$25))=Fixtures!$DN68,CONCATENATE(HX$10,", "),""))</f>
        <v/>
      </c>
      <c r="HY68" s="632" t="str">
        <f ca="1">IF(INDIRECT(CONCATENATE($FK$12,Fixtures!HY$25))="","",IF(INDIRECT(CONCATENATE($FK$12,Fixtures!HY$25))=Fixtures!$DN68,CONCATENATE(HY$10,", "),""))</f>
        <v/>
      </c>
      <c r="HZ68" s="632" t="str">
        <f ca="1">IF(INDIRECT(CONCATENATE($FK$12,Fixtures!HZ$25))="","",IF(INDIRECT(CONCATENATE($FK$12,Fixtures!HZ$25))=Fixtures!$DN68,CONCATENATE(HZ$10,", "),""))</f>
        <v/>
      </c>
      <c r="IA68" s="632" t="str">
        <f ca="1">IF(INDIRECT(CONCATENATE($FK$12,Fixtures!IA$25))="","",IF(INDIRECT(CONCATENATE($FK$12,Fixtures!IA$25))=Fixtures!$DN68,CONCATENATE(IA$10,", "),""))</f>
        <v/>
      </c>
      <c r="IB68" s="606" t="str">
        <f ca="1">IF(INDIRECT(CONCATENATE($FK$12,Fixtures!IB$25))="","",IF(INDIRECT(CONCATENATE($FK$12,Fixtures!IB$25))=Fixtures!$DN68,CONCATENATE(IB$10,", "),""))</f>
        <v/>
      </c>
      <c r="IC68" s="607" t="str">
        <f ca="1">IF(INDIRECT(CONCATENATE($FK$12,Fixtures!IC$25))="","",IF(INDIRECT(CONCATENATE($FK$12,Fixtures!IC$25))=Fixtures!$DN68,CONCATENATE(IC$10,", "),""))</f>
        <v/>
      </c>
      <c r="ID68" s="632" t="str">
        <f ca="1">IF(INDIRECT(CONCATENATE($FK$12,Fixtures!ID$25))="","",IF(INDIRECT(CONCATENATE($FK$12,Fixtures!ID$25))=Fixtures!$DN68,CONCATENATE(ID$10,", "),""))</f>
        <v/>
      </c>
      <c r="IE68" s="632" t="str">
        <f ca="1">IF(INDIRECT(CONCATENATE($FK$12,Fixtures!IE$25))="","",IF(INDIRECT(CONCATENATE($FK$12,Fixtures!IE$25))=Fixtures!$DN68,CONCATENATE(IE$10,", "),""))</f>
        <v/>
      </c>
      <c r="IF68" s="632" t="str">
        <f ca="1">IF(INDIRECT(CONCATENATE($FK$12,Fixtures!IF$25))="","",IF(INDIRECT(CONCATENATE($FK$12,Fixtures!IF$25))=Fixtures!$DN68,CONCATENATE(IF$10,", "),""))</f>
        <v/>
      </c>
      <c r="IG68" s="632" t="str">
        <f ca="1">IF(INDIRECT(CONCATENATE($FK$12,Fixtures!IG$25))="","",IF(INDIRECT(CONCATENATE($FK$12,Fixtures!IG$25))=Fixtures!$DN68,CONCATENATE(IG$10,", "),""))</f>
        <v/>
      </c>
      <c r="IH68" s="632" t="str">
        <f ca="1">IF(INDIRECT(CONCATENATE($FK$12,Fixtures!IH$25))="","",IF(INDIRECT(CONCATENATE($FK$12,Fixtures!IH$25))=Fixtures!$DN68,CONCATENATE(IH$10,", "),""))</f>
        <v/>
      </c>
      <c r="II68" s="632" t="str">
        <f ca="1">IF(INDIRECT(CONCATENATE($FK$12,Fixtures!II$25))="","",IF(INDIRECT(CONCATENATE($FK$12,Fixtures!II$25))=Fixtures!$DN68,CONCATENATE(II$10,", "),""))</f>
        <v/>
      </c>
      <c r="IJ68" s="632" t="str">
        <f ca="1">IF(INDIRECT(CONCATENATE($FK$12,Fixtures!IJ$25))="","",IF(INDIRECT(CONCATENATE($FK$12,Fixtures!IJ$25))=Fixtures!$DN68,CONCATENATE(IJ$10,", "),""))</f>
        <v/>
      </c>
      <c r="IK68" s="632" t="str">
        <f ca="1">IF(INDIRECT(CONCATENATE($FK$12,Fixtures!IK$25))="","",IF(INDIRECT(CONCATENATE($FK$12,Fixtures!IK$25))=Fixtures!$DN68,CONCATENATE(IK$10,", "),""))</f>
        <v/>
      </c>
      <c r="IL68" s="632" t="str">
        <f ca="1">IF(INDIRECT(CONCATENATE($FK$12,Fixtures!IL$25))="","",IF(INDIRECT(CONCATENATE($FK$12,Fixtures!IL$25))=Fixtures!$DN68,CONCATENATE(IL$10,", "),""))</f>
        <v/>
      </c>
      <c r="IM68" s="632" t="str">
        <f ca="1">IF(INDIRECT(CONCATENATE($FK$12,Fixtures!IM$25))="","",IF(INDIRECT(CONCATENATE($FK$12,Fixtures!IM$25))=Fixtures!$DN68,CONCATENATE(IM$10,", "),""))</f>
        <v/>
      </c>
      <c r="IN68" s="632" t="str">
        <f ca="1">IF(INDIRECT(CONCATENATE($FK$12,Fixtures!IN$25))="","",IF(INDIRECT(CONCATENATE($FK$12,Fixtures!IN$25))=Fixtures!$DN68,CONCATENATE(IN$10,", "),""))</f>
        <v/>
      </c>
      <c r="IO68" s="632" t="str">
        <f ca="1">IF(INDIRECT(CONCATENATE($FK$12,Fixtures!IO$25))="","",IF(INDIRECT(CONCATENATE($FK$12,Fixtures!IO$25))=Fixtures!$DN68,CONCATENATE(IO$10,", "),""))</f>
        <v/>
      </c>
      <c r="IP68" s="632" t="str">
        <f ca="1">IF(INDIRECT(CONCATENATE($FK$12,Fixtures!IP$25))="","",IF(INDIRECT(CONCATENATE($FK$12,Fixtures!IP$25))=Fixtures!$DN68,CONCATENATE(IP$10,", "),""))</f>
        <v/>
      </c>
      <c r="IQ68" s="606" t="str">
        <f ca="1">IF(INDIRECT(CONCATENATE($FK$12,Fixtures!IQ$25))="","",IF(INDIRECT(CONCATENATE($FK$12,Fixtures!IQ$25))=Fixtures!$DN68,CONCATENATE(IQ$10,", "),""))</f>
        <v/>
      </c>
      <c r="IR68" s="607" t="str">
        <f ca="1">IF(INDIRECT(CONCATENATE($FK$12,Fixtures!IR$25))="","",IF(INDIRECT(CONCATENATE($FK$12,Fixtures!IR$25))=Fixtures!$DN68,CONCATENATE(IR$10,", "),""))</f>
        <v/>
      </c>
      <c r="IS68" s="632" t="str">
        <f ca="1">IF(INDIRECT(CONCATENATE($FK$12,Fixtures!IS$25))="","",IF(INDIRECT(CONCATENATE($FK$12,Fixtures!IS$25))=Fixtures!$DN68,CONCATENATE(IS$10,", "),""))</f>
        <v/>
      </c>
      <c r="IT68" s="632" t="str">
        <f ca="1">IF(INDIRECT(CONCATENATE($FK$12,Fixtures!IT$25))="","",IF(INDIRECT(CONCATENATE($FK$12,Fixtures!IT$25))=Fixtures!$DN68,CONCATENATE(IT$10,", "),""))</f>
        <v/>
      </c>
      <c r="IU68" s="632" t="str">
        <f ca="1">IF(INDIRECT(CONCATENATE($FK$12,Fixtures!IU$25))="","",IF(INDIRECT(CONCATENATE($FK$12,Fixtures!IU$25))=Fixtures!$DN68,CONCATENATE(IU$10,", "),""))</f>
        <v/>
      </c>
      <c r="IV68" s="632" t="str">
        <f ca="1">IF(INDIRECT(CONCATENATE($FK$12,Fixtures!IV$25))="","",IF(INDIRECT(CONCATENATE($FK$12,Fixtures!IV$25))=Fixtures!$DN68,CONCATENATE(IV$10,", "),""))</f>
        <v/>
      </c>
      <c r="IW68" s="632" t="str">
        <f ca="1">IF(INDIRECT(CONCATENATE($FK$12,Fixtures!IW$25))="","",IF(INDIRECT(CONCATENATE($FK$12,Fixtures!IW$25))=Fixtures!$DN68,CONCATENATE(IW$10,", "),""))</f>
        <v/>
      </c>
      <c r="IX68" s="632" t="str">
        <f ca="1">IF(INDIRECT(CONCATENATE($FK$12,Fixtures!IX$25))="","",IF(INDIRECT(CONCATENATE($FK$12,Fixtures!IX$25))=Fixtures!$DN68,CONCATENATE(IX$10,", "),""))</f>
        <v/>
      </c>
      <c r="IY68" s="632" t="str">
        <f ca="1">IF(INDIRECT(CONCATENATE($FK$12,Fixtures!IY$25))="","",IF(INDIRECT(CONCATENATE($FK$12,Fixtures!IY$25))=Fixtures!$DN68,CONCATENATE(IY$10,", "),""))</f>
        <v/>
      </c>
      <c r="IZ68" s="632" t="str">
        <f ca="1">IF(INDIRECT(CONCATENATE($FK$12,Fixtures!IZ$25))="","",IF(INDIRECT(CONCATENATE($FK$12,Fixtures!IZ$25))=Fixtures!$DN68,CONCATENATE(IZ$10,", "),""))</f>
        <v/>
      </c>
      <c r="JA68" s="632" t="str">
        <f ca="1">IF(INDIRECT(CONCATENATE($FK$12,Fixtures!JA$25))="","",IF(INDIRECT(CONCATENATE($FK$12,Fixtures!JA$25))=Fixtures!$DN68,CONCATENATE(JA$10,", "),""))</f>
        <v/>
      </c>
      <c r="JB68" s="632" t="str">
        <f ca="1">IF(INDIRECT(CONCATENATE($FK$12,Fixtures!JB$25))="","",IF(INDIRECT(CONCATENATE($FK$12,Fixtures!JB$25))=Fixtures!$DN68,CONCATENATE(JB$10,", "),""))</f>
        <v/>
      </c>
      <c r="JC68" s="632" t="str">
        <f ca="1">IF(INDIRECT(CONCATENATE($FK$12,Fixtures!JC$25))="","",IF(INDIRECT(CONCATENATE($FK$12,Fixtures!JC$25))=Fixtures!$DN68,CONCATENATE(JC$10,", "),""))</f>
        <v/>
      </c>
      <c r="JD68" s="632" t="str">
        <f ca="1">IF(INDIRECT(CONCATENATE($FK$12,Fixtures!JD$25))="","",IF(INDIRECT(CONCATENATE($FK$12,Fixtures!JD$25))=Fixtures!$DN68,CONCATENATE(JD$10,", "),""))</f>
        <v/>
      </c>
      <c r="JE68" s="632" t="str">
        <f ca="1">IF(INDIRECT(CONCATENATE($FK$12,Fixtures!JE$25))="","",IF(INDIRECT(CONCATENATE($FK$12,Fixtures!JE$25))=Fixtures!$DN68,CONCATENATE(JE$10,", "),""))</f>
        <v/>
      </c>
      <c r="JF68" s="606" t="str">
        <f ca="1">IF(INDIRECT(CONCATENATE($FK$12,Fixtures!JF$25))="","",IF(INDIRECT(CONCATENATE($FK$12,Fixtures!JF$25))=Fixtures!$DN68,CONCATENATE(JF$10,", "),""))</f>
        <v/>
      </c>
      <c r="JG68" s="607" t="str">
        <f ca="1">IF(INDIRECT(CONCATENATE($FK$12,Fixtures!JG$25))="","",IF(INDIRECT(CONCATENATE($FK$12,Fixtures!JG$25))=Fixtures!$DN68,CONCATENATE(JG$10,", "),""))</f>
        <v/>
      </c>
      <c r="JH68" s="632" t="str">
        <f ca="1">IF(INDIRECT(CONCATENATE($FK$12,Fixtures!JH$25))="","",IF(INDIRECT(CONCATENATE($FK$12,Fixtures!JH$25))=Fixtures!$DN68,CONCATENATE(JH$10,", "),""))</f>
        <v/>
      </c>
      <c r="JI68" s="632" t="str">
        <f ca="1">IF(INDIRECT(CONCATENATE($FK$12,Fixtures!JI$25))="","",IF(INDIRECT(CONCATENATE($FK$12,Fixtures!JI$25))=Fixtures!$DN68,CONCATENATE(JI$10,", "),""))</f>
        <v/>
      </c>
      <c r="JJ68" s="632" t="str">
        <f ca="1">IF(INDIRECT(CONCATENATE($FK$12,Fixtures!JJ$25))="","",IF(INDIRECT(CONCATENATE($FK$12,Fixtures!JJ$25))=Fixtures!$DN68,CONCATENATE(JJ$10,", "),""))</f>
        <v/>
      </c>
      <c r="JK68" s="632" t="str">
        <f ca="1">IF(INDIRECT(CONCATENATE($FK$12,Fixtures!JK$25))="","",IF(INDIRECT(CONCATENATE($FK$12,Fixtures!JK$25))=Fixtures!$DN68,CONCATENATE(JK$10,", "),""))</f>
        <v/>
      </c>
      <c r="JL68" s="632" t="str">
        <f ca="1">IF(INDIRECT(CONCATENATE($FK$12,Fixtures!JL$25))="","",IF(INDIRECT(CONCATENATE($FK$12,Fixtures!JL$25))=Fixtures!$DN68,CONCATENATE(JL$10,", "),""))</f>
        <v/>
      </c>
      <c r="JM68" s="632" t="str">
        <f ca="1">IF(INDIRECT(CONCATENATE($FK$12,Fixtures!JM$25))="","",IF(INDIRECT(CONCATENATE($FK$12,Fixtures!JM$25))=Fixtures!$DN68,CONCATENATE(JM$10,", "),""))</f>
        <v/>
      </c>
      <c r="JN68" s="632" t="str">
        <f ca="1">IF(INDIRECT(CONCATENATE($FK$12,Fixtures!JN$25))="","",IF(INDIRECT(CONCATENATE($FK$12,Fixtures!JN$25))=Fixtures!$DN68,CONCATENATE(JN$10,", "),""))</f>
        <v/>
      </c>
      <c r="JO68" s="632" t="str">
        <f ca="1">IF(INDIRECT(CONCATENATE($FK$12,Fixtures!JO$25))="","",IF(INDIRECT(CONCATENATE($FK$12,Fixtures!JO$25))=Fixtures!$DN68,CONCATENATE(JO$10,", "),""))</f>
        <v/>
      </c>
      <c r="JP68" s="632" t="str">
        <f ca="1">IF(INDIRECT(CONCATENATE($FK$12,Fixtures!JP$25))="","",IF(INDIRECT(CONCATENATE($FK$12,Fixtures!JP$25))=Fixtures!$DN68,CONCATENATE(JP$10,", "),""))</f>
        <v/>
      </c>
      <c r="JQ68" s="632" t="str">
        <f ca="1">IF(INDIRECT(CONCATENATE($FK$12,Fixtures!JQ$25))="","",IF(INDIRECT(CONCATENATE($FK$12,Fixtures!JQ$25))=Fixtures!$DN68,CONCATENATE(JQ$10,", "),""))</f>
        <v/>
      </c>
      <c r="JR68" s="632" t="str">
        <f ca="1">IF(INDIRECT(CONCATENATE($FK$12,Fixtures!JR$25))="","",IF(INDIRECT(CONCATENATE($FK$12,Fixtures!JR$25))=Fixtures!$DN68,CONCATENATE(JR$10,", "),""))</f>
        <v/>
      </c>
      <c r="JS68" s="632" t="str">
        <f ca="1">IF(INDIRECT(CONCATENATE($FK$12,Fixtures!JS$25))="","",IF(INDIRECT(CONCATENATE($FK$12,Fixtures!JS$25))=Fixtures!$DN68,CONCATENATE(JS$10,", "),""))</f>
        <v/>
      </c>
      <c r="JT68" s="632" t="str">
        <f ca="1">IF(INDIRECT(CONCATENATE($FK$12,Fixtures!JT$25))="","",IF(INDIRECT(CONCATENATE($FK$12,Fixtures!JT$25))=Fixtures!$DN68,CONCATENATE(JT$10,", "),""))</f>
        <v/>
      </c>
      <c r="JU68" s="606" t="str">
        <f ca="1">IF(INDIRECT(CONCATENATE($FK$12,Fixtures!JU$25))="","",IF(INDIRECT(CONCATENATE($FK$12,Fixtures!JU$25))=Fixtures!$DN68,CONCATENATE(JU$10,", "),""))</f>
        <v/>
      </c>
      <c r="JV68" s="607" t="str">
        <f ca="1">IF(INDIRECT(CONCATENATE($FK$12,Fixtures!JV$25))="","",IF(INDIRECT(CONCATENATE($FK$12,Fixtures!JV$25))=Fixtures!$DN68,CONCATENATE(JV$10,", "),""))</f>
        <v/>
      </c>
      <c r="JW68" s="632" t="str">
        <f ca="1">IF(INDIRECT(CONCATENATE($FK$12,Fixtures!JW$25))="","",IF(INDIRECT(CONCATENATE($FK$12,Fixtures!JW$25))=Fixtures!$DN68,CONCATENATE(JW$10,", "),""))</f>
        <v/>
      </c>
      <c r="JX68" s="632" t="str">
        <f ca="1">IF(INDIRECT(CONCATENATE($FK$12,Fixtures!JX$25))="","",IF(INDIRECT(CONCATENATE($FK$12,Fixtures!JX$25))=Fixtures!$DN68,CONCATENATE(JX$10,", "),""))</f>
        <v/>
      </c>
      <c r="JY68" s="632" t="str">
        <f ca="1">IF(INDIRECT(CONCATENATE($FK$12,Fixtures!JY$25))="","",IF(INDIRECT(CONCATENATE($FK$12,Fixtures!JY$25))=Fixtures!$DN68,CONCATENATE(JY$10,", "),""))</f>
        <v/>
      </c>
      <c r="JZ68" s="632" t="str">
        <f ca="1">IF(INDIRECT(CONCATENATE($FK$12,Fixtures!JZ$25))="","",IF(INDIRECT(CONCATENATE($FK$12,Fixtures!JZ$25))=Fixtures!$DN68,CONCATENATE(JZ$10,", "),""))</f>
        <v/>
      </c>
      <c r="KA68" s="632" t="str">
        <f ca="1">IF(INDIRECT(CONCATENATE($FK$12,Fixtures!KA$25))="","",IF(INDIRECT(CONCATENATE($FK$12,Fixtures!KA$25))=Fixtures!$DN68,CONCATENATE(KA$10,", "),""))</f>
        <v/>
      </c>
      <c r="KB68" s="632" t="str">
        <f ca="1">IF(INDIRECT(CONCATENATE($FK$12,Fixtures!KB$25))="","",IF(INDIRECT(CONCATENATE($FK$12,Fixtures!KB$25))=Fixtures!$DN68,CONCATENATE(KB$10,", "),""))</f>
        <v/>
      </c>
      <c r="KC68" s="632" t="str">
        <f ca="1">IF(INDIRECT(CONCATENATE($FK$12,Fixtures!KC$25))="","",IF(INDIRECT(CONCATENATE($FK$12,Fixtures!KC$25))=Fixtures!$DN68,CONCATENATE(KC$10,", "),""))</f>
        <v/>
      </c>
      <c r="KD68" s="632" t="str">
        <f ca="1">IF(INDIRECT(CONCATENATE($FK$12,Fixtures!KD$25))="","",IF(INDIRECT(CONCATENATE($FK$12,Fixtures!KD$25))=Fixtures!$DN68,CONCATENATE(KD$10,", "),""))</f>
        <v/>
      </c>
      <c r="KE68" s="632" t="str">
        <f ca="1">IF(INDIRECT(CONCATENATE($FK$12,Fixtures!KE$25))="","",IF(INDIRECT(CONCATENATE($FK$12,Fixtures!KE$25))=Fixtures!$DN68,CONCATENATE(KE$10,", "),""))</f>
        <v/>
      </c>
      <c r="KF68" s="632" t="str">
        <f ca="1">IF(INDIRECT(CONCATENATE($FK$12,Fixtures!KF$25))="","",IF(INDIRECT(CONCATENATE($FK$12,Fixtures!KF$25))=Fixtures!$DN68,CONCATENATE(KF$10,", "),""))</f>
        <v/>
      </c>
      <c r="KG68" s="632" t="str">
        <f ca="1">IF(INDIRECT(CONCATENATE($FK$12,Fixtures!KG$25))="","",IF(INDIRECT(CONCATENATE($FK$12,Fixtures!KG$25))=Fixtures!$DN68,CONCATENATE(KG$10,", "),""))</f>
        <v/>
      </c>
      <c r="KH68" s="632" t="str">
        <f ca="1">IF(INDIRECT(CONCATENATE($FK$12,Fixtures!KH$25))="","",IF(INDIRECT(CONCATENATE($FK$12,Fixtures!KH$25))=Fixtures!$DN68,CONCATENATE(KH$10,", "),""))</f>
        <v/>
      </c>
      <c r="KI68" s="632" t="str">
        <f ca="1">IF(INDIRECT(CONCATENATE($FK$12,Fixtures!KI$25))="","",IF(INDIRECT(CONCATENATE($FK$12,Fixtures!KI$25))=Fixtures!$DN68,CONCATENATE(KI$10,", "),""))</f>
        <v/>
      </c>
      <c r="KJ68" s="606" t="str">
        <f ca="1">IF(INDIRECT(CONCATENATE($FK$12,Fixtures!KJ$25))="","",IF(INDIRECT(CONCATENATE($FK$12,Fixtures!KJ$25))=Fixtures!$DN68,CONCATENATE(KJ$10,", "),""))</f>
        <v/>
      </c>
      <c r="KK68" s="607" t="str">
        <f ca="1">IF(INDIRECT(CONCATENATE($FK$12,Fixtures!KK$25))="","",IF(INDIRECT(CONCATENATE($FK$12,Fixtures!KK$25))=Fixtures!$DN68,CONCATENATE(KK$10,", "),""))</f>
        <v/>
      </c>
      <c r="KL68" s="632" t="str">
        <f ca="1">IF(INDIRECT(CONCATENATE($FK$12,Fixtures!KL$25))="","",IF(INDIRECT(CONCATENATE($FK$12,Fixtures!KL$25))=Fixtures!$DN68,CONCATENATE(KL$10,", "),""))</f>
        <v/>
      </c>
      <c r="KM68" s="632" t="str">
        <f ca="1">IF(INDIRECT(CONCATENATE($FK$12,Fixtures!KM$25))="","",IF(INDIRECT(CONCATENATE($FK$12,Fixtures!KM$25))=Fixtures!$DN68,CONCATENATE(KM$10,", "),""))</f>
        <v/>
      </c>
      <c r="KN68" s="632" t="str">
        <f ca="1">IF(INDIRECT(CONCATENATE($FK$12,Fixtures!KN$25))="","",IF(INDIRECT(CONCATENATE($FK$12,Fixtures!KN$25))=Fixtures!$DN68,CONCATENATE(KN$10,", "),""))</f>
        <v/>
      </c>
      <c r="KO68" s="632" t="str">
        <f ca="1">IF(INDIRECT(CONCATENATE($FK$12,Fixtures!KO$25))="","",IF(INDIRECT(CONCATENATE($FK$12,Fixtures!KO$25))=Fixtures!$DN68,CONCATENATE(KO$10,", "),""))</f>
        <v/>
      </c>
      <c r="KP68" s="632" t="str">
        <f ca="1">IF(INDIRECT(CONCATENATE($FK$12,Fixtures!KP$25))="","",IF(INDIRECT(CONCATENATE($FK$12,Fixtures!KP$25))=Fixtures!$DN68,CONCATENATE(KP$10,", "),""))</f>
        <v/>
      </c>
      <c r="KQ68" s="632" t="str">
        <f ca="1">IF(INDIRECT(CONCATENATE($FK$12,Fixtures!KQ$25))="","",IF(INDIRECT(CONCATENATE($FK$12,Fixtures!KQ$25))=Fixtures!$DN68,CONCATENATE(KQ$10,", "),""))</f>
        <v/>
      </c>
      <c r="KR68" s="632" t="str">
        <f ca="1">IF(INDIRECT(CONCATENATE($FK$12,Fixtures!KR$25))="","",IF(INDIRECT(CONCATENATE($FK$12,Fixtures!KR$25))=Fixtures!$DN68,CONCATENATE(KR$10,", "),""))</f>
        <v/>
      </c>
      <c r="KS68" s="632" t="str">
        <f ca="1">IF(INDIRECT(CONCATENATE($FK$12,Fixtures!KS$25))="","",IF(INDIRECT(CONCATENATE($FK$12,Fixtures!KS$25))=Fixtures!$DN68,CONCATENATE(KS$10,", "),""))</f>
        <v/>
      </c>
      <c r="KT68" s="632" t="str">
        <f ca="1">IF(INDIRECT(CONCATENATE($FK$12,Fixtures!KT$25))="","",IF(INDIRECT(CONCATENATE($FK$12,Fixtures!KT$25))=Fixtures!$DN68,CONCATENATE(KT$10,", "),""))</f>
        <v/>
      </c>
      <c r="KU68" s="632" t="str">
        <f ca="1">IF(INDIRECT(CONCATENATE($FK$12,Fixtures!KU$25))="","",IF(INDIRECT(CONCATENATE($FK$12,Fixtures!KU$25))=Fixtures!$DN68,CONCATENATE(KU$10,", "),""))</f>
        <v/>
      </c>
      <c r="KV68" s="632" t="str">
        <f ca="1">IF(INDIRECT(CONCATENATE($FK$12,Fixtures!KV$25))="","",IF(INDIRECT(CONCATENATE($FK$12,Fixtures!KV$25))=Fixtures!$DN68,CONCATENATE(KV$10,", "),""))</f>
        <v/>
      </c>
      <c r="KW68" s="632" t="str">
        <f ca="1">IF(INDIRECT(CONCATENATE($FK$12,Fixtures!KW$25))="","",IF(INDIRECT(CONCATENATE($FK$12,Fixtures!KW$25))=Fixtures!$DN68,CONCATENATE(KW$10,", "),""))</f>
        <v/>
      </c>
      <c r="KX68" s="632" t="str">
        <f ca="1">IF(INDIRECT(CONCATENATE($FK$12,Fixtures!KX$25))="","",IF(INDIRECT(CONCATENATE($FK$12,Fixtures!KX$25))=Fixtures!$DN68,CONCATENATE(KX$10,", "),""))</f>
        <v/>
      </c>
      <c r="KY68" s="632"/>
      <c r="KZ68" s="542"/>
      <c r="LA68" s="46" t="str">
        <f t="shared" ca="1" si="37"/>
        <v/>
      </c>
      <c r="LB68" s="46"/>
      <c r="LC68" s="1010"/>
      <c r="LD68" s="1009" t="str">
        <f t="shared" si="20"/>
        <v/>
      </c>
    </row>
    <row r="69" spans="1:316" ht="28.2" customHeight="1" thickTop="1" thickBot="1">
      <c r="A69" s="426" t="str">
        <f t="shared" si="13"/>
        <v/>
      </c>
      <c r="C69" s="1640" t="str">
        <f t="shared" si="14"/>
        <v/>
      </c>
      <c r="D69" s="1641"/>
      <c r="E69" s="1568" t="str">
        <f t="shared" si="15"/>
        <v/>
      </c>
      <c r="F69" s="1569"/>
      <c r="G69" s="1569"/>
      <c r="H69" s="1569"/>
      <c r="I69" s="1569"/>
      <c r="J69" s="1569"/>
      <c r="K69" s="1569"/>
      <c r="L69" s="1569"/>
      <c r="M69" s="1642"/>
      <c r="N69" s="203" t="str">
        <f t="shared" si="16"/>
        <v/>
      </c>
      <c r="O69" s="12"/>
      <c r="P69" s="1638" t="str">
        <f t="shared" si="25"/>
        <v/>
      </c>
      <c r="Q69" s="1639"/>
      <c r="R69" s="1568" t="str">
        <f t="shared" si="30"/>
        <v/>
      </c>
      <c r="S69" s="1569"/>
      <c r="T69" s="1569"/>
      <c r="U69" s="1569"/>
      <c r="V69" s="1569"/>
      <c r="W69" s="1569"/>
      <c r="X69" s="1569"/>
      <c r="Y69" s="203" t="str">
        <f t="shared" si="26"/>
        <v/>
      </c>
      <c r="Z69" s="203" t="str">
        <f t="shared" si="27"/>
        <v/>
      </c>
      <c r="AA69" s="394" t="str">
        <f t="shared" si="28"/>
        <v/>
      </c>
      <c r="AB69" s="489"/>
      <c r="AC69" s="1564" t="str">
        <f t="shared" si="18"/>
        <v/>
      </c>
      <c r="AD69" s="1565"/>
      <c r="AE69" s="1565"/>
      <c r="AF69" s="1565"/>
      <c r="AG69" s="1565"/>
      <c r="AH69" s="1565"/>
      <c r="AK69">
        <f>SUMIFS(Installations!CV$46:CV$803,Installations!CW$46:CW$803,E69,Installations!IC$46:IC$803,TRUE)</f>
        <v>0</v>
      </c>
      <c r="AL69">
        <f>SUMIFS(Installations!CV$46:CV$803,Installations!CW$46:CW$803,R69,Installations!IC$46:IC$803,TRUE)</f>
        <v>0</v>
      </c>
      <c r="BL69" s="9"/>
      <c r="BM69" s="622" t="str">
        <f t="shared" si="19"/>
        <v/>
      </c>
      <c r="BN69" s="52"/>
      <c r="BO69" s="52"/>
      <c r="BP69" s="52"/>
      <c r="BQ69" s="52"/>
      <c r="BR69" s="52"/>
      <c r="BS69" s="52"/>
      <c r="BT69" s="52"/>
      <c r="BU69" s="373"/>
      <c r="BV69" s="219" t="str">
        <f>IF(CN69&lt;&gt;"Yes","",IFERROR(VLOOKUP(CU69,Existing!A$4:F$367,2,FALSE),""))</f>
        <v/>
      </c>
      <c r="BW69" s="9">
        <v>43</v>
      </c>
      <c r="BX69" s="1625"/>
      <c r="BY69" s="1626"/>
      <c r="BZ69" s="1626"/>
      <c r="CA69" s="1627"/>
      <c r="CB69" s="1622"/>
      <c r="CC69" s="1623"/>
      <c r="CD69" s="1623"/>
      <c r="CE69" s="1624"/>
      <c r="CF69" s="1621"/>
      <c r="CG69" s="1621"/>
      <c r="CH69" s="1621"/>
      <c r="CI69" s="1621"/>
      <c r="CJ69" s="1621"/>
      <c r="CK69" s="1621"/>
      <c r="CL69" s="1621"/>
      <c r="CM69" s="1621"/>
      <c r="CN69" s="1553" t="str">
        <f t="shared" si="31"/>
        <v/>
      </c>
      <c r="CO69" s="1554"/>
      <c r="CP69" s="229" t="str">
        <f>IFERROR(IF(CB69="Existing TLED",CR69*CW69*CY69,VLOOKUP(CU69,Existing!A$3:F$356,6,FALSE)),"")</f>
        <v/>
      </c>
      <c r="CQ69" s="9"/>
      <c r="CR69" s="1660"/>
      <c r="CS69" s="1661"/>
      <c r="CT69" s="9"/>
      <c r="CU69" s="425" t="str">
        <f t="shared" si="21"/>
        <v/>
      </c>
      <c r="CV69" s="426" t="b">
        <f t="shared" si="22"/>
        <v>0</v>
      </c>
      <c r="CW69" s="426" t="str">
        <f t="shared" si="23"/>
        <v/>
      </c>
      <c r="CX69" s="426">
        <f>IFERROR(VLOOKUP(CF69,Lookup!T$100:V$102,3,FALSE),0)</f>
        <v>0</v>
      </c>
      <c r="CY69" s="426">
        <f t="shared" si="8"/>
        <v>1.1100000000000001</v>
      </c>
      <c r="CZ69" s="626" t="b">
        <f t="shared" si="32"/>
        <v>0</v>
      </c>
      <c r="DA69" s="626" t="b">
        <f>IF(CF69&lt;&gt;"",IF(ISERROR(MATCH(CONCATENATE(CB69," - ",CF69),Existing!G$4:G$331,0))=TRUE,FALSE,TRUE),TRUE)</f>
        <v>1</v>
      </c>
      <c r="DB69" s="626" t="b">
        <f t="shared" si="33"/>
        <v>1</v>
      </c>
      <c r="DL69" s="9"/>
      <c r="DM69" s="627" t="s">
        <v>215</v>
      </c>
      <c r="DN69" s="375" t="str">
        <f t="shared" si="34"/>
        <v/>
      </c>
      <c r="DO69" s="52"/>
      <c r="DP69" s="52"/>
      <c r="DQ69" s="52"/>
      <c r="DR69" s="52"/>
      <c r="DS69" s="52"/>
      <c r="DT69" s="226"/>
      <c r="DU69" s="376"/>
      <c r="DV69" s="227" t="str">
        <f t="shared" si="35"/>
        <v/>
      </c>
      <c r="DW69" s="224">
        <v>43</v>
      </c>
      <c r="DX69" s="1572"/>
      <c r="DY69" s="1573"/>
      <c r="DZ69" s="1573"/>
      <c r="EA69" s="1574"/>
      <c r="EB69" s="1618"/>
      <c r="EC69" s="1619"/>
      <c r="ED69" s="1619"/>
      <c r="EE69" s="1620"/>
      <c r="EF69" s="1578"/>
      <c r="EG69" s="1579"/>
      <c r="EH69" s="1618"/>
      <c r="EI69" s="1619"/>
      <c r="EJ69" s="1619"/>
      <c r="EK69" s="1620"/>
      <c r="EL69" s="1575"/>
      <c r="EM69" s="1576"/>
      <c r="EN69" s="1576"/>
      <c r="EO69" s="1577"/>
      <c r="EP69" s="1578"/>
      <c r="EQ69" s="1579"/>
      <c r="ER69" s="1555"/>
      <c r="ES69" s="1556"/>
      <c r="ET69" s="1553" t="str">
        <f t="shared" si="9"/>
        <v/>
      </c>
      <c r="EU69" s="1554"/>
      <c r="EV69" s="1553" t="str">
        <f t="shared" si="29"/>
        <v/>
      </c>
      <c r="EW69" s="1554"/>
      <c r="EX69" s="393"/>
      <c r="EY69" s="225" t="str">
        <f t="shared" si="36"/>
        <v/>
      </c>
      <c r="EZ69" s="225" t="str">
        <f>IFERROR(VLOOKUP(EB69,Lookup!AT$3:AU$13,2,FALSE),"")</f>
        <v/>
      </c>
      <c r="FA69" s="426" t="b">
        <f>IFERROR(IF(VLOOKUP(EB69,Lookup!AT$6:AU$8,2,FALSE)&gt;3,TRUE,FALSE),FALSE)</f>
        <v>0</v>
      </c>
      <c r="FB69" s="426" t="str">
        <f t="shared" si="10"/>
        <v/>
      </c>
      <c r="FC69" t="str">
        <f t="shared" ca="1" si="11"/>
        <v/>
      </c>
      <c r="FG69" t="str">
        <f t="shared" ca="1" si="12"/>
        <v/>
      </c>
      <c r="FI69" s="204" t="str">
        <f t="shared" ca="1" si="24"/>
        <v/>
      </c>
      <c r="FK69" s="631" t="str">
        <f ca="1">IF(INDIRECT(CONCATENATE($FK$12,Fixtures!FK$25))="","",IF(INDIRECT(CONCATENATE($FK$12,Fixtures!FK$25))=Fixtures!$DN69,CONCATENATE(FK$10,", "),""))</f>
        <v/>
      </c>
      <c r="FL69" s="631" t="str">
        <f ca="1">IF(INDIRECT(CONCATENATE($FK$12,Fixtures!FL$25))="","",IF(INDIRECT(CONCATENATE($FK$12,Fixtures!FL$25))=Fixtures!$DN69,CONCATENATE(FL$10,", "),""))</f>
        <v/>
      </c>
      <c r="FM69" s="631" t="str">
        <f ca="1">IF(INDIRECT(CONCATENATE($FK$12,Fixtures!FM$25))="","",IF(INDIRECT(CONCATENATE($FK$12,Fixtures!FM$25))=Fixtures!$DN69,CONCATENATE(FM$10,", "),""))</f>
        <v/>
      </c>
      <c r="FN69" s="631" t="str">
        <f ca="1">IF(INDIRECT(CONCATENATE($FK$12,Fixtures!FN$25))="","",IF(INDIRECT(CONCATENATE($FK$12,Fixtures!FN$25))=Fixtures!$DN69,CONCATENATE(FN$10,", "),""))</f>
        <v/>
      </c>
      <c r="FO69" s="631" t="str">
        <f ca="1">IF(INDIRECT(CONCATENATE($FK$12,Fixtures!FO$25))="","",IF(INDIRECT(CONCATENATE($FK$12,Fixtures!FO$25))=Fixtures!$DN69,CONCATENATE(FO$10,", "),""))</f>
        <v/>
      </c>
      <c r="FP69" s="631" t="str">
        <f ca="1">IF(INDIRECT(CONCATENATE($FK$12,Fixtures!FP$25))="","",IF(INDIRECT(CONCATENATE($FK$12,Fixtures!FP$25))=Fixtures!$DN69,CONCATENATE(FP$10,", "),""))</f>
        <v/>
      </c>
      <c r="FQ69" s="631" t="str">
        <f ca="1">IF(INDIRECT(CONCATENATE($FK$12,Fixtures!FQ$25))="","",IF(INDIRECT(CONCATENATE($FK$12,Fixtures!FQ$25))=Fixtures!$DN69,CONCATENATE(FQ$10,", "),""))</f>
        <v/>
      </c>
      <c r="FR69" s="631" t="str">
        <f ca="1">IF(INDIRECT(CONCATENATE($FK$12,Fixtures!FR$25))="","",IF(INDIRECT(CONCATENATE($FK$12,Fixtures!FR$25))=Fixtures!$DN69,CONCATENATE(FR$10,", "),""))</f>
        <v/>
      </c>
      <c r="FS69" s="631" t="str">
        <f ca="1">IF(INDIRECT(CONCATENATE($FK$12,Fixtures!FS$25))="","",IF(INDIRECT(CONCATENATE($FK$12,Fixtures!FS$25))=Fixtures!$DN69,CONCATENATE(FS$10,", "),""))</f>
        <v/>
      </c>
      <c r="FT69" s="604" t="str">
        <f ca="1">IF(INDIRECT(CONCATENATE($FK$12,Fixtures!FT$25))="","",IF(INDIRECT(CONCATENATE($FK$12,Fixtures!FT$25))=Fixtures!$DN69,CONCATENATE(FT$10,", "),""))</f>
        <v/>
      </c>
      <c r="FU69" s="605" t="str">
        <f ca="1">IF(INDIRECT(CONCATENATE($FK$12,Fixtures!FU$25))="","",IF(INDIRECT(CONCATENATE($FK$12,Fixtures!FU$25))=Fixtures!$DN69,CONCATENATE(FU$10,", "),""))</f>
        <v/>
      </c>
      <c r="FV69" s="631" t="str">
        <f ca="1">IF(INDIRECT(CONCATENATE($FK$12,Fixtures!FV$25))="","",IF(INDIRECT(CONCATENATE($FK$12,Fixtures!FV$25))=Fixtures!$DN69,CONCATENATE(FV$10,", "),""))</f>
        <v/>
      </c>
      <c r="FW69" s="632" t="str">
        <f ca="1">IF(INDIRECT(CONCATENATE($FK$12,Fixtures!FW$25))="","",IF(INDIRECT(CONCATENATE($FK$12,Fixtures!FW$25))=Fixtures!$DN69,CONCATENATE(FW$10,", "),""))</f>
        <v/>
      </c>
      <c r="FX69" s="632" t="str">
        <f ca="1">IF(INDIRECT(CONCATENATE($FK$12,Fixtures!FX$25))="","",IF(INDIRECT(CONCATENATE($FK$12,Fixtures!FX$25))=Fixtures!$DN69,CONCATENATE(FX$10,", "),""))</f>
        <v/>
      </c>
      <c r="FY69" s="632" t="str">
        <f ca="1">IF(INDIRECT(CONCATENATE($FK$12,Fixtures!FY$25))="","",IF(INDIRECT(CONCATENATE($FK$12,Fixtures!FY$25))=Fixtures!$DN69,CONCATENATE(FY$10,", "),""))</f>
        <v/>
      </c>
      <c r="FZ69" s="632" t="str">
        <f ca="1">IF(INDIRECT(CONCATENATE($FK$12,Fixtures!FZ$25))="","",IF(INDIRECT(CONCATENATE($FK$12,Fixtures!FZ$25))=Fixtures!$DN69,CONCATENATE(FZ$10,", "),""))</f>
        <v/>
      </c>
      <c r="GA69" s="632" t="str">
        <f ca="1">IF(INDIRECT(CONCATENATE($FK$12,Fixtures!GA$25))="","",IF(INDIRECT(CONCATENATE($FK$12,Fixtures!GA$25))=Fixtures!$DN69,CONCATENATE(GA$10,", "),""))</f>
        <v/>
      </c>
      <c r="GB69" s="632" t="str">
        <f ca="1">IF(INDIRECT(CONCATENATE($FK$12,Fixtures!GB$25))="","",IF(INDIRECT(CONCATENATE($FK$12,Fixtures!GB$25))=Fixtures!$DN69,CONCATENATE(GB$10,", "),""))</f>
        <v/>
      </c>
      <c r="GC69" s="632" t="str">
        <f ca="1">IF(INDIRECT(CONCATENATE($FK$12,Fixtures!GC$25))="","",IF(INDIRECT(CONCATENATE($FK$12,Fixtures!GC$25))=Fixtures!$DN69,CONCATENATE(GC$10,", "),""))</f>
        <v/>
      </c>
      <c r="GD69" s="632" t="str">
        <f ca="1">IF(INDIRECT(CONCATENATE($FK$12,Fixtures!GD$25))="","",IF(INDIRECT(CONCATENATE($FK$12,Fixtures!GD$25))=Fixtures!$DN69,CONCATENATE(GD$10,", "),""))</f>
        <v/>
      </c>
      <c r="GE69" s="632" t="str">
        <f ca="1">IF(INDIRECT(CONCATENATE($FK$12,Fixtures!GE$25))="","",IF(INDIRECT(CONCATENATE($FK$12,Fixtures!GE$25))=Fixtures!$DN69,CONCATENATE(GE$10,", "),""))</f>
        <v/>
      </c>
      <c r="GF69" s="632" t="str">
        <f ca="1">IF(INDIRECT(CONCATENATE($FK$12,Fixtures!GF$25))="","",IF(INDIRECT(CONCATENATE($FK$12,Fixtures!GF$25))=Fixtures!$DN69,CONCATENATE(GF$10,", "),""))</f>
        <v/>
      </c>
      <c r="GG69" s="632" t="str">
        <f ca="1">IF(INDIRECT(CONCATENATE($FK$12,Fixtures!GG$25))="","",IF(INDIRECT(CONCATENATE($FK$12,Fixtures!GG$25))=Fixtures!$DN69,CONCATENATE(GG$10,", "),""))</f>
        <v/>
      </c>
      <c r="GH69" s="632" t="str">
        <f ca="1">IF(INDIRECT(CONCATENATE($FK$12,Fixtures!GH$25))="","",IF(INDIRECT(CONCATENATE($FK$12,Fixtures!GH$25))=Fixtures!$DN69,CONCATENATE(GH$10,", "),""))</f>
        <v/>
      </c>
      <c r="GI69" s="606" t="str">
        <f ca="1">IF(INDIRECT(CONCATENATE($FK$12,Fixtures!GI$25))="","",IF(INDIRECT(CONCATENATE($FK$12,Fixtures!GI$25))=Fixtures!$DN69,CONCATENATE(GI$10,", "),""))</f>
        <v/>
      </c>
      <c r="GJ69" s="607" t="str">
        <f ca="1">IF(INDIRECT(CONCATENATE($FK$12,Fixtures!GJ$25))="","",IF(INDIRECT(CONCATENATE($FK$12,Fixtures!GJ$25))=Fixtures!$DN69,CONCATENATE(GJ$10,", "),""))</f>
        <v/>
      </c>
      <c r="GK69" s="632" t="str">
        <f ca="1">IF(INDIRECT(CONCATENATE($FK$12,Fixtures!GK$25))="","",IF(INDIRECT(CONCATENATE($FK$12,Fixtures!GK$25))=Fixtures!$DN69,CONCATENATE(GK$10,", "),""))</f>
        <v/>
      </c>
      <c r="GL69" s="632" t="str">
        <f ca="1">IF(INDIRECT(CONCATENATE($FK$12,Fixtures!GL$25))="","",IF(INDIRECT(CONCATENATE($FK$12,Fixtures!GL$25))=Fixtures!$DN69,CONCATENATE(GL$10,", "),""))</f>
        <v/>
      </c>
      <c r="GM69" s="632" t="str">
        <f ca="1">IF(INDIRECT(CONCATENATE($FK$12,Fixtures!GM$25))="","",IF(INDIRECT(CONCATENATE($FK$12,Fixtures!GM$25))=Fixtures!$DN69,CONCATENATE(GM$10,", "),""))</f>
        <v/>
      </c>
      <c r="GN69" s="632" t="str">
        <f ca="1">IF(INDIRECT(CONCATENATE($FK$12,Fixtures!GN$25))="","",IF(INDIRECT(CONCATENATE($FK$12,Fixtures!GN$25))=Fixtures!$DN69,CONCATENATE(GN$10,", "),""))</f>
        <v/>
      </c>
      <c r="GO69" s="632" t="str">
        <f ca="1">IF(INDIRECT(CONCATENATE($FK$12,Fixtures!GO$25))="","",IF(INDIRECT(CONCATENATE($FK$12,Fixtures!GO$25))=Fixtures!$DN69,CONCATENATE(GO$10,", "),""))</f>
        <v/>
      </c>
      <c r="GP69" s="632" t="str">
        <f ca="1">IF(INDIRECT(CONCATENATE($FK$12,Fixtures!GP$25))="","",IF(INDIRECT(CONCATENATE($FK$12,Fixtures!GP$25))=Fixtures!$DN69,CONCATENATE(GP$10,", "),""))</f>
        <v/>
      </c>
      <c r="GQ69" s="632" t="str">
        <f ca="1">IF(INDIRECT(CONCATENATE($FK$12,Fixtures!GQ$25))="","",IF(INDIRECT(CONCATENATE($FK$12,Fixtures!GQ$25))=Fixtures!$DN69,CONCATENATE(GQ$10,", "),""))</f>
        <v/>
      </c>
      <c r="GR69" s="632" t="str">
        <f ca="1">IF(INDIRECT(CONCATENATE($FK$12,Fixtures!GR$25))="","",IF(INDIRECT(CONCATENATE($FK$12,Fixtures!GR$25))=Fixtures!$DN69,CONCATENATE(GR$10,", "),""))</f>
        <v/>
      </c>
      <c r="GS69" s="632" t="str">
        <f ca="1">IF(INDIRECT(CONCATENATE($FK$12,Fixtures!GS$25))="","",IF(INDIRECT(CONCATENATE($FK$12,Fixtures!GS$25))=Fixtures!$DN69,CONCATENATE(GS$10,", "),""))</f>
        <v/>
      </c>
      <c r="GT69" s="632" t="str">
        <f ca="1">IF(INDIRECT(CONCATENATE($FK$12,Fixtures!GT$25))="","",IF(INDIRECT(CONCATENATE($FK$12,Fixtures!GT$25))=Fixtures!$DN69,CONCATENATE(GT$10,", "),""))</f>
        <v/>
      </c>
      <c r="GU69" s="632" t="str">
        <f ca="1">IF(INDIRECT(CONCATENATE($FK$12,Fixtures!GU$25))="","",IF(INDIRECT(CONCATENATE($FK$12,Fixtures!GU$25))=Fixtures!$DN69,CONCATENATE(GU$10,", "),""))</f>
        <v/>
      </c>
      <c r="GV69" s="632" t="str">
        <f ca="1">IF(INDIRECT(CONCATENATE($FK$12,Fixtures!GV$25))="","",IF(INDIRECT(CONCATENATE($FK$12,Fixtures!GV$25))=Fixtures!$DN69,CONCATENATE(GV$10,", "),""))</f>
        <v/>
      </c>
      <c r="GW69" s="632" t="str">
        <f ca="1">IF(INDIRECT(CONCATENATE($FK$12,Fixtures!GW$25))="","",IF(INDIRECT(CONCATENATE($FK$12,Fixtures!GW$25))=Fixtures!$DN69,CONCATENATE(GW$10,", "),""))</f>
        <v/>
      </c>
      <c r="GX69" s="606" t="str">
        <f ca="1">IF(INDIRECT(CONCATENATE($FK$12,Fixtures!GX$25))="","",IF(INDIRECT(CONCATENATE($FK$12,Fixtures!GX$25))=Fixtures!$DN69,CONCATENATE(GX$10,", "),""))</f>
        <v/>
      </c>
      <c r="GY69" s="607" t="str">
        <f ca="1">IF(INDIRECT(CONCATENATE($FK$12,Fixtures!GY$25))="","",IF(INDIRECT(CONCATENATE($FK$12,Fixtures!GY$25))=Fixtures!$DN69,CONCATENATE(GY$10,", "),""))</f>
        <v/>
      </c>
      <c r="GZ69" s="632" t="str">
        <f ca="1">IF(INDIRECT(CONCATENATE($FK$12,Fixtures!GZ$25))="","",IF(INDIRECT(CONCATENATE($FK$12,Fixtures!GZ$25))=Fixtures!$DN69,CONCATENATE(GZ$10,", "),""))</f>
        <v/>
      </c>
      <c r="HA69" s="632" t="str">
        <f ca="1">IF(INDIRECT(CONCATENATE($FK$12,Fixtures!HA$25))="","",IF(INDIRECT(CONCATENATE($FK$12,Fixtures!HA$25))=Fixtures!$DN69,CONCATENATE(HA$10,", "),""))</f>
        <v/>
      </c>
      <c r="HB69" s="632" t="str">
        <f ca="1">IF(INDIRECT(CONCATENATE($FK$12,Fixtures!HB$25))="","",IF(INDIRECT(CONCATENATE($FK$12,Fixtures!HB$25))=Fixtures!$DN69,CONCATENATE(HB$10,", "),""))</f>
        <v/>
      </c>
      <c r="HC69" s="632" t="str">
        <f ca="1">IF(INDIRECT(CONCATENATE($FK$12,Fixtures!HC$25))="","",IF(INDIRECT(CONCATENATE($FK$12,Fixtures!HC$25))=Fixtures!$DN69,CONCATENATE(HC$10,", "),""))</f>
        <v/>
      </c>
      <c r="HD69" s="632" t="str">
        <f ca="1">IF(INDIRECT(CONCATENATE($FK$12,Fixtures!HD$25))="","",IF(INDIRECT(CONCATENATE($FK$12,Fixtures!HD$25))=Fixtures!$DN69,CONCATENATE(HD$10,", "),""))</f>
        <v/>
      </c>
      <c r="HE69" s="632" t="str">
        <f ca="1">IF(INDIRECT(CONCATENATE($FK$12,Fixtures!HE$25))="","",IF(INDIRECT(CONCATENATE($FK$12,Fixtures!HE$25))=Fixtures!$DN69,CONCATENATE(HE$10,", "),""))</f>
        <v/>
      </c>
      <c r="HF69" s="632" t="str">
        <f ca="1">IF(INDIRECT(CONCATENATE($FK$12,Fixtures!HF$25))="","",IF(INDIRECT(CONCATENATE($FK$12,Fixtures!HF$25))=Fixtures!$DN69,CONCATENATE(HF$10,", "),""))</f>
        <v/>
      </c>
      <c r="HG69" s="632" t="str">
        <f ca="1">IF(INDIRECT(CONCATENATE($FK$12,Fixtures!HG$25))="","",IF(INDIRECT(CONCATENATE($FK$12,Fixtures!HG$25))=Fixtures!$DN69,CONCATENATE(HG$10,", "),""))</f>
        <v/>
      </c>
      <c r="HH69" s="632" t="str">
        <f ca="1">IF(INDIRECT(CONCATENATE($FK$12,Fixtures!HH$25))="","",IF(INDIRECT(CONCATENATE($FK$12,Fixtures!HH$25))=Fixtures!$DN69,CONCATENATE(HH$10,", "),""))</f>
        <v/>
      </c>
      <c r="HI69" s="632" t="str">
        <f ca="1">IF(INDIRECT(CONCATENATE($FK$12,Fixtures!HI$25))="","",IF(INDIRECT(CONCATENATE($FK$12,Fixtures!HI$25))=Fixtures!$DN69,CONCATENATE(HI$10,", "),""))</f>
        <v/>
      </c>
      <c r="HJ69" s="632" t="str">
        <f ca="1">IF(INDIRECT(CONCATENATE($FK$12,Fixtures!HJ$25))="","",IF(INDIRECT(CONCATENATE($FK$12,Fixtures!HJ$25))=Fixtures!$DN69,CONCATENATE(HJ$10,", "),""))</f>
        <v/>
      </c>
      <c r="HK69" s="632" t="str">
        <f ca="1">IF(INDIRECT(CONCATENATE($FK$12,Fixtures!HK$25))="","",IF(INDIRECT(CONCATENATE($FK$12,Fixtures!HK$25))=Fixtures!$DN69,CONCATENATE(HK$10,", "),""))</f>
        <v/>
      </c>
      <c r="HL69" s="632" t="str">
        <f ca="1">IF(INDIRECT(CONCATENATE($FK$12,Fixtures!HL$25))="","",IF(INDIRECT(CONCATENATE($FK$12,Fixtures!HL$25))=Fixtures!$DN69,CONCATENATE(HL$10,", "),""))</f>
        <v/>
      </c>
      <c r="HM69" s="606" t="str">
        <f ca="1">IF(INDIRECT(CONCATENATE($FK$12,Fixtures!HM$25))="","",IF(INDIRECT(CONCATENATE($FK$12,Fixtures!HM$25))=Fixtures!$DN69,CONCATENATE(HM$10,", "),""))</f>
        <v/>
      </c>
      <c r="HN69" s="607" t="str">
        <f ca="1">IF(INDIRECT(CONCATENATE($FK$12,Fixtures!HN$25))="","",IF(INDIRECT(CONCATENATE($FK$12,Fixtures!HN$25))=Fixtures!$DN69,CONCATENATE(HN$10,", "),""))</f>
        <v/>
      </c>
      <c r="HO69" s="632" t="str">
        <f ca="1">IF(INDIRECT(CONCATENATE($FK$12,Fixtures!HO$25))="","",IF(INDIRECT(CONCATENATE($FK$12,Fixtures!HO$25))=Fixtures!$DN69,CONCATENATE(HO$10,", "),""))</f>
        <v/>
      </c>
      <c r="HP69" s="632" t="str">
        <f ca="1">IF(INDIRECT(CONCATENATE($FK$12,Fixtures!HP$25))="","",IF(INDIRECT(CONCATENATE($FK$12,Fixtures!HP$25))=Fixtures!$DN69,CONCATENATE(HP$10,", "),""))</f>
        <v/>
      </c>
      <c r="HQ69" s="632" t="str">
        <f ca="1">IF(INDIRECT(CONCATENATE($FK$12,Fixtures!HQ$25))="","",IF(INDIRECT(CONCATENATE($FK$12,Fixtures!HQ$25))=Fixtures!$DN69,CONCATENATE(HQ$10,", "),""))</f>
        <v/>
      </c>
      <c r="HR69" s="632" t="str">
        <f ca="1">IF(INDIRECT(CONCATENATE($FK$12,Fixtures!HR$25))="","",IF(INDIRECT(CONCATENATE($FK$12,Fixtures!HR$25))=Fixtures!$DN69,CONCATENATE(HR$10,", "),""))</f>
        <v/>
      </c>
      <c r="HS69" s="632" t="str">
        <f ca="1">IF(INDIRECT(CONCATENATE($FK$12,Fixtures!HS$25))="","",IF(INDIRECT(CONCATENATE($FK$12,Fixtures!HS$25))=Fixtures!$DN69,CONCATENATE(HS$10,", "),""))</f>
        <v/>
      </c>
      <c r="HT69" s="632" t="str">
        <f ca="1">IF(INDIRECT(CONCATENATE($FK$12,Fixtures!HT$25))="","",IF(INDIRECT(CONCATENATE($FK$12,Fixtures!HT$25))=Fixtures!$DN69,CONCATENATE(HT$10,", "),""))</f>
        <v/>
      </c>
      <c r="HU69" s="632" t="str">
        <f ca="1">IF(INDIRECT(CONCATENATE($FK$12,Fixtures!HU$25))="","",IF(INDIRECT(CONCATENATE($FK$12,Fixtures!HU$25))=Fixtures!$DN69,CONCATENATE(HU$10,", "),""))</f>
        <v/>
      </c>
      <c r="HV69" s="632" t="str">
        <f ca="1">IF(INDIRECT(CONCATENATE($FK$12,Fixtures!HV$25))="","",IF(INDIRECT(CONCATENATE($FK$12,Fixtures!HV$25))=Fixtures!$DN69,CONCATENATE(HV$10,", "),""))</f>
        <v/>
      </c>
      <c r="HW69" s="632" t="str">
        <f ca="1">IF(INDIRECT(CONCATENATE($FK$12,Fixtures!HW$25))="","",IF(INDIRECT(CONCATENATE($FK$12,Fixtures!HW$25))=Fixtures!$DN69,CONCATENATE(HW$10,", "),""))</f>
        <v/>
      </c>
      <c r="HX69" s="632" t="str">
        <f ca="1">IF(INDIRECT(CONCATENATE($FK$12,Fixtures!HX$25))="","",IF(INDIRECT(CONCATENATE($FK$12,Fixtures!HX$25))=Fixtures!$DN69,CONCATENATE(HX$10,", "),""))</f>
        <v/>
      </c>
      <c r="HY69" s="632" t="str">
        <f ca="1">IF(INDIRECT(CONCATENATE($FK$12,Fixtures!HY$25))="","",IF(INDIRECT(CONCATENATE($FK$12,Fixtures!HY$25))=Fixtures!$DN69,CONCATENATE(HY$10,", "),""))</f>
        <v/>
      </c>
      <c r="HZ69" s="632" t="str">
        <f ca="1">IF(INDIRECT(CONCATENATE($FK$12,Fixtures!HZ$25))="","",IF(INDIRECT(CONCATENATE($FK$12,Fixtures!HZ$25))=Fixtures!$DN69,CONCATENATE(HZ$10,", "),""))</f>
        <v/>
      </c>
      <c r="IA69" s="632" t="str">
        <f ca="1">IF(INDIRECT(CONCATENATE($FK$12,Fixtures!IA$25))="","",IF(INDIRECT(CONCATENATE($FK$12,Fixtures!IA$25))=Fixtures!$DN69,CONCATENATE(IA$10,", "),""))</f>
        <v/>
      </c>
      <c r="IB69" s="606" t="str">
        <f ca="1">IF(INDIRECT(CONCATENATE($FK$12,Fixtures!IB$25))="","",IF(INDIRECT(CONCATENATE($FK$12,Fixtures!IB$25))=Fixtures!$DN69,CONCATENATE(IB$10,", "),""))</f>
        <v/>
      </c>
      <c r="IC69" s="607" t="str">
        <f ca="1">IF(INDIRECT(CONCATENATE($FK$12,Fixtures!IC$25))="","",IF(INDIRECT(CONCATENATE($FK$12,Fixtures!IC$25))=Fixtures!$DN69,CONCATENATE(IC$10,", "),""))</f>
        <v/>
      </c>
      <c r="ID69" s="632" t="str">
        <f ca="1">IF(INDIRECT(CONCATENATE($FK$12,Fixtures!ID$25))="","",IF(INDIRECT(CONCATENATE($FK$12,Fixtures!ID$25))=Fixtures!$DN69,CONCATENATE(ID$10,", "),""))</f>
        <v/>
      </c>
      <c r="IE69" s="632" t="str">
        <f ca="1">IF(INDIRECT(CONCATENATE($FK$12,Fixtures!IE$25))="","",IF(INDIRECT(CONCATENATE($FK$12,Fixtures!IE$25))=Fixtures!$DN69,CONCATENATE(IE$10,", "),""))</f>
        <v/>
      </c>
      <c r="IF69" s="632" t="str">
        <f ca="1">IF(INDIRECT(CONCATENATE($FK$12,Fixtures!IF$25))="","",IF(INDIRECT(CONCATENATE($FK$12,Fixtures!IF$25))=Fixtures!$DN69,CONCATENATE(IF$10,", "),""))</f>
        <v/>
      </c>
      <c r="IG69" s="632" t="str">
        <f ca="1">IF(INDIRECT(CONCATENATE($FK$12,Fixtures!IG$25))="","",IF(INDIRECT(CONCATENATE($FK$12,Fixtures!IG$25))=Fixtures!$DN69,CONCATENATE(IG$10,", "),""))</f>
        <v/>
      </c>
      <c r="IH69" s="632" t="str">
        <f ca="1">IF(INDIRECT(CONCATENATE($FK$12,Fixtures!IH$25))="","",IF(INDIRECT(CONCATENATE($FK$12,Fixtures!IH$25))=Fixtures!$DN69,CONCATENATE(IH$10,", "),""))</f>
        <v/>
      </c>
      <c r="II69" s="632" t="str">
        <f ca="1">IF(INDIRECT(CONCATENATE($FK$12,Fixtures!II$25))="","",IF(INDIRECT(CONCATENATE($FK$12,Fixtures!II$25))=Fixtures!$DN69,CONCATENATE(II$10,", "),""))</f>
        <v/>
      </c>
      <c r="IJ69" s="632" t="str">
        <f ca="1">IF(INDIRECT(CONCATENATE($FK$12,Fixtures!IJ$25))="","",IF(INDIRECT(CONCATENATE($FK$12,Fixtures!IJ$25))=Fixtures!$DN69,CONCATENATE(IJ$10,", "),""))</f>
        <v/>
      </c>
      <c r="IK69" s="632" t="str">
        <f ca="1">IF(INDIRECT(CONCATENATE($FK$12,Fixtures!IK$25))="","",IF(INDIRECT(CONCATENATE($FK$12,Fixtures!IK$25))=Fixtures!$DN69,CONCATENATE(IK$10,", "),""))</f>
        <v/>
      </c>
      <c r="IL69" s="632" t="str">
        <f ca="1">IF(INDIRECT(CONCATENATE($FK$12,Fixtures!IL$25))="","",IF(INDIRECT(CONCATENATE($FK$12,Fixtures!IL$25))=Fixtures!$DN69,CONCATENATE(IL$10,", "),""))</f>
        <v/>
      </c>
      <c r="IM69" s="632" t="str">
        <f ca="1">IF(INDIRECT(CONCATENATE($FK$12,Fixtures!IM$25))="","",IF(INDIRECT(CONCATENATE($FK$12,Fixtures!IM$25))=Fixtures!$DN69,CONCATENATE(IM$10,", "),""))</f>
        <v/>
      </c>
      <c r="IN69" s="632" t="str">
        <f ca="1">IF(INDIRECT(CONCATENATE($FK$12,Fixtures!IN$25))="","",IF(INDIRECT(CONCATENATE($FK$12,Fixtures!IN$25))=Fixtures!$DN69,CONCATENATE(IN$10,", "),""))</f>
        <v/>
      </c>
      <c r="IO69" s="632" t="str">
        <f ca="1">IF(INDIRECT(CONCATENATE($FK$12,Fixtures!IO$25))="","",IF(INDIRECT(CONCATENATE($FK$12,Fixtures!IO$25))=Fixtures!$DN69,CONCATENATE(IO$10,", "),""))</f>
        <v/>
      </c>
      <c r="IP69" s="632" t="str">
        <f ca="1">IF(INDIRECT(CONCATENATE($FK$12,Fixtures!IP$25))="","",IF(INDIRECT(CONCATENATE($FK$12,Fixtures!IP$25))=Fixtures!$DN69,CONCATENATE(IP$10,", "),""))</f>
        <v/>
      </c>
      <c r="IQ69" s="606" t="str">
        <f ca="1">IF(INDIRECT(CONCATENATE($FK$12,Fixtures!IQ$25))="","",IF(INDIRECT(CONCATENATE($FK$12,Fixtures!IQ$25))=Fixtures!$DN69,CONCATENATE(IQ$10,", "),""))</f>
        <v/>
      </c>
      <c r="IR69" s="607" t="str">
        <f ca="1">IF(INDIRECT(CONCATENATE($FK$12,Fixtures!IR$25))="","",IF(INDIRECT(CONCATENATE($FK$12,Fixtures!IR$25))=Fixtures!$DN69,CONCATENATE(IR$10,", "),""))</f>
        <v/>
      </c>
      <c r="IS69" s="632" t="str">
        <f ca="1">IF(INDIRECT(CONCATENATE($FK$12,Fixtures!IS$25))="","",IF(INDIRECT(CONCATENATE($FK$12,Fixtures!IS$25))=Fixtures!$DN69,CONCATENATE(IS$10,", "),""))</f>
        <v/>
      </c>
      <c r="IT69" s="632" t="str">
        <f ca="1">IF(INDIRECT(CONCATENATE($FK$12,Fixtures!IT$25))="","",IF(INDIRECT(CONCATENATE($FK$12,Fixtures!IT$25))=Fixtures!$DN69,CONCATENATE(IT$10,", "),""))</f>
        <v/>
      </c>
      <c r="IU69" s="632" t="str">
        <f ca="1">IF(INDIRECT(CONCATENATE($FK$12,Fixtures!IU$25))="","",IF(INDIRECT(CONCATENATE($FK$12,Fixtures!IU$25))=Fixtures!$DN69,CONCATENATE(IU$10,", "),""))</f>
        <v/>
      </c>
      <c r="IV69" s="632" t="str">
        <f ca="1">IF(INDIRECT(CONCATENATE($FK$12,Fixtures!IV$25))="","",IF(INDIRECT(CONCATENATE($FK$12,Fixtures!IV$25))=Fixtures!$DN69,CONCATENATE(IV$10,", "),""))</f>
        <v/>
      </c>
      <c r="IW69" s="632" t="str">
        <f ca="1">IF(INDIRECT(CONCATENATE($FK$12,Fixtures!IW$25))="","",IF(INDIRECT(CONCATENATE($FK$12,Fixtures!IW$25))=Fixtures!$DN69,CONCATENATE(IW$10,", "),""))</f>
        <v/>
      </c>
      <c r="IX69" s="632" t="str">
        <f ca="1">IF(INDIRECT(CONCATENATE($FK$12,Fixtures!IX$25))="","",IF(INDIRECT(CONCATENATE($FK$12,Fixtures!IX$25))=Fixtures!$DN69,CONCATENATE(IX$10,", "),""))</f>
        <v/>
      </c>
      <c r="IY69" s="632" t="str">
        <f ca="1">IF(INDIRECT(CONCATENATE($FK$12,Fixtures!IY$25))="","",IF(INDIRECT(CONCATENATE($FK$12,Fixtures!IY$25))=Fixtures!$DN69,CONCATENATE(IY$10,", "),""))</f>
        <v/>
      </c>
      <c r="IZ69" s="632" t="str">
        <f ca="1">IF(INDIRECT(CONCATENATE($FK$12,Fixtures!IZ$25))="","",IF(INDIRECT(CONCATENATE($FK$12,Fixtures!IZ$25))=Fixtures!$DN69,CONCATENATE(IZ$10,", "),""))</f>
        <v/>
      </c>
      <c r="JA69" s="632" t="str">
        <f ca="1">IF(INDIRECT(CONCATENATE($FK$12,Fixtures!JA$25))="","",IF(INDIRECT(CONCATENATE($FK$12,Fixtures!JA$25))=Fixtures!$DN69,CONCATENATE(JA$10,", "),""))</f>
        <v/>
      </c>
      <c r="JB69" s="632" t="str">
        <f ca="1">IF(INDIRECT(CONCATENATE($FK$12,Fixtures!JB$25))="","",IF(INDIRECT(CONCATENATE($FK$12,Fixtures!JB$25))=Fixtures!$DN69,CONCATENATE(JB$10,", "),""))</f>
        <v/>
      </c>
      <c r="JC69" s="632" t="str">
        <f ca="1">IF(INDIRECT(CONCATENATE($FK$12,Fixtures!JC$25))="","",IF(INDIRECT(CONCATENATE($FK$12,Fixtures!JC$25))=Fixtures!$DN69,CONCATENATE(JC$10,", "),""))</f>
        <v/>
      </c>
      <c r="JD69" s="632" t="str">
        <f ca="1">IF(INDIRECT(CONCATENATE($FK$12,Fixtures!JD$25))="","",IF(INDIRECT(CONCATENATE($FK$12,Fixtures!JD$25))=Fixtures!$DN69,CONCATENATE(JD$10,", "),""))</f>
        <v/>
      </c>
      <c r="JE69" s="632" t="str">
        <f ca="1">IF(INDIRECT(CONCATENATE($FK$12,Fixtures!JE$25))="","",IF(INDIRECT(CONCATENATE($FK$12,Fixtures!JE$25))=Fixtures!$DN69,CONCATENATE(JE$10,", "),""))</f>
        <v/>
      </c>
      <c r="JF69" s="606" t="str">
        <f ca="1">IF(INDIRECT(CONCATENATE($FK$12,Fixtures!JF$25))="","",IF(INDIRECT(CONCATENATE($FK$12,Fixtures!JF$25))=Fixtures!$DN69,CONCATENATE(JF$10,", "),""))</f>
        <v/>
      </c>
      <c r="JG69" s="607" t="str">
        <f ca="1">IF(INDIRECT(CONCATENATE($FK$12,Fixtures!JG$25))="","",IF(INDIRECT(CONCATENATE($FK$12,Fixtures!JG$25))=Fixtures!$DN69,CONCATENATE(JG$10,", "),""))</f>
        <v/>
      </c>
      <c r="JH69" s="632" t="str">
        <f ca="1">IF(INDIRECT(CONCATENATE($FK$12,Fixtures!JH$25))="","",IF(INDIRECT(CONCATENATE($FK$12,Fixtures!JH$25))=Fixtures!$DN69,CONCATENATE(JH$10,", "),""))</f>
        <v/>
      </c>
      <c r="JI69" s="632" t="str">
        <f ca="1">IF(INDIRECT(CONCATENATE($FK$12,Fixtures!JI$25))="","",IF(INDIRECT(CONCATENATE($FK$12,Fixtures!JI$25))=Fixtures!$DN69,CONCATENATE(JI$10,", "),""))</f>
        <v/>
      </c>
      <c r="JJ69" s="632" t="str">
        <f ca="1">IF(INDIRECT(CONCATENATE($FK$12,Fixtures!JJ$25))="","",IF(INDIRECT(CONCATENATE($FK$12,Fixtures!JJ$25))=Fixtures!$DN69,CONCATENATE(JJ$10,", "),""))</f>
        <v/>
      </c>
      <c r="JK69" s="632" t="str">
        <f ca="1">IF(INDIRECT(CONCATENATE($FK$12,Fixtures!JK$25))="","",IF(INDIRECT(CONCATENATE($FK$12,Fixtures!JK$25))=Fixtures!$DN69,CONCATENATE(JK$10,", "),""))</f>
        <v/>
      </c>
      <c r="JL69" s="632" t="str">
        <f ca="1">IF(INDIRECT(CONCATENATE($FK$12,Fixtures!JL$25))="","",IF(INDIRECT(CONCATENATE($FK$12,Fixtures!JL$25))=Fixtures!$DN69,CONCATENATE(JL$10,", "),""))</f>
        <v/>
      </c>
      <c r="JM69" s="632" t="str">
        <f ca="1">IF(INDIRECT(CONCATENATE($FK$12,Fixtures!JM$25))="","",IF(INDIRECT(CONCATENATE($FK$12,Fixtures!JM$25))=Fixtures!$DN69,CONCATENATE(JM$10,", "),""))</f>
        <v/>
      </c>
      <c r="JN69" s="632" t="str">
        <f ca="1">IF(INDIRECT(CONCATENATE($FK$12,Fixtures!JN$25))="","",IF(INDIRECT(CONCATENATE($FK$12,Fixtures!JN$25))=Fixtures!$DN69,CONCATENATE(JN$10,", "),""))</f>
        <v/>
      </c>
      <c r="JO69" s="632" t="str">
        <f ca="1">IF(INDIRECT(CONCATENATE($FK$12,Fixtures!JO$25))="","",IF(INDIRECT(CONCATENATE($FK$12,Fixtures!JO$25))=Fixtures!$DN69,CONCATENATE(JO$10,", "),""))</f>
        <v/>
      </c>
      <c r="JP69" s="632" t="str">
        <f ca="1">IF(INDIRECT(CONCATENATE($FK$12,Fixtures!JP$25))="","",IF(INDIRECT(CONCATENATE($FK$12,Fixtures!JP$25))=Fixtures!$DN69,CONCATENATE(JP$10,", "),""))</f>
        <v/>
      </c>
      <c r="JQ69" s="632" t="str">
        <f ca="1">IF(INDIRECT(CONCATENATE($FK$12,Fixtures!JQ$25))="","",IF(INDIRECT(CONCATENATE($FK$12,Fixtures!JQ$25))=Fixtures!$DN69,CONCATENATE(JQ$10,", "),""))</f>
        <v/>
      </c>
      <c r="JR69" s="632" t="str">
        <f ca="1">IF(INDIRECT(CONCATENATE($FK$12,Fixtures!JR$25))="","",IF(INDIRECT(CONCATENATE($FK$12,Fixtures!JR$25))=Fixtures!$DN69,CONCATENATE(JR$10,", "),""))</f>
        <v/>
      </c>
      <c r="JS69" s="632" t="str">
        <f ca="1">IF(INDIRECT(CONCATENATE($FK$12,Fixtures!JS$25))="","",IF(INDIRECT(CONCATENATE($FK$12,Fixtures!JS$25))=Fixtures!$DN69,CONCATENATE(JS$10,", "),""))</f>
        <v/>
      </c>
      <c r="JT69" s="632" t="str">
        <f ca="1">IF(INDIRECT(CONCATENATE($FK$12,Fixtures!JT$25))="","",IF(INDIRECT(CONCATENATE($FK$12,Fixtures!JT$25))=Fixtures!$DN69,CONCATENATE(JT$10,", "),""))</f>
        <v/>
      </c>
      <c r="JU69" s="606" t="str">
        <f ca="1">IF(INDIRECT(CONCATENATE($FK$12,Fixtures!JU$25))="","",IF(INDIRECT(CONCATENATE($FK$12,Fixtures!JU$25))=Fixtures!$DN69,CONCATENATE(JU$10,", "),""))</f>
        <v/>
      </c>
      <c r="JV69" s="607" t="str">
        <f ca="1">IF(INDIRECT(CONCATENATE($FK$12,Fixtures!JV$25))="","",IF(INDIRECT(CONCATENATE($FK$12,Fixtures!JV$25))=Fixtures!$DN69,CONCATENATE(JV$10,", "),""))</f>
        <v/>
      </c>
      <c r="JW69" s="632" t="str">
        <f ca="1">IF(INDIRECT(CONCATENATE($FK$12,Fixtures!JW$25))="","",IF(INDIRECT(CONCATENATE($FK$12,Fixtures!JW$25))=Fixtures!$DN69,CONCATENATE(JW$10,", "),""))</f>
        <v/>
      </c>
      <c r="JX69" s="632" t="str">
        <f ca="1">IF(INDIRECT(CONCATENATE($FK$12,Fixtures!JX$25))="","",IF(INDIRECT(CONCATENATE($FK$12,Fixtures!JX$25))=Fixtures!$DN69,CONCATENATE(JX$10,", "),""))</f>
        <v/>
      </c>
      <c r="JY69" s="632" t="str">
        <f ca="1">IF(INDIRECT(CONCATENATE($FK$12,Fixtures!JY$25))="","",IF(INDIRECT(CONCATENATE($FK$12,Fixtures!JY$25))=Fixtures!$DN69,CONCATENATE(JY$10,", "),""))</f>
        <v/>
      </c>
      <c r="JZ69" s="632" t="str">
        <f ca="1">IF(INDIRECT(CONCATENATE($FK$12,Fixtures!JZ$25))="","",IF(INDIRECT(CONCATENATE($FK$12,Fixtures!JZ$25))=Fixtures!$DN69,CONCATENATE(JZ$10,", "),""))</f>
        <v/>
      </c>
      <c r="KA69" s="632" t="str">
        <f ca="1">IF(INDIRECT(CONCATENATE($FK$12,Fixtures!KA$25))="","",IF(INDIRECT(CONCATENATE($FK$12,Fixtures!KA$25))=Fixtures!$DN69,CONCATENATE(KA$10,", "),""))</f>
        <v/>
      </c>
      <c r="KB69" s="632" t="str">
        <f ca="1">IF(INDIRECT(CONCATENATE($FK$12,Fixtures!KB$25))="","",IF(INDIRECT(CONCATENATE($FK$12,Fixtures!KB$25))=Fixtures!$DN69,CONCATENATE(KB$10,", "),""))</f>
        <v/>
      </c>
      <c r="KC69" s="632" t="str">
        <f ca="1">IF(INDIRECT(CONCATENATE($FK$12,Fixtures!KC$25))="","",IF(INDIRECT(CONCATENATE($FK$12,Fixtures!KC$25))=Fixtures!$DN69,CONCATENATE(KC$10,", "),""))</f>
        <v/>
      </c>
      <c r="KD69" s="632" t="str">
        <f ca="1">IF(INDIRECT(CONCATENATE($FK$12,Fixtures!KD$25))="","",IF(INDIRECT(CONCATENATE($FK$12,Fixtures!KD$25))=Fixtures!$DN69,CONCATENATE(KD$10,", "),""))</f>
        <v/>
      </c>
      <c r="KE69" s="632" t="str">
        <f ca="1">IF(INDIRECT(CONCATENATE($FK$12,Fixtures!KE$25))="","",IF(INDIRECT(CONCATENATE($FK$12,Fixtures!KE$25))=Fixtures!$DN69,CONCATENATE(KE$10,", "),""))</f>
        <v/>
      </c>
      <c r="KF69" s="632" t="str">
        <f ca="1">IF(INDIRECT(CONCATENATE($FK$12,Fixtures!KF$25))="","",IF(INDIRECT(CONCATENATE($FK$12,Fixtures!KF$25))=Fixtures!$DN69,CONCATENATE(KF$10,", "),""))</f>
        <v/>
      </c>
      <c r="KG69" s="632" t="str">
        <f ca="1">IF(INDIRECT(CONCATENATE($FK$12,Fixtures!KG$25))="","",IF(INDIRECT(CONCATENATE($FK$12,Fixtures!KG$25))=Fixtures!$DN69,CONCATENATE(KG$10,", "),""))</f>
        <v/>
      </c>
      <c r="KH69" s="632" t="str">
        <f ca="1">IF(INDIRECT(CONCATENATE($FK$12,Fixtures!KH$25))="","",IF(INDIRECT(CONCATENATE($FK$12,Fixtures!KH$25))=Fixtures!$DN69,CONCATENATE(KH$10,", "),""))</f>
        <v/>
      </c>
      <c r="KI69" s="632" t="str">
        <f ca="1">IF(INDIRECT(CONCATENATE($FK$12,Fixtures!KI$25))="","",IF(INDIRECT(CONCATENATE($FK$12,Fixtures!KI$25))=Fixtures!$DN69,CONCATENATE(KI$10,", "),""))</f>
        <v/>
      </c>
      <c r="KJ69" s="606" t="str">
        <f ca="1">IF(INDIRECT(CONCATENATE($FK$12,Fixtures!KJ$25))="","",IF(INDIRECT(CONCATENATE($FK$12,Fixtures!KJ$25))=Fixtures!$DN69,CONCATENATE(KJ$10,", "),""))</f>
        <v/>
      </c>
      <c r="KK69" s="607" t="str">
        <f ca="1">IF(INDIRECT(CONCATENATE($FK$12,Fixtures!KK$25))="","",IF(INDIRECT(CONCATENATE($FK$12,Fixtures!KK$25))=Fixtures!$DN69,CONCATENATE(KK$10,", "),""))</f>
        <v/>
      </c>
      <c r="KL69" s="632" t="str">
        <f ca="1">IF(INDIRECT(CONCATENATE($FK$12,Fixtures!KL$25))="","",IF(INDIRECT(CONCATENATE($FK$12,Fixtures!KL$25))=Fixtures!$DN69,CONCATENATE(KL$10,", "),""))</f>
        <v/>
      </c>
      <c r="KM69" s="632" t="str">
        <f ca="1">IF(INDIRECT(CONCATENATE($FK$12,Fixtures!KM$25))="","",IF(INDIRECT(CONCATENATE($FK$12,Fixtures!KM$25))=Fixtures!$DN69,CONCATENATE(KM$10,", "),""))</f>
        <v/>
      </c>
      <c r="KN69" s="632" t="str">
        <f ca="1">IF(INDIRECT(CONCATENATE($FK$12,Fixtures!KN$25))="","",IF(INDIRECT(CONCATENATE($FK$12,Fixtures!KN$25))=Fixtures!$DN69,CONCATENATE(KN$10,", "),""))</f>
        <v/>
      </c>
      <c r="KO69" s="632" t="str">
        <f ca="1">IF(INDIRECT(CONCATENATE($FK$12,Fixtures!KO$25))="","",IF(INDIRECT(CONCATENATE($FK$12,Fixtures!KO$25))=Fixtures!$DN69,CONCATENATE(KO$10,", "),""))</f>
        <v/>
      </c>
      <c r="KP69" s="632" t="str">
        <f ca="1">IF(INDIRECT(CONCATENATE($FK$12,Fixtures!KP$25))="","",IF(INDIRECT(CONCATENATE($FK$12,Fixtures!KP$25))=Fixtures!$DN69,CONCATENATE(KP$10,", "),""))</f>
        <v/>
      </c>
      <c r="KQ69" s="632" t="str">
        <f ca="1">IF(INDIRECT(CONCATENATE($FK$12,Fixtures!KQ$25))="","",IF(INDIRECT(CONCATENATE($FK$12,Fixtures!KQ$25))=Fixtures!$DN69,CONCATENATE(KQ$10,", "),""))</f>
        <v/>
      </c>
      <c r="KR69" s="632" t="str">
        <f ca="1">IF(INDIRECT(CONCATENATE($FK$12,Fixtures!KR$25))="","",IF(INDIRECT(CONCATENATE($FK$12,Fixtures!KR$25))=Fixtures!$DN69,CONCATENATE(KR$10,", "),""))</f>
        <v/>
      </c>
      <c r="KS69" s="632" t="str">
        <f ca="1">IF(INDIRECT(CONCATENATE($FK$12,Fixtures!KS$25))="","",IF(INDIRECT(CONCATENATE($FK$12,Fixtures!KS$25))=Fixtures!$DN69,CONCATENATE(KS$10,", "),""))</f>
        <v/>
      </c>
      <c r="KT69" s="632" t="str">
        <f ca="1">IF(INDIRECT(CONCATENATE($FK$12,Fixtures!KT$25))="","",IF(INDIRECT(CONCATENATE($FK$12,Fixtures!KT$25))=Fixtures!$DN69,CONCATENATE(KT$10,", "),""))</f>
        <v/>
      </c>
      <c r="KU69" s="632" t="str">
        <f ca="1">IF(INDIRECT(CONCATENATE($FK$12,Fixtures!KU$25))="","",IF(INDIRECT(CONCATENATE($FK$12,Fixtures!KU$25))=Fixtures!$DN69,CONCATENATE(KU$10,", "),""))</f>
        <v/>
      </c>
      <c r="KV69" s="632" t="str">
        <f ca="1">IF(INDIRECT(CONCATENATE($FK$12,Fixtures!KV$25))="","",IF(INDIRECT(CONCATENATE($FK$12,Fixtures!KV$25))=Fixtures!$DN69,CONCATENATE(KV$10,", "),""))</f>
        <v/>
      </c>
      <c r="KW69" s="632" t="str">
        <f ca="1">IF(INDIRECT(CONCATENATE($FK$12,Fixtures!KW$25))="","",IF(INDIRECT(CONCATENATE($FK$12,Fixtures!KW$25))=Fixtures!$DN69,CONCATENATE(KW$10,", "),""))</f>
        <v/>
      </c>
      <c r="KX69" s="632" t="str">
        <f ca="1">IF(INDIRECT(CONCATENATE($FK$12,Fixtures!KX$25))="","",IF(INDIRECT(CONCATENATE($FK$12,Fixtures!KX$25))=Fixtures!$DN69,CONCATENATE(KX$10,", "),""))</f>
        <v/>
      </c>
      <c r="KY69" s="632"/>
      <c r="KZ69" s="542"/>
      <c r="LA69" s="46" t="str">
        <f t="shared" ca="1" si="37"/>
        <v/>
      </c>
      <c r="LB69" s="46"/>
      <c r="LC69" s="1010"/>
      <c r="LD69" s="1009" t="str">
        <f t="shared" si="20"/>
        <v/>
      </c>
    </row>
    <row r="70" spans="1:316" ht="28.2" customHeight="1" thickTop="1" thickBot="1">
      <c r="A70" s="426" t="str">
        <f t="shared" si="13"/>
        <v/>
      </c>
      <c r="C70" s="1640" t="str">
        <f t="shared" si="14"/>
        <v/>
      </c>
      <c r="D70" s="1641"/>
      <c r="E70" s="1568" t="str">
        <f t="shared" si="15"/>
        <v/>
      </c>
      <c r="F70" s="1569"/>
      <c r="G70" s="1569"/>
      <c r="H70" s="1569"/>
      <c r="I70" s="1569"/>
      <c r="J70" s="1569"/>
      <c r="K70" s="1569"/>
      <c r="L70" s="1569"/>
      <c r="M70" s="1642"/>
      <c r="N70" s="203" t="str">
        <f t="shared" si="16"/>
        <v/>
      </c>
      <c r="O70" s="12"/>
      <c r="P70" s="1638" t="str">
        <f t="shared" si="25"/>
        <v/>
      </c>
      <c r="Q70" s="1639"/>
      <c r="R70" s="1568" t="str">
        <f t="shared" si="30"/>
        <v/>
      </c>
      <c r="S70" s="1569"/>
      <c r="T70" s="1569"/>
      <c r="U70" s="1569"/>
      <c r="V70" s="1569"/>
      <c r="W70" s="1569"/>
      <c r="X70" s="1569"/>
      <c r="Y70" s="203" t="str">
        <f t="shared" si="26"/>
        <v/>
      </c>
      <c r="Z70" s="203" t="str">
        <f t="shared" si="27"/>
        <v/>
      </c>
      <c r="AA70" s="394" t="str">
        <f t="shared" si="28"/>
        <v/>
      </c>
      <c r="AB70" s="489"/>
      <c r="AC70" s="1564" t="str">
        <f t="shared" si="18"/>
        <v/>
      </c>
      <c r="AD70" s="1565"/>
      <c r="AE70" s="1565"/>
      <c r="AF70" s="1565"/>
      <c r="AG70" s="1565"/>
      <c r="AH70" s="1565"/>
      <c r="AK70">
        <f>SUMIFS(Installations!CV$46:CV$803,Installations!CW$46:CW$803,E70,Installations!IC$46:IC$803,TRUE)</f>
        <v>0</v>
      </c>
      <c r="AL70">
        <f>SUMIFS(Installations!CV$46:CV$803,Installations!CW$46:CW$803,R70,Installations!IC$46:IC$803,TRUE)</f>
        <v>0</v>
      </c>
      <c r="BL70" s="9"/>
      <c r="BM70" s="622" t="str">
        <f t="shared" si="19"/>
        <v/>
      </c>
      <c r="BN70" s="52"/>
      <c r="BO70" s="52"/>
      <c r="BP70" s="52"/>
      <c r="BQ70" s="52"/>
      <c r="BR70" s="52"/>
      <c r="BS70" s="52"/>
      <c r="BT70" s="52"/>
      <c r="BU70" s="373"/>
      <c r="BV70" s="219" t="str">
        <f>IF(CN70&lt;&gt;"Yes","",IFERROR(VLOOKUP(CU70,Existing!A$4:F$367,2,FALSE),""))</f>
        <v/>
      </c>
      <c r="BW70" s="9">
        <v>44</v>
      </c>
      <c r="BX70" s="1625"/>
      <c r="BY70" s="1626"/>
      <c r="BZ70" s="1626"/>
      <c r="CA70" s="1627"/>
      <c r="CB70" s="1622"/>
      <c r="CC70" s="1623"/>
      <c r="CD70" s="1623"/>
      <c r="CE70" s="1624"/>
      <c r="CF70" s="1621"/>
      <c r="CG70" s="1621"/>
      <c r="CH70" s="1621"/>
      <c r="CI70" s="1621"/>
      <c r="CJ70" s="1621"/>
      <c r="CK70" s="1621"/>
      <c r="CL70" s="1621"/>
      <c r="CM70" s="1621"/>
      <c r="CN70" s="1553" t="str">
        <f t="shared" si="31"/>
        <v/>
      </c>
      <c r="CO70" s="1554"/>
      <c r="CP70" s="229" t="str">
        <f>IFERROR(IF(CB70="Existing TLED",CR70*CW70*CY70,VLOOKUP(CU70,Existing!A$3:F$356,6,FALSE)),"")</f>
        <v/>
      </c>
      <c r="CQ70" s="9"/>
      <c r="CR70" s="1660"/>
      <c r="CS70" s="1661"/>
      <c r="CT70" s="9"/>
      <c r="CU70" s="425" t="str">
        <f t="shared" si="21"/>
        <v/>
      </c>
      <c r="CV70" s="426" t="b">
        <f t="shared" si="22"/>
        <v>0</v>
      </c>
      <c r="CW70" s="426" t="str">
        <f t="shared" si="23"/>
        <v/>
      </c>
      <c r="CX70" s="426">
        <f>IFERROR(VLOOKUP(CF70,Lookup!T$100:V$102,3,FALSE),0)</f>
        <v>0</v>
      </c>
      <c r="CY70" s="426">
        <f t="shared" si="8"/>
        <v>1.1100000000000001</v>
      </c>
      <c r="CZ70" s="626" t="b">
        <f t="shared" si="32"/>
        <v>0</v>
      </c>
      <c r="DA70" s="626" t="b">
        <f>IF(CF70&lt;&gt;"",IF(ISERROR(MATCH(CONCATENATE(CB70," - ",CF70),Existing!G$4:G$331,0))=TRUE,FALSE,TRUE),TRUE)</f>
        <v>1</v>
      </c>
      <c r="DB70" s="626" t="b">
        <f t="shared" si="33"/>
        <v>1</v>
      </c>
      <c r="DL70" s="9"/>
      <c r="DM70" s="627" t="s">
        <v>215</v>
      </c>
      <c r="DN70" s="375" t="str">
        <f t="shared" si="34"/>
        <v/>
      </c>
      <c r="DO70" s="52"/>
      <c r="DP70" s="52"/>
      <c r="DQ70" s="52"/>
      <c r="DR70" s="52"/>
      <c r="DS70" s="52"/>
      <c r="DT70" s="226"/>
      <c r="DU70" s="376"/>
      <c r="DV70" s="227" t="str">
        <f t="shared" si="35"/>
        <v/>
      </c>
      <c r="DW70" s="224">
        <v>44</v>
      </c>
      <c r="DX70" s="1572"/>
      <c r="DY70" s="1573"/>
      <c r="DZ70" s="1573"/>
      <c r="EA70" s="1574"/>
      <c r="EB70" s="1618"/>
      <c r="EC70" s="1619"/>
      <c r="ED70" s="1619"/>
      <c r="EE70" s="1620"/>
      <c r="EF70" s="1578"/>
      <c r="EG70" s="1579"/>
      <c r="EH70" s="1618"/>
      <c r="EI70" s="1619"/>
      <c r="EJ70" s="1619"/>
      <c r="EK70" s="1620"/>
      <c r="EL70" s="1575"/>
      <c r="EM70" s="1576"/>
      <c r="EN70" s="1576"/>
      <c r="EO70" s="1577"/>
      <c r="EP70" s="1578"/>
      <c r="EQ70" s="1579"/>
      <c r="ER70" s="1555"/>
      <c r="ES70" s="1556"/>
      <c r="ET70" s="1553" t="str">
        <f t="shared" si="9"/>
        <v/>
      </c>
      <c r="EU70" s="1554"/>
      <c r="EV70" s="1553" t="str">
        <f t="shared" si="29"/>
        <v/>
      </c>
      <c r="EW70" s="1554"/>
      <c r="EX70" s="393"/>
      <c r="EY70" s="225" t="str">
        <f t="shared" si="36"/>
        <v/>
      </c>
      <c r="EZ70" s="225" t="str">
        <f>IFERROR(VLOOKUP(EB70,Lookup!AT$3:AU$13,2,FALSE),"")</f>
        <v/>
      </c>
      <c r="FA70" s="426" t="b">
        <f>IFERROR(IF(VLOOKUP(EB70,Lookup!AT$6:AU$8,2,FALSE)&gt;3,TRUE,FALSE),FALSE)</f>
        <v>0</v>
      </c>
      <c r="FB70" s="426" t="str">
        <f t="shared" si="10"/>
        <v/>
      </c>
      <c r="FC70" t="str">
        <f t="shared" ca="1" si="11"/>
        <v/>
      </c>
      <c r="FG70" t="str">
        <f t="shared" ca="1" si="12"/>
        <v/>
      </c>
      <c r="FI70" s="204" t="str">
        <f t="shared" ca="1" si="24"/>
        <v/>
      </c>
      <c r="FK70" s="631" t="str">
        <f ca="1">IF(INDIRECT(CONCATENATE($FK$12,Fixtures!FK$25))="","",IF(INDIRECT(CONCATENATE($FK$12,Fixtures!FK$25))=Fixtures!$DN70,CONCATENATE(FK$10,", "),""))</f>
        <v/>
      </c>
      <c r="FL70" s="631" t="str">
        <f ca="1">IF(INDIRECT(CONCATENATE($FK$12,Fixtures!FL$25))="","",IF(INDIRECT(CONCATENATE($FK$12,Fixtures!FL$25))=Fixtures!$DN70,CONCATENATE(FL$10,", "),""))</f>
        <v/>
      </c>
      <c r="FM70" s="631" t="str">
        <f ca="1">IF(INDIRECT(CONCATENATE($FK$12,Fixtures!FM$25))="","",IF(INDIRECT(CONCATENATE($FK$12,Fixtures!FM$25))=Fixtures!$DN70,CONCATENATE(FM$10,", "),""))</f>
        <v/>
      </c>
      <c r="FN70" s="631" t="str">
        <f ca="1">IF(INDIRECT(CONCATENATE($FK$12,Fixtures!FN$25))="","",IF(INDIRECT(CONCATENATE($FK$12,Fixtures!FN$25))=Fixtures!$DN70,CONCATENATE(FN$10,", "),""))</f>
        <v/>
      </c>
      <c r="FO70" s="631" t="str">
        <f ca="1">IF(INDIRECT(CONCATENATE($FK$12,Fixtures!FO$25))="","",IF(INDIRECT(CONCATENATE($FK$12,Fixtures!FO$25))=Fixtures!$DN70,CONCATENATE(FO$10,", "),""))</f>
        <v/>
      </c>
      <c r="FP70" s="631" t="str">
        <f ca="1">IF(INDIRECT(CONCATENATE($FK$12,Fixtures!FP$25))="","",IF(INDIRECT(CONCATENATE($FK$12,Fixtures!FP$25))=Fixtures!$DN70,CONCATENATE(FP$10,", "),""))</f>
        <v/>
      </c>
      <c r="FQ70" s="631" t="str">
        <f ca="1">IF(INDIRECT(CONCATENATE($FK$12,Fixtures!FQ$25))="","",IF(INDIRECT(CONCATENATE($FK$12,Fixtures!FQ$25))=Fixtures!$DN70,CONCATENATE(FQ$10,", "),""))</f>
        <v/>
      </c>
      <c r="FR70" s="631" t="str">
        <f ca="1">IF(INDIRECT(CONCATENATE($FK$12,Fixtures!FR$25))="","",IF(INDIRECT(CONCATENATE($FK$12,Fixtures!FR$25))=Fixtures!$DN70,CONCATENATE(FR$10,", "),""))</f>
        <v/>
      </c>
      <c r="FS70" s="631" t="str">
        <f ca="1">IF(INDIRECT(CONCATENATE($FK$12,Fixtures!FS$25))="","",IF(INDIRECT(CONCATENATE($FK$12,Fixtures!FS$25))=Fixtures!$DN70,CONCATENATE(FS$10,", "),""))</f>
        <v/>
      </c>
      <c r="FT70" s="604" t="str">
        <f ca="1">IF(INDIRECT(CONCATENATE($FK$12,Fixtures!FT$25))="","",IF(INDIRECT(CONCATENATE($FK$12,Fixtures!FT$25))=Fixtures!$DN70,CONCATENATE(FT$10,", "),""))</f>
        <v/>
      </c>
      <c r="FU70" s="605" t="str">
        <f ca="1">IF(INDIRECT(CONCATENATE($FK$12,Fixtures!FU$25))="","",IF(INDIRECT(CONCATENATE($FK$12,Fixtures!FU$25))=Fixtures!$DN70,CONCATENATE(FU$10,", "),""))</f>
        <v/>
      </c>
      <c r="FV70" s="631" t="str">
        <f ca="1">IF(INDIRECT(CONCATENATE($FK$12,Fixtures!FV$25))="","",IF(INDIRECT(CONCATENATE($FK$12,Fixtures!FV$25))=Fixtures!$DN70,CONCATENATE(FV$10,", "),""))</f>
        <v/>
      </c>
      <c r="FW70" s="632" t="str">
        <f ca="1">IF(INDIRECT(CONCATENATE($FK$12,Fixtures!FW$25))="","",IF(INDIRECT(CONCATENATE($FK$12,Fixtures!FW$25))=Fixtures!$DN70,CONCATENATE(FW$10,", "),""))</f>
        <v/>
      </c>
      <c r="FX70" s="632" t="str">
        <f ca="1">IF(INDIRECT(CONCATENATE($FK$12,Fixtures!FX$25))="","",IF(INDIRECT(CONCATENATE($FK$12,Fixtures!FX$25))=Fixtures!$DN70,CONCATENATE(FX$10,", "),""))</f>
        <v/>
      </c>
      <c r="FY70" s="632" t="str">
        <f ca="1">IF(INDIRECT(CONCATENATE($FK$12,Fixtures!FY$25))="","",IF(INDIRECT(CONCATENATE($FK$12,Fixtures!FY$25))=Fixtures!$DN70,CONCATENATE(FY$10,", "),""))</f>
        <v/>
      </c>
      <c r="FZ70" s="632" t="str">
        <f ca="1">IF(INDIRECT(CONCATENATE($FK$12,Fixtures!FZ$25))="","",IF(INDIRECT(CONCATENATE($FK$12,Fixtures!FZ$25))=Fixtures!$DN70,CONCATENATE(FZ$10,", "),""))</f>
        <v/>
      </c>
      <c r="GA70" s="632" t="str">
        <f ca="1">IF(INDIRECT(CONCATENATE($FK$12,Fixtures!GA$25))="","",IF(INDIRECT(CONCATENATE($FK$12,Fixtures!GA$25))=Fixtures!$DN70,CONCATENATE(GA$10,", "),""))</f>
        <v/>
      </c>
      <c r="GB70" s="632" t="str">
        <f ca="1">IF(INDIRECT(CONCATENATE($FK$12,Fixtures!GB$25))="","",IF(INDIRECT(CONCATENATE($FK$12,Fixtures!GB$25))=Fixtures!$DN70,CONCATENATE(GB$10,", "),""))</f>
        <v/>
      </c>
      <c r="GC70" s="632" t="str">
        <f ca="1">IF(INDIRECT(CONCATENATE($FK$12,Fixtures!GC$25))="","",IF(INDIRECT(CONCATENATE($FK$12,Fixtures!GC$25))=Fixtures!$DN70,CONCATENATE(GC$10,", "),""))</f>
        <v/>
      </c>
      <c r="GD70" s="632" t="str">
        <f ca="1">IF(INDIRECT(CONCATENATE($FK$12,Fixtures!GD$25))="","",IF(INDIRECT(CONCATENATE($FK$12,Fixtures!GD$25))=Fixtures!$DN70,CONCATENATE(GD$10,", "),""))</f>
        <v/>
      </c>
      <c r="GE70" s="632" t="str">
        <f ca="1">IF(INDIRECT(CONCATENATE($FK$12,Fixtures!GE$25))="","",IF(INDIRECT(CONCATENATE($FK$12,Fixtures!GE$25))=Fixtures!$DN70,CONCATENATE(GE$10,", "),""))</f>
        <v/>
      </c>
      <c r="GF70" s="632" t="str">
        <f ca="1">IF(INDIRECT(CONCATENATE($FK$12,Fixtures!GF$25))="","",IF(INDIRECT(CONCATENATE($FK$12,Fixtures!GF$25))=Fixtures!$DN70,CONCATENATE(GF$10,", "),""))</f>
        <v/>
      </c>
      <c r="GG70" s="632" t="str">
        <f ca="1">IF(INDIRECT(CONCATENATE($FK$12,Fixtures!GG$25))="","",IF(INDIRECT(CONCATENATE($FK$12,Fixtures!GG$25))=Fixtures!$DN70,CONCATENATE(GG$10,", "),""))</f>
        <v/>
      </c>
      <c r="GH70" s="632" t="str">
        <f ca="1">IF(INDIRECT(CONCATENATE($FK$12,Fixtures!GH$25))="","",IF(INDIRECT(CONCATENATE($FK$12,Fixtures!GH$25))=Fixtures!$DN70,CONCATENATE(GH$10,", "),""))</f>
        <v/>
      </c>
      <c r="GI70" s="606" t="str">
        <f ca="1">IF(INDIRECT(CONCATENATE($FK$12,Fixtures!GI$25))="","",IF(INDIRECT(CONCATENATE($FK$12,Fixtures!GI$25))=Fixtures!$DN70,CONCATENATE(GI$10,", "),""))</f>
        <v/>
      </c>
      <c r="GJ70" s="607" t="str">
        <f ca="1">IF(INDIRECT(CONCATENATE($FK$12,Fixtures!GJ$25))="","",IF(INDIRECT(CONCATENATE($FK$12,Fixtures!GJ$25))=Fixtures!$DN70,CONCATENATE(GJ$10,", "),""))</f>
        <v/>
      </c>
      <c r="GK70" s="632" t="str">
        <f ca="1">IF(INDIRECT(CONCATENATE($FK$12,Fixtures!GK$25))="","",IF(INDIRECT(CONCATENATE($FK$12,Fixtures!GK$25))=Fixtures!$DN70,CONCATENATE(GK$10,", "),""))</f>
        <v/>
      </c>
      <c r="GL70" s="632" t="str">
        <f ca="1">IF(INDIRECT(CONCATENATE($FK$12,Fixtures!GL$25))="","",IF(INDIRECT(CONCATENATE($FK$12,Fixtures!GL$25))=Fixtures!$DN70,CONCATENATE(GL$10,", "),""))</f>
        <v/>
      </c>
      <c r="GM70" s="632" t="str">
        <f ca="1">IF(INDIRECT(CONCATENATE($FK$12,Fixtures!GM$25))="","",IF(INDIRECT(CONCATENATE($FK$12,Fixtures!GM$25))=Fixtures!$DN70,CONCATENATE(GM$10,", "),""))</f>
        <v/>
      </c>
      <c r="GN70" s="632" t="str">
        <f ca="1">IF(INDIRECT(CONCATENATE($FK$12,Fixtures!GN$25))="","",IF(INDIRECT(CONCATENATE($FK$12,Fixtures!GN$25))=Fixtures!$DN70,CONCATENATE(GN$10,", "),""))</f>
        <v/>
      </c>
      <c r="GO70" s="632" t="str">
        <f ca="1">IF(INDIRECT(CONCATENATE($FK$12,Fixtures!GO$25))="","",IF(INDIRECT(CONCATENATE($FK$12,Fixtures!GO$25))=Fixtures!$DN70,CONCATENATE(GO$10,", "),""))</f>
        <v/>
      </c>
      <c r="GP70" s="632" t="str">
        <f ca="1">IF(INDIRECT(CONCATENATE($FK$12,Fixtures!GP$25))="","",IF(INDIRECT(CONCATENATE($FK$12,Fixtures!GP$25))=Fixtures!$DN70,CONCATENATE(GP$10,", "),""))</f>
        <v/>
      </c>
      <c r="GQ70" s="632" t="str">
        <f ca="1">IF(INDIRECT(CONCATENATE($FK$12,Fixtures!GQ$25))="","",IF(INDIRECT(CONCATENATE($FK$12,Fixtures!GQ$25))=Fixtures!$DN70,CONCATENATE(GQ$10,", "),""))</f>
        <v/>
      </c>
      <c r="GR70" s="632" t="str">
        <f ca="1">IF(INDIRECT(CONCATENATE($FK$12,Fixtures!GR$25))="","",IF(INDIRECT(CONCATENATE($FK$12,Fixtures!GR$25))=Fixtures!$DN70,CONCATENATE(GR$10,", "),""))</f>
        <v/>
      </c>
      <c r="GS70" s="632" t="str">
        <f ca="1">IF(INDIRECT(CONCATENATE($FK$12,Fixtures!GS$25))="","",IF(INDIRECT(CONCATENATE($FK$12,Fixtures!GS$25))=Fixtures!$DN70,CONCATENATE(GS$10,", "),""))</f>
        <v/>
      </c>
      <c r="GT70" s="632" t="str">
        <f ca="1">IF(INDIRECT(CONCATENATE($FK$12,Fixtures!GT$25))="","",IF(INDIRECT(CONCATENATE($FK$12,Fixtures!GT$25))=Fixtures!$DN70,CONCATENATE(GT$10,", "),""))</f>
        <v/>
      </c>
      <c r="GU70" s="632" t="str">
        <f ca="1">IF(INDIRECT(CONCATENATE($FK$12,Fixtures!GU$25))="","",IF(INDIRECT(CONCATENATE($FK$12,Fixtures!GU$25))=Fixtures!$DN70,CONCATENATE(GU$10,", "),""))</f>
        <v/>
      </c>
      <c r="GV70" s="632" t="str">
        <f ca="1">IF(INDIRECT(CONCATENATE($FK$12,Fixtures!GV$25))="","",IF(INDIRECT(CONCATENATE($FK$12,Fixtures!GV$25))=Fixtures!$DN70,CONCATENATE(GV$10,", "),""))</f>
        <v/>
      </c>
      <c r="GW70" s="632" t="str">
        <f ca="1">IF(INDIRECT(CONCATENATE($FK$12,Fixtures!GW$25))="","",IF(INDIRECT(CONCATENATE($FK$12,Fixtures!GW$25))=Fixtures!$DN70,CONCATENATE(GW$10,", "),""))</f>
        <v/>
      </c>
      <c r="GX70" s="606" t="str">
        <f ca="1">IF(INDIRECT(CONCATENATE($FK$12,Fixtures!GX$25))="","",IF(INDIRECT(CONCATENATE($FK$12,Fixtures!GX$25))=Fixtures!$DN70,CONCATENATE(GX$10,", "),""))</f>
        <v/>
      </c>
      <c r="GY70" s="607" t="str">
        <f ca="1">IF(INDIRECT(CONCATENATE($FK$12,Fixtures!GY$25))="","",IF(INDIRECT(CONCATENATE($FK$12,Fixtures!GY$25))=Fixtures!$DN70,CONCATENATE(GY$10,", "),""))</f>
        <v/>
      </c>
      <c r="GZ70" s="632" t="str">
        <f ca="1">IF(INDIRECT(CONCATENATE($FK$12,Fixtures!GZ$25))="","",IF(INDIRECT(CONCATENATE($FK$12,Fixtures!GZ$25))=Fixtures!$DN70,CONCATENATE(GZ$10,", "),""))</f>
        <v/>
      </c>
      <c r="HA70" s="632" t="str">
        <f ca="1">IF(INDIRECT(CONCATENATE($FK$12,Fixtures!HA$25))="","",IF(INDIRECT(CONCATENATE($FK$12,Fixtures!HA$25))=Fixtures!$DN70,CONCATENATE(HA$10,", "),""))</f>
        <v/>
      </c>
      <c r="HB70" s="632" t="str">
        <f ca="1">IF(INDIRECT(CONCATENATE($FK$12,Fixtures!HB$25))="","",IF(INDIRECT(CONCATENATE($FK$12,Fixtures!HB$25))=Fixtures!$DN70,CONCATENATE(HB$10,", "),""))</f>
        <v/>
      </c>
      <c r="HC70" s="632" t="str">
        <f ca="1">IF(INDIRECT(CONCATENATE($FK$12,Fixtures!HC$25))="","",IF(INDIRECT(CONCATENATE($FK$12,Fixtures!HC$25))=Fixtures!$DN70,CONCATENATE(HC$10,", "),""))</f>
        <v/>
      </c>
      <c r="HD70" s="632" t="str">
        <f ca="1">IF(INDIRECT(CONCATENATE($FK$12,Fixtures!HD$25))="","",IF(INDIRECT(CONCATENATE($FK$12,Fixtures!HD$25))=Fixtures!$DN70,CONCATENATE(HD$10,", "),""))</f>
        <v/>
      </c>
      <c r="HE70" s="632" t="str">
        <f ca="1">IF(INDIRECT(CONCATENATE($FK$12,Fixtures!HE$25))="","",IF(INDIRECT(CONCATENATE($FK$12,Fixtures!HE$25))=Fixtures!$DN70,CONCATENATE(HE$10,", "),""))</f>
        <v/>
      </c>
      <c r="HF70" s="632" t="str">
        <f ca="1">IF(INDIRECT(CONCATENATE($FK$12,Fixtures!HF$25))="","",IF(INDIRECT(CONCATENATE($FK$12,Fixtures!HF$25))=Fixtures!$DN70,CONCATENATE(HF$10,", "),""))</f>
        <v/>
      </c>
      <c r="HG70" s="632" t="str">
        <f ca="1">IF(INDIRECT(CONCATENATE($FK$12,Fixtures!HG$25))="","",IF(INDIRECT(CONCATENATE($FK$12,Fixtures!HG$25))=Fixtures!$DN70,CONCATENATE(HG$10,", "),""))</f>
        <v/>
      </c>
      <c r="HH70" s="632" t="str">
        <f ca="1">IF(INDIRECT(CONCATENATE($FK$12,Fixtures!HH$25))="","",IF(INDIRECT(CONCATENATE($FK$12,Fixtures!HH$25))=Fixtures!$DN70,CONCATENATE(HH$10,", "),""))</f>
        <v/>
      </c>
      <c r="HI70" s="632" t="str">
        <f ca="1">IF(INDIRECT(CONCATENATE($FK$12,Fixtures!HI$25))="","",IF(INDIRECT(CONCATENATE($FK$12,Fixtures!HI$25))=Fixtures!$DN70,CONCATENATE(HI$10,", "),""))</f>
        <v/>
      </c>
      <c r="HJ70" s="632" t="str">
        <f ca="1">IF(INDIRECT(CONCATENATE($FK$12,Fixtures!HJ$25))="","",IF(INDIRECT(CONCATENATE($FK$12,Fixtures!HJ$25))=Fixtures!$DN70,CONCATENATE(HJ$10,", "),""))</f>
        <v/>
      </c>
      <c r="HK70" s="632" t="str">
        <f ca="1">IF(INDIRECT(CONCATENATE($FK$12,Fixtures!HK$25))="","",IF(INDIRECT(CONCATENATE($FK$12,Fixtures!HK$25))=Fixtures!$DN70,CONCATENATE(HK$10,", "),""))</f>
        <v/>
      </c>
      <c r="HL70" s="632" t="str">
        <f ca="1">IF(INDIRECT(CONCATENATE($FK$12,Fixtures!HL$25))="","",IF(INDIRECT(CONCATENATE($FK$12,Fixtures!HL$25))=Fixtures!$DN70,CONCATENATE(HL$10,", "),""))</f>
        <v/>
      </c>
      <c r="HM70" s="606" t="str">
        <f ca="1">IF(INDIRECT(CONCATENATE($FK$12,Fixtures!HM$25))="","",IF(INDIRECT(CONCATENATE($FK$12,Fixtures!HM$25))=Fixtures!$DN70,CONCATENATE(HM$10,", "),""))</f>
        <v/>
      </c>
      <c r="HN70" s="607" t="str">
        <f ca="1">IF(INDIRECT(CONCATENATE($FK$12,Fixtures!HN$25))="","",IF(INDIRECT(CONCATENATE($FK$12,Fixtures!HN$25))=Fixtures!$DN70,CONCATENATE(HN$10,", "),""))</f>
        <v/>
      </c>
      <c r="HO70" s="632" t="str">
        <f ca="1">IF(INDIRECT(CONCATENATE($FK$12,Fixtures!HO$25))="","",IF(INDIRECT(CONCATENATE($FK$12,Fixtures!HO$25))=Fixtures!$DN70,CONCATENATE(HO$10,", "),""))</f>
        <v/>
      </c>
      <c r="HP70" s="632" t="str">
        <f ca="1">IF(INDIRECT(CONCATENATE($FK$12,Fixtures!HP$25))="","",IF(INDIRECT(CONCATENATE($FK$12,Fixtures!HP$25))=Fixtures!$DN70,CONCATENATE(HP$10,", "),""))</f>
        <v/>
      </c>
      <c r="HQ70" s="632" t="str">
        <f ca="1">IF(INDIRECT(CONCATENATE($FK$12,Fixtures!HQ$25))="","",IF(INDIRECT(CONCATENATE($FK$12,Fixtures!HQ$25))=Fixtures!$DN70,CONCATENATE(HQ$10,", "),""))</f>
        <v/>
      </c>
      <c r="HR70" s="632" t="str">
        <f ca="1">IF(INDIRECT(CONCATENATE($FK$12,Fixtures!HR$25))="","",IF(INDIRECT(CONCATENATE($FK$12,Fixtures!HR$25))=Fixtures!$DN70,CONCATENATE(HR$10,", "),""))</f>
        <v/>
      </c>
      <c r="HS70" s="632" t="str">
        <f ca="1">IF(INDIRECT(CONCATENATE($FK$12,Fixtures!HS$25))="","",IF(INDIRECT(CONCATENATE($FK$12,Fixtures!HS$25))=Fixtures!$DN70,CONCATENATE(HS$10,", "),""))</f>
        <v/>
      </c>
      <c r="HT70" s="632" t="str">
        <f ca="1">IF(INDIRECT(CONCATENATE($FK$12,Fixtures!HT$25))="","",IF(INDIRECT(CONCATENATE($FK$12,Fixtures!HT$25))=Fixtures!$DN70,CONCATENATE(HT$10,", "),""))</f>
        <v/>
      </c>
      <c r="HU70" s="632" t="str">
        <f ca="1">IF(INDIRECT(CONCATENATE($FK$12,Fixtures!HU$25))="","",IF(INDIRECT(CONCATENATE($FK$12,Fixtures!HU$25))=Fixtures!$DN70,CONCATENATE(HU$10,", "),""))</f>
        <v/>
      </c>
      <c r="HV70" s="632" t="str">
        <f ca="1">IF(INDIRECT(CONCATENATE($FK$12,Fixtures!HV$25))="","",IF(INDIRECT(CONCATENATE($FK$12,Fixtures!HV$25))=Fixtures!$DN70,CONCATENATE(HV$10,", "),""))</f>
        <v/>
      </c>
      <c r="HW70" s="632" t="str">
        <f ca="1">IF(INDIRECT(CONCATENATE($FK$12,Fixtures!HW$25))="","",IF(INDIRECT(CONCATENATE($FK$12,Fixtures!HW$25))=Fixtures!$DN70,CONCATENATE(HW$10,", "),""))</f>
        <v/>
      </c>
      <c r="HX70" s="632" t="str">
        <f ca="1">IF(INDIRECT(CONCATENATE($FK$12,Fixtures!HX$25))="","",IF(INDIRECT(CONCATENATE($FK$12,Fixtures!HX$25))=Fixtures!$DN70,CONCATENATE(HX$10,", "),""))</f>
        <v/>
      </c>
      <c r="HY70" s="632" t="str">
        <f ca="1">IF(INDIRECT(CONCATENATE($FK$12,Fixtures!HY$25))="","",IF(INDIRECT(CONCATENATE($FK$12,Fixtures!HY$25))=Fixtures!$DN70,CONCATENATE(HY$10,", "),""))</f>
        <v/>
      </c>
      <c r="HZ70" s="632" t="str">
        <f ca="1">IF(INDIRECT(CONCATENATE($FK$12,Fixtures!HZ$25))="","",IF(INDIRECT(CONCATENATE($FK$12,Fixtures!HZ$25))=Fixtures!$DN70,CONCATENATE(HZ$10,", "),""))</f>
        <v/>
      </c>
      <c r="IA70" s="632" t="str">
        <f ca="1">IF(INDIRECT(CONCATENATE($FK$12,Fixtures!IA$25))="","",IF(INDIRECT(CONCATENATE($FK$12,Fixtures!IA$25))=Fixtures!$DN70,CONCATENATE(IA$10,", "),""))</f>
        <v/>
      </c>
      <c r="IB70" s="606" t="str">
        <f ca="1">IF(INDIRECT(CONCATENATE($FK$12,Fixtures!IB$25))="","",IF(INDIRECT(CONCATENATE($FK$12,Fixtures!IB$25))=Fixtures!$DN70,CONCATENATE(IB$10,", "),""))</f>
        <v/>
      </c>
      <c r="IC70" s="607" t="str">
        <f ca="1">IF(INDIRECT(CONCATENATE($FK$12,Fixtures!IC$25))="","",IF(INDIRECT(CONCATENATE($FK$12,Fixtures!IC$25))=Fixtures!$DN70,CONCATENATE(IC$10,", "),""))</f>
        <v/>
      </c>
      <c r="ID70" s="632" t="str">
        <f ca="1">IF(INDIRECT(CONCATENATE($FK$12,Fixtures!ID$25))="","",IF(INDIRECT(CONCATENATE($FK$12,Fixtures!ID$25))=Fixtures!$DN70,CONCATENATE(ID$10,", "),""))</f>
        <v/>
      </c>
      <c r="IE70" s="632" t="str">
        <f ca="1">IF(INDIRECT(CONCATENATE($FK$12,Fixtures!IE$25))="","",IF(INDIRECT(CONCATENATE($FK$12,Fixtures!IE$25))=Fixtures!$DN70,CONCATENATE(IE$10,", "),""))</f>
        <v/>
      </c>
      <c r="IF70" s="632" t="str">
        <f ca="1">IF(INDIRECT(CONCATENATE($FK$12,Fixtures!IF$25))="","",IF(INDIRECT(CONCATENATE($FK$12,Fixtures!IF$25))=Fixtures!$DN70,CONCATENATE(IF$10,", "),""))</f>
        <v/>
      </c>
      <c r="IG70" s="632" t="str">
        <f ca="1">IF(INDIRECT(CONCATENATE($FK$12,Fixtures!IG$25))="","",IF(INDIRECT(CONCATENATE($FK$12,Fixtures!IG$25))=Fixtures!$DN70,CONCATENATE(IG$10,", "),""))</f>
        <v/>
      </c>
      <c r="IH70" s="632" t="str">
        <f ca="1">IF(INDIRECT(CONCATENATE($FK$12,Fixtures!IH$25))="","",IF(INDIRECT(CONCATENATE($FK$12,Fixtures!IH$25))=Fixtures!$DN70,CONCATENATE(IH$10,", "),""))</f>
        <v/>
      </c>
      <c r="II70" s="632" t="str">
        <f ca="1">IF(INDIRECT(CONCATENATE($FK$12,Fixtures!II$25))="","",IF(INDIRECT(CONCATENATE($FK$12,Fixtures!II$25))=Fixtures!$DN70,CONCATENATE(II$10,", "),""))</f>
        <v/>
      </c>
      <c r="IJ70" s="632" t="str">
        <f ca="1">IF(INDIRECT(CONCATENATE($FK$12,Fixtures!IJ$25))="","",IF(INDIRECT(CONCATENATE($FK$12,Fixtures!IJ$25))=Fixtures!$DN70,CONCATENATE(IJ$10,", "),""))</f>
        <v/>
      </c>
      <c r="IK70" s="632" t="str">
        <f ca="1">IF(INDIRECT(CONCATENATE($FK$12,Fixtures!IK$25))="","",IF(INDIRECT(CONCATENATE($FK$12,Fixtures!IK$25))=Fixtures!$DN70,CONCATENATE(IK$10,", "),""))</f>
        <v/>
      </c>
      <c r="IL70" s="632" t="str">
        <f ca="1">IF(INDIRECT(CONCATENATE($FK$12,Fixtures!IL$25))="","",IF(INDIRECT(CONCATENATE($FK$12,Fixtures!IL$25))=Fixtures!$DN70,CONCATENATE(IL$10,", "),""))</f>
        <v/>
      </c>
      <c r="IM70" s="632" t="str">
        <f ca="1">IF(INDIRECT(CONCATENATE($FK$12,Fixtures!IM$25))="","",IF(INDIRECT(CONCATENATE($FK$12,Fixtures!IM$25))=Fixtures!$DN70,CONCATENATE(IM$10,", "),""))</f>
        <v/>
      </c>
      <c r="IN70" s="632" t="str">
        <f ca="1">IF(INDIRECT(CONCATENATE($FK$12,Fixtures!IN$25))="","",IF(INDIRECT(CONCATENATE($FK$12,Fixtures!IN$25))=Fixtures!$DN70,CONCATENATE(IN$10,", "),""))</f>
        <v/>
      </c>
      <c r="IO70" s="632" t="str">
        <f ca="1">IF(INDIRECT(CONCATENATE($FK$12,Fixtures!IO$25))="","",IF(INDIRECT(CONCATENATE($FK$12,Fixtures!IO$25))=Fixtures!$DN70,CONCATENATE(IO$10,", "),""))</f>
        <v/>
      </c>
      <c r="IP70" s="632" t="str">
        <f ca="1">IF(INDIRECT(CONCATENATE($FK$12,Fixtures!IP$25))="","",IF(INDIRECT(CONCATENATE($FK$12,Fixtures!IP$25))=Fixtures!$DN70,CONCATENATE(IP$10,", "),""))</f>
        <v/>
      </c>
      <c r="IQ70" s="606" t="str">
        <f ca="1">IF(INDIRECT(CONCATENATE($FK$12,Fixtures!IQ$25))="","",IF(INDIRECT(CONCATENATE($FK$12,Fixtures!IQ$25))=Fixtures!$DN70,CONCATENATE(IQ$10,", "),""))</f>
        <v/>
      </c>
      <c r="IR70" s="607" t="str">
        <f ca="1">IF(INDIRECT(CONCATENATE($FK$12,Fixtures!IR$25))="","",IF(INDIRECT(CONCATENATE($FK$12,Fixtures!IR$25))=Fixtures!$DN70,CONCATENATE(IR$10,", "),""))</f>
        <v/>
      </c>
      <c r="IS70" s="632" t="str">
        <f ca="1">IF(INDIRECT(CONCATENATE($FK$12,Fixtures!IS$25))="","",IF(INDIRECT(CONCATENATE($FK$12,Fixtures!IS$25))=Fixtures!$DN70,CONCATENATE(IS$10,", "),""))</f>
        <v/>
      </c>
      <c r="IT70" s="632" t="str">
        <f ca="1">IF(INDIRECT(CONCATENATE($FK$12,Fixtures!IT$25))="","",IF(INDIRECT(CONCATENATE($FK$12,Fixtures!IT$25))=Fixtures!$DN70,CONCATENATE(IT$10,", "),""))</f>
        <v/>
      </c>
      <c r="IU70" s="632" t="str">
        <f ca="1">IF(INDIRECT(CONCATENATE($FK$12,Fixtures!IU$25))="","",IF(INDIRECT(CONCATENATE($FK$12,Fixtures!IU$25))=Fixtures!$DN70,CONCATENATE(IU$10,", "),""))</f>
        <v/>
      </c>
      <c r="IV70" s="632" t="str">
        <f ca="1">IF(INDIRECT(CONCATENATE($FK$12,Fixtures!IV$25))="","",IF(INDIRECT(CONCATENATE($FK$12,Fixtures!IV$25))=Fixtures!$DN70,CONCATENATE(IV$10,", "),""))</f>
        <v/>
      </c>
      <c r="IW70" s="632" t="str">
        <f ca="1">IF(INDIRECT(CONCATENATE($FK$12,Fixtures!IW$25))="","",IF(INDIRECT(CONCATENATE($FK$12,Fixtures!IW$25))=Fixtures!$DN70,CONCATENATE(IW$10,", "),""))</f>
        <v/>
      </c>
      <c r="IX70" s="632" t="str">
        <f ca="1">IF(INDIRECT(CONCATENATE($FK$12,Fixtures!IX$25))="","",IF(INDIRECT(CONCATENATE($FK$12,Fixtures!IX$25))=Fixtures!$DN70,CONCATENATE(IX$10,", "),""))</f>
        <v/>
      </c>
      <c r="IY70" s="632" t="str">
        <f ca="1">IF(INDIRECT(CONCATENATE($FK$12,Fixtures!IY$25))="","",IF(INDIRECT(CONCATENATE($FK$12,Fixtures!IY$25))=Fixtures!$DN70,CONCATENATE(IY$10,", "),""))</f>
        <v/>
      </c>
      <c r="IZ70" s="632" t="str">
        <f ca="1">IF(INDIRECT(CONCATENATE($FK$12,Fixtures!IZ$25))="","",IF(INDIRECT(CONCATENATE($FK$12,Fixtures!IZ$25))=Fixtures!$DN70,CONCATENATE(IZ$10,", "),""))</f>
        <v/>
      </c>
      <c r="JA70" s="632" t="str">
        <f ca="1">IF(INDIRECT(CONCATENATE($FK$12,Fixtures!JA$25))="","",IF(INDIRECT(CONCATENATE($FK$12,Fixtures!JA$25))=Fixtures!$DN70,CONCATENATE(JA$10,", "),""))</f>
        <v/>
      </c>
      <c r="JB70" s="632" t="str">
        <f ca="1">IF(INDIRECT(CONCATENATE($FK$12,Fixtures!JB$25))="","",IF(INDIRECT(CONCATENATE($FK$12,Fixtures!JB$25))=Fixtures!$DN70,CONCATENATE(JB$10,", "),""))</f>
        <v/>
      </c>
      <c r="JC70" s="632" t="str">
        <f ca="1">IF(INDIRECT(CONCATENATE($FK$12,Fixtures!JC$25))="","",IF(INDIRECT(CONCATENATE($FK$12,Fixtures!JC$25))=Fixtures!$DN70,CONCATENATE(JC$10,", "),""))</f>
        <v/>
      </c>
      <c r="JD70" s="632" t="str">
        <f ca="1">IF(INDIRECT(CONCATENATE($FK$12,Fixtures!JD$25))="","",IF(INDIRECT(CONCATENATE($FK$12,Fixtures!JD$25))=Fixtures!$DN70,CONCATENATE(JD$10,", "),""))</f>
        <v/>
      </c>
      <c r="JE70" s="632" t="str">
        <f ca="1">IF(INDIRECT(CONCATENATE($FK$12,Fixtures!JE$25))="","",IF(INDIRECT(CONCATENATE($FK$12,Fixtures!JE$25))=Fixtures!$DN70,CONCATENATE(JE$10,", "),""))</f>
        <v/>
      </c>
      <c r="JF70" s="606" t="str">
        <f ca="1">IF(INDIRECT(CONCATENATE($FK$12,Fixtures!JF$25))="","",IF(INDIRECT(CONCATENATE($FK$12,Fixtures!JF$25))=Fixtures!$DN70,CONCATENATE(JF$10,", "),""))</f>
        <v/>
      </c>
      <c r="JG70" s="607" t="str">
        <f ca="1">IF(INDIRECT(CONCATENATE($FK$12,Fixtures!JG$25))="","",IF(INDIRECT(CONCATENATE($FK$12,Fixtures!JG$25))=Fixtures!$DN70,CONCATENATE(JG$10,", "),""))</f>
        <v/>
      </c>
      <c r="JH70" s="632" t="str">
        <f ca="1">IF(INDIRECT(CONCATENATE($FK$12,Fixtures!JH$25))="","",IF(INDIRECT(CONCATENATE($FK$12,Fixtures!JH$25))=Fixtures!$DN70,CONCATENATE(JH$10,", "),""))</f>
        <v/>
      </c>
      <c r="JI70" s="632" t="str">
        <f ca="1">IF(INDIRECT(CONCATENATE($FK$12,Fixtures!JI$25))="","",IF(INDIRECT(CONCATENATE($FK$12,Fixtures!JI$25))=Fixtures!$DN70,CONCATENATE(JI$10,", "),""))</f>
        <v/>
      </c>
      <c r="JJ70" s="632" t="str">
        <f ca="1">IF(INDIRECT(CONCATENATE($FK$12,Fixtures!JJ$25))="","",IF(INDIRECT(CONCATENATE($FK$12,Fixtures!JJ$25))=Fixtures!$DN70,CONCATENATE(JJ$10,", "),""))</f>
        <v/>
      </c>
      <c r="JK70" s="632" t="str">
        <f ca="1">IF(INDIRECT(CONCATENATE($FK$12,Fixtures!JK$25))="","",IF(INDIRECT(CONCATENATE($FK$12,Fixtures!JK$25))=Fixtures!$DN70,CONCATENATE(JK$10,", "),""))</f>
        <v/>
      </c>
      <c r="JL70" s="632" t="str">
        <f ca="1">IF(INDIRECT(CONCATENATE($FK$12,Fixtures!JL$25))="","",IF(INDIRECT(CONCATENATE($FK$12,Fixtures!JL$25))=Fixtures!$DN70,CONCATENATE(JL$10,", "),""))</f>
        <v/>
      </c>
      <c r="JM70" s="632" t="str">
        <f ca="1">IF(INDIRECT(CONCATENATE($FK$12,Fixtures!JM$25))="","",IF(INDIRECT(CONCATENATE($FK$12,Fixtures!JM$25))=Fixtures!$DN70,CONCATENATE(JM$10,", "),""))</f>
        <v/>
      </c>
      <c r="JN70" s="632" t="str">
        <f ca="1">IF(INDIRECT(CONCATENATE($FK$12,Fixtures!JN$25))="","",IF(INDIRECT(CONCATENATE($FK$12,Fixtures!JN$25))=Fixtures!$DN70,CONCATENATE(JN$10,", "),""))</f>
        <v/>
      </c>
      <c r="JO70" s="632" t="str">
        <f ca="1">IF(INDIRECT(CONCATENATE($FK$12,Fixtures!JO$25))="","",IF(INDIRECT(CONCATENATE($FK$12,Fixtures!JO$25))=Fixtures!$DN70,CONCATENATE(JO$10,", "),""))</f>
        <v/>
      </c>
      <c r="JP70" s="632" t="str">
        <f ca="1">IF(INDIRECT(CONCATENATE($FK$12,Fixtures!JP$25))="","",IF(INDIRECT(CONCATENATE($FK$12,Fixtures!JP$25))=Fixtures!$DN70,CONCATENATE(JP$10,", "),""))</f>
        <v/>
      </c>
      <c r="JQ70" s="632" t="str">
        <f ca="1">IF(INDIRECT(CONCATENATE($FK$12,Fixtures!JQ$25))="","",IF(INDIRECT(CONCATENATE($FK$12,Fixtures!JQ$25))=Fixtures!$DN70,CONCATENATE(JQ$10,", "),""))</f>
        <v/>
      </c>
      <c r="JR70" s="632" t="str">
        <f ca="1">IF(INDIRECT(CONCATENATE($FK$12,Fixtures!JR$25))="","",IF(INDIRECT(CONCATENATE($FK$12,Fixtures!JR$25))=Fixtures!$DN70,CONCATENATE(JR$10,", "),""))</f>
        <v/>
      </c>
      <c r="JS70" s="632" t="str">
        <f ca="1">IF(INDIRECT(CONCATENATE($FK$12,Fixtures!JS$25))="","",IF(INDIRECT(CONCATENATE($FK$12,Fixtures!JS$25))=Fixtures!$DN70,CONCATENATE(JS$10,", "),""))</f>
        <v/>
      </c>
      <c r="JT70" s="632" t="str">
        <f ca="1">IF(INDIRECT(CONCATENATE($FK$12,Fixtures!JT$25))="","",IF(INDIRECT(CONCATENATE($FK$12,Fixtures!JT$25))=Fixtures!$DN70,CONCATENATE(JT$10,", "),""))</f>
        <v/>
      </c>
      <c r="JU70" s="606" t="str">
        <f ca="1">IF(INDIRECT(CONCATENATE($FK$12,Fixtures!JU$25))="","",IF(INDIRECT(CONCATENATE($FK$12,Fixtures!JU$25))=Fixtures!$DN70,CONCATENATE(JU$10,", "),""))</f>
        <v/>
      </c>
      <c r="JV70" s="607" t="str">
        <f ca="1">IF(INDIRECT(CONCATENATE($FK$12,Fixtures!JV$25))="","",IF(INDIRECT(CONCATENATE($FK$12,Fixtures!JV$25))=Fixtures!$DN70,CONCATENATE(JV$10,", "),""))</f>
        <v/>
      </c>
      <c r="JW70" s="632" t="str">
        <f ca="1">IF(INDIRECT(CONCATENATE($FK$12,Fixtures!JW$25))="","",IF(INDIRECT(CONCATENATE($FK$12,Fixtures!JW$25))=Fixtures!$DN70,CONCATENATE(JW$10,", "),""))</f>
        <v/>
      </c>
      <c r="JX70" s="632" t="str">
        <f ca="1">IF(INDIRECT(CONCATENATE($FK$12,Fixtures!JX$25))="","",IF(INDIRECT(CONCATENATE($FK$12,Fixtures!JX$25))=Fixtures!$DN70,CONCATENATE(JX$10,", "),""))</f>
        <v/>
      </c>
      <c r="JY70" s="632" t="str">
        <f ca="1">IF(INDIRECT(CONCATENATE($FK$12,Fixtures!JY$25))="","",IF(INDIRECT(CONCATENATE($FK$12,Fixtures!JY$25))=Fixtures!$DN70,CONCATENATE(JY$10,", "),""))</f>
        <v/>
      </c>
      <c r="JZ70" s="632" t="str">
        <f ca="1">IF(INDIRECT(CONCATENATE($FK$12,Fixtures!JZ$25))="","",IF(INDIRECT(CONCATENATE($FK$12,Fixtures!JZ$25))=Fixtures!$DN70,CONCATENATE(JZ$10,", "),""))</f>
        <v/>
      </c>
      <c r="KA70" s="632" t="str">
        <f ca="1">IF(INDIRECT(CONCATENATE($FK$12,Fixtures!KA$25))="","",IF(INDIRECT(CONCATENATE($FK$12,Fixtures!KA$25))=Fixtures!$DN70,CONCATENATE(KA$10,", "),""))</f>
        <v/>
      </c>
      <c r="KB70" s="632" t="str">
        <f ca="1">IF(INDIRECT(CONCATENATE($FK$12,Fixtures!KB$25))="","",IF(INDIRECT(CONCATENATE($FK$12,Fixtures!KB$25))=Fixtures!$DN70,CONCATENATE(KB$10,", "),""))</f>
        <v/>
      </c>
      <c r="KC70" s="632" t="str">
        <f ca="1">IF(INDIRECT(CONCATENATE($FK$12,Fixtures!KC$25))="","",IF(INDIRECT(CONCATENATE($FK$12,Fixtures!KC$25))=Fixtures!$DN70,CONCATENATE(KC$10,", "),""))</f>
        <v/>
      </c>
      <c r="KD70" s="632" t="str">
        <f ca="1">IF(INDIRECT(CONCATENATE($FK$12,Fixtures!KD$25))="","",IF(INDIRECT(CONCATENATE($FK$12,Fixtures!KD$25))=Fixtures!$DN70,CONCATENATE(KD$10,", "),""))</f>
        <v/>
      </c>
      <c r="KE70" s="632" t="str">
        <f ca="1">IF(INDIRECT(CONCATENATE($FK$12,Fixtures!KE$25))="","",IF(INDIRECT(CONCATENATE($FK$12,Fixtures!KE$25))=Fixtures!$DN70,CONCATENATE(KE$10,", "),""))</f>
        <v/>
      </c>
      <c r="KF70" s="632" t="str">
        <f ca="1">IF(INDIRECT(CONCATENATE($FK$12,Fixtures!KF$25))="","",IF(INDIRECT(CONCATENATE($FK$12,Fixtures!KF$25))=Fixtures!$DN70,CONCATENATE(KF$10,", "),""))</f>
        <v/>
      </c>
      <c r="KG70" s="632" t="str">
        <f ca="1">IF(INDIRECT(CONCATENATE($FK$12,Fixtures!KG$25))="","",IF(INDIRECT(CONCATENATE($FK$12,Fixtures!KG$25))=Fixtures!$DN70,CONCATENATE(KG$10,", "),""))</f>
        <v/>
      </c>
      <c r="KH70" s="632" t="str">
        <f ca="1">IF(INDIRECT(CONCATENATE($FK$12,Fixtures!KH$25))="","",IF(INDIRECT(CONCATENATE($FK$12,Fixtures!KH$25))=Fixtures!$DN70,CONCATENATE(KH$10,", "),""))</f>
        <v/>
      </c>
      <c r="KI70" s="632" t="str">
        <f ca="1">IF(INDIRECT(CONCATENATE($FK$12,Fixtures!KI$25))="","",IF(INDIRECT(CONCATENATE($FK$12,Fixtures!KI$25))=Fixtures!$DN70,CONCATENATE(KI$10,", "),""))</f>
        <v/>
      </c>
      <c r="KJ70" s="606" t="str">
        <f ca="1">IF(INDIRECT(CONCATENATE($FK$12,Fixtures!KJ$25))="","",IF(INDIRECT(CONCATENATE($FK$12,Fixtures!KJ$25))=Fixtures!$DN70,CONCATENATE(KJ$10,", "),""))</f>
        <v/>
      </c>
      <c r="KK70" s="607" t="str">
        <f ca="1">IF(INDIRECT(CONCATENATE($FK$12,Fixtures!KK$25))="","",IF(INDIRECT(CONCATENATE($FK$12,Fixtures!KK$25))=Fixtures!$DN70,CONCATENATE(KK$10,", "),""))</f>
        <v/>
      </c>
      <c r="KL70" s="632" t="str">
        <f ca="1">IF(INDIRECT(CONCATENATE($FK$12,Fixtures!KL$25))="","",IF(INDIRECT(CONCATENATE($FK$12,Fixtures!KL$25))=Fixtures!$DN70,CONCATENATE(KL$10,", "),""))</f>
        <v/>
      </c>
      <c r="KM70" s="632" t="str">
        <f ca="1">IF(INDIRECT(CONCATENATE($FK$12,Fixtures!KM$25))="","",IF(INDIRECT(CONCATENATE($FK$12,Fixtures!KM$25))=Fixtures!$DN70,CONCATENATE(KM$10,", "),""))</f>
        <v/>
      </c>
      <c r="KN70" s="632" t="str">
        <f ca="1">IF(INDIRECT(CONCATENATE($FK$12,Fixtures!KN$25))="","",IF(INDIRECT(CONCATENATE($FK$12,Fixtures!KN$25))=Fixtures!$DN70,CONCATENATE(KN$10,", "),""))</f>
        <v/>
      </c>
      <c r="KO70" s="632" t="str">
        <f ca="1">IF(INDIRECT(CONCATENATE($FK$12,Fixtures!KO$25))="","",IF(INDIRECT(CONCATENATE($FK$12,Fixtures!KO$25))=Fixtures!$DN70,CONCATENATE(KO$10,", "),""))</f>
        <v/>
      </c>
      <c r="KP70" s="632" t="str">
        <f ca="1">IF(INDIRECT(CONCATENATE($FK$12,Fixtures!KP$25))="","",IF(INDIRECT(CONCATENATE($FK$12,Fixtures!KP$25))=Fixtures!$DN70,CONCATENATE(KP$10,", "),""))</f>
        <v/>
      </c>
      <c r="KQ70" s="632" t="str">
        <f ca="1">IF(INDIRECT(CONCATENATE($FK$12,Fixtures!KQ$25))="","",IF(INDIRECT(CONCATENATE($FK$12,Fixtures!KQ$25))=Fixtures!$DN70,CONCATENATE(KQ$10,", "),""))</f>
        <v/>
      </c>
      <c r="KR70" s="632" t="str">
        <f ca="1">IF(INDIRECT(CONCATENATE($FK$12,Fixtures!KR$25))="","",IF(INDIRECT(CONCATENATE($FK$12,Fixtures!KR$25))=Fixtures!$DN70,CONCATENATE(KR$10,", "),""))</f>
        <v/>
      </c>
      <c r="KS70" s="632" t="str">
        <f ca="1">IF(INDIRECT(CONCATENATE($FK$12,Fixtures!KS$25))="","",IF(INDIRECT(CONCATENATE($FK$12,Fixtures!KS$25))=Fixtures!$DN70,CONCATENATE(KS$10,", "),""))</f>
        <v/>
      </c>
      <c r="KT70" s="632" t="str">
        <f ca="1">IF(INDIRECT(CONCATENATE($FK$12,Fixtures!KT$25))="","",IF(INDIRECT(CONCATENATE($FK$12,Fixtures!KT$25))=Fixtures!$DN70,CONCATENATE(KT$10,", "),""))</f>
        <v/>
      </c>
      <c r="KU70" s="632" t="str">
        <f ca="1">IF(INDIRECT(CONCATENATE($FK$12,Fixtures!KU$25))="","",IF(INDIRECT(CONCATENATE($FK$12,Fixtures!KU$25))=Fixtures!$DN70,CONCATENATE(KU$10,", "),""))</f>
        <v/>
      </c>
      <c r="KV70" s="632" t="str">
        <f ca="1">IF(INDIRECT(CONCATENATE($FK$12,Fixtures!KV$25))="","",IF(INDIRECT(CONCATENATE($FK$12,Fixtures!KV$25))=Fixtures!$DN70,CONCATENATE(KV$10,", "),""))</f>
        <v/>
      </c>
      <c r="KW70" s="632" t="str">
        <f ca="1">IF(INDIRECT(CONCATENATE($FK$12,Fixtures!KW$25))="","",IF(INDIRECT(CONCATENATE($FK$12,Fixtures!KW$25))=Fixtures!$DN70,CONCATENATE(KW$10,", "),""))</f>
        <v/>
      </c>
      <c r="KX70" s="632" t="str">
        <f ca="1">IF(INDIRECT(CONCATENATE($FK$12,Fixtures!KX$25))="","",IF(INDIRECT(CONCATENATE($FK$12,Fixtures!KX$25))=Fixtures!$DN70,CONCATENATE(KX$10,", "),""))</f>
        <v/>
      </c>
      <c r="KY70" s="632"/>
      <c r="KZ70" s="542"/>
      <c r="LA70" s="46" t="str">
        <f t="shared" ca="1" si="37"/>
        <v/>
      </c>
      <c r="LB70" s="46"/>
      <c r="LC70" s="1010"/>
      <c r="LD70" s="1009" t="str">
        <f t="shared" si="20"/>
        <v/>
      </c>
    </row>
    <row r="71" spans="1:316" ht="28.2" customHeight="1" thickTop="1" thickBot="1">
      <c r="A71" s="426" t="str">
        <f t="shared" si="13"/>
        <v/>
      </c>
      <c r="C71" s="1640" t="str">
        <f t="shared" si="14"/>
        <v/>
      </c>
      <c r="D71" s="1641"/>
      <c r="E71" s="1568" t="str">
        <f t="shared" si="15"/>
        <v/>
      </c>
      <c r="F71" s="1569"/>
      <c r="G71" s="1569"/>
      <c r="H71" s="1569"/>
      <c r="I71" s="1569"/>
      <c r="J71" s="1569"/>
      <c r="K71" s="1569"/>
      <c r="L71" s="1569"/>
      <c r="M71" s="1642"/>
      <c r="N71" s="203" t="str">
        <f t="shared" si="16"/>
        <v/>
      </c>
      <c r="O71" s="12"/>
      <c r="P71" s="1638" t="str">
        <f t="shared" si="25"/>
        <v/>
      </c>
      <c r="Q71" s="1639"/>
      <c r="R71" s="1568" t="str">
        <f t="shared" si="30"/>
        <v/>
      </c>
      <c r="S71" s="1569"/>
      <c r="T71" s="1569"/>
      <c r="U71" s="1569"/>
      <c r="V71" s="1569"/>
      <c r="W71" s="1569"/>
      <c r="X71" s="1569"/>
      <c r="Y71" s="203" t="str">
        <f t="shared" si="26"/>
        <v/>
      </c>
      <c r="Z71" s="203" t="str">
        <f t="shared" si="27"/>
        <v/>
      </c>
      <c r="AA71" s="394" t="str">
        <f t="shared" si="28"/>
        <v/>
      </c>
      <c r="AB71" s="489"/>
      <c r="AC71" s="1564" t="str">
        <f t="shared" si="18"/>
        <v/>
      </c>
      <c r="AD71" s="1565"/>
      <c r="AE71" s="1565"/>
      <c r="AF71" s="1565"/>
      <c r="AG71" s="1565"/>
      <c r="AH71" s="1565"/>
      <c r="AK71">
        <f>SUMIFS(Installations!CV$46:CV$803,Installations!CW$46:CW$803,E71,Installations!IC$46:IC$803,TRUE)</f>
        <v>0</v>
      </c>
      <c r="AL71">
        <f>SUMIFS(Installations!CV$46:CV$803,Installations!CW$46:CW$803,R71,Installations!IC$46:IC$803,TRUE)</f>
        <v>0</v>
      </c>
      <c r="BL71" s="9"/>
      <c r="BM71" s="622" t="str">
        <f t="shared" si="19"/>
        <v/>
      </c>
      <c r="BN71" s="52"/>
      <c r="BO71" s="52"/>
      <c r="BP71" s="52"/>
      <c r="BQ71" s="52"/>
      <c r="BR71" s="52"/>
      <c r="BS71" s="52"/>
      <c r="BT71" s="52"/>
      <c r="BU71" s="373"/>
      <c r="BV71" s="219" t="str">
        <f>IF(CN71&lt;&gt;"Yes","",IFERROR(VLOOKUP(CU71,Existing!A$4:F$367,2,FALSE),""))</f>
        <v/>
      </c>
      <c r="BW71" s="9">
        <v>45</v>
      </c>
      <c r="BX71" s="1625"/>
      <c r="BY71" s="1626"/>
      <c r="BZ71" s="1626"/>
      <c r="CA71" s="1627"/>
      <c r="CB71" s="1622"/>
      <c r="CC71" s="1623"/>
      <c r="CD71" s="1623"/>
      <c r="CE71" s="1624"/>
      <c r="CF71" s="1621"/>
      <c r="CG71" s="1621"/>
      <c r="CH71" s="1621"/>
      <c r="CI71" s="1621"/>
      <c r="CJ71" s="1621"/>
      <c r="CK71" s="1621"/>
      <c r="CL71" s="1621"/>
      <c r="CM71" s="1621"/>
      <c r="CN71" s="1553" t="str">
        <f t="shared" si="31"/>
        <v/>
      </c>
      <c r="CO71" s="1554"/>
      <c r="CP71" s="229" t="str">
        <f>IFERROR(IF(CB71="Existing TLED",CR71*CW71*CY71,VLOOKUP(CU71,Existing!A$3:F$356,6,FALSE)),"")</f>
        <v/>
      </c>
      <c r="CQ71" s="9"/>
      <c r="CR71" s="1660"/>
      <c r="CS71" s="1661"/>
      <c r="CT71" s="9"/>
      <c r="CU71" s="425" t="str">
        <f t="shared" si="21"/>
        <v/>
      </c>
      <c r="CV71" s="426" t="b">
        <f t="shared" si="22"/>
        <v>0</v>
      </c>
      <c r="CW71" s="426" t="str">
        <f t="shared" si="23"/>
        <v/>
      </c>
      <c r="CX71" s="426">
        <f>IFERROR(VLOOKUP(CF71,Lookup!T$100:V$102,3,FALSE),0)</f>
        <v>0</v>
      </c>
      <c r="CY71" s="426">
        <f t="shared" si="8"/>
        <v>1.1100000000000001</v>
      </c>
      <c r="CZ71" s="626" t="b">
        <f t="shared" si="32"/>
        <v>0</v>
      </c>
      <c r="DA71" s="626" t="b">
        <f>IF(CF71&lt;&gt;"",IF(ISERROR(MATCH(CONCATENATE(CB71," - ",CF71),Existing!G$4:G$331,0))=TRUE,FALSE,TRUE),TRUE)</f>
        <v>1</v>
      </c>
      <c r="DB71" s="626" t="b">
        <f t="shared" si="33"/>
        <v>1</v>
      </c>
      <c r="DL71" s="9"/>
      <c r="DM71" s="627" t="s">
        <v>215</v>
      </c>
      <c r="DN71" s="375" t="str">
        <f t="shared" si="34"/>
        <v/>
      </c>
      <c r="DO71" s="52"/>
      <c r="DP71" s="52"/>
      <c r="DQ71" s="52"/>
      <c r="DR71" s="52"/>
      <c r="DS71" s="52"/>
      <c r="DT71" s="226"/>
      <c r="DU71" s="376"/>
      <c r="DV71" s="227" t="str">
        <f t="shared" si="35"/>
        <v/>
      </c>
      <c r="DW71" s="224">
        <v>45</v>
      </c>
      <c r="DX71" s="1572"/>
      <c r="DY71" s="1573"/>
      <c r="DZ71" s="1573"/>
      <c r="EA71" s="1574"/>
      <c r="EB71" s="1618"/>
      <c r="EC71" s="1619"/>
      <c r="ED71" s="1619"/>
      <c r="EE71" s="1620"/>
      <c r="EF71" s="1578"/>
      <c r="EG71" s="1579"/>
      <c r="EH71" s="1618"/>
      <c r="EI71" s="1619"/>
      <c r="EJ71" s="1619"/>
      <c r="EK71" s="1620"/>
      <c r="EL71" s="1575"/>
      <c r="EM71" s="1576"/>
      <c r="EN71" s="1576"/>
      <c r="EO71" s="1577"/>
      <c r="EP71" s="1578"/>
      <c r="EQ71" s="1579"/>
      <c r="ER71" s="1555"/>
      <c r="ES71" s="1556"/>
      <c r="ET71" s="1553" t="str">
        <f t="shared" si="9"/>
        <v/>
      </c>
      <c r="EU71" s="1554"/>
      <c r="EV71" s="1553" t="str">
        <f t="shared" si="29"/>
        <v/>
      </c>
      <c r="EW71" s="1554"/>
      <c r="EX71" s="393"/>
      <c r="EY71" s="225" t="str">
        <f t="shared" si="36"/>
        <v/>
      </c>
      <c r="EZ71" s="225" t="str">
        <f>IFERROR(VLOOKUP(EB71,Lookup!AT$3:AU$13,2,FALSE),"")</f>
        <v/>
      </c>
      <c r="FA71" s="426" t="b">
        <f>IFERROR(IF(VLOOKUP(EB71,Lookup!AT$6:AU$8,2,FALSE)&gt;3,TRUE,FALSE),FALSE)</f>
        <v>0</v>
      </c>
      <c r="FB71" s="426" t="str">
        <f t="shared" si="10"/>
        <v/>
      </c>
      <c r="FC71" t="str">
        <f t="shared" ca="1" si="11"/>
        <v/>
      </c>
      <c r="FG71" t="str">
        <f t="shared" ca="1" si="12"/>
        <v/>
      </c>
      <c r="FI71" s="204" t="str">
        <f t="shared" ca="1" si="24"/>
        <v/>
      </c>
      <c r="FK71" s="631" t="str">
        <f ca="1">IF(INDIRECT(CONCATENATE($FK$12,Fixtures!FK$25))="","",IF(INDIRECT(CONCATENATE($FK$12,Fixtures!FK$25))=Fixtures!$DN71,CONCATENATE(FK$10,", "),""))</f>
        <v/>
      </c>
      <c r="FL71" s="631" t="str">
        <f ca="1">IF(INDIRECT(CONCATENATE($FK$12,Fixtures!FL$25))="","",IF(INDIRECT(CONCATENATE($FK$12,Fixtures!FL$25))=Fixtures!$DN71,CONCATENATE(FL$10,", "),""))</f>
        <v/>
      </c>
      <c r="FM71" s="631" t="str">
        <f ca="1">IF(INDIRECT(CONCATENATE($FK$12,Fixtures!FM$25))="","",IF(INDIRECT(CONCATENATE($FK$12,Fixtures!FM$25))=Fixtures!$DN71,CONCATENATE(FM$10,", "),""))</f>
        <v/>
      </c>
      <c r="FN71" s="631" t="str">
        <f ca="1">IF(INDIRECT(CONCATENATE($FK$12,Fixtures!FN$25))="","",IF(INDIRECT(CONCATENATE($FK$12,Fixtures!FN$25))=Fixtures!$DN71,CONCATENATE(FN$10,", "),""))</f>
        <v/>
      </c>
      <c r="FO71" s="631" t="str">
        <f ca="1">IF(INDIRECT(CONCATENATE($FK$12,Fixtures!FO$25))="","",IF(INDIRECT(CONCATENATE($FK$12,Fixtures!FO$25))=Fixtures!$DN71,CONCATENATE(FO$10,", "),""))</f>
        <v/>
      </c>
      <c r="FP71" s="631" t="str">
        <f ca="1">IF(INDIRECT(CONCATENATE($FK$12,Fixtures!FP$25))="","",IF(INDIRECT(CONCATENATE($FK$12,Fixtures!FP$25))=Fixtures!$DN71,CONCATENATE(FP$10,", "),""))</f>
        <v/>
      </c>
      <c r="FQ71" s="631" t="str">
        <f ca="1">IF(INDIRECT(CONCATENATE($FK$12,Fixtures!FQ$25))="","",IF(INDIRECT(CONCATENATE($FK$12,Fixtures!FQ$25))=Fixtures!$DN71,CONCATENATE(FQ$10,", "),""))</f>
        <v/>
      </c>
      <c r="FR71" s="631" t="str">
        <f ca="1">IF(INDIRECT(CONCATENATE($FK$12,Fixtures!FR$25))="","",IF(INDIRECT(CONCATENATE($FK$12,Fixtures!FR$25))=Fixtures!$DN71,CONCATENATE(FR$10,", "),""))</f>
        <v/>
      </c>
      <c r="FS71" s="631" t="str">
        <f ca="1">IF(INDIRECT(CONCATENATE($FK$12,Fixtures!FS$25))="","",IF(INDIRECT(CONCATENATE($FK$12,Fixtures!FS$25))=Fixtures!$DN71,CONCATENATE(FS$10,", "),""))</f>
        <v/>
      </c>
      <c r="FT71" s="604" t="str">
        <f ca="1">IF(INDIRECT(CONCATENATE($FK$12,Fixtures!FT$25))="","",IF(INDIRECT(CONCATENATE($FK$12,Fixtures!FT$25))=Fixtures!$DN71,CONCATENATE(FT$10,", "),""))</f>
        <v/>
      </c>
      <c r="FU71" s="605" t="str">
        <f ca="1">IF(INDIRECT(CONCATENATE($FK$12,Fixtures!FU$25))="","",IF(INDIRECT(CONCATENATE($FK$12,Fixtures!FU$25))=Fixtures!$DN71,CONCATENATE(FU$10,", "),""))</f>
        <v/>
      </c>
      <c r="FV71" s="631" t="str">
        <f ca="1">IF(INDIRECT(CONCATENATE($FK$12,Fixtures!FV$25))="","",IF(INDIRECT(CONCATENATE($FK$12,Fixtures!FV$25))=Fixtures!$DN71,CONCATENATE(FV$10,", "),""))</f>
        <v/>
      </c>
      <c r="FW71" s="632" t="str">
        <f ca="1">IF(INDIRECT(CONCATENATE($FK$12,Fixtures!FW$25))="","",IF(INDIRECT(CONCATENATE($FK$12,Fixtures!FW$25))=Fixtures!$DN71,CONCATENATE(FW$10,", "),""))</f>
        <v/>
      </c>
      <c r="FX71" s="632" t="str">
        <f ca="1">IF(INDIRECT(CONCATENATE($FK$12,Fixtures!FX$25))="","",IF(INDIRECT(CONCATENATE($FK$12,Fixtures!FX$25))=Fixtures!$DN71,CONCATENATE(FX$10,", "),""))</f>
        <v/>
      </c>
      <c r="FY71" s="632" t="str">
        <f ca="1">IF(INDIRECT(CONCATENATE($FK$12,Fixtures!FY$25))="","",IF(INDIRECT(CONCATENATE($FK$12,Fixtures!FY$25))=Fixtures!$DN71,CONCATENATE(FY$10,", "),""))</f>
        <v/>
      </c>
      <c r="FZ71" s="632" t="str">
        <f ca="1">IF(INDIRECT(CONCATENATE($FK$12,Fixtures!FZ$25))="","",IF(INDIRECT(CONCATENATE($FK$12,Fixtures!FZ$25))=Fixtures!$DN71,CONCATENATE(FZ$10,", "),""))</f>
        <v/>
      </c>
      <c r="GA71" s="632" t="str">
        <f ca="1">IF(INDIRECT(CONCATENATE($FK$12,Fixtures!GA$25))="","",IF(INDIRECT(CONCATENATE($FK$12,Fixtures!GA$25))=Fixtures!$DN71,CONCATENATE(GA$10,", "),""))</f>
        <v/>
      </c>
      <c r="GB71" s="632" t="str">
        <f ca="1">IF(INDIRECT(CONCATENATE($FK$12,Fixtures!GB$25))="","",IF(INDIRECT(CONCATENATE($FK$12,Fixtures!GB$25))=Fixtures!$DN71,CONCATENATE(GB$10,", "),""))</f>
        <v/>
      </c>
      <c r="GC71" s="632" t="str">
        <f ca="1">IF(INDIRECT(CONCATENATE($FK$12,Fixtures!GC$25))="","",IF(INDIRECT(CONCATENATE($FK$12,Fixtures!GC$25))=Fixtures!$DN71,CONCATENATE(GC$10,", "),""))</f>
        <v/>
      </c>
      <c r="GD71" s="632" t="str">
        <f ca="1">IF(INDIRECT(CONCATENATE($FK$12,Fixtures!GD$25))="","",IF(INDIRECT(CONCATENATE($FK$12,Fixtures!GD$25))=Fixtures!$DN71,CONCATENATE(GD$10,", "),""))</f>
        <v/>
      </c>
      <c r="GE71" s="632" t="str">
        <f ca="1">IF(INDIRECT(CONCATENATE($FK$12,Fixtures!GE$25))="","",IF(INDIRECT(CONCATENATE($FK$12,Fixtures!GE$25))=Fixtures!$DN71,CONCATENATE(GE$10,", "),""))</f>
        <v/>
      </c>
      <c r="GF71" s="632" t="str">
        <f ca="1">IF(INDIRECT(CONCATENATE($FK$12,Fixtures!GF$25))="","",IF(INDIRECT(CONCATENATE($FK$12,Fixtures!GF$25))=Fixtures!$DN71,CONCATENATE(GF$10,", "),""))</f>
        <v/>
      </c>
      <c r="GG71" s="632" t="str">
        <f ca="1">IF(INDIRECT(CONCATENATE($FK$12,Fixtures!GG$25))="","",IF(INDIRECT(CONCATENATE($FK$12,Fixtures!GG$25))=Fixtures!$DN71,CONCATENATE(GG$10,", "),""))</f>
        <v/>
      </c>
      <c r="GH71" s="632" t="str">
        <f ca="1">IF(INDIRECT(CONCATENATE($FK$12,Fixtures!GH$25))="","",IF(INDIRECT(CONCATENATE($FK$12,Fixtures!GH$25))=Fixtures!$DN71,CONCATENATE(GH$10,", "),""))</f>
        <v/>
      </c>
      <c r="GI71" s="606" t="str">
        <f ca="1">IF(INDIRECT(CONCATENATE($FK$12,Fixtures!GI$25))="","",IF(INDIRECT(CONCATENATE($FK$12,Fixtures!GI$25))=Fixtures!$DN71,CONCATENATE(GI$10,", "),""))</f>
        <v/>
      </c>
      <c r="GJ71" s="607" t="str">
        <f ca="1">IF(INDIRECT(CONCATENATE($FK$12,Fixtures!GJ$25))="","",IF(INDIRECT(CONCATENATE($FK$12,Fixtures!GJ$25))=Fixtures!$DN71,CONCATENATE(GJ$10,", "),""))</f>
        <v/>
      </c>
      <c r="GK71" s="632" t="str">
        <f ca="1">IF(INDIRECT(CONCATENATE($FK$12,Fixtures!GK$25))="","",IF(INDIRECT(CONCATENATE($FK$12,Fixtures!GK$25))=Fixtures!$DN71,CONCATENATE(GK$10,", "),""))</f>
        <v/>
      </c>
      <c r="GL71" s="632" t="str">
        <f ca="1">IF(INDIRECT(CONCATENATE($FK$12,Fixtures!GL$25))="","",IF(INDIRECT(CONCATENATE($FK$12,Fixtures!GL$25))=Fixtures!$DN71,CONCATENATE(GL$10,", "),""))</f>
        <v/>
      </c>
      <c r="GM71" s="632" t="str">
        <f ca="1">IF(INDIRECT(CONCATENATE($FK$12,Fixtures!GM$25))="","",IF(INDIRECT(CONCATENATE($FK$12,Fixtures!GM$25))=Fixtures!$DN71,CONCATENATE(GM$10,", "),""))</f>
        <v/>
      </c>
      <c r="GN71" s="632" t="str">
        <f ca="1">IF(INDIRECT(CONCATENATE($FK$12,Fixtures!GN$25))="","",IF(INDIRECT(CONCATENATE($FK$12,Fixtures!GN$25))=Fixtures!$DN71,CONCATENATE(GN$10,", "),""))</f>
        <v/>
      </c>
      <c r="GO71" s="632" t="str">
        <f ca="1">IF(INDIRECT(CONCATENATE($FK$12,Fixtures!GO$25))="","",IF(INDIRECT(CONCATENATE($FK$12,Fixtures!GO$25))=Fixtures!$DN71,CONCATENATE(GO$10,", "),""))</f>
        <v/>
      </c>
      <c r="GP71" s="632" t="str">
        <f ca="1">IF(INDIRECT(CONCATENATE($FK$12,Fixtures!GP$25))="","",IF(INDIRECT(CONCATENATE($FK$12,Fixtures!GP$25))=Fixtures!$DN71,CONCATENATE(GP$10,", "),""))</f>
        <v/>
      </c>
      <c r="GQ71" s="632" t="str">
        <f ca="1">IF(INDIRECT(CONCATENATE($FK$12,Fixtures!GQ$25))="","",IF(INDIRECT(CONCATENATE($FK$12,Fixtures!GQ$25))=Fixtures!$DN71,CONCATENATE(GQ$10,", "),""))</f>
        <v/>
      </c>
      <c r="GR71" s="632" t="str">
        <f ca="1">IF(INDIRECT(CONCATENATE($FK$12,Fixtures!GR$25))="","",IF(INDIRECT(CONCATENATE($FK$12,Fixtures!GR$25))=Fixtures!$DN71,CONCATENATE(GR$10,", "),""))</f>
        <v/>
      </c>
      <c r="GS71" s="632" t="str">
        <f ca="1">IF(INDIRECT(CONCATENATE($FK$12,Fixtures!GS$25))="","",IF(INDIRECT(CONCATENATE($FK$12,Fixtures!GS$25))=Fixtures!$DN71,CONCATENATE(GS$10,", "),""))</f>
        <v/>
      </c>
      <c r="GT71" s="632" t="str">
        <f ca="1">IF(INDIRECT(CONCATENATE($FK$12,Fixtures!GT$25))="","",IF(INDIRECT(CONCATENATE($FK$12,Fixtures!GT$25))=Fixtures!$DN71,CONCATENATE(GT$10,", "),""))</f>
        <v/>
      </c>
      <c r="GU71" s="632" t="str">
        <f ca="1">IF(INDIRECT(CONCATENATE($FK$12,Fixtures!GU$25))="","",IF(INDIRECT(CONCATENATE($FK$12,Fixtures!GU$25))=Fixtures!$DN71,CONCATENATE(GU$10,", "),""))</f>
        <v/>
      </c>
      <c r="GV71" s="632" t="str">
        <f ca="1">IF(INDIRECT(CONCATENATE($FK$12,Fixtures!GV$25))="","",IF(INDIRECT(CONCATENATE($FK$12,Fixtures!GV$25))=Fixtures!$DN71,CONCATENATE(GV$10,", "),""))</f>
        <v/>
      </c>
      <c r="GW71" s="632" t="str">
        <f ca="1">IF(INDIRECT(CONCATENATE($FK$12,Fixtures!GW$25))="","",IF(INDIRECT(CONCATENATE($FK$12,Fixtures!GW$25))=Fixtures!$DN71,CONCATENATE(GW$10,", "),""))</f>
        <v/>
      </c>
      <c r="GX71" s="606" t="str">
        <f ca="1">IF(INDIRECT(CONCATENATE($FK$12,Fixtures!GX$25))="","",IF(INDIRECT(CONCATENATE($FK$12,Fixtures!GX$25))=Fixtures!$DN71,CONCATENATE(GX$10,", "),""))</f>
        <v/>
      </c>
      <c r="GY71" s="607" t="str">
        <f ca="1">IF(INDIRECT(CONCATENATE($FK$12,Fixtures!GY$25))="","",IF(INDIRECT(CONCATENATE($FK$12,Fixtures!GY$25))=Fixtures!$DN71,CONCATENATE(GY$10,", "),""))</f>
        <v/>
      </c>
      <c r="GZ71" s="632" t="str">
        <f ca="1">IF(INDIRECT(CONCATENATE($FK$12,Fixtures!GZ$25))="","",IF(INDIRECT(CONCATENATE($FK$12,Fixtures!GZ$25))=Fixtures!$DN71,CONCATENATE(GZ$10,", "),""))</f>
        <v/>
      </c>
      <c r="HA71" s="632" t="str">
        <f ca="1">IF(INDIRECT(CONCATENATE($FK$12,Fixtures!HA$25))="","",IF(INDIRECT(CONCATENATE($FK$12,Fixtures!HA$25))=Fixtures!$DN71,CONCATENATE(HA$10,", "),""))</f>
        <v/>
      </c>
      <c r="HB71" s="632" t="str">
        <f ca="1">IF(INDIRECT(CONCATENATE($FK$12,Fixtures!HB$25))="","",IF(INDIRECT(CONCATENATE($FK$12,Fixtures!HB$25))=Fixtures!$DN71,CONCATENATE(HB$10,", "),""))</f>
        <v/>
      </c>
      <c r="HC71" s="632" t="str">
        <f ca="1">IF(INDIRECT(CONCATENATE($FK$12,Fixtures!HC$25))="","",IF(INDIRECT(CONCATENATE($FK$12,Fixtures!HC$25))=Fixtures!$DN71,CONCATENATE(HC$10,", "),""))</f>
        <v/>
      </c>
      <c r="HD71" s="632" t="str">
        <f ca="1">IF(INDIRECT(CONCATENATE($FK$12,Fixtures!HD$25))="","",IF(INDIRECT(CONCATENATE($FK$12,Fixtures!HD$25))=Fixtures!$DN71,CONCATENATE(HD$10,", "),""))</f>
        <v/>
      </c>
      <c r="HE71" s="632" t="str">
        <f ca="1">IF(INDIRECT(CONCATENATE($FK$12,Fixtures!HE$25))="","",IF(INDIRECT(CONCATENATE($FK$12,Fixtures!HE$25))=Fixtures!$DN71,CONCATENATE(HE$10,", "),""))</f>
        <v/>
      </c>
      <c r="HF71" s="632" t="str">
        <f ca="1">IF(INDIRECT(CONCATENATE($FK$12,Fixtures!HF$25))="","",IF(INDIRECT(CONCATENATE($FK$12,Fixtures!HF$25))=Fixtures!$DN71,CONCATENATE(HF$10,", "),""))</f>
        <v/>
      </c>
      <c r="HG71" s="632" t="str">
        <f ca="1">IF(INDIRECT(CONCATENATE($FK$12,Fixtures!HG$25))="","",IF(INDIRECT(CONCATENATE($FK$12,Fixtures!HG$25))=Fixtures!$DN71,CONCATENATE(HG$10,", "),""))</f>
        <v/>
      </c>
      <c r="HH71" s="632" t="str">
        <f ca="1">IF(INDIRECT(CONCATENATE($FK$12,Fixtures!HH$25))="","",IF(INDIRECT(CONCATENATE($FK$12,Fixtures!HH$25))=Fixtures!$DN71,CONCATENATE(HH$10,", "),""))</f>
        <v/>
      </c>
      <c r="HI71" s="632" t="str">
        <f ca="1">IF(INDIRECT(CONCATENATE($FK$12,Fixtures!HI$25))="","",IF(INDIRECT(CONCATENATE($FK$12,Fixtures!HI$25))=Fixtures!$DN71,CONCATENATE(HI$10,", "),""))</f>
        <v/>
      </c>
      <c r="HJ71" s="632" t="str">
        <f ca="1">IF(INDIRECT(CONCATENATE($FK$12,Fixtures!HJ$25))="","",IF(INDIRECT(CONCATENATE($FK$12,Fixtures!HJ$25))=Fixtures!$DN71,CONCATENATE(HJ$10,", "),""))</f>
        <v/>
      </c>
      <c r="HK71" s="632" t="str">
        <f ca="1">IF(INDIRECT(CONCATENATE($FK$12,Fixtures!HK$25))="","",IF(INDIRECT(CONCATENATE($FK$12,Fixtures!HK$25))=Fixtures!$DN71,CONCATENATE(HK$10,", "),""))</f>
        <v/>
      </c>
      <c r="HL71" s="632" t="str">
        <f ca="1">IF(INDIRECT(CONCATENATE($FK$12,Fixtures!HL$25))="","",IF(INDIRECT(CONCATENATE($FK$12,Fixtures!HL$25))=Fixtures!$DN71,CONCATENATE(HL$10,", "),""))</f>
        <v/>
      </c>
      <c r="HM71" s="606" t="str">
        <f ca="1">IF(INDIRECT(CONCATENATE($FK$12,Fixtures!HM$25))="","",IF(INDIRECT(CONCATENATE($FK$12,Fixtures!HM$25))=Fixtures!$DN71,CONCATENATE(HM$10,", "),""))</f>
        <v/>
      </c>
      <c r="HN71" s="607" t="str">
        <f ca="1">IF(INDIRECT(CONCATENATE($FK$12,Fixtures!HN$25))="","",IF(INDIRECT(CONCATENATE($FK$12,Fixtures!HN$25))=Fixtures!$DN71,CONCATENATE(HN$10,", "),""))</f>
        <v/>
      </c>
      <c r="HO71" s="632" t="str">
        <f ca="1">IF(INDIRECT(CONCATENATE($FK$12,Fixtures!HO$25))="","",IF(INDIRECT(CONCATENATE($FK$12,Fixtures!HO$25))=Fixtures!$DN71,CONCATENATE(HO$10,", "),""))</f>
        <v/>
      </c>
      <c r="HP71" s="632" t="str">
        <f ca="1">IF(INDIRECT(CONCATENATE($FK$12,Fixtures!HP$25))="","",IF(INDIRECT(CONCATENATE($FK$12,Fixtures!HP$25))=Fixtures!$DN71,CONCATENATE(HP$10,", "),""))</f>
        <v/>
      </c>
      <c r="HQ71" s="632" t="str">
        <f ca="1">IF(INDIRECT(CONCATENATE($FK$12,Fixtures!HQ$25))="","",IF(INDIRECT(CONCATENATE($FK$12,Fixtures!HQ$25))=Fixtures!$DN71,CONCATENATE(HQ$10,", "),""))</f>
        <v/>
      </c>
      <c r="HR71" s="632" t="str">
        <f ca="1">IF(INDIRECT(CONCATENATE($FK$12,Fixtures!HR$25))="","",IF(INDIRECT(CONCATENATE($FK$12,Fixtures!HR$25))=Fixtures!$DN71,CONCATENATE(HR$10,", "),""))</f>
        <v/>
      </c>
      <c r="HS71" s="632" t="str">
        <f ca="1">IF(INDIRECT(CONCATENATE($FK$12,Fixtures!HS$25))="","",IF(INDIRECT(CONCATENATE($FK$12,Fixtures!HS$25))=Fixtures!$DN71,CONCATENATE(HS$10,", "),""))</f>
        <v/>
      </c>
      <c r="HT71" s="632" t="str">
        <f ca="1">IF(INDIRECT(CONCATENATE($FK$12,Fixtures!HT$25))="","",IF(INDIRECT(CONCATENATE($FK$12,Fixtures!HT$25))=Fixtures!$DN71,CONCATENATE(HT$10,", "),""))</f>
        <v/>
      </c>
      <c r="HU71" s="632" t="str">
        <f ca="1">IF(INDIRECT(CONCATENATE($FK$12,Fixtures!HU$25))="","",IF(INDIRECT(CONCATENATE($FK$12,Fixtures!HU$25))=Fixtures!$DN71,CONCATENATE(HU$10,", "),""))</f>
        <v/>
      </c>
      <c r="HV71" s="632" t="str">
        <f ca="1">IF(INDIRECT(CONCATENATE($FK$12,Fixtures!HV$25))="","",IF(INDIRECT(CONCATENATE($FK$12,Fixtures!HV$25))=Fixtures!$DN71,CONCATENATE(HV$10,", "),""))</f>
        <v/>
      </c>
      <c r="HW71" s="632" t="str">
        <f ca="1">IF(INDIRECT(CONCATENATE($FK$12,Fixtures!HW$25))="","",IF(INDIRECT(CONCATENATE($FK$12,Fixtures!HW$25))=Fixtures!$DN71,CONCATENATE(HW$10,", "),""))</f>
        <v/>
      </c>
      <c r="HX71" s="632" t="str">
        <f ca="1">IF(INDIRECT(CONCATENATE($FK$12,Fixtures!HX$25))="","",IF(INDIRECT(CONCATENATE($FK$12,Fixtures!HX$25))=Fixtures!$DN71,CONCATENATE(HX$10,", "),""))</f>
        <v/>
      </c>
      <c r="HY71" s="632" t="str">
        <f ca="1">IF(INDIRECT(CONCATENATE($FK$12,Fixtures!HY$25))="","",IF(INDIRECT(CONCATENATE($FK$12,Fixtures!HY$25))=Fixtures!$DN71,CONCATENATE(HY$10,", "),""))</f>
        <v/>
      </c>
      <c r="HZ71" s="632" t="str">
        <f ca="1">IF(INDIRECT(CONCATENATE($FK$12,Fixtures!HZ$25))="","",IF(INDIRECT(CONCATENATE($FK$12,Fixtures!HZ$25))=Fixtures!$DN71,CONCATENATE(HZ$10,", "),""))</f>
        <v/>
      </c>
      <c r="IA71" s="632" t="str">
        <f ca="1">IF(INDIRECT(CONCATENATE($FK$12,Fixtures!IA$25))="","",IF(INDIRECT(CONCATENATE($FK$12,Fixtures!IA$25))=Fixtures!$DN71,CONCATENATE(IA$10,", "),""))</f>
        <v/>
      </c>
      <c r="IB71" s="606" t="str">
        <f ca="1">IF(INDIRECT(CONCATENATE($FK$12,Fixtures!IB$25))="","",IF(INDIRECT(CONCATENATE($FK$12,Fixtures!IB$25))=Fixtures!$DN71,CONCATENATE(IB$10,", "),""))</f>
        <v/>
      </c>
      <c r="IC71" s="607" t="str">
        <f ca="1">IF(INDIRECT(CONCATENATE($FK$12,Fixtures!IC$25))="","",IF(INDIRECT(CONCATENATE($FK$12,Fixtures!IC$25))=Fixtures!$DN71,CONCATENATE(IC$10,", "),""))</f>
        <v/>
      </c>
      <c r="ID71" s="632" t="str">
        <f ca="1">IF(INDIRECT(CONCATENATE($FK$12,Fixtures!ID$25))="","",IF(INDIRECT(CONCATENATE($FK$12,Fixtures!ID$25))=Fixtures!$DN71,CONCATENATE(ID$10,", "),""))</f>
        <v/>
      </c>
      <c r="IE71" s="632" t="str">
        <f ca="1">IF(INDIRECT(CONCATENATE($FK$12,Fixtures!IE$25))="","",IF(INDIRECT(CONCATENATE($FK$12,Fixtures!IE$25))=Fixtures!$DN71,CONCATENATE(IE$10,", "),""))</f>
        <v/>
      </c>
      <c r="IF71" s="632" t="str">
        <f ca="1">IF(INDIRECT(CONCATENATE($FK$12,Fixtures!IF$25))="","",IF(INDIRECT(CONCATENATE($FK$12,Fixtures!IF$25))=Fixtures!$DN71,CONCATENATE(IF$10,", "),""))</f>
        <v/>
      </c>
      <c r="IG71" s="632" t="str">
        <f ca="1">IF(INDIRECT(CONCATENATE($FK$12,Fixtures!IG$25))="","",IF(INDIRECT(CONCATENATE($FK$12,Fixtures!IG$25))=Fixtures!$DN71,CONCATENATE(IG$10,", "),""))</f>
        <v/>
      </c>
      <c r="IH71" s="632" t="str">
        <f ca="1">IF(INDIRECT(CONCATENATE($FK$12,Fixtures!IH$25))="","",IF(INDIRECT(CONCATENATE($FK$12,Fixtures!IH$25))=Fixtures!$DN71,CONCATENATE(IH$10,", "),""))</f>
        <v/>
      </c>
      <c r="II71" s="632" t="str">
        <f ca="1">IF(INDIRECT(CONCATENATE($FK$12,Fixtures!II$25))="","",IF(INDIRECT(CONCATENATE($FK$12,Fixtures!II$25))=Fixtures!$DN71,CONCATENATE(II$10,", "),""))</f>
        <v/>
      </c>
      <c r="IJ71" s="632" t="str">
        <f ca="1">IF(INDIRECT(CONCATENATE($FK$12,Fixtures!IJ$25))="","",IF(INDIRECT(CONCATENATE($FK$12,Fixtures!IJ$25))=Fixtures!$DN71,CONCATENATE(IJ$10,", "),""))</f>
        <v/>
      </c>
      <c r="IK71" s="632" t="str">
        <f ca="1">IF(INDIRECT(CONCATENATE($FK$12,Fixtures!IK$25))="","",IF(INDIRECT(CONCATENATE($FK$12,Fixtures!IK$25))=Fixtures!$DN71,CONCATENATE(IK$10,", "),""))</f>
        <v/>
      </c>
      <c r="IL71" s="632" t="str">
        <f ca="1">IF(INDIRECT(CONCATENATE($FK$12,Fixtures!IL$25))="","",IF(INDIRECT(CONCATENATE($FK$12,Fixtures!IL$25))=Fixtures!$DN71,CONCATENATE(IL$10,", "),""))</f>
        <v/>
      </c>
      <c r="IM71" s="632" t="str">
        <f ca="1">IF(INDIRECT(CONCATENATE($FK$12,Fixtures!IM$25))="","",IF(INDIRECT(CONCATENATE($FK$12,Fixtures!IM$25))=Fixtures!$DN71,CONCATENATE(IM$10,", "),""))</f>
        <v/>
      </c>
      <c r="IN71" s="632" t="str">
        <f ca="1">IF(INDIRECT(CONCATENATE($FK$12,Fixtures!IN$25))="","",IF(INDIRECT(CONCATENATE($FK$12,Fixtures!IN$25))=Fixtures!$DN71,CONCATENATE(IN$10,", "),""))</f>
        <v/>
      </c>
      <c r="IO71" s="632" t="str">
        <f ca="1">IF(INDIRECT(CONCATENATE($FK$12,Fixtures!IO$25))="","",IF(INDIRECT(CONCATENATE($FK$12,Fixtures!IO$25))=Fixtures!$DN71,CONCATENATE(IO$10,", "),""))</f>
        <v/>
      </c>
      <c r="IP71" s="632" t="str">
        <f ca="1">IF(INDIRECT(CONCATENATE($FK$12,Fixtures!IP$25))="","",IF(INDIRECT(CONCATENATE($FK$12,Fixtures!IP$25))=Fixtures!$DN71,CONCATENATE(IP$10,", "),""))</f>
        <v/>
      </c>
      <c r="IQ71" s="606" t="str">
        <f ca="1">IF(INDIRECT(CONCATENATE($FK$12,Fixtures!IQ$25))="","",IF(INDIRECT(CONCATENATE($FK$12,Fixtures!IQ$25))=Fixtures!$DN71,CONCATENATE(IQ$10,", "),""))</f>
        <v/>
      </c>
      <c r="IR71" s="607" t="str">
        <f ca="1">IF(INDIRECT(CONCATENATE($FK$12,Fixtures!IR$25))="","",IF(INDIRECT(CONCATENATE($FK$12,Fixtures!IR$25))=Fixtures!$DN71,CONCATENATE(IR$10,", "),""))</f>
        <v/>
      </c>
      <c r="IS71" s="632" t="str">
        <f ca="1">IF(INDIRECT(CONCATENATE($FK$12,Fixtures!IS$25))="","",IF(INDIRECT(CONCATENATE($FK$12,Fixtures!IS$25))=Fixtures!$DN71,CONCATENATE(IS$10,", "),""))</f>
        <v/>
      </c>
      <c r="IT71" s="632" t="str">
        <f ca="1">IF(INDIRECT(CONCATENATE($FK$12,Fixtures!IT$25))="","",IF(INDIRECT(CONCATENATE($FK$12,Fixtures!IT$25))=Fixtures!$DN71,CONCATENATE(IT$10,", "),""))</f>
        <v/>
      </c>
      <c r="IU71" s="632" t="str">
        <f ca="1">IF(INDIRECT(CONCATENATE($FK$12,Fixtures!IU$25))="","",IF(INDIRECT(CONCATENATE($FK$12,Fixtures!IU$25))=Fixtures!$DN71,CONCATENATE(IU$10,", "),""))</f>
        <v/>
      </c>
      <c r="IV71" s="632" t="str">
        <f ca="1">IF(INDIRECT(CONCATENATE($FK$12,Fixtures!IV$25))="","",IF(INDIRECT(CONCATENATE($FK$12,Fixtures!IV$25))=Fixtures!$DN71,CONCATENATE(IV$10,", "),""))</f>
        <v/>
      </c>
      <c r="IW71" s="632" t="str">
        <f ca="1">IF(INDIRECT(CONCATENATE($FK$12,Fixtures!IW$25))="","",IF(INDIRECT(CONCATENATE($FK$12,Fixtures!IW$25))=Fixtures!$DN71,CONCATENATE(IW$10,", "),""))</f>
        <v/>
      </c>
      <c r="IX71" s="632" t="str">
        <f ca="1">IF(INDIRECT(CONCATENATE($FK$12,Fixtures!IX$25))="","",IF(INDIRECT(CONCATENATE($FK$12,Fixtures!IX$25))=Fixtures!$DN71,CONCATENATE(IX$10,", "),""))</f>
        <v/>
      </c>
      <c r="IY71" s="632" t="str">
        <f ca="1">IF(INDIRECT(CONCATENATE($FK$12,Fixtures!IY$25))="","",IF(INDIRECT(CONCATENATE($FK$12,Fixtures!IY$25))=Fixtures!$DN71,CONCATENATE(IY$10,", "),""))</f>
        <v/>
      </c>
      <c r="IZ71" s="632" t="str">
        <f ca="1">IF(INDIRECT(CONCATENATE($FK$12,Fixtures!IZ$25))="","",IF(INDIRECT(CONCATENATE($FK$12,Fixtures!IZ$25))=Fixtures!$DN71,CONCATENATE(IZ$10,", "),""))</f>
        <v/>
      </c>
      <c r="JA71" s="632" t="str">
        <f ca="1">IF(INDIRECT(CONCATENATE($FK$12,Fixtures!JA$25))="","",IF(INDIRECT(CONCATENATE($FK$12,Fixtures!JA$25))=Fixtures!$DN71,CONCATENATE(JA$10,", "),""))</f>
        <v/>
      </c>
      <c r="JB71" s="632" t="str">
        <f ca="1">IF(INDIRECT(CONCATENATE($FK$12,Fixtures!JB$25))="","",IF(INDIRECT(CONCATENATE($FK$12,Fixtures!JB$25))=Fixtures!$DN71,CONCATENATE(JB$10,", "),""))</f>
        <v/>
      </c>
      <c r="JC71" s="632" t="str">
        <f ca="1">IF(INDIRECT(CONCATENATE($FK$12,Fixtures!JC$25))="","",IF(INDIRECT(CONCATENATE($FK$12,Fixtures!JC$25))=Fixtures!$DN71,CONCATENATE(JC$10,", "),""))</f>
        <v/>
      </c>
      <c r="JD71" s="632" t="str">
        <f ca="1">IF(INDIRECT(CONCATENATE($FK$12,Fixtures!JD$25))="","",IF(INDIRECT(CONCATENATE($FK$12,Fixtures!JD$25))=Fixtures!$DN71,CONCATENATE(JD$10,", "),""))</f>
        <v/>
      </c>
      <c r="JE71" s="632" t="str">
        <f ca="1">IF(INDIRECT(CONCATENATE($FK$12,Fixtures!JE$25))="","",IF(INDIRECT(CONCATENATE($FK$12,Fixtures!JE$25))=Fixtures!$DN71,CONCATENATE(JE$10,", "),""))</f>
        <v/>
      </c>
      <c r="JF71" s="606" t="str">
        <f ca="1">IF(INDIRECT(CONCATENATE($FK$12,Fixtures!JF$25))="","",IF(INDIRECT(CONCATENATE($FK$12,Fixtures!JF$25))=Fixtures!$DN71,CONCATENATE(JF$10,", "),""))</f>
        <v/>
      </c>
      <c r="JG71" s="607" t="str">
        <f ca="1">IF(INDIRECT(CONCATENATE($FK$12,Fixtures!JG$25))="","",IF(INDIRECT(CONCATENATE($FK$12,Fixtures!JG$25))=Fixtures!$DN71,CONCATENATE(JG$10,", "),""))</f>
        <v/>
      </c>
      <c r="JH71" s="632" t="str">
        <f ca="1">IF(INDIRECT(CONCATENATE($FK$12,Fixtures!JH$25))="","",IF(INDIRECT(CONCATENATE($FK$12,Fixtures!JH$25))=Fixtures!$DN71,CONCATENATE(JH$10,", "),""))</f>
        <v/>
      </c>
      <c r="JI71" s="632" t="str">
        <f ca="1">IF(INDIRECT(CONCATENATE($FK$12,Fixtures!JI$25))="","",IF(INDIRECT(CONCATENATE($FK$12,Fixtures!JI$25))=Fixtures!$DN71,CONCATENATE(JI$10,", "),""))</f>
        <v/>
      </c>
      <c r="JJ71" s="632" t="str">
        <f ca="1">IF(INDIRECT(CONCATENATE($FK$12,Fixtures!JJ$25))="","",IF(INDIRECT(CONCATENATE($FK$12,Fixtures!JJ$25))=Fixtures!$DN71,CONCATENATE(JJ$10,", "),""))</f>
        <v/>
      </c>
      <c r="JK71" s="632" t="str">
        <f ca="1">IF(INDIRECT(CONCATENATE($FK$12,Fixtures!JK$25))="","",IF(INDIRECT(CONCATENATE($FK$12,Fixtures!JK$25))=Fixtures!$DN71,CONCATENATE(JK$10,", "),""))</f>
        <v/>
      </c>
      <c r="JL71" s="632" t="str">
        <f ca="1">IF(INDIRECT(CONCATENATE($FK$12,Fixtures!JL$25))="","",IF(INDIRECT(CONCATENATE($FK$12,Fixtures!JL$25))=Fixtures!$DN71,CONCATENATE(JL$10,", "),""))</f>
        <v/>
      </c>
      <c r="JM71" s="632" t="str">
        <f ca="1">IF(INDIRECT(CONCATENATE($FK$12,Fixtures!JM$25))="","",IF(INDIRECT(CONCATENATE($FK$12,Fixtures!JM$25))=Fixtures!$DN71,CONCATENATE(JM$10,", "),""))</f>
        <v/>
      </c>
      <c r="JN71" s="632" t="str">
        <f ca="1">IF(INDIRECT(CONCATENATE($FK$12,Fixtures!JN$25))="","",IF(INDIRECT(CONCATENATE($FK$12,Fixtures!JN$25))=Fixtures!$DN71,CONCATENATE(JN$10,", "),""))</f>
        <v/>
      </c>
      <c r="JO71" s="632" t="str">
        <f ca="1">IF(INDIRECT(CONCATENATE($FK$12,Fixtures!JO$25))="","",IF(INDIRECT(CONCATENATE($FK$12,Fixtures!JO$25))=Fixtures!$DN71,CONCATENATE(JO$10,", "),""))</f>
        <v/>
      </c>
      <c r="JP71" s="632" t="str">
        <f ca="1">IF(INDIRECT(CONCATENATE($FK$12,Fixtures!JP$25))="","",IF(INDIRECT(CONCATENATE($FK$12,Fixtures!JP$25))=Fixtures!$DN71,CONCATENATE(JP$10,", "),""))</f>
        <v/>
      </c>
      <c r="JQ71" s="632" t="str">
        <f ca="1">IF(INDIRECT(CONCATENATE($FK$12,Fixtures!JQ$25))="","",IF(INDIRECT(CONCATENATE($FK$12,Fixtures!JQ$25))=Fixtures!$DN71,CONCATENATE(JQ$10,", "),""))</f>
        <v/>
      </c>
      <c r="JR71" s="632" t="str">
        <f ca="1">IF(INDIRECT(CONCATENATE($FK$12,Fixtures!JR$25))="","",IF(INDIRECT(CONCATENATE($FK$12,Fixtures!JR$25))=Fixtures!$DN71,CONCATENATE(JR$10,", "),""))</f>
        <v/>
      </c>
      <c r="JS71" s="632" t="str">
        <f ca="1">IF(INDIRECT(CONCATENATE($FK$12,Fixtures!JS$25))="","",IF(INDIRECT(CONCATENATE($FK$12,Fixtures!JS$25))=Fixtures!$DN71,CONCATENATE(JS$10,", "),""))</f>
        <v/>
      </c>
      <c r="JT71" s="632" t="str">
        <f ca="1">IF(INDIRECT(CONCATENATE($FK$12,Fixtures!JT$25))="","",IF(INDIRECT(CONCATENATE($FK$12,Fixtures!JT$25))=Fixtures!$DN71,CONCATENATE(JT$10,", "),""))</f>
        <v/>
      </c>
      <c r="JU71" s="606" t="str">
        <f ca="1">IF(INDIRECT(CONCATENATE($FK$12,Fixtures!JU$25))="","",IF(INDIRECT(CONCATENATE($FK$12,Fixtures!JU$25))=Fixtures!$DN71,CONCATENATE(JU$10,", "),""))</f>
        <v/>
      </c>
      <c r="JV71" s="607" t="str">
        <f ca="1">IF(INDIRECT(CONCATENATE($FK$12,Fixtures!JV$25))="","",IF(INDIRECT(CONCATENATE($FK$12,Fixtures!JV$25))=Fixtures!$DN71,CONCATENATE(JV$10,", "),""))</f>
        <v/>
      </c>
      <c r="JW71" s="632" t="str">
        <f ca="1">IF(INDIRECT(CONCATENATE($FK$12,Fixtures!JW$25))="","",IF(INDIRECT(CONCATENATE($FK$12,Fixtures!JW$25))=Fixtures!$DN71,CONCATENATE(JW$10,", "),""))</f>
        <v/>
      </c>
      <c r="JX71" s="632" t="str">
        <f ca="1">IF(INDIRECT(CONCATENATE($FK$12,Fixtures!JX$25))="","",IF(INDIRECT(CONCATENATE($FK$12,Fixtures!JX$25))=Fixtures!$DN71,CONCATENATE(JX$10,", "),""))</f>
        <v/>
      </c>
      <c r="JY71" s="632" t="str">
        <f ca="1">IF(INDIRECT(CONCATENATE($FK$12,Fixtures!JY$25))="","",IF(INDIRECT(CONCATENATE($FK$12,Fixtures!JY$25))=Fixtures!$DN71,CONCATENATE(JY$10,", "),""))</f>
        <v/>
      </c>
      <c r="JZ71" s="632" t="str">
        <f ca="1">IF(INDIRECT(CONCATENATE($FK$12,Fixtures!JZ$25))="","",IF(INDIRECT(CONCATENATE($FK$12,Fixtures!JZ$25))=Fixtures!$DN71,CONCATENATE(JZ$10,", "),""))</f>
        <v/>
      </c>
      <c r="KA71" s="632" t="str">
        <f ca="1">IF(INDIRECT(CONCATENATE($FK$12,Fixtures!KA$25))="","",IF(INDIRECT(CONCATENATE($FK$12,Fixtures!KA$25))=Fixtures!$DN71,CONCATENATE(KA$10,", "),""))</f>
        <v/>
      </c>
      <c r="KB71" s="632" t="str">
        <f ca="1">IF(INDIRECT(CONCATENATE($FK$12,Fixtures!KB$25))="","",IF(INDIRECT(CONCATENATE($FK$12,Fixtures!KB$25))=Fixtures!$DN71,CONCATENATE(KB$10,", "),""))</f>
        <v/>
      </c>
      <c r="KC71" s="632" t="str">
        <f ca="1">IF(INDIRECT(CONCATENATE($FK$12,Fixtures!KC$25))="","",IF(INDIRECT(CONCATENATE($FK$12,Fixtures!KC$25))=Fixtures!$DN71,CONCATENATE(KC$10,", "),""))</f>
        <v/>
      </c>
      <c r="KD71" s="632" t="str">
        <f ca="1">IF(INDIRECT(CONCATENATE($FK$12,Fixtures!KD$25))="","",IF(INDIRECT(CONCATENATE($FK$12,Fixtures!KD$25))=Fixtures!$DN71,CONCATENATE(KD$10,", "),""))</f>
        <v/>
      </c>
      <c r="KE71" s="632" t="str">
        <f ca="1">IF(INDIRECT(CONCATENATE($FK$12,Fixtures!KE$25))="","",IF(INDIRECT(CONCATENATE($FK$12,Fixtures!KE$25))=Fixtures!$DN71,CONCATENATE(KE$10,", "),""))</f>
        <v/>
      </c>
      <c r="KF71" s="632" t="str">
        <f ca="1">IF(INDIRECT(CONCATENATE($FK$12,Fixtures!KF$25))="","",IF(INDIRECT(CONCATENATE($FK$12,Fixtures!KF$25))=Fixtures!$DN71,CONCATENATE(KF$10,", "),""))</f>
        <v/>
      </c>
      <c r="KG71" s="632" t="str">
        <f ca="1">IF(INDIRECT(CONCATENATE($FK$12,Fixtures!KG$25))="","",IF(INDIRECT(CONCATENATE($FK$12,Fixtures!KG$25))=Fixtures!$DN71,CONCATENATE(KG$10,", "),""))</f>
        <v/>
      </c>
      <c r="KH71" s="632" t="str">
        <f ca="1">IF(INDIRECT(CONCATENATE($FK$12,Fixtures!KH$25))="","",IF(INDIRECT(CONCATENATE($FK$12,Fixtures!KH$25))=Fixtures!$DN71,CONCATENATE(KH$10,", "),""))</f>
        <v/>
      </c>
      <c r="KI71" s="632" t="str">
        <f ca="1">IF(INDIRECT(CONCATENATE($FK$12,Fixtures!KI$25))="","",IF(INDIRECT(CONCATENATE($FK$12,Fixtures!KI$25))=Fixtures!$DN71,CONCATENATE(KI$10,", "),""))</f>
        <v/>
      </c>
      <c r="KJ71" s="606" t="str">
        <f ca="1">IF(INDIRECT(CONCATENATE($FK$12,Fixtures!KJ$25))="","",IF(INDIRECT(CONCATENATE($FK$12,Fixtures!KJ$25))=Fixtures!$DN71,CONCATENATE(KJ$10,", "),""))</f>
        <v/>
      </c>
      <c r="KK71" s="607" t="str">
        <f ca="1">IF(INDIRECT(CONCATENATE($FK$12,Fixtures!KK$25))="","",IF(INDIRECT(CONCATENATE($FK$12,Fixtures!KK$25))=Fixtures!$DN71,CONCATENATE(KK$10,", "),""))</f>
        <v/>
      </c>
      <c r="KL71" s="632" t="str">
        <f ca="1">IF(INDIRECT(CONCATENATE($FK$12,Fixtures!KL$25))="","",IF(INDIRECT(CONCATENATE($FK$12,Fixtures!KL$25))=Fixtures!$DN71,CONCATENATE(KL$10,", "),""))</f>
        <v/>
      </c>
      <c r="KM71" s="632" t="str">
        <f ca="1">IF(INDIRECT(CONCATENATE($FK$12,Fixtures!KM$25))="","",IF(INDIRECT(CONCATENATE($FK$12,Fixtures!KM$25))=Fixtures!$DN71,CONCATENATE(KM$10,", "),""))</f>
        <v/>
      </c>
      <c r="KN71" s="632" t="str">
        <f ca="1">IF(INDIRECT(CONCATENATE($FK$12,Fixtures!KN$25))="","",IF(INDIRECT(CONCATENATE($FK$12,Fixtures!KN$25))=Fixtures!$DN71,CONCATENATE(KN$10,", "),""))</f>
        <v/>
      </c>
      <c r="KO71" s="632" t="str">
        <f ca="1">IF(INDIRECT(CONCATENATE($FK$12,Fixtures!KO$25))="","",IF(INDIRECT(CONCATENATE($FK$12,Fixtures!KO$25))=Fixtures!$DN71,CONCATENATE(KO$10,", "),""))</f>
        <v/>
      </c>
      <c r="KP71" s="632" t="str">
        <f ca="1">IF(INDIRECT(CONCATENATE($FK$12,Fixtures!KP$25))="","",IF(INDIRECT(CONCATENATE($FK$12,Fixtures!KP$25))=Fixtures!$DN71,CONCATENATE(KP$10,", "),""))</f>
        <v/>
      </c>
      <c r="KQ71" s="632" t="str">
        <f ca="1">IF(INDIRECT(CONCATENATE($FK$12,Fixtures!KQ$25))="","",IF(INDIRECT(CONCATENATE($FK$12,Fixtures!KQ$25))=Fixtures!$DN71,CONCATENATE(KQ$10,", "),""))</f>
        <v/>
      </c>
      <c r="KR71" s="632" t="str">
        <f ca="1">IF(INDIRECT(CONCATENATE($FK$12,Fixtures!KR$25))="","",IF(INDIRECT(CONCATENATE($FK$12,Fixtures!KR$25))=Fixtures!$DN71,CONCATENATE(KR$10,", "),""))</f>
        <v/>
      </c>
      <c r="KS71" s="632" t="str">
        <f ca="1">IF(INDIRECT(CONCATENATE($FK$12,Fixtures!KS$25))="","",IF(INDIRECT(CONCATENATE($FK$12,Fixtures!KS$25))=Fixtures!$DN71,CONCATENATE(KS$10,", "),""))</f>
        <v/>
      </c>
      <c r="KT71" s="632" t="str">
        <f ca="1">IF(INDIRECT(CONCATENATE($FK$12,Fixtures!KT$25))="","",IF(INDIRECT(CONCATENATE($FK$12,Fixtures!KT$25))=Fixtures!$DN71,CONCATENATE(KT$10,", "),""))</f>
        <v/>
      </c>
      <c r="KU71" s="632" t="str">
        <f ca="1">IF(INDIRECT(CONCATENATE($FK$12,Fixtures!KU$25))="","",IF(INDIRECT(CONCATENATE($FK$12,Fixtures!KU$25))=Fixtures!$DN71,CONCATENATE(KU$10,", "),""))</f>
        <v/>
      </c>
      <c r="KV71" s="632" t="str">
        <f ca="1">IF(INDIRECT(CONCATENATE($FK$12,Fixtures!KV$25))="","",IF(INDIRECT(CONCATENATE($FK$12,Fixtures!KV$25))=Fixtures!$DN71,CONCATENATE(KV$10,", "),""))</f>
        <v/>
      </c>
      <c r="KW71" s="632" t="str">
        <f ca="1">IF(INDIRECT(CONCATENATE($FK$12,Fixtures!KW$25))="","",IF(INDIRECT(CONCATENATE($FK$12,Fixtures!KW$25))=Fixtures!$DN71,CONCATENATE(KW$10,", "),""))</f>
        <v/>
      </c>
      <c r="KX71" s="632" t="str">
        <f ca="1">IF(INDIRECT(CONCATENATE($FK$12,Fixtures!KX$25))="","",IF(INDIRECT(CONCATENATE($FK$12,Fixtures!KX$25))=Fixtures!$DN71,CONCATENATE(KX$10,", "),""))</f>
        <v/>
      </c>
      <c r="KY71" s="632"/>
      <c r="KZ71" s="542"/>
      <c r="LA71" s="46" t="str">
        <f t="shared" ca="1" si="37"/>
        <v/>
      </c>
      <c r="LB71" s="46"/>
      <c r="LC71" s="1010"/>
      <c r="LD71" s="1009" t="str">
        <f t="shared" si="20"/>
        <v/>
      </c>
    </row>
    <row r="72" spans="1:316" ht="28.2" customHeight="1" thickTop="1" thickBot="1">
      <c r="A72" s="426" t="str">
        <f t="shared" si="13"/>
        <v/>
      </c>
      <c r="C72" s="1640" t="str">
        <f t="shared" si="14"/>
        <v/>
      </c>
      <c r="D72" s="1641"/>
      <c r="E72" s="1568" t="str">
        <f t="shared" si="15"/>
        <v/>
      </c>
      <c r="F72" s="1569"/>
      <c r="G72" s="1569"/>
      <c r="H72" s="1569"/>
      <c r="I72" s="1569"/>
      <c r="J72" s="1569"/>
      <c r="K72" s="1569"/>
      <c r="L72" s="1569"/>
      <c r="M72" s="1642"/>
      <c r="N72" s="203" t="str">
        <f t="shared" si="16"/>
        <v/>
      </c>
      <c r="O72" s="12"/>
      <c r="P72" s="1638" t="str">
        <f t="shared" si="25"/>
        <v/>
      </c>
      <c r="Q72" s="1639"/>
      <c r="R72" s="1568" t="str">
        <f t="shared" si="30"/>
        <v/>
      </c>
      <c r="S72" s="1569"/>
      <c r="T72" s="1569"/>
      <c r="U72" s="1569"/>
      <c r="V72" s="1569"/>
      <c r="W72" s="1569"/>
      <c r="X72" s="1569"/>
      <c r="Y72" s="203" t="str">
        <f t="shared" si="26"/>
        <v/>
      </c>
      <c r="Z72" s="203" t="str">
        <f t="shared" si="27"/>
        <v/>
      </c>
      <c r="AA72" s="394" t="str">
        <f t="shared" si="28"/>
        <v/>
      </c>
      <c r="AB72" s="489"/>
      <c r="AC72" s="1564" t="str">
        <f t="shared" si="18"/>
        <v/>
      </c>
      <c r="AD72" s="1565"/>
      <c r="AE72" s="1565"/>
      <c r="AF72" s="1565"/>
      <c r="AG72" s="1565"/>
      <c r="AH72" s="1565"/>
      <c r="AK72">
        <f>SUMIFS(Installations!CV$46:CV$803,Installations!CW$46:CW$803,E72,Installations!IC$46:IC$803,TRUE)</f>
        <v>0</v>
      </c>
      <c r="AL72">
        <f>SUMIFS(Installations!CV$46:CV$803,Installations!CW$46:CW$803,R72,Installations!IC$46:IC$803,TRUE)</f>
        <v>0</v>
      </c>
      <c r="BL72" s="9"/>
      <c r="BM72" s="622" t="str">
        <f t="shared" si="19"/>
        <v/>
      </c>
      <c r="BN72" s="52"/>
      <c r="BO72" s="52"/>
      <c r="BP72" s="52"/>
      <c r="BQ72" s="52"/>
      <c r="BR72" s="52"/>
      <c r="BS72" s="52"/>
      <c r="BT72" s="52"/>
      <c r="BU72" s="373"/>
      <c r="BV72" s="219" t="str">
        <f>IF(CN72&lt;&gt;"Yes","",IFERROR(VLOOKUP(CU72,Existing!A$4:F$367,2,FALSE),""))</f>
        <v/>
      </c>
      <c r="BW72" s="9">
        <v>46</v>
      </c>
      <c r="BX72" s="1625"/>
      <c r="BY72" s="1626"/>
      <c r="BZ72" s="1626"/>
      <c r="CA72" s="1627"/>
      <c r="CB72" s="1622"/>
      <c r="CC72" s="1623"/>
      <c r="CD72" s="1623"/>
      <c r="CE72" s="1624"/>
      <c r="CF72" s="1621"/>
      <c r="CG72" s="1621"/>
      <c r="CH72" s="1621"/>
      <c r="CI72" s="1621"/>
      <c r="CJ72" s="1621"/>
      <c r="CK72" s="1621"/>
      <c r="CL72" s="1621"/>
      <c r="CM72" s="1621"/>
      <c r="CN72" s="1553" t="str">
        <f t="shared" si="31"/>
        <v/>
      </c>
      <c r="CO72" s="1554"/>
      <c r="CP72" s="229" t="str">
        <f>IFERROR(IF(CB72="Existing TLED",CR72*CW72*CY72,VLOOKUP(CU72,Existing!A$3:F$356,6,FALSE)),"")</f>
        <v/>
      </c>
      <c r="CQ72" s="9"/>
      <c r="CR72" s="1660"/>
      <c r="CS72" s="1661"/>
      <c r="CT72" s="9"/>
      <c r="CU72" s="425" t="str">
        <f t="shared" si="21"/>
        <v/>
      </c>
      <c r="CV72" s="426" t="b">
        <f t="shared" si="22"/>
        <v>0</v>
      </c>
      <c r="CW72" s="426" t="str">
        <f t="shared" si="23"/>
        <v/>
      </c>
      <c r="CX72" s="426">
        <f>IFERROR(VLOOKUP(CF72,Lookup!T$100:V$102,3,FALSE),0)</f>
        <v>0</v>
      </c>
      <c r="CY72" s="426">
        <f t="shared" si="8"/>
        <v>1.1100000000000001</v>
      </c>
      <c r="CZ72" s="626" t="b">
        <f t="shared" si="32"/>
        <v>0</v>
      </c>
      <c r="DA72" s="626" t="b">
        <f>IF(CF72&lt;&gt;"",IF(ISERROR(MATCH(CONCATENATE(CB72," - ",CF72),Existing!G$4:G$331,0))=TRUE,FALSE,TRUE),TRUE)</f>
        <v>1</v>
      </c>
      <c r="DB72" s="626" t="b">
        <f t="shared" si="33"/>
        <v>1</v>
      </c>
      <c r="DL72" s="9"/>
      <c r="DM72" s="627" t="s">
        <v>215</v>
      </c>
      <c r="DN72" s="375" t="str">
        <f t="shared" si="34"/>
        <v/>
      </c>
      <c r="DO72" s="52"/>
      <c r="DP72" s="52"/>
      <c r="DQ72" s="52"/>
      <c r="DR72" s="52"/>
      <c r="DS72" s="52"/>
      <c r="DT72" s="226"/>
      <c r="DU72" s="376"/>
      <c r="DV72" s="227" t="str">
        <f t="shared" si="35"/>
        <v/>
      </c>
      <c r="DW72" s="224">
        <v>46</v>
      </c>
      <c r="DX72" s="1572"/>
      <c r="DY72" s="1573"/>
      <c r="DZ72" s="1573"/>
      <c r="EA72" s="1574"/>
      <c r="EB72" s="1618"/>
      <c r="EC72" s="1619"/>
      <c r="ED72" s="1619"/>
      <c r="EE72" s="1620"/>
      <c r="EF72" s="1578"/>
      <c r="EG72" s="1579"/>
      <c r="EH72" s="1618"/>
      <c r="EI72" s="1619"/>
      <c r="EJ72" s="1619"/>
      <c r="EK72" s="1620"/>
      <c r="EL72" s="1575"/>
      <c r="EM72" s="1576"/>
      <c r="EN72" s="1576"/>
      <c r="EO72" s="1577"/>
      <c r="EP72" s="1578"/>
      <c r="EQ72" s="1579"/>
      <c r="ER72" s="1555"/>
      <c r="ES72" s="1556"/>
      <c r="ET72" s="1553" t="str">
        <f t="shared" si="9"/>
        <v/>
      </c>
      <c r="EU72" s="1554"/>
      <c r="EV72" s="1553" t="str">
        <f t="shared" si="29"/>
        <v/>
      </c>
      <c r="EW72" s="1554"/>
      <c r="EX72" s="393"/>
      <c r="EY72" s="225" t="str">
        <f t="shared" si="36"/>
        <v/>
      </c>
      <c r="EZ72" s="225" t="str">
        <f>IFERROR(VLOOKUP(EB72,Lookup!AT$3:AU$13,2,FALSE),"")</f>
        <v/>
      </c>
      <c r="FA72" s="426" t="b">
        <f>IFERROR(IF(VLOOKUP(EB72,Lookup!AT$6:AU$8,2,FALSE)&gt;3,TRUE,FALSE),FALSE)</f>
        <v>0</v>
      </c>
      <c r="FB72" s="426" t="str">
        <f t="shared" si="10"/>
        <v/>
      </c>
      <c r="FC72" t="str">
        <f t="shared" ca="1" si="11"/>
        <v/>
      </c>
      <c r="FG72" t="str">
        <f t="shared" ca="1" si="12"/>
        <v/>
      </c>
      <c r="FI72" s="204" t="str">
        <f t="shared" ca="1" si="24"/>
        <v/>
      </c>
      <c r="FK72" s="631" t="str">
        <f ca="1">IF(INDIRECT(CONCATENATE($FK$12,Fixtures!FK$25))="","",IF(INDIRECT(CONCATENATE($FK$12,Fixtures!FK$25))=Fixtures!$DN72,CONCATENATE(FK$10,", "),""))</f>
        <v/>
      </c>
      <c r="FL72" s="631" t="str">
        <f ca="1">IF(INDIRECT(CONCATENATE($FK$12,Fixtures!FL$25))="","",IF(INDIRECT(CONCATENATE($FK$12,Fixtures!FL$25))=Fixtures!$DN72,CONCATENATE(FL$10,", "),""))</f>
        <v/>
      </c>
      <c r="FM72" s="631" t="str">
        <f ca="1">IF(INDIRECT(CONCATENATE($FK$12,Fixtures!FM$25))="","",IF(INDIRECT(CONCATENATE($FK$12,Fixtures!FM$25))=Fixtures!$DN72,CONCATENATE(FM$10,", "),""))</f>
        <v/>
      </c>
      <c r="FN72" s="631" t="str">
        <f ca="1">IF(INDIRECT(CONCATENATE($FK$12,Fixtures!FN$25))="","",IF(INDIRECT(CONCATENATE($FK$12,Fixtures!FN$25))=Fixtures!$DN72,CONCATENATE(FN$10,", "),""))</f>
        <v/>
      </c>
      <c r="FO72" s="631" t="str">
        <f ca="1">IF(INDIRECT(CONCATENATE($FK$12,Fixtures!FO$25))="","",IF(INDIRECT(CONCATENATE($FK$12,Fixtures!FO$25))=Fixtures!$DN72,CONCATENATE(FO$10,", "),""))</f>
        <v/>
      </c>
      <c r="FP72" s="631" t="str">
        <f ca="1">IF(INDIRECT(CONCATENATE($FK$12,Fixtures!FP$25))="","",IF(INDIRECT(CONCATENATE($FK$12,Fixtures!FP$25))=Fixtures!$DN72,CONCATENATE(FP$10,", "),""))</f>
        <v/>
      </c>
      <c r="FQ72" s="631" t="str">
        <f ca="1">IF(INDIRECT(CONCATENATE($FK$12,Fixtures!FQ$25))="","",IF(INDIRECT(CONCATENATE($FK$12,Fixtures!FQ$25))=Fixtures!$DN72,CONCATENATE(FQ$10,", "),""))</f>
        <v/>
      </c>
      <c r="FR72" s="631" t="str">
        <f ca="1">IF(INDIRECT(CONCATENATE($FK$12,Fixtures!FR$25))="","",IF(INDIRECT(CONCATENATE($FK$12,Fixtures!FR$25))=Fixtures!$DN72,CONCATENATE(FR$10,", "),""))</f>
        <v/>
      </c>
      <c r="FS72" s="631" t="str">
        <f ca="1">IF(INDIRECT(CONCATENATE($FK$12,Fixtures!FS$25))="","",IF(INDIRECT(CONCATENATE($FK$12,Fixtures!FS$25))=Fixtures!$DN72,CONCATENATE(FS$10,", "),""))</f>
        <v/>
      </c>
      <c r="FT72" s="604" t="str">
        <f ca="1">IF(INDIRECT(CONCATENATE($FK$12,Fixtures!FT$25))="","",IF(INDIRECT(CONCATENATE($FK$12,Fixtures!FT$25))=Fixtures!$DN72,CONCATENATE(FT$10,", "),""))</f>
        <v/>
      </c>
      <c r="FU72" s="605" t="str">
        <f ca="1">IF(INDIRECT(CONCATENATE($FK$12,Fixtures!FU$25))="","",IF(INDIRECT(CONCATENATE($FK$12,Fixtures!FU$25))=Fixtures!$DN72,CONCATENATE(FU$10,", "),""))</f>
        <v/>
      </c>
      <c r="FV72" s="631" t="str">
        <f ca="1">IF(INDIRECT(CONCATENATE($FK$12,Fixtures!FV$25))="","",IF(INDIRECT(CONCATENATE($FK$12,Fixtures!FV$25))=Fixtures!$DN72,CONCATENATE(FV$10,", "),""))</f>
        <v/>
      </c>
      <c r="FW72" s="632" t="str">
        <f ca="1">IF(INDIRECT(CONCATENATE($FK$12,Fixtures!FW$25))="","",IF(INDIRECT(CONCATENATE($FK$12,Fixtures!FW$25))=Fixtures!$DN72,CONCATENATE(FW$10,", "),""))</f>
        <v/>
      </c>
      <c r="FX72" s="632" t="str">
        <f ca="1">IF(INDIRECT(CONCATENATE($FK$12,Fixtures!FX$25))="","",IF(INDIRECT(CONCATENATE($FK$12,Fixtures!FX$25))=Fixtures!$DN72,CONCATENATE(FX$10,", "),""))</f>
        <v/>
      </c>
      <c r="FY72" s="632" t="str">
        <f ca="1">IF(INDIRECT(CONCATENATE($FK$12,Fixtures!FY$25))="","",IF(INDIRECT(CONCATENATE($FK$12,Fixtures!FY$25))=Fixtures!$DN72,CONCATENATE(FY$10,", "),""))</f>
        <v/>
      </c>
      <c r="FZ72" s="632" t="str">
        <f ca="1">IF(INDIRECT(CONCATENATE($FK$12,Fixtures!FZ$25))="","",IF(INDIRECT(CONCATENATE($FK$12,Fixtures!FZ$25))=Fixtures!$DN72,CONCATENATE(FZ$10,", "),""))</f>
        <v/>
      </c>
      <c r="GA72" s="632" t="str">
        <f ca="1">IF(INDIRECT(CONCATENATE($FK$12,Fixtures!GA$25))="","",IF(INDIRECT(CONCATENATE($FK$12,Fixtures!GA$25))=Fixtures!$DN72,CONCATENATE(GA$10,", "),""))</f>
        <v/>
      </c>
      <c r="GB72" s="632" t="str">
        <f ca="1">IF(INDIRECT(CONCATENATE($FK$12,Fixtures!GB$25))="","",IF(INDIRECT(CONCATENATE($FK$12,Fixtures!GB$25))=Fixtures!$DN72,CONCATENATE(GB$10,", "),""))</f>
        <v/>
      </c>
      <c r="GC72" s="632" t="str">
        <f ca="1">IF(INDIRECT(CONCATENATE($FK$12,Fixtures!GC$25))="","",IF(INDIRECT(CONCATENATE($FK$12,Fixtures!GC$25))=Fixtures!$DN72,CONCATENATE(GC$10,", "),""))</f>
        <v/>
      </c>
      <c r="GD72" s="632" t="str">
        <f ca="1">IF(INDIRECT(CONCATENATE($FK$12,Fixtures!GD$25))="","",IF(INDIRECT(CONCATENATE($FK$12,Fixtures!GD$25))=Fixtures!$DN72,CONCATENATE(GD$10,", "),""))</f>
        <v/>
      </c>
      <c r="GE72" s="632" t="str">
        <f ca="1">IF(INDIRECT(CONCATENATE($FK$12,Fixtures!GE$25))="","",IF(INDIRECT(CONCATENATE($FK$12,Fixtures!GE$25))=Fixtures!$DN72,CONCATENATE(GE$10,", "),""))</f>
        <v/>
      </c>
      <c r="GF72" s="632" t="str">
        <f ca="1">IF(INDIRECT(CONCATENATE($FK$12,Fixtures!GF$25))="","",IF(INDIRECT(CONCATENATE($FK$12,Fixtures!GF$25))=Fixtures!$DN72,CONCATENATE(GF$10,", "),""))</f>
        <v/>
      </c>
      <c r="GG72" s="632" t="str">
        <f ca="1">IF(INDIRECT(CONCATENATE($FK$12,Fixtures!GG$25))="","",IF(INDIRECT(CONCATENATE($FK$12,Fixtures!GG$25))=Fixtures!$DN72,CONCATENATE(GG$10,", "),""))</f>
        <v/>
      </c>
      <c r="GH72" s="632" t="str">
        <f ca="1">IF(INDIRECT(CONCATENATE($FK$12,Fixtures!GH$25))="","",IF(INDIRECT(CONCATENATE($FK$12,Fixtures!GH$25))=Fixtures!$DN72,CONCATENATE(GH$10,", "),""))</f>
        <v/>
      </c>
      <c r="GI72" s="606" t="str">
        <f ca="1">IF(INDIRECT(CONCATENATE($FK$12,Fixtures!GI$25))="","",IF(INDIRECT(CONCATENATE($FK$12,Fixtures!GI$25))=Fixtures!$DN72,CONCATENATE(GI$10,", "),""))</f>
        <v/>
      </c>
      <c r="GJ72" s="607" t="str">
        <f ca="1">IF(INDIRECT(CONCATENATE($FK$12,Fixtures!GJ$25))="","",IF(INDIRECT(CONCATENATE($FK$12,Fixtures!GJ$25))=Fixtures!$DN72,CONCATENATE(GJ$10,", "),""))</f>
        <v/>
      </c>
      <c r="GK72" s="632" t="str">
        <f ca="1">IF(INDIRECT(CONCATENATE($FK$12,Fixtures!GK$25))="","",IF(INDIRECT(CONCATENATE($FK$12,Fixtures!GK$25))=Fixtures!$DN72,CONCATENATE(GK$10,", "),""))</f>
        <v/>
      </c>
      <c r="GL72" s="632" t="str">
        <f ca="1">IF(INDIRECT(CONCATENATE($FK$12,Fixtures!GL$25))="","",IF(INDIRECT(CONCATENATE($FK$12,Fixtures!GL$25))=Fixtures!$DN72,CONCATENATE(GL$10,", "),""))</f>
        <v/>
      </c>
      <c r="GM72" s="632" t="str">
        <f ca="1">IF(INDIRECT(CONCATENATE($FK$12,Fixtures!GM$25))="","",IF(INDIRECT(CONCATENATE($FK$12,Fixtures!GM$25))=Fixtures!$DN72,CONCATENATE(GM$10,", "),""))</f>
        <v/>
      </c>
      <c r="GN72" s="632" t="str">
        <f ca="1">IF(INDIRECT(CONCATENATE($FK$12,Fixtures!GN$25))="","",IF(INDIRECT(CONCATENATE($FK$12,Fixtures!GN$25))=Fixtures!$DN72,CONCATENATE(GN$10,", "),""))</f>
        <v/>
      </c>
      <c r="GO72" s="632" t="str">
        <f ca="1">IF(INDIRECT(CONCATENATE($FK$12,Fixtures!GO$25))="","",IF(INDIRECT(CONCATENATE($FK$12,Fixtures!GO$25))=Fixtures!$DN72,CONCATENATE(GO$10,", "),""))</f>
        <v/>
      </c>
      <c r="GP72" s="632" t="str">
        <f ca="1">IF(INDIRECT(CONCATENATE($FK$12,Fixtures!GP$25))="","",IF(INDIRECT(CONCATENATE($FK$12,Fixtures!GP$25))=Fixtures!$DN72,CONCATENATE(GP$10,", "),""))</f>
        <v/>
      </c>
      <c r="GQ72" s="632" t="str">
        <f ca="1">IF(INDIRECT(CONCATENATE($FK$12,Fixtures!GQ$25))="","",IF(INDIRECT(CONCATENATE($FK$12,Fixtures!GQ$25))=Fixtures!$DN72,CONCATENATE(GQ$10,", "),""))</f>
        <v/>
      </c>
      <c r="GR72" s="632" t="str">
        <f ca="1">IF(INDIRECT(CONCATENATE($FK$12,Fixtures!GR$25))="","",IF(INDIRECT(CONCATENATE($FK$12,Fixtures!GR$25))=Fixtures!$DN72,CONCATENATE(GR$10,", "),""))</f>
        <v/>
      </c>
      <c r="GS72" s="632" t="str">
        <f ca="1">IF(INDIRECT(CONCATENATE($FK$12,Fixtures!GS$25))="","",IF(INDIRECT(CONCATENATE($FK$12,Fixtures!GS$25))=Fixtures!$DN72,CONCATENATE(GS$10,", "),""))</f>
        <v/>
      </c>
      <c r="GT72" s="632" t="str">
        <f ca="1">IF(INDIRECT(CONCATENATE($FK$12,Fixtures!GT$25))="","",IF(INDIRECT(CONCATENATE($FK$12,Fixtures!GT$25))=Fixtures!$DN72,CONCATENATE(GT$10,", "),""))</f>
        <v/>
      </c>
      <c r="GU72" s="632" t="str">
        <f ca="1">IF(INDIRECT(CONCATENATE($FK$12,Fixtures!GU$25))="","",IF(INDIRECT(CONCATENATE($FK$12,Fixtures!GU$25))=Fixtures!$DN72,CONCATENATE(GU$10,", "),""))</f>
        <v/>
      </c>
      <c r="GV72" s="632" t="str">
        <f ca="1">IF(INDIRECT(CONCATENATE($FK$12,Fixtures!GV$25))="","",IF(INDIRECT(CONCATENATE($FK$12,Fixtures!GV$25))=Fixtures!$DN72,CONCATENATE(GV$10,", "),""))</f>
        <v/>
      </c>
      <c r="GW72" s="632" t="str">
        <f ca="1">IF(INDIRECT(CONCATENATE($FK$12,Fixtures!GW$25))="","",IF(INDIRECT(CONCATENATE($FK$12,Fixtures!GW$25))=Fixtures!$DN72,CONCATENATE(GW$10,", "),""))</f>
        <v/>
      </c>
      <c r="GX72" s="606" t="str">
        <f ca="1">IF(INDIRECT(CONCATENATE($FK$12,Fixtures!GX$25))="","",IF(INDIRECT(CONCATENATE($FK$12,Fixtures!GX$25))=Fixtures!$DN72,CONCATENATE(GX$10,", "),""))</f>
        <v/>
      </c>
      <c r="GY72" s="607" t="str">
        <f ca="1">IF(INDIRECT(CONCATENATE($FK$12,Fixtures!GY$25))="","",IF(INDIRECT(CONCATENATE($FK$12,Fixtures!GY$25))=Fixtures!$DN72,CONCATENATE(GY$10,", "),""))</f>
        <v/>
      </c>
      <c r="GZ72" s="632" t="str">
        <f ca="1">IF(INDIRECT(CONCATENATE($FK$12,Fixtures!GZ$25))="","",IF(INDIRECT(CONCATENATE($FK$12,Fixtures!GZ$25))=Fixtures!$DN72,CONCATENATE(GZ$10,", "),""))</f>
        <v/>
      </c>
      <c r="HA72" s="632" t="str">
        <f ca="1">IF(INDIRECT(CONCATENATE($FK$12,Fixtures!HA$25))="","",IF(INDIRECT(CONCATENATE($FK$12,Fixtures!HA$25))=Fixtures!$DN72,CONCATENATE(HA$10,", "),""))</f>
        <v/>
      </c>
      <c r="HB72" s="632" t="str">
        <f ca="1">IF(INDIRECT(CONCATENATE($FK$12,Fixtures!HB$25))="","",IF(INDIRECT(CONCATENATE($FK$12,Fixtures!HB$25))=Fixtures!$DN72,CONCATENATE(HB$10,", "),""))</f>
        <v/>
      </c>
      <c r="HC72" s="632" t="str">
        <f ca="1">IF(INDIRECT(CONCATENATE($FK$12,Fixtures!HC$25))="","",IF(INDIRECT(CONCATENATE($FK$12,Fixtures!HC$25))=Fixtures!$DN72,CONCATENATE(HC$10,", "),""))</f>
        <v/>
      </c>
      <c r="HD72" s="632" t="str">
        <f ca="1">IF(INDIRECT(CONCATENATE($FK$12,Fixtures!HD$25))="","",IF(INDIRECT(CONCATENATE($FK$12,Fixtures!HD$25))=Fixtures!$DN72,CONCATENATE(HD$10,", "),""))</f>
        <v/>
      </c>
      <c r="HE72" s="632" t="str">
        <f ca="1">IF(INDIRECT(CONCATENATE($FK$12,Fixtures!HE$25))="","",IF(INDIRECT(CONCATENATE($FK$12,Fixtures!HE$25))=Fixtures!$DN72,CONCATENATE(HE$10,", "),""))</f>
        <v/>
      </c>
      <c r="HF72" s="632" t="str">
        <f ca="1">IF(INDIRECT(CONCATENATE($FK$12,Fixtures!HF$25))="","",IF(INDIRECT(CONCATENATE($FK$12,Fixtures!HF$25))=Fixtures!$DN72,CONCATENATE(HF$10,", "),""))</f>
        <v/>
      </c>
      <c r="HG72" s="632" t="str">
        <f ca="1">IF(INDIRECT(CONCATENATE($FK$12,Fixtures!HG$25))="","",IF(INDIRECT(CONCATENATE($FK$12,Fixtures!HG$25))=Fixtures!$DN72,CONCATENATE(HG$10,", "),""))</f>
        <v/>
      </c>
      <c r="HH72" s="632" t="str">
        <f ca="1">IF(INDIRECT(CONCATENATE($FK$12,Fixtures!HH$25))="","",IF(INDIRECT(CONCATENATE($FK$12,Fixtures!HH$25))=Fixtures!$DN72,CONCATENATE(HH$10,", "),""))</f>
        <v/>
      </c>
      <c r="HI72" s="632" t="str">
        <f ca="1">IF(INDIRECT(CONCATENATE($FK$12,Fixtures!HI$25))="","",IF(INDIRECT(CONCATENATE($FK$12,Fixtures!HI$25))=Fixtures!$DN72,CONCATENATE(HI$10,", "),""))</f>
        <v/>
      </c>
      <c r="HJ72" s="632" t="str">
        <f ca="1">IF(INDIRECT(CONCATENATE($FK$12,Fixtures!HJ$25))="","",IF(INDIRECT(CONCATENATE($FK$12,Fixtures!HJ$25))=Fixtures!$DN72,CONCATENATE(HJ$10,", "),""))</f>
        <v/>
      </c>
      <c r="HK72" s="632" t="str">
        <f ca="1">IF(INDIRECT(CONCATENATE($FK$12,Fixtures!HK$25))="","",IF(INDIRECT(CONCATENATE($FK$12,Fixtures!HK$25))=Fixtures!$DN72,CONCATENATE(HK$10,", "),""))</f>
        <v/>
      </c>
      <c r="HL72" s="632" t="str">
        <f ca="1">IF(INDIRECT(CONCATENATE($FK$12,Fixtures!HL$25))="","",IF(INDIRECT(CONCATENATE($FK$12,Fixtures!HL$25))=Fixtures!$DN72,CONCATENATE(HL$10,", "),""))</f>
        <v/>
      </c>
      <c r="HM72" s="606" t="str">
        <f ca="1">IF(INDIRECT(CONCATENATE($FK$12,Fixtures!HM$25))="","",IF(INDIRECT(CONCATENATE($FK$12,Fixtures!HM$25))=Fixtures!$DN72,CONCATENATE(HM$10,", "),""))</f>
        <v/>
      </c>
      <c r="HN72" s="607" t="str">
        <f ca="1">IF(INDIRECT(CONCATENATE($FK$12,Fixtures!HN$25))="","",IF(INDIRECT(CONCATENATE($FK$12,Fixtures!HN$25))=Fixtures!$DN72,CONCATENATE(HN$10,", "),""))</f>
        <v/>
      </c>
      <c r="HO72" s="632" t="str">
        <f ca="1">IF(INDIRECT(CONCATENATE($FK$12,Fixtures!HO$25))="","",IF(INDIRECT(CONCATENATE($FK$12,Fixtures!HO$25))=Fixtures!$DN72,CONCATENATE(HO$10,", "),""))</f>
        <v/>
      </c>
      <c r="HP72" s="632" t="str">
        <f ca="1">IF(INDIRECT(CONCATENATE($FK$12,Fixtures!HP$25))="","",IF(INDIRECT(CONCATENATE($FK$12,Fixtures!HP$25))=Fixtures!$DN72,CONCATENATE(HP$10,", "),""))</f>
        <v/>
      </c>
      <c r="HQ72" s="632" t="str">
        <f ca="1">IF(INDIRECT(CONCATENATE($FK$12,Fixtures!HQ$25))="","",IF(INDIRECT(CONCATENATE($FK$12,Fixtures!HQ$25))=Fixtures!$DN72,CONCATENATE(HQ$10,", "),""))</f>
        <v/>
      </c>
      <c r="HR72" s="632" t="str">
        <f ca="1">IF(INDIRECT(CONCATENATE($FK$12,Fixtures!HR$25))="","",IF(INDIRECT(CONCATENATE($FK$12,Fixtures!HR$25))=Fixtures!$DN72,CONCATENATE(HR$10,", "),""))</f>
        <v/>
      </c>
      <c r="HS72" s="632" t="str">
        <f ca="1">IF(INDIRECT(CONCATENATE($FK$12,Fixtures!HS$25))="","",IF(INDIRECT(CONCATENATE($FK$12,Fixtures!HS$25))=Fixtures!$DN72,CONCATENATE(HS$10,", "),""))</f>
        <v/>
      </c>
      <c r="HT72" s="632" t="str">
        <f ca="1">IF(INDIRECT(CONCATENATE($FK$12,Fixtures!HT$25))="","",IF(INDIRECT(CONCATENATE($FK$12,Fixtures!HT$25))=Fixtures!$DN72,CONCATENATE(HT$10,", "),""))</f>
        <v/>
      </c>
      <c r="HU72" s="632" t="str">
        <f ca="1">IF(INDIRECT(CONCATENATE($FK$12,Fixtures!HU$25))="","",IF(INDIRECT(CONCATENATE($FK$12,Fixtures!HU$25))=Fixtures!$DN72,CONCATENATE(HU$10,", "),""))</f>
        <v/>
      </c>
      <c r="HV72" s="632" t="str">
        <f ca="1">IF(INDIRECT(CONCATENATE($FK$12,Fixtures!HV$25))="","",IF(INDIRECT(CONCATENATE($FK$12,Fixtures!HV$25))=Fixtures!$DN72,CONCATENATE(HV$10,", "),""))</f>
        <v/>
      </c>
      <c r="HW72" s="632" t="str">
        <f ca="1">IF(INDIRECT(CONCATENATE($FK$12,Fixtures!HW$25))="","",IF(INDIRECT(CONCATENATE($FK$12,Fixtures!HW$25))=Fixtures!$DN72,CONCATENATE(HW$10,", "),""))</f>
        <v/>
      </c>
      <c r="HX72" s="632" t="str">
        <f ca="1">IF(INDIRECT(CONCATENATE($FK$12,Fixtures!HX$25))="","",IF(INDIRECT(CONCATENATE($FK$12,Fixtures!HX$25))=Fixtures!$DN72,CONCATENATE(HX$10,", "),""))</f>
        <v/>
      </c>
      <c r="HY72" s="632" t="str">
        <f ca="1">IF(INDIRECT(CONCATENATE($FK$12,Fixtures!HY$25))="","",IF(INDIRECT(CONCATENATE($FK$12,Fixtures!HY$25))=Fixtures!$DN72,CONCATENATE(HY$10,", "),""))</f>
        <v/>
      </c>
      <c r="HZ72" s="632" t="str">
        <f ca="1">IF(INDIRECT(CONCATENATE($FK$12,Fixtures!HZ$25))="","",IF(INDIRECT(CONCATENATE($FK$12,Fixtures!HZ$25))=Fixtures!$DN72,CONCATENATE(HZ$10,", "),""))</f>
        <v/>
      </c>
      <c r="IA72" s="632" t="str">
        <f ca="1">IF(INDIRECT(CONCATENATE($FK$12,Fixtures!IA$25))="","",IF(INDIRECT(CONCATENATE($FK$12,Fixtures!IA$25))=Fixtures!$DN72,CONCATENATE(IA$10,", "),""))</f>
        <v/>
      </c>
      <c r="IB72" s="606" t="str">
        <f ca="1">IF(INDIRECT(CONCATENATE($FK$12,Fixtures!IB$25))="","",IF(INDIRECT(CONCATENATE($FK$12,Fixtures!IB$25))=Fixtures!$DN72,CONCATENATE(IB$10,", "),""))</f>
        <v/>
      </c>
      <c r="IC72" s="607" t="str">
        <f ca="1">IF(INDIRECT(CONCATENATE($FK$12,Fixtures!IC$25))="","",IF(INDIRECT(CONCATENATE($FK$12,Fixtures!IC$25))=Fixtures!$DN72,CONCATENATE(IC$10,", "),""))</f>
        <v/>
      </c>
      <c r="ID72" s="632" t="str">
        <f ca="1">IF(INDIRECT(CONCATENATE($FK$12,Fixtures!ID$25))="","",IF(INDIRECT(CONCATENATE($FK$12,Fixtures!ID$25))=Fixtures!$DN72,CONCATENATE(ID$10,", "),""))</f>
        <v/>
      </c>
      <c r="IE72" s="632" t="str">
        <f ca="1">IF(INDIRECT(CONCATENATE($FK$12,Fixtures!IE$25))="","",IF(INDIRECT(CONCATENATE($FK$12,Fixtures!IE$25))=Fixtures!$DN72,CONCATENATE(IE$10,", "),""))</f>
        <v/>
      </c>
      <c r="IF72" s="632" t="str">
        <f ca="1">IF(INDIRECT(CONCATENATE($FK$12,Fixtures!IF$25))="","",IF(INDIRECT(CONCATENATE($FK$12,Fixtures!IF$25))=Fixtures!$DN72,CONCATENATE(IF$10,", "),""))</f>
        <v/>
      </c>
      <c r="IG72" s="632" t="str">
        <f ca="1">IF(INDIRECT(CONCATENATE($FK$12,Fixtures!IG$25))="","",IF(INDIRECT(CONCATENATE($FK$12,Fixtures!IG$25))=Fixtures!$DN72,CONCATENATE(IG$10,", "),""))</f>
        <v/>
      </c>
      <c r="IH72" s="632" t="str">
        <f ca="1">IF(INDIRECT(CONCATENATE($FK$12,Fixtures!IH$25))="","",IF(INDIRECT(CONCATENATE($FK$12,Fixtures!IH$25))=Fixtures!$DN72,CONCATENATE(IH$10,", "),""))</f>
        <v/>
      </c>
      <c r="II72" s="632" t="str">
        <f ca="1">IF(INDIRECT(CONCATENATE($FK$12,Fixtures!II$25))="","",IF(INDIRECT(CONCATENATE($FK$12,Fixtures!II$25))=Fixtures!$DN72,CONCATENATE(II$10,", "),""))</f>
        <v/>
      </c>
      <c r="IJ72" s="632" t="str">
        <f ca="1">IF(INDIRECT(CONCATENATE($FK$12,Fixtures!IJ$25))="","",IF(INDIRECT(CONCATENATE($FK$12,Fixtures!IJ$25))=Fixtures!$DN72,CONCATENATE(IJ$10,", "),""))</f>
        <v/>
      </c>
      <c r="IK72" s="632" t="str">
        <f ca="1">IF(INDIRECT(CONCATENATE($FK$12,Fixtures!IK$25))="","",IF(INDIRECT(CONCATENATE($FK$12,Fixtures!IK$25))=Fixtures!$DN72,CONCATENATE(IK$10,", "),""))</f>
        <v/>
      </c>
      <c r="IL72" s="632" t="str">
        <f ca="1">IF(INDIRECT(CONCATENATE($FK$12,Fixtures!IL$25))="","",IF(INDIRECT(CONCATENATE($FK$12,Fixtures!IL$25))=Fixtures!$DN72,CONCATENATE(IL$10,", "),""))</f>
        <v/>
      </c>
      <c r="IM72" s="632" t="str">
        <f ca="1">IF(INDIRECT(CONCATENATE($FK$12,Fixtures!IM$25))="","",IF(INDIRECT(CONCATENATE($FK$12,Fixtures!IM$25))=Fixtures!$DN72,CONCATENATE(IM$10,", "),""))</f>
        <v/>
      </c>
      <c r="IN72" s="632" t="str">
        <f ca="1">IF(INDIRECT(CONCATENATE($FK$12,Fixtures!IN$25))="","",IF(INDIRECT(CONCATENATE($FK$12,Fixtures!IN$25))=Fixtures!$DN72,CONCATENATE(IN$10,", "),""))</f>
        <v/>
      </c>
      <c r="IO72" s="632" t="str">
        <f ca="1">IF(INDIRECT(CONCATENATE($FK$12,Fixtures!IO$25))="","",IF(INDIRECT(CONCATENATE($FK$12,Fixtures!IO$25))=Fixtures!$DN72,CONCATENATE(IO$10,", "),""))</f>
        <v/>
      </c>
      <c r="IP72" s="632" t="str">
        <f ca="1">IF(INDIRECT(CONCATENATE($FK$12,Fixtures!IP$25))="","",IF(INDIRECT(CONCATENATE($FK$12,Fixtures!IP$25))=Fixtures!$DN72,CONCATENATE(IP$10,", "),""))</f>
        <v/>
      </c>
      <c r="IQ72" s="606" t="str">
        <f ca="1">IF(INDIRECT(CONCATENATE($FK$12,Fixtures!IQ$25))="","",IF(INDIRECT(CONCATENATE($FK$12,Fixtures!IQ$25))=Fixtures!$DN72,CONCATENATE(IQ$10,", "),""))</f>
        <v/>
      </c>
      <c r="IR72" s="607" t="str">
        <f ca="1">IF(INDIRECT(CONCATENATE($FK$12,Fixtures!IR$25))="","",IF(INDIRECT(CONCATENATE($FK$12,Fixtures!IR$25))=Fixtures!$DN72,CONCATENATE(IR$10,", "),""))</f>
        <v/>
      </c>
      <c r="IS72" s="632" t="str">
        <f ca="1">IF(INDIRECT(CONCATENATE($FK$12,Fixtures!IS$25))="","",IF(INDIRECT(CONCATENATE($FK$12,Fixtures!IS$25))=Fixtures!$DN72,CONCATENATE(IS$10,", "),""))</f>
        <v/>
      </c>
      <c r="IT72" s="632" t="str">
        <f ca="1">IF(INDIRECT(CONCATENATE($FK$12,Fixtures!IT$25))="","",IF(INDIRECT(CONCATENATE($FK$12,Fixtures!IT$25))=Fixtures!$DN72,CONCATENATE(IT$10,", "),""))</f>
        <v/>
      </c>
      <c r="IU72" s="632" t="str">
        <f ca="1">IF(INDIRECT(CONCATENATE($FK$12,Fixtures!IU$25))="","",IF(INDIRECT(CONCATENATE($FK$12,Fixtures!IU$25))=Fixtures!$DN72,CONCATENATE(IU$10,", "),""))</f>
        <v/>
      </c>
      <c r="IV72" s="632" t="str">
        <f ca="1">IF(INDIRECT(CONCATENATE($FK$12,Fixtures!IV$25))="","",IF(INDIRECT(CONCATENATE($FK$12,Fixtures!IV$25))=Fixtures!$DN72,CONCATENATE(IV$10,", "),""))</f>
        <v/>
      </c>
      <c r="IW72" s="632" t="str">
        <f ca="1">IF(INDIRECT(CONCATENATE($FK$12,Fixtures!IW$25))="","",IF(INDIRECT(CONCATENATE($FK$12,Fixtures!IW$25))=Fixtures!$DN72,CONCATENATE(IW$10,", "),""))</f>
        <v/>
      </c>
      <c r="IX72" s="632" t="str">
        <f ca="1">IF(INDIRECT(CONCATENATE($FK$12,Fixtures!IX$25))="","",IF(INDIRECT(CONCATENATE($FK$12,Fixtures!IX$25))=Fixtures!$DN72,CONCATENATE(IX$10,", "),""))</f>
        <v/>
      </c>
      <c r="IY72" s="632" t="str">
        <f ca="1">IF(INDIRECT(CONCATENATE($FK$12,Fixtures!IY$25))="","",IF(INDIRECT(CONCATENATE($FK$12,Fixtures!IY$25))=Fixtures!$DN72,CONCATENATE(IY$10,", "),""))</f>
        <v/>
      </c>
      <c r="IZ72" s="632" t="str">
        <f ca="1">IF(INDIRECT(CONCATENATE($FK$12,Fixtures!IZ$25))="","",IF(INDIRECT(CONCATENATE($FK$12,Fixtures!IZ$25))=Fixtures!$DN72,CONCATENATE(IZ$10,", "),""))</f>
        <v/>
      </c>
      <c r="JA72" s="632" t="str">
        <f ca="1">IF(INDIRECT(CONCATENATE($FK$12,Fixtures!JA$25))="","",IF(INDIRECT(CONCATENATE($FK$12,Fixtures!JA$25))=Fixtures!$DN72,CONCATENATE(JA$10,", "),""))</f>
        <v/>
      </c>
      <c r="JB72" s="632" t="str">
        <f ca="1">IF(INDIRECT(CONCATENATE($FK$12,Fixtures!JB$25))="","",IF(INDIRECT(CONCATENATE($FK$12,Fixtures!JB$25))=Fixtures!$DN72,CONCATENATE(JB$10,", "),""))</f>
        <v/>
      </c>
      <c r="JC72" s="632" t="str">
        <f ca="1">IF(INDIRECT(CONCATENATE($FK$12,Fixtures!JC$25))="","",IF(INDIRECT(CONCATENATE($FK$12,Fixtures!JC$25))=Fixtures!$DN72,CONCATENATE(JC$10,", "),""))</f>
        <v/>
      </c>
      <c r="JD72" s="632" t="str">
        <f ca="1">IF(INDIRECT(CONCATENATE($FK$12,Fixtures!JD$25))="","",IF(INDIRECT(CONCATENATE($FK$12,Fixtures!JD$25))=Fixtures!$DN72,CONCATENATE(JD$10,", "),""))</f>
        <v/>
      </c>
      <c r="JE72" s="632" t="str">
        <f ca="1">IF(INDIRECT(CONCATENATE($FK$12,Fixtures!JE$25))="","",IF(INDIRECT(CONCATENATE($FK$12,Fixtures!JE$25))=Fixtures!$DN72,CONCATENATE(JE$10,", "),""))</f>
        <v/>
      </c>
      <c r="JF72" s="606" t="str">
        <f ca="1">IF(INDIRECT(CONCATENATE($FK$12,Fixtures!JF$25))="","",IF(INDIRECT(CONCATENATE($FK$12,Fixtures!JF$25))=Fixtures!$DN72,CONCATENATE(JF$10,", "),""))</f>
        <v/>
      </c>
      <c r="JG72" s="607" t="str">
        <f ca="1">IF(INDIRECT(CONCATENATE($FK$12,Fixtures!JG$25))="","",IF(INDIRECT(CONCATENATE($FK$12,Fixtures!JG$25))=Fixtures!$DN72,CONCATENATE(JG$10,", "),""))</f>
        <v/>
      </c>
      <c r="JH72" s="632" t="str">
        <f ca="1">IF(INDIRECT(CONCATENATE($FK$12,Fixtures!JH$25))="","",IF(INDIRECT(CONCATENATE($FK$12,Fixtures!JH$25))=Fixtures!$DN72,CONCATENATE(JH$10,", "),""))</f>
        <v/>
      </c>
      <c r="JI72" s="632" t="str">
        <f ca="1">IF(INDIRECT(CONCATENATE($FK$12,Fixtures!JI$25))="","",IF(INDIRECT(CONCATENATE($FK$12,Fixtures!JI$25))=Fixtures!$DN72,CONCATENATE(JI$10,", "),""))</f>
        <v/>
      </c>
      <c r="JJ72" s="632" t="str">
        <f ca="1">IF(INDIRECT(CONCATENATE($FK$12,Fixtures!JJ$25))="","",IF(INDIRECT(CONCATENATE($FK$12,Fixtures!JJ$25))=Fixtures!$DN72,CONCATENATE(JJ$10,", "),""))</f>
        <v/>
      </c>
      <c r="JK72" s="632" t="str">
        <f ca="1">IF(INDIRECT(CONCATENATE($FK$12,Fixtures!JK$25))="","",IF(INDIRECT(CONCATENATE($FK$12,Fixtures!JK$25))=Fixtures!$DN72,CONCATENATE(JK$10,", "),""))</f>
        <v/>
      </c>
      <c r="JL72" s="632" t="str">
        <f ca="1">IF(INDIRECT(CONCATENATE($FK$12,Fixtures!JL$25))="","",IF(INDIRECT(CONCATENATE($FK$12,Fixtures!JL$25))=Fixtures!$DN72,CONCATENATE(JL$10,", "),""))</f>
        <v/>
      </c>
      <c r="JM72" s="632" t="str">
        <f ca="1">IF(INDIRECT(CONCATENATE($FK$12,Fixtures!JM$25))="","",IF(INDIRECT(CONCATENATE($FK$12,Fixtures!JM$25))=Fixtures!$DN72,CONCATENATE(JM$10,", "),""))</f>
        <v/>
      </c>
      <c r="JN72" s="632" t="str">
        <f ca="1">IF(INDIRECT(CONCATENATE($FK$12,Fixtures!JN$25))="","",IF(INDIRECT(CONCATENATE($FK$12,Fixtures!JN$25))=Fixtures!$DN72,CONCATENATE(JN$10,", "),""))</f>
        <v/>
      </c>
      <c r="JO72" s="632" t="str">
        <f ca="1">IF(INDIRECT(CONCATENATE($FK$12,Fixtures!JO$25))="","",IF(INDIRECT(CONCATENATE($FK$12,Fixtures!JO$25))=Fixtures!$DN72,CONCATENATE(JO$10,", "),""))</f>
        <v/>
      </c>
      <c r="JP72" s="632" t="str">
        <f ca="1">IF(INDIRECT(CONCATENATE($FK$12,Fixtures!JP$25))="","",IF(INDIRECT(CONCATENATE($FK$12,Fixtures!JP$25))=Fixtures!$DN72,CONCATENATE(JP$10,", "),""))</f>
        <v/>
      </c>
      <c r="JQ72" s="632" t="str">
        <f ca="1">IF(INDIRECT(CONCATENATE($FK$12,Fixtures!JQ$25))="","",IF(INDIRECT(CONCATENATE($FK$12,Fixtures!JQ$25))=Fixtures!$DN72,CONCATENATE(JQ$10,", "),""))</f>
        <v/>
      </c>
      <c r="JR72" s="632" t="str">
        <f ca="1">IF(INDIRECT(CONCATENATE($FK$12,Fixtures!JR$25))="","",IF(INDIRECT(CONCATENATE($FK$12,Fixtures!JR$25))=Fixtures!$DN72,CONCATENATE(JR$10,", "),""))</f>
        <v/>
      </c>
      <c r="JS72" s="632" t="str">
        <f ca="1">IF(INDIRECT(CONCATENATE($FK$12,Fixtures!JS$25))="","",IF(INDIRECT(CONCATENATE($FK$12,Fixtures!JS$25))=Fixtures!$DN72,CONCATENATE(JS$10,", "),""))</f>
        <v/>
      </c>
      <c r="JT72" s="632" t="str">
        <f ca="1">IF(INDIRECT(CONCATENATE($FK$12,Fixtures!JT$25))="","",IF(INDIRECT(CONCATENATE($FK$12,Fixtures!JT$25))=Fixtures!$DN72,CONCATENATE(JT$10,", "),""))</f>
        <v/>
      </c>
      <c r="JU72" s="606" t="str">
        <f ca="1">IF(INDIRECT(CONCATENATE($FK$12,Fixtures!JU$25))="","",IF(INDIRECT(CONCATENATE($FK$12,Fixtures!JU$25))=Fixtures!$DN72,CONCATENATE(JU$10,", "),""))</f>
        <v/>
      </c>
      <c r="JV72" s="607" t="str">
        <f ca="1">IF(INDIRECT(CONCATENATE($FK$12,Fixtures!JV$25))="","",IF(INDIRECT(CONCATENATE($FK$12,Fixtures!JV$25))=Fixtures!$DN72,CONCATENATE(JV$10,", "),""))</f>
        <v/>
      </c>
      <c r="JW72" s="632" t="str">
        <f ca="1">IF(INDIRECT(CONCATENATE($FK$12,Fixtures!JW$25))="","",IF(INDIRECT(CONCATENATE($FK$12,Fixtures!JW$25))=Fixtures!$DN72,CONCATENATE(JW$10,", "),""))</f>
        <v/>
      </c>
      <c r="JX72" s="632" t="str">
        <f ca="1">IF(INDIRECT(CONCATENATE($FK$12,Fixtures!JX$25))="","",IF(INDIRECT(CONCATENATE($FK$12,Fixtures!JX$25))=Fixtures!$DN72,CONCATENATE(JX$10,", "),""))</f>
        <v/>
      </c>
      <c r="JY72" s="632" t="str">
        <f ca="1">IF(INDIRECT(CONCATENATE($FK$12,Fixtures!JY$25))="","",IF(INDIRECT(CONCATENATE($FK$12,Fixtures!JY$25))=Fixtures!$DN72,CONCATENATE(JY$10,", "),""))</f>
        <v/>
      </c>
      <c r="JZ72" s="632" t="str">
        <f ca="1">IF(INDIRECT(CONCATENATE($FK$12,Fixtures!JZ$25))="","",IF(INDIRECT(CONCATENATE($FK$12,Fixtures!JZ$25))=Fixtures!$DN72,CONCATENATE(JZ$10,", "),""))</f>
        <v/>
      </c>
      <c r="KA72" s="632" t="str">
        <f ca="1">IF(INDIRECT(CONCATENATE($FK$12,Fixtures!KA$25))="","",IF(INDIRECT(CONCATENATE($FK$12,Fixtures!KA$25))=Fixtures!$DN72,CONCATENATE(KA$10,", "),""))</f>
        <v/>
      </c>
      <c r="KB72" s="632" t="str">
        <f ca="1">IF(INDIRECT(CONCATENATE($FK$12,Fixtures!KB$25))="","",IF(INDIRECT(CONCATENATE($FK$12,Fixtures!KB$25))=Fixtures!$DN72,CONCATENATE(KB$10,", "),""))</f>
        <v/>
      </c>
      <c r="KC72" s="632" t="str">
        <f ca="1">IF(INDIRECT(CONCATENATE($FK$12,Fixtures!KC$25))="","",IF(INDIRECT(CONCATENATE($FK$12,Fixtures!KC$25))=Fixtures!$DN72,CONCATENATE(KC$10,", "),""))</f>
        <v/>
      </c>
      <c r="KD72" s="632" t="str">
        <f ca="1">IF(INDIRECT(CONCATENATE($FK$12,Fixtures!KD$25))="","",IF(INDIRECT(CONCATENATE($FK$12,Fixtures!KD$25))=Fixtures!$DN72,CONCATENATE(KD$10,", "),""))</f>
        <v/>
      </c>
      <c r="KE72" s="632" t="str">
        <f ca="1">IF(INDIRECT(CONCATENATE($FK$12,Fixtures!KE$25))="","",IF(INDIRECT(CONCATENATE($FK$12,Fixtures!KE$25))=Fixtures!$DN72,CONCATENATE(KE$10,", "),""))</f>
        <v/>
      </c>
      <c r="KF72" s="632" t="str">
        <f ca="1">IF(INDIRECT(CONCATENATE($FK$12,Fixtures!KF$25))="","",IF(INDIRECT(CONCATENATE($FK$12,Fixtures!KF$25))=Fixtures!$DN72,CONCATENATE(KF$10,", "),""))</f>
        <v/>
      </c>
      <c r="KG72" s="632" t="str">
        <f ca="1">IF(INDIRECT(CONCATENATE($FK$12,Fixtures!KG$25))="","",IF(INDIRECT(CONCATENATE($FK$12,Fixtures!KG$25))=Fixtures!$DN72,CONCATENATE(KG$10,", "),""))</f>
        <v/>
      </c>
      <c r="KH72" s="632" t="str">
        <f ca="1">IF(INDIRECT(CONCATENATE($FK$12,Fixtures!KH$25))="","",IF(INDIRECT(CONCATENATE($FK$12,Fixtures!KH$25))=Fixtures!$DN72,CONCATENATE(KH$10,", "),""))</f>
        <v/>
      </c>
      <c r="KI72" s="632" t="str">
        <f ca="1">IF(INDIRECT(CONCATENATE($FK$12,Fixtures!KI$25))="","",IF(INDIRECT(CONCATENATE($FK$12,Fixtures!KI$25))=Fixtures!$DN72,CONCATENATE(KI$10,", "),""))</f>
        <v/>
      </c>
      <c r="KJ72" s="606" t="str">
        <f ca="1">IF(INDIRECT(CONCATENATE($FK$12,Fixtures!KJ$25))="","",IF(INDIRECT(CONCATENATE($FK$12,Fixtures!KJ$25))=Fixtures!$DN72,CONCATENATE(KJ$10,", "),""))</f>
        <v/>
      </c>
      <c r="KK72" s="607" t="str">
        <f ca="1">IF(INDIRECT(CONCATENATE($FK$12,Fixtures!KK$25))="","",IF(INDIRECT(CONCATENATE($FK$12,Fixtures!KK$25))=Fixtures!$DN72,CONCATENATE(KK$10,", "),""))</f>
        <v/>
      </c>
      <c r="KL72" s="632" t="str">
        <f ca="1">IF(INDIRECT(CONCATENATE($FK$12,Fixtures!KL$25))="","",IF(INDIRECT(CONCATENATE($FK$12,Fixtures!KL$25))=Fixtures!$DN72,CONCATENATE(KL$10,", "),""))</f>
        <v/>
      </c>
      <c r="KM72" s="632" t="str">
        <f ca="1">IF(INDIRECT(CONCATENATE($FK$12,Fixtures!KM$25))="","",IF(INDIRECT(CONCATENATE($FK$12,Fixtures!KM$25))=Fixtures!$DN72,CONCATENATE(KM$10,", "),""))</f>
        <v/>
      </c>
      <c r="KN72" s="632" t="str">
        <f ca="1">IF(INDIRECT(CONCATENATE($FK$12,Fixtures!KN$25))="","",IF(INDIRECT(CONCATENATE($FK$12,Fixtures!KN$25))=Fixtures!$DN72,CONCATENATE(KN$10,", "),""))</f>
        <v/>
      </c>
      <c r="KO72" s="632" t="str">
        <f ca="1">IF(INDIRECT(CONCATENATE($FK$12,Fixtures!KO$25))="","",IF(INDIRECT(CONCATENATE($FK$12,Fixtures!KO$25))=Fixtures!$DN72,CONCATENATE(KO$10,", "),""))</f>
        <v/>
      </c>
      <c r="KP72" s="632" t="str">
        <f ca="1">IF(INDIRECT(CONCATENATE($FK$12,Fixtures!KP$25))="","",IF(INDIRECT(CONCATENATE($FK$12,Fixtures!KP$25))=Fixtures!$DN72,CONCATENATE(KP$10,", "),""))</f>
        <v/>
      </c>
      <c r="KQ72" s="632" t="str">
        <f ca="1">IF(INDIRECT(CONCATENATE($FK$12,Fixtures!KQ$25))="","",IF(INDIRECT(CONCATENATE($FK$12,Fixtures!KQ$25))=Fixtures!$DN72,CONCATENATE(KQ$10,", "),""))</f>
        <v/>
      </c>
      <c r="KR72" s="632" t="str">
        <f ca="1">IF(INDIRECT(CONCATENATE($FK$12,Fixtures!KR$25))="","",IF(INDIRECT(CONCATENATE($FK$12,Fixtures!KR$25))=Fixtures!$DN72,CONCATENATE(KR$10,", "),""))</f>
        <v/>
      </c>
      <c r="KS72" s="632" t="str">
        <f ca="1">IF(INDIRECT(CONCATENATE($FK$12,Fixtures!KS$25))="","",IF(INDIRECT(CONCATENATE($FK$12,Fixtures!KS$25))=Fixtures!$DN72,CONCATENATE(KS$10,", "),""))</f>
        <v/>
      </c>
      <c r="KT72" s="632" t="str">
        <f ca="1">IF(INDIRECT(CONCATENATE($FK$12,Fixtures!KT$25))="","",IF(INDIRECT(CONCATENATE($FK$12,Fixtures!KT$25))=Fixtures!$DN72,CONCATENATE(KT$10,", "),""))</f>
        <v/>
      </c>
      <c r="KU72" s="632" t="str">
        <f ca="1">IF(INDIRECT(CONCATENATE($FK$12,Fixtures!KU$25))="","",IF(INDIRECT(CONCATENATE($FK$12,Fixtures!KU$25))=Fixtures!$DN72,CONCATENATE(KU$10,", "),""))</f>
        <v/>
      </c>
      <c r="KV72" s="632" t="str">
        <f ca="1">IF(INDIRECT(CONCATENATE($FK$12,Fixtures!KV$25))="","",IF(INDIRECT(CONCATENATE($FK$12,Fixtures!KV$25))=Fixtures!$DN72,CONCATENATE(KV$10,", "),""))</f>
        <v/>
      </c>
      <c r="KW72" s="632" t="str">
        <f ca="1">IF(INDIRECT(CONCATENATE($FK$12,Fixtures!KW$25))="","",IF(INDIRECT(CONCATENATE($FK$12,Fixtures!KW$25))=Fixtures!$DN72,CONCATENATE(KW$10,", "),""))</f>
        <v/>
      </c>
      <c r="KX72" s="632" t="str">
        <f ca="1">IF(INDIRECT(CONCATENATE($FK$12,Fixtures!KX$25))="","",IF(INDIRECT(CONCATENATE($FK$12,Fixtures!KX$25))=Fixtures!$DN72,CONCATENATE(KX$10,", "),""))</f>
        <v/>
      </c>
      <c r="KY72" s="632"/>
      <c r="KZ72" s="542"/>
      <c r="LA72" s="46" t="str">
        <f t="shared" ca="1" si="37"/>
        <v/>
      </c>
      <c r="LB72" s="46"/>
      <c r="LC72" s="1010"/>
      <c r="LD72" s="1009" t="str">
        <f t="shared" si="20"/>
        <v/>
      </c>
    </row>
    <row r="73" spans="1:316" ht="28.2" customHeight="1" thickTop="1" thickBot="1">
      <c r="A73" s="426" t="str">
        <f t="shared" si="13"/>
        <v/>
      </c>
      <c r="C73" s="1640" t="str">
        <f t="shared" si="14"/>
        <v/>
      </c>
      <c r="D73" s="1641"/>
      <c r="E73" s="1568" t="str">
        <f t="shared" si="15"/>
        <v/>
      </c>
      <c r="F73" s="1569"/>
      <c r="G73" s="1569"/>
      <c r="H73" s="1569"/>
      <c r="I73" s="1569"/>
      <c r="J73" s="1569"/>
      <c r="K73" s="1569"/>
      <c r="L73" s="1569"/>
      <c r="M73" s="1642"/>
      <c r="N73" s="203" t="str">
        <f t="shared" si="16"/>
        <v/>
      </c>
      <c r="O73" s="12"/>
      <c r="P73" s="1638" t="str">
        <f t="shared" si="25"/>
        <v/>
      </c>
      <c r="Q73" s="1639"/>
      <c r="R73" s="1568" t="str">
        <f t="shared" si="30"/>
        <v/>
      </c>
      <c r="S73" s="1569"/>
      <c r="T73" s="1569"/>
      <c r="U73" s="1569"/>
      <c r="V73" s="1569"/>
      <c r="W73" s="1569"/>
      <c r="X73" s="1569"/>
      <c r="Y73" s="203" t="str">
        <f t="shared" si="26"/>
        <v/>
      </c>
      <c r="Z73" s="203" t="str">
        <f t="shared" si="27"/>
        <v/>
      </c>
      <c r="AA73" s="394" t="str">
        <f t="shared" si="28"/>
        <v/>
      </c>
      <c r="AB73" s="489"/>
      <c r="AC73" s="1564" t="str">
        <f t="shared" si="18"/>
        <v/>
      </c>
      <c r="AD73" s="1565"/>
      <c r="AE73" s="1565"/>
      <c r="AF73" s="1565"/>
      <c r="AG73" s="1565"/>
      <c r="AH73" s="1565"/>
      <c r="AK73">
        <f>SUMIFS(Installations!CV$46:CV$803,Installations!CW$46:CW$803,E73,Installations!IC$46:IC$803,TRUE)</f>
        <v>0</v>
      </c>
      <c r="AL73">
        <f>SUMIFS(Installations!CV$46:CV$803,Installations!CW$46:CW$803,R73,Installations!IC$46:IC$803,TRUE)</f>
        <v>0</v>
      </c>
      <c r="BL73" s="9"/>
      <c r="BM73" s="622" t="str">
        <f t="shared" si="19"/>
        <v/>
      </c>
      <c r="BN73" s="52"/>
      <c r="BO73" s="52"/>
      <c r="BP73" s="52"/>
      <c r="BQ73" s="52"/>
      <c r="BR73" s="52"/>
      <c r="BS73" s="52"/>
      <c r="BT73" s="52"/>
      <c r="BU73" s="373"/>
      <c r="BV73" s="219" t="str">
        <f>IF(CN73&lt;&gt;"Yes","",IFERROR(VLOOKUP(CU73,Existing!A$4:F$367,2,FALSE),""))</f>
        <v/>
      </c>
      <c r="BW73" s="9">
        <v>47</v>
      </c>
      <c r="BX73" s="1625"/>
      <c r="BY73" s="1626"/>
      <c r="BZ73" s="1626"/>
      <c r="CA73" s="1627"/>
      <c r="CB73" s="1622"/>
      <c r="CC73" s="1623"/>
      <c r="CD73" s="1623"/>
      <c r="CE73" s="1624"/>
      <c r="CF73" s="1621"/>
      <c r="CG73" s="1621"/>
      <c r="CH73" s="1621"/>
      <c r="CI73" s="1621"/>
      <c r="CJ73" s="1621"/>
      <c r="CK73" s="1621"/>
      <c r="CL73" s="1621"/>
      <c r="CM73" s="1621"/>
      <c r="CN73" s="1553" t="str">
        <f t="shared" si="31"/>
        <v/>
      </c>
      <c r="CO73" s="1554"/>
      <c r="CP73" s="229" t="str">
        <f>IFERROR(IF(CB73="Existing TLED",CR73*CW73*CY73,VLOOKUP(CU73,Existing!A$3:F$356,6,FALSE)),"")</f>
        <v/>
      </c>
      <c r="CQ73" s="9"/>
      <c r="CR73" s="1660"/>
      <c r="CS73" s="1661"/>
      <c r="CT73" s="9"/>
      <c r="CU73" s="425" t="str">
        <f t="shared" si="21"/>
        <v/>
      </c>
      <c r="CV73" s="426" t="b">
        <f t="shared" si="22"/>
        <v>0</v>
      </c>
      <c r="CW73" s="426" t="str">
        <f t="shared" si="23"/>
        <v/>
      </c>
      <c r="CX73" s="426">
        <f>IFERROR(VLOOKUP(CF73,Lookup!T$100:V$102,3,FALSE),0)</f>
        <v>0</v>
      </c>
      <c r="CY73" s="426">
        <f t="shared" si="8"/>
        <v>1.1100000000000001</v>
      </c>
      <c r="CZ73" s="626" t="b">
        <f t="shared" si="32"/>
        <v>0</v>
      </c>
      <c r="DA73" s="626" t="b">
        <f>IF(CF73&lt;&gt;"",IF(ISERROR(MATCH(CONCATENATE(CB73," - ",CF73),Existing!G$4:G$331,0))=TRUE,FALSE,TRUE),TRUE)</f>
        <v>1</v>
      </c>
      <c r="DB73" s="626" t="b">
        <f t="shared" si="33"/>
        <v>1</v>
      </c>
      <c r="DL73" s="9"/>
      <c r="DM73" s="627" t="s">
        <v>215</v>
      </c>
      <c r="DN73" s="375" t="str">
        <f t="shared" si="34"/>
        <v/>
      </c>
      <c r="DO73" s="52"/>
      <c r="DP73" s="52"/>
      <c r="DQ73" s="52"/>
      <c r="DR73" s="52"/>
      <c r="DS73" s="52"/>
      <c r="DT73" s="226"/>
      <c r="DU73" s="376"/>
      <c r="DV73" s="227" t="str">
        <f t="shared" si="35"/>
        <v/>
      </c>
      <c r="DW73" s="224">
        <v>47</v>
      </c>
      <c r="DX73" s="1572"/>
      <c r="DY73" s="1573"/>
      <c r="DZ73" s="1573"/>
      <c r="EA73" s="1574"/>
      <c r="EB73" s="1618"/>
      <c r="EC73" s="1619"/>
      <c r="ED73" s="1619"/>
      <c r="EE73" s="1620"/>
      <c r="EF73" s="1578"/>
      <c r="EG73" s="1579"/>
      <c r="EH73" s="1618"/>
      <c r="EI73" s="1619"/>
      <c r="EJ73" s="1619"/>
      <c r="EK73" s="1620"/>
      <c r="EL73" s="1575"/>
      <c r="EM73" s="1576"/>
      <c r="EN73" s="1576"/>
      <c r="EO73" s="1577"/>
      <c r="EP73" s="1578"/>
      <c r="EQ73" s="1579"/>
      <c r="ER73" s="1555"/>
      <c r="ES73" s="1556"/>
      <c r="ET73" s="1553" t="str">
        <f t="shared" si="9"/>
        <v/>
      </c>
      <c r="EU73" s="1554"/>
      <c r="EV73" s="1553" t="str">
        <f t="shared" si="29"/>
        <v/>
      </c>
      <c r="EW73" s="1554"/>
      <c r="EX73" s="393"/>
      <c r="EY73" s="225" t="str">
        <f t="shared" si="36"/>
        <v/>
      </c>
      <c r="EZ73" s="225" t="str">
        <f>IFERROR(VLOOKUP(EB73,Lookup!AT$3:AU$13,2,FALSE),"")</f>
        <v/>
      </c>
      <c r="FA73" s="426" t="b">
        <f>IFERROR(IF(VLOOKUP(EB73,Lookup!AT$6:AU$8,2,FALSE)&gt;3,TRUE,FALSE),FALSE)</f>
        <v>0</v>
      </c>
      <c r="FB73" s="426" t="str">
        <f t="shared" si="10"/>
        <v/>
      </c>
      <c r="FC73" t="str">
        <f t="shared" ca="1" si="11"/>
        <v/>
      </c>
      <c r="FG73" t="str">
        <f t="shared" ca="1" si="12"/>
        <v/>
      </c>
      <c r="FI73" s="204" t="str">
        <f t="shared" ca="1" si="24"/>
        <v/>
      </c>
      <c r="FK73" s="631" t="str">
        <f ca="1">IF(INDIRECT(CONCATENATE($FK$12,Fixtures!FK$25))="","",IF(INDIRECT(CONCATENATE($FK$12,Fixtures!FK$25))=Fixtures!$DN73,CONCATENATE(FK$10,", "),""))</f>
        <v/>
      </c>
      <c r="FL73" s="631" t="str">
        <f ca="1">IF(INDIRECT(CONCATENATE($FK$12,Fixtures!FL$25))="","",IF(INDIRECT(CONCATENATE($FK$12,Fixtures!FL$25))=Fixtures!$DN73,CONCATENATE(FL$10,", "),""))</f>
        <v/>
      </c>
      <c r="FM73" s="631" t="str">
        <f ca="1">IF(INDIRECT(CONCATENATE($FK$12,Fixtures!FM$25))="","",IF(INDIRECT(CONCATENATE($FK$12,Fixtures!FM$25))=Fixtures!$DN73,CONCATENATE(FM$10,", "),""))</f>
        <v/>
      </c>
      <c r="FN73" s="631" t="str">
        <f ca="1">IF(INDIRECT(CONCATENATE($FK$12,Fixtures!FN$25))="","",IF(INDIRECT(CONCATENATE($FK$12,Fixtures!FN$25))=Fixtures!$DN73,CONCATENATE(FN$10,", "),""))</f>
        <v/>
      </c>
      <c r="FO73" s="631" t="str">
        <f ca="1">IF(INDIRECT(CONCATENATE($FK$12,Fixtures!FO$25))="","",IF(INDIRECT(CONCATENATE($FK$12,Fixtures!FO$25))=Fixtures!$DN73,CONCATENATE(FO$10,", "),""))</f>
        <v/>
      </c>
      <c r="FP73" s="631" t="str">
        <f ca="1">IF(INDIRECT(CONCATENATE($FK$12,Fixtures!FP$25))="","",IF(INDIRECT(CONCATENATE($FK$12,Fixtures!FP$25))=Fixtures!$DN73,CONCATENATE(FP$10,", "),""))</f>
        <v/>
      </c>
      <c r="FQ73" s="631" t="str">
        <f ca="1">IF(INDIRECT(CONCATENATE($FK$12,Fixtures!FQ$25))="","",IF(INDIRECT(CONCATENATE($FK$12,Fixtures!FQ$25))=Fixtures!$DN73,CONCATENATE(FQ$10,", "),""))</f>
        <v/>
      </c>
      <c r="FR73" s="631" t="str">
        <f ca="1">IF(INDIRECT(CONCATENATE($FK$12,Fixtures!FR$25))="","",IF(INDIRECT(CONCATENATE($FK$12,Fixtures!FR$25))=Fixtures!$DN73,CONCATENATE(FR$10,", "),""))</f>
        <v/>
      </c>
      <c r="FS73" s="631" t="str">
        <f ca="1">IF(INDIRECT(CONCATENATE($FK$12,Fixtures!FS$25))="","",IF(INDIRECT(CONCATENATE($FK$12,Fixtures!FS$25))=Fixtures!$DN73,CONCATENATE(FS$10,", "),""))</f>
        <v/>
      </c>
      <c r="FT73" s="604" t="str">
        <f ca="1">IF(INDIRECT(CONCATENATE($FK$12,Fixtures!FT$25))="","",IF(INDIRECT(CONCATENATE($FK$12,Fixtures!FT$25))=Fixtures!$DN73,CONCATENATE(FT$10,", "),""))</f>
        <v/>
      </c>
      <c r="FU73" s="605" t="str">
        <f ca="1">IF(INDIRECT(CONCATENATE($FK$12,Fixtures!FU$25))="","",IF(INDIRECT(CONCATENATE($FK$12,Fixtures!FU$25))=Fixtures!$DN73,CONCATENATE(FU$10,", "),""))</f>
        <v/>
      </c>
      <c r="FV73" s="631" t="str">
        <f ca="1">IF(INDIRECT(CONCATENATE($FK$12,Fixtures!FV$25))="","",IF(INDIRECT(CONCATENATE($FK$12,Fixtures!FV$25))=Fixtures!$DN73,CONCATENATE(FV$10,", "),""))</f>
        <v/>
      </c>
      <c r="FW73" s="632" t="str">
        <f ca="1">IF(INDIRECT(CONCATENATE($FK$12,Fixtures!FW$25))="","",IF(INDIRECT(CONCATENATE($FK$12,Fixtures!FW$25))=Fixtures!$DN73,CONCATENATE(FW$10,", "),""))</f>
        <v/>
      </c>
      <c r="FX73" s="632" t="str">
        <f ca="1">IF(INDIRECT(CONCATENATE($FK$12,Fixtures!FX$25))="","",IF(INDIRECT(CONCATENATE($FK$12,Fixtures!FX$25))=Fixtures!$DN73,CONCATENATE(FX$10,", "),""))</f>
        <v/>
      </c>
      <c r="FY73" s="632" t="str">
        <f ca="1">IF(INDIRECT(CONCATENATE($FK$12,Fixtures!FY$25))="","",IF(INDIRECT(CONCATENATE($FK$12,Fixtures!FY$25))=Fixtures!$DN73,CONCATENATE(FY$10,", "),""))</f>
        <v/>
      </c>
      <c r="FZ73" s="632" t="str">
        <f ca="1">IF(INDIRECT(CONCATENATE($FK$12,Fixtures!FZ$25))="","",IF(INDIRECT(CONCATENATE($FK$12,Fixtures!FZ$25))=Fixtures!$DN73,CONCATENATE(FZ$10,", "),""))</f>
        <v/>
      </c>
      <c r="GA73" s="632" t="str">
        <f ca="1">IF(INDIRECT(CONCATENATE($FK$12,Fixtures!GA$25))="","",IF(INDIRECT(CONCATENATE($FK$12,Fixtures!GA$25))=Fixtures!$DN73,CONCATENATE(GA$10,", "),""))</f>
        <v/>
      </c>
      <c r="GB73" s="632" t="str">
        <f ca="1">IF(INDIRECT(CONCATENATE($FK$12,Fixtures!GB$25))="","",IF(INDIRECT(CONCATENATE($FK$12,Fixtures!GB$25))=Fixtures!$DN73,CONCATENATE(GB$10,", "),""))</f>
        <v/>
      </c>
      <c r="GC73" s="632" t="str">
        <f ca="1">IF(INDIRECT(CONCATENATE($FK$12,Fixtures!GC$25))="","",IF(INDIRECT(CONCATENATE($FK$12,Fixtures!GC$25))=Fixtures!$DN73,CONCATENATE(GC$10,", "),""))</f>
        <v/>
      </c>
      <c r="GD73" s="632" t="str">
        <f ca="1">IF(INDIRECT(CONCATENATE($FK$12,Fixtures!GD$25))="","",IF(INDIRECT(CONCATENATE($FK$12,Fixtures!GD$25))=Fixtures!$DN73,CONCATENATE(GD$10,", "),""))</f>
        <v/>
      </c>
      <c r="GE73" s="632" t="str">
        <f ca="1">IF(INDIRECT(CONCATENATE($FK$12,Fixtures!GE$25))="","",IF(INDIRECT(CONCATENATE($FK$12,Fixtures!GE$25))=Fixtures!$DN73,CONCATENATE(GE$10,", "),""))</f>
        <v/>
      </c>
      <c r="GF73" s="632" t="str">
        <f ca="1">IF(INDIRECT(CONCATENATE($FK$12,Fixtures!GF$25))="","",IF(INDIRECT(CONCATENATE($FK$12,Fixtures!GF$25))=Fixtures!$DN73,CONCATENATE(GF$10,", "),""))</f>
        <v/>
      </c>
      <c r="GG73" s="632" t="str">
        <f ca="1">IF(INDIRECT(CONCATENATE($FK$12,Fixtures!GG$25))="","",IF(INDIRECT(CONCATENATE($FK$12,Fixtures!GG$25))=Fixtures!$DN73,CONCATENATE(GG$10,", "),""))</f>
        <v/>
      </c>
      <c r="GH73" s="632" t="str">
        <f ca="1">IF(INDIRECT(CONCATENATE($FK$12,Fixtures!GH$25))="","",IF(INDIRECT(CONCATENATE($FK$12,Fixtures!GH$25))=Fixtures!$DN73,CONCATENATE(GH$10,", "),""))</f>
        <v/>
      </c>
      <c r="GI73" s="606" t="str">
        <f ca="1">IF(INDIRECT(CONCATENATE($FK$12,Fixtures!GI$25))="","",IF(INDIRECT(CONCATENATE($FK$12,Fixtures!GI$25))=Fixtures!$DN73,CONCATENATE(GI$10,", "),""))</f>
        <v/>
      </c>
      <c r="GJ73" s="607" t="str">
        <f ca="1">IF(INDIRECT(CONCATENATE($FK$12,Fixtures!GJ$25))="","",IF(INDIRECT(CONCATENATE($FK$12,Fixtures!GJ$25))=Fixtures!$DN73,CONCATENATE(GJ$10,", "),""))</f>
        <v/>
      </c>
      <c r="GK73" s="632" t="str">
        <f ca="1">IF(INDIRECT(CONCATENATE($FK$12,Fixtures!GK$25))="","",IF(INDIRECT(CONCATENATE($FK$12,Fixtures!GK$25))=Fixtures!$DN73,CONCATENATE(GK$10,", "),""))</f>
        <v/>
      </c>
      <c r="GL73" s="632" t="str">
        <f ca="1">IF(INDIRECT(CONCATENATE($FK$12,Fixtures!GL$25))="","",IF(INDIRECT(CONCATENATE($FK$12,Fixtures!GL$25))=Fixtures!$DN73,CONCATENATE(GL$10,", "),""))</f>
        <v/>
      </c>
      <c r="GM73" s="632" t="str">
        <f ca="1">IF(INDIRECT(CONCATENATE($FK$12,Fixtures!GM$25))="","",IF(INDIRECT(CONCATENATE($FK$12,Fixtures!GM$25))=Fixtures!$DN73,CONCATENATE(GM$10,", "),""))</f>
        <v/>
      </c>
      <c r="GN73" s="632" t="str">
        <f ca="1">IF(INDIRECT(CONCATENATE($FK$12,Fixtures!GN$25))="","",IF(INDIRECT(CONCATENATE($FK$12,Fixtures!GN$25))=Fixtures!$DN73,CONCATENATE(GN$10,", "),""))</f>
        <v/>
      </c>
      <c r="GO73" s="632" t="str">
        <f ca="1">IF(INDIRECT(CONCATENATE($FK$12,Fixtures!GO$25))="","",IF(INDIRECT(CONCATENATE($FK$12,Fixtures!GO$25))=Fixtures!$DN73,CONCATENATE(GO$10,", "),""))</f>
        <v/>
      </c>
      <c r="GP73" s="632" t="str">
        <f ca="1">IF(INDIRECT(CONCATENATE($FK$12,Fixtures!GP$25))="","",IF(INDIRECT(CONCATENATE($FK$12,Fixtures!GP$25))=Fixtures!$DN73,CONCATENATE(GP$10,", "),""))</f>
        <v/>
      </c>
      <c r="GQ73" s="632" t="str">
        <f ca="1">IF(INDIRECT(CONCATENATE($FK$12,Fixtures!GQ$25))="","",IF(INDIRECT(CONCATENATE($FK$12,Fixtures!GQ$25))=Fixtures!$DN73,CONCATENATE(GQ$10,", "),""))</f>
        <v/>
      </c>
      <c r="GR73" s="632" t="str">
        <f ca="1">IF(INDIRECT(CONCATENATE($FK$12,Fixtures!GR$25))="","",IF(INDIRECT(CONCATENATE($FK$12,Fixtures!GR$25))=Fixtures!$DN73,CONCATENATE(GR$10,", "),""))</f>
        <v/>
      </c>
      <c r="GS73" s="632" t="str">
        <f ca="1">IF(INDIRECT(CONCATENATE($FK$12,Fixtures!GS$25))="","",IF(INDIRECT(CONCATENATE($FK$12,Fixtures!GS$25))=Fixtures!$DN73,CONCATENATE(GS$10,", "),""))</f>
        <v/>
      </c>
      <c r="GT73" s="632" t="str">
        <f ca="1">IF(INDIRECT(CONCATENATE($FK$12,Fixtures!GT$25))="","",IF(INDIRECT(CONCATENATE($FK$12,Fixtures!GT$25))=Fixtures!$DN73,CONCATENATE(GT$10,", "),""))</f>
        <v/>
      </c>
      <c r="GU73" s="632" t="str">
        <f ca="1">IF(INDIRECT(CONCATENATE($FK$12,Fixtures!GU$25))="","",IF(INDIRECT(CONCATENATE($FK$12,Fixtures!GU$25))=Fixtures!$DN73,CONCATENATE(GU$10,", "),""))</f>
        <v/>
      </c>
      <c r="GV73" s="632" t="str">
        <f ca="1">IF(INDIRECT(CONCATENATE($FK$12,Fixtures!GV$25))="","",IF(INDIRECT(CONCATENATE($FK$12,Fixtures!GV$25))=Fixtures!$DN73,CONCATENATE(GV$10,", "),""))</f>
        <v/>
      </c>
      <c r="GW73" s="632" t="str">
        <f ca="1">IF(INDIRECT(CONCATENATE($FK$12,Fixtures!GW$25))="","",IF(INDIRECT(CONCATENATE($FK$12,Fixtures!GW$25))=Fixtures!$DN73,CONCATENATE(GW$10,", "),""))</f>
        <v/>
      </c>
      <c r="GX73" s="606" t="str">
        <f ca="1">IF(INDIRECT(CONCATENATE($FK$12,Fixtures!GX$25))="","",IF(INDIRECT(CONCATENATE($FK$12,Fixtures!GX$25))=Fixtures!$DN73,CONCATENATE(GX$10,", "),""))</f>
        <v/>
      </c>
      <c r="GY73" s="607" t="str">
        <f ca="1">IF(INDIRECT(CONCATENATE($FK$12,Fixtures!GY$25))="","",IF(INDIRECT(CONCATENATE($FK$12,Fixtures!GY$25))=Fixtures!$DN73,CONCATENATE(GY$10,", "),""))</f>
        <v/>
      </c>
      <c r="GZ73" s="632" t="str">
        <f ca="1">IF(INDIRECT(CONCATENATE($FK$12,Fixtures!GZ$25))="","",IF(INDIRECT(CONCATENATE($FK$12,Fixtures!GZ$25))=Fixtures!$DN73,CONCATENATE(GZ$10,", "),""))</f>
        <v/>
      </c>
      <c r="HA73" s="632" t="str">
        <f ca="1">IF(INDIRECT(CONCATENATE($FK$12,Fixtures!HA$25))="","",IF(INDIRECT(CONCATENATE($FK$12,Fixtures!HA$25))=Fixtures!$DN73,CONCATENATE(HA$10,", "),""))</f>
        <v/>
      </c>
      <c r="HB73" s="632" t="str">
        <f ca="1">IF(INDIRECT(CONCATENATE($FK$12,Fixtures!HB$25))="","",IF(INDIRECT(CONCATENATE($FK$12,Fixtures!HB$25))=Fixtures!$DN73,CONCATENATE(HB$10,", "),""))</f>
        <v/>
      </c>
      <c r="HC73" s="632" t="str">
        <f ca="1">IF(INDIRECT(CONCATENATE($FK$12,Fixtures!HC$25))="","",IF(INDIRECT(CONCATENATE($FK$12,Fixtures!HC$25))=Fixtures!$DN73,CONCATENATE(HC$10,", "),""))</f>
        <v/>
      </c>
      <c r="HD73" s="632" t="str">
        <f ca="1">IF(INDIRECT(CONCATENATE($FK$12,Fixtures!HD$25))="","",IF(INDIRECT(CONCATENATE($FK$12,Fixtures!HD$25))=Fixtures!$DN73,CONCATENATE(HD$10,", "),""))</f>
        <v/>
      </c>
      <c r="HE73" s="632" t="str">
        <f ca="1">IF(INDIRECT(CONCATENATE($FK$12,Fixtures!HE$25))="","",IF(INDIRECT(CONCATENATE($FK$12,Fixtures!HE$25))=Fixtures!$DN73,CONCATENATE(HE$10,", "),""))</f>
        <v/>
      </c>
      <c r="HF73" s="632" t="str">
        <f ca="1">IF(INDIRECT(CONCATENATE($FK$12,Fixtures!HF$25))="","",IF(INDIRECT(CONCATENATE($FK$12,Fixtures!HF$25))=Fixtures!$DN73,CONCATENATE(HF$10,", "),""))</f>
        <v/>
      </c>
      <c r="HG73" s="632" t="str">
        <f ca="1">IF(INDIRECT(CONCATENATE($FK$12,Fixtures!HG$25))="","",IF(INDIRECT(CONCATENATE($FK$12,Fixtures!HG$25))=Fixtures!$DN73,CONCATENATE(HG$10,", "),""))</f>
        <v/>
      </c>
      <c r="HH73" s="632" t="str">
        <f ca="1">IF(INDIRECT(CONCATENATE($FK$12,Fixtures!HH$25))="","",IF(INDIRECT(CONCATENATE($FK$12,Fixtures!HH$25))=Fixtures!$DN73,CONCATENATE(HH$10,", "),""))</f>
        <v/>
      </c>
      <c r="HI73" s="632" t="str">
        <f ca="1">IF(INDIRECT(CONCATENATE($FK$12,Fixtures!HI$25))="","",IF(INDIRECT(CONCATENATE($FK$12,Fixtures!HI$25))=Fixtures!$DN73,CONCATENATE(HI$10,", "),""))</f>
        <v/>
      </c>
      <c r="HJ73" s="632" t="str">
        <f ca="1">IF(INDIRECT(CONCATENATE($FK$12,Fixtures!HJ$25))="","",IF(INDIRECT(CONCATENATE($FK$12,Fixtures!HJ$25))=Fixtures!$DN73,CONCATENATE(HJ$10,", "),""))</f>
        <v/>
      </c>
      <c r="HK73" s="632" t="str">
        <f ca="1">IF(INDIRECT(CONCATENATE($FK$12,Fixtures!HK$25))="","",IF(INDIRECT(CONCATENATE($FK$12,Fixtures!HK$25))=Fixtures!$DN73,CONCATENATE(HK$10,", "),""))</f>
        <v/>
      </c>
      <c r="HL73" s="632" t="str">
        <f ca="1">IF(INDIRECT(CONCATENATE($FK$12,Fixtures!HL$25))="","",IF(INDIRECT(CONCATENATE($FK$12,Fixtures!HL$25))=Fixtures!$DN73,CONCATENATE(HL$10,", "),""))</f>
        <v/>
      </c>
      <c r="HM73" s="606" t="str">
        <f ca="1">IF(INDIRECT(CONCATENATE($FK$12,Fixtures!HM$25))="","",IF(INDIRECT(CONCATENATE($FK$12,Fixtures!HM$25))=Fixtures!$DN73,CONCATENATE(HM$10,", "),""))</f>
        <v/>
      </c>
      <c r="HN73" s="607" t="str">
        <f ca="1">IF(INDIRECT(CONCATENATE($FK$12,Fixtures!HN$25))="","",IF(INDIRECT(CONCATENATE($FK$12,Fixtures!HN$25))=Fixtures!$DN73,CONCATENATE(HN$10,", "),""))</f>
        <v/>
      </c>
      <c r="HO73" s="632" t="str">
        <f ca="1">IF(INDIRECT(CONCATENATE($FK$12,Fixtures!HO$25))="","",IF(INDIRECT(CONCATENATE($FK$12,Fixtures!HO$25))=Fixtures!$DN73,CONCATENATE(HO$10,", "),""))</f>
        <v/>
      </c>
      <c r="HP73" s="632" t="str">
        <f ca="1">IF(INDIRECT(CONCATENATE($FK$12,Fixtures!HP$25))="","",IF(INDIRECT(CONCATENATE($FK$12,Fixtures!HP$25))=Fixtures!$DN73,CONCATENATE(HP$10,", "),""))</f>
        <v/>
      </c>
      <c r="HQ73" s="632" t="str">
        <f ca="1">IF(INDIRECT(CONCATENATE($FK$12,Fixtures!HQ$25))="","",IF(INDIRECT(CONCATENATE($FK$12,Fixtures!HQ$25))=Fixtures!$DN73,CONCATENATE(HQ$10,", "),""))</f>
        <v/>
      </c>
      <c r="HR73" s="632" t="str">
        <f ca="1">IF(INDIRECT(CONCATENATE($FK$12,Fixtures!HR$25))="","",IF(INDIRECT(CONCATENATE($FK$12,Fixtures!HR$25))=Fixtures!$DN73,CONCATENATE(HR$10,", "),""))</f>
        <v/>
      </c>
      <c r="HS73" s="632" t="str">
        <f ca="1">IF(INDIRECT(CONCATENATE($FK$12,Fixtures!HS$25))="","",IF(INDIRECT(CONCATENATE($FK$12,Fixtures!HS$25))=Fixtures!$DN73,CONCATENATE(HS$10,", "),""))</f>
        <v/>
      </c>
      <c r="HT73" s="632" t="str">
        <f ca="1">IF(INDIRECT(CONCATENATE($FK$12,Fixtures!HT$25))="","",IF(INDIRECT(CONCATENATE($FK$12,Fixtures!HT$25))=Fixtures!$DN73,CONCATENATE(HT$10,", "),""))</f>
        <v/>
      </c>
      <c r="HU73" s="632" t="str">
        <f ca="1">IF(INDIRECT(CONCATENATE($FK$12,Fixtures!HU$25))="","",IF(INDIRECT(CONCATENATE($FK$12,Fixtures!HU$25))=Fixtures!$DN73,CONCATENATE(HU$10,", "),""))</f>
        <v/>
      </c>
      <c r="HV73" s="632" t="str">
        <f ca="1">IF(INDIRECT(CONCATENATE($FK$12,Fixtures!HV$25))="","",IF(INDIRECT(CONCATENATE($FK$12,Fixtures!HV$25))=Fixtures!$DN73,CONCATENATE(HV$10,", "),""))</f>
        <v/>
      </c>
      <c r="HW73" s="632" t="str">
        <f ca="1">IF(INDIRECT(CONCATENATE($FK$12,Fixtures!HW$25))="","",IF(INDIRECT(CONCATENATE($FK$12,Fixtures!HW$25))=Fixtures!$DN73,CONCATENATE(HW$10,", "),""))</f>
        <v/>
      </c>
      <c r="HX73" s="632" t="str">
        <f ca="1">IF(INDIRECT(CONCATENATE($FK$12,Fixtures!HX$25))="","",IF(INDIRECT(CONCATENATE($FK$12,Fixtures!HX$25))=Fixtures!$DN73,CONCATENATE(HX$10,", "),""))</f>
        <v/>
      </c>
      <c r="HY73" s="632" t="str">
        <f ca="1">IF(INDIRECT(CONCATENATE($FK$12,Fixtures!HY$25))="","",IF(INDIRECT(CONCATENATE($FK$12,Fixtures!HY$25))=Fixtures!$DN73,CONCATENATE(HY$10,", "),""))</f>
        <v/>
      </c>
      <c r="HZ73" s="632" t="str">
        <f ca="1">IF(INDIRECT(CONCATENATE($FK$12,Fixtures!HZ$25))="","",IF(INDIRECT(CONCATENATE($FK$12,Fixtures!HZ$25))=Fixtures!$DN73,CONCATENATE(HZ$10,", "),""))</f>
        <v/>
      </c>
      <c r="IA73" s="632" t="str">
        <f ca="1">IF(INDIRECT(CONCATENATE($FK$12,Fixtures!IA$25))="","",IF(INDIRECT(CONCATENATE($FK$12,Fixtures!IA$25))=Fixtures!$DN73,CONCATENATE(IA$10,", "),""))</f>
        <v/>
      </c>
      <c r="IB73" s="606" t="str">
        <f ca="1">IF(INDIRECT(CONCATENATE($FK$12,Fixtures!IB$25))="","",IF(INDIRECT(CONCATENATE($FK$12,Fixtures!IB$25))=Fixtures!$DN73,CONCATENATE(IB$10,", "),""))</f>
        <v/>
      </c>
      <c r="IC73" s="607" t="str">
        <f ca="1">IF(INDIRECT(CONCATENATE($FK$12,Fixtures!IC$25))="","",IF(INDIRECT(CONCATENATE($FK$12,Fixtures!IC$25))=Fixtures!$DN73,CONCATENATE(IC$10,", "),""))</f>
        <v/>
      </c>
      <c r="ID73" s="632" t="str">
        <f ca="1">IF(INDIRECT(CONCATENATE($FK$12,Fixtures!ID$25))="","",IF(INDIRECT(CONCATENATE($FK$12,Fixtures!ID$25))=Fixtures!$DN73,CONCATENATE(ID$10,", "),""))</f>
        <v/>
      </c>
      <c r="IE73" s="632" t="str">
        <f ca="1">IF(INDIRECT(CONCATENATE($FK$12,Fixtures!IE$25))="","",IF(INDIRECT(CONCATENATE($FK$12,Fixtures!IE$25))=Fixtures!$DN73,CONCATENATE(IE$10,", "),""))</f>
        <v/>
      </c>
      <c r="IF73" s="632" t="str">
        <f ca="1">IF(INDIRECT(CONCATENATE($FK$12,Fixtures!IF$25))="","",IF(INDIRECT(CONCATENATE($FK$12,Fixtures!IF$25))=Fixtures!$DN73,CONCATENATE(IF$10,", "),""))</f>
        <v/>
      </c>
      <c r="IG73" s="632" t="str">
        <f ca="1">IF(INDIRECT(CONCATENATE($FK$12,Fixtures!IG$25))="","",IF(INDIRECT(CONCATENATE($FK$12,Fixtures!IG$25))=Fixtures!$DN73,CONCATENATE(IG$10,", "),""))</f>
        <v/>
      </c>
      <c r="IH73" s="632" t="str">
        <f ca="1">IF(INDIRECT(CONCATENATE($FK$12,Fixtures!IH$25))="","",IF(INDIRECT(CONCATENATE($FK$12,Fixtures!IH$25))=Fixtures!$DN73,CONCATENATE(IH$10,", "),""))</f>
        <v/>
      </c>
      <c r="II73" s="632" t="str">
        <f ca="1">IF(INDIRECT(CONCATENATE($FK$12,Fixtures!II$25))="","",IF(INDIRECT(CONCATENATE($FK$12,Fixtures!II$25))=Fixtures!$DN73,CONCATENATE(II$10,", "),""))</f>
        <v/>
      </c>
      <c r="IJ73" s="632" t="str">
        <f ca="1">IF(INDIRECT(CONCATENATE($FK$12,Fixtures!IJ$25))="","",IF(INDIRECT(CONCATENATE($FK$12,Fixtures!IJ$25))=Fixtures!$DN73,CONCATENATE(IJ$10,", "),""))</f>
        <v/>
      </c>
      <c r="IK73" s="632" t="str">
        <f ca="1">IF(INDIRECT(CONCATENATE($FK$12,Fixtures!IK$25))="","",IF(INDIRECT(CONCATENATE($FK$12,Fixtures!IK$25))=Fixtures!$DN73,CONCATENATE(IK$10,", "),""))</f>
        <v/>
      </c>
      <c r="IL73" s="632" t="str">
        <f ca="1">IF(INDIRECT(CONCATENATE($FK$12,Fixtures!IL$25))="","",IF(INDIRECT(CONCATENATE($FK$12,Fixtures!IL$25))=Fixtures!$DN73,CONCATENATE(IL$10,", "),""))</f>
        <v/>
      </c>
      <c r="IM73" s="632" t="str">
        <f ca="1">IF(INDIRECT(CONCATENATE($FK$12,Fixtures!IM$25))="","",IF(INDIRECT(CONCATENATE($FK$12,Fixtures!IM$25))=Fixtures!$DN73,CONCATENATE(IM$10,", "),""))</f>
        <v/>
      </c>
      <c r="IN73" s="632" t="str">
        <f ca="1">IF(INDIRECT(CONCATENATE($FK$12,Fixtures!IN$25))="","",IF(INDIRECT(CONCATENATE($FK$12,Fixtures!IN$25))=Fixtures!$DN73,CONCATENATE(IN$10,", "),""))</f>
        <v/>
      </c>
      <c r="IO73" s="632" t="str">
        <f ca="1">IF(INDIRECT(CONCATENATE($FK$12,Fixtures!IO$25))="","",IF(INDIRECT(CONCATENATE($FK$12,Fixtures!IO$25))=Fixtures!$DN73,CONCATENATE(IO$10,", "),""))</f>
        <v/>
      </c>
      <c r="IP73" s="632" t="str">
        <f ca="1">IF(INDIRECT(CONCATENATE($FK$12,Fixtures!IP$25))="","",IF(INDIRECT(CONCATENATE($FK$12,Fixtures!IP$25))=Fixtures!$DN73,CONCATENATE(IP$10,", "),""))</f>
        <v/>
      </c>
      <c r="IQ73" s="606" t="str">
        <f ca="1">IF(INDIRECT(CONCATENATE($FK$12,Fixtures!IQ$25))="","",IF(INDIRECT(CONCATENATE($FK$12,Fixtures!IQ$25))=Fixtures!$DN73,CONCATENATE(IQ$10,", "),""))</f>
        <v/>
      </c>
      <c r="IR73" s="607" t="str">
        <f ca="1">IF(INDIRECT(CONCATENATE($FK$12,Fixtures!IR$25))="","",IF(INDIRECT(CONCATENATE($FK$12,Fixtures!IR$25))=Fixtures!$DN73,CONCATENATE(IR$10,", "),""))</f>
        <v/>
      </c>
      <c r="IS73" s="632" t="str">
        <f ca="1">IF(INDIRECT(CONCATENATE($FK$12,Fixtures!IS$25))="","",IF(INDIRECT(CONCATENATE($FK$12,Fixtures!IS$25))=Fixtures!$DN73,CONCATENATE(IS$10,", "),""))</f>
        <v/>
      </c>
      <c r="IT73" s="632" t="str">
        <f ca="1">IF(INDIRECT(CONCATENATE($FK$12,Fixtures!IT$25))="","",IF(INDIRECT(CONCATENATE($FK$12,Fixtures!IT$25))=Fixtures!$DN73,CONCATENATE(IT$10,", "),""))</f>
        <v/>
      </c>
      <c r="IU73" s="632" t="str">
        <f ca="1">IF(INDIRECT(CONCATENATE($FK$12,Fixtures!IU$25))="","",IF(INDIRECT(CONCATENATE($FK$12,Fixtures!IU$25))=Fixtures!$DN73,CONCATENATE(IU$10,", "),""))</f>
        <v/>
      </c>
      <c r="IV73" s="632" t="str">
        <f ca="1">IF(INDIRECT(CONCATENATE($FK$12,Fixtures!IV$25))="","",IF(INDIRECT(CONCATENATE($FK$12,Fixtures!IV$25))=Fixtures!$DN73,CONCATENATE(IV$10,", "),""))</f>
        <v/>
      </c>
      <c r="IW73" s="632" t="str">
        <f ca="1">IF(INDIRECT(CONCATENATE($FK$12,Fixtures!IW$25))="","",IF(INDIRECT(CONCATENATE($FK$12,Fixtures!IW$25))=Fixtures!$DN73,CONCATENATE(IW$10,", "),""))</f>
        <v/>
      </c>
      <c r="IX73" s="632" t="str">
        <f ca="1">IF(INDIRECT(CONCATENATE($FK$12,Fixtures!IX$25))="","",IF(INDIRECT(CONCATENATE($FK$12,Fixtures!IX$25))=Fixtures!$DN73,CONCATENATE(IX$10,", "),""))</f>
        <v/>
      </c>
      <c r="IY73" s="632" t="str">
        <f ca="1">IF(INDIRECT(CONCATENATE($FK$12,Fixtures!IY$25))="","",IF(INDIRECT(CONCATENATE($FK$12,Fixtures!IY$25))=Fixtures!$DN73,CONCATENATE(IY$10,", "),""))</f>
        <v/>
      </c>
      <c r="IZ73" s="632" t="str">
        <f ca="1">IF(INDIRECT(CONCATENATE($FK$12,Fixtures!IZ$25))="","",IF(INDIRECT(CONCATENATE($FK$12,Fixtures!IZ$25))=Fixtures!$DN73,CONCATENATE(IZ$10,", "),""))</f>
        <v/>
      </c>
      <c r="JA73" s="632" t="str">
        <f ca="1">IF(INDIRECT(CONCATENATE($FK$12,Fixtures!JA$25))="","",IF(INDIRECT(CONCATENATE($FK$12,Fixtures!JA$25))=Fixtures!$DN73,CONCATENATE(JA$10,", "),""))</f>
        <v/>
      </c>
      <c r="JB73" s="632" t="str">
        <f ca="1">IF(INDIRECT(CONCATENATE($FK$12,Fixtures!JB$25))="","",IF(INDIRECT(CONCATENATE($FK$12,Fixtures!JB$25))=Fixtures!$DN73,CONCATENATE(JB$10,", "),""))</f>
        <v/>
      </c>
      <c r="JC73" s="632" t="str">
        <f ca="1">IF(INDIRECT(CONCATENATE($FK$12,Fixtures!JC$25))="","",IF(INDIRECT(CONCATENATE($FK$12,Fixtures!JC$25))=Fixtures!$DN73,CONCATENATE(JC$10,", "),""))</f>
        <v/>
      </c>
      <c r="JD73" s="632" t="str">
        <f ca="1">IF(INDIRECT(CONCATENATE($FK$12,Fixtures!JD$25))="","",IF(INDIRECT(CONCATENATE($FK$12,Fixtures!JD$25))=Fixtures!$DN73,CONCATENATE(JD$10,", "),""))</f>
        <v/>
      </c>
      <c r="JE73" s="632" t="str">
        <f ca="1">IF(INDIRECT(CONCATENATE($FK$12,Fixtures!JE$25))="","",IF(INDIRECT(CONCATENATE($FK$12,Fixtures!JE$25))=Fixtures!$DN73,CONCATENATE(JE$10,", "),""))</f>
        <v/>
      </c>
      <c r="JF73" s="606" t="str">
        <f ca="1">IF(INDIRECT(CONCATENATE($FK$12,Fixtures!JF$25))="","",IF(INDIRECT(CONCATENATE($FK$12,Fixtures!JF$25))=Fixtures!$DN73,CONCATENATE(JF$10,", "),""))</f>
        <v/>
      </c>
      <c r="JG73" s="607" t="str">
        <f ca="1">IF(INDIRECT(CONCATENATE($FK$12,Fixtures!JG$25))="","",IF(INDIRECT(CONCATENATE($FK$12,Fixtures!JG$25))=Fixtures!$DN73,CONCATENATE(JG$10,", "),""))</f>
        <v/>
      </c>
      <c r="JH73" s="632" t="str">
        <f ca="1">IF(INDIRECT(CONCATENATE($FK$12,Fixtures!JH$25))="","",IF(INDIRECT(CONCATENATE($FK$12,Fixtures!JH$25))=Fixtures!$DN73,CONCATENATE(JH$10,", "),""))</f>
        <v/>
      </c>
      <c r="JI73" s="632" t="str">
        <f ca="1">IF(INDIRECT(CONCATENATE($FK$12,Fixtures!JI$25))="","",IF(INDIRECT(CONCATENATE($FK$12,Fixtures!JI$25))=Fixtures!$DN73,CONCATENATE(JI$10,", "),""))</f>
        <v/>
      </c>
      <c r="JJ73" s="632" t="str">
        <f ca="1">IF(INDIRECT(CONCATENATE($FK$12,Fixtures!JJ$25))="","",IF(INDIRECT(CONCATENATE($FK$12,Fixtures!JJ$25))=Fixtures!$DN73,CONCATENATE(JJ$10,", "),""))</f>
        <v/>
      </c>
      <c r="JK73" s="632" t="str">
        <f ca="1">IF(INDIRECT(CONCATENATE($FK$12,Fixtures!JK$25))="","",IF(INDIRECT(CONCATENATE($FK$12,Fixtures!JK$25))=Fixtures!$DN73,CONCATENATE(JK$10,", "),""))</f>
        <v/>
      </c>
      <c r="JL73" s="632" t="str">
        <f ca="1">IF(INDIRECT(CONCATENATE($FK$12,Fixtures!JL$25))="","",IF(INDIRECT(CONCATENATE($FK$12,Fixtures!JL$25))=Fixtures!$DN73,CONCATENATE(JL$10,", "),""))</f>
        <v/>
      </c>
      <c r="JM73" s="632" t="str">
        <f ca="1">IF(INDIRECT(CONCATENATE($FK$12,Fixtures!JM$25))="","",IF(INDIRECT(CONCATENATE($FK$12,Fixtures!JM$25))=Fixtures!$DN73,CONCATENATE(JM$10,", "),""))</f>
        <v/>
      </c>
      <c r="JN73" s="632" t="str">
        <f ca="1">IF(INDIRECT(CONCATENATE($FK$12,Fixtures!JN$25))="","",IF(INDIRECT(CONCATENATE($FK$12,Fixtures!JN$25))=Fixtures!$DN73,CONCATENATE(JN$10,", "),""))</f>
        <v/>
      </c>
      <c r="JO73" s="632" t="str">
        <f ca="1">IF(INDIRECT(CONCATENATE($FK$12,Fixtures!JO$25))="","",IF(INDIRECT(CONCATENATE($FK$12,Fixtures!JO$25))=Fixtures!$DN73,CONCATENATE(JO$10,", "),""))</f>
        <v/>
      </c>
      <c r="JP73" s="632" t="str">
        <f ca="1">IF(INDIRECT(CONCATENATE($FK$12,Fixtures!JP$25))="","",IF(INDIRECT(CONCATENATE($FK$12,Fixtures!JP$25))=Fixtures!$DN73,CONCATENATE(JP$10,", "),""))</f>
        <v/>
      </c>
      <c r="JQ73" s="632" t="str">
        <f ca="1">IF(INDIRECT(CONCATENATE($FK$12,Fixtures!JQ$25))="","",IF(INDIRECT(CONCATENATE($FK$12,Fixtures!JQ$25))=Fixtures!$DN73,CONCATENATE(JQ$10,", "),""))</f>
        <v/>
      </c>
      <c r="JR73" s="632" t="str">
        <f ca="1">IF(INDIRECT(CONCATENATE($FK$12,Fixtures!JR$25))="","",IF(INDIRECT(CONCATENATE($FK$12,Fixtures!JR$25))=Fixtures!$DN73,CONCATENATE(JR$10,", "),""))</f>
        <v/>
      </c>
      <c r="JS73" s="632" t="str">
        <f ca="1">IF(INDIRECT(CONCATENATE($FK$12,Fixtures!JS$25))="","",IF(INDIRECT(CONCATENATE($FK$12,Fixtures!JS$25))=Fixtures!$DN73,CONCATENATE(JS$10,", "),""))</f>
        <v/>
      </c>
      <c r="JT73" s="632" t="str">
        <f ca="1">IF(INDIRECT(CONCATENATE($FK$12,Fixtures!JT$25))="","",IF(INDIRECT(CONCATENATE($FK$12,Fixtures!JT$25))=Fixtures!$DN73,CONCATENATE(JT$10,", "),""))</f>
        <v/>
      </c>
      <c r="JU73" s="606" t="str">
        <f ca="1">IF(INDIRECT(CONCATENATE($FK$12,Fixtures!JU$25))="","",IF(INDIRECT(CONCATENATE($FK$12,Fixtures!JU$25))=Fixtures!$DN73,CONCATENATE(JU$10,", "),""))</f>
        <v/>
      </c>
      <c r="JV73" s="607" t="str">
        <f ca="1">IF(INDIRECT(CONCATENATE($FK$12,Fixtures!JV$25))="","",IF(INDIRECT(CONCATENATE($FK$12,Fixtures!JV$25))=Fixtures!$DN73,CONCATENATE(JV$10,", "),""))</f>
        <v/>
      </c>
      <c r="JW73" s="632" t="str">
        <f ca="1">IF(INDIRECT(CONCATENATE($FK$12,Fixtures!JW$25))="","",IF(INDIRECT(CONCATENATE($FK$12,Fixtures!JW$25))=Fixtures!$DN73,CONCATENATE(JW$10,", "),""))</f>
        <v/>
      </c>
      <c r="JX73" s="632" t="str">
        <f ca="1">IF(INDIRECT(CONCATENATE($FK$12,Fixtures!JX$25))="","",IF(INDIRECT(CONCATENATE($FK$12,Fixtures!JX$25))=Fixtures!$DN73,CONCATENATE(JX$10,", "),""))</f>
        <v/>
      </c>
      <c r="JY73" s="632" t="str">
        <f ca="1">IF(INDIRECT(CONCATENATE($FK$12,Fixtures!JY$25))="","",IF(INDIRECT(CONCATENATE($FK$12,Fixtures!JY$25))=Fixtures!$DN73,CONCATENATE(JY$10,", "),""))</f>
        <v/>
      </c>
      <c r="JZ73" s="632" t="str">
        <f ca="1">IF(INDIRECT(CONCATENATE($FK$12,Fixtures!JZ$25))="","",IF(INDIRECT(CONCATENATE($FK$12,Fixtures!JZ$25))=Fixtures!$DN73,CONCATENATE(JZ$10,", "),""))</f>
        <v/>
      </c>
      <c r="KA73" s="632" t="str">
        <f ca="1">IF(INDIRECT(CONCATENATE($FK$12,Fixtures!KA$25))="","",IF(INDIRECT(CONCATENATE($FK$12,Fixtures!KA$25))=Fixtures!$DN73,CONCATENATE(KA$10,", "),""))</f>
        <v/>
      </c>
      <c r="KB73" s="632" t="str">
        <f ca="1">IF(INDIRECT(CONCATENATE($FK$12,Fixtures!KB$25))="","",IF(INDIRECT(CONCATENATE($FK$12,Fixtures!KB$25))=Fixtures!$DN73,CONCATENATE(KB$10,", "),""))</f>
        <v/>
      </c>
      <c r="KC73" s="632" t="str">
        <f ca="1">IF(INDIRECT(CONCATENATE($FK$12,Fixtures!KC$25))="","",IF(INDIRECT(CONCATENATE($FK$12,Fixtures!KC$25))=Fixtures!$DN73,CONCATENATE(KC$10,", "),""))</f>
        <v/>
      </c>
      <c r="KD73" s="632" t="str">
        <f ca="1">IF(INDIRECT(CONCATENATE($FK$12,Fixtures!KD$25))="","",IF(INDIRECT(CONCATENATE($FK$12,Fixtures!KD$25))=Fixtures!$DN73,CONCATENATE(KD$10,", "),""))</f>
        <v/>
      </c>
      <c r="KE73" s="632" t="str">
        <f ca="1">IF(INDIRECT(CONCATENATE($FK$12,Fixtures!KE$25))="","",IF(INDIRECT(CONCATENATE($FK$12,Fixtures!KE$25))=Fixtures!$DN73,CONCATENATE(KE$10,", "),""))</f>
        <v/>
      </c>
      <c r="KF73" s="632" t="str">
        <f ca="1">IF(INDIRECT(CONCATENATE($FK$12,Fixtures!KF$25))="","",IF(INDIRECT(CONCATENATE($FK$12,Fixtures!KF$25))=Fixtures!$DN73,CONCATENATE(KF$10,", "),""))</f>
        <v/>
      </c>
      <c r="KG73" s="632" t="str">
        <f ca="1">IF(INDIRECT(CONCATENATE($FK$12,Fixtures!KG$25))="","",IF(INDIRECT(CONCATENATE($FK$12,Fixtures!KG$25))=Fixtures!$DN73,CONCATENATE(KG$10,", "),""))</f>
        <v/>
      </c>
      <c r="KH73" s="632" t="str">
        <f ca="1">IF(INDIRECT(CONCATENATE($FK$12,Fixtures!KH$25))="","",IF(INDIRECT(CONCATENATE($FK$12,Fixtures!KH$25))=Fixtures!$DN73,CONCATENATE(KH$10,", "),""))</f>
        <v/>
      </c>
      <c r="KI73" s="632" t="str">
        <f ca="1">IF(INDIRECT(CONCATENATE($FK$12,Fixtures!KI$25))="","",IF(INDIRECT(CONCATENATE($FK$12,Fixtures!KI$25))=Fixtures!$DN73,CONCATENATE(KI$10,", "),""))</f>
        <v/>
      </c>
      <c r="KJ73" s="606" t="str">
        <f ca="1">IF(INDIRECT(CONCATENATE($FK$12,Fixtures!KJ$25))="","",IF(INDIRECT(CONCATENATE($FK$12,Fixtures!KJ$25))=Fixtures!$DN73,CONCATENATE(KJ$10,", "),""))</f>
        <v/>
      </c>
      <c r="KK73" s="607" t="str">
        <f ca="1">IF(INDIRECT(CONCATENATE($FK$12,Fixtures!KK$25))="","",IF(INDIRECT(CONCATENATE($FK$12,Fixtures!KK$25))=Fixtures!$DN73,CONCATENATE(KK$10,", "),""))</f>
        <v/>
      </c>
      <c r="KL73" s="632" t="str">
        <f ca="1">IF(INDIRECT(CONCATENATE($FK$12,Fixtures!KL$25))="","",IF(INDIRECT(CONCATENATE($FK$12,Fixtures!KL$25))=Fixtures!$DN73,CONCATENATE(KL$10,", "),""))</f>
        <v/>
      </c>
      <c r="KM73" s="632" t="str">
        <f ca="1">IF(INDIRECT(CONCATENATE($FK$12,Fixtures!KM$25))="","",IF(INDIRECT(CONCATENATE($FK$12,Fixtures!KM$25))=Fixtures!$DN73,CONCATENATE(KM$10,", "),""))</f>
        <v/>
      </c>
      <c r="KN73" s="632" t="str">
        <f ca="1">IF(INDIRECT(CONCATENATE($FK$12,Fixtures!KN$25))="","",IF(INDIRECT(CONCATENATE($FK$12,Fixtures!KN$25))=Fixtures!$DN73,CONCATENATE(KN$10,", "),""))</f>
        <v/>
      </c>
      <c r="KO73" s="632" t="str">
        <f ca="1">IF(INDIRECT(CONCATENATE($FK$12,Fixtures!KO$25))="","",IF(INDIRECT(CONCATENATE($FK$12,Fixtures!KO$25))=Fixtures!$DN73,CONCATENATE(KO$10,", "),""))</f>
        <v/>
      </c>
      <c r="KP73" s="632" t="str">
        <f ca="1">IF(INDIRECT(CONCATENATE($FK$12,Fixtures!KP$25))="","",IF(INDIRECT(CONCATENATE($FK$12,Fixtures!KP$25))=Fixtures!$DN73,CONCATENATE(KP$10,", "),""))</f>
        <v/>
      </c>
      <c r="KQ73" s="632" t="str">
        <f ca="1">IF(INDIRECT(CONCATENATE($FK$12,Fixtures!KQ$25))="","",IF(INDIRECT(CONCATENATE($FK$12,Fixtures!KQ$25))=Fixtures!$DN73,CONCATENATE(KQ$10,", "),""))</f>
        <v/>
      </c>
      <c r="KR73" s="632" t="str">
        <f ca="1">IF(INDIRECT(CONCATENATE($FK$12,Fixtures!KR$25))="","",IF(INDIRECT(CONCATENATE($FK$12,Fixtures!KR$25))=Fixtures!$DN73,CONCATENATE(KR$10,", "),""))</f>
        <v/>
      </c>
      <c r="KS73" s="632" t="str">
        <f ca="1">IF(INDIRECT(CONCATENATE($FK$12,Fixtures!KS$25))="","",IF(INDIRECT(CONCATENATE($FK$12,Fixtures!KS$25))=Fixtures!$DN73,CONCATENATE(KS$10,", "),""))</f>
        <v/>
      </c>
      <c r="KT73" s="632" t="str">
        <f ca="1">IF(INDIRECT(CONCATENATE($FK$12,Fixtures!KT$25))="","",IF(INDIRECT(CONCATENATE($FK$12,Fixtures!KT$25))=Fixtures!$DN73,CONCATENATE(KT$10,", "),""))</f>
        <v/>
      </c>
      <c r="KU73" s="632" t="str">
        <f ca="1">IF(INDIRECT(CONCATENATE($FK$12,Fixtures!KU$25))="","",IF(INDIRECT(CONCATENATE($FK$12,Fixtures!KU$25))=Fixtures!$DN73,CONCATENATE(KU$10,", "),""))</f>
        <v/>
      </c>
      <c r="KV73" s="632" t="str">
        <f ca="1">IF(INDIRECT(CONCATENATE($FK$12,Fixtures!KV$25))="","",IF(INDIRECT(CONCATENATE($FK$12,Fixtures!KV$25))=Fixtures!$DN73,CONCATENATE(KV$10,", "),""))</f>
        <v/>
      </c>
      <c r="KW73" s="632" t="str">
        <f ca="1">IF(INDIRECT(CONCATENATE($FK$12,Fixtures!KW$25))="","",IF(INDIRECT(CONCATENATE($FK$12,Fixtures!KW$25))=Fixtures!$DN73,CONCATENATE(KW$10,", "),""))</f>
        <v/>
      </c>
      <c r="KX73" s="632" t="str">
        <f ca="1">IF(INDIRECT(CONCATENATE($FK$12,Fixtures!KX$25))="","",IF(INDIRECT(CONCATENATE($FK$12,Fixtures!KX$25))=Fixtures!$DN73,CONCATENATE(KX$10,", "),""))</f>
        <v/>
      </c>
      <c r="KY73" s="632"/>
      <c r="KZ73" s="542"/>
      <c r="LA73" s="46" t="str">
        <f t="shared" ca="1" si="37"/>
        <v/>
      </c>
      <c r="LB73" s="46"/>
      <c r="LC73" s="1010"/>
      <c r="LD73" s="1009" t="str">
        <f t="shared" si="20"/>
        <v/>
      </c>
    </row>
    <row r="74" spans="1:316" ht="28.2" customHeight="1" thickTop="1" thickBot="1">
      <c r="A74" s="426" t="str">
        <f t="shared" si="13"/>
        <v/>
      </c>
      <c r="C74" s="1640" t="str">
        <f t="shared" si="14"/>
        <v/>
      </c>
      <c r="D74" s="1641"/>
      <c r="E74" s="1568" t="str">
        <f t="shared" si="15"/>
        <v/>
      </c>
      <c r="F74" s="1569"/>
      <c r="G74" s="1569"/>
      <c r="H74" s="1569"/>
      <c r="I74" s="1569"/>
      <c r="J74" s="1569"/>
      <c r="K74" s="1569"/>
      <c r="L74" s="1569"/>
      <c r="M74" s="1642"/>
      <c r="N74" s="203" t="str">
        <f t="shared" si="16"/>
        <v/>
      </c>
      <c r="O74" s="12"/>
      <c r="P74" s="1638" t="str">
        <f t="shared" si="25"/>
        <v/>
      </c>
      <c r="Q74" s="1639"/>
      <c r="R74" s="1568" t="str">
        <f t="shared" si="30"/>
        <v/>
      </c>
      <c r="S74" s="1569"/>
      <c r="T74" s="1569"/>
      <c r="U74" s="1569"/>
      <c r="V74" s="1569"/>
      <c r="W74" s="1569"/>
      <c r="X74" s="1569"/>
      <c r="Y74" s="203" t="str">
        <f t="shared" si="26"/>
        <v/>
      </c>
      <c r="Z74" s="203" t="str">
        <f t="shared" si="27"/>
        <v/>
      </c>
      <c r="AA74" s="394" t="str">
        <f t="shared" si="28"/>
        <v/>
      </c>
      <c r="AB74" s="489"/>
      <c r="AC74" s="1564" t="str">
        <f t="shared" si="18"/>
        <v/>
      </c>
      <c r="AD74" s="1565"/>
      <c r="AE74" s="1565"/>
      <c r="AF74" s="1565"/>
      <c r="AG74" s="1565"/>
      <c r="AH74" s="1565"/>
      <c r="AK74">
        <f>SUMIFS(Installations!CV$46:CV$803,Installations!CW$46:CW$803,E74,Installations!IC$46:IC$803,TRUE)</f>
        <v>0</v>
      </c>
      <c r="AL74">
        <f>SUMIFS(Installations!CV$46:CV$803,Installations!CW$46:CW$803,R74,Installations!IC$46:IC$803,TRUE)</f>
        <v>0</v>
      </c>
      <c r="BL74" s="9"/>
      <c r="BM74" s="622" t="str">
        <f t="shared" si="19"/>
        <v/>
      </c>
      <c r="BN74" s="52"/>
      <c r="BO74" s="52"/>
      <c r="BP74" s="52"/>
      <c r="BQ74" s="52"/>
      <c r="BR74" s="52"/>
      <c r="BS74" s="52"/>
      <c r="BT74" s="52"/>
      <c r="BU74" s="373"/>
      <c r="BV74" s="219" t="str">
        <f>IF(CN74&lt;&gt;"Yes","",IFERROR(VLOOKUP(CU74,Existing!A$4:F$367,2,FALSE),""))</f>
        <v/>
      </c>
      <c r="BW74" s="9">
        <v>48</v>
      </c>
      <c r="BX74" s="1625"/>
      <c r="BY74" s="1626"/>
      <c r="BZ74" s="1626"/>
      <c r="CA74" s="1627"/>
      <c r="CB74" s="1622"/>
      <c r="CC74" s="1623"/>
      <c r="CD74" s="1623"/>
      <c r="CE74" s="1624"/>
      <c r="CF74" s="1621"/>
      <c r="CG74" s="1621"/>
      <c r="CH74" s="1621"/>
      <c r="CI74" s="1621"/>
      <c r="CJ74" s="1621"/>
      <c r="CK74" s="1621"/>
      <c r="CL74" s="1621"/>
      <c r="CM74" s="1621"/>
      <c r="CN74" s="1553" t="str">
        <f t="shared" si="31"/>
        <v/>
      </c>
      <c r="CO74" s="1554"/>
      <c r="CP74" s="229" t="str">
        <f>IFERROR(IF(CB74="Existing TLED",CR74*CW74*CY74,VLOOKUP(CU74,Existing!A$3:F$356,6,FALSE)),"")</f>
        <v/>
      </c>
      <c r="CQ74" s="9"/>
      <c r="CR74" s="1660"/>
      <c r="CS74" s="1661"/>
      <c r="CT74" s="9"/>
      <c r="CU74" s="425" t="str">
        <f t="shared" si="21"/>
        <v/>
      </c>
      <c r="CV74" s="426" t="b">
        <f t="shared" si="22"/>
        <v>0</v>
      </c>
      <c r="CW74" s="426" t="str">
        <f t="shared" si="23"/>
        <v/>
      </c>
      <c r="CX74" s="426">
        <f>IFERROR(VLOOKUP(CF74,Lookup!T$100:V$102,3,FALSE),0)</f>
        <v>0</v>
      </c>
      <c r="CY74" s="426">
        <f t="shared" si="8"/>
        <v>1.1100000000000001</v>
      </c>
      <c r="CZ74" s="626" t="b">
        <f t="shared" si="32"/>
        <v>0</v>
      </c>
      <c r="DA74" s="626" t="b">
        <f>IF(CF74&lt;&gt;"",IF(ISERROR(MATCH(CONCATENATE(CB74," - ",CF74),Existing!G$4:G$331,0))=TRUE,FALSE,TRUE),TRUE)</f>
        <v>1</v>
      </c>
      <c r="DB74" s="626" t="b">
        <f t="shared" si="33"/>
        <v>1</v>
      </c>
      <c r="DL74" s="9"/>
      <c r="DM74" s="627" t="s">
        <v>215</v>
      </c>
      <c r="DN74" s="375" t="str">
        <f t="shared" si="34"/>
        <v/>
      </c>
      <c r="DO74" s="52"/>
      <c r="DP74" s="52"/>
      <c r="DQ74" s="52"/>
      <c r="DR74" s="52"/>
      <c r="DS74" s="52"/>
      <c r="DT74" s="226"/>
      <c r="DU74" s="376"/>
      <c r="DV74" s="227" t="str">
        <f t="shared" si="35"/>
        <v/>
      </c>
      <c r="DW74" s="224">
        <v>48</v>
      </c>
      <c r="DX74" s="1572"/>
      <c r="DY74" s="1573"/>
      <c r="DZ74" s="1573"/>
      <c r="EA74" s="1574"/>
      <c r="EB74" s="1618"/>
      <c r="EC74" s="1619"/>
      <c r="ED74" s="1619"/>
      <c r="EE74" s="1620"/>
      <c r="EF74" s="1578"/>
      <c r="EG74" s="1579"/>
      <c r="EH74" s="1618"/>
      <c r="EI74" s="1619"/>
      <c r="EJ74" s="1619"/>
      <c r="EK74" s="1620"/>
      <c r="EL74" s="1575"/>
      <c r="EM74" s="1576"/>
      <c r="EN74" s="1576"/>
      <c r="EO74" s="1577"/>
      <c r="EP74" s="1578"/>
      <c r="EQ74" s="1579"/>
      <c r="ER74" s="1555"/>
      <c r="ES74" s="1556"/>
      <c r="ET74" s="1553" t="str">
        <f t="shared" si="9"/>
        <v/>
      </c>
      <c r="EU74" s="1554"/>
      <c r="EV74" s="1553" t="str">
        <f t="shared" si="29"/>
        <v/>
      </c>
      <c r="EW74" s="1554"/>
      <c r="EX74" s="393"/>
      <c r="EY74" s="225" t="str">
        <f t="shared" si="36"/>
        <v/>
      </c>
      <c r="EZ74" s="225" t="str">
        <f>IFERROR(VLOOKUP(EB74,Lookup!AT$3:AU$13,2,FALSE),"")</f>
        <v/>
      </c>
      <c r="FA74" s="426" t="b">
        <f>IFERROR(IF(VLOOKUP(EB74,Lookup!AT$6:AU$8,2,FALSE)&gt;3,TRUE,FALSE),FALSE)</f>
        <v>0</v>
      </c>
      <c r="FB74" s="426" t="str">
        <f t="shared" si="10"/>
        <v/>
      </c>
      <c r="FC74" t="str">
        <f t="shared" ca="1" si="11"/>
        <v/>
      </c>
      <c r="FG74" t="str">
        <f t="shared" ca="1" si="12"/>
        <v/>
      </c>
      <c r="FI74" s="204" t="str">
        <f t="shared" ca="1" si="24"/>
        <v/>
      </c>
      <c r="FK74" s="631" t="str">
        <f ca="1">IF(INDIRECT(CONCATENATE($FK$12,Fixtures!FK$25))="","",IF(INDIRECT(CONCATENATE($FK$12,Fixtures!FK$25))=Fixtures!$DN74,CONCATENATE(FK$10,", "),""))</f>
        <v/>
      </c>
      <c r="FL74" s="631" t="str">
        <f ca="1">IF(INDIRECT(CONCATENATE($FK$12,Fixtures!FL$25))="","",IF(INDIRECT(CONCATENATE($FK$12,Fixtures!FL$25))=Fixtures!$DN74,CONCATENATE(FL$10,", "),""))</f>
        <v/>
      </c>
      <c r="FM74" s="631" t="str">
        <f ca="1">IF(INDIRECT(CONCATENATE($FK$12,Fixtures!FM$25))="","",IF(INDIRECT(CONCATENATE($FK$12,Fixtures!FM$25))=Fixtures!$DN74,CONCATENATE(FM$10,", "),""))</f>
        <v/>
      </c>
      <c r="FN74" s="631" t="str">
        <f ca="1">IF(INDIRECT(CONCATENATE($FK$12,Fixtures!FN$25))="","",IF(INDIRECT(CONCATENATE($FK$12,Fixtures!FN$25))=Fixtures!$DN74,CONCATENATE(FN$10,", "),""))</f>
        <v/>
      </c>
      <c r="FO74" s="631" t="str">
        <f ca="1">IF(INDIRECT(CONCATENATE($FK$12,Fixtures!FO$25))="","",IF(INDIRECT(CONCATENATE($FK$12,Fixtures!FO$25))=Fixtures!$DN74,CONCATENATE(FO$10,", "),""))</f>
        <v/>
      </c>
      <c r="FP74" s="631" t="str">
        <f ca="1">IF(INDIRECT(CONCATENATE($FK$12,Fixtures!FP$25))="","",IF(INDIRECT(CONCATENATE($FK$12,Fixtures!FP$25))=Fixtures!$DN74,CONCATENATE(FP$10,", "),""))</f>
        <v/>
      </c>
      <c r="FQ74" s="631" t="str">
        <f ca="1">IF(INDIRECT(CONCATENATE($FK$12,Fixtures!FQ$25))="","",IF(INDIRECT(CONCATENATE($FK$12,Fixtures!FQ$25))=Fixtures!$DN74,CONCATENATE(FQ$10,", "),""))</f>
        <v/>
      </c>
      <c r="FR74" s="631" t="str">
        <f ca="1">IF(INDIRECT(CONCATENATE($FK$12,Fixtures!FR$25))="","",IF(INDIRECT(CONCATENATE($FK$12,Fixtures!FR$25))=Fixtures!$DN74,CONCATENATE(FR$10,", "),""))</f>
        <v/>
      </c>
      <c r="FS74" s="631" t="str">
        <f ca="1">IF(INDIRECT(CONCATENATE($FK$12,Fixtures!FS$25))="","",IF(INDIRECT(CONCATENATE($FK$12,Fixtures!FS$25))=Fixtures!$DN74,CONCATENATE(FS$10,", "),""))</f>
        <v/>
      </c>
      <c r="FT74" s="604" t="str">
        <f ca="1">IF(INDIRECT(CONCATENATE($FK$12,Fixtures!FT$25))="","",IF(INDIRECT(CONCATENATE($FK$12,Fixtures!FT$25))=Fixtures!$DN74,CONCATENATE(FT$10,", "),""))</f>
        <v/>
      </c>
      <c r="FU74" s="605" t="str">
        <f ca="1">IF(INDIRECT(CONCATENATE($FK$12,Fixtures!FU$25))="","",IF(INDIRECT(CONCATENATE($FK$12,Fixtures!FU$25))=Fixtures!$DN74,CONCATENATE(FU$10,", "),""))</f>
        <v/>
      </c>
      <c r="FV74" s="631" t="str">
        <f ca="1">IF(INDIRECT(CONCATENATE($FK$12,Fixtures!FV$25))="","",IF(INDIRECT(CONCATENATE($FK$12,Fixtures!FV$25))=Fixtures!$DN74,CONCATENATE(FV$10,", "),""))</f>
        <v/>
      </c>
      <c r="FW74" s="632" t="str">
        <f ca="1">IF(INDIRECT(CONCATENATE($FK$12,Fixtures!FW$25))="","",IF(INDIRECT(CONCATENATE($FK$12,Fixtures!FW$25))=Fixtures!$DN74,CONCATENATE(FW$10,", "),""))</f>
        <v/>
      </c>
      <c r="FX74" s="632" t="str">
        <f ca="1">IF(INDIRECT(CONCATENATE($FK$12,Fixtures!FX$25))="","",IF(INDIRECT(CONCATENATE($FK$12,Fixtures!FX$25))=Fixtures!$DN74,CONCATENATE(FX$10,", "),""))</f>
        <v/>
      </c>
      <c r="FY74" s="632" t="str">
        <f ca="1">IF(INDIRECT(CONCATENATE($FK$12,Fixtures!FY$25))="","",IF(INDIRECT(CONCATENATE($FK$12,Fixtures!FY$25))=Fixtures!$DN74,CONCATENATE(FY$10,", "),""))</f>
        <v/>
      </c>
      <c r="FZ74" s="632" t="str">
        <f ca="1">IF(INDIRECT(CONCATENATE($FK$12,Fixtures!FZ$25))="","",IF(INDIRECT(CONCATENATE($FK$12,Fixtures!FZ$25))=Fixtures!$DN74,CONCATENATE(FZ$10,", "),""))</f>
        <v/>
      </c>
      <c r="GA74" s="632" t="str">
        <f ca="1">IF(INDIRECT(CONCATENATE($FK$12,Fixtures!GA$25))="","",IF(INDIRECT(CONCATENATE($FK$12,Fixtures!GA$25))=Fixtures!$DN74,CONCATENATE(GA$10,", "),""))</f>
        <v/>
      </c>
      <c r="GB74" s="632" t="str">
        <f ca="1">IF(INDIRECT(CONCATENATE($FK$12,Fixtures!GB$25))="","",IF(INDIRECT(CONCATENATE($FK$12,Fixtures!GB$25))=Fixtures!$DN74,CONCATENATE(GB$10,", "),""))</f>
        <v/>
      </c>
      <c r="GC74" s="632" t="str">
        <f ca="1">IF(INDIRECT(CONCATENATE($FK$12,Fixtures!GC$25))="","",IF(INDIRECT(CONCATENATE($FK$12,Fixtures!GC$25))=Fixtures!$DN74,CONCATENATE(GC$10,", "),""))</f>
        <v/>
      </c>
      <c r="GD74" s="632" t="str">
        <f ca="1">IF(INDIRECT(CONCATENATE($FK$12,Fixtures!GD$25))="","",IF(INDIRECT(CONCATENATE($FK$12,Fixtures!GD$25))=Fixtures!$DN74,CONCATENATE(GD$10,", "),""))</f>
        <v/>
      </c>
      <c r="GE74" s="632" t="str">
        <f ca="1">IF(INDIRECT(CONCATENATE($FK$12,Fixtures!GE$25))="","",IF(INDIRECT(CONCATENATE($FK$12,Fixtures!GE$25))=Fixtures!$DN74,CONCATENATE(GE$10,", "),""))</f>
        <v/>
      </c>
      <c r="GF74" s="632" t="str">
        <f ca="1">IF(INDIRECT(CONCATENATE($FK$12,Fixtures!GF$25))="","",IF(INDIRECT(CONCATENATE($FK$12,Fixtures!GF$25))=Fixtures!$DN74,CONCATENATE(GF$10,", "),""))</f>
        <v/>
      </c>
      <c r="GG74" s="632" t="str">
        <f ca="1">IF(INDIRECT(CONCATENATE($FK$12,Fixtures!GG$25))="","",IF(INDIRECT(CONCATENATE($FK$12,Fixtures!GG$25))=Fixtures!$DN74,CONCATENATE(GG$10,", "),""))</f>
        <v/>
      </c>
      <c r="GH74" s="632" t="str">
        <f ca="1">IF(INDIRECT(CONCATENATE($FK$12,Fixtures!GH$25))="","",IF(INDIRECT(CONCATENATE($FK$12,Fixtures!GH$25))=Fixtures!$DN74,CONCATENATE(GH$10,", "),""))</f>
        <v/>
      </c>
      <c r="GI74" s="606" t="str">
        <f ca="1">IF(INDIRECT(CONCATENATE($FK$12,Fixtures!GI$25))="","",IF(INDIRECT(CONCATENATE($FK$12,Fixtures!GI$25))=Fixtures!$DN74,CONCATENATE(GI$10,", "),""))</f>
        <v/>
      </c>
      <c r="GJ74" s="607" t="str">
        <f ca="1">IF(INDIRECT(CONCATENATE($FK$12,Fixtures!GJ$25))="","",IF(INDIRECT(CONCATENATE($FK$12,Fixtures!GJ$25))=Fixtures!$DN74,CONCATENATE(GJ$10,", "),""))</f>
        <v/>
      </c>
      <c r="GK74" s="632" t="str">
        <f ca="1">IF(INDIRECT(CONCATENATE($FK$12,Fixtures!GK$25))="","",IF(INDIRECT(CONCATENATE($FK$12,Fixtures!GK$25))=Fixtures!$DN74,CONCATENATE(GK$10,", "),""))</f>
        <v/>
      </c>
      <c r="GL74" s="632" t="str">
        <f ca="1">IF(INDIRECT(CONCATENATE($FK$12,Fixtures!GL$25))="","",IF(INDIRECT(CONCATENATE($FK$12,Fixtures!GL$25))=Fixtures!$DN74,CONCATENATE(GL$10,", "),""))</f>
        <v/>
      </c>
      <c r="GM74" s="632" t="str">
        <f ca="1">IF(INDIRECT(CONCATENATE($FK$12,Fixtures!GM$25))="","",IF(INDIRECT(CONCATENATE($FK$12,Fixtures!GM$25))=Fixtures!$DN74,CONCATENATE(GM$10,", "),""))</f>
        <v/>
      </c>
      <c r="GN74" s="632" t="str">
        <f ca="1">IF(INDIRECT(CONCATENATE($FK$12,Fixtures!GN$25))="","",IF(INDIRECT(CONCATENATE($FK$12,Fixtures!GN$25))=Fixtures!$DN74,CONCATENATE(GN$10,", "),""))</f>
        <v/>
      </c>
      <c r="GO74" s="632" t="str">
        <f ca="1">IF(INDIRECT(CONCATENATE($FK$12,Fixtures!GO$25))="","",IF(INDIRECT(CONCATENATE($FK$12,Fixtures!GO$25))=Fixtures!$DN74,CONCATENATE(GO$10,", "),""))</f>
        <v/>
      </c>
      <c r="GP74" s="632" t="str">
        <f ca="1">IF(INDIRECT(CONCATENATE($FK$12,Fixtures!GP$25))="","",IF(INDIRECT(CONCATENATE($FK$12,Fixtures!GP$25))=Fixtures!$DN74,CONCATENATE(GP$10,", "),""))</f>
        <v/>
      </c>
      <c r="GQ74" s="632" t="str">
        <f ca="1">IF(INDIRECT(CONCATENATE($FK$12,Fixtures!GQ$25))="","",IF(INDIRECT(CONCATENATE($FK$12,Fixtures!GQ$25))=Fixtures!$DN74,CONCATENATE(GQ$10,", "),""))</f>
        <v/>
      </c>
      <c r="GR74" s="632" t="str">
        <f ca="1">IF(INDIRECT(CONCATENATE($FK$12,Fixtures!GR$25))="","",IF(INDIRECT(CONCATENATE($FK$12,Fixtures!GR$25))=Fixtures!$DN74,CONCATENATE(GR$10,", "),""))</f>
        <v/>
      </c>
      <c r="GS74" s="632" t="str">
        <f ca="1">IF(INDIRECT(CONCATENATE($FK$12,Fixtures!GS$25))="","",IF(INDIRECT(CONCATENATE($FK$12,Fixtures!GS$25))=Fixtures!$DN74,CONCATENATE(GS$10,", "),""))</f>
        <v/>
      </c>
      <c r="GT74" s="632" t="str">
        <f ca="1">IF(INDIRECT(CONCATENATE($FK$12,Fixtures!GT$25))="","",IF(INDIRECT(CONCATENATE($FK$12,Fixtures!GT$25))=Fixtures!$DN74,CONCATENATE(GT$10,", "),""))</f>
        <v/>
      </c>
      <c r="GU74" s="632" t="str">
        <f ca="1">IF(INDIRECT(CONCATENATE($FK$12,Fixtures!GU$25))="","",IF(INDIRECT(CONCATENATE($FK$12,Fixtures!GU$25))=Fixtures!$DN74,CONCATENATE(GU$10,", "),""))</f>
        <v/>
      </c>
      <c r="GV74" s="632" t="str">
        <f ca="1">IF(INDIRECT(CONCATENATE($FK$12,Fixtures!GV$25))="","",IF(INDIRECT(CONCATENATE($FK$12,Fixtures!GV$25))=Fixtures!$DN74,CONCATENATE(GV$10,", "),""))</f>
        <v/>
      </c>
      <c r="GW74" s="632" t="str">
        <f ca="1">IF(INDIRECT(CONCATENATE($FK$12,Fixtures!GW$25))="","",IF(INDIRECT(CONCATENATE($FK$12,Fixtures!GW$25))=Fixtures!$DN74,CONCATENATE(GW$10,", "),""))</f>
        <v/>
      </c>
      <c r="GX74" s="606" t="str">
        <f ca="1">IF(INDIRECT(CONCATENATE($FK$12,Fixtures!GX$25))="","",IF(INDIRECT(CONCATENATE($FK$12,Fixtures!GX$25))=Fixtures!$DN74,CONCATENATE(GX$10,", "),""))</f>
        <v/>
      </c>
      <c r="GY74" s="607" t="str">
        <f ca="1">IF(INDIRECT(CONCATENATE($FK$12,Fixtures!GY$25))="","",IF(INDIRECT(CONCATENATE($FK$12,Fixtures!GY$25))=Fixtures!$DN74,CONCATENATE(GY$10,", "),""))</f>
        <v/>
      </c>
      <c r="GZ74" s="632" t="str">
        <f ca="1">IF(INDIRECT(CONCATENATE($FK$12,Fixtures!GZ$25))="","",IF(INDIRECT(CONCATENATE($FK$12,Fixtures!GZ$25))=Fixtures!$DN74,CONCATENATE(GZ$10,", "),""))</f>
        <v/>
      </c>
      <c r="HA74" s="632" t="str">
        <f ca="1">IF(INDIRECT(CONCATENATE($FK$12,Fixtures!HA$25))="","",IF(INDIRECT(CONCATENATE($FK$12,Fixtures!HA$25))=Fixtures!$DN74,CONCATENATE(HA$10,", "),""))</f>
        <v/>
      </c>
      <c r="HB74" s="632" t="str">
        <f ca="1">IF(INDIRECT(CONCATENATE($FK$12,Fixtures!HB$25))="","",IF(INDIRECT(CONCATENATE($FK$12,Fixtures!HB$25))=Fixtures!$DN74,CONCATENATE(HB$10,", "),""))</f>
        <v/>
      </c>
      <c r="HC74" s="632" t="str">
        <f ca="1">IF(INDIRECT(CONCATENATE($FK$12,Fixtures!HC$25))="","",IF(INDIRECT(CONCATENATE($FK$12,Fixtures!HC$25))=Fixtures!$DN74,CONCATENATE(HC$10,", "),""))</f>
        <v/>
      </c>
      <c r="HD74" s="632" t="str">
        <f ca="1">IF(INDIRECT(CONCATENATE($FK$12,Fixtures!HD$25))="","",IF(INDIRECT(CONCATENATE($FK$12,Fixtures!HD$25))=Fixtures!$DN74,CONCATENATE(HD$10,", "),""))</f>
        <v/>
      </c>
      <c r="HE74" s="632" t="str">
        <f ca="1">IF(INDIRECT(CONCATENATE($FK$12,Fixtures!HE$25))="","",IF(INDIRECT(CONCATENATE($FK$12,Fixtures!HE$25))=Fixtures!$DN74,CONCATENATE(HE$10,", "),""))</f>
        <v/>
      </c>
      <c r="HF74" s="632" t="str">
        <f ca="1">IF(INDIRECT(CONCATENATE($FK$12,Fixtures!HF$25))="","",IF(INDIRECT(CONCATENATE($FK$12,Fixtures!HF$25))=Fixtures!$DN74,CONCATENATE(HF$10,", "),""))</f>
        <v/>
      </c>
      <c r="HG74" s="632" t="str">
        <f ca="1">IF(INDIRECT(CONCATENATE($FK$12,Fixtures!HG$25))="","",IF(INDIRECT(CONCATENATE($FK$12,Fixtures!HG$25))=Fixtures!$DN74,CONCATENATE(HG$10,", "),""))</f>
        <v/>
      </c>
      <c r="HH74" s="632" t="str">
        <f ca="1">IF(INDIRECT(CONCATENATE($FK$12,Fixtures!HH$25))="","",IF(INDIRECT(CONCATENATE($FK$12,Fixtures!HH$25))=Fixtures!$DN74,CONCATENATE(HH$10,", "),""))</f>
        <v/>
      </c>
      <c r="HI74" s="632" t="str">
        <f ca="1">IF(INDIRECT(CONCATENATE($FK$12,Fixtures!HI$25))="","",IF(INDIRECT(CONCATENATE($FK$12,Fixtures!HI$25))=Fixtures!$DN74,CONCATENATE(HI$10,", "),""))</f>
        <v/>
      </c>
      <c r="HJ74" s="632" t="str">
        <f ca="1">IF(INDIRECT(CONCATENATE($FK$12,Fixtures!HJ$25))="","",IF(INDIRECT(CONCATENATE($FK$12,Fixtures!HJ$25))=Fixtures!$DN74,CONCATENATE(HJ$10,", "),""))</f>
        <v/>
      </c>
      <c r="HK74" s="632" t="str">
        <f ca="1">IF(INDIRECT(CONCATENATE($FK$12,Fixtures!HK$25))="","",IF(INDIRECT(CONCATENATE($FK$12,Fixtures!HK$25))=Fixtures!$DN74,CONCATENATE(HK$10,", "),""))</f>
        <v/>
      </c>
      <c r="HL74" s="632" t="str">
        <f ca="1">IF(INDIRECT(CONCATENATE($FK$12,Fixtures!HL$25))="","",IF(INDIRECT(CONCATENATE($FK$12,Fixtures!HL$25))=Fixtures!$DN74,CONCATENATE(HL$10,", "),""))</f>
        <v/>
      </c>
      <c r="HM74" s="606" t="str">
        <f ca="1">IF(INDIRECT(CONCATENATE($FK$12,Fixtures!HM$25))="","",IF(INDIRECT(CONCATENATE($FK$12,Fixtures!HM$25))=Fixtures!$DN74,CONCATENATE(HM$10,", "),""))</f>
        <v/>
      </c>
      <c r="HN74" s="607" t="str">
        <f ca="1">IF(INDIRECT(CONCATENATE($FK$12,Fixtures!HN$25))="","",IF(INDIRECT(CONCATENATE($FK$12,Fixtures!HN$25))=Fixtures!$DN74,CONCATENATE(HN$10,", "),""))</f>
        <v/>
      </c>
      <c r="HO74" s="632" t="str">
        <f ca="1">IF(INDIRECT(CONCATENATE($FK$12,Fixtures!HO$25))="","",IF(INDIRECT(CONCATENATE($FK$12,Fixtures!HO$25))=Fixtures!$DN74,CONCATENATE(HO$10,", "),""))</f>
        <v/>
      </c>
      <c r="HP74" s="632" t="str">
        <f ca="1">IF(INDIRECT(CONCATENATE($FK$12,Fixtures!HP$25))="","",IF(INDIRECT(CONCATENATE($FK$12,Fixtures!HP$25))=Fixtures!$DN74,CONCATENATE(HP$10,", "),""))</f>
        <v/>
      </c>
      <c r="HQ74" s="632" t="str">
        <f ca="1">IF(INDIRECT(CONCATENATE($FK$12,Fixtures!HQ$25))="","",IF(INDIRECT(CONCATENATE($FK$12,Fixtures!HQ$25))=Fixtures!$DN74,CONCATENATE(HQ$10,", "),""))</f>
        <v/>
      </c>
      <c r="HR74" s="632" t="str">
        <f ca="1">IF(INDIRECT(CONCATENATE($FK$12,Fixtures!HR$25))="","",IF(INDIRECT(CONCATENATE($FK$12,Fixtures!HR$25))=Fixtures!$DN74,CONCATENATE(HR$10,", "),""))</f>
        <v/>
      </c>
      <c r="HS74" s="632" t="str">
        <f ca="1">IF(INDIRECT(CONCATENATE($FK$12,Fixtures!HS$25))="","",IF(INDIRECT(CONCATENATE($FK$12,Fixtures!HS$25))=Fixtures!$DN74,CONCATENATE(HS$10,", "),""))</f>
        <v/>
      </c>
      <c r="HT74" s="632" t="str">
        <f ca="1">IF(INDIRECT(CONCATENATE($FK$12,Fixtures!HT$25))="","",IF(INDIRECT(CONCATENATE($FK$12,Fixtures!HT$25))=Fixtures!$DN74,CONCATENATE(HT$10,", "),""))</f>
        <v/>
      </c>
      <c r="HU74" s="632" t="str">
        <f ca="1">IF(INDIRECT(CONCATENATE($FK$12,Fixtures!HU$25))="","",IF(INDIRECT(CONCATENATE($FK$12,Fixtures!HU$25))=Fixtures!$DN74,CONCATENATE(HU$10,", "),""))</f>
        <v/>
      </c>
      <c r="HV74" s="632" t="str">
        <f ca="1">IF(INDIRECT(CONCATENATE($FK$12,Fixtures!HV$25))="","",IF(INDIRECT(CONCATENATE($FK$12,Fixtures!HV$25))=Fixtures!$DN74,CONCATENATE(HV$10,", "),""))</f>
        <v/>
      </c>
      <c r="HW74" s="632" t="str">
        <f ca="1">IF(INDIRECT(CONCATENATE($FK$12,Fixtures!HW$25))="","",IF(INDIRECT(CONCATENATE($FK$12,Fixtures!HW$25))=Fixtures!$DN74,CONCATENATE(HW$10,", "),""))</f>
        <v/>
      </c>
      <c r="HX74" s="632" t="str">
        <f ca="1">IF(INDIRECT(CONCATENATE($FK$12,Fixtures!HX$25))="","",IF(INDIRECT(CONCATENATE($FK$12,Fixtures!HX$25))=Fixtures!$DN74,CONCATENATE(HX$10,", "),""))</f>
        <v/>
      </c>
      <c r="HY74" s="632" t="str">
        <f ca="1">IF(INDIRECT(CONCATENATE($FK$12,Fixtures!HY$25))="","",IF(INDIRECT(CONCATENATE($FK$12,Fixtures!HY$25))=Fixtures!$DN74,CONCATENATE(HY$10,", "),""))</f>
        <v/>
      </c>
      <c r="HZ74" s="632" t="str">
        <f ca="1">IF(INDIRECT(CONCATENATE($FK$12,Fixtures!HZ$25))="","",IF(INDIRECT(CONCATENATE($FK$12,Fixtures!HZ$25))=Fixtures!$DN74,CONCATENATE(HZ$10,", "),""))</f>
        <v/>
      </c>
      <c r="IA74" s="632" t="str">
        <f ca="1">IF(INDIRECT(CONCATENATE($FK$12,Fixtures!IA$25))="","",IF(INDIRECT(CONCATENATE($FK$12,Fixtures!IA$25))=Fixtures!$DN74,CONCATENATE(IA$10,", "),""))</f>
        <v/>
      </c>
      <c r="IB74" s="606" t="str">
        <f ca="1">IF(INDIRECT(CONCATENATE($FK$12,Fixtures!IB$25))="","",IF(INDIRECT(CONCATENATE($FK$12,Fixtures!IB$25))=Fixtures!$DN74,CONCATENATE(IB$10,", "),""))</f>
        <v/>
      </c>
      <c r="IC74" s="607" t="str">
        <f ca="1">IF(INDIRECT(CONCATENATE($FK$12,Fixtures!IC$25))="","",IF(INDIRECT(CONCATENATE($FK$12,Fixtures!IC$25))=Fixtures!$DN74,CONCATENATE(IC$10,", "),""))</f>
        <v/>
      </c>
      <c r="ID74" s="632" t="str">
        <f ca="1">IF(INDIRECT(CONCATENATE($FK$12,Fixtures!ID$25))="","",IF(INDIRECT(CONCATENATE($FK$12,Fixtures!ID$25))=Fixtures!$DN74,CONCATENATE(ID$10,", "),""))</f>
        <v/>
      </c>
      <c r="IE74" s="632" t="str">
        <f ca="1">IF(INDIRECT(CONCATENATE($FK$12,Fixtures!IE$25))="","",IF(INDIRECT(CONCATENATE($FK$12,Fixtures!IE$25))=Fixtures!$DN74,CONCATENATE(IE$10,", "),""))</f>
        <v/>
      </c>
      <c r="IF74" s="632" t="str">
        <f ca="1">IF(INDIRECT(CONCATENATE($FK$12,Fixtures!IF$25))="","",IF(INDIRECT(CONCATENATE($FK$12,Fixtures!IF$25))=Fixtures!$DN74,CONCATENATE(IF$10,", "),""))</f>
        <v/>
      </c>
      <c r="IG74" s="632" t="str">
        <f ca="1">IF(INDIRECT(CONCATENATE($FK$12,Fixtures!IG$25))="","",IF(INDIRECT(CONCATENATE($FK$12,Fixtures!IG$25))=Fixtures!$DN74,CONCATENATE(IG$10,", "),""))</f>
        <v/>
      </c>
      <c r="IH74" s="632" t="str">
        <f ca="1">IF(INDIRECT(CONCATENATE($FK$12,Fixtures!IH$25))="","",IF(INDIRECT(CONCATENATE($FK$12,Fixtures!IH$25))=Fixtures!$DN74,CONCATENATE(IH$10,", "),""))</f>
        <v/>
      </c>
      <c r="II74" s="632" t="str">
        <f ca="1">IF(INDIRECT(CONCATENATE($FK$12,Fixtures!II$25))="","",IF(INDIRECT(CONCATENATE($FK$12,Fixtures!II$25))=Fixtures!$DN74,CONCATENATE(II$10,", "),""))</f>
        <v/>
      </c>
      <c r="IJ74" s="632" t="str">
        <f ca="1">IF(INDIRECT(CONCATENATE($FK$12,Fixtures!IJ$25))="","",IF(INDIRECT(CONCATENATE($FK$12,Fixtures!IJ$25))=Fixtures!$DN74,CONCATENATE(IJ$10,", "),""))</f>
        <v/>
      </c>
      <c r="IK74" s="632" t="str">
        <f ca="1">IF(INDIRECT(CONCATENATE($FK$12,Fixtures!IK$25))="","",IF(INDIRECT(CONCATENATE($FK$12,Fixtures!IK$25))=Fixtures!$DN74,CONCATENATE(IK$10,", "),""))</f>
        <v/>
      </c>
      <c r="IL74" s="632" t="str">
        <f ca="1">IF(INDIRECT(CONCATENATE($FK$12,Fixtures!IL$25))="","",IF(INDIRECT(CONCATENATE($FK$12,Fixtures!IL$25))=Fixtures!$DN74,CONCATENATE(IL$10,", "),""))</f>
        <v/>
      </c>
      <c r="IM74" s="632" t="str">
        <f ca="1">IF(INDIRECT(CONCATENATE($FK$12,Fixtures!IM$25))="","",IF(INDIRECT(CONCATENATE($FK$12,Fixtures!IM$25))=Fixtures!$DN74,CONCATENATE(IM$10,", "),""))</f>
        <v/>
      </c>
      <c r="IN74" s="632" t="str">
        <f ca="1">IF(INDIRECT(CONCATENATE($FK$12,Fixtures!IN$25))="","",IF(INDIRECT(CONCATENATE($FK$12,Fixtures!IN$25))=Fixtures!$DN74,CONCATENATE(IN$10,", "),""))</f>
        <v/>
      </c>
      <c r="IO74" s="632" t="str">
        <f ca="1">IF(INDIRECT(CONCATENATE($FK$12,Fixtures!IO$25))="","",IF(INDIRECT(CONCATENATE($FK$12,Fixtures!IO$25))=Fixtures!$DN74,CONCATENATE(IO$10,", "),""))</f>
        <v/>
      </c>
      <c r="IP74" s="632" t="str">
        <f ca="1">IF(INDIRECT(CONCATENATE($FK$12,Fixtures!IP$25))="","",IF(INDIRECT(CONCATENATE($FK$12,Fixtures!IP$25))=Fixtures!$DN74,CONCATENATE(IP$10,", "),""))</f>
        <v/>
      </c>
      <c r="IQ74" s="606" t="str">
        <f ca="1">IF(INDIRECT(CONCATENATE($FK$12,Fixtures!IQ$25))="","",IF(INDIRECT(CONCATENATE($FK$12,Fixtures!IQ$25))=Fixtures!$DN74,CONCATENATE(IQ$10,", "),""))</f>
        <v/>
      </c>
      <c r="IR74" s="607" t="str">
        <f ca="1">IF(INDIRECT(CONCATENATE($FK$12,Fixtures!IR$25))="","",IF(INDIRECT(CONCATENATE($FK$12,Fixtures!IR$25))=Fixtures!$DN74,CONCATENATE(IR$10,", "),""))</f>
        <v/>
      </c>
      <c r="IS74" s="632" t="str">
        <f ca="1">IF(INDIRECT(CONCATENATE($FK$12,Fixtures!IS$25))="","",IF(INDIRECT(CONCATENATE($FK$12,Fixtures!IS$25))=Fixtures!$DN74,CONCATENATE(IS$10,", "),""))</f>
        <v/>
      </c>
      <c r="IT74" s="632" t="str">
        <f ca="1">IF(INDIRECT(CONCATENATE($FK$12,Fixtures!IT$25))="","",IF(INDIRECT(CONCATENATE($FK$12,Fixtures!IT$25))=Fixtures!$DN74,CONCATENATE(IT$10,", "),""))</f>
        <v/>
      </c>
      <c r="IU74" s="632" t="str">
        <f ca="1">IF(INDIRECT(CONCATENATE($FK$12,Fixtures!IU$25))="","",IF(INDIRECT(CONCATENATE($FK$12,Fixtures!IU$25))=Fixtures!$DN74,CONCATENATE(IU$10,", "),""))</f>
        <v/>
      </c>
      <c r="IV74" s="632" t="str">
        <f ca="1">IF(INDIRECT(CONCATENATE($FK$12,Fixtures!IV$25))="","",IF(INDIRECT(CONCATENATE($FK$12,Fixtures!IV$25))=Fixtures!$DN74,CONCATENATE(IV$10,", "),""))</f>
        <v/>
      </c>
      <c r="IW74" s="632" t="str">
        <f ca="1">IF(INDIRECT(CONCATENATE($FK$12,Fixtures!IW$25))="","",IF(INDIRECT(CONCATENATE($FK$12,Fixtures!IW$25))=Fixtures!$DN74,CONCATENATE(IW$10,", "),""))</f>
        <v/>
      </c>
      <c r="IX74" s="632" t="str">
        <f ca="1">IF(INDIRECT(CONCATENATE($FK$12,Fixtures!IX$25))="","",IF(INDIRECT(CONCATENATE($FK$12,Fixtures!IX$25))=Fixtures!$DN74,CONCATENATE(IX$10,", "),""))</f>
        <v/>
      </c>
      <c r="IY74" s="632" t="str">
        <f ca="1">IF(INDIRECT(CONCATENATE($FK$12,Fixtures!IY$25))="","",IF(INDIRECT(CONCATENATE($FK$12,Fixtures!IY$25))=Fixtures!$DN74,CONCATENATE(IY$10,", "),""))</f>
        <v/>
      </c>
      <c r="IZ74" s="632" t="str">
        <f ca="1">IF(INDIRECT(CONCATENATE($FK$12,Fixtures!IZ$25))="","",IF(INDIRECT(CONCATENATE($FK$12,Fixtures!IZ$25))=Fixtures!$DN74,CONCATENATE(IZ$10,", "),""))</f>
        <v/>
      </c>
      <c r="JA74" s="632" t="str">
        <f ca="1">IF(INDIRECT(CONCATENATE($FK$12,Fixtures!JA$25))="","",IF(INDIRECT(CONCATENATE($FK$12,Fixtures!JA$25))=Fixtures!$DN74,CONCATENATE(JA$10,", "),""))</f>
        <v/>
      </c>
      <c r="JB74" s="632" t="str">
        <f ca="1">IF(INDIRECT(CONCATENATE($FK$12,Fixtures!JB$25))="","",IF(INDIRECT(CONCATENATE($FK$12,Fixtures!JB$25))=Fixtures!$DN74,CONCATENATE(JB$10,", "),""))</f>
        <v/>
      </c>
      <c r="JC74" s="632" t="str">
        <f ca="1">IF(INDIRECT(CONCATENATE($FK$12,Fixtures!JC$25))="","",IF(INDIRECT(CONCATENATE($FK$12,Fixtures!JC$25))=Fixtures!$DN74,CONCATENATE(JC$10,", "),""))</f>
        <v/>
      </c>
      <c r="JD74" s="632" t="str">
        <f ca="1">IF(INDIRECT(CONCATENATE($FK$12,Fixtures!JD$25))="","",IF(INDIRECT(CONCATENATE($FK$12,Fixtures!JD$25))=Fixtures!$DN74,CONCATENATE(JD$10,", "),""))</f>
        <v/>
      </c>
      <c r="JE74" s="632" t="str">
        <f ca="1">IF(INDIRECT(CONCATENATE($FK$12,Fixtures!JE$25))="","",IF(INDIRECT(CONCATENATE($FK$12,Fixtures!JE$25))=Fixtures!$DN74,CONCATENATE(JE$10,", "),""))</f>
        <v/>
      </c>
      <c r="JF74" s="606" t="str">
        <f ca="1">IF(INDIRECT(CONCATENATE($FK$12,Fixtures!JF$25))="","",IF(INDIRECT(CONCATENATE($FK$12,Fixtures!JF$25))=Fixtures!$DN74,CONCATENATE(JF$10,", "),""))</f>
        <v/>
      </c>
      <c r="JG74" s="607" t="str">
        <f ca="1">IF(INDIRECT(CONCATENATE($FK$12,Fixtures!JG$25))="","",IF(INDIRECT(CONCATENATE($FK$12,Fixtures!JG$25))=Fixtures!$DN74,CONCATENATE(JG$10,", "),""))</f>
        <v/>
      </c>
      <c r="JH74" s="632" t="str">
        <f ca="1">IF(INDIRECT(CONCATENATE($FK$12,Fixtures!JH$25))="","",IF(INDIRECT(CONCATENATE($FK$12,Fixtures!JH$25))=Fixtures!$DN74,CONCATENATE(JH$10,", "),""))</f>
        <v/>
      </c>
      <c r="JI74" s="632" t="str">
        <f ca="1">IF(INDIRECT(CONCATENATE($FK$12,Fixtures!JI$25))="","",IF(INDIRECT(CONCATENATE($FK$12,Fixtures!JI$25))=Fixtures!$DN74,CONCATENATE(JI$10,", "),""))</f>
        <v/>
      </c>
      <c r="JJ74" s="632" t="str">
        <f ca="1">IF(INDIRECT(CONCATENATE($FK$12,Fixtures!JJ$25))="","",IF(INDIRECT(CONCATENATE($FK$12,Fixtures!JJ$25))=Fixtures!$DN74,CONCATENATE(JJ$10,", "),""))</f>
        <v/>
      </c>
      <c r="JK74" s="632" t="str">
        <f ca="1">IF(INDIRECT(CONCATENATE($FK$12,Fixtures!JK$25))="","",IF(INDIRECT(CONCATENATE($FK$12,Fixtures!JK$25))=Fixtures!$DN74,CONCATENATE(JK$10,", "),""))</f>
        <v/>
      </c>
      <c r="JL74" s="632" t="str">
        <f ca="1">IF(INDIRECT(CONCATENATE($FK$12,Fixtures!JL$25))="","",IF(INDIRECT(CONCATENATE($FK$12,Fixtures!JL$25))=Fixtures!$DN74,CONCATENATE(JL$10,", "),""))</f>
        <v/>
      </c>
      <c r="JM74" s="632" t="str">
        <f ca="1">IF(INDIRECT(CONCATENATE($FK$12,Fixtures!JM$25))="","",IF(INDIRECT(CONCATENATE($FK$12,Fixtures!JM$25))=Fixtures!$DN74,CONCATENATE(JM$10,", "),""))</f>
        <v/>
      </c>
      <c r="JN74" s="632" t="str">
        <f ca="1">IF(INDIRECT(CONCATENATE($FK$12,Fixtures!JN$25))="","",IF(INDIRECT(CONCATENATE($FK$12,Fixtures!JN$25))=Fixtures!$DN74,CONCATENATE(JN$10,", "),""))</f>
        <v/>
      </c>
      <c r="JO74" s="632" t="str">
        <f ca="1">IF(INDIRECT(CONCATENATE($FK$12,Fixtures!JO$25))="","",IF(INDIRECT(CONCATENATE($FK$12,Fixtures!JO$25))=Fixtures!$DN74,CONCATENATE(JO$10,", "),""))</f>
        <v/>
      </c>
      <c r="JP74" s="632" t="str">
        <f ca="1">IF(INDIRECT(CONCATENATE($FK$12,Fixtures!JP$25))="","",IF(INDIRECT(CONCATENATE($FK$12,Fixtures!JP$25))=Fixtures!$DN74,CONCATENATE(JP$10,", "),""))</f>
        <v/>
      </c>
      <c r="JQ74" s="632" t="str">
        <f ca="1">IF(INDIRECT(CONCATENATE($FK$12,Fixtures!JQ$25))="","",IF(INDIRECT(CONCATENATE($FK$12,Fixtures!JQ$25))=Fixtures!$DN74,CONCATENATE(JQ$10,", "),""))</f>
        <v/>
      </c>
      <c r="JR74" s="632" t="str">
        <f ca="1">IF(INDIRECT(CONCATENATE($FK$12,Fixtures!JR$25))="","",IF(INDIRECT(CONCATENATE($FK$12,Fixtures!JR$25))=Fixtures!$DN74,CONCATENATE(JR$10,", "),""))</f>
        <v/>
      </c>
      <c r="JS74" s="632" t="str">
        <f ca="1">IF(INDIRECT(CONCATENATE($FK$12,Fixtures!JS$25))="","",IF(INDIRECT(CONCATENATE($FK$12,Fixtures!JS$25))=Fixtures!$DN74,CONCATENATE(JS$10,", "),""))</f>
        <v/>
      </c>
      <c r="JT74" s="632" t="str">
        <f ca="1">IF(INDIRECT(CONCATENATE($FK$12,Fixtures!JT$25))="","",IF(INDIRECT(CONCATENATE($FK$12,Fixtures!JT$25))=Fixtures!$DN74,CONCATENATE(JT$10,", "),""))</f>
        <v/>
      </c>
      <c r="JU74" s="606" t="str">
        <f ca="1">IF(INDIRECT(CONCATENATE($FK$12,Fixtures!JU$25))="","",IF(INDIRECT(CONCATENATE($FK$12,Fixtures!JU$25))=Fixtures!$DN74,CONCATENATE(JU$10,", "),""))</f>
        <v/>
      </c>
      <c r="JV74" s="607" t="str">
        <f ca="1">IF(INDIRECT(CONCATENATE($FK$12,Fixtures!JV$25))="","",IF(INDIRECT(CONCATENATE($FK$12,Fixtures!JV$25))=Fixtures!$DN74,CONCATENATE(JV$10,", "),""))</f>
        <v/>
      </c>
      <c r="JW74" s="632" t="str">
        <f ca="1">IF(INDIRECT(CONCATENATE($FK$12,Fixtures!JW$25))="","",IF(INDIRECT(CONCATENATE($FK$12,Fixtures!JW$25))=Fixtures!$DN74,CONCATENATE(JW$10,", "),""))</f>
        <v/>
      </c>
      <c r="JX74" s="632" t="str">
        <f ca="1">IF(INDIRECT(CONCATENATE($FK$12,Fixtures!JX$25))="","",IF(INDIRECT(CONCATENATE($FK$12,Fixtures!JX$25))=Fixtures!$DN74,CONCATENATE(JX$10,", "),""))</f>
        <v/>
      </c>
      <c r="JY74" s="632" t="str">
        <f ca="1">IF(INDIRECT(CONCATENATE($FK$12,Fixtures!JY$25))="","",IF(INDIRECT(CONCATENATE($FK$12,Fixtures!JY$25))=Fixtures!$DN74,CONCATENATE(JY$10,", "),""))</f>
        <v/>
      </c>
      <c r="JZ74" s="632" t="str">
        <f ca="1">IF(INDIRECT(CONCATENATE($FK$12,Fixtures!JZ$25))="","",IF(INDIRECT(CONCATENATE($FK$12,Fixtures!JZ$25))=Fixtures!$DN74,CONCATENATE(JZ$10,", "),""))</f>
        <v/>
      </c>
      <c r="KA74" s="632" t="str">
        <f ca="1">IF(INDIRECT(CONCATENATE($FK$12,Fixtures!KA$25))="","",IF(INDIRECT(CONCATENATE($FK$12,Fixtures!KA$25))=Fixtures!$DN74,CONCATENATE(KA$10,", "),""))</f>
        <v/>
      </c>
      <c r="KB74" s="632" t="str">
        <f ca="1">IF(INDIRECT(CONCATENATE($FK$12,Fixtures!KB$25))="","",IF(INDIRECT(CONCATENATE($FK$12,Fixtures!KB$25))=Fixtures!$DN74,CONCATENATE(KB$10,", "),""))</f>
        <v/>
      </c>
      <c r="KC74" s="632" t="str">
        <f ca="1">IF(INDIRECT(CONCATENATE($FK$12,Fixtures!KC$25))="","",IF(INDIRECT(CONCATENATE($FK$12,Fixtures!KC$25))=Fixtures!$DN74,CONCATENATE(KC$10,", "),""))</f>
        <v/>
      </c>
      <c r="KD74" s="632" t="str">
        <f ca="1">IF(INDIRECT(CONCATENATE($FK$12,Fixtures!KD$25))="","",IF(INDIRECT(CONCATENATE($FK$12,Fixtures!KD$25))=Fixtures!$DN74,CONCATENATE(KD$10,", "),""))</f>
        <v/>
      </c>
      <c r="KE74" s="632" t="str">
        <f ca="1">IF(INDIRECT(CONCATENATE($FK$12,Fixtures!KE$25))="","",IF(INDIRECT(CONCATENATE($FK$12,Fixtures!KE$25))=Fixtures!$DN74,CONCATENATE(KE$10,", "),""))</f>
        <v/>
      </c>
      <c r="KF74" s="632" t="str">
        <f ca="1">IF(INDIRECT(CONCATENATE($FK$12,Fixtures!KF$25))="","",IF(INDIRECT(CONCATENATE($FK$12,Fixtures!KF$25))=Fixtures!$DN74,CONCATENATE(KF$10,", "),""))</f>
        <v/>
      </c>
      <c r="KG74" s="632" t="str">
        <f ca="1">IF(INDIRECT(CONCATENATE($FK$12,Fixtures!KG$25))="","",IF(INDIRECT(CONCATENATE($FK$12,Fixtures!KG$25))=Fixtures!$DN74,CONCATENATE(KG$10,", "),""))</f>
        <v/>
      </c>
      <c r="KH74" s="632" t="str">
        <f ca="1">IF(INDIRECT(CONCATENATE($FK$12,Fixtures!KH$25))="","",IF(INDIRECT(CONCATENATE($FK$12,Fixtures!KH$25))=Fixtures!$DN74,CONCATENATE(KH$10,", "),""))</f>
        <v/>
      </c>
      <c r="KI74" s="632" t="str">
        <f ca="1">IF(INDIRECT(CONCATENATE($FK$12,Fixtures!KI$25))="","",IF(INDIRECT(CONCATENATE($FK$12,Fixtures!KI$25))=Fixtures!$DN74,CONCATENATE(KI$10,", "),""))</f>
        <v/>
      </c>
      <c r="KJ74" s="606" t="str">
        <f ca="1">IF(INDIRECT(CONCATENATE($FK$12,Fixtures!KJ$25))="","",IF(INDIRECT(CONCATENATE($FK$12,Fixtures!KJ$25))=Fixtures!$DN74,CONCATENATE(KJ$10,", "),""))</f>
        <v/>
      </c>
      <c r="KK74" s="607" t="str">
        <f ca="1">IF(INDIRECT(CONCATENATE($FK$12,Fixtures!KK$25))="","",IF(INDIRECT(CONCATENATE($FK$12,Fixtures!KK$25))=Fixtures!$DN74,CONCATENATE(KK$10,", "),""))</f>
        <v/>
      </c>
      <c r="KL74" s="632" t="str">
        <f ca="1">IF(INDIRECT(CONCATENATE($FK$12,Fixtures!KL$25))="","",IF(INDIRECT(CONCATENATE($FK$12,Fixtures!KL$25))=Fixtures!$DN74,CONCATENATE(KL$10,", "),""))</f>
        <v/>
      </c>
      <c r="KM74" s="632" t="str">
        <f ca="1">IF(INDIRECT(CONCATENATE($FK$12,Fixtures!KM$25))="","",IF(INDIRECT(CONCATENATE($FK$12,Fixtures!KM$25))=Fixtures!$DN74,CONCATENATE(KM$10,", "),""))</f>
        <v/>
      </c>
      <c r="KN74" s="632" t="str">
        <f ca="1">IF(INDIRECT(CONCATENATE($FK$12,Fixtures!KN$25))="","",IF(INDIRECT(CONCATENATE($FK$12,Fixtures!KN$25))=Fixtures!$DN74,CONCATENATE(KN$10,", "),""))</f>
        <v/>
      </c>
      <c r="KO74" s="632" t="str">
        <f ca="1">IF(INDIRECT(CONCATENATE($FK$12,Fixtures!KO$25))="","",IF(INDIRECT(CONCATENATE($FK$12,Fixtures!KO$25))=Fixtures!$DN74,CONCATENATE(KO$10,", "),""))</f>
        <v/>
      </c>
      <c r="KP74" s="632" t="str">
        <f ca="1">IF(INDIRECT(CONCATENATE($FK$12,Fixtures!KP$25))="","",IF(INDIRECT(CONCATENATE($FK$12,Fixtures!KP$25))=Fixtures!$DN74,CONCATENATE(KP$10,", "),""))</f>
        <v/>
      </c>
      <c r="KQ74" s="632" t="str">
        <f ca="1">IF(INDIRECT(CONCATENATE($FK$12,Fixtures!KQ$25))="","",IF(INDIRECT(CONCATENATE($FK$12,Fixtures!KQ$25))=Fixtures!$DN74,CONCATENATE(KQ$10,", "),""))</f>
        <v/>
      </c>
      <c r="KR74" s="632" t="str">
        <f ca="1">IF(INDIRECT(CONCATENATE($FK$12,Fixtures!KR$25))="","",IF(INDIRECT(CONCATENATE($FK$12,Fixtures!KR$25))=Fixtures!$DN74,CONCATENATE(KR$10,", "),""))</f>
        <v/>
      </c>
      <c r="KS74" s="632" t="str">
        <f ca="1">IF(INDIRECT(CONCATENATE($FK$12,Fixtures!KS$25))="","",IF(INDIRECT(CONCATENATE($FK$12,Fixtures!KS$25))=Fixtures!$DN74,CONCATENATE(KS$10,", "),""))</f>
        <v/>
      </c>
      <c r="KT74" s="632" t="str">
        <f ca="1">IF(INDIRECT(CONCATENATE($FK$12,Fixtures!KT$25))="","",IF(INDIRECT(CONCATENATE($FK$12,Fixtures!KT$25))=Fixtures!$DN74,CONCATENATE(KT$10,", "),""))</f>
        <v/>
      </c>
      <c r="KU74" s="632" t="str">
        <f ca="1">IF(INDIRECT(CONCATENATE($FK$12,Fixtures!KU$25))="","",IF(INDIRECT(CONCATENATE($FK$12,Fixtures!KU$25))=Fixtures!$DN74,CONCATENATE(KU$10,", "),""))</f>
        <v/>
      </c>
      <c r="KV74" s="632" t="str">
        <f ca="1">IF(INDIRECT(CONCATENATE($FK$12,Fixtures!KV$25))="","",IF(INDIRECT(CONCATENATE($FK$12,Fixtures!KV$25))=Fixtures!$DN74,CONCATENATE(KV$10,", "),""))</f>
        <v/>
      </c>
      <c r="KW74" s="632" t="str">
        <f ca="1">IF(INDIRECT(CONCATENATE($FK$12,Fixtures!KW$25))="","",IF(INDIRECT(CONCATENATE($FK$12,Fixtures!KW$25))=Fixtures!$DN74,CONCATENATE(KW$10,", "),""))</f>
        <v/>
      </c>
      <c r="KX74" s="632" t="str">
        <f ca="1">IF(INDIRECT(CONCATENATE($FK$12,Fixtures!KX$25))="","",IF(INDIRECT(CONCATENATE($FK$12,Fixtures!KX$25))=Fixtures!$DN74,CONCATENATE(KX$10,", "),""))</f>
        <v/>
      </c>
      <c r="KY74" s="632"/>
      <c r="KZ74" s="542"/>
      <c r="LA74" s="46" t="str">
        <f t="shared" ca="1" si="37"/>
        <v/>
      </c>
      <c r="LB74" s="46"/>
      <c r="LC74" s="1010"/>
      <c r="LD74" s="1009" t="str">
        <f t="shared" si="20"/>
        <v/>
      </c>
    </row>
    <row r="75" spans="1:316" ht="28.2" customHeight="1" thickTop="1" thickBot="1">
      <c r="A75" s="426" t="str">
        <f t="shared" si="13"/>
        <v/>
      </c>
      <c r="C75" s="1640" t="str">
        <f t="shared" si="14"/>
        <v/>
      </c>
      <c r="D75" s="1641"/>
      <c r="E75" s="1568" t="str">
        <f t="shared" si="15"/>
        <v/>
      </c>
      <c r="F75" s="1569"/>
      <c r="G75" s="1569"/>
      <c r="H75" s="1569"/>
      <c r="I75" s="1569"/>
      <c r="J75" s="1569"/>
      <c r="K75" s="1569"/>
      <c r="L75" s="1569"/>
      <c r="M75" s="1642"/>
      <c r="N75" s="203" t="str">
        <f t="shared" si="16"/>
        <v/>
      </c>
      <c r="O75" s="12"/>
      <c r="P75" s="1638" t="str">
        <f t="shared" si="25"/>
        <v/>
      </c>
      <c r="Q75" s="1639"/>
      <c r="R75" s="1568" t="str">
        <f t="shared" si="30"/>
        <v/>
      </c>
      <c r="S75" s="1569"/>
      <c r="T75" s="1569"/>
      <c r="U75" s="1569"/>
      <c r="V75" s="1569"/>
      <c r="W75" s="1569"/>
      <c r="X75" s="1569"/>
      <c r="Y75" s="203" t="str">
        <f t="shared" si="26"/>
        <v/>
      </c>
      <c r="Z75" s="203" t="str">
        <f t="shared" si="27"/>
        <v/>
      </c>
      <c r="AA75" s="394" t="str">
        <f t="shared" si="28"/>
        <v/>
      </c>
      <c r="AB75" s="489"/>
      <c r="AC75" s="1564" t="str">
        <f t="shared" si="18"/>
        <v/>
      </c>
      <c r="AD75" s="1565"/>
      <c r="AE75" s="1565"/>
      <c r="AF75" s="1565"/>
      <c r="AG75" s="1565"/>
      <c r="AH75" s="1565"/>
      <c r="AK75">
        <f>SUMIFS(Installations!CV$46:CV$803,Installations!CW$46:CW$803,E75,Installations!IC$46:IC$803,TRUE)</f>
        <v>0</v>
      </c>
      <c r="AL75">
        <f>SUMIFS(Installations!CV$46:CV$803,Installations!CW$46:CW$803,R75,Installations!IC$46:IC$803,TRUE)</f>
        <v>0</v>
      </c>
      <c r="BL75" s="9"/>
      <c r="BM75" s="622" t="str">
        <f t="shared" si="19"/>
        <v/>
      </c>
      <c r="BN75" s="52"/>
      <c r="BO75" s="52"/>
      <c r="BP75" s="52"/>
      <c r="BQ75" s="52"/>
      <c r="BR75" s="52"/>
      <c r="BS75" s="52"/>
      <c r="BT75" s="52"/>
      <c r="BU75" s="373"/>
      <c r="BV75" s="219" t="str">
        <f>IF(CN75&lt;&gt;"Yes","",IFERROR(VLOOKUP(CU75,Existing!A$4:F$367,2,FALSE),""))</f>
        <v/>
      </c>
      <c r="BW75" s="9">
        <v>49</v>
      </c>
      <c r="BX75" s="1625"/>
      <c r="BY75" s="1626"/>
      <c r="BZ75" s="1626"/>
      <c r="CA75" s="1627"/>
      <c r="CB75" s="1622"/>
      <c r="CC75" s="1623"/>
      <c r="CD75" s="1623"/>
      <c r="CE75" s="1624"/>
      <c r="CF75" s="1621"/>
      <c r="CG75" s="1621"/>
      <c r="CH75" s="1621"/>
      <c r="CI75" s="1621"/>
      <c r="CJ75" s="1621"/>
      <c r="CK75" s="1621"/>
      <c r="CL75" s="1621"/>
      <c r="CM75" s="1621"/>
      <c r="CN75" s="1553" t="str">
        <f t="shared" si="31"/>
        <v/>
      </c>
      <c r="CO75" s="1554"/>
      <c r="CP75" s="229" t="str">
        <f>IFERROR(IF(CB75="Existing TLED",CR75*CW75*CY75,VLOOKUP(CU75,Existing!A$3:F$356,6,FALSE)),"")</f>
        <v/>
      </c>
      <c r="CQ75" s="9"/>
      <c r="CR75" s="1660"/>
      <c r="CS75" s="1661"/>
      <c r="CT75" s="9"/>
      <c r="CU75" s="425" t="str">
        <f t="shared" si="21"/>
        <v/>
      </c>
      <c r="CV75" s="426" t="b">
        <f t="shared" si="22"/>
        <v>0</v>
      </c>
      <c r="CW75" s="426" t="str">
        <f t="shared" si="23"/>
        <v/>
      </c>
      <c r="CX75" s="426">
        <f>IFERROR(VLOOKUP(CF75,Lookup!T$100:V$102,3,FALSE),0)</f>
        <v>0</v>
      </c>
      <c r="CY75" s="426">
        <f t="shared" si="8"/>
        <v>1.1100000000000001</v>
      </c>
      <c r="CZ75" s="626" t="b">
        <f t="shared" si="32"/>
        <v>0</v>
      </c>
      <c r="DA75" s="626" t="b">
        <f>IF(CF75&lt;&gt;"",IF(ISERROR(MATCH(CONCATENATE(CB75," - ",CF75),Existing!G$4:G$331,0))=TRUE,FALSE,TRUE),TRUE)</f>
        <v>1</v>
      </c>
      <c r="DB75" s="626" t="b">
        <f t="shared" si="33"/>
        <v>1</v>
      </c>
      <c r="DL75" s="9"/>
      <c r="DM75" s="627" t="s">
        <v>215</v>
      </c>
      <c r="DN75" s="375" t="str">
        <f t="shared" si="34"/>
        <v/>
      </c>
      <c r="DO75" s="52"/>
      <c r="DP75" s="52"/>
      <c r="DQ75" s="52"/>
      <c r="DR75" s="52"/>
      <c r="DS75" s="52"/>
      <c r="DT75" s="226"/>
      <c r="DU75" s="376"/>
      <c r="DV75" s="227" t="str">
        <f t="shared" si="35"/>
        <v/>
      </c>
      <c r="DW75" s="224">
        <v>49</v>
      </c>
      <c r="DX75" s="1572"/>
      <c r="DY75" s="1573"/>
      <c r="DZ75" s="1573"/>
      <c r="EA75" s="1574"/>
      <c r="EB75" s="1618"/>
      <c r="EC75" s="1619"/>
      <c r="ED75" s="1619"/>
      <c r="EE75" s="1620"/>
      <c r="EF75" s="1578"/>
      <c r="EG75" s="1579"/>
      <c r="EH75" s="1618"/>
      <c r="EI75" s="1619"/>
      <c r="EJ75" s="1619"/>
      <c r="EK75" s="1620"/>
      <c r="EL75" s="1575"/>
      <c r="EM75" s="1576"/>
      <c r="EN75" s="1576"/>
      <c r="EO75" s="1577"/>
      <c r="EP75" s="1578"/>
      <c r="EQ75" s="1579"/>
      <c r="ER75" s="1555"/>
      <c r="ES75" s="1556"/>
      <c r="ET75" s="1553" t="str">
        <f t="shared" si="9"/>
        <v/>
      </c>
      <c r="EU75" s="1554"/>
      <c r="EV75" s="1553" t="str">
        <f t="shared" si="29"/>
        <v/>
      </c>
      <c r="EW75" s="1554"/>
      <c r="EX75" s="393"/>
      <c r="EY75" s="225" t="str">
        <f t="shared" si="36"/>
        <v/>
      </c>
      <c r="EZ75" s="225" t="str">
        <f>IFERROR(VLOOKUP(EB75,Lookup!AT$3:AU$13,2,FALSE),"")</f>
        <v/>
      </c>
      <c r="FA75" s="426" t="b">
        <f>IFERROR(IF(VLOOKUP(EB75,Lookup!AT$6:AU$8,2,FALSE)&gt;3,TRUE,FALSE),FALSE)</f>
        <v>0</v>
      </c>
      <c r="FB75" s="426" t="str">
        <f t="shared" si="10"/>
        <v/>
      </c>
      <c r="FC75" t="str">
        <f t="shared" ca="1" si="11"/>
        <v/>
      </c>
      <c r="FG75" t="str">
        <f t="shared" ca="1" si="12"/>
        <v/>
      </c>
      <c r="FI75" s="204" t="str">
        <f t="shared" ca="1" si="24"/>
        <v/>
      </c>
      <c r="FK75" s="631" t="str">
        <f ca="1">IF(INDIRECT(CONCATENATE($FK$12,Fixtures!FK$25))="","",IF(INDIRECT(CONCATENATE($FK$12,Fixtures!FK$25))=Fixtures!$DN75,CONCATENATE(FK$10,", "),""))</f>
        <v/>
      </c>
      <c r="FL75" s="631" t="str">
        <f ca="1">IF(INDIRECT(CONCATENATE($FK$12,Fixtures!FL$25))="","",IF(INDIRECT(CONCATENATE($FK$12,Fixtures!FL$25))=Fixtures!$DN75,CONCATENATE(FL$10,", "),""))</f>
        <v/>
      </c>
      <c r="FM75" s="631" t="str">
        <f ca="1">IF(INDIRECT(CONCATENATE($FK$12,Fixtures!FM$25))="","",IF(INDIRECT(CONCATENATE($FK$12,Fixtures!FM$25))=Fixtures!$DN75,CONCATENATE(FM$10,", "),""))</f>
        <v/>
      </c>
      <c r="FN75" s="631" t="str">
        <f ca="1">IF(INDIRECT(CONCATENATE($FK$12,Fixtures!FN$25))="","",IF(INDIRECT(CONCATENATE($FK$12,Fixtures!FN$25))=Fixtures!$DN75,CONCATENATE(FN$10,", "),""))</f>
        <v/>
      </c>
      <c r="FO75" s="631" t="str">
        <f ca="1">IF(INDIRECT(CONCATENATE($FK$12,Fixtures!FO$25))="","",IF(INDIRECT(CONCATENATE($FK$12,Fixtures!FO$25))=Fixtures!$DN75,CONCATENATE(FO$10,", "),""))</f>
        <v/>
      </c>
      <c r="FP75" s="631" t="str">
        <f ca="1">IF(INDIRECT(CONCATENATE($FK$12,Fixtures!FP$25))="","",IF(INDIRECT(CONCATENATE($FK$12,Fixtures!FP$25))=Fixtures!$DN75,CONCATENATE(FP$10,", "),""))</f>
        <v/>
      </c>
      <c r="FQ75" s="631" t="str">
        <f ca="1">IF(INDIRECT(CONCATENATE($FK$12,Fixtures!FQ$25))="","",IF(INDIRECT(CONCATENATE($FK$12,Fixtures!FQ$25))=Fixtures!$DN75,CONCATENATE(FQ$10,", "),""))</f>
        <v/>
      </c>
      <c r="FR75" s="631" t="str">
        <f ca="1">IF(INDIRECT(CONCATENATE($FK$12,Fixtures!FR$25))="","",IF(INDIRECT(CONCATENATE($FK$12,Fixtures!FR$25))=Fixtures!$DN75,CONCATENATE(FR$10,", "),""))</f>
        <v/>
      </c>
      <c r="FS75" s="631" t="str">
        <f ca="1">IF(INDIRECT(CONCATENATE($FK$12,Fixtures!FS$25))="","",IF(INDIRECT(CONCATENATE($FK$12,Fixtures!FS$25))=Fixtures!$DN75,CONCATENATE(FS$10,", "),""))</f>
        <v/>
      </c>
      <c r="FT75" s="604" t="str">
        <f ca="1">IF(INDIRECT(CONCATENATE($FK$12,Fixtures!FT$25))="","",IF(INDIRECT(CONCATENATE($FK$12,Fixtures!FT$25))=Fixtures!$DN75,CONCATENATE(FT$10,", "),""))</f>
        <v/>
      </c>
      <c r="FU75" s="605" t="str">
        <f ca="1">IF(INDIRECT(CONCATENATE($FK$12,Fixtures!FU$25))="","",IF(INDIRECT(CONCATENATE($FK$12,Fixtures!FU$25))=Fixtures!$DN75,CONCATENATE(FU$10,", "),""))</f>
        <v/>
      </c>
      <c r="FV75" s="631" t="str">
        <f ca="1">IF(INDIRECT(CONCATENATE($FK$12,Fixtures!FV$25))="","",IF(INDIRECT(CONCATENATE($FK$12,Fixtures!FV$25))=Fixtures!$DN75,CONCATENATE(FV$10,", "),""))</f>
        <v/>
      </c>
      <c r="FW75" s="632" t="str">
        <f ca="1">IF(INDIRECT(CONCATENATE($FK$12,Fixtures!FW$25))="","",IF(INDIRECT(CONCATENATE($FK$12,Fixtures!FW$25))=Fixtures!$DN75,CONCATENATE(FW$10,", "),""))</f>
        <v/>
      </c>
      <c r="FX75" s="632" t="str">
        <f ca="1">IF(INDIRECT(CONCATENATE($FK$12,Fixtures!FX$25))="","",IF(INDIRECT(CONCATENATE($FK$12,Fixtures!FX$25))=Fixtures!$DN75,CONCATENATE(FX$10,", "),""))</f>
        <v/>
      </c>
      <c r="FY75" s="632" t="str">
        <f ca="1">IF(INDIRECT(CONCATENATE($FK$12,Fixtures!FY$25))="","",IF(INDIRECT(CONCATENATE($FK$12,Fixtures!FY$25))=Fixtures!$DN75,CONCATENATE(FY$10,", "),""))</f>
        <v/>
      </c>
      <c r="FZ75" s="632" t="str">
        <f ca="1">IF(INDIRECT(CONCATENATE($FK$12,Fixtures!FZ$25))="","",IF(INDIRECT(CONCATENATE($FK$12,Fixtures!FZ$25))=Fixtures!$DN75,CONCATENATE(FZ$10,", "),""))</f>
        <v/>
      </c>
      <c r="GA75" s="632" t="str">
        <f ca="1">IF(INDIRECT(CONCATENATE($FK$12,Fixtures!GA$25))="","",IF(INDIRECT(CONCATENATE($FK$12,Fixtures!GA$25))=Fixtures!$DN75,CONCATENATE(GA$10,", "),""))</f>
        <v/>
      </c>
      <c r="GB75" s="632" t="str">
        <f ca="1">IF(INDIRECT(CONCATENATE($FK$12,Fixtures!GB$25))="","",IF(INDIRECT(CONCATENATE($FK$12,Fixtures!GB$25))=Fixtures!$DN75,CONCATENATE(GB$10,", "),""))</f>
        <v/>
      </c>
      <c r="GC75" s="632" t="str">
        <f ca="1">IF(INDIRECT(CONCATENATE($FK$12,Fixtures!GC$25))="","",IF(INDIRECT(CONCATENATE($FK$12,Fixtures!GC$25))=Fixtures!$DN75,CONCATENATE(GC$10,", "),""))</f>
        <v/>
      </c>
      <c r="GD75" s="632" t="str">
        <f ca="1">IF(INDIRECT(CONCATENATE($FK$12,Fixtures!GD$25))="","",IF(INDIRECT(CONCATENATE($FK$12,Fixtures!GD$25))=Fixtures!$DN75,CONCATENATE(GD$10,", "),""))</f>
        <v/>
      </c>
      <c r="GE75" s="632" t="str">
        <f ca="1">IF(INDIRECT(CONCATENATE($FK$12,Fixtures!GE$25))="","",IF(INDIRECT(CONCATENATE($FK$12,Fixtures!GE$25))=Fixtures!$DN75,CONCATENATE(GE$10,", "),""))</f>
        <v/>
      </c>
      <c r="GF75" s="632" t="str">
        <f ca="1">IF(INDIRECT(CONCATENATE($FK$12,Fixtures!GF$25))="","",IF(INDIRECT(CONCATENATE($FK$12,Fixtures!GF$25))=Fixtures!$DN75,CONCATENATE(GF$10,", "),""))</f>
        <v/>
      </c>
      <c r="GG75" s="632" t="str">
        <f ca="1">IF(INDIRECT(CONCATENATE($FK$12,Fixtures!GG$25))="","",IF(INDIRECT(CONCATENATE($FK$12,Fixtures!GG$25))=Fixtures!$DN75,CONCATENATE(GG$10,", "),""))</f>
        <v/>
      </c>
      <c r="GH75" s="632" t="str">
        <f ca="1">IF(INDIRECT(CONCATENATE($FK$12,Fixtures!GH$25))="","",IF(INDIRECT(CONCATENATE($FK$12,Fixtures!GH$25))=Fixtures!$DN75,CONCATENATE(GH$10,", "),""))</f>
        <v/>
      </c>
      <c r="GI75" s="606" t="str">
        <f ca="1">IF(INDIRECT(CONCATENATE($FK$12,Fixtures!GI$25))="","",IF(INDIRECT(CONCATENATE($FK$12,Fixtures!GI$25))=Fixtures!$DN75,CONCATENATE(GI$10,", "),""))</f>
        <v/>
      </c>
      <c r="GJ75" s="607" t="str">
        <f ca="1">IF(INDIRECT(CONCATENATE($FK$12,Fixtures!GJ$25))="","",IF(INDIRECT(CONCATENATE($FK$12,Fixtures!GJ$25))=Fixtures!$DN75,CONCATENATE(GJ$10,", "),""))</f>
        <v/>
      </c>
      <c r="GK75" s="632" t="str">
        <f ca="1">IF(INDIRECT(CONCATENATE($FK$12,Fixtures!GK$25))="","",IF(INDIRECT(CONCATENATE($FK$12,Fixtures!GK$25))=Fixtures!$DN75,CONCATENATE(GK$10,", "),""))</f>
        <v/>
      </c>
      <c r="GL75" s="632" t="str">
        <f ca="1">IF(INDIRECT(CONCATENATE($FK$12,Fixtures!GL$25))="","",IF(INDIRECT(CONCATENATE($FK$12,Fixtures!GL$25))=Fixtures!$DN75,CONCATENATE(GL$10,", "),""))</f>
        <v/>
      </c>
      <c r="GM75" s="632" t="str">
        <f ca="1">IF(INDIRECT(CONCATENATE($FK$12,Fixtures!GM$25))="","",IF(INDIRECT(CONCATENATE($FK$12,Fixtures!GM$25))=Fixtures!$DN75,CONCATENATE(GM$10,", "),""))</f>
        <v/>
      </c>
      <c r="GN75" s="632" t="str">
        <f ca="1">IF(INDIRECT(CONCATENATE($FK$12,Fixtures!GN$25))="","",IF(INDIRECT(CONCATENATE($FK$12,Fixtures!GN$25))=Fixtures!$DN75,CONCATENATE(GN$10,", "),""))</f>
        <v/>
      </c>
      <c r="GO75" s="632" t="str">
        <f ca="1">IF(INDIRECT(CONCATENATE($FK$12,Fixtures!GO$25))="","",IF(INDIRECT(CONCATENATE($FK$12,Fixtures!GO$25))=Fixtures!$DN75,CONCATENATE(GO$10,", "),""))</f>
        <v/>
      </c>
      <c r="GP75" s="632" t="str">
        <f ca="1">IF(INDIRECT(CONCATENATE($FK$12,Fixtures!GP$25))="","",IF(INDIRECT(CONCATENATE($FK$12,Fixtures!GP$25))=Fixtures!$DN75,CONCATENATE(GP$10,", "),""))</f>
        <v/>
      </c>
      <c r="GQ75" s="632" t="str">
        <f ca="1">IF(INDIRECT(CONCATENATE($FK$12,Fixtures!GQ$25))="","",IF(INDIRECT(CONCATENATE($FK$12,Fixtures!GQ$25))=Fixtures!$DN75,CONCATENATE(GQ$10,", "),""))</f>
        <v/>
      </c>
      <c r="GR75" s="632" t="str">
        <f ca="1">IF(INDIRECT(CONCATENATE($FK$12,Fixtures!GR$25))="","",IF(INDIRECT(CONCATENATE($FK$12,Fixtures!GR$25))=Fixtures!$DN75,CONCATENATE(GR$10,", "),""))</f>
        <v/>
      </c>
      <c r="GS75" s="632" t="str">
        <f ca="1">IF(INDIRECT(CONCATENATE($FK$12,Fixtures!GS$25))="","",IF(INDIRECT(CONCATENATE($FK$12,Fixtures!GS$25))=Fixtures!$DN75,CONCATENATE(GS$10,", "),""))</f>
        <v/>
      </c>
      <c r="GT75" s="632" t="str">
        <f ca="1">IF(INDIRECT(CONCATENATE($FK$12,Fixtures!GT$25))="","",IF(INDIRECT(CONCATENATE($FK$12,Fixtures!GT$25))=Fixtures!$DN75,CONCATENATE(GT$10,", "),""))</f>
        <v/>
      </c>
      <c r="GU75" s="632" t="str">
        <f ca="1">IF(INDIRECT(CONCATENATE($FK$12,Fixtures!GU$25))="","",IF(INDIRECT(CONCATENATE($FK$12,Fixtures!GU$25))=Fixtures!$DN75,CONCATENATE(GU$10,", "),""))</f>
        <v/>
      </c>
      <c r="GV75" s="632" t="str">
        <f ca="1">IF(INDIRECT(CONCATENATE($FK$12,Fixtures!GV$25))="","",IF(INDIRECT(CONCATENATE($FK$12,Fixtures!GV$25))=Fixtures!$DN75,CONCATENATE(GV$10,", "),""))</f>
        <v/>
      </c>
      <c r="GW75" s="632" t="str">
        <f ca="1">IF(INDIRECT(CONCATENATE($FK$12,Fixtures!GW$25))="","",IF(INDIRECT(CONCATENATE($FK$12,Fixtures!GW$25))=Fixtures!$DN75,CONCATENATE(GW$10,", "),""))</f>
        <v/>
      </c>
      <c r="GX75" s="606" t="str">
        <f ca="1">IF(INDIRECT(CONCATENATE($FK$12,Fixtures!GX$25))="","",IF(INDIRECT(CONCATENATE($FK$12,Fixtures!GX$25))=Fixtures!$DN75,CONCATENATE(GX$10,", "),""))</f>
        <v/>
      </c>
      <c r="GY75" s="607" t="str">
        <f ca="1">IF(INDIRECT(CONCATENATE($FK$12,Fixtures!GY$25))="","",IF(INDIRECT(CONCATENATE($FK$12,Fixtures!GY$25))=Fixtures!$DN75,CONCATENATE(GY$10,", "),""))</f>
        <v/>
      </c>
      <c r="GZ75" s="632" t="str">
        <f ca="1">IF(INDIRECT(CONCATENATE($FK$12,Fixtures!GZ$25))="","",IF(INDIRECT(CONCATENATE($FK$12,Fixtures!GZ$25))=Fixtures!$DN75,CONCATENATE(GZ$10,", "),""))</f>
        <v/>
      </c>
      <c r="HA75" s="632" t="str">
        <f ca="1">IF(INDIRECT(CONCATENATE($FK$12,Fixtures!HA$25))="","",IF(INDIRECT(CONCATENATE($FK$12,Fixtures!HA$25))=Fixtures!$DN75,CONCATENATE(HA$10,", "),""))</f>
        <v/>
      </c>
      <c r="HB75" s="632" t="str">
        <f ca="1">IF(INDIRECT(CONCATENATE($FK$12,Fixtures!HB$25))="","",IF(INDIRECT(CONCATENATE($FK$12,Fixtures!HB$25))=Fixtures!$DN75,CONCATENATE(HB$10,", "),""))</f>
        <v/>
      </c>
      <c r="HC75" s="632" t="str">
        <f ca="1">IF(INDIRECT(CONCATENATE($FK$12,Fixtures!HC$25))="","",IF(INDIRECT(CONCATENATE($FK$12,Fixtures!HC$25))=Fixtures!$DN75,CONCATENATE(HC$10,", "),""))</f>
        <v/>
      </c>
      <c r="HD75" s="632" t="str">
        <f ca="1">IF(INDIRECT(CONCATENATE($FK$12,Fixtures!HD$25))="","",IF(INDIRECT(CONCATENATE($FK$12,Fixtures!HD$25))=Fixtures!$DN75,CONCATENATE(HD$10,", "),""))</f>
        <v/>
      </c>
      <c r="HE75" s="632" t="str">
        <f ca="1">IF(INDIRECT(CONCATENATE($FK$12,Fixtures!HE$25))="","",IF(INDIRECT(CONCATENATE($FK$12,Fixtures!HE$25))=Fixtures!$DN75,CONCATENATE(HE$10,", "),""))</f>
        <v/>
      </c>
      <c r="HF75" s="632" t="str">
        <f ca="1">IF(INDIRECT(CONCATENATE($FK$12,Fixtures!HF$25))="","",IF(INDIRECT(CONCATENATE($FK$12,Fixtures!HF$25))=Fixtures!$DN75,CONCATENATE(HF$10,", "),""))</f>
        <v/>
      </c>
      <c r="HG75" s="632" t="str">
        <f ca="1">IF(INDIRECT(CONCATENATE($FK$12,Fixtures!HG$25))="","",IF(INDIRECT(CONCATENATE($FK$12,Fixtures!HG$25))=Fixtures!$DN75,CONCATENATE(HG$10,", "),""))</f>
        <v/>
      </c>
      <c r="HH75" s="632" t="str">
        <f ca="1">IF(INDIRECT(CONCATENATE($FK$12,Fixtures!HH$25))="","",IF(INDIRECT(CONCATENATE($FK$12,Fixtures!HH$25))=Fixtures!$DN75,CONCATENATE(HH$10,", "),""))</f>
        <v/>
      </c>
      <c r="HI75" s="632" t="str">
        <f ca="1">IF(INDIRECT(CONCATENATE($FK$12,Fixtures!HI$25))="","",IF(INDIRECT(CONCATENATE($FK$12,Fixtures!HI$25))=Fixtures!$DN75,CONCATENATE(HI$10,", "),""))</f>
        <v/>
      </c>
      <c r="HJ75" s="632" t="str">
        <f ca="1">IF(INDIRECT(CONCATENATE($FK$12,Fixtures!HJ$25))="","",IF(INDIRECT(CONCATENATE($FK$12,Fixtures!HJ$25))=Fixtures!$DN75,CONCATENATE(HJ$10,", "),""))</f>
        <v/>
      </c>
      <c r="HK75" s="632" t="str">
        <f ca="1">IF(INDIRECT(CONCATENATE($FK$12,Fixtures!HK$25))="","",IF(INDIRECT(CONCATENATE($FK$12,Fixtures!HK$25))=Fixtures!$DN75,CONCATENATE(HK$10,", "),""))</f>
        <v/>
      </c>
      <c r="HL75" s="632" t="str">
        <f ca="1">IF(INDIRECT(CONCATENATE($FK$12,Fixtures!HL$25))="","",IF(INDIRECT(CONCATENATE($FK$12,Fixtures!HL$25))=Fixtures!$DN75,CONCATENATE(HL$10,", "),""))</f>
        <v/>
      </c>
      <c r="HM75" s="606" t="str">
        <f ca="1">IF(INDIRECT(CONCATENATE($FK$12,Fixtures!HM$25))="","",IF(INDIRECT(CONCATENATE($FK$12,Fixtures!HM$25))=Fixtures!$DN75,CONCATENATE(HM$10,", "),""))</f>
        <v/>
      </c>
      <c r="HN75" s="607" t="str">
        <f ca="1">IF(INDIRECT(CONCATENATE($FK$12,Fixtures!HN$25))="","",IF(INDIRECT(CONCATENATE($FK$12,Fixtures!HN$25))=Fixtures!$DN75,CONCATENATE(HN$10,", "),""))</f>
        <v/>
      </c>
      <c r="HO75" s="632" t="str">
        <f ca="1">IF(INDIRECT(CONCATENATE($FK$12,Fixtures!HO$25))="","",IF(INDIRECT(CONCATENATE($FK$12,Fixtures!HO$25))=Fixtures!$DN75,CONCATENATE(HO$10,", "),""))</f>
        <v/>
      </c>
      <c r="HP75" s="632" t="str">
        <f ca="1">IF(INDIRECT(CONCATENATE($FK$12,Fixtures!HP$25))="","",IF(INDIRECT(CONCATENATE($FK$12,Fixtures!HP$25))=Fixtures!$DN75,CONCATENATE(HP$10,", "),""))</f>
        <v/>
      </c>
      <c r="HQ75" s="632" t="str">
        <f ca="1">IF(INDIRECT(CONCATENATE($FK$12,Fixtures!HQ$25))="","",IF(INDIRECT(CONCATENATE($FK$12,Fixtures!HQ$25))=Fixtures!$DN75,CONCATENATE(HQ$10,", "),""))</f>
        <v/>
      </c>
      <c r="HR75" s="632" t="str">
        <f ca="1">IF(INDIRECT(CONCATENATE($FK$12,Fixtures!HR$25))="","",IF(INDIRECT(CONCATENATE($FK$12,Fixtures!HR$25))=Fixtures!$DN75,CONCATENATE(HR$10,", "),""))</f>
        <v/>
      </c>
      <c r="HS75" s="632" t="str">
        <f ca="1">IF(INDIRECT(CONCATENATE($FK$12,Fixtures!HS$25))="","",IF(INDIRECT(CONCATENATE($FK$12,Fixtures!HS$25))=Fixtures!$DN75,CONCATENATE(HS$10,", "),""))</f>
        <v/>
      </c>
      <c r="HT75" s="632" t="str">
        <f ca="1">IF(INDIRECT(CONCATENATE($FK$12,Fixtures!HT$25))="","",IF(INDIRECT(CONCATENATE($FK$12,Fixtures!HT$25))=Fixtures!$DN75,CONCATENATE(HT$10,", "),""))</f>
        <v/>
      </c>
      <c r="HU75" s="632" t="str">
        <f ca="1">IF(INDIRECT(CONCATENATE($FK$12,Fixtures!HU$25))="","",IF(INDIRECT(CONCATENATE($FK$12,Fixtures!HU$25))=Fixtures!$DN75,CONCATENATE(HU$10,", "),""))</f>
        <v/>
      </c>
      <c r="HV75" s="632" t="str">
        <f ca="1">IF(INDIRECT(CONCATENATE($FK$12,Fixtures!HV$25))="","",IF(INDIRECT(CONCATENATE($FK$12,Fixtures!HV$25))=Fixtures!$DN75,CONCATENATE(HV$10,", "),""))</f>
        <v/>
      </c>
      <c r="HW75" s="632" t="str">
        <f ca="1">IF(INDIRECT(CONCATENATE($FK$12,Fixtures!HW$25))="","",IF(INDIRECT(CONCATENATE($FK$12,Fixtures!HW$25))=Fixtures!$DN75,CONCATENATE(HW$10,", "),""))</f>
        <v/>
      </c>
      <c r="HX75" s="632" t="str">
        <f ca="1">IF(INDIRECT(CONCATENATE($FK$12,Fixtures!HX$25))="","",IF(INDIRECT(CONCATENATE($FK$12,Fixtures!HX$25))=Fixtures!$DN75,CONCATENATE(HX$10,", "),""))</f>
        <v/>
      </c>
      <c r="HY75" s="632" t="str">
        <f ca="1">IF(INDIRECT(CONCATENATE($FK$12,Fixtures!HY$25))="","",IF(INDIRECT(CONCATENATE($FK$12,Fixtures!HY$25))=Fixtures!$DN75,CONCATENATE(HY$10,", "),""))</f>
        <v/>
      </c>
      <c r="HZ75" s="632" t="str">
        <f ca="1">IF(INDIRECT(CONCATENATE($FK$12,Fixtures!HZ$25))="","",IF(INDIRECT(CONCATENATE($FK$12,Fixtures!HZ$25))=Fixtures!$DN75,CONCATENATE(HZ$10,", "),""))</f>
        <v/>
      </c>
      <c r="IA75" s="632" t="str">
        <f ca="1">IF(INDIRECT(CONCATENATE($FK$12,Fixtures!IA$25))="","",IF(INDIRECT(CONCATENATE($FK$12,Fixtures!IA$25))=Fixtures!$DN75,CONCATENATE(IA$10,", "),""))</f>
        <v/>
      </c>
      <c r="IB75" s="606" t="str">
        <f ca="1">IF(INDIRECT(CONCATENATE($FK$12,Fixtures!IB$25))="","",IF(INDIRECT(CONCATENATE($FK$12,Fixtures!IB$25))=Fixtures!$DN75,CONCATENATE(IB$10,", "),""))</f>
        <v/>
      </c>
      <c r="IC75" s="607" t="str">
        <f ca="1">IF(INDIRECT(CONCATENATE($FK$12,Fixtures!IC$25))="","",IF(INDIRECT(CONCATENATE($FK$12,Fixtures!IC$25))=Fixtures!$DN75,CONCATENATE(IC$10,", "),""))</f>
        <v/>
      </c>
      <c r="ID75" s="632" t="str">
        <f ca="1">IF(INDIRECT(CONCATENATE($FK$12,Fixtures!ID$25))="","",IF(INDIRECT(CONCATENATE($FK$12,Fixtures!ID$25))=Fixtures!$DN75,CONCATENATE(ID$10,", "),""))</f>
        <v/>
      </c>
      <c r="IE75" s="632" t="str">
        <f ca="1">IF(INDIRECT(CONCATENATE($FK$12,Fixtures!IE$25))="","",IF(INDIRECT(CONCATENATE($FK$12,Fixtures!IE$25))=Fixtures!$DN75,CONCATENATE(IE$10,", "),""))</f>
        <v/>
      </c>
      <c r="IF75" s="632" t="str">
        <f ca="1">IF(INDIRECT(CONCATENATE($FK$12,Fixtures!IF$25))="","",IF(INDIRECT(CONCATENATE($FK$12,Fixtures!IF$25))=Fixtures!$DN75,CONCATENATE(IF$10,", "),""))</f>
        <v/>
      </c>
      <c r="IG75" s="632" t="str">
        <f ca="1">IF(INDIRECT(CONCATENATE($FK$12,Fixtures!IG$25))="","",IF(INDIRECT(CONCATENATE($FK$12,Fixtures!IG$25))=Fixtures!$DN75,CONCATENATE(IG$10,", "),""))</f>
        <v/>
      </c>
      <c r="IH75" s="632" t="str">
        <f ca="1">IF(INDIRECT(CONCATENATE($FK$12,Fixtures!IH$25))="","",IF(INDIRECT(CONCATENATE($FK$12,Fixtures!IH$25))=Fixtures!$DN75,CONCATENATE(IH$10,", "),""))</f>
        <v/>
      </c>
      <c r="II75" s="632" t="str">
        <f ca="1">IF(INDIRECT(CONCATENATE($FK$12,Fixtures!II$25))="","",IF(INDIRECT(CONCATENATE($FK$12,Fixtures!II$25))=Fixtures!$DN75,CONCATENATE(II$10,", "),""))</f>
        <v/>
      </c>
      <c r="IJ75" s="632" t="str">
        <f ca="1">IF(INDIRECT(CONCATENATE($FK$12,Fixtures!IJ$25))="","",IF(INDIRECT(CONCATENATE($FK$12,Fixtures!IJ$25))=Fixtures!$DN75,CONCATENATE(IJ$10,", "),""))</f>
        <v/>
      </c>
      <c r="IK75" s="632" t="str">
        <f ca="1">IF(INDIRECT(CONCATENATE($FK$12,Fixtures!IK$25))="","",IF(INDIRECT(CONCATENATE($FK$12,Fixtures!IK$25))=Fixtures!$DN75,CONCATENATE(IK$10,", "),""))</f>
        <v/>
      </c>
      <c r="IL75" s="632" t="str">
        <f ca="1">IF(INDIRECT(CONCATENATE($FK$12,Fixtures!IL$25))="","",IF(INDIRECT(CONCATENATE($FK$12,Fixtures!IL$25))=Fixtures!$DN75,CONCATENATE(IL$10,", "),""))</f>
        <v/>
      </c>
      <c r="IM75" s="632" t="str">
        <f ca="1">IF(INDIRECT(CONCATENATE($FK$12,Fixtures!IM$25))="","",IF(INDIRECT(CONCATENATE($FK$12,Fixtures!IM$25))=Fixtures!$DN75,CONCATENATE(IM$10,", "),""))</f>
        <v/>
      </c>
      <c r="IN75" s="632" t="str">
        <f ca="1">IF(INDIRECT(CONCATENATE($FK$12,Fixtures!IN$25))="","",IF(INDIRECT(CONCATENATE($FK$12,Fixtures!IN$25))=Fixtures!$DN75,CONCATENATE(IN$10,", "),""))</f>
        <v/>
      </c>
      <c r="IO75" s="632" t="str">
        <f ca="1">IF(INDIRECT(CONCATENATE($FK$12,Fixtures!IO$25))="","",IF(INDIRECT(CONCATENATE($FK$12,Fixtures!IO$25))=Fixtures!$DN75,CONCATENATE(IO$10,", "),""))</f>
        <v/>
      </c>
      <c r="IP75" s="632" t="str">
        <f ca="1">IF(INDIRECT(CONCATENATE($FK$12,Fixtures!IP$25))="","",IF(INDIRECT(CONCATENATE($FK$12,Fixtures!IP$25))=Fixtures!$DN75,CONCATENATE(IP$10,", "),""))</f>
        <v/>
      </c>
      <c r="IQ75" s="606" t="str">
        <f ca="1">IF(INDIRECT(CONCATENATE($FK$12,Fixtures!IQ$25))="","",IF(INDIRECT(CONCATENATE($FK$12,Fixtures!IQ$25))=Fixtures!$DN75,CONCATENATE(IQ$10,", "),""))</f>
        <v/>
      </c>
      <c r="IR75" s="607" t="str">
        <f ca="1">IF(INDIRECT(CONCATENATE($FK$12,Fixtures!IR$25))="","",IF(INDIRECT(CONCATENATE($FK$12,Fixtures!IR$25))=Fixtures!$DN75,CONCATENATE(IR$10,", "),""))</f>
        <v/>
      </c>
      <c r="IS75" s="632" t="str">
        <f ca="1">IF(INDIRECT(CONCATENATE($FK$12,Fixtures!IS$25))="","",IF(INDIRECT(CONCATENATE($FK$12,Fixtures!IS$25))=Fixtures!$DN75,CONCATENATE(IS$10,", "),""))</f>
        <v/>
      </c>
      <c r="IT75" s="632" t="str">
        <f ca="1">IF(INDIRECT(CONCATENATE($FK$12,Fixtures!IT$25))="","",IF(INDIRECT(CONCATENATE($FK$12,Fixtures!IT$25))=Fixtures!$DN75,CONCATENATE(IT$10,", "),""))</f>
        <v/>
      </c>
      <c r="IU75" s="632" t="str">
        <f ca="1">IF(INDIRECT(CONCATENATE($FK$12,Fixtures!IU$25))="","",IF(INDIRECT(CONCATENATE($FK$12,Fixtures!IU$25))=Fixtures!$DN75,CONCATENATE(IU$10,", "),""))</f>
        <v/>
      </c>
      <c r="IV75" s="632" t="str">
        <f ca="1">IF(INDIRECT(CONCATENATE($FK$12,Fixtures!IV$25))="","",IF(INDIRECT(CONCATENATE($FK$12,Fixtures!IV$25))=Fixtures!$DN75,CONCATENATE(IV$10,", "),""))</f>
        <v/>
      </c>
      <c r="IW75" s="632" t="str">
        <f ca="1">IF(INDIRECT(CONCATENATE($FK$12,Fixtures!IW$25))="","",IF(INDIRECT(CONCATENATE($FK$12,Fixtures!IW$25))=Fixtures!$DN75,CONCATENATE(IW$10,", "),""))</f>
        <v/>
      </c>
      <c r="IX75" s="632" t="str">
        <f ca="1">IF(INDIRECT(CONCATENATE($FK$12,Fixtures!IX$25))="","",IF(INDIRECT(CONCATENATE($FK$12,Fixtures!IX$25))=Fixtures!$DN75,CONCATENATE(IX$10,", "),""))</f>
        <v/>
      </c>
      <c r="IY75" s="632" t="str">
        <f ca="1">IF(INDIRECT(CONCATENATE($FK$12,Fixtures!IY$25))="","",IF(INDIRECT(CONCATENATE($FK$12,Fixtures!IY$25))=Fixtures!$DN75,CONCATENATE(IY$10,", "),""))</f>
        <v/>
      </c>
      <c r="IZ75" s="632" t="str">
        <f ca="1">IF(INDIRECT(CONCATENATE($FK$12,Fixtures!IZ$25))="","",IF(INDIRECT(CONCATENATE($FK$12,Fixtures!IZ$25))=Fixtures!$DN75,CONCATENATE(IZ$10,", "),""))</f>
        <v/>
      </c>
      <c r="JA75" s="632" t="str">
        <f ca="1">IF(INDIRECT(CONCATENATE($FK$12,Fixtures!JA$25))="","",IF(INDIRECT(CONCATENATE($FK$12,Fixtures!JA$25))=Fixtures!$DN75,CONCATENATE(JA$10,", "),""))</f>
        <v/>
      </c>
      <c r="JB75" s="632" t="str">
        <f ca="1">IF(INDIRECT(CONCATENATE($FK$12,Fixtures!JB$25))="","",IF(INDIRECT(CONCATENATE($FK$12,Fixtures!JB$25))=Fixtures!$DN75,CONCATENATE(JB$10,", "),""))</f>
        <v/>
      </c>
      <c r="JC75" s="632" t="str">
        <f ca="1">IF(INDIRECT(CONCATENATE($FK$12,Fixtures!JC$25))="","",IF(INDIRECT(CONCATENATE($FK$12,Fixtures!JC$25))=Fixtures!$DN75,CONCATENATE(JC$10,", "),""))</f>
        <v/>
      </c>
      <c r="JD75" s="632" t="str">
        <f ca="1">IF(INDIRECT(CONCATENATE($FK$12,Fixtures!JD$25))="","",IF(INDIRECT(CONCATENATE($FK$12,Fixtures!JD$25))=Fixtures!$DN75,CONCATENATE(JD$10,", "),""))</f>
        <v/>
      </c>
      <c r="JE75" s="632" t="str">
        <f ca="1">IF(INDIRECT(CONCATENATE($FK$12,Fixtures!JE$25))="","",IF(INDIRECT(CONCATENATE($FK$12,Fixtures!JE$25))=Fixtures!$DN75,CONCATENATE(JE$10,", "),""))</f>
        <v/>
      </c>
      <c r="JF75" s="606" t="str">
        <f ca="1">IF(INDIRECT(CONCATENATE($FK$12,Fixtures!JF$25))="","",IF(INDIRECT(CONCATENATE($FK$12,Fixtures!JF$25))=Fixtures!$DN75,CONCATENATE(JF$10,", "),""))</f>
        <v/>
      </c>
      <c r="JG75" s="607" t="str">
        <f ca="1">IF(INDIRECT(CONCATENATE($FK$12,Fixtures!JG$25))="","",IF(INDIRECT(CONCATENATE($FK$12,Fixtures!JG$25))=Fixtures!$DN75,CONCATENATE(JG$10,", "),""))</f>
        <v/>
      </c>
      <c r="JH75" s="632" t="str">
        <f ca="1">IF(INDIRECT(CONCATENATE($FK$12,Fixtures!JH$25))="","",IF(INDIRECT(CONCATENATE($FK$12,Fixtures!JH$25))=Fixtures!$DN75,CONCATENATE(JH$10,", "),""))</f>
        <v/>
      </c>
      <c r="JI75" s="632" t="str">
        <f ca="1">IF(INDIRECT(CONCATENATE($FK$12,Fixtures!JI$25))="","",IF(INDIRECT(CONCATENATE($FK$12,Fixtures!JI$25))=Fixtures!$DN75,CONCATENATE(JI$10,", "),""))</f>
        <v/>
      </c>
      <c r="JJ75" s="632" t="str">
        <f ca="1">IF(INDIRECT(CONCATENATE($FK$12,Fixtures!JJ$25))="","",IF(INDIRECT(CONCATENATE($FK$12,Fixtures!JJ$25))=Fixtures!$DN75,CONCATENATE(JJ$10,", "),""))</f>
        <v/>
      </c>
      <c r="JK75" s="632" t="str">
        <f ca="1">IF(INDIRECT(CONCATENATE($FK$12,Fixtures!JK$25))="","",IF(INDIRECT(CONCATENATE($FK$12,Fixtures!JK$25))=Fixtures!$DN75,CONCATENATE(JK$10,", "),""))</f>
        <v/>
      </c>
      <c r="JL75" s="632" t="str">
        <f ca="1">IF(INDIRECT(CONCATENATE($FK$12,Fixtures!JL$25))="","",IF(INDIRECT(CONCATENATE($FK$12,Fixtures!JL$25))=Fixtures!$DN75,CONCATENATE(JL$10,", "),""))</f>
        <v/>
      </c>
      <c r="JM75" s="632" t="str">
        <f ca="1">IF(INDIRECT(CONCATENATE($FK$12,Fixtures!JM$25))="","",IF(INDIRECT(CONCATENATE($FK$12,Fixtures!JM$25))=Fixtures!$DN75,CONCATENATE(JM$10,", "),""))</f>
        <v/>
      </c>
      <c r="JN75" s="632" t="str">
        <f ca="1">IF(INDIRECT(CONCATENATE($FK$12,Fixtures!JN$25))="","",IF(INDIRECT(CONCATENATE($FK$12,Fixtures!JN$25))=Fixtures!$DN75,CONCATENATE(JN$10,", "),""))</f>
        <v/>
      </c>
      <c r="JO75" s="632" t="str">
        <f ca="1">IF(INDIRECT(CONCATENATE($FK$12,Fixtures!JO$25))="","",IF(INDIRECT(CONCATENATE($FK$12,Fixtures!JO$25))=Fixtures!$DN75,CONCATENATE(JO$10,", "),""))</f>
        <v/>
      </c>
      <c r="JP75" s="632" t="str">
        <f ca="1">IF(INDIRECT(CONCATENATE($FK$12,Fixtures!JP$25))="","",IF(INDIRECT(CONCATENATE($FK$12,Fixtures!JP$25))=Fixtures!$DN75,CONCATENATE(JP$10,", "),""))</f>
        <v/>
      </c>
      <c r="JQ75" s="632" t="str">
        <f ca="1">IF(INDIRECT(CONCATENATE($FK$12,Fixtures!JQ$25))="","",IF(INDIRECT(CONCATENATE($FK$12,Fixtures!JQ$25))=Fixtures!$DN75,CONCATENATE(JQ$10,", "),""))</f>
        <v/>
      </c>
      <c r="JR75" s="632" t="str">
        <f ca="1">IF(INDIRECT(CONCATENATE($FK$12,Fixtures!JR$25))="","",IF(INDIRECT(CONCATENATE($FK$12,Fixtures!JR$25))=Fixtures!$DN75,CONCATENATE(JR$10,", "),""))</f>
        <v/>
      </c>
      <c r="JS75" s="632" t="str">
        <f ca="1">IF(INDIRECT(CONCATENATE($FK$12,Fixtures!JS$25))="","",IF(INDIRECT(CONCATENATE($FK$12,Fixtures!JS$25))=Fixtures!$DN75,CONCATENATE(JS$10,", "),""))</f>
        <v/>
      </c>
      <c r="JT75" s="632" t="str">
        <f ca="1">IF(INDIRECT(CONCATENATE($FK$12,Fixtures!JT$25))="","",IF(INDIRECT(CONCATENATE($FK$12,Fixtures!JT$25))=Fixtures!$DN75,CONCATENATE(JT$10,", "),""))</f>
        <v/>
      </c>
      <c r="JU75" s="606" t="str">
        <f ca="1">IF(INDIRECT(CONCATENATE($FK$12,Fixtures!JU$25))="","",IF(INDIRECT(CONCATENATE($FK$12,Fixtures!JU$25))=Fixtures!$DN75,CONCATENATE(JU$10,", "),""))</f>
        <v/>
      </c>
      <c r="JV75" s="607" t="str">
        <f ca="1">IF(INDIRECT(CONCATENATE($FK$12,Fixtures!JV$25))="","",IF(INDIRECT(CONCATENATE($FK$12,Fixtures!JV$25))=Fixtures!$DN75,CONCATENATE(JV$10,", "),""))</f>
        <v/>
      </c>
      <c r="JW75" s="632" t="str">
        <f ca="1">IF(INDIRECT(CONCATENATE($FK$12,Fixtures!JW$25))="","",IF(INDIRECT(CONCATENATE($FK$12,Fixtures!JW$25))=Fixtures!$DN75,CONCATENATE(JW$10,", "),""))</f>
        <v/>
      </c>
      <c r="JX75" s="632" t="str">
        <f ca="1">IF(INDIRECT(CONCATENATE($FK$12,Fixtures!JX$25))="","",IF(INDIRECT(CONCATENATE($FK$12,Fixtures!JX$25))=Fixtures!$DN75,CONCATENATE(JX$10,", "),""))</f>
        <v/>
      </c>
      <c r="JY75" s="632" t="str">
        <f ca="1">IF(INDIRECT(CONCATENATE($FK$12,Fixtures!JY$25))="","",IF(INDIRECT(CONCATENATE($FK$12,Fixtures!JY$25))=Fixtures!$DN75,CONCATENATE(JY$10,", "),""))</f>
        <v/>
      </c>
      <c r="JZ75" s="632" t="str">
        <f ca="1">IF(INDIRECT(CONCATENATE($FK$12,Fixtures!JZ$25))="","",IF(INDIRECT(CONCATENATE($FK$12,Fixtures!JZ$25))=Fixtures!$DN75,CONCATENATE(JZ$10,", "),""))</f>
        <v/>
      </c>
      <c r="KA75" s="632" t="str">
        <f ca="1">IF(INDIRECT(CONCATENATE($FK$12,Fixtures!KA$25))="","",IF(INDIRECT(CONCATENATE($FK$12,Fixtures!KA$25))=Fixtures!$DN75,CONCATENATE(KA$10,", "),""))</f>
        <v/>
      </c>
      <c r="KB75" s="632" t="str">
        <f ca="1">IF(INDIRECT(CONCATENATE($FK$12,Fixtures!KB$25))="","",IF(INDIRECT(CONCATENATE($FK$12,Fixtures!KB$25))=Fixtures!$DN75,CONCATENATE(KB$10,", "),""))</f>
        <v/>
      </c>
      <c r="KC75" s="632" t="str">
        <f ca="1">IF(INDIRECT(CONCATENATE($FK$12,Fixtures!KC$25))="","",IF(INDIRECT(CONCATENATE($FK$12,Fixtures!KC$25))=Fixtures!$DN75,CONCATENATE(KC$10,", "),""))</f>
        <v/>
      </c>
      <c r="KD75" s="632" t="str">
        <f ca="1">IF(INDIRECT(CONCATENATE($FK$12,Fixtures!KD$25))="","",IF(INDIRECT(CONCATENATE($FK$12,Fixtures!KD$25))=Fixtures!$DN75,CONCATENATE(KD$10,", "),""))</f>
        <v/>
      </c>
      <c r="KE75" s="632" t="str">
        <f ca="1">IF(INDIRECT(CONCATENATE($FK$12,Fixtures!KE$25))="","",IF(INDIRECT(CONCATENATE($FK$12,Fixtures!KE$25))=Fixtures!$DN75,CONCATENATE(KE$10,", "),""))</f>
        <v/>
      </c>
      <c r="KF75" s="632" t="str">
        <f ca="1">IF(INDIRECT(CONCATENATE($FK$12,Fixtures!KF$25))="","",IF(INDIRECT(CONCATENATE($FK$12,Fixtures!KF$25))=Fixtures!$DN75,CONCATENATE(KF$10,", "),""))</f>
        <v/>
      </c>
      <c r="KG75" s="632" t="str">
        <f ca="1">IF(INDIRECT(CONCATENATE($FK$12,Fixtures!KG$25))="","",IF(INDIRECT(CONCATENATE($FK$12,Fixtures!KG$25))=Fixtures!$DN75,CONCATENATE(KG$10,", "),""))</f>
        <v/>
      </c>
      <c r="KH75" s="632" t="str">
        <f ca="1">IF(INDIRECT(CONCATENATE($FK$12,Fixtures!KH$25))="","",IF(INDIRECT(CONCATENATE($FK$12,Fixtures!KH$25))=Fixtures!$DN75,CONCATENATE(KH$10,", "),""))</f>
        <v/>
      </c>
      <c r="KI75" s="632" t="str">
        <f ca="1">IF(INDIRECT(CONCATENATE($FK$12,Fixtures!KI$25))="","",IF(INDIRECT(CONCATENATE($FK$12,Fixtures!KI$25))=Fixtures!$DN75,CONCATENATE(KI$10,", "),""))</f>
        <v/>
      </c>
      <c r="KJ75" s="606" t="str">
        <f ca="1">IF(INDIRECT(CONCATENATE($FK$12,Fixtures!KJ$25))="","",IF(INDIRECT(CONCATENATE($FK$12,Fixtures!KJ$25))=Fixtures!$DN75,CONCATENATE(KJ$10,", "),""))</f>
        <v/>
      </c>
      <c r="KK75" s="607" t="str">
        <f ca="1">IF(INDIRECT(CONCATENATE($FK$12,Fixtures!KK$25))="","",IF(INDIRECT(CONCATENATE($FK$12,Fixtures!KK$25))=Fixtures!$DN75,CONCATENATE(KK$10,", "),""))</f>
        <v/>
      </c>
      <c r="KL75" s="632" t="str">
        <f ca="1">IF(INDIRECT(CONCATENATE($FK$12,Fixtures!KL$25))="","",IF(INDIRECT(CONCATENATE($FK$12,Fixtures!KL$25))=Fixtures!$DN75,CONCATENATE(KL$10,", "),""))</f>
        <v/>
      </c>
      <c r="KM75" s="632" t="str">
        <f ca="1">IF(INDIRECT(CONCATENATE($FK$12,Fixtures!KM$25))="","",IF(INDIRECT(CONCATENATE($FK$12,Fixtures!KM$25))=Fixtures!$DN75,CONCATENATE(KM$10,", "),""))</f>
        <v/>
      </c>
      <c r="KN75" s="632" t="str">
        <f ca="1">IF(INDIRECT(CONCATENATE($FK$12,Fixtures!KN$25))="","",IF(INDIRECT(CONCATENATE($FK$12,Fixtures!KN$25))=Fixtures!$DN75,CONCATENATE(KN$10,", "),""))</f>
        <v/>
      </c>
      <c r="KO75" s="632" t="str">
        <f ca="1">IF(INDIRECT(CONCATENATE($FK$12,Fixtures!KO$25))="","",IF(INDIRECT(CONCATENATE($FK$12,Fixtures!KO$25))=Fixtures!$DN75,CONCATENATE(KO$10,", "),""))</f>
        <v/>
      </c>
      <c r="KP75" s="632" t="str">
        <f ca="1">IF(INDIRECT(CONCATENATE($FK$12,Fixtures!KP$25))="","",IF(INDIRECT(CONCATENATE($FK$12,Fixtures!KP$25))=Fixtures!$DN75,CONCATENATE(KP$10,", "),""))</f>
        <v/>
      </c>
      <c r="KQ75" s="632" t="str">
        <f ca="1">IF(INDIRECT(CONCATENATE($FK$12,Fixtures!KQ$25))="","",IF(INDIRECT(CONCATENATE($FK$12,Fixtures!KQ$25))=Fixtures!$DN75,CONCATENATE(KQ$10,", "),""))</f>
        <v/>
      </c>
      <c r="KR75" s="632" t="str">
        <f ca="1">IF(INDIRECT(CONCATENATE($FK$12,Fixtures!KR$25))="","",IF(INDIRECT(CONCATENATE($FK$12,Fixtures!KR$25))=Fixtures!$DN75,CONCATENATE(KR$10,", "),""))</f>
        <v/>
      </c>
      <c r="KS75" s="632" t="str">
        <f ca="1">IF(INDIRECT(CONCATENATE($FK$12,Fixtures!KS$25))="","",IF(INDIRECT(CONCATENATE($FK$12,Fixtures!KS$25))=Fixtures!$DN75,CONCATENATE(KS$10,", "),""))</f>
        <v/>
      </c>
      <c r="KT75" s="632" t="str">
        <f ca="1">IF(INDIRECT(CONCATENATE($FK$12,Fixtures!KT$25))="","",IF(INDIRECT(CONCATENATE($FK$12,Fixtures!KT$25))=Fixtures!$DN75,CONCATENATE(KT$10,", "),""))</f>
        <v/>
      </c>
      <c r="KU75" s="632" t="str">
        <f ca="1">IF(INDIRECT(CONCATENATE($FK$12,Fixtures!KU$25))="","",IF(INDIRECT(CONCATENATE($FK$12,Fixtures!KU$25))=Fixtures!$DN75,CONCATENATE(KU$10,", "),""))</f>
        <v/>
      </c>
      <c r="KV75" s="632" t="str">
        <f ca="1">IF(INDIRECT(CONCATENATE($FK$12,Fixtures!KV$25))="","",IF(INDIRECT(CONCATENATE($FK$12,Fixtures!KV$25))=Fixtures!$DN75,CONCATENATE(KV$10,", "),""))</f>
        <v/>
      </c>
      <c r="KW75" s="632" t="str">
        <f ca="1">IF(INDIRECT(CONCATENATE($FK$12,Fixtures!KW$25))="","",IF(INDIRECT(CONCATENATE($FK$12,Fixtures!KW$25))=Fixtures!$DN75,CONCATENATE(KW$10,", "),""))</f>
        <v/>
      </c>
      <c r="KX75" s="632" t="str">
        <f ca="1">IF(INDIRECT(CONCATENATE($FK$12,Fixtures!KX$25))="","",IF(INDIRECT(CONCATENATE($FK$12,Fixtures!KX$25))=Fixtures!$DN75,CONCATENATE(KX$10,", "),""))</f>
        <v/>
      </c>
      <c r="KY75" s="632"/>
      <c r="KZ75" s="542"/>
      <c r="LA75" s="46" t="str">
        <f t="shared" ca="1" si="37"/>
        <v/>
      </c>
      <c r="LB75" s="46"/>
      <c r="LC75" s="1010"/>
      <c r="LD75" s="1009" t="str">
        <f t="shared" si="20"/>
        <v/>
      </c>
    </row>
    <row r="76" spans="1:316" ht="28.2" customHeight="1" thickTop="1" thickBot="1">
      <c r="A76" s="426" t="str">
        <f t="shared" si="13"/>
        <v/>
      </c>
      <c r="C76" s="1640" t="str">
        <f t="shared" si="14"/>
        <v/>
      </c>
      <c r="D76" s="1641"/>
      <c r="E76" s="1568" t="str">
        <f t="shared" si="15"/>
        <v/>
      </c>
      <c r="F76" s="1569"/>
      <c r="G76" s="1569"/>
      <c r="H76" s="1569"/>
      <c r="I76" s="1569"/>
      <c r="J76" s="1569"/>
      <c r="K76" s="1569"/>
      <c r="L76" s="1569"/>
      <c r="M76" s="1642"/>
      <c r="N76" s="203" t="str">
        <f t="shared" si="16"/>
        <v/>
      </c>
      <c r="O76" s="12"/>
      <c r="P76" s="1638" t="str">
        <f t="shared" si="25"/>
        <v/>
      </c>
      <c r="Q76" s="1639"/>
      <c r="R76" s="1568" t="str">
        <f t="shared" si="30"/>
        <v/>
      </c>
      <c r="S76" s="1569"/>
      <c r="T76" s="1569"/>
      <c r="U76" s="1569"/>
      <c r="V76" s="1569"/>
      <c r="W76" s="1569"/>
      <c r="X76" s="1569"/>
      <c r="Y76" s="203" t="str">
        <f t="shared" si="26"/>
        <v/>
      </c>
      <c r="Z76" s="203" t="str">
        <f t="shared" si="27"/>
        <v/>
      </c>
      <c r="AA76" s="394" t="str">
        <f t="shared" si="28"/>
        <v/>
      </c>
      <c r="AB76" s="489"/>
      <c r="AC76" s="1563" t="str">
        <f t="shared" si="18"/>
        <v/>
      </c>
      <c r="AD76" s="1433"/>
      <c r="AE76" s="1433"/>
      <c r="AF76" s="1433"/>
      <c r="AG76" s="1433"/>
      <c r="AH76" s="1433"/>
      <c r="AK76">
        <f>SUMIFS(Installations!CV$46:CV$803,Installations!CW$46:CW$803,E76,Installations!IC$46:IC$803,TRUE)</f>
        <v>0</v>
      </c>
      <c r="AL76">
        <f>SUMIFS(Installations!CV$46:CV$803,Installations!CW$46:CW$803,R76,Installations!IC$46:IC$803,TRUE)</f>
        <v>0</v>
      </c>
      <c r="BL76" s="9"/>
      <c r="BM76" s="633" t="str">
        <f t="shared" si="19"/>
        <v/>
      </c>
      <c r="BN76" s="54"/>
      <c r="BO76" s="54"/>
      <c r="BP76" s="54"/>
      <c r="BQ76" s="54"/>
      <c r="BR76" s="54"/>
      <c r="BS76" s="54"/>
      <c r="BT76" s="54"/>
      <c r="BU76" s="374"/>
      <c r="BV76" s="220" t="str">
        <f>IF(CN76&lt;&gt;"Yes","",IFERROR(VLOOKUP(CU76,Existing!A$4:F$367,2,FALSE),""))</f>
        <v/>
      </c>
      <c r="BW76" s="9">
        <v>50</v>
      </c>
      <c r="BX76" s="1625"/>
      <c r="BY76" s="1626"/>
      <c r="BZ76" s="1626"/>
      <c r="CA76" s="1627"/>
      <c r="CB76" s="1622"/>
      <c r="CC76" s="1623"/>
      <c r="CD76" s="1623"/>
      <c r="CE76" s="1624"/>
      <c r="CF76" s="1621"/>
      <c r="CG76" s="1621"/>
      <c r="CH76" s="1621"/>
      <c r="CI76" s="1621"/>
      <c r="CJ76" s="1621"/>
      <c r="CK76" s="1621"/>
      <c r="CL76" s="1621"/>
      <c r="CM76" s="1621"/>
      <c r="CN76" s="1553" t="str">
        <f t="shared" si="31"/>
        <v/>
      </c>
      <c r="CO76" s="1554"/>
      <c r="CP76" s="229" t="str">
        <f>IFERROR(IF(CB76="Existing TLED",CR76*CW76*CY76,VLOOKUP(CU76,Existing!A$3:F$356,6,FALSE)),"")</f>
        <v/>
      </c>
      <c r="CQ76" s="9"/>
      <c r="CR76" s="1660"/>
      <c r="CS76" s="1661"/>
      <c r="CT76" s="9"/>
      <c r="CU76" s="425" t="str">
        <f t="shared" si="21"/>
        <v/>
      </c>
      <c r="CV76" s="426" t="b">
        <f t="shared" si="22"/>
        <v>0</v>
      </c>
      <c r="CW76" s="426" t="str">
        <f t="shared" si="23"/>
        <v/>
      </c>
      <c r="CX76" s="426">
        <f>IFERROR(VLOOKUP(CF76,Lookup!T$100:V$102,3,FALSE),0)</f>
        <v>0</v>
      </c>
      <c r="CY76" s="426">
        <f t="shared" si="8"/>
        <v>1.1100000000000001</v>
      </c>
      <c r="CZ76" s="626" t="b">
        <f t="shared" si="32"/>
        <v>0</v>
      </c>
      <c r="DA76" s="626" t="b">
        <f>IF(CF76&lt;&gt;"",IF(ISERROR(MATCH(CONCATENATE(CB76," - ",CF76),Existing!G$4:G$331,0))=TRUE,FALSE,TRUE),TRUE)</f>
        <v>1</v>
      </c>
      <c r="DB76" s="626" t="b">
        <f t="shared" si="33"/>
        <v>1</v>
      </c>
      <c r="DL76" s="9"/>
      <c r="DM76" s="377" t="s">
        <v>215</v>
      </c>
      <c r="DN76" s="378" t="str">
        <f t="shared" si="34"/>
        <v>08 Other Interior Fixture Removed, (1) Existing #Removed</v>
      </c>
      <c r="DO76" s="54"/>
      <c r="DP76" s="54"/>
      <c r="DQ76" s="54"/>
      <c r="DR76" s="54"/>
      <c r="DS76" s="54"/>
      <c r="DT76" s="228"/>
      <c r="DU76" s="379"/>
      <c r="DV76" s="227" t="str">
        <f t="shared" si="35"/>
        <v>Fixture Removed, (1) Existing #Removed</v>
      </c>
      <c r="DW76" s="224">
        <v>50</v>
      </c>
      <c r="DX76" s="1644" t="s">
        <v>224</v>
      </c>
      <c r="DY76" s="1645"/>
      <c r="DZ76" s="1645"/>
      <c r="EA76" s="1646"/>
      <c r="EB76" s="1644" t="s">
        <v>225</v>
      </c>
      <c r="EC76" s="1645"/>
      <c r="ED76" s="1645"/>
      <c r="EE76" s="1646"/>
      <c r="EF76" s="1647">
        <v>1</v>
      </c>
      <c r="EG76" s="1648"/>
      <c r="EH76" s="1644" t="s">
        <v>226</v>
      </c>
      <c r="EI76" s="1645"/>
      <c r="EJ76" s="1645"/>
      <c r="EK76" s="1646"/>
      <c r="EL76" s="1614" t="s">
        <v>227</v>
      </c>
      <c r="EM76" s="1615"/>
      <c r="EN76" s="1615"/>
      <c r="EO76" s="1616"/>
      <c r="EP76" s="1578">
        <v>0</v>
      </c>
      <c r="EQ76" s="1579"/>
      <c r="ER76" s="1555"/>
      <c r="ES76" s="1556"/>
      <c r="ET76" s="1553">
        <f>IF(DX76="","",IF(FA76=TRUE,EF76*ER76*FB76,EP76))</f>
        <v>0</v>
      </c>
      <c r="EU76" s="1554"/>
      <c r="EV76" s="1553" t="str">
        <f t="shared" si="29"/>
        <v>YES</v>
      </c>
      <c r="EW76" s="1554"/>
      <c r="EX76" s="395"/>
      <c r="EY76" s="225">
        <f t="shared" si="36"/>
        <v>15</v>
      </c>
      <c r="EZ76" s="225">
        <f>IFERROR(VLOOKUP(EB76,Lookup!AT$3:AU$13,2,FALSE),"")</f>
        <v>10</v>
      </c>
      <c r="FA76" s="426" t="b">
        <f>IFERROR(IF(VLOOKUP(EB76,Lookup!AT$6:AU$8,2,FALSE)&gt;3,TRUE,FALSE),FALSE)</f>
        <v>0</v>
      </c>
      <c r="FB76" s="426">
        <f t="shared" si="10"/>
        <v>1</v>
      </c>
      <c r="FC76" t="str">
        <f t="shared" ca="1" si="11"/>
        <v/>
      </c>
      <c r="FG76" t="str">
        <f t="shared" ca="1" si="12"/>
        <v/>
      </c>
      <c r="FI76" s="204" t="str">
        <f t="shared" ca="1" si="24"/>
        <v/>
      </c>
      <c r="FK76" s="631" t="str">
        <f ca="1">IF(INDIRECT(CONCATENATE($FK$12,Fixtures!FK$25))="","",IF(INDIRECT(CONCATENATE($FK$12,Fixtures!FK$25))=Fixtures!$DN76,CONCATENATE(FK$10,", "),""))</f>
        <v/>
      </c>
      <c r="FL76" s="631" t="str">
        <f ca="1">IF(INDIRECT(CONCATENATE($FK$12,Fixtures!FL$25))="","",IF(INDIRECT(CONCATENATE($FK$12,Fixtures!FL$25))=Fixtures!$DN76,CONCATENATE(FL$10,", "),""))</f>
        <v/>
      </c>
      <c r="FM76" s="631" t="str">
        <f ca="1">IF(INDIRECT(CONCATENATE($FK$12,Fixtures!FM$25))="","",IF(INDIRECT(CONCATENATE($FK$12,Fixtures!FM$25))=Fixtures!$DN76,CONCATENATE(FM$10,", "),""))</f>
        <v/>
      </c>
      <c r="FN76" s="631" t="str">
        <f ca="1">IF(INDIRECT(CONCATENATE($FK$12,Fixtures!FN$25))="","",IF(INDIRECT(CONCATENATE($FK$12,Fixtures!FN$25))=Fixtures!$DN76,CONCATENATE(FN$10,", "),""))</f>
        <v/>
      </c>
      <c r="FO76" s="631" t="str">
        <f ca="1">IF(INDIRECT(CONCATENATE($FK$12,Fixtures!FO$25))="","",IF(INDIRECT(CONCATENATE($FK$12,Fixtures!FO$25))=Fixtures!$DN76,CONCATENATE(FO$10,", "),""))</f>
        <v/>
      </c>
      <c r="FP76" s="631" t="str">
        <f ca="1">IF(INDIRECT(CONCATENATE($FK$12,Fixtures!FP$25))="","",IF(INDIRECT(CONCATENATE($FK$12,Fixtures!FP$25))=Fixtures!$DN76,CONCATENATE(FP$10,", "),""))</f>
        <v/>
      </c>
      <c r="FQ76" s="631" t="str">
        <f ca="1">IF(INDIRECT(CONCATENATE($FK$12,Fixtures!FQ$25))="","",IF(INDIRECT(CONCATENATE($FK$12,Fixtures!FQ$25))=Fixtures!$DN76,CONCATENATE(FQ$10,", "),""))</f>
        <v/>
      </c>
      <c r="FR76" s="631" t="str">
        <f ca="1">IF(INDIRECT(CONCATENATE($FK$12,Fixtures!FR$25))="","",IF(INDIRECT(CONCATENATE($FK$12,Fixtures!FR$25))=Fixtures!$DN76,CONCATENATE(FR$10,", "),""))</f>
        <v/>
      </c>
      <c r="FS76" s="631" t="str">
        <f ca="1">IF(INDIRECT(CONCATENATE($FK$12,Fixtures!FS$25))="","",IF(INDIRECT(CONCATENATE($FK$12,Fixtures!FS$25))=Fixtures!$DN76,CONCATENATE(FS$10,", "),""))</f>
        <v/>
      </c>
      <c r="FT76" s="604" t="str">
        <f ca="1">IF(INDIRECT(CONCATENATE($FK$12,Fixtures!FT$25))="","",IF(INDIRECT(CONCATENATE($FK$12,Fixtures!FT$25))=Fixtures!$DN76,CONCATENATE(FT$10,", "),""))</f>
        <v/>
      </c>
      <c r="FU76" s="605" t="str">
        <f ca="1">IF(INDIRECT(CONCATENATE($FK$12,Fixtures!FU$25))="","",IF(INDIRECT(CONCATENATE($FK$12,Fixtures!FU$25))=Fixtures!$DN76,CONCATENATE(FU$10,", "),""))</f>
        <v/>
      </c>
      <c r="FV76" s="631" t="str">
        <f ca="1">IF(INDIRECT(CONCATENATE($FK$12,Fixtures!FV$25))="","",IF(INDIRECT(CONCATENATE($FK$12,Fixtures!FV$25))=Fixtures!$DN76,CONCATENATE(FV$10,", "),""))</f>
        <v/>
      </c>
      <c r="FW76" s="632" t="str">
        <f ca="1">IF(INDIRECT(CONCATENATE($FK$12,Fixtures!FW$25))="","",IF(INDIRECT(CONCATENATE($FK$12,Fixtures!FW$25))=Fixtures!$DN76,CONCATENATE(FW$10,", "),""))</f>
        <v/>
      </c>
      <c r="FX76" s="632" t="str">
        <f ca="1">IF(INDIRECT(CONCATENATE($FK$12,Fixtures!FX$25))="","",IF(INDIRECT(CONCATENATE($FK$12,Fixtures!FX$25))=Fixtures!$DN76,CONCATENATE(FX$10,", "),""))</f>
        <v/>
      </c>
      <c r="FY76" s="632" t="str">
        <f ca="1">IF(INDIRECT(CONCATENATE($FK$12,Fixtures!FY$25))="","",IF(INDIRECT(CONCATENATE($FK$12,Fixtures!FY$25))=Fixtures!$DN76,CONCATENATE(FY$10,", "),""))</f>
        <v/>
      </c>
      <c r="FZ76" s="632" t="str">
        <f ca="1">IF(INDIRECT(CONCATENATE($FK$12,Fixtures!FZ$25))="","",IF(INDIRECT(CONCATENATE($FK$12,Fixtures!FZ$25))=Fixtures!$DN76,CONCATENATE(FZ$10,", "),""))</f>
        <v/>
      </c>
      <c r="GA76" s="632" t="str">
        <f ca="1">IF(INDIRECT(CONCATENATE($FK$12,Fixtures!GA$25))="","",IF(INDIRECT(CONCATENATE($FK$12,Fixtures!GA$25))=Fixtures!$DN76,CONCATENATE(GA$10,", "),""))</f>
        <v/>
      </c>
      <c r="GB76" s="632" t="str">
        <f ca="1">IF(INDIRECT(CONCATENATE($FK$12,Fixtures!GB$25))="","",IF(INDIRECT(CONCATENATE($FK$12,Fixtures!GB$25))=Fixtures!$DN76,CONCATENATE(GB$10,", "),""))</f>
        <v/>
      </c>
      <c r="GC76" s="632" t="str">
        <f ca="1">IF(INDIRECT(CONCATENATE($FK$12,Fixtures!GC$25))="","",IF(INDIRECT(CONCATENATE($FK$12,Fixtures!GC$25))=Fixtures!$DN76,CONCATENATE(GC$10,", "),""))</f>
        <v/>
      </c>
      <c r="GD76" s="632" t="str">
        <f ca="1">IF(INDIRECT(CONCATENATE($FK$12,Fixtures!GD$25))="","",IF(INDIRECT(CONCATENATE($FK$12,Fixtures!GD$25))=Fixtures!$DN76,CONCATENATE(GD$10,", "),""))</f>
        <v/>
      </c>
      <c r="GE76" s="632" t="str">
        <f ca="1">IF(INDIRECT(CONCATENATE($FK$12,Fixtures!GE$25))="","",IF(INDIRECT(CONCATENATE($FK$12,Fixtures!GE$25))=Fixtures!$DN76,CONCATENATE(GE$10,", "),""))</f>
        <v/>
      </c>
      <c r="GF76" s="632" t="str">
        <f ca="1">IF(INDIRECT(CONCATENATE($FK$12,Fixtures!GF$25))="","",IF(INDIRECT(CONCATENATE($FK$12,Fixtures!GF$25))=Fixtures!$DN76,CONCATENATE(GF$10,", "),""))</f>
        <v/>
      </c>
      <c r="GG76" s="632" t="str">
        <f ca="1">IF(INDIRECT(CONCATENATE($FK$12,Fixtures!GG$25))="","",IF(INDIRECT(CONCATENATE($FK$12,Fixtures!GG$25))=Fixtures!$DN76,CONCATENATE(GG$10,", "),""))</f>
        <v/>
      </c>
      <c r="GH76" s="632" t="str">
        <f ca="1">IF(INDIRECT(CONCATENATE($FK$12,Fixtures!GH$25))="","",IF(INDIRECT(CONCATENATE($FK$12,Fixtures!GH$25))=Fixtures!$DN76,CONCATENATE(GH$10,", "),""))</f>
        <v/>
      </c>
      <c r="GI76" s="606" t="str">
        <f ca="1">IF(INDIRECT(CONCATENATE($FK$12,Fixtures!GI$25))="","",IF(INDIRECT(CONCATENATE($FK$12,Fixtures!GI$25))=Fixtures!$DN76,CONCATENATE(GI$10,", "),""))</f>
        <v/>
      </c>
      <c r="GJ76" s="607" t="str">
        <f ca="1">IF(INDIRECT(CONCATENATE($FK$12,Fixtures!GJ$25))="","",IF(INDIRECT(CONCATENATE($FK$12,Fixtures!GJ$25))=Fixtures!$DN76,CONCATENATE(GJ$10,", "),""))</f>
        <v/>
      </c>
      <c r="GK76" s="632" t="str">
        <f ca="1">IF(INDIRECT(CONCATENATE($FK$12,Fixtures!GK$25))="","",IF(INDIRECT(CONCATENATE($FK$12,Fixtures!GK$25))=Fixtures!$DN76,CONCATENATE(GK$10,", "),""))</f>
        <v/>
      </c>
      <c r="GL76" s="632" t="str">
        <f ca="1">IF(INDIRECT(CONCATENATE($FK$12,Fixtures!GL$25))="","",IF(INDIRECT(CONCATENATE($FK$12,Fixtures!GL$25))=Fixtures!$DN76,CONCATENATE(GL$10,", "),""))</f>
        <v/>
      </c>
      <c r="GM76" s="632" t="str">
        <f ca="1">IF(INDIRECT(CONCATENATE($FK$12,Fixtures!GM$25))="","",IF(INDIRECT(CONCATENATE($FK$12,Fixtures!GM$25))=Fixtures!$DN76,CONCATENATE(GM$10,", "),""))</f>
        <v/>
      </c>
      <c r="GN76" s="632" t="str">
        <f ca="1">IF(INDIRECT(CONCATENATE($FK$12,Fixtures!GN$25))="","",IF(INDIRECT(CONCATENATE($FK$12,Fixtures!GN$25))=Fixtures!$DN76,CONCATENATE(GN$10,", "),""))</f>
        <v/>
      </c>
      <c r="GO76" s="632" t="str">
        <f ca="1">IF(INDIRECT(CONCATENATE($FK$12,Fixtures!GO$25))="","",IF(INDIRECT(CONCATENATE($FK$12,Fixtures!GO$25))=Fixtures!$DN76,CONCATENATE(GO$10,", "),""))</f>
        <v/>
      </c>
      <c r="GP76" s="632" t="str">
        <f ca="1">IF(INDIRECT(CONCATENATE($FK$12,Fixtures!GP$25))="","",IF(INDIRECT(CONCATENATE($FK$12,Fixtures!GP$25))=Fixtures!$DN76,CONCATENATE(GP$10,", "),""))</f>
        <v/>
      </c>
      <c r="GQ76" s="632" t="str">
        <f ca="1">IF(INDIRECT(CONCATENATE($FK$12,Fixtures!GQ$25))="","",IF(INDIRECT(CONCATENATE($FK$12,Fixtures!GQ$25))=Fixtures!$DN76,CONCATENATE(GQ$10,", "),""))</f>
        <v/>
      </c>
      <c r="GR76" s="632" t="str">
        <f ca="1">IF(INDIRECT(CONCATENATE($FK$12,Fixtures!GR$25))="","",IF(INDIRECT(CONCATENATE($FK$12,Fixtures!GR$25))=Fixtures!$DN76,CONCATENATE(GR$10,", "),""))</f>
        <v/>
      </c>
      <c r="GS76" s="632" t="str">
        <f ca="1">IF(INDIRECT(CONCATENATE($FK$12,Fixtures!GS$25))="","",IF(INDIRECT(CONCATENATE($FK$12,Fixtures!GS$25))=Fixtures!$DN76,CONCATENATE(GS$10,", "),""))</f>
        <v/>
      </c>
      <c r="GT76" s="632" t="str">
        <f ca="1">IF(INDIRECT(CONCATENATE($FK$12,Fixtures!GT$25))="","",IF(INDIRECT(CONCATENATE($FK$12,Fixtures!GT$25))=Fixtures!$DN76,CONCATENATE(GT$10,", "),""))</f>
        <v/>
      </c>
      <c r="GU76" s="632" t="str">
        <f ca="1">IF(INDIRECT(CONCATENATE($FK$12,Fixtures!GU$25))="","",IF(INDIRECT(CONCATENATE($FK$12,Fixtures!GU$25))=Fixtures!$DN76,CONCATENATE(GU$10,", "),""))</f>
        <v/>
      </c>
      <c r="GV76" s="632" t="str">
        <f ca="1">IF(INDIRECT(CONCATENATE($FK$12,Fixtures!GV$25))="","",IF(INDIRECT(CONCATENATE($FK$12,Fixtures!GV$25))=Fixtures!$DN76,CONCATENATE(GV$10,", "),""))</f>
        <v/>
      </c>
      <c r="GW76" s="632" t="str">
        <f ca="1">IF(INDIRECT(CONCATENATE($FK$12,Fixtures!GW$25))="","",IF(INDIRECT(CONCATENATE($FK$12,Fixtures!GW$25))=Fixtures!$DN76,CONCATENATE(GW$10,", "),""))</f>
        <v/>
      </c>
      <c r="GX76" s="606" t="str">
        <f ca="1">IF(INDIRECT(CONCATENATE($FK$12,Fixtures!GX$25))="","",IF(INDIRECT(CONCATENATE($FK$12,Fixtures!GX$25))=Fixtures!$DN76,CONCATENATE(GX$10,", "),""))</f>
        <v/>
      </c>
      <c r="GY76" s="607" t="str">
        <f ca="1">IF(INDIRECT(CONCATENATE($FK$12,Fixtures!GY$25))="","",IF(INDIRECT(CONCATENATE($FK$12,Fixtures!GY$25))=Fixtures!$DN76,CONCATENATE(GY$10,", "),""))</f>
        <v/>
      </c>
      <c r="GZ76" s="632" t="str">
        <f ca="1">IF(INDIRECT(CONCATENATE($FK$12,Fixtures!GZ$25))="","",IF(INDIRECT(CONCATENATE($FK$12,Fixtures!GZ$25))=Fixtures!$DN76,CONCATENATE(GZ$10,", "),""))</f>
        <v/>
      </c>
      <c r="HA76" s="632" t="str">
        <f ca="1">IF(INDIRECT(CONCATENATE($FK$12,Fixtures!HA$25))="","",IF(INDIRECT(CONCATENATE($FK$12,Fixtures!HA$25))=Fixtures!$DN76,CONCATENATE(HA$10,", "),""))</f>
        <v/>
      </c>
      <c r="HB76" s="632" t="str">
        <f ca="1">IF(INDIRECT(CONCATENATE($FK$12,Fixtures!HB$25))="","",IF(INDIRECT(CONCATENATE($FK$12,Fixtures!HB$25))=Fixtures!$DN76,CONCATENATE(HB$10,", "),""))</f>
        <v/>
      </c>
      <c r="HC76" s="632" t="str">
        <f ca="1">IF(INDIRECT(CONCATENATE($FK$12,Fixtures!HC$25))="","",IF(INDIRECT(CONCATENATE($FK$12,Fixtures!HC$25))=Fixtures!$DN76,CONCATENATE(HC$10,", "),""))</f>
        <v/>
      </c>
      <c r="HD76" s="632" t="str">
        <f ca="1">IF(INDIRECT(CONCATENATE($FK$12,Fixtures!HD$25))="","",IF(INDIRECT(CONCATENATE($FK$12,Fixtures!HD$25))=Fixtures!$DN76,CONCATENATE(HD$10,", "),""))</f>
        <v/>
      </c>
      <c r="HE76" s="632" t="str">
        <f ca="1">IF(INDIRECT(CONCATENATE($FK$12,Fixtures!HE$25))="","",IF(INDIRECT(CONCATENATE($FK$12,Fixtures!HE$25))=Fixtures!$DN76,CONCATENATE(HE$10,", "),""))</f>
        <v/>
      </c>
      <c r="HF76" s="632" t="str">
        <f ca="1">IF(INDIRECT(CONCATENATE($FK$12,Fixtures!HF$25))="","",IF(INDIRECT(CONCATENATE($FK$12,Fixtures!HF$25))=Fixtures!$DN76,CONCATENATE(HF$10,", "),""))</f>
        <v/>
      </c>
      <c r="HG76" s="632" t="str">
        <f ca="1">IF(INDIRECT(CONCATENATE($FK$12,Fixtures!HG$25))="","",IF(INDIRECT(CONCATENATE($FK$12,Fixtures!HG$25))=Fixtures!$DN76,CONCATENATE(HG$10,", "),""))</f>
        <v/>
      </c>
      <c r="HH76" s="632" t="str">
        <f ca="1">IF(INDIRECT(CONCATENATE($FK$12,Fixtures!HH$25))="","",IF(INDIRECT(CONCATENATE($FK$12,Fixtures!HH$25))=Fixtures!$DN76,CONCATENATE(HH$10,", "),""))</f>
        <v/>
      </c>
      <c r="HI76" s="632" t="str">
        <f ca="1">IF(INDIRECT(CONCATENATE($FK$12,Fixtures!HI$25))="","",IF(INDIRECT(CONCATENATE($FK$12,Fixtures!HI$25))=Fixtures!$DN76,CONCATENATE(HI$10,", "),""))</f>
        <v/>
      </c>
      <c r="HJ76" s="632" t="str">
        <f ca="1">IF(INDIRECT(CONCATENATE($FK$12,Fixtures!HJ$25))="","",IF(INDIRECT(CONCATENATE($FK$12,Fixtures!HJ$25))=Fixtures!$DN76,CONCATENATE(HJ$10,", "),""))</f>
        <v/>
      </c>
      <c r="HK76" s="632" t="str">
        <f ca="1">IF(INDIRECT(CONCATENATE($FK$12,Fixtures!HK$25))="","",IF(INDIRECT(CONCATENATE($FK$12,Fixtures!HK$25))=Fixtures!$DN76,CONCATENATE(HK$10,", "),""))</f>
        <v/>
      </c>
      <c r="HL76" s="632" t="str">
        <f ca="1">IF(INDIRECT(CONCATENATE($FK$12,Fixtures!HL$25))="","",IF(INDIRECT(CONCATENATE($FK$12,Fixtures!HL$25))=Fixtures!$DN76,CONCATENATE(HL$10,", "),""))</f>
        <v/>
      </c>
      <c r="HM76" s="606" t="str">
        <f ca="1">IF(INDIRECT(CONCATENATE($FK$12,Fixtures!HM$25))="","",IF(INDIRECT(CONCATENATE($FK$12,Fixtures!HM$25))=Fixtures!$DN76,CONCATENATE(HM$10,", "),""))</f>
        <v/>
      </c>
      <c r="HN76" s="607" t="str">
        <f ca="1">IF(INDIRECT(CONCATENATE($FK$12,Fixtures!HN$25))="","",IF(INDIRECT(CONCATENATE($FK$12,Fixtures!HN$25))=Fixtures!$DN76,CONCATENATE(HN$10,", "),""))</f>
        <v/>
      </c>
      <c r="HO76" s="632" t="str">
        <f ca="1">IF(INDIRECT(CONCATENATE($FK$12,Fixtures!HO$25))="","",IF(INDIRECT(CONCATENATE($FK$12,Fixtures!HO$25))=Fixtures!$DN76,CONCATENATE(HO$10,", "),""))</f>
        <v/>
      </c>
      <c r="HP76" s="632" t="str">
        <f ca="1">IF(INDIRECT(CONCATENATE($FK$12,Fixtures!HP$25))="","",IF(INDIRECT(CONCATENATE($FK$12,Fixtures!HP$25))=Fixtures!$DN76,CONCATENATE(HP$10,", "),""))</f>
        <v/>
      </c>
      <c r="HQ76" s="632" t="str">
        <f ca="1">IF(INDIRECT(CONCATENATE($FK$12,Fixtures!HQ$25))="","",IF(INDIRECT(CONCATENATE($FK$12,Fixtures!HQ$25))=Fixtures!$DN76,CONCATENATE(HQ$10,", "),""))</f>
        <v/>
      </c>
      <c r="HR76" s="632" t="str">
        <f ca="1">IF(INDIRECT(CONCATENATE($FK$12,Fixtures!HR$25))="","",IF(INDIRECT(CONCATENATE($FK$12,Fixtures!HR$25))=Fixtures!$DN76,CONCATENATE(HR$10,", "),""))</f>
        <v/>
      </c>
      <c r="HS76" s="632" t="str">
        <f ca="1">IF(INDIRECT(CONCATENATE($FK$12,Fixtures!HS$25))="","",IF(INDIRECT(CONCATENATE($FK$12,Fixtures!HS$25))=Fixtures!$DN76,CONCATENATE(HS$10,", "),""))</f>
        <v/>
      </c>
      <c r="HT76" s="632" t="str">
        <f ca="1">IF(INDIRECT(CONCATENATE($FK$12,Fixtures!HT$25))="","",IF(INDIRECT(CONCATENATE($FK$12,Fixtures!HT$25))=Fixtures!$DN76,CONCATENATE(HT$10,", "),""))</f>
        <v/>
      </c>
      <c r="HU76" s="632" t="str">
        <f ca="1">IF(INDIRECT(CONCATENATE($FK$12,Fixtures!HU$25))="","",IF(INDIRECT(CONCATENATE($FK$12,Fixtures!HU$25))=Fixtures!$DN76,CONCATENATE(HU$10,", "),""))</f>
        <v/>
      </c>
      <c r="HV76" s="632" t="str">
        <f ca="1">IF(INDIRECT(CONCATENATE($FK$12,Fixtures!HV$25))="","",IF(INDIRECT(CONCATENATE($FK$12,Fixtures!HV$25))=Fixtures!$DN76,CONCATENATE(HV$10,", "),""))</f>
        <v/>
      </c>
      <c r="HW76" s="632" t="str">
        <f ca="1">IF(INDIRECT(CONCATENATE($FK$12,Fixtures!HW$25))="","",IF(INDIRECT(CONCATENATE($FK$12,Fixtures!HW$25))=Fixtures!$DN76,CONCATENATE(HW$10,", "),""))</f>
        <v/>
      </c>
      <c r="HX76" s="632" t="str">
        <f ca="1">IF(INDIRECT(CONCATENATE($FK$12,Fixtures!HX$25))="","",IF(INDIRECT(CONCATENATE($FK$12,Fixtures!HX$25))=Fixtures!$DN76,CONCATENATE(HX$10,", "),""))</f>
        <v/>
      </c>
      <c r="HY76" s="632" t="str">
        <f ca="1">IF(INDIRECT(CONCATENATE($FK$12,Fixtures!HY$25))="","",IF(INDIRECT(CONCATENATE($FK$12,Fixtures!HY$25))=Fixtures!$DN76,CONCATENATE(HY$10,", "),""))</f>
        <v/>
      </c>
      <c r="HZ76" s="632" t="str">
        <f ca="1">IF(INDIRECT(CONCATENATE($FK$12,Fixtures!HZ$25))="","",IF(INDIRECT(CONCATENATE($FK$12,Fixtures!HZ$25))=Fixtures!$DN76,CONCATENATE(HZ$10,", "),""))</f>
        <v/>
      </c>
      <c r="IA76" s="632" t="str">
        <f ca="1">IF(INDIRECT(CONCATENATE($FK$12,Fixtures!IA$25))="","",IF(INDIRECT(CONCATENATE($FK$12,Fixtures!IA$25))=Fixtures!$DN76,CONCATENATE(IA$10,", "),""))</f>
        <v/>
      </c>
      <c r="IB76" s="606" t="str">
        <f ca="1">IF(INDIRECT(CONCATENATE($FK$12,Fixtures!IB$25))="","",IF(INDIRECT(CONCATENATE($FK$12,Fixtures!IB$25))=Fixtures!$DN76,CONCATENATE(IB$10,", "),""))</f>
        <v/>
      </c>
      <c r="IC76" s="607" t="str">
        <f ca="1">IF(INDIRECT(CONCATENATE($FK$12,Fixtures!IC$25))="","",IF(INDIRECT(CONCATENATE($FK$12,Fixtures!IC$25))=Fixtures!$DN76,CONCATENATE(IC$10,", "),""))</f>
        <v/>
      </c>
      <c r="ID76" s="632" t="str">
        <f ca="1">IF(INDIRECT(CONCATENATE($FK$12,Fixtures!ID$25))="","",IF(INDIRECT(CONCATENATE($FK$12,Fixtures!ID$25))=Fixtures!$DN76,CONCATENATE(ID$10,", "),""))</f>
        <v/>
      </c>
      <c r="IE76" s="632" t="str">
        <f ca="1">IF(INDIRECT(CONCATENATE($FK$12,Fixtures!IE$25))="","",IF(INDIRECT(CONCATENATE($FK$12,Fixtures!IE$25))=Fixtures!$DN76,CONCATENATE(IE$10,", "),""))</f>
        <v/>
      </c>
      <c r="IF76" s="632" t="str">
        <f ca="1">IF(INDIRECT(CONCATENATE($FK$12,Fixtures!IF$25))="","",IF(INDIRECT(CONCATENATE($FK$12,Fixtures!IF$25))=Fixtures!$DN76,CONCATENATE(IF$10,", "),""))</f>
        <v/>
      </c>
      <c r="IG76" s="632" t="str">
        <f ca="1">IF(INDIRECT(CONCATENATE($FK$12,Fixtures!IG$25))="","",IF(INDIRECT(CONCATENATE($FK$12,Fixtures!IG$25))=Fixtures!$DN76,CONCATENATE(IG$10,", "),""))</f>
        <v/>
      </c>
      <c r="IH76" s="632" t="str">
        <f ca="1">IF(INDIRECT(CONCATENATE($FK$12,Fixtures!IH$25))="","",IF(INDIRECT(CONCATENATE($FK$12,Fixtures!IH$25))=Fixtures!$DN76,CONCATENATE(IH$10,", "),""))</f>
        <v/>
      </c>
      <c r="II76" s="632" t="str">
        <f ca="1">IF(INDIRECT(CONCATENATE($FK$12,Fixtures!II$25))="","",IF(INDIRECT(CONCATENATE($FK$12,Fixtures!II$25))=Fixtures!$DN76,CONCATENATE(II$10,", "),""))</f>
        <v/>
      </c>
      <c r="IJ76" s="632" t="str">
        <f ca="1">IF(INDIRECT(CONCATENATE($FK$12,Fixtures!IJ$25))="","",IF(INDIRECT(CONCATENATE($FK$12,Fixtures!IJ$25))=Fixtures!$DN76,CONCATENATE(IJ$10,", "),""))</f>
        <v/>
      </c>
      <c r="IK76" s="632" t="str">
        <f ca="1">IF(INDIRECT(CONCATENATE($FK$12,Fixtures!IK$25))="","",IF(INDIRECT(CONCATENATE($FK$12,Fixtures!IK$25))=Fixtures!$DN76,CONCATENATE(IK$10,", "),""))</f>
        <v/>
      </c>
      <c r="IL76" s="632" t="str">
        <f ca="1">IF(INDIRECT(CONCATENATE($FK$12,Fixtures!IL$25))="","",IF(INDIRECT(CONCATENATE($FK$12,Fixtures!IL$25))=Fixtures!$DN76,CONCATENATE(IL$10,", "),""))</f>
        <v/>
      </c>
      <c r="IM76" s="632" t="str">
        <f ca="1">IF(INDIRECT(CONCATENATE($FK$12,Fixtures!IM$25))="","",IF(INDIRECT(CONCATENATE($FK$12,Fixtures!IM$25))=Fixtures!$DN76,CONCATENATE(IM$10,", "),""))</f>
        <v/>
      </c>
      <c r="IN76" s="632" t="str">
        <f ca="1">IF(INDIRECT(CONCATENATE($FK$12,Fixtures!IN$25))="","",IF(INDIRECT(CONCATENATE($FK$12,Fixtures!IN$25))=Fixtures!$DN76,CONCATENATE(IN$10,", "),""))</f>
        <v/>
      </c>
      <c r="IO76" s="632" t="str">
        <f ca="1">IF(INDIRECT(CONCATENATE($FK$12,Fixtures!IO$25))="","",IF(INDIRECT(CONCATENATE($FK$12,Fixtures!IO$25))=Fixtures!$DN76,CONCATENATE(IO$10,", "),""))</f>
        <v/>
      </c>
      <c r="IP76" s="632" t="str">
        <f ca="1">IF(INDIRECT(CONCATENATE($FK$12,Fixtures!IP$25))="","",IF(INDIRECT(CONCATENATE($FK$12,Fixtures!IP$25))=Fixtures!$DN76,CONCATENATE(IP$10,", "),""))</f>
        <v/>
      </c>
      <c r="IQ76" s="606" t="str">
        <f ca="1">IF(INDIRECT(CONCATENATE($FK$12,Fixtures!IQ$25))="","",IF(INDIRECT(CONCATENATE($FK$12,Fixtures!IQ$25))=Fixtures!$DN76,CONCATENATE(IQ$10,", "),""))</f>
        <v/>
      </c>
      <c r="IR76" s="607" t="str">
        <f ca="1">IF(INDIRECT(CONCATENATE($FK$12,Fixtures!IR$25))="","",IF(INDIRECT(CONCATENATE($FK$12,Fixtures!IR$25))=Fixtures!$DN76,CONCATENATE(IR$10,", "),""))</f>
        <v/>
      </c>
      <c r="IS76" s="632" t="str">
        <f ca="1">IF(INDIRECT(CONCATENATE($FK$12,Fixtures!IS$25))="","",IF(INDIRECT(CONCATENATE($FK$12,Fixtures!IS$25))=Fixtures!$DN76,CONCATENATE(IS$10,", "),""))</f>
        <v/>
      </c>
      <c r="IT76" s="632" t="str">
        <f ca="1">IF(INDIRECT(CONCATENATE($FK$12,Fixtures!IT$25))="","",IF(INDIRECT(CONCATENATE($FK$12,Fixtures!IT$25))=Fixtures!$DN76,CONCATENATE(IT$10,", "),""))</f>
        <v/>
      </c>
      <c r="IU76" s="632" t="str">
        <f ca="1">IF(INDIRECT(CONCATENATE($FK$12,Fixtures!IU$25))="","",IF(INDIRECT(CONCATENATE($FK$12,Fixtures!IU$25))=Fixtures!$DN76,CONCATENATE(IU$10,", "),""))</f>
        <v/>
      </c>
      <c r="IV76" s="632" t="str">
        <f ca="1">IF(INDIRECT(CONCATENATE($FK$12,Fixtures!IV$25))="","",IF(INDIRECT(CONCATENATE($FK$12,Fixtures!IV$25))=Fixtures!$DN76,CONCATENATE(IV$10,", "),""))</f>
        <v/>
      </c>
      <c r="IW76" s="632" t="str">
        <f ca="1">IF(INDIRECT(CONCATENATE($FK$12,Fixtures!IW$25))="","",IF(INDIRECT(CONCATENATE($FK$12,Fixtures!IW$25))=Fixtures!$DN76,CONCATENATE(IW$10,", "),""))</f>
        <v/>
      </c>
      <c r="IX76" s="632" t="str">
        <f ca="1">IF(INDIRECT(CONCATENATE($FK$12,Fixtures!IX$25))="","",IF(INDIRECT(CONCATENATE($FK$12,Fixtures!IX$25))=Fixtures!$DN76,CONCATENATE(IX$10,", "),""))</f>
        <v/>
      </c>
      <c r="IY76" s="632" t="str">
        <f ca="1">IF(INDIRECT(CONCATENATE($FK$12,Fixtures!IY$25))="","",IF(INDIRECT(CONCATENATE($FK$12,Fixtures!IY$25))=Fixtures!$DN76,CONCATENATE(IY$10,", "),""))</f>
        <v/>
      </c>
      <c r="IZ76" s="632" t="str">
        <f ca="1">IF(INDIRECT(CONCATENATE($FK$12,Fixtures!IZ$25))="","",IF(INDIRECT(CONCATENATE($FK$12,Fixtures!IZ$25))=Fixtures!$DN76,CONCATENATE(IZ$10,", "),""))</f>
        <v/>
      </c>
      <c r="JA76" s="632" t="str">
        <f ca="1">IF(INDIRECT(CONCATENATE($FK$12,Fixtures!JA$25))="","",IF(INDIRECT(CONCATENATE($FK$12,Fixtures!JA$25))=Fixtures!$DN76,CONCATENATE(JA$10,", "),""))</f>
        <v/>
      </c>
      <c r="JB76" s="632" t="str">
        <f ca="1">IF(INDIRECT(CONCATENATE($FK$12,Fixtures!JB$25))="","",IF(INDIRECT(CONCATENATE($FK$12,Fixtures!JB$25))=Fixtures!$DN76,CONCATENATE(JB$10,", "),""))</f>
        <v/>
      </c>
      <c r="JC76" s="632" t="str">
        <f ca="1">IF(INDIRECT(CONCATENATE($FK$12,Fixtures!JC$25))="","",IF(INDIRECT(CONCATENATE($FK$12,Fixtures!JC$25))=Fixtures!$DN76,CONCATENATE(JC$10,", "),""))</f>
        <v/>
      </c>
      <c r="JD76" s="632" t="str">
        <f ca="1">IF(INDIRECT(CONCATENATE($FK$12,Fixtures!JD$25))="","",IF(INDIRECT(CONCATENATE($FK$12,Fixtures!JD$25))=Fixtures!$DN76,CONCATENATE(JD$10,", "),""))</f>
        <v/>
      </c>
      <c r="JE76" s="632" t="str">
        <f ca="1">IF(INDIRECT(CONCATENATE($FK$12,Fixtures!JE$25))="","",IF(INDIRECT(CONCATENATE($FK$12,Fixtures!JE$25))=Fixtures!$DN76,CONCATENATE(JE$10,", "),""))</f>
        <v/>
      </c>
      <c r="JF76" s="606" t="str">
        <f ca="1">IF(INDIRECT(CONCATENATE($FK$12,Fixtures!JF$25))="","",IF(INDIRECT(CONCATENATE($FK$12,Fixtures!JF$25))=Fixtures!$DN76,CONCATENATE(JF$10,", "),""))</f>
        <v/>
      </c>
      <c r="JG76" s="607" t="str">
        <f ca="1">IF(INDIRECT(CONCATENATE($FK$12,Fixtures!JG$25))="","",IF(INDIRECT(CONCATENATE($FK$12,Fixtures!JG$25))=Fixtures!$DN76,CONCATENATE(JG$10,", "),""))</f>
        <v/>
      </c>
      <c r="JH76" s="632" t="str">
        <f ca="1">IF(INDIRECT(CONCATENATE($FK$12,Fixtures!JH$25))="","",IF(INDIRECT(CONCATENATE($FK$12,Fixtures!JH$25))=Fixtures!$DN76,CONCATENATE(JH$10,", "),""))</f>
        <v/>
      </c>
      <c r="JI76" s="632" t="str">
        <f ca="1">IF(INDIRECT(CONCATENATE($FK$12,Fixtures!JI$25))="","",IF(INDIRECT(CONCATENATE($FK$12,Fixtures!JI$25))=Fixtures!$DN76,CONCATENATE(JI$10,", "),""))</f>
        <v/>
      </c>
      <c r="JJ76" s="632" t="str">
        <f ca="1">IF(INDIRECT(CONCATENATE($FK$12,Fixtures!JJ$25))="","",IF(INDIRECT(CONCATENATE($FK$12,Fixtures!JJ$25))=Fixtures!$DN76,CONCATENATE(JJ$10,", "),""))</f>
        <v/>
      </c>
      <c r="JK76" s="632" t="str">
        <f ca="1">IF(INDIRECT(CONCATENATE($FK$12,Fixtures!JK$25))="","",IF(INDIRECT(CONCATENATE($FK$12,Fixtures!JK$25))=Fixtures!$DN76,CONCATENATE(JK$10,", "),""))</f>
        <v/>
      </c>
      <c r="JL76" s="632" t="str">
        <f ca="1">IF(INDIRECT(CONCATENATE($FK$12,Fixtures!JL$25))="","",IF(INDIRECT(CONCATENATE($FK$12,Fixtures!JL$25))=Fixtures!$DN76,CONCATENATE(JL$10,", "),""))</f>
        <v/>
      </c>
      <c r="JM76" s="632" t="str">
        <f ca="1">IF(INDIRECT(CONCATENATE($FK$12,Fixtures!JM$25))="","",IF(INDIRECT(CONCATENATE($FK$12,Fixtures!JM$25))=Fixtures!$DN76,CONCATENATE(JM$10,", "),""))</f>
        <v/>
      </c>
      <c r="JN76" s="632" t="str">
        <f ca="1">IF(INDIRECT(CONCATENATE($FK$12,Fixtures!JN$25))="","",IF(INDIRECT(CONCATENATE($FK$12,Fixtures!JN$25))=Fixtures!$DN76,CONCATENATE(JN$10,", "),""))</f>
        <v/>
      </c>
      <c r="JO76" s="632" t="str">
        <f ca="1">IF(INDIRECT(CONCATENATE($FK$12,Fixtures!JO$25))="","",IF(INDIRECT(CONCATENATE($FK$12,Fixtures!JO$25))=Fixtures!$DN76,CONCATENATE(JO$10,", "),""))</f>
        <v/>
      </c>
      <c r="JP76" s="632" t="str">
        <f ca="1">IF(INDIRECT(CONCATENATE($FK$12,Fixtures!JP$25))="","",IF(INDIRECT(CONCATENATE($FK$12,Fixtures!JP$25))=Fixtures!$DN76,CONCATENATE(JP$10,", "),""))</f>
        <v/>
      </c>
      <c r="JQ76" s="632" t="str">
        <f ca="1">IF(INDIRECT(CONCATENATE($FK$12,Fixtures!JQ$25))="","",IF(INDIRECT(CONCATENATE($FK$12,Fixtures!JQ$25))=Fixtures!$DN76,CONCATENATE(JQ$10,", "),""))</f>
        <v/>
      </c>
      <c r="JR76" s="632" t="str">
        <f ca="1">IF(INDIRECT(CONCATENATE($FK$12,Fixtures!JR$25))="","",IF(INDIRECT(CONCATENATE($FK$12,Fixtures!JR$25))=Fixtures!$DN76,CONCATENATE(JR$10,", "),""))</f>
        <v/>
      </c>
      <c r="JS76" s="632" t="str">
        <f ca="1">IF(INDIRECT(CONCATENATE($FK$12,Fixtures!JS$25))="","",IF(INDIRECT(CONCATENATE($FK$12,Fixtures!JS$25))=Fixtures!$DN76,CONCATENATE(JS$10,", "),""))</f>
        <v/>
      </c>
      <c r="JT76" s="632" t="str">
        <f ca="1">IF(INDIRECT(CONCATENATE($FK$12,Fixtures!JT$25))="","",IF(INDIRECT(CONCATENATE($FK$12,Fixtures!JT$25))=Fixtures!$DN76,CONCATENATE(JT$10,", "),""))</f>
        <v/>
      </c>
      <c r="JU76" s="606" t="str">
        <f ca="1">IF(INDIRECT(CONCATENATE($FK$12,Fixtures!JU$25))="","",IF(INDIRECT(CONCATENATE($FK$12,Fixtures!JU$25))=Fixtures!$DN76,CONCATENATE(JU$10,", "),""))</f>
        <v/>
      </c>
      <c r="JV76" s="607" t="str">
        <f ca="1">IF(INDIRECT(CONCATENATE($FK$12,Fixtures!JV$25))="","",IF(INDIRECT(CONCATENATE($FK$12,Fixtures!JV$25))=Fixtures!$DN76,CONCATENATE(JV$10,", "),""))</f>
        <v/>
      </c>
      <c r="JW76" s="632" t="str">
        <f ca="1">IF(INDIRECT(CONCATENATE($FK$12,Fixtures!JW$25))="","",IF(INDIRECT(CONCATENATE($FK$12,Fixtures!JW$25))=Fixtures!$DN76,CONCATENATE(JW$10,", "),""))</f>
        <v/>
      </c>
      <c r="JX76" s="632" t="str">
        <f ca="1">IF(INDIRECT(CONCATENATE($FK$12,Fixtures!JX$25))="","",IF(INDIRECT(CONCATENATE($FK$12,Fixtures!JX$25))=Fixtures!$DN76,CONCATENATE(JX$10,", "),""))</f>
        <v/>
      </c>
      <c r="JY76" s="632" t="str">
        <f ca="1">IF(INDIRECT(CONCATENATE($FK$12,Fixtures!JY$25))="","",IF(INDIRECT(CONCATENATE($FK$12,Fixtures!JY$25))=Fixtures!$DN76,CONCATENATE(JY$10,", "),""))</f>
        <v/>
      </c>
      <c r="JZ76" s="632" t="str">
        <f ca="1">IF(INDIRECT(CONCATENATE($FK$12,Fixtures!JZ$25))="","",IF(INDIRECT(CONCATENATE($FK$12,Fixtures!JZ$25))=Fixtures!$DN76,CONCATENATE(JZ$10,", "),""))</f>
        <v/>
      </c>
      <c r="KA76" s="632" t="str">
        <f ca="1">IF(INDIRECT(CONCATENATE($FK$12,Fixtures!KA$25))="","",IF(INDIRECT(CONCATENATE($FK$12,Fixtures!KA$25))=Fixtures!$DN76,CONCATENATE(KA$10,", "),""))</f>
        <v/>
      </c>
      <c r="KB76" s="632" t="str">
        <f ca="1">IF(INDIRECT(CONCATENATE($FK$12,Fixtures!KB$25))="","",IF(INDIRECT(CONCATENATE($FK$12,Fixtures!KB$25))=Fixtures!$DN76,CONCATENATE(KB$10,", "),""))</f>
        <v/>
      </c>
      <c r="KC76" s="632" t="str">
        <f ca="1">IF(INDIRECT(CONCATENATE($FK$12,Fixtures!KC$25))="","",IF(INDIRECT(CONCATENATE($FK$12,Fixtures!KC$25))=Fixtures!$DN76,CONCATENATE(KC$10,", "),""))</f>
        <v/>
      </c>
      <c r="KD76" s="632" t="str">
        <f ca="1">IF(INDIRECT(CONCATENATE($FK$12,Fixtures!KD$25))="","",IF(INDIRECT(CONCATENATE($FK$12,Fixtures!KD$25))=Fixtures!$DN76,CONCATENATE(KD$10,", "),""))</f>
        <v/>
      </c>
      <c r="KE76" s="632" t="str">
        <f ca="1">IF(INDIRECT(CONCATENATE($FK$12,Fixtures!KE$25))="","",IF(INDIRECT(CONCATENATE($FK$12,Fixtures!KE$25))=Fixtures!$DN76,CONCATENATE(KE$10,", "),""))</f>
        <v/>
      </c>
      <c r="KF76" s="632" t="str">
        <f ca="1">IF(INDIRECT(CONCATENATE($FK$12,Fixtures!KF$25))="","",IF(INDIRECT(CONCATENATE($FK$12,Fixtures!KF$25))=Fixtures!$DN76,CONCATENATE(KF$10,", "),""))</f>
        <v/>
      </c>
      <c r="KG76" s="632" t="str">
        <f ca="1">IF(INDIRECT(CONCATENATE($FK$12,Fixtures!KG$25))="","",IF(INDIRECT(CONCATENATE($FK$12,Fixtures!KG$25))=Fixtures!$DN76,CONCATENATE(KG$10,", "),""))</f>
        <v/>
      </c>
      <c r="KH76" s="632" t="str">
        <f ca="1">IF(INDIRECT(CONCATENATE($FK$12,Fixtures!KH$25))="","",IF(INDIRECT(CONCATENATE($FK$12,Fixtures!KH$25))=Fixtures!$DN76,CONCATENATE(KH$10,", "),""))</f>
        <v/>
      </c>
      <c r="KI76" s="632" t="str">
        <f ca="1">IF(INDIRECT(CONCATENATE($FK$12,Fixtures!KI$25))="","",IF(INDIRECT(CONCATENATE($FK$12,Fixtures!KI$25))=Fixtures!$DN76,CONCATENATE(KI$10,", "),""))</f>
        <v/>
      </c>
      <c r="KJ76" s="606" t="str">
        <f ca="1">IF(INDIRECT(CONCATENATE($FK$12,Fixtures!KJ$25))="","",IF(INDIRECT(CONCATENATE($FK$12,Fixtures!KJ$25))=Fixtures!$DN76,CONCATENATE(KJ$10,", "),""))</f>
        <v/>
      </c>
      <c r="KK76" s="607" t="str">
        <f ca="1">IF(INDIRECT(CONCATENATE($FK$12,Fixtures!KK$25))="","",IF(INDIRECT(CONCATENATE($FK$12,Fixtures!KK$25))=Fixtures!$DN76,CONCATENATE(KK$10,", "),""))</f>
        <v/>
      </c>
      <c r="KL76" s="632" t="str">
        <f ca="1">IF(INDIRECT(CONCATENATE($FK$12,Fixtures!KL$25))="","",IF(INDIRECT(CONCATENATE($FK$12,Fixtures!KL$25))=Fixtures!$DN76,CONCATENATE(KL$10,", "),""))</f>
        <v/>
      </c>
      <c r="KM76" s="632" t="str">
        <f ca="1">IF(INDIRECT(CONCATENATE($FK$12,Fixtures!KM$25))="","",IF(INDIRECT(CONCATENATE($FK$12,Fixtures!KM$25))=Fixtures!$DN76,CONCATENATE(KM$10,", "),""))</f>
        <v/>
      </c>
      <c r="KN76" s="632" t="str">
        <f ca="1">IF(INDIRECT(CONCATENATE($FK$12,Fixtures!KN$25))="","",IF(INDIRECT(CONCATENATE($FK$12,Fixtures!KN$25))=Fixtures!$DN76,CONCATENATE(KN$10,", "),""))</f>
        <v/>
      </c>
      <c r="KO76" s="632" t="str">
        <f ca="1">IF(INDIRECT(CONCATENATE($FK$12,Fixtures!KO$25))="","",IF(INDIRECT(CONCATENATE($FK$12,Fixtures!KO$25))=Fixtures!$DN76,CONCATENATE(KO$10,", "),""))</f>
        <v/>
      </c>
      <c r="KP76" s="632" t="str">
        <f ca="1">IF(INDIRECT(CONCATENATE($FK$12,Fixtures!KP$25))="","",IF(INDIRECT(CONCATENATE($FK$12,Fixtures!KP$25))=Fixtures!$DN76,CONCATENATE(KP$10,", "),""))</f>
        <v/>
      </c>
      <c r="KQ76" s="632" t="str">
        <f ca="1">IF(INDIRECT(CONCATENATE($FK$12,Fixtures!KQ$25))="","",IF(INDIRECT(CONCATENATE($FK$12,Fixtures!KQ$25))=Fixtures!$DN76,CONCATENATE(KQ$10,", "),""))</f>
        <v/>
      </c>
      <c r="KR76" s="632" t="str">
        <f ca="1">IF(INDIRECT(CONCATENATE($FK$12,Fixtures!KR$25))="","",IF(INDIRECT(CONCATENATE($FK$12,Fixtures!KR$25))=Fixtures!$DN76,CONCATENATE(KR$10,", "),""))</f>
        <v/>
      </c>
      <c r="KS76" s="632" t="str">
        <f ca="1">IF(INDIRECT(CONCATENATE($FK$12,Fixtures!KS$25))="","",IF(INDIRECT(CONCATENATE($FK$12,Fixtures!KS$25))=Fixtures!$DN76,CONCATENATE(KS$10,", "),""))</f>
        <v/>
      </c>
      <c r="KT76" s="632" t="str">
        <f ca="1">IF(INDIRECT(CONCATENATE($FK$12,Fixtures!KT$25))="","",IF(INDIRECT(CONCATENATE($FK$12,Fixtures!KT$25))=Fixtures!$DN76,CONCATENATE(KT$10,", "),""))</f>
        <v/>
      </c>
      <c r="KU76" s="632" t="str">
        <f ca="1">IF(INDIRECT(CONCATENATE($FK$12,Fixtures!KU$25))="","",IF(INDIRECT(CONCATENATE($FK$12,Fixtures!KU$25))=Fixtures!$DN76,CONCATENATE(KU$10,", "),""))</f>
        <v/>
      </c>
      <c r="KV76" s="632" t="str">
        <f ca="1">IF(INDIRECT(CONCATENATE($FK$12,Fixtures!KV$25))="","",IF(INDIRECT(CONCATENATE($FK$12,Fixtures!KV$25))=Fixtures!$DN76,CONCATENATE(KV$10,", "),""))</f>
        <v/>
      </c>
      <c r="KW76" s="632" t="str">
        <f ca="1">IF(INDIRECT(CONCATENATE($FK$12,Fixtures!KW$25))="","",IF(INDIRECT(CONCATENATE($FK$12,Fixtures!KW$25))=Fixtures!$DN76,CONCATENATE(KW$10,", "),""))</f>
        <v/>
      </c>
      <c r="KX76" s="632" t="str">
        <f ca="1">IF(INDIRECT(CONCATENATE($FK$12,Fixtures!KX$25))="","",IF(INDIRECT(CONCATENATE($FK$12,Fixtures!KX$25))=Fixtures!$DN76,CONCATENATE(KX$10,", "),""))</f>
        <v/>
      </c>
      <c r="KY76" s="632"/>
      <c r="KZ76" s="542"/>
      <c r="LA76" s="46" t="str">
        <f t="shared" ca="1" si="37"/>
        <v/>
      </c>
      <c r="LB76" s="46"/>
    </row>
    <row r="77" spans="1:316" ht="15.8" customHeight="1" thickTop="1" thickBot="1">
      <c r="A77" s="426" t="str">
        <f t="shared" si="13"/>
        <v/>
      </c>
      <c r="C77" s="1640" t="str">
        <f>IF(AND(AK77&gt;=0,E77&lt;&gt;""),AK77,"")</f>
        <v/>
      </c>
      <c r="D77" s="1641"/>
      <c r="E77" s="1568" t="str">
        <f>BY139</f>
        <v/>
      </c>
      <c r="F77" s="1569"/>
      <c r="G77" s="1569"/>
      <c r="H77" s="1569"/>
      <c r="I77" s="1569"/>
      <c r="J77" s="1569"/>
      <c r="K77" s="1569"/>
      <c r="L77" s="1569"/>
      <c r="M77" s="1642"/>
      <c r="N77" s="203" t="str">
        <f t="shared" si="16"/>
        <v/>
      </c>
      <c r="O77" s="12"/>
      <c r="P77" s="1638" t="str">
        <f t="shared" si="25"/>
        <v/>
      </c>
      <c r="Q77" s="1639"/>
      <c r="R77" s="1568" t="str">
        <f t="shared" si="30"/>
        <v/>
      </c>
      <c r="S77" s="1569"/>
      <c r="T77" s="1569"/>
      <c r="U77" s="1569"/>
      <c r="V77" s="1569"/>
      <c r="W77" s="1569"/>
      <c r="X77" s="1569"/>
      <c r="Y77" s="203" t="str">
        <f t="shared" si="26"/>
        <v/>
      </c>
      <c r="Z77" s="203" t="str">
        <f t="shared" si="27"/>
        <v/>
      </c>
      <c r="AA77" s="394" t="str">
        <f t="shared" si="28"/>
        <v/>
      </c>
      <c r="AB77" s="489"/>
      <c r="AC77" s="1563" t="str">
        <f t="shared" si="18"/>
        <v/>
      </c>
      <c r="AD77" s="1433"/>
      <c r="AE77" s="1433"/>
      <c r="AF77" s="1433"/>
      <c r="AG77" s="1433"/>
      <c r="AH77" s="1433"/>
      <c r="AK77">
        <f>SUMIFS(Installations!CV$46:CV$803,Installations!CW$46:CW$803,E77,Installations!IC$46:IC$803,TRUE)</f>
        <v>0</v>
      </c>
      <c r="AL77">
        <f>SUMIFS(Installations!CV$46:CV$803,Installations!CW$46:CW$803,R77,Installations!IC$46:IC$803,TRUE)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8" customHeight="1" thickTop="1" thickBot="1">
      <c r="A78" s="426" t="str">
        <f t="shared" si="13"/>
        <v/>
      </c>
      <c r="C78" s="1640" t="str">
        <f>IF(AND(AK78&gt;=0,E78&lt;&gt;""),AK78,"")</f>
        <v/>
      </c>
      <c r="D78" s="1641"/>
      <c r="E78" s="1568" t="str">
        <f>BY140</f>
        <v/>
      </c>
      <c r="F78" s="1569"/>
      <c r="G78" s="1569"/>
      <c r="H78" s="1569"/>
      <c r="I78" s="1569"/>
      <c r="J78" s="1569"/>
      <c r="K78" s="1569"/>
      <c r="L78" s="1569"/>
      <c r="M78" s="1642"/>
      <c r="N78" s="203" t="str">
        <f t="shared" si="16"/>
        <v/>
      </c>
      <c r="O78" s="12"/>
      <c r="P78" s="1638" t="str">
        <f t="shared" si="25"/>
        <v/>
      </c>
      <c r="Q78" s="1639"/>
      <c r="R78" s="1568" t="str">
        <f t="shared" si="30"/>
        <v/>
      </c>
      <c r="S78" s="1569"/>
      <c r="T78" s="1569"/>
      <c r="U78" s="1569"/>
      <c r="V78" s="1569"/>
      <c r="W78" s="1569"/>
      <c r="X78" s="1569"/>
      <c r="Y78" s="203" t="str">
        <f t="shared" si="26"/>
        <v/>
      </c>
      <c r="Z78" s="203" t="str">
        <f t="shared" si="27"/>
        <v/>
      </c>
      <c r="AA78" s="394" t="str">
        <f t="shared" si="28"/>
        <v/>
      </c>
      <c r="AB78" s="489"/>
      <c r="AC78" s="1563" t="str">
        <f t="shared" si="18"/>
        <v/>
      </c>
      <c r="AD78" s="1433"/>
      <c r="AE78" s="1433"/>
      <c r="AF78" s="1433"/>
      <c r="AG78" s="1433"/>
      <c r="AH78" s="1433"/>
      <c r="AK78">
        <f>SUMIFS(Installations!CV$46:CV$803,Installations!CW$46:CW$803,E78,Installations!IC$46:IC$803,TRUE)</f>
        <v>0</v>
      </c>
      <c r="AL78">
        <f>SUMIFS(Installations!CV$46:CV$803,Installations!CW$46:CW$803,R78,Installations!IC$46:IC$803,TRUE)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600" t="s">
        <v>228</v>
      </c>
      <c r="DY78" s="1600"/>
      <c r="DZ78" s="1600"/>
      <c r="EA78" s="1600"/>
      <c r="EB78" s="1600"/>
      <c r="EC78" s="1600"/>
      <c r="ED78" s="1600"/>
      <c r="EE78" s="1600"/>
      <c r="EF78" s="1600"/>
      <c r="EG78" s="1600"/>
      <c r="EH78" s="1600"/>
      <c r="EI78" s="1600"/>
      <c r="EJ78" s="1600"/>
      <c r="EK78" s="1600"/>
      <c r="EL78" s="1600"/>
      <c r="EM78" s="1600"/>
      <c r="EN78" s="1600"/>
      <c r="EO78" s="1600"/>
      <c r="EP78" s="1600"/>
      <c r="EQ78" s="1600"/>
      <c r="ER78" s="1600"/>
      <c r="ES78" s="1600"/>
      <c r="ET78" s="1600"/>
      <c r="EU78" s="1600"/>
      <c r="EV78" s="1600"/>
      <c r="EW78" s="1600"/>
      <c r="EX78" s="434"/>
      <c r="EY78" s="9"/>
      <c r="EZ78" s="9"/>
    </row>
    <row r="79" spans="1:316" ht="15.8"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600"/>
      <c r="DY79" s="1600"/>
      <c r="DZ79" s="1600"/>
      <c r="EA79" s="1600"/>
      <c r="EB79" s="1600"/>
      <c r="EC79" s="1600"/>
      <c r="ED79" s="1600"/>
      <c r="EE79" s="1600"/>
      <c r="EF79" s="1600"/>
      <c r="EG79" s="1600"/>
      <c r="EH79" s="1600"/>
      <c r="EI79" s="1600"/>
      <c r="EJ79" s="1600"/>
      <c r="EK79" s="1600"/>
      <c r="EL79" s="1600"/>
      <c r="EM79" s="1600"/>
      <c r="EN79" s="1600"/>
      <c r="EO79" s="1600"/>
      <c r="EP79" s="1600"/>
      <c r="EQ79" s="1600"/>
      <c r="ER79" s="1600"/>
      <c r="ES79" s="1600"/>
      <c r="ET79" s="1600"/>
      <c r="EU79" s="1600"/>
      <c r="EV79" s="1600"/>
      <c r="EW79" s="1600"/>
      <c r="EX79" s="434"/>
      <c r="EY79" s="9"/>
      <c r="EZ79" s="9"/>
    </row>
    <row r="80" spans="1:316" ht="15.8"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434"/>
      <c r="EY80" s="9"/>
      <c r="EZ80" s="9"/>
    </row>
    <row r="81" spans="37:315" ht="15.8" customHeight="1">
      <c r="BW81" s="10"/>
      <c r="DL81" s="9"/>
      <c r="DM81" s="9"/>
      <c r="DN81" s="9"/>
      <c r="DO81" s="9"/>
      <c r="DP81" s="9"/>
      <c r="DQ81" s="9"/>
      <c r="DR81" s="9"/>
      <c r="DS81" s="9"/>
      <c r="DT81" s="9"/>
      <c r="DU81" s="9"/>
      <c r="DV81" s="9"/>
      <c r="DW81" s="11"/>
      <c r="DX81" s="434"/>
      <c r="DY81" s="434"/>
      <c r="DZ81" s="434"/>
      <c r="EA81" s="434"/>
      <c r="EB81" s="434"/>
      <c r="EC81" s="434"/>
      <c r="ED81" s="434"/>
      <c r="EE81" s="434"/>
      <c r="EF81" s="434"/>
      <c r="EG81" s="434"/>
      <c r="EH81" s="434"/>
      <c r="EI81" s="434"/>
      <c r="EJ81" s="434"/>
      <c r="EK81" s="434"/>
      <c r="EL81" s="434"/>
      <c r="EM81" s="434"/>
      <c r="EN81" s="434"/>
      <c r="EO81" s="434"/>
      <c r="EP81" s="434"/>
      <c r="EQ81" s="434"/>
      <c r="ER81" s="434"/>
      <c r="ES81" s="434"/>
      <c r="ET81" s="434"/>
      <c r="EU81" s="434"/>
      <c r="EV81" s="434"/>
      <c r="EW81" s="434"/>
      <c r="EX81" s="434"/>
      <c r="EY81" s="9"/>
      <c r="EZ81" s="9"/>
    </row>
    <row r="82" spans="37:315" ht="15.8" customHeight="1">
      <c r="AK82" t="s">
        <v>229</v>
      </c>
      <c r="AL82" s="634">
        <f>SUM(AK31:AL50)</f>
        <v>0</v>
      </c>
      <c r="AM82" s="634">
        <f>SUM(AK51:AL76)</f>
        <v>0</v>
      </c>
      <c r="AN82" s="634"/>
      <c r="BW82" s="10"/>
      <c r="DW82" s="10"/>
    </row>
    <row r="83" spans="37:315" ht="15.8" customHeight="1">
      <c r="AK83" s="634">
        <f t="array" ref="AK83">MAX(IF(AL82:AN82&gt;0,AL83:AN83))</f>
        <v>0</v>
      </c>
      <c r="AL83" s="634">
        <f>48-25</f>
        <v>23</v>
      </c>
      <c r="AM83" s="634">
        <f>78-25</f>
        <v>53</v>
      </c>
      <c r="AN83" s="634"/>
      <c r="BW83" s="10"/>
      <c r="DW83" s="10"/>
    </row>
    <row r="84" spans="37:315" ht="15.8" customHeight="1">
      <c r="BW84" s="10"/>
      <c r="BY84" s="31"/>
      <c r="DW84" s="10"/>
    </row>
    <row r="85" spans="37:315" ht="15.8" customHeight="1">
      <c r="AK85" t="s">
        <v>230</v>
      </c>
      <c r="DW85" s="10"/>
    </row>
    <row r="86" spans="37:315" ht="15.8" customHeight="1">
      <c r="DW86" s="10"/>
    </row>
    <row r="87" spans="37:315" ht="15.8" customHeight="1">
      <c r="DW87" s="10"/>
    </row>
    <row r="88" spans="37:315" ht="15.8" customHeight="1">
      <c r="DW88" s="10"/>
      <c r="DY88" s="31"/>
    </row>
    <row r="89" spans="37:315" ht="15.8" customHeight="1">
      <c r="DY89" s="1601" t="s">
        <v>231</v>
      </c>
      <c r="DZ89" s="1601"/>
      <c r="EA89" s="1601"/>
      <c r="EB89" s="1601"/>
      <c r="EC89" s="1601"/>
      <c r="ED89" s="1601"/>
      <c r="EE89" s="1601"/>
      <c r="EF89" s="1601"/>
      <c r="EG89" s="1601"/>
    </row>
    <row r="90" spans="37:315" ht="15.8" customHeight="1"/>
    <row r="91" spans="37:315" ht="15.8" customHeight="1">
      <c r="BM91" s="635" t="s">
        <v>232</v>
      </c>
      <c r="BN91" s="636"/>
      <c r="BO91" s="636"/>
      <c r="BP91" s="636"/>
      <c r="BQ91" s="636"/>
      <c r="BR91" s="636"/>
      <c r="BS91" s="636"/>
      <c r="BT91" s="636"/>
      <c r="BU91" s="637"/>
      <c r="CP91" s="13"/>
      <c r="DM91" s="635" t="s">
        <v>233</v>
      </c>
      <c r="DN91" s="636"/>
      <c r="DO91" s="636"/>
      <c r="DP91" s="636"/>
      <c r="DQ91" s="636"/>
      <c r="DR91" s="636"/>
      <c r="DS91" s="636"/>
      <c r="DT91" s="636"/>
      <c r="DU91" s="637"/>
      <c r="EL91" s="1442"/>
      <c r="EM91" s="1442"/>
      <c r="EN91" s="1442"/>
      <c r="EO91" s="1442"/>
      <c r="EP91" s="1442"/>
      <c r="EQ91" s="1442"/>
      <c r="ER91" s="1442"/>
      <c r="ES91" s="1442"/>
      <c r="ET91" s="1442"/>
      <c r="EU91" s="1442"/>
      <c r="EV91" s="1442"/>
      <c r="EW91" s="1442"/>
      <c r="EX91" s="1442"/>
      <c r="EY91" s="1442"/>
      <c r="EZ91" s="1442"/>
      <c r="FA91" s="1442"/>
      <c r="FB91" s="1442"/>
      <c r="FC91" s="1442"/>
      <c r="FD91" s="1442"/>
    </row>
    <row r="92" spans="37:315" ht="15.8" customHeight="1">
      <c r="BM92" s="638" t="s">
        <v>234</v>
      </c>
      <c r="BN92" s="638" t="s">
        <v>194</v>
      </c>
      <c r="BO92" s="639" t="s">
        <v>218</v>
      </c>
      <c r="BP92" s="640" t="s">
        <v>235</v>
      </c>
      <c r="BQ92" s="639"/>
      <c r="BR92" s="639" t="s">
        <v>194</v>
      </c>
      <c r="BS92" s="639" t="s">
        <v>236</v>
      </c>
      <c r="BT92" s="639" t="s">
        <v>237</v>
      </c>
      <c r="BU92" s="641"/>
      <c r="BX92" s="542">
        <f>COUNT(BX93:BX142)</f>
        <v>0</v>
      </c>
      <c r="BY92" s="543" t="s">
        <v>238</v>
      </c>
      <c r="BZ92" s="543" t="s">
        <v>194</v>
      </c>
      <c r="CA92" s="545" t="s">
        <v>239</v>
      </c>
      <c r="CE92" s="543" t="s">
        <v>238</v>
      </c>
      <c r="CF92" s="543" t="s">
        <v>194</v>
      </c>
      <c r="CG92" s="545" t="s">
        <v>239</v>
      </c>
      <c r="CI92" s="12">
        <v>1</v>
      </c>
      <c r="CJ92" s="12">
        <v>2</v>
      </c>
      <c r="CK92" s="12">
        <v>3</v>
      </c>
      <c r="CL92" s="12">
        <v>4</v>
      </c>
      <c r="CM92">
        <f>COUNT(CM93:CM142)</f>
        <v>0</v>
      </c>
      <c r="DM92" s="638" t="s">
        <v>234</v>
      </c>
      <c r="DN92" s="638" t="s">
        <v>194</v>
      </c>
      <c r="DO92" s="643" t="s">
        <v>221</v>
      </c>
      <c r="DP92" s="643" t="s">
        <v>240</v>
      </c>
      <c r="DQ92" s="643" t="s">
        <v>241</v>
      </c>
      <c r="DR92" s="643" t="s">
        <v>194</v>
      </c>
      <c r="DS92" s="639" t="s">
        <v>242</v>
      </c>
      <c r="DT92" s="639" t="s">
        <v>237</v>
      </c>
      <c r="DU92" s="645"/>
      <c r="DX92" s="542">
        <f>COUNT(DX93:DX142)</f>
        <v>1</v>
      </c>
      <c r="DY92" s="543" t="s">
        <v>238</v>
      </c>
      <c r="DZ92" s="543" t="s">
        <v>194</v>
      </c>
      <c r="EA92" s="545" t="s">
        <v>239</v>
      </c>
      <c r="EB92" s="545" t="s">
        <v>221</v>
      </c>
      <c r="EE92" s="543" t="s">
        <v>238</v>
      </c>
      <c r="EF92" s="545" t="s">
        <v>221</v>
      </c>
      <c r="EG92" s="545" t="s">
        <v>240</v>
      </c>
      <c r="EH92" s="543" t="s">
        <v>194</v>
      </c>
      <c r="EI92" s="545" t="s">
        <v>239</v>
      </c>
      <c r="EJ92" s="542"/>
      <c r="EK92" s="542"/>
      <c r="EL92">
        <v>1</v>
      </c>
      <c r="EM92">
        <v>2</v>
      </c>
      <c r="EN92">
        <v>3</v>
      </c>
      <c r="EO92">
        <v>4</v>
      </c>
      <c r="EP92">
        <f>COUNT(EP93:EP142)</f>
        <v>1</v>
      </c>
    </row>
    <row r="93" spans="37:315" ht="15.8" customHeight="1">
      <c r="BL93">
        <f t="shared" ref="BL93:BL124" si="38">BW27</f>
        <v>1</v>
      </c>
      <c r="BM93" s="642" t="str">
        <f t="shared" ref="BM93:BM124" si="39">BM27</f>
        <v/>
      </c>
      <c r="BN93" s="639" t="str">
        <f t="shared" ref="BN93:BN124" si="40">CP27</f>
        <v/>
      </c>
      <c r="BO93" s="639" t="b">
        <f>CV27</f>
        <v>0</v>
      </c>
      <c r="BP93" s="643" t="str">
        <f t="shared" ref="BP93:BP124" si="41">IF(BO93=TRUE,CF27,"")</f>
        <v/>
      </c>
      <c r="BQ93" s="639" t="str">
        <f>IFERROR(VLOOKUP(BP93,Lookup!AT$6:AU$8,2,FALSE),"")</f>
        <v/>
      </c>
      <c r="BR93" s="639" t="str">
        <f t="shared" ref="BR93:BR124" si="42">IFERROR(CP27/LEFT(CJ27,1),BN93)</f>
        <v/>
      </c>
      <c r="BS93" s="644">
        <f>SUMIFS(Installations!CV$46:CV$803,Installations!CW$46:CW$803,BM93,Installations!IC$46:IC$803,TRUE,Installations!CU$46:CU$803,"Exist")</f>
        <v>0</v>
      </c>
      <c r="BT93" s="639" t="str">
        <f>IF(BS93=0,"",BL93)</f>
        <v/>
      </c>
      <c r="BU93" s="645"/>
      <c r="BX93" s="639" t="str">
        <f t="array" ref="BX93">IFERROR(IF(ROWS(BM$93:BM93)&gt;COUNTA($BM$93:$BM$192),"",INDEX($BL$93:$BL$192,SMALL(IF($BM$93:$BM$192&lt;&gt;"",ROW($BM$93:$BM$192)-ROW($BM$93)+1),ROWS($BM$93:BM93)))),"")</f>
        <v/>
      </c>
      <c r="BY93" s="542" t="str">
        <f t="shared" ref="BY93:BY124" si="43">IFERROR(VLOOKUP(BX93,$BL$93:$BM$192,2,FALSE),"")</f>
        <v/>
      </c>
      <c r="BZ93" s="544" t="str">
        <f t="shared" ref="BZ93:BZ124" si="44">IFERROR(VLOOKUP(BX93,BL$93:BN$192,3,FALSE),"")</f>
        <v/>
      </c>
      <c r="CA93" s="544" t="str">
        <f t="shared" ref="CA93:CA124" si="45">IFERROR(VLOOKUP(BX93,BL$93:BS$192,8,FALSE),"")</f>
        <v/>
      </c>
      <c r="CD93" s="639" t="str">
        <f t="array" ref="CD93">IFERROR(IF(ROWS(BT$93:BT93)&gt;COUNTA($BT$93:$BT$192),"",INDEX($BL$93:$BL$192,SMALL(IF($BT$93:$BT$192&lt;&gt;"",ROW($BT$93:$BT$192)-ROW($BT$93)+1),ROWS($BT$93:BT93)))),"")</f>
        <v/>
      </c>
      <c r="CE93" s="542" t="str">
        <f t="shared" ref="CE93:CE124" si="46">IFERROR(VLOOKUP(CD93,$BL$93:$BM$192,2,FALSE),"")</f>
        <v/>
      </c>
      <c r="CF93" s="544" t="str">
        <f t="shared" ref="CF93:CF124" si="47">IFERROR(VLOOKUP(CD93,$BL$93:$BS$192,3,FALSE),"")</f>
        <v/>
      </c>
      <c r="CG93" s="544" t="str">
        <f t="shared" ref="CG93:CG124" si="48">IFERROR(VLOOKUP(CD93,$BL$93:$BS$192,8,FALSE),"")</f>
        <v/>
      </c>
      <c r="CI93" s="544">
        <f>COUNTIF($BY$93:$BY$142,"&lt;="&amp;BY93)</f>
        <v>0</v>
      </c>
      <c r="CJ93" s="544">
        <f>--ISNUMBER(BY93)</f>
        <v>0</v>
      </c>
      <c r="CK93" s="544">
        <f>IF(BY93="",1,0)</f>
        <v>1</v>
      </c>
      <c r="CL93" s="544">
        <f t="array" ref="CL93">IF(ISNUMBER(BY93),CI93,IF(ISBLANK(BY93),CI93,CI93+$CJ$143))+$CK$143</f>
        <v>50</v>
      </c>
      <c r="CM93" t="str">
        <f>BX93</f>
        <v/>
      </c>
      <c r="CN93" s="542" t="str">
        <f t="array" ref="CN93">IFERROR(INDEX($BY$93:$BY$142,MATCH(SMALL($CL$93:$CL$142,ROWS($CM$93:CM93)+$CK$143),$CL$93:$CL$142,0)),"")</f>
        <v/>
      </c>
      <c r="DL93" s="542">
        <v>1</v>
      </c>
      <c r="DM93" s="642" t="str">
        <f t="shared" ref="DM93:DM124" si="49">DN27</f>
        <v/>
      </c>
      <c r="DN93" s="639" t="str">
        <f>IF(ET27="","",ET27)</f>
        <v/>
      </c>
      <c r="DO93" s="639" t="str">
        <f t="shared" ref="DO93:DO124" si="50">EZ27</f>
        <v/>
      </c>
      <c r="DP93" s="646">
        <f t="shared" ref="DP93:DP124" si="51">EX27</f>
        <v>0</v>
      </c>
      <c r="DQ93" s="638" t="str">
        <f t="shared" ref="DQ93:DQ124" ca="1" si="52">FG27</f>
        <v/>
      </c>
      <c r="DR93" s="639">
        <f>IFERROR(ET27/EF27,0)</f>
        <v>0</v>
      </c>
      <c r="DS93" s="639">
        <f>IF(__Retrofit_TI_NC=0,
SUMIFS(Installations!CV$46:CV$803,Installations!CW$46:CW$803,DM93,Installations!IC$46:IC$803,TRUE,Installations!CU$46:CU$803,"New"),
SUMIFS(Installations!CV$46:CV$803,Installations!CW$46:CW$803,DM93,Installations!IC$46:IC$803,TRUE,Installations!CU$46:CU$803,"New")+SUMIF('Building Area Installations'!H$43:H$72,DM93,'Building Area Installations'!O$43:O$72)+SUMIF('Building Area Installations'!H$82:H$111,DM93,'Building Area Installations'!O$82:O$111))</f>
        <v>0</v>
      </c>
      <c r="DT93" s="639" t="str">
        <f>IF(DS93=0,"",DL93)</f>
        <v/>
      </c>
      <c r="DU93" s="645"/>
      <c r="DX93" s="639">
        <f t="array" ref="DX93">IFERROR(IF(ROWS(DM$93:DM93)&gt;COUNTA($DM$93:$DM$145),"",INDEX($DL$93:$DL$142,SMALL(IF($DM$93:$DM$145&lt;&gt;"",ROW($DM$93:$DM$145)-ROW($DM$93)+1),ROWS($DM$93:DM93)))),"")</f>
        <v>50</v>
      </c>
      <c r="DY93" s="542" t="str">
        <f t="shared" ref="DY93:DY98" si="53">IFERROR(VLOOKUP($DX93,DL$93:DS$142,2,FALSE),"")</f>
        <v>08 Other Interior Fixture Removed, (1) Existing #Removed</v>
      </c>
      <c r="DZ93" s="544">
        <f t="shared" ref="DZ93:DZ98" si="54">IFERROR(VLOOKUP($DX93,DL$93:DS$142,3,FALSE),"")</f>
        <v>0</v>
      </c>
      <c r="EA93" s="544">
        <f t="shared" ref="EA93:EA98" si="55">IFERROR(VLOOKUP($DX93,DL$93:DS$142,8,FALSE),"")</f>
        <v>0</v>
      </c>
      <c r="EB93" s="544">
        <f>IFERROR(VLOOKUP($DX93,DL$93:DS$142,4,FALSE),"")</f>
        <v>10</v>
      </c>
      <c r="EC93" s="542"/>
      <c r="ED93" s="639" t="str">
        <f t="array" ref="ED93">IFERROR(IF(ROWS(DT$93:DT93)&gt;COUNTA($DT$93:$DT$145),"",INDEX($DL$93:$DL$142,SMALL(IF($DT$93:$DT$145&lt;&gt;"",ROW($DT$93:$DT$145)-ROW($DT$93)+1),ROWS($DT$93:DT93)))),"")</f>
        <v/>
      </c>
      <c r="EE93" s="542" t="str">
        <f>IFERROR(VLOOKUP($ED93,DL$93:DS$142,2,FALSE),"")</f>
        <v/>
      </c>
      <c r="EF93" s="544" t="str">
        <f>IFERROR(VLOOKUP($ED93,DL$93:DS$142,4,FALSE),"")</f>
        <v/>
      </c>
      <c r="EG93" s="546" t="str">
        <f>IFERROR(VLOOKUP($ED93,DL$93:DS$142,5,FALSE),"")</f>
        <v/>
      </c>
      <c r="EH93" s="544" t="str">
        <f>IFERROR(VLOOKUP($ED93,DL$93:DS$142,3,FALSE),"")</f>
        <v/>
      </c>
      <c r="EI93" s="544" t="str">
        <f>IFERROR(VLOOKUP($ED93,DL$93:DS$142,8,FALSE),"")</f>
        <v/>
      </c>
      <c r="EJ93" s="542">
        <v>1</v>
      </c>
      <c r="EK93" s="542"/>
      <c r="EL93" s="542">
        <f>COUNTIF($DY$93:$DY$142,"&lt;="&amp;DY93)</f>
        <v>50</v>
      </c>
      <c r="EM93" s="542">
        <f>--ISNUMBER(DY93)</f>
        <v>0</v>
      </c>
      <c r="EN93" s="542">
        <f>IF(DY93="",1,0)</f>
        <v>0</v>
      </c>
      <c r="EO93" s="542">
        <f t="array" ref="EO93">IF(ISNUMBER(DY93),EL93,IF(ISBLANK(DY93),EL93,EL93+$EM$143))+$EN$143</f>
        <v>99</v>
      </c>
      <c r="EP93">
        <f>DX93</f>
        <v>50</v>
      </c>
      <c r="EQ93" s="542" t="str">
        <f t="array" ref="EQ93">IFERROR(INDEX($DY$93:$DY$142,MATCH(SMALL($EO$93:$EO$142,ROWS($EQ$93:EQ93)+$EN$143),$EO$93:$EO$142,0)),"")</f>
        <v>08 Other Interior Fixture Removed, (1) Existing #Removed</v>
      </c>
      <c r="EW93" s="542"/>
      <c r="LC93" s="542" t="e">
        <f>INDEX($DY$93:$DY$115,MATCH(ROWS($DY$93:DY93),COUNTIF($DY$93:$DY$115,"&lt;="&amp;$DY$93:$DY$115),0))</f>
        <v>#N/A</v>
      </c>
    </row>
    <row r="94" spans="37:315">
      <c r="BL94">
        <f t="shared" si="38"/>
        <v>2</v>
      </c>
      <c r="BM94" s="642" t="str">
        <f t="shared" si="39"/>
        <v/>
      </c>
      <c r="BN94" s="639" t="str">
        <f t="shared" si="40"/>
        <v/>
      </c>
      <c r="BO94" s="639" t="b">
        <f t="shared" ref="BO94:BO142" si="56">CV28</f>
        <v>0</v>
      </c>
      <c r="BP94" s="643" t="str">
        <f t="shared" si="41"/>
        <v/>
      </c>
      <c r="BQ94" s="639" t="str">
        <f>IFERROR(VLOOKUP(BP94,Lookup!AT$6:AU$8,2,FALSE),"")</f>
        <v/>
      </c>
      <c r="BR94" s="639" t="str">
        <f t="shared" si="42"/>
        <v/>
      </c>
      <c r="BS94" s="644">
        <f>SUMIFS(Installations!CV$46:CV$803,Installations!CW$46:CW$803,BM94,Installations!IC$46:IC$803,TRUE,Installations!CU$46:CU$803,"Exist")</f>
        <v>0</v>
      </c>
      <c r="BT94" s="639" t="str">
        <f t="shared" ref="BT94:BT157" si="57">IF(BS94=0,"",BL94)</f>
        <v/>
      </c>
      <c r="BU94" s="645"/>
      <c r="BX94" s="639" t="str">
        <f t="array" ref="BX94">IFERROR(IF(ROWS(BM$93:BM94)&gt;COUNTA($BM$93:$BM$192),"",INDEX($BL$93:$BL$192,SMALL(IF($BM$93:$BM$192&lt;&gt;"",ROW($BM$93:$BM$192)-ROW($BM$93)+1),ROWS($BM$93:BM94)))),"")</f>
        <v/>
      </c>
      <c r="BY94" s="542" t="str">
        <f t="shared" si="43"/>
        <v/>
      </c>
      <c r="BZ94" s="544" t="str">
        <f t="shared" si="44"/>
        <v/>
      </c>
      <c r="CA94" s="544" t="str">
        <f t="shared" si="45"/>
        <v/>
      </c>
      <c r="CD94" s="639" t="str">
        <f t="array" ref="CD94">IFERROR(IF(ROWS(BT$93:BT94)&gt;COUNTA($BT$93:$BT$192),"",INDEX($BL$93:$BL$192,SMALL(IF($BT$93:$BT$192&lt;&gt;"",ROW($BT$93:$BT$192)-ROW($BT$93)+1),ROWS($BT$93:BT94)))),"")</f>
        <v/>
      </c>
      <c r="CE94" s="542" t="str">
        <f t="shared" si="46"/>
        <v/>
      </c>
      <c r="CF94" s="544" t="str">
        <f t="shared" si="47"/>
        <v/>
      </c>
      <c r="CG94" s="544" t="str">
        <f t="shared" si="48"/>
        <v/>
      </c>
      <c r="CI94" s="544">
        <f t="shared" ref="CI94:CI142" si="58">COUNTIF($BY$93:$BY$142,"&lt;="&amp;BY94)</f>
        <v>0</v>
      </c>
      <c r="CJ94" s="544">
        <f t="shared" ref="CJ94:CJ142" si="59">--ISNUMBER(BY94)</f>
        <v>0</v>
      </c>
      <c r="CK94" s="544">
        <f t="shared" ref="CK94:CK142" si="60">IF(BY94="",1,0)</f>
        <v>1</v>
      </c>
      <c r="CL94" s="544">
        <f t="array" ref="CL94">IF(ISNUMBER(BY94),CI94,IF(ISBLANK(BY94),CI94,CI94+$CJ$143))+$CK$143</f>
        <v>50</v>
      </c>
      <c r="CM94" t="str">
        <f t="shared" ref="CM94:CM142" si="61">BX94</f>
        <v/>
      </c>
      <c r="CN94" s="542" t="str">
        <f t="array" ref="CN94">IFERROR(INDEX($BY$93:$BY$142,MATCH(SMALL($CL$93:$CL$142,ROWS($CM$93:CM94)+$CK$143),$CL$93:$CL$142,0)),"")</f>
        <v/>
      </c>
      <c r="DL94" s="542">
        <v>2</v>
      </c>
      <c r="DM94" s="642" t="str">
        <f t="shared" si="49"/>
        <v/>
      </c>
      <c r="DN94" s="639" t="str">
        <f t="shared" ref="DN94:DN142" si="62">IF(ET28="","",ET28)</f>
        <v/>
      </c>
      <c r="DO94" s="639" t="str">
        <f t="shared" si="50"/>
        <v/>
      </c>
      <c r="DP94" s="646">
        <f t="shared" si="51"/>
        <v>0</v>
      </c>
      <c r="DQ94" s="638" t="str">
        <f t="shared" ca="1" si="52"/>
        <v/>
      </c>
      <c r="DR94" s="639">
        <f>IFERROR(ET28/EF28,0)</f>
        <v>0</v>
      </c>
      <c r="DS94" s="639">
        <f>IF(__Retrofit_TI_NC=0,
SUMIFS(Installations!CV$46:CV$803,Installations!CW$46:CW$803,DM94,Installations!IC$46:IC$803,TRUE,Installations!CU$46:CU$803,"New"),
SUMIFS(Installations!CV$46:CV$803,Installations!CW$46:CW$803,DM94,Installations!IC$46:IC$803,TRUE,Installations!CU$46:CU$803,"New")+SUMIF('Building Area Installations'!H$43:H$72,DM94,'Building Area Installations'!O$43:O$72)+SUMIF('Building Area Installations'!H$82:H$111,DM94,'Building Area Installations'!O$82:O$111))</f>
        <v>0</v>
      </c>
      <c r="DT94" s="639" t="str">
        <f t="shared" ref="DT94:DT142" si="63">IF(DS94=0,"",DL94)</f>
        <v/>
      </c>
      <c r="DU94" s="645"/>
      <c r="DX94" s="639" t="str">
        <f t="array" ref="DX94">IFERROR(IF(ROWS(DM$93:DM94)&gt;COUNTA($DM$93:$DM$145),"",INDEX($DL$93:$DL$142,SMALL(IF($DM$93:$DM$145&lt;&gt;"",ROW($DM$93:$DM$145)-ROW($DM$93)+1),ROWS($DM$93:DM94)))),"")</f>
        <v/>
      </c>
      <c r="DY94" s="542" t="str">
        <f t="shared" si="53"/>
        <v/>
      </c>
      <c r="DZ94" s="544" t="str">
        <f t="shared" si="54"/>
        <v/>
      </c>
      <c r="EA94" s="544" t="str">
        <f t="shared" si="55"/>
        <v/>
      </c>
      <c r="EB94" s="544" t="str">
        <f t="shared" ref="EB94:EB142" si="64">IFERROR(VLOOKUP($DX94,DL$93:DS$142,4,FALSE),"")</f>
        <v/>
      </c>
      <c r="EC94" s="542"/>
      <c r="ED94" s="639" t="str">
        <f t="array" ref="ED94">IFERROR(IF(ROWS(DT$93:DT94)&gt;COUNTA($DT$93:$DT$145),"",INDEX($DL$93:$DL$142,SMALL(IF($DT$93:$DT$145&lt;&gt;"",ROW($DT$93:$DT$145)-ROW($DT$93)+1),ROWS($DT$93:DT94)))),"")</f>
        <v/>
      </c>
      <c r="EE94" s="542" t="str">
        <f>IFERROR(VLOOKUP($ED94,DL$93:DS$142,2,FALSE),"")</f>
        <v/>
      </c>
      <c r="EF94" s="544" t="str">
        <f>IFERROR(VLOOKUP($ED94,DL$93:DS$142,4,FALSE),"")</f>
        <v/>
      </c>
      <c r="EG94" s="546" t="str">
        <f>IFERROR(VLOOKUP($ED94,DL$93:DS$142,5,FALSE),"")</f>
        <v/>
      </c>
      <c r="EH94" s="544" t="str">
        <f>IFERROR(VLOOKUP($ED94,DL$93:DS$142,3,FALSE),"")</f>
        <v/>
      </c>
      <c r="EI94" s="544" t="str">
        <f>IFERROR(VLOOKUP($ED94,DL$93:DS$142,8,FALSE),"")</f>
        <v/>
      </c>
      <c r="EJ94" s="542">
        <v>2</v>
      </c>
      <c r="EK94" s="542"/>
      <c r="EL94" s="542">
        <f t="shared" ref="EL94:EL142" si="65">COUNTIF($DY$93:$DY$142,"&lt;="&amp;DY94)</f>
        <v>0</v>
      </c>
      <c r="EM94" s="542">
        <f t="array" ref="EM94">--ISNUMBER(DY94)</f>
        <v>0</v>
      </c>
      <c r="EN94" s="542">
        <f t="shared" ref="EN94:EN142" si="66">IF(DY94="",1,0)</f>
        <v>1</v>
      </c>
      <c r="EO94" s="542">
        <f t="array" ref="EO94">IF(ISNUMBER(DY94),EL94,IF(ISBLANK(DY94),EL94,EL94+$EM$143))+$EN$143</f>
        <v>49</v>
      </c>
      <c r="EP94" t="str">
        <f t="shared" ref="EP94:EP142" si="67">DX94</f>
        <v/>
      </c>
      <c r="EQ94" s="542" t="str">
        <f t="array" ref="EQ94">IFERROR(INDEX($DY$93:$DY$142,MATCH(SMALL($EO$93:$EO$142,ROWS($EQ$93:EQ94)+$EN$143),$EO$93:$EO$142,0)),"")</f>
        <v/>
      </c>
      <c r="EW94" s="542"/>
      <c r="LC94" s="542" t="e">
        <f t="array" ref="LC94">INDEX($DY$93:$DY$115,MATCH(ROWS($DY$93:DY94),COUNTIF($DY$93:$DY$115,"&lt;="&amp;$DY$93:$DY$115),0))</f>
        <v>#N/A</v>
      </c>
    </row>
    <row r="95" spans="37:315">
      <c r="BL95">
        <f t="shared" si="38"/>
        <v>3</v>
      </c>
      <c r="BM95" s="642" t="str">
        <f t="shared" si="39"/>
        <v/>
      </c>
      <c r="BN95" s="639" t="str">
        <f t="shared" si="40"/>
        <v/>
      </c>
      <c r="BO95" s="639" t="b">
        <f t="shared" si="56"/>
        <v>0</v>
      </c>
      <c r="BP95" s="643" t="str">
        <f t="shared" si="41"/>
        <v/>
      </c>
      <c r="BQ95" s="639" t="str">
        <f>IFERROR(VLOOKUP(BP95,Lookup!AT$6:AU$8,2,FALSE),"")</f>
        <v/>
      </c>
      <c r="BR95" s="639" t="str">
        <f t="shared" si="42"/>
        <v/>
      </c>
      <c r="BS95" s="644">
        <f>SUMIFS(Installations!CV$46:CV$803,Installations!CW$46:CW$803,BM95,Installations!IC$46:IC$803,TRUE,Installations!CU$46:CU$803,"Exist")</f>
        <v>0</v>
      </c>
      <c r="BT95" s="639" t="str">
        <f t="shared" si="57"/>
        <v/>
      </c>
      <c r="BU95" s="645"/>
      <c r="BX95" s="639" t="str">
        <f t="array" ref="BX95">IFERROR(IF(ROWS(BM$93:BM95)&gt;COUNTA($BM$93:$BM$192),"",INDEX($BL$93:$BL$192,SMALL(IF($BM$93:$BM$192&lt;&gt;"",ROW($BM$93:$BM$192)-ROW($BM$93)+1),ROWS($BM$93:BM95)))),"")</f>
        <v/>
      </c>
      <c r="BY95" s="542" t="str">
        <f t="shared" si="43"/>
        <v/>
      </c>
      <c r="BZ95" s="544" t="str">
        <f t="shared" si="44"/>
        <v/>
      </c>
      <c r="CA95" s="544" t="str">
        <f t="shared" si="45"/>
        <v/>
      </c>
      <c r="CD95" s="639" t="str">
        <f t="array" ref="CD95">IFERROR(IF(ROWS(BT$93:BT95)&gt;COUNTA($BT$93:$BT$192),"",INDEX($BL$93:$BL$192,SMALL(IF($BT$93:$BT$192&lt;&gt;"",ROW($BT$93:$BT$192)-ROW($BT$93)+1),ROWS($BT$93:BT95)))),"")</f>
        <v/>
      </c>
      <c r="CE95" s="542" t="str">
        <f t="shared" si="46"/>
        <v/>
      </c>
      <c r="CF95" s="544" t="str">
        <f t="shared" si="47"/>
        <v/>
      </c>
      <c r="CG95" s="544" t="str">
        <f t="shared" si="48"/>
        <v/>
      </c>
      <c r="CI95" s="544">
        <f t="shared" si="58"/>
        <v>0</v>
      </c>
      <c r="CJ95" s="544">
        <f t="shared" si="59"/>
        <v>0</v>
      </c>
      <c r="CK95" s="544">
        <f t="shared" si="60"/>
        <v>1</v>
      </c>
      <c r="CL95" s="544">
        <f t="array" ref="CL95">IF(ISNUMBER(BY95),CI95,IF(ISBLANK(BY95),CI95,CI95+$CJ$143))+$CK$143</f>
        <v>50</v>
      </c>
      <c r="CM95" t="str">
        <f t="shared" si="61"/>
        <v/>
      </c>
      <c r="CN95" s="542" t="str">
        <f t="array" ref="CN95">IFERROR(INDEX($BY$93:$BY$142,MATCH(SMALL($CL$93:$CL$142,ROWS($CM$93:CM95)+$CK$143),$CL$93:$CL$142,0)),"")</f>
        <v/>
      </c>
      <c r="DL95" s="542">
        <v>3</v>
      </c>
      <c r="DM95" s="642" t="str">
        <f t="shared" si="49"/>
        <v/>
      </c>
      <c r="DN95" s="639" t="str">
        <f t="shared" si="62"/>
        <v/>
      </c>
      <c r="DO95" s="639" t="str">
        <f t="shared" si="50"/>
        <v/>
      </c>
      <c r="DP95" s="646">
        <f t="shared" si="51"/>
        <v>0</v>
      </c>
      <c r="DQ95" s="638" t="str">
        <f t="shared" ca="1" si="52"/>
        <v/>
      </c>
      <c r="DR95" s="639">
        <f>IFERROR(ET29/EF29,0)</f>
        <v>0</v>
      </c>
      <c r="DS95" s="639">
        <f>IF(__Retrofit_TI_NC=0,
SUMIFS(Installations!CV$46:CV$803,Installations!CW$46:CW$803,DM95,Installations!IC$46:IC$803,TRUE,Installations!CU$46:CU$803,"New"),
SUMIFS(Installations!CV$46:CV$803,Installations!CW$46:CW$803,DM95,Installations!IC$46:IC$803,TRUE,Installations!CU$46:CU$803,"New")+SUMIF('Building Area Installations'!H$43:H$72,DM95,'Building Area Installations'!O$43:O$72)+SUMIF('Building Area Installations'!H$82:H$111,DM95,'Building Area Installations'!O$82:O$111))</f>
        <v>0</v>
      </c>
      <c r="DT95" s="639" t="str">
        <f t="shared" si="63"/>
        <v/>
      </c>
      <c r="DU95" s="645"/>
      <c r="DX95" s="639" t="str">
        <f t="array" ref="DX95">IFERROR(IF(ROWS(DM$93:DM95)&gt;COUNTA($DM$93:$DM$145),"",INDEX($DL$93:$DL$142,SMALL(IF($DM$93:$DM$145&lt;&gt;"",ROW($DM$93:$DM$145)-ROW($DM$93)+1),ROWS($DM$93:DM95)))),"")</f>
        <v/>
      </c>
      <c r="DY95" s="542" t="str">
        <f t="shared" si="53"/>
        <v/>
      </c>
      <c r="DZ95" s="544" t="str">
        <f t="shared" si="54"/>
        <v/>
      </c>
      <c r="EA95" s="544" t="str">
        <f t="shared" si="55"/>
        <v/>
      </c>
      <c r="EB95" s="544" t="str">
        <f t="shared" si="64"/>
        <v/>
      </c>
      <c r="EC95" s="542"/>
      <c r="ED95" s="639" t="str">
        <f t="array" ref="ED95">IFERROR(IF(ROWS(DT$93:DT95)&gt;COUNTA($DT$93:$DT$145),"",INDEX($DL$93:$DL$142,SMALL(IF($DT$93:$DT$145&lt;&gt;"",ROW($DT$93:$DT$145)-ROW($DT$93)+1),ROWS($DT$93:DT95)))),"")</f>
        <v/>
      </c>
      <c r="EE95" s="542" t="str">
        <f t="shared" ref="EE95:EE142" si="68">IFERROR(VLOOKUP($ED95,DL$93:DS$142,2,FALSE),"")</f>
        <v/>
      </c>
      <c r="EF95" s="544" t="str">
        <f t="shared" ref="EF95:EF142" si="69">IFERROR(VLOOKUP($ED95,DL$93:DS$142,4,FALSE),"")</f>
        <v/>
      </c>
      <c r="EG95" s="546" t="str">
        <f t="shared" ref="EG95:EG142" si="70">IFERROR(VLOOKUP($ED95,DL$93:DS$142,5,FALSE),"")</f>
        <v/>
      </c>
      <c r="EH95" s="544" t="str">
        <f t="shared" ref="EH95:EH142" si="71">IFERROR(VLOOKUP($ED95,DL$93:DS$142,3,FALSE),"")</f>
        <v/>
      </c>
      <c r="EI95" s="544" t="str">
        <f t="shared" ref="EI95:EI142" si="72">IFERROR(VLOOKUP($ED95,DL$93:DS$142,8,FALSE),"")</f>
        <v/>
      </c>
      <c r="EJ95" s="542">
        <v>3</v>
      </c>
      <c r="EK95" s="542"/>
      <c r="EL95" s="542">
        <f t="shared" si="65"/>
        <v>0</v>
      </c>
      <c r="EM95" s="542">
        <f t="array" ref="EM95">--ISNUMBER(DY95)</f>
        <v>0</v>
      </c>
      <c r="EN95" s="542">
        <f t="shared" si="66"/>
        <v>1</v>
      </c>
      <c r="EO95" s="542">
        <f t="array" ref="EO95">IF(ISNUMBER(DY95),EL95,IF(ISBLANK(DY95),EL95,EL95+$EM$143))+$EN$143</f>
        <v>49</v>
      </c>
      <c r="EP95" t="str">
        <f t="shared" si="67"/>
        <v/>
      </c>
      <c r="EQ95" s="542" t="str">
        <f t="array" ref="EQ95">IFERROR(INDEX($DY$93:$DY$142,MATCH(SMALL($EO$93:$EO$142,ROWS($EQ$93:EQ95)+$EN$143),$EO$93:$EO$142,0)),"")</f>
        <v/>
      </c>
      <c r="EW95" s="542"/>
      <c r="LC95" s="542" t="e">
        <f t="array" ref="LC95">INDEX($DY$93:$DY$115,MATCH(ROWS($DY$93:DY95),COUNTIF($DY$93:$DY$115,"&lt;="&amp;$DY$93:$DY$115),0))</f>
        <v>#N/A</v>
      </c>
    </row>
    <row r="96" spans="37:315">
      <c r="BL96">
        <f t="shared" si="38"/>
        <v>4</v>
      </c>
      <c r="BM96" s="642" t="str">
        <f t="shared" si="39"/>
        <v/>
      </c>
      <c r="BN96" s="639" t="str">
        <f t="shared" si="40"/>
        <v/>
      </c>
      <c r="BO96" s="639" t="b">
        <f t="shared" si="56"/>
        <v>0</v>
      </c>
      <c r="BP96" s="643" t="str">
        <f t="shared" si="41"/>
        <v/>
      </c>
      <c r="BQ96" s="639" t="str">
        <f>IFERROR(VLOOKUP(BP96,Lookup!AT$6:AU$8,2,FALSE),"")</f>
        <v/>
      </c>
      <c r="BR96" s="639" t="str">
        <f t="shared" si="42"/>
        <v/>
      </c>
      <c r="BS96" s="644">
        <f>SUMIFS(Installations!CV$46:CV$803,Installations!CW$46:CW$803,BM96,Installations!IC$46:IC$803,TRUE,Installations!CU$46:CU$803,"Exist")</f>
        <v>0</v>
      </c>
      <c r="BT96" s="639" t="str">
        <f t="shared" si="57"/>
        <v/>
      </c>
      <c r="BU96" s="645"/>
      <c r="BX96" s="639" t="str">
        <f t="array" ref="BX96">IFERROR(IF(ROWS(BM$93:BM96)&gt;COUNTA($BM$93:$BM$192),"",INDEX($BL$93:$BL$192,SMALL(IF($BM$93:$BM$192&lt;&gt;"",ROW($BM$93:$BM$192)-ROW($BM$93)+1),ROWS($BM$93:BM96)))),"")</f>
        <v/>
      </c>
      <c r="BY96" s="542" t="str">
        <f t="shared" si="43"/>
        <v/>
      </c>
      <c r="BZ96" s="544" t="str">
        <f t="shared" si="44"/>
        <v/>
      </c>
      <c r="CA96" s="544" t="str">
        <f t="shared" si="45"/>
        <v/>
      </c>
      <c r="CD96" s="639" t="str">
        <f t="array" ref="CD96">IFERROR(IF(ROWS(BT$93:BT96)&gt;COUNTA($BT$93:$BT$192),"",INDEX($BL$93:$BL$192,SMALL(IF($BT$93:$BT$192&lt;&gt;"",ROW($BT$93:$BT$192)-ROW($BT$93)+1),ROWS($BT$93:BT96)))),"")</f>
        <v/>
      </c>
      <c r="CE96" s="542" t="str">
        <f t="shared" si="46"/>
        <v/>
      </c>
      <c r="CF96" s="544" t="str">
        <f t="shared" si="47"/>
        <v/>
      </c>
      <c r="CG96" s="544" t="str">
        <f t="shared" si="48"/>
        <v/>
      </c>
      <c r="CI96" s="544">
        <f t="shared" si="58"/>
        <v>0</v>
      </c>
      <c r="CJ96" s="544">
        <f t="shared" si="59"/>
        <v>0</v>
      </c>
      <c r="CK96" s="544">
        <f t="shared" si="60"/>
        <v>1</v>
      </c>
      <c r="CL96" s="544">
        <f t="array" ref="CL96">IF(ISNUMBER(BY96),CI96,IF(ISBLANK(BY96),CI96,CI96+$CJ$143))+$CK$143</f>
        <v>50</v>
      </c>
      <c r="CM96" t="str">
        <f t="shared" si="61"/>
        <v/>
      </c>
      <c r="CN96" s="542" t="str">
        <f t="array" ref="CN96">IFERROR(INDEX($BY$93:$BY$142,MATCH(SMALL($CL$93:$CL$142,ROWS($CM$93:CM96)+$CK$143),$CL$93:$CL$142,0)),"")</f>
        <v/>
      </c>
      <c r="DL96" s="542">
        <v>4</v>
      </c>
      <c r="DM96" s="642" t="str">
        <f t="shared" si="49"/>
        <v/>
      </c>
      <c r="DN96" s="639" t="str">
        <f t="shared" si="62"/>
        <v/>
      </c>
      <c r="DO96" s="639" t="str">
        <f t="shared" si="50"/>
        <v/>
      </c>
      <c r="DP96" s="646">
        <f t="shared" si="51"/>
        <v>0</v>
      </c>
      <c r="DQ96" s="638" t="str">
        <f t="shared" ca="1" si="52"/>
        <v/>
      </c>
      <c r="DR96" s="639">
        <f>IFERROR(ET30/EF30,0)</f>
        <v>0</v>
      </c>
      <c r="DS96" s="639">
        <f>IF(__Retrofit_TI_NC=0,
SUMIFS(Installations!CV$46:CV$803,Installations!CW$46:CW$803,DM96,Installations!IC$46:IC$803,TRUE,Installations!CU$46:CU$803,"New"),
SUMIFS(Installations!CV$46:CV$803,Installations!CW$46:CW$803,DM96,Installations!IC$46:IC$803,TRUE,Installations!CU$46:CU$803,"New")+SUMIF('Building Area Installations'!H$43:H$72,DM96,'Building Area Installations'!O$43:O$72)+SUMIF('Building Area Installations'!H$82:H$111,DM96,'Building Area Installations'!O$82:O$111))</f>
        <v>0</v>
      </c>
      <c r="DT96" s="639" t="str">
        <f t="shared" si="63"/>
        <v/>
      </c>
      <c r="DU96" s="645"/>
      <c r="DX96" s="639" t="str">
        <f t="array" ref="DX96">IFERROR(IF(ROWS(DM$93:DM96)&gt;COUNTA($DM$93:$DM$145),"",INDEX($DL$93:$DL$142,SMALL(IF($DM$93:$DM$145&lt;&gt;"",ROW($DM$93:$DM$145)-ROW($DM$93)+1),ROWS($DM$93:DM96)))),"")</f>
        <v/>
      </c>
      <c r="DY96" s="542" t="str">
        <f t="shared" si="53"/>
        <v/>
      </c>
      <c r="DZ96" s="544" t="str">
        <f t="shared" si="54"/>
        <v/>
      </c>
      <c r="EA96" s="544" t="str">
        <f t="shared" si="55"/>
        <v/>
      </c>
      <c r="EB96" s="544" t="str">
        <f t="shared" si="64"/>
        <v/>
      </c>
      <c r="EC96" s="542"/>
      <c r="ED96" s="639" t="str">
        <f t="array" ref="ED96">IFERROR(IF(ROWS(DT$93:DT96)&gt;COUNTA($DT$93:$DT$145),"",INDEX($DL$93:$DL$142,SMALL(IF($DT$93:$DT$145&lt;&gt;"",ROW($DT$93:$DT$145)-ROW($DT$93)+1),ROWS($DT$93:DT96)))),"")</f>
        <v/>
      </c>
      <c r="EE96" s="542" t="str">
        <f t="shared" si="68"/>
        <v/>
      </c>
      <c r="EF96" s="544" t="str">
        <f t="shared" si="69"/>
        <v/>
      </c>
      <c r="EG96" s="546" t="str">
        <f t="shared" si="70"/>
        <v/>
      </c>
      <c r="EH96" s="544" t="str">
        <f t="shared" si="71"/>
        <v/>
      </c>
      <c r="EI96" s="544" t="str">
        <f t="shared" si="72"/>
        <v/>
      </c>
      <c r="EJ96" s="542">
        <v>4</v>
      </c>
      <c r="EK96" s="542"/>
      <c r="EL96" s="542">
        <f t="shared" si="65"/>
        <v>0</v>
      </c>
      <c r="EM96" s="542">
        <f t="array" ref="EM96">--ISNUMBER(DY96)</f>
        <v>0</v>
      </c>
      <c r="EN96" s="542">
        <f t="shared" si="66"/>
        <v>1</v>
      </c>
      <c r="EO96" s="542">
        <f t="array" ref="EO96">IF(ISNUMBER(DY96),EL96,IF(ISBLANK(DY96),EL96,EL96+$EM$143))+$EN$143</f>
        <v>49</v>
      </c>
      <c r="EP96" t="str">
        <f t="shared" si="67"/>
        <v/>
      </c>
      <c r="EQ96" s="542" t="str">
        <f t="array" ref="EQ96">IFERROR(INDEX($DY$93:$DY$142,MATCH(SMALL($EO$93:$EO$142,ROWS($EQ$93:EQ96)+$EN$143),$EO$93:$EO$142,0)),"")</f>
        <v/>
      </c>
      <c r="EW96" s="542"/>
      <c r="LC96" s="542" t="e">
        <f t="array" ref="LC96">INDEX($DY$93:$DY$115,MATCH(ROWS($DY$93:DY96),COUNTIF($DY$93:$DY$115,"&lt;="&amp;$DY$93:$DY$115),0))</f>
        <v>#N/A</v>
      </c>
    </row>
    <row r="97" spans="64:315">
      <c r="BL97">
        <f t="shared" si="38"/>
        <v>5</v>
      </c>
      <c r="BM97" s="642" t="str">
        <f t="shared" si="39"/>
        <v/>
      </c>
      <c r="BN97" s="639" t="str">
        <f t="shared" si="40"/>
        <v/>
      </c>
      <c r="BO97" s="639" t="b">
        <f t="shared" si="56"/>
        <v>0</v>
      </c>
      <c r="BP97" s="643" t="str">
        <f t="shared" si="41"/>
        <v/>
      </c>
      <c r="BQ97" s="639" t="str">
        <f>IFERROR(VLOOKUP(BP97,Lookup!AT$6:AU$8,2,FALSE),"")</f>
        <v/>
      </c>
      <c r="BR97" s="639" t="str">
        <f t="shared" si="42"/>
        <v/>
      </c>
      <c r="BS97" s="644">
        <f>SUMIFS(Installations!CV$46:CV$803,Installations!CW$46:CW$803,BM97,Installations!IC$46:IC$803,TRUE,Installations!CU$46:CU$803,"Exist")</f>
        <v>0</v>
      </c>
      <c r="BT97" s="639" t="str">
        <f t="shared" si="57"/>
        <v/>
      </c>
      <c r="BU97" s="645"/>
      <c r="BX97" s="639" t="str">
        <f t="array" ref="BX97">IFERROR(IF(ROWS(BM$93:BM97)&gt;COUNTA($BM$93:$BM$192),"",INDEX($BL$93:$BL$192,SMALL(IF($BM$93:$BM$192&lt;&gt;"",ROW($BM$93:$BM$192)-ROW($BM$93)+1),ROWS($BM$93:BM97)))),"")</f>
        <v/>
      </c>
      <c r="BY97" s="542" t="str">
        <f t="shared" si="43"/>
        <v/>
      </c>
      <c r="BZ97" s="544" t="str">
        <f t="shared" si="44"/>
        <v/>
      </c>
      <c r="CA97" s="544" t="str">
        <f t="shared" si="45"/>
        <v/>
      </c>
      <c r="CD97" s="639" t="str">
        <f t="array" ref="CD97">IFERROR(IF(ROWS(BT$93:BT97)&gt;COUNTA($BT$93:$BT$192),"",INDEX($BL$93:$BL$192,SMALL(IF($BT$93:$BT$192&lt;&gt;"",ROW($BT$93:$BT$192)-ROW($BT$93)+1),ROWS($BT$93:BT97)))),"")</f>
        <v/>
      </c>
      <c r="CE97" s="542" t="str">
        <f t="shared" si="46"/>
        <v/>
      </c>
      <c r="CF97" s="544" t="str">
        <f t="shared" si="47"/>
        <v/>
      </c>
      <c r="CG97" s="544" t="str">
        <f t="shared" si="48"/>
        <v/>
      </c>
      <c r="CI97" s="544">
        <f t="shared" si="58"/>
        <v>0</v>
      </c>
      <c r="CJ97" s="544">
        <f t="shared" si="59"/>
        <v>0</v>
      </c>
      <c r="CK97" s="544">
        <f t="shared" si="60"/>
        <v>1</v>
      </c>
      <c r="CL97" s="544">
        <f t="array" ref="CL97">IF(ISNUMBER(BY97),CI97,IF(ISBLANK(BY97),CI97,CI97+$CJ$143))+$CK$143</f>
        <v>50</v>
      </c>
      <c r="CM97" t="str">
        <f t="shared" si="61"/>
        <v/>
      </c>
      <c r="CN97" s="542" t="str">
        <f t="array" ref="CN97">IFERROR(INDEX($BY$93:$BY$142,MATCH(SMALL($CL$93:$CL$142,ROWS($CM$93:CM97)+$CK$143),$CL$93:$CL$142,0)),"")</f>
        <v/>
      </c>
      <c r="DL97" s="542">
        <v>5</v>
      </c>
      <c r="DM97" s="642" t="str">
        <f t="shared" si="49"/>
        <v/>
      </c>
      <c r="DN97" s="639" t="str">
        <f t="shared" si="62"/>
        <v/>
      </c>
      <c r="DO97" s="639" t="str">
        <f t="shared" si="50"/>
        <v/>
      </c>
      <c r="DP97" s="646">
        <f t="shared" si="51"/>
        <v>0</v>
      </c>
      <c r="DQ97" s="638" t="str">
        <f t="shared" ca="1" si="52"/>
        <v/>
      </c>
      <c r="DR97" s="639">
        <f>IFERROR(ET31/EF31,0)</f>
        <v>0</v>
      </c>
      <c r="DS97" s="639">
        <f>IF(__Retrofit_TI_NC=0,
SUMIFS(Installations!CV$46:CV$803,Installations!CW$46:CW$803,DM97,Installations!IC$46:IC$803,TRUE,Installations!CU$46:CU$803,"New"),
SUMIFS(Installations!CV$46:CV$803,Installations!CW$46:CW$803,DM97,Installations!IC$46:IC$803,TRUE,Installations!CU$46:CU$803,"New")+SUMIF('Building Area Installations'!H$43:H$72,DM97,'Building Area Installations'!O$43:O$72)+SUMIF('Building Area Installations'!H$82:H$111,DM97,'Building Area Installations'!O$82:O$111))</f>
        <v>0</v>
      </c>
      <c r="DT97" s="639" t="str">
        <f t="shared" si="63"/>
        <v/>
      </c>
      <c r="DU97" s="645"/>
      <c r="DX97" s="639" t="str">
        <f t="array" ref="DX97">IFERROR(IF(ROWS(DM$93:DM97)&gt;COUNTA($DM$93:$DM$145),"",INDEX($DL$93:$DL$142,SMALL(IF($DM$93:$DM$145&lt;&gt;"",ROW($DM$93:$DM$145)-ROW($DM$93)+1),ROWS($DM$93:DM97)))),"")</f>
        <v/>
      </c>
      <c r="DY97" s="542" t="str">
        <f t="shared" si="53"/>
        <v/>
      </c>
      <c r="DZ97" s="544" t="str">
        <f t="shared" si="54"/>
        <v/>
      </c>
      <c r="EA97" s="544" t="str">
        <f t="shared" si="55"/>
        <v/>
      </c>
      <c r="EB97" s="544" t="str">
        <f t="shared" si="64"/>
        <v/>
      </c>
      <c r="EC97" s="542"/>
      <c r="ED97" s="639" t="str">
        <f t="array" ref="ED97">IFERROR(IF(ROWS(DT$93:DT97)&gt;COUNTA($DT$93:$DT$145),"",INDEX($DL$93:$DL$142,SMALL(IF($DT$93:$DT$145&lt;&gt;"",ROW($DT$93:$DT$145)-ROW($DT$93)+1),ROWS($DT$93:DT97)))),"")</f>
        <v/>
      </c>
      <c r="EE97" s="542" t="str">
        <f t="shared" si="68"/>
        <v/>
      </c>
      <c r="EF97" s="544" t="str">
        <f t="shared" si="69"/>
        <v/>
      </c>
      <c r="EG97" s="546" t="str">
        <f t="shared" si="70"/>
        <v/>
      </c>
      <c r="EH97" s="544" t="str">
        <f t="shared" si="71"/>
        <v/>
      </c>
      <c r="EI97" s="544" t="str">
        <f t="shared" si="72"/>
        <v/>
      </c>
      <c r="EJ97" s="542">
        <v>5</v>
      </c>
      <c r="EK97" s="542"/>
      <c r="EL97" s="542">
        <f t="shared" si="65"/>
        <v>0</v>
      </c>
      <c r="EM97" s="542">
        <f t="array" ref="EM97">--ISNUMBER(DY97)</f>
        <v>0</v>
      </c>
      <c r="EN97" s="542">
        <f t="shared" si="66"/>
        <v>1</v>
      </c>
      <c r="EO97" s="542">
        <f t="array" ref="EO97">IF(ISNUMBER(DY97),EL97,IF(ISBLANK(DY97),EL97,EL97+$EM$143))+$EN$143</f>
        <v>49</v>
      </c>
      <c r="EP97" t="str">
        <f t="shared" si="67"/>
        <v/>
      </c>
      <c r="EQ97" s="542" t="str">
        <f t="array" ref="EQ97">IFERROR(INDEX($DY$93:$DY$142,MATCH(SMALL($EO$93:$EO$142,ROWS($EQ$93:EQ97)+$EN$143),$EO$93:$EO$142,0)),"")</f>
        <v/>
      </c>
      <c r="EW97" s="542"/>
      <c r="LC97" s="542" t="e">
        <f t="array" ref="LC97">INDEX($DY$93:$DY$115,MATCH(ROWS($DY$93:DY97),COUNTIF($DY$93:$DY$115,"&lt;="&amp;$DY$93:$DY$115),0))</f>
        <v>#N/A</v>
      </c>
    </row>
    <row r="98" spans="64:315">
      <c r="BL98">
        <f t="shared" si="38"/>
        <v>6</v>
      </c>
      <c r="BM98" s="642" t="str">
        <f t="shared" si="39"/>
        <v/>
      </c>
      <c r="BN98" s="639" t="str">
        <f t="shared" si="40"/>
        <v/>
      </c>
      <c r="BO98" s="639" t="b">
        <f t="shared" si="56"/>
        <v>0</v>
      </c>
      <c r="BP98" s="643" t="str">
        <f t="shared" si="41"/>
        <v/>
      </c>
      <c r="BQ98" s="639" t="str">
        <f>IFERROR(VLOOKUP(BP98,Lookup!AT$6:AU$8,2,FALSE),"")</f>
        <v/>
      </c>
      <c r="BR98" s="639" t="str">
        <f t="shared" si="42"/>
        <v/>
      </c>
      <c r="BS98" s="644">
        <f>SUMIFS(Installations!CV$46:CV$803,Installations!CW$46:CW$803,BM98,Installations!IC$46:IC$803,TRUE,Installations!CU$46:CU$803,"Exist")</f>
        <v>0</v>
      </c>
      <c r="BT98" s="639" t="str">
        <f t="shared" si="57"/>
        <v/>
      </c>
      <c r="BU98" s="645"/>
      <c r="BX98" s="639" t="str">
        <f t="array" ref="BX98">IFERROR(IF(ROWS(BM$93:BM98)&gt;COUNTA($BM$93:$BM$192),"",INDEX($BL$93:$BL$192,SMALL(IF($BM$93:$BM$192&lt;&gt;"",ROW($BM$93:$BM$192)-ROW($BM$93)+1),ROWS($BM$93:BM98)))),"")</f>
        <v/>
      </c>
      <c r="BY98" s="542" t="str">
        <f t="shared" si="43"/>
        <v/>
      </c>
      <c r="BZ98" s="544" t="str">
        <f t="shared" si="44"/>
        <v/>
      </c>
      <c r="CA98" s="544" t="str">
        <f t="shared" si="45"/>
        <v/>
      </c>
      <c r="CD98" s="639" t="str">
        <f t="array" ref="CD98">IFERROR(IF(ROWS(BT$93:BT98)&gt;COUNTA($BT$93:$BT$192),"",INDEX($BL$93:$BL$192,SMALL(IF($BT$93:$BT$192&lt;&gt;"",ROW($BT$93:$BT$192)-ROW($BT$93)+1),ROWS($BT$93:BT98)))),"")</f>
        <v/>
      </c>
      <c r="CE98" s="542" t="str">
        <f t="shared" si="46"/>
        <v/>
      </c>
      <c r="CF98" s="544" t="str">
        <f t="shared" si="47"/>
        <v/>
      </c>
      <c r="CG98" s="544" t="str">
        <f t="shared" si="48"/>
        <v/>
      </c>
      <c r="CI98" s="544">
        <f t="shared" si="58"/>
        <v>0</v>
      </c>
      <c r="CJ98" s="544">
        <f t="shared" si="59"/>
        <v>0</v>
      </c>
      <c r="CK98" s="544">
        <f t="shared" si="60"/>
        <v>1</v>
      </c>
      <c r="CL98" s="544">
        <f t="array" ref="CL98">IF(ISNUMBER(BY98),CI98,IF(ISBLANK(BY98),CI98,CI98+$CJ$143))+$CK$143</f>
        <v>50</v>
      </c>
      <c r="CM98" t="str">
        <f t="shared" si="61"/>
        <v/>
      </c>
      <c r="CN98" s="542" t="str">
        <f t="array" ref="CN98">IFERROR(INDEX($BY$93:$BY$142,MATCH(SMALL($CL$93:$CL$142,ROWS($CM$93:CM98)+$CK$143),$CL$93:$CL$142,0)),"")</f>
        <v/>
      </c>
      <c r="DL98" s="542">
        <v>6</v>
      </c>
      <c r="DM98" s="642" t="str">
        <f t="shared" si="49"/>
        <v/>
      </c>
      <c r="DN98" s="639" t="str">
        <f t="shared" si="62"/>
        <v/>
      </c>
      <c r="DO98" s="639" t="str">
        <f t="shared" si="50"/>
        <v/>
      </c>
      <c r="DP98" s="646">
        <f t="shared" si="51"/>
        <v>0</v>
      </c>
      <c r="DQ98" s="638" t="str">
        <f t="shared" ca="1" si="52"/>
        <v/>
      </c>
      <c r="DR98" s="639">
        <f t="shared" ref="DR98:DR142" si="73">IFERROR(ET32/EF32,0)</f>
        <v>0</v>
      </c>
      <c r="DS98" s="639">
        <f>IF(__Retrofit_TI_NC=0,
SUMIFS(Installations!CV$46:CV$803,Installations!CW$46:CW$803,DM98,Installations!IC$46:IC$803,TRUE,Installations!CU$46:CU$803,"New"),
SUMIFS(Installations!CV$46:CV$803,Installations!CW$46:CW$803,DM98,Installations!IC$46:IC$803,TRUE,Installations!CU$46:CU$803,"New")+SUMIF('Building Area Installations'!H$43:H$72,DM98,'Building Area Installations'!O$43:O$72)+SUMIF('Building Area Installations'!H$82:H$111,DM98,'Building Area Installations'!O$82:O$111))</f>
        <v>0</v>
      </c>
      <c r="DT98" s="639" t="str">
        <f t="shared" si="63"/>
        <v/>
      </c>
      <c r="DU98" s="645"/>
      <c r="DX98" s="639" t="str">
        <f t="array" ref="DX98">IFERROR(IF(ROWS(DM$93:DM98)&gt;COUNTA($DM$93:$DM$145),"",INDEX($DL$93:$DL$142,SMALL(IF($DM$93:$DM$145&lt;&gt;"",ROW($DM$93:$DM$145)-ROW($DM$93)+1),ROWS($DM$93:DM98)))),"")</f>
        <v/>
      </c>
      <c r="DY98" s="542" t="str">
        <f t="shared" si="53"/>
        <v/>
      </c>
      <c r="DZ98" s="544" t="str">
        <f t="shared" si="54"/>
        <v/>
      </c>
      <c r="EA98" s="544" t="str">
        <f t="shared" si="55"/>
        <v/>
      </c>
      <c r="EB98" s="544" t="str">
        <f t="shared" si="64"/>
        <v/>
      </c>
      <c r="EC98" s="542"/>
      <c r="ED98" s="639" t="str">
        <f t="array" ref="ED98">IFERROR(IF(ROWS(DT$93:DT98)&gt;COUNTA($DT$93:$DT$145),"",INDEX($DL$93:$DL$142,SMALL(IF($DT$93:$DT$145&lt;&gt;"",ROW($DT$93:$DT$145)-ROW($DT$93)+1),ROWS($DT$93:DT98)))),"")</f>
        <v/>
      </c>
      <c r="EE98" s="542" t="str">
        <f t="shared" si="68"/>
        <v/>
      </c>
      <c r="EF98" s="544" t="str">
        <f t="shared" si="69"/>
        <v/>
      </c>
      <c r="EG98" s="546" t="str">
        <f t="shared" si="70"/>
        <v/>
      </c>
      <c r="EH98" s="544" t="str">
        <f t="shared" si="71"/>
        <v/>
      </c>
      <c r="EI98" s="544" t="str">
        <f t="shared" si="72"/>
        <v/>
      </c>
      <c r="EJ98" s="542">
        <v>6</v>
      </c>
      <c r="EK98" s="542"/>
      <c r="EL98" s="542">
        <f t="shared" si="65"/>
        <v>0</v>
      </c>
      <c r="EM98" s="542">
        <f t="array" ref="EM98">--ISNUMBER(DY98)</f>
        <v>0</v>
      </c>
      <c r="EN98" s="542">
        <f t="shared" si="66"/>
        <v>1</v>
      </c>
      <c r="EO98" s="542">
        <f t="array" ref="EO98">IF(ISNUMBER(DY98),EL98,IF(ISBLANK(DY98),EL98,EL98+$EM$143))+$EN$143</f>
        <v>49</v>
      </c>
      <c r="EP98" t="str">
        <f t="shared" si="67"/>
        <v/>
      </c>
      <c r="EQ98" s="542" t="str">
        <f t="array" ref="EQ98">IFERROR(INDEX($DY$93:$DY$142,MATCH(SMALL($EO$93:$EO$142,ROWS($EQ$93:EQ98)+$EN$143),$EO$93:$EO$142,0)),"")</f>
        <v/>
      </c>
      <c r="EW98" s="542"/>
      <c r="LC98" s="542" t="e">
        <f t="array" ref="LC98">INDEX($DY$93:$DY$115,MATCH(ROWS($DY$93:DY98),COUNTIF($DY$93:$DY$115,"&lt;="&amp;$DY$93:$DY$115),0))</f>
        <v>#N/A</v>
      </c>
    </row>
    <row r="99" spans="64:315">
      <c r="BL99">
        <f t="shared" si="38"/>
        <v>7</v>
      </c>
      <c r="BM99" s="642" t="str">
        <f t="shared" si="39"/>
        <v/>
      </c>
      <c r="BN99" s="639" t="str">
        <f t="shared" si="40"/>
        <v/>
      </c>
      <c r="BO99" s="639" t="b">
        <f t="shared" si="56"/>
        <v>0</v>
      </c>
      <c r="BP99" s="643" t="str">
        <f t="shared" si="41"/>
        <v/>
      </c>
      <c r="BQ99" s="639" t="str">
        <f>IFERROR(VLOOKUP(BP99,Lookup!AT$6:AU$8,2,FALSE),"")</f>
        <v/>
      </c>
      <c r="BR99" s="639" t="str">
        <f t="shared" si="42"/>
        <v/>
      </c>
      <c r="BS99" s="644">
        <f>SUMIFS(Installations!CV$46:CV$803,Installations!CW$46:CW$803,BM99,Installations!IC$46:IC$803,TRUE,Installations!CU$46:CU$803,"Exist")</f>
        <v>0</v>
      </c>
      <c r="BT99" s="639" t="str">
        <f t="shared" si="57"/>
        <v/>
      </c>
      <c r="BU99" s="645"/>
      <c r="BX99" s="639" t="str">
        <f t="array" ref="BX99">IFERROR(IF(ROWS(BM$93:BM99)&gt;COUNTA($BM$93:$BM$192),"",INDEX($BL$93:$BL$192,SMALL(IF($BM$93:$BM$192&lt;&gt;"",ROW($BM$93:$BM$192)-ROW($BM$93)+1),ROWS($BM$93:BM99)))),"")</f>
        <v/>
      </c>
      <c r="BY99" s="542" t="str">
        <f t="shared" si="43"/>
        <v/>
      </c>
      <c r="BZ99" s="544" t="str">
        <f t="shared" si="44"/>
        <v/>
      </c>
      <c r="CA99" s="544" t="str">
        <f t="shared" si="45"/>
        <v/>
      </c>
      <c r="CD99" s="639" t="str">
        <f t="array" ref="CD99">IFERROR(IF(ROWS(BT$93:BT99)&gt;COUNTA($BT$93:$BT$192),"",INDEX($BL$93:$BL$192,SMALL(IF($BT$93:$BT$192&lt;&gt;"",ROW($BT$93:$BT$192)-ROW($BT$93)+1),ROWS($BT$93:BT99)))),"")</f>
        <v/>
      </c>
      <c r="CE99" s="542" t="str">
        <f t="shared" si="46"/>
        <v/>
      </c>
      <c r="CF99" s="544" t="str">
        <f t="shared" si="47"/>
        <v/>
      </c>
      <c r="CG99" s="544" t="str">
        <f t="shared" si="48"/>
        <v/>
      </c>
      <c r="CI99" s="544">
        <f t="shared" si="58"/>
        <v>0</v>
      </c>
      <c r="CJ99" s="544">
        <f t="shared" si="59"/>
        <v>0</v>
      </c>
      <c r="CK99" s="544">
        <f t="shared" si="60"/>
        <v>1</v>
      </c>
      <c r="CL99" s="544">
        <f t="array" ref="CL99">IF(ISNUMBER(BY99),CI99,IF(ISBLANK(BY99),CI99,CI99+$CJ$143))+$CK$143</f>
        <v>50</v>
      </c>
      <c r="CM99" t="str">
        <f t="shared" si="61"/>
        <v/>
      </c>
      <c r="CN99" s="542" t="str">
        <f t="array" ref="CN99">IFERROR(INDEX($BY$93:$BY$142,MATCH(SMALL($CL$93:$CL$142,ROWS($CM$93:CM99)+$CK$143),$CL$93:$CL$142,0)),"")</f>
        <v/>
      </c>
      <c r="DL99" s="542">
        <v>7</v>
      </c>
      <c r="DM99" s="642" t="str">
        <f t="shared" si="49"/>
        <v/>
      </c>
      <c r="DN99" s="639" t="str">
        <f t="shared" si="62"/>
        <v/>
      </c>
      <c r="DO99" s="639" t="str">
        <f t="shared" si="50"/>
        <v/>
      </c>
      <c r="DP99" s="646">
        <f t="shared" si="51"/>
        <v>0</v>
      </c>
      <c r="DQ99" s="638" t="str">
        <f t="shared" ca="1" si="52"/>
        <v/>
      </c>
      <c r="DR99" s="639">
        <f t="shared" si="73"/>
        <v>0</v>
      </c>
      <c r="DS99" s="639">
        <f>IF(__Retrofit_TI_NC=0,
SUMIFS(Installations!CV$46:CV$803,Installations!CW$46:CW$803,DM99,Installations!IC$46:IC$803,TRUE,Installations!CU$46:CU$803,"New"),
SUMIFS(Installations!CV$46:CV$803,Installations!CW$46:CW$803,DM99,Installations!IC$46:IC$803,TRUE,Installations!CU$46:CU$803,"New")+SUMIF('Building Area Installations'!H$43:H$72,DM99,'Building Area Installations'!O$43:O$72)+SUMIF('Building Area Installations'!H$82:H$111,DM99,'Building Area Installations'!O$82:O$111))</f>
        <v>0</v>
      </c>
      <c r="DT99" s="639" t="str">
        <f t="shared" si="63"/>
        <v/>
      </c>
      <c r="DU99" s="645"/>
      <c r="DX99" s="639" t="str">
        <f t="array" ref="DX99">IFERROR(IF(ROWS(DM$93:DM99)&gt;COUNTA($DM$93:$DM$145),"",INDEX($DL$93:$DL$142,SMALL(IF($DM$93:$DM$145&lt;&gt;"",ROW($DM$93:$DM$145)-ROW($DM$93)+1),ROWS($DM$93:DM99)))),"")</f>
        <v/>
      </c>
      <c r="DY99" s="542" t="str">
        <f t="shared" ref="DY99:DY142" si="74">IFERROR(VLOOKUP($DX99,DL$93:DS$142,2,FALSE),"")</f>
        <v/>
      </c>
      <c r="DZ99" s="544" t="str">
        <f t="shared" ref="DZ99:DZ142" si="75">IFERROR(VLOOKUP($DX99,DL$93:DS$142,3,FALSE),"")</f>
        <v/>
      </c>
      <c r="EA99" s="544" t="str">
        <f t="shared" ref="EA99:EA142" si="76">IFERROR(VLOOKUP($DX99,DL$93:DS$142,8,FALSE),"")</f>
        <v/>
      </c>
      <c r="EB99" s="544" t="str">
        <f t="shared" si="64"/>
        <v/>
      </c>
      <c r="ED99" s="639" t="str">
        <f t="array" ref="ED99">IFERROR(IF(ROWS(DT$93:DT99)&gt;COUNTA($DT$93:$DT$145),"",INDEX($DL$93:$DL$142,SMALL(IF($DT$93:$DT$145&lt;&gt;"",ROW($DT$93:$DT$145)-ROW($DT$93)+1),ROWS($DT$93:DT99)))),"")</f>
        <v/>
      </c>
      <c r="EE99" s="542" t="str">
        <f t="shared" si="68"/>
        <v/>
      </c>
      <c r="EF99" s="544" t="str">
        <f t="shared" si="69"/>
        <v/>
      </c>
      <c r="EG99" s="546" t="str">
        <f t="shared" si="70"/>
        <v/>
      </c>
      <c r="EH99" s="544" t="str">
        <f t="shared" si="71"/>
        <v/>
      </c>
      <c r="EI99" s="544" t="str">
        <f t="shared" si="72"/>
        <v/>
      </c>
      <c r="EJ99" s="542">
        <v>7</v>
      </c>
      <c r="EL99" s="542">
        <f t="shared" si="65"/>
        <v>0</v>
      </c>
      <c r="EM99" s="542">
        <f t="array" ref="EM99">--ISNUMBER(DY99)</f>
        <v>0</v>
      </c>
      <c r="EN99" s="542">
        <f t="shared" si="66"/>
        <v>1</v>
      </c>
      <c r="EO99" s="542">
        <f t="array" ref="EO99">IF(ISNUMBER(DY99),EL99,IF(ISBLANK(DY99),EL99,EL99+$EM$143))+$EN$143</f>
        <v>49</v>
      </c>
      <c r="EP99" t="str">
        <f t="shared" si="67"/>
        <v/>
      </c>
      <c r="EQ99" s="542" t="str">
        <f t="array" ref="EQ99">IFERROR(INDEX($DY$93:$DY$142,MATCH(SMALL($EO$93:$EO$142,ROWS($EQ$93:EQ99)+$EN$143),$EO$93:$EO$142,0)),"")</f>
        <v/>
      </c>
      <c r="EW99" s="542"/>
      <c r="LC99" s="542" t="e">
        <f t="array" ref="LC99">INDEX($DY$93:$DY$115,MATCH(ROWS($DY$93:DY99),COUNTIF($DY$93:$DY$115,"&lt;="&amp;$DY$93:$DY$115),0))</f>
        <v>#N/A</v>
      </c>
    </row>
    <row r="100" spans="64:315">
      <c r="BL100">
        <f t="shared" si="38"/>
        <v>8</v>
      </c>
      <c r="BM100" s="642" t="str">
        <f t="shared" si="39"/>
        <v/>
      </c>
      <c r="BN100" s="639" t="str">
        <f t="shared" si="40"/>
        <v/>
      </c>
      <c r="BO100" s="639" t="b">
        <f t="shared" si="56"/>
        <v>0</v>
      </c>
      <c r="BP100" s="643" t="str">
        <f t="shared" si="41"/>
        <v/>
      </c>
      <c r="BQ100" s="639" t="str">
        <f>IFERROR(VLOOKUP(BP100,Lookup!AT$6:AU$8,2,FALSE),"")</f>
        <v/>
      </c>
      <c r="BR100" s="639" t="str">
        <f t="shared" si="42"/>
        <v/>
      </c>
      <c r="BS100" s="644">
        <f>SUMIFS(Installations!CV$46:CV$803,Installations!CW$46:CW$803,BM100,Installations!IC$46:IC$803,TRUE,Installations!CU$46:CU$803,"Exist")</f>
        <v>0</v>
      </c>
      <c r="BT100" s="639" t="str">
        <f t="shared" si="57"/>
        <v/>
      </c>
      <c r="BU100" s="645"/>
      <c r="BX100" s="639" t="str">
        <f t="array" ref="BX100">IFERROR(IF(ROWS(BM$93:BM100)&gt;COUNTA($BM$93:$BM$192),"",INDEX($BL$93:$BL$192,SMALL(IF($BM$93:$BM$192&lt;&gt;"",ROW($BM$93:$BM$192)-ROW($BM$93)+1),ROWS($BM$93:BM100)))),"")</f>
        <v/>
      </c>
      <c r="BY100" s="542" t="str">
        <f t="shared" si="43"/>
        <v/>
      </c>
      <c r="BZ100" s="544" t="str">
        <f t="shared" si="44"/>
        <v/>
      </c>
      <c r="CA100" s="544" t="str">
        <f t="shared" si="45"/>
        <v/>
      </c>
      <c r="CD100" s="639" t="str">
        <f t="array" ref="CD100">IFERROR(IF(ROWS(BT$93:BT100)&gt;COUNTA($BT$93:$BT$192),"",INDEX($BL$93:$BL$192,SMALL(IF($BT$93:$BT$192&lt;&gt;"",ROW($BT$93:$BT$192)-ROW($BT$93)+1),ROWS($BT$93:BT100)))),"")</f>
        <v/>
      </c>
      <c r="CE100" s="542" t="str">
        <f t="shared" si="46"/>
        <v/>
      </c>
      <c r="CF100" s="544" t="str">
        <f t="shared" si="47"/>
        <v/>
      </c>
      <c r="CG100" s="544" t="str">
        <f t="shared" si="48"/>
        <v/>
      </c>
      <c r="CI100" s="544">
        <f t="shared" si="58"/>
        <v>0</v>
      </c>
      <c r="CJ100" s="544">
        <f t="shared" si="59"/>
        <v>0</v>
      </c>
      <c r="CK100" s="544">
        <f t="shared" si="60"/>
        <v>1</v>
      </c>
      <c r="CL100" s="544">
        <f t="array" ref="CL100">IF(ISNUMBER(BY100),CI100,IF(ISBLANK(BY100),CI100,CI100+$CJ$143))+$CK$143</f>
        <v>50</v>
      </c>
      <c r="CM100" t="str">
        <f t="shared" si="61"/>
        <v/>
      </c>
      <c r="CN100" s="542" t="str">
        <f t="array" ref="CN100">IFERROR(INDEX($BY$93:$BY$142,MATCH(SMALL($CL$93:$CL$142,ROWS($CM$93:CM100)+$CK$143),$CL$93:$CL$142,0)),"")</f>
        <v/>
      </c>
      <c r="DL100" s="542">
        <v>8</v>
      </c>
      <c r="DM100" s="642" t="str">
        <f t="shared" si="49"/>
        <v/>
      </c>
      <c r="DN100" s="639" t="str">
        <f t="shared" si="62"/>
        <v/>
      </c>
      <c r="DO100" s="639" t="str">
        <f t="shared" si="50"/>
        <v/>
      </c>
      <c r="DP100" s="646">
        <f t="shared" si="51"/>
        <v>0</v>
      </c>
      <c r="DQ100" s="638" t="str">
        <f t="shared" ca="1" si="52"/>
        <v/>
      </c>
      <c r="DR100" s="639">
        <f t="shared" si="73"/>
        <v>0</v>
      </c>
      <c r="DS100" s="639">
        <f>IF(__Retrofit_TI_NC=0,
SUMIFS(Installations!CV$46:CV$803,Installations!CW$46:CW$803,DM100,Installations!IC$46:IC$803,TRUE,Installations!CU$46:CU$803,"New"),
SUMIFS(Installations!CV$46:CV$803,Installations!CW$46:CW$803,DM100,Installations!IC$46:IC$803,TRUE,Installations!CU$46:CU$803,"New")+SUMIF('Building Area Installations'!H$43:H$72,DM100,'Building Area Installations'!O$43:O$72)+SUMIF('Building Area Installations'!H$82:H$111,DM100,'Building Area Installations'!O$82:O$111))</f>
        <v>0</v>
      </c>
      <c r="DT100" s="639" t="str">
        <f t="shared" si="63"/>
        <v/>
      </c>
      <c r="DU100" s="645"/>
      <c r="DX100" s="639" t="str">
        <f t="array" ref="DX100">IFERROR(IF(ROWS(DM$93:DM100)&gt;COUNTA($DM$93:$DM$145),"",INDEX($DL$93:$DL$142,SMALL(IF($DM$93:$DM$145&lt;&gt;"",ROW($DM$93:$DM$145)-ROW($DM$93)+1),ROWS($DM$93:DM100)))),"")</f>
        <v/>
      </c>
      <c r="DY100" s="542" t="str">
        <f t="shared" si="74"/>
        <v/>
      </c>
      <c r="DZ100" s="544" t="str">
        <f t="shared" si="75"/>
        <v/>
      </c>
      <c r="EA100" s="544" t="str">
        <f t="shared" si="76"/>
        <v/>
      </c>
      <c r="EB100" s="544" t="str">
        <f t="shared" si="64"/>
        <v/>
      </c>
      <c r="ED100" s="639" t="str">
        <f t="array" ref="ED100">IFERROR(IF(ROWS(DT$93:DT100)&gt;COUNTA($DT$93:$DT$145),"",INDEX($DL$93:$DL$142,SMALL(IF($DT$93:$DT$145&lt;&gt;"",ROW($DT$93:$DT$145)-ROW($DT$93)+1),ROWS($DT$93:DT100)))),"")</f>
        <v/>
      </c>
      <c r="EE100" s="542" t="str">
        <f t="shared" si="68"/>
        <v/>
      </c>
      <c r="EF100" s="544" t="str">
        <f t="shared" si="69"/>
        <v/>
      </c>
      <c r="EG100" s="546" t="str">
        <f t="shared" si="70"/>
        <v/>
      </c>
      <c r="EH100" s="544" t="str">
        <f t="shared" si="71"/>
        <v/>
      </c>
      <c r="EI100" s="544" t="str">
        <f t="shared" si="72"/>
        <v/>
      </c>
      <c r="EJ100" s="542">
        <v>8</v>
      </c>
      <c r="EL100" s="542">
        <f t="shared" si="65"/>
        <v>0</v>
      </c>
      <c r="EM100" s="542">
        <f t="array" ref="EM100">--ISNUMBER(DY100)</f>
        <v>0</v>
      </c>
      <c r="EN100" s="542">
        <f t="shared" si="66"/>
        <v>1</v>
      </c>
      <c r="EO100" s="542">
        <f t="array" ref="EO100">IF(ISNUMBER(DY100),EL100,IF(ISBLANK(DY100),EL100,EL100+$EM$143))+$EN$143</f>
        <v>49</v>
      </c>
      <c r="EP100" t="str">
        <f t="shared" si="67"/>
        <v/>
      </c>
      <c r="EQ100" s="542" t="str">
        <f t="array" ref="EQ100">IFERROR(INDEX($DY$93:$DY$142,MATCH(SMALL($EO$93:$EO$142,ROWS($EQ$93:EQ100)+$EN$143),$EO$93:$EO$142,0)),"")</f>
        <v/>
      </c>
      <c r="EW100" s="542"/>
      <c r="LC100" s="542" t="e">
        <f t="array" ref="LC100">INDEX($DY$93:$DY$115,MATCH(ROWS($DY$93:DY100),COUNTIF($DY$93:$DY$115,"&lt;="&amp;$DY$93:$DY$115),0))</f>
        <v>#N/A</v>
      </c>
    </row>
    <row r="101" spans="64:315">
      <c r="BL101">
        <f t="shared" si="38"/>
        <v>9</v>
      </c>
      <c r="BM101" s="642" t="str">
        <f t="shared" si="39"/>
        <v/>
      </c>
      <c r="BN101" s="639" t="str">
        <f t="shared" si="40"/>
        <v/>
      </c>
      <c r="BO101" s="639" t="b">
        <f t="shared" si="56"/>
        <v>0</v>
      </c>
      <c r="BP101" s="643" t="str">
        <f t="shared" si="41"/>
        <v/>
      </c>
      <c r="BQ101" s="639" t="str">
        <f>IFERROR(VLOOKUP(BP101,Lookup!AT$6:AU$8,2,FALSE),"")</f>
        <v/>
      </c>
      <c r="BR101" s="639" t="str">
        <f t="shared" si="42"/>
        <v/>
      </c>
      <c r="BS101" s="644">
        <f>SUMIFS(Installations!CV$46:CV$803,Installations!CW$46:CW$803,BM101,Installations!IC$46:IC$803,TRUE,Installations!CU$46:CU$803,"Exist")</f>
        <v>0</v>
      </c>
      <c r="BT101" s="639" t="str">
        <f t="shared" si="57"/>
        <v/>
      </c>
      <c r="BU101" s="645"/>
      <c r="BX101" s="639" t="str">
        <f t="array" ref="BX101">IFERROR(IF(ROWS(BM$93:BM101)&gt;COUNTA($BM$93:$BM$192),"",INDEX($BL$93:$BL$192,SMALL(IF($BM$93:$BM$192&lt;&gt;"",ROW($BM$93:$BM$192)-ROW($BM$93)+1),ROWS($BM$93:BM101)))),"")</f>
        <v/>
      </c>
      <c r="BY101" s="542" t="str">
        <f t="shared" si="43"/>
        <v/>
      </c>
      <c r="BZ101" s="544" t="str">
        <f t="shared" si="44"/>
        <v/>
      </c>
      <c r="CA101" s="544" t="str">
        <f t="shared" si="45"/>
        <v/>
      </c>
      <c r="CD101" s="639" t="str">
        <f t="array" ref="CD101">IFERROR(IF(ROWS(BT$93:BT101)&gt;COUNTA($BT$93:$BT$192),"",INDEX($BL$93:$BL$192,SMALL(IF($BT$93:$BT$192&lt;&gt;"",ROW($BT$93:$BT$192)-ROW($BT$93)+1),ROWS($BT$93:BT101)))),"")</f>
        <v/>
      </c>
      <c r="CE101" s="542" t="str">
        <f t="shared" si="46"/>
        <v/>
      </c>
      <c r="CF101" s="544" t="str">
        <f t="shared" si="47"/>
        <v/>
      </c>
      <c r="CG101" s="544" t="str">
        <f t="shared" si="48"/>
        <v/>
      </c>
      <c r="CI101" s="544">
        <f t="shared" si="58"/>
        <v>0</v>
      </c>
      <c r="CJ101" s="544">
        <f t="shared" si="59"/>
        <v>0</v>
      </c>
      <c r="CK101" s="544">
        <f t="shared" si="60"/>
        <v>1</v>
      </c>
      <c r="CL101" s="544">
        <f t="array" ref="CL101">IF(ISNUMBER(BY101),CI101,IF(ISBLANK(BY101),CI101,CI101+$CJ$143))+$CK$143</f>
        <v>50</v>
      </c>
      <c r="CM101" t="str">
        <f t="shared" si="61"/>
        <v/>
      </c>
      <c r="CN101" s="542" t="str">
        <f t="array" ref="CN101">IFERROR(INDEX($BY$93:$BY$142,MATCH(SMALL($CL$93:$CL$142,ROWS($CM$93:CM101)+$CK$143),$CL$93:$CL$142,0)),"")</f>
        <v/>
      </c>
      <c r="DL101" s="542">
        <v>9</v>
      </c>
      <c r="DM101" s="642" t="str">
        <f t="shared" si="49"/>
        <v/>
      </c>
      <c r="DN101" s="639" t="str">
        <f t="shared" si="62"/>
        <v/>
      </c>
      <c r="DO101" s="639" t="str">
        <f t="shared" si="50"/>
        <v/>
      </c>
      <c r="DP101" s="646">
        <f t="shared" si="51"/>
        <v>0</v>
      </c>
      <c r="DQ101" s="638" t="str">
        <f t="shared" ca="1" si="52"/>
        <v/>
      </c>
      <c r="DR101" s="639">
        <f t="shared" si="73"/>
        <v>0</v>
      </c>
      <c r="DS101" s="639">
        <f>IF(__Retrofit_TI_NC=0,
SUMIFS(Installations!CV$46:CV$803,Installations!CW$46:CW$803,DM101,Installations!IC$46:IC$803,TRUE,Installations!CU$46:CU$803,"New"),
SUMIFS(Installations!CV$46:CV$803,Installations!CW$46:CW$803,DM101,Installations!IC$46:IC$803,TRUE,Installations!CU$46:CU$803,"New")+SUMIF('Building Area Installations'!H$43:H$72,DM101,'Building Area Installations'!O$43:O$72)+SUMIF('Building Area Installations'!H$82:H$111,DM101,'Building Area Installations'!O$82:O$111))</f>
        <v>0</v>
      </c>
      <c r="DT101" s="639" t="str">
        <f t="shared" si="63"/>
        <v/>
      </c>
      <c r="DU101" s="645"/>
      <c r="DX101" s="639" t="str">
        <f t="array" ref="DX101">IFERROR(IF(ROWS(DM$93:DM101)&gt;COUNTA($DM$93:$DM$145),"",INDEX($DL$93:$DL$142,SMALL(IF($DM$93:$DM$145&lt;&gt;"",ROW($DM$93:$DM$145)-ROW($DM$93)+1),ROWS($DM$93:DM101)))),"")</f>
        <v/>
      </c>
      <c r="DY101" s="542" t="str">
        <f t="shared" si="74"/>
        <v/>
      </c>
      <c r="DZ101" s="544" t="str">
        <f t="shared" si="75"/>
        <v/>
      </c>
      <c r="EA101" s="544" t="str">
        <f t="shared" si="76"/>
        <v/>
      </c>
      <c r="EB101" s="544" t="str">
        <f t="shared" si="64"/>
        <v/>
      </c>
      <c r="ED101" s="639" t="str">
        <f t="array" ref="ED101">IFERROR(IF(ROWS(DT$93:DT101)&gt;COUNTA($DT$93:$DT$145),"",INDEX($DL$93:$DL$142,SMALL(IF($DT$93:$DT$145&lt;&gt;"",ROW($DT$93:$DT$145)-ROW($DT$93)+1),ROWS($DT$93:DT101)))),"")</f>
        <v/>
      </c>
      <c r="EE101" s="542" t="str">
        <f t="shared" si="68"/>
        <v/>
      </c>
      <c r="EF101" s="544" t="str">
        <f t="shared" si="69"/>
        <v/>
      </c>
      <c r="EG101" s="546" t="str">
        <f t="shared" si="70"/>
        <v/>
      </c>
      <c r="EH101" s="544" t="str">
        <f t="shared" si="71"/>
        <v/>
      </c>
      <c r="EI101" s="544" t="str">
        <f t="shared" si="72"/>
        <v/>
      </c>
      <c r="EJ101" s="542">
        <v>9</v>
      </c>
      <c r="EL101" s="542">
        <f t="shared" si="65"/>
        <v>0</v>
      </c>
      <c r="EM101" s="542">
        <f t="array" ref="EM101">--ISNUMBER(DY101)</f>
        <v>0</v>
      </c>
      <c r="EN101" s="542">
        <f t="shared" si="66"/>
        <v>1</v>
      </c>
      <c r="EO101" s="542">
        <f t="array" ref="EO101">IF(ISNUMBER(DY101),EL101,IF(ISBLANK(DY101),EL101,EL101+$EM$143))+$EN$143</f>
        <v>49</v>
      </c>
      <c r="EP101" t="str">
        <f t="shared" si="67"/>
        <v/>
      </c>
      <c r="EQ101" s="542" t="str">
        <f t="array" ref="EQ101">IFERROR(INDEX($DY$93:$DY$142,MATCH(SMALL($EO$93:$EO$142,ROWS($EQ$93:EQ101)+$EN$143),$EO$93:$EO$142,0)),"")</f>
        <v/>
      </c>
      <c r="EW101" s="542"/>
      <c r="LC101" s="542" t="e">
        <f t="array" ref="LC101">INDEX($DY$93:$DY$115,MATCH(ROWS($DY$93:DY101),COUNTIF($DY$93:$DY$115,"&lt;="&amp;$DY$93:$DY$115),0))</f>
        <v>#N/A</v>
      </c>
    </row>
    <row r="102" spans="64:315">
      <c r="BL102">
        <f t="shared" si="38"/>
        <v>10</v>
      </c>
      <c r="BM102" s="642" t="str">
        <f t="shared" si="39"/>
        <v/>
      </c>
      <c r="BN102" s="639" t="str">
        <f t="shared" si="40"/>
        <v/>
      </c>
      <c r="BO102" s="639" t="b">
        <f t="shared" si="56"/>
        <v>0</v>
      </c>
      <c r="BP102" s="643" t="str">
        <f t="shared" si="41"/>
        <v/>
      </c>
      <c r="BQ102" s="639" t="str">
        <f>IFERROR(VLOOKUP(BP102,Lookup!AT$6:AU$8,2,FALSE),"")</f>
        <v/>
      </c>
      <c r="BR102" s="639" t="str">
        <f t="shared" si="42"/>
        <v/>
      </c>
      <c r="BS102" s="644">
        <f>SUMIFS(Installations!CV$46:CV$803,Installations!CW$46:CW$803,BM102,Installations!IC$46:IC$803,TRUE,Installations!CU$46:CU$803,"Exist")</f>
        <v>0</v>
      </c>
      <c r="BT102" s="639" t="str">
        <f t="shared" si="57"/>
        <v/>
      </c>
      <c r="BU102" s="645"/>
      <c r="BX102" s="639" t="str">
        <f t="array" ref="BX102">IFERROR(IF(ROWS(BM$93:BM102)&gt;COUNTA($BM$93:$BM$192),"",INDEX($BL$93:$BL$192,SMALL(IF($BM$93:$BM$192&lt;&gt;"",ROW($BM$93:$BM$192)-ROW($BM$93)+1),ROWS($BM$93:BM102)))),"")</f>
        <v/>
      </c>
      <c r="BY102" s="542" t="str">
        <f t="shared" si="43"/>
        <v/>
      </c>
      <c r="BZ102" s="544" t="str">
        <f t="shared" si="44"/>
        <v/>
      </c>
      <c r="CA102" s="544" t="str">
        <f t="shared" si="45"/>
        <v/>
      </c>
      <c r="CD102" s="639" t="str">
        <f t="array" ref="CD102">IFERROR(IF(ROWS(BT$93:BT102)&gt;COUNTA($BT$93:$BT$192),"",INDEX($BL$93:$BL$192,SMALL(IF($BT$93:$BT$192&lt;&gt;"",ROW($BT$93:$BT$192)-ROW($BT$93)+1),ROWS($BT$93:BT102)))),"")</f>
        <v/>
      </c>
      <c r="CE102" s="542" t="str">
        <f t="shared" si="46"/>
        <v/>
      </c>
      <c r="CF102" s="544" t="str">
        <f t="shared" si="47"/>
        <v/>
      </c>
      <c r="CG102" s="544" t="str">
        <f t="shared" si="48"/>
        <v/>
      </c>
      <c r="CI102" s="544">
        <f t="shared" si="58"/>
        <v>0</v>
      </c>
      <c r="CJ102" s="544">
        <f t="shared" si="59"/>
        <v>0</v>
      </c>
      <c r="CK102" s="544">
        <f t="shared" si="60"/>
        <v>1</v>
      </c>
      <c r="CL102" s="544">
        <f t="array" ref="CL102">IF(ISNUMBER(BY102),CI102,IF(ISBLANK(BY102),CI102,CI102+$CJ$143))+$CK$143</f>
        <v>50</v>
      </c>
      <c r="CM102" t="str">
        <f t="shared" si="61"/>
        <v/>
      </c>
      <c r="CN102" s="542" t="str">
        <f t="array" ref="CN102">IFERROR(INDEX($BY$93:$BY$142,MATCH(SMALL($CL$93:$CL$142,ROWS($CM$93:CM102)+$CK$143),$CL$93:$CL$142,0)),"")</f>
        <v/>
      </c>
      <c r="DL102" s="542">
        <v>10</v>
      </c>
      <c r="DM102" s="642" t="str">
        <f t="shared" si="49"/>
        <v/>
      </c>
      <c r="DN102" s="639" t="str">
        <f t="shared" si="62"/>
        <v/>
      </c>
      <c r="DO102" s="639" t="str">
        <f t="shared" si="50"/>
        <v/>
      </c>
      <c r="DP102" s="646">
        <f t="shared" si="51"/>
        <v>0</v>
      </c>
      <c r="DQ102" s="638" t="str">
        <f t="shared" ca="1" si="52"/>
        <v/>
      </c>
      <c r="DR102" s="639">
        <f t="shared" si="73"/>
        <v>0</v>
      </c>
      <c r="DS102" s="639">
        <f>IF(__Retrofit_TI_NC=0,
SUMIFS(Installations!CV$46:CV$803,Installations!CW$46:CW$803,DM102,Installations!IC$46:IC$803,TRUE,Installations!CU$46:CU$803,"New"),
SUMIFS(Installations!CV$46:CV$803,Installations!CW$46:CW$803,DM102,Installations!IC$46:IC$803,TRUE,Installations!CU$46:CU$803,"New")+SUMIF('Building Area Installations'!H$43:H$72,DM102,'Building Area Installations'!O$43:O$72)+SUMIF('Building Area Installations'!H$82:H$111,DM102,'Building Area Installations'!O$82:O$111))</f>
        <v>0</v>
      </c>
      <c r="DT102" s="639" t="str">
        <f t="shared" si="63"/>
        <v/>
      </c>
      <c r="DU102" s="645"/>
      <c r="DX102" s="639" t="str">
        <f t="array" ref="DX102">IFERROR(IF(ROWS(DM$93:DM102)&gt;COUNTA($DM$93:$DM$145),"",INDEX($DL$93:$DL$142,SMALL(IF($DM$93:$DM$145&lt;&gt;"",ROW($DM$93:$DM$145)-ROW($DM$93)+1),ROWS($DM$93:DM102)))),"")</f>
        <v/>
      </c>
      <c r="DY102" s="542" t="str">
        <f t="shared" si="74"/>
        <v/>
      </c>
      <c r="DZ102" s="544" t="str">
        <f t="shared" si="75"/>
        <v/>
      </c>
      <c r="EA102" s="544" t="str">
        <f t="shared" si="76"/>
        <v/>
      </c>
      <c r="EB102" s="544" t="str">
        <f t="shared" si="64"/>
        <v/>
      </c>
      <c r="ED102" s="639" t="str">
        <f t="array" ref="ED102">IFERROR(IF(ROWS(DT$93:DT102)&gt;COUNTA($DT$93:$DT$145),"",INDEX($DL$93:$DL$142,SMALL(IF($DT$93:$DT$145&lt;&gt;"",ROW($DT$93:$DT$145)-ROW($DT$93)+1),ROWS($DT$93:DT102)))),"")</f>
        <v/>
      </c>
      <c r="EE102" s="542" t="str">
        <f t="shared" si="68"/>
        <v/>
      </c>
      <c r="EF102" s="544" t="str">
        <f t="shared" si="69"/>
        <v/>
      </c>
      <c r="EG102" s="546" t="str">
        <f t="shared" si="70"/>
        <v/>
      </c>
      <c r="EH102" s="544" t="str">
        <f t="shared" si="71"/>
        <v/>
      </c>
      <c r="EI102" s="544" t="str">
        <f t="shared" si="72"/>
        <v/>
      </c>
      <c r="EJ102" s="542">
        <v>10</v>
      </c>
      <c r="EL102" s="542">
        <f t="shared" si="65"/>
        <v>0</v>
      </c>
      <c r="EM102" s="542">
        <f t="array" ref="EM102">--ISNUMBER(DY102)</f>
        <v>0</v>
      </c>
      <c r="EN102" s="542">
        <f t="shared" si="66"/>
        <v>1</v>
      </c>
      <c r="EO102" s="542">
        <f t="array" ref="EO102">IF(ISNUMBER(DY102),EL102,IF(ISBLANK(DY102),EL102,EL102+$EM$143))+$EN$143</f>
        <v>49</v>
      </c>
      <c r="EP102" t="str">
        <f t="shared" si="67"/>
        <v/>
      </c>
      <c r="EQ102" s="542" t="str">
        <f t="array" ref="EQ102">IFERROR(INDEX($DY$93:$DY$142,MATCH(SMALL($EO$93:$EO$142,ROWS($EQ$93:EQ102)+$EN$143),$EO$93:$EO$142,0)),"")</f>
        <v/>
      </c>
      <c r="EW102" s="542"/>
      <c r="LC102" s="542" t="e">
        <f t="array" ref="LC102">INDEX($DY$93:$DY$115,MATCH(ROWS($DY$93:DY102),COUNTIF($DY$93:$DY$115,"&lt;="&amp;$DY$93:$DY$115),0))</f>
        <v>#N/A</v>
      </c>
    </row>
    <row r="103" spans="64:315">
      <c r="BL103">
        <f t="shared" si="38"/>
        <v>11</v>
      </c>
      <c r="BM103" s="642" t="str">
        <f t="shared" si="39"/>
        <v/>
      </c>
      <c r="BN103" s="639" t="str">
        <f t="shared" si="40"/>
        <v/>
      </c>
      <c r="BO103" s="639" t="b">
        <f t="shared" si="56"/>
        <v>0</v>
      </c>
      <c r="BP103" s="643" t="str">
        <f t="shared" si="41"/>
        <v/>
      </c>
      <c r="BQ103" s="639" t="str">
        <f>IFERROR(VLOOKUP(BP103,Lookup!AT$6:AU$8,2,FALSE),"")</f>
        <v/>
      </c>
      <c r="BR103" s="639" t="str">
        <f t="shared" si="42"/>
        <v/>
      </c>
      <c r="BS103" s="644">
        <f>SUMIFS(Installations!CV$46:CV$803,Installations!CW$46:CW$803,BM103,Installations!IC$46:IC$803,TRUE,Installations!CU$46:CU$803,"Exist")</f>
        <v>0</v>
      </c>
      <c r="BT103" s="639" t="str">
        <f t="shared" si="57"/>
        <v/>
      </c>
      <c r="BU103" s="645"/>
      <c r="BX103" s="639" t="str">
        <f t="array" ref="BX103">IFERROR(IF(ROWS(BM$93:BM103)&gt;COUNTA($BM$93:$BM$192),"",INDEX($BL$93:$BL$192,SMALL(IF($BM$93:$BM$192&lt;&gt;"",ROW($BM$93:$BM$192)-ROW($BM$93)+1),ROWS($BM$93:BM103)))),"")</f>
        <v/>
      </c>
      <c r="BY103" s="542" t="str">
        <f t="shared" si="43"/>
        <v/>
      </c>
      <c r="BZ103" s="544" t="str">
        <f t="shared" si="44"/>
        <v/>
      </c>
      <c r="CA103" s="544" t="str">
        <f t="shared" si="45"/>
        <v/>
      </c>
      <c r="CD103" s="639" t="str">
        <f t="array" ref="CD103">IFERROR(IF(ROWS(BT$93:BT103)&gt;COUNTA($BT$93:$BT$192),"",INDEX($BL$93:$BL$192,SMALL(IF($BT$93:$BT$192&lt;&gt;"",ROW($BT$93:$BT$192)-ROW($BT$93)+1),ROWS($BT$93:BT103)))),"")</f>
        <v/>
      </c>
      <c r="CE103" s="542" t="str">
        <f t="shared" si="46"/>
        <v/>
      </c>
      <c r="CF103" s="544" t="str">
        <f t="shared" si="47"/>
        <v/>
      </c>
      <c r="CG103" s="544" t="str">
        <f t="shared" si="48"/>
        <v/>
      </c>
      <c r="CI103" s="544">
        <f t="shared" si="58"/>
        <v>0</v>
      </c>
      <c r="CJ103" s="544">
        <f t="shared" si="59"/>
        <v>0</v>
      </c>
      <c r="CK103" s="544">
        <f t="shared" si="60"/>
        <v>1</v>
      </c>
      <c r="CL103" s="544">
        <f t="array" ref="CL103">IF(ISNUMBER(BY103),CI103,IF(ISBLANK(BY103),CI103,CI103+$CJ$143))+$CK$143</f>
        <v>50</v>
      </c>
      <c r="CM103" t="str">
        <f t="shared" si="61"/>
        <v/>
      </c>
      <c r="CN103" s="542" t="str">
        <f t="array" ref="CN103">IFERROR(INDEX($BY$93:$BY$142,MATCH(SMALL($CL$93:$CL$142,ROWS($CM$93:CM103)+$CK$143),$CL$93:$CL$142,0)),"")</f>
        <v/>
      </c>
      <c r="DL103" s="542">
        <v>11</v>
      </c>
      <c r="DM103" s="642" t="str">
        <f t="shared" si="49"/>
        <v/>
      </c>
      <c r="DN103" s="639" t="str">
        <f t="shared" si="62"/>
        <v/>
      </c>
      <c r="DO103" s="639" t="str">
        <f t="shared" si="50"/>
        <v/>
      </c>
      <c r="DP103" s="646">
        <f t="shared" si="51"/>
        <v>0</v>
      </c>
      <c r="DQ103" s="638" t="str">
        <f t="shared" ca="1" si="52"/>
        <v/>
      </c>
      <c r="DR103" s="639">
        <f t="shared" si="73"/>
        <v>0</v>
      </c>
      <c r="DS103" s="639">
        <f>IF(__Retrofit_TI_NC=0,
SUMIFS(Installations!CV$46:CV$803,Installations!CW$46:CW$803,DM103,Installations!IC$46:IC$803,TRUE,Installations!CU$46:CU$803,"New"),
SUMIFS(Installations!CV$46:CV$803,Installations!CW$46:CW$803,DM103,Installations!IC$46:IC$803,TRUE,Installations!CU$46:CU$803,"New")+SUMIF('Building Area Installations'!H$43:H$72,DM103,'Building Area Installations'!O$43:O$72)+SUMIF('Building Area Installations'!H$82:H$111,DM103,'Building Area Installations'!O$82:O$111))</f>
        <v>0</v>
      </c>
      <c r="DT103" s="639" t="str">
        <f t="shared" si="63"/>
        <v/>
      </c>
      <c r="DU103" s="645"/>
      <c r="DX103" s="639" t="str">
        <f t="array" ref="DX103">IFERROR(IF(ROWS(DM$93:DM103)&gt;COUNTA($DM$93:$DM$145),"",INDEX($DL$93:$DL$142,SMALL(IF($DM$93:$DM$145&lt;&gt;"",ROW($DM$93:$DM$145)-ROW($DM$93)+1),ROWS($DM$93:DM103)))),"")</f>
        <v/>
      </c>
      <c r="DY103" s="542" t="str">
        <f t="shared" si="74"/>
        <v/>
      </c>
      <c r="DZ103" s="544" t="str">
        <f t="shared" si="75"/>
        <v/>
      </c>
      <c r="EA103" s="544" t="str">
        <f t="shared" si="76"/>
        <v/>
      </c>
      <c r="EB103" s="544" t="str">
        <f t="shared" si="64"/>
        <v/>
      </c>
      <c r="ED103" s="639" t="str">
        <f t="array" ref="ED103">IFERROR(IF(ROWS(DT$93:DT103)&gt;COUNTA($DT$93:$DT$145),"",INDEX($DL$93:$DL$142,SMALL(IF($DT$93:$DT$145&lt;&gt;"",ROW($DT$93:$DT$145)-ROW($DT$93)+1),ROWS($DT$93:DT103)))),"")</f>
        <v/>
      </c>
      <c r="EE103" s="542" t="str">
        <f t="shared" si="68"/>
        <v/>
      </c>
      <c r="EF103" s="544" t="str">
        <f t="shared" si="69"/>
        <v/>
      </c>
      <c r="EG103" s="546" t="str">
        <f t="shared" si="70"/>
        <v/>
      </c>
      <c r="EH103" s="544" t="str">
        <f t="shared" si="71"/>
        <v/>
      </c>
      <c r="EI103" s="544" t="str">
        <f t="shared" si="72"/>
        <v/>
      </c>
      <c r="EJ103" s="542">
        <v>11</v>
      </c>
      <c r="EL103" s="542">
        <f t="shared" si="65"/>
        <v>0</v>
      </c>
      <c r="EM103" s="542">
        <f t="array" ref="EM103">--ISNUMBER(DY103)</f>
        <v>0</v>
      </c>
      <c r="EN103" s="542">
        <f t="shared" si="66"/>
        <v>1</v>
      </c>
      <c r="EO103" s="542">
        <f t="array" ref="EO103">IF(ISNUMBER(DY103),EL103,IF(ISBLANK(DY103),EL103,EL103+$EM$143))+$EN$143</f>
        <v>49</v>
      </c>
      <c r="EP103" t="str">
        <f t="shared" si="67"/>
        <v/>
      </c>
      <c r="EQ103" s="542" t="str">
        <f t="array" ref="EQ103">IFERROR(INDEX($DY$93:$DY$142,MATCH(SMALL($EO$93:$EO$142,ROWS($EQ$93:EQ103)+$EN$143),$EO$93:$EO$142,0)),"")</f>
        <v/>
      </c>
      <c r="EW103" s="542"/>
      <c r="LC103" s="542" t="e">
        <f t="array" ref="LC103">INDEX($DY$93:$DY$115,MATCH(ROWS($DY$93:DY103),COUNTIF($DY$93:$DY$115,"&lt;="&amp;$DY$93:$DY$115),0))</f>
        <v>#N/A</v>
      </c>
    </row>
    <row r="104" spans="64:315">
      <c r="BL104">
        <f t="shared" si="38"/>
        <v>12</v>
      </c>
      <c r="BM104" s="642" t="str">
        <f t="shared" si="39"/>
        <v/>
      </c>
      <c r="BN104" s="639" t="str">
        <f t="shared" si="40"/>
        <v/>
      </c>
      <c r="BO104" s="639" t="b">
        <f t="shared" si="56"/>
        <v>0</v>
      </c>
      <c r="BP104" s="643" t="str">
        <f t="shared" si="41"/>
        <v/>
      </c>
      <c r="BQ104" s="639" t="str">
        <f>IFERROR(VLOOKUP(BP104,Lookup!AT$6:AU$8,2,FALSE),"")</f>
        <v/>
      </c>
      <c r="BR104" s="639" t="str">
        <f t="shared" si="42"/>
        <v/>
      </c>
      <c r="BS104" s="644">
        <f>SUMIFS(Installations!CV$46:CV$803,Installations!CW$46:CW$803,BM104,Installations!IC$46:IC$803,TRUE,Installations!CU$46:CU$803,"Exist")</f>
        <v>0</v>
      </c>
      <c r="BT104" s="639" t="str">
        <f t="shared" si="57"/>
        <v/>
      </c>
      <c r="BU104" s="645"/>
      <c r="BX104" s="639" t="str">
        <f t="array" ref="BX104">IFERROR(IF(ROWS(BM$93:BM104)&gt;COUNTA($BM$93:$BM$192),"",INDEX($BL$93:$BL$192,SMALL(IF($BM$93:$BM$192&lt;&gt;"",ROW($BM$93:$BM$192)-ROW($BM$93)+1),ROWS($BM$93:BM104)))),"")</f>
        <v/>
      </c>
      <c r="BY104" s="542" t="str">
        <f t="shared" si="43"/>
        <v/>
      </c>
      <c r="BZ104" s="544" t="str">
        <f t="shared" si="44"/>
        <v/>
      </c>
      <c r="CA104" s="544" t="str">
        <f t="shared" si="45"/>
        <v/>
      </c>
      <c r="CD104" s="639" t="str">
        <f t="array" ref="CD104">IFERROR(IF(ROWS(BT$93:BT104)&gt;COUNTA($BT$93:$BT$192),"",INDEX($BL$93:$BL$192,SMALL(IF($BT$93:$BT$192&lt;&gt;"",ROW($BT$93:$BT$192)-ROW($BT$93)+1),ROWS($BT$93:BT104)))),"")</f>
        <v/>
      </c>
      <c r="CE104" s="542" t="str">
        <f t="shared" si="46"/>
        <v/>
      </c>
      <c r="CF104" s="544" t="str">
        <f t="shared" si="47"/>
        <v/>
      </c>
      <c r="CG104" s="544" t="str">
        <f t="shared" si="48"/>
        <v/>
      </c>
      <c r="CI104" s="544">
        <f t="shared" si="58"/>
        <v>0</v>
      </c>
      <c r="CJ104" s="544">
        <f t="shared" si="59"/>
        <v>0</v>
      </c>
      <c r="CK104" s="544">
        <f t="shared" si="60"/>
        <v>1</v>
      </c>
      <c r="CL104" s="544">
        <f t="array" ref="CL104">IF(ISNUMBER(BY104),CI104,IF(ISBLANK(BY104),CI104,CI104+$CJ$143))+$CK$143</f>
        <v>50</v>
      </c>
      <c r="CM104" t="str">
        <f t="shared" si="61"/>
        <v/>
      </c>
      <c r="CN104" s="542" t="str">
        <f t="array" ref="CN104">IFERROR(INDEX($BY$93:$BY$142,MATCH(SMALL($CL$93:$CL$142,ROWS($CM$93:CM104)+$CK$143),$CL$93:$CL$142,0)),"")</f>
        <v/>
      </c>
      <c r="DL104" s="542">
        <v>12</v>
      </c>
      <c r="DM104" s="642" t="str">
        <f t="shared" si="49"/>
        <v/>
      </c>
      <c r="DN104" s="639" t="str">
        <f t="shared" si="62"/>
        <v/>
      </c>
      <c r="DO104" s="639" t="str">
        <f t="shared" si="50"/>
        <v/>
      </c>
      <c r="DP104" s="646">
        <f t="shared" si="51"/>
        <v>0</v>
      </c>
      <c r="DQ104" s="638" t="str">
        <f t="shared" ca="1" si="52"/>
        <v/>
      </c>
      <c r="DR104" s="639">
        <f t="shared" si="73"/>
        <v>0</v>
      </c>
      <c r="DS104" s="639">
        <f>IF(__Retrofit_TI_NC=0,
SUMIFS(Installations!CV$46:CV$803,Installations!CW$46:CW$803,DM104,Installations!IC$46:IC$803,TRUE,Installations!CU$46:CU$803,"New"),
SUMIFS(Installations!CV$46:CV$803,Installations!CW$46:CW$803,DM104,Installations!IC$46:IC$803,TRUE,Installations!CU$46:CU$803,"New")+SUMIF('Building Area Installations'!H$43:H$72,DM104,'Building Area Installations'!O$43:O$72)+SUMIF('Building Area Installations'!H$82:H$111,DM104,'Building Area Installations'!O$82:O$111))</f>
        <v>0</v>
      </c>
      <c r="DT104" s="639" t="str">
        <f t="shared" si="63"/>
        <v/>
      </c>
      <c r="DU104" s="645"/>
      <c r="DX104" s="639" t="str">
        <f t="array" ref="DX104">IFERROR(IF(ROWS(DM$93:DM104)&gt;COUNTA($DM$93:$DM$145),"",INDEX($DL$93:$DL$142,SMALL(IF($DM$93:$DM$145&lt;&gt;"",ROW($DM$93:$DM$145)-ROW($DM$93)+1),ROWS($DM$93:DM104)))),"")</f>
        <v/>
      </c>
      <c r="DY104" s="542" t="str">
        <f t="shared" si="74"/>
        <v/>
      </c>
      <c r="DZ104" s="544" t="str">
        <f t="shared" si="75"/>
        <v/>
      </c>
      <c r="EA104" s="544" t="str">
        <f t="shared" si="76"/>
        <v/>
      </c>
      <c r="EB104" s="544" t="str">
        <f t="shared" si="64"/>
        <v/>
      </c>
      <c r="ED104" s="639" t="str">
        <f t="array" ref="ED104">IFERROR(IF(ROWS(DT$93:DT104)&gt;COUNTA($DT$93:$DT$145),"",INDEX($DL$93:$DL$142,SMALL(IF($DT$93:$DT$145&lt;&gt;"",ROW($DT$93:$DT$145)-ROW($DT$93)+1),ROWS($DT$93:DT104)))),"")</f>
        <v/>
      </c>
      <c r="EE104" s="542" t="str">
        <f t="shared" si="68"/>
        <v/>
      </c>
      <c r="EF104" s="544" t="str">
        <f t="shared" si="69"/>
        <v/>
      </c>
      <c r="EG104" s="546" t="str">
        <f t="shared" si="70"/>
        <v/>
      </c>
      <c r="EH104" s="544" t="str">
        <f t="shared" si="71"/>
        <v/>
      </c>
      <c r="EI104" s="544" t="str">
        <f t="shared" si="72"/>
        <v/>
      </c>
      <c r="EJ104" s="542">
        <v>12</v>
      </c>
      <c r="EL104" s="542">
        <f t="shared" si="65"/>
        <v>0</v>
      </c>
      <c r="EM104" s="542">
        <f t="array" ref="EM104">--ISNUMBER(DY104)</f>
        <v>0</v>
      </c>
      <c r="EN104" s="542">
        <f t="shared" si="66"/>
        <v>1</v>
      </c>
      <c r="EO104" s="542">
        <f t="array" ref="EO104">IF(ISNUMBER(DY104),EL104,IF(ISBLANK(DY104),EL104,EL104+$EM$143))+$EN$143</f>
        <v>49</v>
      </c>
      <c r="EP104" t="str">
        <f t="shared" si="67"/>
        <v/>
      </c>
      <c r="EQ104" s="542" t="str">
        <f t="array" ref="EQ104">IFERROR(INDEX($DY$93:$DY$142,MATCH(SMALL($EO$93:$EO$142,ROWS($EQ$93:EQ104)+$EN$143),$EO$93:$EO$142,0)),"")</f>
        <v/>
      </c>
      <c r="EW104" s="542"/>
      <c r="LC104" s="542" t="e">
        <f t="array" ref="LC104">INDEX($DY$93:$DY$115,MATCH(ROWS($DY$93:DY104),COUNTIF($DY$93:$DY$115,"&lt;="&amp;$DY$93:$DY$115),0))</f>
        <v>#N/A</v>
      </c>
    </row>
    <row r="105" spans="64:315">
      <c r="BL105">
        <f t="shared" si="38"/>
        <v>13</v>
      </c>
      <c r="BM105" s="642" t="str">
        <f t="shared" si="39"/>
        <v/>
      </c>
      <c r="BN105" s="639" t="str">
        <f t="shared" si="40"/>
        <v/>
      </c>
      <c r="BO105" s="639" t="b">
        <f t="shared" si="56"/>
        <v>0</v>
      </c>
      <c r="BP105" s="643" t="str">
        <f t="shared" si="41"/>
        <v/>
      </c>
      <c r="BQ105" s="639" t="str">
        <f>IFERROR(VLOOKUP(BP105,Lookup!AT$6:AU$8,2,FALSE),"")</f>
        <v/>
      </c>
      <c r="BR105" s="639" t="str">
        <f t="shared" si="42"/>
        <v/>
      </c>
      <c r="BS105" s="644">
        <f>SUMIFS(Installations!CV$46:CV$803,Installations!CW$46:CW$803,BM105,Installations!IC$46:IC$803,TRUE,Installations!CU$46:CU$803,"Exist")</f>
        <v>0</v>
      </c>
      <c r="BT105" s="639" t="str">
        <f t="shared" si="57"/>
        <v/>
      </c>
      <c r="BU105" s="645"/>
      <c r="BX105" s="639" t="str">
        <f t="array" ref="BX105">IFERROR(IF(ROWS(BM$93:BM105)&gt;COUNTA($BM$93:$BM$192),"",INDEX($BL$93:$BL$192,SMALL(IF($BM$93:$BM$192&lt;&gt;"",ROW($BM$93:$BM$192)-ROW($BM$93)+1),ROWS($BM$93:BM105)))),"")</f>
        <v/>
      </c>
      <c r="BY105" s="542" t="str">
        <f t="shared" si="43"/>
        <v/>
      </c>
      <c r="BZ105" s="544" t="str">
        <f t="shared" si="44"/>
        <v/>
      </c>
      <c r="CA105" s="544" t="str">
        <f t="shared" si="45"/>
        <v/>
      </c>
      <c r="CD105" s="639" t="str">
        <f t="array" ref="CD105">IFERROR(IF(ROWS(BT$93:BT105)&gt;COUNTA($BT$93:$BT$192),"",INDEX($BL$93:$BL$192,SMALL(IF($BT$93:$BT$192&lt;&gt;"",ROW($BT$93:$BT$192)-ROW($BT$93)+1),ROWS($BT$93:BT105)))),"")</f>
        <v/>
      </c>
      <c r="CE105" s="542" t="str">
        <f t="shared" si="46"/>
        <v/>
      </c>
      <c r="CF105" s="544" t="str">
        <f t="shared" si="47"/>
        <v/>
      </c>
      <c r="CG105" s="544" t="str">
        <f t="shared" si="48"/>
        <v/>
      </c>
      <c r="CI105" s="544">
        <f t="shared" si="58"/>
        <v>0</v>
      </c>
      <c r="CJ105" s="544">
        <f t="shared" si="59"/>
        <v>0</v>
      </c>
      <c r="CK105" s="544">
        <f t="shared" si="60"/>
        <v>1</v>
      </c>
      <c r="CL105" s="544">
        <f t="array" ref="CL105">IF(ISNUMBER(BY105),CI105,IF(ISBLANK(BY105),CI105,CI105+$CJ$143))+$CK$143</f>
        <v>50</v>
      </c>
      <c r="CM105" t="str">
        <f t="shared" si="61"/>
        <v/>
      </c>
      <c r="CN105" s="542" t="str">
        <f t="array" ref="CN105">IFERROR(INDEX($BY$93:$BY$142,MATCH(SMALL($CL$93:$CL$142,ROWS($CM$93:CM105)+$CK$143),$CL$93:$CL$142,0)),"")</f>
        <v/>
      </c>
      <c r="DL105" s="542">
        <v>13</v>
      </c>
      <c r="DM105" s="642" t="str">
        <f t="shared" si="49"/>
        <v/>
      </c>
      <c r="DN105" s="639" t="str">
        <f t="shared" si="62"/>
        <v/>
      </c>
      <c r="DO105" s="639" t="str">
        <f t="shared" si="50"/>
        <v/>
      </c>
      <c r="DP105" s="646">
        <f t="shared" si="51"/>
        <v>0</v>
      </c>
      <c r="DQ105" s="638" t="str">
        <f t="shared" ca="1" si="52"/>
        <v/>
      </c>
      <c r="DR105" s="639">
        <f t="shared" si="73"/>
        <v>0</v>
      </c>
      <c r="DS105" s="639">
        <f>IF(__Retrofit_TI_NC=0,
SUMIFS(Installations!CV$46:CV$803,Installations!CW$46:CW$803,DM105,Installations!IC$46:IC$803,TRUE,Installations!CU$46:CU$803,"New"),
SUMIFS(Installations!CV$46:CV$803,Installations!CW$46:CW$803,DM105,Installations!IC$46:IC$803,TRUE,Installations!CU$46:CU$803,"New")+SUMIF('Building Area Installations'!H$43:H$72,DM105,'Building Area Installations'!O$43:O$72)+SUMIF('Building Area Installations'!H$82:H$111,DM105,'Building Area Installations'!O$82:O$111))</f>
        <v>0</v>
      </c>
      <c r="DT105" s="639" t="str">
        <f t="shared" si="63"/>
        <v/>
      </c>
      <c r="DU105" s="645"/>
      <c r="DX105" s="639" t="str">
        <f t="array" ref="DX105">IFERROR(IF(ROWS(DM$93:DM105)&gt;COUNTA($DM$93:$DM$145),"",INDEX($DL$93:$DL$142,SMALL(IF($DM$93:$DM$145&lt;&gt;"",ROW($DM$93:$DM$145)-ROW($DM$93)+1),ROWS($DM$93:DM105)))),"")</f>
        <v/>
      </c>
      <c r="DY105" s="542" t="str">
        <f t="shared" si="74"/>
        <v/>
      </c>
      <c r="DZ105" s="544" t="str">
        <f t="shared" si="75"/>
        <v/>
      </c>
      <c r="EA105" s="544" t="str">
        <f t="shared" si="76"/>
        <v/>
      </c>
      <c r="EB105" s="544" t="str">
        <f t="shared" si="64"/>
        <v/>
      </c>
      <c r="ED105" s="639" t="str">
        <f t="array" ref="ED105">IFERROR(IF(ROWS(DT$93:DT105)&gt;COUNTA($DT$93:$DT$145),"",INDEX($DL$93:$DL$142,SMALL(IF($DT$93:$DT$145&lt;&gt;"",ROW($DT$93:$DT$145)-ROW($DT$93)+1),ROWS($DT$93:DT105)))),"")</f>
        <v/>
      </c>
      <c r="EE105" s="542" t="str">
        <f t="shared" si="68"/>
        <v/>
      </c>
      <c r="EF105" s="544" t="str">
        <f t="shared" si="69"/>
        <v/>
      </c>
      <c r="EG105" s="546" t="str">
        <f t="shared" si="70"/>
        <v/>
      </c>
      <c r="EH105" s="544" t="str">
        <f t="shared" si="71"/>
        <v/>
      </c>
      <c r="EI105" s="544" t="str">
        <f t="shared" si="72"/>
        <v/>
      </c>
      <c r="EJ105" s="542">
        <v>13</v>
      </c>
      <c r="EL105" s="542">
        <f t="shared" si="65"/>
        <v>0</v>
      </c>
      <c r="EM105" s="542">
        <f t="array" ref="EM105">--ISNUMBER(DY105)</f>
        <v>0</v>
      </c>
      <c r="EN105" s="542">
        <f t="shared" si="66"/>
        <v>1</v>
      </c>
      <c r="EO105" s="542">
        <f t="array" ref="EO105">IF(ISNUMBER(DY105),EL105,IF(ISBLANK(DY105),EL105,EL105+$EM$143))+$EN$143</f>
        <v>49</v>
      </c>
      <c r="EP105" t="str">
        <f t="shared" si="67"/>
        <v/>
      </c>
      <c r="EQ105" s="542" t="str">
        <f t="array" ref="EQ105">IFERROR(INDEX($DY$93:$DY$142,MATCH(SMALL($EO$93:$EO$142,ROWS($EQ$93:EQ105)+$EN$143),$EO$93:$EO$142,0)),"")</f>
        <v/>
      </c>
      <c r="EW105" s="542"/>
      <c r="LC105" s="542" t="e">
        <f t="array" ref="LC105">INDEX($DY$93:$DY$115,MATCH(ROWS($DY$93:DY105),COUNTIF($DY$93:$DY$115,"&lt;="&amp;$DY$93:$DY$115),0))</f>
        <v>#N/A</v>
      </c>
    </row>
    <row r="106" spans="64:315">
      <c r="BL106">
        <f t="shared" si="38"/>
        <v>14</v>
      </c>
      <c r="BM106" s="642" t="str">
        <f t="shared" si="39"/>
        <v/>
      </c>
      <c r="BN106" s="639" t="str">
        <f t="shared" si="40"/>
        <v/>
      </c>
      <c r="BO106" s="639" t="b">
        <f t="shared" si="56"/>
        <v>0</v>
      </c>
      <c r="BP106" s="643" t="str">
        <f t="shared" si="41"/>
        <v/>
      </c>
      <c r="BQ106" s="639" t="str">
        <f>IFERROR(VLOOKUP(BP106,Lookup!AT$6:AU$8,2,FALSE),"")</f>
        <v/>
      </c>
      <c r="BR106" s="639" t="str">
        <f t="shared" si="42"/>
        <v/>
      </c>
      <c r="BS106" s="644">
        <f>SUMIFS(Installations!CV$46:CV$803,Installations!CW$46:CW$803,BM106,Installations!IC$46:IC$803,TRUE,Installations!CU$46:CU$803,"Exist")</f>
        <v>0</v>
      </c>
      <c r="BT106" s="639" t="str">
        <f t="shared" si="57"/>
        <v/>
      </c>
      <c r="BU106" s="645"/>
      <c r="BX106" s="639" t="str">
        <f t="array" ref="BX106">IFERROR(IF(ROWS(BM$93:BM106)&gt;COUNTA($BM$93:$BM$192),"",INDEX($BL$93:$BL$192,SMALL(IF($BM$93:$BM$192&lt;&gt;"",ROW($BM$93:$BM$192)-ROW($BM$93)+1),ROWS($BM$93:BM106)))),"")</f>
        <v/>
      </c>
      <c r="BY106" s="542" t="str">
        <f t="shared" si="43"/>
        <v/>
      </c>
      <c r="BZ106" s="544" t="str">
        <f t="shared" si="44"/>
        <v/>
      </c>
      <c r="CA106" s="544" t="str">
        <f t="shared" si="45"/>
        <v/>
      </c>
      <c r="CD106" s="639" t="str">
        <f t="array" ref="CD106">IFERROR(IF(ROWS(BT$93:BT106)&gt;COUNTA($BT$93:$BT$192),"",INDEX($BL$93:$BL$192,SMALL(IF($BT$93:$BT$192&lt;&gt;"",ROW($BT$93:$BT$192)-ROW($BT$93)+1),ROWS($BT$93:BT106)))),"")</f>
        <v/>
      </c>
      <c r="CE106" s="542" t="str">
        <f t="shared" si="46"/>
        <v/>
      </c>
      <c r="CF106" s="544" t="str">
        <f t="shared" si="47"/>
        <v/>
      </c>
      <c r="CG106" s="544" t="str">
        <f t="shared" si="48"/>
        <v/>
      </c>
      <c r="CI106" s="544">
        <f t="shared" si="58"/>
        <v>0</v>
      </c>
      <c r="CJ106" s="544">
        <f t="shared" si="59"/>
        <v>0</v>
      </c>
      <c r="CK106" s="544">
        <f t="shared" si="60"/>
        <v>1</v>
      </c>
      <c r="CL106" s="544">
        <f t="array" ref="CL106">IF(ISNUMBER(BY106),CI106,IF(ISBLANK(BY106),CI106,CI106+$CJ$143))+$CK$143</f>
        <v>50</v>
      </c>
      <c r="CM106" t="str">
        <f t="shared" si="61"/>
        <v/>
      </c>
      <c r="CN106" s="542" t="str">
        <f t="array" ref="CN106">IFERROR(INDEX($BY$93:$BY$142,MATCH(SMALL($CL$93:$CL$142,ROWS($CM$93:CM106)+$CK$143),$CL$93:$CL$142,0)),"")</f>
        <v/>
      </c>
      <c r="DL106" s="542">
        <v>14</v>
      </c>
      <c r="DM106" s="642" t="str">
        <f t="shared" si="49"/>
        <v/>
      </c>
      <c r="DN106" s="639" t="str">
        <f t="shared" si="62"/>
        <v/>
      </c>
      <c r="DO106" s="639" t="str">
        <f t="shared" si="50"/>
        <v/>
      </c>
      <c r="DP106" s="646">
        <f t="shared" si="51"/>
        <v>0</v>
      </c>
      <c r="DQ106" s="638" t="str">
        <f t="shared" ca="1" si="52"/>
        <v/>
      </c>
      <c r="DR106" s="639">
        <f t="shared" si="73"/>
        <v>0</v>
      </c>
      <c r="DS106" s="639">
        <f>IF(__Retrofit_TI_NC=0,
SUMIFS(Installations!CV$46:CV$803,Installations!CW$46:CW$803,DM106,Installations!IC$46:IC$803,TRUE,Installations!CU$46:CU$803,"New"),
SUMIFS(Installations!CV$46:CV$803,Installations!CW$46:CW$803,DM106,Installations!IC$46:IC$803,TRUE,Installations!CU$46:CU$803,"New")+SUMIF('Building Area Installations'!H$43:H$72,DM106,'Building Area Installations'!O$43:O$72)+SUMIF('Building Area Installations'!H$82:H$111,DM106,'Building Area Installations'!O$82:O$111))</f>
        <v>0</v>
      </c>
      <c r="DT106" s="639" t="str">
        <f t="shared" si="63"/>
        <v/>
      </c>
      <c r="DU106" s="645"/>
      <c r="DX106" s="639" t="str">
        <f t="array" ref="DX106">IFERROR(IF(ROWS(DM$93:DM106)&gt;COUNTA($DM$93:$DM$145),"",INDEX($DL$93:$DL$142,SMALL(IF($DM$93:$DM$145&lt;&gt;"",ROW($DM$93:$DM$145)-ROW($DM$93)+1),ROWS($DM$93:DM106)))),"")</f>
        <v/>
      </c>
      <c r="DY106" s="542" t="str">
        <f t="shared" si="74"/>
        <v/>
      </c>
      <c r="DZ106" s="544" t="str">
        <f t="shared" si="75"/>
        <v/>
      </c>
      <c r="EA106" s="544" t="str">
        <f t="shared" si="76"/>
        <v/>
      </c>
      <c r="EB106" s="544" t="str">
        <f t="shared" si="64"/>
        <v/>
      </c>
      <c r="ED106" s="639" t="str">
        <f t="array" ref="ED106">IFERROR(IF(ROWS(DT$93:DT106)&gt;COUNTA($DT$93:$DT$145),"",INDEX($DL$93:$DL$142,SMALL(IF($DT$93:$DT$145&lt;&gt;"",ROW($DT$93:$DT$145)-ROW($DT$93)+1),ROWS($DT$93:DT106)))),"")</f>
        <v/>
      </c>
      <c r="EE106" s="542" t="str">
        <f t="shared" si="68"/>
        <v/>
      </c>
      <c r="EF106" s="544" t="str">
        <f t="shared" si="69"/>
        <v/>
      </c>
      <c r="EG106" s="546" t="str">
        <f t="shared" si="70"/>
        <v/>
      </c>
      <c r="EH106" s="544" t="str">
        <f t="shared" si="71"/>
        <v/>
      </c>
      <c r="EI106" s="544" t="str">
        <f t="shared" si="72"/>
        <v/>
      </c>
      <c r="EJ106" s="542">
        <v>14</v>
      </c>
      <c r="EL106" s="542">
        <f t="shared" si="65"/>
        <v>0</v>
      </c>
      <c r="EM106" s="542">
        <f t="array" ref="EM106">--ISNUMBER(DY106)</f>
        <v>0</v>
      </c>
      <c r="EN106" s="542">
        <f t="shared" si="66"/>
        <v>1</v>
      </c>
      <c r="EO106" s="542">
        <f t="array" ref="EO106">IF(ISNUMBER(DY106),EL106,IF(ISBLANK(DY106),EL106,EL106+$EM$143))+$EN$143</f>
        <v>49</v>
      </c>
      <c r="EP106" t="str">
        <f t="shared" si="67"/>
        <v/>
      </c>
      <c r="EQ106" s="542" t="str">
        <f t="array" ref="EQ106">IFERROR(INDEX($DY$93:$DY$142,MATCH(SMALL($EO$93:$EO$142,ROWS($EQ$93:EQ106)+$EN$143),$EO$93:$EO$142,0)),"")</f>
        <v/>
      </c>
      <c r="EW106" s="542"/>
      <c r="LC106" s="542" t="e">
        <f t="array" ref="LC106">INDEX($DY$93:$DY$115,MATCH(ROWS($DY$93:DY106),COUNTIF($DY$93:$DY$115,"&lt;="&amp;$DY$93:$DY$115),0))</f>
        <v>#N/A</v>
      </c>
    </row>
    <row r="107" spans="64:315">
      <c r="BL107">
        <f t="shared" si="38"/>
        <v>15</v>
      </c>
      <c r="BM107" s="642" t="str">
        <f t="shared" si="39"/>
        <v/>
      </c>
      <c r="BN107" s="639" t="str">
        <f t="shared" si="40"/>
        <v/>
      </c>
      <c r="BO107" s="639" t="b">
        <f t="shared" si="56"/>
        <v>0</v>
      </c>
      <c r="BP107" s="643" t="str">
        <f t="shared" si="41"/>
        <v/>
      </c>
      <c r="BQ107" s="639" t="str">
        <f>IFERROR(VLOOKUP(BP107,Lookup!AT$6:AU$8,2,FALSE),"")</f>
        <v/>
      </c>
      <c r="BR107" s="639" t="str">
        <f t="shared" si="42"/>
        <v/>
      </c>
      <c r="BS107" s="644">
        <f>SUMIFS(Installations!CV$46:CV$803,Installations!CW$46:CW$803,BM107,Installations!IC$46:IC$803,TRUE,Installations!CU$46:CU$803,"Exist")</f>
        <v>0</v>
      </c>
      <c r="BT107" s="639" t="str">
        <f t="shared" si="57"/>
        <v/>
      </c>
      <c r="BU107" s="645"/>
      <c r="BX107" s="639" t="str">
        <f t="array" ref="BX107">IFERROR(IF(ROWS(BM$93:BM107)&gt;COUNTA($BM$93:$BM$192),"",INDEX($BL$93:$BL$192,SMALL(IF($BM$93:$BM$192&lt;&gt;"",ROW($BM$93:$BM$192)-ROW($BM$93)+1),ROWS($BM$93:BM107)))),"")</f>
        <v/>
      </c>
      <c r="BY107" s="542" t="str">
        <f t="shared" si="43"/>
        <v/>
      </c>
      <c r="BZ107" s="544" t="str">
        <f t="shared" si="44"/>
        <v/>
      </c>
      <c r="CA107" s="544" t="str">
        <f t="shared" si="45"/>
        <v/>
      </c>
      <c r="CD107" s="639" t="str">
        <f t="array" ref="CD107">IFERROR(IF(ROWS(BT$93:BT107)&gt;COUNTA($BT$93:$BT$192),"",INDEX($BL$93:$BL$192,SMALL(IF($BT$93:$BT$192&lt;&gt;"",ROW($BT$93:$BT$192)-ROW($BT$93)+1),ROWS($BT$93:BT107)))),"")</f>
        <v/>
      </c>
      <c r="CE107" s="542" t="str">
        <f t="shared" si="46"/>
        <v/>
      </c>
      <c r="CF107" s="544" t="str">
        <f t="shared" si="47"/>
        <v/>
      </c>
      <c r="CG107" s="544" t="str">
        <f t="shared" si="48"/>
        <v/>
      </c>
      <c r="CI107" s="544">
        <f t="shared" si="58"/>
        <v>0</v>
      </c>
      <c r="CJ107" s="544">
        <f t="shared" si="59"/>
        <v>0</v>
      </c>
      <c r="CK107" s="544">
        <f t="shared" si="60"/>
        <v>1</v>
      </c>
      <c r="CL107" s="544">
        <f t="array" ref="CL107">IF(ISNUMBER(BY107),CI107,IF(ISBLANK(BY107),CI107,CI107+$CJ$143))+$CK$143</f>
        <v>50</v>
      </c>
      <c r="CM107" t="str">
        <f t="shared" si="61"/>
        <v/>
      </c>
      <c r="CN107" s="542" t="str">
        <f t="array" ref="CN107">IFERROR(INDEX($BY$93:$BY$142,MATCH(SMALL($CL$93:$CL$142,ROWS($CM$93:CM107)+$CK$143),$CL$93:$CL$142,0)),"")</f>
        <v/>
      </c>
      <c r="DL107" s="542">
        <v>15</v>
      </c>
      <c r="DM107" s="642" t="str">
        <f t="shared" si="49"/>
        <v/>
      </c>
      <c r="DN107" s="639" t="str">
        <f t="shared" si="62"/>
        <v/>
      </c>
      <c r="DO107" s="639" t="str">
        <f t="shared" si="50"/>
        <v/>
      </c>
      <c r="DP107" s="646">
        <f t="shared" si="51"/>
        <v>0</v>
      </c>
      <c r="DQ107" s="638" t="str">
        <f t="shared" ca="1" si="52"/>
        <v/>
      </c>
      <c r="DR107" s="639">
        <f t="shared" si="73"/>
        <v>0</v>
      </c>
      <c r="DS107" s="639">
        <f>IF(__Retrofit_TI_NC=0,
SUMIFS(Installations!CV$46:CV$803,Installations!CW$46:CW$803,DM107,Installations!IC$46:IC$803,TRUE,Installations!CU$46:CU$803,"New"),
SUMIFS(Installations!CV$46:CV$803,Installations!CW$46:CW$803,DM107,Installations!IC$46:IC$803,TRUE,Installations!CU$46:CU$803,"New")+SUMIF('Building Area Installations'!H$43:H$72,DM107,'Building Area Installations'!O$43:O$72)+SUMIF('Building Area Installations'!H$82:H$111,DM107,'Building Area Installations'!O$82:O$111))</f>
        <v>0</v>
      </c>
      <c r="DT107" s="639" t="str">
        <f t="shared" si="63"/>
        <v/>
      </c>
      <c r="DU107" s="645"/>
      <c r="DX107" s="639" t="str">
        <f t="array" ref="DX107">IFERROR(IF(ROWS(DM$93:DM107)&gt;COUNTA($DM$93:$DM$145),"",INDEX($DL$93:$DL$142,SMALL(IF($DM$93:$DM$145&lt;&gt;"",ROW($DM$93:$DM$145)-ROW($DM$93)+1),ROWS($DM$93:DM107)))),"")</f>
        <v/>
      </c>
      <c r="DY107" s="542" t="str">
        <f t="shared" si="74"/>
        <v/>
      </c>
      <c r="DZ107" s="544" t="str">
        <f t="shared" si="75"/>
        <v/>
      </c>
      <c r="EA107" s="544" t="str">
        <f t="shared" si="76"/>
        <v/>
      </c>
      <c r="EB107" s="544" t="str">
        <f t="shared" si="64"/>
        <v/>
      </c>
      <c r="ED107" s="639" t="str">
        <f t="array" ref="ED107">IFERROR(IF(ROWS(DT$93:DT107)&gt;COUNTA($DT$93:$DT$145),"",INDEX($DL$93:$DL$142,SMALL(IF($DT$93:$DT$145&lt;&gt;"",ROW($DT$93:$DT$145)-ROW($DT$93)+1),ROWS($DT$93:DT107)))),"")</f>
        <v/>
      </c>
      <c r="EE107" s="542" t="str">
        <f t="shared" si="68"/>
        <v/>
      </c>
      <c r="EF107" s="544" t="str">
        <f t="shared" si="69"/>
        <v/>
      </c>
      <c r="EG107" s="546" t="str">
        <f t="shared" si="70"/>
        <v/>
      </c>
      <c r="EH107" s="544" t="str">
        <f t="shared" si="71"/>
        <v/>
      </c>
      <c r="EI107" s="544" t="str">
        <f t="shared" si="72"/>
        <v/>
      </c>
      <c r="EJ107" s="542">
        <v>15</v>
      </c>
      <c r="EL107" s="542">
        <f t="shared" si="65"/>
        <v>0</v>
      </c>
      <c r="EM107" s="542">
        <f t="array" ref="EM107">--ISNUMBER(DY107)</f>
        <v>0</v>
      </c>
      <c r="EN107" s="542">
        <f t="shared" si="66"/>
        <v>1</v>
      </c>
      <c r="EO107" s="542">
        <f t="array" ref="EO107">IF(ISNUMBER(DY107),EL107,IF(ISBLANK(DY107),EL107,EL107+$EM$143))+$EN$143</f>
        <v>49</v>
      </c>
      <c r="EP107" t="str">
        <f t="shared" si="67"/>
        <v/>
      </c>
      <c r="EQ107" s="542" t="str">
        <f t="array" ref="EQ107">IFERROR(INDEX($DY$93:$DY$142,MATCH(SMALL($EO$93:$EO$142,ROWS($EQ$93:EQ107)+$EN$143),$EO$93:$EO$142,0)),"")</f>
        <v/>
      </c>
      <c r="EW107" s="542"/>
      <c r="LC107" s="542" t="e">
        <f t="array" ref="LC107">INDEX($DY$93:$DY$115,MATCH(ROWS($DY$93:DY107),COUNTIF($DY$93:$DY$115,"&lt;="&amp;$DY$93:$DY$115),0))</f>
        <v>#N/A</v>
      </c>
    </row>
    <row r="108" spans="64:315">
      <c r="BL108">
        <f t="shared" si="38"/>
        <v>16</v>
      </c>
      <c r="BM108" s="642" t="str">
        <f t="shared" si="39"/>
        <v/>
      </c>
      <c r="BN108" s="639" t="str">
        <f t="shared" si="40"/>
        <v/>
      </c>
      <c r="BO108" s="639" t="b">
        <f t="shared" si="56"/>
        <v>0</v>
      </c>
      <c r="BP108" s="643" t="str">
        <f t="shared" si="41"/>
        <v/>
      </c>
      <c r="BQ108" s="639" t="str">
        <f>IFERROR(VLOOKUP(BP108,Lookup!AT$6:AU$8,2,FALSE),"")</f>
        <v/>
      </c>
      <c r="BR108" s="639" t="str">
        <f t="shared" si="42"/>
        <v/>
      </c>
      <c r="BS108" s="644">
        <f>SUMIFS(Installations!CV$46:CV$803,Installations!CW$46:CW$803,BM108,Installations!IC$46:IC$803,TRUE,Installations!CU$46:CU$803,"Exist")</f>
        <v>0</v>
      </c>
      <c r="BT108" s="639" t="str">
        <f t="shared" si="57"/>
        <v/>
      </c>
      <c r="BU108" s="645"/>
      <c r="BX108" s="639" t="str">
        <f t="array" ref="BX108">IFERROR(IF(ROWS(BM$93:BM108)&gt;COUNTA($BM$93:$BM$192),"",INDEX($BL$93:$BL$192,SMALL(IF($BM$93:$BM$192&lt;&gt;"",ROW($BM$93:$BM$192)-ROW($BM$93)+1),ROWS($BM$93:BM108)))),"")</f>
        <v/>
      </c>
      <c r="BY108" s="542" t="str">
        <f t="shared" si="43"/>
        <v/>
      </c>
      <c r="BZ108" s="544" t="str">
        <f t="shared" si="44"/>
        <v/>
      </c>
      <c r="CA108" s="544" t="str">
        <f t="shared" si="45"/>
        <v/>
      </c>
      <c r="CD108" s="639" t="str">
        <f t="array" ref="CD108">IFERROR(IF(ROWS(BT$93:BT108)&gt;COUNTA($BT$93:$BT$192),"",INDEX($BL$93:$BL$192,SMALL(IF($BT$93:$BT$192&lt;&gt;"",ROW($BT$93:$BT$192)-ROW($BT$93)+1),ROWS($BT$93:BT108)))),"")</f>
        <v/>
      </c>
      <c r="CE108" s="542" t="str">
        <f t="shared" si="46"/>
        <v/>
      </c>
      <c r="CF108" s="544" t="str">
        <f t="shared" si="47"/>
        <v/>
      </c>
      <c r="CG108" s="544" t="str">
        <f t="shared" si="48"/>
        <v/>
      </c>
      <c r="CI108" s="544">
        <f t="shared" si="58"/>
        <v>0</v>
      </c>
      <c r="CJ108" s="544">
        <f t="shared" si="59"/>
        <v>0</v>
      </c>
      <c r="CK108" s="544">
        <f t="shared" si="60"/>
        <v>1</v>
      </c>
      <c r="CL108" s="544">
        <f t="array" ref="CL108">IF(ISNUMBER(BY108),CI108,IF(ISBLANK(BY108),CI108,CI108+$CJ$143))+$CK$143</f>
        <v>50</v>
      </c>
      <c r="CM108" t="str">
        <f t="shared" si="61"/>
        <v/>
      </c>
      <c r="CN108" s="542" t="str">
        <f t="array" ref="CN108">IFERROR(INDEX($BY$93:$BY$142,MATCH(SMALL($CL$93:$CL$142,ROWS($CM$93:CM108)+$CK$143),$CL$93:$CL$142,0)),"")</f>
        <v/>
      </c>
      <c r="DL108" s="542">
        <v>16</v>
      </c>
      <c r="DM108" s="642" t="str">
        <f t="shared" si="49"/>
        <v/>
      </c>
      <c r="DN108" s="639" t="str">
        <f t="shared" si="62"/>
        <v/>
      </c>
      <c r="DO108" s="639" t="str">
        <f t="shared" si="50"/>
        <v/>
      </c>
      <c r="DP108" s="646">
        <f t="shared" si="51"/>
        <v>0</v>
      </c>
      <c r="DQ108" s="638" t="str">
        <f t="shared" ca="1" si="52"/>
        <v/>
      </c>
      <c r="DR108" s="639">
        <f t="shared" si="73"/>
        <v>0</v>
      </c>
      <c r="DS108" s="639">
        <f>IF(__Retrofit_TI_NC=0,
SUMIFS(Installations!CV$46:CV$803,Installations!CW$46:CW$803,DM108,Installations!IC$46:IC$803,TRUE,Installations!CU$46:CU$803,"New"),
SUMIFS(Installations!CV$46:CV$803,Installations!CW$46:CW$803,DM108,Installations!IC$46:IC$803,TRUE,Installations!CU$46:CU$803,"New")+SUMIF('Building Area Installations'!H$43:H$72,DM108,'Building Area Installations'!O$43:O$72)+SUMIF('Building Area Installations'!H$82:H$111,DM108,'Building Area Installations'!O$82:O$111))</f>
        <v>0</v>
      </c>
      <c r="DT108" s="639" t="str">
        <f t="shared" si="63"/>
        <v/>
      </c>
      <c r="DU108" s="645"/>
      <c r="DX108" s="639" t="str">
        <f t="array" ref="DX108">IFERROR(IF(ROWS(DM$93:DM108)&gt;COUNTA($DM$93:$DM$145),"",INDEX($DL$93:$DL$142,SMALL(IF($DM$93:$DM$145&lt;&gt;"",ROW($DM$93:$DM$145)-ROW($DM$93)+1),ROWS($DM$93:DM108)))),"")</f>
        <v/>
      </c>
      <c r="DY108" s="542" t="str">
        <f t="shared" si="74"/>
        <v/>
      </c>
      <c r="DZ108" s="544" t="str">
        <f t="shared" si="75"/>
        <v/>
      </c>
      <c r="EA108" s="544" t="str">
        <f t="shared" si="76"/>
        <v/>
      </c>
      <c r="EB108" s="544" t="str">
        <f t="shared" si="64"/>
        <v/>
      </c>
      <c r="ED108" s="639" t="str">
        <f t="array" ref="ED108">IFERROR(IF(ROWS(DT$93:DT108)&gt;COUNTA($DT$93:$DT$145),"",INDEX($DL$93:$DL$142,SMALL(IF($DT$93:$DT$145&lt;&gt;"",ROW($DT$93:$DT$145)-ROW($DT$93)+1),ROWS($DT$93:DT108)))),"")</f>
        <v/>
      </c>
      <c r="EE108" s="542" t="str">
        <f t="shared" si="68"/>
        <v/>
      </c>
      <c r="EF108" s="544" t="str">
        <f t="shared" si="69"/>
        <v/>
      </c>
      <c r="EG108" s="546" t="str">
        <f t="shared" si="70"/>
        <v/>
      </c>
      <c r="EH108" s="544" t="str">
        <f t="shared" si="71"/>
        <v/>
      </c>
      <c r="EI108" s="544" t="str">
        <f t="shared" si="72"/>
        <v/>
      </c>
      <c r="EJ108" s="542">
        <v>16</v>
      </c>
      <c r="EL108" s="542">
        <f t="shared" si="65"/>
        <v>0</v>
      </c>
      <c r="EM108" s="542">
        <f t="array" ref="EM108">--ISNUMBER(DY108)</f>
        <v>0</v>
      </c>
      <c r="EN108" s="542">
        <f t="shared" si="66"/>
        <v>1</v>
      </c>
      <c r="EO108" s="542">
        <f t="array" ref="EO108">IF(ISNUMBER(DY108),EL108,IF(ISBLANK(DY108),EL108,EL108+$EM$143))+$EN$143</f>
        <v>49</v>
      </c>
      <c r="EP108" t="str">
        <f t="shared" si="67"/>
        <v/>
      </c>
      <c r="EQ108" s="542" t="str">
        <f t="array" ref="EQ108">IFERROR(INDEX($DY$93:$DY$142,MATCH(SMALL($EO$93:$EO$142,ROWS($EQ$93:EQ108)+$EN$143),$EO$93:$EO$142,0)),"")</f>
        <v/>
      </c>
      <c r="EW108" s="542"/>
      <c r="LC108" s="542" t="e">
        <f t="array" ref="LC108">INDEX($DY$93:$DY$115,MATCH(ROWS($DY$93:DY108),COUNTIF($DY$93:$DY$115,"&lt;="&amp;$DY$93:$DY$115),0))</f>
        <v>#N/A</v>
      </c>
    </row>
    <row r="109" spans="64:315">
      <c r="BL109">
        <f t="shared" si="38"/>
        <v>17</v>
      </c>
      <c r="BM109" s="642" t="str">
        <f t="shared" si="39"/>
        <v/>
      </c>
      <c r="BN109" s="639" t="str">
        <f t="shared" si="40"/>
        <v/>
      </c>
      <c r="BO109" s="639" t="b">
        <f t="shared" si="56"/>
        <v>0</v>
      </c>
      <c r="BP109" s="643" t="str">
        <f t="shared" si="41"/>
        <v/>
      </c>
      <c r="BQ109" s="639" t="str">
        <f>IFERROR(VLOOKUP(BP109,Lookup!AT$6:AU$8,2,FALSE),"")</f>
        <v/>
      </c>
      <c r="BR109" s="639" t="str">
        <f t="shared" si="42"/>
        <v/>
      </c>
      <c r="BS109" s="644">
        <f>SUMIFS(Installations!CV$46:CV$803,Installations!CW$46:CW$803,BM109,Installations!IC$46:IC$803,TRUE,Installations!CU$46:CU$803,"Exist")</f>
        <v>0</v>
      </c>
      <c r="BT109" s="639" t="str">
        <f t="shared" si="57"/>
        <v/>
      </c>
      <c r="BU109" s="645"/>
      <c r="BX109" s="639" t="str">
        <f t="array" ref="BX109">IFERROR(IF(ROWS(BM$93:BM109)&gt;COUNTA($BM$93:$BM$192),"",INDEX($BL$93:$BL$192,SMALL(IF($BM$93:$BM$192&lt;&gt;"",ROW($BM$93:$BM$192)-ROW($BM$93)+1),ROWS($BM$93:BM109)))),"")</f>
        <v/>
      </c>
      <c r="BY109" s="542" t="str">
        <f t="shared" si="43"/>
        <v/>
      </c>
      <c r="BZ109" s="544" t="str">
        <f t="shared" si="44"/>
        <v/>
      </c>
      <c r="CA109" s="544" t="str">
        <f t="shared" si="45"/>
        <v/>
      </c>
      <c r="CD109" s="639" t="str">
        <f t="array" ref="CD109">IFERROR(IF(ROWS(BT$93:BT109)&gt;COUNTA($BT$93:$BT$192),"",INDEX($BL$93:$BL$192,SMALL(IF($BT$93:$BT$192&lt;&gt;"",ROW($BT$93:$BT$192)-ROW($BT$93)+1),ROWS($BT$93:BT109)))),"")</f>
        <v/>
      </c>
      <c r="CE109" s="542" t="str">
        <f t="shared" si="46"/>
        <v/>
      </c>
      <c r="CF109" s="544" t="str">
        <f t="shared" si="47"/>
        <v/>
      </c>
      <c r="CG109" s="544" t="str">
        <f t="shared" si="48"/>
        <v/>
      </c>
      <c r="CI109" s="544">
        <f t="shared" si="58"/>
        <v>0</v>
      </c>
      <c r="CJ109" s="544">
        <f t="shared" si="59"/>
        <v>0</v>
      </c>
      <c r="CK109" s="544">
        <f t="shared" si="60"/>
        <v>1</v>
      </c>
      <c r="CL109" s="544">
        <f t="array" ref="CL109">IF(ISNUMBER(BY109),CI109,IF(ISBLANK(BY109),CI109,CI109+$CJ$143))+$CK$143</f>
        <v>50</v>
      </c>
      <c r="CM109" t="str">
        <f t="shared" si="61"/>
        <v/>
      </c>
      <c r="CN109" s="542" t="str">
        <f t="array" ref="CN109">IFERROR(INDEX($BY$93:$BY$142,MATCH(SMALL($CL$93:$CL$142,ROWS($CM$93:CM109)+$CK$143),$CL$93:$CL$142,0)),"")</f>
        <v/>
      </c>
      <c r="DL109" s="542">
        <v>17</v>
      </c>
      <c r="DM109" s="642" t="str">
        <f t="shared" si="49"/>
        <v/>
      </c>
      <c r="DN109" s="639" t="str">
        <f t="shared" si="62"/>
        <v/>
      </c>
      <c r="DO109" s="639" t="str">
        <f t="shared" si="50"/>
        <v/>
      </c>
      <c r="DP109" s="646">
        <f t="shared" si="51"/>
        <v>0</v>
      </c>
      <c r="DQ109" s="638" t="str">
        <f t="shared" ca="1" si="52"/>
        <v/>
      </c>
      <c r="DR109" s="639">
        <f t="shared" si="73"/>
        <v>0</v>
      </c>
      <c r="DS109" s="639">
        <f>IF(__Retrofit_TI_NC=0,
SUMIFS(Installations!CV$46:CV$803,Installations!CW$46:CW$803,DM109,Installations!IC$46:IC$803,TRUE,Installations!CU$46:CU$803,"New"),
SUMIFS(Installations!CV$46:CV$803,Installations!CW$46:CW$803,DM109,Installations!IC$46:IC$803,TRUE,Installations!CU$46:CU$803,"New")+SUMIF('Building Area Installations'!H$43:H$72,DM109,'Building Area Installations'!O$43:O$72)+SUMIF('Building Area Installations'!H$82:H$111,DM109,'Building Area Installations'!O$82:O$111))</f>
        <v>0</v>
      </c>
      <c r="DT109" s="639" t="str">
        <f t="shared" si="63"/>
        <v/>
      </c>
      <c r="DU109" s="645"/>
      <c r="DX109" s="639" t="str">
        <f t="array" ref="DX109">IFERROR(IF(ROWS(DM$93:DM109)&gt;COUNTA($DM$93:$DM$145),"",INDEX($DL$93:$DL$142,SMALL(IF($DM$93:$DM$145&lt;&gt;"",ROW($DM$93:$DM$145)-ROW($DM$93)+1),ROWS($DM$93:DM109)))),"")</f>
        <v/>
      </c>
      <c r="DY109" s="542" t="str">
        <f t="shared" si="74"/>
        <v/>
      </c>
      <c r="DZ109" s="544" t="str">
        <f t="shared" si="75"/>
        <v/>
      </c>
      <c r="EA109" s="544" t="str">
        <f t="shared" si="76"/>
        <v/>
      </c>
      <c r="EB109" s="544" t="str">
        <f t="shared" si="64"/>
        <v/>
      </c>
      <c r="ED109" s="639" t="str">
        <f t="array" ref="ED109">IFERROR(IF(ROWS(DT$93:DT109)&gt;COUNTA($DT$93:$DT$145),"",INDEX($DL$93:$DL$142,SMALL(IF($DT$93:$DT$145&lt;&gt;"",ROW($DT$93:$DT$145)-ROW($DT$93)+1),ROWS($DT$93:DT109)))),"")</f>
        <v/>
      </c>
      <c r="EE109" s="542" t="str">
        <f t="shared" si="68"/>
        <v/>
      </c>
      <c r="EF109" s="544" t="str">
        <f t="shared" si="69"/>
        <v/>
      </c>
      <c r="EG109" s="546" t="str">
        <f t="shared" si="70"/>
        <v/>
      </c>
      <c r="EH109" s="544" t="str">
        <f t="shared" si="71"/>
        <v/>
      </c>
      <c r="EI109" s="544" t="str">
        <f t="shared" si="72"/>
        <v/>
      </c>
      <c r="EJ109" s="542">
        <v>17</v>
      </c>
      <c r="EL109" s="542">
        <f t="shared" si="65"/>
        <v>0</v>
      </c>
      <c r="EM109" s="542">
        <f t="array" ref="EM109">--ISNUMBER(DY109)</f>
        <v>0</v>
      </c>
      <c r="EN109" s="542">
        <f t="shared" si="66"/>
        <v>1</v>
      </c>
      <c r="EO109" s="542">
        <f t="array" ref="EO109">IF(ISNUMBER(DY109),EL109,IF(ISBLANK(DY109),EL109,EL109+$EM$143))+$EN$143</f>
        <v>49</v>
      </c>
      <c r="EP109" t="str">
        <f t="shared" si="67"/>
        <v/>
      </c>
      <c r="EQ109" s="542" t="str">
        <f t="array" ref="EQ109">IFERROR(INDEX($DY$93:$DY$142,MATCH(SMALL($EO$93:$EO$142,ROWS($EQ$93:EQ109)+$EN$143),$EO$93:$EO$142,0)),"")</f>
        <v/>
      </c>
      <c r="EW109" s="542"/>
    </row>
    <row r="110" spans="64:315">
      <c r="BL110">
        <f t="shared" si="38"/>
        <v>18</v>
      </c>
      <c r="BM110" s="642" t="str">
        <f t="shared" si="39"/>
        <v/>
      </c>
      <c r="BN110" s="639" t="str">
        <f t="shared" si="40"/>
        <v/>
      </c>
      <c r="BO110" s="639" t="b">
        <f t="shared" si="56"/>
        <v>0</v>
      </c>
      <c r="BP110" s="643" t="str">
        <f t="shared" si="41"/>
        <v/>
      </c>
      <c r="BQ110" s="639" t="str">
        <f>IFERROR(VLOOKUP(BP110,Lookup!AT$6:AU$8,2,FALSE),"")</f>
        <v/>
      </c>
      <c r="BR110" s="639" t="str">
        <f t="shared" si="42"/>
        <v/>
      </c>
      <c r="BS110" s="644">
        <f>SUMIFS(Installations!CV$46:CV$803,Installations!CW$46:CW$803,BM110,Installations!IC$46:IC$803,TRUE,Installations!CU$46:CU$803,"Exist")</f>
        <v>0</v>
      </c>
      <c r="BT110" s="639" t="str">
        <f t="shared" si="57"/>
        <v/>
      </c>
      <c r="BU110" s="645"/>
      <c r="BX110" s="639" t="str">
        <f t="array" ref="BX110">IFERROR(IF(ROWS(BM$93:BM110)&gt;COUNTA($BM$93:$BM$192),"",INDEX($BL$93:$BL$192,SMALL(IF($BM$93:$BM$192&lt;&gt;"",ROW($BM$93:$BM$192)-ROW($BM$93)+1),ROWS($BM$93:BM110)))),"")</f>
        <v/>
      </c>
      <c r="BY110" s="542" t="str">
        <f t="shared" si="43"/>
        <v/>
      </c>
      <c r="BZ110" s="544" t="str">
        <f t="shared" si="44"/>
        <v/>
      </c>
      <c r="CA110" s="544" t="str">
        <f t="shared" si="45"/>
        <v/>
      </c>
      <c r="CD110" s="639" t="str">
        <f t="array" ref="CD110">IFERROR(IF(ROWS(BT$93:BT110)&gt;COUNTA($BT$93:$BT$192),"",INDEX($BL$93:$BL$192,SMALL(IF($BT$93:$BT$192&lt;&gt;"",ROW($BT$93:$BT$192)-ROW($BT$93)+1),ROWS($BT$93:BT110)))),"")</f>
        <v/>
      </c>
      <c r="CE110" s="542" t="str">
        <f t="shared" si="46"/>
        <v/>
      </c>
      <c r="CF110" s="544" t="str">
        <f t="shared" si="47"/>
        <v/>
      </c>
      <c r="CG110" s="544" t="str">
        <f t="shared" si="48"/>
        <v/>
      </c>
      <c r="CI110" s="544">
        <f t="shared" si="58"/>
        <v>0</v>
      </c>
      <c r="CJ110" s="544">
        <f t="shared" si="59"/>
        <v>0</v>
      </c>
      <c r="CK110" s="544">
        <f t="shared" si="60"/>
        <v>1</v>
      </c>
      <c r="CL110" s="544">
        <f t="array" ref="CL110">IF(ISNUMBER(BY110),CI110,IF(ISBLANK(BY110),CI110,CI110+$CJ$143))+$CK$143</f>
        <v>50</v>
      </c>
      <c r="CM110" t="str">
        <f t="shared" si="61"/>
        <v/>
      </c>
      <c r="CN110" s="542" t="str">
        <f t="array" ref="CN110">IFERROR(INDEX($BY$93:$BY$142,MATCH(SMALL($CL$93:$CL$142,ROWS($CM$93:CM110)+$CK$143),$CL$93:$CL$142,0)),"")</f>
        <v/>
      </c>
      <c r="DL110" s="542">
        <v>18</v>
      </c>
      <c r="DM110" s="642" t="str">
        <f t="shared" si="49"/>
        <v/>
      </c>
      <c r="DN110" s="639" t="str">
        <f t="shared" si="62"/>
        <v/>
      </c>
      <c r="DO110" s="639" t="str">
        <f t="shared" si="50"/>
        <v/>
      </c>
      <c r="DP110" s="646">
        <f t="shared" si="51"/>
        <v>0</v>
      </c>
      <c r="DQ110" s="638" t="str">
        <f t="shared" ca="1" si="52"/>
        <v/>
      </c>
      <c r="DR110" s="639">
        <f t="shared" si="73"/>
        <v>0</v>
      </c>
      <c r="DS110" s="639">
        <f>IF(__Retrofit_TI_NC=0,
SUMIFS(Installations!CV$46:CV$803,Installations!CW$46:CW$803,DM110,Installations!IC$46:IC$803,TRUE,Installations!CU$46:CU$803,"New"),
SUMIFS(Installations!CV$46:CV$803,Installations!CW$46:CW$803,DM110,Installations!IC$46:IC$803,TRUE,Installations!CU$46:CU$803,"New")+SUMIF('Building Area Installations'!H$43:H$72,DM110,'Building Area Installations'!O$43:O$72)+SUMIF('Building Area Installations'!H$82:H$111,DM110,'Building Area Installations'!O$82:O$111))</f>
        <v>0</v>
      </c>
      <c r="DT110" s="639" t="str">
        <f t="shared" si="63"/>
        <v/>
      </c>
      <c r="DU110" s="645"/>
      <c r="DX110" s="639" t="str">
        <f t="array" ref="DX110">IFERROR(IF(ROWS(DM$93:DM110)&gt;COUNTA($DM$93:$DM$145),"",INDEX($DL$93:$DL$142,SMALL(IF($DM$93:$DM$145&lt;&gt;"",ROW($DM$93:$DM$145)-ROW($DM$93)+1),ROWS($DM$93:DM110)))),"")</f>
        <v/>
      </c>
      <c r="DY110" s="542" t="str">
        <f t="shared" si="74"/>
        <v/>
      </c>
      <c r="DZ110" s="544" t="str">
        <f t="shared" si="75"/>
        <v/>
      </c>
      <c r="EA110" s="544" t="str">
        <f t="shared" si="76"/>
        <v/>
      </c>
      <c r="EB110" s="544" t="str">
        <f t="shared" si="64"/>
        <v/>
      </c>
      <c r="ED110" s="639" t="str">
        <f t="array" ref="ED110">IFERROR(IF(ROWS(DT$93:DT110)&gt;COUNTA($DT$93:$DT$145),"",INDEX($DL$93:$DL$142,SMALL(IF($DT$93:$DT$145&lt;&gt;"",ROW($DT$93:$DT$145)-ROW($DT$93)+1),ROWS($DT$93:DT110)))),"")</f>
        <v/>
      </c>
      <c r="EE110" s="542" t="str">
        <f t="shared" si="68"/>
        <v/>
      </c>
      <c r="EF110" s="544" t="str">
        <f t="shared" si="69"/>
        <v/>
      </c>
      <c r="EG110" s="546" t="str">
        <f t="shared" si="70"/>
        <v/>
      </c>
      <c r="EH110" s="544" t="str">
        <f t="shared" si="71"/>
        <v/>
      </c>
      <c r="EI110" s="544" t="str">
        <f t="shared" si="72"/>
        <v/>
      </c>
      <c r="EJ110" s="542">
        <v>18</v>
      </c>
      <c r="EL110" s="542">
        <f t="shared" si="65"/>
        <v>0</v>
      </c>
      <c r="EM110" s="542">
        <f t="array" ref="EM110">--ISNUMBER(DY110)</f>
        <v>0</v>
      </c>
      <c r="EN110" s="542">
        <f t="shared" si="66"/>
        <v>1</v>
      </c>
      <c r="EO110" s="542">
        <f t="array" ref="EO110">IF(ISNUMBER(DY110),EL110,IF(ISBLANK(DY110),EL110,EL110+$EM$143))+$EN$143</f>
        <v>49</v>
      </c>
      <c r="EP110" t="str">
        <f t="shared" si="67"/>
        <v/>
      </c>
      <c r="EQ110" s="542" t="str">
        <f t="array" ref="EQ110">IFERROR(INDEX($DY$93:$DY$142,MATCH(SMALL($EO$93:$EO$142,ROWS($EQ$93:EQ110)+$EN$143),$EO$93:$EO$142,0)),"")</f>
        <v/>
      </c>
      <c r="EW110" s="542"/>
    </row>
    <row r="111" spans="64:315">
      <c r="BL111">
        <f t="shared" si="38"/>
        <v>19</v>
      </c>
      <c r="BM111" s="642" t="str">
        <f t="shared" si="39"/>
        <v/>
      </c>
      <c r="BN111" s="639" t="str">
        <f t="shared" si="40"/>
        <v/>
      </c>
      <c r="BO111" s="639" t="b">
        <f t="shared" si="56"/>
        <v>0</v>
      </c>
      <c r="BP111" s="643" t="str">
        <f t="shared" si="41"/>
        <v/>
      </c>
      <c r="BQ111" s="639" t="str">
        <f>IFERROR(VLOOKUP(BP111,Lookup!AT$6:AU$8,2,FALSE),"")</f>
        <v/>
      </c>
      <c r="BR111" s="639" t="str">
        <f t="shared" si="42"/>
        <v/>
      </c>
      <c r="BS111" s="644">
        <f>SUMIFS(Installations!CV$46:CV$803,Installations!CW$46:CW$803,BM111,Installations!IC$46:IC$803,TRUE,Installations!CU$46:CU$803,"Exist")</f>
        <v>0</v>
      </c>
      <c r="BT111" s="639" t="str">
        <f t="shared" si="57"/>
        <v/>
      </c>
      <c r="BU111" s="645"/>
      <c r="BX111" s="639" t="str">
        <f t="array" ref="BX111">IFERROR(IF(ROWS(BM$93:BM111)&gt;COUNTA($BM$93:$BM$192),"",INDEX($BL$93:$BL$192,SMALL(IF($BM$93:$BM$192&lt;&gt;"",ROW($BM$93:$BM$192)-ROW($BM$93)+1),ROWS($BM$93:BM111)))),"")</f>
        <v/>
      </c>
      <c r="BY111" s="542" t="str">
        <f t="shared" si="43"/>
        <v/>
      </c>
      <c r="BZ111" s="544" t="str">
        <f t="shared" si="44"/>
        <v/>
      </c>
      <c r="CA111" s="544" t="str">
        <f t="shared" si="45"/>
        <v/>
      </c>
      <c r="CD111" s="639" t="str">
        <f t="array" ref="CD111">IFERROR(IF(ROWS(BT$93:BT111)&gt;COUNTA($BT$93:$BT$192),"",INDEX($BL$93:$BL$192,SMALL(IF($BT$93:$BT$192&lt;&gt;"",ROW($BT$93:$BT$192)-ROW($BT$93)+1),ROWS($BT$93:BT111)))),"")</f>
        <v/>
      </c>
      <c r="CE111" s="542" t="str">
        <f t="shared" si="46"/>
        <v/>
      </c>
      <c r="CF111" s="544" t="str">
        <f t="shared" si="47"/>
        <v/>
      </c>
      <c r="CG111" s="544" t="str">
        <f t="shared" si="48"/>
        <v/>
      </c>
      <c r="CI111" s="544">
        <f t="shared" si="58"/>
        <v>0</v>
      </c>
      <c r="CJ111" s="544">
        <f t="shared" si="59"/>
        <v>0</v>
      </c>
      <c r="CK111" s="544">
        <f t="shared" si="60"/>
        <v>1</v>
      </c>
      <c r="CL111" s="544">
        <f t="array" ref="CL111">IF(ISNUMBER(BY111),CI111,IF(ISBLANK(BY111),CI111,CI111+$CJ$143))+$CK$143</f>
        <v>50</v>
      </c>
      <c r="CM111" t="str">
        <f t="shared" si="61"/>
        <v/>
      </c>
      <c r="CN111" s="542" t="str">
        <f t="array" ref="CN111">IFERROR(INDEX($BY$93:$BY$142,MATCH(SMALL($CL$93:$CL$142,ROWS($CM$93:CM111)+$CK$143),$CL$93:$CL$142,0)),"")</f>
        <v/>
      </c>
      <c r="DL111" s="542">
        <v>19</v>
      </c>
      <c r="DM111" s="642" t="str">
        <f t="shared" si="49"/>
        <v/>
      </c>
      <c r="DN111" s="639" t="str">
        <f t="shared" si="62"/>
        <v/>
      </c>
      <c r="DO111" s="639" t="str">
        <f t="shared" si="50"/>
        <v/>
      </c>
      <c r="DP111" s="646">
        <f t="shared" si="51"/>
        <v>0</v>
      </c>
      <c r="DQ111" s="638" t="str">
        <f t="shared" ca="1" si="52"/>
        <v/>
      </c>
      <c r="DR111" s="639">
        <f t="shared" si="73"/>
        <v>0</v>
      </c>
      <c r="DS111" s="639">
        <f>IF(__Retrofit_TI_NC=0,
SUMIFS(Installations!CV$46:CV$803,Installations!CW$46:CW$803,DM111,Installations!IC$46:IC$803,TRUE,Installations!CU$46:CU$803,"New"),
SUMIFS(Installations!CV$46:CV$803,Installations!CW$46:CW$803,DM111,Installations!IC$46:IC$803,TRUE,Installations!CU$46:CU$803,"New")+SUMIF('Building Area Installations'!H$43:H$72,DM111,'Building Area Installations'!O$43:O$72)+SUMIF('Building Area Installations'!H$82:H$111,DM111,'Building Area Installations'!O$82:O$111))</f>
        <v>0</v>
      </c>
      <c r="DT111" s="639" t="str">
        <f t="shared" si="63"/>
        <v/>
      </c>
      <c r="DU111" s="645"/>
      <c r="DX111" s="639" t="str">
        <f t="array" ref="DX111">IFERROR(IF(ROWS(DM$93:DM111)&gt;COUNTA($DM$93:$DM$145),"",INDEX($DL$93:$DL$142,SMALL(IF($DM$93:$DM$145&lt;&gt;"",ROW($DM$93:$DM$145)-ROW($DM$93)+1),ROWS($DM$93:DM111)))),"")</f>
        <v/>
      </c>
      <c r="DY111" s="542" t="str">
        <f t="shared" si="74"/>
        <v/>
      </c>
      <c r="DZ111" s="544" t="str">
        <f t="shared" si="75"/>
        <v/>
      </c>
      <c r="EA111" s="544" t="str">
        <f t="shared" si="76"/>
        <v/>
      </c>
      <c r="EB111" s="544" t="str">
        <f t="shared" si="64"/>
        <v/>
      </c>
      <c r="ED111" s="639" t="str">
        <f t="array" ref="ED111">IFERROR(IF(ROWS(DT$93:DT111)&gt;COUNTA($DT$93:$DT$145),"",INDEX($DL$93:$DL$142,SMALL(IF($DT$93:$DT$145&lt;&gt;"",ROW($DT$93:$DT$145)-ROW($DT$93)+1),ROWS($DT$93:DT111)))),"")</f>
        <v/>
      </c>
      <c r="EE111" s="542" t="str">
        <f t="shared" si="68"/>
        <v/>
      </c>
      <c r="EF111" s="544" t="str">
        <f t="shared" si="69"/>
        <v/>
      </c>
      <c r="EG111" s="546" t="str">
        <f t="shared" si="70"/>
        <v/>
      </c>
      <c r="EH111" s="544" t="str">
        <f t="shared" si="71"/>
        <v/>
      </c>
      <c r="EI111" s="544" t="str">
        <f t="shared" si="72"/>
        <v/>
      </c>
      <c r="EJ111" s="542">
        <v>19</v>
      </c>
      <c r="EL111" s="542">
        <f t="shared" si="65"/>
        <v>0</v>
      </c>
      <c r="EM111" s="542">
        <f t="array" ref="EM111">--ISNUMBER(DY111)</f>
        <v>0</v>
      </c>
      <c r="EN111" s="542">
        <f t="shared" si="66"/>
        <v>1</v>
      </c>
      <c r="EO111" s="542">
        <f t="array" ref="EO111">IF(ISNUMBER(DY111),EL111,IF(ISBLANK(DY111),EL111,EL111+$EM$143))+$EN$143</f>
        <v>49</v>
      </c>
      <c r="EP111" t="str">
        <f t="shared" si="67"/>
        <v/>
      </c>
      <c r="EQ111" s="542" t="str">
        <f t="array" ref="EQ111">IFERROR(INDEX($DY$93:$DY$142,MATCH(SMALL($EO$93:$EO$142,ROWS($EQ$93:EQ111)+$EN$143),$EO$93:$EO$142,0)),"")</f>
        <v/>
      </c>
      <c r="EW111" s="542"/>
    </row>
    <row r="112" spans="64:315">
      <c r="BL112">
        <f t="shared" si="38"/>
        <v>20</v>
      </c>
      <c r="BM112" s="642" t="str">
        <f t="shared" si="39"/>
        <v/>
      </c>
      <c r="BN112" s="639" t="str">
        <f t="shared" si="40"/>
        <v/>
      </c>
      <c r="BO112" s="639" t="b">
        <f t="shared" si="56"/>
        <v>0</v>
      </c>
      <c r="BP112" s="643" t="str">
        <f t="shared" si="41"/>
        <v/>
      </c>
      <c r="BQ112" s="639" t="str">
        <f>IFERROR(VLOOKUP(BP112,Lookup!AT$6:AU$8,2,FALSE),"")</f>
        <v/>
      </c>
      <c r="BR112" s="639" t="str">
        <f t="shared" si="42"/>
        <v/>
      </c>
      <c r="BS112" s="644">
        <f>SUMIFS(Installations!CV$46:CV$803,Installations!CW$46:CW$803,BM112,Installations!IC$46:IC$803,TRUE,Installations!CU$46:CU$803,"Exist")</f>
        <v>0</v>
      </c>
      <c r="BT112" s="639" t="str">
        <f t="shared" si="57"/>
        <v/>
      </c>
      <c r="BU112" s="645"/>
      <c r="BX112" s="639" t="str">
        <f t="array" ref="BX112">IFERROR(IF(ROWS(BM$93:BM112)&gt;COUNTA($BM$93:$BM$192),"",INDEX($BL$93:$BL$192,SMALL(IF($BM$93:$BM$192&lt;&gt;"",ROW($BM$93:$BM$192)-ROW($BM$93)+1),ROWS($BM$93:BM112)))),"")</f>
        <v/>
      </c>
      <c r="BY112" s="542" t="str">
        <f t="shared" si="43"/>
        <v/>
      </c>
      <c r="BZ112" s="544" t="str">
        <f t="shared" si="44"/>
        <v/>
      </c>
      <c r="CA112" s="544" t="str">
        <f t="shared" si="45"/>
        <v/>
      </c>
      <c r="CD112" s="639" t="str">
        <f t="array" ref="CD112">IFERROR(IF(ROWS(BT$93:BT112)&gt;COUNTA($BT$93:$BT$192),"",INDEX($BL$93:$BL$192,SMALL(IF($BT$93:$BT$192&lt;&gt;"",ROW($BT$93:$BT$192)-ROW($BT$93)+1),ROWS($BT$93:BT112)))),"")</f>
        <v/>
      </c>
      <c r="CE112" s="542" t="str">
        <f t="shared" si="46"/>
        <v/>
      </c>
      <c r="CF112" s="544" t="str">
        <f t="shared" si="47"/>
        <v/>
      </c>
      <c r="CG112" s="544" t="str">
        <f t="shared" si="48"/>
        <v/>
      </c>
      <c r="CI112" s="544">
        <f t="shared" si="58"/>
        <v>0</v>
      </c>
      <c r="CJ112" s="544">
        <f t="shared" si="59"/>
        <v>0</v>
      </c>
      <c r="CK112" s="544">
        <f t="shared" si="60"/>
        <v>1</v>
      </c>
      <c r="CL112" s="544">
        <f t="array" ref="CL112">IF(ISNUMBER(BY112),CI112,IF(ISBLANK(BY112),CI112,CI112+$CJ$143))+$CK$143</f>
        <v>50</v>
      </c>
      <c r="CM112" t="str">
        <f t="shared" si="61"/>
        <v/>
      </c>
      <c r="CN112" s="542" t="str">
        <f t="array" ref="CN112">IFERROR(INDEX($BY$93:$BY$142,MATCH(SMALL($CL$93:$CL$142,ROWS($CM$93:CM112)+$CK$143),$CL$93:$CL$142,0)),"")</f>
        <v/>
      </c>
      <c r="DL112" s="542">
        <v>20</v>
      </c>
      <c r="DM112" s="642" t="str">
        <f t="shared" si="49"/>
        <v/>
      </c>
      <c r="DN112" s="639" t="str">
        <f t="shared" si="62"/>
        <v/>
      </c>
      <c r="DO112" s="639" t="str">
        <f t="shared" si="50"/>
        <v/>
      </c>
      <c r="DP112" s="646">
        <f t="shared" si="51"/>
        <v>0</v>
      </c>
      <c r="DQ112" s="638" t="str">
        <f t="shared" ca="1" si="52"/>
        <v/>
      </c>
      <c r="DR112" s="639">
        <f t="shared" si="73"/>
        <v>0</v>
      </c>
      <c r="DS112" s="639">
        <f>IF(__Retrofit_TI_NC=0,
SUMIFS(Installations!CV$46:CV$803,Installations!CW$46:CW$803,DM112,Installations!IC$46:IC$803,TRUE,Installations!CU$46:CU$803,"New"),
SUMIFS(Installations!CV$46:CV$803,Installations!CW$46:CW$803,DM112,Installations!IC$46:IC$803,TRUE,Installations!CU$46:CU$803,"New")+SUMIF('Building Area Installations'!H$43:H$72,DM112,'Building Area Installations'!O$43:O$72)+SUMIF('Building Area Installations'!H$82:H$111,DM112,'Building Area Installations'!O$82:O$111))</f>
        <v>0</v>
      </c>
      <c r="DT112" s="639" t="str">
        <f t="shared" si="63"/>
        <v/>
      </c>
      <c r="DU112" s="645"/>
      <c r="DX112" s="639" t="str">
        <f t="array" ref="DX112">IFERROR(IF(ROWS(DM$93:DM112)&gt;COUNTA($DM$93:$DM$145),"",INDEX($DL$93:$DL$142,SMALL(IF($DM$93:$DM$145&lt;&gt;"",ROW($DM$93:$DM$145)-ROW($DM$93)+1),ROWS($DM$93:DM112)))),"")</f>
        <v/>
      </c>
      <c r="DY112" s="542" t="str">
        <f t="shared" si="74"/>
        <v/>
      </c>
      <c r="DZ112" s="544" t="str">
        <f t="shared" si="75"/>
        <v/>
      </c>
      <c r="EA112" s="544" t="str">
        <f t="shared" si="76"/>
        <v/>
      </c>
      <c r="EB112" s="544" t="str">
        <f t="shared" si="64"/>
        <v/>
      </c>
      <c r="ED112" s="639" t="str">
        <f t="array" ref="ED112">IFERROR(IF(ROWS(DT$93:DT112)&gt;COUNTA($DT$93:$DT$145),"",INDEX($DL$93:$DL$142,SMALL(IF($DT$93:$DT$145&lt;&gt;"",ROW($DT$93:$DT$145)-ROW($DT$93)+1),ROWS($DT$93:DT112)))),"")</f>
        <v/>
      </c>
      <c r="EE112" s="542" t="str">
        <f t="shared" si="68"/>
        <v/>
      </c>
      <c r="EF112" s="544" t="str">
        <f t="shared" si="69"/>
        <v/>
      </c>
      <c r="EG112" s="546" t="str">
        <f t="shared" si="70"/>
        <v/>
      </c>
      <c r="EH112" s="544" t="str">
        <f t="shared" si="71"/>
        <v/>
      </c>
      <c r="EI112" s="544" t="str">
        <f t="shared" si="72"/>
        <v/>
      </c>
      <c r="EL112" s="542">
        <f t="shared" si="65"/>
        <v>0</v>
      </c>
      <c r="EM112" s="542">
        <f t="array" ref="EM112">--ISNUMBER(DY112)</f>
        <v>0</v>
      </c>
      <c r="EN112" s="542">
        <f t="shared" si="66"/>
        <v>1</v>
      </c>
      <c r="EO112" s="542">
        <f t="array" ref="EO112">IF(ISNUMBER(DY112),EL112,IF(ISBLANK(DY112),EL112,EL112+$EM$143))+$EN$143</f>
        <v>49</v>
      </c>
      <c r="EP112" t="str">
        <f t="shared" si="67"/>
        <v/>
      </c>
      <c r="EQ112" s="542" t="str">
        <f t="array" ref="EQ112">IFERROR(INDEX($DY$93:$DY$142,MATCH(SMALL($EO$93:$EO$142,ROWS($EQ$93:EQ112)+$EN$143),$EO$93:$EO$142,0)),"")</f>
        <v/>
      </c>
      <c r="EW112" s="542"/>
    </row>
    <row r="113" spans="64:153">
      <c r="BL113">
        <f t="shared" si="38"/>
        <v>21</v>
      </c>
      <c r="BM113" s="642" t="str">
        <f t="shared" si="39"/>
        <v/>
      </c>
      <c r="BN113" s="639" t="str">
        <f t="shared" si="40"/>
        <v/>
      </c>
      <c r="BO113" s="639" t="b">
        <f t="shared" si="56"/>
        <v>0</v>
      </c>
      <c r="BP113" s="643" t="str">
        <f t="shared" si="41"/>
        <v/>
      </c>
      <c r="BQ113" s="639" t="str">
        <f>IFERROR(VLOOKUP(BP113,Lookup!AT$6:AU$8,2,FALSE),"")</f>
        <v/>
      </c>
      <c r="BR113" s="639" t="str">
        <f t="shared" si="42"/>
        <v/>
      </c>
      <c r="BS113" s="644">
        <f>SUMIFS(Installations!CV$46:CV$803,Installations!CW$46:CW$803,BM113,Installations!IC$46:IC$803,TRUE,Installations!CU$46:CU$803,"Exist")</f>
        <v>0</v>
      </c>
      <c r="BT113" s="639" t="str">
        <f t="shared" si="57"/>
        <v/>
      </c>
      <c r="BU113" s="645"/>
      <c r="BX113" s="639" t="str">
        <f t="array" ref="BX113">IFERROR(IF(ROWS(BM$93:BM113)&gt;COUNTA($BM$93:$BM$192),"",INDEX($BL$93:$BL$192,SMALL(IF($BM$93:$BM$192&lt;&gt;"",ROW($BM$93:$BM$192)-ROW($BM$93)+1),ROWS($BM$93:BM113)))),"")</f>
        <v/>
      </c>
      <c r="BY113" s="542" t="str">
        <f t="shared" si="43"/>
        <v/>
      </c>
      <c r="BZ113" s="544" t="str">
        <f t="shared" si="44"/>
        <v/>
      </c>
      <c r="CA113" s="544" t="str">
        <f t="shared" si="45"/>
        <v/>
      </c>
      <c r="CD113" s="639" t="str">
        <f t="array" ref="CD113">IFERROR(IF(ROWS(BT$93:BT113)&gt;COUNTA($BT$93:$BT$192),"",INDEX($BL$93:$BL$192,SMALL(IF($BT$93:$BT$192&lt;&gt;"",ROW($BT$93:$BT$192)-ROW($BT$93)+1),ROWS($BT$93:BT113)))),"")</f>
        <v/>
      </c>
      <c r="CE113" s="542" t="str">
        <f t="shared" si="46"/>
        <v/>
      </c>
      <c r="CF113" s="544" t="str">
        <f t="shared" si="47"/>
        <v/>
      </c>
      <c r="CG113" s="544" t="str">
        <f t="shared" si="48"/>
        <v/>
      </c>
      <c r="CI113" s="544">
        <f t="shared" si="58"/>
        <v>0</v>
      </c>
      <c r="CJ113" s="544">
        <f t="shared" si="59"/>
        <v>0</v>
      </c>
      <c r="CK113" s="544">
        <f t="shared" si="60"/>
        <v>1</v>
      </c>
      <c r="CL113" s="544">
        <f t="array" ref="CL113">IF(ISNUMBER(BY113),CI113,IF(ISBLANK(BY113),CI113,CI113+$CJ$143))+$CK$143</f>
        <v>50</v>
      </c>
      <c r="CM113" t="str">
        <f t="shared" si="61"/>
        <v/>
      </c>
      <c r="CN113" s="542" t="str">
        <f t="array" ref="CN113">IFERROR(INDEX($BY$93:$BY$142,MATCH(SMALL($CL$93:$CL$142,ROWS($CM$93:CM113)+$CK$143),$CL$93:$CL$142,0)),"")</f>
        <v/>
      </c>
      <c r="DL113" s="542">
        <v>21</v>
      </c>
      <c r="DM113" s="642" t="str">
        <f t="shared" si="49"/>
        <v/>
      </c>
      <c r="DN113" s="639" t="str">
        <f t="shared" si="62"/>
        <v/>
      </c>
      <c r="DO113" s="639" t="str">
        <f t="shared" si="50"/>
        <v/>
      </c>
      <c r="DP113" s="646">
        <f t="shared" si="51"/>
        <v>0</v>
      </c>
      <c r="DQ113" s="638" t="str">
        <f t="shared" ca="1" si="52"/>
        <v/>
      </c>
      <c r="DR113" s="639">
        <f t="shared" si="73"/>
        <v>0</v>
      </c>
      <c r="DS113" s="639">
        <f>IF(__Retrofit_TI_NC=0,
SUMIFS(Installations!CV$46:CV$803,Installations!CW$46:CW$803,DM113,Installations!IC$46:IC$803,TRUE,Installations!CU$46:CU$803,"New"),
SUMIFS(Installations!CV$46:CV$803,Installations!CW$46:CW$803,DM113,Installations!IC$46:IC$803,TRUE,Installations!CU$46:CU$803,"New")+SUMIF('Building Area Installations'!H$43:H$72,DM113,'Building Area Installations'!O$43:O$72)+SUMIF('Building Area Installations'!H$82:H$111,DM113,'Building Area Installations'!O$82:O$111))</f>
        <v>0</v>
      </c>
      <c r="DT113" s="639" t="str">
        <f t="shared" si="63"/>
        <v/>
      </c>
      <c r="DU113" s="645"/>
      <c r="DX113" s="639" t="str">
        <f t="array" ref="DX113">IFERROR(IF(ROWS(DM$93:DM113)&gt;COUNTA($DM$93:$DM$145),"",INDEX($DL$93:$DL$142,SMALL(IF($DM$93:$DM$145&lt;&gt;"",ROW($DM$93:$DM$145)-ROW($DM$93)+1),ROWS($DM$93:DM113)))),"")</f>
        <v/>
      </c>
      <c r="DY113" s="542" t="str">
        <f t="shared" si="74"/>
        <v/>
      </c>
      <c r="DZ113" s="544" t="str">
        <f t="shared" si="75"/>
        <v/>
      </c>
      <c r="EA113" s="544" t="str">
        <f t="shared" si="76"/>
        <v/>
      </c>
      <c r="EB113" s="544" t="str">
        <f t="shared" si="64"/>
        <v/>
      </c>
      <c r="ED113" s="639" t="str">
        <f t="array" ref="ED113">IFERROR(IF(ROWS(DT$93:DT113)&gt;COUNTA($DT$93:$DT$145),"",INDEX($DL$93:$DL$142,SMALL(IF($DT$93:$DT$145&lt;&gt;"",ROW($DT$93:$DT$145)-ROW($DT$93)+1),ROWS($DT$93:DT113)))),"")</f>
        <v/>
      </c>
      <c r="EE113" s="542" t="str">
        <f t="shared" si="68"/>
        <v/>
      </c>
      <c r="EF113" s="544" t="str">
        <f t="shared" si="69"/>
        <v/>
      </c>
      <c r="EG113" s="546" t="str">
        <f t="shared" si="70"/>
        <v/>
      </c>
      <c r="EH113" s="544" t="str">
        <f t="shared" si="71"/>
        <v/>
      </c>
      <c r="EI113" s="544" t="str">
        <f t="shared" si="72"/>
        <v/>
      </c>
      <c r="EL113" s="542">
        <f t="shared" si="65"/>
        <v>0</v>
      </c>
      <c r="EM113" s="542">
        <f t="array" ref="EM113">--ISNUMBER(DY113)</f>
        <v>0</v>
      </c>
      <c r="EN113" s="542">
        <f t="shared" si="66"/>
        <v>1</v>
      </c>
      <c r="EO113" s="542">
        <f t="array" ref="EO113">IF(ISNUMBER(DY113),EL113,IF(ISBLANK(DY113),EL113,EL113+$EM$143))+$EN$143</f>
        <v>49</v>
      </c>
      <c r="EP113" t="str">
        <f t="shared" si="67"/>
        <v/>
      </c>
      <c r="EQ113" s="542" t="str">
        <f t="array" ref="EQ113">IFERROR(INDEX($DY$93:$DY$142,MATCH(SMALL($EO$93:$EO$142,ROWS($EQ$93:EQ113)+$EN$143),$EO$93:$EO$142,0)),"")</f>
        <v/>
      </c>
      <c r="EW113" s="542"/>
    </row>
    <row r="114" spans="64:153">
      <c r="BL114">
        <f t="shared" si="38"/>
        <v>22</v>
      </c>
      <c r="BM114" s="642" t="str">
        <f t="shared" si="39"/>
        <v/>
      </c>
      <c r="BN114" s="639" t="str">
        <f t="shared" si="40"/>
        <v/>
      </c>
      <c r="BO114" s="639" t="b">
        <f t="shared" si="56"/>
        <v>0</v>
      </c>
      <c r="BP114" s="643" t="str">
        <f t="shared" si="41"/>
        <v/>
      </c>
      <c r="BQ114" s="639" t="str">
        <f>IFERROR(VLOOKUP(BP114,Lookup!AT$6:AU$8,2,FALSE),"")</f>
        <v/>
      </c>
      <c r="BR114" s="639" t="str">
        <f t="shared" si="42"/>
        <v/>
      </c>
      <c r="BS114" s="644">
        <f>SUMIFS(Installations!CV$46:CV$803,Installations!CW$46:CW$803,BM114,Installations!IC$46:IC$803,TRUE,Installations!CU$46:CU$803,"Exist")</f>
        <v>0</v>
      </c>
      <c r="BT114" s="639" t="str">
        <f t="shared" si="57"/>
        <v/>
      </c>
      <c r="BU114" s="645"/>
      <c r="BX114" s="639" t="str">
        <f t="array" ref="BX114">IFERROR(IF(ROWS(BM$93:BM114)&gt;COUNTA($BM$93:$BM$192),"",INDEX($BL$93:$BL$192,SMALL(IF($BM$93:$BM$192&lt;&gt;"",ROW($BM$93:$BM$192)-ROW($BM$93)+1),ROWS($BM$93:BM114)))),"")</f>
        <v/>
      </c>
      <c r="BY114" s="542" t="str">
        <f t="shared" si="43"/>
        <v/>
      </c>
      <c r="BZ114" s="544" t="str">
        <f t="shared" si="44"/>
        <v/>
      </c>
      <c r="CA114" s="544" t="str">
        <f t="shared" si="45"/>
        <v/>
      </c>
      <c r="CD114" s="639" t="str">
        <f t="array" ref="CD114">IFERROR(IF(ROWS(BT$93:BT114)&gt;COUNTA($BT$93:$BT$192),"",INDEX($BL$93:$BL$192,SMALL(IF($BT$93:$BT$192&lt;&gt;"",ROW($BT$93:$BT$192)-ROW($BT$93)+1),ROWS($BT$93:BT114)))),"")</f>
        <v/>
      </c>
      <c r="CE114" s="542" t="str">
        <f t="shared" si="46"/>
        <v/>
      </c>
      <c r="CF114" s="544" t="str">
        <f t="shared" si="47"/>
        <v/>
      </c>
      <c r="CG114" s="544" t="str">
        <f t="shared" si="48"/>
        <v/>
      </c>
      <c r="CI114" s="544">
        <f t="shared" si="58"/>
        <v>0</v>
      </c>
      <c r="CJ114" s="544">
        <f t="shared" si="59"/>
        <v>0</v>
      </c>
      <c r="CK114" s="544">
        <f t="shared" si="60"/>
        <v>1</v>
      </c>
      <c r="CL114" s="544">
        <f t="array" ref="CL114">IF(ISNUMBER(BY114),CI114,IF(ISBLANK(BY114),CI114,CI114+$CJ$143))+$CK$143</f>
        <v>50</v>
      </c>
      <c r="CM114" t="str">
        <f t="shared" si="61"/>
        <v/>
      </c>
      <c r="CN114" s="542" t="str">
        <f t="array" ref="CN114">IFERROR(INDEX($BY$93:$BY$142,MATCH(SMALL($CL$93:$CL$142,ROWS($CM$93:CM114)+$CK$143),$CL$93:$CL$142,0)),"")</f>
        <v/>
      </c>
      <c r="DL114" s="542">
        <v>22</v>
      </c>
      <c r="DM114" s="642" t="str">
        <f t="shared" si="49"/>
        <v/>
      </c>
      <c r="DN114" s="639" t="str">
        <f t="shared" si="62"/>
        <v/>
      </c>
      <c r="DO114" s="639" t="str">
        <f t="shared" si="50"/>
        <v/>
      </c>
      <c r="DP114" s="646">
        <f t="shared" si="51"/>
        <v>0</v>
      </c>
      <c r="DQ114" s="638" t="str">
        <f t="shared" ca="1" si="52"/>
        <v/>
      </c>
      <c r="DR114" s="639">
        <f t="shared" si="73"/>
        <v>0</v>
      </c>
      <c r="DS114" s="639">
        <f>IF(__Retrofit_TI_NC=0,
SUMIFS(Installations!CV$46:CV$803,Installations!CW$46:CW$803,DM114,Installations!IC$46:IC$803,TRUE,Installations!CU$46:CU$803,"New"),
SUMIFS(Installations!CV$46:CV$803,Installations!CW$46:CW$803,DM114,Installations!IC$46:IC$803,TRUE,Installations!CU$46:CU$803,"New")+SUMIF('Building Area Installations'!H$43:H$72,DM114,'Building Area Installations'!O$43:O$72)+SUMIF('Building Area Installations'!H$82:H$111,DM114,'Building Area Installations'!O$82:O$111))</f>
        <v>0</v>
      </c>
      <c r="DT114" s="639" t="str">
        <f t="shared" si="63"/>
        <v/>
      </c>
      <c r="DU114" s="645"/>
      <c r="DX114" s="639" t="str">
        <f t="array" ref="DX114">IFERROR(IF(ROWS(DM$93:DM114)&gt;COUNTA($DM$93:$DM$145),"",INDEX($DL$93:$DL$142,SMALL(IF($DM$93:$DM$145&lt;&gt;"",ROW($DM$93:$DM$145)-ROW($DM$93)+1),ROWS($DM$93:DM114)))),"")</f>
        <v/>
      </c>
      <c r="DY114" s="542" t="str">
        <f t="shared" si="74"/>
        <v/>
      </c>
      <c r="DZ114" s="544" t="str">
        <f t="shared" si="75"/>
        <v/>
      </c>
      <c r="EA114" s="544" t="str">
        <f t="shared" si="76"/>
        <v/>
      </c>
      <c r="EB114" s="544" t="str">
        <f t="shared" si="64"/>
        <v/>
      </c>
      <c r="ED114" s="639" t="str">
        <f t="array" ref="ED114">IFERROR(IF(ROWS(DT$93:DT114)&gt;COUNTA($DT$93:$DT$145),"",INDEX($DL$93:$DL$142,SMALL(IF($DT$93:$DT$145&lt;&gt;"",ROW($DT$93:$DT$145)-ROW($DT$93)+1),ROWS($DT$93:DT114)))),"")</f>
        <v/>
      </c>
      <c r="EE114" s="542" t="str">
        <f t="shared" si="68"/>
        <v/>
      </c>
      <c r="EF114" s="544" t="str">
        <f t="shared" si="69"/>
        <v/>
      </c>
      <c r="EG114" s="546" t="str">
        <f t="shared" si="70"/>
        <v/>
      </c>
      <c r="EH114" s="544" t="str">
        <f t="shared" si="71"/>
        <v/>
      </c>
      <c r="EI114" s="544" t="str">
        <f t="shared" si="72"/>
        <v/>
      </c>
      <c r="EL114" s="542">
        <f t="shared" si="65"/>
        <v>0</v>
      </c>
      <c r="EM114" s="542">
        <f t="array" ref="EM114">--ISNUMBER(DY114)</f>
        <v>0</v>
      </c>
      <c r="EN114" s="542">
        <f t="shared" si="66"/>
        <v>1</v>
      </c>
      <c r="EO114" s="542">
        <f t="array" ref="EO114">IF(ISNUMBER(DY114),EL114,IF(ISBLANK(DY114),EL114,EL114+$EM$143))+$EN$143</f>
        <v>49</v>
      </c>
      <c r="EP114" t="str">
        <f t="shared" si="67"/>
        <v/>
      </c>
      <c r="EQ114" s="542" t="str">
        <f t="array" ref="EQ114">IFERROR(INDEX($DY$93:$DY$142,MATCH(SMALL($EO$93:$EO$142,ROWS($EQ$93:EQ114)+$EN$143),$EO$93:$EO$142,0)),"")</f>
        <v/>
      </c>
      <c r="EW114" s="542"/>
    </row>
    <row r="115" spans="64:153">
      <c r="BL115">
        <f t="shared" si="38"/>
        <v>23</v>
      </c>
      <c r="BM115" s="642" t="str">
        <f t="shared" si="39"/>
        <v/>
      </c>
      <c r="BN115" s="639" t="str">
        <f t="shared" si="40"/>
        <v/>
      </c>
      <c r="BO115" s="639" t="b">
        <f t="shared" si="56"/>
        <v>0</v>
      </c>
      <c r="BP115" s="643" t="str">
        <f t="shared" si="41"/>
        <v/>
      </c>
      <c r="BQ115" s="639" t="str">
        <f>IFERROR(VLOOKUP(BP115,Lookup!AT$6:AU$8,2,FALSE),"")</f>
        <v/>
      </c>
      <c r="BR115" s="639" t="str">
        <f t="shared" si="42"/>
        <v/>
      </c>
      <c r="BS115" s="644">
        <f>SUMIFS(Installations!CV$46:CV$803,Installations!CW$46:CW$803,BM115,Installations!IC$46:IC$803,TRUE,Installations!CU$46:CU$803,"Exist")</f>
        <v>0</v>
      </c>
      <c r="BT115" s="639" t="str">
        <f t="shared" si="57"/>
        <v/>
      </c>
      <c r="BU115" s="645"/>
      <c r="BX115" s="639" t="str">
        <f t="array" ref="BX115">IFERROR(IF(ROWS(BM$93:BM115)&gt;COUNTA($BM$93:$BM$192),"",INDEX($BL$93:$BL$192,SMALL(IF($BM$93:$BM$192&lt;&gt;"",ROW($BM$93:$BM$192)-ROW($BM$93)+1),ROWS($BM$93:BM115)))),"")</f>
        <v/>
      </c>
      <c r="BY115" s="542" t="str">
        <f t="shared" si="43"/>
        <v/>
      </c>
      <c r="BZ115" s="544" t="str">
        <f t="shared" si="44"/>
        <v/>
      </c>
      <c r="CA115" s="544" t="str">
        <f t="shared" si="45"/>
        <v/>
      </c>
      <c r="CD115" s="639" t="str">
        <f t="array" ref="CD115">IFERROR(IF(ROWS(BT$93:BT115)&gt;COUNTA($BT$93:$BT$192),"",INDEX($BL$93:$BL$192,SMALL(IF($BT$93:$BT$192&lt;&gt;"",ROW($BT$93:$BT$192)-ROW($BT$93)+1),ROWS($BT$93:BT115)))),"")</f>
        <v/>
      </c>
      <c r="CE115" s="542" t="str">
        <f t="shared" si="46"/>
        <v/>
      </c>
      <c r="CF115" s="544" t="str">
        <f t="shared" si="47"/>
        <v/>
      </c>
      <c r="CG115" s="544" t="str">
        <f t="shared" si="48"/>
        <v/>
      </c>
      <c r="CI115" s="544">
        <f t="shared" si="58"/>
        <v>0</v>
      </c>
      <c r="CJ115" s="544">
        <f t="shared" si="59"/>
        <v>0</v>
      </c>
      <c r="CK115" s="544">
        <f t="shared" si="60"/>
        <v>1</v>
      </c>
      <c r="CL115" s="544">
        <f t="array" ref="CL115">IF(ISNUMBER(BY115),CI115,IF(ISBLANK(BY115),CI115,CI115+$CJ$143))+$CK$143</f>
        <v>50</v>
      </c>
      <c r="CM115" t="str">
        <f t="shared" si="61"/>
        <v/>
      </c>
      <c r="CN115" s="542" t="str">
        <f t="array" ref="CN115">IFERROR(INDEX($BY$93:$BY$142,MATCH(SMALL($CL$93:$CL$142,ROWS($CM$93:CM115)+$CK$143),$CL$93:$CL$142,0)),"")</f>
        <v/>
      </c>
      <c r="DL115" s="542">
        <v>23</v>
      </c>
      <c r="DM115" s="642" t="str">
        <f t="shared" si="49"/>
        <v/>
      </c>
      <c r="DN115" s="639" t="str">
        <f t="shared" si="62"/>
        <v/>
      </c>
      <c r="DO115" s="639" t="str">
        <f t="shared" si="50"/>
        <v/>
      </c>
      <c r="DP115" s="646">
        <f t="shared" si="51"/>
        <v>0</v>
      </c>
      <c r="DQ115" s="638" t="str">
        <f t="shared" ca="1" si="52"/>
        <v/>
      </c>
      <c r="DR115" s="639">
        <f t="shared" si="73"/>
        <v>0</v>
      </c>
      <c r="DS115" s="639">
        <f>IF(__Retrofit_TI_NC=0,
SUMIFS(Installations!CV$46:CV$803,Installations!CW$46:CW$803,DM115,Installations!IC$46:IC$803,TRUE,Installations!CU$46:CU$803,"New"),
SUMIFS(Installations!CV$46:CV$803,Installations!CW$46:CW$803,DM115,Installations!IC$46:IC$803,TRUE,Installations!CU$46:CU$803,"New")+SUMIF('Building Area Installations'!H$43:H$72,DM115,'Building Area Installations'!O$43:O$72)+SUMIF('Building Area Installations'!H$82:H$111,DM115,'Building Area Installations'!O$82:O$111))</f>
        <v>0</v>
      </c>
      <c r="DT115" s="639" t="str">
        <f t="shared" si="63"/>
        <v/>
      </c>
      <c r="DU115" s="645"/>
      <c r="DX115" s="639" t="str">
        <f t="array" ref="DX115">IFERROR(IF(ROWS(DM$93:DM115)&gt;COUNTA($DM$93:$DM$145),"",INDEX($DL$93:$DL$142,SMALL(IF($DM$93:$DM$145&lt;&gt;"",ROW($DM$93:$DM$145)-ROW($DM$93)+1),ROWS($DM$93:DM115)))),"")</f>
        <v/>
      </c>
      <c r="DY115" s="542" t="str">
        <f t="shared" si="74"/>
        <v/>
      </c>
      <c r="DZ115" s="544" t="str">
        <f t="shared" si="75"/>
        <v/>
      </c>
      <c r="EA115" s="544" t="str">
        <f t="shared" si="76"/>
        <v/>
      </c>
      <c r="EB115" s="544" t="str">
        <f t="shared" si="64"/>
        <v/>
      </c>
      <c r="ED115" s="639" t="str">
        <f t="array" ref="ED115">IFERROR(IF(ROWS(DT$93:DT115)&gt;COUNTA($DT$93:$DT$145),"",INDEX($DL$93:$DL$142,SMALL(IF($DT$93:$DT$145&lt;&gt;"",ROW($DT$93:$DT$145)-ROW($DT$93)+1),ROWS($DT$93:DT115)))),"")</f>
        <v/>
      </c>
      <c r="EE115" s="542" t="str">
        <f t="shared" si="68"/>
        <v/>
      </c>
      <c r="EF115" s="544" t="str">
        <f t="shared" si="69"/>
        <v/>
      </c>
      <c r="EG115" s="546" t="str">
        <f t="shared" si="70"/>
        <v/>
      </c>
      <c r="EH115" s="544" t="str">
        <f t="shared" si="71"/>
        <v/>
      </c>
      <c r="EI115" s="544" t="str">
        <f t="shared" si="72"/>
        <v/>
      </c>
      <c r="EL115" s="542">
        <f t="shared" si="65"/>
        <v>0</v>
      </c>
      <c r="EM115" s="542">
        <f t="array" ref="EM115">--ISNUMBER(DY115)</f>
        <v>0</v>
      </c>
      <c r="EN115" s="542">
        <f t="shared" si="66"/>
        <v>1</v>
      </c>
      <c r="EO115" s="542">
        <f t="array" ref="EO115">IF(ISNUMBER(DY115),EL115,IF(ISBLANK(DY115),EL115,EL115+$EM$143))+$EN$143</f>
        <v>49</v>
      </c>
      <c r="EP115" t="str">
        <f t="shared" si="67"/>
        <v/>
      </c>
      <c r="EQ115" s="542" t="str">
        <f t="array" ref="EQ115">IFERROR(INDEX($DY$93:$DY$142,MATCH(SMALL($EO$93:$EO$142,ROWS($EQ$93:EQ115)+$EN$143),$EO$93:$EO$142,0)),"")</f>
        <v/>
      </c>
      <c r="EW115" s="542"/>
    </row>
    <row r="116" spans="64:153">
      <c r="BL116">
        <f t="shared" si="38"/>
        <v>24</v>
      </c>
      <c r="BM116" s="642" t="str">
        <f t="shared" si="39"/>
        <v/>
      </c>
      <c r="BN116" s="639" t="str">
        <f t="shared" si="40"/>
        <v/>
      </c>
      <c r="BO116" s="639" t="b">
        <f t="shared" si="56"/>
        <v>0</v>
      </c>
      <c r="BP116" s="643" t="str">
        <f t="shared" si="41"/>
        <v/>
      </c>
      <c r="BQ116" s="639" t="str">
        <f>IFERROR(VLOOKUP(BP116,Lookup!AT$6:AU$8,2,FALSE),"")</f>
        <v/>
      </c>
      <c r="BR116" s="639" t="str">
        <f t="shared" si="42"/>
        <v/>
      </c>
      <c r="BS116" s="644">
        <f>SUMIFS(Installations!CV$46:CV$803,Installations!CW$46:CW$803,BM116,Installations!IC$46:IC$803,TRUE,Installations!CU$46:CU$803,"Exist")</f>
        <v>0</v>
      </c>
      <c r="BT116" s="639" t="str">
        <f t="shared" si="57"/>
        <v/>
      </c>
      <c r="BU116" s="645"/>
      <c r="BX116" s="639" t="str">
        <f t="array" ref="BX116">IFERROR(IF(ROWS(BM$93:BM116)&gt;COUNTA($BM$93:$BM$192),"",INDEX($BL$93:$BL$192,SMALL(IF($BM$93:$BM$192&lt;&gt;"",ROW($BM$93:$BM$192)-ROW($BM$93)+1),ROWS($BM$93:BM116)))),"")</f>
        <v/>
      </c>
      <c r="BY116" s="542" t="str">
        <f t="shared" si="43"/>
        <v/>
      </c>
      <c r="BZ116" s="544" t="str">
        <f t="shared" si="44"/>
        <v/>
      </c>
      <c r="CA116" s="544" t="str">
        <f t="shared" si="45"/>
        <v/>
      </c>
      <c r="CD116" s="639" t="str">
        <f t="array" ref="CD116">IFERROR(IF(ROWS(BT$93:BT116)&gt;COUNTA($BT$93:$BT$192),"",INDEX($BL$93:$BL$192,SMALL(IF($BT$93:$BT$192&lt;&gt;"",ROW($BT$93:$BT$192)-ROW($BT$93)+1),ROWS($BT$93:BT116)))),"")</f>
        <v/>
      </c>
      <c r="CE116" s="542" t="str">
        <f t="shared" si="46"/>
        <v/>
      </c>
      <c r="CF116" s="544" t="str">
        <f t="shared" si="47"/>
        <v/>
      </c>
      <c r="CG116" s="544" t="str">
        <f t="shared" si="48"/>
        <v/>
      </c>
      <c r="CI116" s="544">
        <f t="shared" si="58"/>
        <v>0</v>
      </c>
      <c r="CJ116" s="544">
        <f t="shared" si="59"/>
        <v>0</v>
      </c>
      <c r="CK116" s="544">
        <f t="shared" si="60"/>
        <v>1</v>
      </c>
      <c r="CL116" s="544">
        <f t="array" ref="CL116">IF(ISNUMBER(BY116),CI116,IF(ISBLANK(BY116),CI116,CI116+$CJ$143))+$CK$143</f>
        <v>50</v>
      </c>
      <c r="CM116" t="str">
        <f t="shared" si="61"/>
        <v/>
      </c>
      <c r="CN116" s="542" t="str">
        <f t="array" ref="CN116">IFERROR(INDEX($BY$93:$BY$142,MATCH(SMALL($CL$93:$CL$142,ROWS($CM$93:CM116)+$CK$143),$CL$93:$CL$142,0)),"")</f>
        <v/>
      </c>
      <c r="DL116" s="542">
        <v>24</v>
      </c>
      <c r="DM116" s="642" t="str">
        <f t="shared" si="49"/>
        <v/>
      </c>
      <c r="DN116" s="639" t="str">
        <f t="shared" si="62"/>
        <v/>
      </c>
      <c r="DO116" s="639" t="str">
        <f t="shared" si="50"/>
        <v/>
      </c>
      <c r="DP116" s="646">
        <f t="shared" si="51"/>
        <v>0</v>
      </c>
      <c r="DQ116" s="638" t="str">
        <f t="shared" ca="1" si="52"/>
        <v/>
      </c>
      <c r="DR116" s="639">
        <f t="shared" si="73"/>
        <v>0</v>
      </c>
      <c r="DS116" s="639">
        <f>IF(__Retrofit_TI_NC=0,
SUMIFS(Installations!CV$46:CV$803,Installations!CW$46:CW$803,DM116,Installations!IC$46:IC$803,TRUE,Installations!CU$46:CU$803,"New"),
SUMIFS(Installations!CV$46:CV$803,Installations!CW$46:CW$803,DM116,Installations!IC$46:IC$803,TRUE,Installations!CU$46:CU$803,"New")+SUMIF('Building Area Installations'!H$43:H$72,DM116,'Building Area Installations'!O$43:O$72)+SUMIF('Building Area Installations'!H$82:H$111,DM116,'Building Area Installations'!O$82:O$111))</f>
        <v>0</v>
      </c>
      <c r="DT116" s="639" t="str">
        <f t="shared" si="63"/>
        <v/>
      </c>
      <c r="DU116" s="645"/>
      <c r="DX116" s="639" t="str">
        <f t="array" ref="DX116">IFERROR(IF(ROWS(DM$93:DM116)&gt;COUNTA($DM$93:$DM$145),"",INDEX($DL$93:$DL$142,SMALL(IF($DM$93:$DM$145&lt;&gt;"",ROW($DM$93:$DM$145)-ROW($DM$93)+1),ROWS($DM$93:DM116)))),"")</f>
        <v/>
      </c>
      <c r="DY116" s="542" t="str">
        <f t="shared" si="74"/>
        <v/>
      </c>
      <c r="DZ116" s="544" t="str">
        <f t="shared" si="75"/>
        <v/>
      </c>
      <c r="EA116" s="544" t="str">
        <f t="shared" si="76"/>
        <v/>
      </c>
      <c r="EB116" s="544" t="str">
        <f t="shared" si="64"/>
        <v/>
      </c>
      <c r="ED116" s="639" t="str">
        <f t="array" ref="ED116">IFERROR(IF(ROWS(DT$93:DT116)&gt;COUNTA($DT$93:$DT$145),"",INDEX($DL$93:$DL$142,SMALL(IF($DT$93:$DT$145&lt;&gt;"",ROW($DT$93:$DT$145)-ROW($DT$93)+1),ROWS($DT$93:DT116)))),"")</f>
        <v/>
      </c>
      <c r="EE116" s="542" t="str">
        <f t="shared" si="68"/>
        <v/>
      </c>
      <c r="EF116" s="544" t="str">
        <f t="shared" si="69"/>
        <v/>
      </c>
      <c r="EG116" s="546" t="str">
        <f t="shared" si="70"/>
        <v/>
      </c>
      <c r="EH116" s="544" t="str">
        <f t="shared" si="71"/>
        <v/>
      </c>
      <c r="EI116" s="544" t="str">
        <f t="shared" si="72"/>
        <v/>
      </c>
      <c r="EL116" s="542">
        <f t="shared" si="65"/>
        <v>0</v>
      </c>
      <c r="EM116" s="542">
        <f t="array" ref="EM116">--ISNUMBER(DY116)</f>
        <v>0</v>
      </c>
      <c r="EN116" s="542">
        <f t="shared" si="66"/>
        <v>1</v>
      </c>
      <c r="EO116" s="542">
        <f t="array" ref="EO116">IF(ISNUMBER(DY116),EL116,IF(ISBLANK(DY116),EL116,EL116+$EM$143))+$EN$143</f>
        <v>49</v>
      </c>
      <c r="EP116" t="str">
        <f t="shared" si="67"/>
        <v/>
      </c>
      <c r="EQ116" s="542" t="str">
        <f t="array" ref="EQ116">IFERROR(INDEX($DY$93:$DY$142,MATCH(SMALL($EO$93:$EO$142,ROWS($EQ$93:EQ116)+$EN$143),$EO$93:$EO$142,0)),"")</f>
        <v/>
      </c>
    </row>
    <row r="117" spans="64:153">
      <c r="BL117">
        <f t="shared" si="38"/>
        <v>25</v>
      </c>
      <c r="BM117" s="642" t="str">
        <f t="shared" si="39"/>
        <v/>
      </c>
      <c r="BN117" s="639" t="str">
        <f t="shared" si="40"/>
        <v/>
      </c>
      <c r="BO117" s="639" t="b">
        <f t="shared" si="56"/>
        <v>0</v>
      </c>
      <c r="BP117" s="643" t="str">
        <f t="shared" si="41"/>
        <v/>
      </c>
      <c r="BQ117" s="639" t="str">
        <f>IFERROR(VLOOKUP(BP117,Lookup!AT$6:AU$8,2,FALSE),"")</f>
        <v/>
      </c>
      <c r="BR117" s="639" t="str">
        <f t="shared" si="42"/>
        <v/>
      </c>
      <c r="BS117" s="644">
        <f>SUMIFS(Installations!CV$46:CV$803,Installations!CW$46:CW$803,BM117,Installations!IC$46:IC$803,TRUE,Installations!CU$46:CU$803,"Exist")</f>
        <v>0</v>
      </c>
      <c r="BT117" s="639" t="str">
        <f t="shared" si="57"/>
        <v/>
      </c>
      <c r="BU117" s="645"/>
      <c r="BX117" s="639" t="str">
        <f t="array" ref="BX117">IFERROR(IF(ROWS(BM$93:BM117)&gt;COUNTA($BM$93:$BM$192),"",INDEX($BL$93:$BL$192,SMALL(IF($BM$93:$BM$192&lt;&gt;"",ROW($BM$93:$BM$192)-ROW($BM$93)+1),ROWS($BM$93:BM117)))),"")</f>
        <v/>
      </c>
      <c r="BY117" s="542" t="str">
        <f t="shared" si="43"/>
        <v/>
      </c>
      <c r="BZ117" s="544" t="str">
        <f t="shared" si="44"/>
        <v/>
      </c>
      <c r="CA117" s="544" t="str">
        <f t="shared" si="45"/>
        <v/>
      </c>
      <c r="CD117" s="639" t="str">
        <f t="array" ref="CD117">IFERROR(IF(ROWS(BT$93:BT117)&gt;COUNTA($BT$93:$BT$192),"",INDEX($BL$93:$BL$192,SMALL(IF($BT$93:$BT$192&lt;&gt;"",ROW($BT$93:$BT$192)-ROW($BT$93)+1),ROWS($BT$93:BT117)))),"")</f>
        <v/>
      </c>
      <c r="CE117" s="542" t="str">
        <f t="shared" si="46"/>
        <v/>
      </c>
      <c r="CF117" s="544" t="str">
        <f t="shared" si="47"/>
        <v/>
      </c>
      <c r="CG117" s="544" t="str">
        <f t="shared" si="48"/>
        <v/>
      </c>
      <c r="CI117" s="544">
        <f t="shared" si="58"/>
        <v>0</v>
      </c>
      <c r="CJ117" s="544">
        <f t="shared" si="59"/>
        <v>0</v>
      </c>
      <c r="CK117" s="544">
        <f t="shared" si="60"/>
        <v>1</v>
      </c>
      <c r="CL117" s="544">
        <f t="array" ref="CL117">IF(ISNUMBER(BY117),CI117,IF(ISBLANK(BY117),CI117,CI117+$CJ$143))+$CK$143</f>
        <v>50</v>
      </c>
      <c r="CM117" t="str">
        <f t="shared" si="61"/>
        <v/>
      </c>
      <c r="CN117" s="542" t="str">
        <f t="array" ref="CN117">IFERROR(INDEX($BY$93:$BY$142,MATCH(SMALL($CL$93:$CL$142,ROWS($CM$93:CM117)+$CK$143),$CL$93:$CL$142,0)),"")</f>
        <v/>
      </c>
      <c r="DL117" s="542">
        <v>25</v>
      </c>
      <c r="DM117" s="642" t="str">
        <f t="shared" si="49"/>
        <v/>
      </c>
      <c r="DN117" s="639" t="str">
        <f t="shared" si="62"/>
        <v/>
      </c>
      <c r="DO117" s="639" t="str">
        <f t="shared" si="50"/>
        <v/>
      </c>
      <c r="DP117" s="646">
        <f t="shared" si="51"/>
        <v>0</v>
      </c>
      <c r="DQ117" s="638" t="str">
        <f t="shared" ca="1" si="52"/>
        <v/>
      </c>
      <c r="DR117" s="639">
        <f t="shared" si="73"/>
        <v>0</v>
      </c>
      <c r="DS117" s="639">
        <f>IF(__Retrofit_TI_NC=0,
SUMIFS(Installations!CV$46:CV$803,Installations!CW$46:CW$803,DM117,Installations!IC$46:IC$803,TRUE,Installations!CU$46:CU$803,"New"),
SUMIFS(Installations!CV$46:CV$803,Installations!CW$46:CW$803,DM117,Installations!IC$46:IC$803,TRUE,Installations!CU$46:CU$803,"New")+SUMIF('Building Area Installations'!H$43:H$72,DM117,'Building Area Installations'!O$43:O$72)+SUMIF('Building Area Installations'!H$82:H$111,DM117,'Building Area Installations'!O$82:O$111))</f>
        <v>0</v>
      </c>
      <c r="DT117" s="639" t="str">
        <f t="shared" si="63"/>
        <v/>
      </c>
      <c r="DU117" s="645"/>
      <c r="DX117" s="639" t="str">
        <f t="array" ref="DX117">IFERROR(IF(ROWS(DM$93:DM117)&gt;COUNTA($DM$93:$DM$145),"",INDEX($DL$93:$DL$142,SMALL(IF($DM$93:$DM$145&lt;&gt;"",ROW($DM$93:$DM$145)-ROW($DM$93)+1),ROWS($DM$93:DM117)))),"")</f>
        <v/>
      </c>
      <c r="DY117" s="542" t="str">
        <f t="shared" si="74"/>
        <v/>
      </c>
      <c r="DZ117" s="544" t="str">
        <f t="shared" si="75"/>
        <v/>
      </c>
      <c r="EA117" s="544" t="str">
        <f t="shared" si="76"/>
        <v/>
      </c>
      <c r="EB117" s="544" t="str">
        <f t="shared" si="64"/>
        <v/>
      </c>
      <c r="ED117" s="639" t="str">
        <f t="array" ref="ED117">IFERROR(IF(ROWS(DT$93:DT117)&gt;COUNTA($DT$93:$DT$145),"",INDEX($DL$93:$DL$142,SMALL(IF($DT$93:$DT$145&lt;&gt;"",ROW($DT$93:$DT$145)-ROW($DT$93)+1),ROWS($DT$93:DT117)))),"")</f>
        <v/>
      </c>
      <c r="EE117" s="542" t="str">
        <f t="shared" si="68"/>
        <v/>
      </c>
      <c r="EF117" s="544" t="str">
        <f t="shared" si="69"/>
        <v/>
      </c>
      <c r="EG117" s="546" t="str">
        <f t="shared" si="70"/>
        <v/>
      </c>
      <c r="EH117" s="544" t="str">
        <f t="shared" si="71"/>
        <v/>
      </c>
      <c r="EI117" s="544" t="str">
        <f t="shared" si="72"/>
        <v/>
      </c>
      <c r="EL117" s="542">
        <f t="shared" si="65"/>
        <v>0</v>
      </c>
      <c r="EM117" s="542">
        <f t="array" ref="EM117">--ISNUMBER(DY117)</f>
        <v>0</v>
      </c>
      <c r="EN117" s="542">
        <f t="shared" si="66"/>
        <v>1</v>
      </c>
      <c r="EO117" s="542">
        <f t="array" ref="EO117">IF(ISNUMBER(DY117),EL117,IF(ISBLANK(DY117),EL117,EL117+$EM$143))+$EN$143</f>
        <v>49</v>
      </c>
      <c r="EP117" t="str">
        <f t="shared" si="67"/>
        <v/>
      </c>
      <c r="EQ117" s="542" t="str">
        <f t="array" ref="EQ117">IFERROR(INDEX($DY$93:$DY$142,MATCH(SMALL($EO$93:$EO$142,ROWS($EQ$93:EQ117)+$EN$143),$EO$93:$EO$142,0)),"")</f>
        <v/>
      </c>
    </row>
    <row r="118" spans="64:153">
      <c r="BL118">
        <f t="shared" si="38"/>
        <v>26</v>
      </c>
      <c r="BM118" s="642" t="str">
        <f t="shared" si="39"/>
        <v/>
      </c>
      <c r="BN118" s="639" t="str">
        <f t="shared" si="40"/>
        <v/>
      </c>
      <c r="BO118" s="639" t="b">
        <f t="shared" si="56"/>
        <v>0</v>
      </c>
      <c r="BP118" s="643" t="str">
        <f t="shared" si="41"/>
        <v/>
      </c>
      <c r="BQ118" s="639" t="str">
        <f>IFERROR(VLOOKUP(BP118,Lookup!AT$6:AU$8,2,FALSE),"")</f>
        <v/>
      </c>
      <c r="BR118" s="639" t="str">
        <f t="shared" si="42"/>
        <v/>
      </c>
      <c r="BS118" s="644">
        <f>SUMIFS(Installations!CV$46:CV$803,Installations!CW$46:CW$803,BM118,Installations!IC$46:IC$803,TRUE,Installations!CU$46:CU$803,"Exist")</f>
        <v>0</v>
      </c>
      <c r="BT118" s="639" t="str">
        <f t="shared" si="57"/>
        <v/>
      </c>
      <c r="BU118" s="645"/>
      <c r="BX118" s="639" t="str">
        <f t="array" ref="BX118">IFERROR(IF(ROWS(BM$93:BM118)&gt;COUNTA($BM$93:$BM$192),"",INDEX($BL$93:$BL$192,SMALL(IF($BM$93:$BM$192&lt;&gt;"",ROW($BM$93:$BM$192)-ROW($BM$93)+1),ROWS($BM$93:BM118)))),"")</f>
        <v/>
      </c>
      <c r="BY118" s="542" t="str">
        <f t="shared" si="43"/>
        <v/>
      </c>
      <c r="BZ118" s="544" t="str">
        <f t="shared" si="44"/>
        <v/>
      </c>
      <c r="CA118" s="544" t="str">
        <f t="shared" si="45"/>
        <v/>
      </c>
      <c r="CD118" s="639" t="str">
        <f t="array" ref="CD118">IFERROR(IF(ROWS(BT$93:BT118)&gt;COUNTA($BT$93:$BT$192),"",INDEX($BL$93:$BL$192,SMALL(IF($BT$93:$BT$192&lt;&gt;"",ROW($BT$93:$BT$192)-ROW($BT$93)+1),ROWS($BT$93:BT118)))),"")</f>
        <v/>
      </c>
      <c r="CE118" s="542" t="str">
        <f t="shared" si="46"/>
        <v/>
      </c>
      <c r="CF118" s="544" t="str">
        <f t="shared" si="47"/>
        <v/>
      </c>
      <c r="CG118" s="544" t="str">
        <f t="shared" si="48"/>
        <v/>
      </c>
      <c r="CI118" s="544">
        <f t="shared" si="58"/>
        <v>0</v>
      </c>
      <c r="CJ118" s="544">
        <f t="shared" si="59"/>
        <v>0</v>
      </c>
      <c r="CK118" s="544">
        <f t="shared" si="60"/>
        <v>1</v>
      </c>
      <c r="CL118" s="544">
        <f t="array" ref="CL118">IF(ISNUMBER(BY118),CI118,IF(ISBLANK(BY118),CI118,CI118+$CJ$143))+$CK$143</f>
        <v>50</v>
      </c>
      <c r="CM118" t="str">
        <f t="shared" si="61"/>
        <v/>
      </c>
      <c r="CN118" s="542" t="str">
        <f t="array" ref="CN118">IFERROR(INDEX($BY$93:$BY$142,MATCH(SMALL($CL$93:$CL$142,ROWS($CM$93:CM118)+$CK$143),$CL$93:$CL$142,0)),"")</f>
        <v/>
      </c>
      <c r="DL118" s="542">
        <v>26</v>
      </c>
      <c r="DM118" s="642" t="str">
        <f t="shared" si="49"/>
        <v/>
      </c>
      <c r="DN118" s="639" t="str">
        <f t="shared" si="62"/>
        <v/>
      </c>
      <c r="DO118" s="639" t="str">
        <f t="shared" si="50"/>
        <v/>
      </c>
      <c r="DP118" s="646">
        <f t="shared" si="51"/>
        <v>0</v>
      </c>
      <c r="DQ118" s="638" t="str">
        <f t="shared" ca="1" si="52"/>
        <v/>
      </c>
      <c r="DR118" s="639">
        <f t="shared" si="73"/>
        <v>0</v>
      </c>
      <c r="DS118" s="639">
        <f>IF(__Retrofit_TI_NC=0,
SUMIFS(Installations!CV$46:CV$803,Installations!CW$46:CW$803,DM118,Installations!IC$46:IC$803,TRUE,Installations!CU$46:CU$803,"New"),
SUMIFS(Installations!CV$46:CV$803,Installations!CW$46:CW$803,DM118,Installations!IC$46:IC$803,TRUE,Installations!CU$46:CU$803,"New")+SUMIF('Building Area Installations'!H$43:H$72,DM118,'Building Area Installations'!O$43:O$72)+SUMIF('Building Area Installations'!H$82:H$111,DM118,'Building Area Installations'!O$82:O$111))</f>
        <v>0</v>
      </c>
      <c r="DT118" s="639" t="str">
        <f t="shared" si="63"/>
        <v/>
      </c>
      <c r="DU118" s="645"/>
      <c r="DX118" s="639" t="str">
        <f t="array" ref="DX118">IFERROR(IF(ROWS(DM$93:DM118)&gt;COUNTA($DM$93:$DM$145),"",INDEX($DL$93:$DL$142,SMALL(IF($DM$93:$DM$145&lt;&gt;"",ROW($DM$93:$DM$145)-ROW($DM$93)+1),ROWS($DM$93:DM118)))),"")</f>
        <v/>
      </c>
      <c r="DY118" s="542" t="str">
        <f t="shared" si="74"/>
        <v/>
      </c>
      <c r="DZ118" s="544" t="str">
        <f t="shared" si="75"/>
        <v/>
      </c>
      <c r="EA118" s="544" t="str">
        <f t="shared" si="76"/>
        <v/>
      </c>
      <c r="EB118" s="544" t="str">
        <f t="shared" si="64"/>
        <v/>
      </c>
      <c r="ED118" s="639" t="str">
        <f t="array" ref="ED118">IFERROR(IF(ROWS(DT$93:DT118)&gt;COUNTA($DT$93:$DT$145),"",INDEX($DL$93:$DL$142,SMALL(IF($DT$93:$DT$145&lt;&gt;"",ROW($DT$93:$DT$145)-ROW($DT$93)+1),ROWS($DT$93:DT118)))),"")</f>
        <v/>
      </c>
      <c r="EE118" s="542" t="str">
        <f t="shared" si="68"/>
        <v/>
      </c>
      <c r="EF118" s="544" t="str">
        <f t="shared" si="69"/>
        <v/>
      </c>
      <c r="EG118" s="546" t="str">
        <f t="shared" si="70"/>
        <v/>
      </c>
      <c r="EH118" s="544" t="str">
        <f t="shared" si="71"/>
        <v/>
      </c>
      <c r="EI118" s="544" t="str">
        <f t="shared" si="72"/>
        <v/>
      </c>
      <c r="EL118" s="542">
        <f t="shared" si="65"/>
        <v>0</v>
      </c>
      <c r="EM118" s="542">
        <f t="array" ref="EM118">--ISNUMBER(DY118)</f>
        <v>0</v>
      </c>
      <c r="EN118" s="542">
        <f t="shared" si="66"/>
        <v>1</v>
      </c>
      <c r="EO118" s="542">
        <f t="array" ref="EO118">IF(ISNUMBER(DY118),EL118,IF(ISBLANK(DY118),EL118,EL118+$EM$143))+$EN$143</f>
        <v>49</v>
      </c>
      <c r="EP118" t="str">
        <f t="shared" si="67"/>
        <v/>
      </c>
      <c r="EQ118" s="542" t="str">
        <f t="array" ref="EQ118">IFERROR(INDEX($DY$93:$DY$142,MATCH(SMALL($EO$93:$EO$142,ROWS($EQ$93:EQ118)+$EN$143),$EO$93:$EO$142,0)),"")</f>
        <v/>
      </c>
    </row>
    <row r="119" spans="64:153">
      <c r="BL119">
        <f t="shared" si="38"/>
        <v>27</v>
      </c>
      <c r="BM119" s="642" t="str">
        <f t="shared" si="39"/>
        <v/>
      </c>
      <c r="BN119" s="639" t="str">
        <f t="shared" si="40"/>
        <v/>
      </c>
      <c r="BO119" s="639" t="b">
        <f t="shared" si="56"/>
        <v>0</v>
      </c>
      <c r="BP119" s="643" t="str">
        <f t="shared" si="41"/>
        <v/>
      </c>
      <c r="BQ119" s="639" t="str">
        <f>IFERROR(VLOOKUP(BP119,Lookup!AT$6:AU$8,2,FALSE),"")</f>
        <v/>
      </c>
      <c r="BR119" s="639" t="str">
        <f t="shared" si="42"/>
        <v/>
      </c>
      <c r="BS119" s="644">
        <f>SUMIFS(Installations!CV$46:CV$803,Installations!CW$46:CW$803,BM119,Installations!IC$46:IC$803,TRUE,Installations!CU$46:CU$803,"Exist")</f>
        <v>0</v>
      </c>
      <c r="BT119" s="639" t="str">
        <f t="shared" si="57"/>
        <v/>
      </c>
      <c r="BU119" s="645"/>
      <c r="BX119" s="639" t="str">
        <f t="array" ref="BX119">IFERROR(IF(ROWS(BM$93:BM119)&gt;COUNTA($BM$93:$BM$192),"",INDEX($BL$93:$BL$192,SMALL(IF($BM$93:$BM$192&lt;&gt;"",ROW($BM$93:$BM$192)-ROW($BM$93)+1),ROWS($BM$93:BM119)))),"")</f>
        <v/>
      </c>
      <c r="BY119" s="542" t="str">
        <f t="shared" si="43"/>
        <v/>
      </c>
      <c r="BZ119" s="544" t="str">
        <f t="shared" si="44"/>
        <v/>
      </c>
      <c r="CA119" s="544" t="str">
        <f t="shared" si="45"/>
        <v/>
      </c>
      <c r="CD119" s="639" t="str">
        <f t="array" ref="CD119">IFERROR(IF(ROWS(BT$93:BT119)&gt;COUNTA($BT$93:$BT$192),"",INDEX($BL$93:$BL$192,SMALL(IF($BT$93:$BT$192&lt;&gt;"",ROW($BT$93:$BT$192)-ROW($BT$93)+1),ROWS($BT$93:BT119)))),"")</f>
        <v/>
      </c>
      <c r="CE119" s="542" t="str">
        <f t="shared" si="46"/>
        <v/>
      </c>
      <c r="CF119" s="544" t="str">
        <f t="shared" si="47"/>
        <v/>
      </c>
      <c r="CG119" s="544" t="str">
        <f t="shared" si="48"/>
        <v/>
      </c>
      <c r="CI119" s="544">
        <f t="shared" si="58"/>
        <v>0</v>
      </c>
      <c r="CJ119" s="544">
        <f t="shared" si="59"/>
        <v>0</v>
      </c>
      <c r="CK119" s="544">
        <f t="shared" si="60"/>
        <v>1</v>
      </c>
      <c r="CL119" s="544">
        <f t="array" ref="CL119">IF(ISNUMBER(BY119),CI119,IF(ISBLANK(BY119),CI119,CI119+$CJ$143))+$CK$143</f>
        <v>50</v>
      </c>
      <c r="CM119" t="str">
        <f t="shared" si="61"/>
        <v/>
      </c>
      <c r="CN119" s="542" t="str">
        <f t="array" ref="CN119">IFERROR(INDEX($BY$93:$BY$142,MATCH(SMALL($CL$93:$CL$142,ROWS($CM$93:CM119)+$CK$143),$CL$93:$CL$142,0)),"")</f>
        <v/>
      </c>
      <c r="DL119" s="542">
        <v>27</v>
      </c>
      <c r="DM119" s="642" t="str">
        <f t="shared" si="49"/>
        <v/>
      </c>
      <c r="DN119" s="639" t="str">
        <f t="shared" si="62"/>
        <v/>
      </c>
      <c r="DO119" s="639" t="str">
        <f t="shared" si="50"/>
        <v/>
      </c>
      <c r="DP119" s="646">
        <f t="shared" si="51"/>
        <v>0</v>
      </c>
      <c r="DQ119" s="638" t="str">
        <f t="shared" ca="1" si="52"/>
        <v/>
      </c>
      <c r="DR119" s="639">
        <f t="shared" si="73"/>
        <v>0</v>
      </c>
      <c r="DS119" s="639">
        <f>IF(__Retrofit_TI_NC=0,
SUMIFS(Installations!CV$46:CV$803,Installations!CW$46:CW$803,DM119,Installations!IC$46:IC$803,TRUE,Installations!CU$46:CU$803,"New"),
SUMIFS(Installations!CV$46:CV$803,Installations!CW$46:CW$803,DM119,Installations!IC$46:IC$803,TRUE,Installations!CU$46:CU$803,"New")+SUMIF('Building Area Installations'!H$43:H$72,DM119,'Building Area Installations'!O$43:O$72)+SUMIF('Building Area Installations'!H$82:H$111,DM119,'Building Area Installations'!O$82:O$111))</f>
        <v>0</v>
      </c>
      <c r="DT119" s="639" t="str">
        <f t="shared" si="63"/>
        <v/>
      </c>
      <c r="DU119" s="645"/>
      <c r="DX119" s="639" t="str">
        <f t="array" ref="DX119">IFERROR(IF(ROWS(DM$93:DM119)&gt;COUNTA($DM$93:$DM$145),"",INDEX($DL$93:$DL$142,SMALL(IF($DM$93:$DM$145&lt;&gt;"",ROW($DM$93:$DM$145)-ROW($DM$93)+1),ROWS($DM$93:DM119)))),"")</f>
        <v/>
      </c>
      <c r="DY119" s="542" t="str">
        <f t="shared" si="74"/>
        <v/>
      </c>
      <c r="DZ119" s="544" t="str">
        <f t="shared" si="75"/>
        <v/>
      </c>
      <c r="EA119" s="544" t="str">
        <f t="shared" si="76"/>
        <v/>
      </c>
      <c r="EB119" s="544" t="str">
        <f t="shared" si="64"/>
        <v/>
      </c>
      <c r="ED119" s="639" t="str">
        <f t="array" ref="ED119">IFERROR(IF(ROWS(DT$93:DT119)&gt;COUNTA($DT$93:$DT$145),"",INDEX($DL$93:$DL$142,SMALL(IF($DT$93:$DT$145&lt;&gt;"",ROW($DT$93:$DT$145)-ROW($DT$93)+1),ROWS($DT$93:DT119)))),"")</f>
        <v/>
      </c>
      <c r="EE119" s="542" t="str">
        <f t="shared" si="68"/>
        <v/>
      </c>
      <c r="EF119" s="544" t="str">
        <f t="shared" si="69"/>
        <v/>
      </c>
      <c r="EG119" s="546" t="str">
        <f t="shared" si="70"/>
        <v/>
      </c>
      <c r="EH119" s="544" t="str">
        <f t="shared" si="71"/>
        <v/>
      </c>
      <c r="EI119" s="544" t="str">
        <f t="shared" si="72"/>
        <v/>
      </c>
      <c r="EL119" s="542">
        <f t="shared" si="65"/>
        <v>0</v>
      </c>
      <c r="EM119" s="542">
        <f t="array" ref="EM119">--ISNUMBER(DY119)</f>
        <v>0</v>
      </c>
      <c r="EN119" s="542">
        <f t="shared" si="66"/>
        <v>1</v>
      </c>
      <c r="EO119" s="542">
        <f t="array" ref="EO119">IF(ISNUMBER(DY119),EL119,IF(ISBLANK(DY119),EL119,EL119+$EM$143))+$EN$143</f>
        <v>49</v>
      </c>
      <c r="EP119" t="str">
        <f t="shared" si="67"/>
        <v/>
      </c>
      <c r="EQ119" s="542" t="str">
        <f t="array" ref="EQ119">IFERROR(INDEX($DY$93:$DY$142,MATCH(SMALL($EO$93:$EO$142,ROWS($EQ$93:EQ119)+$EN$143),$EO$93:$EO$142,0)),"")</f>
        <v/>
      </c>
    </row>
    <row r="120" spans="64:153">
      <c r="BL120">
        <f t="shared" si="38"/>
        <v>28</v>
      </c>
      <c r="BM120" s="642" t="str">
        <f t="shared" si="39"/>
        <v/>
      </c>
      <c r="BN120" s="639" t="str">
        <f t="shared" si="40"/>
        <v/>
      </c>
      <c r="BO120" s="639" t="b">
        <f t="shared" si="56"/>
        <v>0</v>
      </c>
      <c r="BP120" s="643" t="str">
        <f t="shared" si="41"/>
        <v/>
      </c>
      <c r="BQ120" s="639" t="str">
        <f>IFERROR(VLOOKUP(BP120,Lookup!AT$6:AU$8,2,FALSE),"")</f>
        <v/>
      </c>
      <c r="BR120" s="639" t="str">
        <f t="shared" si="42"/>
        <v/>
      </c>
      <c r="BS120" s="644">
        <f>SUMIFS(Installations!CV$46:CV$803,Installations!CW$46:CW$803,BM120,Installations!IC$46:IC$803,TRUE,Installations!CU$46:CU$803,"Exist")</f>
        <v>0</v>
      </c>
      <c r="BT120" s="639" t="str">
        <f t="shared" si="57"/>
        <v/>
      </c>
      <c r="BU120" s="645"/>
      <c r="BX120" s="639" t="str">
        <f t="array" ref="BX120">IFERROR(IF(ROWS(BM$93:BM120)&gt;COUNTA($BM$93:$BM$192),"",INDEX($BL$93:$BL$192,SMALL(IF($BM$93:$BM$192&lt;&gt;"",ROW($BM$93:$BM$192)-ROW($BM$93)+1),ROWS($BM$93:BM120)))),"")</f>
        <v/>
      </c>
      <c r="BY120" s="542" t="str">
        <f t="shared" si="43"/>
        <v/>
      </c>
      <c r="BZ120" s="544" t="str">
        <f t="shared" si="44"/>
        <v/>
      </c>
      <c r="CA120" s="544" t="str">
        <f t="shared" si="45"/>
        <v/>
      </c>
      <c r="CD120" s="639" t="str">
        <f t="array" ref="CD120">IFERROR(IF(ROWS(BT$93:BT120)&gt;COUNTA($BT$93:$BT$192),"",INDEX($BL$93:$BL$192,SMALL(IF($BT$93:$BT$192&lt;&gt;"",ROW($BT$93:$BT$192)-ROW($BT$93)+1),ROWS($BT$93:BT120)))),"")</f>
        <v/>
      </c>
      <c r="CE120" s="542" t="str">
        <f t="shared" si="46"/>
        <v/>
      </c>
      <c r="CF120" s="544" t="str">
        <f t="shared" si="47"/>
        <v/>
      </c>
      <c r="CG120" s="544" t="str">
        <f t="shared" si="48"/>
        <v/>
      </c>
      <c r="CI120" s="544">
        <f t="shared" si="58"/>
        <v>0</v>
      </c>
      <c r="CJ120" s="544">
        <f t="shared" si="59"/>
        <v>0</v>
      </c>
      <c r="CK120" s="544">
        <f t="shared" si="60"/>
        <v>1</v>
      </c>
      <c r="CL120" s="544">
        <f t="array" ref="CL120">IF(ISNUMBER(BY120),CI120,IF(ISBLANK(BY120),CI120,CI120+$CJ$143))+$CK$143</f>
        <v>50</v>
      </c>
      <c r="CM120" t="str">
        <f t="shared" si="61"/>
        <v/>
      </c>
      <c r="CN120" s="542" t="str">
        <f t="array" ref="CN120">IFERROR(INDEX($BY$93:$BY$142,MATCH(SMALL($CL$93:$CL$142,ROWS($CM$93:CM120)+$CK$143),$CL$93:$CL$142,0)),"")</f>
        <v/>
      </c>
      <c r="DL120" s="542">
        <v>28</v>
      </c>
      <c r="DM120" s="642" t="str">
        <f t="shared" si="49"/>
        <v/>
      </c>
      <c r="DN120" s="639" t="str">
        <f t="shared" si="62"/>
        <v/>
      </c>
      <c r="DO120" s="639" t="str">
        <f t="shared" si="50"/>
        <v/>
      </c>
      <c r="DP120" s="646">
        <f t="shared" si="51"/>
        <v>0</v>
      </c>
      <c r="DQ120" s="638" t="str">
        <f t="shared" ca="1" si="52"/>
        <v/>
      </c>
      <c r="DR120" s="639">
        <f t="shared" si="73"/>
        <v>0</v>
      </c>
      <c r="DS120" s="639">
        <f>IF(__Retrofit_TI_NC=0,
SUMIFS(Installations!CV$46:CV$803,Installations!CW$46:CW$803,DM120,Installations!IC$46:IC$803,TRUE,Installations!CU$46:CU$803,"New"),
SUMIFS(Installations!CV$46:CV$803,Installations!CW$46:CW$803,DM120,Installations!IC$46:IC$803,TRUE,Installations!CU$46:CU$803,"New")+SUMIF('Building Area Installations'!H$43:H$72,DM120,'Building Area Installations'!O$43:O$72)+SUMIF('Building Area Installations'!H$82:H$111,DM120,'Building Area Installations'!O$82:O$111))</f>
        <v>0</v>
      </c>
      <c r="DT120" s="639" t="str">
        <f t="shared" si="63"/>
        <v/>
      </c>
      <c r="DU120" s="645"/>
      <c r="DX120" s="639" t="str">
        <f t="array" ref="DX120">IFERROR(IF(ROWS(DM$93:DM120)&gt;COUNTA($DM$93:$DM$145),"",INDEX($DL$93:$DL$142,SMALL(IF($DM$93:$DM$145&lt;&gt;"",ROW($DM$93:$DM$145)-ROW($DM$93)+1),ROWS($DM$93:DM120)))),"")</f>
        <v/>
      </c>
      <c r="DY120" s="542" t="str">
        <f t="shared" si="74"/>
        <v/>
      </c>
      <c r="DZ120" s="544" t="str">
        <f t="shared" si="75"/>
        <v/>
      </c>
      <c r="EA120" s="544" t="str">
        <f t="shared" si="76"/>
        <v/>
      </c>
      <c r="EB120" s="544" t="str">
        <f t="shared" si="64"/>
        <v/>
      </c>
      <c r="ED120" s="639" t="str">
        <f t="array" ref="ED120">IFERROR(IF(ROWS(DT$93:DT120)&gt;COUNTA($DT$93:$DT$145),"",INDEX($DL$93:$DL$142,SMALL(IF($DT$93:$DT$145&lt;&gt;"",ROW($DT$93:$DT$145)-ROW($DT$93)+1),ROWS($DT$93:DT120)))),"")</f>
        <v/>
      </c>
      <c r="EE120" s="542" t="str">
        <f t="shared" si="68"/>
        <v/>
      </c>
      <c r="EF120" s="544" t="str">
        <f t="shared" si="69"/>
        <v/>
      </c>
      <c r="EG120" s="546" t="str">
        <f t="shared" si="70"/>
        <v/>
      </c>
      <c r="EH120" s="544" t="str">
        <f t="shared" si="71"/>
        <v/>
      </c>
      <c r="EI120" s="544" t="str">
        <f t="shared" si="72"/>
        <v/>
      </c>
      <c r="EL120" s="542">
        <f t="shared" si="65"/>
        <v>0</v>
      </c>
      <c r="EM120" s="542">
        <f t="array" ref="EM120">--ISNUMBER(DY120)</f>
        <v>0</v>
      </c>
      <c r="EN120" s="542">
        <f t="shared" si="66"/>
        <v>1</v>
      </c>
      <c r="EO120" s="542">
        <f t="array" ref="EO120">IF(ISNUMBER(DY120),EL120,IF(ISBLANK(DY120),EL120,EL120+$EM$143))+$EN$143</f>
        <v>49</v>
      </c>
      <c r="EP120" t="str">
        <f t="shared" si="67"/>
        <v/>
      </c>
      <c r="EQ120" s="542" t="str">
        <f t="array" ref="EQ120">IFERROR(INDEX($DY$93:$DY$142,MATCH(SMALL($EO$93:$EO$142,ROWS($EQ$93:EQ120)+$EN$143),$EO$93:$EO$142,0)),"")</f>
        <v/>
      </c>
    </row>
    <row r="121" spans="64:153">
      <c r="BL121">
        <f t="shared" si="38"/>
        <v>29</v>
      </c>
      <c r="BM121" s="642" t="str">
        <f t="shared" si="39"/>
        <v/>
      </c>
      <c r="BN121" s="639" t="str">
        <f t="shared" si="40"/>
        <v/>
      </c>
      <c r="BO121" s="639" t="b">
        <f t="shared" si="56"/>
        <v>0</v>
      </c>
      <c r="BP121" s="643" t="str">
        <f t="shared" si="41"/>
        <v/>
      </c>
      <c r="BQ121" s="639" t="str">
        <f>IFERROR(VLOOKUP(BP121,Lookup!AT$6:AU$8,2,FALSE),"")</f>
        <v/>
      </c>
      <c r="BR121" s="639" t="str">
        <f t="shared" si="42"/>
        <v/>
      </c>
      <c r="BS121" s="644">
        <f>SUMIFS(Installations!CV$46:CV$803,Installations!CW$46:CW$803,BM121,Installations!IC$46:IC$803,TRUE,Installations!CU$46:CU$803,"Exist")</f>
        <v>0</v>
      </c>
      <c r="BT121" s="639" t="str">
        <f t="shared" si="57"/>
        <v/>
      </c>
      <c r="BU121" s="645"/>
      <c r="BX121" s="639" t="str">
        <f t="array" ref="BX121">IFERROR(IF(ROWS(BM$93:BM121)&gt;COUNTA($BM$93:$BM$192),"",INDEX($BL$93:$BL$192,SMALL(IF($BM$93:$BM$192&lt;&gt;"",ROW($BM$93:$BM$192)-ROW($BM$93)+1),ROWS($BM$93:BM121)))),"")</f>
        <v/>
      </c>
      <c r="BY121" s="542" t="str">
        <f t="shared" si="43"/>
        <v/>
      </c>
      <c r="BZ121" s="544" t="str">
        <f t="shared" si="44"/>
        <v/>
      </c>
      <c r="CA121" s="544" t="str">
        <f t="shared" si="45"/>
        <v/>
      </c>
      <c r="CD121" s="639" t="str">
        <f t="array" ref="CD121">IFERROR(IF(ROWS(BT$93:BT121)&gt;COUNTA($BT$93:$BT$192),"",INDEX($BL$93:$BL$192,SMALL(IF($BT$93:$BT$192&lt;&gt;"",ROW($BT$93:$BT$192)-ROW($BT$93)+1),ROWS($BT$93:BT121)))),"")</f>
        <v/>
      </c>
      <c r="CE121" s="542" t="str">
        <f t="shared" si="46"/>
        <v/>
      </c>
      <c r="CF121" s="544" t="str">
        <f t="shared" si="47"/>
        <v/>
      </c>
      <c r="CG121" s="544" t="str">
        <f t="shared" si="48"/>
        <v/>
      </c>
      <c r="CI121" s="544">
        <f t="shared" si="58"/>
        <v>0</v>
      </c>
      <c r="CJ121" s="544">
        <f t="shared" si="59"/>
        <v>0</v>
      </c>
      <c r="CK121" s="544">
        <f t="shared" si="60"/>
        <v>1</v>
      </c>
      <c r="CL121" s="544">
        <f t="array" ref="CL121">IF(ISNUMBER(BY121),CI121,IF(ISBLANK(BY121),CI121,CI121+$CJ$143))+$CK$143</f>
        <v>50</v>
      </c>
      <c r="CM121" t="str">
        <f t="shared" si="61"/>
        <v/>
      </c>
      <c r="CN121" s="542" t="str">
        <f t="array" ref="CN121">IFERROR(INDEX($BY$93:$BY$142,MATCH(SMALL($CL$93:$CL$142,ROWS($CM$93:CM121)+$CK$143),$CL$93:$CL$142,0)),"")</f>
        <v/>
      </c>
      <c r="DL121" s="542">
        <v>29</v>
      </c>
      <c r="DM121" s="642" t="str">
        <f t="shared" si="49"/>
        <v/>
      </c>
      <c r="DN121" s="639" t="str">
        <f t="shared" si="62"/>
        <v/>
      </c>
      <c r="DO121" s="639" t="str">
        <f t="shared" si="50"/>
        <v/>
      </c>
      <c r="DP121" s="646">
        <f t="shared" si="51"/>
        <v>0</v>
      </c>
      <c r="DQ121" s="638" t="str">
        <f t="shared" ca="1" si="52"/>
        <v/>
      </c>
      <c r="DR121" s="639">
        <f t="shared" si="73"/>
        <v>0</v>
      </c>
      <c r="DS121" s="639">
        <f>IF(__Retrofit_TI_NC=0,
SUMIFS(Installations!CV$46:CV$803,Installations!CW$46:CW$803,DM121,Installations!IC$46:IC$803,TRUE,Installations!CU$46:CU$803,"New"),
SUMIFS(Installations!CV$46:CV$803,Installations!CW$46:CW$803,DM121,Installations!IC$46:IC$803,TRUE,Installations!CU$46:CU$803,"New")+SUMIF('Building Area Installations'!H$43:H$72,DM121,'Building Area Installations'!O$43:O$72)+SUMIF('Building Area Installations'!H$82:H$111,DM121,'Building Area Installations'!O$82:O$111))</f>
        <v>0</v>
      </c>
      <c r="DT121" s="639" t="str">
        <f t="shared" si="63"/>
        <v/>
      </c>
      <c r="DU121" s="645"/>
      <c r="DX121" s="639" t="str">
        <f t="array" ref="DX121">IFERROR(IF(ROWS(DM$93:DM121)&gt;COUNTA($DM$93:$DM$145),"",INDEX($DL$93:$DL$142,SMALL(IF($DM$93:$DM$145&lt;&gt;"",ROW($DM$93:$DM$145)-ROW($DM$93)+1),ROWS($DM$93:DM121)))),"")</f>
        <v/>
      </c>
      <c r="DY121" s="542" t="str">
        <f t="shared" si="74"/>
        <v/>
      </c>
      <c r="DZ121" s="544" t="str">
        <f t="shared" si="75"/>
        <v/>
      </c>
      <c r="EA121" s="544" t="str">
        <f t="shared" si="76"/>
        <v/>
      </c>
      <c r="EB121" s="544" t="str">
        <f t="shared" si="64"/>
        <v/>
      </c>
      <c r="ED121" s="639" t="str">
        <f t="array" ref="ED121">IFERROR(IF(ROWS(DT$93:DT121)&gt;COUNTA($DT$93:$DT$145),"",INDEX($DL$93:$DL$142,SMALL(IF($DT$93:$DT$145&lt;&gt;"",ROW($DT$93:$DT$145)-ROW($DT$93)+1),ROWS($DT$93:DT121)))),"")</f>
        <v/>
      </c>
      <c r="EE121" s="542" t="str">
        <f t="shared" si="68"/>
        <v/>
      </c>
      <c r="EF121" s="544" t="str">
        <f t="shared" si="69"/>
        <v/>
      </c>
      <c r="EG121" s="546" t="str">
        <f t="shared" si="70"/>
        <v/>
      </c>
      <c r="EH121" s="544" t="str">
        <f t="shared" si="71"/>
        <v/>
      </c>
      <c r="EI121" s="544" t="str">
        <f t="shared" si="72"/>
        <v/>
      </c>
      <c r="EL121" s="542">
        <f t="shared" si="65"/>
        <v>0</v>
      </c>
      <c r="EM121" s="542">
        <f t="array" ref="EM121">--ISNUMBER(DY121)</f>
        <v>0</v>
      </c>
      <c r="EN121" s="542">
        <f t="shared" si="66"/>
        <v>1</v>
      </c>
      <c r="EO121" s="542">
        <f t="array" ref="EO121">IF(ISNUMBER(DY121),EL121,IF(ISBLANK(DY121),EL121,EL121+$EM$143))+$EN$143</f>
        <v>49</v>
      </c>
      <c r="EP121" t="str">
        <f t="shared" si="67"/>
        <v/>
      </c>
      <c r="EQ121" s="542" t="str">
        <f t="array" ref="EQ121">IFERROR(INDEX($DY$93:$DY$142,MATCH(SMALL($EO$93:$EO$142,ROWS($EQ$93:EQ121)+$EN$143),$EO$93:$EO$142,0)),"")</f>
        <v/>
      </c>
    </row>
    <row r="122" spans="64:153">
      <c r="BL122">
        <f t="shared" si="38"/>
        <v>30</v>
      </c>
      <c r="BM122" s="642" t="str">
        <f t="shared" si="39"/>
        <v/>
      </c>
      <c r="BN122" s="639" t="str">
        <f t="shared" si="40"/>
        <v/>
      </c>
      <c r="BO122" s="639" t="b">
        <f t="shared" si="56"/>
        <v>0</v>
      </c>
      <c r="BP122" s="643" t="str">
        <f t="shared" si="41"/>
        <v/>
      </c>
      <c r="BQ122" s="639" t="str">
        <f>IFERROR(VLOOKUP(BP122,Lookup!AT$6:AU$8,2,FALSE),"")</f>
        <v/>
      </c>
      <c r="BR122" s="639" t="str">
        <f t="shared" si="42"/>
        <v/>
      </c>
      <c r="BS122" s="644">
        <f>SUMIFS(Installations!CV$46:CV$803,Installations!CW$46:CW$803,BM122,Installations!IC$46:IC$803,TRUE,Installations!CU$46:CU$803,"Exist")</f>
        <v>0</v>
      </c>
      <c r="BT122" s="639" t="str">
        <f t="shared" si="57"/>
        <v/>
      </c>
      <c r="BU122" s="645"/>
      <c r="BX122" s="639" t="str">
        <f t="array" ref="BX122">IFERROR(IF(ROWS(BM$93:BM122)&gt;COUNTA($BM$93:$BM$192),"",INDEX($BL$93:$BL$192,SMALL(IF($BM$93:$BM$192&lt;&gt;"",ROW($BM$93:$BM$192)-ROW($BM$93)+1),ROWS($BM$93:BM122)))),"")</f>
        <v/>
      </c>
      <c r="BY122" s="542" t="str">
        <f t="shared" si="43"/>
        <v/>
      </c>
      <c r="BZ122" s="544" t="str">
        <f t="shared" si="44"/>
        <v/>
      </c>
      <c r="CA122" s="544" t="str">
        <f t="shared" si="45"/>
        <v/>
      </c>
      <c r="CD122" s="639" t="str">
        <f t="array" ref="CD122">IFERROR(IF(ROWS(BT$93:BT122)&gt;COUNTA($BT$93:$BT$192),"",INDEX($BL$93:$BL$192,SMALL(IF($BT$93:$BT$192&lt;&gt;"",ROW($BT$93:$BT$192)-ROW($BT$93)+1),ROWS($BT$93:BT122)))),"")</f>
        <v/>
      </c>
      <c r="CE122" s="542" t="str">
        <f t="shared" si="46"/>
        <v/>
      </c>
      <c r="CF122" s="544" t="str">
        <f t="shared" si="47"/>
        <v/>
      </c>
      <c r="CG122" s="544" t="str">
        <f t="shared" si="48"/>
        <v/>
      </c>
      <c r="CI122" s="544">
        <f t="shared" si="58"/>
        <v>0</v>
      </c>
      <c r="CJ122" s="544">
        <f t="shared" si="59"/>
        <v>0</v>
      </c>
      <c r="CK122" s="544">
        <f t="shared" si="60"/>
        <v>1</v>
      </c>
      <c r="CL122" s="544">
        <f t="array" ref="CL122">IF(ISNUMBER(BY122),CI122,IF(ISBLANK(BY122),CI122,CI122+$CJ$143))+$CK$143</f>
        <v>50</v>
      </c>
      <c r="CM122" t="str">
        <f t="shared" si="61"/>
        <v/>
      </c>
      <c r="CN122" s="542" t="str">
        <f t="array" ref="CN122">IFERROR(INDEX($BY$93:$BY$142,MATCH(SMALL($CL$93:$CL$142,ROWS($CM$93:CM122)+$CK$143),$CL$93:$CL$142,0)),"")</f>
        <v/>
      </c>
      <c r="DL122" s="542">
        <v>30</v>
      </c>
      <c r="DM122" s="642" t="str">
        <f t="shared" si="49"/>
        <v/>
      </c>
      <c r="DN122" s="639" t="str">
        <f t="shared" si="62"/>
        <v/>
      </c>
      <c r="DO122" s="639" t="str">
        <f t="shared" si="50"/>
        <v/>
      </c>
      <c r="DP122" s="646">
        <f t="shared" si="51"/>
        <v>0</v>
      </c>
      <c r="DQ122" s="638" t="str">
        <f t="shared" ca="1" si="52"/>
        <v/>
      </c>
      <c r="DR122" s="639">
        <f t="shared" si="73"/>
        <v>0</v>
      </c>
      <c r="DS122" s="639">
        <f>IF(__Retrofit_TI_NC=0,
SUMIFS(Installations!CV$46:CV$803,Installations!CW$46:CW$803,DM122,Installations!IC$46:IC$803,TRUE,Installations!CU$46:CU$803,"New"),
SUMIFS(Installations!CV$46:CV$803,Installations!CW$46:CW$803,DM122,Installations!IC$46:IC$803,TRUE,Installations!CU$46:CU$803,"New")+SUMIF('Building Area Installations'!H$43:H$72,DM122,'Building Area Installations'!O$43:O$72)+SUMIF('Building Area Installations'!H$82:H$111,DM122,'Building Area Installations'!O$82:O$111))</f>
        <v>0</v>
      </c>
      <c r="DT122" s="639" t="str">
        <f t="shared" si="63"/>
        <v/>
      </c>
      <c r="DU122" s="645"/>
      <c r="DX122" s="639" t="str">
        <f t="array" ref="DX122">IFERROR(IF(ROWS(DM$93:DM122)&gt;COUNTA($DM$93:$DM$145),"",INDEX($DL$93:$DL$142,SMALL(IF($DM$93:$DM$145&lt;&gt;"",ROW($DM$93:$DM$145)-ROW($DM$93)+1),ROWS($DM$93:DM122)))),"")</f>
        <v/>
      </c>
      <c r="DY122" s="542" t="str">
        <f t="shared" si="74"/>
        <v/>
      </c>
      <c r="DZ122" s="544" t="str">
        <f t="shared" si="75"/>
        <v/>
      </c>
      <c r="EA122" s="544" t="str">
        <f t="shared" si="76"/>
        <v/>
      </c>
      <c r="EB122" s="544" t="str">
        <f t="shared" si="64"/>
        <v/>
      </c>
      <c r="ED122" s="639" t="str">
        <f t="array" ref="ED122">IFERROR(IF(ROWS(DT$93:DT122)&gt;COUNTA($DT$93:$DT$145),"",INDEX($DL$93:$DL$142,SMALL(IF($DT$93:$DT$145&lt;&gt;"",ROW($DT$93:$DT$145)-ROW($DT$93)+1),ROWS($DT$93:DT122)))),"")</f>
        <v/>
      </c>
      <c r="EE122" s="542" t="str">
        <f t="shared" si="68"/>
        <v/>
      </c>
      <c r="EF122" s="544" t="str">
        <f t="shared" si="69"/>
        <v/>
      </c>
      <c r="EG122" s="546" t="str">
        <f t="shared" si="70"/>
        <v/>
      </c>
      <c r="EH122" s="544" t="str">
        <f t="shared" si="71"/>
        <v/>
      </c>
      <c r="EI122" s="544" t="str">
        <f t="shared" si="72"/>
        <v/>
      </c>
      <c r="EL122" s="542">
        <f t="shared" si="65"/>
        <v>0</v>
      </c>
      <c r="EM122" s="542">
        <f t="array" ref="EM122">--ISNUMBER(DY122)</f>
        <v>0</v>
      </c>
      <c r="EN122" s="542">
        <f t="shared" si="66"/>
        <v>1</v>
      </c>
      <c r="EO122" s="542">
        <f t="array" ref="EO122">IF(ISNUMBER(DY122),EL122,IF(ISBLANK(DY122),EL122,EL122+$EM$143))+$EN$143</f>
        <v>49</v>
      </c>
      <c r="EP122" t="str">
        <f t="shared" si="67"/>
        <v/>
      </c>
      <c r="EQ122" s="542" t="str">
        <f t="array" ref="EQ122">IFERROR(INDEX($DY$93:$DY$142,MATCH(SMALL($EO$93:$EO$142,ROWS($EQ$93:EQ122)+$EN$143),$EO$93:$EO$142,0)),"")</f>
        <v/>
      </c>
    </row>
    <row r="123" spans="64:153">
      <c r="BL123">
        <f t="shared" si="38"/>
        <v>31</v>
      </c>
      <c r="BM123" s="642" t="str">
        <f t="shared" si="39"/>
        <v/>
      </c>
      <c r="BN123" s="639" t="str">
        <f t="shared" si="40"/>
        <v/>
      </c>
      <c r="BO123" s="639" t="b">
        <f t="shared" si="56"/>
        <v>0</v>
      </c>
      <c r="BP123" s="643" t="str">
        <f t="shared" si="41"/>
        <v/>
      </c>
      <c r="BQ123" s="639" t="str">
        <f>IFERROR(VLOOKUP(BP123,Lookup!AT$6:AU$8,2,FALSE),"")</f>
        <v/>
      </c>
      <c r="BR123" s="639" t="str">
        <f t="shared" si="42"/>
        <v/>
      </c>
      <c r="BS123" s="644">
        <f>SUMIFS(Installations!CV$46:CV$803,Installations!CW$46:CW$803,BM123,Installations!IC$46:IC$803,TRUE,Installations!CU$46:CU$803,"Exist")</f>
        <v>0</v>
      </c>
      <c r="BT123" s="639" t="str">
        <f t="shared" si="57"/>
        <v/>
      </c>
      <c r="BU123" s="645"/>
      <c r="BX123" s="639" t="str">
        <f t="array" ref="BX123">IFERROR(IF(ROWS(BM$93:BM123)&gt;COUNTA($BM$93:$BM$192),"",INDEX($BL$93:$BL$192,SMALL(IF($BM$93:$BM$192&lt;&gt;"",ROW($BM$93:$BM$192)-ROW($BM$93)+1),ROWS($BM$93:BM123)))),"")</f>
        <v/>
      </c>
      <c r="BY123" s="542" t="str">
        <f t="shared" si="43"/>
        <v/>
      </c>
      <c r="BZ123" s="544" t="str">
        <f t="shared" si="44"/>
        <v/>
      </c>
      <c r="CA123" s="544" t="str">
        <f t="shared" si="45"/>
        <v/>
      </c>
      <c r="CD123" s="639" t="str">
        <f t="array" ref="CD123">IFERROR(IF(ROWS(BT$93:BT123)&gt;COUNTA($BT$93:$BT$192),"",INDEX($BL$93:$BL$192,SMALL(IF($BT$93:$BT$192&lt;&gt;"",ROW($BT$93:$BT$192)-ROW($BT$93)+1),ROWS($BT$93:BT123)))),"")</f>
        <v/>
      </c>
      <c r="CE123" s="542" t="str">
        <f t="shared" si="46"/>
        <v/>
      </c>
      <c r="CF123" s="544" t="str">
        <f t="shared" si="47"/>
        <v/>
      </c>
      <c r="CG123" s="544" t="str">
        <f t="shared" si="48"/>
        <v/>
      </c>
      <c r="CI123" s="544">
        <f t="shared" si="58"/>
        <v>0</v>
      </c>
      <c r="CJ123" s="544">
        <f t="shared" si="59"/>
        <v>0</v>
      </c>
      <c r="CK123" s="544">
        <f t="shared" si="60"/>
        <v>1</v>
      </c>
      <c r="CL123" s="544">
        <f t="array" ref="CL123">IF(ISNUMBER(BY123),CI123,IF(ISBLANK(BY123),CI123,CI123+$CJ$143))+$CK$143</f>
        <v>50</v>
      </c>
      <c r="CM123" t="str">
        <f t="shared" si="61"/>
        <v/>
      </c>
      <c r="CN123" s="542" t="str">
        <f t="array" ref="CN123">IFERROR(INDEX($BY$93:$BY$142,MATCH(SMALL($CL$93:$CL$142,ROWS($CM$93:CM123)+$CK$143),$CL$93:$CL$142,0)),"")</f>
        <v/>
      </c>
      <c r="DL123" s="542">
        <v>31</v>
      </c>
      <c r="DM123" s="642" t="str">
        <f t="shared" si="49"/>
        <v/>
      </c>
      <c r="DN123" s="639" t="str">
        <f t="shared" si="62"/>
        <v/>
      </c>
      <c r="DO123" s="639" t="str">
        <f t="shared" si="50"/>
        <v/>
      </c>
      <c r="DP123" s="646">
        <f t="shared" si="51"/>
        <v>0</v>
      </c>
      <c r="DQ123" s="638" t="str">
        <f t="shared" ca="1" si="52"/>
        <v/>
      </c>
      <c r="DR123" s="639">
        <f t="shared" si="73"/>
        <v>0</v>
      </c>
      <c r="DS123" s="639">
        <f>IF(__Retrofit_TI_NC=0,
SUMIFS(Installations!CV$46:CV$803,Installations!CW$46:CW$803,DM123,Installations!IC$46:IC$803,TRUE,Installations!CU$46:CU$803,"New"),
SUMIFS(Installations!CV$46:CV$803,Installations!CW$46:CW$803,DM123,Installations!IC$46:IC$803,TRUE,Installations!CU$46:CU$803,"New")+SUMIF('Building Area Installations'!H$43:H$72,DM123,'Building Area Installations'!O$43:O$72)+SUMIF('Building Area Installations'!H$82:H$111,DM123,'Building Area Installations'!O$82:O$111))</f>
        <v>0</v>
      </c>
      <c r="DT123" s="639" t="str">
        <f t="shared" si="63"/>
        <v/>
      </c>
      <c r="DU123" s="645"/>
      <c r="DX123" s="639" t="str">
        <f t="array" ref="DX123">IFERROR(IF(ROWS(DM$93:DM123)&gt;COUNTA($DM$93:$DM$145),"",INDEX($DL$93:$DL$142,SMALL(IF($DM$93:$DM$145&lt;&gt;"",ROW($DM$93:$DM$145)-ROW($DM$93)+1),ROWS($DM$93:DM123)))),"")</f>
        <v/>
      </c>
      <c r="DY123" s="542" t="str">
        <f t="shared" si="74"/>
        <v/>
      </c>
      <c r="DZ123" s="544" t="str">
        <f t="shared" si="75"/>
        <v/>
      </c>
      <c r="EA123" s="544" t="str">
        <f t="shared" si="76"/>
        <v/>
      </c>
      <c r="EB123" s="544" t="str">
        <f t="shared" si="64"/>
        <v/>
      </c>
      <c r="ED123" s="639" t="str">
        <f t="array" ref="ED123">IFERROR(IF(ROWS(DT$93:DT123)&gt;COUNTA($DT$93:$DT$145),"",INDEX($DL$93:$DL$142,SMALL(IF($DT$93:$DT$145&lt;&gt;"",ROW($DT$93:$DT$145)-ROW($DT$93)+1),ROWS($DT$93:DT123)))),"")</f>
        <v/>
      </c>
      <c r="EE123" s="542" t="str">
        <f t="shared" si="68"/>
        <v/>
      </c>
      <c r="EF123" s="544" t="str">
        <f t="shared" si="69"/>
        <v/>
      </c>
      <c r="EG123" s="546" t="str">
        <f t="shared" si="70"/>
        <v/>
      </c>
      <c r="EH123" s="544" t="str">
        <f t="shared" si="71"/>
        <v/>
      </c>
      <c r="EI123" s="544" t="str">
        <f t="shared" si="72"/>
        <v/>
      </c>
      <c r="EL123" s="542">
        <f t="shared" si="65"/>
        <v>0</v>
      </c>
      <c r="EM123" s="542">
        <f t="array" ref="EM123">--ISNUMBER(DY123)</f>
        <v>0</v>
      </c>
      <c r="EN123" s="542">
        <f t="shared" si="66"/>
        <v>1</v>
      </c>
      <c r="EO123" s="542">
        <f t="array" ref="EO123">IF(ISNUMBER(DY123),EL123,IF(ISBLANK(DY123),EL123,EL123+$EM$143))+$EN$143</f>
        <v>49</v>
      </c>
      <c r="EP123" t="str">
        <f t="shared" si="67"/>
        <v/>
      </c>
      <c r="EQ123" s="542" t="str">
        <f t="array" ref="EQ123">IFERROR(INDEX($DY$93:$DY$142,MATCH(SMALL($EO$93:$EO$142,ROWS($EQ$93:EQ123)+$EN$143),$EO$93:$EO$142,0)),"")</f>
        <v/>
      </c>
    </row>
    <row r="124" spans="64:153">
      <c r="BL124">
        <f t="shared" si="38"/>
        <v>32</v>
      </c>
      <c r="BM124" s="642" t="str">
        <f t="shared" si="39"/>
        <v/>
      </c>
      <c r="BN124" s="639" t="str">
        <f t="shared" si="40"/>
        <v/>
      </c>
      <c r="BO124" s="639" t="b">
        <f t="shared" si="56"/>
        <v>0</v>
      </c>
      <c r="BP124" s="643" t="str">
        <f t="shared" si="41"/>
        <v/>
      </c>
      <c r="BQ124" s="639" t="str">
        <f>IFERROR(VLOOKUP(BP124,Lookup!AT$6:AU$8,2,FALSE),"")</f>
        <v/>
      </c>
      <c r="BR124" s="639" t="str">
        <f t="shared" si="42"/>
        <v/>
      </c>
      <c r="BS124" s="644">
        <f>SUMIFS(Installations!CV$46:CV$803,Installations!CW$46:CW$803,BM124,Installations!IC$46:IC$803,TRUE,Installations!CU$46:CU$803,"Exist")</f>
        <v>0</v>
      </c>
      <c r="BT124" s="639" t="str">
        <f t="shared" si="57"/>
        <v/>
      </c>
      <c r="BU124" s="645"/>
      <c r="BX124" s="639" t="str">
        <f t="array" ref="BX124">IFERROR(IF(ROWS(BM$93:BM124)&gt;COUNTA($BM$93:$BM$192),"",INDEX($BL$93:$BL$192,SMALL(IF($BM$93:$BM$192&lt;&gt;"",ROW($BM$93:$BM$192)-ROW($BM$93)+1),ROWS($BM$93:BM124)))),"")</f>
        <v/>
      </c>
      <c r="BY124" s="542" t="str">
        <f t="shared" si="43"/>
        <v/>
      </c>
      <c r="BZ124" s="544" t="str">
        <f t="shared" si="44"/>
        <v/>
      </c>
      <c r="CA124" s="544" t="str">
        <f t="shared" si="45"/>
        <v/>
      </c>
      <c r="CD124" s="639" t="str">
        <f t="array" ref="CD124">IFERROR(IF(ROWS(BT$93:BT124)&gt;COUNTA($BT$93:$BT$192),"",INDEX($BL$93:$BL$192,SMALL(IF($BT$93:$BT$192&lt;&gt;"",ROW($BT$93:$BT$192)-ROW($BT$93)+1),ROWS($BT$93:BT124)))),"")</f>
        <v/>
      </c>
      <c r="CE124" s="542" t="str">
        <f t="shared" si="46"/>
        <v/>
      </c>
      <c r="CF124" s="544" t="str">
        <f t="shared" si="47"/>
        <v/>
      </c>
      <c r="CG124" s="544" t="str">
        <f t="shared" si="48"/>
        <v/>
      </c>
      <c r="CI124" s="544">
        <f t="shared" si="58"/>
        <v>0</v>
      </c>
      <c r="CJ124" s="544">
        <f t="shared" si="59"/>
        <v>0</v>
      </c>
      <c r="CK124" s="544">
        <f t="shared" si="60"/>
        <v>1</v>
      </c>
      <c r="CL124" s="544">
        <f t="array" ref="CL124">IF(ISNUMBER(BY124),CI124,IF(ISBLANK(BY124),CI124,CI124+$CJ$143))+$CK$143</f>
        <v>50</v>
      </c>
      <c r="CM124" t="str">
        <f t="shared" si="61"/>
        <v/>
      </c>
      <c r="CN124" s="542" t="str">
        <f t="array" ref="CN124">IFERROR(INDEX($BY$93:$BY$142,MATCH(SMALL($CL$93:$CL$142,ROWS($CM$93:CM124)+$CK$143),$CL$93:$CL$142,0)),"")</f>
        <v/>
      </c>
      <c r="DL124" s="542">
        <v>32</v>
      </c>
      <c r="DM124" s="642" t="str">
        <f t="shared" si="49"/>
        <v/>
      </c>
      <c r="DN124" s="639" t="str">
        <f t="shared" si="62"/>
        <v/>
      </c>
      <c r="DO124" s="639" t="str">
        <f t="shared" si="50"/>
        <v/>
      </c>
      <c r="DP124" s="646">
        <f t="shared" si="51"/>
        <v>0</v>
      </c>
      <c r="DQ124" s="638" t="str">
        <f t="shared" ca="1" si="52"/>
        <v/>
      </c>
      <c r="DR124" s="639">
        <f t="shared" si="73"/>
        <v>0</v>
      </c>
      <c r="DS124" s="639">
        <f>IF(__Retrofit_TI_NC=0,
SUMIFS(Installations!CV$46:CV$803,Installations!CW$46:CW$803,DM124,Installations!IC$46:IC$803,TRUE,Installations!CU$46:CU$803,"New"),
SUMIFS(Installations!CV$46:CV$803,Installations!CW$46:CW$803,DM124,Installations!IC$46:IC$803,TRUE,Installations!CU$46:CU$803,"New")+SUMIF('Building Area Installations'!H$43:H$72,DM124,'Building Area Installations'!O$43:O$72)+SUMIF('Building Area Installations'!H$82:H$111,DM124,'Building Area Installations'!O$82:O$111))</f>
        <v>0</v>
      </c>
      <c r="DT124" s="639" t="str">
        <f t="shared" si="63"/>
        <v/>
      </c>
      <c r="DU124" s="645"/>
      <c r="DX124" s="639" t="str">
        <f t="array" ref="DX124">IFERROR(IF(ROWS(DM$93:DM124)&gt;COUNTA($DM$93:$DM$145),"",INDEX($DL$93:$DL$142,SMALL(IF($DM$93:$DM$145&lt;&gt;"",ROW($DM$93:$DM$145)-ROW($DM$93)+1),ROWS($DM$93:DM124)))),"")</f>
        <v/>
      </c>
      <c r="DY124" s="542" t="str">
        <f t="shared" si="74"/>
        <v/>
      </c>
      <c r="DZ124" s="544" t="str">
        <f t="shared" si="75"/>
        <v/>
      </c>
      <c r="EA124" s="544" t="str">
        <f t="shared" si="76"/>
        <v/>
      </c>
      <c r="EB124" s="544" t="str">
        <f t="shared" si="64"/>
        <v/>
      </c>
      <c r="ED124" s="639" t="str">
        <f t="array" ref="ED124">IFERROR(IF(ROWS(DT$93:DT124)&gt;COUNTA($DT$93:$DT$145),"",INDEX($DL$93:$DL$142,SMALL(IF($DT$93:$DT$145&lt;&gt;"",ROW($DT$93:$DT$145)-ROW($DT$93)+1),ROWS($DT$93:DT124)))),"")</f>
        <v/>
      </c>
      <c r="EE124" s="542" t="str">
        <f t="shared" si="68"/>
        <v/>
      </c>
      <c r="EF124" s="544" t="str">
        <f t="shared" si="69"/>
        <v/>
      </c>
      <c r="EG124" s="546" t="str">
        <f t="shared" si="70"/>
        <v/>
      </c>
      <c r="EH124" s="544" t="str">
        <f t="shared" si="71"/>
        <v/>
      </c>
      <c r="EI124" s="544" t="str">
        <f t="shared" si="72"/>
        <v/>
      </c>
      <c r="EL124" s="542">
        <f t="shared" si="65"/>
        <v>0</v>
      </c>
      <c r="EM124" s="542">
        <f t="array" ref="EM124">--ISNUMBER(DY124)</f>
        <v>0</v>
      </c>
      <c r="EN124" s="542">
        <f t="shared" si="66"/>
        <v>1</v>
      </c>
      <c r="EO124" s="542">
        <f t="array" ref="EO124">IF(ISNUMBER(DY124),EL124,IF(ISBLANK(DY124),EL124,EL124+$EM$143))+$EN$143</f>
        <v>49</v>
      </c>
      <c r="EP124" t="str">
        <f t="shared" si="67"/>
        <v/>
      </c>
      <c r="EQ124" s="542" t="str">
        <f t="array" ref="EQ124">IFERROR(INDEX($DY$93:$DY$142,MATCH(SMALL($EO$93:$EO$142,ROWS($EQ$93:EQ124)+$EN$143),$EO$93:$EO$142,0)),"")</f>
        <v/>
      </c>
    </row>
    <row r="125" spans="64:153">
      <c r="BL125">
        <f t="shared" ref="BL125:BL142" si="77">BW59</f>
        <v>33</v>
      </c>
      <c r="BM125" s="642" t="str">
        <f t="shared" ref="BM125:BM142" si="78">BM59</f>
        <v/>
      </c>
      <c r="BN125" s="639" t="str">
        <f t="shared" ref="BN125:BN142" si="79">CP59</f>
        <v/>
      </c>
      <c r="BO125" s="639" t="b">
        <f t="shared" si="56"/>
        <v>0</v>
      </c>
      <c r="BP125" s="643" t="str">
        <f t="shared" ref="BP125:BP142" si="80">IF(BO125=TRUE,CF59,"")</f>
        <v/>
      </c>
      <c r="BQ125" s="639" t="str">
        <f>IFERROR(VLOOKUP(BP125,Lookup!AT$6:AU$8,2,FALSE),"")</f>
        <v/>
      </c>
      <c r="BR125" s="639" t="str">
        <f t="shared" ref="BR125:BR142" si="81">IFERROR(CP59/LEFT(CJ59,1),BN125)</f>
        <v/>
      </c>
      <c r="BS125" s="644">
        <f>SUMIFS(Installations!CV$46:CV$803,Installations!CW$46:CW$803,BM125,Installations!IC$46:IC$803,TRUE,Installations!CU$46:CU$803,"Exist")</f>
        <v>0</v>
      </c>
      <c r="BT125" s="639" t="str">
        <f t="shared" si="57"/>
        <v/>
      </c>
      <c r="BU125" s="645"/>
      <c r="BX125" s="639" t="str">
        <f t="array" ref="BX125">IFERROR(IF(ROWS(BM$93:BM125)&gt;COUNTA($BM$93:$BM$192),"",INDEX($BL$93:$BL$192,SMALL(IF($BM$93:$BM$192&lt;&gt;"",ROW($BM$93:$BM$192)-ROW($BM$93)+1),ROWS($BM$93:BM125)))),"")</f>
        <v/>
      </c>
      <c r="BY125" s="542" t="str">
        <f t="shared" ref="BY125:BY142" si="82">IFERROR(VLOOKUP(BX125,$BL$93:$BM$192,2,FALSE),"")</f>
        <v/>
      </c>
      <c r="BZ125" s="544" t="str">
        <f t="shared" ref="BZ125:BZ142" si="83">IFERROR(VLOOKUP(BX125,BL$93:BN$192,3,FALSE),"")</f>
        <v/>
      </c>
      <c r="CA125" s="544" t="str">
        <f t="shared" ref="CA125:CA142" si="84">IFERROR(VLOOKUP(BX125,BL$93:BS$192,8,FALSE),"")</f>
        <v/>
      </c>
      <c r="CD125" s="639" t="str">
        <f t="array" ref="CD125">IFERROR(IF(ROWS(BT$93:BT125)&gt;COUNTA($BT$93:$BT$192),"",INDEX($BL$93:$BL$192,SMALL(IF($BT$93:$BT$192&lt;&gt;"",ROW($BT$93:$BT$192)-ROW($BT$93)+1),ROWS($BT$93:BT125)))),"")</f>
        <v/>
      </c>
      <c r="CE125" s="542" t="str">
        <f t="shared" ref="CE125:CE142" si="85">IFERROR(VLOOKUP(CD125,$BL$93:$BM$192,2,FALSE),"")</f>
        <v/>
      </c>
      <c r="CF125" s="544" t="str">
        <f t="shared" ref="CF125:CF142" si="86">IFERROR(VLOOKUP(CD125,$BL$93:$BS$192,3,FALSE),"")</f>
        <v/>
      </c>
      <c r="CG125" s="544" t="str">
        <f t="shared" ref="CG125:CG142" si="87">IFERROR(VLOOKUP(CD125,$BL$93:$BS$192,8,FALSE),"")</f>
        <v/>
      </c>
      <c r="CI125" s="544">
        <f t="shared" si="58"/>
        <v>0</v>
      </c>
      <c r="CJ125" s="544">
        <f t="shared" si="59"/>
        <v>0</v>
      </c>
      <c r="CK125" s="544">
        <f t="shared" si="60"/>
        <v>1</v>
      </c>
      <c r="CL125" s="544">
        <f t="array" ref="CL125">IF(ISNUMBER(BY125),CI125,IF(ISBLANK(BY125),CI125,CI125+$CJ$143))+$CK$143</f>
        <v>50</v>
      </c>
      <c r="CM125" t="str">
        <f t="shared" si="61"/>
        <v/>
      </c>
      <c r="CN125" s="542" t="str">
        <f t="array" ref="CN125">IFERROR(INDEX($BY$93:$BY$142,MATCH(SMALL($CL$93:$CL$142,ROWS($CM$93:CM125)+$CK$143),$CL$93:$CL$142,0)),"")</f>
        <v/>
      </c>
      <c r="DL125" s="542">
        <v>33</v>
      </c>
      <c r="DM125" s="642" t="str">
        <f t="shared" ref="DM125:DM142" si="88">DN59</f>
        <v/>
      </c>
      <c r="DN125" s="639" t="str">
        <f t="shared" si="62"/>
        <v/>
      </c>
      <c r="DO125" s="639" t="str">
        <f t="shared" ref="DO125:DO142" si="89">EZ59</f>
        <v/>
      </c>
      <c r="DP125" s="646">
        <f t="shared" ref="DP125:DP142" si="90">EX59</f>
        <v>0</v>
      </c>
      <c r="DQ125" s="638" t="str">
        <f t="shared" ref="DQ125:DQ142" ca="1" si="91">FG59</f>
        <v/>
      </c>
      <c r="DR125" s="639">
        <f t="shared" si="73"/>
        <v>0</v>
      </c>
      <c r="DS125" s="639">
        <f>IF(__Retrofit_TI_NC=0,
SUMIFS(Installations!CV$46:CV$803,Installations!CW$46:CW$803,DM125,Installations!IC$46:IC$803,TRUE,Installations!CU$46:CU$803,"New"),
SUMIFS(Installations!CV$46:CV$803,Installations!CW$46:CW$803,DM125,Installations!IC$46:IC$803,TRUE,Installations!CU$46:CU$803,"New")+SUMIF('Building Area Installations'!H$43:H$72,DM125,'Building Area Installations'!O$43:O$72)+SUMIF('Building Area Installations'!H$82:H$111,DM125,'Building Area Installations'!O$82:O$111))</f>
        <v>0</v>
      </c>
      <c r="DT125" s="639" t="str">
        <f t="shared" si="63"/>
        <v/>
      </c>
      <c r="DU125" s="645"/>
      <c r="DX125" s="639" t="str">
        <f t="array" ref="DX125">IFERROR(IF(ROWS(DM$93:DM125)&gt;COUNTA($DM$93:$DM$145),"",INDEX($DL$93:$DL$142,SMALL(IF($DM$93:$DM$145&lt;&gt;"",ROW($DM$93:$DM$145)-ROW($DM$93)+1),ROWS($DM$93:DM125)))),"")</f>
        <v/>
      </c>
      <c r="DY125" s="542" t="str">
        <f t="shared" si="74"/>
        <v/>
      </c>
      <c r="DZ125" s="544" t="str">
        <f t="shared" si="75"/>
        <v/>
      </c>
      <c r="EA125" s="544" t="str">
        <f t="shared" si="76"/>
        <v/>
      </c>
      <c r="EB125" s="544" t="str">
        <f t="shared" si="64"/>
        <v/>
      </c>
      <c r="ED125" s="639" t="str">
        <f t="array" ref="ED125">IFERROR(IF(ROWS(DT$93:DT125)&gt;COUNTA($DT$93:$DT$145),"",INDEX($DL$93:$DL$142,SMALL(IF($DT$93:$DT$145&lt;&gt;"",ROW($DT$93:$DT$145)-ROW($DT$93)+1),ROWS($DT$93:DT125)))),"")</f>
        <v/>
      </c>
      <c r="EE125" s="542" t="str">
        <f t="shared" si="68"/>
        <v/>
      </c>
      <c r="EF125" s="544" t="str">
        <f t="shared" si="69"/>
        <v/>
      </c>
      <c r="EG125" s="546" t="str">
        <f t="shared" si="70"/>
        <v/>
      </c>
      <c r="EH125" s="544" t="str">
        <f t="shared" si="71"/>
        <v/>
      </c>
      <c r="EI125" s="544" t="str">
        <f t="shared" si="72"/>
        <v/>
      </c>
      <c r="EL125" s="542">
        <f t="shared" si="65"/>
        <v>0</v>
      </c>
      <c r="EM125" s="542">
        <f t="array" ref="EM125">--ISNUMBER(DY125)</f>
        <v>0</v>
      </c>
      <c r="EN125" s="542">
        <f t="shared" si="66"/>
        <v>1</v>
      </c>
      <c r="EO125" s="542">
        <f t="array" ref="EO125">IF(ISNUMBER(DY125),EL125,IF(ISBLANK(DY125),EL125,EL125+$EM$143))+$EN$143</f>
        <v>49</v>
      </c>
      <c r="EP125" t="str">
        <f t="shared" si="67"/>
        <v/>
      </c>
      <c r="EQ125" s="542" t="str">
        <f t="array" ref="EQ125">IFERROR(INDEX($DY$93:$DY$142,MATCH(SMALL($EO$93:$EO$142,ROWS($EQ$93:EQ125)+$EN$143),$EO$93:$EO$142,0)),"")</f>
        <v/>
      </c>
    </row>
    <row r="126" spans="64:153">
      <c r="BL126">
        <f t="shared" si="77"/>
        <v>34</v>
      </c>
      <c r="BM126" s="642" t="str">
        <f t="shared" si="78"/>
        <v/>
      </c>
      <c r="BN126" s="639" t="str">
        <f t="shared" si="79"/>
        <v/>
      </c>
      <c r="BO126" s="639" t="b">
        <f t="shared" si="56"/>
        <v>0</v>
      </c>
      <c r="BP126" s="643" t="str">
        <f t="shared" si="80"/>
        <v/>
      </c>
      <c r="BQ126" s="639" t="str">
        <f>IFERROR(VLOOKUP(BP126,Lookup!AT$6:AU$8,2,FALSE),"")</f>
        <v/>
      </c>
      <c r="BR126" s="639" t="str">
        <f t="shared" si="81"/>
        <v/>
      </c>
      <c r="BS126" s="644">
        <f>SUMIFS(Installations!CV$46:CV$803,Installations!CW$46:CW$803,BM126,Installations!IC$46:IC$803,TRUE,Installations!CU$46:CU$803,"Exist")</f>
        <v>0</v>
      </c>
      <c r="BT126" s="639" t="str">
        <f t="shared" si="57"/>
        <v/>
      </c>
      <c r="BU126" s="645"/>
      <c r="BX126" s="639" t="str">
        <f t="array" ref="BX126">IFERROR(IF(ROWS(BM$93:BM126)&gt;COUNTA($BM$93:$BM$192),"",INDEX($BL$93:$BL$192,SMALL(IF($BM$93:$BM$192&lt;&gt;"",ROW($BM$93:$BM$192)-ROW($BM$93)+1),ROWS($BM$93:BM126)))),"")</f>
        <v/>
      </c>
      <c r="BY126" s="542" t="str">
        <f t="shared" si="82"/>
        <v/>
      </c>
      <c r="BZ126" s="544" t="str">
        <f t="shared" si="83"/>
        <v/>
      </c>
      <c r="CA126" s="544" t="str">
        <f t="shared" si="84"/>
        <v/>
      </c>
      <c r="CD126" s="639" t="str">
        <f t="array" ref="CD126">IFERROR(IF(ROWS(BT$93:BT126)&gt;COUNTA($BT$93:$BT$192),"",INDEX($BL$93:$BL$192,SMALL(IF($BT$93:$BT$192&lt;&gt;"",ROW($BT$93:$BT$192)-ROW($BT$93)+1),ROWS($BT$93:BT126)))),"")</f>
        <v/>
      </c>
      <c r="CE126" s="542" t="str">
        <f t="shared" si="85"/>
        <v/>
      </c>
      <c r="CF126" s="544" t="str">
        <f t="shared" si="86"/>
        <v/>
      </c>
      <c r="CG126" s="544" t="str">
        <f t="shared" si="87"/>
        <v/>
      </c>
      <c r="CI126" s="544">
        <f t="shared" si="58"/>
        <v>0</v>
      </c>
      <c r="CJ126" s="544">
        <f t="shared" si="59"/>
        <v>0</v>
      </c>
      <c r="CK126" s="544">
        <f t="shared" si="60"/>
        <v>1</v>
      </c>
      <c r="CL126" s="544">
        <f t="array" ref="CL126">IF(ISNUMBER(BY126),CI126,IF(ISBLANK(BY126),CI126,CI126+$CJ$143))+$CK$143</f>
        <v>50</v>
      </c>
      <c r="CM126" t="str">
        <f t="shared" si="61"/>
        <v/>
      </c>
      <c r="CN126" s="542" t="str">
        <f t="array" ref="CN126">IFERROR(INDEX($BY$93:$BY$142,MATCH(SMALL($CL$93:$CL$142,ROWS($CM$93:CM126)+$CK$143),$CL$93:$CL$142,0)),"")</f>
        <v/>
      </c>
      <c r="DL126" s="542">
        <v>34</v>
      </c>
      <c r="DM126" s="642" t="str">
        <f t="shared" si="88"/>
        <v/>
      </c>
      <c r="DN126" s="639" t="str">
        <f t="shared" si="62"/>
        <v/>
      </c>
      <c r="DO126" s="639" t="str">
        <f t="shared" si="89"/>
        <v/>
      </c>
      <c r="DP126" s="646">
        <f t="shared" si="90"/>
        <v>0</v>
      </c>
      <c r="DQ126" s="638" t="str">
        <f t="shared" ca="1" si="91"/>
        <v/>
      </c>
      <c r="DR126" s="639">
        <f t="shared" si="73"/>
        <v>0</v>
      </c>
      <c r="DS126" s="639">
        <f>IF(__Retrofit_TI_NC=0,
SUMIFS(Installations!CV$46:CV$803,Installations!CW$46:CW$803,DM126,Installations!IC$46:IC$803,TRUE,Installations!CU$46:CU$803,"New"),
SUMIFS(Installations!CV$46:CV$803,Installations!CW$46:CW$803,DM126,Installations!IC$46:IC$803,TRUE,Installations!CU$46:CU$803,"New")+SUMIF('Building Area Installations'!H$43:H$72,DM126,'Building Area Installations'!O$43:O$72)+SUMIF('Building Area Installations'!H$82:H$111,DM126,'Building Area Installations'!O$82:O$111))</f>
        <v>0</v>
      </c>
      <c r="DT126" s="639" t="str">
        <f t="shared" si="63"/>
        <v/>
      </c>
      <c r="DU126" s="645"/>
      <c r="DX126" s="639" t="str">
        <f t="array" ref="DX126">IFERROR(IF(ROWS(DM$93:DM126)&gt;COUNTA($DM$93:$DM$145),"",INDEX($DL$93:$DL$142,SMALL(IF($DM$93:$DM$145&lt;&gt;"",ROW($DM$93:$DM$145)-ROW($DM$93)+1),ROWS($DM$93:DM126)))),"")</f>
        <v/>
      </c>
      <c r="DY126" s="542" t="str">
        <f t="shared" si="74"/>
        <v/>
      </c>
      <c r="DZ126" s="544" t="str">
        <f t="shared" si="75"/>
        <v/>
      </c>
      <c r="EA126" s="544" t="str">
        <f t="shared" si="76"/>
        <v/>
      </c>
      <c r="EB126" s="544" t="str">
        <f t="shared" si="64"/>
        <v/>
      </c>
      <c r="ED126" s="639" t="str">
        <f t="array" ref="ED126">IFERROR(IF(ROWS(DT$93:DT126)&gt;COUNTA($DT$93:$DT$145),"",INDEX($DL$93:$DL$142,SMALL(IF($DT$93:$DT$145&lt;&gt;"",ROW($DT$93:$DT$145)-ROW($DT$93)+1),ROWS($DT$93:DT126)))),"")</f>
        <v/>
      </c>
      <c r="EE126" s="542" t="str">
        <f t="shared" si="68"/>
        <v/>
      </c>
      <c r="EF126" s="544" t="str">
        <f t="shared" si="69"/>
        <v/>
      </c>
      <c r="EG126" s="546" t="str">
        <f t="shared" si="70"/>
        <v/>
      </c>
      <c r="EH126" s="544" t="str">
        <f t="shared" si="71"/>
        <v/>
      </c>
      <c r="EI126" s="544" t="str">
        <f t="shared" si="72"/>
        <v/>
      </c>
      <c r="EL126" s="542">
        <f t="shared" si="65"/>
        <v>0</v>
      </c>
      <c r="EM126" s="542">
        <f t="shared" ref="EM126:EM142" si="92">--ISNUMBER(DY126)</f>
        <v>0</v>
      </c>
      <c r="EN126" s="542">
        <f t="shared" si="66"/>
        <v>1</v>
      </c>
      <c r="EO126" s="542">
        <f t="array" ref="EO126">IF(ISNUMBER(DY126),EL126,IF(ISBLANK(DY126),EL126,EL126+$EM$143))+$EN$143</f>
        <v>49</v>
      </c>
      <c r="EP126" t="str">
        <f t="shared" si="67"/>
        <v/>
      </c>
      <c r="EQ126" s="542" t="str">
        <f t="array" ref="EQ126">IFERROR(INDEX($DY$93:$DY$142,MATCH(SMALL($EO$93:$EO$142,ROWS($EQ$93:EQ126)+$EN$143),$EO$93:$EO$142,0)),"")</f>
        <v/>
      </c>
    </row>
    <row r="127" spans="64:153">
      <c r="BL127">
        <f t="shared" si="77"/>
        <v>35</v>
      </c>
      <c r="BM127" s="642" t="str">
        <f t="shared" si="78"/>
        <v/>
      </c>
      <c r="BN127" s="639" t="str">
        <f t="shared" si="79"/>
        <v/>
      </c>
      <c r="BO127" s="639" t="b">
        <f t="shared" si="56"/>
        <v>0</v>
      </c>
      <c r="BP127" s="643" t="str">
        <f t="shared" si="80"/>
        <v/>
      </c>
      <c r="BQ127" s="639" t="str">
        <f>IFERROR(VLOOKUP(BP127,Lookup!AT$6:AU$8,2,FALSE),"")</f>
        <v/>
      </c>
      <c r="BR127" s="639" t="str">
        <f t="shared" si="81"/>
        <v/>
      </c>
      <c r="BS127" s="644">
        <f>SUMIFS(Installations!CV$46:CV$803,Installations!CW$46:CW$803,BM127,Installations!IC$46:IC$803,TRUE,Installations!CU$46:CU$803,"Exist")</f>
        <v>0</v>
      </c>
      <c r="BT127" s="639" t="str">
        <f t="shared" si="57"/>
        <v/>
      </c>
      <c r="BU127" s="645"/>
      <c r="BX127" s="639" t="str">
        <f t="array" ref="BX127">IFERROR(IF(ROWS(BM$93:BM127)&gt;COUNTA($BM$93:$BM$192),"",INDEX($BL$93:$BL$192,SMALL(IF($BM$93:$BM$192&lt;&gt;"",ROW($BM$93:$BM$192)-ROW($BM$93)+1),ROWS($BM$93:BM127)))),"")</f>
        <v/>
      </c>
      <c r="BY127" s="542" t="str">
        <f t="shared" si="82"/>
        <v/>
      </c>
      <c r="BZ127" s="544" t="str">
        <f t="shared" si="83"/>
        <v/>
      </c>
      <c r="CA127" s="544" t="str">
        <f t="shared" si="84"/>
        <v/>
      </c>
      <c r="CD127" s="639" t="str">
        <f t="array" ref="CD127">IFERROR(IF(ROWS(BT$93:BT127)&gt;COUNTA($BT$93:$BT$192),"",INDEX($BL$93:$BL$192,SMALL(IF($BT$93:$BT$192&lt;&gt;"",ROW($BT$93:$BT$192)-ROW($BT$93)+1),ROWS($BT$93:BT127)))),"")</f>
        <v/>
      </c>
      <c r="CE127" s="542" t="str">
        <f t="shared" si="85"/>
        <v/>
      </c>
      <c r="CF127" s="544" t="str">
        <f t="shared" si="86"/>
        <v/>
      </c>
      <c r="CG127" s="544" t="str">
        <f t="shared" si="87"/>
        <v/>
      </c>
      <c r="CI127" s="544">
        <f t="shared" si="58"/>
        <v>0</v>
      </c>
      <c r="CJ127" s="544">
        <f t="shared" si="59"/>
        <v>0</v>
      </c>
      <c r="CK127" s="544">
        <f t="shared" si="60"/>
        <v>1</v>
      </c>
      <c r="CL127" s="544">
        <f t="array" ref="CL127">IF(ISNUMBER(BY127),CI127,IF(ISBLANK(BY127),CI127,CI127+$CJ$143))+$CK$143</f>
        <v>50</v>
      </c>
      <c r="CM127" t="str">
        <f t="shared" si="61"/>
        <v/>
      </c>
      <c r="CN127" s="542" t="str">
        <f t="array" ref="CN127">IFERROR(INDEX($BY$93:$BY$142,MATCH(SMALL($CL$93:$CL$142,ROWS($CM$93:CM127)+$CK$143),$CL$93:$CL$142,0)),"")</f>
        <v/>
      </c>
      <c r="DL127" s="542">
        <v>35</v>
      </c>
      <c r="DM127" s="642" t="str">
        <f t="shared" si="88"/>
        <v/>
      </c>
      <c r="DN127" s="639" t="str">
        <f t="shared" si="62"/>
        <v/>
      </c>
      <c r="DO127" s="639" t="str">
        <f t="shared" si="89"/>
        <v/>
      </c>
      <c r="DP127" s="646">
        <f t="shared" si="90"/>
        <v>0</v>
      </c>
      <c r="DQ127" s="638" t="str">
        <f t="shared" ca="1" si="91"/>
        <v/>
      </c>
      <c r="DR127" s="639">
        <f t="shared" si="73"/>
        <v>0</v>
      </c>
      <c r="DS127" s="639">
        <f>IF(__Retrofit_TI_NC=0,
SUMIFS(Installations!CV$46:CV$803,Installations!CW$46:CW$803,DM127,Installations!IC$46:IC$803,TRUE,Installations!CU$46:CU$803,"New"),
SUMIFS(Installations!CV$46:CV$803,Installations!CW$46:CW$803,DM127,Installations!IC$46:IC$803,TRUE,Installations!CU$46:CU$803,"New")+SUMIF('Building Area Installations'!H$43:H$72,DM127,'Building Area Installations'!O$43:O$72)+SUMIF('Building Area Installations'!H$82:H$111,DM127,'Building Area Installations'!O$82:O$111))</f>
        <v>0</v>
      </c>
      <c r="DT127" s="639" t="str">
        <f t="shared" si="63"/>
        <v/>
      </c>
      <c r="DU127" s="645"/>
      <c r="DX127" s="639" t="str">
        <f t="array" ref="DX127">IFERROR(IF(ROWS(DM$93:DM127)&gt;COUNTA($DM$93:$DM$145),"",INDEX($DL$93:$DL$142,SMALL(IF($DM$93:$DM$145&lt;&gt;"",ROW($DM$93:$DM$145)-ROW($DM$93)+1),ROWS($DM$93:DM127)))),"")</f>
        <v/>
      </c>
      <c r="DY127" s="542" t="str">
        <f t="shared" si="74"/>
        <v/>
      </c>
      <c r="DZ127" s="544" t="str">
        <f t="shared" si="75"/>
        <v/>
      </c>
      <c r="EA127" s="544" t="str">
        <f t="shared" si="76"/>
        <v/>
      </c>
      <c r="EB127" s="544" t="str">
        <f t="shared" si="64"/>
        <v/>
      </c>
      <c r="ED127" s="639" t="str">
        <f t="array" ref="ED127">IFERROR(IF(ROWS(DT$93:DT127)&gt;COUNTA($DT$93:$DT$145),"",INDEX($DL$93:$DL$142,SMALL(IF($DT$93:$DT$145&lt;&gt;"",ROW($DT$93:$DT$145)-ROW($DT$93)+1),ROWS($DT$93:DT127)))),"")</f>
        <v/>
      </c>
      <c r="EE127" s="542" t="str">
        <f t="shared" si="68"/>
        <v/>
      </c>
      <c r="EF127" s="544" t="str">
        <f t="shared" si="69"/>
        <v/>
      </c>
      <c r="EG127" s="546" t="str">
        <f t="shared" si="70"/>
        <v/>
      </c>
      <c r="EH127" s="544" t="str">
        <f t="shared" si="71"/>
        <v/>
      </c>
      <c r="EI127" s="544" t="str">
        <f t="shared" si="72"/>
        <v/>
      </c>
      <c r="EL127" s="542">
        <f t="shared" si="65"/>
        <v>0</v>
      </c>
      <c r="EM127" s="542">
        <f t="shared" si="92"/>
        <v>0</v>
      </c>
      <c r="EN127" s="542">
        <f t="shared" si="66"/>
        <v>1</v>
      </c>
      <c r="EO127" s="542">
        <f t="array" ref="EO127">IF(ISNUMBER(DY127),EL127,IF(ISBLANK(DY127),EL127,EL127+$EM$143))+$EN$143</f>
        <v>49</v>
      </c>
      <c r="EP127" t="str">
        <f t="shared" si="67"/>
        <v/>
      </c>
      <c r="EQ127" s="542" t="str">
        <f t="array" ref="EQ127">IFERROR(INDEX($DY$93:$DY$142,MATCH(SMALL($EO$93:$EO$142,ROWS($EQ$93:EQ127)+$EN$143),$EO$93:$EO$142,0)),"")</f>
        <v/>
      </c>
    </row>
    <row r="128" spans="64:153">
      <c r="BL128">
        <f t="shared" si="77"/>
        <v>36</v>
      </c>
      <c r="BM128" s="642" t="str">
        <f t="shared" si="78"/>
        <v/>
      </c>
      <c r="BN128" s="639" t="str">
        <f t="shared" si="79"/>
        <v/>
      </c>
      <c r="BO128" s="639" t="b">
        <f t="shared" si="56"/>
        <v>0</v>
      </c>
      <c r="BP128" s="643" t="str">
        <f t="shared" si="80"/>
        <v/>
      </c>
      <c r="BQ128" s="639" t="str">
        <f>IFERROR(VLOOKUP(BP128,Lookup!AT$6:AU$8,2,FALSE),"")</f>
        <v/>
      </c>
      <c r="BR128" s="639" t="str">
        <f t="shared" si="81"/>
        <v/>
      </c>
      <c r="BS128" s="644">
        <f>SUMIFS(Installations!CV$46:CV$803,Installations!CW$46:CW$803,BM128,Installations!IC$46:IC$803,TRUE,Installations!CU$46:CU$803,"Exist")</f>
        <v>0</v>
      </c>
      <c r="BT128" s="639" t="str">
        <f t="shared" si="57"/>
        <v/>
      </c>
      <c r="BU128" s="645"/>
      <c r="BX128" s="639" t="str">
        <f t="array" ref="BX128">IFERROR(IF(ROWS(BM$93:BM128)&gt;COUNTA($BM$93:$BM$192),"",INDEX($BL$93:$BL$192,SMALL(IF($BM$93:$BM$192&lt;&gt;"",ROW($BM$93:$BM$192)-ROW($BM$93)+1),ROWS($BM$93:BM128)))),"")</f>
        <v/>
      </c>
      <c r="BY128" s="542" t="str">
        <f t="shared" si="82"/>
        <v/>
      </c>
      <c r="BZ128" s="544" t="str">
        <f t="shared" si="83"/>
        <v/>
      </c>
      <c r="CA128" s="544" t="str">
        <f t="shared" si="84"/>
        <v/>
      </c>
      <c r="CD128" s="639" t="str">
        <f t="array" ref="CD128">IFERROR(IF(ROWS(BT$93:BT128)&gt;COUNTA($BT$93:$BT$192),"",INDEX($BL$93:$BL$192,SMALL(IF($BT$93:$BT$192&lt;&gt;"",ROW($BT$93:$BT$192)-ROW($BT$93)+1),ROWS($BT$93:BT128)))),"")</f>
        <v/>
      </c>
      <c r="CE128" s="542" t="str">
        <f t="shared" si="85"/>
        <v/>
      </c>
      <c r="CF128" s="544" t="str">
        <f t="shared" si="86"/>
        <v/>
      </c>
      <c r="CG128" s="544" t="str">
        <f t="shared" si="87"/>
        <v/>
      </c>
      <c r="CI128" s="544">
        <f t="shared" si="58"/>
        <v>0</v>
      </c>
      <c r="CJ128" s="544">
        <f t="shared" si="59"/>
        <v>0</v>
      </c>
      <c r="CK128" s="544">
        <f t="shared" si="60"/>
        <v>1</v>
      </c>
      <c r="CL128" s="544">
        <f t="array" ref="CL128">IF(ISNUMBER(BY128),CI128,IF(ISBLANK(BY128),CI128,CI128+$CJ$143))+$CK$143</f>
        <v>50</v>
      </c>
      <c r="CM128" t="str">
        <f t="shared" si="61"/>
        <v/>
      </c>
      <c r="CN128" s="542" t="str">
        <f t="array" ref="CN128">IFERROR(INDEX($BY$93:$BY$142,MATCH(SMALL($CL$93:$CL$142,ROWS($CM$93:CM128)+$CK$143),$CL$93:$CL$142,0)),"")</f>
        <v/>
      </c>
      <c r="DL128" s="542">
        <v>36</v>
      </c>
      <c r="DM128" s="642" t="str">
        <f t="shared" si="88"/>
        <v/>
      </c>
      <c r="DN128" s="639" t="str">
        <f t="shared" si="62"/>
        <v/>
      </c>
      <c r="DO128" s="639" t="str">
        <f t="shared" si="89"/>
        <v/>
      </c>
      <c r="DP128" s="646">
        <f t="shared" si="90"/>
        <v>0</v>
      </c>
      <c r="DQ128" s="638" t="str">
        <f t="shared" ca="1" si="91"/>
        <v/>
      </c>
      <c r="DR128" s="639">
        <f t="shared" si="73"/>
        <v>0</v>
      </c>
      <c r="DS128" s="639">
        <f>IF(__Retrofit_TI_NC=0,
SUMIFS(Installations!CV$46:CV$803,Installations!CW$46:CW$803,DM128,Installations!IC$46:IC$803,TRUE,Installations!CU$46:CU$803,"New"),
SUMIFS(Installations!CV$46:CV$803,Installations!CW$46:CW$803,DM128,Installations!IC$46:IC$803,TRUE,Installations!CU$46:CU$803,"New")+SUMIF('Building Area Installations'!H$43:H$72,DM128,'Building Area Installations'!O$43:O$72)+SUMIF('Building Area Installations'!H$82:H$111,DM128,'Building Area Installations'!O$82:O$111))</f>
        <v>0</v>
      </c>
      <c r="DT128" s="639" t="str">
        <f t="shared" si="63"/>
        <v/>
      </c>
      <c r="DU128" s="645"/>
      <c r="DX128" s="639" t="str">
        <f t="array" ref="DX128">IFERROR(IF(ROWS(DM$93:DM128)&gt;COUNTA($DM$93:$DM$145),"",INDEX($DL$93:$DL$142,SMALL(IF($DM$93:$DM$145&lt;&gt;"",ROW($DM$93:$DM$145)-ROW($DM$93)+1),ROWS($DM$93:DM128)))),"")</f>
        <v/>
      </c>
      <c r="DY128" s="542" t="str">
        <f t="shared" si="74"/>
        <v/>
      </c>
      <c r="DZ128" s="544" t="str">
        <f t="shared" si="75"/>
        <v/>
      </c>
      <c r="EA128" s="544" t="str">
        <f t="shared" si="76"/>
        <v/>
      </c>
      <c r="EB128" s="544" t="str">
        <f t="shared" si="64"/>
        <v/>
      </c>
      <c r="ED128" s="639" t="str">
        <f t="array" ref="ED128">IFERROR(IF(ROWS(DT$93:DT128)&gt;COUNTA($DT$93:$DT$145),"",INDEX($DL$93:$DL$142,SMALL(IF($DT$93:$DT$145&lt;&gt;"",ROW($DT$93:$DT$145)-ROW($DT$93)+1),ROWS($DT$93:DT128)))),"")</f>
        <v/>
      </c>
      <c r="EE128" s="542" t="str">
        <f t="shared" si="68"/>
        <v/>
      </c>
      <c r="EF128" s="544" t="str">
        <f t="shared" si="69"/>
        <v/>
      </c>
      <c r="EG128" s="546" t="str">
        <f t="shared" si="70"/>
        <v/>
      </c>
      <c r="EH128" s="544" t="str">
        <f t="shared" si="71"/>
        <v/>
      </c>
      <c r="EI128" s="544" t="str">
        <f t="shared" si="72"/>
        <v/>
      </c>
      <c r="EL128" s="542">
        <f t="shared" si="65"/>
        <v>0</v>
      </c>
      <c r="EM128" s="542">
        <f t="shared" si="92"/>
        <v>0</v>
      </c>
      <c r="EN128" s="542">
        <f t="shared" si="66"/>
        <v>1</v>
      </c>
      <c r="EO128" s="542">
        <f t="array" ref="EO128">IF(ISNUMBER(DY128),EL128,IF(ISBLANK(DY128),EL128,EL128+$EM$143))+$EN$143</f>
        <v>49</v>
      </c>
      <c r="EP128" t="str">
        <f t="shared" si="67"/>
        <v/>
      </c>
      <c r="EQ128" s="542" t="str">
        <f t="array" ref="EQ128">IFERROR(INDEX($DY$93:$DY$142,MATCH(SMALL($EO$93:$EO$142,ROWS($EQ$93:EQ128)+$EN$143),$EO$93:$EO$142,0)),"")</f>
        <v/>
      </c>
    </row>
    <row r="129" spans="64:147">
      <c r="BL129">
        <f t="shared" si="77"/>
        <v>37</v>
      </c>
      <c r="BM129" s="642" t="str">
        <f t="shared" si="78"/>
        <v/>
      </c>
      <c r="BN129" s="639" t="str">
        <f t="shared" si="79"/>
        <v/>
      </c>
      <c r="BO129" s="639" t="b">
        <f t="shared" si="56"/>
        <v>0</v>
      </c>
      <c r="BP129" s="643" t="str">
        <f t="shared" si="80"/>
        <v/>
      </c>
      <c r="BQ129" s="639" t="str">
        <f>IFERROR(VLOOKUP(BP129,Lookup!AT$6:AU$8,2,FALSE),"")</f>
        <v/>
      </c>
      <c r="BR129" s="639" t="str">
        <f t="shared" si="81"/>
        <v/>
      </c>
      <c r="BS129" s="644">
        <f>SUMIFS(Installations!CV$46:CV$803,Installations!CW$46:CW$803,BM129,Installations!IC$46:IC$803,TRUE,Installations!CU$46:CU$803,"Exist")</f>
        <v>0</v>
      </c>
      <c r="BT129" s="639" t="str">
        <f t="shared" si="57"/>
        <v/>
      </c>
      <c r="BU129" s="645"/>
      <c r="BX129" s="639" t="str">
        <f t="array" ref="BX129">IFERROR(IF(ROWS(BM$93:BM129)&gt;COUNTA($BM$93:$BM$192),"",INDEX($BL$93:$BL$192,SMALL(IF($BM$93:$BM$192&lt;&gt;"",ROW($BM$93:$BM$192)-ROW($BM$93)+1),ROWS($BM$93:BM129)))),"")</f>
        <v/>
      </c>
      <c r="BY129" s="542" t="str">
        <f t="shared" si="82"/>
        <v/>
      </c>
      <c r="BZ129" s="544" t="str">
        <f t="shared" si="83"/>
        <v/>
      </c>
      <c r="CA129" s="544" t="str">
        <f t="shared" si="84"/>
        <v/>
      </c>
      <c r="CD129" s="639" t="str">
        <f t="array" ref="CD129">IFERROR(IF(ROWS(BT$93:BT129)&gt;COUNTA($BT$93:$BT$192),"",INDEX($BL$93:$BL$192,SMALL(IF($BT$93:$BT$192&lt;&gt;"",ROW($BT$93:$BT$192)-ROW($BT$93)+1),ROWS($BT$93:BT129)))),"")</f>
        <v/>
      </c>
      <c r="CE129" s="542" t="str">
        <f t="shared" si="85"/>
        <v/>
      </c>
      <c r="CF129" s="544" t="str">
        <f t="shared" si="86"/>
        <v/>
      </c>
      <c r="CG129" s="544" t="str">
        <f t="shared" si="87"/>
        <v/>
      </c>
      <c r="CI129" s="544">
        <f t="shared" si="58"/>
        <v>0</v>
      </c>
      <c r="CJ129" s="544">
        <f t="shared" si="59"/>
        <v>0</v>
      </c>
      <c r="CK129" s="544">
        <f t="shared" si="60"/>
        <v>1</v>
      </c>
      <c r="CL129" s="544">
        <f t="array" ref="CL129">IF(ISNUMBER(BY129),CI129,IF(ISBLANK(BY129),CI129,CI129+$CJ$143))+$CK$143</f>
        <v>50</v>
      </c>
      <c r="CM129" t="str">
        <f t="shared" si="61"/>
        <v/>
      </c>
      <c r="CN129" s="542" t="str">
        <f t="array" ref="CN129">IFERROR(INDEX($BY$93:$BY$142,MATCH(SMALL($CL$93:$CL$142,ROWS($CM$93:CM129)+$CK$143),$CL$93:$CL$142,0)),"")</f>
        <v/>
      </c>
      <c r="DL129" s="542">
        <v>37</v>
      </c>
      <c r="DM129" s="642" t="str">
        <f t="shared" si="88"/>
        <v/>
      </c>
      <c r="DN129" s="639" t="str">
        <f t="shared" si="62"/>
        <v/>
      </c>
      <c r="DO129" s="639" t="str">
        <f t="shared" si="89"/>
        <v/>
      </c>
      <c r="DP129" s="646">
        <f t="shared" si="90"/>
        <v>0</v>
      </c>
      <c r="DQ129" s="638" t="str">
        <f t="shared" ca="1" si="91"/>
        <v/>
      </c>
      <c r="DR129" s="639">
        <f t="shared" si="73"/>
        <v>0</v>
      </c>
      <c r="DS129" s="639">
        <f>IF(__Retrofit_TI_NC=0,
SUMIFS(Installations!CV$46:CV$803,Installations!CW$46:CW$803,DM129,Installations!IC$46:IC$803,TRUE,Installations!CU$46:CU$803,"New"),
SUMIFS(Installations!CV$46:CV$803,Installations!CW$46:CW$803,DM129,Installations!IC$46:IC$803,TRUE,Installations!CU$46:CU$803,"New")+SUMIF('Building Area Installations'!H$43:H$72,DM129,'Building Area Installations'!O$43:O$72)+SUMIF('Building Area Installations'!H$82:H$111,DM129,'Building Area Installations'!O$82:O$111))</f>
        <v>0</v>
      </c>
      <c r="DT129" s="639" t="str">
        <f t="shared" si="63"/>
        <v/>
      </c>
      <c r="DU129" s="645"/>
      <c r="DX129" s="639" t="str">
        <f t="array" ref="DX129">IFERROR(IF(ROWS(DM$93:DM129)&gt;COUNTA($DM$93:$DM$145),"",INDEX($DL$93:$DL$142,SMALL(IF($DM$93:$DM$145&lt;&gt;"",ROW($DM$93:$DM$145)-ROW($DM$93)+1),ROWS($DM$93:DM129)))),"")</f>
        <v/>
      </c>
      <c r="DY129" s="542" t="str">
        <f t="shared" si="74"/>
        <v/>
      </c>
      <c r="DZ129" s="544" t="str">
        <f t="shared" si="75"/>
        <v/>
      </c>
      <c r="EA129" s="544" t="str">
        <f t="shared" si="76"/>
        <v/>
      </c>
      <c r="EB129" s="544" t="str">
        <f t="shared" si="64"/>
        <v/>
      </c>
      <c r="ED129" s="639" t="str">
        <f t="array" ref="ED129">IFERROR(IF(ROWS(DT$93:DT129)&gt;COUNTA($DT$93:$DT$145),"",INDEX($DL$93:$DL$142,SMALL(IF($DT$93:$DT$145&lt;&gt;"",ROW($DT$93:$DT$145)-ROW($DT$93)+1),ROWS($DT$93:DT129)))),"")</f>
        <v/>
      </c>
      <c r="EE129" s="542" t="str">
        <f t="shared" si="68"/>
        <v/>
      </c>
      <c r="EF129" s="544" t="str">
        <f t="shared" si="69"/>
        <v/>
      </c>
      <c r="EG129" s="546" t="str">
        <f t="shared" si="70"/>
        <v/>
      </c>
      <c r="EH129" s="544" t="str">
        <f t="shared" si="71"/>
        <v/>
      </c>
      <c r="EI129" s="544" t="str">
        <f t="shared" si="72"/>
        <v/>
      </c>
      <c r="EL129" s="542">
        <f t="shared" si="65"/>
        <v>0</v>
      </c>
      <c r="EM129" s="542">
        <f t="shared" si="92"/>
        <v>0</v>
      </c>
      <c r="EN129" s="542">
        <f t="shared" si="66"/>
        <v>1</v>
      </c>
      <c r="EO129" s="542">
        <f t="array" ref="EO129">IF(ISNUMBER(DY129),EL129,IF(ISBLANK(DY129),EL129,EL129+$EM$143))+$EN$143</f>
        <v>49</v>
      </c>
      <c r="EP129" t="str">
        <f t="shared" si="67"/>
        <v/>
      </c>
      <c r="EQ129" s="542" t="str">
        <f t="array" ref="EQ129">IFERROR(INDEX($DY$93:$DY$142,MATCH(SMALL($EO$93:$EO$142,ROWS($EQ$93:EQ129)+$EN$143),$EO$93:$EO$142,0)),"")</f>
        <v/>
      </c>
    </row>
    <row r="130" spans="64:147">
      <c r="BL130">
        <f t="shared" si="77"/>
        <v>38</v>
      </c>
      <c r="BM130" s="642" t="str">
        <f t="shared" si="78"/>
        <v/>
      </c>
      <c r="BN130" s="639" t="str">
        <f t="shared" si="79"/>
        <v/>
      </c>
      <c r="BO130" s="639" t="b">
        <f t="shared" si="56"/>
        <v>0</v>
      </c>
      <c r="BP130" s="643" t="str">
        <f t="shared" si="80"/>
        <v/>
      </c>
      <c r="BQ130" s="639" t="str">
        <f>IFERROR(VLOOKUP(BP130,Lookup!AT$6:AU$8,2,FALSE),"")</f>
        <v/>
      </c>
      <c r="BR130" s="639" t="str">
        <f t="shared" si="81"/>
        <v/>
      </c>
      <c r="BS130" s="644">
        <f>SUMIFS(Installations!CV$46:CV$803,Installations!CW$46:CW$803,BM130,Installations!IC$46:IC$803,TRUE,Installations!CU$46:CU$803,"Exist")</f>
        <v>0</v>
      </c>
      <c r="BT130" s="639" t="str">
        <f t="shared" si="57"/>
        <v/>
      </c>
      <c r="BU130" s="645"/>
      <c r="BX130" s="639" t="str">
        <f t="array" ref="BX130">IFERROR(IF(ROWS(BM$93:BM130)&gt;COUNTA($BM$93:$BM$192),"",INDEX($BL$93:$BL$192,SMALL(IF($BM$93:$BM$192&lt;&gt;"",ROW($BM$93:$BM$192)-ROW($BM$93)+1),ROWS($BM$93:BM130)))),"")</f>
        <v/>
      </c>
      <c r="BY130" s="542" t="str">
        <f t="shared" si="82"/>
        <v/>
      </c>
      <c r="BZ130" s="544" t="str">
        <f t="shared" si="83"/>
        <v/>
      </c>
      <c r="CA130" s="544" t="str">
        <f t="shared" si="84"/>
        <v/>
      </c>
      <c r="CD130" s="639" t="str">
        <f t="array" ref="CD130">IFERROR(IF(ROWS(BT$93:BT130)&gt;COUNTA($BT$93:$BT$192),"",INDEX($BL$93:$BL$192,SMALL(IF($BT$93:$BT$192&lt;&gt;"",ROW($BT$93:$BT$192)-ROW($BT$93)+1),ROWS($BT$93:BT130)))),"")</f>
        <v/>
      </c>
      <c r="CE130" s="542" t="str">
        <f t="shared" si="85"/>
        <v/>
      </c>
      <c r="CF130" s="544" t="str">
        <f t="shared" si="86"/>
        <v/>
      </c>
      <c r="CG130" s="544" t="str">
        <f t="shared" si="87"/>
        <v/>
      </c>
      <c r="CI130" s="544">
        <f t="shared" si="58"/>
        <v>0</v>
      </c>
      <c r="CJ130" s="544">
        <f t="shared" si="59"/>
        <v>0</v>
      </c>
      <c r="CK130" s="544">
        <f t="shared" si="60"/>
        <v>1</v>
      </c>
      <c r="CL130" s="544">
        <f t="array" ref="CL130">IF(ISNUMBER(BY130),CI130,IF(ISBLANK(BY130),CI130,CI130+$CJ$143))+$CK$143</f>
        <v>50</v>
      </c>
      <c r="CM130" t="str">
        <f t="shared" si="61"/>
        <v/>
      </c>
      <c r="CN130" s="542" t="str">
        <f t="array" ref="CN130">IFERROR(INDEX($BY$93:$BY$142,MATCH(SMALL($CL$93:$CL$142,ROWS($CM$93:CM130)+$CK$143),$CL$93:$CL$142,0)),"")</f>
        <v/>
      </c>
      <c r="DL130" s="542">
        <v>38</v>
      </c>
      <c r="DM130" s="642" t="str">
        <f t="shared" si="88"/>
        <v/>
      </c>
      <c r="DN130" s="639" t="str">
        <f t="shared" si="62"/>
        <v/>
      </c>
      <c r="DO130" s="639" t="str">
        <f t="shared" si="89"/>
        <v/>
      </c>
      <c r="DP130" s="646">
        <f t="shared" si="90"/>
        <v>0</v>
      </c>
      <c r="DQ130" s="638" t="str">
        <f t="shared" ca="1" si="91"/>
        <v/>
      </c>
      <c r="DR130" s="639">
        <f t="shared" si="73"/>
        <v>0</v>
      </c>
      <c r="DS130" s="639">
        <f>IF(__Retrofit_TI_NC=0,
SUMIFS(Installations!CV$46:CV$803,Installations!CW$46:CW$803,DM130,Installations!IC$46:IC$803,TRUE,Installations!CU$46:CU$803,"New"),
SUMIFS(Installations!CV$46:CV$803,Installations!CW$46:CW$803,DM130,Installations!IC$46:IC$803,TRUE,Installations!CU$46:CU$803,"New")+SUMIF('Building Area Installations'!H$43:H$72,DM130,'Building Area Installations'!O$43:O$72)+SUMIF('Building Area Installations'!H$82:H$111,DM130,'Building Area Installations'!O$82:O$111))</f>
        <v>0</v>
      </c>
      <c r="DT130" s="639" t="str">
        <f t="shared" si="63"/>
        <v/>
      </c>
      <c r="DU130" s="645"/>
      <c r="DX130" s="639" t="str">
        <f t="array" ref="DX130">IFERROR(IF(ROWS(DM$93:DM130)&gt;COUNTA($DM$93:$DM$145),"",INDEX($DL$93:$DL$142,SMALL(IF($DM$93:$DM$145&lt;&gt;"",ROW($DM$93:$DM$145)-ROW($DM$93)+1),ROWS($DM$93:DM130)))),"")</f>
        <v/>
      </c>
      <c r="DY130" s="542" t="str">
        <f t="shared" si="74"/>
        <v/>
      </c>
      <c r="DZ130" s="544" t="str">
        <f t="shared" si="75"/>
        <v/>
      </c>
      <c r="EA130" s="544" t="str">
        <f t="shared" si="76"/>
        <v/>
      </c>
      <c r="EB130" s="544" t="str">
        <f t="shared" si="64"/>
        <v/>
      </c>
      <c r="ED130" s="639" t="str">
        <f t="array" ref="ED130">IFERROR(IF(ROWS(DT$93:DT130)&gt;COUNTA($DT$93:$DT$145),"",INDEX($DL$93:$DL$142,SMALL(IF($DT$93:$DT$145&lt;&gt;"",ROW($DT$93:$DT$145)-ROW($DT$93)+1),ROWS($DT$93:DT130)))),"")</f>
        <v/>
      </c>
      <c r="EE130" s="542" t="str">
        <f t="shared" si="68"/>
        <v/>
      </c>
      <c r="EF130" s="544" t="str">
        <f t="shared" si="69"/>
        <v/>
      </c>
      <c r="EG130" s="546" t="str">
        <f t="shared" si="70"/>
        <v/>
      </c>
      <c r="EH130" s="544" t="str">
        <f t="shared" si="71"/>
        <v/>
      </c>
      <c r="EI130" s="544" t="str">
        <f t="shared" si="72"/>
        <v/>
      </c>
      <c r="EL130" s="542">
        <f t="shared" si="65"/>
        <v>0</v>
      </c>
      <c r="EM130" s="542">
        <f t="shared" si="92"/>
        <v>0</v>
      </c>
      <c r="EN130" s="542">
        <f t="shared" si="66"/>
        <v>1</v>
      </c>
      <c r="EO130" s="542">
        <f t="array" ref="EO130">IF(ISNUMBER(DY130),EL130,IF(ISBLANK(DY130),EL130,EL130+$EM$143))+$EN$143</f>
        <v>49</v>
      </c>
      <c r="EP130" t="str">
        <f t="shared" si="67"/>
        <v/>
      </c>
      <c r="EQ130" s="542" t="str">
        <f t="array" ref="EQ130">IFERROR(INDEX($DY$93:$DY$142,MATCH(SMALL($EO$93:$EO$142,ROWS($EQ$93:EQ130)+$EN$143),$EO$93:$EO$142,0)),"")</f>
        <v/>
      </c>
    </row>
    <row r="131" spans="64:147">
      <c r="BL131">
        <f t="shared" si="77"/>
        <v>39</v>
      </c>
      <c r="BM131" s="642" t="str">
        <f t="shared" si="78"/>
        <v/>
      </c>
      <c r="BN131" s="639" t="str">
        <f t="shared" si="79"/>
        <v/>
      </c>
      <c r="BO131" s="639" t="b">
        <f t="shared" si="56"/>
        <v>0</v>
      </c>
      <c r="BP131" s="643" t="str">
        <f t="shared" si="80"/>
        <v/>
      </c>
      <c r="BQ131" s="639" t="str">
        <f>IFERROR(VLOOKUP(BP131,Lookup!AT$6:AU$8,2,FALSE),"")</f>
        <v/>
      </c>
      <c r="BR131" s="639" t="str">
        <f t="shared" si="81"/>
        <v/>
      </c>
      <c r="BS131" s="644">
        <f>SUMIFS(Installations!CV$46:CV$803,Installations!CW$46:CW$803,BM131,Installations!IC$46:IC$803,TRUE,Installations!CU$46:CU$803,"Exist")</f>
        <v>0</v>
      </c>
      <c r="BT131" s="639" t="str">
        <f t="shared" si="57"/>
        <v/>
      </c>
      <c r="BU131" s="645"/>
      <c r="BX131" s="639" t="str">
        <f t="array" ref="BX131">IFERROR(IF(ROWS(BM$93:BM131)&gt;COUNTA($BM$93:$BM$192),"",INDEX($BL$93:$BL$192,SMALL(IF($BM$93:$BM$192&lt;&gt;"",ROW($BM$93:$BM$192)-ROW($BM$93)+1),ROWS($BM$93:BM131)))),"")</f>
        <v/>
      </c>
      <c r="BY131" s="542" t="str">
        <f t="shared" si="82"/>
        <v/>
      </c>
      <c r="BZ131" s="544" t="str">
        <f t="shared" si="83"/>
        <v/>
      </c>
      <c r="CA131" s="544" t="str">
        <f t="shared" si="84"/>
        <v/>
      </c>
      <c r="CD131" s="639" t="str">
        <f t="array" ref="CD131">IFERROR(IF(ROWS(BT$93:BT131)&gt;COUNTA($BT$93:$BT$192),"",INDEX($BL$93:$BL$192,SMALL(IF($BT$93:$BT$192&lt;&gt;"",ROW($BT$93:$BT$192)-ROW($BT$93)+1),ROWS($BT$93:BT131)))),"")</f>
        <v/>
      </c>
      <c r="CE131" s="542" t="str">
        <f t="shared" si="85"/>
        <v/>
      </c>
      <c r="CF131" s="544" t="str">
        <f t="shared" si="86"/>
        <v/>
      </c>
      <c r="CG131" s="544" t="str">
        <f t="shared" si="87"/>
        <v/>
      </c>
      <c r="CI131" s="544">
        <f t="shared" si="58"/>
        <v>0</v>
      </c>
      <c r="CJ131" s="544">
        <f t="shared" si="59"/>
        <v>0</v>
      </c>
      <c r="CK131" s="544">
        <f t="shared" si="60"/>
        <v>1</v>
      </c>
      <c r="CL131" s="544">
        <f t="array" ref="CL131">IF(ISNUMBER(BY131),CI131,IF(ISBLANK(BY131),CI131,CI131+$CJ$143))+$CK$143</f>
        <v>50</v>
      </c>
      <c r="CM131" t="str">
        <f t="shared" si="61"/>
        <v/>
      </c>
      <c r="CN131" s="542" t="str">
        <f t="array" ref="CN131">IFERROR(INDEX($BY$93:$BY$142,MATCH(SMALL($CL$93:$CL$142,ROWS($CM$93:CM131)+$CK$143),$CL$93:$CL$142,0)),"")</f>
        <v/>
      </c>
      <c r="DL131" s="542">
        <v>39</v>
      </c>
      <c r="DM131" s="642" t="str">
        <f t="shared" si="88"/>
        <v/>
      </c>
      <c r="DN131" s="639" t="str">
        <f t="shared" si="62"/>
        <v/>
      </c>
      <c r="DO131" s="639" t="str">
        <f t="shared" si="89"/>
        <v/>
      </c>
      <c r="DP131" s="646">
        <f t="shared" si="90"/>
        <v>0</v>
      </c>
      <c r="DQ131" s="638" t="str">
        <f t="shared" ca="1" si="91"/>
        <v/>
      </c>
      <c r="DR131" s="639">
        <f t="shared" si="73"/>
        <v>0</v>
      </c>
      <c r="DS131" s="639">
        <f>IF(__Retrofit_TI_NC=0,
SUMIFS(Installations!CV$46:CV$803,Installations!CW$46:CW$803,DM131,Installations!IC$46:IC$803,TRUE,Installations!CU$46:CU$803,"New"),
SUMIFS(Installations!CV$46:CV$803,Installations!CW$46:CW$803,DM131,Installations!IC$46:IC$803,TRUE,Installations!CU$46:CU$803,"New")+SUMIF('Building Area Installations'!H$43:H$72,DM131,'Building Area Installations'!O$43:O$72)+SUMIF('Building Area Installations'!H$82:H$111,DM131,'Building Area Installations'!O$82:O$111))</f>
        <v>0</v>
      </c>
      <c r="DT131" s="639" t="str">
        <f t="shared" si="63"/>
        <v/>
      </c>
      <c r="DU131" s="645"/>
      <c r="DX131" s="639" t="str">
        <f t="array" ref="DX131">IFERROR(IF(ROWS(DM$93:DM131)&gt;COUNTA($DM$93:$DM$145),"",INDEX($DL$93:$DL$142,SMALL(IF($DM$93:$DM$145&lt;&gt;"",ROW($DM$93:$DM$145)-ROW($DM$93)+1),ROWS($DM$93:DM131)))),"")</f>
        <v/>
      </c>
      <c r="DY131" s="542" t="str">
        <f t="shared" si="74"/>
        <v/>
      </c>
      <c r="DZ131" s="544" t="str">
        <f t="shared" si="75"/>
        <v/>
      </c>
      <c r="EA131" s="544" t="str">
        <f t="shared" si="76"/>
        <v/>
      </c>
      <c r="EB131" s="544" t="str">
        <f t="shared" si="64"/>
        <v/>
      </c>
      <c r="ED131" s="639" t="str">
        <f t="array" ref="ED131">IFERROR(IF(ROWS(DT$93:DT131)&gt;COUNTA($DT$93:$DT$145),"",INDEX($DL$93:$DL$142,SMALL(IF($DT$93:$DT$145&lt;&gt;"",ROW($DT$93:$DT$145)-ROW($DT$93)+1),ROWS($DT$93:DT131)))),"")</f>
        <v/>
      </c>
      <c r="EE131" s="542" t="str">
        <f t="shared" si="68"/>
        <v/>
      </c>
      <c r="EF131" s="544" t="str">
        <f t="shared" si="69"/>
        <v/>
      </c>
      <c r="EG131" s="546" t="str">
        <f t="shared" si="70"/>
        <v/>
      </c>
      <c r="EH131" s="544" t="str">
        <f t="shared" si="71"/>
        <v/>
      </c>
      <c r="EI131" s="544" t="str">
        <f t="shared" si="72"/>
        <v/>
      </c>
      <c r="EL131" s="542">
        <f t="shared" si="65"/>
        <v>0</v>
      </c>
      <c r="EM131" s="542">
        <f t="shared" si="92"/>
        <v>0</v>
      </c>
      <c r="EN131" s="542">
        <f t="shared" si="66"/>
        <v>1</v>
      </c>
      <c r="EO131" s="542">
        <f t="array" ref="EO131">IF(ISNUMBER(DY131),EL131,IF(ISBLANK(DY131),EL131,EL131+$EM$143))+$EN$143</f>
        <v>49</v>
      </c>
      <c r="EP131" t="str">
        <f t="shared" si="67"/>
        <v/>
      </c>
      <c r="EQ131" s="542" t="str">
        <f t="array" ref="EQ131">IFERROR(INDEX($DY$93:$DY$142,MATCH(SMALL($EO$93:$EO$142,ROWS($EQ$93:EQ131)+$EN$143),$EO$93:$EO$142,0)),"")</f>
        <v/>
      </c>
    </row>
    <row r="132" spans="64:147">
      <c r="BL132">
        <f t="shared" si="77"/>
        <v>40</v>
      </c>
      <c r="BM132" s="642" t="str">
        <f t="shared" si="78"/>
        <v/>
      </c>
      <c r="BN132" s="639" t="str">
        <f t="shared" si="79"/>
        <v/>
      </c>
      <c r="BO132" s="639" t="b">
        <f t="shared" si="56"/>
        <v>0</v>
      </c>
      <c r="BP132" s="643" t="str">
        <f t="shared" si="80"/>
        <v/>
      </c>
      <c r="BQ132" s="639" t="str">
        <f>IFERROR(VLOOKUP(BP132,Lookup!AT$6:AU$8,2,FALSE),"")</f>
        <v/>
      </c>
      <c r="BR132" s="639" t="str">
        <f t="shared" si="81"/>
        <v/>
      </c>
      <c r="BS132" s="644">
        <f>SUMIFS(Installations!CV$46:CV$803,Installations!CW$46:CW$803,BM132,Installations!IC$46:IC$803,TRUE,Installations!CU$46:CU$803,"Exist")</f>
        <v>0</v>
      </c>
      <c r="BT132" s="639" t="str">
        <f t="shared" si="57"/>
        <v/>
      </c>
      <c r="BU132" s="645"/>
      <c r="BX132" s="639" t="str">
        <f t="array" ref="BX132">IFERROR(IF(ROWS(BM$93:BM132)&gt;COUNTA($BM$93:$BM$192),"",INDEX($BL$93:$BL$192,SMALL(IF($BM$93:$BM$192&lt;&gt;"",ROW($BM$93:$BM$192)-ROW($BM$93)+1),ROWS($BM$93:BM132)))),"")</f>
        <v/>
      </c>
      <c r="BY132" s="542" t="str">
        <f t="shared" si="82"/>
        <v/>
      </c>
      <c r="BZ132" s="544" t="str">
        <f t="shared" si="83"/>
        <v/>
      </c>
      <c r="CA132" s="544" t="str">
        <f t="shared" si="84"/>
        <v/>
      </c>
      <c r="CD132" s="639" t="str">
        <f t="array" ref="CD132">IFERROR(IF(ROWS(BT$93:BT132)&gt;COUNTA($BT$93:$BT$192),"",INDEX($BL$93:$BL$192,SMALL(IF($BT$93:$BT$192&lt;&gt;"",ROW($BT$93:$BT$192)-ROW($BT$93)+1),ROWS($BT$93:BT132)))),"")</f>
        <v/>
      </c>
      <c r="CE132" s="542" t="str">
        <f t="shared" si="85"/>
        <v/>
      </c>
      <c r="CF132" s="544" t="str">
        <f t="shared" si="86"/>
        <v/>
      </c>
      <c r="CG132" s="544" t="str">
        <f t="shared" si="87"/>
        <v/>
      </c>
      <c r="CI132" s="544">
        <f t="shared" si="58"/>
        <v>0</v>
      </c>
      <c r="CJ132" s="544">
        <f t="shared" si="59"/>
        <v>0</v>
      </c>
      <c r="CK132" s="544">
        <f t="shared" si="60"/>
        <v>1</v>
      </c>
      <c r="CL132" s="544">
        <f t="array" ref="CL132">IF(ISNUMBER(BY132),CI132,IF(ISBLANK(BY132),CI132,CI132+$CJ$143))+$CK$143</f>
        <v>50</v>
      </c>
      <c r="CM132" t="str">
        <f t="shared" si="61"/>
        <v/>
      </c>
      <c r="CN132" s="542" t="str">
        <f t="array" ref="CN132">IFERROR(INDEX($BY$93:$BY$142,MATCH(SMALL($CL$93:$CL$142,ROWS($CM$93:CM132)+$CK$143),$CL$93:$CL$142,0)),"")</f>
        <v/>
      </c>
      <c r="DL132" s="542">
        <v>40</v>
      </c>
      <c r="DM132" s="642" t="str">
        <f t="shared" si="88"/>
        <v/>
      </c>
      <c r="DN132" s="639" t="str">
        <f t="shared" si="62"/>
        <v/>
      </c>
      <c r="DO132" s="639" t="str">
        <f t="shared" si="89"/>
        <v/>
      </c>
      <c r="DP132" s="646">
        <f t="shared" si="90"/>
        <v>0</v>
      </c>
      <c r="DQ132" s="638" t="str">
        <f t="shared" ca="1" si="91"/>
        <v/>
      </c>
      <c r="DR132" s="639">
        <f t="shared" si="73"/>
        <v>0</v>
      </c>
      <c r="DS132" s="639">
        <f>IF(__Retrofit_TI_NC=0,
SUMIFS(Installations!CV$46:CV$803,Installations!CW$46:CW$803,DM132,Installations!IC$46:IC$803,TRUE,Installations!CU$46:CU$803,"New"),
SUMIFS(Installations!CV$46:CV$803,Installations!CW$46:CW$803,DM132,Installations!IC$46:IC$803,TRUE,Installations!CU$46:CU$803,"New")+SUMIF('Building Area Installations'!H$43:H$72,DM132,'Building Area Installations'!O$43:O$72)+SUMIF('Building Area Installations'!H$82:H$111,DM132,'Building Area Installations'!O$82:O$111))</f>
        <v>0</v>
      </c>
      <c r="DT132" s="639" t="str">
        <f t="shared" si="63"/>
        <v/>
      </c>
      <c r="DU132" s="645"/>
      <c r="DX132" s="639" t="str">
        <f t="array" ref="DX132">IFERROR(IF(ROWS(DM$93:DM132)&gt;COUNTA($DM$93:$DM$145),"",INDEX($DL$93:$DL$142,SMALL(IF($DM$93:$DM$145&lt;&gt;"",ROW($DM$93:$DM$145)-ROW($DM$93)+1),ROWS($DM$93:DM132)))),"")</f>
        <v/>
      </c>
      <c r="DY132" s="542" t="str">
        <f t="shared" si="74"/>
        <v/>
      </c>
      <c r="DZ132" s="544" t="str">
        <f t="shared" si="75"/>
        <v/>
      </c>
      <c r="EA132" s="544" t="str">
        <f t="shared" si="76"/>
        <v/>
      </c>
      <c r="EB132" s="544" t="str">
        <f t="shared" si="64"/>
        <v/>
      </c>
      <c r="ED132" s="639" t="str">
        <f t="array" ref="ED132">IFERROR(IF(ROWS(DT$93:DT132)&gt;COUNTA($DT$93:$DT$145),"",INDEX($DL$93:$DL$142,SMALL(IF($DT$93:$DT$145&lt;&gt;"",ROW($DT$93:$DT$145)-ROW($DT$93)+1),ROWS($DT$93:DT132)))),"")</f>
        <v/>
      </c>
      <c r="EE132" s="542" t="str">
        <f t="shared" si="68"/>
        <v/>
      </c>
      <c r="EF132" s="544" t="str">
        <f t="shared" si="69"/>
        <v/>
      </c>
      <c r="EG132" s="546" t="str">
        <f t="shared" si="70"/>
        <v/>
      </c>
      <c r="EH132" s="544" t="str">
        <f t="shared" si="71"/>
        <v/>
      </c>
      <c r="EI132" s="544" t="str">
        <f t="shared" si="72"/>
        <v/>
      </c>
      <c r="EL132" s="542">
        <f t="shared" si="65"/>
        <v>0</v>
      </c>
      <c r="EM132" s="542">
        <f t="shared" si="92"/>
        <v>0</v>
      </c>
      <c r="EN132" s="542">
        <f t="shared" si="66"/>
        <v>1</v>
      </c>
      <c r="EO132" s="542">
        <f t="array" ref="EO132">IF(ISNUMBER(DY132),EL132,IF(ISBLANK(DY132),EL132,EL132+$EM$143))+$EN$143</f>
        <v>49</v>
      </c>
      <c r="EP132" t="str">
        <f t="shared" si="67"/>
        <v/>
      </c>
      <c r="EQ132" s="542" t="str">
        <f t="array" ref="EQ132">IFERROR(INDEX($DY$93:$DY$142,MATCH(SMALL($EO$93:$EO$142,ROWS($EQ$93:EQ132)+$EN$143),$EO$93:$EO$142,0)),"")</f>
        <v/>
      </c>
    </row>
    <row r="133" spans="64:147">
      <c r="BL133">
        <f t="shared" si="77"/>
        <v>41</v>
      </c>
      <c r="BM133" s="642" t="str">
        <f t="shared" si="78"/>
        <v/>
      </c>
      <c r="BN133" s="639" t="str">
        <f t="shared" si="79"/>
        <v/>
      </c>
      <c r="BO133" s="639" t="b">
        <f t="shared" si="56"/>
        <v>0</v>
      </c>
      <c r="BP133" s="643" t="str">
        <f t="shared" si="80"/>
        <v/>
      </c>
      <c r="BQ133" s="639" t="str">
        <f>IFERROR(VLOOKUP(BP133,Lookup!AT$6:AU$8,2,FALSE),"")</f>
        <v/>
      </c>
      <c r="BR133" s="639" t="str">
        <f t="shared" si="81"/>
        <v/>
      </c>
      <c r="BS133" s="644">
        <f>SUMIFS(Installations!CV$46:CV$803,Installations!CW$46:CW$803,BM133,Installations!IC$46:IC$803,TRUE,Installations!CU$46:CU$803,"Exist")</f>
        <v>0</v>
      </c>
      <c r="BT133" s="639" t="str">
        <f t="shared" si="57"/>
        <v/>
      </c>
      <c r="BU133" s="645"/>
      <c r="BX133" s="639" t="str">
        <f t="array" ref="BX133">IFERROR(IF(ROWS(BM$93:BM133)&gt;COUNTA($BM$93:$BM$192),"",INDEX($BL$93:$BL$192,SMALL(IF($BM$93:$BM$192&lt;&gt;"",ROW($BM$93:$BM$192)-ROW($BM$93)+1),ROWS($BM$93:BM133)))),"")</f>
        <v/>
      </c>
      <c r="BY133" s="542" t="str">
        <f t="shared" si="82"/>
        <v/>
      </c>
      <c r="BZ133" s="544" t="str">
        <f t="shared" si="83"/>
        <v/>
      </c>
      <c r="CA133" s="544" t="str">
        <f t="shared" si="84"/>
        <v/>
      </c>
      <c r="CD133" s="639" t="str">
        <f t="array" ref="CD133">IFERROR(IF(ROWS(BT$93:BT133)&gt;COUNTA($BT$93:$BT$192),"",INDEX($BL$93:$BL$192,SMALL(IF($BT$93:$BT$192&lt;&gt;"",ROW($BT$93:$BT$192)-ROW($BT$93)+1),ROWS($BT$93:BT133)))),"")</f>
        <v/>
      </c>
      <c r="CE133" s="542" t="str">
        <f t="shared" si="85"/>
        <v/>
      </c>
      <c r="CF133" s="544" t="str">
        <f t="shared" si="86"/>
        <v/>
      </c>
      <c r="CG133" s="544" t="str">
        <f t="shared" si="87"/>
        <v/>
      </c>
      <c r="CI133" s="544">
        <f t="shared" si="58"/>
        <v>0</v>
      </c>
      <c r="CJ133" s="544">
        <f t="shared" si="59"/>
        <v>0</v>
      </c>
      <c r="CK133" s="544">
        <f t="shared" si="60"/>
        <v>1</v>
      </c>
      <c r="CL133" s="544">
        <f t="array" ref="CL133">IF(ISNUMBER(BY133),CI133,IF(ISBLANK(BY133),CI133,CI133+$CJ$143))+$CK$143</f>
        <v>50</v>
      </c>
      <c r="CM133" t="str">
        <f t="shared" si="61"/>
        <v/>
      </c>
      <c r="CN133" s="542" t="str">
        <f t="array" ref="CN133">IFERROR(INDEX($BY$93:$BY$142,MATCH(SMALL($CL$93:$CL$142,ROWS($CM$93:CM133)+$CK$143),$CL$93:$CL$142,0)),"")</f>
        <v/>
      </c>
      <c r="DL133" s="542">
        <v>41</v>
      </c>
      <c r="DM133" s="642" t="str">
        <f t="shared" si="88"/>
        <v/>
      </c>
      <c r="DN133" s="639" t="str">
        <f t="shared" si="62"/>
        <v/>
      </c>
      <c r="DO133" s="639" t="str">
        <f t="shared" si="89"/>
        <v/>
      </c>
      <c r="DP133" s="646">
        <f t="shared" si="90"/>
        <v>0</v>
      </c>
      <c r="DQ133" s="638" t="str">
        <f t="shared" ca="1" si="91"/>
        <v/>
      </c>
      <c r="DR133" s="639">
        <f t="shared" si="73"/>
        <v>0</v>
      </c>
      <c r="DS133" s="639">
        <f>IF(__Retrofit_TI_NC=0,
SUMIFS(Installations!CV$46:CV$803,Installations!CW$46:CW$803,DM133,Installations!IC$46:IC$803,TRUE,Installations!CU$46:CU$803,"New"),
SUMIFS(Installations!CV$46:CV$803,Installations!CW$46:CW$803,DM133,Installations!IC$46:IC$803,TRUE,Installations!CU$46:CU$803,"New")+SUMIF('Building Area Installations'!H$43:H$72,DM133,'Building Area Installations'!O$43:O$72)+SUMIF('Building Area Installations'!H$82:H$111,DM133,'Building Area Installations'!O$82:O$111))</f>
        <v>0</v>
      </c>
      <c r="DT133" s="639" t="str">
        <f t="shared" si="63"/>
        <v/>
      </c>
      <c r="DU133" s="645"/>
      <c r="DX133" s="639" t="str">
        <f t="array" ref="DX133">IFERROR(IF(ROWS(DM$93:DM133)&gt;COUNTA($DM$93:$DM$145),"",INDEX($DL$93:$DL$142,SMALL(IF($DM$93:$DM$145&lt;&gt;"",ROW($DM$93:$DM$145)-ROW($DM$93)+1),ROWS($DM$93:DM133)))),"")</f>
        <v/>
      </c>
      <c r="DY133" s="542" t="str">
        <f t="shared" si="74"/>
        <v/>
      </c>
      <c r="DZ133" s="544" t="str">
        <f t="shared" si="75"/>
        <v/>
      </c>
      <c r="EA133" s="544" t="str">
        <f t="shared" si="76"/>
        <v/>
      </c>
      <c r="EB133" s="544" t="str">
        <f t="shared" si="64"/>
        <v/>
      </c>
      <c r="ED133" s="639" t="str">
        <f t="array" ref="ED133">IFERROR(IF(ROWS(DT$93:DT133)&gt;COUNTA($DT$93:$DT$145),"",INDEX($DL$93:$DL$142,SMALL(IF($DT$93:$DT$145&lt;&gt;"",ROW($DT$93:$DT$145)-ROW($DT$93)+1),ROWS($DT$93:DT133)))),"")</f>
        <v/>
      </c>
      <c r="EE133" s="542" t="str">
        <f t="shared" si="68"/>
        <v/>
      </c>
      <c r="EF133" s="544" t="str">
        <f t="shared" si="69"/>
        <v/>
      </c>
      <c r="EG133" s="546" t="str">
        <f t="shared" si="70"/>
        <v/>
      </c>
      <c r="EH133" s="544" t="str">
        <f t="shared" si="71"/>
        <v/>
      </c>
      <c r="EI133" s="544" t="str">
        <f t="shared" si="72"/>
        <v/>
      </c>
      <c r="EL133" s="542">
        <f t="shared" si="65"/>
        <v>0</v>
      </c>
      <c r="EM133" s="542">
        <f t="shared" si="92"/>
        <v>0</v>
      </c>
      <c r="EN133" s="542">
        <f t="shared" si="66"/>
        <v>1</v>
      </c>
      <c r="EO133" s="542">
        <f t="array" ref="EO133">IF(ISNUMBER(DY133),EL133,IF(ISBLANK(DY133),EL133,EL133+$EM$143))+$EN$143</f>
        <v>49</v>
      </c>
      <c r="EP133" t="str">
        <f t="shared" si="67"/>
        <v/>
      </c>
      <c r="EQ133" s="542" t="str">
        <f t="array" ref="EQ133">IFERROR(INDEX($DY$93:$DY$142,MATCH(SMALL($EO$93:$EO$142,ROWS($EQ$93:EQ133)+$EN$143),$EO$93:$EO$142,0)),"")</f>
        <v/>
      </c>
    </row>
    <row r="134" spans="64:147">
      <c r="BL134">
        <f t="shared" si="77"/>
        <v>42</v>
      </c>
      <c r="BM134" s="642" t="str">
        <f t="shared" si="78"/>
        <v/>
      </c>
      <c r="BN134" s="639" t="str">
        <f t="shared" si="79"/>
        <v/>
      </c>
      <c r="BO134" s="639" t="b">
        <f t="shared" si="56"/>
        <v>0</v>
      </c>
      <c r="BP134" s="643" t="str">
        <f t="shared" si="80"/>
        <v/>
      </c>
      <c r="BQ134" s="639" t="str">
        <f>IFERROR(VLOOKUP(BP134,Lookup!AT$6:AU$8,2,FALSE),"")</f>
        <v/>
      </c>
      <c r="BR134" s="639" t="str">
        <f t="shared" si="81"/>
        <v/>
      </c>
      <c r="BS134" s="644">
        <f>SUMIFS(Installations!CV$46:CV$803,Installations!CW$46:CW$803,BM134,Installations!IC$46:IC$803,TRUE,Installations!CU$46:CU$803,"Exist")</f>
        <v>0</v>
      </c>
      <c r="BT134" s="639" t="str">
        <f t="shared" si="57"/>
        <v/>
      </c>
      <c r="BU134" s="645"/>
      <c r="BX134" s="639" t="str">
        <f t="array" ref="BX134">IFERROR(IF(ROWS(BM$93:BM134)&gt;COUNTA($BM$93:$BM$192),"",INDEX($BL$93:$BL$192,SMALL(IF($BM$93:$BM$192&lt;&gt;"",ROW($BM$93:$BM$192)-ROW($BM$93)+1),ROWS($BM$93:BM134)))),"")</f>
        <v/>
      </c>
      <c r="BY134" s="542" t="str">
        <f t="shared" si="82"/>
        <v/>
      </c>
      <c r="BZ134" s="544" t="str">
        <f t="shared" si="83"/>
        <v/>
      </c>
      <c r="CA134" s="544" t="str">
        <f t="shared" si="84"/>
        <v/>
      </c>
      <c r="CD134" s="639" t="str">
        <f t="array" ref="CD134">IFERROR(IF(ROWS(BT$93:BT134)&gt;COUNTA($BT$93:$BT$192),"",INDEX($BL$93:$BL$192,SMALL(IF($BT$93:$BT$192&lt;&gt;"",ROW($BT$93:$BT$192)-ROW($BT$93)+1),ROWS($BT$93:BT134)))),"")</f>
        <v/>
      </c>
      <c r="CE134" s="542" t="str">
        <f t="shared" si="85"/>
        <v/>
      </c>
      <c r="CF134" s="544" t="str">
        <f t="shared" si="86"/>
        <v/>
      </c>
      <c r="CG134" s="544" t="str">
        <f t="shared" si="87"/>
        <v/>
      </c>
      <c r="CI134" s="544">
        <f t="shared" si="58"/>
        <v>0</v>
      </c>
      <c r="CJ134" s="544">
        <f t="shared" si="59"/>
        <v>0</v>
      </c>
      <c r="CK134" s="544">
        <f t="shared" si="60"/>
        <v>1</v>
      </c>
      <c r="CL134" s="544">
        <f t="array" ref="CL134">IF(ISNUMBER(BY134),CI134,IF(ISBLANK(BY134),CI134,CI134+$CJ$143))+$CK$143</f>
        <v>50</v>
      </c>
      <c r="CM134" t="str">
        <f t="shared" si="61"/>
        <v/>
      </c>
      <c r="CN134" s="542" t="str">
        <f t="array" ref="CN134">IFERROR(INDEX($BY$93:$BY$142,MATCH(SMALL($CL$93:$CL$142,ROWS($CM$93:CM134)+$CK$143),$CL$93:$CL$142,0)),"")</f>
        <v/>
      </c>
      <c r="DL134" s="542">
        <v>42</v>
      </c>
      <c r="DM134" s="642" t="str">
        <f t="shared" si="88"/>
        <v/>
      </c>
      <c r="DN134" s="639" t="str">
        <f t="shared" si="62"/>
        <v/>
      </c>
      <c r="DO134" s="639" t="str">
        <f t="shared" si="89"/>
        <v/>
      </c>
      <c r="DP134" s="646">
        <f t="shared" si="90"/>
        <v>0</v>
      </c>
      <c r="DQ134" s="638" t="str">
        <f t="shared" ca="1" si="91"/>
        <v/>
      </c>
      <c r="DR134" s="639">
        <f t="shared" si="73"/>
        <v>0</v>
      </c>
      <c r="DS134" s="639">
        <f>IF(__Retrofit_TI_NC=0,
SUMIFS(Installations!CV$46:CV$803,Installations!CW$46:CW$803,DM134,Installations!IC$46:IC$803,TRUE,Installations!CU$46:CU$803,"New"),
SUMIFS(Installations!CV$46:CV$803,Installations!CW$46:CW$803,DM134,Installations!IC$46:IC$803,TRUE,Installations!CU$46:CU$803,"New")+SUMIF('Building Area Installations'!H$43:H$72,DM134,'Building Area Installations'!O$43:O$72)+SUMIF('Building Area Installations'!H$82:H$111,DM134,'Building Area Installations'!O$82:O$111))</f>
        <v>0</v>
      </c>
      <c r="DT134" s="639" t="str">
        <f t="shared" si="63"/>
        <v/>
      </c>
      <c r="DU134" s="645"/>
      <c r="DX134" s="639" t="str">
        <f t="array" ref="DX134">IFERROR(IF(ROWS(DM$93:DM134)&gt;COUNTA($DM$93:$DM$145),"",INDEX($DL$93:$DL$142,SMALL(IF($DM$93:$DM$145&lt;&gt;"",ROW($DM$93:$DM$145)-ROW($DM$93)+1),ROWS($DM$93:DM134)))),"")</f>
        <v/>
      </c>
      <c r="DY134" s="542" t="str">
        <f t="shared" si="74"/>
        <v/>
      </c>
      <c r="DZ134" s="544" t="str">
        <f t="shared" si="75"/>
        <v/>
      </c>
      <c r="EA134" s="544" t="str">
        <f t="shared" si="76"/>
        <v/>
      </c>
      <c r="EB134" s="544" t="str">
        <f t="shared" si="64"/>
        <v/>
      </c>
      <c r="ED134" s="639" t="str">
        <f t="array" ref="ED134">IFERROR(IF(ROWS(DT$93:DT134)&gt;COUNTA($DT$93:$DT$145),"",INDEX($DL$93:$DL$142,SMALL(IF($DT$93:$DT$145&lt;&gt;"",ROW($DT$93:$DT$145)-ROW($DT$93)+1),ROWS($DT$93:DT134)))),"")</f>
        <v/>
      </c>
      <c r="EE134" s="542" t="str">
        <f t="shared" si="68"/>
        <v/>
      </c>
      <c r="EF134" s="544" t="str">
        <f t="shared" si="69"/>
        <v/>
      </c>
      <c r="EG134" s="546" t="str">
        <f t="shared" si="70"/>
        <v/>
      </c>
      <c r="EH134" s="544" t="str">
        <f t="shared" si="71"/>
        <v/>
      </c>
      <c r="EI134" s="544" t="str">
        <f t="shared" si="72"/>
        <v/>
      </c>
      <c r="EL134" s="542">
        <f t="shared" si="65"/>
        <v>0</v>
      </c>
      <c r="EM134" s="542">
        <f t="shared" si="92"/>
        <v>0</v>
      </c>
      <c r="EN134" s="542">
        <f t="shared" si="66"/>
        <v>1</v>
      </c>
      <c r="EO134" s="542">
        <f t="array" ref="EO134">IF(ISNUMBER(DY134),EL134,IF(ISBLANK(DY134),EL134,EL134+$EM$143))+$EN$143</f>
        <v>49</v>
      </c>
      <c r="EP134" t="str">
        <f t="shared" si="67"/>
        <v/>
      </c>
      <c r="EQ134" s="542" t="str">
        <f t="array" ref="EQ134">IFERROR(INDEX($DY$93:$DY$142,MATCH(SMALL($EO$93:$EO$142,ROWS($EQ$93:EQ134)+$EN$143),$EO$93:$EO$142,0)),"")</f>
        <v/>
      </c>
    </row>
    <row r="135" spans="64:147">
      <c r="BL135">
        <f t="shared" si="77"/>
        <v>43</v>
      </c>
      <c r="BM135" s="642" t="str">
        <f t="shared" si="78"/>
        <v/>
      </c>
      <c r="BN135" s="639" t="str">
        <f t="shared" si="79"/>
        <v/>
      </c>
      <c r="BO135" s="639" t="b">
        <f t="shared" si="56"/>
        <v>0</v>
      </c>
      <c r="BP135" s="643" t="str">
        <f t="shared" si="80"/>
        <v/>
      </c>
      <c r="BQ135" s="639" t="str">
        <f>IFERROR(VLOOKUP(BP135,Lookup!AT$6:AU$8,2,FALSE),"")</f>
        <v/>
      </c>
      <c r="BR135" s="639" t="str">
        <f t="shared" si="81"/>
        <v/>
      </c>
      <c r="BS135" s="644">
        <f>SUMIFS(Installations!CV$46:CV$803,Installations!CW$46:CW$803,BM135,Installations!IC$46:IC$803,TRUE,Installations!CU$46:CU$803,"Exist")</f>
        <v>0</v>
      </c>
      <c r="BT135" s="639" t="str">
        <f t="shared" si="57"/>
        <v/>
      </c>
      <c r="BU135" s="645"/>
      <c r="BX135" s="639" t="str">
        <f t="array" ref="BX135">IFERROR(IF(ROWS(BM$93:BM135)&gt;COUNTA($BM$93:$BM$192),"",INDEX($BL$93:$BL$192,SMALL(IF($BM$93:$BM$192&lt;&gt;"",ROW($BM$93:$BM$192)-ROW($BM$93)+1),ROWS($BM$93:BM135)))),"")</f>
        <v/>
      </c>
      <c r="BY135" s="542" t="str">
        <f t="shared" si="82"/>
        <v/>
      </c>
      <c r="BZ135" s="544" t="str">
        <f t="shared" si="83"/>
        <v/>
      </c>
      <c r="CA135" s="544" t="str">
        <f t="shared" si="84"/>
        <v/>
      </c>
      <c r="CD135" s="639" t="str">
        <f t="array" ref="CD135">IFERROR(IF(ROWS(BT$93:BT135)&gt;COUNTA($BT$93:$BT$192),"",INDEX($BL$93:$BL$192,SMALL(IF($BT$93:$BT$192&lt;&gt;"",ROW($BT$93:$BT$192)-ROW($BT$93)+1),ROWS($BT$93:BT135)))),"")</f>
        <v/>
      </c>
      <c r="CE135" s="542" t="str">
        <f t="shared" si="85"/>
        <v/>
      </c>
      <c r="CF135" s="544" t="str">
        <f t="shared" si="86"/>
        <v/>
      </c>
      <c r="CG135" s="544" t="str">
        <f t="shared" si="87"/>
        <v/>
      </c>
      <c r="CI135" s="544">
        <f t="shared" si="58"/>
        <v>0</v>
      </c>
      <c r="CJ135" s="544">
        <f t="shared" si="59"/>
        <v>0</v>
      </c>
      <c r="CK135" s="544">
        <f t="shared" si="60"/>
        <v>1</v>
      </c>
      <c r="CL135" s="544">
        <f t="array" ref="CL135">IF(ISNUMBER(BY135),CI135,IF(ISBLANK(BY135),CI135,CI135+$CJ$143))+$CK$143</f>
        <v>50</v>
      </c>
      <c r="CM135" t="str">
        <f t="shared" si="61"/>
        <v/>
      </c>
      <c r="CN135" s="542" t="str">
        <f t="array" ref="CN135">IFERROR(INDEX($BY$93:$BY$142,MATCH(SMALL($CL$93:$CL$142,ROWS($CM$93:CM135)+$CK$143),$CL$93:$CL$142,0)),"")</f>
        <v/>
      </c>
      <c r="DL135" s="542">
        <v>43</v>
      </c>
      <c r="DM135" s="642" t="str">
        <f t="shared" si="88"/>
        <v/>
      </c>
      <c r="DN135" s="639" t="str">
        <f t="shared" si="62"/>
        <v/>
      </c>
      <c r="DO135" s="639" t="str">
        <f t="shared" si="89"/>
        <v/>
      </c>
      <c r="DP135" s="646">
        <f t="shared" si="90"/>
        <v>0</v>
      </c>
      <c r="DQ135" s="638" t="str">
        <f t="shared" ca="1" si="91"/>
        <v/>
      </c>
      <c r="DR135" s="639">
        <f t="shared" si="73"/>
        <v>0</v>
      </c>
      <c r="DS135" s="639">
        <f>IF(__Retrofit_TI_NC=0,
SUMIFS(Installations!CV$46:CV$803,Installations!CW$46:CW$803,DM135,Installations!IC$46:IC$803,TRUE,Installations!CU$46:CU$803,"New"),
SUMIFS(Installations!CV$46:CV$803,Installations!CW$46:CW$803,DM135,Installations!IC$46:IC$803,TRUE,Installations!CU$46:CU$803,"New")+SUMIF('Building Area Installations'!H$43:H$72,DM135,'Building Area Installations'!O$43:O$72)+SUMIF('Building Area Installations'!H$82:H$111,DM135,'Building Area Installations'!O$82:O$111))</f>
        <v>0</v>
      </c>
      <c r="DT135" s="639" t="str">
        <f t="shared" si="63"/>
        <v/>
      </c>
      <c r="DU135" s="645"/>
      <c r="DX135" s="639" t="str">
        <f t="array" ref="DX135">IFERROR(IF(ROWS(DM$93:DM135)&gt;COUNTA($DM$93:$DM$145),"",INDEX($DL$93:$DL$142,SMALL(IF($DM$93:$DM$145&lt;&gt;"",ROW($DM$93:$DM$145)-ROW($DM$93)+1),ROWS($DM$93:DM135)))),"")</f>
        <v/>
      </c>
      <c r="DY135" s="542" t="str">
        <f t="shared" si="74"/>
        <v/>
      </c>
      <c r="DZ135" s="544" t="str">
        <f t="shared" si="75"/>
        <v/>
      </c>
      <c r="EA135" s="544" t="str">
        <f t="shared" si="76"/>
        <v/>
      </c>
      <c r="EB135" s="544" t="str">
        <f t="shared" si="64"/>
        <v/>
      </c>
      <c r="ED135" s="639" t="str">
        <f t="array" ref="ED135">IFERROR(IF(ROWS(DT$93:DT135)&gt;COUNTA($DT$93:$DT$145),"",INDEX($DL$93:$DL$142,SMALL(IF($DT$93:$DT$145&lt;&gt;"",ROW($DT$93:$DT$145)-ROW($DT$93)+1),ROWS($DT$93:DT135)))),"")</f>
        <v/>
      </c>
      <c r="EE135" s="542" t="str">
        <f t="shared" si="68"/>
        <v/>
      </c>
      <c r="EF135" s="544" t="str">
        <f t="shared" si="69"/>
        <v/>
      </c>
      <c r="EG135" s="546" t="str">
        <f t="shared" si="70"/>
        <v/>
      </c>
      <c r="EH135" s="544" t="str">
        <f t="shared" si="71"/>
        <v/>
      </c>
      <c r="EI135" s="544" t="str">
        <f t="shared" si="72"/>
        <v/>
      </c>
      <c r="EL135" s="542">
        <f t="shared" si="65"/>
        <v>0</v>
      </c>
      <c r="EM135" s="542">
        <f t="shared" si="92"/>
        <v>0</v>
      </c>
      <c r="EN135" s="542">
        <f t="shared" si="66"/>
        <v>1</v>
      </c>
      <c r="EO135" s="542">
        <f t="array" ref="EO135">IF(ISNUMBER(DY135),EL135,IF(ISBLANK(DY135),EL135,EL135+$EM$143))+$EN$143</f>
        <v>49</v>
      </c>
      <c r="EP135" t="str">
        <f t="shared" si="67"/>
        <v/>
      </c>
      <c r="EQ135" s="542" t="str">
        <f t="array" ref="EQ135">IFERROR(INDEX($DY$93:$DY$142,MATCH(SMALL($EO$93:$EO$142,ROWS($EQ$93:EQ135)+$EN$143),$EO$93:$EO$142,0)),"")</f>
        <v/>
      </c>
    </row>
    <row r="136" spans="64:147">
      <c r="BL136">
        <f t="shared" si="77"/>
        <v>44</v>
      </c>
      <c r="BM136" s="642" t="str">
        <f t="shared" si="78"/>
        <v/>
      </c>
      <c r="BN136" s="639" t="str">
        <f t="shared" si="79"/>
        <v/>
      </c>
      <c r="BO136" s="639" t="b">
        <f t="shared" si="56"/>
        <v>0</v>
      </c>
      <c r="BP136" s="643" t="str">
        <f t="shared" si="80"/>
        <v/>
      </c>
      <c r="BQ136" s="639" t="str">
        <f>IFERROR(VLOOKUP(BP136,Lookup!AT$6:AU$8,2,FALSE),"")</f>
        <v/>
      </c>
      <c r="BR136" s="639" t="str">
        <f t="shared" si="81"/>
        <v/>
      </c>
      <c r="BS136" s="644">
        <f>SUMIFS(Installations!CV$46:CV$803,Installations!CW$46:CW$803,BM136,Installations!IC$46:IC$803,TRUE,Installations!CU$46:CU$803,"Exist")</f>
        <v>0</v>
      </c>
      <c r="BT136" s="639" t="str">
        <f t="shared" si="57"/>
        <v/>
      </c>
      <c r="BU136" s="645"/>
      <c r="BX136" s="639" t="str">
        <f t="array" ref="BX136">IFERROR(IF(ROWS(BM$93:BM136)&gt;COUNTA($BM$93:$BM$192),"",INDEX($BL$93:$BL$192,SMALL(IF($BM$93:$BM$192&lt;&gt;"",ROW($BM$93:$BM$192)-ROW($BM$93)+1),ROWS($BM$93:BM136)))),"")</f>
        <v/>
      </c>
      <c r="BY136" s="542" t="str">
        <f t="shared" si="82"/>
        <v/>
      </c>
      <c r="BZ136" s="544" t="str">
        <f t="shared" si="83"/>
        <v/>
      </c>
      <c r="CA136" s="544" t="str">
        <f t="shared" si="84"/>
        <v/>
      </c>
      <c r="CD136" s="639" t="str">
        <f t="array" ref="CD136">IFERROR(IF(ROWS(BT$93:BT136)&gt;COUNTA($BT$93:$BT$192),"",INDEX($BL$93:$BL$192,SMALL(IF($BT$93:$BT$192&lt;&gt;"",ROW($BT$93:$BT$192)-ROW($BT$93)+1),ROWS($BT$93:BT136)))),"")</f>
        <v/>
      </c>
      <c r="CE136" s="542" t="str">
        <f t="shared" si="85"/>
        <v/>
      </c>
      <c r="CF136" s="544" t="str">
        <f t="shared" si="86"/>
        <v/>
      </c>
      <c r="CG136" s="544" t="str">
        <f t="shared" si="87"/>
        <v/>
      </c>
      <c r="CI136" s="544">
        <f t="shared" si="58"/>
        <v>0</v>
      </c>
      <c r="CJ136" s="544">
        <f t="shared" si="59"/>
        <v>0</v>
      </c>
      <c r="CK136" s="544">
        <f t="shared" si="60"/>
        <v>1</v>
      </c>
      <c r="CL136" s="544">
        <f t="array" ref="CL136">IF(ISNUMBER(BY136),CI136,IF(ISBLANK(BY136),CI136,CI136+$CJ$143))+$CK$143</f>
        <v>50</v>
      </c>
      <c r="CM136" t="str">
        <f t="shared" si="61"/>
        <v/>
      </c>
      <c r="CN136" s="542" t="str">
        <f t="array" ref="CN136">IFERROR(INDEX($BY$93:$BY$142,MATCH(SMALL($CL$93:$CL$142,ROWS($CM$93:CM136)+$CK$143),$CL$93:$CL$142,0)),"")</f>
        <v/>
      </c>
      <c r="DL136" s="542">
        <v>44</v>
      </c>
      <c r="DM136" s="642" t="str">
        <f t="shared" si="88"/>
        <v/>
      </c>
      <c r="DN136" s="639" t="str">
        <f t="shared" si="62"/>
        <v/>
      </c>
      <c r="DO136" s="639" t="str">
        <f t="shared" si="89"/>
        <v/>
      </c>
      <c r="DP136" s="646">
        <f t="shared" si="90"/>
        <v>0</v>
      </c>
      <c r="DQ136" s="638" t="str">
        <f t="shared" ca="1" si="91"/>
        <v/>
      </c>
      <c r="DR136" s="639">
        <f t="shared" si="73"/>
        <v>0</v>
      </c>
      <c r="DS136" s="639">
        <f>IF(__Retrofit_TI_NC=0,
SUMIFS(Installations!CV$46:CV$803,Installations!CW$46:CW$803,DM136,Installations!IC$46:IC$803,TRUE,Installations!CU$46:CU$803,"New"),
SUMIFS(Installations!CV$46:CV$803,Installations!CW$46:CW$803,DM136,Installations!IC$46:IC$803,TRUE,Installations!CU$46:CU$803,"New")+SUMIF('Building Area Installations'!H$43:H$72,DM136,'Building Area Installations'!O$43:O$72)+SUMIF('Building Area Installations'!H$82:H$111,DM136,'Building Area Installations'!O$82:O$111))</f>
        <v>0</v>
      </c>
      <c r="DT136" s="639" t="str">
        <f t="shared" si="63"/>
        <v/>
      </c>
      <c r="DU136" s="645"/>
      <c r="DX136" s="639" t="str">
        <f t="array" ref="DX136">IFERROR(IF(ROWS(DM$93:DM136)&gt;COUNTA($DM$93:$DM$145),"",INDEX($DL$93:$DL$142,SMALL(IF($DM$93:$DM$145&lt;&gt;"",ROW($DM$93:$DM$145)-ROW($DM$93)+1),ROWS($DM$93:DM136)))),"")</f>
        <v/>
      </c>
      <c r="DY136" s="542" t="str">
        <f t="shared" si="74"/>
        <v/>
      </c>
      <c r="DZ136" s="544" t="str">
        <f t="shared" si="75"/>
        <v/>
      </c>
      <c r="EA136" s="544" t="str">
        <f t="shared" si="76"/>
        <v/>
      </c>
      <c r="EB136" s="544" t="str">
        <f t="shared" si="64"/>
        <v/>
      </c>
      <c r="ED136" s="639" t="str">
        <f t="array" ref="ED136">IFERROR(IF(ROWS(DT$93:DT136)&gt;COUNTA($DT$93:$DT$145),"",INDEX($DL$93:$DL$142,SMALL(IF($DT$93:$DT$145&lt;&gt;"",ROW($DT$93:$DT$145)-ROW($DT$93)+1),ROWS($DT$93:DT136)))),"")</f>
        <v/>
      </c>
      <c r="EE136" s="542" t="str">
        <f t="shared" si="68"/>
        <v/>
      </c>
      <c r="EF136" s="544" t="str">
        <f t="shared" si="69"/>
        <v/>
      </c>
      <c r="EG136" s="546" t="str">
        <f t="shared" si="70"/>
        <v/>
      </c>
      <c r="EH136" s="544" t="str">
        <f t="shared" si="71"/>
        <v/>
      </c>
      <c r="EI136" s="544" t="str">
        <f t="shared" si="72"/>
        <v/>
      </c>
      <c r="EL136" s="542">
        <f t="shared" si="65"/>
        <v>0</v>
      </c>
      <c r="EM136" s="542">
        <f t="shared" si="92"/>
        <v>0</v>
      </c>
      <c r="EN136" s="542">
        <f t="shared" si="66"/>
        <v>1</v>
      </c>
      <c r="EO136" s="542">
        <f t="array" ref="EO136">IF(ISNUMBER(DY136),EL136,IF(ISBLANK(DY136),EL136,EL136+$EM$143))+$EN$143</f>
        <v>49</v>
      </c>
      <c r="EP136" t="str">
        <f t="shared" si="67"/>
        <v/>
      </c>
      <c r="EQ136" s="542" t="str">
        <f t="array" ref="EQ136">IFERROR(INDEX($DY$93:$DY$142,MATCH(SMALL($EO$93:$EO$142,ROWS($EQ$93:EQ136)+$EN$143),$EO$93:$EO$142,0)),"")</f>
        <v/>
      </c>
    </row>
    <row r="137" spans="64:147">
      <c r="BL137">
        <f t="shared" si="77"/>
        <v>45</v>
      </c>
      <c r="BM137" s="642" t="str">
        <f t="shared" si="78"/>
        <v/>
      </c>
      <c r="BN137" s="639" t="str">
        <f t="shared" si="79"/>
        <v/>
      </c>
      <c r="BO137" s="639" t="b">
        <f t="shared" si="56"/>
        <v>0</v>
      </c>
      <c r="BP137" s="643" t="str">
        <f t="shared" si="80"/>
        <v/>
      </c>
      <c r="BQ137" s="639" t="str">
        <f>IFERROR(VLOOKUP(BP137,Lookup!AT$6:AU$8,2,FALSE),"")</f>
        <v/>
      </c>
      <c r="BR137" s="639" t="str">
        <f t="shared" si="81"/>
        <v/>
      </c>
      <c r="BS137" s="644">
        <f>SUMIFS(Installations!CV$46:CV$803,Installations!CW$46:CW$803,BM137,Installations!IC$46:IC$803,TRUE,Installations!CU$46:CU$803,"Exist")</f>
        <v>0</v>
      </c>
      <c r="BT137" s="639" t="str">
        <f t="shared" si="57"/>
        <v/>
      </c>
      <c r="BU137" s="645"/>
      <c r="BX137" s="639" t="str">
        <f t="array" ref="BX137">IFERROR(IF(ROWS(BM$93:BM137)&gt;COUNTA($BM$93:$BM$192),"",INDEX($BL$93:$BL$192,SMALL(IF($BM$93:$BM$192&lt;&gt;"",ROW($BM$93:$BM$192)-ROW($BM$93)+1),ROWS($BM$93:BM137)))),"")</f>
        <v/>
      </c>
      <c r="BY137" s="542" t="str">
        <f t="shared" si="82"/>
        <v/>
      </c>
      <c r="BZ137" s="544" t="str">
        <f t="shared" si="83"/>
        <v/>
      </c>
      <c r="CA137" s="544" t="str">
        <f t="shared" si="84"/>
        <v/>
      </c>
      <c r="CD137" s="639" t="str">
        <f t="array" ref="CD137">IFERROR(IF(ROWS(BT$93:BT137)&gt;COUNTA($BT$93:$BT$192),"",INDEX($BL$93:$BL$192,SMALL(IF($BT$93:$BT$192&lt;&gt;"",ROW($BT$93:$BT$192)-ROW($BT$93)+1),ROWS($BT$93:BT137)))),"")</f>
        <v/>
      </c>
      <c r="CE137" s="542" t="str">
        <f t="shared" si="85"/>
        <v/>
      </c>
      <c r="CF137" s="544" t="str">
        <f t="shared" si="86"/>
        <v/>
      </c>
      <c r="CG137" s="544" t="str">
        <f t="shared" si="87"/>
        <v/>
      </c>
      <c r="CI137" s="544">
        <f t="shared" si="58"/>
        <v>0</v>
      </c>
      <c r="CJ137" s="544">
        <f t="shared" si="59"/>
        <v>0</v>
      </c>
      <c r="CK137" s="544">
        <f t="shared" si="60"/>
        <v>1</v>
      </c>
      <c r="CL137" s="544">
        <f t="array" ref="CL137">IF(ISNUMBER(BY137),CI137,IF(ISBLANK(BY137),CI137,CI137+$CJ$143))+$CK$143</f>
        <v>50</v>
      </c>
      <c r="CM137" t="str">
        <f t="shared" si="61"/>
        <v/>
      </c>
      <c r="CN137" s="542" t="str">
        <f t="array" ref="CN137">IFERROR(INDEX($BY$93:$BY$142,MATCH(SMALL($CL$93:$CL$142,ROWS($CM$93:CM137)+$CK$143),$CL$93:$CL$142,0)),"")</f>
        <v/>
      </c>
      <c r="DL137" s="542">
        <v>45</v>
      </c>
      <c r="DM137" s="642" t="str">
        <f t="shared" si="88"/>
        <v/>
      </c>
      <c r="DN137" s="639" t="str">
        <f t="shared" si="62"/>
        <v/>
      </c>
      <c r="DO137" s="639" t="str">
        <f t="shared" si="89"/>
        <v/>
      </c>
      <c r="DP137" s="646">
        <f t="shared" si="90"/>
        <v>0</v>
      </c>
      <c r="DQ137" s="638" t="str">
        <f t="shared" ca="1" si="91"/>
        <v/>
      </c>
      <c r="DR137" s="639">
        <f t="shared" si="73"/>
        <v>0</v>
      </c>
      <c r="DS137" s="639">
        <f>IF(__Retrofit_TI_NC=0,
SUMIFS(Installations!CV$46:CV$803,Installations!CW$46:CW$803,DM137,Installations!IC$46:IC$803,TRUE,Installations!CU$46:CU$803,"New"),
SUMIFS(Installations!CV$46:CV$803,Installations!CW$46:CW$803,DM137,Installations!IC$46:IC$803,TRUE,Installations!CU$46:CU$803,"New")+SUMIF('Building Area Installations'!H$43:H$72,DM137,'Building Area Installations'!O$43:O$72)+SUMIF('Building Area Installations'!H$82:H$111,DM137,'Building Area Installations'!O$82:O$111))</f>
        <v>0</v>
      </c>
      <c r="DT137" s="639" t="str">
        <f t="shared" si="63"/>
        <v/>
      </c>
      <c r="DU137" s="645"/>
      <c r="DX137" s="639" t="str">
        <f t="array" ref="DX137">IFERROR(IF(ROWS(DM$93:DM137)&gt;COUNTA($DM$93:$DM$145),"",INDEX($DL$93:$DL$142,SMALL(IF($DM$93:$DM$145&lt;&gt;"",ROW($DM$93:$DM$145)-ROW($DM$93)+1),ROWS($DM$93:DM137)))),"")</f>
        <v/>
      </c>
      <c r="DY137" s="542" t="str">
        <f t="shared" si="74"/>
        <v/>
      </c>
      <c r="DZ137" s="544" t="str">
        <f t="shared" si="75"/>
        <v/>
      </c>
      <c r="EA137" s="544" t="str">
        <f t="shared" si="76"/>
        <v/>
      </c>
      <c r="EB137" s="544" t="str">
        <f t="shared" si="64"/>
        <v/>
      </c>
      <c r="ED137" s="639" t="str">
        <f t="array" ref="ED137">IFERROR(IF(ROWS(DT$93:DT137)&gt;COUNTA($DT$93:$DT$145),"",INDEX($DL$93:$DL$142,SMALL(IF($DT$93:$DT$145&lt;&gt;"",ROW($DT$93:$DT$145)-ROW($DT$93)+1),ROWS($DT$93:DT137)))),"")</f>
        <v/>
      </c>
      <c r="EE137" s="542" t="str">
        <f t="shared" si="68"/>
        <v/>
      </c>
      <c r="EF137" s="544" t="str">
        <f t="shared" si="69"/>
        <v/>
      </c>
      <c r="EG137" s="546" t="str">
        <f t="shared" si="70"/>
        <v/>
      </c>
      <c r="EH137" s="544" t="str">
        <f t="shared" si="71"/>
        <v/>
      </c>
      <c r="EI137" s="544" t="str">
        <f t="shared" si="72"/>
        <v/>
      </c>
      <c r="EL137" s="542">
        <f t="shared" si="65"/>
        <v>0</v>
      </c>
      <c r="EM137" s="542">
        <f t="shared" si="92"/>
        <v>0</v>
      </c>
      <c r="EN137" s="542">
        <f t="shared" si="66"/>
        <v>1</v>
      </c>
      <c r="EO137" s="542">
        <f t="array" ref="EO137">IF(ISNUMBER(DY137),EL137,IF(ISBLANK(DY137),EL137,EL137+$EM$143))+$EN$143</f>
        <v>49</v>
      </c>
      <c r="EP137" t="str">
        <f t="shared" si="67"/>
        <v/>
      </c>
      <c r="EQ137" s="542" t="str">
        <f t="array" ref="EQ137">IFERROR(INDEX($DY$93:$DY$142,MATCH(SMALL($EO$93:$EO$142,ROWS($EQ$93:EQ137)+$EN$143),$EO$93:$EO$142,0)),"")</f>
        <v/>
      </c>
    </row>
    <row r="138" spans="64:147">
      <c r="BL138">
        <f t="shared" si="77"/>
        <v>46</v>
      </c>
      <c r="BM138" s="642" t="str">
        <f t="shared" si="78"/>
        <v/>
      </c>
      <c r="BN138" s="639" t="str">
        <f t="shared" si="79"/>
        <v/>
      </c>
      <c r="BO138" s="639" t="b">
        <f t="shared" si="56"/>
        <v>0</v>
      </c>
      <c r="BP138" s="643" t="str">
        <f t="shared" si="80"/>
        <v/>
      </c>
      <c r="BQ138" s="639" t="str">
        <f>IFERROR(VLOOKUP(BP138,Lookup!AT$6:AU$8,2,FALSE),"")</f>
        <v/>
      </c>
      <c r="BR138" s="639" t="str">
        <f t="shared" si="81"/>
        <v/>
      </c>
      <c r="BS138" s="644">
        <f>SUMIFS(Installations!CV$46:CV$803,Installations!CW$46:CW$803,BM138,Installations!IC$46:IC$803,TRUE,Installations!CU$46:CU$803,"Exist")</f>
        <v>0</v>
      </c>
      <c r="BT138" s="639" t="str">
        <f t="shared" si="57"/>
        <v/>
      </c>
      <c r="BU138" s="645"/>
      <c r="BX138" s="639" t="str">
        <f t="array" ref="BX138">IFERROR(IF(ROWS(BM$93:BM138)&gt;COUNTA($BM$93:$BM$192),"",INDEX($BL$93:$BL$192,SMALL(IF($BM$93:$BM$192&lt;&gt;"",ROW($BM$93:$BM$192)-ROW($BM$93)+1),ROWS($BM$93:BM138)))),"")</f>
        <v/>
      </c>
      <c r="BY138" s="542" t="str">
        <f t="shared" si="82"/>
        <v/>
      </c>
      <c r="BZ138" s="544" t="str">
        <f t="shared" si="83"/>
        <v/>
      </c>
      <c r="CA138" s="544" t="str">
        <f t="shared" si="84"/>
        <v/>
      </c>
      <c r="CD138" s="639" t="str">
        <f t="array" ref="CD138">IFERROR(IF(ROWS(BT$93:BT138)&gt;COUNTA($BT$93:$BT$192),"",INDEX($BL$93:$BL$192,SMALL(IF($BT$93:$BT$192&lt;&gt;"",ROW($BT$93:$BT$192)-ROW($BT$93)+1),ROWS($BT$93:BT138)))),"")</f>
        <v/>
      </c>
      <c r="CE138" s="542" t="str">
        <f t="shared" si="85"/>
        <v/>
      </c>
      <c r="CF138" s="544" t="str">
        <f t="shared" si="86"/>
        <v/>
      </c>
      <c r="CG138" s="544" t="str">
        <f t="shared" si="87"/>
        <v/>
      </c>
      <c r="CI138" s="544">
        <f t="shared" si="58"/>
        <v>0</v>
      </c>
      <c r="CJ138" s="544">
        <f t="shared" si="59"/>
        <v>0</v>
      </c>
      <c r="CK138" s="544">
        <f t="shared" si="60"/>
        <v>1</v>
      </c>
      <c r="CL138" s="544">
        <f t="array" ref="CL138">IF(ISNUMBER(BY138),CI138,IF(ISBLANK(BY138),CI138,CI138+$CJ$143))+$CK$143</f>
        <v>50</v>
      </c>
      <c r="CM138" t="str">
        <f t="shared" si="61"/>
        <v/>
      </c>
      <c r="CN138" s="542" t="str">
        <f t="array" ref="CN138">IFERROR(INDEX($BY$93:$BY$142,MATCH(SMALL($CL$93:$CL$142,ROWS($CM$93:CM138)+$CK$143),$CL$93:$CL$142,0)),"")</f>
        <v/>
      </c>
      <c r="DL138" s="542">
        <v>46</v>
      </c>
      <c r="DM138" s="642" t="str">
        <f t="shared" si="88"/>
        <v/>
      </c>
      <c r="DN138" s="639" t="str">
        <f t="shared" si="62"/>
        <v/>
      </c>
      <c r="DO138" s="639" t="str">
        <f t="shared" si="89"/>
        <v/>
      </c>
      <c r="DP138" s="646">
        <f t="shared" si="90"/>
        <v>0</v>
      </c>
      <c r="DQ138" s="638" t="str">
        <f t="shared" ca="1" si="91"/>
        <v/>
      </c>
      <c r="DR138" s="639">
        <f t="shared" si="73"/>
        <v>0</v>
      </c>
      <c r="DS138" s="639">
        <f>IF(__Retrofit_TI_NC=0,
SUMIFS(Installations!CV$46:CV$803,Installations!CW$46:CW$803,DM138,Installations!IC$46:IC$803,TRUE,Installations!CU$46:CU$803,"New"),
SUMIFS(Installations!CV$46:CV$803,Installations!CW$46:CW$803,DM138,Installations!IC$46:IC$803,TRUE,Installations!CU$46:CU$803,"New")+SUMIF('Building Area Installations'!H$43:H$72,DM138,'Building Area Installations'!O$43:O$72)+SUMIF('Building Area Installations'!H$82:H$111,DM138,'Building Area Installations'!O$82:O$111))</f>
        <v>0</v>
      </c>
      <c r="DT138" s="639" t="str">
        <f t="shared" si="63"/>
        <v/>
      </c>
      <c r="DU138" s="645"/>
      <c r="DX138" s="639" t="str">
        <f t="array" ref="DX138">IFERROR(IF(ROWS(DM$93:DM138)&gt;COUNTA($DM$93:$DM$145),"",INDEX($DL$93:$DL$142,SMALL(IF($DM$93:$DM$145&lt;&gt;"",ROW($DM$93:$DM$145)-ROW($DM$93)+1),ROWS($DM$93:DM138)))),"")</f>
        <v/>
      </c>
      <c r="DY138" s="542" t="str">
        <f t="shared" si="74"/>
        <v/>
      </c>
      <c r="DZ138" s="544" t="str">
        <f t="shared" si="75"/>
        <v/>
      </c>
      <c r="EA138" s="544" t="str">
        <f t="shared" si="76"/>
        <v/>
      </c>
      <c r="EB138" s="544" t="str">
        <f t="shared" si="64"/>
        <v/>
      </c>
      <c r="ED138" s="639" t="str">
        <f t="array" ref="ED138">IFERROR(IF(ROWS(DT$93:DT138)&gt;COUNTA($DT$93:$DT$145),"",INDEX($DL$93:$DL$142,SMALL(IF($DT$93:$DT$145&lt;&gt;"",ROW($DT$93:$DT$145)-ROW($DT$93)+1),ROWS($DT$93:DT138)))),"")</f>
        <v/>
      </c>
      <c r="EE138" s="542" t="str">
        <f t="shared" si="68"/>
        <v/>
      </c>
      <c r="EF138" s="544" t="str">
        <f t="shared" si="69"/>
        <v/>
      </c>
      <c r="EG138" s="546" t="str">
        <f t="shared" si="70"/>
        <v/>
      </c>
      <c r="EH138" s="544" t="str">
        <f t="shared" si="71"/>
        <v/>
      </c>
      <c r="EI138" s="544" t="str">
        <f t="shared" si="72"/>
        <v/>
      </c>
      <c r="EL138" s="542">
        <f t="shared" si="65"/>
        <v>0</v>
      </c>
      <c r="EM138" s="542">
        <f t="shared" si="92"/>
        <v>0</v>
      </c>
      <c r="EN138" s="542">
        <f t="shared" si="66"/>
        <v>1</v>
      </c>
      <c r="EO138" s="542">
        <f t="array" ref="EO138">IF(ISNUMBER(DY138),EL138,IF(ISBLANK(DY138),EL138,EL138+$EM$143))+$EN$143</f>
        <v>49</v>
      </c>
      <c r="EP138" t="str">
        <f t="shared" si="67"/>
        <v/>
      </c>
      <c r="EQ138" s="542" t="str">
        <f t="array" ref="EQ138">IFERROR(INDEX($DY$93:$DY$142,MATCH(SMALL($EO$93:$EO$142,ROWS($EQ$93:EQ138)+$EN$143),$EO$93:$EO$142,0)),"")</f>
        <v/>
      </c>
    </row>
    <row r="139" spans="64:147">
      <c r="BL139">
        <f t="shared" si="77"/>
        <v>47</v>
      </c>
      <c r="BM139" s="642" t="str">
        <f t="shared" si="78"/>
        <v/>
      </c>
      <c r="BN139" s="639" t="str">
        <f t="shared" si="79"/>
        <v/>
      </c>
      <c r="BO139" s="639" t="b">
        <f t="shared" si="56"/>
        <v>0</v>
      </c>
      <c r="BP139" s="643" t="str">
        <f t="shared" si="80"/>
        <v/>
      </c>
      <c r="BQ139" s="639" t="str">
        <f>IFERROR(VLOOKUP(BP139,Lookup!AT$6:AU$8,2,FALSE),"")</f>
        <v/>
      </c>
      <c r="BR139" s="639" t="str">
        <f t="shared" si="81"/>
        <v/>
      </c>
      <c r="BS139" s="644">
        <f>SUMIFS(Installations!CV$46:CV$803,Installations!CW$46:CW$803,BM139,Installations!IC$46:IC$803,TRUE,Installations!CU$46:CU$803,"Exist")</f>
        <v>0</v>
      </c>
      <c r="BT139" s="639" t="str">
        <f t="shared" si="57"/>
        <v/>
      </c>
      <c r="BU139" s="645"/>
      <c r="BX139" s="639" t="str">
        <f t="array" ref="BX139">IFERROR(IF(ROWS(BM$93:BM139)&gt;COUNTA($BM$93:$BM$192),"",INDEX($BL$93:$BL$192,SMALL(IF($BM$93:$BM$192&lt;&gt;"",ROW($BM$93:$BM$192)-ROW($BM$93)+1),ROWS($BM$93:BM139)))),"")</f>
        <v/>
      </c>
      <c r="BY139" s="542" t="str">
        <f t="shared" si="82"/>
        <v/>
      </c>
      <c r="BZ139" s="544" t="str">
        <f t="shared" si="83"/>
        <v/>
      </c>
      <c r="CA139" s="544" t="str">
        <f t="shared" si="84"/>
        <v/>
      </c>
      <c r="CD139" s="639" t="str">
        <f t="array" ref="CD139">IFERROR(IF(ROWS(BT$93:BT139)&gt;COUNTA($BT$93:$BT$192),"",INDEX($BL$93:$BL$192,SMALL(IF($BT$93:$BT$192&lt;&gt;"",ROW($BT$93:$BT$192)-ROW($BT$93)+1),ROWS($BT$93:BT139)))),"")</f>
        <v/>
      </c>
      <c r="CE139" s="542" t="str">
        <f t="shared" si="85"/>
        <v/>
      </c>
      <c r="CF139" s="544" t="str">
        <f t="shared" si="86"/>
        <v/>
      </c>
      <c r="CG139" s="544" t="str">
        <f t="shared" si="87"/>
        <v/>
      </c>
      <c r="CI139" s="544">
        <f t="shared" si="58"/>
        <v>0</v>
      </c>
      <c r="CJ139" s="544">
        <f t="shared" si="59"/>
        <v>0</v>
      </c>
      <c r="CK139" s="544">
        <f t="shared" si="60"/>
        <v>1</v>
      </c>
      <c r="CL139" s="544">
        <f t="array" ref="CL139">IF(ISNUMBER(BY139),CI139,IF(ISBLANK(BY139),CI139,CI139+$CJ$143))+$CK$143</f>
        <v>50</v>
      </c>
      <c r="CM139" t="str">
        <f t="shared" si="61"/>
        <v/>
      </c>
      <c r="CN139" s="542" t="str">
        <f t="array" ref="CN139">IFERROR(INDEX($BY$93:$BY$142,MATCH(SMALL($CL$93:$CL$142,ROWS($CM$93:CM139)+$CK$143),$CL$93:$CL$142,0)),"")</f>
        <v/>
      </c>
      <c r="DL139" s="542">
        <v>47</v>
      </c>
      <c r="DM139" s="642" t="str">
        <f t="shared" si="88"/>
        <v/>
      </c>
      <c r="DN139" s="639" t="str">
        <f t="shared" si="62"/>
        <v/>
      </c>
      <c r="DO139" s="639" t="str">
        <f t="shared" si="89"/>
        <v/>
      </c>
      <c r="DP139" s="646">
        <f t="shared" si="90"/>
        <v>0</v>
      </c>
      <c r="DQ139" s="638" t="str">
        <f t="shared" ca="1" si="91"/>
        <v/>
      </c>
      <c r="DR139" s="639">
        <f t="shared" si="73"/>
        <v>0</v>
      </c>
      <c r="DS139" s="639">
        <f>IF(__Retrofit_TI_NC=0,
SUMIFS(Installations!CV$46:CV$803,Installations!CW$46:CW$803,DM139,Installations!IC$46:IC$803,TRUE,Installations!CU$46:CU$803,"New"),
SUMIFS(Installations!CV$46:CV$803,Installations!CW$46:CW$803,DM139,Installations!IC$46:IC$803,TRUE,Installations!CU$46:CU$803,"New")+SUMIF('Building Area Installations'!H$43:H$72,DM139,'Building Area Installations'!O$43:O$72)+SUMIF('Building Area Installations'!H$82:H$111,DM139,'Building Area Installations'!O$82:O$111))</f>
        <v>0</v>
      </c>
      <c r="DT139" s="639" t="str">
        <f t="shared" si="63"/>
        <v/>
      </c>
      <c r="DU139" s="645"/>
      <c r="DX139" s="639" t="str">
        <f t="array" ref="DX139">IFERROR(IF(ROWS(DM$93:DM139)&gt;COUNTA($DM$93:$DM$145),"",INDEX($DL$93:$DL$142,SMALL(IF($DM$93:$DM$145&lt;&gt;"",ROW($DM$93:$DM$145)-ROW($DM$93)+1),ROWS($DM$93:DM139)))),"")</f>
        <v/>
      </c>
      <c r="DY139" s="542" t="str">
        <f t="shared" si="74"/>
        <v/>
      </c>
      <c r="DZ139" s="544" t="str">
        <f t="shared" si="75"/>
        <v/>
      </c>
      <c r="EA139" s="544" t="str">
        <f t="shared" si="76"/>
        <v/>
      </c>
      <c r="EB139" s="544" t="str">
        <f t="shared" si="64"/>
        <v/>
      </c>
      <c r="ED139" s="639" t="str">
        <f t="array" ref="ED139">IFERROR(IF(ROWS(DT$93:DT139)&gt;COUNTA($DT$93:$DT$145),"",INDEX($DL$93:$DL$142,SMALL(IF($DT$93:$DT$145&lt;&gt;"",ROW($DT$93:$DT$145)-ROW($DT$93)+1),ROWS($DT$93:DT139)))),"")</f>
        <v/>
      </c>
      <c r="EE139" s="542" t="str">
        <f t="shared" si="68"/>
        <v/>
      </c>
      <c r="EF139" s="544" t="str">
        <f t="shared" si="69"/>
        <v/>
      </c>
      <c r="EG139" s="546" t="str">
        <f t="shared" si="70"/>
        <v/>
      </c>
      <c r="EH139" s="544" t="str">
        <f t="shared" si="71"/>
        <v/>
      </c>
      <c r="EI139" s="544" t="str">
        <f t="shared" si="72"/>
        <v/>
      </c>
      <c r="EL139" s="542">
        <f t="shared" si="65"/>
        <v>0</v>
      </c>
      <c r="EM139" s="542">
        <f t="shared" si="92"/>
        <v>0</v>
      </c>
      <c r="EN139" s="542">
        <f t="shared" si="66"/>
        <v>1</v>
      </c>
      <c r="EO139" s="542">
        <f t="array" ref="EO139">IF(ISNUMBER(DY139),EL139,IF(ISBLANK(DY139),EL139,EL139+$EM$143))+$EN$143</f>
        <v>49</v>
      </c>
      <c r="EP139" t="str">
        <f t="shared" si="67"/>
        <v/>
      </c>
      <c r="EQ139" s="542" t="str">
        <f t="array" ref="EQ139">IFERROR(INDEX($DY$93:$DY$142,MATCH(SMALL($EO$93:$EO$142,ROWS($EQ$93:EQ139)+$EN$143),$EO$93:$EO$142,0)),"")</f>
        <v/>
      </c>
    </row>
    <row r="140" spans="64:147">
      <c r="BL140">
        <f t="shared" si="77"/>
        <v>48</v>
      </c>
      <c r="BM140" s="642" t="str">
        <f t="shared" si="78"/>
        <v/>
      </c>
      <c r="BN140" s="639" t="str">
        <f t="shared" si="79"/>
        <v/>
      </c>
      <c r="BO140" s="639" t="b">
        <f t="shared" si="56"/>
        <v>0</v>
      </c>
      <c r="BP140" s="643" t="str">
        <f t="shared" si="80"/>
        <v/>
      </c>
      <c r="BQ140" s="639" t="str">
        <f>IFERROR(VLOOKUP(BP140,Lookup!AT$6:AU$8,2,FALSE),"")</f>
        <v/>
      </c>
      <c r="BR140" s="639" t="str">
        <f t="shared" si="81"/>
        <v/>
      </c>
      <c r="BS140" s="644">
        <f>SUMIFS(Installations!CV$46:CV$803,Installations!CW$46:CW$803,BM140,Installations!IC$46:IC$803,TRUE,Installations!CU$46:CU$803,"Exist")</f>
        <v>0</v>
      </c>
      <c r="BT140" s="639" t="str">
        <f t="shared" si="57"/>
        <v/>
      </c>
      <c r="BU140" s="645"/>
      <c r="BX140" s="639" t="str">
        <f t="array" ref="BX140">IFERROR(IF(ROWS(BM$93:BM140)&gt;COUNTA($BM$93:$BM$192),"",INDEX($BL$93:$BL$192,SMALL(IF($BM$93:$BM$192&lt;&gt;"",ROW($BM$93:$BM$192)-ROW($BM$93)+1),ROWS($BM$93:BM140)))),"")</f>
        <v/>
      </c>
      <c r="BY140" s="542" t="str">
        <f t="shared" si="82"/>
        <v/>
      </c>
      <c r="BZ140" s="544" t="str">
        <f t="shared" si="83"/>
        <v/>
      </c>
      <c r="CA140" s="544" t="str">
        <f t="shared" si="84"/>
        <v/>
      </c>
      <c r="CD140" s="639" t="str">
        <f t="array" ref="CD140">IFERROR(IF(ROWS(BT$93:BT140)&gt;COUNTA($BT$93:$BT$192),"",INDEX($BL$93:$BL$192,SMALL(IF($BT$93:$BT$192&lt;&gt;"",ROW($BT$93:$BT$192)-ROW($BT$93)+1),ROWS($BT$93:BT140)))),"")</f>
        <v/>
      </c>
      <c r="CE140" s="542" t="str">
        <f t="shared" si="85"/>
        <v/>
      </c>
      <c r="CF140" s="544" t="str">
        <f t="shared" si="86"/>
        <v/>
      </c>
      <c r="CG140" s="544" t="str">
        <f t="shared" si="87"/>
        <v/>
      </c>
      <c r="CI140" s="544">
        <f t="shared" si="58"/>
        <v>0</v>
      </c>
      <c r="CJ140" s="544">
        <f t="shared" si="59"/>
        <v>0</v>
      </c>
      <c r="CK140" s="544">
        <f t="shared" si="60"/>
        <v>1</v>
      </c>
      <c r="CL140" s="544">
        <f t="array" ref="CL140">IF(ISNUMBER(BY140),CI140,IF(ISBLANK(BY140),CI140,CI140+$CJ$143))+$CK$143</f>
        <v>50</v>
      </c>
      <c r="CM140" t="str">
        <f t="shared" si="61"/>
        <v/>
      </c>
      <c r="CN140" s="542" t="str">
        <f t="array" ref="CN140">IFERROR(INDEX($BY$93:$BY$142,MATCH(SMALL($CL$93:$CL$142,ROWS($CM$93:CM140)+$CK$143),$CL$93:$CL$142,0)),"")</f>
        <v/>
      </c>
      <c r="DL140" s="542">
        <v>48</v>
      </c>
      <c r="DM140" s="642" t="str">
        <f t="shared" si="88"/>
        <v/>
      </c>
      <c r="DN140" s="639" t="str">
        <f t="shared" si="62"/>
        <v/>
      </c>
      <c r="DO140" s="639" t="str">
        <f t="shared" si="89"/>
        <v/>
      </c>
      <c r="DP140" s="646">
        <f t="shared" si="90"/>
        <v>0</v>
      </c>
      <c r="DQ140" s="638" t="str">
        <f t="shared" ca="1" si="91"/>
        <v/>
      </c>
      <c r="DR140" s="639">
        <f t="shared" si="73"/>
        <v>0</v>
      </c>
      <c r="DS140" s="639">
        <f>IF(__Retrofit_TI_NC=0,
SUMIFS(Installations!CV$46:CV$803,Installations!CW$46:CW$803,DM140,Installations!IC$46:IC$803,TRUE,Installations!CU$46:CU$803,"New"),
SUMIFS(Installations!CV$46:CV$803,Installations!CW$46:CW$803,DM140,Installations!IC$46:IC$803,TRUE,Installations!CU$46:CU$803,"New")+SUMIF('Building Area Installations'!H$43:H$72,DM140,'Building Area Installations'!O$43:O$72)+SUMIF('Building Area Installations'!H$82:H$111,DM140,'Building Area Installations'!O$82:O$111))</f>
        <v>0</v>
      </c>
      <c r="DT140" s="639" t="str">
        <f t="shared" si="63"/>
        <v/>
      </c>
      <c r="DU140" s="645"/>
      <c r="DX140" s="639" t="str">
        <f t="array" ref="DX140">IFERROR(IF(ROWS(DM$93:DM140)&gt;COUNTA($DM$93:$DM$145),"",INDEX($DL$93:$DL$142,SMALL(IF($DM$93:$DM$145&lt;&gt;"",ROW($DM$93:$DM$145)-ROW($DM$93)+1),ROWS($DM$93:DM140)))),"")</f>
        <v/>
      </c>
      <c r="DY140" s="542" t="str">
        <f t="shared" si="74"/>
        <v/>
      </c>
      <c r="DZ140" s="544" t="str">
        <f t="shared" si="75"/>
        <v/>
      </c>
      <c r="EA140" s="544" t="str">
        <f t="shared" si="76"/>
        <v/>
      </c>
      <c r="EB140" s="544" t="str">
        <f t="shared" si="64"/>
        <v/>
      </c>
      <c r="ED140" s="639" t="str">
        <f t="array" ref="ED140">IFERROR(IF(ROWS(DT$93:DT140)&gt;COUNTA($DT$93:$DT$145),"",INDEX($DL$93:$DL$142,SMALL(IF($DT$93:$DT$145&lt;&gt;"",ROW($DT$93:$DT$145)-ROW($DT$93)+1),ROWS($DT$93:DT140)))),"")</f>
        <v/>
      </c>
      <c r="EE140" s="542" t="str">
        <f t="shared" si="68"/>
        <v/>
      </c>
      <c r="EF140" s="544" t="str">
        <f t="shared" si="69"/>
        <v/>
      </c>
      <c r="EG140" s="546" t="str">
        <f t="shared" si="70"/>
        <v/>
      </c>
      <c r="EH140" s="544" t="str">
        <f t="shared" si="71"/>
        <v/>
      </c>
      <c r="EI140" s="544" t="str">
        <f t="shared" si="72"/>
        <v/>
      </c>
      <c r="EL140" s="542">
        <f t="shared" si="65"/>
        <v>0</v>
      </c>
      <c r="EM140" s="542">
        <f t="shared" si="92"/>
        <v>0</v>
      </c>
      <c r="EN140" s="542">
        <f t="shared" si="66"/>
        <v>1</v>
      </c>
      <c r="EO140" s="542">
        <f t="array" ref="EO140">IF(ISNUMBER(DY140),EL140,IF(ISBLANK(DY140),EL140,EL140+$EM$143))+$EN$143</f>
        <v>49</v>
      </c>
      <c r="EP140" t="str">
        <f t="shared" si="67"/>
        <v/>
      </c>
      <c r="EQ140" s="542" t="str">
        <f t="array" ref="EQ140">IFERROR(INDEX($DY$93:$DY$142,MATCH(SMALL($EO$93:$EO$142,ROWS($EQ$93:EQ140)+$EN$143),$EO$93:$EO$142,0)),"")</f>
        <v/>
      </c>
    </row>
    <row r="141" spans="64:147">
      <c r="BL141">
        <f t="shared" si="77"/>
        <v>49</v>
      </c>
      <c r="BM141" s="642" t="str">
        <f t="shared" si="78"/>
        <v/>
      </c>
      <c r="BN141" s="639" t="str">
        <f t="shared" si="79"/>
        <v/>
      </c>
      <c r="BO141" s="639" t="b">
        <f t="shared" si="56"/>
        <v>0</v>
      </c>
      <c r="BP141" s="643" t="str">
        <f t="shared" si="80"/>
        <v/>
      </c>
      <c r="BQ141" s="639" t="str">
        <f>IFERROR(VLOOKUP(BP141,Lookup!AT$6:AU$8,2,FALSE),"")</f>
        <v/>
      </c>
      <c r="BR141" s="639" t="str">
        <f t="shared" si="81"/>
        <v/>
      </c>
      <c r="BS141" s="644">
        <f>SUMIFS(Installations!CV$46:CV$803,Installations!CW$46:CW$803,BM141,Installations!IC$46:IC$803,TRUE,Installations!CU$46:CU$803,"Exist")</f>
        <v>0</v>
      </c>
      <c r="BT141" s="639" t="str">
        <f t="shared" si="57"/>
        <v/>
      </c>
      <c r="BU141" s="645"/>
      <c r="BX141" s="639" t="str">
        <f t="array" ref="BX141">IFERROR(IF(ROWS(BM$93:BM141)&gt;COUNTA($BM$93:$BM$192),"",INDEX($BL$93:$BL$192,SMALL(IF($BM$93:$BM$192&lt;&gt;"",ROW($BM$93:$BM$192)-ROW($BM$93)+1),ROWS($BM$93:BM141)))),"")</f>
        <v/>
      </c>
      <c r="BY141" s="542" t="str">
        <f t="shared" si="82"/>
        <v/>
      </c>
      <c r="BZ141" s="544" t="str">
        <f t="shared" si="83"/>
        <v/>
      </c>
      <c r="CA141" s="544" t="str">
        <f t="shared" si="84"/>
        <v/>
      </c>
      <c r="CD141" s="639" t="str">
        <f t="array" ref="CD141">IFERROR(IF(ROWS(BT$93:BT141)&gt;COUNTA($BT$93:$BT$192),"",INDEX($BL$93:$BL$192,SMALL(IF($BT$93:$BT$192&lt;&gt;"",ROW($BT$93:$BT$192)-ROW($BT$93)+1),ROWS($BT$93:BT141)))),"")</f>
        <v/>
      </c>
      <c r="CE141" s="542" t="str">
        <f t="shared" si="85"/>
        <v/>
      </c>
      <c r="CF141" s="544" t="str">
        <f t="shared" si="86"/>
        <v/>
      </c>
      <c r="CG141" s="544" t="str">
        <f t="shared" si="87"/>
        <v/>
      </c>
      <c r="CI141" s="544">
        <f t="shared" si="58"/>
        <v>0</v>
      </c>
      <c r="CJ141" s="544">
        <f t="shared" si="59"/>
        <v>0</v>
      </c>
      <c r="CK141" s="544">
        <f t="shared" si="60"/>
        <v>1</v>
      </c>
      <c r="CL141" s="544">
        <f t="array" ref="CL141">IF(ISNUMBER(BY141),CI141,IF(ISBLANK(BY141),CI141,CI141+$CJ$143))+$CK$143</f>
        <v>50</v>
      </c>
      <c r="CM141" t="str">
        <f t="shared" si="61"/>
        <v/>
      </c>
      <c r="CN141" s="542" t="str">
        <f t="array" ref="CN141">IFERROR(INDEX($BY$93:$BY$142,MATCH(SMALL($CL$93:$CL$142,ROWS($CM$93:CM141)+$CK$143),$CL$93:$CL$142,0)),"")</f>
        <v/>
      </c>
      <c r="DL141" s="542">
        <v>49</v>
      </c>
      <c r="DM141" s="642" t="str">
        <f t="shared" si="88"/>
        <v/>
      </c>
      <c r="DN141" s="639" t="str">
        <f t="shared" si="62"/>
        <v/>
      </c>
      <c r="DO141" s="639" t="str">
        <f t="shared" si="89"/>
        <v/>
      </c>
      <c r="DP141" s="646">
        <f t="shared" si="90"/>
        <v>0</v>
      </c>
      <c r="DQ141" s="638" t="str">
        <f t="shared" ca="1" si="91"/>
        <v/>
      </c>
      <c r="DR141" s="639">
        <f t="shared" si="73"/>
        <v>0</v>
      </c>
      <c r="DS141" s="639">
        <f>IF(__Retrofit_TI_NC=0,
SUMIFS(Installations!CV$46:CV$803,Installations!CW$46:CW$803,DM141,Installations!IC$46:IC$803,TRUE,Installations!CU$46:CU$803,"New"),
SUMIFS(Installations!CV$46:CV$803,Installations!CW$46:CW$803,DM141,Installations!IC$46:IC$803,TRUE,Installations!CU$46:CU$803,"New")+SUMIF('Building Area Installations'!H$43:H$72,DM141,'Building Area Installations'!O$43:O$72)+SUMIF('Building Area Installations'!H$82:H$111,DM141,'Building Area Installations'!O$82:O$111))</f>
        <v>0</v>
      </c>
      <c r="DT141" s="639" t="str">
        <f t="shared" si="63"/>
        <v/>
      </c>
      <c r="DU141" s="645"/>
      <c r="DX141" s="639" t="str">
        <f t="array" ref="DX141">IFERROR(IF(ROWS(DM$93:DM141)&gt;COUNTA($DM$93:$DM$145),"",INDEX($DL$93:$DL$142,SMALL(IF($DM$93:$DM$145&lt;&gt;"",ROW($DM$93:$DM$145)-ROW($DM$93)+1),ROWS($DM$93:DM141)))),"")</f>
        <v/>
      </c>
      <c r="DY141" s="542" t="str">
        <f t="shared" si="74"/>
        <v/>
      </c>
      <c r="DZ141" s="544" t="str">
        <f t="shared" si="75"/>
        <v/>
      </c>
      <c r="EA141" s="544" t="str">
        <f t="shared" si="76"/>
        <v/>
      </c>
      <c r="EB141" s="544" t="str">
        <f t="shared" si="64"/>
        <v/>
      </c>
      <c r="ED141" s="639" t="str">
        <f t="array" ref="ED141">IFERROR(IF(ROWS(DT$93:DT141)&gt;COUNTA($DT$93:$DT$145),"",INDEX($DL$93:$DL$142,SMALL(IF($DT$93:$DT$145&lt;&gt;"",ROW($DT$93:$DT$145)-ROW($DT$93)+1),ROWS($DT$93:DT141)))),"")</f>
        <v/>
      </c>
      <c r="EE141" s="542" t="str">
        <f t="shared" si="68"/>
        <v/>
      </c>
      <c r="EF141" s="544" t="str">
        <f t="shared" si="69"/>
        <v/>
      </c>
      <c r="EG141" s="546" t="str">
        <f t="shared" si="70"/>
        <v/>
      </c>
      <c r="EH141" s="544" t="str">
        <f t="shared" si="71"/>
        <v/>
      </c>
      <c r="EI141" s="544" t="str">
        <f t="shared" si="72"/>
        <v/>
      </c>
      <c r="EL141" s="542">
        <f t="shared" si="65"/>
        <v>0</v>
      </c>
      <c r="EM141" s="542">
        <f t="shared" si="92"/>
        <v>0</v>
      </c>
      <c r="EN141" s="542">
        <f t="shared" si="66"/>
        <v>1</v>
      </c>
      <c r="EO141" s="542">
        <f t="array" ref="EO141">IF(ISNUMBER(DY141),EL141,IF(ISBLANK(DY141),EL141,EL141+$EM$143))+$EN$143</f>
        <v>49</v>
      </c>
      <c r="EP141" t="str">
        <f t="shared" si="67"/>
        <v/>
      </c>
      <c r="EQ141" s="542" t="str">
        <f t="array" ref="EQ141">IFERROR(INDEX($DY$93:$DY$142,MATCH(SMALL($EO$93:$EO$142,ROWS($EQ$93:EQ141)+$EN$143),$EO$93:$EO$142,0)),"")</f>
        <v/>
      </c>
    </row>
    <row r="142" spans="64:147">
      <c r="BL142">
        <f t="shared" si="77"/>
        <v>50</v>
      </c>
      <c r="BM142" s="642" t="str">
        <f t="shared" si="78"/>
        <v/>
      </c>
      <c r="BN142" s="639" t="str">
        <f t="shared" si="79"/>
        <v/>
      </c>
      <c r="BO142" s="639" t="b">
        <f t="shared" si="56"/>
        <v>0</v>
      </c>
      <c r="BP142" s="643" t="str">
        <f t="shared" si="80"/>
        <v/>
      </c>
      <c r="BQ142" s="639" t="str">
        <f>IFERROR(VLOOKUP(BP142,Lookup!AT$6:AU$8,2,FALSE),"")</f>
        <v/>
      </c>
      <c r="BR142" s="639" t="str">
        <f t="shared" si="81"/>
        <v/>
      </c>
      <c r="BS142" s="644">
        <f>SUMIFS(Installations!CV$46:CV$803,Installations!CW$46:CW$803,BM142,Installations!IC$46:IC$803,TRUE,Installations!CU$46:CU$803,"Exist")</f>
        <v>0</v>
      </c>
      <c r="BT142" s="639" t="str">
        <f t="shared" si="57"/>
        <v/>
      </c>
      <c r="BU142" s="645"/>
      <c r="BX142" s="639" t="str">
        <f t="array" ref="BX142">IFERROR(IF(ROWS(BM$93:BM142)&gt;COUNTA($BM$93:$BM$192),"",INDEX($BL$93:$BL$192,SMALL(IF($BM$93:$BM$192&lt;&gt;"",ROW($BM$93:$BM$192)-ROW($BM$93)+1),ROWS($BM$93:BM142)))),"")</f>
        <v/>
      </c>
      <c r="BY142" s="542" t="str">
        <f t="shared" si="82"/>
        <v/>
      </c>
      <c r="BZ142" s="544" t="str">
        <f t="shared" si="83"/>
        <v/>
      </c>
      <c r="CA142" s="544" t="str">
        <f t="shared" si="84"/>
        <v/>
      </c>
      <c r="CD142" s="639" t="str">
        <f t="array" ref="CD142">IFERROR(IF(ROWS(BT$93:BT142)&gt;COUNTA($BT$93:$BT$192),"",INDEX($BL$93:$BL$192,SMALL(IF($BT$93:$BT$192&lt;&gt;"",ROW($BT$93:$BT$192)-ROW($BT$93)+1),ROWS($BT$93:BT142)))),"")</f>
        <v/>
      </c>
      <c r="CE142" s="542" t="str">
        <f t="shared" si="85"/>
        <v/>
      </c>
      <c r="CF142" s="544" t="str">
        <f t="shared" si="86"/>
        <v/>
      </c>
      <c r="CG142" s="544" t="str">
        <f t="shared" si="87"/>
        <v/>
      </c>
      <c r="CI142" s="544">
        <f t="shared" si="58"/>
        <v>0</v>
      </c>
      <c r="CJ142" s="544">
        <f t="shared" si="59"/>
        <v>0</v>
      </c>
      <c r="CK142" s="544">
        <f t="shared" si="60"/>
        <v>1</v>
      </c>
      <c r="CL142" s="544">
        <f t="array" ref="CL142">IF(ISNUMBER(BY142),CI142,IF(ISBLANK(BY142),CI142,CI142+$CJ$143))+$CK$143</f>
        <v>50</v>
      </c>
      <c r="CM142" t="str">
        <f t="shared" si="61"/>
        <v/>
      </c>
      <c r="CN142" s="542" t="str">
        <f t="array" ref="CN142">IFERROR(INDEX($BY$93:$BY$142,MATCH(SMALL($CL$93:$CL$142,ROWS($CM$93:CM142)+$CK$143),$CL$93:$CL$142,0)),"")</f>
        <v/>
      </c>
      <c r="DL142" s="542">
        <v>50</v>
      </c>
      <c r="DM142" s="642" t="str">
        <f t="shared" si="88"/>
        <v>08 Other Interior Fixture Removed, (1) Existing #Removed</v>
      </c>
      <c r="DN142" s="639">
        <f t="shared" si="62"/>
        <v>0</v>
      </c>
      <c r="DO142" s="639">
        <f t="shared" si="89"/>
        <v>10</v>
      </c>
      <c r="DP142" s="646">
        <f t="shared" si="90"/>
        <v>0</v>
      </c>
      <c r="DQ142" s="638" t="str">
        <f t="shared" ca="1" si="91"/>
        <v/>
      </c>
      <c r="DR142" s="639">
        <f t="shared" si="73"/>
        <v>0</v>
      </c>
      <c r="DS142" s="639">
        <f>IF(__Retrofit_TI_NC=0,
SUMIFS(Installations!CV$46:CV$803,Installations!CW$46:CW$803,DM142,Installations!IC$46:IC$803,TRUE,Installations!CU$46:CU$803,"New"),
SUMIFS(Installations!CV$46:CV$803,Installations!CW$46:CW$803,DM142,Installations!IC$46:IC$803,TRUE,Installations!CU$46:CU$803,"New")+SUMIF('Building Area Installations'!H$43:H$72,DM142,'Building Area Installations'!O$43:O$72)+SUMIF('Building Area Installations'!H$82:H$111,DM142,'Building Area Installations'!O$82:O$111))</f>
        <v>0</v>
      </c>
      <c r="DT142" s="639" t="str">
        <f t="shared" si="63"/>
        <v/>
      </c>
      <c r="DU142" s="645"/>
      <c r="DX142" s="639" t="str">
        <f t="array" ref="DX142">IFERROR(IF(ROWS(DM$93:DM142)&gt;COUNTA($DM$93:$DM$145),"",INDEX($DL$93:$DL$142,SMALL(IF($DM$93:$DM$145&lt;&gt;"",ROW($DM$93:$DM$145)-ROW($DM$93)+1),ROWS($DM$93:DM142)))),"")</f>
        <v/>
      </c>
      <c r="DY142" s="542" t="str">
        <f t="shared" si="74"/>
        <v/>
      </c>
      <c r="DZ142" s="544" t="str">
        <f t="shared" si="75"/>
        <v/>
      </c>
      <c r="EA142" s="544" t="str">
        <f t="shared" si="76"/>
        <v/>
      </c>
      <c r="EB142" s="544" t="str">
        <f t="shared" si="64"/>
        <v/>
      </c>
      <c r="ED142" s="639" t="str">
        <f t="array" ref="ED142">IFERROR(IF(ROWS(DT$93:DT142)&gt;COUNTA($DT$93:$DT$145),"",INDEX($DL$93:$DL$142,SMALL(IF($DT$93:$DT$145&lt;&gt;"",ROW($DT$93:$DT$145)-ROW($DT$93)+1),ROWS($DT$93:DT142)))),"")</f>
        <v/>
      </c>
      <c r="EE142" s="542" t="str">
        <f t="shared" si="68"/>
        <v/>
      </c>
      <c r="EF142" s="544" t="str">
        <f t="shared" si="69"/>
        <v/>
      </c>
      <c r="EG142" s="546" t="str">
        <f t="shared" si="70"/>
        <v/>
      </c>
      <c r="EH142" s="544" t="str">
        <f t="shared" si="71"/>
        <v/>
      </c>
      <c r="EI142" s="544" t="str">
        <f t="shared" si="72"/>
        <v/>
      </c>
      <c r="EL142" s="542">
        <f t="shared" si="65"/>
        <v>0</v>
      </c>
      <c r="EM142" s="542">
        <f t="shared" si="92"/>
        <v>0</v>
      </c>
      <c r="EN142" s="542">
        <f t="shared" si="66"/>
        <v>1</v>
      </c>
      <c r="EO142" s="542">
        <f t="array" ref="EO142">IF(ISNUMBER(DY142),EL142,IF(ISBLANK(DY142),EL142,EL142+$EM$143))+$EN$143</f>
        <v>49</v>
      </c>
      <c r="EP142" t="str">
        <f t="shared" si="67"/>
        <v/>
      </c>
      <c r="EQ142" s="542" t="str">
        <f t="array" ref="EQ142">IFERROR(INDEX($DY$93:$DY$142,MATCH(SMALL($EO$93:$EO$142,ROWS($EQ$93:EQ142)+$EN$143),$EO$93:$EO$142,0)),"")</f>
        <v/>
      </c>
    </row>
    <row r="143" spans="64:147">
      <c r="BL143">
        <v>51</v>
      </c>
      <c r="BM143" s="638" t="str">
        <f>IF(DM27="Yes",DN27,"")</f>
        <v/>
      </c>
      <c r="BN143" s="639" t="str">
        <f t="shared" ref="BN143:BN192" si="93">IF(DM27="Yes",ET27,"")</f>
        <v/>
      </c>
      <c r="BO143" s="639" t="b">
        <f>FA27</f>
        <v>0</v>
      </c>
      <c r="BP143" s="643" t="str">
        <f t="shared" ref="BP143:BP174" si="94">IF(BO143=TRUE,EB27,"")</f>
        <v/>
      </c>
      <c r="BQ143" s="639" t="str">
        <f>IFERROR(VLOOKUP(BP143,Lookup!AT$6:AU$8,2,FALSE),"")</f>
        <v/>
      </c>
      <c r="BR143" s="639" t="str">
        <f>ET27</f>
        <v/>
      </c>
      <c r="BS143" s="644">
        <f>SUMIFS(Installations!CV$46:CV$803,Installations!CW$46:CW$803,BM143,Installations!IC$46:IC$803,TRUE,Installations!CU$46:CU$803,"Exist")</f>
        <v>0</v>
      </c>
      <c r="BT143" s="639" t="str">
        <f t="shared" si="57"/>
        <v/>
      </c>
      <c r="BU143" s="645"/>
      <c r="BX143" t="str">
        <f t="array" ref="BX143">IFERROR(IF(ROWS(BM$93:BM143)&gt;COUNTA($BM$93:$BM$192),"",INDEX($BL$93:$BL$192,SMALL(IF($BM$93:$BM$192&lt;&gt;"",ROW($BM$93:$BM$192)-ROW($BM$93)+1),ROWS($BM$93:BM143)))),"")</f>
        <v/>
      </c>
      <c r="BY143" t="str">
        <f t="shared" ref="BY143:BY174" si="95">IFERROR(VLOOKUP(BX143,BL$93:BM$192,2,FALSE),"")</f>
        <v/>
      </c>
      <c r="CF143" t="str">
        <f t="shared" ref="CF143:CF174" si="96">VLOOKUP(BY143,BM$93:BN$192,2,FALSE)</f>
        <v/>
      </c>
      <c r="CJ143" s="544">
        <f>SUM(CJ93:CJ142)</f>
        <v>0</v>
      </c>
      <c r="CK143" s="544">
        <f>SUM(CK93:CK142)</f>
        <v>50</v>
      </c>
      <c r="EM143" s="542">
        <f>SUM(EM93:EM142)</f>
        <v>0</v>
      </c>
      <c r="EN143" s="542">
        <f>SUM(EN93:EN142)</f>
        <v>49</v>
      </c>
    </row>
    <row r="144" spans="64:147">
      <c r="BL144">
        <v>52</v>
      </c>
      <c r="BM144" s="638" t="str">
        <f t="shared" ref="BM144:BM168" si="97">IF(DM28="Yes",DN28,"")</f>
        <v/>
      </c>
      <c r="BN144" s="639" t="str">
        <f t="shared" si="93"/>
        <v/>
      </c>
      <c r="BO144" s="639" t="b">
        <f t="shared" ref="BO144:BO192" si="98">FA28</f>
        <v>0</v>
      </c>
      <c r="BP144" s="643" t="str">
        <f t="shared" si="94"/>
        <v/>
      </c>
      <c r="BQ144" s="639" t="str">
        <f>IFERROR(VLOOKUP(BP144,Lookup!AT$6:AU$8,2,FALSE),"")</f>
        <v/>
      </c>
      <c r="BR144" s="639" t="str">
        <f t="shared" ref="BR144:BR192" si="99">ET28</f>
        <v/>
      </c>
      <c r="BS144" s="644">
        <f>SUMIFS(Installations!CV$46:CV$803,Installations!CW$46:CW$803,BM144,Installations!IC$46:IC$803,TRUE,Installations!CU$46:CU$803,"Exist")</f>
        <v>0</v>
      </c>
      <c r="BT144" s="639" t="str">
        <f t="shared" si="57"/>
        <v/>
      </c>
      <c r="BU144" s="645"/>
      <c r="BX144" t="str">
        <f t="array" ref="BX144">IFERROR(IF(ROWS(BM$93:BM144)&gt;COUNTA($BM$93:$BM$192),"",INDEX($BL$93:$BL$192,SMALL(IF($BM$93:$BM$192&lt;&gt;"",ROW($BM$93:$BM$192)-ROW($BM$93)+1),ROWS($BM$93:BM144)))),"")</f>
        <v/>
      </c>
      <c r="BY144" t="str">
        <f t="shared" si="95"/>
        <v/>
      </c>
      <c r="CF144" t="str">
        <f t="shared" si="96"/>
        <v/>
      </c>
    </row>
    <row r="145" spans="64:84">
      <c r="BL145">
        <v>53</v>
      </c>
      <c r="BM145" s="638" t="str">
        <f t="shared" si="97"/>
        <v/>
      </c>
      <c r="BN145" s="639" t="str">
        <f t="shared" si="93"/>
        <v/>
      </c>
      <c r="BO145" s="639" t="b">
        <f t="shared" si="98"/>
        <v>0</v>
      </c>
      <c r="BP145" s="643" t="str">
        <f t="shared" si="94"/>
        <v/>
      </c>
      <c r="BQ145" s="639" t="str">
        <f>IFERROR(VLOOKUP(BP145,Lookup!AT$6:AU$8,2,FALSE),"")</f>
        <v/>
      </c>
      <c r="BR145" s="639" t="str">
        <f t="shared" si="99"/>
        <v/>
      </c>
      <c r="BS145" s="644">
        <f>SUMIFS(Installations!CV$46:CV$803,Installations!CW$46:CW$803,BM145,Installations!IC$46:IC$803,TRUE,Installations!CU$46:CU$803,"Exist")</f>
        <v>0</v>
      </c>
      <c r="BT145" s="639" t="str">
        <f t="shared" si="57"/>
        <v/>
      </c>
      <c r="BU145" s="645"/>
      <c r="BX145" t="str">
        <f t="array" ref="BX145">IFERROR(IF(ROWS(BM$93:BM145)&gt;COUNTA($BM$93:$BM$192),"",INDEX($BL$93:$BL$192,SMALL(IF($BM$93:$BM$192&lt;&gt;"",ROW($BM$93:$BM$192)-ROW($BM$93)+1),ROWS($BM$93:BM145)))),"")</f>
        <v/>
      </c>
      <c r="BY145" t="str">
        <f t="shared" si="95"/>
        <v/>
      </c>
      <c r="CF145" t="str">
        <f t="shared" si="96"/>
        <v/>
      </c>
    </row>
    <row r="146" spans="64:84">
      <c r="BL146">
        <v>54</v>
      </c>
      <c r="BM146" s="638" t="str">
        <f t="shared" si="97"/>
        <v/>
      </c>
      <c r="BN146" s="639" t="str">
        <f t="shared" si="93"/>
        <v/>
      </c>
      <c r="BO146" s="639" t="b">
        <f t="shared" si="98"/>
        <v>0</v>
      </c>
      <c r="BP146" s="643" t="str">
        <f t="shared" si="94"/>
        <v/>
      </c>
      <c r="BQ146" s="639" t="str">
        <f>IFERROR(VLOOKUP(BP146,Lookup!AT$6:AU$8,2,FALSE),"")</f>
        <v/>
      </c>
      <c r="BR146" s="639" t="str">
        <f t="shared" si="99"/>
        <v/>
      </c>
      <c r="BS146" s="644">
        <f>SUMIFS(Installations!CV$46:CV$803,Installations!CW$46:CW$803,BM146,Installations!IC$46:IC$803,TRUE,Installations!CU$46:CU$803,"Exist")</f>
        <v>0</v>
      </c>
      <c r="BT146" s="639" t="str">
        <f t="shared" si="57"/>
        <v/>
      </c>
      <c r="BU146" s="645"/>
      <c r="BX146" t="str">
        <f t="array" ref="BX146">IFERROR(IF(ROWS(BM$93:BM146)&gt;COUNTA($BM$93:$BM$192),"",INDEX($BL$93:$BL$192,SMALL(IF($BM$93:$BM$192&lt;&gt;"",ROW($BM$93:$BM$192)-ROW($BM$93)+1),ROWS($BM$93:BM146)))),"")</f>
        <v/>
      </c>
      <c r="BY146" t="str">
        <f t="shared" si="95"/>
        <v/>
      </c>
      <c r="CF146" t="str">
        <f t="shared" si="96"/>
        <v/>
      </c>
    </row>
    <row r="147" spans="64:84">
      <c r="BL147">
        <v>55</v>
      </c>
      <c r="BM147" s="638" t="str">
        <f t="shared" si="97"/>
        <v/>
      </c>
      <c r="BN147" s="639" t="str">
        <f t="shared" si="93"/>
        <v/>
      </c>
      <c r="BO147" s="639" t="b">
        <f t="shared" si="98"/>
        <v>0</v>
      </c>
      <c r="BP147" s="643" t="str">
        <f t="shared" si="94"/>
        <v/>
      </c>
      <c r="BQ147" s="639" t="str">
        <f>IFERROR(VLOOKUP(BP147,Lookup!AT$6:AU$8,2,FALSE),"")</f>
        <v/>
      </c>
      <c r="BR147" s="639" t="str">
        <f t="shared" si="99"/>
        <v/>
      </c>
      <c r="BS147" s="644">
        <f>SUMIFS(Installations!CV$46:CV$803,Installations!CW$46:CW$803,BM147,Installations!IC$46:IC$803,TRUE,Installations!CU$46:CU$803,"Exist")</f>
        <v>0</v>
      </c>
      <c r="BT147" s="639" t="str">
        <f t="shared" si="57"/>
        <v/>
      </c>
      <c r="BU147" s="645"/>
      <c r="BX147" t="str">
        <f t="array" ref="BX147">IFERROR(IF(ROWS(BM$93:BM147)&gt;COUNTA($BM$93:$BM$192),"",INDEX($BL$93:$BL$192,SMALL(IF($BM$93:$BM$192&lt;&gt;"",ROW($BM$93:$BM$192)-ROW($BM$93)+1),ROWS($BM$93:BM147)))),"")</f>
        <v/>
      </c>
      <c r="BY147" t="str">
        <f t="shared" si="95"/>
        <v/>
      </c>
      <c r="CF147" t="str">
        <f t="shared" si="96"/>
        <v/>
      </c>
    </row>
    <row r="148" spans="64:84">
      <c r="BL148">
        <v>56</v>
      </c>
      <c r="BM148" s="638" t="str">
        <f t="shared" si="97"/>
        <v/>
      </c>
      <c r="BN148" s="639" t="str">
        <f>IF(DM32="Yes",ET32,"")</f>
        <v/>
      </c>
      <c r="BO148" s="639" t="b">
        <f t="shared" si="98"/>
        <v>0</v>
      </c>
      <c r="BP148" s="643" t="str">
        <f t="shared" si="94"/>
        <v/>
      </c>
      <c r="BQ148" s="639" t="str">
        <f>IFERROR(VLOOKUP(BP148,Lookup!AT$6:AU$8,2,FALSE),"")</f>
        <v/>
      </c>
      <c r="BR148" s="639" t="str">
        <f t="shared" si="99"/>
        <v/>
      </c>
      <c r="BS148" s="644">
        <f>SUMIFS(Installations!CV$46:CV$803,Installations!CW$46:CW$803,BM148,Installations!IC$46:IC$803,TRUE,Installations!CU$46:CU$803,"Exist")</f>
        <v>0</v>
      </c>
      <c r="BT148" s="639" t="str">
        <f t="shared" si="57"/>
        <v/>
      </c>
      <c r="BU148" s="645"/>
      <c r="BX148" t="str">
        <f t="array" ref="BX148">IFERROR(IF(ROWS(BM$93:BM148)&gt;COUNTA($BM$93:$BM$192),"",INDEX($BL$93:$BL$192,SMALL(IF($BM$93:$BM$192&lt;&gt;"",ROW($BM$93:$BM$192)-ROW($BM$93)+1),ROWS($BM$93:BM148)))),"")</f>
        <v/>
      </c>
      <c r="BY148" t="str">
        <f t="shared" si="95"/>
        <v/>
      </c>
      <c r="CF148" t="str">
        <f t="shared" si="96"/>
        <v/>
      </c>
    </row>
    <row r="149" spans="64:84">
      <c r="BL149">
        <v>57</v>
      </c>
      <c r="BM149" s="638" t="str">
        <f t="shared" si="97"/>
        <v/>
      </c>
      <c r="BN149" s="639" t="str">
        <f t="shared" si="93"/>
        <v/>
      </c>
      <c r="BO149" s="639" t="b">
        <f t="shared" si="98"/>
        <v>0</v>
      </c>
      <c r="BP149" s="643" t="str">
        <f t="shared" si="94"/>
        <v/>
      </c>
      <c r="BQ149" s="639" t="str">
        <f>IFERROR(VLOOKUP(BP149,Lookup!AT$6:AU$8,2,FALSE),"")</f>
        <v/>
      </c>
      <c r="BR149" s="639" t="str">
        <f t="shared" si="99"/>
        <v/>
      </c>
      <c r="BS149" s="644">
        <f>SUMIFS(Installations!CV$46:CV$803,Installations!CW$46:CW$803,BM149,Installations!IC$46:IC$803,TRUE,Installations!CU$46:CU$803,"Exist")</f>
        <v>0</v>
      </c>
      <c r="BT149" s="639" t="str">
        <f t="shared" si="57"/>
        <v/>
      </c>
      <c r="BU149" s="645"/>
      <c r="BY149" t="str">
        <f t="shared" si="95"/>
        <v/>
      </c>
      <c r="CF149" t="str">
        <f t="shared" si="96"/>
        <v/>
      </c>
    </row>
    <row r="150" spans="64:84">
      <c r="BL150">
        <v>58</v>
      </c>
      <c r="BM150" s="638" t="str">
        <f t="shared" si="97"/>
        <v/>
      </c>
      <c r="BN150" s="639" t="str">
        <f t="shared" si="93"/>
        <v/>
      </c>
      <c r="BO150" s="639" t="b">
        <f t="shared" si="98"/>
        <v>0</v>
      </c>
      <c r="BP150" s="643" t="str">
        <f t="shared" si="94"/>
        <v/>
      </c>
      <c r="BQ150" s="639" t="str">
        <f>IFERROR(VLOOKUP(BP150,Lookup!AT$6:AU$8,2,FALSE),"")</f>
        <v/>
      </c>
      <c r="BR150" s="639" t="str">
        <f t="shared" si="99"/>
        <v/>
      </c>
      <c r="BS150" s="644">
        <f>SUMIFS(Installations!CV$46:CV$803,Installations!CW$46:CW$803,BM150,Installations!IC$46:IC$803,TRUE,Installations!CU$46:CU$803,"Exist")</f>
        <v>0</v>
      </c>
      <c r="BT150" s="639" t="str">
        <f t="shared" si="57"/>
        <v/>
      </c>
      <c r="BU150" s="645"/>
      <c r="BY150" t="str">
        <f t="shared" si="95"/>
        <v/>
      </c>
      <c r="CF150" t="str">
        <f t="shared" si="96"/>
        <v/>
      </c>
    </row>
    <row r="151" spans="64:84">
      <c r="BL151">
        <v>59</v>
      </c>
      <c r="BM151" s="638" t="str">
        <f t="shared" si="97"/>
        <v/>
      </c>
      <c r="BN151" s="639" t="str">
        <f t="shared" si="93"/>
        <v/>
      </c>
      <c r="BO151" s="639" t="b">
        <f t="shared" si="98"/>
        <v>0</v>
      </c>
      <c r="BP151" s="643" t="str">
        <f t="shared" si="94"/>
        <v/>
      </c>
      <c r="BQ151" s="639" t="str">
        <f>IFERROR(VLOOKUP(BP151,Lookup!AT$6:AU$8,2,FALSE),"")</f>
        <v/>
      </c>
      <c r="BR151" s="639" t="str">
        <f t="shared" si="99"/>
        <v/>
      </c>
      <c r="BS151" s="644">
        <f>SUMIFS(Installations!CV$46:CV$803,Installations!CW$46:CW$803,BM151,Installations!IC$46:IC$803,TRUE,Installations!CU$46:CU$803,"Exist")</f>
        <v>0</v>
      </c>
      <c r="BT151" s="639" t="str">
        <f t="shared" si="57"/>
        <v/>
      </c>
      <c r="BU151" s="645"/>
      <c r="BY151" t="str">
        <f t="shared" si="95"/>
        <v/>
      </c>
      <c r="CF151" t="str">
        <f t="shared" si="96"/>
        <v/>
      </c>
    </row>
    <row r="152" spans="64:84">
      <c r="BL152">
        <v>60</v>
      </c>
      <c r="BM152" s="638" t="str">
        <f t="shared" si="97"/>
        <v/>
      </c>
      <c r="BN152" s="639" t="str">
        <f t="shared" si="93"/>
        <v/>
      </c>
      <c r="BO152" s="639" t="b">
        <f t="shared" si="98"/>
        <v>0</v>
      </c>
      <c r="BP152" s="643" t="str">
        <f t="shared" si="94"/>
        <v/>
      </c>
      <c r="BQ152" s="639" t="str">
        <f>IFERROR(VLOOKUP(BP152,Lookup!AT$6:AU$8,2,FALSE),"")</f>
        <v/>
      </c>
      <c r="BR152" s="639" t="str">
        <f t="shared" si="99"/>
        <v/>
      </c>
      <c r="BS152" s="644">
        <f>SUMIFS(Installations!CV$46:CV$803,Installations!CW$46:CW$803,BM152,Installations!IC$46:IC$803,TRUE,Installations!CU$46:CU$803,"Exist")</f>
        <v>0</v>
      </c>
      <c r="BT152" s="639" t="str">
        <f t="shared" si="57"/>
        <v/>
      </c>
      <c r="BU152" s="645"/>
      <c r="BY152" t="str">
        <f t="shared" si="95"/>
        <v/>
      </c>
      <c r="CF152" t="str">
        <f t="shared" si="96"/>
        <v/>
      </c>
    </row>
    <row r="153" spans="64:84">
      <c r="BL153">
        <v>61</v>
      </c>
      <c r="BM153" s="638" t="str">
        <f t="shared" si="97"/>
        <v/>
      </c>
      <c r="BN153" s="639" t="str">
        <f t="shared" si="93"/>
        <v/>
      </c>
      <c r="BO153" s="639" t="b">
        <f t="shared" si="98"/>
        <v>0</v>
      </c>
      <c r="BP153" s="643" t="str">
        <f t="shared" si="94"/>
        <v/>
      </c>
      <c r="BQ153" s="639" t="str">
        <f>IFERROR(VLOOKUP(BP153,Lookup!AT$6:AU$8,2,FALSE),"")</f>
        <v/>
      </c>
      <c r="BR153" s="639" t="str">
        <f t="shared" si="99"/>
        <v/>
      </c>
      <c r="BS153" s="644">
        <f>SUMIFS(Installations!CV$46:CV$803,Installations!CW$46:CW$803,BM153,Installations!IC$46:IC$803,TRUE,Installations!CU$46:CU$803,"Exist")</f>
        <v>0</v>
      </c>
      <c r="BT153" s="639" t="str">
        <f t="shared" si="57"/>
        <v/>
      </c>
      <c r="BU153" s="645"/>
      <c r="BY153" t="str">
        <f t="shared" si="95"/>
        <v/>
      </c>
      <c r="CF153" t="str">
        <f t="shared" si="96"/>
        <v/>
      </c>
    </row>
    <row r="154" spans="64:84">
      <c r="BL154">
        <v>62</v>
      </c>
      <c r="BM154" s="638" t="str">
        <f t="shared" si="97"/>
        <v/>
      </c>
      <c r="BN154" s="639" t="str">
        <f t="shared" si="93"/>
        <v/>
      </c>
      <c r="BO154" s="639" t="b">
        <f t="shared" si="98"/>
        <v>0</v>
      </c>
      <c r="BP154" s="643" t="str">
        <f t="shared" si="94"/>
        <v/>
      </c>
      <c r="BQ154" s="639" t="str">
        <f>IFERROR(VLOOKUP(BP154,Lookup!AT$6:AU$8,2,FALSE),"")</f>
        <v/>
      </c>
      <c r="BR154" s="639" t="str">
        <f t="shared" si="99"/>
        <v/>
      </c>
      <c r="BS154" s="644">
        <f>SUMIFS(Installations!CV$46:CV$803,Installations!CW$46:CW$803,BM154,Installations!IC$46:IC$803,TRUE,Installations!CU$46:CU$803,"Exist")</f>
        <v>0</v>
      </c>
      <c r="BT154" s="639" t="str">
        <f t="shared" si="57"/>
        <v/>
      </c>
      <c r="BU154" s="645"/>
      <c r="BY154" t="str">
        <f t="shared" si="95"/>
        <v/>
      </c>
      <c r="CF154" t="str">
        <f t="shared" si="96"/>
        <v/>
      </c>
    </row>
    <row r="155" spans="64:84">
      <c r="BL155">
        <v>63</v>
      </c>
      <c r="BM155" s="638" t="str">
        <f t="shared" si="97"/>
        <v/>
      </c>
      <c r="BN155" s="639" t="str">
        <f t="shared" si="93"/>
        <v/>
      </c>
      <c r="BO155" s="639" t="b">
        <f t="shared" si="98"/>
        <v>0</v>
      </c>
      <c r="BP155" s="643" t="str">
        <f t="shared" si="94"/>
        <v/>
      </c>
      <c r="BQ155" s="639" t="str">
        <f>IFERROR(VLOOKUP(BP155,Lookup!AT$6:AU$8,2,FALSE),"")</f>
        <v/>
      </c>
      <c r="BR155" s="639" t="str">
        <f t="shared" si="99"/>
        <v/>
      </c>
      <c r="BS155" s="644">
        <f>SUMIFS(Installations!CV$46:CV$803,Installations!CW$46:CW$803,BM155,Installations!IC$46:IC$803,TRUE,Installations!CU$46:CU$803,"Exist")</f>
        <v>0</v>
      </c>
      <c r="BT155" s="639" t="str">
        <f t="shared" si="57"/>
        <v/>
      </c>
      <c r="BU155" s="645"/>
      <c r="BY155" t="str">
        <f t="shared" si="95"/>
        <v/>
      </c>
      <c r="CF155" t="str">
        <f t="shared" si="96"/>
        <v/>
      </c>
    </row>
    <row r="156" spans="64:84">
      <c r="BL156">
        <v>64</v>
      </c>
      <c r="BM156" s="638" t="str">
        <f t="shared" si="97"/>
        <v/>
      </c>
      <c r="BN156" s="639" t="str">
        <f t="shared" si="93"/>
        <v/>
      </c>
      <c r="BO156" s="639" t="b">
        <f t="shared" si="98"/>
        <v>0</v>
      </c>
      <c r="BP156" s="643" t="str">
        <f t="shared" si="94"/>
        <v/>
      </c>
      <c r="BQ156" s="639" t="str">
        <f>IFERROR(VLOOKUP(BP156,Lookup!AT$6:AU$8,2,FALSE),"")</f>
        <v/>
      </c>
      <c r="BR156" s="639" t="str">
        <f t="shared" si="99"/>
        <v/>
      </c>
      <c r="BS156" s="644">
        <f>SUMIFS(Installations!CV$46:CV$803,Installations!CW$46:CW$803,BM156,Installations!IC$46:IC$803,TRUE,Installations!CU$46:CU$803,"Exist")</f>
        <v>0</v>
      </c>
      <c r="BT156" s="639" t="str">
        <f t="shared" si="57"/>
        <v/>
      </c>
      <c r="BU156" s="645"/>
      <c r="BY156" t="str">
        <f t="shared" si="95"/>
        <v/>
      </c>
      <c r="CF156" t="str">
        <f t="shared" si="96"/>
        <v/>
      </c>
    </row>
    <row r="157" spans="64:84">
      <c r="BL157">
        <v>65</v>
      </c>
      <c r="BM157" s="638" t="str">
        <f t="shared" si="97"/>
        <v/>
      </c>
      <c r="BN157" s="639" t="str">
        <f t="shared" si="93"/>
        <v/>
      </c>
      <c r="BO157" s="639" t="b">
        <f t="shared" si="98"/>
        <v>0</v>
      </c>
      <c r="BP157" s="643" t="str">
        <f t="shared" si="94"/>
        <v/>
      </c>
      <c r="BQ157" s="639" t="str">
        <f>IFERROR(VLOOKUP(BP157,Lookup!AT$6:AU$8,2,FALSE),"")</f>
        <v/>
      </c>
      <c r="BR157" s="639" t="str">
        <f t="shared" si="99"/>
        <v/>
      </c>
      <c r="BS157" s="644">
        <f>SUMIFS(Installations!CV$46:CV$803,Installations!CW$46:CW$803,BM157,Installations!IC$46:IC$803,TRUE,Installations!CU$46:CU$803,"Exist")</f>
        <v>0</v>
      </c>
      <c r="BT157" s="639" t="str">
        <f t="shared" si="57"/>
        <v/>
      </c>
      <c r="BU157" s="645"/>
      <c r="BY157" t="str">
        <f t="shared" si="95"/>
        <v/>
      </c>
      <c r="CF157" t="str">
        <f t="shared" si="96"/>
        <v/>
      </c>
    </row>
    <row r="158" spans="64:84">
      <c r="BL158">
        <v>66</v>
      </c>
      <c r="BM158" s="638" t="str">
        <f t="shared" si="97"/>
        <v/>
      </c>
      <c r="BN158" s="639" t="str">
        <f t="shared" si="93"/>
        <v/>
      </c>
      <c r="BO158" s="639" t="b">
        <f t="shared" si="98"/>
        <v>0</v>
      </c>
      <c r="BP158" s="643" t="str">
        <f t="shared" si="94"/>
        <v/>
      </c>
      <c r="BQ158" s="639" t="str">
        <f>IFERROR(VLOOKUP(BP158,Lookup!AT$6:AU$8,2,FALSE),"")</f>
        <v/>
      </c>
      <c r="BR158" s="639" t="str">
        <f t="shared" si="99"/>
        <v/>
      </c>
      <c r="BS158" s="644">
        <f>SUMIFS(Installations!CV$46:CV$803,Installations!CW$46:CW$803,BM158,Installations!IC$46:IC$803,TRUE,Installations!CU$46:CU$803,"Exist")</f>
        <v>0</v>
      </c>
      <c r="BT158" s="639" t="str">
        <f t="shared" ref="BT158:BT192" si="100">IF(BS158=0,"",BL158)</f>
        <v/>
      </c>
      <c r="BU158" s="645"/>
      <c r="BY158" t="str">
        <f t="shared" si="95"/>
        <v/>
      </c>
      <c r="CF158" t="str">
        <f t="shared" si="96"/>
        <v/>
      </c>
    </row>
    <row r="159" spans="64:84">
      <c r="BL159">
        <v>67</v>
      </c>
      <c r="BM159" s="638" t="str">
        <f t="shared" si="97"/>
        <v/>
      </c>
      <c r="BN159" s="639" t="str">
        <f t="shared" si="93"/>
        <v/>
      </c>
      <c r="BO159" s="639" t="b">
        <f t="shared" si="98"/>
        <v>0</v>
      </c>
      <c r="BP159" s="643" t="str">
        <f t="shared" si="94"/>
        <v/>
      </c>
      <c r="BQ159" s="639" t="str">
        <f>IFERROR(VLOOKUP(BP159,Lookup!AT$6:AU$8,2,FALSE),"")</f>
        <v/>
      </c>
      <c r="BR159" s="639" t="str">
        <f t="shared" si="99"/>
        <v/>
      </c>
      <c r="BS159" s="644">
        <f>SUMIFS(Installations!CV$46:CV$803,Installations!CW$46:CW$803,BM159,Installations!IC$46:IC$803,TRUE,Installations!CU$46:CU$803,"Exist")</f>
        <v>0</v>
      </c>
      <c r="BT159" s="639" t="str">
        <f t="shared" si="100"/>
        <v/>
      </c>
      <c r="BU159" s="645"/>
      <c r="BY159" t="str">
        <f t="shared" si="95"/>
        <v/>
      </c>
      <c r="CF159" t="str">
        <f t="shared" si="96"/>
        <v/>
      </c>
    </row>
    <row r="160" spans="64:84">
      <c r="BL160">
        <v>68</v>
      </c>
      <c r="BM160" s="638" t="str">
        <f t="shared" si="97"/>
        <v/>
      </c>
      <c r="BN160" s="639" t="str">
        <f t="shared" si="93"/>
        <v/>
      </c>
      <c r="BO160" s="639" t="b">
        <f t="shared" si="98"/>
        <v>0</v>
      </c>
      <c r="BP160" s="643" t="str">
        <f t="shared" si="94"/>
        <v/>
      </c>
      <c r="BQ160" s="639" t="str">
        <f>IFERROR(VLOOKUP(BP160,Lookup!AT$6:AU$8,2,FALSE),"")</f>
        <v/>
      </c>
      <c r="BR160" s="639" t="str">
        <f t="shared" si="99"/>
        <v/>
      </c>
      <c r="BS160" s="644">
        <f>SUMIFS(Installations!CV$46:CV$803,Installations!CW$46:CW$803,BM160,Installations!IC$46:IC$803,TRUE,Installations!CU$46:CU$803,"Exist")</f>
        <v>0</v>
      </c>
      <c r="BT160" s="639" t="str">
        <f t="shared" si="100"/>
        <v/>
      </c>
      <c r="BU160" s="645"/>
      <c r="BY160" t="str">
        <f t="shared" si="95"/>
        <v/>
      </c>
      <c r="CF160" t="str">
        <f t="shared" si="96"/>
        <v/>
      </c>
    </row>
    <row r="161" spans="64:84">
      <c r="BL161">
        <v>69</v>
      </c>
      <c r="BM161" s="638" t="str">
        <f t="shared" si="97"/>
        <v/>
      </c>
      <c r="BN161" s="639" t="str">
        <f t="shared" si="93"/>
        <v/>
      </c>
      <c r="BO161" s="639" t="b">
        <f t="shared" si="98"/>
        <v>0</v>
      </c>
      <c r="BP161" s="643" t="str">
        <f t="shared" si="94"/>
        <v/>
      </c>
      <c r="BQ161" s="639" t="str">
        <f>IFERROR(VLOOKUP(BP161,Lookup!AT$6:AU$8,2,FALSE),"")</f>
        <v/>
      </c>
      <c r="BR161" s="639" t="str">
        <f t="shared" si="99"/>
        <v/>
      </c>
      <c r="BS161" s="644">
        <f>SUMIFS(Installations!CV$46:CV$803,Installations!CW$46:CW$803,BM161,Installations!IC$46:IC$803,TRUE,Installations!CU$46:CU$803,"Exist")</f>
        <v>0</v>
      </c>
      <c r="BT161" s="639" t="str">
        <f t="shared" si="100"/>
        <v/>
      </c>
      <c r="BU161" s="645"/>
      <c r="BY161" t="str">
        <f t="shared" si="95"/>
        <v/>
      </c>
      <c r="CF161" t="str">
        <f t="shared" si="96"/>
        <v/>
      </c>
    </row>
    <row r="162" spans="64:84">
      <c r="BL162">
        <v>70</v>
      </c>
      <c r="BM162" s="638" t="str">
        <f t="shared" si="97"/>
        <v/>
      </c>
      <c r="BN162" s="639" t="str">
        <f t="shared" si="93"/>
        <v/>
      </c>
      <c r="BO162" s="639" t="b">
        <f t="shared" si="98"/>
        <v>0</v>
      </c>
      <c r="BP162" s="643" t="str">
        <f t="shared" si="94"/>
        <v/>
      </c>
      <c r="BQ162" s="639" t="str">
        <f>IFERROR(VLOOKUP(BP162,Lookup!AT$6:AU$8,2,FALSE),"")</f>
        <v/>
      </c>
      <c r="BR162" s="639" t="str">
        <f t="shared" si="99"/>
        <v/>
      </c>
      <c r="BS162" s="644">
        <f>SUMIFS(Installations!CV$46:CV$803,Installations!CW$46:CW$803,BM162,Installations!IC$46:IC$803,TRUE,Installations!CU$46:CU$803,"Exist")</f>
        <v>0</v>
      </c>
      <c r="BT162" s="639" t="str">
        <f t="shared" si="100"/>
        <v/>
      </c>
      <c r="BU162" s="645"/>
      <c r="BY162" t="str">
        <f t="shared" si="95"/>
        <v/>
      </c>
      <c r="CF162" t="str">
        <f t="shared" si="96"/>
        <v/>
      </c>
    </row>
    <row r="163" spans="64:84">
      <c r="BL163">
        <v>71</v>
      </c>
      <c r="BM163" s="638" t="str">
        <f t="shared" si="97"/>
        <v/>
      </c>
      <c r="BN163" s="639" t="str">
        <f t="shared" si="93"/>
        <v/>
      </c>
      <c r="BO163" s="639" t="b">
        <f t="shared" si="98"/>
        <v>0</v>
      </c>
      <c r="BP163" s="643" t="str">
        <f t="shared" si="94"/>
        <v/>
      </c>
      <c r="BQ163" s="639" t="str">
        <f>IFERROR(VLOOKUP(BP163,Lookup!AT$6:AU$8,2,FALSE),"")</f>
        <v/>
      </c>
      <c r="BR163" s="639" t="str">
        <f t="shared" si="99"/>
        <v/>
      </c>
      <c r="BS163" s="644">
        <f>SUMIFS(Installations!CV$46:CV$803,Installations!CW$46:CW$803,BM163,Installations!IC$46:IC$803,TRUE,Installations!CU$46:CU$803,"Exist")</f>
        <v>0</v>
      </c>
      <c r="BT163" s="639" t="str">
        <f t="shared" si="100"/>
        <v/>
      </c>
      <c r="BU163" s="645"/>
      <c r="BY163" t="str">
        <f t="shared" si="95"/>
        <v/>
      </c>
      <c r="CF163" t="str">
        <f t="shared" si="96"/>
        <v/>
      </c>
    </row>
    <row r="164" spans="64:84">
      <c r="BL164">
        <v>72</v>
      </c>
      <c r="BM164" s="638" t="str">
        <f t="shared" si="97"/>
        <v/>
      </c>
      <c r="BN164" s="639" t="str">
        <f t="shared" si="93"/>
        <v/>
      </c>
      <c r="BO164" s="639" t="b">
        <f t="shared" si="98"/>
        <v>0</v>
      </c>
      <c r="BP164" s="643" t="str">
        <f t="shared" si="94"/>
        <v/>
      </c>
      <c r="BQ164" s="639" t="str">
        <f>IFERROR(VLOOKUP(BP164,Lookup!AT$6:AU$8,2,FALSE),"")</f>
        <v/>
      </c>
      <c r="BR164" s="639" t="str">
        <f t="shared" si="99"/>
        <v/>
      </c>
      <c r="BS164" s="644">
        <f>SUMIFS(Installations!CV$46:CV$803,Installations!CW$46:CW$803,BM164,Installations!IC$46:IC$803,TRUE,Installations!CU$46:CU$803,"Exist")</f>
        <v>0</v>
      </c>
      <c r="BT164" s="639" t="str">
        <f t="shared" si="100"/>
        <v/>
      </c>
      <c r="BU164" s="645"/>
      <c r="BY164" t="str">
        <f t="shared" si="95"/>
        <v/>
      </c>
      <c r="CF164" t="str">
        <f t="shared" si="96"/>
        <v/>
      </c>
    </row>
    <row r="165" spans="64:84">
      <c r="BL165">
        <v>73</v>
      </c>
      <c r="BM165" s="638" t="str">
        <f t="shared" si="97"/>
        <v/>
      </c>
      <c r="BN165" s="639" t="str">
        <f t="shared" si="93"/>
        <v/>
      </c>
      <c r="BO165" s="639" t="b">
        <f t="shared" si="98"/>
        <v>0</v>
      </c>
      <c r="BP165" s="643" t="str">
        <f t="shared" si="94"/>
        <v/>
      </c>
      <c r="BQ165" s="639" t="str">
        <f>IFERROR(VLOOKUP(BP165,Lookup!AT$6:AU$8,2,FALSE),"")</f>
        <v/>
      </c>
      <c r="BR165" s="639" t="str">
        <f t="shared" si="99"/>
        <v/>
      </c>
      <c r="BS165" s="644">
        <f>SUMIFS(Installations!CV$46:CV$803,Installations!CW$46:CW$803,BM165,Installations!IC$46:IC$803,TRUE,Installations!CU$46:CU$803,"Exist")</f>
        <v>0</v>
      </c>
      <c r="BT165" s="639" t="str">
        <f t="shared" si="100"/>
        <v/>
      </c>
      <c r="BU165" s="645"/>
      <c r="BY165" t="str">
        <f t="shared" si="95"/>
        <v/>
      </c>
      <c r="CF165" t="str">
        <f t="shared" si="96"/>
        <v/>
      </c>
    </row>
    <row r="166" spans="64:84">
      <c r="BL166">
        <v>74</v>
      </c>
      <c r="BM166" s="638" t="str">
        <f t="shared" si="97"/>
        <v/>
      </c>
      <c r="BN166" s="639" t="str">
        <f t="shared" si="93"/>
        <v/>
      </c>
      <c r="BO166" s="639" t="b">
        <f t="shared" si="98"/>
        <v>0</v>
      </c>
      <c r="BP166" s="643" t="str">
        <f t="shared" si="94"/>
        <v/>
      </c>
      <c r="BQ166" s="639" t="str">
        <f>IFERROR(VLOOKUP(BP166,Lookup!AT$6:AU$8,2,FALSE),"")</f>
        <v/>
      </c>
      <c r="BR166" s="639" t="str">
        <f t="shared" si="99"/>
        <v/>
      </c>
      <c r="BS166" s="644">
        <f>SUMIFS(Installations!CV$46:CV$803,Installations!CW$46:CW$803,BM166,Installations!IC$46:IC$803,TRUE,Installations!CU$46:CU$803,"Exist")</f>
        <v>0</v>
      </c>
      <c r="BT166" s="639" t="str">
        <f t="shared" si="100"/>
        <v/>
      </c>
      <c r="BU166" s="645"/>
      <c r="BY166" t="str">
        <f t="shared" si="95"/>
        <v/>
      </c>
      <c r="CF166" t="str">
        <f t="shared" si="96"/>
        <v/>
      </c>
    </row>
    <row r="167" spans="64:84">
      <c r="BL167">
        <v>75</v>
      </c>
      <c r="BM167" s="638" t="str">
        <f t="shared" si="97"/>
        <v/>
      </c>
      <c r="BN167" s="639" t="str">
        <f t="shared" si="93"/>
        <v/>
      </c>
      <c r="BO167" s="639" t="b">
        <f t="shared" si="98"/>
        <v>0</v>
      </c>
      <c r="BP167" s="643" t="str">
        <f t="shared" si="94"/>
        <v/>
      </c>
      <c r="BQ167" s="639" t="str">
        <f>IFERROR(VLOOKUP(BP167,Lookup!AT$6:AU$8,2,FALSE),"")</f>
        <v/>
      </c>
      <c r="BR167" s="639" t="str">
        <f t="shared" si="99"/>
        <v/>
      </c>
      <c r="BS167" s="644">
        <f>SUMIFS(Installations!CV$46:CV$803,Installations!CW$46:CW$803,BM167,Installations!IC$46:IC$803,TRUE,Installations!CU$46:CU$803,"Exist")</f>
        <v>0</v>
      </c>
      <c r="BT167" s="639" t="str">
        <f t="shared" si="100"/>
        <v/>
      </c>
      <c r="BU167" s="645"/>
      <c r="BY167" t="str">
        <f t="shared" si="95"/>
        <v/>
      </c>
      <c r="CF167" t="str">
        <f t="shared" si="96"/>
        <v/>
      </c>
    </row>
    <row r="168" spans="64:84">
      <c r="BL168">
        <v>76</v>
      </c>
      <c r="BM168" s="638" t="str">
        <f t="shared" si="97"/>
        <v/>
      </c>
      <c r="BN168" s="639" t="str">
        <f t="shared" si="93"/>
        <v/>
      </c>
      <c r="BO168" s="639" t="b">
        <f t="shared" si="98"/>
        <v>0</v>
      </c>
      <c r="BP168" s="643" t="str">
        <f t="shared" si="94"/>
        <v/>
      </c>
      <c r="BQ168" s="639" t="str">
        <f>IFERROR(VLOOKUP(BP168,Lookup!AT$6:AU$8,2,FALSE),"")</f>
        <v/>
      </c>
      <c r="BR168" s="639" t="str">
        <f t="shared" si="99"/>
        <v/>
      </c>
      <c r="BS168" s="644">
        <f>SUMIFS(Installations!CV$46:CV$803,Installations!CW$46:CW$803,BM168,Installations!IC$46:IC$803,TRUE,Installations!CU$46:CU$803,"Exist")</f>
        <v>0</v>
      </c>
      <c r="BT168" s="639" t="str">
        <f t="shared" si="100"/>
        <v/>
      </c>
      <c r="BU168" s="645"/>
      <c r="BY168" t="str">
        <f t="shared" si="95"/>
        <v/>
      </c>
      <c r="CF168" t="str">
        <f t="shared" si="96"/>
        <v/>
      </c>
    </row>
    <row r="169" spans="64:84">
      <c r="BL169">
        <v>77</v>
      </c>
      <c r="BM169" s="638" t="str">
        <f t="shared" ref="BM169:BM174" si="101">IF(DM53="Yes",DN53,"")</f>
        <v/>
      </c>
      <c r="BN169" s="639" t="str">
        <f t="shared" si="93"/>
        <v/>
      </c>
      <c r="BO169" s="639" t="b">
        <f t="shared" si="98"/>
        <v>0</v>
      </c>
      <c r="BP169" s="643" t="str">
        <f t="shared" si="94"/>
        <v/>
      </c>
      <c r="BQ169" s="639" t="str">
        <f>IFERROR(VLOOKUP(BP169,Lookup!AT$6:AU$8,2,FALSE),"")</f>
        <v/>
      </c>
      <c r="BR169" s="639" t="str">
        <f t="shared" si="99"/>
        <v/>
      </c>
      <c r="BS169" s="644">
        <f>SUMIFS(Installations!CV$46:CV$803,Installations!CW$46:CW$803,BM169,Installations!IC$46:IC$803,TRUE,Installations!CU$46:CU$803,"Exist")</f>
        <v>0</v>
      </c>
      <c r="BT169" s="639" t="str">
        <f t="shared" si="100"/>
        <v/>
      </c>
      <c r="BU169" s="645"/>
      <c r="BY169" t="str">
        <f t="shared" si="95"/>
        <v/>
      </c>
      <c r="CF169" t="str">
        <f t="shared" si="96"/>
        <v/>
      </c>
    </row>
    <row r="170" spans="64:84">
      <c r="BL170">
        <v>78</v>
      </c>
      <c r="BM170" s="638" t="str">
        <f t="shared" si="101"/>
        <v/>
      </c>
      <c r="BN170" s="639" t="str">
        <f t="shared" si="93"/>
        <v/>
      </c>
      <c r="BO170" s="639" t="b">
        <f t="shared" si="98"/>
        <v>0</v>
      </c>
      <c r="BP170" s="643" t="str">
        <f t="shared" si="94"/>
        <v/>
      </c>
      <c r="BQ170" s="639" t="str">
        <f>IFERROR(VLOOKUP(BP170,Lookup!AT$6:AU$8,2,FALSE),"")</f>
        <v/>
      </c>
      <c r="BR170" s="639" t="str">
        <f t="shared" si="99"/>
        <v/>
      </c>
      <c r="BS170" s="644">
        <f>SUMIFS(Installations!CV$46:CV$803,Installations!CW$46:CW$803,BM170,Installations!IC$46:IC$803,TRUE,Installations!CU$46:CU$803,"Exist")</f>
        <v>0</v>
      </c>
      <c r="BT170" s="639" t="str">
        <f t="shared" si="100"/>
        <v/>
      </c>
      <c r="BU170" s="645"/>
      <c r="BY170" t="str">
        <f t="shared" si="95"/>
        <v/>
      </c>
      <c r="CF170" t="str">
        <f t="shared" si="96"/>
        <v/>
      </c>
    </row>
    <row r="171" spans="64:84">
      <c r="BL171">
        <v>79</v>
      </c>
      <c r="BM171" s="638" t="str">
        <f t="shared" si="101"/>
        <v/>
      </c>
      <c r="BN171" s="639" t="str">
        <f t="shared" si="93"/>
        <v/>
      </c>
      <c r="BO171" s="639" t="b">
        <f t="shared" si="98"/>
        <v>0</v>
      </c>
      <c r="BP171" s="643" t="str">
        <f t="shared" si="94"/>
        <v/>
      </c>
      <c r="BQ171" s="639" t="str">
        <f>IFERROR(VLOOKUP(BP171,Lookup!AT$6:AU$8,2,FALSE),"")</f>
        <v/>
      </c>
      <c r="BR171" s="639" t="str">
        <f t="shared" si="99"/>
        <v/>
      </c>
      <c r="BS171" s="644">
        <f>SUMIFS(Installations!CV$46:CV$803,Installations!CW$46:CW$803,BM171,Installations!IC$46:IC$803,TRUE,Installations!CU$46:CU$803,"Exist")</f>
        <v>0</v>
      </c>
      <c r="BT171" s="639" t="str">
        <f t="shared" si="100"/>
        <v/>
      </c>
      <c r="BU171" s="645"/>
      <c r="BY171" t="str">
        <f t="shared" si="95"/>
        <v/>
      </c>
      <c r="CF171" t="str">
        <f t="shared" si="96"/>
        <v/>
      </c>
    </row>
    <row r="172" spans="64:84">
      <c r="BL172">
        <v>80</v>
      </c>
      <c r="BM172" s="638" t="str">
        <f t="shared" si="101"/>
        <v/>
      </c>
      <c r="BN172" s="639" t="str">
        <f t="shared" si="93"/>
        <v/>
      </c>
      <c r="BO172" s="639" t="b">
        <f t="shared" si="98"/>
        <v>0</v>
      </c>
      <c r="BP172" s="643" t="str">
        <f t="shared" si="94"/>
        <v/>
      </c>
      <c r="BQ172" s="639" t="str">
        <f>IFERROR(VLOOKUP(BP172,Lookup!AT$6:AU$8,2,FALSE),"")</f>
        <v/>
      </c>
      <c r="BR172" s="639" t="str">
        <f t="shared" si="99"/>
        <v/>
      </c>
      <c r="BS172" s="644">
        <f>SUMIFS(Installations!CV$46:CV$803,Installations!CW$46:CW$803,BM172,Installations!IC$46:IC$803,TRUE,Installations!CU$46:CU$803,"Exist")</f>
        <v>0</v>
      </c>
      <c r="BT172" s="639" t="str">
        <f t="shared" si="100"/>
        <v/>
      </c>
      <c r="BU172" s="645"/>
      <c r="BY172" t="str">
        <f t="shared" si="95"/>
        <v/>
      </c>
      <c r="CF172" t="str">
        <f t="shared" si="96"/>
        <v/>
      </c>
    </row>
    <row r="173" spans="64:84">
      <c r="BL173">
        <v>81</v>
      </c>
      <c r="BM173" s="638" t="str">
        <f t="shared" si="101"/>
        <v/>
      </c>
      <c r="BN173" s="639" t="str">
        <f t="shared" si="93"/>
        <v/>
      </c>
      <c r="BO173" s="639" t="b">
        <f t="shared" si="98"/>
        <v>0</v>
      </c>
      <c r="BP173" s="643" t="str">
        <f t="shared" si="94"/>
        <v/>
      </c>
      <c r="BQ173" s="639" t="str">
        <f>IFERROR(VLOOKUP(BP173,Lookup!AT$6:AU$8,2,FALSE),"")</f>
        <v/>
      </c>
      <c r="BR173" s="639" t="str">
        <f t="shared" si="99"/>
        <v/>
      </c>
      <c r="BS173" s="644">
        <f>SUMIFS(Installations!CV$46:CV$803,Installations!CW$46:CW$803,BM173,Installations!IC$46:IC$803,TRUE,Installations!CU$46:CU$803,"Exist")</f>
        <v>0</v>
      </c>
      <c r="BT173" s="639" t="str">
        <f t="shared" si="100"/>
        <v/>
      </c>
      <c r="BU173" s="645"/>
      <c r="BY173" t="str">
        <f t="shared" si="95"/>
        <v/>
      </c>
      <c r="CF173" t="str">
        <f t="shared" si="96"/>
        <v/>
      </c>
    </row>
    <row r="174" spans="64:84">
      <c r="BL174">
        <v>82</v>
      </c>
      <c r="BM174" s="638" t="str">
        <f t="shared" si="101"/>
        <v/>
      </c>
      <c r="BN174" s="639" t="str">
        <f t="shared" si="93"/>
        <v/>
      </c>
      <c r="BO174" s="639" t="b">
        <f t="shared" si="98"/>
        <v>0</v>
      </c>
      <c r="BP174" s="643" t="str">
        <f t="shared" si="94"/>
        <v/>
      </c>
      <c r="BQ174" s="639" t="str">
        <f>IFERROR(VLOOKUP(BP174,Lookup!AT$6:AU$8,2,FALSE),"")</f>
        <v/>
      </c>
      <c r="BR174" s="639" t="str">
        <f t="shared" si="99"/>
        <v/>
      </c>
      <c r="BS174" s="644">
        <f>SUMIFS(Installations!CV$46:CV$803,Installations!CW$46:CW$803,BM174,Installations!IC$46:IC$803,TRUE,Installations!CU$46:CU$803,"Exist")</f>
        <v>0</v>
      </c>
      <c r="BT174" s="639" t="str">
        <f t="shared" si="100"/>
        <v/>
      </c>
      <c r="BU174" s="645"/>
      <c r="BY174" t="str">
        <f t="shared" si="95"/>
        <v/>
      </c>
      <c r="CF174" t="str">
        <f t="shared" si="96"/>
        <v/>
      </c>
    </row>
    <row r="175" spans="64:84">
      <c r="BL175">
        <v>83</v>
      </c>
      <c r="BM175" s="638" t="str">
        <f t="shared" ref="BM175:BM192" si="102">IF(DM59="Yes",DN59,"")</f>
        <v/>
      </c>
      <c r="BN175" s="639" t="str">
        <f t="shared" si="93"/>
        <v/>
      </c>
      <c r="BO175" s="639" t="b">
        <f t="shared" si="98"/>
        <v>0</v>
      </c>
      <c r="BP175" s="643" t="str">
        <f t="shared" ref="BP175:BP192" si="103">IF(BO175=TRUE,EB59,"")</f>
        <v/>
      </c>
      <c r="BQ175" s="639" t="str">
        <f>IFERROR(VLOOKUP(BP175,Lookup!AT$6:AU$8,2,FALSE),"")</f>
        <v/>
      </c>
      <c r="BR175" s="639" t="str">
        <f t="shared" si="99"/>
        <v/>
      </c>
      <c r="BS175" s="644">
        <f>SUMIFS(Installations!CV$46:CV$803,Installations!CW$46:CW$803,BM175,Installations!IC$46:IC$803,TRUE,Installations!CU$46:CU$803,"Exist")</f>
        <v>0</v>
      </c>
      <c r="BT175" s="639" t="str">
        <f t="shared" si="100"/>
        <v/>
      </c>
      <c r="BU175" s="645"/>
      <c r="BY175" t="str">
        <f t="shared" ref="BY175:BY192" si="104">IFERROR(VLOOKUP(BX175,BL$93:BM$192,2,FALSE),"")</f>
        <v/>
      </c>
      <c r="CF175" t="str">
        <f t="shared" ref="CF175:CF192" si="105">VLOOKUP(BY175,BM$93:BN$192,2,FALSE)</f>
        <v/>
      </c>
    </row>
    <row r="176" spans="64:84">
      <c r="BL176">
        <v>84</v>
      </c>
      <c r="BM176" s="638" t="str">
        <f t="shared" si="102"/>
        <v/>
      </c>
      <c r="BN176" s="639" t="str">
        <f t="shared" si="93"/>
        <v/>
      </c>
      <c r="BO176" s="639" t="b">
        <f t="shared" si="98"/>
        <v>0</v>
      </c>
      <c r="BP176" s="643" t="str">
        <f t="shared" si="103"/>
        <v/>
      </c>
      <c r="BQ176" s="639" t="str">
        <f>IFERROR(VLOOKUP(BP176,Lookup!AT$6:AU$8,2,FALSE),"")</f>
        <v/>
      </c>
      <c r="BR176" s="639" t="str">
        <f t="shared" si="99"/>
        <v/>
      </c>
      <c r="BS176" s="644">
        <f>SUMIFS(Installations!CV$46:CV$803,Installations!CW$46:CW$803,BM176,Installations!IC$46:IC$803,TRUE,Installations!CU$46:CU$803,"Exist")</f>
        <v>0</v>
      </c>
      <c r="BT176" s="639" t="str">
        <f t="shared" si="100"/>
        <v/>
      </c>
      <c r="BU176" s="645"/>
      <c r="BY176" t="str">
        <f t="shared" si="104"/>
        <v/>
      </c>
      <c r="CF176" t="str">
        <f t="shared" si="105"/>
        <v/>
      </c>
    </row>
    <row r="177" spans="64:84">
      <c r="BL177">
        <v>85</v>
      </c>
      <c r="BM177" s="638" t="str">
        <f t="shared" si="102"/>
        <v/>
      </c>
      <c r="BN177" s="639" t="str">
        <f t="shared" si="93"/>
        <v/>
      </c>
      <c r="BO177" s="639" t="b">
        <f t="shared" si="98"/>
        <v>0</v>
      </c>
      <c r="BP177" s="643" t="str">
        <f t="shared" si="103"/>
        <v/>
      </c>
      <c r="BQ177" s="639" t="str">
        <f>IFERROR(VLOOKUP(BP177,Lookup!AT$6:AU$8,2,FALSE),"")</f>
        <v/>
      </c>
      <c r="BR177" s="639" t="str">
        <f t="shared" si="99"/>
        <v/>
      </c>
      <c r="BS177" s="644">
        <f>SUMIFS(Installations!CV$46:CV$803,Installations!CW$46:CW$803,BM177,Installations!IC$46:IC$803,TRUE,Installations!CU$46:CU$803,"Exist")</f>
        <v>0</v>
      </c>
      <c r="BT177" s="639" t="str">
        <f t="shared" si="100"/>
        <v/>
      </c>
      <c r="BU177" s="645"/>
      <c r="BY177" t="str">
        <f t="shared" si="104"/>
        <v/>
      </c>
      <c r="CF177" t="str">
        <f t="shared" si="105"/>
        <v/>
      </c>
    </row>
    <row r="178" spans="64:84">
      <c r="BL178">
        <v>86</v>
      </c>
      <c r="BM178" s="638" t="str">
        <f t="shared" si="102"/>
        <v/>
      </c>
      <c r="BN178" s="639" t="str">
        <f t="shared" si="93"/>
        <v/>
      </c>
      <c r="BO178" s="639" t="b">
        <f t="shared" si="98"/>
        <v>0</v>
      </c>
      <c r="BP178" s="643" t="str">
        <f t="shared" si="103"/>
        <v/>
      </c>
      <c r="BQ178" s="639" t="str">
        <f>IFERROR(VLOOKUP(BP178,Lookup!AT$6:AU$8,2,FALSE),"")</f>
        <v/>
      </c>
      <c r="BR178" s="639" t="str">
        <f t="shared" si="99"/>
        <v/>
      </c>
      <c r="BS178" s="644">
        <f>SUMIFS(Installations!CV$46:CV$803,Installations!CW$46:CW$803,BM178,Installations!IC$46:IC$803,TRUE,Installations!CU$46:CU$803,"Exist")</f>
        <v>0</v>
      </c>
      <c r="BT178" s="639" t="str">
        <f t="shared" si="100"/>
        <v/>
      </c>
      <c r="BU178" s="645"/>
      <c r="BY178" t="str">
        <f t="shared" si="104"/>
        <v/>
      </c>
      <c r="CF178" t="str">
        <f t="shared" si="105"/>
        <v/>
      </c>
    </row>
    <row r="179" spans="64:84">
      <c r="BL179">
        <v>87</v>
      </c>
      <c r="BM179" s="638" t="str">
        <f t="shared" si="102"/>
        <v/>
      </c>
      <c r="BN179" s="639" t="str">
        <f t="shared" si="93"/>
        <v/>
      </c>
      <c r="BO179" s="639" t="b">
        <f t="shared" si="98"/>
        <v>0</v>
      </c>
      <c r="BP179" s="643" t="str">
        <f t="shared" si="103"/>
        <v/>
      </c>
      <c r="BQ179" s="639" t="str">
        <f>IFERROR(VLOOKUP(BP179,Lookup!AT$6:AU$8,2,FALSE),"")</f>
        <v/>
      </c>
      <c r="BR179" s="639" t="str">
        <f t="shared" si="99"/>
        <v/>
      </c>
      <c r="BS179" s="644">
        <f>SUMIFS(Installations!CV$46:CV$803,Installations!CW$46:CW$803,BM179,Installations!IC$46:IC$803,TRUE,Installations!CU$46:CU$803,"Exist")</f>
        <v>0</v>
      </c>
      <c r="BT179" s="639" t="str">
        <f t="shared" si="100"/>
        <v/>
      </c>
      <c r="BU179" s="645"/>
      <c r="BY179" t="str">
        <f t="shared" si="104"/>
        <v/>
      </c>
      <c r="CF179" t="str">
        <f t="shared" si="105"/>
        <v/>
      </c>
    </row>
    <row r="180" spans="64:84">
      <c r="BL180">
        <v>88</v>
      </c>
      <c r="BM180" s="638" t="str">
        <f t="shared" si="102"/>
        <v/>
      </c>
      <c r="BN180" s="639" t="str">
        <f t="shared" si="93"/>
        <v/>
      </c>
      <c r="BO180" s="639" t="b">
        <f t="shared" si="98"/>
        <v>0</v>
      </c>
      <c r="BP180" s="643" t="str">
        <f t="shared" si="103"/>
        <v/>
      </c>
      <c r="BQ180" s="639" t="str">
        <f>IFERROR(VLOOKUP(BP180,Lookup!AT$6:AU$8,2,FALSE),"")</f>
        <v/>
      </c>
      <c r="BR180" s="639" t="str">
        <f t="shared" si="99"/>
        <v/>
      </c>
      <c r="BS180" s="644">
        <f>SUMIFS(Installations!CV$46:CV$803,Installations!CW$46:CW$803,BM180,Installations!IC$46:IC$803,TRUE,Installations!CU$46:CU$803,"Exist")</f>
        <v>0</v>
      </c>
      <c r="BT180" s="639" t="str">
        <f t="shared" si="100"/>
        <v/>
      </c>
      <c r="BU180" s="645"/>
      <c r="BY180" t="str">
        <f t="shared" si="104"/>
        <v/>
      </c>
      <c r="CF180" t="str">
        <f t="shared" si="105"/>
        <v/>
      </c>
    </row>
    <row r="181" spans="64:84">
      <c r="BL181">
        <v>89</v>
      </c>
      <c r="BM181" s="638" t="str">
        <f t="shared" si="102"/>
        <v/>
      </c>
      <c r="BN181" s="639" t="str">
        <f t="shared" si="93"/>
        <v/>
      </c>
      <c r="BO181" s="639" t="b">
        <f t="shared" si="98"/>
        <v>0</v>
      </c>
      <c r="BP181" s="643" t="str">
        <f t="shared" si="103"/>
        <v/>
      </c>
      <c r="BQ181" s="639" t="str">
        <f>IFERROR(VLOOKUP(BP181,Lookup!AT$6:AU$8,2,FALSE),"")</f>
        <v/>
      </c>
      <c r="BR181" s="639" t="str">
        <f t="shared" si="99"/>
        <v/>
      </c>
      <c r="BS181" s="644">
        <f>SUMIFS(Installations!CV$46:CV$803,Installations!CW$46:CW$803,BM181,Installations!IC$46:IC$803,TRUE,Installations!CU$46:CU$803,"Exist")</f>
        <v>0</v>
      </c>
      <c r="BT181" s="639" t="str">
        <f t="shared" si="100"/>
        <v/>
      </c>
      <c r="BU181" s="645"/>
      <c r="BY181" t="str">
        <f t="shared" si="104"/>
        <v/>
      </c>
      <c r="CF181" t="str">
        <f t="shared" si="105"/>
        <v/>
      </c>
    </row>
    <row r="182" spans="64:84">
      <c r="BL182">
        <v>90</v>
      </c>
      <c r="BM182" s="638" t="str">
        <f t="shared" si="102"/>
        <v/>
      </c>
      <c r="BN182" s="639" t="str">
        <f t="shared" si="93"/>
        <v/>
      </c>
      <c r="BO182" s="639" t="b">
        <f t="shared" si="98"/>
        <v>0</v>
      </c>
      <c r="BP182" s="643" t="str">
        <f t="shared" si="103"/>
        <v/>
      </c>
      <c r="BQ182" s="639" t="str">
        <f>IFERROR(VLOOKUP(BP182,Lookup!AT$6:AU$8,2,FALSE),"")</f>
        <v/>
      </c>
      <c r="BR182" s="639" t="str">
        <f t="shared" si="99"/>
        <v/>
      </c>
      <c r="BS182" s="644">
        <f>SUMIFS(Installations!CV$46:CV$803,Installations!CW$46:CW$803,BM182,Installations!IC$46:IC$803,TRUE,Installations!CU$46:CU$803,"Exist")</f>
        <v>0</v>
      </c>
      <c r="BT182" s="639" t="str">
        <f t="shared" si="100"/>
        <v/>
      </c>
      <c r="BU182" s="645"/>
      <c r="BY182" t="str">
        <f t="shared" si="104"/>
        <v/>
      </c>
      <c r="CF182" t="str">
        <f t="shared" si="105"/>
        <v/>
      </c>
    </row>
    <row r="183" spans="64:84">
      <c r="BL183">
        <v>91</v>
      </c>
      <c r="BM183" s="638" t="str">
        <f t="shared" si="102"/>
        <v/>
      </c>
      <c r="BN183" s="639" t="str">
        <f t="shared" si="93"/>
        <v/>
      </c>
      <c r="BO183" s="639" t="b">
        <f t="shared" si="98"/>
        <v>0</v>
      </c>
      <c r="BP183" s="643" t="str">
        <f t="shared" si="103"/>
        <v/>
      </c>
      <c r="BQ183" s="639" t="str">
        <f>IFERROR(VLOOKUP(BP183,Lookup!AT$6:AU$8,2,FALSE),"")</f>
        <v/>
      </c>
      <c r="BR183" s="639" t="str">
        <f t="shared" si="99"/>
        <v/>
      </c>
      <c r="BS183" s="644">
        <f>SUMIFS(Installations!CV$46:CV$803,Installations!CW$46:CW$803,BM183,Installations!IC$46:IC$803,TRUE,Installations!CU$46:CU$803,"Exist")</f>
        <v>0</v>
      </c>
      <c r="BT183" s="639" t="str">
        <f t="shared" si="100"/>
        <v/>
      </c>
      <c r="BU183" s="645"/>
      <c r="BY183" t="str">
        <f t="shared" si="104"/>
        <v/>
      </c>
      <c r="CF183" t="str">
        <f t="shared" si="105"/>
        <v/>
      </c>
    </row>
    <row r="184" spans="64:84">
      <c r="BL184">
        <v>92</v>
      </c>
      <c r="BM184" s="638" t="str">
        <f t="shared" si="102"/>
        <v/>
      </c>
      <c r="BN184" s="639" t="str">
        <f t="shared" si="93"/>
        <v/>
      </c>
      <c r="BO184" s="639" t="b">
        <f t="shared" si="98"/>
        <v>0</v>
      </c>
      <c r="BP184" s="643" t="str">
        <f t="shared" si="103"/>
        <v/>
      </c>
      <c r="BQ184" s="639" t="str">
        <f>IFERROR(VLOOKUP(BP184,Lookup!AT$6:AU$8,2,FALSE),"")</f>
        <v/>
      </c>
      <c r="BR184" s="639" t="str">
        <f t="shared" si="99"/>
        <v/>
      </c>
      <c r="BS184" s="644">
        <f>SUMIFS(Installations!CV$46:CV$803,Installations!CW$46:CW$803,BM184,Installations!IC$46:IC$803,TRUE,Installations!CU$46:CU$803,"Exist")</f>
        <v>0</v>
      </c>
      <c r="BT184" s="639" t="str">
        <f t="shared" si="100"/>
        <v/>
      </c>
      <c r="BU184" s="645"/>
      <c r="BY184" t="str">
        <f t="shared" si="104"/>
        <v/>
      </c>
      <c r="CF184" t="str">
        <f t="shared" si="105"/>
        <v/>
      </c>
    </row>
    <row r="185" spans="64:84">
      <c r="BL185">
        <v>93</v>
      </c>
      <c r="BM185" s="638" t="str">
        <f t="shared" si="102"/>
        <v/>
      </c>
      <c r="BN185" s="639" t="str">
        <f t="shared" si="93"/>
        <v/>
      </c>
      <c r="BO185" s="639" t="b">
        <f t="shared" si="98"/>
        <v>0</v>
      </c>
      <c r="BP185" s="643" t="str">
        <f t="shared" si="103"/>
        <v/>
      </c>
      <c r="BQ185" s="639" t="str">
        <f>IFERROR(VLOOKUP(BP185,Lookup!AT$6:AU$8,2,FALSE),"")</f>
        <v/>
      </c>
      <c r="BR185" s="639" t="str">
        <f t="shared" si="99"/>
        <v/>
      </c>
      <c r="BS185" s="644">
        <f>SUMIFS(Installations!CV$46:CV$803,Installations!CW$46:CW$803,BM185,Installations!IC$46:IC$803,TRUE,Installations!CU$46:CU$803,"Exist")</f>
        <v>0</v>
      </c>
      <c r="BT185" s="639" t="str">
        <f t="shared" si="100"/>
        <v/>
      </c>
      <c r="BU185" s="645"/>
      <c r="BY185" t="str">
        <f t="shared" si="104"/>
        <v/>
      </c>
      <c r="CF185" t="str">
        <f t="shared" si="105"/>
        <v/>
      </c>
    </row>
    <row r="186" spans="64:84">
      <c r="BL186">
        <v>94</v>
      </c>
      <c r="BM186" s="638" t="str">
        <f t="shared" si="102"/>
        <v/>
      </c>
      <c r="BN186" s="639" t="str">
        <f t="shared" si="93"/>
        <v/>
      </c>
      <c r="BO186" s="639" t="b">
        <f t="shared" si="98"/>
        <v>0</v>
      </c>
      <c r="BP186" s="643" t="str">
        <f t="shared" si="103"/>
        <v/>
      </c>
      <c r="BQ186" s="639" t="str">
        <f>IFERROR(VLOOKUP(BP186,Lookup!AT$6:AU$8,2,FALSE),"")</f>
        <v/>
      </c>
      <c r="BR186" s="639" t="str">
        <f t="shared" si="99"/>
        <v/>
      </c>
      <c r="BS186" s="644">
        <f>SUMIFS(Installations!CV$46:CV$803,Installations!CW$46:CW$803,BM186,Installations!IC$46:IC$803,TRUE,Installations!CU$46:CU$803,"Exist")</f>
        <v>0</v>
      </c>
      <c r="BT186" s="639" t="str">
        <f t="shared" si="100"/>
        <v/>
      </c>
      <c r="BU186" s="645"/>
      <c r="BY186" t="str">
        <f t="shared" si="104"/>
        <v/>
      </c>
      <c r="CF186" t="str">
        <f t="shared" si="105"/>
        <v/>
      </c>
    </row>
    <row r="187" spans="64:84">
      <c r="BL187">
        <v>95</v>
      </c>
      <c r="BM187" s="638" t="str">
        <f t="shared" si="102"/>
        <v/>
      </c>
      <c r="BN187" s="639" t="str">
        <f t="shared" si="93"/>
        <v/>
      </c>
      <c r="BO187" s="639" t="b">
        <f t="shared" si="98"/>
        <v>0</v>
      </c>
      <c r="BP187" s="643" t="str">
        <f t="shared" si="103"/>
        <v/>
      </c>
      <c r="BQ187" s="639" t="str">
        <f>IFERROR(VLOOKUP(BP187,Lookup!AT$6:AU$8,2,FALSE),"")</f>
        <v/>
      </c>
      <c r="BR187" s="639" t="str">
        <f t="shared" si="99"/>
        <v/>
      </c>
      <c r="BS187" s="644">
        <f>SUMIFS(Installations!CV$46:CV$803,Installations!CW$46:CW$803,BM187,Installations!IC$46:IC$803,TRUE,Installations!CU$46:CU$803,"Exist")</f>
        <v>0</v>
      </c>
      <c r="BT187" s="639" t="str">
        <f t="shared" si="100"/>
        <v/>
      </c>
      <c r="BU187" s="645"/>
      <c r="BY187" t="str">
        <f t="shared" si="104"/>
        <v/>
      </c>
      <c r="CF187" t="str">
        <f t="shared" si="105"/>
        <v/>
      </c>
    </row>
    <row r="188" spans="64:84">
      <c r="BL188">
        <v>96</v>
      </c>
      <c r="BM188" s="638" t="str">
        <f t="shared" si="102"/>
        <v/>
      </c>
      <c r="BN188" s="639" t="str">
        <f t="shared" si="93"/>
        <v/>
      </c>
      <c r="BO188" s="639" t="b">
        <f t="shared" si="98"/>
        <v>0</v>
      </c>
      <c r="BP188" s="643" t="str">
        <f t="shared" si="103"/>
        <v/>
      </c>
      <c r="BQ188" s="639" t="str">
        <f>IFERROR(VLOOKUP(BP188,Lookup!AT$6:AU$8,2,FALSE),"")</f>
        <v/>
      </c>
      <c r="BR188" s="639" t="str">
        <f t="shared" si="99"/>
        <v/>
      </c>
      <c r="BS188" s="644">
        <f>SUMIFS(Installations!CV$46:CV$803,Installations!CW$46:CW$803,BM188,Installations!IC$46:IC$803,TRUE,Installations!CU$46:CU$803,"Exist")</f>
        <v>0</v>
      </c>
      <c r="BT188" s="639" t="str">
        <f t="shared" si="100"/>
        <v/>
      </c>
      <c r="BU188" s="645"/>
      <c r="BY188" t="str">
        <f t="shared" si="104"/>
        <v/>
      </c>
      <c r="CF188" t="str">
        <f t="shared" si="105"/>
        <v/>
      </c>
    </row>
    <row r="189" spans="64:84">
      <c r="BL189">
        <v>97</v>
      </c>
      <c r="BM189" s="638" t="str">
        <f t="shared" si="102"/>
        <v/>
      </c>
      <c r="BN189" s="639" t="str">
        <f t="shared" si="93"/>
        <v/>
      </c>
      <c r="BO189" s="639" t="b">
        <f t="shared" si="98"/>
        <v>0</v>
      </c>
      <c r="BP189" s="643" t="str">
        <f t="shared" si="103"/>
        <v/>
      </c>
      <c r="BQ189" s="639" t="str">
        <f>IFERROR(VLOOKUP(BP189,Lookup!AT$6:AU$8,2,FALSE),"")</f>
        <v/>
      </c>
      <c r="BR189" s="639" t="str">
        <f t="shared" si="99"/>
        <v/>
      </c>
      <c r="BS189" s="644">
        <f>SUMIFS(Installations!CV$46:CV$803,Installations!CW$46:CW$803,BM189,Installations!IC$46:IC$803,TRUE,Installations!CU$46:CU$803,"Exist")</f>
        <v>0</v>
      </c>
      <c r="BT189" s="639" t="str">
        <f t="shared" si="100"/>
        <v/>
      </c>
      <c r="BU189" s="645"/>
      <c r="BY189" t="str">
        <f t="shared" si="104"/>
        <v/>
      </c>
      <c r="CF189" t="str">
        <f t="shared" si="105"/>
        <v/>
      </c>
    </row>
    <row r="190" spans="64:84">
      <c r="BL190">
        <v>98</v>
      </c>
      <c r="BM190" s="638" t="str">
        <f t="shared" si="102"/>
        <v/>
      </c>
      <c r="BN190" s="639" t="str">
        <f t="shared" si="93"/>
        <v/>
      </c>
      <c r="BO190" s="639" t="b">
        <f t="shared" si="98"/>
        <v>0</v>
      </c>
      <c r="BP190" s="643" t="str">
        <f t="shared" si="103"/>
        <v/>
      </c>
      <c r="BQ190" s="639" t="str">
        <f>IFERROR(VLOOKUP(BP190,Lookup!AT$6:AU$8,2,FALSE),"")</f>
        <v/>
      </c>
      <c r="BR190" s="639" t="str">
        <f t="shared" si="99"/>
        <v/>
      </c>
      <c r="BS190" s="644">
        <f>SUMIFS(Installations!CV$46:CV$803,Installations!CW$46:CW$803,BM190,Installations!IC$46:IC$803,TRUE,Installations!CU$46:CU$803,"Exist")</f>
        <v>0</v>
      </c>
      <c r="BT190" s="639" t="str">
        <f t="shared" si="100"/>
        <v/>
      </c>
      <c r="BU190" s="645"/>
      <c r="BY190" t="str">
        <f t="shared" si="104"/>
        <v/>
      </c>
      <c r="CF190" t="str">
        <f t="shared" si="105"/>
        <v/>
      </c>
    </row>
    <row r="191" spans="64:84">
      <c r="BL191">
        <v>99</v>
      </c>
      <c r="BM191" s="638" t="str">
        <f t="shared" si="102"/>
        <v/>
      </c>
      <c r="BN191" s="639" t="str">
        <f t="shared" si="93"/>
        <v/>
      </c>
      <c r="BO191" s="639" t="b">
        <f t="shared" si="98"/>
        <v>0</v>
      </c>
      <c r="BP191" s="643" t="str">
        <f t="shared" si="103"/>
        <v/>
      </c>
      <c r="BQ191" s="639" t="str">
        <f>IFERROR(VLOOKUP(BP191,Lookup!AT$6:AU$8,2,FALSE),"")</f>
        <v/>
      </c>
      <c r="BR191" s="639" t="str">
        <f t="shared" si="99"/>
        <v/>
      </c>
      <c r="BS191" s="644">
        <f>SUMIFS(Installations!CV$46:CV$803,Installations!CW$46:CW$803,BM191,Installations!IC$46:IC$803,TRUE,Installations!CU$46:CU$803,"Exist")</f>
        <v>0</v>
      </c>
      <c r="BT191" s="639" t="str">
        <f t="shared" si="100"/>
        <v/>
      </c>
      <c r="BU191" s="645"/>
      <c r="BY191" t="str">
        <f t="shared" si="104"/>
        <v/>
      </c>
      <c r="CF191" t="str">
        <f t="shared" si="105"/>
        <v/>
      </c>
    </row>
    <row r="192" spans="64:84">
      <c r="BL192">
        <v>100</v>
      </c>
      <c r="BM192" s="638" t="str">
        <f t="shared" si="102"/>
        <v/>
      </c>
      <c r="BN192" s="639" t="str">
        <f t="shared" si="93"/>
        <v/>
      </c>
      <c r="BO192" s="639" t="b">
        <f t="shared" si="98"/>
        <v>0</v>
      </c>
      <c r="BP192" s="643" t="str">
        <f t="shared" si="103"/>
        <v/>
      </c>
      <c r="BQ192" s="639" t="str">
        <f>IFERROR(VLOOKUP(BP192,Lookup!AT$6:AU$8,2,FALSE),"")</f>
        <v/>
      </c>
      <c r="BR192" s="639">
        <f t="shared" si="99"/>
        <v>0</v>
      </c>
      <c r="BS192" s="644">
        <f>SUMIFS(Installations!CV$46:CV$803,Installations!CW$46:CW$803,BM192,Installations!IC$46:IC$803,TRUE,Installations!CU$46:CU$803,"Exist")</f>
        <v>0</v>
      </c>
      <c r="BT192" s="639" t="str">
        <f t="shared" si="100"/>
        <v/>
      </c>
      <c r="BU192" s="645"/>
      <c r="BY192" t="str">
        <f t="shared" si="104"/>
        <v/>
      </c>
      <c r="CF192" t="str">
        <f t="shared" si="105"/>
        <v/>
      </c>
    </row>
    <row r="195" spans="64:70">
      <c r="BL195" s="634" t="str">
        <f t="array" ref="BL195">IFERROR(IF(ROWS(BM$93:BM93)&gt;COUNTA($BM$93:$BM$192),"",INDEX($BL$93:$BL$192,SMALL(IF($BM$93:$BM$192&lt;&gt;"",ROW($BM$93:$BM$192)-ROW($BM$93)+1),ROWS($BM$93:BM93)))),"")</f>
        <v/>
      </c>
      <c r="BM195" s="647" t="e">
        <f>VLOOKUP($BL195,$BL93:BS$192,2,FALSE)</f>
        <v>#N/A</v>
      </c>
      <c r="BN195" s="634" t="e">
        <f>IF(VLOOKUP($BL195,$BL93:BT$192,8,FALSE)=0,"",VLOOKUP($BL195,$BL93:BT$192,8,FALSE))</f>
        <v>#N/A</v>
      </c>
      <c r="BR195" s="634" t="str">
        <f t="array" ref="BR195">IFERROR(IF(ROWS(BT$93:BT93)&gt;COUNTA($BT$93:$BT$192),"",INDEX($BL$93:$BL$192,SMALL(IF($BT$93:$BT$192&lt;&gt;"",ROW($BT$93:$BT$192)-ROW($BT$93)+1),ROWS($BT$93:BT93)))),"")</f>
        <v/>
      </c>
    </row>
    <row r="196" spans="64:70">
      <c r="BL196" s="634" t="str">
        <f t="array" ref="BL196">IFERROR(IF(ROWS(BM$93:BM94)&gt;COUNTA($BM$93:$BM$192),"",INDEX($BL$93:$BL$192,SMALL(IF($BM$93:$BM$192&lt;&gt;"",ROW($BM$93:$BM$192)-ROW($BM$93)+1),ROWS($BM$93:BM94)))),"")</f>
        <v/>
      </c>
      <c r="BM196" s="647" t="e">
        <f>VLOOKUP($BL196,$BL94:BS$192,2,FALSE)</f>
        <v>#N/A</v>
      </c>
      <c r="BN196" s="634" t="e">
        <f>IF(VLOOKUP($BL196,$BL94:BT$192,8,FALSE)=0,"",VLOOKUP($BL196,$BL94:BT$192,8,FALSE))</f>
        <v>#N/A</v>
      </c>
      <c r="BR196" s="634" t="str">
        <f t="array" ref="BR196">IFERROR(IF(ROWS(BT$93:BT94)&gt;COUNTA($BT$93:$BT$192),"",INDEX($BL$93:$BL$192,SMALL(IF($BT$93:$BT$192&lt;&gt;"",ROW($BT$93:$BT$192)-ROW($BT$93)+1),ROWS($BT$93:BT94)))),"")</f>
        <v/>
      </c>
    </row>
    <row r="197" spans="64:70">
      <c r="BL197" s="634" t="str">
        <f t="array" ref="BL197">IFERROR(IF(ROWS(BM$93:BM95)&gt;COUNTA($BM$93:$BM$192),"",INDEX($BL$93:$BL$192,SMALL(IF($BM$93:$BM$192&lt;&gt;"",ROW($BM$93:$BM$192)-ROW($BM$93)+1),ROWS($BM$93:BM95)))),"")</f>
        <v/>
      </c>
      <c r="BM197" s="647" t="e">
        <f>VLOOKUP($BL197,$BL95:BS$192,2,FALSE)</f>
        <v>#N/A</v>
      </c>
      <c r="BN197" s="634" t="e">
        <f>IF(VLOOKUP($BL197,$BL95:BT$192,8,FALSE)=0,"",VLOOKUP($BL197,$BL95:BT$192,8,FALSE))</f>
        <v>#N/A</v>
      </c>
      <c r="BR197" s="634" t="str">
        <f t="array" ref="BR197">IFERROR(IF(ROWS(BT$93:BT95)&gt;COUNTA($BT$93:$BT$192),"",INDEX($BL$93:$BL$192,SMALL(IF($BT$93:$BT$192&lt;&gt;"",ROW($BT$93:$BT$192)-ROW($BT$93)+1),ROWS($BT$93:BT95)))),"")</f>
        <v/>
      </c>
    </row>
    <row r="198" spans="64:70">
      <c r="BL198" s="634" t="str">
        <f t="array" ref="BL198">IFERROR(IF(ROWS(BM$93:BM96)&gt;COUNTA($BM$93:$BM$192),"",INDEX($BL$93:$BL$192,SMALL(IF($BM$93:$BM$192&lt;&gt;"",ROW($BM$93:$BM$192)-ROW($BM$93)+1),ROWS($BM$93:BM96)))),"")</f>
        <v/>
      </c>
      <c r="BM198" s="647" t="e">
        <f>VLOOKUP($BL198,$BL96:BS$192,2,FALSE)</f>
        <v>#N/A</v>
      </c>
      <c r="BN198" s="634" t="e">
        <f>IF(VLOOKUP($BL198,$BL96:BT$192,8,FALSE)=0,"",VLOOKUP($BL198,$BL96:BT$192,8,FALSE))</f>
        <v>#N/A</v>
      </c>
      <c r="BR198" s="634" t="str">
        <f t="array" ref="BR198">IFERROR(IF(ROWS(BT$93:BT96)&gt;COUNTA($BT$93:$BT$192),"",INDEX($BL$93:$BL$192,SMALL(IF($BT$93:$BT$192&lt;&gt;"",ROW($BT$93:$BT$192)-ROW($BT$93)+1),ROWS($BT$93:BT96)))),"")</f>
        <v/>
      </c>
    </row>
    <row r="199" spans="64:70">
      <c r="BL199" s="634" t="str">
        <f t="array" ref="BL199">IFERROR(IF(ROWS(BM$93:BM97)&gt;COUNTA($BM$93:$BM$192),"",INDEX($BL$93:$BL$192,SMALL(IF($BM$93:$BM$192&lt;&gt;"",ROW($BM$93:$BM$192)-ROW($BM$93)+1),ROWS($BM$93:BM97)))),"")</f>
        <v/>
      </c>
      <c r="BM199" s="647" t="e">
        <f>VLOOKUP($BL199,$BL97:BS$192,2,FALSE)</f>
        <v>#N/A</v>
      </c>
      <c r="BN199" s="634" t="e">
        <f>IF(VLOOKUP($BL199,$BL97:BT$192,8,FALSE)=0,"",VLOOKUP($BL199,$BL97:BT$192,8,FALSE))</f>
        <v>#N/A</v>
      </c>
      <c r="BR199" s="634" t="str">
        <f t="array" ref="BR199">IFERROR(IF(ROWS(BT$93:BT97)&gt;COUNTA($BT$93:$BT$192),"",INDEX($BL$93:$BL$192,SMALL(IF($BT$93:$BT$192&lt;&gt;"",ROW($BT$93:$BT$192)-ROW($BT$93)+1),ROWS($BT$93:BT97)))),"")</f>
        <v/>
      </c>
    </row>
    <row r="200" spans="64:70">
      <c r="BL200" s="634" t="str">
        <f t="array" ref="BL200">IFERROR(IF(ROWS(BM$93:BM98)&gt;COUNTA($BM$93:$BM$192),"",INDEX($BL$93:$BL$192,SMALL(IF($BM$93:$BM$192&lt;&gt;"",ROW($BM$93:$BM$192)-ROW($BM$93)+1),ROWS($BM$93:BM98)))),"")</f>
        <v/>
      </c>
      <c r="BM200" s="647" t="e">
        <f>VLOOKUP($BL200,$BL98:BS$192,2,FALSE)</f>
        <v>#N/A</v>
      </c>
      <c r="BN200" s="634" t="e">
        <f>IF(VLOOKUP($BL200,$BL98:BT$192,8,FALSE)=0,"",VLOOKUP($BL200,$BL98:BT$192,8,FALSE))</f>
        <v>#N/A</v>
      </c>
      <c r="BR200" s="634" t="str">
        <f t="array" ref="BR200">IFERROR(IF(ROWS(BT$93:BT98)&gt;COUNTA($BT$93:$BT$192),"",INDEX($BL$93:$BL$192,SMALL(IF($BT$93:$BT$192&lt;&gt;"",ROW($BT$93:$BT$192)-ROW($BT$93)+1),ROWS($BT$93:BT98)))),"")</f>
        <v/>
      </c>
    </row>
    <row r="201" spans="64:70">
      <c r="BL201" s="647" t="str">
        <f t="array" ref="BL201">IFERROR(IF(ROWS(BM$93:BM99)&gt;COUNTA($BM$93:$BM$192),"",INDEX($BL$93:$BL$192,SMALL(IF($BM$93:$BM$192&lt;&gt;"",ROW($BM$93:$BM$192)-ROW($BM$93)+1),ROWS($BM$93:BM99)))),"")</f>
        <v/>
      </c>
      <c r="BM201" s="647" t="e">
        <f>VLOOKUP($BL201,$BL99:BS$192,2,FALSE)</f>
        <v>#N/A</v>
      </c>
      <c r="BN201" s="634" t="e">
        <f>VLOOKUP($BL201,$BL99:BT$192,8,FALSE)</f>
        <v>#N/A</v>
      </c>
      <c r="BR201" s="634" t="str">
        <f t="array" ref="BR201">IFERROR(IF(ROWS(BT$93:BT99)&gt;COUNTA($BT$93:$BT$192),"",INDEX($BL$93:$BL$192,SMALL(IF($BT$93:$BT$192&lt;&gt;"",ROW($BT$93:$BT$192)-ROW($BT$93)+1),ROWS($BT$93:BT99)))),"")</f>
        <v/>
      </c>
    </row>
    <row r="202" spans="64:70">
      <c r="BL202" s="647" t="str">
        <f t="array" ref="BL202">IFERROR(IF(ROWS(BM$93:BM100)&gt;COUNTA($BM$93:$BM$192),"",INDEX($BL$93:$BL$192,SMALL(IF($BM$93:$BM$192&lt;&gt;"",ROW($BM$93:$BM$192)-ROW($BM$93)+1),ROWS($BM$93:BM100)))),"")</f>
        <v/>
      </c>
      <c r="BM202" s="647" t="e">
        <f>VLOOKUP($BL202,$BL100:BS$192,2,FALSE)</f>
        <v>#N/A</v>
      </c>
      <c r="BN202" s="634" t="e">
        <f>VLOOKUP($BL202,$BL100:BT$192,8,FALSE)</f>
        <v>#N/A</v>
      </c>
      <c r="BR202" s="634" t="str">
        <f t="array" ref="BR202">IFERROR(IF(ROWS(BT$93:BT100)&gt;COUNTA($BT$93:$BT$192),"",INDEX($BL$93:$BL$192,SMALL(IF($BT$93:$BT$192&lt;&gt;"",ROW($BT$93:$BT$192)-ROW($BT$93)+1),ROWS($BT$93:BT100)))),"")</f>
        <v/>
      </c>
    </row>
    <row r="203" spans="64:70">
      <c r="BL203" s="647" t="str">
        <f t="array" ref="BL203">IFERROR(IF(ROWS(BM$93:BM101)&gt;COUNTA($BM$93:$BM$192),"",INDEX($BL$93:$BL$192,SMALL(IF($BM$93:$BM$192&lt;&gt;"",ROW($BM$93:$BM$192)-ROW($BM$93)+1),ROWS($BM$93:BM101)))),"")</f>
        <v/>
      </c>
      <c r="BM203" s="647" t="e">
        <f>VLOOKUP($BL203,$BL101:BS$192,2,FALSE)</f>
        <v>#N/A</v>
      </c>
      <c r="BN203" s="634" t="e">
        <f>VLOOKUP($BL203,$BL101:BT$192,8,FALSE)</f>
        <v>#N/A</v>
      </c>
      <c r="BR203" s="634" t="str">
        <f t="array" ref="BR203">IFERROR(IF(ROWS(BT$93:BT101)&gt;COUNTA($BT$93:$BT$192),"",INDEX($BL$93:$BL$192,SMALL(IF($BT$93:$BT$192&lt;&gt;"",ROW($BT$93:$BT$192)-ROW($BT$93)+1),ROWS($BT$93:BT101)))),"")</f>
        <v/>
      </c>
    </row>
    <row r="204" spans="64:70">
      <c r="BL204" s="647" t="str">
        <f t="array" ref="BL204">IFERROR(IF(ROWS(BM$93:BM102)&gt;COUNTA($BM$93:$BM$192),"",INDEX($BL$93:$BL$192,SMALL(IF($BM$93:$BM$192&lt;&gt;"",ROW($BM$93:$BM$192)-ROW($BM$93)+1),ROWS($BM$93:BM102)))),"")</f>
        <v/>
      </c>
      <c r="BM204" s="647" t="e">
        <f>VLOOKUP($BL204,$BL102:BS$192,2,FALSE)</f>
        <v>#N/A</v>
      </c>
      <c r="BN204" s="634" t="e">
        <f>VLOOKUP($BL204,$BL102:BT$192,8,FALSE)</f>
        <v>#N/A</v>
      </c>
      <c r="BR204" s="634" t="str">
        <f t="array" ref="BR204">IFERROR(IF(ROWS(BT$93:BT102)&gt;COUNTA($BT$93:$BT$192),"",INDEX($BL$93:$BL$192,SMALL(IF($BT$93:$BT$192&lt;&gt;"",ROW($BT$93:$BT$192)-ROW($BT$93)+1),ROWS($BT$93:BT102)))),"")</f>
        <v/>
      </c>
    </row>
    <row r="205" spans="64:70">
      <c r="BL205" s="647" t="str">
        <f t="array" ref="BL205">IFERROR(IF(ROWS(BM$93:BM103)&gt;COUNTA($BM$93:$BM$192),"",INDEX($BL$93:$BL$192,SMALL(IF($BM$93:$BM$192&lt;&gt;"",ROW($BM$93:$BM$192)-ROW($BM$93)+1),ROWS($BM$93:BM103)))),"")</f>
        <v/>
      </c>
      <c r="BM205" s="647" t="e">
        <f>VLOOKUP($BL205,$BL103:BS$192,2,FALSE)</f>
        <v>#N/A</v>
      </c>
      <c r="BN205" s="634" t="e">
        <f>VLOOKUP($BL205,$BL103:BT$192,8,FALSE)</f>
        <v>#N/A</v>
      </c>
      <c r="BR205" s="634" t="str">
        <f t="array" ref="BR205">IFERROR(IF(ROWS(BT$93:BT103)&gt;COUNTA($BT$93:$BT$192),"",INDEX($BL$93:$BL$192,SMALL(IF($BT$93:$BT$192&lt;&gt;"",ROW($BT$93:$BT$192)-ROW($BT$93)+1),ROWS($BT$93:BT103)))),"")</f>
        <v/>
      </c>
    </row>
    <row r="206" spans="64:70">
      <c r="BL206" s="647" t="str">
        <f t="array" ref="BL206">IFERROR(IF(ROWS(BM$93:BM104)&gt;COUNTA($BM$93:$BM$192),"",INDEX($BL$93:$BL$192,SMALL(IF($BM$93:$BM$192&lt;&gt;"",ROW($BM$93:$BM$192)-ROW($BM$93)+1),ROWS($BM$93:BM104)))),"")</f>
        <v/>
      </c>
      <c r="BM206" s="647" t="e">
        <f>VLOOKUP($BL206,$BL104:BS$192,2,FALSE)</f>
        <v>#N/A</v>
      </c>
      <c r="BN206" s="634" t="e">
        <f>VLOOKUP($BL206,$BL104:BT$192,8,FALSE)</f>
        <v>#N/A</v>
      </c>
    </row>
    <row r="207" spans="64:70">
      <c r="BL207" s="647" t="str">
        <f t="array" ref="BL207">IFERROR(IF(ROWS(BM$93:BM105)&gt;COUNTA($BM$93:$BM$192),"",INDEX($BL$93:$BL$192,SMALL(IF($BM$93:$BM$192&lt;&gt;"",ROW($BM$93:$BM$192)-ROW($BM$93)+1),ROWS($BM$93:BM105)))),"")</f>
        <v/>
      </c>
      <c r="BM207" s="647" t="e">
        <f>VLOOKUP($BL207,$BL105:BS$192,2,FALSE)</f>
        <v>#N/A</v>
      </c>
      <c r="BN207" s="634" t="e">
        <f>VLOOKUP($BL207,$BL105:BT$192,8,FALSE)</f>
        <v>#N/A</v>
      </c>
    </row>
    <row r="208" spans="64:70">
      <c r="BL208" s="647" t="str">
        <f t="array" ref="BL208">IFERROR(IF(ROWS(BM$93:BM106)&gt;COUNTA($BM$93:$BM$192),"",INDEX($BL$93:$BL$192,SMALL(IF($BM$93:$BM$192&lt;&gt;"",ROW($BM$93:$BM$192)-ROW($BM$93)+1),ROWS($BM$93:BM106)))),"")</f>
        <v/>
      </c>
      <c r="BM208" s="647" t="e">
        <f>VLOOKUP($BL208,$BL106:BS$192,2,FALSE)</f>
        <v>#N/A</v>
      </c>
      <c r="BN208" s="634" t="e">
        <f>VLOOKUP($BL208,$BL106:BT$192,8,FALSE)</f>
        <v>#N/A</v>
      </c>
    </row>
    <row r="209" spans="64:66">
      <c r="BL209" s="647" t="str">
        <f t="array" ref="BL209">IFERROR(IF(ROWS(BM$93:BM107)&gt;COUNTA($BM$93:$BM$192),"",INDEX($BL$93:$BL$192,SMALL(IF($BM$93:$BM$192&lt;&gt;"",ROW($BM$93:$BM$192)-ROW($BM$93)+1),ROWS($BM$93:BM107)))),"")</f>
        <v/>
      </c>
      <c r="BM209" s="647" t="e">
        <f>VLOOKUP($BL209,$BL107:BS$192,2,FALSE)</f>
        <v>#N/A</v>
      </c>
      <c r="BN209" s="634" t="e">
        <f>VLOOKUP($BL209,$BL107:BT$192,8,FALSE)</f>
        <v>#N/A</v>
      </c>
    </row>
    <row r="210" spans="64:66">
      <c r="BL210" s="647" t="str">
        <f t="array" ref="BL210">IFERROR(IF(ROWS(BM$93:BM108)&gt;COUNTA($BM$93:$BM$192),"",INDEX($BL$93:$BL$192,SMALL(IF($BM$93:$BM$192&lt;&gt;"",ROW($BM$93:$BM$192)-ROW($BM$93)+1),ROWS($BM$93:BM108)))),"")</f>
        <v/>
      </c>
      <c r="BM210" s="647" t="e">
        <f>VLOOKUP($BL210,$BL108:BS$192,2,FALSE)</f>
        <v>#N/A</v>
      </c>
      <c r="BN210" s="634" t="e">
        <f>VLOOKUP($BL210,$BL108:BT$192,8,FALSE)</f>
        <v>#N/A</v>
      </c>
    </row>
    <row r="211" spans="64:66">
      <c r="BL211" s="647" t="str">
        <f t="array" ref="BL211">IFERROR(IF(ROWS(BM$93:BM109)&gt;COUNTA($BM$93:$BM$192),"",INDEX($BL$93:$BL$192,SMALL(IF($BM$93:$BM$192&lt;&gt;"",ROW($BM$93:$BM$192)-ROW($BM$93)+1),ROWS($BM$93:BM109)))),"")</f>
        <v/>
      </c>
      <c r="BM211" s="647" t="e">
        <f>VLOOKUP($BL211,$BL109:BS$192,2,FALSE)</f>
        <v>#N/A</v>
      </c>
      <c r="BN211" s="634" t="e">
        <f>VLOOKUP($BL211,$BL109:BT$192,8,FALSE)</f>
        <v>#N/A</v>
      </c>
    </row>
    <row r="212" spans="64:66">
      <c r="BL212" s="647" t="str">
        <f t="array" ref="BL212">IFERROR(IF(ROWS(BM$93:BM110)&gt;COUNTA($BM$93:$BM$192),"",INDEX($BL$93:$BL$192,SMALL(IF($BM$93:$BM$192&lt;&gt;"",ROW($BM$93:$BM$192)-ROW($BM$93)+1),ROWS($BM$93:BM110)))),"")</f>
        <v/>
      </c>
      <c r="BM212" s="647" t="e">
        <f>VLOOKUP($BL212,$BL110:BS$192,2,FALSE)</f>
        <v>#N/A</v>
      </c>
      <c r="BN212" s="634" t="e">
        <f>VLOOKUP($BL212,$BL110:BT$192,8,FALSE)</f>
        <v>#N/A</v>
      </c>
    </row>
    <row r="213" spans="64:66">
      <c r="BL213" s="647" t="str">
        <f t="array" ref="BL213">IFERROR(IF(ROWS(BM$93:BM111)&gt;COUNTA($BM$93:$BM$192),"",INDEX($BL$93:$BL$192,SMALL(IF($BM$93:$BM$192&lt;&gt;"",ROW($BM$93:$BM$192)-ROW($BM$93)+1),ROWS($BM$93:BM111)))),"")</f>
        <v/>
      </c>
      <c r="BM213" s="647" t="e">
        <f>VLOOKUP($BL213,$BL111:BS$192,2,FALSE)</f>
        <v>#N/A</v>
      </c>
      <c r="BN213" s="634" t="e">
        <f>VLOOKUP($BL213,$BL111:BT$192,8,FALSE)</f>
        <v>#N/A</v>
      </c>
    </row>
    <row r="214" spans="64:66">
      <c r="BL214" s="647" t="str">
        <f t="array" ref="BL214">IFERROR(IF(ROWS(BM$93:BM112)&gt;COUNTA($BM$93:$BM$192),"",INDEX($BL$93:$BL$192,SMALL(IF($BM$93:$BM$192&lt;&gt;"",ROW($BM$93:$BM$192)-ROW($BM$93)+1),ROWS($BM$93:BM112)))),"")</f>
        <v/>
      </c>
      <c r="BM214" s="647" t="e">
        <f>VLOOKUP($BL214,$BL112:BS$192,2,FALSE)</f>
        <v>#N/A</v>
      </c>
      <c r="BN214" s="634" t="e">
        <f>VLOOKUP($BL214,$BL112:BT$192,8,FALSE)</f>
        <v>#N/A</v>
      </c>
    </row>
    <row r="215" spans="64:66">
      <c r="BL215" s="647" t="str">
        <f t="array" ref="BL215">IFERROR(IF(ROWS(BM$93:BM113)&gt;COUNTA($BM$93:$BM$192),"",INDEX($BL$93:$BL$192,SMALL(IF($BM$93:$BM$192&lt;&gt;"",ROW($BM$93:$BM$192)-ROW($BM$93)+1),ROWS($BM$93:BM113)))),"")</f>
        <v/>
      </c>
      <c r="BM215" s="647" t="e">
        <f>VLOOKUP($BL215,$BL113:BS$192,2,FALSE)</f>
        <v>#N/A</v>
      </c>
      <c r="BN215" s="634" t="e">
        <f>VLOOKUP($BL215,$BL113:BT$192,8,FALSE)</f>
        <v>#N/A</v>
      </c>
    </row>
    <row r="216" spans="64:66">
      <c r="BL216" s="647" t="str">
        <f t="array" ref="BL216">IFERROR(IF(ROWS(BM$93:BM114)&gt;COUNTA($BM$93:$BM$192),"",INDEX($BL$93:$BL$192,SMALL(IF($BM$93:$BM$192&lt;&gt;"",ROW($BM$93:$BM$192)-ROW($BM$93)+1),ROWS($BM$93:BM114)))),"")</f>
        <v/>
      </c>
      <c r="BM216" s="647" t="e">
        <f>VLOOKUP($BL216,$BL114:BS$192,2,FALSE)</f>
        <v>#N/A</v>
      </c>
      <c r="BN216" s="634" t="e">
        <f>VLOOKUP($BL216,$BL114:BT$192,8,FALSE)</f>
        <v>#N/A</v>
      </c>
    </row>
    <row r="217" spans="64:66">
      <c r="BL217" s="647" t="str">
        <f t="array" ref="BL217">IFERROR(IF(ROWS(BM$93:BM115)&gt;COUNTA($BM$93:$BM$192),"",INDEX($BL$93:$BL$192,SMALL(IF($BM$93:$BM$192&lt;&gt;"",ROW($BM$93:$BM$192)-ROW($BM$93)+1),ROWS($BM$93:BM115)))),"")</f>
        <v/>
      </c>
      <c r="BM217" s="647" t="e">
        <f>VLOOKUP($BL217,$BL115:BS$192,2,FALSE)</f>
        <v>#N/A</v>
      </c>
      <c r="BN217" s="634" t="e">
        <f>VLOOKUP($BL217,$BL115:BT$192,8,FALSE)</f>
        <v>#N/A</v>
      </c>
    </row>
    <row r="218" spans="64:66">
      <c r="BL218" s="647" t="str">
        <f t="array" ref="BL218">IFERROR(IF(ROWS(BM$93:BM116)&gt;COUNTA($BM$93:$BM$192),"",INDEX($BL$93:$BL$192,SMALL(IF($BM$93:$BM$192&lt;&gt;"",ROW($BM$93:$BM$192)-ROW($BM$93)+1),ROWS($BM$93:BM116)))),"")</f>
        <v/>
      </c>
      <c r="BM218" s="647" t="e">
        <f>VLOOKUP($BL218,$BL116:BS$192,2,FALSE)</f>
        <v>#N/A</v>
      </c>
      <c r="BN218" s="634" t="e">
        <f>VLOOKUP($BL218,$BL116:BT$192,8,FALSE)</f>
        <v>#N/A</v>
      </c>
    </row>
    <row r="219" spans="64:66">
      <c r="BL219" s="647" t="str">
        <f t="array" ref="BL219">IFERROR(IF(ROWS(BM$93:BM117)&gt;COUNTA($BM$93:$BM$192),"",INDEX($BL$93:$BL$192,SMALL(IF($BM$93:$BM$192&lt;&gt;"",ROW($BM$93:$BM$192)-ROW($BM$93)+1),ROWS($BM$93:BM117)))),"")</f>
        <v/>
      </c>
      <c r="BM219" s="647" t="e">
        <f>VLOOKUP($BL219,$BL117:BS$192,2,FALSE)</f>
        <v>#N/A</v>
      </c>
      <c r="BN219" s="634" t="e">
        <f>VLOOKUP($BL219,$BL117:BT$192,8,FALSE)</f>
        <v>#N/A</v>
      </c>
    </row>
    <row r="220" spans="64:66">
      <c r="BL220" s="647" t="str">
        <f t="array" ref="BL220">IFERROR(IF(ROWS(BM$93:BM118)&gt;COUNTA($BM$93:$BM$192),"",INDEX($BL$93:$BL$192,SMALL(IF($BM$93:$BM$192&lt;&gt;"",ROW($BM$93:$BM$192)-ROW($BM$93)+1),ROWS($BM$93:BM118)))),"")</f>
        <v/>
      </c>
      <c r="BM220" s="647" t="e">
        <f>VLOOKUP($BL220,$BL118:BS$192,2,FALSE)</f>
        <v>#N/A</v>
      </c>
      <c r="BN220" s="634" t="e">
        <f>VLOOKUP($BL220,$BL118:BT$192,8,FALSE)</f>
        <v>#N/A</v>
      </c>
    </row>
    <row r="221" spans="64:66">
      <c r="BL221" s="647" t="str">
        <f t="array" ref="BL221">IFERROR(IF(ROWS(BM$93:BM119)&gt;COUNTA($BM$93:$BM$192),"",INDEX($BL$93:$BL$192,SMALL(IF($BM$93:$BM$192&lt;&gt;"",ROW($BM$93:$BM$192)-ROW($BM$93)+1),ROWS($BM$93:BM119)))),"")</f>
        <v/>
      </c>
      <c r="BM221" s="647" t="e">
        <f>VLOOKUP($BL221,$BL119:BS$192,2,FALSE)</f>
        <v>#N/A</v>
      </c>
      <c r="BN221" s="634" t="e">
        <f>VLOOKUP($BL221,$BL119:BT$192,8,FALSE)</f>
        <v>#N/A</v>
      </c>
    </row>
    <row r="222" spans="64:66">
      <c r="BL222" s="647" t="str">
        <f t="array" ref="BL222">IFERROR(IF(ROWS(BM$93:BM120)&gt;COUNTA($BM$93:$BM$192),"",INDEX($BL$93:$BL$192,SMALL(IF($BM$93:$BM$192&lt;&gt;"",ROW($BM$93:$BM$192)-ROW($BM$93)+1),ROWS($BM$93:BM120)))),"")</f>
        <v/>
      </c>
      <c r="BM222" s="647" t="e">
        <f>VLOOKUP($BL222,$BL120:BS$192,2,FALSE)</f>
        <v>#N/A</v>
      </c>
      <c r="BN222" s="634" t="e">
        <f>VLOOKUP($BL222,$BL120:BT$192,8,FALSE)</f>
        <v>#N/A</v>
      </c>
    </row>
    <row r="223" spans="64:66">
      <c r="BL223" s="647" t="str">
        <f>IFERROR(IF(ROWS(BM$93:BM121)&gt;COUNTA($BM$93:$BM$192),"",INDEX($BL$93:$BL$192,SMALL(IF($BM$93:$BM$192&lt;&gt;"",ROW($BM$93:$BM$192)-ROW($BM$93)+1),ROWS($BM$93:BM121)))),"")</f>
        <v/>
      </c>
      <c r="BM223" s="647" t="e">
        <f>VLOOKUP($BL223,$BL121:BS$192,2,FALSE)</f>
        <v>#N/A</v>
      </c>
      <c r="BN223" s="634" t="e">
        <f>VLOOKUP($BL223,$BL121:BT$192,8,FALSE)</f>
        <v>#N/A</v>
      </c>
    </row>
    <row r="224" spans="64:66">
      <c r="BL224" s="647" t="str">
        <f>IFERROR(IF(ROWS(BM$93:BM122)&gt;COUNTA($BM$93:$BM$192),"",INDEX($BL$93:$BL$192,SMALL(IF($BM$93:$BM$192&lt;&gt;"",ROW($BM$93:$BM$192)-ROW($BM$93)+1),ROWS($BM$93:BM122)))),"")</f>
        <v/>
      </c>
      <c r="BM224" s="647" t="e">
        <f>VLOOKUP($BL224,$BL122:BS$192,2,FALSE)</f>
        <v>#N/A</v>
      </c>
      <c r="BN224" s="634" t="e">
        <f>VLOOKUP($BL224,$BL122:BT$192,8,FALSE)</f>
        <v>#N/A</v>
      </c>
    </row>
    <row r="225" spans="64:66">
      <c r="BL225" s="647" t="str">
        <f>IFERROR(IF(ROWS(BM$93:BM123)&gt;COUNTA($BM$93:$BM$192),"",INDEX($BL$93:$BL$192,SMALL(IF($BM$93:$BM$192&lt;&gt;"",ROW($BM$93:$BM$192)-ROW($BM$93)+1),ROWS($BM$93:BM123)))),"")</f>
        <v/>
      </c>
      <c r="BM225" s="647" t="e">
        <f>VLOOKUP($BL225,$BL123:BS$192,2,FALSE)</f>
        <v>#N/A</v>
      </c>
      <c r="BN225" s="634" t="e">
        <f>VLOOKUP($BL225,$BL123:BT$192,8,FALSE)</f>
        <v>#N/A</v>
      </c>
    </row>
    <row r="226" spans="64:66">
      <c r="BL226" s="647" t="str">
        <f>IFERROR(IF(ROWS(BM$93:BM124)&gt;COUNTA($BM$93:$BM$192),"",INDEX($BL$93:$BL$192,SMALL(IF($BM$93:$BM$192&lt;&gt;"",ROW($BM$93:$BM$192)-ROW($BM$93)+1),ROWS($BM$93:BM124)))),"")</f>
        <v/>
      </c>
      <c r="BM226" s="647" t="e">
        <f>VLOOKUP($BL226,$BL124:BS$192,2,FALSE)</f>
        <v>#N/A</v>
      </c>
      <c r="BN226" s="634" t="e">
        <f>VLOOKUP($BL226,$BL124:BT$192,8,FALSE)</f>
        <v>#N/A</v>
      </c>
    </row>
    <row r="227" spans="64:66">
      <c r="BL227" s="647" t="str">
        <f>IFERROR(IF(ROWS(BM$93:BM125)&gt;COUNTA($BM$93:$BM$192),"",INDEX($BL$93:$BL$192,SMALL(IF($BM$93:$BM$192&lt;&gt;"",ROW($BM$93:$BM$192)-ROW($BM$93)+1),ROWS($BM$93:BM125)))),"")</f>
        <v/>
      </c>
      <c r="BM227" s="647" t="e">
        <f>VLOOKUP($BL227,$BL125:BS$192,2,FALSE)</f>
        <v>#N/A</v>
      </c>
      <c r="BN227" s="634" t="e">
        <f>VLOOKUP($BL227,$BL125:BT$192,8,FALSE)</f>
        <v>#N/A</v>
      </c>
    </row>
    <row r="228" spans="64:66">
      <c r="BL228" s="647" t="str">
        <f>IFERROR(IF(ROWS(BM$93:BM126)&gt;COUNTA($BM$93:$BM$192),"",INDEX($BL$93:$BL$192,SMALL(IF($BM$93:$BM$192&lt;&gt;"",ROW($BM$93:$BM$192)-ROW($BM$93)+1),ROWS($BM$93:BM126)))),"")</f>
        <v/>
      </c>
      <c r="BM228" s="647" t="e">
        <f>VLOOKUP($BL228,$BL126:BS$192,2,FALSE)</f>
        <v>#N/A</v>
      </c>
      <c r="BN228" s="634" t="e">
        <f>VLOOKUP($BL228,$BL126:BT$192,8,FALSE)</f>
        <v>#N/A</v>
      </c>
    </row>
    <row r="229" spans="64:66">
      <c r="BL229" s="647" t="str">
        <f>IFERROR(IF(ROWS(BM$93:BM127)&gt;COUNTA($BM$93:$BM$192),"",INDEX($BL$93:$BL$192,SMALL(IF($BM$93:$BM$192&lt;&gt;"",ROW($BM$93:$BM$192)-ROW($BM$93)+1),ROWS($BM$93:BM127)))),"")</f>
        <v/>
      </c>
      <c r="BM229" s="647" t="e">
        <f>VLOOKUP($BL229,$BL127:BS$192,2,FALSE)</f>
        <v>#N/A</v>
      </c>
      <c r="BN229" s="634" t="e">
        <f>VLOOKUP($BL229,$BL127:BT$192,8,FALSE)</f>
        <v>#N/A</v>
      </c>
    </row>
    <row r="230" spans="64:66">
      <c r="BL230" s="647" t="str">
        <f>IFERROR(IF(ROWS(BM$93:BM128)&gt;COUNTA($BM$93:$BM$192),"",INDEX($BL$93:$BL$192,SMALL(IF($BM$93:$BM$192&lt;&gt;"",ROW($BM$93:$BM$192)-ROW($BM$93)+1),ROWS($BM$93:BM128)))),"")</f>
        <v/>
      </c>
      <c r="BM230" s="647" t="e">
        <f>VLOOKUP($BL230,$BL128:BS$192,2,FALSE)</f>
        <v>#N/A</v>
      </c>
      <c r="BN230" s="634" t="e">
        <f>VLOOKUP($BL230,$BL128:BT$192,8,FALSE)</f>
        <v>#N/A</v>
      </c>
    </row>
    <row r="231" spans="64:66">
      <c r="BL231" s="647" t="str">
        <f>IFERROR(IF(ROWS(BM$93:BM129)&gt;COUNTA($BM$93:$BM$192),"",INDEX($BL$93:$BL$192,SMALL(IF($BM$93:$BM$192&lt;&gt;"",ROW($BM$93:$BM$192)-ROW($BM$93)+1),ROWS($BM$93:BM129)))),"")</f>
        <v/>
      </c>
      <c r="BM231" s="647" t="e">
        <f>VLOOKUP($BL231,$BL129:BS$192,2,FALSE)</f>
        <v>#N/A</v>
      </c>
      <c r="BN231" s="634" t="e">
        <f>VLOOKUP($BL231,$BL129:BT$192,8,FALSE)</f>
        <v>#N/A</v>
      </c>
    </row>
    <row r="232" spans="64:66">
      <c r="BL232" s="647" t="str">
        <f>IFERROR(IF(ROWS(BM$93:BM130)&gt;COUNTA($BM$93:$BM$192),"",INDEX($BL$93:$BL$192,SMALL(IF($BM$93:$BM$192&lt;&gt;"",ROW($BM$93:$BM$192)-ROW($BM$93)+1),ROWS($BM$93:BM130)))),"")</f>
        <v/>
      </c>
      <c r="BM232" s="647" t="e">
        <f>VLOOKUP($BL232,$BL130:BS$192,2,FALSE)</f>
        <v>#N/A</v>
      </c>
      <c r="BN232" s="634" t="e">
        <f>VLOOKUP($BL232,$BL130:BT$192,8,FALSE)</f>
        <v>#N/A</v>
      </c>
    </row>
    <row r="233" spans="64:66">
      <c r="BL233" s="647" t="str">
        <f>IFERROR(IF(ROWS(BM$93:BM131)&gt;COUNTA($BM$93:$BM$192),"",INDEX($BL$93:$BL$192,SMALL(IF($BM$93:$BM$192&lt;&gt;"",ROW($BM$93:$BM$192)-ROW($BM$93)+1),ROWS($BM$93:BM131)))),"")</f>
        <v/>
      </c>
      <c r="BM233" s="647" t="e">
        <f>VLOOKUP($BL233,$BL131:BS$192,2,FALSE)</f>
        <v>#N/A</v>
      </c>
      <c r="BN233" s="634" t="e">
        <f>VLOOKUP($BL233,$BL131:BT$192,8,FALSE)</f>
        <v>#N/A</v>
      </c>
    </row>
    <row r="234" spans="64:66">
      <c r="BL234" s="647" t="str">
        <f>IFERROR(IF(ROWS(BM$93:BM132)&gt;COUNTA($BM$93:$BM$192),"",INDEX($BL$93:$BL$192,SMALL(IF($BM$93:$BM$192&lt;&gt;"",ROW($BM$93:$BM$192)-ROW($BM$93)+1),ROWS($BM$93:BM132)))),"")</f>
        <v/>
      </c>
      <c r="BM234" s="647" t="e">
        <f>VLOOKUP($BL234,$BL132:BS$192,2,FALSE)</f>
        <v>#N/A</v>
      </c>
      <c r="BN234" s="634" t="e">
        <f>VLOOKUP($BL234,$BL132:BT$192,8,FALSE)</f>
        <v>#N/A</v>
      </c>
    </row>
    <row r="235" spans="64:66">
      <c r="BL235" s="647" t="str">
        <f>IFERROR(IF(ROWS(BM$93:BM133)&gt;COUNTA($BM$93:$BM$192),"",INDEX($BL$93:$BL$192,SMALL(IF($BM$93:$BM$192&lt;&gt;"",ROW($BM$93:$BM$192)-ROW($BM$93)+1),ROWS($BM$93:BM133)))),"")</f>
        <v/>
      </c>
      <c r="BM235" s="647" t="e">
        <f>VLOOKUP($BL235,$BL133:BS$192,2,FALSE)</f>
        <v>#N/A</v>
      </c>
      <c r="BN235" s="634" t="e">
        <f>VLOOKUP($BL235,$BL133:BT$192,8,FALSE)</f>
        <v>#N/A</v>
      </c>
    </row>
    <row r="236" spans="64:66">
      <c r="BL236" s="647" t="str">
        <f>IFERROR(IF(ROWS(BM$93:BM134)&gt;COUNTA($BM$93:$BM$192),"",INDEX($BL$93:$BL$192,SMALL(IF($BM$93:$BM$192&lt;&gt;"",ROW($BM$93:$BM$192)-ROW($BM$93)+1),ROWS($BM$93:BM134)))),"")</f>
        <v/>
      </c>
      <c r="BM236" s="647" t="e">
        <f>VLOOKUP($BL236,$BL134:BS$192,2,FALSE)</f>
        <v>#N/A</v>
      </c>
      <c r="BN236" s="634" t="e">
        <f>VLOOKUP($BL236,$BL134:BT$192,8,FALSE)</f>
        <v>#N/A</v>
      </c>
    </row>
    <row r="237" spans="64:66">
      <c r="BL237" s="647" t="str">
        <f>IFERROR(IF(ROWS(BM$93:BM135)&gt;COUNTA($BM$93:$BM$192),"",INDEX($BL$93:$BL$192,SMALL(IF($BM$93:$BM$192&lt;&gt;"",ROW($BM$93:$BM$192)-ROW($BM$93)+1),ROWS($BM$93:BM135)))),"")</f>
        <v/>
      </c>
      <c r="BM237" s="647" t="e">
        <f>VLOOKUP($BL237,$BL135:BS$192,2,FALSE)</f>
        <v>#N/A</v>
      </c>
      <c r="BN237" s="634" t="e">
        <f>VLOOKUP($BL237,$BL135:BT$192,8,FALSE)</f>
        <v>#N/A</v>
      </c>
    </row>
    <row r="238" spans="64:66">
      <c r="BL238" s="647" t="str">
        <f>IFERROR(IF(ROWS(BM$93:BM136)&gt;COUNTA($BM$93:$BM$192),"",INDEX($BL$93:$BL$192,SMALL(IF($BM$93:$BM$192&lt;&gt;"",ROW($BM$93:$BM$192)-ROW($BM$93)+1),ROWS($BM$93:BM136)))),"")</f>
        <v/>
      </c>
      <c r="BM238" s="647" t="e">
        <f>VLOOKUP($BL238,$BL136:BS$192,2,FALSE)</f>
        <v>#N/A</v>
      </c>
      <c r="BN238" s="634" t="e">
        <f>VLOOKUP($BL238,$BL136:BT$192,8,FALSE)</f>
        <v>#N/A</v>
      </c>
    </row>
    <row r="239" spans="64:66">
      <c r="BL239" s="647" t="str">
        <f>IFERROR(IF(ROWS(BM$93:BM137)&gt;COUNTA($BM$93:$BM$192),"",INDEX($BL$93:$BL$192,SMALL(IF($BM$93:$BM$192&lt;&gt;"",ROW($BM$93:$BM$192)-ROW($BM$93)+1),ROWS($BM$93:BM137)))),"")</f>
        <v/>
      </c>
      <c r="BM239" s="647" t="e">
        <f>VLOOKUP($BL239,$BL137:BS$192,2,FALSE)</f>
        <v>#N/A</v>
      </c>
      <c r="BN239" s="634" t="e">
        <f>VLOOKUP($BL239,$BL137:BT$192,8,FALSE)</f>
        <v>#N/A</v>
      </c>
    </row>
    <row r="240" spans="64:66">
      <c r="BL240" s="647" t="str">
        <f>IFERROR(IF(ROWS(BM$93:BM138)&gt;COUNTA($BM$93:$BM$192),"",INDEX($BL$93:$BL$192,SMALL(IF($BM$93:$BM$192&lt;&gt;"",ROW($BM$93:$BM$192)-ROW($BM$93)+1),ROWS($BM$93:BM138)))),"")</f>
        <v/>
      </c>
      <c r="BM240" s="647" t="e">
        <f>VLOOKUP($BL240,$BL138:BS$192,2,FALSE)</f>
        <v>#N/A</v>
      </c>
      <c r="BN240" s="634" t="e">
        <f>VLOOKUP($BL240,$BL138:BT$192,8,FALSE)</f>
        <v>#N/A</v>
      </c>
    </row>
    <row r="241" spans="63:155">
      <c r="BL241" s="647" t="str">
        <f>IFERROR(IF(ROWS(BM$93:BM139)&gt;COUNTA($BM$93:$BM$192),"",INDEX($BL$93:$BL$192,SMALL(IF($BM$93:$BM$192&lt;&gt;"",ROW($BM$93:$BM$192)-ROW($BM$93)+1),ROWS($BM$93:BM139)))),"")</f>
        <v/>
      </c>
      <c r="BM241" s="647" t="e">
        <f>VLOOKUP($BL241,$BL139:BS$192,2,FALSE)</f>
        <v>#N/A</v>
      </c>
      <c r="BN241" s="634" t="e">
        <f>VLOOKUP($BL241,$BL139:BT$192,8,FALSE)</f>
        <v>#N/A</v>
      </c>
    </row>
    <row r="242" spans="63:155">
      <c r="BL242" s="647" t="str">
        <f>IFERROR(IF(ROWS(BM$93:BM140)&gt;COUNTA($BM$93:$BM$192),"",INDEX($BL$93:$BL$192,SMALL(IF($BM$93:$BM$192&lt;&gt;"",ROW($BM$93:$BM$192)-ROW($BM$93)+1),ROWS($BM$93:BM140)))),"")</f>
        <v/>
      </c>
      <c r="BM242" s="647" t="e">
        <f>VLOOKUP($BL242,$BL140:BS$192,2,FALSE)</f>
        <v>#N/A</v>
      </c>
      <c r="BN242" s="634" t="e">
        <f>VLOOKUP($BL242,$BL140:BT$192,8,FALSE)</f>
        <v>#N/A</v>
      </c>
    </row>
    <row r="243" spans="63:155">
      <c r="BL243" s="647" t="str">
        <f>IFERROR(IF(ROWS(BM$93:BM141)&gt;COUNTA($BM$93:$BM$192),"",INDEX($BL$93:$BL$192,SMALL(IF($BM$93:$BM$192&lt;&gt;"",ROW($BM$93:$BM$192)-ROW($BM$93)+1),ROWS($BM$93:BM141)))),"")</f>
        <v/>
      </c>
      <c r="BM243" s="647" t="e">
        <f>VLOOKUP($BL243,$BL141:BS$192,2,FALSE)</f>
        <v>#N/A</v>
      </c>
      <c r="BN243" s="634" t="e">
        <f>VLOOKUP($BL243,$BL141:BT$192,8,FALSE)</f>
        <v>#N/A</v>
      </c>
    </row>
    <row r="244" spans="63:155">
      <c r="BL244" s="647" t="str">
        <f>IFERROR(IF(ROWS(BM$93:BM142)&gt;COUNTA($BM$93:$BM$192),"",INDEX($BL$93:$BL$192,SMALL(IF($BM$93:$BM$192&lt;&gt;"",ROW($BM$93:$BM$192)-ROW($BM$93)+1),ROWS($BM$93:BM142)))),"")</f>
        <v/>
      </c>
      <c r="BM244" s="647" t="e">
        <f>VLOOKUP($BL244,$BL142:BS$192,2,FALSE)</f>
        <v>#N/A</v>
      </c>
      <c r="BN244" s="634" t="e">
        <f>VLOOKUP($BL244,$BL142:BT$192,8,FALSE)</f>
        <v>#N/A</v>
      </c>
    </row>
    <row r="251" spans="63:155" ht="30.25" customHeight="1">
      <c r="DK251" s="1441"/>
      <c r="DL251" s="9"/>
      <c r="DM251" s="9"/>
      <c r="DN251" s="9"/>
      <c r="DO251" s="9"/>
      <c r="DP251" s="9"/>
      <c r="DQ251" s="9"/>
      <c r="DR251" s="9"/>
      <c r="DS251" s="9"/>
      <c r="DT251" s="9"/>
      <c r="DU251" s="9"/>
      <c r="DV251" s="9"/>
      <c r="DW251" s="11"/>
      <c r="DX251" s="1562" t="s">
        <v>189</v>
      </c>
      <c r="DY251" s="1562"/>
      <c r="DZ251" s="1562"/>
      <c r="EA251" s="1562"/>
      <c r="EB251" s="1562" t="s">
        <v>243</v>
      </c>
      <c r="EC251" s="1562"/>
      <c r="ED251" s="1562"/>
      <c r="EE251" s="1562"/>
      <c r="EF251" s="1562" t="s">
        <v>244</v>
      </c>
      <c r="EG251" s="1562"/>
      <c r="EH251" s="1562" t="s">
        <v>245</v>
      </c>
      <c r="EI251" s="1562"/>
      <c r="EJ251" s="1562"/>
      <c r="EK251" s="1562"/>
      <c r="EL251" s="1562" t="s">
        <v>246</v>
      </c>
      <c r="EM251" s="1562"/>
      <c r="EN251" s="1562"/>
      <c r="EO251" s="1562"/>
      <c r="EP251" s="1562" t="s">
        <v>247</v>
      </c>
      <c r="EQ251" s="1562"/>
      <c r="ER251" s="433"/>
      <c r="ES251" s="433"/>
      <c r="ET251" s="433"/>
      <c r="EU251" s="433"/>
      <c r="EV251" s="1561" t="s">
        <v>193</v>
      </c>
      <c r="EW251" s="1561"/>
      <c r="EX251" s="432"/>
    </row>
    <row r="252" spans="63:155" ht="30.25" customHeight="1">
      <c r="DK252" s="1441"/>
      <c r="DL252" s="9"/>
      <c r="DM252" s="1570" t="s">
        <v>196</v>
      </c>
      <c r="DN252" s="9"/>
      <c r="DO252" s="9"/>
      <c r="DP252" s="9"/>
      <c r="DQ252" s="9"/>
      <c r="DR252" s="9"/>
      <c r="DS252" s="9"/>
      <c r="DT252" s="9"/>
      <c r="DU252" s="9"/>
      <c r="DV252" s="9"/>
      <c r="DW252" s="11"/>
      <c r="DX252" s="1617"/>
      <c r="DY252" s="1617"/>
      <c r="DZ252" s="1617"/>
      <c r="EA252" s="1617"/>
      <c r="EB252" s="1617"/>
      <c r="EC252" s="1617"/>
      <c r="ED252" s="1617"/>
      <c r="EE252" s="1617"/>
      <c r="EF252" s="1617"/>
      <c r="EG252" s="1617"/>
      <c r="EH252" s="1617"/>
      <c r="EI252" s="1617"/>
      <c r="EJ252" s="1617"/>
      <c r="EK252" s="1617"/>
      <c r="EL252" s="1617"/>
      <c r="EM252" s="1617"/>
      <c r="EN252" s="1617"/>
      <c r="EO252" s="1617"/>
      <c r="EP252" s="1617"/>
      <c r="EQ252" s="1617"/>
      <c r="ER252" s="560"/>
      <c r="ES252" s="560"/>
      <c r="ET252" s="560"/>
      <c r="EU252" s="560"/>
      <c r="EV252" s="1649"/>
      <c r="EW252" s="1649"/>
      <c r="EX252" s="432"/>
    </row>
    <row r="253" spans="63:155">
      <c r="DK253" s="1441"/>
      <c r="DL253" s="9"/>
      <c r="DM253" s="1570"/>
      <c r="DN253" s="9"/>
      <c r="DO253" s="9"/>
      <c r="DP253" s="9"/>
      <c r="DQ253" s="9"/>
      <c r="DR253" s="9"/>
      <c r="DS253" s="9"/>
      <c r="DT253" s="9"/>
      <c r="DU253" s="9"/>
      <c r="DV253" s="9"/>
      <c r="DW253" s="11"/>
      <c r="DX253" s="1602"/>
      <c r="DY253" s="1602"/>
      <c r="DZ253" s="1602"/>
      <c r="EA253" s="1602"/>
      <c r="EB253" s="1602"/>
      <c r="EC253" s="1602"/>
      <c r="ED253" s="1602"/>
      <c r="EE253" s="1602"/>
      <c r="EF253" s="1613"/>
      <c r="EG253" s="1613"/>
      <c r="EH253" s="1643"/>
      <c r="EI253" s="1643"/>
      <c r="EJ253" s="1643"/>
      <c r="EK253" s="1643"/>
      <c r="EL253" s="1602"/>
      <c r="EM253" s="1602"/>
      <c r="EN253" s="1602"/>
      <c r="EO253" s="1602"/>
      <c r="EP253" s="1613"/>
      <c r="EQ253" s="1613"/>
      <c r="ER253" s="559"/>
      <c r="ES253" s="559"/>
      <c r="ET253" s="559"/>
      <c r="EU253" s="559"/>
      <c r="EV253" s="1613"/>
      <c r="EW253" s="1613"/>
      <c r="EX253" s="433"/>
      <c r="EY253" s="9"/>
    </row>
    <row r="254" spans="63:155" ht="14.95" thickBot="1">
      <c r="CR254" s="9"/>
      <c r="CS254" s="9"/>
      <c r="CT254" s="9"/>
      <c r="CU254" s="32" t="str">
        <f>IF(CN258="","",CONCATENATE(CB258," - ",CF258," ",CJ258))</f>
        <v>Fluorescent - T8 4-foot (Electronic) 3-Lamp</v>
      </c>
      <c r="CZ254" s="626" t="b">
        <f>IF(OR(BX258="",CB258="",CF258="",CJ258="")=TRUE,FALSE,TRUE)</f>
        <v>1</v>
      </c>
      <c r="DA254" s="626" t="b">
        <f>IF(CF258&lt;&gt;"",IF(ISERROR(MATCH(CONCATENATE(CB258," - ",CF258),Existing!G$4:G$331,0))=TRUE,FALSE,TRUE),TRUE)</f>
        <v>1</v>
      </c>
      <c r="DB254" s="626" t="b">
        <f>IF(AND(CZ254=TRUE,CP258=""),FALSE,TRUE)</f>
        <v>1</v>
      </c>
      <c r="DK254" s="1441"/>
      <c r="DL254" s="9"/>
      <c r="DM254" s="627" t="s">
        <v>215</v>
      </c>
      <c r="DN254" s="623"/>
      <c r="DO254" s="623"/>
      <c r="DP254" s="623"/>
      <c r="DQ254" s="623"/>
      <c r="DR254" s="623"/>
      <c r="DS254" s="623"/>
      <c r="DT254" s="623"/>
      <c r="DU254" s="651"/>
      <c r="DV254" s="652" t="str">
        <f>IF(EV254&lt;&gt;"Yes","",CONCATENATE(EB254,", (",EF254,") ",EH254," #",EL254))</f>
        <v>TLED (Plug and Play), (3) ACME #75510</v>
      </c>
      <c r="DW254" s="11">
        <v>1</v>
      </c>
      <c r="DX254" s="1594" t="s">
        <v>248</v>
      </c>
      <c r="DY254" s="1595"/>
      <c r="DZ254" s="1595"/>
      <c r="EA254" s="1596"/>
      <c r="EB254" s="1597" t="s">
        <v>249</v>
      </c>
      <c r="EC254" s="1597"/>
      <c r="ED254" s="1597"/>
      <c r="EE254" s="1597"/>
      <c r="EF254" s="1598">
        <v>3</v>
      </c>
      <c r="EG254" s="1599"/>
      <c r="EH254" s="1594" t="s">
        <v>250</v>
      </c>
      <c r="EI254" s="1595"/>
      <c r="EJ254" s="1595"/>
      <c r="EK254" s="1596"/>
      <c r="EL254" s="1594">
        <v>75510</v>
      </c>
      <c r="EM254" s="1595"/>
      <c r="EN254" s="1595"/>
      <c r="EO254" s="1596"/>
      <c r="EP254" s="1598">
        <v>35</v>
      </c>
      <c r="EQ254" s="1599"/>
      <c r="ER254" s="653"/>
      <c r="ES254" s="653"/>
      <c r="ET254" s="653"/>
      <c r="EU254" s="653"/>
      <c r="EV254" s="1584" t="str">
        <f>IF(DX254&lt;&gt;"",IF(OR(EB254="",EF254="",EH254="",EL254="",EP254=""),"NO","YES"),"")</f>
        <v>YES</v>
      </c>
      <c r="EW254" s="1585"/>
      <c r="EX254" s="86"/>
      <c r="EY254" s="9"/>
    </row>
    <row r="255" spans="63:155" ht="15.65" thickTop="1" thickBot="1">
      <c r="BK255" s="1441"/>
      <c r="BX255" s="1562" t="s">
        <v>189</v>
      </c>
      <c r="BY255" s="1562"/>
      <c r="BZ255" s="1562"/>
      <c r="CA255" s="1562"/>
      <c r="CB255" s="1562" t="s">
        <v>190</v>
      </c>
      <c r="CC255" s="1562"/>
      <c r="CD255" s="1562"/>
      <c r="CE255" s="1562"/>
      <c r="CF255" s="1562" t="s">
        <v>191</v>
      </c>
      <c r="CG255" s="1562"/>
      <c r="CH255" s="1562"/>
      <c r="CI255" s="1562"/>
      <c r="CJ255" s="1562" t="s">
        <v>192</v>
      </c>
      <c r="CK255" s="1562"/>
      <c r="CL255" s="1562"/>
      <c r="CM255" s="1562"/>
      <c r="CN255" s="1561" t="s">
        <v>193</v>
      </c>
      <c r="CO255" s="1561"/>
      <c r="CP255" s="1603" t="s">
        <v>194</v>
      </c>
      <c r="CR255" s="9"/>
      <c r="CS255" s="9"/>
      <c r="CT255" s="9"/>
      <c r="DK255" s="1441"/>
      <c r="DL255" s="9"/>
      <c r="DM255" s="627" t="s">
        <v>237</v>
      </c>
      <c r="DN255" s="52"/>
      <c r="DO255" s="52"/>
      <c r="DP255" s="52"/>
      <c r="DQ255" s="52"/>
      <c r="DR255" s="52"/>
      <c r="DS255" s="52"/>
      <c r="DT255" s="52"/>
      <c r="DU255" s="373"/>
      <c r="DV255" s="53" t="str">
        <f>IF(EV255&lt;&gt;"Yes","",CONCATENATE(EB255,", (",EF255,") ",EH255," #",EL255))</f>
        <v>New Replacement Fixture, (1) ACME #85B-LED-35K</v>
      </c>
      <c r="DW255" s="11">
        <v>2</v>
      </c>
      <c r="DX255" s="1589" t="s">
        <v>251</v>
      </c>
      <c r="DY255" s="1590"/>
      <c r="DZ255" s="1590"/>
      <c r="EA255" s="1591"/>
      <c r="EB255" s="1586" t="s">
        <v>252</v>
      </c>
      <c r="EC255" s="1586"/>
      <c r="ED255" s="1586"/>
      <c r="EE255" s="1586"/>
      <c r="EF255" s="1587">
        <v>1</v>
      </c>
      <c r="EG255" s="1588"/>
      <c r="EH255" s="1589" t="s">
        <v>250</v>
      </c>
      <c r="EI255" s="1590"/>
      <c r="EJ255" s="1590"/>
      <c r="EK255" s="1591"/>
      <c r="EL255" s="1589" t="s">
        <v>253</v>
      </c>
      <c r="EM255" s="1590"/>
      <c r="EN255" s="1590"/>
      <c r="EO255" s="1591"/>
      <c r="EP255" s="1587">
        <v>105</v>
      </c>
      <c r="EQ255" s="1588"/>
      <c r="ER255" s="562"/>
      <c r="ES255" s="562"/>
      <c r="ET255" s="562"/>
      <c r="EU255" s="562"/>
      <c r="EV255" s="1592" t="str">
        <f>IF(DX255&lt;&gt;"",IF(OR(EB255="",EF255="",EH255="",EL255="",EP255=""),"NO","YES"),"")</f>
        <v>YES</v>
      </c>
      <c r="EW255" s="1593"/>
      <c r="EX255" s="86"/>
      <c r="EY255" s="9"/>
    </row>
    <row r="256" spans="63:155" ht="14.95" thickTop="1">
      <c r="BK256" s="1441"/>
      <c r="BX256" s="1562"/>
      <c r="BY256" s="1562"/>
      <c r="BZ256" s="1562"/>
      <c r="CA256" s="1562"/>
      <c r="CB256" s="1562"/>
      <c r="CC256" s="1562"/>
      <c r="CD256" s="1562"/>
      <c r="CE256" s="1562"/>
      <c r="CF256" s="1562"/>
      <c r="CG256" s="1562"/>
      <c r="CH256" s="1562"/>
      <c r="CI256" s="1562"/>
      <c r="CJ256" s="1562"/>
      <c r="CK256" s="1562"/>
      <c r="CL256" s="1562"/>
      <c r="CM256" s="1562"/>
      <c r="CN256" s="1561"/>
      <c r="CO256" s="1561"/>
      <c r="CP256" s="1603"/>
      <c r="CR256" s="9"/>
      <c r="CS256" s="9"/>
      <c r="CT256" s="9"/>
      <c r="CZ256" s="46"/>
      <c r="DA256" s="46"/>
      <c r="DB256" s="46"/>
      <c r="DK256" s="1441"/>
      <c r="DL256" s="9"/>
      <c r="DM256" s="399"/>
      <c r="DN256" s="54"/>
      <c r="DO256" s="54"/>
      <c r="DP256" s="54"/>
      <c r="DQ256" s="54"/>
      <c r="DR256" s="54"/>
      <c r="DS256" s="54"/>
      <c r="DT256" s="54"/>
      <c r="DU256" s="374"/>
      <c r="DV256" s="55" t="str">
        <f>IF(EV256&lt;&gt;"Yes","",CONCATENATE(EB256,", (",EF256,") ",EH256," #",EL256))</f>
        <v/>
      </c>
      <c r="DW256" s="11">
        <v>3</v>
      </c>
      <c r="DX256" s="1631"/>
      <c r="DY256" s="1632"/>
      <c r="DZ256" s="1632"/>
      <c r="EA256" s="1633"/>
      <c r="EB256" s="1634"/>
      <c r="EC256" s="1634"/>
      <c r="ED256" s="1634"/>
      <c r="EE256" s="1634"/>
      <c r="EF256" s="1582"/>
      <c r="EG256" s="1583"/>
      <c r="EH256" s="1631"/>
      <c r="EI256" s="1632"/>
      <c r="EJ256" s="1632"/>
      <c r="EK256" s="1633"/>
      <c r="EL256" s="1631"/>
      <c r="EM256" s="1632"/>
      <c r="EN256" s="1632"/>
      <c r="EO256" s="1633"/>
      <c r="EP256" s="1582"/>
      <c r="EQ256" s="1583"/>
      <c r="ER256" s="563"/>
      <c r="ES256" s="563"/>
      <c r="ET256" s="563"/>
      <c r="EU256" s="563"/>
      <c r="EV256" s="1580" t="str">
        <f>IF(DX256&lt;&gt;"",IF(OR(EB256="",EF256="",EH256="",EL256="",EP256=""),"NO","YES"),"")</f>
        <v/>
      </c>
      <c r="EW256" s="1581"/>
      <c r="EX256" s="86"/>
      <c r="EY256" s="9"/>
    </row>
    <row r="257" spans="63:115" ht="14.95" thickBot="1">
      <c r="BK257" s="1441"/>
      <c r="BX257" s="1611"/>
      <c r="BY257" s="1611"/>
      <c r="BZ257" s="1611"/>
      <c r="CA257" s="1611"/>
      <c r="CB257" s="1611"/>
      <c r="CC257" s="1611"/>
      <c r="CD257" s="1611"/>
      <c r="CE257" s="1611"/>
      <c r="CF257" s="1611"/>
      <c r="CG257" s="1611"/>
      <c r="CH257" s="1611"/>
      <c r="CI257" s="1611"/>
      <c r="CJ257" s="1611"/>
      <c r="CK257" s="1611"/>
      <c r="CL257" s="1611"/>
      <c r="CM257" s="1611"/>
      <c r="CN257" s="1612"/>
      <c r="CO257" s="1612"/>
      <c r="CP257" s="343"/>
      <c r="DK257" s="1441"/>
    </row>
    <row r="258" spans="63:115" ht="15.65" thickTop="1" thickBot="1">
      <c r="BK258" s="1441"/>
      <c r="BL258" s="9"/>
      <c r="BM258" s="648"/>
      <c r="BN258" s="649"/>
      <c r="BO258" s="649"/>
      <c r="BP258" s="649"/>
      <c r="BQ258" s="649"/>
      <c r="BR258" s="649"/>
      <c r="BS258" s="649"/>
      <c r="BT258" s="649"/>
      <c r="BU258" s="649"/>
      <c r="BV258" s="650" t="str">
        <f>IF(CN258&lt;&gt;"Yes","",IFERROR(VLOOKUP(CU254,Existing!A$4:F$367,2,FALSE),""))</f>
        <v>Fluorescent - T8 4-foot (Electronic) 3-Lamp</v>
      </c>
      <c r="BW258" s="9">
        <v>1</v>
      </c>
      <c r="BX258" s="1589" t="s">
        <v>248</v>
      </c>
      <c r="BY258" s="1590"/>
      <c r="BZ258" s="1590"/>
      <c r="CA258" s="1591"/>
      <c r="CB258" s="1607" t="s">
        <v>254</v>
      </c>
      <c r="CC258" s="1608"/>
      <c r="CD258" s="1608"/>
      <c r="CE258" s="1609"/>
      <c r="CF258" s="1610" t="s">
        <v>255</v>
      </c>
      <c r="CG258" s="1610"/>
      <c r="CH258" s="1610"/>
      <c r="CI258" s="1610"/>
      <c r="CJ258" s="1610" t="s">
        <v>256</v>
      </c>
      <c r="CK258" s="1610"/>
      <c r="CL258" s="1610"/>
      <c r="CM258" s="1610"/>
      <c r="CN258" s="1592" t="str">
        <f>IF(CB258&lt;&gt;"",IF(OR(CF258="",CJ258="",BX258=""),"NO","YES"),"")</f>
        <v>YES</v>
      </c>
      <c r="CO258" s="1593"/>
      <c r="CP258" s="342">
        <f>IFERROR(VLOOKUP(CU254,Existing!A$3:F$356,6,FALSE),"")</f>
        <v>90</v>
      </c>
      <c r="CQ258" s="9"/>
      <c r="DK258" s="1441"/>
    </row>
    <row r="259" spans="63:115" ht="15.65" thickTop="1" thickBot="1">
      <c r="BK259" s="1441"/>
      <c r="BL259" s="9"/>
      <c r="BM259" s="51"/>
      <c r="BN259" s="52"/>
      <c r="BO259" s="52"/>
      <c r="BP259" s="52"/>
      <c r="BQ259" s="52"/>
      <c r="BR259" s="52"/>
      <c r="BS259" s="52"/>
      <c r="BT259" s="52"/>
      <c r="BU259" s="52"/>
      <c r="BV259" s="219" t="str">
        <f>IF(CN259&lt;&gt;"Yes","",IFERROR(VLOOKUP(CU255,Existing!A$4:F$367,2,FALSE),""))</f>
        <v/>
      </c>
      <c r="BW259" s="9">
        <v>2</v>
      </c>
      <c r="BX259" s="1604"/>
      <c r="BY259" s="1605"/>
      <c r="BZ259" s="1605"/>
      <c r="CA259" s="1606"/>
      <c r="CB259" s="1607"/>
      <c r="CC259" s="1608"/>
      <c r="CD259" s="1608"/>
      <c r="CE259" s="1609"/>
      <c r="CF259" s="1610"/>
      <c r="CG259" s="1610"/>
      <c r="CH259" s="1610"/>
      <c r="CI259" s="1610"/>
      <c r="CJ259" s="1610"/>
      <c r="CK259" s="1610"/>
      <c r="CL259" s="1610"/>
      <c r="CM259" s="1610"/>
      <c r="CN259" s="1553" t="str">
        <f>IF(CB259&lt;&gt;"",IF(OR(CF259="",CJ259="",BX259=""),"NO","YES"),"")</f>
        <v/>
      </c>
      <c r="CO259" s="1554"/>
      <c r="CP259" s="229" t="str">
        <f>IFERROR(VLOOKUP(CU255,Existing!A$3:F$356,6,FALSE),"")</f>
        <v/>
      </c>
      <c r="CQ259" s="9"/>
      <c r="DK259" s="1441"/>
    </row>
    <row r="260" spans="63:115" ht="14.95" thickTop="1">
      <c r="BK260" s="1441"/>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441"/>
    </row>
    <row r="261" spans="63:115">
      <c r="BK261" s="1441"/>
      <c r="DK261" s="1441"/>
    </row>
    <row r="262" spans="63:115">
      <c r="BK262" s="1441"/>
      <c r="DK262" s="1441"/>
    </row>
    <row r="263" spans="63:115">
      <c r="BK263" s="1441"/>
      <c r="DK263" s="1441"/>
    </row>
    <row r="264" spans="63:115">
      <c r="BK264" s="1441"/>
      <c r="DK264" s="1441"/>
    </row>
    <row r="265" spans="63:115">
      <c r="BK265" s="1441"/>
      <c r="DK265" s="1441"/>
    </row>
    <row r="266" spans="63:115">
      <c r="BK266" s="1441"/>
      <c r="DK266" s="1441"/>
    </row>
    <row r="267" spans="63:115">
      <c r="BK267" s="1441"/>
      <c r="DK267" s="1441"/>
    </row>
    <row r="268" spans="63:115">
      <c r="BK268" s="1441"/>
      <c r="DK268" s="1441"/>
    </row>
    <row r="269" spans="63:115">
      <c r="BK269" s="1441"/>
      <c r="DK269" s="1441"/>
    </row>
    <row r="270" spans="63:115">
      <c r="BK270" s="1441"/>
      <c r="DK270" s="1441"/>
    </row>
    <row r="271" spans="63:115">
      <c r="BK271" s="1441"/>
      <c r="DK271" s="1441"/>
    </row>
    <row r="272" spans="63:115">
      <c r="BK272" s="1441"/>
      <c r="DK272" s="1441"/>
    </row>
    <row r="273" spans="63:63">
      <c r="BK273" s="1441"/>
    </row>
    <row r="274" spans="63:63">
      <c r="BK274" s="1441"/>
    </row>
    <row r="275" spans="63:63">
      <c r="BK275" s="1441"/>
    </row>
    <row r="276" spans="63:63">
      <c r="BK276" s="1441"/>
    </row>
    <row r="332" ht="5.0999999999999996" customHeight="1"/>
    <row r="333" ht="20.05" customHeight="1"/>
    <row r="334" ht="5.0999999999999996" customHeight="1"/>
  </sheetData>
  <sheetProtection algorithmName="SHA-512" hashValue="84IW0Q1IKpmfFjIC+2D8MbQ14+dV0LXCg6N8vwGFLAMVczF5P8W5sKncWtDg6l8aKqMjY3MGEPkbNqoNebnzJA==" saltValue="uY7y54Tj1JipP66Zb1/X1A==" spinCount="100000" sheet="1" selectLockedCells="1"/>
  <sortState ref="EM85:EM90">
    <sortCondition ref="EM85"/>
  </sortState>
  <mergeCells count="1119">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3" type="noConversion"/>
  <conditionalFormatting sqref="DA27">
    <cfRule type="cellIs" dxfId="13127" priority="1023" operator="equal">
      <formula>TRUE</formula>
    </cfRule>
    <cfRule type="cellIs" dxfId="13126" priority="1026" operator="equal">
      <formula>FALSE</formula>
    </cfRule>
  </conditionalFormatting>
  <conditionalFormatting sqref="CZ27">
    <cfRule type="cellIs" dxfId="13125" priority="1024" operator="equal">
      <formula>TRUE</formula>
    </cfRule>
    <cfRule type="cellIs" dxfId="13124" priority="1025" operator="equal">
      <formula>FALSE</formula>
    </cfRule>
  </conditionalFormatting>
  <conditionalFormatting sqref="DA75">
    <cfRule type="cellIs" dxfId="13123" priority="495" operator="equal">
      <formula>TRUE</formula>
    </cfRule>
    <cfRule type="cellIs" dxfId="13122" priority="498" operator="equal">
      <formula>FALSE</formula>
    </cfRule>
  </conditionalFormatting>
  <conditionalFormatting sqref="CZ75">
    <cfRule type="cellIs" dxfId="13121" priority="496" operator="equal">
      <formula>TRUE</formula>
    </cfRule>
    <cfRule type="cellIs" dxfId="13120" priority="497" operator="equal">
      <formula>FALSE</formula>
    </cfRule>
  </conditionalFormatting>
  <conditionalFormatting sqref="DB74">
    <cfRule type="cellIs" dxfId="13119" priority="503" operator="equal">
      <formula>TRUE</formula>
    </cfRule>
    <cfRule type="cellIs" dxfId="13118" priority="504" operator="equal">
      <formula>FALSE</formula>
    </cfRule>
  </conditionalFormatting>
  <conditionalFormatting sqref="DB27">
    <cfRule type="cellIs" dxfId="13117" priority="1020" operator="equal">
      <formula>TRUE</formula>
    </cfRule>
    <cfRule type="cellIs" dxfId="13116" priority="1021" operator="equal">
      <formula>FALSE</formula>
    </cfRule>
  </conditionalFormatting>
  <conditionalFormatting sqref="CZ72">
    <cfRule type="cellIs" dxfId="13115" priority="529" operator="equal">
      <formula>TRUE</formula>
    </cfRule>
    <cfRule type="cellIs" dxfId="13114" priority="530" operator="equal">
      <formula>FALSE</formula>
    </cfRule>
  </conditionalFormatting>
  <conditionalFormatting sqref="DA76">
    <cfRule type="cellIs" dxfId="13113" priority="484" operator="equal">
      <formula>TRUE</formula>
    </cfRule>
    <cfRule type="cellIs" dxfId="13112" priority="487" operator="equal">
      <formula>FALSE</formula>
    </cfRule>
  </conditionalFormatting>
  <conditionalFormatting sqref="CZ76">
    <cfRule type="cellIs" dxfId="13111" priority="485" operator="equal">
      <formula>TRUE</formula>
    </cfRule>
    <cfRule type="cellIs" dxfId="13110" priority="486" operator="equal">
      <formula>FALSE</formula>
    </cfRule>
  </conditionalFormatting>
  <conditionalFormatting sqref="DB76">
    <cfRule type="cellIs" dxfId="13109" priority="481" operator="equal">
      <formula>TRUE</formula>
    </cfRule>
    <cfRule type="cellIs" dxfId="13108" priority="482" operator="equal">
      <formula>FALSE</formula>
    </cfRule>
  </conditionalFormatting>
  <conditionalFormatting sqref="DA28">
    <cfRule type="cellIs" dxfId="13107" priority="1012" operator="equal">
      <formula>TRUE</formula>
    </cfRule>
    <cfRule type="cellIs" dxfId="13106" priority="1015" operator="equal">
      <formula>FALSE</formula>
    </cfRule>
  </conditionalFormatting>
  <conditionalFormatting sqref="CZ28">
    <cfRule type="cellIs" dxfId="13105" priority="1013" operator="equal">
      <formula>TRUE</formula>
    </cfRule>
    <cfRule type="cellIs" dxfId="13104" priority="1014" operator="equal">
      <formula>FALSE</formula>
    </cfRule>
  </conditionalFormatting>
  <conditionalFormatting sqref="DB28">
    <cfRule type="cellIs" dxfId="13103" priority="1009" operator="equal">
      <formula>TRUE</formula>
    </cfRule>
    <cfRule type="cellIs" dxfId="13102" priority="1010" operator="equal">
      <formula>FALSE</formula>
    </cfRule>
  </conditionalFormatting>
  <conditionalFormatting sqref="DA29">
    <cfRule type="cellIs" dxfId="13101" priority="1001" operator="equal">
      <formula>TRUE</formula>
    </cfRule>
    <cfRule type="cellIs" dxfId="13100" priority="1004" operator="equal">
      <formula>FALSE</formula>
    </cfRule>
  </conditionalFormatting>
  <conditionalFormatting sqref="CZ29">
    <cfRule type="cellIs" dxfId="13099" priority="1002" operator="equal">
      <formula>TRUE</formula>
    </cfRule>
    <cfRule type="cellIs" dxfId="13098" priority="1003" operator="equal">
      <formula>FALSE</formula>
    </cfRule>
  </conditionalFormatting>
  <conditionalFormatting sqref="DB29">
    <cfRule type="cellIs" dxfId="13097" priority="998" operator="equal">
      <formula>TRUE</formula>
    </cfRule>
    <cfRule type="cellIs" dxfId="13096" priority="999" operator="equal">
      <formula>FALSE</formula>
    </cfRule>
  </conditionalFormatting>
  <conditionalFormatting sqref="DA30">
    <cfRule type="cellIs" dxfId="13095" priority="990" operator="equal">
      <formula>TRUE</formula>
    </cfRule>
    <cfRule type="cellIs" dxfId="13094" priority="993" operator="equal">
      <formula>FALSE</formula>
    </cfRule>
  </conditionalFormatting>
  <conditionalFormatting sqref="CZ30">
    <cfRule type="cellIs" dxfId="13093" priority="991" operator="equal">
      <formula>TRUE</formula>
    </cfRule>
    <cfRule type="cellIs" dxfId="13092" priority="992" operator="equal">
      <formula>FALSE</formula>
    </cfRule>
  </conditionalFormatting>
  <conditionalFormatting sqref="DB30">
    <cfRule type="cellIs" dxfId="13091" priority="987" operator="equal">
      <formula>TRUE</formula>
    </cfRule>
    <cfRule type="cellIs" dxfId="13090" priority="988" operator="equal">
      <formula>FALSE</formula>
    </cfRule>
  </conditionalFormatting>
  <conditionalFormatting sqref="DA31">
    <cfRule type="cellIs" dxfId="13089" priority="979" operator="equal">
      <formula>TRUE</formula>
    </cfRule>
    <cfRule type="cellIs" dxfId="13088" priority="982" operator="equal">
      <formula>FALSE</formula>
    </cfRule>
  </conditionalFormatting>
  <conditionalFormatting sqref="CZ31">
    <cfRule type="cellIs" dxfId="13087" priority="980" operator="equal">
      <formula>TRUE</formula>
    </cfRule>
    <cfRule type="cellIs" dxfId="13086" priority="981" operator="equal">
      <formula>FALSE</formula>
    </cfRule>
  </conditionalFormatting>
  <conditionalFormatting sqref="DB31">
    <cfRule type="cellIs" dxfId="13085" priority="976" operator="equal">
      <formula>TRUE</formula>
    </cfRule>
    <cfRule type="cellIs" dxfId="13084" priority="977" operator="equal">
      <formula>FALSE</formula>
    </cfRule>
  </conditionalFormatting>
  <conditionalFormatting sqref="DA32">
    <cfRule type="cellIs" dxfId="13083" priority="968" operator="equal">
      <formula>TRUE</formula>
    </cfRule>
    <cfRule type="cellIs" dxfId="13082" priority="971" operator="equal">
      <formula>FALSE</formula>
    </cfRule>
  </conditionalFormatting>
  <conditionalFormatting sqref="CZ32">
    <cfRule type="cellIs" dxfId="13081" priority="969" operator="equal">
      <formula>TRUE</formula>
    </cfRule>
    <cfRule type="cellIs" dxfId="13080" priority="970" operator="equal">
      <formula>FALSE</formula>
    </cfRule>
  </conditionalFormatting>
  <conditionalFormatting sqref="DB32">
    <cfRule type="cellIs" dxfId="13079" priority="965" operator="equal">
      <formula>TRUE</formula>
    </cfRule>
    <cfRule type="cellIs" dxfId="13078" priority="966" operator="equal">
      <formula>FALSE</formula>
    </cfRule>
  </conditionalFormatting>
  <conditionalFormatting sqref="DA33">
    <cfRule type="cellIs" dxfId="13077" priority="957" operator="equal">
      <formula>TRUE</formula>
    </cfRule>
    <cfRule type="cellIs" dxfId="13076" priority="960" operator="equal">
      <formula>FALSE</formula>
    </cfRule>
  </conditionalFormatting>
  <conditionalFormatting sqref="CZ33">
    <cfRule type="cellIs" dxfId="13075" priority="958" operator="equal">
      <formula>TRUE</formula>
    </cfRule>
    <cfRule type="cellIs" dxfId="13074" priority="959" operator="equal">
      <formula>FALSE</formula>
    </cfRule>
  </conditionalFormatting>
  <conditionalFormatting sqref="DB33">
    <cfRule type="cellIs" dxfId="13073" priority="954" operator="equal">
      <formula>TRUE</formula>
    </cfRule>
    <cfRule type="cellIs" dxfId="13072" priority="955" operator="equal">
      <formula>FALSE</formula>
    </cfRule>
  </conditionalFormatting>
  <conditionalFormatting sqref="DA34">
    <cfRule type="cellIs" dxfId="13071" priority="946" operator="equal">
      <formula>TRUE</formula>
    </cfRule>
    <cfRule type="cellIs" dxfId="13070" priority="949" operator="equal">
      <formula>FALSE</formula>
    </cfRule>
  </conditionalFormatting>
  <conditionalFormatting sqref="CZ34">
    <cfRule type="cellIs" dxfId="13069" priority="947" operator="equal">
      <formula>TRUE</formula>
    </cfRule>
    <cfRule type="cellIs" dxfId="13068" priority="948" operator="equal">
      <formula>FALSE</formula>
    </cfRule>
  </conditionalFormatting>
  <conditionalFormatting sqref="DB34">
    <cfRule type="cellIs" dxfId="13067" priority="943" operator="equal">
      <formula>TRUE</formula>
    </cfRule>
    <cfRule type="cellIs" dxfId="13066" priority="944" operator="equal">
      <formula>FALSE</formula>
    </cfRule>
  </conditionalFormatting>
  <conditionalFormatting sqref="DA35">
    <cfRule type="cellIs" dxfId="13065" priority="935" operator="equal">
      <formula>TRUE</formula>
    </cfRule>
    <cfRule type="cellIs" dxfId="13064" priority="938" operator="equal">
      <formula>FALSE</formula>
    </cfRule>
  </conditionalFormatting>
  <conditionalFormatting sqref="CZ35">
    <cfRule type="cellIs" dxfId="13063" priority="936" operator="equal">
      <formula>TRUE</formula>
    </cfRule>
    <cfRule type="cellIs" dxfId="13062" priority="937" operator="equal">
      <formula>FALSE</formula>
    </cfRule>
  </conditionalFormatting>
  <conditionalFormatting sqref="DB35">
    <cfRule type="cellIs" dxfId="13061" priority="932" operator="equal">
      <formula>TRUE</formula>
    </cfRule>
    <cfRule type="cellIs" dxfId="13060" priority="933" operator="equal">
      <formula>FALSE</formula>
    </cfRule>
  </conditionalFormatting>
  <conditionalFormatting sqref="DA36">
    <cfRule type="cellIs" dxfId="13059" priority="924" operator="equal">
      <formula>TRUE</formula>
    </cfRule>
    <cfRule type="cellIs" dxfId="13058" priority="927" operator="equal">
      <formula>FALSE</formula>
    </cfRule>
  </conditionalFormatting>
  <conditionalFormatting sqref="CZ36">
    <cfRule type="cellIs" dxfId="13057" priority="925" operator="equal">
      <formula>TRUE</formula>
    </cfRule>
    <cfRule type="cellIs" dxfId="13056" priority="926" operator="equal">
      <formula>FALSE</formula>
    </cfRule>
  </conditionalFormatting>
  <conditionalFormatting sqref="DB36">
    <cfRule type="cellIs" dxfId="13055" priority="921" operator="equal">
      <formula>TRUE</formula>
    </cfRule>
    <cfRule type="cellIs" dxfId="13054" priority="922" operator="equal">
      <formula>FALSE</formula>
    </cfRule>
  </conditionalFormatting>
  <conditionalFormatting sqref="DA37">
    <cfRule type="cellIs" dxfId="13053" priority="913" operator="equal">
      <formula>TRUE</formula>
    </cfRule>
    <cfRule type="cellIs" dxfId="13052" priority="916" operator="equal">
      <formula>FALSE</formula>
    </cfRule>
  </conditionalFormatting>
  <conditionalFormatting sqref="CZ37">
    <cfRule type="cellIs" dxfId="13051" priority="914" operator="equal">
      <formula>TRUE</formula>
    </cfRule>
    <cfRule type="cellIs" dxfId="13050" priority="915" operator="equal">
      <formula>FALSE</formula>
    </cfRule>
  </conditionalFormatting>
  <conditionalFormatting sqref="DB37">
    <cfRule type="cellIs" dxfId="13049" priority="910" operator="equal">
      <formula>TRUE</formula>
    </cfRule>
    <cfRule type="cellIs" dxfId="13048" priority="911" operator="equal">
      <formula>FALSE</formula>
    </cfRule>
  </conditionalFormatting>
  <conditionalFormatting sqref="DA38">
    <cfRule type="cellIs" dxfId="13047" priority="902" operator="equal">
      <formula>TRUE</formula>
    </cfRule>
    <cfRule type="cellIs" dxfId="13046" priority="905" operator="equal">
      <formula>FALSE</formula>
    </cfRule>
  </conditionalFormatting>
  <conditionalFormatting sqref="CZ38">
    <cfRule type="cellIs" dxfId="13045" priority="903" operator="equal">
      <formula>TRUE</formula>
    </cfRule>
    <cfRule type="cellIs" dxfId="13044" priority="904" operator="equal">
      <formula>FALSE</formula>
    </cfRule>
  </conditionalFormatting>
  <conditionalFormatting sqref="DB38">
    <cfRule type="cellIs" dxfId="13043" priority="899" operator="equal">
      <formula>TRUE</formula>
    </cfRule>
    <cfRule type="cellIs" dxfId="13042" priority="900" operator="equal">
      <formula>FALSE</formula>
    </cfRule>
  </conditionalFormatting>
  <conditionalFormatting sqref="DA39">
    <cfRule type="cellIs" dxfId="13041" priority="891" operator="equal">
      <formula>TRUE</formula>
    </cfRule>
    <cfRule type="cellIs" dxfId="13040" priority="894" operator="equal">
      <formula>FALSE</formula>
    </cfRule>
  </conditionalFormatting>
  <conditionalFormatting sqref="CZ39">
    <cfRule type="cellIs" dxfId="13039" priority="892" operator="equal">
      <formula>TRUE</formula>
    </cfRule>
    <cfRule type="cellIs" dxfId="13038" priority="893" operator="equal">
      <formula>FALSE</formula>
    </cfRule>
  </conditionalFormatting>
  <conditionalFormatting sqref="DB39">
    <cfRule type="cellIs" dxfId="13037" priority="888" operator="equal">
      <formula>TRUE</formula>
    </cfRule>
    <cfRule type="cellIs" dxfId="13036" priority="889" operator="equal">
      <formula>FALSE</formula>
    </cfRule>
  </conditionalFormatting>
  <conditionalFormatting sqref="DA40">
    <cfRule type="cellIs" dxfId="13035" priority="880" operator="equal">
      <formula>TRUE</formula>
    </cfRule>
    <cfRule type="cellIs" dxfId="13034" priority="883" operator="equal">
      <formula>FALSE</formula>
    </cfRule>
  </conditionalFormatting>
  <conditionalFormatting sqref="CZ40">
    <cfRule type="cellIs" dxfId="13033" priority="881" operator="equal">
      <formula>TRUE</formula>
    </cfRule>
    <cfRule type="cellIs" dxfId="13032" priority="882" operator="equal">
      <formula>FALSE</formula>
    </cfRule>
  </conditionalFormatting>
  <conditionalFormatting sqref="DB40">
    <cfRule type="cellIs" dxfId="13031" priority="877" operator="equal">
      <formula>TRUE</formula>
    </cfRule>
    <cfRule type="cellIs" dxfId="13030" priority="878" operator="equal">
      <formula>FALSE</formula>
    </cfRule>
  </conditionalFormatting>
  <conditionalFormatting sqref="DA41">
    <cfRule type="cellIs" dxfId="13029" priority="869" operator="equal">
      <formula>TRUE</formula>
    </cfRule>
    <cfRule type="cellIs" dxfId="13028" priority="872" operator="equal">
      <formula>FALSE</formula>
    </cfRule>
  </conditionalFormatting>
  <conditionalFormatting sqref="CZ41">
    <cfRule type="cellIs" dxfId="13027" priority="870" operator="equal">
      <formula>TRUE</formula>
    </cfRule>
    <cfRule type="cellIs" dxfId="13026" priority="871" operator="equal">
      <formula>FALSE</formula>
    </cfRule>
  </conditionalFormatting>
  <conditionalFormatting sqref="DB41">
    <cfRule type="cellIs" dxfId="13025" priority="866" operator="equal">
      <formula>TRUE</formula>
    </cfRule>
    <cfRule type="cellIs" dxfId="13024" priority="867" operator="equal">
      <formula>FALSE</formula>
    </cfRule>
  </conditionalFormatting>
  <conditionalFormatting sqref="DA42">
    <cfRule type="cellIs" dxfId="13023" priority="858" operator="equal">
      <formula>TRUE</formula>
    </cfRule>
    <cfRule type="cellIs" dxfId="13022" priority="861" operator="equal">
      <formula>FALSE</formula>
    </cfRule>
  </conditionalFormatting>
  <conditionalFormatting sqref="CZ42">
    <cfRule type="cellIs" dxfId="13021" priority="859" operator="equal">
      <formula>TRUE</formula>
    </cfRule>
    <cfRule type="cellIs" dxfId="13020" priority="860" operator="equal">
      <formula>FALSE</formula>
    </cfRule>
  </conditionalFormatting>
  <conditionalFormatting sqref="DB42">
    <cfRule type="cellIs" dxfId="13019" priority="855" operator="equal">
      <formula>TRUE</formula>
    </cfRule>
    <cfRule type="cellIs" dxfId="13018" priority="856" operator="equal">
      <formula>FALSE</formula>
    </cfRule>
  </conditionalFormatting>
  <conditionalFormatting sqref="DA43">
    <cfRule type="cellIs" dxfId="13017" priority="847" operator="equal">
      <formula>TRUE</formula>
    </cfRule>
    <cfRule type="cellIs" dxfId="13016" priority="850" operator="equal">
      <formula>FALSE</formula>
    </cfRule>
  </conditionalFormatting>
  <conditionalFormatting sqref="CZ43">
    <cfRule type="cellIs" dxfId="13015" priority="848" operator="equal">
      <formula>TRUE</formula>
    </cfRule>
    <cfRule type="cellIs" dxfId="13014" priority="849" operator="equal">
      <formula>FALSE</formula>
    </cfRule>
  </conditionalFormatting>
  <conditionalFormatting sqref="DB43">
    <cfRule type="cellIs" dxfId="13013" priority="844" operator="equal">
      <formula>TRUE</formula>
    </cfRule>
    <cfRule type="cellIs" dxfId="13012" priority="845" operator="equal">
      <formula>FALSE</formula>
    </cfRule>
  </conditionalFormatting>
  <conditionalFormatting sqref="DA44">
    <cfRule type="cellIs" dxfId="13011" priority="836" operator="equal">
      <formula>TRUE</formula>
    </cfRule>
    <cfRule type="cellIs" dxfId="13010" priority="839" operator="equal">
      <formula>FALSE</formula>
    </cfRule>
  </conditionalFormatting>
  <conditionalFormatting sqref="CZ44">
    <cfRule type="cellIs" dxfId="13009" priority="837" operator="equal">
      <formula>TRUE</formula>
    </cfRule>
    <cfRule type="cellIs" dxfId="13008" priority="838" operator="equal">
      <formula>FALSE</formula>
    </cfRule>
  </conditionalFormatting>
  <conditionalFormatting sqref="DB44">
    <cfRule type="cellIs" dxfId="13007" priority="833" operator="equal">
      <formula>TRUE</formula>
    </cfRule>
    <cfRule type="cellIs" dxfId="13006" priority="834" operator="equal">
      <formula>FALSE</formula>
    </cfRule>
  </conditionalFormatting>
  <conditionalFormatting sqref="DA45">
    <cfRule type="cellIs" dxfId="13005" priority="825" operator="equal">
      <formula>TRUE</formula>
    </cfRule>
    <cfRule type="cellIs" dxfId="13004" priority="828" operator="equal">
      <formula>FALSE</formula>
    </cfRule>
  </conditionalFormatting>
  <conditionalFormatting sqref="CZ45">
    <cfRule type="cellIs" dxfId="13003" priority="826" operator="equal">
      <formula>TRUE</formula>
    </cfRule>
    <cfRule type="cellIs" dxfId="13002" priority="827" operator="equal">
      <formula>FALSE</formula>
    </cfRule>
  </conditionalFormatting>
  <conditionalFormatting sqref="DB45">
    <cfRule type="cellIs" dxfId="13001" priority="822" operator="equal">
      <formula>TRUE</formula>
    </cfRule>
    <cfRule type="cellIs" dxfId="13000" priority="823" operator="equal">
      <formula>FALSE</formula>
    </cfRule>
  </conditionalFormatting>
  <conditionalFormatting sqref="DA46">
    <cfRule type="cellIs" dxfId="12999" priority="814" operator="equal">
      <formula>TRUE</formula>
    </cfRule>
    <cfRule type="cellIs" dxfId="12998" priority="817" operator="equal">
      <formula>FALSE</formula>
    </cfRule>
  </conditionalFormatting>
  <conditionalFormatting sqref="CZ46">
    <cfRule type="cellIs" dxfId="12997" priority="815" operator="equal">
      <formula>TRUE</formula>
    </cfRule>
    <cfRule type="cellIs" dxfId="12996" priority="816" operator="equal">
      <formula>FALSE</formula>
    </cfRule>
  </conditionalFormatting>
  <conditionalFormatting sqref="DB46">
    <cfRule type="cellIs" dxfId="12995" priority="811" operator="equal">
      <formula>TRUE</formula>
    </cfRule>
    <cfRule type="cellIs" dxfId="12994" priority="812" operator="equal">
      <formula>FALSE</formula>
    </cfRule>
  </conditionalFormatting>
  <conditionalFormatting sqref="DA47">
    <cfRule type="cellIs" dxfId="12993" priority="803" operator="equal">
      <formula>TRUE</formula>
    </cfRule>
    <cfRule type="cellIs" dxfId="12992" priority="806" operator="equal">
      <formula>FALSE</formula>
    </cfRule>
  </conditionalFormatting>
  <conditionalFormatting sqref="CZ47">
    <cfRule type="cellIs" dxfId="12991" priority="804" operator="equal">
      <formula>TRUE</formula>
    </cfRule>
    <cfRule type="cellIs" dxfId="12990" priority="805" operator="equal">
      <formula>FALSE</formula>
    </cfRule>
  </conditionalFormatting>
  <conditionalFormatting sqref="DB47">
    <cfRule type="cellIs" dxfId="12989" priority="800" operator="equal">
      <formula>TRUE</formula>
    </cfRule>
    <cfRule type="cellIs" dxfId="12988" priority="801" operator="equal">
      <formula>FALSE</formula>
    </cfRule>
  </conditionalFormatting>
  <conditionalFormatting sqref="DA48">
    <cfRule type="cellIs" dxfId="12987" priority="792" operator="equal">
      <formula>TRUE</formula>
    </cfRule>
    <cfRule type="cellIs" dxfId="12986" priority="795" operator="equal">
      <formula>FALSE</formula>
    </cfRule>
  </conditionalFormatting>
  <conditionalFormatting sqref="CZ48">
    <cfRule type="cellIs" dxfId="12985" priority="793" operator="equal">
      <formula>TRUE</formula>
    </cfRule>
    <cfRule type="cellIs" dxfId="12984" priority="794" operator="equal">
      <formula>FALSE</formula>
    </cfRule>
  </conditionalFormatting>
  <conditionalFormatting sqref="DB48">
    <cfRule type="cellIs" dxfId="12983" priority="789" operator="equal">
      <formula>TRUE</formula>
    </cfRule>
    <cfRule type="cellIs" dxfId="12982" priority="790" operator="equal">
      <formula>FALSE</formula>
    </cfRule>
  </conditionalFormatting>
  <conditionalFormatting sqref="DA49">
    <cfRule type="cellIs" dxfId="12981" priority="781" operator="equal">
      <formula>TRUE</formula>
    </cfRule>
    <cfRule type="cellIs" dxfId="12980" priority="784" operator="equal">
      <formula>FALSE</formula>
    </cfRule>
  </conditionalFormatting>
  <conditionalFormatting sqref="CZ49">
    <cfRule type="cellIs" dxfId="12979" priority="782" operator="equal">
      <formula>TRUE</formula>
    </cfRule>
    <cfRule type="cellIs" dxfId="12978" priority="783" operator="equal">
      <formula>FALSE</formula>
    </cfRule>
  </conditionalFormatting>
  <conditionalFormatting sqref="DB49">
    <cfRule type="cellIs" dxfId="12977" priority="778" operator="equal">
      <formula>TRUE</formula>
    </cfRule>
    <cfRule type="cellIs" dxfId="12976" priority="779" operator="equal">
      <formula>FALSE</formula>
    </cfRule>
  </conditionalFormatting>
  <conditionalFormatting sqref="DA50">
    <cfRule type="cellIs" dxfId="12975" priority="770" operator="equal">
      <formula>TRUE</formula>
    </cfRule>
    <cfRule type="cellIs" dxfId="12974" priority="773" operator="equal">
      <formula>FALSE</formula>
    </cfRule>
  </conditionalFormatting>
  <conditionalFormatting sqref="CZ50">
    <cfRule type="cellIs" dxfId="12973" priority="771" operator="equal">
      <formula>TRUE</formula>
    </cfRule>
    <cfRule type="cellIs" dxfId="12972" priority="772" operator="equal">
      <formula>FALSE</formula>
    </cfRule>
  </conditionalFormatting>
  <conditionalFormatting sqref="DB50">
    <cfRule type="cellIs" dxfId="12971" priority="767" operator="equal">
      <formula>TRUE</formula>
    </cfRule>
    <cfRule type="cellIs" dxfId="12970" priority="768" operator="equal">
      <formula>FALSE</formula>
    </cfRule>
  </conditionalFormatting>
  <conditionalFormatting sqref="DA51">
    <cfRule type="cellIs" dxfId="12969" priority="759" operator="equal">
      <formula>TRUE</formula>
    </cfRule>
    <cfRule type="cellIs" dxfId="12968" priority="762" operator="equal">
      <formula>FALSE</formula>
    </cfRule>
  </conditionalFormatting>
  <conditionalFormatting sqref="CZ51">
    <cfRule type="cellIs" dxfId="12967" priority="760" operator="equal">
      <formula>TRUE</formula>
    </cfRule>
    <cfRule type="cellIs" dxfId="12966" priority="761" operator="equal">
      <formula>FALSE</formula>
    </cfRule>
  </conditionalFormatting>
  <conditionalFormatting sqref="DB51">
    <cfRule type="cellIs" dxfId="12965" priority="756" operator="equal">
      <formula>TRUE</formula>
    </cfRule>
    <cfRule type="cellIs" dxfId="12964" priority="757" operator="equal">
      <formula>FALSE</formula>
    </cfRule>
  </conditionalFormatting>
  <conditionalFormatting sqref="DA52">
    <cfRule type="cellIs" dxfId="12963" priority="748" operator="equal">
      <formula>TRUE</formula>
    </cfRule>
    <cfRule type="cellIs" dxfId="12962" priority="751" operator="equal">
      <formula>FALSE</formula>
    </cfRule>
  </conditionalFormatting>
  <conditionalFormatting sqref="CZ52">
    <cfRule type="cellIs" dxfId="12961" priority="749" operator="equal">
      <formula>TRUE</formula>
    </cfRule>
    <cfRule type="cellIs" dxfId="12960" priority="750" operator="equal">
      <formula>FALSE</formula>
    </cfRule>
  </conditionalFormatting>
  <conditionalFormatting sqref="DB52">
    <cfRule type="cellIs" dxfId="12959" priority="745" operator="equal">
      <formula>TRUE</formula>
    </cfRule>
    <cfRule type="cellIs" dxfId="12958" priority="746" operator="equal">
      <formula>FALSE</formula>
    </cfRule>
  </conditionalFormatting>
  <conditionalFormatting sqref="DA53">
    <cfRule type="cellIs" dxfId="12957" priority="737" operator="equal">
      <formula>TRUE</formula>
    </cfRule>
    <cfRule type="cellIs" dxfId="12956" priority="740" operator="equal">
      <formula>FALSE</formula>
    </cfRule>
  </conditionalFormatting>
  <conditionalFormatting sqref="CZ53">
    <cfRule type="cellIs" dxfId="12955" priority="738" operator="equal">
      <formula>TRUE</formula>
    </cfRule>
    <cfRule type="cellIs" dxfId="12954" priority="739" operator="equal">
      <formula>FALSE</formula>
    </cfRule>
  </conditionalFormatting>
  <conditionalFormatting sqref="DB53">
    <cfRule type="cellIs" dxfId="12953" priority="734" operator="equal">
      <formula>TRUE</formula>
    </cfRule>
    <cfRule type="cellIs" dxfId="12952" priority="735" operator="equal">
      <formula>FALSE</formula>
    </cfRule>
  </conditionalFormatting>
  <conditionalFormatting sqref="DA54">
    <cfRule type="cellIs" dxfId="12951" priority="726" operator="equal">
      <formula>TRUE</formula>
    </cfRule>
    <cfRule type="cellIs" dxfId="12950" priority="729" operator="equal">
      <formula>FALSE</formula>
    </cfRule>
  </conditionalFormatting>
  <conditionalFormatting sqref="CZ54">
    <cfRule type="cellIs" dxfId="12949" priority="727" operator="equal">
      <formula>TRUE</formula>
    </cfRule>
    <cfRule type="cellIs" dxfId="12948" priority="728" operator="equal">
      <formula>FALSE</formula>
    </cfRule>
  </conditionalFormatting>
  <conditionalFormatting sqref="DB54">
    <cfRule type="cellIs" dxfId="12947" priority="723" operator="equal">
      <formula>TRUE</formula>
    </cfRule>
    <cfRule type="cellIs" dxfId="12946" priority="724" operator="equal">
      <formula>FALSE</formula>
    </cfRule>
  </conditionalFormatting>
  <conditionalFormatting sqref="DA55">
    <cfRule type="cellIs" dxfId="12945" priority="715" operator="equal">
      <formula>TRUE</formula>
    </cfRule>
    <cfRule type="cellIs" dxfId="12944" priority="718" operator="equal">
      <formula>FALSE</formula>
    </cfRule>
  </conditionalFormatting>
  <conditionalFormatting sqref="CZ55">
    <cfRule type="cellIs" dxfId="12943" priority="716" operator="equal">
      <formula>TRUE</formula>
    </cfRule>
    <cfRule type="cellIs" dxfId="12942" priority="717" operator="equal">
      <formula>FALSE</formula>
    </cfRule>
  </conditionalFormatting>
  <conditionalFormatting sqref="DB55">
    <cfRule type="cellIs" dxfId="12941" priority="712" operator="equal">
      <formula>TRUE</formula>
    </cfRule>
    <cfRule type="cellIs" dxfId="12940" priority="713" operator="equal">
      <formula>FALSE</formula>
    </cfRule>
  </conditionalFormatting>
  <conditionalFormatting sqref="DA56">
    <cfRule type="cellIs" dxfId="12939" priority="704" operator="equal">
      <formula>TRUE</formula>
    </cfRule>
    <cfRule type="cellIs" dxfId="12938" priority="707" operator="equal">
      <formula>FALSE</formula>
    </cfRule>
  </conditionalFormatting>
  <conditionalFormatting sqref="CZ56">
    <cfRule type="cellIs" dxfId="12937" priority="705" operator="equal">
      <formula>TRUE</formula>
    </cfRule>
    <cfRule type="cellIs" dxfId="12936" priority="706" operator="equal">
      <formula>FALSE</formula>
    </cfRule>
  </conditionalFormatting>
  <conditionalFormatting sqref="DB56">
    <cfRule type="cellIs" dxfId="12935" priority="701" operator="equal">
      <formula>TRUE</formula>
    </cfRule>
    <cfRule type="cellIs" dxfId="12934" priority="702" operator="equal">
      <formula>FALSE</formula>
    </cfRule>
  </conditionalFormatting>
  <conditionalFormatting sqref="DA57">
    <cfRule type="cellIs" dxfId="12933" priority="693" operator="equal">
      <formula>TRUE</formula>
    </cfRule>
    <cfRule type="cellIs" dxfId="12932" priority="696" operator="equal">
      <formula>FALSE</formula>
    </cfRule>
  </conditionalFormatting>
  <conditionalFormatting sqref="CZ57">
    <cfRule type="cellIs" dxfId="12931" priority="694" operator="equal">
      <formula>TRUE</formula>
    </cfRule>
    <cfRule type="cellIs" dxfId="12930" priority="695" operator="equal">
      <formula>FALSE</formula>
    </cfRule>
  </conditionalFormatting>
  <conditionalFormatting sqref="DB57">
    <cfRule type="cellIs" dxfId="12929" priority="690" operator="equal">
      <formula>TRUE</formula>
    </cfRule>
    <cfRule type="cellIs" dxfId="12928" priority="691" operator="equal">
      <formula>FALSE</formula>
    </cfRule>
  </conditionalFormatting>
  <conditionalFormatting sqref="DA58">
    <cfRule type="cellIs" dxfId="12927" priority="682" operator="equal">
      <formula>TRUE</formula>
    </cfRule>
    <cfRule type="cellIs" dxfId="12926" priority="685" operator="equal">
      <formula>FALSE</formula>
    </cfRule>
  </conditionalFormatting>
  <conditionalFormatting sqref="CZ58">
    <cfRule type="cellIs" dxfId="12925" priority="683" operator="equal">
      <formula>TRUE</formula>
    </cfRule>
    <cfRule type="cellIs" dxfId="12924" priority="684" operator="equal">
      <formula>FALSE</formula>
    </cfRule>
  </conditionalFormatting>
  <conditionalFormatting sqref="DB58">
    <cfRule type="cellIs" dxfId="12923" priority="679" operator="equal">
      <formula>TRUE</formula>
    </cfRule>
    <cfRule type="cellIs" dxfId="12922" priority="680" operator="equal">
      <formula>FALSE</formula>
    </cfRule>
  </conditionalFormatting>
  <conditionalFormatting sqref="DA59">
    <cfRule type="cellIs" dxfId="12921" priority="671" operator="equal">
      <formula>TRUE</formula>
    </cfRule>
    <cfRule type="cellIs" dxfId="12920" priority="674" operator="equal">
      <formula>FALSE</formula>
    </cfRule>
  </conditionalFormatting>
  <conditionalFormatting sqref="CZ59">
    <cfRule type="cellIs" dxfId="12919" priority="672" operator="equal">
      <formula>TRUE</formula>
    </cfRule>
    <cfRule type="cellIs" dxfId="12918" priority="673" operator="equal">
      <formula>FALSE</formula>
    </cfRule>
  </conditionalFormatting>
  <conditionalFormatting sqref="DB59">
    <cfRule type="cellIs" dxfId="12917" priority="668" operator="equal">
      <formula>TRUE</formula>
    </cfRule>
    <cfRule type="cellIs" dxfId="12916" priority="669" operator="equal">
      <formula>FALSE</formula>
    </cfRule>
  </conditionalFormatting>
  <conditionalFormatting sqref="DA60">
    <cfRule type="cellIs" dxfId="12915" priority="660" operator="equal">
      <formula>TRUE</formula>
    </cfRule>
    <cfRule type="cellIs" dxfId="12914" priority="663" operator="equal">
      <formula>FALSE</formula>
    </cfRule>
  </conditionalFormatting>
  <conditionalFormatting sqref="CZ60">
    <cfRule type="cellIs" dxfId="12913" priority="661" operator="equal">
      <formula>TRUE</formula>
    </cfRule>
    <cfRule type="cellIs" dxfId="12912" priority="662" operator="equal">
      <formula>FALSE</formula>
    </cfRule>
  </conditionalFormatting>
  <conditionalFormatting sqref="DB60">
    <cfRule type="cellIs" dxfId="12911" priority="657" operator="equal">
      <formula>TRUE</formula>
    </cfRule>
    <cfRule type="cellIs" dxfId="12910" priority="658" operator="equal">
      <formula>FALSE</formula>
    </cfRule>
  </conditionalFormatting>
  <conditionalFormatting sqref="DA61">
    <cfRule type="cellIs" dxfId="12909" priority="649" operator="equal">
      <formula>TRUE</formula>
    </cfRule>
    <cfRule type="cellIs" dxfId="12908" priority="652" operator="equal">
      <formula>FALSE</formula>
    </cfRule>
  </conditionalFormatting>
  <conditionalFormatting sqref="CZ61">
    <cfRule type="cellIs" dxfId="12907" priority="650" operator="equal">
      <formula>TRUE</formula>
    </cfRule>
    <cfRule type="cellIs" dxfId="12906" priority="651" operator="equal">
      <formula>FALSE</formula>
    </cfRule>
  </conditionalFormatting>
  <conditionalFormatting sqref="DB61">
    <cfRule type="cellIs" dxfId="12905" priority="646" operator="equal">
      <formula>TRUE</formula>
    </cfRule>
    <cfRule type="cellIs" dxfId="12904" priority="647" operator="equal">
      <formula>FALSE</formula>
    </cfRule>
  </conditionalFormatting>
  <conditionalFormatting sqref="DA62">
    <cfRule type="cellIs" dxfId="12903" priority="638" operator="equal">
      <formula>TRUE</formula>
    </cfRule>
    <cfRule type="cellIs" dxfId="12902" priority="641" operator="equal">
      <formula>FALSE</formula>
    </cfRule>
  </conditionalFormatting>
  <conditionalFormatting sqref="CZ62">
    <cfRule type="cellIs" dxfId="12901" priority="639" operator="equal">
      <formula>TRUE</formula>
    </cfRule>
    <cfRule type="cellIs" dxfId="12900" priority="640" operator="equal">
      <formula>FALSE</formula>
    </cfRule>
  </conditionalFormatting>
  <conditionalFormatting sqref="DB62">
    <cfRule type="cellIs" dxfId="12899" priority="635" operator="equal">
      <formula>TRUE</formula>
    </cfRule>
    <cfRule type="cellIs" dxfId="12898" priority="636" operator="equal">
      <formula>FALSE</formula>
    </cfRule>
  </conditionalFormatting>
  <conditionalFormatting sqref="DA63">
    <cfRule type="cellIs" dxfId="12897" priority="627" operator="equal">
      <formula>TRUE</formula>
    </cfRule>
    <cfRule type="cellIs" dxfId="12896" priority="630" operator="equal">
      <formula>FALSE</formula>
    </cfRule>
  </conditionalFormatting>
  <conditionalFormatting sqref="CZ63">
    <cfRule type="cellIs" dxfId="12895" priority="628" operator="equal">
      <formula>TRUE</formula>
    </cfRule>
    <cfRule type="cellIs" dxfId="12894" priority="629" operator="equal">
      <formula>FALSE</formula>
    </cfRule>
  </conditionalFormatting>
  <conditionalFormatting sqref="DB63">
    <cfRule type="cellIs" dxfId="12893" priority="624" operator="equal">
      <formula>TRUE</formula>
    </cfRule>
    <cfRule type="cellIs" dxfId="12892" priority="625" operator="equal">
      <formula>FALSE</formula>
    </cfRule>
  </conditionalFormatting>
  <conditionalFormatting sqref="DA64">
    <cfRule type="cellIs" dxfId="12891" priority="616" operator="equal">
      <formula>TRUE</formula>
    </cfRule>
    <cfRule type="cellIs" dxfId="12890" priority="619" operator="equal">
      <formula>FALSE</formula>
    </cfRule>
  </conditionalFormatting>
  <conditionalFormatting sqref="CZ64">
    <cfRule type="cellIs" dxfId="12889" priority="617" operator="equal">
      <formula>TRUE</formula>
    </cfRule>
    <cfRule type="cellIs" dxfId="12888" priority="618" operator="equal">
      <formula>FALSE</formula>
    </cfRule>
  </conditionalFormatting>
  <conditionalFormatting sqref="DB64">
    <cfRule type="cellIs" dxfId="12887" priority="613" operator="equal">
      <formula>TRUE</formula>
    </cfRule>
    <cfRule type="cellIs" dxfId="12886" priority="614" operator="equal">
      <formula>FALSE</formula>
    </cfRule>
  </conditionalFormatting>
  <conditionalFormatting sqref="DA65">
    <cfRule type="cellIs" dxfId="12885" priority="605" operator="equal">
      <formula>TRUE</formula>
    </cfRule>
    <cfRule type="cellIs" dxfId="12884" priority="608" operator="equal">
      <formula>FALSE</formula>
    </cfRule>
  </conditionalFormatting>
  <conditionalFormatting sqref="CZ65">
    <cfRule type="cellIs" dxfId="12883" priority="606" operator="equal">
      <formula>TRUE</formula>
    </cfRule>
    <cfRule type="cellIs" dxfId="12882" priority="607" operator="equal">
      <formula>FALSE</formula>
    </cfRule>
  </conditionalFormatting>
  <conditionalFormatting sqref="DB65">
    <cfRule type="cellIs" dxfId="12881" priority="602" operator="equal">
      <formula>TRUE</formula>
    </cfRule>
    <cfRule type="cellIs" dxfId="12880" priority="603" operator="equal">
      <formula>FALSE</formula>
    </cfRule>
  </conditionalFormatting>
  <conditionalFormatting sqref="DA66">
    <cfRule type="cellIs" dxfId="12879" priority="594" operator="equal">
      <formula>TRUE</formula>
    </cfRule>
    <cfRule type="cellIs" dxfId="12878" priority="597" operator="equal">
      <formula>FALSE</formula>
    </cfRule>
  </conditionalFormatting>
  <conditionalFormatting sqref="CZ66">
    <cfRule type="cellIs" dxfId="12877" priority="595" operator="equal">
      <formula>TRUE</formula>
    </cfRule>
    <cfRule type="cellIs" dxfId="12876" priority="596" operator="equal">
      <formula>FALSE</formula>
    </cfRule>
  </conditionalFormatting>
  <conditionalFormatting sqref="DB66">
    <cfRule type="cellIs" dxfId="12875" priority="591" operator="equal">
      <formula>TRUE</formula>
    </cfRule>
    <cfRule type="cellIs" dxfId="12874" priority="592" operator="equal">
      <formula>FALSE</formula>
    </cfRule>
  </conditionalFormatting>
  <conditionalFormatting sqref="DA67">
    <cfRule type="cellIs" dxfId="12873" priority="583" operator="equal">
      <formula>TRUE</formula>
    </cfRule>
    <cfRule type="cellIs" dxfId="12872" priority="586" operator="equal">
      <formula>FALSE</formula>
    </cfRule>
  </conditionalFormatting>
  <conditionalFormatting sqref="CZ67">
    <cfRule type="cellIs" dxfId="12871" priority="584" operator="equal">
      <formula>TRUE</formula>
    </cfRule>
    <cfRule type="cellIs" dxfId="12870" priority="585" operator="equal">
      <formula>FALSE</formula>
    </cfRule>
  </conditionalFormatting>
  <conditionalFormatting sqref="DB67">
    <cfRule type="cellIs" dxfId="12869" priority="580" operator="equal">
      <formula>TRUE</formula>
    </cfRule>
    <cfRule type="cellIs" dxfId="12868" priority="581" operator="equal">
      <formula>FALSE</formula>
    </cfRule>
  </conditionalFormatting>
  <conditionalFormatting sqref="DA68">
    <cfRule type="cellIs" dxfId="12867" priority="572" operator="equal">
      <formula>TRUE</formula>
    </cfRule>
    <cfRule type="cellIs" dxfId="12866" priority="575" operator="equal">
      <formula>FALSE</formula>
    </cfRule>
  </conditionalFormatting>
  <conditionalFormatting sqref="CZ68">
    <cfRule type="cellIs" dxfId="12865" priority="573" operator="equal">
      <formula>TRUE</formula>
    </cfRule>
    <cfRule type="cellIs" dxfId="12864" priority="574" operator="equal">
      <formula>FALSE</formula>
    </cfRule>
  </conditionalFormatting>
  <conditionalFormatting sqref="DB68">
    <cfRule type="cellIs" dxfId="12863" priority="569" operator="equal">
      <formula>TRUE</formula>
    </cfRule>
    <cfRule type="cellIs" dxfId="12862" priority="570" operator="equal">
      <formula>FALSE</formula>
    </cfRule>
  </conditionalFormatting>
  <conditionalFormatting sqref="DA69">
    <cfRule type="cellIs" dxfId="12861" priority="561" operator="equal">
      <formula>TRUE</formula>
    </cfRule>
    <cfRule type="cellIs" dxfId="12860" priority="564" operator="equal">
      <formula>FALSE</formula>
    </cfRule>
  </conditionalFormatting>
  <conditionalFormatting sqref="CZ69">
    <cfRule type="cellIs" dxfId="12859" priority="562" operator="equal">
      <formula>TRUE</formula>
    </cfRule>
    <cfRule type="cellIs" dxfId="12858" priority="563" operator="equal">
      <formula>FALSE</formula>
    </cfRule>
  </conditionalFormatting>
  <conditionalFormatting sqref="DB69">
    <cfRule type="cellIs" dxfId="12857" priority="558" operator="equal">
      <formula>TRUE</formula>
    </cfRule>
    <cfRule type="cellIs" dxfId="12856" priority="559" operator="equal">
      <formula>FALSE</formula>
    </cfRule>
  </conditionalFormatting>
  <conditionalFormatting sqref="DA70">
    <cfRule type="cellIs" dxfId="12855" priority="550" operator="equal">
      <formula>TRUE</formula>
    </cfRule>
    <cfRule type="cellIs" dxfId="12854" priority="553" operator="equal">
      <formula>FALSE</formula>
    </cfRule>
  </conditionalFormatting>
  <conditionalFormatting sqref="CZ70">
    <cfRule type="cellIs" dxfId="12853" priority="551" operator="equal">
      <formula>TRUE</formula>
    </cfRule>
    <cfRule type="cellIs" dxfId="12852" priority="552" operator="equal">
      <formula>FALSE</formula>
    </cfRule>
  </conditionalFormatting>
  <conditionalFormatting sqref="DB70">
    <cfRule type="cellIs" dxfId="12851" priority="547" operator="equal">
      <formula>TRUE</formula>
    </cfRule>
    <cfRule type="cellIs" dxfId="12850" priority="548" operator="equal">
      <formula>FALSE</formula>
    </cfRule>
  </conditionalFormatting>
  <conditionalFormatting sqref="DA71">
    <cfRule type="cellIs" dxfId="12849" priority="539" operator="equal">
      <formula>TRUE</formula>
    </cfRule>
    <cfRule type="cellIs" dxfId="12848" priority="542" operator="equal">
      <formula>FALSE</formula>
    </cfRule>
  </conditionalFormatting>
  <conditionalFormatting sqref="CZ71">
    <cfRule type="cellIs" dxfId="12847" priority="540" operator="equal">
      <formula>TRUE</formula>
    </cfRule>
    <cfRule type="cellIs" dxfId="12846" priority="541" operator="equal">
      <formula>FALSE</formula>
    </cfRule>
  </conditionalFormatting>
  <conditionalFormatting sqref="DB71">
    <cfRule type="cellIs" dxfId="12845" priority="536" operator="equal">
      <formula>TRUE</formula>
    </cfRule>
    <cfRule type="cellIs" dxfId="12844" priority="537" operator="equal">
      <formula>FALSE</formula>
    </cfRule>
  </conditionalFormatting>
  <conditionalFormatting sqref="DA72">
    <cfRule type="cellIs" dxfId="12843" priority="528" operator="equal">
      <formula>TRUE</formula>
    </cfRule>
    <cfRule type="cellIs" dxfId="12842" priority="531" operator="equal">
      <formula>FALSE</formula>
    </cfRule>
  </conditionalFormatting>
  <conditionalFormatting sqref="DB72">
    <cfRule type="cellIs" dxfId="12841" priority="525" operator="equal">
      <formula>TRUE</formula>
    </cfRule>
    <cfRule type="cellIs" dxfId="12840" priority="526" operator="equal">
      <formula>FALSE</formula>
    </cfRule>
  </conditionalFormatting>
  <conditionalFormatting sqref="DA73">
    <cfRule type="cellIs" dxfId="12839" priority="517" operator="equal">
      <formula>TRUE</formula>
    </cfRule>
    <cfRule type="cellIs" dxfId="12838" priority="520" operator="equal">
      <formula>FALSE</formula>
    </cfRule>
  </conditionalFormatting>
  <conditionalFormatting sqref="CZ73">
    <cfRule type="cellIs" dxfId="12837" priority="518" operator="equal">
      <formula>TRUE</formula>
    </cfRule>
    <cfRule type="cellIs" dxfId="12836" priority="519" operator="equal">
      <formula>FALSE</formula>
    </cfRule>
  </conditionalFormatting>
  <conditionalFormatting sqref="DB73">
    <cfRule type="cellIs" dxfId="12835" priority="514" operator="equal">
      <formula>TRUE</formula>
    </cfRule>
    <cfRule type="cellIs" dxfId="12834" priority="515" operator="equal">
      <formula>FALSE</formula>
    </cfRule>
  </conditionalFormatting>
  <conditionalFormatting sqref="DA74">
    <cfRule type="cellIs" dxfId="12833" priority="506" operator="equal">
      <formula>TRUE</formula>
    </cfRule>
    <cfRule type="cellIs" dxfId="12832" priority="509" operator="equal">
      <formula>FALSE</formula>
    </cfRule>
  </conditionalFormatting>
  <conditionalFormatting sqref="CZ74">
    <cfRule type="cellIs" dxfId="12831" priority="507" operator="equal">
      <formula>TRUE</formula>
    </cfRule>
    <cfRule type="cellIs" dxfId="12830" priority="508" operator="equal">
      <formula>FALSE</formula>
    </cfRule>
  </conditionalFormatting>
  <conditionalFormatting sqref="DB75">
    <cfRule type="cellIs" dxfId="12829" priority="492" operator="equal">
      <formula>TRUE</formula>
    </cfRule>
    <cfRule type="cellIs" dxfId="12828" priority="493" operator="equal">
      <formula>FALSE</formula>
    </cfRule>
  </conditionalFormatting>
  <conditionalFormatting sqref="CJ258:CM258">
    <cfRule type="expression" dxfId="12827" priority="469">
      <formula>$DB254=FALSE</formula>
    </cfRule>
  </conditionalFormatting>
  <conditionalFormatting sqref="CN258">
    <cfRule type="cellIs" dxfId="12826" priority="478" operator="equal">
      <formula>"YES"</formula>
    </cfRule>
    <cfRule type="cellIs" dxfId="12825" priority="479" operator="equal">
      <formula>"NO"</formula>
    </cfRule>
  </conditionalFormatting>
  <conditionalFormatting sqref="BX258:CM258">
    <cfRule type="notContainsBlanks" dxfId="12824" priority="477">
      <formula>LEN(TRIM(BX258))&gt;0</formula>
    </cfRule>
  </conditionalFormatting>
  <conditionalFormatting sqref="DA254">
    <cfRule type="cellIs" dxfId="12823" priority="473" operator="equal">
      <formula>TRUE</formula>
    </cfRule>
    <cfRule type="cellIs" dxfId="12822" priority="476" operator="equal">
      <formula>FALSE</formula>
    </cfRule>
  </conditionalFormatting>
  <conditionalFormatting sqref="CZ254">
    <cfRule type="cellIs" dxfId="12821" priority="474" operator="equal">
      <formula>TRUE</formula>
    </cfRule>
    <cfRule type="cellIs" dxfId="12820" priority="475" operator="equal">
      <formula>FALSE</formula>
    </cfRule>
  </conditionalFormatting>
  <conditionalFormatting sqref="CF258:CI258">
    <cfRule type="expression" dxfId="12819" priority="472">
      <formula>$DA254=FALSE</formula>
    </cfRule>
  </conditionalFormatting>
  <conditionalFormatting sqref="DB254">
    <cfRule type="cellIs" dxfId="12818" priority="470" operator="equal">
      <formula>TRUE</formula>
    </cfRule>
    <cfRule type="cellIs" dxfId="12817" priority="471" operator="equal">
      <formula>FALSE</formula>
    </cfRule>
  </conditionalFormatting>
  <conditionalFormatting sqref="EV27:EV76">
    <cfRule type="cellIs" dxfId="12816" priority="438" operator="equal">
      <formula>"YES"</formula>
    </cfRule>
    <cfRule type="cellIs" dxfId="12815" priority="439" operator="equal">
      <formula>"NO"</formula>
    </cfRule>
  </conditionalFormatting>
  <conditionalFormatting sqref="DX254:EK255 DX256:EU256">
    <cfRule type="notContainsBlanks" dxfId="12814" priority="292">
      <formula>LEN(TRIM(DX254))&gt;0</formula>
    </cfRule>
  </conditionalFormatting>
  <conditionalFormatting sqref="EP254:EU254">
    <cfRule type="notContainsBlanks" dxfId="12813" priority="289">
      <formula>LEN(TRIM(EP254))&gt;0</formula>
    </cfRule>
  </conditionalFormatting>
  <conditionalFormatting sqref="EV256">
    <cfRule type="cellIs" dxfId="12812" priority="293" operator="equal">
      <formula>"YES"</formula>
    </cfRule>
    <cfRule type="cellIs" dxfId="12811" priority="294" operator="equal">
      <formula>"NO"</formula>
    </cfRule>
  </conditionalFormatting>
  <conditionalFormatting sqref="EP255:EU255">
    <cfRule type="notContainsBlanks" dxfId="12810" priority="291">
      <formula>LEN(TRIM(EP255))&gt;0</formula>
    </cfRule>
  </conditionalFormatting>
  <conditionalFormatting sqref="EL255:EO255">
    <cfRule type="notContainsBlanks" dxfId="12809" priority="290">
      <formula>LEN(TRIM(EL255))&gt;0</formula>
    </cfRule>
  </conditionalFormatting>
  <conditionalFormatting sqref="EL254:EO254">
    <cfRule type="notContainsBlanks" dxfId="12808" priority="288">
      <formula>LEN(TRIM(EL254))&gt;0</formula>
    </cfRule>
  </conditionalFormatting>
  <conditionalFormatting sqref="EV255">
    <cfRule type="cellIs" dxfId="12807" priority="286" operator="equal">
      <formula>"YES"</formula>
    </cfRule>
    <cfRule type="cellIs" dxfId="12806" priority="287" operator="equal">
      <formula>"NO"</formula>
    </cfRule>
  </conditionalFormatting>
  <conditionalFormatting sqref="EV254">
    <cfRule type="cellIs" dxfId="12805" priority="284" operator="equal">
      <formula>"YES"</formula>
    </cfRule>
    <cfRule type="cellIs" dxfId="12804" priority="285" operator="equal">
      <formula>"NO"</formula>
    </cfRule>
  </conditionalFormatting>
  <conditionalFormatting sqref="BX27:CA76">
    <cfRule type="notContainsBlanks" dxfId="12803" priority="161">
      <formula>LEN(TRIM(BX27))&gt;0</formula>
    </cfRule>
  </conditionalFormatting>
  <conditionalFormatting sqref="CB27:CM27">
    <cfRule type="expression" dxfId="12802" priority="127">
      <formula>$BX27=""</formula>
    </cfRule>
    <cfRule type="notContainsBlanks" dxfId="12801" priority="130">
      <formula>LEN(TRIM(CB27))&gt;0</formula>
    </cfRule>
  </conditionalFormatting>
  <conditionalFormatting sqref="CF27:CI27">
    <cfRule type="expression" dxfId="12800" priority="129">
      <formula>$DA27=FALSE</formula>
    </cfRule>
  </conditionalFormatting>
  <conditionalFormatting sqref="CJ27:CM27">
    <cfRule type="expression" dxfId="12799" priority="128">
      <formula>$DB27=FALSE</formula>
    </cfRule>
  </conditionalFormatting>
  <conditionalFormatting sqref="CJ28:CM28">
    <cfRule type="expression" dxfId="12798" priority="123">
      <formula>$BX28=""</formula>
    </cfRule>
    <cfRule type="notContainsBlanks" dxfId="12797" priority="126">
      <formula>LEN(TRIM(CJ28))&gt;0</formula>
    </cfRule>
  </conditionalFormatting>
  <conditionalFormatting sqref="CJ28:CM28">
    <cfRule type="expression" dxfId="12796" priority="124">
      <formula>$DB28=FALSE</formula>
    </cfRule>
  </conditionalFormatting>
  <conditionalFormatting sqref="CB29:CM76">
    <cfRule type="expression" dxfId="12795" priority="119">
      <formula>$BX29=""</formula>
    </cfRule>
    <cfRule type="notContainsBlanks" dxfId="12794" priority="122">
      <formula>LEN(TRIM(CB29))&gt;0</formula>
    </cfRule>
  </conditionalFormatting>
  <conditionalFormatting sqref="CF29:CI76">
    <cfRule type="expression" dxfId="12793" priority="121">
      <formula>$DA29=FALSE</formula>
    </cfRule>
  </conditionalFormatting>
  <conditionalFormatting sqref="CJ29:CM76">
    <cfRule type="expression" dxfId="12792" priority="120">
      <formula>$DB29=FALSE</formula>
    </cfRule>
  </conditionalFormatting>
  <conditionalFormatting sqref="E77:M78">
    <cfRule type="containsBlanks" dxfId="12791" priority="118">
      <formula>LEN(TRIM(E77))=0</formula>
    </cfRule>
  </conditionalFormatting>
  <conditionalFormatting sqref="EF30:EG30">
    <cfRule type="expression" dxfId="12790" priority="107">
      <formula>AND($DX30&lt;&gt;"",$EF30="")</formula>
    </cfRule>
  </conditionalFormatting>
  <conditionalFormatting sqref="EH30:EK30">
    <cfRule type="expression" dxfId="12789" priority="106">
      <formula>AND($DX30&lt;&gt;"",$EH30="")</formula>
    </cfRule>
  </conditionalFormatting>
  <conditionalFormatting sqref="EL30:EO30">
    <cfRule type="expression" dxfId="12788" priority="105">
      <formula>AND($DX30&lt;&gt;"",$EL30="")</formula>
    </cfRule>
  </conditionalFormatting>
  <conditionalFormatting sqref="EF29:EG29">
    <cfRule type="expression" dxfId="12787" priority="101">
      <formula>AND($DX29&lt;&gt;"",$EF29="")</formula>
    </cfRule>
  </conditionalFormatting>
  <conditionalFormatting sqref="DX76:EA76">
    <cfRule type="containsBlanks" dxfId="12786" priority="84">
      <formula>LEN(TRIM(DX76))=0</formula>
    </cfRule>
  </conditionalFormatting>
  <conditionalFormatting sqref="EF27:EG27">
    <cfRule type="expression" dxfId="12785" priority="95">
      <formula>AND($DX27&lt;&gt;"",$EF27="")</formula>
    </cfRule>
  </conditionalFormatting>
  <conditionalFormatting sqref="ER27:ES76">
    <cfRule type="expression" dxfId="12784" priority="92">
      <formula>AND($DX27&lt;&gt;"",$ER27="")</formula>
    </cfRule>
  </conditionalFormatting>
  <conditionalFormatting sqref="EF28:EG28">
    <cfRule type="expression" dxfId="12783" priority="89">
      <formula>AND($DX28&lt;&gt;"",$EF28="")</formula>
    </cfRule>
  </conditionalFormatting>
  <conditionalFormatting sqref="EH31:EK76">
    <cfRule type="expression" dxfId="12782" priority="82">
      <formula>AND($DX31&lt;&gt;"",$EH31="")</formula>
    </cfRule>
  </conditionalFormatting>
  <conditionalFormatting sqref="EP28:EQ28">
    <cfRule type="expression" dxfId="12781" priority="22">
      <formula>$FA28=TRUE</formula>
    </cfRule>
    <cfRule type="expression" dxfId="12780" priority="86">
      <formula>AND($DX28&lt;&gt;"",$EP28="")</formula>
    </cfRule>
  </conditionalFormatting>
  <conditionalFormatting sqref="EF31:EG76">
    <cfRule type="expression" dxfId="12779" priority="83">
      <formula>AND($DX31&lt;&gt;"",$EF31="")</formula>
    </cfRule>
  </conditionalFormatting>
  <conditionalFormatting sqref="EL31:EO76">
    <cfRule type="expression" dxfId="12778" priority="81">
      <formula>AND($DX31&lt;&gt;"",$EL31="")</formula>
    </cfRule>
  </conditionalFormatting>
  <conditionalFormatting sqref="C77:D78 N31 N33:N78">
    <cfRule type="expression" dxfId="12777" priority="78">
      <formula>$E31=""</formula>
    </cfRule>
  </conditionalFormatting>
  <conditionalFormatting sqref="C31:D31">
    <cfRule type="expression" dxfId="12776" priority="77">
      <formula>$E31=""</formula>
    </cfRule>
  </conditionalFormatting>
  <conditionalFormatting sqref="Z32:AB78 P32:Q78">
    <cfRule type="expression" dxfId="12775" priority="75">
      <formula>$R32=""</formula>
    </cfRule>
  </conditionalFormatting>
  <conditionalFormatting sqref="P31:Q78">
    <cfRule type="cellIs" dxfId="12774" priority="74" operator="equal">
      <formula>0</formula>
    </cfRule>
  </conditionalFormatting>
  <conditionalFormatting sqref="BX259:CA259">
    <cfRule type="notContainsBlanks" dxfId="12773" priority="73">
      <formula>LEN(TRIM(BX259))&gt;0</formula>
    </cfRule>
  </conditionalFormatting>
  <conditionalFormatting sqref="CN259">
    <cfRule type="cellIs" dxfId="12772" priority="71" operator="equal">
      <formula>"YES"</formula>
    </cfRule>
    <cfRule type="cellIs" dxfId="12771" priority="72" operator="equal">
      <formula>"NO"</formula>
    </cfRule>
  </conditionalFormatting>
  <conditionalFormatting sqref="CB259:CM259">
    <cfRule type="expression" dxfId="12770" priority="67">
      <formula>$BX259=""</formula>
    </cfRule>
    <cfRule type="notContainsBlanks" dxfId="12769" priority="70">
      <formula>LEN(TRIM(CB259))&gt;0</formula>
    </cfRule>
  </conditionalFormatting>
  <conditionalFormatting sqref="CF259:CI259">
    <cfRule type="expression" dxfId="12768" priority="69">
      <formula>$DA255=FALSE</formula>
    </cfRule>
  </conditionalFormatting>
  <conditionalFormatting sqref="CJ259:CM259">
    <cfRule type="expression" dxfId="12767" priority="68">
      <formula>$DB255=FALSE</formula>
    </cfRule>
  </conditionalFormatting>
  <conditionalFormatting sqref="EB31:EE76">
    <cfRule type="expression" dxfId="12766" priority="56">
      <formula>AND($DX31&lt;&gt;"",$EB31="")</formula>
    </cfRule>
  </conditionalFormatting>
  <conditionalFormatting sqref="R32:Y78">
    <cfRule type="expression" dxfId="12765" priority="61">
      <formula>$R32=""</formula>
    </cfRule>
  </conditionalFormatting>
  <conditionalFormatting sqref="EB30:EE30">
    <cfRule type="expression" dxfId="12764" priority="57">
      <formula>AND($DX30&lt;&gt;"",$EB30="")</formula>
    </cfRule>
  </conditionalFormatting>
  <conditionalFormatting sqref="CR27:CS76">
    <cfRule type="expression" dxfId="12763" priority="41">
      <formula>AND($CB27="Existing TLED",$CR27="")</formula>
    </cfRule>
    <cfRule type="expression" dxfId="12762" priority="50">
      <formula>$CB27="Existing TLED"</formula>
    </cfRule>
  </conditionalFormatting>
  <conditionalFormatting sqref="CN27:CN76">
    <cfRule type="cellIs" dxfId="12761" priority="42" operator="equal">
      <formula>"YES"</formula>
    </cfRule>
    <cfRule type="cellIs" dxfId="12760" priority="43" operator="equal">
      <formula>"NO"</formula>
    </cfRule>
  </conditionalFormatting>
  <conditionalFormatting sqref="C33:D76">
    <cfRule type="expression" dxfId="12759" priority="35">
      <formula>$E33=""</formula>
    </cfRule>
  </conditionalFormatting>
  <conditionalFormatting sqref="E33:M76">
    <cfRule type="containsBlanks" dxfId="12758" priority="32">
      <formula>LEN(TRIM(E33))=0</formula>
    </cfRule>
  </conditionalFormatting>
  <conditionalFormatting sqref="N32">
    <cfRule type="expression" dxfId="12757" priority="30">
      <formula>$E32=""</formula>
    </cfRule>
  </conditionalFormatting>
  <conditionalFormatting sqref="C32:D32">
    <cfRule type="expression" dxfId="12756" priority="29">
      <formula>$E32=""</formula>
    </cfRule>
  </conditionalFormatting>
  <conditionalFormatting sqref="E32:M32">
    <cfRule type="containsBlanks" dxfId="12755" priority="28">
      <formula>LEN(TRIM(E32))=0</formula>
    </cfRule>
  </conditionalFormatting>
  <conditionalFormatting sqref="E31:M31">
    <cfRule type="containsBlanks" dxfId="12754" priority="27">
      <formula>LEN(TRIM(E31))=0</formula>
    </cfRule>
  </conditionalFormatting>
  <conditionalFormatting sqref="ER27">
    <cfRule type="expression" dxfId="12753" priority="26">
      <formula>$FA27=FALSE</formula>
    </cfRule>
  </conditionalFormatting>
  <conditionalFormatting sqref="ER28:ES76">
    <cfRule type="expression" dxfId="12752" priority="25">
      <formula>$FA28=FALSE</formula>
    </cfRule>
  </conditionalFormatting>
  <conditionalFormatting sqref="ER28:ES76">
    <cfRule type="expression" dxfId="12751" priority="24">
      <formula>$FA28=FALSE</formula>
    </cfRule>
  </conditionalFormatting>
  <conditionalFormatting sqref="EP27:EQ27">
    <cfRule type="expression" dxfId="12750" priority="20">
      <formula>$FA27=TRUE</formula>
    </cfRule>
    <cfRule type="expression" dxfId="12749" priority="21">
      <formula>AND($DX27&lt;&gt;"",$EP27="")</formula>
    </cfRule>
  </conditionalFormatting>
  <conditionalFormatting sqref="EP29:EQ76">
    <cfRule type="expression" dxfId="12748" priority="18">
      <formula>$FA29=TRUE</formula>
    </cfRule>
    <cfRule type="expression" dxfId="12747" priority="19">
      <formula>AND($DX29&lt;&gt;"",$EP29="")</formula>
    </cfRule>
  </conditionalFormatting>
  <conditionalFormatting sqref="DX27:EA75">
    <cfRule type="containsBlanks" dxfId="12746" priority="16">
      <formula>LEN(TRIM(DX27))=0</formula>
    </cfRule>
  </conditionalFormatting>
  <conditionalFormatting sqref="EB28:EE28">
    <cfRule type="expression" dxfId="12745" priority="14">
      <formula>AND($DX28&lt;&gt;"",$EB28="")</formula>
    </cfRule>
  </conditionalFormatting>
  <conditionalFormatting sqref="EB27:EE27">
    <cfRule type="expression" dxfId="12744" priority="13">
      <formula>AND($DX27&lt;&gt;"",$EB27="")</formula>
    </cfRule>
  </conditionalFormatting>
  <conditionalFormatting sqref="EB29:EE29">
    <cfRule type="expression" dxfId="12743" priority="12">
      <formula>AND($DX29&lt;&gt;"",$EB29="")</formula>
    </cfRule>
  </conditionalFormatting>
  <conditionalFormatting sqref="EH27:EK27">
    <cfRule type="expression" dxfId="12742" priority="11">
      <formula>AND($DX27&lt;&gt;"",$EH27="")</formula>
    </cfRule>
  </conditionalFormatting>
  <conditionalFormatting sqref="EH28:EK28">
    <cfRule type="expression" dxfId="12741" priority="10">
      <formula>AND($DX28&lt;&gt;"",$EH28="")</formula>
    </cfRule>
  </conditionalFormatting>
  <conditionalFormatting sqref="EH29:EK29">
    <cfRule type="expression" dxfId="12740" priority="9">
      <formula>AND($DX29&lt;&gt;"",$EH29="")</formula>
    </cfRule>
  </conditionalFormatting>
  <conditionalFormatting sqref="EL27:EO27">
    <cfRule type="expression" dxfId="12739" priority="8">
      <formula>AND($DX27&lt;&gt;"",$EL27="")</formula>
    </cfRule>
  </conditionalFormatting>
  <conditionalFormatting sqref="EL28:EO28">
    <cfRule type="expression" dxfId="12738" priority="7">
      <formula>AND($DX28&lt;&gt;"",$EL28="")</formula>
    </cfRule>
  </conditionalFormatting>
  <conditionalFormatting sqref="EL29:EO29">
    <cfRule type="expression" dxfId="12737" priority="6">
      <formula>AND($DX29&lt;&gt;"",$EL29="")</formula>
    </cfRule>
  </conditionalFormatting>
  <conditionalFormatting sqref="CB28:CE28">
    <cfRule type="expression" dxfId="12736" priority="4">
      <formula>$BX28=""</formula>
    </cfRule>
    <cfRule type="notContainsBlanks" dxfId="12735" priority="5">
      <formula>LEN(TRIM(CB28))&gt;0</formula>
    </cfRule>
  </conditionalFormatting>
  <conditionalFormatting sqref="CF28:CI28">
    <cfRule type="expression" dxfId="12734" priority="1">
      <formula>$BX28=""</formula>
    </cfRule>
    <cfRule type="notContainsBlanks" dxfId="12733" priority="3">
      <formula>LEN(TRIM(CF28))&gt;0</formula>
    </cfRule>
  </conditionalFormatting>
  <conditionalFormatting sqref="CF28:CI28">
    <cfRule type="expression" dxfId="12732" priority="2">
      <formula>$DA28=FALSE</formula>
    </cfRule>
  </conditionalFormatting>
  <dataValidations count="11">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27: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 type="list" allowBlank="1" showInputMessage="1" showErrorMessage="1" sqref="DX76:EA76">
      <formula1>$S$3:$S$16</formula1>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BX259:CA259 DX27:EA75 BX27:CA76</xm:sqref>
        </x14:dataValidation>
        <x14:dataValidation type="list" allowBlank="1" showInputMessage="1" showErrorMessage="1">
          <x14:formula1>
            <xm:f>Lookup!$AT$3:$AT$13</xm:f>
          </x14:formula1>
          <xm:sqref>EB27:EE76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KB916"/>
  <sheetViews>
    <sheetView showGridLines="0" showRowColHeaders="0" zoomScale="80" zoomScaleNormal="80" workbookViewId="0">
      <pane ySplit="18" topLeftCell="A19" activePane="bottomLeft" state="frozen"/>
      <selection pane="bottomLeft" activeCell="A19" sqref="A19:AZ19"/>
    </sheetView>
  </sheetViews>
  <sheetFormatPr defaultColWidth="9" defaultRowHeight="13.6"/>
  <cols>
    <col min="1" max="1" width="0.875" style="38" customWidth="1"/>
    <col min="2" max="2" width="15.875" style="38" customWidth="1"/>
    <col min="3" max="3" width="3.375" style="38" customWidth="1"/>
    <col min="4" max="4" width="0.875" style="38" customWidth="1"/>
    <col min="5" max="9" width="5.625" style="38" customWidth="1"/>
    <col min="10" max="10" width="0.875" style="38" customWidth="1"/>
    <col min="11" max="11" width="7.625" style="38" customWidth="1"/>
    <col min="12" max="12" width="5.625" style="38" customWidth="1"/>
    <col min="13" max="13" width="6" style="38" hidden="1" customWidth="1"/>
    <col min="14" max="14" width="5.625" style="38" hidden="1" customWidth="1"/>
    <col min="15" max="15" width="26.375" style="38" hidden="1" customWidth="1"/>
    <col min="16" max="17" width="4.625" style="38" customWidth="1"/>
    <col min="18" max="18" width="7.625" style="38" customWidth="1"/>
    <col min="19" max="19" width="5.625" style="38" customWidth="1"/>
    <col min="20" max="24" width="7.625" style="38" customWidth="1"/>
    <col min="25" max="26" width="7.375" style="38" hidden="1" customWidth="1"/>
    <col min="27" max="30" width="8.625" style="38" customWidth="1"/>
    <col min="31" max="31" width="2.625" style="38" hidden="1" customWidth="1"/>
    <col min="32" max="32" width="8.625" style="38" customWidth="1"/>
    <col min="33" max="33" width="6.625" style="38" customWidth="1"/>
    <col min="34" max="34" width="8.625" style="38" customWidth="1"/>
    <col min="35" max="36" width="6.625" style="38" customWidth="1"/>
    <col min="37" max="38" width="2.625" style="38" hidden="1" customWidth="1"/>
    <col min="39" max="39" width="7.625" style="38" customWidth="1"/>
    <col min="40" max="40" width="9.625" style="38" customWidth="1"/>
    <col min="41" max="41" width="8.625" style="38" customWidth="1"/>
    <col min="42" max="42" width="9.625" style="38" customWidth="1"/>
    <col min="43" max="43" width="0.875" style="38" customWidth="1"/>
    <col min="44" max="45" width="5.625" style="38" customWidth="1"/>
    <col min="46" max="46" width="0.875" style="38" customWidth="1"/>
    <col min="47" max="47" width="5.625" style="38" customWidth="1"/>
    <col min="48" max="48" width="2.375" style="38" hidden="1" customWidth="1"/>
    <col min="49" max="49" width="5.625" style="38" customWidth="1"/>
    <col min="50" max="50" width="0.875" style="38" customWidth="1"/>
    <col min="51" max="52" width="5.625" style="38" customWidth="1"/>
    <col min="53" max="53" width="20.125" style="38" customWidth="1"/>
    <col min="54" max="57" width="7.625" style="38" customWidth="1"/>
    <col min="58" max="59" width="5.375" style="38" customWidth="1"/>
    <col min="60" max="60" width="7" style="38" customWidth="1"/>
    <col min="61" max="61" width="10.625" style="38" customWidth="1"/>
    <col min="62" max="62" width="23.875" style="38" customWidth="1"/>
    <col min="63" max="67" width="10.625" style="38" customWidth="1"/>
    <col min="68" max="68" width="11.625" style="38" customWidth="1"/>
    <col min="69" max="73" width="10.625" style="38" customWidth="1"/>
    <col min="74" max="74" width="2.375" style="38" customWidth="1"/>
    <col min="75" max="81" width="10.625" style="38" customWidth="1"/>
    <col min="82" max="82" width="11.375" style="38" bestFit="1" customWidth="1"/>
    <col min="83" max="83" width="2.625" style="38" customWidth="1"/>
    <col min="84" max="86" width="10.625" style="38" customWidth="1"/>
    <col min="87" max="87" width="2.375" style="38" customWidth="1"/>
    <col min="88" max="88" width="10.625" style="38" customWidth="1"/>
    <col min="89" max="92" width="5.375" style="38" customWidth="1"/>
    <col min="93" max="93" width="7.625" style="38" customWidth="1"/>
    <col min="94" max="95" width="10.625" style="38" customWidth="1"/>
    <col min="96" max="96" width="8.625" style="38" customWidth="1"/>
    <col min="97" max="97" width="13.875" style="38" customWidth="1"/>
    <col min="98" max="99" width="5.375" style="38" customWidth="1"/>
    <col min="100" max="100" width="8.625" style="38" customWidth="1"/>
    <col min="101" max="101" width="52" style="38" customWidth="1"/>
    <col min="102" max="102" width="7.375" style="38" customWidth="1"/>
    <col min="103" max="108" width="8.625" style="38" customWidth="1"/>
    <col min="109" max="109" width="2.375" style="38" customWidth="1"/>
    <col min="110" max="110" width="8.625" style="38" customWidth="1"/>
    <col min="111" max="111" width="20" style="38" customWidth="1"/>
    <col min="112" max="112" width="7.375" style="38" customWidth="1"/>
    <col min="113" max="115" width="8.625" style="38" customWidth="1"/>
    <col min="116" max="116" width="2.375" style="38" customWidth="1"/>
    <col min="117" max="119" width="8.625" style="38" customWidth="1"/>
    <col min="120" max="120" width="2.375" style="38" customWidth="1"/>
    <col min="121" max="121" width="7.375" style="38" customWidth="1"/>
    <col min="122" max="122" width="3.875" style="38" customWidth="1"/>
    <col min="123" max="126" width="7.375" style="38" customWidth="1"/>
    <col min="127" max="127" width="2.375" style="38" customWidth="1"/>
    <col min="128" max="128" width="7.625" style="38" customWidth="1"/>
    <col min="129" max="129" width="4.125" style="38" customWidth="1"/>
    <col min="130" max="131" width="7.375" style="38" customWidth="1"/>
    <col min="132" max="132" width="2.375" style="38" customWidth="1"/>
    <col min="133" max="133" width="9" style="38" customWidth="1"/>
    <col min="134" max="134" width="7.625" style="38" customWidth="1"/>
    <col min="135" max="135" width="2.375" style="38" customWidth="1"/>
    <col min="136" max="140" width="7.625" style="38" customWidth="1"/>
    <col min="141" max="142" width="7.375" style="38" customWidth="1"/>
    <col min="143" max="143" width="7.625" style="38" customWidth="1"/>
    <col min="144" max="145" width="7.375" style="38" customWidth="1"/>
    <col min="146" max="146" width="9.125" style="38" customWidth="1"/>
    <col min="147" max="147" width="7.375" style="38" customWidth="1"/>
    <col min="148" max="148" width="7.625" style="38" customWidth="1"/>
    <col min="149" max="149" width="7.375" style="38" customWidth="1"/>
    <col min="150" max="150" width="7.625" style="38" customWidth="1"/>
    <col min="151" max="151" width="2.625" style="38" customWidth="1"/>
    <col min="152" max="152" width="9" style="38" customWidth="1"/>
    <col min="153" max="153" width="2.375" style="38" customWidth="1"/>
    <col min="154" max="155" width="21.375" style="38" customWidth="1"/>
    <col min="156" max="157" width="5.625" style="38" customWidth="1"/>
    <col min="158" max="158" width="7.375" style="38" customWidth="1"/>
    <col min="159" max="160" width="9" style="38" customWidth="1"/>
    <col min="161" max="161" width="22.375" style="38" customWidth="1"/>
    <col min="162" max="165" width="9" style="38" customWidth="1"/>
    <col min="166" max="166" width="2.375" style="38" customWidth="1"/>
    <col min="167" max="167" width="9" style="38" customWidth="1"/>
    <col min="168" max="168" width="10.875" style="38" customWidth="1"/>
    <col min="169" max="169" width="8.125" style="38" customWidth="1"/>
    <col min="170" max="172" width="10.375" style="38" customWidth="1"/>
    <col min="173" max="173" width="10.875" style="38" customWidth="1"/>
    <col min="174" max="194" width="9" style="38" customWidth="1"/>
    <col min="195" max="237" width="6.625" style="38" customWidth="1"/>
    <col min="238" max="245" width="9" style="38" customWidth="1"/>
    <col min="246" max="246" width="8.875" style="38" customWidth="1"/>
    <col min="247" max="262" width="9" style="38" customWidth="1"/>
    <col min="263" max="263" width="31.375" style="38" customWidth="1"/>
    <col min="264" max="266" width="9" style="38" customWidth="1"/>
    <col min="267" max="267" width="16.75" style="38" customWidth="1"/>
    <col min="268" max="268" width="9" style="38" customWidth="1"/>
    <col min="269" max="269" width="2.625" style="38" customWidth="1"/>
    <col min="270" max="270" width="16.625" style="38" customWidth="1"/>
    <col min="271" max="271" width="2.625" style="38" customWidth="1"/>
    <col min="272" max="272" width="15.625" style="38" customWidth="1"/>
    <col min="273" max="273" width="2.625" style="38" customWidth="1"/>
    <col min="274" max="274" width="15.625" style="38" customWidth="1"/>
    <col min="275" max="275" width="2.625" style="38" customWidth="1"/>
    <col min="276" max="276" width="15.625" style="38" customWidth="1"/>
    <col min="277" max="277" width="2.625" style="38" customWidth="1"/>
    <col min="278" max="278" width="16.25" style="38" customWidth="1"/>
    <col min="279" max="279" width="2.625" style="38" customWidth="1"/>
    <col min="280" max="280" width="15.625" style="38" customWidth="1"/>
    <col min="281" max="281" width="2.625" style="38" customWidth="1"/>
    <col min="282" max="282" width="15.625" style="38" customWidth="1"/>
    <col min="283" max="283" width="2.625" style="38" customWidth="1"/>
    <col min="284" max="284" width="15.625" style="38" customWidth="1"/>
    <col min="285" max="285" width="2.625" style="38" customWidth="1"/>
    <col min="286" max="286" width="15.625" style="38" customWidth="1"/>
    <col min="287" max="287" width="2.625" style="38" customWidth="1"/>
    <col min="288" max="288" width="15.625" style="38" customWidth="1"/>
    <col min="289" max="16384" width="9" style="38"/>
  </cols>
  <sheetData>
    <row r="1" spans="2:288" customFormat="1" ht="5.0999999999999996" customHeight="1">
      <c r="Y1" s="564"/>
      <c r="Z1" s="564"/>
      <c r="AE1" s="564"/>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FN1" s="15"/>
      <c r="FO1" s="15"/>
      <c r="FP1" s="15"/>
    </row>
    <row r="2" spans="2:288" s="3" customFormat="1" ht="14.95" customHeight="1">
      <c r="B2" s="1090" t="str">
        <f>BA2</f>
        <v>Rate Sch?</v>
      </c>
      <c r="C2" s="1396"/>
      <c r="D2" s="1396"/>
      <c r="E2" s="1673" t="str">
        <f>B2</f>
        <v>Rate Sch?</v>
      </c>
      <c r="F2" s="1674"/>
      <c r="G2" s="1674"/>
      <c r="H2" s="1674"/>
      <c r="I2" s="56"/>
      <c r="J2" s="1396"/>
      <c r="K2" s="1396"/>
      <c r="L2" s="1396"/>
      <c r="M2" s="1398"/>
      <c r="N2" s="1398"/>
      <c r="O2" s="488"/>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9" t="str">
        <f>T24</f>
        <v>Rate Sch?</v>
      </c>
      <c r="BB2" s="1396" t="s">
        <v>257</v>
      </c>
      <c r="BC2" s="1396"/>
      <c r="BD2" s="1396"/>
      <c r="BE2" s="1396"/>
      <c r="BF2" s="1396"/>
      <c r="BG2" s="1396"/>
      <c r="BH2" s="1396"/>
      <c r="BI2" s="1849" t="s">
        <v>258</v>
      </c>
      <c r="BJ2" s="1892" t="s">
        <v>259</v>
      </c>
      <c r="BK2" s="1849" t="s">
        <v>260</v>
      </c>
      <c r="BL2" s="1849" t="s">
        <v>261</v>
      </c>
      <c r="BM2" s="1849" t="s">
        <v>262</v>
      </c>
      <c r="BN2" s="1849" t="s">
        <v>263</v>
      </c>
      <c r="BO2" s="1849" t="s">
        <v>264</v>
      </c>
      <c r="BP2" s="1849" t="s">
        <v>265</v>
      </c>
      <c r="BQ2" s="1849" t="s">
        <v>266</v>
      </c>
      <c r="BR2" s="1849" t="s">
        <v>267</v>
      </c>
      <c r="BS2" s="1849" t="s">
        <v>268</v>
      </c>
      <c r="BT2" s="1849" t="s">
        <v>269</v>
      </c>
      <c r="BU2" s="1849" t="s">
        <v>270</v>
      </c>
      <c r="BV2" s="44"/>
      <c r="BW2" s="1849" t="s">
        <v>271</v>
      </c>
      <c r="BX2" s="1849" t="s">
        <v>272</v>
      </c>
      <c r="BY2" s="1849" t="s">
        <v>273</v>
      </c>
      <c r="BZ2" s="1849" t="s">
        <v>274</v>
      </c>
      <c r="CA2" s="1849" t="s">
        <v>275</v>
      </c>
      <c r="CB2" s="1896" t="s">
        <v>276</v>
      </c>
      <c r="CC2" s="1849" t="s">
        <v>277</v>
      </c>
      <c r="CD2" s="1849" t="s">
        <v>278</v>
      </c>
      <c r="CE2" s="199"/>
      <c r="CF2" s="1849" t="s">
        <v>279</v>
      </c>
      <c r="CG2" s="1849" t="s">
        <v>280</v>
      </c>
      <c r="CH2" s="1849" t="s">
        <v>281</v>
      </c>
      <c r="CI2" s="589"/>
      <c r="CJ2" s="1849" t="s">
        <v>205</v>
      </c>
      <c r="CK2" s="1396"/>
      <c r="CL2" s="1396"/>
      <c r="CM2" s="1396"/>
      <c r="CN2" s="1396"/>
      <c r="CO2" s="1396"/>
      <c r="CP2" s="1396"/>
      <c r="CQ2" s="1396"/>
      <c r="CR2" s="1396"/>
      <c r="CS2" s="1396"/>
      <c r="CT2" s="1396"/>
      <c r="CU2" s="1396"/>
      <c r="CV2" s="1396"/>
      <c r="CW2" s="86" t="str">
        <f>SUBSTITUTE(ADDRESS(1,CW4,4),"1","")</f>
        <v>CW</v>
      </c>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t="s">
        <v>282</v>
      </c>
      <c r="EJ2" s="1397">
        <f t="array" ref="EJ2">MAX(IF(EK2:ET2&gt;0,EK4:ET4))</f>
        <v>92</v>
      </c>
      <c r="EK2" s="1397">
        <f>EV45</f>
        <v>1</v>
      </c>
      <c r="EL2" s="1397">
        <f>EV94</f>
        <v>0</v>
      </c>
      <c r="EM2" s="1397">
        <f>EV172</f>
        <v>0</v>
      </c>
      <c r="EN2" s="1397">
        <f>EV250</f>
        <v>0</v>
      </c>
      <c r="EO2" s="1397">
        <f>EV328</f>
        <v>0</v>
      </c>
      <c r="EP2" s="1397">
        <f>EV406</f>
        <v>0</v>
      </c>
      <c r="EQ2" s="1397">
        <f>EV484</f>
        <v>0</v>
      </c>
      <c r="ER2" s="1397">
        <f>EV562</f>
        <v>0</v>
      </c>
      <c r="ES2" s="1397">
        <f>EV640</f>
        <v>0</v>
      </c>
      <c r="ET2" s="1397">
        <f>EV718</f>
        <v>0</v>
      </c>
      <c r="EU2" s="1396"/>
      <c r="EV2" s="1396"/>
      <c r="EW2" s="1396"/>
      <c r="EX2" s="1396"/>
      <c r="EY2" s="1396"/>
      <c r="EZ2" s="1396"/>
      <c r="FA2" s="1396"/>
      <c r="FB2" s="1396"/>
      <c r="FC2" s="1396"/>
      <c r="FD2" s="1396"/>
      <c r="FE2" s="1396"/>
      <c r="FF2" s="1396"/>
      <c r="FG2" s="1396"/>
      <c r="FH2" s="1396"/>
      <c r="FI2" s="1396"/>
      <c r="FJ2" s="15"/>
      <c r="FK2" s="1396"/>
      <c r="FL2" s="1396"/>
      <c r="FM2" s="1396"/>
      <c r="FN2" s="1396"/>
      <c r="FO2" s="1396"/>
      <c r="FP2" s="1396"/>
      <c r="FQ2" s="1396"/>
      <c r="FR2" s="15"/>
      <c r="FS2" s="1396"/>
      <c r="FT2" s="1396"/>
      <c r="FU2" s="1396"/>
      <c r="FV2" s="1396"/>
      <c r="FW2" s="1396"/>
      <c r="FX2" s="1396"/>
      <c r="FY2" s="1396"/>
      <c r="FZ2" s="1396"/>
      <c r="GA2" s="1396"/>
      <c r="GB2" s="1396"/>
      <c r="GC2" s="1396"/>
      <c r="GD2" s="1396"/>
      <c r="GE2" s="1396"/>
      <c r="GF2" s="1396"/>
      <c r="GG2" s="1396"/>
      <c r="GH2" s="2"/>
      <c r="GI2" s="4"/>
      <c r="GJ2" s="4"/>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86" t="str">
        <f>SUBSTITUTE(ADDRESS(1,IB4,4),"1","")</f>
        <v>IB</v>
      </c>
      <c r="IC2" s="1396"/>
      <c r="ID2" s="1396"/>
      <c r="IE2" s="1396"/>
      <c r="IF2" s="1396"/>
      <c r="IG2" s="1396"/>
      <c r="IH2" s="1396"/>
      <c r="II2" s="1396"/>
      <c r="IJ2" s="1396"/>
      <c r="IK2" s="1396"/>
      <c r="IL2" s="1396"/>
      <c r="IM2" s="1396"/>
      <c r="IN2" s="1396"/>
      <c r="IO2" s="1396"/>
      <c r="IP2" s="1396"/>
      <c r="IQ2" s="1396"/>
      <c r="IR2" s="1396"/>
      <c r="IS2" s="1396"/>
      <c r="IT2" s="1396"/>
      <c r="IU2" s="1396"/>
      <c r="IV2" s="1396"/>
      <c r="IW2" s="1396"/>
      <c r="IX2" s="1396"/>
      <c r="IY2" s="1396"/>
      <c r="IZ2" s="1396"/>
      <c r="JA2" s="1396"/>
      <c r="JB2" s="1396"/>
      <c r="JC2" s="1396"/>
      <c r="JD2" s="1396"/>
      <c r="JE2" s="1396"/>
      <c r="JF2" s="1396"/>
      <c r="JG2" s="534" t="s">
        <v>283</v>
      </c>
      <c r="JH2" s="1396"/>
      <c r="JI2" s="534"/>
      <c r="JJ2" s="534"/>
      <c r="JK2" s="1396"/>
      <c r="JL2" s="534"/>
      <c r="JM2" s="1396"/>
      <c r="JN2" s="534"/>
      <c r="JO2" s="1396"/>
      <c r="JP2" s="1396"/>
      <c r="JQ2" s="1396"/>
      <c r="JR2" s="1396"/>
      <c r="JS2" s="1396"/>
      <c r="JT2" s="1396"/>
      <c r="JU2" s="1396"/>
      <c r="JV2" s="1396"/>
      <c r="JW2" s="1396"/>
      <c r="JX2" s="1396"/>
      <c r="JY2" s="1396"/>
      <c r="JZ2" s="1396"/>
      <c r="KA2" s="1396"/>
      <c r="KB2" s="1396"/>
    </row>
    <row r="3" spans="2:288" s="3" customFormat="1" ht="5.0999999999999996" customHeight="1">
      <c r="B3" s="44"/>
      <c r="C3" s="1396"/>
      <c r="D3" s="1396"/>
      <c r="E3" s="1396"/>
      <c r="F3" s="1396"/>
      <c r="G3" s="1396"/>
      <c r="H3" s="1396"/>
      <c r="I3" s="1396"/>
      <c r="J3" s="1396"/>
      <c r="K3" s="1396"/>
      <c r="L3" s="1396"/>
      <c r="M3" s="1396"/>
      <c r="N3" s="1396"/>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1396"/>
      <c r="AL3" s="1396"/>
      <c r="AM3" s="1396"/>
      <c r="AN3" s="1396"/>
      <c r="AO3" s="1396"/>
      <c r="AP3" s="1396"/>
      <c r="AQ3" s="1396"/>
      <c r="AR3" s="1396"/>
      <c r="AS3" s="1396"/>
      <c r="AT3" s="1396"/>
      <c r="AU3" s="1396"/>
      <c r="AV3" s="1396"/>
      <c r="AW3" s="1396"/>
      <c r="AX3" s="1396"/>
      <c r="AY3" s="1396"/>
      <c r="AZ3" s="1396"/>
      <c r="BA3" s="1396"/>
      <c r="BB3" s="1396"/>
      <c r="BC3" s="1396"/>
      <c r="BD3" s="1396"/>
      <c r="BE3" s="1396"/>
      <c r="BF3" s="1396"/>
      <c r="BG3" s="1396"/>
      <c r="BH3" s="1396"/>
      <c r="BI3" s="1849"/>
      <c r="BJ3" s="1892"/>
      <c r="BK3" s="1849"/>
      <c r="BL3" s="1849"/>
      <c r="BM3" s="1849"/>
      <c r="BN3" s="1849"/>
      <c r="BO3" s="1849"/>
      <c r="BP3" s="1849"/>
      <c r="BQ3" s="1849"/>
      <c r="BR3" s="1849"/>
      <c r="BS3" s="1849"/>
      <c r="BT3" s="1849"/>
      <c r="BU3" s="1849"/>
      <c r="BV3" s="44"/>
      <c r="BW3" s="1849"/>
      <c r="BX3" s="1849"/>
      <c r="BY3" s="1849"/>
      <c r="BZ3" s="1849"/>
      <c r="CA3" s="1849"/>
      <c r="CB3" s="1896"/>
      <c r="CC3" s="1849"/>
      <c r="CD3" s="1849"/>
      <c r="CE3" s="199"/>
      <c r="CF3" s="1849"/>
      <c r="CG3" s="1849"/>
      <c r="CH3" s="1849"/>
      <c r="CI3" s="589"/>
      <c r="CJ3" s="1849"/>
      <c r="CK3" s="1396"/>
      <c r="CL3" s="1396"/>
      <c r="CM3" s="1396"/>
      <c r="CN3" s="1396"/>
      <c r="CO3" s="1396"/>
      <c r="CP3" s="1396"/>
      <c r="CQ3" s="1396"/>
      <c r="CR3" s="1396"/>
      <c r="CS3" s="1396"/>
      <c r="CT3" s="1396"/>
      <c r="CU3" s="1396"/>
      <c r="CV3" s="1396"/>
      <c r="CW3" s="1396"/>
      <c r="CX3" s="1396"/>
      <c r="CY3" s="1396"/>
      <c r="CZ3" s="1396"/>
      <c r="DA3" s="1396"/>
      <c r="DB3" s="1396"/>
      <c r="DC3" s="1396"/>
      <c r="DD3" s="1396"/>
      <c r="DE3" s="1396"/>
      <c r="DF3" s="1396"/>
      <c r="DG3" s="1396"/>
      <c r="DH3" s="1396"/>
      <c r="DI3" s="1396"/>
      <c r="DJ3" s="1396"/>
      <c r="DK3" s="1396"/>
      <c r="DL3" s="1396"/>
      <c r="DM3" s="1396"/>
      <c r="DN3" s="1396"/>
      <c r="DO3" s="1396"/>
      <c r="DP3" s="1396"/>
      <c r="DQ3" s="1396"/>
      <c r="DR3" s="1396"/>
      <c r="DS3" s="1396"/>
      <c r="DT3" s="1396"/>
      <c r="DU3" s="1396"/>
      <c r="DV3" s="1396"/>
      <c r="DW3" s="1396"/>
      <c r="DX3" s="1396"/>
      <c r="DY3" s="1396"/>
      <c r="DZ3" s="1396"/>
      <c r="EA3" s="1396"/>
      <c r="EB3" s="1396"/>
      <c r="EC3" s="1396"/>
      <c r="ED3" s="1396"/>
      <c r="EE3" s="1396"/>
      <c r="EF3" s="1396"/>
      <c r="EG3" s="1396"/>
      <c r="EH3" s="1396"/>
      <c r="EI3" s="1396"/>
      <c r="EJ3" s="1396"/>
      <c r="EK3" s="1396"/>
      <c r="EL3" s="1396"/>
      <c r="EM3" s="1396"/>
      <c r="EN3" s="1396"/>
      <c r="EO3" s="1396"/>
      <c r="EP3" s="1396"/>
      <c r="EQ3" s="1396"/>
      <c r="ER3" s="1396"/>
      <c r="ES3" s="1397"/>
      <c r="ET3" s="1397"/>
      <c r="EU3" s="1396"/>
      <c r="EV3" s="1396"/>
      <c r="EW3" s="1396"/>
      <c r="EX3" s="1396"/>
      <c r="EY3" s="1396"/>
      <c r="EZ3" s="1396"/>
      <c r="FA3" s="1396"/>
      <c r="FB3" s="1396"/>
      <c r="FC3" s="1396"/>
      <c r="FD3" s="1396"/>
      <c r="FE3" s="1396"/>
      <c r="FF3" s="1396"/>
      <c r="FG3" s="1396"/>
      <c r="FH3" s="1396"/>
      <c r="FI3" s="1396"/>
      <c r="FJ3" s="15"/>
      <c r="FK3" s="1396"/>
      <c r="FL3" s="1396"/>
      <c r="FM3" s="1396"/>
      <c r="FN3" s="1396"/>
      <c r="FO3" s="1396"/>
      <c r="FP3" s="1396"/>
      <c r="FQ3" s="1396"/>
      <c r="FR3" s="15"/>
      <c r="FS3" s="1396"/>
      <c r="FT3" s="1396"/>
      <c r="FU3" s="1396"/>
      <c r="FV3" s="1396"/>
      <c r="FW3" s="1396"/>
      <c r="FX3" s="1396"/>
      <c r="FY3" s="1396"/>
      <c r="FZ3" s="1396"/>
      <c r="GA3" s="1396"/>
      <c r="GB3" s="1396"/>
      <c r="GC3" s="1396"/>
      <c r="GD3" s="1396"/>
      <c r="GE3" s="1396"/>
      <c r="GF3" s="1396"/>
      <c r="GG3" s="1396"/>
      <c r="GH3" s="2"/>
      <c r="GI3" s="4"/>
      <c r="GJ3" s="4"/>
      <c r="GK3" s="1396"/>
      <c r="GL3" s="1396"/>
      <c r="GM3" s="1396"/>
      <c r="GN3" s="1396"/>
      <c r="GO3" s="1396"/>
      <c r="GP3" s="1396"/>
      <c r="GQ3" s="1396"/>
      <c r="GR3" s="1396"/>
      <c r="GS3" s="1396"/>
      <c r="GT3" s="1396"/>
      <c r="GU3" s="1396"/>
      <c r="GV3" s="1396"/>
      <c r="GW3" s="1396"/>
      <c r="GX3" s="1396"/>
      <c r="GY3" s="1396"/>
      <c r="GZ3" s="1396"/>
      <c r="HA3" s="1396"/>
      <c r="HB3" s="1396"/>
      <c r="HC3" s="1396"/>
      <c r="HD3" s="1396"/>
      <c r="HE3" s="1396"/>
      <c r="HF3" s="1396"/>
      <c r="HG3" s="1396"/>
      <c r="HH3" s="1396"/>
      <c r="HI3" s="1396"/>
      <c r="HJ3" s="1396"/>
      <c r="HK3" s="1396"/>
      <c r="HL3" s="1396"/>
      <c r="HM3" s="1396"/>
      <c r="HN3" s="1396"/>
      <c r="HO3" s="1396"/>
      <c r="HP3" s="1396"/>
      <c r="HQ3" s="1396"/>
      <c r="HR3" s="1396"/>
      <c r="HS3" s="1396"/>
      <c r="HT3" s="1396"/>
      <c r="HU3" s="1396"/>
      <c r="HV3" s="1396"/>
      <c r="HW3" s="1396"/>
      <c r="HX3" s="1396"/>
      <c r="HY3" s="1396"/>
      <c r="HZ3" s="1396"/>
      <c r="IA3" s="1396"/>
      <c r="IB3" s="1396"/>
      <c r="IC3" s="1396"/>
      <c r="ID3" s="1396"/>
      <c r="IE3" s="1396"/>
      <c r="IF3" s="1396"/>
      <c r="IG3" s="1396"/>
      <c r="IH3" s="1396"/>
      <c r="II3" s="1396"/>
      <c r="IJ3" s="1396"/>
      <c r="IK3" s="1396"/>
      <c r="IL3" s="1396"/>
      <c r="IM3" s="1396"/>
      <c r="IN3" s="1396"/>
      <c r="IO3" s="1396"/>
      <c r="IP3" s="1396"/>
      <c r="IQ3" s="1396"/>
      <c r="IR3" s="1396"/>
      <c r="IS3" s="1396"/>
      <c r="IT3" s="1396"/>
      <c r="IU3" s="1396"/>
      <c r="IV3" s="1396"/>
      <c r="IW3" s="1396"/>
      <c r="IX3" s="1396"/>
      <c r="IY3" s="1396"/>
      <c r="IZ3" s="1396"/>
      <c r="JA3" s="1396"/>
      <c r="JB3" s="1396"/>
      <c r="JC3" s="1396"/>
      <c r="JD3" s="1396"/>
      <c r="JE3" s="1396"/>
      <c r="JF3" s="1396"/>
      <c r="JG3" s="1396"/>
      <c r="JH3" s="1396"/>
      <c r="JI3" s="1396"/>
      <c r="JJ3" s="1396"/>
      <c r="JK3" s="1396"/>
      <c r="JL3" s="1396"/>
      <c r="JM3" s="1396"/>
      <c r="JN3" s="1396"/>
      <c r="JO3" s="1396"/>
      <c r="JP3" s="1396"/>
      <c r="JQ3" s="1396"/>
      <c r="JR3" s="1396"/>
      <c r="JS3" s="1396"/>
      <c r="JT3" s="1396"/>
      <c r="JU3" s="1396"/>
      <c r="JV3" s="1396"/>
      <c r="JW3" s="1396"/>
      <c r="JX3" s="1396"/>
      <c r="JY3" s="1396"/>
      <c r="JZ3" s="1396"/>
      <c r="KA3" s="1396"/>
      <c r="KB3" s="1396"/>
    </row>
    <row r="4" spans="2:288" s="3" customFormat="1" ht="14.95" customHeight="1">
      <c r="B4" s="1091">
        <f>BA4</f>
        <v>0</v>
      </c>
      <c r="C4" s="1396"/>
      <c r="D4" s="1396"/>
      <c r="E4" s="1675">
        <f>B4</f>
        <v>0</v>
      </c>
      <c r="F4" s="1601"/>
      <c r="G4" s="1601"/>
      <c r="H4" s="1601"/>
      <c r="I4"/>
      <c r="J4" s="1396"/>
      <c r="K4" s="1396"/>
      <c r="L4" s="1396"/>
      <c r="M4" s="1396"/>
      <c r="N4" s="1396"/>
      <c r="O4"/>
      <c r="P4" s="1396"/>
      <c r="Q4" s="1396"/>
      <c r="R4" s="1396"/>
      <c r="S4" s="1396"/>
      <c r="T4" s="1396"/>
      <c r="U4" s="1396"/>
      <c r="V4" s="1396"/>
      <c r="W4" s="1396"/>
      <c r="X4" s="1396"/>
      <c r="Y4" s="1396"/>
      <c r="Z4" s="1396"/>
      <c r="AA4"/>
      <c r="AB4" s="1396"/>
      <c r="AC4" s="1396"/>
      <c r="AD4" s="1396"/>
      <c r="AE4" s="1396"/>
      <c r="AF4" s="1396"/>
      <c r="AG4" s="1396"/>
      <c r="AH4" s="1396"/>
      <c r="AI4" s="1396"/>
      <c r="AJ4" s="1396"/>
      <c r="AK4" s="1396"/>
      <c r="AL4" s="1396"/>
      <c r="AM4" s="1396"/>
      <c r="AN4" s="1396"/>
      <c r="AO4" s="1396"/>
      <c r="AP4" s="1396"/>
      <c r="AQ4" s="1396"/>
      <c r="AR4" s="1437"/>
      <c r="AS4" s="1437"/>
      <c r="AT4" s="1437"/>
      <c r="AU4" s="1437"/>
      <c r="AV4" s="1437"/>
      <c r="AW4" s="1437"/>
      <c r="AX4" s="1396"/>
      <c r="AY4" s="1396"/>
      <c r="AZ4" s="1396"/>
      <c r="BA4" s="1400">
        <f>K24</f>
        <v>0</v>
      </c>
      <c r="BB4" s="1396" t="s">
        <v>284</v>
      </c>
      <c r="BC4" s="1396"/>
      <c r="BD4" s="1396"/>
      <c r="BE4" s="1396"/>
      <c r="BF4" s="1396"/>
      <c r="BG4" s="1396"/>
      <c r="BH4" s="1396"/>
      <c r="BI4" s="1849"/>
      <c r="BJ4" s="1892"/>
      <c r="BK4" s="1849"/>
      <c r="BL4" s="1849"/>
      <c r="BM4" s="1849"/>
      <c r="BN4" s="1849"/>
      <c r="BO4" s="1849"/>
      <c r="BP4" s="1849"/>
      <c r="BQ4" s="1849"/>
      <c r="BR4" s="1849"/>
      <c r="BS4" s="1849"/>
      <c r="BT4" s="1849"/>
      <c r="BU4" s="1849"/>
      <c r="BV4" s="44"/>
      <c r="BW4" s="1849"/>
      <c r="BX4" s="1849"/>
      <c r="BY4" s="1849"/>
      <c r="BZ4" s="1849"/>
      <c r="CA4" s="1849"/>
      <c r="CB4" s="1896"/>
      <c r="CC4" s="1849"/>
      <c r="CD4" s="1849"/>
      <c r="CE4" s="1401"/>
      <c r="CF4" s="1849"/>
      <c r="CG4" s="1849"/>
      <c r="CH4" s="1849"/>
      <c r="CI4" s="589"/>
      <c r="CJ4" s="1849"/>
      <c r="CK4" s="1396"/>
      <c r="CL4" s="1396"/>
      <c r="CM4" s="1396"/>
      <c r="CN4" s="1396"/>
      <c r="CO4" s="1396"/>
      <c r="CP4" s="1396"/>
      <c r="CQ4" s="1396"/>
      <c r="CR4" s="1396"/>
      <c r="CS4" s="1396"/>
      <c r="CT4" s="1396"/>
      <c r="CU4" s="1396"/>
      <c r="CV4" s="1396"/>
      <c r="CW4" s="86">
        <f>COLUMN()</f>
        <v>101</v>
      </c>
      <c r="CX4" s="1396"/>
      <c r="CY4" s="1396"/>
      <c r="CZ4" s="1396"/>
      <c r="DA4" s="1396"/>
      <c r="DB4" s="1396"/>
      <c r="DC4" s="1396"/>
      <c r="DD4" s="1396"/>
      <c r="DE4" s="1396"/>
      <c r="DF4" s="1396"/>
      <c r="DG4" s="1396"/>
      <c r="DH4" s="1396"/>
      <c r="DI4" s="1396"/>
      <c r="DJ4" s="1396"/>
      <c r="DK4" s="1396"/>
      <c r="DL4" s="1396"/>
      <c r="DM4" s="1396"/>
      <c r="DN4" s="1396"/>
      <c r="DO4" s="1396"/>
      <c r="DP4" s="1396"/>
      <c r="DQ4" s="1396"/>
      <c r="DR4" s="1396"/>
      <c r="DS4" s="1396"/>
      <c r="DT4" s="1396"/>
      <c r="DU4" s="1396"/>
      <c r="DV4" s="1396"/>
      <c r="DW4" s="1396"/>
      <c r="DX4" s="1396"/>
      <c r="DY4" s="1396"/>
      <c r="DZ4" s="1396"/>
      <c r="EA4" s="1396"/>
      <c r="EB4" s="1396"/>
      <c r="EC4" s="1396"/>
      <c r="ED4" s="1396"/>
      <c r="EE4" s="1396"/>
      <c r="EF4" s="1396"/>
      <c r="EG4" s="1396"/>
      <c r="EH4" s="1396"/>
      <c r="EI4" s="1396" t="s">
        <v>229</v>
      </c>
      <c r="EJ4" s="1397">
        <v>50</v>
      </c>
      <c r="EK4" s="1397">
        <f>EV92</f>
        <v>92</v>
      </c>
      <c r="EL4" s="1397">
        <f>EV170</f>
        <v>170</v>
      </c>
      <c r="EM4" s="1397">
        <f>EV248</f>
        <v>248</v>
      </c>
      <c r="EN4" s="1397">
        <f>EV326</f>
        <v>326</v>
      </c>
      <c r="EO4" s="1397">
        <f>EV404</f>
        <v>404</v>
      </c>
      <c r="EP4" s="1397">
        <f>EV482</f>
        <v>482</v>
      </c>
      <c r="EQ4" s="1397">
        <f>EV560</f>
        <v>560</v>
      </c>
      <c r="ER4" s="1397">
        <f>EV638</f>
        <v>638</v>
      </c>
      <c r="ES4" s="12">
        <f>EV716</f>
        <v>716</v>
      </c>
      <c r="ET4" s="12">
        <f>EV795</f>
        <v>795</v>
      </c>
      <c r="EU4" s="1396"/>
      <c r="EV4" s="1396"/>
      <c r="EW4" s="1396"/>
      <c r="EX4" s="1396"/>
      <c r="EY4" s="1396"/>
      <c r="EZ4" s="1396"/>
      <c r="FA4" s="1396"/>
      <c r="FB4" s="1396"/>
      <c r="FC4" s="1396"/>
      <c r="FD4" s="1396"/>
      <c r="FE4" s="1396"/>
      <c r="FF4" s="1396"/>
      <c r="FG4" s="1396"/>
      <c r="FH4" s="1396"/>
      <c r="FI4" s="1396"/>
      <c r="FJ4" s="15"/>
      <c r="FK4" s="1396"/>
      <c r="FL4" s="1396"/>
      <c r="FM4" s="1396"/>
      <c r="FN4" s="1396"/>
      <c r="FO4" s="1396"/>
      <c r="FP4" s="1396"/>
      <c r="FQ4" s="1396"/>
      <c r="FR4" s="15"/>
      <c r="FS4" s="1396"/>
      <c r="FT4" s="1396"/>
      <c r="FU4" s="1396"/>
      <c r="FV4" s="1396"/>
      <c r="FW4" s="1396"/>
      <c r="FX4" s="1396"/>
      <c r="FY4" s="1396"/>
      <c r="FZ4" s="1396"/>
      <c r="GA4" s="1396"/>
      <c r="GB4" s="1396"/>
      <c r="GC4" s="1396"/>
      <c r="GD4" s="1396"/>
      <c r="GE4" s="1396"/>
      <c r="GF4" s="1396"/>
      <c r="GG4" s="1396"/>
      <c r="GH4" s="6"/>
      <c r="GI4" s="5"/>
      <c r="GJ4" s="5"/>
      <c r="GK4" s="1396"/>
      <c r="GL4" s="1396"/>
      <c r="GM4" s="1396"/>
      <c r="GN4" s="1396"/>
      <c r="GO4" s="1396"/>
      <c r="GP4" s="1396"/>
      <c r="GQ4" s="1396"/>
      <c r="GR4" s="1396"/>
      <c r="GS4" s="1396"/>
      <c r="GT4" s="1396"/>
      <c r="GU4" s="1396"/>
      <c r="GV4" s="1396"/>
      <c r="GW4" s="1396"/>
      <c r="GX4" s="1396"/>
      <c r="GY4" s="1396"/>
      <c r="GZ4" s="1396"/>
      <c r="HA4" s="1396"/>
      <c r="HB4" s="1396"/>
      <c r="HC4" s="1396"/>
      <c r="HD4" s="1396"/>
      <c r="HE4" s="1396"/>
      <c r="HF4" s="1396"/>
      <c r="HG4" s="1396"/>
      <c r="HH4" s="1396"/>
      <c r="HI4" s="1396"/>
      <c r="HJ4" s="1396"/>
      <c r="HK4" s="1396"/>
      <c r="HL4" s="1396"/>
      <c r="HM4" s="1396"/>
      <c r="HN4" s="1396"/>
      <c r="HO4" s="1396"/>
      <c r="HP4" s="1396"/>
      <c r="HQ4" s="1396"/>
      <c r="HR4" s="1396"/>
      <c r="HS4" s="1396"/>
      <c r="HT4" s="1396"/>
      <c r="HU4" s="1396"/>
      <c r="HV4" s="1396"/>
      <c r="HW4" s="1396"/>
      <c r="HX4" s="1396"/>
      <c r="HY4" s="1396"/>
      <c r="HZ4" s="1396"/>
      <c r="IA4" s="1396"/>
      <c r="IB4" s="86">
        <f>COLUMN()</f>
        <v>236</v>
      </c>
      <c r="IC4" s="1396"/>
      <c r="ID4" s="1396"/>
      <c r="IE4" s="1396"/>
      <c r="IF4" s="1396"/>
      <c r="IG4" s="1396"/>
      <c r="IH4" s="534" t="s">
        <v>285</v>
      </c>
      <c r="II4" s="534" t="s">
        <v>286</v>
      </c>
      <c r="IJ4" s="534" t="s">
        <v>287</v>
      </c>
      <c r="IK4" s="534" t="s">
        <v>288</v>
      </c>
      <c r="IL4" s="1402">
        <v>0.05</v>
      </c>
      <c r="IM4" s="1396"/>
      <c r="IN4" s="1396"/>
      <c r="IO4" s="1396"/>
      <c r="IP4" s="1396"/>
      <c r="IQ4" s="1396"/>
      <c r="IR4" s="1396"/>
      <c r="IS4" s="1396"/>
      <c r="IT4" s="1396"/>
      <c r="IU4" s="1396"/>
      <c r="IV4" s="1396"/>
      <c r="IW4" s="1396"/>
      <c r="IX4" s="1396"/>
      <c r="IY4" s="1396"/>
      <c r="IZ4" s="1396"/>
      <c r="JA4" s="1396"/>
      <c r="JB4" s="1396"/>
      <c r="JC4" s="1396"/>
      <c r="JD4" s="1396"/>
      <c r="JE4" s="1396"/>
      <c r="JF4" s="1396"/>
      <c r="JG4" s="679" t="b">
        <f>IF(__Retrofit_TI_NC=0,TRUE,FALSE)</f>
        <v>1</v>
      </c>
      <c r="JH4" s="534"/>
      <c r="JI4" s="534"/>
      <c r="JJ4" s="1671" t="str">
        <f>Lookup!$J14</f>
        <v>Occupancy Sensor</v>
      </c>
      <c r="JK4" s="1396"/>
      <c r="JL4" s="1671" t="str">
        <f>Lookup!$J15</f>
        <v>Interior Daylight Dimming</v>
      </c>
      <c r="JM4" s="1396"/>
      <c r="JN4" s="1671" t="str">
        <f>Lookup!$J16</f>
        <v>Daylight + Occupancy</v>
      </c>
      <c r="JO4" s="1396"/>
      <c r="JP4" s="1671" t="str">
        <f>Lookup!$J17</f>
        <v>Interior LLLC</v>
      </c>
      <c r="JQ4" s="1032"/>
      <c r="JR4" s="1671" t="str">
        <f>Lookup!$J18</f>
        <v>Interior NLC</v>
      </c>
      <c r="JS4" s="1396"/>
      <c r="JT4" s="1671" t="str">
        <f>Lookup!$J20</f>
        <v>LLLC (outside Daylight)</v>
      </c>
      <c r="JU4" s="1396"/>
      <c r="JV4" s="1671" t="str">
        <f>Lookup!$J21</f>
        <v>AELC on Existing</v>
      </c>
      <c r="JW4" s="1396"/>
      <c r="JX4" s="1671" t="str">
        <f>Lookup!$J22</f>
        <v>AELC</v>
      </c>
      <c r="JY4" s="1396"/>
      <c r="JZ4" s="1671" t="str">
        <f>Lookup!$J23</f>
        <v>Ext. Occupancy Sensor</v>
      </c>
      <c r="KA4" s="1396"/>
      <c r="KB4" s="1671" t="str">
        <f>Lookup!$J19</f>
        <v>LLLC Controls Only</v>
      </c>
    </row>
    <row r="5" spans="2:288" s="3" customFormat="1" ht="5.0999999999999996" customHeight="1">
      <c r="B5" s="1396"/>
      <c r="C5" s="1396"/>
      <c r="D5" s="1396"/>
      <c r="E5" s="1396"/>
      <c r="F5" s="1396"/>
      <c r="G5" s="1396"/>
      <c r="H5" s="1396"/>
      <c r="I5" s="1396"/>
      <c r="J5" s="1396"/>
      <c r="K5" s="1396"/>
      <c r="L5" s="1396"/>
      <c r="M5" s="1396"/>
      <c r="N5" s="1396"/>
      <c r="O5" s="1396"/>
      <c r="P5" s="1396"/>
      <c r="Q5" s="1396"/>
      <c r="R5" s="1396"/>
      <c r="S5" s="1396"/>
      <c r="T5" s="1396"/>
      <c r="U5" s="1396"/>
      <c r="V5" s="1396"/>
      <c r="W5" s="1396"/>
      <c r="X5" s="1396"/>
      <c r="Y5" s="1396"/>
      <c r="Z5" s="1396"/>
      <c r="AA5"/>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6"/>
      <c r="AX5" s="1396"/>
      <c r="AY5" s="1396"/>
      <c r="AZ5" s="1396"/>
      <c r="BA5" s="1396"/>
      <c r="BB5" s="1396"/>
      <c r="BC5" s="1396"/>
      <c r="BD5" s="1396"/>
      <c r="BE5" s="1396"/>
      <c r="BF5" s="1396"/>
      <c r="BG5" s="1396"/>
      <c r="BH5" s="1396"/>
      <c r="BI5" s="1396"/>
      <c r="BJ5" s="1396"/>
      <c r="BK5" s="1396"/>
      <c r="BL5" s="1396"/>
      <c r="BM5" s="1396"/>
      <c r="BN5" s="1396"/>
      <c r="BO5" s="1396"/>
      <c r="BP5" s="1396"/>
      <c r="BQ5" s="1396"/>
      <c r="BR5" s="1396"/>
      <c r="BS5" s="1396"/>
      <c r="BT5" s="1396"/>
      <c r="BU5" s="1396"/>
      <c r="BV5" s="1396"/>
      <c r="BW5" s="1396"/>
      <c r="BX5" s="1396"/>
      <c r="BY5" s="1396"/>
      <c r="BZ5" s="1396"/>
      <c r="CA5" s="1396"/>
      <c r="CB5" s="1396"/>
      <c r="CC5" s="1396"/>
      <c r="CD5" s="1396"/>
      <c r="CE5" s="1396"/>
      <c r="CF5" s="1396"/>
      <c r="CG5" s="1396"/>
      <c r="CH5" s="1396"/>
      <c r="CI5" s="1396"/>
      <c r="CJ5" s="1396"/>
      <c r="CK5" s="1396"/>
      <c r="CL5" s="1396"/>
      <c r="CM5" s="1396"/>
      <c r="CN5" s="1396"/>
      <c r="CO5" s="1396"/>
      <c r="CP5" s="1396"/>
      <c r="CQ5" s="1396"/>
      <c r="CR5" s="1396"/>
      <c r="CS5" s="1396"/>
      <c r="CT5" s="1396"/>
      <c r="CU5" s="1396"/>
      <c r="CV5" s="1396"/>
      <c r="CW5" s="1396"/>
      <c r="CX5" s="1396"/>
      <c r="CY5" s="1396"/>
      <c r="CZ5" s="1396"/>
      <c r="DA5" s="1396"/>
      <c r="DB5" s="1396"/>
      <c r="DC5" s="1396"/>
      <c r="DD5" s="1396"/>
      <c r="DE5" s="1396"/>
      <c r="DF5" s="1396"/>
      <c r="DG5" s="1396"/>
      <c r="DH5" s="1396"/>
      <c r="DI5" s="1396"/>
      <c r="DJ5" s="1396"/>
      <c r="DK5" s="1396"/>
      <c r="DL5" s="1396"/>
      <c r="DM5" s="1396"/>
      <c r="DN5" s="1396"/>
      <c r="DO5" s="1396"/>
      <c r="DP5" s="1396"/>
      <c r="DQ5" s="1396"/>
      <c r="DR5" s="1396"/>
      <c r="DS5" s="1396"/>
      <c r="DT5" s="1396"/>
      <c r="DU5" s="1396"/>
      <c r="DV5" s="1396"/>
      <c r="DW5" s="1396"/>
      <c r="DX5" s="1396"/>
      <c r="DY5" s="1396"/>
      <c r="DZ5" s="1396"/>
      <c r="EA5" s="1396"/>
      <c r="EB5" s="1396"/>
      <c r="EC5" s="1396"/>
      <c r="ED5" s="1396"/>
      <c r="EE5" s="1396"/>
      <c r="EF5" s="1396"/>
      <c r="EG5" s="1396"/>
      <c r="EH5" s="1396"/>
      <c r="EI5" s="1396"/>
      <c r="EJ5" s="1396"/>
      <c r="EK5" s="1396"/>
      <c r="EL5" s="1396"/>
      <c r="EM5" s="1396"/>
      <c r="EN5" s="1396"/>
      <c r="EO5" s="1396"/>
      <c r="EP5" s="1396"/>
      <c r="EQ5" s="1396"/>
      <c r="ER5" s="1396"/>
      <c r="ES5" s="1396"/>
      <c r="ET5" s="1396"/>
      <c r="EU5" s="1396"/>
      <c r="EV5" s="1396"/>
      <c r="EW5" s="1396"/>
      <c r="EX5" s="1396"/>
      <c r="EY5" s="1396"/>
      <c r="EZ5" s="1396"/>
      <c r="FA5" s="1396"/>
      <c r="FB5" s="1396"/>
      <c r="FC5" s="1396"/>
      <c r="FD5" s="1396"/>
      <c r="FE5" s="1396"/>
      <c r="FF5" s="1396"/>
      <c r="FG5" s="1396"/>
      <c r="FH5" s="1396"/>
      <c r="FI5" s="1396"/>
      <c r="FJ5" s="15"/>
      <c r="FK5" s="1396"/>
      <c r="FL5" s="1396"/>
      <c r="FM5" s="1396"/>
      <c r="FN5" s="1396"/>
      <c r="FO5" s="1396"/>
      <c r="FP5" s="1396"/>
      <c r="FQ5" s="1396"/>
      <c r="FR5" s="15"/>
      <c r="FS5" s="1396"/>
      <c r="FT5" s="1396"/>
      <c r="FU5" s="1396"/>
      <c r="FV5" s="1396"/>
      <c r="FW5" s="1396"/>
      <c r="FX5" s="1396"/>
      <c r="FY5" s="1396"/>
      <c r="FZ5" s="1396"/>
      <c r="GA5" s="1396"/>
      <c r="GB5" s="1396"/>
      <c r="GC5" s="1396"/>
      <c r="GD5" s="1396"/>
      <c r="GE5" s="1396"/>
      <c r="GF5" s="1396"/>
      <c r="GG5" s="1396"/>
      <c r="GH5" s="6"/>
      <c r="GI5" s="5"/>
      <c r="GJ5" s="5"/>
      <c r="GK5" s="1396"/>
      <c r="GL5" s="1396"/>
      <c r="GM5" s="1396"/>
      <c r="GN5" s="1396"/>
      <c r="GO5" s="1396"/>
      <c r="GP5" s="1396"/>
      <c r="GQ5" s="1396"/>
      <c r="GR5" s="1396"/>
      <c r="GS5" s="1396"/>
      <c r="GT5" s="1396"/>
      <c r="GU5" s="1396"/>
      <c r="GV5" s="1396"/>
      <c r="GW5" s="1396"/>
      <c r="GX5" s="1396"/>
      <c r="GY5" s="1396"/>
      <c r="GZ5" s="1396"/>
      <c r="HA5" s="1396"/>
      <c r="HB5" s="1396"/>
      <c r="HC5" s="1396"/>
      <c r="HD5" s="1396"/>
      <c r="HE5" s="1396"/>
      <c r="HF5" s="1396"/>
      <c r="HG5" s="1396"/>
      <c r="HH5" s="1396"/>
      <c r="HI5" s="1396"/>
      <c r="HJ5" s="1396"/>
      <c r="HK5" s="1396"/>
      <c r="HL5" s="1396"/>
      <c r="HM5" s="1396"/>
      <c r="HN5" s="1396"/>
      <c r="HO5" s="1396"/>
      <c r="HP5" s="1396"/>
      <c r="HQ5" s="1396"/>
      <c r="HR5" s="1396"/>
      <c r="HS5" s="1396"/>
      <c r="HT5" s="1396"/>
      <c r="HU5" s="1396"/>
      <c r="HV5" s="1396"/>
      <c r="HW5" s="1396"/>
      <c r="HX5" s="1396"/>
      <c r="HY5" s="1396"/>
      <c r="HZ5" s="1396"/>
      <c r="IA5" s="1396"/>
      <c r="IB5" s="1396"/>
      <c r="IC5" s="1396"/>
      <c r="ID5" s="1396"/>
      <c r="IE5" s="1396"/>
      <c r="IF5" s="1396"/>
      <c r="IG5" s="1396"/>
      <c r="IH5" s="1396"/>
      <c r="II5" s="1396"/>
      <c r="IJ5" s="1396"/>
      <c r="IK5" s="1396"/>
      <c r="IL5" s="1396"/>
      <c r="IM5" s="1396"/>
      <c r="IN5" s="1396"/>
      <c r="IO5" s="1396"/>
      <c r="IP5" s="1396"/>
      <c r="IQ5" s="1396"/>
      <c r="IR5" s="1396"/>
      <c r="IS5" s="1396"/>
      <c r="IT5" s="1396"/>
      <c r="IU5" s="1396"/>
      <c r="IV5" s="1396"/>
      <c r="IW5" s="1396"/>
      <c r="IX5" s="1396"/>
      <c r="IY5" s="1396"/>
      <c r="IZ5" s="1396"/>
      <c r="JA5" s="1396"/>
      <c r="JB5" s="1396"/>
      <c r="JC5" s="1396"/>
      <c r="JD5" s="1396"/>
      <c r="JE5" s="1396"/>
      <c r="JF5" s="1396"/>
      <c r="JG5" s="1396"/>
      <c r="JH5" s="1396"/>
      <c r="JI5" s="1396"/>
      <c r="JJ5" s="1671"/>
      <c r="JK5" s="1396"/>
      <c r="JL5" s="1671"/>
      <c r="JM5" s="1396"/>
      <c r="JN5" s="1671"/>
      <c r="JO5" s="1396"/>
      <c r="JP5" s="1671"/>
      <c r="JQ5" s="1396"/>
      <c r="JR5" s="1671"/>
      <c r="JS5" s="1396"/>
      <c r="JT5" s="1671"/>
      <c r="JU5" s="1396"/>
      <c r="JV5" s="1671"/>
      <c r="JW5" s="1396"/>
      <c r="JX5" s="1671"/>
      <c r="JY5" s="1396"/>
      <c r="JZ5" s="1671"/>
      <c r="KA5" s="1396"/>
      <c r="KB5" s="1671"/>
    </row>
    <row r="6" spans="2:288" s="3" customFormat="1" ht="14.95" customHeight="1">
      <c r="B6" s="639" t="str">
        <f>IFERROR(IF(__Retrofit_TI_NC&lt;&gt;0,"",IF(Autofund!O3&lt;0.35,CONCATENATE("LOW TRC! (",ROUND(Autofund!O3,2),")"),CONCATENATE("TRC = ",ROUND(Autofund!O3,2)))),"")</f>
        <v>LOW TRC! (0)</v>
      </c>
      <c r="C6" s="1396"/>
      <c r="D6" s="1396"/>
      <c r="E6" s="1676" t="str">
        <f>B6</f>
        <v>LOW TRC! (0)</v>
      </c>
      <c r="F6" s="1676"/>
      <c r="G6" s="1676"/>
      <c r="H6" s="1676"/>
      <c r="I6" s="1396"/>
      <c r="J6" s="1396"/>
      <c r="K6" s="1396"/>
      <c r="L6" s="1396"/>
      <c r="M6" s="1396"/>
      <c r="N6" s="1396"/>
      <c r="O6" s="1403"/>
      <c r="P6" s="1396"/>
      <c r="Q6" s="1396"/>
      <c r="R6" s="1396"/>
      <c r="S6" s="1396"/>
      <c r="T6" s="1396"/>
      <c r="U6" s="1396"/>
      <c r="V6" s="1396"/>
      <c r="W6" s="1396"/>
      <c r="X6" s="1396"/>
      <c r="Y6" s="1396"/>
      <c r="Z6" s="1396"/>
      <c r="AA6" s="1396"/>
      <c r="AB6" s="1396"/>
      <c r="AC6" s="1396"/>
      <c r="AD6" s="1396"/>
      <c r="AE6" s="1396"/>
      <c r="AF6" s="1396"/>
      <c r="AG6" s="1396"/>
      <c r="AH6" s="1396"/>
      <c r="AI6" s="1396"/>
      <c r="AJ6" s="1396"/>
      <c r="AK6" s="1396"/>
      <c r="AL6" s="1396"/>
      <c r="AM6" s="1396"/>
      <c r="AN6" s="1396"/>
      <c r="AO6" s="1396"/>
      <c r="AP6" s="1396"/>
      <c r="AQ6" s="1396"/>
      <c r="AR6" s="1437"/>
      <c r="AS6" s="1437"/>
      <c r="AT6" s="1437"/>
      <c r="AU6" s="1437"/>
      <c r="AV6" s="1437"/>
      <c r="AW6" s="1437"/>
      <c r="AX6" s="1396"/>
      <c r="AY6" s="1396"/>
      <c r="AZ6" s="1396"/>
      <c r="BA6" s="1399">
        <f>E32</f>
        <v>0</v>
      </c>
      <c r="BB6" s="1396" t="s">
        <v>289</v>
      </c>
      <c r="BC6" s="1396"/>
      <c r="BD6" s="1396"/>
      <c r="BE6" s="1396"/>
      <c r="BF6" s="1396"/>
      <c r="BG6" s="1396"/>
      <c r="BH6" s="1396"/>
      <c r="BI6" s="586"/>
      <c r="BJ6" s="586"/>
      <c r="BK6" s="586">
        <f t="shared" ref="BK6:BS6" si="0">BK906</f>
        <v>0</v>
      </c>
      <c r="BL6" s="586">
        <f t="shared" si="0"/>
        <v>0</v>
      </c>
      <c r="BM6" s="586">
        <f t="shared" si="0"/>
        <v>0</v>
      </c>
      <c r="BN6" s="586">
        <f t="shared" si="0"/>
        <v>0</v>
      </c>
      <c r="BO6" s="586">
        <f t="shared" si="0"/>
        <v>0</v>
      </c>
      <c r="BP6" s="586">
        <f t="shared" si="0"/>
        <v>0</v>
      </c>
      <c r="BQ6" s="586">
        <f t="shared" si="0"/>
        <v>0</v>
      </c>
      <c r="BR6" s="586">
        <f t="shared" si="0"/>
        <v>0</v>
      </c>
      <c r="BS6" s="587">
        <f t="shared" si="0"/>
        <v>0</v>
      </c>
      <c r="BT6" s="586">
        <f>BT906</f>
        <v>0</v>
      </c>
      <c r="BU6" s="587">
        <f>BU906</f>
        <v>0</v>
      </c>
      <c r="BV6" s="2"/>
      <c r="BW6" s="586">
        <f t="shared" ref="BW6:CC6" si="1">BW906</f>
        <v>0</v>
      </c>
      <c r="BX6" s="587">
        <f t="shared" si="1"/>
        <v>0</v>
      </c>
      <c r="BY6" s="587">
        <f t="shared" si="1"/>
        <v>0</v>
      </c>
      <c r="BZ6" s="587">
        <f t="shared" si="1"/>
        <v>0</v>
      </c>
      <c r="CA6" s="587">
        <f t="shared" si="1"/>
        <v>0</v>
      </c>
      <c r="CB6" s="586">
        <f t="shared" si="1"/>
        <v>0</v>
      </c>
      <c r="CC6" s="586">
        <f t="shared" si="1"/>
        <v>0</v>
      </c>
      <c r="CD6" s="586">
        <f>CD906</f>
        <v>0</v>
      </c>
      <c r="CE6" s="2"/>
      <c r="CF6" s="588">
        <f>CF906</f>
        <v>0</v>
      </c>
      <c r="CG6" s="588">
        <f>CG906</f>
        <v>0</v>
      </c>
      <c r="CH6" s="588">
        <f>CH906</f>
        <v>0</v>
      </c>
      <c r="CI6" s="2"/>
      <c r="CJ6" s="586">
        <f>Autofund!H8</f>
        <v>0</v>
      </c>
      <c r="CK6" s="1396"/>
      <c r="CL6" s="1396"/>
      <c r="CM6" s="1396"/>
      <c r="CN6" s="1396"/>
      <c r="CO6" s="1396"/>
      <c r="CP6" s="1396">
        <f>Project!H26</f>
        <v>0</v>
      </c>
      <c r="CQ6" s="1396"/>
      <c r="CR6" s="1396"/>
      <c r="CS6" s="1396"/>
      <c r="CT6" s="1396"/>
      <c r="CU6" s="1396"/>
      <c r="CV6" s="1396"/>
      <c r="CW6" s="1396"/>
      <c r="CX6" s="1396"/>
      <c r="CY6" s="1396"/>
      <c r="CZ6" s="1396"/>
      <c r="DA6" s="1396"/>
      <c r="DB6" s="1396"/>
      <c r="DC6" s="1396"/>
      <c r="DD6" s="1396"/>
      <c r="DE6" s="1396"/>
      <c r="DF6" s="1396"/>
      <c r="DG6" s="1396"/>
      <c r="DH6" s="1396"/>
      <c r="DI6" s="1396"/>
      <c r="DJ6" s="1396"/>
      <c r="DK6" s="1396"/>
      <c r="DL6" s="1396"/>
      <c r="DM6" s="1396"/>
      <c r="DN6" s="1396"/>
      <c r="DO6" s="1396"/>
      <c r="DP6" s="1396"/>
      <c r="DQ6" s="1396"/>
      <c r="DR6" s="1396"/>
      <c r="DS6" s="1396"/>
      <c r="DT6" s="1396"/>
      <c r="DU6" s="1396"/>
      <c r="DV6" s="1396"/>
      <c r="DW6" s="1396"/>
      <c r="DX6" s="1396"/>
      <c r="DY6" s="1396"/>
      <c r="DZ6" s="1396"/>
      <c r="EA6" s="1396"/>
      <c r="EB6" s="1396"/>
      <c r="EC6" s="1396"/>
      <c r="ED6" s="1396"/>
      <c r="EE6" s="1396"/>
      <c r="EF6" s="1396"/>
      <c r="EG6" s="1396"/>
      <c r="EH6" s="1396"/>
      <c r="EI6" s="1396"/>
      <c r="EJ6" s="1396"/>
      <c r="EK6" s="1396"/>
      <c r="EL6" s="1396"/>
      <c r="EM6" s="1396"/>
      <c r="EN6" s="1396"/>
      <c r="EO6" s="1396"/>
      <c r="EP6" s="1396"/>
      <c r="EQ6" s="1396"/>
      <c r="ER6" s="1396"/>
      <c r="ES6" s="1396"/>
      <c r="ET6" s="1396"/>
      <c r="EU6" s="1396"/>
      <c r="EV6" s="1396"/>
      <c r="EW6" s="1396"/>
      <c r="EX6" s="1396"/>
      <c r="EY6" s="1396"/>
      <c r="EZ6" s="1396"/>
      <c r="FA6" s="1396"/>
      <c r="FB6" s="1396"/>
      <c r="FC6" s="1396"/>
      <c r="FD6" s="1396"/>
      <c r="FE6" s="1396"/>
      <c r="FF6" s="1396"/>
      <c r="FG6" s="1396"/>
      <c r="FH6" s="1396"/>
      <c r="FI6" s="1396"/>
      <c r="FJ6" s="15"/>
      <c r="FK6" s="1396"/>
      <c r="FL6" s="1396"/>
      <c r="FM6" s="1396"/>
      <c r="FN6" s="1396"/>
      <c r="FO6" s="1396"/>
      <c r="FP6" s="1396"/>
      <c r="FQ6" s="1396"/>
      <c r="FR6" s="15"/>
      <c r="FS6" s="1396"/>
      <c r="FT6" s="1396"/>
      <c r="FU6" s="1396"/>
      <c r="FV6" s="1396"/>
      <c r="FW6" s="1396"/>
      <c r="FX6" s="1396"/>
      <c r="FY6" s="1396"/>
      <c r="FZ6" s="1396"/>
      <c r="GA6" s="1396"/>
      <c r="GB6" s="1396"/>
      <c r="GC6" s="1396">
        <f>Lookup!AU6</f>
        <v>4</v>
      </c>
      <c r="GD6" s="1396" t="str">
        <f>Lookup!AT6</f>
        <v>TLED (Plug and Play)</v>
      </c>
      <c r="GE6" s="1396"/>
      <c r="GF6" s="1396"/>
      <c r="GG6" s="1396"/>
      <c r="GH6" s="6"/>
      <c r="GI6" s="7"/>
      <c r="GJ6" s="7"/>
      <c r="GK6" s="1396"/>
      <c r="GL6" s="1396"/>
      <c r="GM6" s="1396"/>
      <c r="GN6" s="1396"/>
      <c r="GO6" s="1396"/>
      <c r="GP6" s="1396"/>
      <c r="GQ6" s="1396"/>
      <c r="GR6" s="1396"/>
      <c r="GS6" s="1396"/>
      <c r="GT6" s="1396"/>
      <c r="GU6" s="1396"/>
      <c r="GV6" s="1396"/>
      <c r="GW6" s="1396"/>
      <c r="GX6" s="1396"/>
      <c r="GY6" s="1396"/>
      <c r="GZ6" s="1396"/>
      <c r="HA6" s="1396"/>
      <c r="HB6" s="1396"/>
      <c r="HC6" s="1396"/>
      <c r="HD6" s="1396"/>
      <c r="HE6" s="1396"/>
      <c r="HF6" s="1396"/>
      <c r="HG6" s="1396"/>
      <c r="HH6" s="1396"/>
      <c r="HI6" s="1396"/>
      <c r="HJ6" s="1396"/>
      <c r="HK6" s="1396"/>
      <c r="HL6" s="1396"/>
      <c r="HM6" s="1396"/>
      <c r="HN6" s="1396"/>
      <c r="HO6" s="1396"/>
      <c r="HP6" s="1396"/>
      <c r="HQ6" s="1396"/>
      <c r="HR6" s="1396"/>
      <c r="HS6" s="1396"/>
      <c r="HT6" s="1396"/>
      <c r="HU6" s="1396"/>
      <c r="HV6" s="1396"/>
      <c r="HW6" s="1396"/>
      <c r="HX6" s="1396"/>
      <c r="HY6" s="1396"/>
      <c r="HZ6" s="1396"/>
      <c r="IA6" s="1396"/>
      <c r="IB6" s="1396"/>
      <c r="IC6" s="1396"/>
      <c r="ID6" s="1396"/>
      <c r="IE6" s="1396"/>
      <c r="IF6" s="1396"/>
      <c r="IG6" s="647" t="s">
        <v>290</v>
      </c>
      <c r="IH6" s="1404">
        <f>SUMIFS(IG47:IG803,CU47:CU803,"Exist",CR47:CR803,IG$6)</f>
        <v>0</v>
      </c>
      <c r="II6" s="1404">
        <f>SUMIF(CQ47:CQ803,IG6,IH47:IH803)</f>
        <v>0</v>
      </c>
      <c r="IJ6" s="1405">
        <f>COUNTIF(CQ47:CQ803,IG6)</f>
        <v>0</v>
      </c>
      <c r="IK6" s="1406">
        <f>IFERROR(II6/IH6,0)</f>
        <v>0</v>
      </c>
      <c r="IL6" s="1407" t="b">
        <f>IF(__Retrofit_TI_NC=0,TRUE,IF(IJ6&gt;0,IF(IK6&gt;IL$4,TRUE,FALSE),TRUE))</f>
        <v>1</v>
      </c>
      <c r="IM6" s="1396"/>
      <c r="IN6" s="1396"/>
      <c r="IO6" s="1396"/>
      <c r="IP6" s="1396"/>
      <c r="IQ6" s="1396"/>
      <c r="IR6" s="1396"/>
      <c r="IS6" s="1396"/>
      <c r="IT6" s="1396"/>
      <c r="IU6" s="1396"/>
      <c r="IV6" s="1396"/>
      <c r="IW6" s="1396"/>
      <c r="IX6" s="1396"/>
      <c r="IY6" s="1396"/>
      <c r="IZ6" s="1396"/>
      <c r="JA6" s="1396"/>
      <c r="JB6" s="1396"/>
      <c r="JC6" s="1396"/>
      <c r="JD6" s="1396"/>
      <c r="JE6" s="1396"/>
      <c r="JF6" s="1396"/>
      <c r="JG6" s="1396"/>
      <c r="JH6" s="1396"/>
      <c r="JI6" s="1408"/>
      <c r="JJ6" s="1671"/>
      <c r="JK6" s="1396"/>
      <c r="JL6" s="1671"/>
      <c r="JM6" s="1396"/>
      <c r="JN6" s="1671"/>
      <c r="JO6" s="1397"/>
      <c r="JP6" s="1671"/>
      <c r="JQ6" s="1396"/>
      <c r="JR6" s="1671"/>
      <c r="JS6" s="1396"/>
      <c r="JT6" s="1671"/>
      <c r="JU6" s="1396"/>
      <c r="JV6" s="1671"/>
      <c r="JW6" s="1396"/>
      <c r="JX6" s="1671"/>
      <c r="JY6" s="1396"/>
      <c r="JZ6" s="1671"/>
      <c r="KA6" s="1396"/>
      <c r="KB6" s="1671"/>
    </row>
    <row r="7" spans="2:288" s="3" customFormat="1" ht="5.0999999999999996" customHeight="1">
      <c r="B7" s="1396"/>
      <c r="C7" s="1396"/>
      <c r="D7" s="1396"/>
      <c r="E7" s="1396"/>
      <c r="F7" s="1396"/>
      <c r="G7" s="1396"/>
      <c r="H7" s="1396"/>
      <c r="I7" s="1396"/>
      <c r="J7" s="1396"/>
      <c r="K7" s="1396"/>
      <c r="L7" s="1650" t="str">
        <f>Lookup!$B$19</f>
        <v>BUSINESS LIGHTING INCENTIVE PROGRAM</v>
      </c>
      <c r="M7" s="1650"/>
      <c r="N7" s="1650"/>
      <c r="O7" s="1650"/>
      <c r="P7" s="1650"/>
      <c r="Q7" s="1650"/>
      <c r="R7" s="1650"/>
      <c r="S7" s="1650"/>
      <c r="T7" s="1650"/>
      <c r="U7" s="1650"/>
      <c r="V7" s="1650"/>
      <c r="W7" s="1650"/>
      <c r="X7" s="1650"/>
      <c r="Y7" s="1650"/>
      <c r="Z7" s="1650"/>
      <c r="AA7" s="1650"/>
      <c r="AB7" s="1650"/>
      <c r="AC7" s="1650"/>
      <c r="AD7" s="1650"/>
      <c r="AE7" s="1650"/>
      <c r="AF7" s="1650"/>
      <c r="AG7" s="1650"/>
      <c r="AH7" s="1650"/>
      <c r="AI7" s="1650"/>
      <c r="AJ7" s="1650"/>
      <c r="AK7" s="1650"/>
      <c r="AL7" s="1650"/>
      <c r="AM7" s="1650"/>
      <c r="AN7" s="1650"/>
      <c r="AO7" s="1650"/>
      <c r="AP7" s="1396"/>
      <c r="AQ7" s="1396"/>
      <c r="AR7" s="1396"/>
      <c r="AS7" s="1396"/>
      <c r="AT7" s="1396"/>
      <c r="AU7" s="1396"/>
      <c r="AV7" s="1396"/>
      <c r="AW7" s="1396"/>
      <c r="AX7" s="1396"/>
      <c r="AY7" s="1396"/>
      <c r="AZ7" s="1396"/>
      <c r="BA7" s="1396"/>
      <c r="BB7" s="1396"/>
      <c r="BC7" s="1396"/>
      <c r="BD7" s="1396"/>
      <c r="BE7" s="1396"/>
      <c r="BF7" s="1396"/>
      <c r="BG7" s="1396"/>
      <c r="BH7" s="1396"/>
      <c r="BI7" s="1396"/>
      <c r="BJ7" s="1396"/>
      <c r="BK7" s="1396"/>
      <c r="BL7" s="1409"/>
      <c r="BM7" s="1409"/>
      <c r="BN7" s="1409"/>
      <c r="BO7" s="1409"/>
      <c r="BP7" s="1409"/>
      <c r="BQ7" s="1409"/>
      <c r="BR7" s="1396"/>
      <c r="BS7" s="1410"/>
      <c r="BT7" s="1396"/>
      <c r="BU7" s="1410"/>
      <c r="BV7" s="1396"/>
      <c r="BW7" s="1396"/>
      <c r="BX7" s="1410"/>
      <c r="BY7" s="1410"/>
      <c r="BZ7" s="1410"/>
      <c r="CA7" s="1410"/>
      <c r="CB7" s="1396"/>
      <c r="CC7" s="1396"/>
      <c r="CD7" s="1396"/>
      <c r="CE7" s="1396"/>
      <c r="CF7" s="1396"/>
      <c r="CG7" s="1396"/>
      <c r="CH7" s="1396"/>
      <c r="CI7" s="1396"/>
      <c r="CJ7" s="1396"/>
      <c r="CK7" s="1396"/>
      <c r="CL7" s="1396"/>
      <c r="CM7" s="1396"/>
      <c r="CN7" s="1396"/>
      <c r="CO7" s="1396"/>
      <c r="CP7" s="1396"/>
      <c r="CQ7" s="1396"/>
      <c r="CR7" s="1396"/>
      <c r="CS7" s="1396"/>
      <c r="CT7" s="1396"/>
      <c r="CU7" s="1396"/>
      <c r="CV7" s="1396"/>
      <c r="CW7" s="1396"/>
      <c r="CX7" s="1396"/>
      <c r="CY7" s="1396"/>
      <c r="CZ7" s="1396"/>
      <c r="DA7" s="1396"/>
      <c r="DB7" s="1396"/>
      <c r="DC7" s="1396"/>
      <c r="DD7" s="1396"/>
      <c r="DE7" s="1396"/>
      <c r="DF7" s="1396"/>
      <c r="DG7" s="1396"/>
      <c r="DH7" s="1396"/>
      <c r="DI7" s="1396"/>
      <c r="DJ7" s="1396"/>
      <c r="DK7" s="1396"/>
      <c r="DL7" s="1396"/>
      <c r="DM7" s="1396"/>
      <c r="DN7" s="1396"/>
      <c r="DO7" s="1396"/>
      <c r="DP7" s="1396"/>
      <c r="DQ7" s="1396"/>
      <c r="DR7" s="1396"/>
      <c r="DS7" s="1396"/>
      <c r="DT7" s="1396"/>
      <c r="DU7" s="1396"/>
      <c r="DV7" s="1396"/>
      <c r="DW7" s="1396"/>
      <c r="DX7" s="1396"/>
      <c r="DY7" s="1396"/>
      <c r="DZ7" s="1396"/>
      <c r="EA7" s="1396"/>
      <c r="EB7" s="1396"/>
      <c r="EC7" s="1396"/>
      <c r="ED7" s="1396"/>
      <c r="EE7" s="1396"/>
      <c r="EF7" s="1396"/>
      <c r="EG7" s="1396"/>
      <c r="EH7" s="1396"/>
      <c r="EI7" s="1396"/>
      <c r="EJ7" s="1396"/>
      <c r="EK7" s="1396"/>
      <c r="EL7" s="1396"/>
      <c r="EM7" s="1396"/>
      <c r="EN7" s="1396"/>
      <c r="EO7" s="1396"/>
      <c r="EP7" s="1396"/>
      <c r="EQ7" s="1396"/>
      <c r="ER7" s="1396"/>
      <c r="ES7" s="1396"/>
      <c r="ET7" s="1396"/>
      <c r="EU7" s="1396"/>
      <c r="EV7" s="1396"/>
      <c r="EW7" s="1396"/>
      <c r="EX7" s="1396"/>
      <c r="EY7" s="1396"/>
      <c r="EZ7" s="1396"/>
      <c r="FA7" s="1396"/>
      <c r="FB7" s="1396"/>
      <c r="FC7" s="1396"/>
      <c r="FD7" s="1396"/>
      <c r="FE7" s="1396"/>
      <c r="FF7" s="1396"/>
      <c r="FG7" s="1396"/>
      <c r="FH7" s="1396"/>
      <c r="FI7" s="1396"/>
      <c r="FJ7" s="15"/>
      <c r="FK7" s="1396"/>
      <c r="FL7" s="1396"/>
      <c r="FM7" s="1396"/>
      <c r="FN7" s="1396"/>
      <c r="FO7" s="1396"/>
      <c r="FP7" s="1396"/>
      <c r="FQ7" s="1396"/>
      <c r="FR7" s="15"/>
      <c r="FS7" s="1396"/>
      <c r="FT7" s="1396"/>
      <c r="FU7" s="1396"/>
      <c r="FV7" s="1396"/>
      <c r="FW7" s="1396"/>
      <c r="FX7" s="1396"/>
      <c r="FY7" s="1396"/>
      <c r="FZ7" s="1396"/>
      <c r="GA7" s="1396"/>
      <c r="GB7" s="1396"/>
      <c r="GC7" s="1396"/>
      <c r="GD7" s="1396"/>
      <c r="GE7" s="1396"/>
      <c r="GF7" s="1396"/>
      <c r="GG7" s="1396"/>
      <c r="GH7" s="6"/>
      <c r="GI7" s="7"/>
      <c r="GJ7" s="7"/>
      <c r="GK7" s="1396"/>
      <c r="GL7" s="1396"/>
      <c r="GM7" s="1396"/>
      <c r="GN7" s="1396"/>
      <c r="GO7" s="1396"/>
      <c r="GP7" s="1396"/>
      <c r="GQ7" s="1396"/>
      <c r="GR7" s="1396"/>
      <c r="GS7" s="1396"/>
      <c r="GT7" s="1396"/>
      <c r="GU7" s="1396"/>
      <c r="GV7" s="1396"/>
      <c r="GW7" s="1396"/>
      <c r="GX7" s="1396"/>
      <c r="GY7" s="1396"/>
      <c r="GZ7" s="1396"/>
      <c r="HA7" s="1396"/>
      <c r="HB7" s="1396"/>
      <c r="HC7" s="1396"/>
      <c r="HD7" s="1396"/>
      <c r="HE7" s="1396"/>
      <c r="HF7" s="1396"/>
      <c r="HG7" s="1396"/>
      <c r="HH7" s="1396"/>
      <c r="HI7" s="1396"/>
      <c r="HJ7" s="1396"/>
      <c r="HK7" s="1396"/>
      <c r="HL7" s="1396"/>
      <c r="HM7" s="1396"/>
      <c r="HN7" s="1396"/>
      <c r="HO7" s="1396"/>
      <c r="HP7" s="1396"/>
      <c r="HQ7" s="1396"/>
      <c r="HR7" s="1396"/>
      <c r="HS7" s="1396"/>
      <c r="HT7" s="1396"/>
      <c r="HU7" s="1396"/>
      <c r="HV7" s="1396"/>
      <c r="HW7" s="1396"/>
      <c r="HX7" s="1396"/>
      <c r="HY7" s="1396"/>
      <c r="HZ7" s="1396"/>
      <c r="IA7" s="1396"/>
      <c r="IB7" s="1396"/>
      <c r="IC7" s="1396"/>
      <c r="ID7" s="1396"/>
      <c r="IE7" s="1396"/>
      <c r="IF7" s="1396"/>
      <c r="IG7" s="1396"/>
      <c r="IH7" s="1396"/>
      <c r="II7" s="1396"/>
      <c r="IJ7" s="1396"/>
      <c r="IK7" s="1397"/>
      <c r="IL7" s="1396"/>
      <c r="IM7" s="1396"/>
      <c r="IN7" s="1396"/>
      <c r="IO7" s="1396"/>
      <c r="IP7" s="1396"/>
      <c r="IQ7" s="1396"/>
      <c r="IR7" s="1396"/>
      <c r="IS7" s="1396"/>
      <c r="IT7" s="1396"/>
      <c r="IU7" s="1396"/>
      <c r="IV7" s="1396"/>
      <c r="IW7" s="1396"/>
      <c r="IX7" s="1396"/>
      <c r="IY7" s="1396"/>
      <c r="IZ7" s="1396"/>
      <c r="JA7" s="1396"/>
      <c r="JB7" s="1396"/>
      <c r="JC7" s="1396"/>
      <c r="JD7" s="1396"/>
      <c r="JE7" s="1396"/>
      <c r="JF7" s="1396"/>
      <c r="JG7" s="1032"/>
      <c r="JH7" s="1396"/>
      <c r="JI7" s="1411"/>
      <c r="JJ7" s="1396"/>
      <c r="JK7" s="1396"/>
      <c r="JL7" s="1412"/>
      <c r="JM7" s="1396"/>
      <c r="JN7" s="1412"/>
      <c r="JO7" s="1396"/>
      <c r="JP7" s="1396"/>
      <c r="JQ7" s="1396"/>
      <c r="JR7" s="1396"/>
      <c r="JS7" s="1396"/>
      <c r="JT7" s="1396"/>
      <c r="JU7" s="1396"/>
      <c r="JV7" s="1396"/>
      <c r="JW7" s="1396"/>
      <c r="JX7" s="1396"/>
      <c r="JY7" s="1396"/>
      <c r="JZ7" s="1396"/>
      <c r="KA7" s="1396"/>
      <c r="KB7" s="1396"/>
    </row>
    <row r="8" spans="2:288" s="3" customFormat="1" ht="14.95" customHeight="1">
      <c r="B8" s="1092">
        <f ca="1">'Grant QC Review'!V112</f>
        <v>0</v>
      </c>
      <c r="C8" s="1396"/>
      <c r="D8" s="1396"/>
      <c r="E8" s="1677">
        <f ca="1">B8</f>
        <v>0</v>
      </c>
      <c r="F8" s="1676"/>
      <c r="G8" s="1676"/>
      <c r="H8" s="1676"/>
      <c r="I8" s="1396"/>
      <c r="J8" s="1396"/>
      <c r="K8" s="1396"/>
      <c r="L8" s="1650"/>
      <c r="M8" s="1650"/>
      <c r="N8" s="1650"/>
      <c r="O8" s="1650"/>
      <c r="P8" s="1650"/>
      <c r="Q8" s="1650"/>
      <c r="R8" s="1650"/>
      <c r="S8" s="1650"/>
      <c r="T8" s="1650"/>
      <c r="U8" s="1650"/>
      <c r="V8" s="1650"/>
      <c r="W8" s="1650"/>
      <c r="X8" s="1650"/>
      <c r="Y8" s="1650"/>
      <c r="Z8" s="1650"/>
      <c r="AA8" s="1650"/>
      <c r="AB8" s="1650"/>
      <c r="AC8" s="1650"/>
      <c r="AD8" s="1650"/>
      <c r="AE8" s="1650"/>
      <c r="AF8" s="1650"/>
      <c r="AG8" s="1650"/>
      <c r="AH8" s="1650"/>
      <c r="AI8" s="1650"/>
      <c r="AJ8" s="1650"/>
      <c r="AK8" s="1650"/>
      <c r="AL8" s="1650"/>
      <c r="AM8" s="1650"/>
      <c r="AN8" s="1650"/>
      <c r="AO8" s="1650"/>
      <c r="AP8" s="1396"/>
      <c r="AQ8" s="1396"/>
      <c r="AR8" s="1437"/>
      <c r="AS8" s="1437"/>
      <c r="AT8" s="1396"/>
      <c r="AU8" s="1437"/>
      <c r="AV8" s="1437"/>
      <c r="AW8" s="1437"/>
      <c r="AX8" s="1396"/>
      <c r="AY8" s="1396"/>
      <c r="AZ8" s="1396"/>
      <c r="BA8" s="1413">
        <f>Autofund!O3</f>
        <v>0</v>
      </c>
      <c r="BB8" s="1396" t="s">
        <v>291</v>
      </c>
      <c r="BC8" s="1396"/>
      <c r="BD8" s="1396"/>
      <c r="BE8" s="1396"/>
      <c r="BF8" s="1396"/>
      <c r="BG8" s="8" t="s">
        <v>292</v>
      </c>
      <c r="BH8" s="1396"/>
      <c r="BI8" s="1397" t="str">
        <f>BI856</f>
        <v/>
      </c>
      <c r="BJ8" s="1397" t="str">
        <f t="shared" ref="BJ8:CJ8" si="2">BJ856</f>
        <v/>
      </c>
      <c r="BK8" s="1397" t="str">
        <f t="shared" si="2"/>
        <v/>
      </c>
      <c r="BL8" s="1397" t="str">
        <f t="shared" si="2"/>
        <v/>
      </c>
      <c r="BM8" s="1397" t="str">
        <f t="shared" si="2"/>
        <v/>
      </c>
      <c r="BN8" s="1397" t="str">
        <f t="shared" si="2"/>
        <v/>
      </c>
      <c r="BO8" s="1397" t="str">
        <f t="shared" si="2"/>
        <v/>
      </c>
      <c r="BP8" s="1397" t="str">
        <f t="shared" si="2"/>
        <v/>
      </c>
      <c r="BQ8" s="1397" t="str">
        <f t="shared" si="2"/>
        <v/>
      </c>
      <c r="BR8" s="1397" t="str">
        <f t="shared" si="2"/>
        <v/>
      </c>
      <c r="BS8" s="1397" t="str">
        <f t="shared" si="2"/>
        <v/>
      </c>
      <c r="BT8" s="1397" t="str">
        <f t="shared" si="2"/>
        <v/>
      </c>
      <c r="BU8" s="1397" t="str">
        <f t="shared" si="2"/>
        <v/>
      </c>
      <c r="BV8" s="1397" t="str">
        <f t="shared" si="2"/>
        <v/>
      </c>
      <c r="BW8" s="1397" t="str">
        <f t="shared" si="2"/>
        <v/>
      </c>
      <c r="BX8" s="1397" t="str">
        <f t="shared" si="2"/>
        <v/>
      </c>
      <c r="BY8" s="1397" t="str">
        <f t="shared" si="2"/>
        <v/>
      </c>
      <c r="BZ8" s="1397" t="str">
        <f t="shared" si="2"/>
        <v/>
      </c>
      <c r="CA8" s="1397" t="str">
        <f t="shared" si="2"/>
        <v/>
      </c>
      <c r="CB8" s="1397" t="str">
        <f t="shared" si="2"/>
        <v/>
      </c>
      <c r="CC8" s="1397" t="str">
        <f t="shared" si="2"/>
        <v/>
      </c>
      <c r="CD8" s="1397" t="str">
        <f t="shared" si="2"/>
        <v/>
      </c>
      <c r="CE8" s="1397" t="str">
        <f t="shared" si="2"/>
        <v/>
      </c>
      <c r="CF8" s="1397" t="str">
        <f t="shared" si="2"/>
        <v/>
      </c>
      <c r="CG8" s="1397" t="str">
        <f t="shared" si="2"/>
        <v/>
      </c>
      <c r="CH8" s="1397" t="str">
        <f t="shared" si="2"/>
        <v/>
      </c>
      <c r="CI8" s="1397" t="str">
        <f t="shared" si="2"/>
        <v/>
      </c>
      <c r="CJ8" s="1397" t="str">
        <f t="shared" si="2"/>
        <v/>
      </c>
      <c r="CK8" s="1396"/>
      <c r="CL8" s="1396"/>
      <c r="CM8" s="1396"/>
      <c r="CN8" s="1396"/>
      <c r="CO8" s="1396"/>
      <c r="CP8" s="1396">
        <f>Project!H26</f>
        <v>0</v>
      </c>
      <c r="CQ8" s="1396"/>
      <c r="CR8" s="1396"/>
      <c r="CS8" s="1396"/>
      <c r="CT8" s="1396"/>
      <c r="CU8" s="1396"/>
      <c r="CV8" s="1396"/>
      <c r="CW8" s="1396"/>
      <c r="CX8" s="1396"/>
      <c r="CY8" s="1396"/>
      <c r="CZ8" s="1396"/>
      <c r="DA8" s="1396"/>
      <c r="DB8" s="1396"/>
      <c r="DC8" s="1396"/>
      <c r="DD8" s="1396"/>
      <c r="DE8" s="1396"/>
      <c r="DF8" s="1396"/>
      <c r="DG8" s="1396"/>
      <c r="DH8" s="1396"/>
      <c r="DI8" s="1396"/>
      <c r="DJ8" s="1396"/>
      <c r="DK8" s="1396"/>
      <c r="DL8" s="1396"/>
      <c r="DM8" s="1396"/>
      <c r="DN8" s="1396"/>
      <c r="DO8" s="1396"/>
      <c r="DP8" s="1396"/>
      <c r="DQ8" s="1396"/>
      <c r="DR8" s="1396"/>
      <c r="DS8" s="1396"/>
      <c r="DT8" s="1396"/>
      <c r="DU8" s="1396"/>
      <c r="DV8" s="1396"/>
      <c r="DW8" s="1396"/>
      <c r="DX8" s="1396"/>
      <c r="DY8" s="1396"/>
      <c r="DZ8" s="1396"/>
      <c r="EA8" s="1396"/>
      <c r="EB8" s="1396"/>
      <c r="EC8" s="1396"/>
      <c r="ED8" s="1396"/>
      <c r="EE8" s="1396"/>
      <c r="EF8" s="1396"/>
      <c r="EG8" s="1396"/>
      <c r="EH8" s="1396"/>
      <c r="EI8" t="s">
        <v>293</v>
      </c>
      <c r="EJ8" s="1396"/>
      <c r="EK8" s="1396"/>
      <c r="EL8" s="1396"/>
      <c r="EM8" s="16"/>
      <c r="EN8" s="16"/>
      <c r="EO8" s="16"/>
      <c r="EP8" s="16"/>
      <c r="EQ8" s="16"/>
      <c r="ER8" s="16"/>
      <c r="ES8" s="1396"/>
      <c r="ET8" s="1396"/>
      <c r="EU8" s="1396"/>
      <c r="EV8" s="1396"/>
      <c r="EW8" s="16"/>
      <c r="EX8" s="16"/>
      <c r="EY8" s="16"/>
      <c r="EZ8" s="16"/>
      <c r="FA8" s="16"/>
      <c r="FB8" s="16"/>
      <c r="FC8" s="16"/>
      <c r="FD8" s="16"/>
      <c r="FE8" s="16"/>
      <c r="FF8" s="16"/>
      <c r="FG8" s="428"/>
      <c r="FH8" s="428"/>
      <c r="FI8" s="428"/>
      <c r="FJ8" s="15"/>
      <c r="FK8" s="16"/>
      <c r="FL8" s="16"/>
      <c r="FM8" s="16"/>
      <c r="FN8" s="16"/>
      <c r="FO8" s="16"/>
      <c r="FP8" s="16"/>
      <c r="FQ8" s="1396"/>
      <c r="FR8" s="15"/>
      <c r="FS8" s="16"/>
      <c r="FT8" s="16"/>
      <c r="FU8" s="16"/>
      <c r="FV8" s="16"/>
      <c r="FW8" s="16"/>
      <c r="FX8" s="16"/>
      <c r="FY8" s="16"/>
      <c r="FZ8" s="1396"/>
      <c r="GA8" s="1396"/>
      <c r="GB8" s="1396"/>
      <c r="GC8" s="1396">
        <f>Lookup!AU7</f>
        <v>5</v>
      </c>
      <c r="GD8" s="1396" t="str">
        <f>Lookup!AT7</f>
        <v>TLED (Ballast ByPass)</v>
      </c>
      <c r="GE8" s="1396"/>
      <c r="GF8" s="1396"/>
      <c r="GG8" s="428"/>
      <c r="GH8" s="6"/>
      <c r="GI8" s="7"/>
      <c r="GJ8" s="7"/>
      <c r="GK8" s="1396"/>
      <c r="GL8" s="1396"/>
      <c r="GM8" s="1396"/>
      <c r="GN8" s="1721" t="s">
        <v>294</v>
      </c>
      <c r="GO8" s="1721" t="s">
        <v>229</v>
      </c>
      <c r="GP8" s="1721" t="s">
        <v>295</v>
      </c>
      <c r="GQ8" s="1721" t="s">
        <v>296</v>
      </c>
      <c r="GR8" s="1721" t="s">
        <v>297</v>
      </c>
      <c r="GS8" s="1721" t="s">
        <v>298</v>
      </c>
      <c r="GT8" s="1721" t="s">
        <v>299</v>
      </c>
      <c r="GU8" s="1721" t="s">
        <v>300</v>
      </c>
      <c r="GV8" s="1721" t="s">
        <v>301</v>
      </c>
      <c r="GW8" s="1721" t="s">
        <v>302</v>
      </c>
      <c r="GX8" s="1721" t="s">
        <v>303</v>
      </c>
      <c r="GY8" s="1721" t="s">
        <v>304</v>
      </c>
      <c r="GZ8" s="1721" t="s">
        <v>305</v>
      </c>
      <c r="HA8" s="1721" t="s">
        <v>306</v>
      </c>
      <c r="HB8" s="1721" t="s">
        <v>307</v>
      </c>
      <c r="HC8" s="1721" t="s">
        <v>308</v>
      </c>
      <c r="HD8" s="1721" t="s">
        <v>309</v>
      </c>
      <c r="HE8" s="1721" t="s">
        <v>310</v>
      </c>
      <c r="HF8" s="1721" t="s">
        <v>311</v>
      </c>
      <c r="HG8" s="1721" t="s">
        <v>312</v>
      </c>
      <c r="HH8" s="1721" t="s">
        <v>313</v>
      </c>
      <c r="HI8" s="1721" t="s">
        <v>314</v>
      </c>
      <c r="HJ8" s="1721" t="s">
        <v>315</v>
      </c>
      <c r="HK8" s="1721" t="s">
        <v>316</v>
      </c>
      <c r="HL8" s="1721" t="s">
        <v>317</v>
      </c>
      <c r="HM8" s="1721" t="s">
        <v>318</v>
      </c>
      <c r="HN8" s="1721" t="s">
        <v>319</v>
      </c>
      <c r="HO8" s="1721" t="s">
        <v>320</v>
      </c>
      <c r="HP8" s="1721" t="s">
        <v>321</v>
      </c>
      <c r="HQ8" s="1721" t="s">
        <v>322</v>
      </c>
      <c r="HR8" s="1721" t="s">
        <v>323</v>
      </c>
      <c r="HS8" s="1721" t="s">
        <v>276</v>
      </c>
      <c r="HT8" s="1721" t="s">
        <v>324</v>
      </c>
      <c r="HU8" s="1721" t="s">
        <v>325</v>
      </c>
      <c r="HV8" s="1721" t="s">
        <v>326</v>
      </c>
      <c r="HW8" s="1721" t="s">
        <v>327</v>
      </c>
      <c r="HX8" s="1721" t="s">
        <v>328</v>
      </c>
      <c r="HY8" s="1721" t="s">
        <v>329</v>
      </c>
      <c r="HZ8" s="1721" t="s">
        <v>330</v>
      </c>
      <c r="IA8" s="1721"/>
      <c r="IB8" s="1721" t="s">
        <v>331</v>
      </c>
      <c r="IC8" s="492"/>
      <c r="ID8" s="1721" t="s">
        <v>332</v>
      </c>
      <c r="IE8" s="492"/>
      <c r="IF8" s="492"/>
      <c r="IG8" s="647" t="s">
        <v>333</v>
      </c>
      <c r="IH8" s="1404">
        <f>SUMIFS(IG47:IG803,CU47:CU803,"Exist",CR47:CR803,IG$8)</f>
        <v>0</v>
      </c>
      <c r="II8" s="1404">
        <f>SUMIF(CQ47:CQ803,IG8,IH47:IH803)</f>
        <v>0</v>
      </c>
      <c r="IJ8" s="1405">
        <f>COUNTIF(CQ47:CQ803,IG8)</f>
        <v>9</v>
      </c>
      <c r="IK8" s="1406">
        <f>IFERROR(II8/IH8,0)</f>
        <v>0</v>
      </c>
      <c r="IL8" s="1407" t="b">
        <f>IF(__Retrofit_TI_NC=0,TRUE,IF(IJ8&gt;0,IF(IK8&gt;IL$4,TRUE,FALSE),TRUE))</f>
        <v>1</v>
      </c>
      <c r="IM8" s="1396"/>
      <c r="IN8" s="1396"/>
      <c r="IO8" s="1396"/>
      <c r="IP8" s="1396"/>
      <c r="IQ8" s="1396"/>
      <c r="IR8" s="1396"/>
      <c r="IS8" s="1396"/>
      <c r="IT8" s="1396"/>
      <c r="IU8" s="1396"/>
      <c r="IV8" s="1396"/>
      <c r="IW8" s="1396"/>
      <c r="IX8" s="1396"/>
      <c r="IY8" s="1396"/>
      <c r="IZ8" s="1396"/>
      <c r="JA8" s="1396"/>
      <c r="JB8" s="1396"/>
      <c r="JC8" s="1396"/>
      <c r="JD8" s="1396"/>
      <c r="JE8" s="1396"/>
      <c r="JF8" s="1396"/>
      <c r="JG8" s="1032"/>
      <c r="JH8" s="1396"/>
      <c r="JI8" s="1411"/>
      <c r="JJ8" s="1007" t="s">
        <v>334</v>
      </c>
      <c r="JK8" s="1396"/>
      <c r="JL8" s="1007" t="s">
        <v>334</v>
      </c>
      <c r="JM8" s="1396"/>
      <c r="JN8" s="1007" t="s">
        <v>334</v>
      </c>
      <c r="JO8" s="1396"/>
      <c r="JP8" s="1007" t="s">
        <v>335</v>
      </c>
      <c r="JQ8" s="1396"/>
      <c r="JR8" s="1007" t="s">
        <v>335</v>
      </c>
      <c r="JS8" s="1396"/>
      <c r="JT8" s="1007" t="s">
        <v>335</v>
      </c>
      <c r="JU8" s="1396"/>
      <c r="JV8" s="1007" t="s">
        <v>335</v>
      </c>
      <c r="JW8" s="1396"/>
      <c r="JX8" s="1007" t="s">
        <v>335</v>
      </c>
      <c r="JY8" s="1396"/>
      <c r="JZ8" s="1007" t="s">
        <v>335</v>
      </c>
      <c r="KA8" s="1396"/>
      <c r="KB8" s="1007" t="s">
        <v>335</v>
      </c>
    </row>
    <row r="9" spans="2:288" s="3" customFormat="1" ht="5.0999999999999996" customHeight="1">
      <c r="B9" s="1396"/>
      <c r="C9" s="1396"/>
      <c r="D9" s="1396"/>
      <c r="E9" s="1396"/>
      <c r="F9" s="1396"/>
      <c r="G9" s="1396"/>
      <c r="H9" s="1396"/>
      <c r="I9" s="428"/>
      <c r="J9" s="428"/>
      <c r="K9" s="428"/>
      <c r="L9" s="1439" t="str">
        <f>Lookup!$B$20</f>
        <v>Business Lighting ─ STANDARD V24-02 ─ Valid through 06/30/2024</v>
      </c>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1439"/>
      <c r="AL9" s="1439"/>
      <c r="AM9" s="1439"/>
      <c r="AN9" s="1439"/>
      <c r="AO9" s="1439"/>
      <c r="AP9" s="1396"/>
      <c r="AQ9" s="1396"/>
      <c r="AR9" s="1396"/>
      <c r="AS9" s="1396"/>
      <c r="AT9" s="1396"/>
      <c r="AU9" s="1396"/>
      <c r="AV9" s="1396"/>
      <c r="AW9" s="1396"/>
      <c r="AX9" s="1396"/>
      <c r="AY9" s="1396"/>
      <c r="AZ9" s="1396"/>
      <c r="BA9" s="1396"/>
      <c r="BB9" s="1396"/>
      <c r="BC9" s="1396"/>
      <c r="BD9" s="1396"/>
      <c r="BE9" s="1396"/>
      <c r="BF9" s="1396"/>
      <c r="BG9" s="1396"/>
      <c r="BH9" s="1396"/>
      <c r="BI9" s="1397"/>
      <c r="BJ9" s="1396"/>
      <c r="BK9" s="1397"/>
      <c r="BL9" s="1414"/>
      <c r="BM9" s="1414"/>
      <c r="BN9" s="1414"/>
      <c r="BO9" s="1414"/>
      <c r="BP9" s="1414"/>
      <c r="BQ9" s="1414"/>
      <c r="BR9" s="1414"/>
      <c r="BS9" s="1415"/>
      <c r="BT9" s="1397"/>
      <c r="BU9" s="1415"/>
      <c r="BV9" s="1397"/>
      <c r="BW9" s="1414"/>
      <c r="BX9" s="1415"/>
      <c r="BY9" s="1415"/>
      <c r="BZ9" s="1415"/>
      <c r="CA9" s="1415"/>
      <c r="CB9" s="1397"/>
      <c r="CC9" s="1397"/>
      <c r="CD9" s="1397"/>
      <c r="CE9" s="1397"/>
      <c r="CF9" s="1397"/>
      <c r="CG9" s="1397"/>
      <c r="CH9" s="1397"/>
      <c r="CI9" s="1397"/>
      <c r="CJ9" s="1397"/>
      <c r="CK9" s="1396"/>
      <c r="CL9" s="1396"/>
      <c r="CM9" s="1396"/>
      <c r="CN9" s="1396"/>
      <c r="CO9" s="1396"/>
      <c r="CP9" s="428"/>
      <c r="CQ9" s="428"/>
      <c r="CR9" s="428"/>
      <c r="CS9" s="1396"/>
      <c r="CT9" s="1396"/>
      <c r="CU9" s="1396"/>
      <c r="CV9" s="1396"/>
      <c r="CW9" s="1396"/>
      <c r="CX9" s="1396"/>
      <c r="CY9" s="1396"/>
      <c r="CZ9" s="1396"/>
      <c r="DA9" s="1396"/>
      <c r="DB9" s="1396"/>
      <c r="DC9" s="1396"/>
      <c r="DD9" s="1396"/>
      <c r="DE9" s="1396"/>
      <c r="DF9" s="1396"/>
      <c r="DG9" s="1396"/>
      <c r="DH9" s="1396"/>
      <c r="DI9" s="1396"/>
      <c r="DJ9" s="1396"/>
      <c r="DK9" s="1396"/>
      <c r="DL9" s="1396"/>
      <c r="DM9" s="1396"/>
      <c r="DN9" s="1396"/>
      <c r="DO9" s="1396"/>
      <c r="DP9" s="1396"/>
      <c r="DQ9" s="1396"/>
      <c r="DR9" s="1396"/>
      <c r="DS9" s="1396"/>
      <c r="DT9" s="1396"/>
      <c r="DU9" s="1396"/>
      <c r="DV9" s="1396"/>
      <c r="DW9" s="1396"/>
      <c r="DX9" s="1396"/>
      <c r="DY9" s="1396"/>
      <c r="DZ9" s="1396"/>
      <c r="EA9" s="1396"/>
      <c r="EB9" s="1396"/>
      <c r="EC9" s="1396"/>
      <c r="ED9" s="1396"/>
      <c r="EE9" s="1396"/>
      <c r="EF9" s="1396"/>
      <c r="EG9" s="1396"/>
      <c r="EH9" s="1396"/>
      <c r="EI9" s="1396"/>
      <c r="EJ9" s="1396"/>
      <c r="EK9" s="1396"/>
      <c r="EL9" s="1396"/>
      <c r="EM9" s="1396"/>
      <c r="EN9" s="1396"/>
      <c r="EO9" s="1396"/>
      <c r="EP9" s="1396"/>
      <c r="EQ9" s="1396"/>
      <c r="ER9" s="1396"/>
      <c r="ES9" s="1396"/>
      <c r="ET9" s="1396"/>
      <c r="EU9" s="1396"/>
      <c r="EV9" s="1396"/>
      <c r="EW9" s="428"/>
      <c r="EX9" s="428"/>
      <c r="EY9" s="428"/>
      <c r="EZ9" s="428"/>
      <c r="FA9" s="428"/>
      <c r="FB9" s="428"/>
      <c r="FC9" s="428"/>
      <c r="FD9" s="428"/>
      <c r="FE9" s="428"/>
      <c r="FF9" s="428"/>
      <c r="FG9" s="428"/>
      <c r="FH9" s="428"/>
      <c r="FI9" s="428"/>
      <c r="FJ9" s="15"/>
      <c r="FK9" s="428"/>
      <c r="FL9" s="428"/>
      <c r="FM9" s="428"/>
      <c r="FN9" s="1396"/>
      <c r="FO9" s="1396"/>
      <c r="FP9" s="1396"/>
      <c r="FQ9" s="1396"/>
      <c r="FR9" s="15"/>
      <c r="FS9" s="428"/>
      <c r="FT9" s="428"/>
      <c r="FU9" s="428"/>
      <c r="FV9" s="428"/>
      <c r="FW9" s="428"/>
      <c r="FX9" s="428"/>
      <c r="FY9" s="428"/>
      <c r="FZ9" s="1396"/>
      <c r="GA9" s="1396"/>
      <c r="GB9" s="1396"/>
      <c r="GC9" s="428"/>
      <c r="GD9" s="1396"/>
      <c r="GE9" s="1396"/>
      <c r="GF9" s="1396"/>
      <c r="GG9" s="428"/>
      <c r="GH9" s="6"/>
      <c r="GI9" s="7"/>
      <c r="GJ9" s="7"/>
      <c r="GK9" s="1396"/>
      <c r="GL9" s="1396"/>
      <c r="GM9" s="1396"/>
      <c r="GN9" s="1721"/>
      <c r="GO9" s="1721"/>
      <c r="GP9" s="1721"/>
      <c r="GQ9" s="1721"/>
      <c r="GR9" s="1721"/>
      <c r="GS9" s="1721"/>
      <c r="GT9" s="1721"/>
      <c r="GU9" s="1721"/>
      <c r="GV9" s="1721"/>
      <c r="GW9" s="1721"/>
      <c r="GX9" s="1721"/>
      <c r="GY9" s="1721"/>
      <c r="GZ9" s="1721"/>
      <c r="HA9" s="1721"/>
      <c r="HB9" s="1721"/>
      <c r="HC9" s="1721"/>
      <c r="HD9" s="1721"/>
      <c r="HE9" s="1721"/>
      <c r="HF9" s="1721"/>
      <c r="HG9" s="1721"/>
      <c r="HH9" s="1721"/>
      <c r="HI9" s="1721"/>
      <c r="HJ9" s="1721"/>
      <c r="HK9" s="1721"/>
      <c r="HL9" s="1721"/>
      <c r="HM9" s="1721"/>
      <c r="HN9" s="1721"/>
      <c r="HO9" s="1721"/>
      <c r="HP9" s="1721"/>
      <c r="HQ9" s="1721"/>
      <c r="HR9" s="1721"/>
      <c r="HS9" s="1721"/>
      <c r="HT9" s="1721"/>
      <c r="HU9" s="1721"/>
      <c r="HV9" s="1721"/>
      <c r="HW9" s="1721"/>
      <c r="HX9" s="1721"/>
      <c r="HY9" s="1721"/>
      <c r="HZ9" s="1721"/>
      <c r="IA9" s="1721"/>
      <c r="IB9" s="1721"/>
      <c r="IC9" s="492"/>
      <c r="ID9" s="1721"/>
      <c r="IE9" s="492"/>
      <c r="IF9" s="492"/>
      <c r="IG9" s="492"/>
      <c r="IH9" s="492"/>
      <c r="II9" s="492"/>
      <c r="IJ9" s="1396"/>
      <c r="IK9" s="1396"/>
      <c r="IL9" s="1396"/>
      <c r="IM9" s="1396"/>
      <c r="IN9" s="1396"/>
      <c r="IO9" s="1396"/>
      <c r="IP9" s="1396"/>
      <c r="IQ9" s="1396"/>
      <c r="IR9" s="1396"/>
      <c r="IS9" s="1396"/>
      <c r="IT9" s="1396"/>
      <c r="IU9" s="1396"/>
      <c r="IV9" s="1396"/>
      <c r="IW9" s="1396"/>
      <c r="IX9" s="1396"/>
      <c r="IY9" s="1396"/>
      <c r="IZ9" s="1396"/>
      <c r="JA9" s="1396"/>
      <c r="JB9" s="1396"/>
      <c r="JC9" s="1396"/>
      <c r="JD9" s="1396"/>
      <c r="JE9" s="1396"/>
      <c r="JF9" s="1396"/>
      <c r="JG9" s="1396"/>
      <c r="JH9" s="1396"/>
      <c r="JI9" s="1396"/>
      <c r="JJ9" s="1396"/>
      <c r="JK9" s="1396"/>
      <c r="JL9" s="1396"/>
      <c r="JM9" s="1396"/>
      <c r="JN9" s="1396"/>
      <c r="JO9" s="1396"/>
      <c r="JP9" s="1396"/>
      <c r="JQ9" s="1396"/>
      <c r="JR9" s="1396"/>
      <c r="JS9" s="1396"/>
      <c r="JT9" s="1396"/>
      <c r="JU9" s="1396"/>
      <c r="JV9" s="1396"/>
      <c r="JW9" s="1396"/>
      <c r="JX9" s="1396"/>
      <c r="JY9" s="1396"/>
      <c r="JZ9" s="1396"/>
      <c r="KA9" s="1396"/>
      <c r="KB9" s="1396"/>
    </row>
    <row r="10" spans="2:288" s="3" customFormat="1" ht="14.95" customHeight="1">
      <c r="B10" s="1393" t="str">
        <f>CONCATENATE(TEXT(Autofund!L3,"$0.00"),"/ kWh")</f>
        <v>$0.00/ kWh</v>
      </c>
      <c r="C10" s="1396"/>
      <c r="D10" s="1396"/>
      <c r="E10" s="1396"/>
      <c r="F10" s="1396"/>
      <c r="G10" s="1396"/>
      <c r="H10" s="1396"/>
      <c r="I10" s="1396"/>
      <c r="J10" s="1396"/>
      <c r="K10" s="1396"/>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439"/>
      <c r="AM10" s="1439"/>
      <c r="AN10" s="1439"/>
      <c r="AO10" s="1439"/>
      <c r="AP10" s="1396"/>
      <c r="AQ10" s="1396"/>
      <c r="AR10" s="1437"/>
      <c r="AS10" s="1437"/>
      <c r="AT10" s="1396"/>
      <c r="AU10" s="1437"/>
      <c r="AV10" s="1437"/>
      <c r="AW10" s="1437"/>
      <c r="AX10" s="1396"/>
      <c r="AY10" s="1396"/>
      <c r="AZ10" s="1396"/>
      <c r="BA10" s="1416">
        <f>Autofund!L3</f>
        <v>0</v>
      </c>
      <c r="BB10" s="1396" t="s">
        <v>336</v>
      </c>
      <c r="BC10" s="1396"/>
      <c r="BD10" s="1396"/>
      <c r="BE10" s="1396"/>
      <c r="BF10" s="1396"/>
      <c r="BG10" s="1396"/>
      <c r="BH10" s="1396"/>
      <c r="BI10" s="1397" t="str">
        <f>BI857</f>
        <v/>
      </c>
      <c r="BJ10" s="1397" t="str">
        <f t="shared" ref="BJ10:CJ10" si="3">BJ857</f>
        <v/>
      </c>
      <c r="BK10" s="1397" t="str">
        <f t="shared" si="3"/>
        <v/>
      </c>
      <c r="BL10" s="1397" t="str">
        <f t="shared" si="3"/>
        <v/>
      </c>
      <c r="BM10" s="1397" t="str">
        <f t="shared" si="3"/>
        <v/>
      </c>
      <c r="BN10" s="1397" t="str">
        <f t="shared" si="3"/>
        <v/>
      </c>
      <c r="BO10" s="1397" t="str">
        <f t="shared" si="3"/>
        <v/>
      </c>
      <c r="BP10" s="1397" t="str">
        <f t="shared" si="3"/>
        <v/>
      </c>
      <c r="BQ10" s="1397" t="str">
        <f t="shared" si="3"/>
        <v/>
      </c>
      <c r="BR10" s="1397" t="str">
        <f t="shared" si="3"/>
        <v/>
      </c>
      <c r="BS10" s="1397" t="str">
        <f t="shared" si="3"/>
        <v/>
      </c>
      <c r="BT10" s="1397" t="str">
        <f t="shared" si="3"/>
        <v/>
      </c>
      <c r="BU10" s="1397" t="str">
        <f t="shared" si="3"/>
        <v/>
      </c>
      <c r="BV10" s="1397" t="str">
        <f t="shared" si="3"/>
        <v/>
      </c>
      <c r="BW10" s="1397" t="str">
        <f t="shared" si="3"/>
        <v/>
      </c>
      <c r="BX10" s="1397" t="str">
        <f t="shared" si="3"/>
        <v/>
      </c>
      <c r="BY10" s="1397" t="str">
        <f t="shared" si="3"/>
        <v/>
      </c>
      <c r="BZ10" s="1397" t="str">
        <f t="shared" si="3"/>
        <v/>
      </c>
      <c r="CA10" s="1397" t="str">
        <f t="shared" si="3"/>
        <v/>
      </c>
      <c r="CB10" s="1397" t="str">
        <f t="shared" si="3"/>
        <v/>
      </c>
      <c r="CC10" s="1397" t="str">
        <f t="shared" si="3"/>
        <v/>
      </c>
      <c r="CD10" s="1397" t="str">
        <f t="shared" si="3"/>
        <v/>
      </c>
      <c r="CE10" s="1397" t="str">
        <f t="shared" si="3"/>
        <v/>
      </c>
      <c r="CF10" s="1397" t="str">
        <f t="shared" si="3"/>
        <v/>
      </c>
      <c r="CG10" s="1397" t="str">
        <f t="shared" si="3"/>
        <v/>
      </c>
      <c r="CH10" s="1397" t="str">
        <f t="shared" si="3"/>
        <v/>
      </c>
      <c r="CI10" s="1397" t="str">
        <f t="shared" si="3"/>
        <v/>
      </c>
      <c r="CJ10" s="1397" t="str">
        <f t="shared" si="3"/>
        <v/>
      </c>
      <c r="CK10" s="1396"/>
      <c r="CL10" s="1396"/>
      <c r="CM10" s="1396"/>
      <c r="CN10" s="1396"/>
      <c r="CO10" s="1396"/>
      <c r="CP10" s="1396" t="b">
        <f>IF(OR(CP6&lt;&gt;0,CP8&lt;&gt;0)=TRUE,TRUE,FALSE)</f>
        <v>0</v>
      </c>
      <c r="CQ10" s="1396"/>
      <c r="CR10" s="1396"/>
      <c r="CS10" s="1396"/>
      <c r="CT10" s="1396"/>
      <c r="CU10" s="1396"/>
      <c r="CV10" s="1396"/>
      <c r="CW10" s="1396"/>
      <c r="CX10" s="1396"/>
      <c r="CY10" s="1396"/>
      <c r="CZ10" s="1396"/>
      <c r="DA10" s="1396"/>
      <c r="DB10" s="1396"/>
      <c r="DC10" s="1396"/>
      <c r="DD10" s="1396"/>
      <c r="DE10" s="1396"/>
      <c r="DF10" s="1396"/>
      <c r="DG10" s="1396"/>
      <c r="DH10" s="1396"/>
      <c r="DI10" s="1396"/>
      <c r="DJ10" s="1396"/>
      <c r="DK10" s="1396"/>
      <c r="DL10" s="1396"/>
      <c r="DM10" s="1396"/>
      <c r="DN10" s="1396"/>
      <c r="DO10" s="1396"/>
      <c r="DP10" s="1396"/>
      <c r="DQ10" s="1396"/>
      <c r="DR10" s="1396"/>
      <c r="DS10" s="1396"/>
      <c r="DT10" s="1396"/>
      <c r="DU10" s="1396"/>
      <c r="DV10" s="1396"/>
      <c r="DW10" s="1396"/>
      <c r="DX10" s="1396"/>
      <c r="DY10" s="1396"/>
      <c r="DZ10" s="1396"/>
      <c r="EA10" s="1396"/>
      <c r="EB10" s="1396"/>
      <c r="EC10" s="1396"/>
      <c r="ED10" s="1396"/>
      <c r="EE10" s="1396"/>
      <c r="EF10" s="1396"/>
      <c r="EG10" s="1396"/>
      <c r="EH10" s="1396"/>
      <c r="EI10"/>
      <c r="EJ10" s="1396"/>
      <c r="EK10" s="1396"/>
      <c r="EL10" s="1396"/>
      <c r="EM10" s="87"/>
      <c r="EN10" s="87"/>
      <c r="EO10" s="87"/>
      <c r="EP10" s="87"/>
      <c r="EQ10" s="87"/>
      <c r="ER10" s="87"/>
      <c r="ES10" s="1396"/>
      <c r="ET10" s="1396"/>
      <c r="EU10" s="1396"/>
      <c r="EV10" s="1396"/>
      <c r="EW10" s="87"/>
      <c r="EX10" s="87"/>
      <c r="EY10" s="87"/>
      <c r="EZ10" s="87"/>
      <c r="FA10" s="87"/>
      <c r="FB10" s="87"/>
      <c r="FC10" s="87"/>
      <c r="FD10" s="87"/>
      <c r="FE10" s="87"/>
      <c r="FF10" s="87"/>
      <c r="FG10" s="16"/>
      <c r="FH10" s="16"/>
      <c r="FI10" s="16"/>
      <c r="FJ10" s="15"/>
      <c r="FK10" s="87"/>
      <c r="FL10" s="87"/>
      <c r="FM10" s="87"/>
      <c r="FN10" s="87"/>
      <c r="FO10" s="87"/>
      <c r="FP10" s="87"/>
      <c r="FQ10" s="1396"/>
      <c r="FR10" s="15"/>
      <c r="FS10" s="87"/>
      <c r="FT10" s="87"/>
      <c r="FU10" s="87"/>
      <c r="FV10" s="87"/>
      <c r="FW10" s="87"/>
      <c r="FX10" s="87"/>
      <c r="FY10" s="87"/>
      <c r="FZ10" s="1396"/>
      <c r="GA10" s="1396"/>
      <c r="GB10" s="1396"/>
      <c r="GC10" s="1396">
        <f>Lookup!AU8</f>
        <v>6</v>
      </c>
      <c r="GD10" s="1396" t="str">
        <f>Lookup!AT8</f>
        <v>TLED (External)</v>
      </c>
      <c r="GE10" s="1396"/>
      <c r="GF10" s="1396"/>
      <c r="GG10" s="16"/>
      <c r="GH10" s="6"/>
      <c r="GI10" s="7"/>
      <c r="GJ10" s="7"/>
      <c r="GK10" s="1396"/>
      <c r="GL10" s="1396"/>
      <c r="GM10" s="1396"/>
      <c r="GN10" s="1721"/>
      <c r="GO10" s="1721"/>
      <c r="GP10" s="1721"/>
      <c r="GQ10" s="1721"/>
      <c r="GR10" s="1721"/>
      <c r="GS10" s="1721"/>
      <c r="GT10" s="1721"/>
      <c r="GU10" s="1721"/>
      <c r="GV10" s="1721"/>
      <c r="GW10" s="1721"/>
      <c r="GX10" s="1721"/>
      <c r="GY10" s="1721"/>
      <c r="GZ10" s="1721"/>
      <c r="HA10" s="1721"/>
      <c r="HB10" s="1721"/>
      <c r="HC10" s="1721"/>
      <c r="HD10" s="1721"/>
      <c r="HE10" s="1721"/>
      <c r="HF10" s="1721"/>
      <c r="HG10" s="1721"/>
      <c r="HH10" s="1721"/>
      <c r="HI10" s="1721"/>
      <c r="HJ10" s="1721"/>
      <c r="HK10" s="1721"/>
      <c r="HL10" s="1721"/>
      <c r="HM10" s="1721"/>
      <c r="HN10" s="1721"/>
      <c r="HO10" s="1721"/>
      <c r="HP10" s="1721"/>
      <c r="HQ10" s="1721"/>
      <c r="HR10" s="1721"/>
      <c r="HS10" s="1721"/>
      <c r="HT10" s="1721"/>
      <c r="HU10" s="1721"/>
      <c r="HV10" s="1721"/>
      <c r="HW10" s="1721"/>
      <c r="HX10" s="1721"/>
      <c r="HY10" s="1721"/>
      <c r="HZ10" s="1721"/>
      <c r="IA10" s="1721"/>
      <c r="IB10" s="1721"/>
      <c r="IC10" s="492"/>
      <c r="ID10" s="1721"/>
      <c r="IE10" s="492"/>
      <c r="IF10" s="492"/>
      <c r="IG10" s="492"/>
      <c r="IH10" s="492"/>
      <c r="II10" s="492"/>
      <c r="IJ10" s="1396"/>
      <c r="IK10" s="1396"/>
      <c r="IL10" s="1396"/>
      <c r="IM10" s="1396"/>
      <c r="IN10" s="1396"/>
      <c r="IO10" s="1396"/>
      <c r="IP10" s="1396"/>
      <c r="IQ10" s="1396"/>
      <c r="IR10" s="1396"/>
      <c r="IS10" s="1396"/>
      <c r="IT10" s="1396"/>
      <c r="IU10" s="1396"/>
      <c r="IV10" s="1396"/>
      <c r="IW10" s="1396"/>
      <c r="IX10" s="1396"/>
      <c r="IY10" s="1396"/>
      <c r="IZ10" s="1396"/>
      <c r="JA10" s="1396"/>
      <c r="JB10" s="1396"/>
      <c r="JC10" s="1396"/>
      <c r="JD10" s="1396"/>
      <c r="JE10" s="1396"/>
      <c r="JF10" s="1396"/>
      <c r="JG10" s="187"/>
      <c r="JH10" s="294" t="s">
        <v>257</v>
      </c>
      <c r="JI10" s="1397"/>
      <c r="JJ10" s="1417">
        <f>VLOOKUP(JJ4,Lookup!$J$2:$K$23,2,FALSE)</f>
        <v>50</v>
      </c>
      <c r="JK10" s="1396"/>
      <c r="JL10" s="1417">
        <f>VLOOKUP(JL4,Lookup!$J$2:$K$23,2,FALSE)</f>
        <v>75</v>
      </c>
      <c r="JM10" s="1396"/>
      <c r="JN10" s="1417">
        <f>VLOOKUP(JN4,Lookup!$J$2:$K$23,2,FALSE)</f>
        <v>100</v>
      </c>
      <c r="JO10" s="1396"/>
      <c r="JP10" s="1417">
        <f>VLOOKUP(JP4,Lookup!$J$2:$K$23,2,FALSE)</f>
        <v>100</v>
      </c>
      <c r="JQ10" s="1396"/>
      <c r="JR10" s="1417">
        <f>VLOOKUP(JR4,Lookup!$J$2:$K$23,2,FALSE)</f>
        <v>50</v>
      </c>
      <c r="JS10" s="1396"/>
      <c r="JT10" s="1417">
        <f>VLOOKUP(JT4,Lookup!$J$2:$K$23,2,FALSE)</f>
        <v>50</v>
      </c>
      <c r="JU10" s="1396"/>
      <c r="JV10" s="1417">
        <f>VLOOKUP(JV4,Lookup!$J$2:$K$23,2,FALSE)</f>
        <v>50</v>
      </c>
      <c r="JW10" s="1396"/>
      <c r="JX10" s="1417">
        <f>VLOOKUP(JX4,Lookup!$J$2:$K$23,2,FALSE)</f>
        <v>75</v>
      </c>
      <c r="JY10" s="1396"/>
      <c r="JZ10" s="1417">
        <f>VLOOKUP(JZ4,Lookup!$J$2:$K$23,2,FALSE)</f>
        <v>25</v>
      </c>
      <c r="KA10" s="1396"/>
      <c r="KB10" s="1383">
        <f>VLOOKUP(KB4,Lookup!$J$2:$K$23,2,FALSE)</f>
        <v>50</v>
      </c>
    </row>
    <row r="11" spans="2:288" s="3" customFormat="1" ht="5.0999999999999996" customHeight="1">
      <c r="B11" s="1396"/>
      <c r="C11" s="1396"/>
      <c r="D11" s="1396"/>
      <c r="E11" s="1396"/>
      <c r="F11" s="1396"/>
      <c r="G11" s="1396"/>
      <c r="H11" s="1396"/>
      <c r="I11" s="435"/>
      <c r="J11" s="435"/>
      <c r="K11" s="435"/>
      <c r="L11" s="1449" t="str">
        <f>CONCATENATE("This is a ",Lookup!B16," lighting project")</f>
        <v>This is a RETROFIT lighting project</v>
      </c>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1449"/>
      <c r="AL11" s="1449"/>
      <c r="AM11" s="1449"/>
      <c r="AN11" s="1449"/>
      <c r="AO11" s="1449"/>
      <c r="AP11" s="1396"/>
      <c r="AQ11" s="1396"/>
      <c r="AR11" s="1396"/>
      <c r="AS11" s="1396"/>
      <c r="AT11" s="1396"/>
      <c r="AU11" s="1396"/>
      <c r="AV11" s="1396"/>
      <c r="AW11" s="1396"/>
      <c r="AX11" s="1396"/>
      <c r="AY11" s="1396"/>
      <c r="AZ11" s="1396"/>
      <c r="BA11" s="1396"/>
      <c r="BB11" s="1396"/>
      <c r="BC11" s="1396"/>
      <c r="BD11" s="1396"/>
      <c r="BE11" s="1396"/>
      <c r="BF11" s="1396"/>
      <c r="BG11" s="1396"/>
      <c r="BH11" s="1396"/>
      <c r="BI11" s="1397"/>
      <c r="BJ11" s="1396"/>
      <c r="BK11" s="1397"/>
      <c r="BL11" s="1414"/>
      <c r="BM11" s="1414"/>
      <c r="BN11" s="1414"/>
      <c r="BO11" s="1414"/>
      <c r="BP11" s="1414"/>
      <c r="BQ11" s="1414"/>
      <c r="BR11" s="1414"/>
      <c r="BS11" s="1415"/>
      <c r="BT11" s="1397"/>
      <c r="BU11" s="1415"/>
      <c r="BV11" s="1397"/>
      <c r="BW11" s="1414"/>
      <c r="BX11" s="1415"/>
      <c r="BY11" s="1415"/>
      <c r="BZ11" s="1415"/>
      <c r="CA11" s="1415"/>
      <c r="CB11" s="1397"/>
      <c r="CC11" s="1397"/>
      <c r="CD11" s="1397"/>
      <c r="CE11" s="1397"/>
      <c r="CF11" s="1397"/>
      <c r="CG11" s="1397"/>
      <c r="CH11" s="1397"/>
      <c r="CI11" s="1397"/>
      <c r="CJ11" s="1397"/>
      <c r="CK11" s="1396"/>
      <c r="CL11" s="1396"/>
      <c r="CM11" s="1396"/>
      <c r="CN11" s="1396"/>
      <c r="CO11" s="1396"/>
      <c r="CP11" s="435"/>
      <c r="CQ11" s="435"/>
      <c r="CR11" s="435"/>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435"/>
      <c r="EX11" s="435"/>
      <c r="EY11" s="435"/>
      <c r="EZ11" s="435"/>
      <c r="FA11" s="435"/>
      <c r="FB11" s="435"/>
      <c r="FC11" s="435"/>
      <c r="FD11" s="435"/>
      <c r="FE11" s="435"/>
      <c r="FF11" s="435"/>
      <c r="FG11" s="16"/>
      <c r="FH11" s="16"/>
      <c r="FI11" s="16"/>
      <c r="FJ11" s="15"/>
      <c r="FK11" s="435"/>
      <c r="FL11" s="435"/>
      <c r="FM11" s="435"/>
      <c r="FN11" s="1396"/>
      <c r="FO11" s="1396"/>
      <c r="FP11" s="1396"/>
      <c r="FQ11" s="1396"/>
      <c r="FR11" s="15"/>
      <c r="FS11" s="435"/>
      <c r="FT11" s="435"/>
      <c r="FU11" s="435"/>
      <c r="FV11" s="435"/>
      <c r="FW11" s="435"/>
      <c r="FX11" s="435"/>
      <c r="FY11" s="435"/>
      <c r="FZ11" s="1396"/>
      <c r="GA11" s="1396"/>
      <c r="GB11" s="1396"/>
      <c r="GC11" s="16"/>
      <c r="GD11" s="1396"/>
      <c r="GE11" s="1396"/>
      <c r="GF11" s="1396"/>
      <c r="GG11" s="16"/>
      <c r="GH11" s="6"/>
      <c r="GI11" s="7"/>
      <c r="GJ11" s="7"/>
      <c r="GK11" s="1396"/>
      <c r="GL11" s="1396"/>
      <c r="GM11" s="1396"/>
      <c r="GN11" s="1721"/>
      <c r="GO11" s="1721"/>
      <c r="GP11" s="1721"/>
      <c r="GQ11" s="1721"/>
      <c r="GR11" s="1721"/>
      <c r="GS11" s="1721"/>
      <c r="GT11" s="1721"/>
      <c r="GU11" s="1721"/>
      <c r="GV11" s="1721"/>
      <c r="GW11" s="1721"/>
      <c r="GX11" s="1721"/>
      <c r="GY11" s="1721"/>
      <c r="GZ11" s="1721"/>
      <c r="HA11" s="1721"/>
      <c r="HB11" s="1721"/>
      <c r="HC11" s="1721"/>
      <c r="HD11" s="1721"/>
      <c r="HE11" s="1721"/>
      <c r="HF11" s="1721"/>
      <c r="HG11" s="1721"/>
      <c r="HH11" s="1721"/>
      <c r="HI11" s="1721"/>
      <c r="HJ11" s="1721"/>
      <c r="HK11" s="1721"/>
      <c r="HL11" s="1721"/>
      <c r="HM11" s="1721"/>
      <c r="HN11" s="1721"/>
      <c r="HO11" s="1721"/>
      <c r="HP11" s="1721"/>
      <c r="HQ11" s="1721"/>
      <c r="HR11" s="1721"/>
      <c r="HS11" s="1721"/>
      <c r="HT11" s="1721"/>
      <c r="HU11" s="1721"/>
      <c r="HV11" s="1721"/>
      <c r="HW11" s="1721"/>
      <c r="HX11" s="1721"/>
      <c r="HY11" s="1721"/>
      <c r="HZ11" s="1721"/>
      <c r="IA11" s="1721"/>
      <c r="IB11" s="1721"/>
      <c r="IC11" s="492"/>
      <c r="ID11" s="1721"/>
      <c r="IE11" s="492"/>
      <c r="IF11" s="492"/>
      <c r="IG11" s="492"/>
      <c r="IH11" s="492"/>
      <c r="II11" s="492"/>
      <c r="IJ11" s="1396"/>
      <c r="IK11" s="1396"/>
      <c r="IL11" s="1396"/>
      <c r="IM11" s="1396"/>
      <c r="IN11" s="1396"/>
      <c r="IO11" s="1396"/>
      <c r="IP11" s="1396"/>
      <c r="IQ11" s="1396"/>
      <c r="IR11" s="1396"/>
      <c r="IS11" s="1396"/>
      <c r="IT11" s="1396"/>
      <c r="IU11" s="1396"/>
      <c r="IV11" s="1396"/>
      <c r="IW11" s="1396"/>
      <c r="IX11" s="1396"/>
      <c r="IY11" s="1396"/>
      <c r="IZ11" s="1396"/>
      <c r="JA11" s="1396"/>
      <c r="JB11" s="1396"/>
      <c r="JC11" s="1396"/>
      <c r="JD11" s="1396"/>
      <c r="JE11" s="1396"/>
      <c r="JF11" s="1396"/>
      <c r="JG11" s="1396"/>
      <c r="JH11" s="1418"/>
      <c r="JI11" s="1396"/>
      <c r="JJ11" s="1415"/>
      <c r="JK11" s="1396"/>
      <c r="JL11" s="1415"/>
      <c r="JM11" s="1396"/>
      <c r="JN11" s="1415"/>
      <c r="JO11" s="1396"/>
      <c r="JP11" s="1415"/>
      <c r="JQ11" s="1396"/>
      <c r="JR11" s="1415"/>
      <c r="JS11" s="1396"/>
      <c r="JT11" s="1415"/>
      <c r="JU11" s="1396"/>
      <c r="JV11" s="1415"/>
      <c r="JW11" s="1396"/>
      <c r="JX11" s="1415"/>
      <c r="JY11" s="1396"/>
      <c r="JZ11" s="1415"/>
      <c r="KA11" s="1396"/>
      <c r="KB11" s="95"/>
    </row>
    <row r="12" spans="2:288" s="3" customFormat="1" ht="14.95" customHeight="1">
      <c r="B12" s="38" t="s">
        <v>337</v>
      </c>
      <c r="C12" s="1396"/>
      <c r="D12" s="1396"/>
      <c r="E12" s="1396"/>
      <c r="F12" s="1396"/>
      <c r="G12" s="1396"/>
      <c r="H12" s="1396"/>
      <c r="I12" s="1396"/>
      <c r="J12" s="16"/>
      <c r="K12" s="16"/>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c r="AM12" s="1449"/>
      <c r="AN12" s="1449"/>
      <c r="AO12" s="1449"/>
      <c r="AP12" s="1396"/>
      <c r="AQ12" s="1396"/>
      <c r="AR12" s="1437"/>
      <c r="AS12" s="1437"/>
      <c r="AT12" s="1396"/>
      <c r="AU12" s="1437"/>
      <c r="AV12" s="1437"/>
      <c r="AW12" s="1437"/>
      <c r="AX12" s="1396"/>
      <c r="AY12" s="1396"/>
      <c r="AZ12"/>
      <c r="BA12"/>
      <c r="BB12"/>
      <c r="BC12"/>
      <c r="BD12"/>
      <c r="BE12"/>
      <c r="BF12"/>
      <c r="BG12"/>
      <c r="BH12" s="1396"/>
      <c r="BI12" s="1397" t="str">
        <f>BI858</f>
        <v/>
      </c>
      <c r="BJ12" s="1397" t="str">
        <f t="shared" ref="BJ12:CJ12" si="4">BJ858</f>
        <v/>
      </c>
      <c r="BK12" s="1397" t="str">
        <f t="shared" si="4"/>
        <v/>
      </c>
      <c r="BL12" s="1397" t="str">
        <f t="shared" si="4"/>
        <v/>
      </c>
      <c r="BM12" s="1397" t="str">
        <f t="shared" si="4"/>
        <v/>
      </c>
      <c r="BN12" s="1397" t="str">
        <f t="shared" si="4"/>
        <v/>
      </c>
      <c r="BO12" s="1397" t="str">
        <f t="shared" si="4"/>
        <v/>
      </c>
      <c r="BP12" s="1397" t="str">
        <f t="shared" si="4"/>
        <v/>
      </c>
      <c r="BQ12" s="1397" t="str">
        <f t="shared" si="4"/>
        <v/>
      </c>
      <c r="BR12" s="1397" t="str">
        <f t="shared" si="4"/>
        <v/>
      </c>
      <c r="BS12" s="1397" t="str">
        <f t="shared" si="4"/>
        <v/>
      </c>
      <c r="BT12" s="1397" t="str">
        <f t="shared" si="4"/>
        <v/>
      </c>
      <c r="BU12" s="1397" t="str">
        <f t="shared" si="4"/>
        <v/>
      </c>
      <c r="BV12" s="1397" t="str">
        <f t="shared" si="4"/>
        <v/>
      </c>
      <c r="BW12" s="1397" t="str">
        <f t="shared" si="4"/>
        <v/>
      </c>
      <c r="BX12" s="1397" t="str">
        <f t="shared" si="4"/>
        <v/>
      </c>
      <c r="BY12" s="1397" t="str">
        <f t="shared" si="4"/>
        <v/>
      </c>
      <c r="BZ12" s="1397" t="str">
        <f t="shared" si="4"/>
        <v/>
      </c>
      <c r="CA12" s="1397" t="str">
        <f t="shared" si="4"/>
        <v/>
      </c>
      <c r="CB12" s="1397" t="str">
        <f t="shared" si="4"/>
        <v/>
      </c>
      <c r="CC12" s="1397" t="str">
        <f t="shared" si="4"/>
        <v/>
      </c>
      <c r="CD12" s="1397" t="str">
        <f t="shared" si="4"/>
        <v/>
      </c>
      <c r="CE12" s="1397" t="str">
        <f t="shared" si="4"/>
        <v/>
      </c>
      <c r="CF12" s="1397" t="str">
        <f t="shared" si="4"/>
        <v/>
      </c>
      <c r="CG12" s="1397" t="str">
        <f t="shared" si="4"/>
        <v/>
      </c>
      <c r="CH12" s="1397" t="str">
        <f t="shared" si="4"/>
        <v/>
      </c>
      <c r="CI12" s="1397" t="str">
        <f t="shared" si="4"/>
        <v/>
      </c>
      <c r="CJ12" s="1397" t="str">
        <f t="shared" si="4"/>
        <v/>
      </c>
      <c r="CK12" s="1396"/>
      <c r="CL12" s="1396"/>
      <c r="CM12" s="1396"/>
      <c r="CN12" s="1396"/>
      <c r="CO12" s="1396"/>
      <c r="CP12" s="16"/>
      <c r="CQ12" s="16"/>
      <c r="CR12" s="16"/>
      <c r="CS12" s="1396"/>
      <c r="CT12" s="1396"/>
      <c r="CU12" s="1396"/>
      <c r="CV12" s="38" t="s">
        <v>338</v>
      </c>
      <c r="CW12" s="38"/>
      <c r="CX12" s="38"/>
      <c r="CY12" s="38"/>
      <c r="CZ12" s="38"/>
      <c r="DA12" s="38"/>
      <c r="DB12" s="38"/>
      <c r="DC12" s="38"/>
      <c r="DD12" s="38"/>
      <c r="DE12" s="38"/>
      <c r="DF12" s="38" t="s">
        <v>338</v>
      </c>
      <c r="DG12" s="528"/>
      <c r="DH12" s="1396"/>
      <c r="DI12" s="1396"/>
      <c r="DJ12" s="1396"/>
      <c r="DK12" s="1396"/>
      <c r="DL12" s="1396"/>
      <c r="DM12" s="1396"/>
      <c r="DN12" s="1396"/>
      <c r="DO12" s="1396"/>
      <c r="DP12" s="1396"/>
      <c r="DQ12" s="1396"/>
      <c r="DR12" s="1396"/>
      <c r="DS12" s="1396"/>
      <c r="DT12" s="1396"/>
      <c r="DU12" s="1396"/>
      <c r="DV12" s="1396"/>
      <c r="DW12" s="1396"/>
      <c r="DX12" s="1396"/>
      <c r="DY12" s="1396"/>
      <c r="DZ12" s="1396"/>
      <c r="EA12" s="1396"/>
      <c r="EB12" s="1396"/>
      <c r="EC12" s="1396"/>
      <c r="ED12" s="1396"/>
      <c r="EE12" s="1396"/>
      <c r="EF12" s="1396"/>
      <c r="EG12" s="1396"/>
      <c r="EH12" s="1396"/>
      <c r="EI12"/>
      <c r="EJ12" s="1396"/>
      <c r="EK12" s="1396"/>
      <c r="EL12" s="1396"/>
      <c r="EM12" s="1396"/>
      <c r="EN12" s="1396"/>
      <c r="EO12" s="1396"/>
      <c r="EP12" s="1396"/>
      <c r="EQ12" s="1396"/>
      <c r="ER12" s="1396"/>
      <c r="ES12" s="1396"/>
      <c r="ET12" s="1396"/>
      <c r="EU12" s="1396"/>
      <c r="EV12" s="1396"/>
      <c r="EW12" s="43"/>
      <c r="EX12" s="15"/>
      <c r="EY12" s="1396"/>
      <c r="EZ12" s="6"/>
      <c r="FA12" s="7"/>
      <c r="FB12" s="7"/>
      <c r="FC12" s="7"/>
      <c r="FD12" s="7"/>
      <c r="FE12" s="7"/>
      <c r="FF12" s="7"/>
      <c r="FG12" s="7"/>
      <c r="FH12" s="1396"/>
      <c r="FI12" s="1396"/>
      <c r="FJ12" s="1396"/>
      <c r="FK12" s="1396"/>
      <c r="FL12" s="1396"/>
      <c r="FM12" s="1396"/>
      <c r="FN12" s="1396"/>
      <c r="FO12" s="1396"/>
      <c r="FP12" s="1396"/>
      <c r="FQ12" s="1396"/>
      <c r="FR12" s="1396"/>
      <c r="FS12" s="1396"/>
      <c r="FT12" s="1396"/>
      <c r="FU12" s="1396"/>
      <c r="FV12" s="1396"/>
      <c r="FW12" s="1396"/>
      <c r="FX12" s="1396"/>
      <c r="FY12" s="1396"/>
      <c r="FZ12" s="1396"/>
      <c r="GA12" s="1396"/>
      <c r="GB12" s="1396"/>
      <c r="GC12" s="1396"/>
      <c r="GD12" s="1396"/>
      <c r="GE12" s="1396"/>
      <c r="GF12" s="1396"/>
      <c r="GG12" s="1396"/>
      <c r="GH12" s="1396"/>
      <c r="GI12" s="1396"/>
      <c r="GJ12" s="1396"/>
      <c r="GK12" s="1396"/>
      <c r="GL12" s="1396"/>
      <c r="GM12" s="1396"/>
      <c r="GN12" s="1721"/>
      <c r="GO12" s="1721"/>
      <c r="GP12" s="1721"/>
      <c r="GQ12" s="1721"/>
      <c r="GR12" s="1721"/>
      <c r="GS12" s="1721"/>
      <c r="GT12" s="1721"/>
      <c r="GU12" s="1721"/>
      <c r="GV12" s="1721"/>
      <c r="GW12" s="1721"/>
      <c r="GX12" s="1721"/>
      <c r="GY12" s="1721"/>
      <c r="GZ12" s="1721"/>
      <c r="HA12" s="1721"/>
      <c r="HB12" s="1721"/>
      <c r="HC12" s="1721"/>
      <c r="HD12" s="1721"/>
      <c r="HE12" s="1721"/>
      <c r="HF12" s="1721"/>
      <c r="HG12" s="1721"/>
      <c r="HH12" s="1721"/>
      <c r="HI12" s="1721"/>
      <c r="HJ12" s="1721"/>
      <c r="HK12" s="1721"/>
      <c r="HL12" s="1721"/>
      <c r="HM12" s="1721"/>
      <c r="HN12" s="1721"/>
      <c r="HO12" s="1721"/>
      <c r="HP12" s="1721"/>
      <c r="HQ12" s="1721"/>
      <c r="HR12" s="1721"/>
      <c r="HS12" s="1721"/>
      <c r="HT12" s="1721"/>
      <c r="HU12" s="1721"/>
      <c r="HV12" s="1721"/>
      <c r="HW12" s="1721"/>
      <c r="HX12" s="1721"/>
      <c r="HY12" s="1721"/>
      <c r="HZ12" s="1721"/>
      <c r="IA12" s="1721"/>
      <c r="IB12" s="1721"/>
      <c r="IC12" s="492"/>
      <c r="ID12" s="1721"/>
      <c r="IE12" s="492"/>
      <c r="IF12" s="492"/>
      <c r="IG12" s="492"/>
      <c r="IH12" s="492"/>
      <c r="II12" s="492"/>
      <c r="IJ12" s="1396"/>
      <c r="IK12" s="1396"/>
      <c r="IL12" s="1396"/>
      <c r="IM12" s="1396"/>
      <c r="IN12" s="1396"/>
      <c r="IO12" s="1396"/>
      <c r="IP12" s="1396"/>
      <c r="IQ12" s="1396"/>
      <c r="IR12" s="2" t="s">
        <v>339</v>
      </c>
      <c r="IS12" s="1396"/>
      <c r="IT12" s="1396"/>
      <c r="IU12" s="1396"/>
      <c r="IV12" s="1396"/>
      <c r="IW12" s="1396"/>
      <c r="IX12" s="1396"/>
      <c r="IY12" s="1396"/>
      <c r="IZ12" s="1396"/>
      <c r="JA12" s="1396"/>
      <c r="JB12" s="1396"/>
      <c r="JC12" s="1396"/>
      <c r="JD12" s="1396"/>
      <c r="JE12" s="1396"/>
      <c r="JF12" s="1396"/>
      <c r="JG12" s="1396"/>
      <c r="JH12" s="294" t="s">
        <v>340</v>
      </c>
      <c r="JI12" s="1396"/>
      <c r="JJ12" s="1417">
        <f>JJ10*JJ16</f>
        <v>0</v>
      </c>
      <c r="JK12" s="1396"/>
      <c r="JL12" s="1417">
        <f>JL10*JL16</f>
        <v>0</v>
      </c>
      <c r="JM12" s="1396"/>
      <c r="JN12" s="1417">
        <f>JN10*JN16</f>
        <v>0</v>
      </c>
      <c r="JO12" s="1396"/>
      <c r="JP12" s="1417">
        <f>JP10*JP16</f>
        <v>0</v>
      </c>
      <c r="JQ12" s="1396"/>
      <c r="JR12" s="1417">
        <f>JR10*JR16</f>
        <v>0</v>
      </c>
      <c r="JS12" s="1396"/>
      <c r="JT12" s="1417">
        <f>JT10*JT16</f>
        <v>0</v>
      </c>
      <c r="JU12" s="1396"/>
      <c r="JV12" s="1417">
        <f>JV10*JV16</f>
        <v>0</v>
      </c>
      <c r="JW12" s="1396"/>
      <c r="JX12" s="1417">
        <f>JX10*JX16</f>
        <v>0</v>
      </c>
      <c r="JY12" s="1396"/>
      <c r="JZ12" s="1417">
        <f>JZ10*JZ16</f>
        <v>0</v>
      </c>
      <c r="KA12" s="1396"/>
      <c r="KB12" s="1383">
        <f>KB10*KB16</f>
        <v>0</v>
      </c>
    </row>
    <row r="13" spans="2:288" s="3" customFormat="1" ht="5.0999999999999996" customHeight="1">
      <c r="B13" s="1396"/>
      <c r="C13" s="1396"/>
      <c r="D13" s="1396"/>
      <c r="E13" s="1396"/>
      <c r="F13" s="1396"/>
      <c r="G13" s="1396"/>
      <c r="H13" s="1396"/>
      <c r="I13" s="16"/>
      <c r="J13" s="16"/>
      <c r="K13" s="16"/>
      <c r="L13" s="1440" t="str">
        <f>Project!K13</f>
        <v>PSE Approval is required before the retrofit is started!</v>
      </c>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0"/>
      <c r="AJ13" s="1440"/>
      <c r="AK13" s="1440"/>
      <c r="AL13" s="1440"/>
      <c r="AM13" s="1440"/>
      <c r="AN13" s="1440"/>
      <c r="AO13" s="1440"/>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6"/>
      <c r="CQ13" s="16"/>
      <c r="CR13" s="1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43"/>
      <c r="EX13" s="15"/>
      <c r="EY13" s="1396"/>
      <c r="EZ13" s="6"/>
      <c r="FA13" s="7"/>
      <c r="FB13" s="7"/>
      <c r="FC13" s="7"/>
      <c r="FD13" s="7"/>
      <c r="FE13" s="7"/>
      <c r="FF13" s="7"/>
      <c r="FG13" s="7"/>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721"/>
      <c r="GO13" s="1721"/>
      <c r="GP13" s="1721"/>
      <c r="GQ13" s="1721"/>
      <c r="GR13" s="1721"/>
      <c r="GS13" s="1721"/>
      <c r="GT13" s="1721"/>
      <c r="GU13" s="1721"/>
      <c r="GV13" s="1721"/>
      <c r="GW13" s="1721"/>
      <c r="GX13" s="1721"/>
      <c r="GY13" s="1721"/>
      <c r="GZ13" s="1721"/>
      <c r="HA13" s="1721"/>
      <c r="HB13" s="1721"/>
      <c r="HC13" s="1721"/>
      <c r="HD13" s="1721"/>
      <c r="HE13" s="1721"/>
      <c r="HF13" s="1721"/>
      <c r="HG13" s="1721"/>
      <c r="HH13" s="1721"/>
      <c r="HI13" s="1721"/>
      <c r="HJ13" s="1721"/>
      <c r="HK13" s="1721"/>
      <c r="HL13" s="1721"/>
      <c r="HM13" s="1721"/>
      <c r="HN13" s="1721"/>
      <c r="HO13" s="1721"/>
      <c r="HP13" s="1721"/>
      <c r="HQ13" s="1721"/>
      <c r="HR13" s="1721"/>
      <c r="HS13" s="1721"/>
      <c r="HT13" s="1721"/>
      <c r="HU13" s="1721"/>
      <c r="HV13" s="1721"/>
      <c r="HW13" s="1721"/>
      <c r="HX13" s="1721"/>
      <c r="HY13" s="1721"/>
      <c r="HZ13" s="1721"/>
      <c r="IA13" s="1721"/>
      <c r="IB13" s="1721"/>
      <c r="IC13" s="492"/>
      <c r="ID13" s="1721"/>
      <c r="IE13" s="492"/>
      <c r="IF13" s="492"/>
      <c r="IG13" s="492"/>
      <c r="IH13" s="492"/>
      <c r="II13" s="492"/>
      <c r="IJ13" s="1396"/>
      <c r="IK13" s="1396"/>
      <c r="IL13" s="1396"/>
      <c r="IM13" s="1396"/>
      <c r="IN13" s="1396"/>
      <c r="IO13" s="1396"/>
      <c r="IP13" s="1396"/>
      <c r="IQ13" s="1396"/>
      <c r="IR13" s="1396"/>
      <c r="IS13" s="1396"/>
      <c r="IT13" s="1396"/>
      <c r="IU13" s="1396"/>
      <c r="IV13" s="1396"/>
      <c r="IW13" s="1396"/>
      <c r="IX13" s="1396"/>
      <c r="IY13" s="1396"/>
      <c r="IZ13" s="1396"/>
      <c r="JA13" s="1396"/>
      <c r="JB13" s="1396"/>
      <c r="JC13" s="1396"/>
      <c r="JD13" s="1396"/>
      <c r="JE13" s="1396"/>
      <c r="JF13" s="1396"/>
      <c r="JG13" s="1396"/>
      <c r="JH13" s="1418"/>
      <c r="JI13" s="1396"/>
      <c r="JJ13" s="1396"/>
      <c r="JK13" s="1396"/>
      <c r="JL13" s="1396"/>
      <c r="JM13" s="1396"/>
      <c r="JN13" s="1396"/>
      <c r="JO13" s="1396"/>
      <c r="JP13" s="1396"/>
      <c r="JQ13" s="1396"/>
      <c r="JR13" s="1396"/>
      <c r="JS13" s="1396"/>
      <c r="JT13" s="1396"/>
      <c r="JU13" s="1396"/>
      <c r="JV13" s="1396"/>
      <c r="JW13" s="1396"/>
      <c r="JX13" s="1396"/>
      <c r="JY13" s="1396"/>
      <c r="JZ13" s="1396"/>
      <c r="KA13" s="1396"/>
      <c r="KB13" s="1396"/>
    </row>
    <row r="14" spans="2:288" s="3" customFormat="1" ht="14.95" customHeight="1">
      <c r="B14" s="1419" t="s">
        <v>215</v>
      </c>
      <c r="C14" s="1396"/>
      <c r="D14" s="1396"/>
      <c r="E14" s="1396"/>
      <c r="F14" s="1396"/>
      <c r="G14" s="1396"/>
      <c r="H14" s="1396"/>
      <c r="I14" s="1396"/>
      <c r="J14" s="1396"/>
      <c r="K14" s="1396"/>
      <c r="L14" s="1440"/>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1440"/>
      <c r="AL14" s="1440"/>
      <c r="AM14" s="1440"/>
      <c r="AN14" s="1440"/>
      <c r="AO14" s="1440"/>
      <c r="AP14" s="1396"/>
      <c r="AQ14" s="1396"/>
      <c r="AR14" s="1437"/>
      <c r="AS14" s="1437"/>
      <c r="AT14" s="1396"/>
      <c r="AU14" s="1437"/>
      <c r="AV14" s="1437"/>
      <c r="AW14" s="1437"/>
      <c r="AX14" s="1396"/>
      <c r="AY14" s="1396"/>
      <c r="AZ14" s="1396"/>
      <c r="BA14" s="1396"/>
      <c r="BB14" s="1396"/>
      <c r="BC14" s="1396"/>
      <c r="BD14" s="1396"/>
      <c r="BE14" s="1396"/>
      <c r="BF14" s="1396"/>
      <c r="BG14" s="1396"/>
      <c r="BH14" s="1396"/>
      <c r="BI14" s="1397" t="str">
        <f>BI859</f>
        <v/>
      </c>
      <c r="BJ14" s="1397" t="str">
        <f t="shared" ref="BJ14:CJ14" si="5">BJ859</f>
        <v/>
      </c>
      <c r="BK14" s="1397" t="str">
        <f t="shared" si="5"/>
        <v/>
      </c>
      <c r="BL14" s="1397" t="str">
        <f t="shared" si="5"/>
        <v/>
      </c>
      <c r="BM14" s="1397" t="str">
        <f t="shared" si="5"/>
        <v/>
      </c>
      <c r="BN14" s="1397" t="str">
        <f t="shared" si="5"/>
        <v/>
      </c>
      <c r="BO14" s="1397" t="str">
        <f t="shared" si="5"/>
        <v/>
      </c>
      <c r="BP14" s="1397" t="str">
        <f t="shared" si="5"/>
        <v/>
      </c>
      <c r="BQ14" s="1397" t="str">
        <f t="shared" si="5"/>
        <v/>
      </c>
      <c r="BR14" s="1397" t="str">
        <f t="shared" si="5"/>
        <v/>
      </c>
      <c r="BS14" s="1397" t="str">
        <f t="shared" si="5"/>
        <v/>
      </c>
      <c r="BT14" s="1397" t="str">
        <f t="shared" si="5"/>
        <v/>
      </c>
      <c r="BU14" s="1397" t="str">
        <f t="shared" si="5"/>
        <v/>
      </c>
      <c r="BV14" s="1397" t="str">
        <f t="shared" si="5"/>
        <v/>
      </c>
      <c r="BW14" s="1397" t="str">
        <f t="shared" si="5"/>
        <v/>
      </c>
      <c r="BX14" s="1397" t="str">
        <f t="shared" si="5"/>
        <v/>
      </c>
      <c r="BY14" s="1397" t="str">
        <f t="shared" si="5"/>
        <v/>
      </c>
      <c r="BZ14" s="1397" t="str">
        <f t="shared" si="5"/>
        <v/>
      </c>
      <c r="CA14" s="1397" t="str">
        <f t="shared" si="5"/>
        <v/>
      </c>
      <c r="CB14" s="1397" t="str">
        <f t="shared" si="5"/>
        <v/>
      </c>
      <c r="CC14" s="1397" t="str">
        <f t="shared" si="5"/>
        <v/>
      </c>
      <c r="CD14" s="1397" t="str">
        <f t="shared" si="5"/>
        <v/>
      </c>
      <c r="CE14" s="1397" t="str">
        <f t="shared" si="5"/>
        <v/>
      </c>
      <c r="CF14" s="1397" t="str">
        <f t="shared" si="5"/>
        <v/>
      </c>
      <c r="CG14" s="1397" t="str">
        <f t="shared" si="5"/>
        <v/>
      </c>
      <c r="CH14" s="1397" t="str">
        <f t="shared" si="5"/>
        <v/>
      </c>
      <c r="CI14" s="1397" t="str">
        <f t="shared" si="5"/>
        <v/>
      </c>
      <c r="CJ14" s="1397" t="str">
        <f t="shared" si="5"/>
        <v/>
      </c>
      <c r="CK14" s="1396"/>
      <c r="CL14" s="1396"/>
      <c r="CM14" s="1396"/>
      <c r="CN14" s="1396"/>
      <c r="CO14" s="1396"/>
      <c r="CP14" s="1396"/>
      <c r="CQ14" s="1396"/>
      <c r="CR14" s="1396"/>
      <c r="CS14" s="1396"/>
      <c r="CT14" s="1396"/>
      <c r="CU14" s="1396"/>
      <c r="CV14" s="37" t="s">
        <v>341</v>
      </c>
      <c r="CW14" s="38"/>
      <c r="CX14" s="101" t="s">
        <v>342</v>
      </c>
      <c r="CY14" s="38"/>
      <c r="CZ14" s="38"/>
      <c r="DA14" s="101" t="s">
        <v>343</v>
      </c>
      <c r="DB14" s="101" t="s">
        <v>344</v>
      </c>
      <c r="DC14" s="101" t="s">
        <v>345</v>
      </c>
      <c r="DD14" s="101" t="s">
        <v>346</v>
      </c>
      <c r="DE14" s="38"/>
      <c r="DF14" s="38"/>
      <c r="DG14" s="38"/>
      <c r="DH14" s="38"/>
      <c r="DI14" s="38"/>
      <c r="DJ14" s="38"/>
      <c r="DK14" s="38"/>
      <c r="DL14" s="1396"/>
      <c r="DM14" s="1396"/>
      <c r="DN14" s="1396"/>
      <c r="DO14" s="1396"/>
      <c r="DP14" s="1396"/>
      <c r="DQ14" s="1396"/>
      <c r="DR14" s="1396"/>
      <c r="DS14" s="1396"/>
      <c r="DT14" s="1396"/>
      <c r="DU14" s="1396"/>
      <c r="DV14" s="1396"/>
      <c r="DW14" s="1396"/>
      <c r="DX14" s="1396"/>
      <c r="DY14" s="1396"/>
      <c r="DZ14" s="1396"/>
      <c r="EA14" s="1396"/>
      <c r="EB14" s="1396"/>
      <c r="EC14" s="1396"/>
      <c r="ED14" s="1396"/>
      <c r="EE14" s="1396"/>
      <c r="EF14" s="101" t="s">
        <v>344</v>
      </c>
      <c r="EG14" s="101" t="s">
        <v>345</v>
      </c>
      <c r="EH14" s="101" t="s">
        <v>234</v>
      </c>
      <c r="EI14" s="101" t="s">
        <v>347</v>
      </c>
      <c r="EJ14" s="101" t="s">
        <v>348</v>
      </c>
      <c r="EK14" s="38"/>
      <c r="EL14" s="38"/>
      <c r="EM14" s="101" t="s">
        <v>349</v>
      </c>
      <c r="EN14" s="101" t="s">
        <v>234</v>
      </c>
      <c r="EO14" s="101" t="s">
        <v>347</v>
      </c>
      <c r="EP14" s="101" t="s">
        <v>234</v>
      </c>
      <c r="EQ14" s="101" t="s">
        <v>347</v>
      </c>
      <c r="ER14" s="101" t="s">
        <v>234</v>
      </c>
      <c r="ES14" s="101" t="s">
        <v>347</v>
      </c>
      <c r="ET14" s="101"/>
      <c r="EU14" s="38"/>
      <c r="EV14" s="101" t="s">
        <v>350</v>
      </c>
      <c r="EW14" s="7"/>
      <c r="EX14" s="7"/>
      <c r="EY14" s="7"/>
      <c r="EZ14" s="1396"/>
      <c r="FA14" s="1396"/>
      <c r="FB14" s="1396"/>
      <c r="FC14" s="1396"/>
      <c r="FD14" s="1396"/>
      <c r="FE14" s="1396"/>
      <c r="FF14" s="1396"/>
      <c r="FG14" s="1396"/>
      <c r="FH14" s="1396"/>
      <c r="FI14" s="1396"/>
      <c r="FJ14" s="1396"/>
      <c r="FK14" s="1396"/>
      <c r="FL14" s="1396"/>
      <c r="FM14" s="1396"/>
      <c r="FN14" s="1396"/>
      <c r="FO14" s="1396"/>
      <c r="FP14" s="1396"/>
      <c r="FQ14" s="1396"/>
      <c r="FR14" s="1396"/>
      <c r="FS14" s="1396"/>
      <c r="FT14" s="1396"/>
      <c r="FU14" s="1396"/>
      <c r="FV14" s="1396"/>
      <c r="FW14" s="1396"/>
      <c r="FX14" s="1396"/>
      <c r="FY14" s="1396"/>
      <c r="FZ14" s="1396"/>
      <c r="GA14" s="1396"/>
      <c r="GB14" s="1396"/>
      <c r="GC14" s="1396"/>
      <c r="GD14" s="1396"/>
      <c r="GE14" s="1396"/>
      <c r="GF14" s="1396"/>
      <c r="GG14" s="1396"/>
      <c r="GH14" s="1396"/>
      <c r="GI14" s="1396"/>
      <c r="GJ14" s="1396"/>
      <c r="GK14" s="1396"/>
      <c r="GL14" s="1396"/>
      <c r="GM14" s="1396"/>
      <c r="GN14" s="1721"/>
      <c r="GO14" s="1721"/>
      <c r="GP14" s="1721"/>
      <c r="GQ14" s="1721">
        <f>COUNT(GR16:HF16)</f>
        <v>15</v>
      </c>
      <c r="GR14" s="1721"/>
      <c r="GS14" s="1721"/>
      <c r="GT14" s="1721"/>
      <c r="GU14" s="1721"/>
      <c r="GV14" s="1721"/>
      <c r="GW14" s="1721"/>
      <c r="GX14" s="1721"/>
      <c r="GY14" s="1721"/>
      <c r="GZ14" s="1721"/>
      <c r="HA14" s="1721"/>
      <c r="HB14" s="1721"/>
      <c r="HC14" s="1721"/>
      <c r="HD14" s="1721"/>
      <c r="HE14" s="1721"/>
      <c r="HF14" s="1721"/>
      <c r="HG14" s="1721"/>
      <c r="HH14" s="1721"/>
      <c r="HI14" s="1721"/>
      <c r="HJ14" s="1721"/>
      <c r="HK14" s="1721"/>
      <c r="HL14" s="1721"/>
      <c r="HM14" s="1721"/>
      <c r="HN14" s="1721"/>
      <c r="HO14" s="1721"/>
      <c r="HP14" s="1721"/>
      <c r="HQ14" s="1721"/>
      <c r="HR14" s="1721"/>
      <c r="HS14" s="1721"/>
      <c r="HT14" s="1721"/>
      <c r="HU14" s="1721"/>
      <c r="HV14" s="1721"/>
      <c r="HW14" s="1721"/>
      <c r="HX14" s="1721"/>
      <c r="HY14" s="1721"/>
      <c r="HZ14" s="1721"/>
      <c r="IA14" s="1721"/>
      <c r="IB14" s="1721"/>
      <c r="IC14" s="492"/>
      <c r="ID14" s="1721"/>
      <c r="IE14" s="492"/>
      <c r="IF14" s="492"/>
      <c r="IG14" s="492"/>
      <c r="IH14" s="492"/>
      <c r="II14" s="492"/>
      <c r="IJ14" s="1396"/>
      <c r="IK14" s="1396"/>
      <c r="IL14" s="1396"/>
      <c r="IM14" s="1396"/>
      <c r="IN14" s="1396"/>
      <c r="IO14" s="1396"/>
      <c r="IP14" s="15">
        <v>3200</v>
      </c>
      <c r="IQ14" s="1396"/>
      <c r="IR14" s="1396"/>
      <c r="IS14" s="1396"/>
      <c r="IT14" s="1396"/>
      <c r="IU14" s="1396"/>
      <c r="IV14" s="1924" t="s">
        <v>351</v>
      </c>
      <c r="IW14" s="1924"/>
      <c r="IX14" s="1924"/>
      <c r="IY14" s="1924" t="s">
        <v>352</v>
      </c>
      <c r="IZ14" s="1924"/>
      <c r="JA14" s="1924"/>
      <c r="JB14" s="1396"/>
      <c r="JC14" s="1396"/>
      <c r="JD14" s="1396"/>
      <c r="JE14" s="1396"/>
      <c r="JF14" s="1396"/>
      <c r="JG14" s="1396"/>
      <c r="JH14" s="294" t="s">
        <v>353</v>
      </c>
      <c r="JI14" s="1396"/>
      <c r="JJ14" s="1420" t="str">
        <f>VLOOKUP(JJ4,Lookup!$J$2:$L$23,3,FALSE)</f>
        <v>No</v>
      </c>
      <c r="JK14" s="1396"/>
      <c r="JL14" s="1420" t="str">
        <f>VLOOKUP(JL4,Lookup!$J$2:$L$23,3,FALSE)</f>
        <v>No</v>
      </c>
      <c r="JM14" s="1396"/>
      <c r="JN14" s="1420" t="str">
        <f>VLOOKUP(JN4,Lookup!$J$2:$L$23,3,FALSE)</f>
        <v>No</v>
      </c>
      <c r="JO14" s="1396"/>
      <c r="JP14" s="1420" t="str">
        <f>VLOOKUP(JP4,Lookup!$J$2:$L$23,3,FALSE)</f>
        <v>Yes</v>
      </c>
      <c r="JQ14" s="1396"/>
      <c r="JR14" s="1420" t="str">
        <f>VLOOKUP(JR4,Lookup!$J$2:$L$23,3,FALSE)</f>
        <v>Yes</v>
      </c>
      <c r="JS14" s="1396"/>
      <c r="JT14" s="1420" t="str">
        <f>VLOOKUP(JT4,Lookup!$J$2:$L$23,3,FALSE)</f>
        <v>Yes</v>
      </c>
      <c r="JU14" s="1396"/>
      <c r="JV14" s="1420" t="str">
        <f>VLOOKUP(JV4,Lookup!$J$2:$L$23,3,FALSE)</f>
        <v>Yes</v>
      </c>
      <c r="JW14" s="1396"/>
      <c r="JX14" s="1420" t="str">
        <f>VLOOKUP(JX4,Lookup!$J$2:$L$23,3,FALSE)</f>
        <v>Yes</v>
      </c>
      <c r="JY14" s="1396"/>
      <c r="JZ14" s="1420" t="str">
        <f>VLOOKUP(JZ4,Lookup!$J$2:$L$23,3,FALSE)</f>
        <v>No</v>
      </c>
      <c r="KA14" s="1396"/>
      <c r="KB14" s="1384" t="str">
        <f>VLOOKUP(KB4,Lookup!$J$2:$L$23,3,FALSE)</f>
        <v>Yes</v>
      </c>
    </row>
    <row r="15" spans="2:288" s="3" customFormat="1" ht="5.0999999999999996" customHeight="1">
      <c r="B15" s="1396"/>
      <c r="C15" s="1396"/>
      <c r="D15" s="1396"/>
      <c r="E15" s="1396"/>
      <c r="F15" s="1396"/>
      <c r="G15" s="1396"/>
      <c r="H15" s="1396"/>
      <c r="I15" s="1396"/>
      <c r="J15" s="1396"/>
      <c r="K15" s="1396"/>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1396"/>
      <c r="AO15" s="1396"/>
      <c r="AP15" s="1396"/>
      <c r="AQ15" s="1396"/>
      <c r="AR15" s="1396"/>
      <c r="AS15" s="1396"/>
      <c r="AT15" s="1396"/>
      <c r="AU15" s="1396"/>
      <c r="AV15" s="1396"/>
      <c r="AW15" s="1396"/>
      <c r="AX15" s="1396"/>
      <c r="AY15" s="1396"/>
      <c r="AZ15" s="1396"/>
      <c r="BA15" s="1396"/>
      <c r="BB15" s="1396"/>
      <c r="BC15" s="1396"/>
      <c r="BD15" s="1396"/>
      <c r="BE15" s="1396"/>
      <c r="BF15" s="1396"/>
      <c r="BG15" s="1396"/>
      <c r="BH15" s="1396"/>
      <c r="BI15" s="1396"/>
      <c r="BJ15" s="1396"/>
      <c r="BK15" s="1396"/>
      <c r="BL15" s="1396"/>
      <c r="BM15" s="1396"/>
      <c r="BN15" s="1396"/>
      <c r="BO15" s="1396"/>
      <c r="BP15" s="1396"/>
      <c r="BQ15" s="1396"/>
      <c r="BR15" s="1396"/>
      <c r="BS15" s="1396"/>
      <c r="BT15" s="1396"/>
      <c r="BU15" s="1396"/>
      <c r="BV15" s="1396"/>
      <c r="BW15" s="1396"/>
      <c r="BX15" s="1396"/>
      <c r="BY15" s="1396"/>
      <c r="BZ15" s="1396"/>
      <c r="CA15" s="1396"/>
      <c r="CB15" s="1396"/>
      <c r="CC15" s="1396"/>
      <c r="CD15" s="1396"/>
      <c r="CE15" s="1396"/>
      <c r="CF15" s="1396"/>
      <c r="CG15" s="1396"/>
      <c r="CH15" s="1396"/>
      <c r="CI15" s="1396"/>
      <c r="CJ15" s="1396"/>
      <c r="CK15" s="1396"/>
      <c r="CL15" s="1396"/>
      <c r="CM15" s="1396"/>
      <c r="CN15" s="1396"/>
      <c r="CO15" s="1396"/>
      <c r="CP15" s="1396"/>
      <c r="CQ15" s="1396"/>
      <c r="CR15" s="1396"/>
      <c r="CS15" s="1396"/>
      <c r="CT15" s="1396"/>
      <c r="CU15" s="1396"/>
      <c r="CV15" s="1396"/>
      <c r="CW15" s="1396"/>
      <c r="CX15" s="1396"/>
      <c r="CY15" s="1396"/>
      <c r="CZ15" s="1396"/>
      <c r="DA15" s="1396"/>
      <c r="DB15" s="1396"/>
      <c r="DC15" s="1396"/>
      <c r="DD15" s="1396"/>
      <c r="DE15" s="1396"/>
      <c r="DF15" s="1396"/>
      <c r="DG15" s="1396"/>
      <c r="DH15" s="38"/>
      <c r="DI15" s="38"/>
      <c r="DJ15" s="38"/>
      <c r="DK15" s="38"/>
      <c r="DL15" s="1396"/>
      <c r="DM15" s="1396"/>
      <c r="DN15" s="1396"/>
      <c r="DO15" s="1396"/>
      <c r="DP15" s="1396"/>
      <c r="DQ15" s="1396"/>
      <c r="DR15" s="1396"/>
      <c r="DS15" s="1396"/>
      <c r="DT15" s="1396"/>
      <c r="DU15" s="1396"/>
      <c r="DV15" s="1396"/>
      <c r="DW15" s="1396"/>
      <c r="DX15" s="1396"/>
      <c r="DY15" s="1396"/>
      <c r="DZ15" s="1396"/>
      <c r="EA15" s="1396"/>
      <c r="EB15" s="1396"/>
      <c r="EC15" s="1396"/>
      <c r="ED15" s="1396"/>
      <c r="EE15" s="1396"/>
      <c r="EF15" s="1396"/>
      <c r="EG15" s="1396"/>
      <c r="EH15" s="1396"/>
      <c r="EI15" s="1396"/>
      <c r="EJ15" s="1396"/>
      <c r="EK15" s="1396"/>
      <c r="EL15" s="1396"/>
      <c r="EM15" s="1396"/>
      <c r="EN15" s="1396"/>
      <c r="EO15" s="1396"/>
      <c r="EP15" s="1396"/>
      <c r="EQ15" s="1396"/>
      <c r="ER15" s="1396"/>
      <c r="ES15" s="1396"/>
      <c r="ET15" s="1396"/>
      <c r="EU15" s="1396"/>
      <c r="EV15" s="1396"/>
      <c r="EW15" s="7"/>
      <c r="EX15" s="7"/>
      <c r="EY15" s="7"/>
      <c r="EZ15" s="1396"/>
      <c r="FA15" s="1396"/>
      <c r="FB15" s="1396"/>
      <c r="FC15" s="1396"/>
      <c r="FD15" s="1396"/>
      <c r="FE15" s="1396"/>
      <c r="FF15" s="1396"/>
      <c r="FG15" s="1396"/>
      <c r="FH15" s="1396"/>
      <c r="FI15" s="1396"/>
      <c r="FJ15" s="1396"/>
      <c r="FK15" s="1396"/>
      <c r="FL15" s="1396"/>
      <c r="FM15" s="1396"/>
      <c r="FN15" s="1396"/>
      <c r="FO15" s="1396"/>
      <c r="FP15" s="1396"/>
      <c r="FQ15" s="1396"/>
      <c r="FR15" s="1396"/>
      <c r="FS15" s="1396"/>
      <c r="FT15" s="1396"/>
      <c r="FU15" s="1396"/>
      <c r="FV15" s="1396"/>
      <c r="FW15" s="1396"/>
      <c r="FX15" s="1396"/>
      <c r="FY15" s="1396"/>
      <c r="FZ15" s="1396"/>
      <c r="GA15" s="1396"/>
      <c r="GB15" s="1396"/>
      <c r="GC15" s="1396"/>
      <c r="GD15" s="1396"/>
      <c r="GE15" s="1396"/>
      <c r="GF15" s="1396"/>
      <c r="GG15" s="1396"/>
      <c r="GH15" s="1396"/>
      <c r="GI15" s="1396"/>
      <c r="GJ15" s="1396"/>
      <c r="GK15" s="1396"/>
      <c r="GL15" s="1396"/>
      <c r="GM15" s="1396"/>
      <c r="GN15" s="1421"/>
      <c r="GO15" s="1421"/>
      <c r="GP15" s="1421"/>
      <c r="GQ15" s="1421"/>
      <c r="GR15" s="1421"/>
      <c r="GS15" s="1421"/>
      <c r="GT15" s="1421"/>
      <c r="GU15" s="1421"/>
      <c r="GV15" s="1421"/>
      <c r="GW15" s="1421"/>
      <c r="GX15" s="1421"/>
      <c r="GY15" s="1421"/>
      <c r="GZ15" s="1421"/>
      <c r="HA15" s="1421"/>
      <c r="HB15" s="1421"/>
      <c r="HC15" s="1421"/>
      <c r="HD15" s="1421"/>
      <c r="HE15" s="1421"/>
      <c r="HF15" s="1421"/>
      <c r="HG15" s="1421"/>
      <c r="HH15" s="1421"/>
      <c r="HI15" s="1421"/>
      <c r="HJ15" s="1421"/>
      <c r="HK15" s="1421"/>
      <c r="HL15" s="1421"/>
      <c r="HM15" s="1421"/>
      <c r="HN15" s="1421"/>
      <c r="HO15" s="1421"/>
      <c r="HP15" s="1421"/>
      <c r="HQ15" s="1421"/>
      <c r="HR15" s="1421"/>
      <c r="HS15" s="1421"/>
      <c r="HT15" s="1421"/>
      <c r="HU15" s="1421"/>
      <c r="HV15" s="1421"/>
      <c r="HW15" s="1421"/>
      <c r="HX15" s="1421"/>
      <c r="HY15" s="1421"/>
      <c r="HZ15" s="1421"/>
      <c r="IA15" s="1421"/>
      <c r="IB15" s="1421"/>
      <c r="IC15" s="1396"/>
      <c r="ID15" s="1396"/>
      <c r="IE15" s="1396"/>
      <c r="IF15" s="1396"/>
      <c r="IG15" s="1396"/>
      <c r="IH15" s="1396"/>
      <c r="II15" s="1396"/>
      <c r="IJ15" s="1396"/>
      <c r="IK15" s="1396"/>
      <c r="IL15" s="1396"/>
      <c r="IM15" s="1396"/>
      <c r="IN15" s="1396"/>
      <c r="IO15" s="1396"/>
      <c r="IP15" s="50"/>
      <c r="IQ15" s="1396"/>
      <c r="IR15" s="1396"/>
      <c r="IS15" s="1396"/>
      <c r="IT15" s="1396"/>
      <c r="IU15" s="1396"/>
      <c r="IV15" s="1396"/>
      <c r="IW15" s="1396"/>
      <c r="IX15" s="1396"/>
      <c r="IY15" s="1396"/>
      <c r="IZ15" s="1396"/>
      <c r="JA15" s="1396"/>
      <c r="JB15" s="1396"/>
      <c r="JC15" s="1396"/>
      <c r="JD15" s="1396"/>
      <c r="JE15" s="1396"/>
      <c r="JF15" s="1396"/>
      <c r="JG15" s="1396"/>
      <c r="JH15" s="1418"/>
      <c r="JI15" s="1396"/>
      <c r="JJ15" s="1396"/>
      <c r="JK15" s="1396"/>
      <c r="JL15" s="1396"/>
      <c r="JM15" s="1396"/>
      <c r="JN15" s="1396"/>
      <c r="JO15" s="1396"/>
      <c r="JP15" s="1396"/>
      <c r="JQ15" s="1396"/>
      <c r="JR15" s="1396"/>
      <c r="JS15" s="1396"/>
      <c r="JT15" s="1396"/>
      <c r="JU15" s="1396"/>
      <c r="JV15" s="1396"/>
      <c r="JW15" s="1396"/>
      <c r="JX15" s="1396"/>
      <c r="JY15" s="1396"/>
      <c r="JZ15" s="1396"/>
      <c r="KA15" s="1396"/>
      <c r="KB15" s="1396"/>
    </row>
    <row r="16" spans="2:288" s="3" customFormat="1" ht="14.95" customHeight="1">
      <c r="B16" s="1396"/>
      <c r="C16" s="1396"/>
      <c r="D16" s="1396"/>
      <c r="E16" s="1396"/>
      <c r="F16" s="1396"/>
      <c r="G16" s="1396"/>
      <c r="H16" s="1396"/>
      <c r="I16" s="1396"/>
      <c r="J16" s="1396"/>
      <c r="K16" s="1396"/>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7" t="str">
        <f>BI860</f>
        <v/>
      </c>
      <c r="BJ16" s="1397" t="str">
        <f t="shared" ref="BJ16:CJ16" si="6">BJ860</f>
        <v/>
      </c>
      <c r="BK16" s="1397" t="str">
        <f t="shared" si="6"/>
        <v/>
      </c>
      <c r="BL16" s="1397" t="str">
        <f t="shared" si="6"/>
        <v/>
      </c>
      <c r="BM16" s="1397" t="str">
        <f t="shared" si="6"/>
        <v/>
      </c>
      <c r="BN16" s="1397" t="str">
        <f t="shared" si="6"/>
        <v/>
      </c>
      <c r="BO16" s="1397" t="str">
        <f t="shared" si="6"/>
        <v/>
      </c>
      <c r="BP16" s="1397" t="str">
        <f t="shared" si="6"/>
        <v/>
      </c>
      <c r="BQ16" s="1397" t="str">
        <f t="shared" si="6"/>
        <v/>
      </c>
      <c r="BR16" s="1397" t="str">
        <f t="shared" si="6"/>
        <v/>
      </c>
      <c r="BS16" s="1397" t="str">
        <f t="shared" si="6"/>
        <v/>
      </c>
      <c r="BT16" s="1397" t="str">
        <f t="shared" si="6"/>
        <v/>
      </c>
      <c r="BU16" s="1397" t="str">
        <f t="shared" si="6"/>
        <v/>
      </c>
      <c r="BV16" s="1397" t="str">
        <f t="shared" si="6"/>
        <v/>
      </c>
      <c r="BW16" s="1397" t="str">
        <f t="shared" si="6"/>
        <v/>
      </c>
      <c r="BX16" s="1397" t="str">
        <f t="shared" si="6"/>
        <v/>
      </c>
      <c r="BY16" s="1397" t="str">
        <f t="shared" si="6"/>
        <v/>
      </c>
      <c r="BZ16" s="1397" t="str">
        <f t="shared" si="6"/>
        <v/>
      </c>
      <c r="CA16" s="1397" t="str">
        <f t="shared" si="6"/>
        <v/>
      </c>
      <c r="CB16" s="1397" t="str">
        <f t="shared" si="6"/>
        <v/>
      </c>
      <c r="CC16" s="1397" t="str">
        <f t="shared" si="6"/>
        <v/>
      </c>
      <c r="CD16" s="1397" t="str">
        <f t="shared" si="6"/>
        <v/>
      </c>
      <c r="CE16" s="1397" t="str">
        <f t="shared" si="6"/>
        <v/>
      </c>
      <c r="CF16" s="1397" t="str">
        <f t="shared" si="6"/>
        <v/>
      </c>
      <c r="CG16" s="1397" t="str">
        <f t="shared" si="6"/>
        <v/>
      </c>
      <c r="CH16" s="1397" t="str">
        <f t="shared" si="6"/>
        <v/>
      </c>
      <c r="CI16" s="1397" t="str">
        <f t="shared" si="6"/>
        <v/>
      </c>
      <c r="CJ16" s="1397" t="str">
        <f t="shared" si="6"/>
        <v/>
      </c>
      <c r="CK16" s="1396"/>
      <c r="CL16" s="1396"/>
      <c r="CM16" s="1396"/>
      <c r="CN16" s="1396"/>
      <c r="CO16" s="1396"/>
      <c r="CP16" s="101" t="s">
        <v>354</v>
      </c>
      <c r="CQ16" s="101" t="s">
        <v>355</v>
      </c>
      <c r="CR16" s="101"/>
      <c r="CS16" s="101" t="s">
        <v>356</v>
      </c>
      <c r="CT16" s="1396"/>
      <c r="CU16" s="1396"/>
      <c r="CV16" s="37" t="s">
        <v>341</v>
      </c>
      <c r="CW16" s="38"/>
      <c r="CX16" s="101" t="s">
        <v>342</v>
      </c>
      <c r="CY16" s="38"/>
      <c r="CZ16" s="38"/>
      <c r="DA16" s="101" t="s">
        <v>343</v>
      </c>
      <c r="DB16" s="101" t="s">
        <v>344</v>
      </c>
      <c r="DC16" s="101" t="s">
        <v>345</v>
      </c>
      <c r="DD16" s="101" t="s">
        <v>346</v>
      </c>
      <c r="DE16" s="38"/>
      <c r="DF16" s="37" t="s">
        <v>357</v>
      </c>
      <c r="DG16" s="38"/>
      <c r="DH16" s="101" t="s">
        <v>342</v>
      </c>
      <c r="DI16" s="37"/>
      <c r="DJ16" s="101" t="s">
        <v>343</v>
      </c>
      <c r="DK16" s="101" t="s">
        <v>343</v>
      </c>
      <c r="DL16" s="1396"/>
      <c r="DM16" s="1396"/>
      <c r="DN16" s="1396"/>
      <c r="DO16" s="1396"/>
      <c r="DP16" s="1396"/>
      <c r="DQ16" s="1732" t="s">
        <v>234</v>
      </c>
      <c r="DR16" s="1732"/>
      <c r="DS16" s="101" t="s">
        <v>347</v>
      </c>
      <c r="DT16" s="101"/>
      <c r="DU16" s="101" t="s">
        <v>358</v>
      </c>
      <c r="DV16" s="101" t="s">
        <v>358</v>
      </c>
      <c r="DW16" s="38"/>
      <c r="DX16" s="1732" t="s">
        <v>347</v>
      </c>
      <c r="DY16" s="1732"/>
      <c r="DZ16" s="101" t="s">
        <v>358</v>
      </c>
      <c r="EA16" s="101" t="s">
        <v>359</v>
      </c>
      <c r="EB16" s="38"/>
      <c r="EC16" s="101" t="s">
        <v>360</v>
      </c>
      <c r="ED16" s="101" t="s">
        <v>361</v>
      </c>
      <c r="EE16" s="38"/>
      <c r="EF16" s="101" t="s">
        <v>234</v>
      </c>
      <c r="EG16" s="101" t="s">
        <v>234</v>
      </c>
      <c r="EH16" s="101" t="s">
        <v>362</v>
      </c>
      <c r="EI16" s="101" t="s">
        <v>362</v>
      </c>
      <c r="EJ16" s="101" t="s">
        <v>362</v>
      </c>
      <c r="EK16" s="101" t="s">
        <v>234</v>
      </c>
      <c r="EL16" s="101" t="s">
        <v>347</v>
      </c>
      <c r="EM16" s="101" t="s">
        <v>347</v>
      </c>
      <c r="EN16" s="101" t="s">
        <v>363</v>
      </c>
      <c r="EO16" s="101" t="s">
        <v>363</v>
      </c>
      <c r="EP16" s="101" t="s">
        <v>363</v>
      </c>
      <c r="EQ16" s="101" t="s">
        <v>363</v>
      </c>
      <c r="ER16" s="101" t="s">
        <v>363</v>
      </c>
      <c r="ES16" s="101" t="s">
        <v>363</v>
      </c>
      <c r="ET16" s="101" t="s">
        <v>363</v>
      </c>
      <c r="EU16" s="1396"/>
      <c r="EV16" s="1396"/>
      <c r="EW16" s="7"/>
      <c r="EX16" s="7"/>
      <c r="EY16" s="1396"/>
      <c r="EZ16" s="1396"/>
      <c r="FA16" s="1396"/>
      <c r="FB16" s="1396"/>
      <c r="FC16" s="1396"/>
      <c r="FD16" s="1396"/>
      <c r="FE16" s="1396"/>
      <c r="FF16" s="1396"/>
      <c r="FG16" s="1396"/>
      <c r="FH16" s="1396"/>
      <c r="FI16" s="1396"/>
      <c r="FJ16" s="1396"/>
      <c r="FK16" s="1396"/>
      <c r="FL16" s="101" t="s">
        <v>364</v>
      </c>
      <c r="FM16" s="101" t="s">
        <v>365</v>
      </c>
      <c r="FN16" s="101" t="s">
        <v>366</v>
      </c>
      <c r="FO16" s="101" t="s">
        <v>367</v>
      </c>
      <c r="FP16" s="101"/>
      <c r="FQ16" s="38"/>
      <c r="FR16" s="38" t="s">
        <v>368</v>
      </c>
      <c r="FS16" s="101">
        <v>3200</v>
      </c>
      <c r="FT16" s="101" t="s">
        <v>369</v>
      </c>
      <c r="FU16" s="101" t="s">
        <v>370</v>
      </c>
      <c r="FV16" s="101" t="s">
        <v>371</v>
      </c>
      <c r="FW16" s="101" t="s">
        <v>370</v>
      </c>
      <c r="FX16" s="38"/>
      <c r="FY16" s="1396"/>
      <c r="FZ16" s="1396"/>
      <c r="GA16" s="101" t="s">
        <v>226</v>
      </c>
      <c r="GB16" s="101"/>
      <c r="GC16" s="101" t="s">
        <v>372</v>
      </c>
      <c r="GD16" s="101" t="s">
        <v>345</v>
      </c>
      <c r="GE16" s="101"/>
      <c r="GF16" s="101" t="s">
        <v>213</v>
      </c>
      <c r="GG16" s="101"/>
      <c r="GH16" s="1850" t="s">
        <v>373</v>
      </c>
      <c r="GI16" s="1396"/>
      <c r="GJ16" s="101" t="s">
        <v>194</v>
      </c>
      <c r="GK16" s="101" t="s">
        <v>218</v>
      </c>
      <c r="GL16" s="1396"/>
      <c r="GM16" s="1396"/>
      <c r="GN16" s="114">
        <v>38</v>
      </c>
      <c r="GO16" s="114">
        <v>37</v>
      </c>
      <c r="GP16" s="114">
        <v>36</v>
      </c>
      <c r="GQ16" s="114">
        <v>35</v>
      </c>
      <c r="GR16" s="114">
        <v>34</v>
      </c>
      <c r="GS16" s="114">
        <v>33</v>
      </c>
      <c r="GT16" s="114">
        <v>32</v>
      </c>
      <c r="GU16" s="114">
        <v>31</v>
      </c>
      <c r="GV16" s="114">
        <v>30</v>
      </c>
      <c r="GW16" s="114">
        <v>29</v>
      </c>
      <c r="GX16" s="114">
        <v>28</v>
      </c>
      <c r="GY16" s="114">
        <v>27</v>
      </c>
      <c r="GZ16" s="114">
        <v>26</v>
      </c>
      <c r="HA16" s="114">
        <v>25</v>
      </c>
      <c r="HB16" s="114">
        <v>24</v>
      </c>
      <c r="HC16" s="114">
        <v>23</v>
      </c>
      <c r="HD16" s="114">
        <v>22</v>
      </c>
      <c r="HE16" s="114">
        <v>21</v>
      </c>
      <c r="HF16" s="114">
        <v>20</v>
      </c>
      <c r="HG16" s="114">
        <v>20</v>
      </c>
      <c r="HH16" s="114">
        <v>19</v>
      </c>
      <c r="HI16" s="114">
        <v>18</v>
      </c>
      <c r="HJ16" s="114">
        <v>17</v>
      </c>
      <c r="HK16" s="114">
        <v>16</v>
      </c>
      <c r="HL16" s="114">
        <v>15</v>
      </c>
      <c r="HM16" s="114">
        <v>14</v>
      </c>
      <c r="HN16" s="114">
        <v>13</v>
      </c>
      <c r="HO16" s="114">
        <v>12</v>
      </c>
      <c r="HP16" s="114">
        <v>11</v>
      </c>
      <c r="HQ16" s="114">
        <v>10</v>
      </c>
      <c r="HR16" s="114">
        <v>9</v>
      </c>
      <c r="HS16" s="114">
        <v>8</v>
      </c>
      <c r="HT16" s="114">
        <v>7</v>
      </c>
      <c r="HU16" s="114">
        <v>6</v>
      </c>
      <c r="HV16" s="114">
        <v>5</v>
      </c>
      <c r="HW16" s="114">
        <v>4</v>
      </c>
      <c r="HX16" s="114">
        <v>3</v>
      </c>
      <c r="HY16" s="114">
        <v>2</v>
      </c>
      <c r="HZ16" s="114">
        <v>1</v>
      </c>
      <c r="IA16" s="114"/>
      <c r="IB16" s="114"/>
      <c r="IC16" s="12"/>
      <c r="ID16" s="12"/>
      <c r="IE16" s="12"/>
      <c r="IF16" s="12"/>
      <c r="IG16" s="12"/>
      <c r="IH16" s="12"/>
      <c r="II16" s="12"/>
      <c r="IJ16" s="1396"/>
      <c r="IK16" s="1396"/>
      <c r="IL16" s="1396"/>
      <c r="IM16" s="1396"/>
      <c r="IN16" s="1396"/>
      <c r="IO16" s="1396"/>
      <c r="IP16" s="539" t="s">
        <v>370</v>
      </c>
      <c r="IQ16" s="430" t="s">
        <v>374</v>
      </c>
      <c r="IR16" s="534" t="s">
        <v>375</v>
      </c>
      <c r="IS16" s="534" t="s">
        <v>376</v>
      </c>
      <c r="IT16" s="1722" t="s">
        <v>377</v>
      </c>
      <c r="IU16" s="1722" t="s">
        <v>378</v>
      </c>
      <c r="IV16" s="430" t="s">
        <v>365</v>
      </c>
      <c r="IW16" s="1722" t="s">
        <v>379</v>
      </c>
      <c r="IX16" s="1722" t="s">
        <v>380</v>
      </c>
      <c r="IY16" s="430" t="s">
        <v>365</v>
      </c>
      <c r="IZ16" s="1722" t="s">
        <v>379</v>
      </c>
      <c r="JA16" s="1722" t="s">
        <v>380</v>
      </c>
      <c r="JB16" s="1396"/>
      <c r="JC16" s="1396"/>
      <c r="JD16" s="1396"/>
      <c r="JE16" s="1396"/>
      <c r="JF16" s="1396"/>
      <c r="JG16" s="1396"/>
      <c r="JH16" s="1033" t="s">
        <v>239</v>
      </c>
      <c r="JI16" s="1422"/>
      <c r="JJ16" s="1405">
        <f>SUM(JJ47:JJ803)</f>
        <v>0</v>
      </c>
      <c r="JK16" s="1396"/>
      <c r="JL16" s="1405">
        <f>SUM(JL47:JL803)</f>
        <v>0</v>
      </c>
      <c r="JM16" s="1396"/>
      <c r="JN16" s="1405">
        <f>SUM(JN47:JN803)</f>
        <v>0</v>
      </c>
      <c r="JO16" s="1396"/>
      <c r="JP16" s="1405">
        <f>SUM(JP47:JP803,JP22)</f>
        <v>0</v>
      </c>
      <c r="JQ16" s="1396"/>
      <c r="JR16" s="1405">
        <f>SUM(JR47:JR803,JR22)</f>
        <v>0</v>
      </c>
      <c r="JS16" s="1396"/>
      <c r="JT16" s="1405">
        <f>SUM(JT47:JT803,JT22)</f>
        <v>0</v>
      </c>
      <c r="JU16" s="1396"/>
      <c r="JV16" s="1405">
        <f>SUM(JV47:JV803)</f>
        <v>0</v>
      </c>
      <c r="JW16" s="1396"/>
      <c r="JX16" s="1405">
        <f>SUM(JX47:JX803)</f>
        <v>0</v>
      </c>
      <c r="JY16" s="1396"/>
      <c r="JZ16" s="1405">
        <f>SUM(JZ47:JZ803)</f>
        <v>0</v>
      </c>
      <c r="KA16" s="1396"/>
      <c r="KB16" s="634">
        <f>SUM(KB47:KB803,KB22)</f>
        <v>0</v>
      </c>
    </row>
    <row r="17" spans="1:280" s="3" customFormat="1" ht="5.0999999999999996" customHeight="1">
      <c r="A17" s="1396"/>
      <c r="B17" s="1396"/>
      <c r="C17" s="1396"/>
      <c r="D17" s="1396"/>
      <c r="E17" s="1396"/>
      <c r="F17" s="1396"/>
      <c r="G17" s="1396"/>
      <c r="H17" s="1396"/>
      <c r="I17" s="1396"/>
      <c r="J17" s="1396"/>
      <c r="K17" s="1928" t="str">
        <f>IFERROR(IF(__Retrofit_TI_NC=0,"","TI/NC Interior + Exterior Savings and Incentive"),"")</f>
        <v/>
      </c>
      <c r="L17" s="1928"/>
      <c r="M17" s="1928"/>
      <c r="N17" s="1928"/>
      <c r="O17" s="1928"/>
      <c r="P17" s="1928"/>
      <c r="Q17" s="1928"/>
      <c r="R17" s="1928"/>
      <c r="S17" s="1928"/>
      <c r="T17" s="1928"/>
      <c r="U17" s="1928"/>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7"/>
      <c r="BJ17" s="1397"/>
      <c r="BK17" s="1397"/>
      <c r="BL17" s="1397"/>
      <c r="BM17" s="1397"/>
      <c r="BN17" s="1397"/>
      <c r="BO17" s="1397"/>
      <c r="BP17" s="1397"/>
      <c r="BQ17" s="1397"/>
      <c r="BR17" s="1397"/>
      <c r="BS17" s="1397"/>
      <c r="BT17" s="1397"/>
      <c r="BU17" s="1397"/>
      <c r="BV17" s="1397"/>
      <c r="BW17" s="1397"/>
      <c r="BX17" s="1397"/>
      <c r="BY17" s="1397"/>
      <c r="BZ17" s="1397"/>
      <c r="CA17" s="1397"/>
      <c r="CB17" s="1397"/>
      <c r="CC17" s="1397"/>
      <c r="CD17" s="1397"/>
      <c r="CE17" s="1397"/>
      <c r="CF17" s="1397"/>
      <c r="CG17" s="1397"/>
      <c r="CH17" s="1397"/>
      <c r="CI17" s="1397"/>
      <c r="CJ17" s="1397"/>
      <c r="CK17" s="1396"/>
      <c r="CL17" s="1396"/>
      <c r="CM17" s="1396"/>
      <c r="CN17" s="1396"/>
      <c r="CO17" s="1396"/>
      <c r="CP17" s="1396"/>
      <c r="CQ17" s="1396"/>
      <c r="CR17" s="1396"/>
      <c r="CS17" s="1396"/>
      <c r="CT17" s="1396"/>
      <c r="CU17" s="1396"/>
      <c r="CV17" s="38"/>
      <c r="CW17" s="38"/>
      <c r="CX17" s="38"/>
      <c r="CY17" s="38"/>
      <c r="CZ17" s="38"/>
      <c r="DA17" s="38"/>
      <c r="DB17" s="38"/>
      <c r="DC17" s="38"/>
      <c r="DD17" s="38"/>
      <c r="DE17" s="38"/>
      <c r="DF17" s="38"/>
      <c r="DG17" s="38"/>
      <c r="DH17" s="38"/>
      <c r="DI17" s="38"/>
      <c r="DJ17" s="38"/>
      <c r="DK17" s="38"/>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7"/>
      <c r="EX17" s="7"/>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c r="GG17" s="1396"/>
      <c r="GH17" s="1850"/>
      <c r="GI17" s="1396"/>
      <c r="GJ17" s="1396"/>
      <c r="GK17" s="1396"/>
      <c r="GL17" s="1396"/>
      <c r="GM17" s="1396"/>
      <c r="GN17" s="1421"/>
      <c r="GO17" s="1421"/>
      <c r="GP17" s="1421"/>
      <c r="GQ17" s="1421"/>
      <c r="GR17" s="1421"/>
      <c r="GS17" s="1421"/>
      <c r="GT17" s="1421"/>
      <c r="GU17" s="1421"/>
      <c r="GV17" s="1421"/>
      <c r="GW17" s="1421"/>
      <c r="GX17" s="1421"/>
      <c r="GY17" s="1421"/>
      <c r="GZ17" s="1421"/>
      <c r="HA17" s="1421"/>
      <c r="HB17" s="1421"/>
      <c r="HC17" s="1421"/>
      <c r="HD17" s="1421"/>
      <c r="HE17" s="1421"/>
      <c r="HF17" s="1421"/>
      <c r="HG17" s="1421"/>
      <c r="HH17" s="1421"/>
      <c r="HI17" s="1421"/>
      <c r="HJ17" s="1421"/>
      <c r="HK17" s="1421"/>
      <c r="HL17" s="1421"/>
      <c r="HM17" s="1421"/>
      <c r="HN17" s="1421"/>
      <c r="HO17" s="1421"/>
      <c r="HP17" s="1421"/>
      <c r="HQ17" s="1421"/>
      <c r="HR17" s="1421"/>
      <c r="HS17" s="1421"/>
      <c r="HT17" s="1421"/>
      <c r="HU17" s="1421"/>
      <c r="HV17" s="1421"/>
      <c r="HW17" s="1421"/>
      <c r="HX17" s="1421"/>
      <c r="HY17" s="1421"/>
      <c r="HZ17" s="1421"/>
      <c r="IA17" s="1421"/>
      <c r="IB17" s="1421"/>
      <c r="IC17" s="1396"/>
      <c r="ID17" s="1396"/>
      <c r="IE17" s="1396"/>
      <c r="IF17" s="1396"/>
      <c r="IG17" s="1396"/>
      <c r="IH17" s="1396"/>
      <c r="II17" s="1396"/>
      <c r="IJ17" s="1396"/>
      <c r="IK17" s="1396"/>
      <c r="IL17" s="1396"/>
      <c r="IM17" s="1396"/>
      <c r="IN17" s="1396"/>
      <c r="IO17" s="1396"/>
      <c r="IP17" s="50"/>
      <c r="IQ17" s="50"/>
      <c r="IR17" s="1396"/>
      <c r="IS17" s="1396"/>
      <c r="IT17" s="1722"/>
      <c r="IU17" s="1722"/>
      <c r="IV17" s="1396"/>
      <c r="IW17" s="1722"/>
      <c r="IX17" s="1722"/>
      <c r="IY17" s="1396"/>
      <c r="IZ17" s="1722"/>
      <c r="JA17" s="1722"/>
      <c r="JB17" s="1396"/>
      <c r="JC17" s="1396"/>
      <c r="JD17" s="1396"/>
      <c r="JE17" s="1396"/>
      <c r="JF17" s="1396"/>
      <c r="JG17" s="1396"/>
      <c r="JH17" s="1396"/>
      <c r="JI17" s="1396"/>
      <c r="JJ17" s="1396"/>
      <c r="JK17" s="1396"/>
      <c r="JL17" s="1396"/>
      <c r="JM17" s="1396"/>
      <c r="JN17" s="1396"/>
      <c r="JO17" s="1396"/>
      <c r="JP17" s="1396"/>
      <c r="JQ17" s="1396"/>
      <c r="JR17" s="1396"/>
      <c r="JS17" s="1396"/>
      <c r="JT17" s="1396"/>
    </row>
    <row r="18" spans="1:280" customFormat="1" ht="14.95" customHeight="1" thickBot="1">
      <c r="B18" s="38"/>
      <c r="E18" s="38"/>
      <c r="F18" s="38"/>
      <c r="G18" s="38"/>
      <c r="H18" s="38"/>
      <c r="I18" s="38"/>
      <c r="J18" s="38"/>
      <c r="K18" s="1929"/>
      <c r="L18" s="1929"/>
      <c r="M18" s="1929"/>
      <c r="N18" s="1929"/>
      <c r="O18" s="1929"/>
      <c r="P18" s="1929"/>
      <c r="Q18" s="1929"/>
      <c r="R18" s="1929"/>
      <c r="S18" s="1929"/>
      <c r="T18" s="1929"/>
      <c r="U18" s="1929"/>
      <c r="V18" s="38"/>
      <c r="W18" s="38"/>
      <c r="X18" s="38"/>
      <c r="Y18" s="38"/>
      <c r="Z18" s="38"/>
      <c r="AA18" s="344"/>
      <c r="AC18" s="38"/>
      <c r="AD18" s="38"/>
      <c r="AE18" s="38"/>
      <c r="AF18" s="38"/>
      <c r="AG18" s="38"/>
      <c r="AH18" s="38"/>
      <c r="AI18" s="38"/>
      <c r="AJ18" s="38"/>
      <c r="AK18" s="38"/>
      <c r="AL18" s="38"/>
      <c r="AQ18" s="38"/>
      <c r="AR18" s="38"/>
      <c r="AS18" s="38"/>
      <c r="AT18" s="38"/>
      <c r="AU18" s="38"/>
      <c r="AV18" s="38"/>
      <c r="AW18" s="38"/>
      <c r="AX18" s="38"/>
      <c r="AZ18" s="1396"/>
      <c r="BA18" s="1396"/>
      <c r="BB18" s="1396"/>
      <c r="BC18" s="1396"/>
      <c r="BD18" s="1396"/>
      <c r="BE18" s="1396"/>
      <c r="BF18" s="1396"/>
      <c r="BG18" s="1396"/>
      <c r="BH18" s="1396"/>
      <c r="BI18" s="1397" t="str">
        <f>BI861</f>
        <v/>
      </c>
      <c r="BJ18" s="1397" t="str">
        <f t="shared" ref="BJ18:CJ18" si="7">BJ861</f>
        <v/>
      </c>
      <c r="BK18" s="1397" t="str">
        <f t="shared" si="7"/>
        <v/>
      </c>
      <c r="BL18" s="1397" t="str">
        <f t="shared" si="7"/>
        <v/>
      </c>
      <c r="BM18" s="1397" t="str">
        <f t="shared" si="7"/>
        <v/>
      </c>
      <c r="BN18" s="1397" t="str">
        <f t="shared" si="7"/>
        <v/>
      </c>
      <c r="BO18" s="1397" t="str">
        <f t="shared" si="7"/>
        <v/>
      </c>
      <c r="BP18" s="1397" t="str">
        <f t="shared" si="7"/>
        <v/>
      </c>
      <c r="BQ18" s="1397" t="str">
        <f t="shared" si="7"/>
        <v/>
      </c>
      <c r="BR18" s="1397" t="str">
        <f t="shared" si="7"/>
        <v/>
      </c>
      <c r="BS18" s="1397" t="str">
        <f t="shared" si="7"/>
        <v/>
      </c>
      <c r="BT18" s="1397" t="str">
        <f t="shared" si="7"/>
        <v/>
      </c>
      <c r="BU18" s="1397" t="str">
        <f t="shared" si="7"/>
        <v/>
      </c>
      <c r="BV18" s="1397" t="str">
        <f t="shared" si="7"/>
        <v/>
      </c>
      <c r="BW18" s="1397" t="str">
        <f t="shared" si="7"/>
        <v/>
      </c>
      <c r="BX18" s="1397" t="str">
        <f t="shared" si="7"/>
        <v/>
      </c>
      <c r="BY18" s="1397" t="str">
        <f t="shared" si="7"/>
        <v/>
      </c>
      <c r="BZ18" s="1397" t="str">
        <f t="shared" si="7"/>
        <v/>
      </c>
      <c r="CA18" s="1397" t="str">
        <f t="shared" si="7"/>
        <v/>
      </c>
      <c r="CB18" s="1397" t="str">
        <f t="shared" si="7"/>
        <v/>
      </c>
      <c r="CC18" s="1397" t="str">
        <f t="shared" si="7"/>
        <v/>
      </c>
      <c r="CD18" s="1397" t="str">
        <f t="shared" si="7"/>
        <v/>
      </c>
      <c r="CE18" s="1397" t="str">
        <f t="shared" si="7"/>
        <v/>
      </c>
      <c r="CF18" s="1397" t="str">
        <f t="shared" si="7"/>
        <v/>
      </c>
      <c r="CG18" s="1397" t="str">
        <f t="shared" si="7"/>
        <v/>
      </c>
      <c r="CH18" s="1397" t="str">
        <f t="shared" si="7"/>
        <v/>
      </c>
      <c r="CI18" s="1397" t="str">
        <f t="shared" si="7"/>
        <v/>
      </c>
      <c r="CJ18" s="1397" t="str">
        <f t="shared" si="7"/>
        <v/>
      </c>
      <c r="CP18" s="101" t="s">
        <v>381</v>
      </c>
      <c r="CQ18" s="101" t="s">
        <v>333</v>
      </c>
      <c r="CR18" s="101"/>
      <c r="CS18" s="101" t="s">
        <v>221</v>
      </c>
      <c r="CV18" s="101" t="s">
        <v>239</v>
      </c>
      <c r="CW18" s="101" t="s">
        <v>234</v>
      </c>
      <c r="CX18" s="101" t="s">
        <v>382</v>
      </c>
      <c r="CY18" s="101" t="s">
        <v>194</v>
      </c>
      <c r="CZ18" s="101" t="s">
        <v>343</v>
      </c>
      <c r="DA18" s="101" t="s">
        <v>346</v>
      </c>
      <c r="DB18" s="101" t="s">
        <v>383</v>
      </c>
      <c r="DC18" s="101" t="s">
        <v>383</v>
      </c>
      <c r="DD18" s="101" t="s">
        <v>383</v>
      </c>
      <c r="DE18" s="38"/>
      <c r="DF18" s="101" t="s">
        <v>239</v>
      </c>
      <c r="DG18" s="37" t="s">
        <v>347</v>
      </c>
      <c r="DH18" s="101" t="s">
        <v>382</v>
      </c>
      <c r="DI18" s="101" t="s">
        <v>384</v>
      </c>
      <c r="DJ18" s="101" t="s">
        <v>346</v>
      </c>
      <c r="DK18" s="101" t="s">
        <v>346</v>
      </c>
      <c r="DQ18" s="1833" t="s">
        <v>221</v>
      </c>
      <c r="DR18" s="1833"/>
      <c r="DS18" s="101" t="s">
        <v>221</v>
      </c>
      <c r="DT18" s="101"/>
      <c r="DU18" s="101" t="s">
        <v>234</v>
      </c>
      <c r="DV18" s="101" t="s">
        <v>385</v>
      </c>
      <c r="DW18" s="38"/>
      <c r="DX18" s="1833" t="s">
        <v>386</v>
      </c>
      <c r="DY18" s="1833"/>
      <c r="DZ18" s="101" t="s">
        <v>387</v>
      </c>
      <c r="EA18" s="101" t="s">
        <v>385</v>
      </c>
      <c r="EB18" s="38"/>
      <c r="EC18" s="101" t="s">
        <v>257</v>
      </c>
      <c r="ED18" s="101" t="s">
        <v>257</v>
      </c>
      <c r="EE18" s="38"/>
      <c r="EF18" s="107" t="s">
        <v>343</v>
      </c>
      <c r="EG18" s="107" t="s">
        <v>343</v>
      </c>
      <c r="EH18" s="107" t="s">
        <v>343</v>
      </c>
      <c r="EI18" s="107" t="s">
        <v>343</v>
      </c>
      <c r="EJ18" s="107" t="s">
        <v>343</v>
      </c>
      <c r="EK18" s="101" t="s">
        <v>342</v>
      </c>
      <c r="EL18" s="101" t="s">
        <v>342</v>
      </c>
      <c r="EM18" s="101" t="s">
        <v>342</v>
      </c>
      <c r="EN18" s="101" t="s">
        <v>388</v>
      </c>
      <c r="EO18" s="101" t="s">
        <v>388</v>
      </c>
      <c r="EP18" s="101" t="s">
        <v>389</v>
      </c>
      <c r="EQ18" s="101" t="s">
        <v>389</v>
      </c>
      <c r="ER18" s="101" t="s">
        <v>342</v>
      </c>
      <c r="ES18" s="101" t="s">
        <v>342</v>
      </c>
      <c r="ET18" s="101" t="s">
        <v>342</v>
      </c>
      <c r="EW18" s="90"/>
      <c r="EX18" s="90"/>
      <c r="EY18" s="90"/>
      <c r="EZ18" s="90"/>
      <c r="FA18" s="90"/>
      <c r="FB18" s="85" t="s">
        <v>385</v>
      </c>
      <c r="FC18" s="85" t="s">
        <v>218</v>
      </c>
      <c r="FG18" s="654" t="s">
        <v>390</v>
      </c>
      <c r="FL18" s="38"/>
      <c r="FM18" s="101" t="s">
        <v>328</v>
      </c>
      <c r="FN18" s="38"/>
      <c r="FO18" s="38"/>
      <c r="FP18" s="38"/>
      <c r="FQ18" s="38"/>
      <c r="FR18" s="38" t="s">
        <v>286</v>
      </c>
      <c r="FS18" s="101" t="s">
        <v>369</v>
      </c>
      <c r="FT18" s="101" t="s">
        <v>391</v>
      </c>
      <c r="FU18" s="101" t="s">
        <v>369</v>
      </c>
      <c r="FV18" s="101" t="s">
        <v>347</v>
      </c>
      <c r="FW18" s="37" t="s">
        <v>392</v>
      </c>
      <c r="FX18" s="38"/>
      <c r="FY18" s="101" t="s">
        <v>393</v>
      </c>
      <c r="GA18" s="101" t="s">
        <v>218</v>
      </c>
      <c r="GB18" s="101"/>
      <c r="GC18" s="101" t="s">
        <v>394</v>
      </c>
      <c r="GD18" s="101" t="s">
        <v>218</v>
      </c>
      <c r="GE18" s="101"/>
      <c r="GF18" s="101" t="s">
        <v>395</v>
      </c>
      <c r="GG18" s="101"/>
      <c r="GH18" s="1850"/>
      <c r="GI18" s="101" t="s">
        <v>218</v>
      </c>
      <c r="GJ18" s="38"/>
      <c r="GK18" s="101" t="s">
        <v>396</v>
      </c>
      <c r="GN18" s="91"/>
      <c r="GO18" s="91"/>
      <c r="GP18" s="91"/>
      <c r="GQ18" s="91"/>
      <c r="GR18" s="91"/>
      <c r="GS18" s="91"/>
      <c r="GT18" s="91"/>
      <c r="GU18" s="91"/>
      <c r="GV18" s="91"/>
      <c r="GW18" s="91"/>
      <c r="GX18" s="91"/>
      <c r="GY18" s="91"/>
      <c r="GZ18" s="91"/>
      <c r="HA18" s="91"/>
      <c r="HB18" s="91"/>
      <c r="HC18" s="91"/>
      <c r="HD18" s="91"/>
      <c r="HE18" s="91"/>
      <c r="HF18" s="91"/>
      <c r="HG18" s="91"/>
      <c r="HH18" s="519"/>
      <c r="HI18" s="91"/>
      <c r="HJ18" s="91"/>
      <c r="HK18" s="91"/>
      <c r="HL18" s="91"/>
      <c r="HM18" s="91"/>
      <c r="HN18" s="91"/>
      <c r="HO18" s="91"/>
      <c r="HP18" s="91"/>
      <c r="HQ18" s="91"/>
      <c r="HR18" s="91"/>
      <c r="HS18" s="91"/>
      <c r="HT18" s="91"/>
      <c r="HU18" s="91"/>
      <c r="HV18" s="1423"/>
      <c r="HW18" s="1423"/>
      <c r="HX18" s="1423"/>
      <c r="HY18" s="91"/>
      <c r="HZ18" s="1405">
        <v>0.2</v>
      </c>
      <c r="IA18" s="91"/>
      <c r="IB18" s="91"/>
      <c r="IP18" s="539" t="s">
        <v>369</v>
      </c>
      <c r="IQ18" s="50"/>
      <c r="IT18" s="1722"/>
      <c r="IU18" s="1722"/>
      <c r="IV18" s="1069">
        <v>0.3</v>
      </c>
      <c r="IW18" s="1722"/>
      <c r="IX18" s="1722"/>
      <c r="IY18" s="1069">
        <v>0.15</v>
      </c>
      <c r="IZ18" s="1722"/>
      <c r="JA18" s="1722"/>
      <c r="JG18" s="143" t="s">
        <v>347</v>
      </c>
      <c r="JH18" s="534" t="s">
        <v>328</v>
      </c>
      <c r="JI18" s="534"/>
      <c r="JJ18" s="101" t="s">
        <v>239</v>
      </c>
      <c r="JL18" s="101"/>
      <c r="JN18" s="101"/>
      <c r="JP18" s="38"/>
    </row>
    <row r="19" spans="1:280" customFormat="1" ht="1.2" customHeight="1" thickTop="1">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c r="W19" s="1441"/>
      <c r="X19" s="1441"/>
      <c r="Y19" s="1441"/>
      <c r="Z19" s="1441"/>
      <c r="AA19" s="1441"/>
      <c r="AB19" s="1441"/>
      <c r="AC19" s="1441"/>
      <c r="AD19" s="1441"/>
      <c r="AE19" s="1441"/>
      <c r="AF19" s="1441"/>
      <c r="AG19" s="1441"/>
      <c r="AH19" s="1441"/>
      <c r="AI19" s="1441"/>
      <c r="AJ19" s="1441"/>
      <c r="AK19" s="1441"/>
      <c r="AL19" s="1441"/>
      <c r="AM19" s="1441"/>
      <c r="AN19" s="1441"/>
      <c r="AO19" s="1441"/>
      <c r="AP19" s="1441"/>
      <c r="AQ19" s="1441"/>
      <c r="AR19" s="1441"/>
      <c r="AS19" s="1441"/>
      <c r="AT19" s="1441"/>
      <c r="AU19" s="1441"/>
      <c r="AV19" s="1441"/>
      <c r="AW19" s="1441"/>
      <c r="AX19" s="1441"/>
      <c r="AY19" s="1441"/>
      <c r="AZ19" s="1441"/>
      <c r="BA19" s="1396"/>
      <c r="BB19" s="1396"/>
      <c r="BC19" s="1396"/>
      <c r="BD19" s="1396"/>
      <c r="BE19" s="1396"/>
      <c r="BF19" s="1396"/>
      <c r="BG19" s="1396"/>
      <c r="BH19" s="1396"/>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EW19" s="90"/>
      <c r="EX19" s="90"/>
      <c r="EY19" s="90"/>
      <c r="EZ19" s="90"/>
      <c r="FA19" s="90"/>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P19" s="50"/>
      <c r="IQ19" s="50"/>
      <c r="IX19" s="1722"/>
      <c r="JA19" s="1722"/>
    </row>
    <row r="20" spans="1:280" customFormat="1" ht="14.95" customHeight="1">
      <c r="B20" s="1871" t="str">
        <f>IF(__Retrofit_TI_NC=1,"Tenant Improvement - Code is baseline",IF(__Retrofit_TI_NC=2,"New Construction - Code is baseline","Retrofit - Existing lighting is baseline"))</f>
        <v>Retrofit - Existing lighting is baseline</v>
      </c>
      <c r="E20" s="1865"/>
      <c r="F20" s="1865"/>
      <c r="G20" s="14" t="s">
        <v>397</v>
      </c>
      <c r="H20" s="38"/>
      <c r="I20" s="38"/>
      <c r="J20" s="38"/>
      <c r="K20" s="1856">
        <f>IF(__Retrofit_TI_NC&gt;0,BN6+'Building Area Installations'!K22,BN6)</f>
        <v>0</v>
      </c>
      <c r="L20" s="1857"/>
      <c r="M20" s="655"/>
      <c r="N20" s="655"/>
      <c r="O20" s="655"/>
      <c r="P20" s="14" t="s">
        <v>398</v>
      </c>
      <c r="Q20" s="38"/>
      <c r="R20" s="38"/>
      <c r="S20" s="38"/>
      <c r="T20" s="1891" t="s">
        <v>399</v>
      </c>
      <c r="U20" s="1891"/>
      <c r="V20" s="38"/>
      <c r="W20" s="1732" t="s">
        <v>400</v>
      </c>
      <c r="X20" s="1732"/>
      <c r="Y20" s="38"/>
      <c r="Z20" s="38"/>
      <c r="AA20" s="38"/>
      <c r="AC20" s="38"/>
      <c r="AD20" s="38"/>
      <c r="AE20" s="38"/>
      <c r="AF20" s="38"/>
      <c r="AG20" s="172" t="str">
        <f>Project!U22</f>
        <v>Project Name</v>
      </c>
      <c r="AH20" s="1699" t="str">
        <f>IF(Project!V22="","",Project!V22)</f>
        <v/>
      </c>
      <c r="AI20" s="1700"/>
      <c r="AJ20" s="1700"/>
      <c r="AK20" s="1700"/>
      <c r="AL20" s="1700"/>
      <c r="AM20" s="1701"/>
      <c r="AP20" s="172" t="s">
        <v>401</v>
      </c>
      <c r="AQ20" s="172"/>
      <c r="AR20" s="1852" t="str">
        <f>IF(Project!AK24="","",Project!AK24)</f>
        <v/>
      </c>
      <c r="AS20" s="1852"/>
      <c r="AT20" s="1852"/>
      <c r="AU20" s="1852"/>
      <c r="AV20" s="1852"/>
      <c r="AW20" s="1852"/>
      <c r="AX20" s="92"/>
      <c r="AZ20" s="1396"/>
      <c r="BA20" s="1396"/>
      <c r="BB20" s="1396"/>
      <c r="BC20" s="1396"/>
      <c r="BD20" s="1396"/>
      <c r="BE20" s="1396"/>
      <c r="BF20" s="1396"/>
      <c r="BG20" s="1396"/>
      <c r="BH20" s="1396"/>
      <c r="BI20" s="1397" t="str">
        <f>BI862</f>
        <v/>
      </c>
      <c r="BJ20" s="1397" t="str">
        <f t="shared" ref="BJ20:CJ20" si="8">BJ862</f>
        <v/>
      </c>
      <c r="BK20" s="1397" t="str">
        <f t="shared" si="8"/>
        <v/>
      </c>
      <c r="BL20" s="1397" t="str">
        <f t="shared" si="8"/>
        <v/>
      </c>
      <c r="BM20" s="1397" t="str">
        <f t="shared" si="8"/>
        <v/>
      </c>
      <c r="BN20" s="1397" t="str">
        <f t="shared" si="8"/>
        <v/>
      </c>
      <c r="BO20" s="1397" t="str">
        <f t="shared" si="8"/>
        <v/>
      </c>
      <c r="BP20" s="1397" t="str">
        <f t="shared" si="8"/>
        <v/>
      </c>
      <c r="BQ20" s="1397" t="str">
        <f t="shared" si="8"/>
        <v/>
      </c>
      <c r="BR20" s="1397" t="str">
        <f t="shared" si="8"/>
        <v/>
      </c>
      <c r="BS20" s="1397" t="str">
        <f t="shared" si="8"/>
        <v/>
      </c>
      <c r="BT20" s="1397" t="str">
        <f t="shared" si="8"/>
        <v/>
      </c>
      <c r="BU20" s="1397" t="str">
        <f t="shared" si="8"/>
        <v/>
      </c>
      <c r="BV20" s="1397" t="str">
        <f t="shared" si="8"/>
        <v/>
      </c>
      <c r="BW20" s="1397" t="str">
        <f t="shared" si="8"/>
        <v/>
      </c>
      <c r="BX20" s="1397" t="str">
        <f t="shared" si="8"/>
        <v/>
      </c>
      <c r="BY20" s="1397" t="str">
        <f t="shared" si="8"/>
        <v/>
      </c>
      <c r="BZ20" s="1397" t="str">
        <f t="shared" si="8"/>
        <v/>
      </c>
      <c r="CA20" s="1397" t="str">
        <f t="shared" si="8"/>
        <v/>
      </c>
      <c r="CB20" s="1397" t="str">
        <f t="shared" si="8"/>
        <v/>
      </c>
      <c r="CC20" s="1397" t="str">
        <f t="shared" si="8"/>
        <v/>
      </c>
      <c r="CD20" s="1397" t="str">
        <f t="shared" si="8"/>
        <v/>
      </c>
      <c r="CE20" s="1397" t="str">
        <f t="shared" si="8"/>
        <v/>
      </c>
      <c r="CF20" s="1397" t="str">
        <f t="shared" si="8"/>
        <v/>
      </c>
      <c r="CG20" s="1397" t="str">
        <f t="shared" si="8"/>
        <v/>
      </c>
      <c r="CH20" s="1397" t="str">
        <f t="shared" si="8"/>
        <v/>
      </c>
      <c r="CI20" s="1397" t="str">
        <f t="shared" si="8"/>
        <v/>
      </c>
      <c r="CJ20" s="1397" t="str">
        <f t="shared" si="8"/>
        <v/>
      </c>
      <c r="EW20" s="90"/>
      <c r="EX20" s="90"/>
      <c r="EY20" s="90"/>
      <c r="EZ20" s="90"/>
      <c r="FA20" s="90"/>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P20" s="50"/>
      <c r="IQ20" s="50"/>
      <c r="IX20" s="1722"/>
      <c r="JA20" s="1722"/>
    </row>
    <row r="21" spans="1:280" customFormat="1" ht="2.0499999999999998" customHeight="1">
      <c r="B21" s="1854"/>
      <c r="E21" s="656"/>
      <c r="F21" s="656"/>
      <c r="G21" s="14"/>
      <c r="H21" s="38"/>
      <c r="I21" s="38"/>
      <c r="J21" s="38"/>
      <c r="L21" s="38"/>
      <c r="P21" s="14"/>
      <c r="Q21" s="38"/>
      <c r="R21" s="38"/>
      <c r="S21" s="38"/>
      <c r="T21" s="1891"/>
      <c r="U21" s="1891"/>
      <c r="V21" s="38"/>
      <c r="W21" s="38"/>
      <c r="X21" s="38"/>
      <c r="Y21" s="38"/>
      <c r="Z21" s="38"/>
      <c r="AA21" s="38"/>
      <c r="AC21" s="38"/>
      <c r="AF21" s="172"/>
      <c r="AI21" s="93"/>
      <c r="AJ21" s="93"/>
      <c r="AK21" s="93"/>
      <c r="AP21" s="92"/>
      <c r="AQ21" s="172"/>
      <c r="AR21" s="38"/>
      <c r="AS21" s="38"/>
      <c r="AT21" s="38"/>
      <c r="AU21" s="38"/>
      <c r="AV21" s="38"/>
      <c r="AW21" s="38"/>
      <c r="AX21" s="38"/>
      <c r="AZ21" s="1396"/>
      <c r="BA21" s="1396"/>
      <c r="BB21" s="1396"/>
      <c r="BC21" s="1396"/>
      <c r="BD21" s="1396"/>
      <c r="BE21" s="1396"/>
      <c r="BF21" s="1396"/>
      <c r="BG21" s="1396"/>
      <c r="BH21" s="1396"/>
      <c r="BI21" s="1397"/>
      <c r="BJ21" s="1397"/>
      <c r="BK21" s="1397"/>
      <c r="BL21" s="1397"/>
      <c r="BM21" s="1397"/>
      <c r="BN21" s="1397"/>
      <c r="BO21" s="1397"/>
      <c r="BP21" s="1397"/>
      <c r="BQ21" s="1397"/>
      <c r="BR21" s="1397"/>
      <c r="BS21" s="1397"/>
      <c r="BT21" s="1397"/>
      <c r="BU21" s="1397"/>
      <c r="BV21" s="1397"/>
      <c r="BW21" s="1397"/>
      <c r="BX21" s="1397"/>
      <c r="BY21" s="1397"/>
      <c r="BZ21" s="1397"/>
      <c r="CA21" s="1397"/>
      <c r="CB21" s="1397"/>
      <c r="CC21" s="1397"/>
      <c r="CD21" s="1397"/>
      <c r="CE21" s="1397"/>
      <c r="CF21" s="1397"/>
      <c r="CG21" s="1397"/>
      <c r="CH21" s="1397"/>
      <c r="CI21" s="1397"/>
      <c r="CJ21" s="1397"/>
      <c r="EW21" s="90"/>
      <c r="EX21" s="90"/>
      <c r="EY21" s="90"/>
      <c r="EZ21" s="90"/>
      <c r="FA21" s="90"/>
      <c r="FB21" s="90"/>
      <c r="FC21" s="90"/>
      <c r="FD21" s="90"/>
      <c r="FE21" s="90"/>
      <c r="FF21" s="90"/>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P21" s="50"/>
      <c r="IQ21" s="50"/>
    </row>
    <row r="22" spans="1:280" customFormat="1" ht="14.95" customHeight="1">
      <c r="B22" s="1854"/>
      <c r="E22" s="1865"/>
      <c r="F22" s="1865"/>
      <c r="G22" s="14" t="s">
        <v>402</v>
      </c>
      <c r="H22" s="38"/>
      <c r="I22" s="38"/>
      <c r="J22" s="38"/>
      <c r="K22" s="1856">
        <f>IF(__Retrofit_TI_NC&gt;0,BQ6+'Building Area Installations'!K24,BQ6)</f>
        <v>0</v>
      </c>
      <c r="L22" s="1857"/>
      <c r="M22" s="655"/>
      <c r="N22" s="655"/>
      <c r="O22" s="655"/>
      <c r="P22" s="14" t="s">
        <v>403</v>
      </c>
      <c r="Q22" s="38"/>
      <c r="R22" s="38"/>
      <c r="S22" s="38"/>
      <c r="T22" s="1891"/>
      <c r="U22" s="1891"/>
      <c r="V22" s="38"/>
      <c r="W22" s="1869">
        <f>IF(__Retrofit_TI_NC=0,IF('Customer Authorization'!N35&gt;1,Autofund!J3,0),'Building Area Installations'!Y22+Autofund!J3)</f>
        <v>0</v>
      </c>
      <c r="X22" s="1870"/>
      <c r="Y22" s="38"/>
      <c r="Z22" s="38"/>
      <c r="AA22" s="1096" t="s">
        <v>404</v>
      </c>
      <c r="AB22" s="10"/>
      <c r="AC22" s="38"/>
      <c r="AD22" s="38"/>
      <c r="AE22" s="38"/>
      <c r="AF22" s="38"/>
      <c r="AG22" s="172" t="str">
        <f>Project!U24</f>
        <v>Business Name</v>
      </c>
      <c r="AH22" s="1699" t="str">
        <f>IF(Project!V24="","",Project!V24)</f>
        <v/>
      </c>
      <c r="AI22" s="1700"/>
      <c r="AJ22" s="1700"/>
      <c r="AK22" s="1700"/>
      <c r="AL22" s="1700"/>
      <c r="AM22" s="1701"/>
      <c r="AN22" s="38"/>
      <c r="AO22" s="38"/>
      <c r="AP22" s="174" t="str">
        <f>Project!AH26</f>
        <v>Email</v>
      </c>
      <c r="AQ22" s="174"/>
      <c r="AR22" s="1852" t="str">
        <f>IF(Project!AK26="","",Project!AK26)</f>
        <v/>
      </c>
      <c r="AS22" s="1852"/>
      <c r="AT22" s="1852"/>
      <c r="AU22" s="1852"/>
      <c r="AV22" s="1852"/>
      <c r="AW22" s="1852"/>
      <c r="AX22" s="92"/>
      <c r="AY22" s="38"/>
      <c r="AZ22" s="1396"/>
      <c r="BA22" s="1396"/>
      <c r="BB22" s="1396"/>
      <c r="BC22" s="1396"/>
      <c r="BD22" s="1396"/>
      <c r="BE22" s="1396"/>
      <c r="BF22" s="1396"/>
      <c r="BG22" s="1396"/>
      <c r="BH22" s="1396"/>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E22" s="38"/>
      <c r="EF22" s="38"/>
      <c r="EG22" s="38"/>
      <c r="EH22" s="38"/>
      <c r="EI22" s="38"/>
      <c r="EJ22" s="38"/>
      <c r="EK22" s="38"/>
      <c r="EL22" s="38"/>
      <c r="EM22" s="38"/>
      <c r="EN22" s="38"/>
      <c r="EO22" s="38"/>
      <c r="EP22" s="38"/>
      <c r="EQ22" s="38"/>
      <c r="ER22" s="38"/>
      <c r="ES22" s="38"/>
      <c r="ET22" s="38"/>
      <c r="EU22" s="38"/>
      <c r="EV22" s="38"/>
      <c r="EW22" s="90"/>
      <c r="EX22" s="90"/>
      <c r="EY22" s="90"/>
      <c r="EZ22" s="90"/>
      <c r="FA22" s="90"/>
      <c r="FB22" s="90"/>
      <c r="FC22" s="90"/>
      <c r="FD22" s="90"/>
      <c r="FE22" s="90"/>
      <c r="FF22" s="90"/>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P22" s="50"/>
      <c r="IQ22" s="50"/>
      <c r="IR22" s="38"/>
      <c r="IV22" s="1006"/>
      <c r="IW22" s="1006"/>
      <c r="IX22" s="430" t="s">
        <v>385</v>
      </c>
      <c r="IY22" s="1006"/>
      <c r="IZ22" s="1006"/>
      <c r="JA22" s="430" t="s">
        <v>385</v>
      </c>
      <c r="JG22" s="38"/>
      <c r="JN22" s="187" t="s">
        <v>405</v>
      </c>
      <c r="JP22" s="634">
        <f>IF(__Retrofit_TI_NC&gt;0,IF(__NC_Incentive=0,0,'Building Area Installations'!X26),0)</f>
        <v>0</v>
      </c>
      <c r="JR22" s="634">
        <f>IF(__Retrofit_TI_NC&gt;0,IF(__NC_Incentive=0,0,'Building Area Installations'!X30),0)</f>
        <v>0</v>
      </c>
      <c r="JT22" s="634">
        <f>IF(__Retrofit_TI_NC&gt;0,IF(__NC_Incentive=0,0,'Building Area Installations'!X28),0)</f>
        <v>0</v>
      </c>
    </row>
    <row r="23" spans="1:280" customFormat="1" ht="2.0499999999999998" customHeight="1">
      <c r="B23" s="1854"/>
      <c r="E23" s="656"/>
      <c r="F23" s="656"/>
      <c r="G23" s="14"/>
      <c r="H23" s="38"/>
      <c r="I23" s="38"/>
      <c r="J23" s="38"/>
      <c r="L23" s="38"/>
      <c r="Q23" s="38"/>
      <c r="R23" s="38"/>
      <c r="S23" s="38"/>
      <c r="T23" s="38"/>
      <c r="W23" s="12"/>
      <c r="X23" s="38"/>
      <c r="Y23" s="38"/>
      <c r="AA23" s="10"/>
      <c r="AB23" s="10"/>
      <c r="AC23" s="38"/>
      <c r="AF23" s="38"/>
      <c r="AG23" s="173"/>
      <c r="AH23" s="38"/>
      <c r="AI23" s="38"/>
      <c r="AJ23" s="38"/>
      <c r="AK23" s="38"/>
      <c r="AL23" s="38"/>
      <c r="AM23" s="38"/>
      <c r="AN23" s="38"/>
      <c r="AO23" s="38"/>
      <c r="AP23" s="92"/>
      <c r="AQ23" s="92"/>
      <c r="AR23" s="92"/>
      <c r="AS23" s="92"/>
      <c r="AT23" s="92"/>
      <c r="AU23" s="92"/>
      <c r="AV23" s="92"/>
      <c r="AW23" s="92"/>
      <c r="AX23" s="92"/>
      <c r="AY23" s="38"/>
      <c r="AZ23" s="1396"/>
      <c r="BA23" s="1396"/>
      <c r="BB23" s="1396"/>
      <c r="BC23" s="1396"/>
      <c r="BD23" s="1396"/>
      <c r="BE23" s="1396"/>
      <c r="BF23" s="1396"/>
      <c r="BG23" s="1396"/>
      <c r="BH23" s="1396"/>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101" t="s">
        <v>356</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E23" s="38"/>
      <c r="EF23" s="38"/>
      <c r="EG23" s="38"/>
      <c r="EH23" s="38"/>
      <c r="EI23" s="38"/>
      <c r="EJ23" s="38"/>
      <c r="EK23" s="38"/>
      <c r="EL23" s="38"/>
      <c r="EM23" s="38"/>
      <c r="EN23" s="38"/>
      <c r="EO23" s="38"/>
      <c r="EP23" s="38"/>
      <c r="EQ23" s="38"/>
      <c r="ER23" s="38"/>
      <c r="ES23" s="38"/>
      <c r="ET23" s="38"/>
      <c r="EU23" s="38"/>
      <c r="EV23" s="38"/>
      <c r="EW23" s="90"/>
      <c r="EX23" s="90"/>
      <c r="EY23" s="90"/>
      <c r="EZ23" s="90"/>
      <c r="FA23" s="90"/>
      <c r="FB23" s="90"/>
      <c r="FC23" s="90"/>
      <c r="FD23" s="90"/>
      <c r="FE23" s="90"/>
      <c r="FF23" s="90"/>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P23" s="50"/>
      <c r="IQ23" s="50"/>
      <c r="IV23" s="1006"/>
      <c r="IW23" s="1006"/>
      <c r="IY23" s="1006"/>
      <c r="IZ23" s="1006"/>
      <c r="JG23" s="38"/>
    </row>
    <row r="24" spans="1:280" customFormat="1" ht="16.3">
      <c r="B24" s="1854"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881"/>
      <c r="F24" s="1881"/>
      <c r="G24" s="14" t="s">
        <v>406</v>
      </c>
      <c r="H24" s="38"/>
      <c r="I24" s="38"/>
      <c r="J24" s="38"/>
      <c r="K24" s="1858">
        <f>K20-K22</f>
        <v>0</v>
      </c>
      <c r="L24" s="1859"/>
      <c r="M24" s="657"/>
      <c r="N24" s="657"/>
      <c r="O24" s="657"/>
      <c r="P24" s="96" t="s">
        <v>407</v>
      </c>
      <c r="Q24" s="38"/>
      <c r="R24" s="38"/>
      <c r="S24" s="38"/>
      <c r="T24" s="1885" t="str">
        <f>IF(Autofund!K46=FALSE,"Rate Sch?",W22+W24+W26+W28+W30+W32+W34)</f>
        <v>Rate Sch?</v>
      </c>
      <c r="U24" s="1886"/>
      <c r="V24" s="1089"/>
      <c r="W24" s="1869">
        <f>IFERROR(IF(__Retrofit_TI_NC=0,Autofund!J4,Autofund!J4+'Building Area Installations'!Y24),0)</f>
        <v>0</v>
      </c>
      <c r="X24" s="1870"/>
      <c r="Y24" s="38"/>
      <c r="Z24" s="38"/>
      <c r="AA24" s="1096" t="str">
        <f>IF(__Retrofit_TI_NC=2,"TLED's not incentivised","TLED")</f>
        <v>TLED</v>
      </c>
      <c r="AB24" s="100"/>
      <c r="AC24" s="38"/>
      <c r="AD24" s="38"/>
      <c r="AE24" s="38"/>
      <c r="AF24" s="38"/>
      <c r="AG24" s="172" t="str">
        <f>Project!U30</f>
        <v>Project Site Address</v>
      </c>
      <c r="AH24" s="1699" t="str">
        <f>IF(Project!V30="","",Project!V30)</f>
        <v/>
      </c>
      <c r="AI24" s="1700"/>
      <c r="AJ24" s="1700"/>
      <c r="AK24" s="1700"/>
      <c r="AL24" s="1700"/>
      <c r="AM24" s="1701"/>
      <c r="AN24" s="38"/>
      <c r="AO24" s="38"/>
      <c r="AP24" s="174" t="str">
        <f>Project!AH28</f>
        <v>Phone #</v>
      </c>
      <c r="AQ24" s="174"/>
      <c r="AR24" s="1853" t="str">
        <f>IF(Project!AK28="","",Project!AK28)</f>
        <v/>
      </c>
      <c r="AS24" s="1853"/>
      <c r="AT24" s="1853"/>
      <c r="AU24" s="1853"/>
      <c r="AV24" s="1853"/>
      <c r="AW24" s="1853"/>
      <c r="AX24" s="470"/>
      <c r="AY24" s="38"/>
      <c r="AZ24" s="1396"/>
      <c r="BA24" s="1396"/>
      <c r="BB24" s="1396"/>
      <c r="BC24" s="1396"/>
      <c r="BD24" s="1396"/>
      <c r="BE24" s="1396"/>
      <c r="BF24" s="1396"/>
      <c r="BG24" s="1396"/>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101" t="s">
        <v>356</v>
      </c>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P24" s="61"/>
      <c r="IQ24" s="50"/>
      <c r="IT24" s="38"/>
      <c r="IU24" s="38"/>
      <c r="IV24" s="1006"/>
      <c r="IW24" s="1006"/>
      <c r="IX24" s="430" t="s">
        <v>408</v>
      </c>
      <c r="IY24" s="1006"/>
      <c r="IZ24" s="1006"/>
      <c r="JA24" s="430" t="s">
        <v>408</v>
      </c>
      <c r="JG24" s="38"/>
      <c r="JP24" s="95">
        <f>JP22*JP10</f>
        <v>0</v>
      </c>
      <c r="JR24" s="95">
        <f>JR22*JR10</f>
        <v>0</v>
      </c>
      <c r="JT24" s="95">
        <f>JT22*JT10</f>
        <v>0</v>
      </c>
    </row>
    <row r="25" spans="1:280" customFormat="1" ht="2.0499999999999998" customHeight="1">
      <c r="B25" s="1854"/>
      <c r="E25" s="115"/>
      <c r="F25" s="12"/>
      <c r="G25" s="14"/>
      <c r="H25" s="38"/>
      <c r="I25" s="38"/>
      <c r="J25" s="38"/>
      <c r="L25" s="38"/>
      <c r="Q25" s="38"/>
      <c r="R25" s="38"/>
      <c r="S25" s="38"/>
      <c r="T25" s="1887"/>
      <c r="U25" s="1888"/>
      <c r="V25" s="1089"/>
      <c r="W25" s="264"/>
      <c r="X25" s="38"/>
      <c r="Y25" s="38"/>
      <c r="AA25" s="1097"/>
      <c r="AB25" s="10"/>
      <c r="AC25" s="38"/>
      <c r="AF25" s="38"/>
      <c r="AG25" s="173"/>
      <c r="AH25" s="38"/>
      <c r="AI25" s="38"/>
      <c r="AJ25" s="38"/>
      <c r="AK25" s="38"/>
      <c r="AL25" s="38"/>
      <c r="AM25" s="38"/>
      <c r="AN25" s="38"/>
      <c r="AO25" s="38"/>
      <c r="AP25" s="175"/>
      <c r="AQ25" s="175"/>
      <c r="AR25" s="1034"/>
      <c r="AS25" s="1034"/>
      <c r="AT25" s="1034"/>
      <c r="AU25" s="1034"/>
      <c r="AV25" s="1034"/>
      <c r="AW25" s="1034"/>
      <c r="AX25" s="38"/>
      <c r="AY25" s="38"/>
      <c r="AZ25" s="1396"/>
      <c r="BA25" s="1396"/>
      <c r="BB25" s="1396"/>
      <c r="BC25" s="1396"/>
      <c r="BD25" s="1396"/>
      <c r="BE25" s="1396"/>
      <c r="BF25" s="1396"/>
      <c r="BG25" s="1396"/>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P25" s="50"/>
      <c r="IQ25" s="50"/>
      <c r="IV25" s="1006"/>
      <c r="IW25" s="1006"/>
      <c r="IX25" s="1006"/>
      <c r="IY25" s="1006"/>
      <c r="IZ25" s="1006"/>
      <c r="JA25" s="1006"/>
    </row>
    <row r="26" spans="1:280" customFormat="1" ht="14.3">
      <c r="B26" s="1854"/>
      <c r="E26" s="38"/>
      <c r="F26" s="38"/>
      <c r="G26" s="38"/>
      <c r="H26" s="38"/>
      <c r="I26" s="38"/>
      <c r="J26" s="38"/>
      <c r="K26" s="38"/>
      <c r="L26" s="38"/>
      <c r="M26" s="38"/>
      <c r="N26" s="38"/>
      <c r="O26" s="38"/>
      <c r="P26" s="38"/>
      <c r="Q26" s="38"/>
      <c r="R26" s="38"/>
      <c r="S26" s="38"/>
      <c r="T26" s="1889"/>
      <c r="U26" s="1890"/>
      <c r="V26" s="1089"/>
      <c r="W26" s="1869">
        <f>JP12</f>
        <v>0</v>
      </c>
      <c r="X26" s="1870"/>
      <c r="Y26" s="38"/>
      <c r="Z26" s="38"/>
      <c r="AA26" s="1096" t="s">
        <v>409</v>
      </c>
      <c r="AB26" s="38"/>
      <c r="AC26" s="38"/>
      <c r="AD26" s="38"/>
      <c r="AE26" s="38"/>
      <c r="AF26" s="38"/>
      <c r="AG26" s="172" t="str">
        <f>Project!U34</f>
        <v>City</v>
      </c>
      <c r="AH26" s="1873" t="str">
        <f>IF(Project!V34="","",Project!V34)</f>
        <v/>
      </c>
      <c r="AI26" s="1873"/>
      <c r="AJ26" s="658" t="str">
        <f>Project!V36</f>
        <v>WA</v>
      </c>
      <c r="AK26" s="658"/>
      <c r="AL26" s="659" t="str">
        <f>IF(Project!Z36="","",Project!Z36)</f>
        <v>Zip</v>
      </c>
      <c r="AM26" s="659" t="str">
        <f>IF(Project!AA36="","",Project!AA36)</f>
        <v/>
      </c>
      <c r="AN26" s="38"/>
      <c r="AO26" s="38"/>
      <c r="AP26" s="185" t="str">
        <f>Project!G63</f>
        <v>Submitting Company</v>
      </c>
      <c r="AQ26" s="172"/>
      <c r="AR26" s="1853" t="str">
        <f>IF(OR(Project!H59="- Choose Type -",Project!H59=""),"Missing",IF(Project!H59="Customer","Customer",IF(Project!H59="Installing Contractor",Project!U63,IF(Project!H59="Vendor",Project!AJ63,IF(Project!H63="","",Project!H63)))))</f>
        <v/>
      </c>
      <c r="AS26" s="1853"/>
      <c r="AT26" s="1853"/>
      <c r="AU26" s="1853"/>
      <c r="AV26" s="1853"/>
      <c r="AW26" s="1853"/>
      <c r="AX26" s="92"/>
      <c r="AY26" s="38"/>
      <c r="AZ26" s="1396"/>
      <c r="BA26" s="1396"/>
      <c r="BB26" s="1396"/>
      <c r="BC26" s="1396"/>
      <c r="BD26" s="1396"/>
      <c r="BE26" s="1396"/>
      <c r="BF26" s="1396"/>
      <c r="BG26" s="1396"/>
      <c r="BI26" s="86" t="str">
        <f>BI865</f>
        <v/>
      </c>
      <c r="BJ26" s="86" t="str">
        <f t="shared" ref="BJ26:CJ26" si="11">BJ865</f>
        <v/>
      </c>
      <c r="BK26" s="86" t="str">
        <f t="shared" si="11"/>
        <v/>
      </c>
      <c r="BL26" s="86" t="str">
        <f t="shared" si="11"/>
        <v/>
      </c>
      <c r="BM26" s="86" t="str">
        <f t="shared" si="11"/>
        <v/>
      </c>
      <c r="BN26" s="86" t="str">
        <f t="shared" si="11"/>
        <v/>
      </c>
      <c r="BO26" s="86" t="str">
        <f t="shared" si="11"/>
        <v/>
      </c>
      <c r="BP26" s="86" t="str">
        <f t="shared" si="11"/>
        <v/>
      </c>
      <c r="BQ26" s="86" t="str">
        <f t="shared" si="11"/>
        <v/>
      </c>
      <c r="BR26" s="86" t="str">
        <f t="shared" si="11"/>
        <v/>
      </c>
      <c r="BS26" s="86" t="str">
        <f t="shared" si="11"/>
        <v/>
      </c>
      <c r="BT26" s="86" t="str">
        <f t="shared" si="11"/>
        <v/>
      </c>
      <c r="BU26" s="86" t="str">
        <f t="shared" si="11"/>
        <v/>
      </c>
      <c r="BV26" s="86" t="str">
        <f t="shared" si="11"/>
        <v/>
      </c>
      <c r="BW26" s="86" t="str">
        <f t="shared" si="11"/>
        <v/>
      </c>
      <c r="BX26" s="86" t="str">
        <f t="shared" si="11"/>
        <v/>
      </c>
      <c r="BY26" s="86" t="str">
        <f t="shared" si="11"/>
        <v/>
      </c>
      <c r="BZ26" s="86" t="str">
        <f t="shared" si="11"/>
        <v/>
      </c>
      <c r="CA26" s="86" t="str">
        <f t="shared" si="11"/>
        <v/>
      </c>
      <c r="CB26" s="86" t="str">
        <f t="shared" si="11"/>
        <v/>
      </c>
      <c r="CC26" s="86" t="str">
        <f t="shared" si="11"/>
        <v/>
      </c>
      <c r="CD26" s="86" t="str">
        <f t="shared" si="11"/>
        <v/>
      </c>
      <c r="CE26" s="86" t="str">
        <f t="shared" si="11"/>
        <v/>
      </c>
      <c r="CF26" s="86" t="str">
        <f t="shared" si="11"/>
        <v/>
      </c>
      <c r="CG26" s="86" t="str">
        <f t="shared" si="11"/>
        <v/>
      </c>
      <c r="CH26" s="86" t="str">
        <f t="shared" si="11"/>
        <v/>
      </c>
      <c r="CI26" s="86" t="str">
        <f t="shared" si="11"/>
        <v/>
      </c>
      <c r="CJ26" s="86" t="str">
        <f t="shared" si="11"/>
        <v/>
      </c>
      <c r="CK26" s="38"/>
      <c r="CL26" s="38"/>
      <c r="CM26" s="38"/>
      <c r="CN26" s="38"/>
      <c r="CO26" s="38"/>
      <c r="CP26" s="14"/>
      <c r="CQ26" s="38"/>
      <c r="CR26" s="38"/>
      <c r="CS26" s="101" t="s">
        <v>221</v>
      </c>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P26" s="50"/>
      <c r="IQ26" s="50"/>
    </row>
    <row r="27" spans="1:280" customFormat="1" ht="2.0499999999999998" customHeight="1">
      <c r="B27" s="1854"/>
      <c r="E27" s="97"/>
      <c r="F27" s="97"/>
      <c r="G27" s="14"/>
      <c r="H27" s="38"/>
      <c r="I27" s="38"/>
      <c r="J27" s="38"/>
      <c r="L27" s="38"/>
      <c r="Q27" s="38"/>
      <c r="R27" s="38"/>
      <c r="S27" s="38"/>
      <c r="T27" s="92"/>
      <c r="U27" s="92"/>
      <c r="V27" s="92"/>
      <c r="W27" s="38"/>
      <c r="X27" s="38"/>
      <c r="Y27" s="14"/>
      <c r="AA27" s="1096"/>
      <c r="AB27" s="10"/>
      <c r="AC27" s="38"/>
      <c r="AD27" s="92"/>
      <c r="AE27" s="92"/>
      <c r="AF27" s="173"/>
      <c r="AG27" s="38"/>
      <c r="AH27" s="38"/>
      <c r="AI27" s="38"/>
      <c r="AJ27" s="38"/>
      <c r="AK27" s="38"/>
      <c r="AL27" s="38"/>
      <c r="AM27" s="38"/>
      <c r="AN27" s="38"/>
      <c r="AO27" s="38"/>
      <c r="AP27" s="38"/>
      <c r="AQ27" s="175"/>
      <c r="AR27" s="1034"/>
      <c r="AS27" s="1034"/>
      <c r="AT27" s="1034"/>
      <c r="AU27" s="1034"/>
      <c r="AV27" s="1034"/>
      <c r="AW27" s="1034"/>
      <c r="AX27" s="38"/>
      <c r="AY27" s="38"/>
      <c r="AZ27" s="1396"/>
      <c r="BA27" s="1396"/>
      <c r="BB27" s="1396"/>
      <c r="BC27" s="1396"/>
      <c r="BD27" s="1396"/>
      <c r="BE27" s="1396"/>
      <c r="BF27" s="1396"/>
      <c r="BG27" s="139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E27" s="38"/>
      <c r="EF27" s="38"/>
      <c r="EG27" s="38"/>
      <c r="EH27" s="38"/>
      <c r="EI27" s="38"/>
      <c r="EJ27" s="38"/>
      <c r="EK27" s="38"/>
      <c r="EL27" s="38"/>
      <c r="EM27" s="38"/>
      <c r="EN27" s="38"/>
      <c r="EO27" s="38"/>
      <c r="EP27" s="38"/>
      <c r="EQ27" s="38"/>
      <c r="ER27" s="38"/>
      <c r="ES27" s="38"/>
      <c r="ET27" s="38"/>
      <c r="EU27" s="38"/>
      <c r="EV27" s="38"/>
      <c r="FA27" s="38"/>
      <c r="FB27" s="38"/>
      <c r="FC27" s="38"/>
      <c r="FD27" s="38"/>
      <c r="FE27" s="38"/>
      <c r="FF27" s="38"/>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P27" s="50"/>
      <c r="IQ27" s="50"/>
    </row>
    <row r="28" spans="1:280" customFormat="1" ht="14.3">
      <c r="B28" s="1854"/>
      <c r="E28" s="1869">
        <f>BX906</f>
        <v>0</v>
      </c>
      <c r="F28" s="1870"/>
      <c r="G28" s="14" t="s">
        <v>410</v>
      </c>
      <c r="H28" s="10"/>
      <c r="I28" s="465"/>
      <c r="J28" s="38"/>
      <c r="K28" s="1860">
        <f>IF(__Retrofit_TI_NC=0,CF906,CF906+'Building Area Installations'!P22)</f>
        <v>0</v>
      </c>
      <c r="L28" s="1861"/>
      <c r="M28" s="660"/>
      <c r="N28" s="660"/>
      <c r="O28" s="660"/>
      <c r="P28" s="14" t="s">
        <v>411</v>
      </c>
      <c r="Q28" s="38"/>
      <c r="R28" s="38"/>
      <c r="S28" s="38"/>
      <c r="T28" s="1868" t="str">
        <f>IF(__Retrofit_TI_NC=2,"",IF('Customer Authorization'!N35&lt;1,"Payback less than one year!",""))</f>
        <v/>
      </c>
      <c r="U28" s="1868"/>
      <c r="V28" s="38"/>
      <c r="W28" s="1869">
        <f>JT12</f>
        <v>0</v>
      </c>
      <c r="X28" s="1870"/>
      <c r="Y28" s="99" t="str">
        <f>IF('Customer Authorization'!N35&lt;1,"Payback less than one year!","")</f>
        <v/>
      </c>
      <c r="AA28" s="1096" t="s">
        <v>412</v>
      </c>
      <c r="AB28" s="10"/>
      <c r="AC28" s="38"/>
      <c r="AD28" s="38"/>
      <c r="AE28" s="38"/>
      <c r="AF28" s="38"/>
      <c r="AG28" s="38"/>
      <c r="AH28" s="38"/>
      <c r="AI28" s="38"/>
      <c r="AJ28" s="38"/>
      <c r="AK28" s="38"/>
      <c r="AL28" s="38"/>
      <c r="AM28" s="38"/>
      <c r="AN28" s="38"/>
      <c r="AO28" s="38"/>
      <c r="AP28" s="185" t="s">
        <v>413</v>
      </c>
      <c r="AQ28" s="172"/>
      <c r="AR28" s="1853" t="str">
        <f>IF(OR(Project!H59="",Project!H59="- Choose Type -"),"Missing",IF(Project!H59="Customer","",IF(Project!H59="Installing Contractor",Project!U65,IF(Project!H59="Vendor",Project!AJ65,IF(Project!H65="","",Project!H65)))))</f>
        <v/>
      </c>
      <c r="AS28" s="1853"/>
      <c r="AT28" s="1853"/>
      <c r="AU28" s="1853"/>
      <c r="AV28" s="1853"/>
      <c r="AW28" s="1853"/>
      <c r="AX28" s="92"/>
      <c r="AY28" s="38"/>
      <c r="AZ28" s="1396"/>
      <c r="BA28" s="1396"/>
      <c r="BB28" s="1396"/>
      <c r="BC28" s="1396"/>
      <c r="BD28" s="1396"/>
      <c r="BE28" s="1396"/>
      <c r="BF28" s="1396"/>
      <c r="BG28" s="1396"/>
      <c r="BH28" s="38"/>
      <c r="BI28" s="86" t="str">
        <f>BI866</f>
        <v/>
      </c>
      <c r="BJ28" s="86" t="str">
        <f t="shared" ref="BJ28:CJ28" si="12">BJ866</f>
        <v/>
      </c>
      <c r="BK28" s="86" t="str">
        <f t="shared" si="12"/>
        <v/>
      </c>
      <c r="BL28" s="86" t="str">
        <f t="shared" si="12"/>
        <v/>
      </c>
      <c r="BM28" s="86" t="str">
        <f t="shared" si="12"/>
        <v/>
      </c>
      <c r="BN28" s="86" t="str">
        <f t="shared" si="12"/>
        <v/>
      </c>
      <c r="BO28" s="86" t="str">
        <f t="shared" si="12"/>
        <v/>
      </c>
      <c r="BP28" s="86" t="str">
        <f t="shared" si="12"/>
        <v/>
      </c>
      <c r="BQ28" s="86" t="str">
        <f t="shared" si="12"/>
        <v/>
      </c>
      <c r="BR28" s="86" t="str">
        <f t="shared" si="12"/>
        <v/>
      </c>
      <c r="BS28" s="86" t="str">
        <f t="shared" si="12"/>
        <v/>
      </c>
      <c r="BT28" s="86" t="str">
        <f t="shared" si="12"/>
        <v/>
      </c>
      <c r="BU28" s="86" t="str">
        <f t="shared" si="12"/>
        <v/>
      </c>
      <c r="BV28" s="86" t="str">
        <f t="shared" si="12"/>
        <v/>
      </c>
      <c r="BW28" s="86" t="str">
        <f t="shared" si="12"/>
        <v/>
      </c>
      <c r="BX28" s="86" t="str">
        <f t="shared" si="12"/>
        <v/>
      </c>
      <c r="BY28" s="86" t="str">
        <f t="shared" si="12"/>
        <v/>
      </c>
      <c r="BZ28" s="86" t="str">
        <f t="shared" si="12"/>
        <v/>
      </c>
      <c r="CA28" s="86" t="str">
        <f t="shared" si="12"/>
        <v/>
      </c>
      <c r="CB28" s="86" t="str">
        <f t="shared" si="12"/>
        <v/>
      </c>
      <c r="CC28" s="86" t="str">
        <f t="shared" si="12"/>
        <v/>
      </c>
      <c r="CD28" s="86" t="str">
        <f t="shared" si="12"/>
        <v/>
      </c>
      <c r="CE28" s="86" t="str">
        <f t="shared" si="12"/>
        <v/>
      </c>
      <c r="CF28" s="86" t="str">
        <f t="shared" si="12"/>
        <v/>
      </c>
      <c r="CG28" s="86" t="str">
        <f t="shared" si="12"/>
        <v/>
      </c>
      <c r="CH28" s="86" t="str">
        <f t="shared" si="12"/>
        <v/>
      </c>
      <c r="CI28" s="86" t="str">
        <f t="shared" si="12"/>
        <v/>
      </c>
      <c r="CJ28" s="86"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E28" s="38"/>
      <c r="EF28" s="38"/>
      <c r="EG28" s="38"/>
      <c r="EH28" s="38"/>
      <c r="EI28" s="38"/>
      <c r="EJ28" s="38"/>
      <c r="EK28" s="38"/>
      <c r="EL28" s="38"/>
      <c r="EM28" s="38"/>
      <c r="EN28" s="38"/>
      <c r="EO28" s="38"/>
      <c r="EP28" s="38"/>
      <c r="EQ28" s="38"/>
      <c r="ER28" s="38"/>
      <c r="ES28" s="38"/>
      <c r="ET28" s="38"/>
      <c r="EU28" s="38"/>
      <c r="EV28" s="38"/>
      <c r="FA28" s="38"/>
      <c r="FB28" s="38"/>
      <c r="FC28" s="38"/>
      <c r="FD28" s="38"/>
      <c r="FE28" s="38"/>
      <c r="FF28" s="38"/>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K28" s="38" t="s">
        <v>414</v>
      </c>
      <c r="IP28" s="50"/>
      <c r="IQ28" s="50"/>
      <c r="IT28" s="61">
        <f>'Control Savings'!V2</f>
        <v>0.1</v>
      </c>
      <c r="IU28" s="61"/>
      <c r="IV28" s="1924" t="s">
        <v>351</v>
      </c>
      <c r="IW28" s="1924"/>
      <c r="IX28" s="1924"/>
      <c r="IY28" s="1924" t="s">
        <v>352</v>
      </c>
      <c r="IZ28" s="1924"/>
      <c r="JA28" s="1924"/>
    </row>
    <row r="29" spans="1:280" customFormat="1" ht="2.0499999999999998" customHeight="1">
      <c r="B29" s="1854"/>
      <c r="E29" s="661"/>
      <c r="F29" s="661"/>
      <c r="G29" s="14"/>
      <c r="H29" s="1097"/>
      <c r="I29" s="465"/>
      <c r="J29" s="38"/>
      <c r="L29" s="38"/>
      <c r="P29" s="14"/>
      <c r="Q29" s="38"/>
      <c r="R29" s="38"/>
      <c r="S29" s="38"/>
      <c r="T29" s="1868"/>
      <c r="U29" s="1868"/>
      <c r="V29" s="38"/>
      <c r="W29" s="95"/>
      <c r="X29" s="38"/>
      <c r="Y29" s="38"/>
      <c r="AA29" s="86"/>
      <c r="AC29" s="38"/>
      <c r="AD29" s="92"/>
      <c r="AE29" s="92"/>
      <c r="AF29" s="38"/>
      <c r="AG29" s="38"/>
      <c r="AH29" s="38"/>
      <c r="AI29" s="38"/>
      <c r="AJ29" s="38"/>
      <c r="AK29" s="38"/>
      <c r="AL29" s="38"/>
      <c r="AM29" s="38"/>
      <c r="AN29" s="38"/>
      <c r="AO29" s="38"/>
      <c r="AP29" s="38"/>
      <c r="AQ29" s="38"/>
      <c r="AR29" s="1034"/>
      <c r="AS29" s="1034"/>
      <c r="AT29" s="1034"/>
      <c r="AU29" s="1034"/>
      <c r="AV29" s="1034"/>
      <c r="AW29" s="1034"/>
      <c r="AX29" s="38"/>
      <c r="AY29" s="38"/>
      <c r="AZ29" s="38"/>
      <c r="BA29" s="38"/>
      <c r="BB29" s="38"/>
      <c r="BC29" s="38"/>
      <c r="BD29" s="38"/>
      <c r="BE29" s="38"/>
      <c r="BF29" s="38"/>
      <c r="BG29" s="38"/>
      <c r="BH29" s="38"/>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E29" s="38"/>
      <c r="EF29" s="38"/>
      <c r="EG29" s="38"/>
      <c r="EH29" s="38"/>
      <c r="EI29" s="38"/>
      <c r="EJ29" s="38"/>
      <c r="EK29" s="38"/>
      <c r="EL29" s="38"/>
      <c r="EM29" s="38"/>
      <c r="EN29" s="38"/>
      <c r="EO29" s="38"/>
      <c r="EP29" s="38"/>
      <c r="EQ29" s="38"/>
      <c r="ER29" s="38"/>
      <c r="ES29" s="38"/>
      <c r="ET29" s="38"/>
      <c r="EU29" s="38"/>
      <c r="EV29" s="38"/>
      <c r="FA29" s="38"/>
      <c r="FB29" s="38"/>
      <c r="FC29" s="38"/>
      <c r="FD29" s="38"/>
      <c r="FE29" s="38"/>
      <c r="FF29" s="38"/>
      <c r="FG29" s="38"/>
      <c r="FH29" s="38"/>
      <c r="FI29" s="38"/>
      <c r="FJ29" s="38"/>
      <c r="FN29" s="12"/>
      <c r="FO29" s="12"/>
      <c r="FP29" s="12"/>
      <c r="FQ29" s="12"/>
      <c r="FR29" s="38"/>
      <c r="FS29" s="38"/>
      <c r="FT29" s="38"/>
      <c r="FU29" s="38"/>
      <c r="FV29" s="38"/>
      <c r="FZ29" s="12"/>
      <c r="GH29" s="12"/>
      <c r="GI29" s="12"/>
      <c r="GJ29" s="12"/>
      <c r="GK29" s="12"/>
      <c r="GL29" s="12"/>
      <c r="GM29" s="12"/>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2"/>
      <c r="ID29" s="12"/>
      <c r="IE29" s="12"/>
      <c r="IF29" s="12"/>
      <c r="IG29" s="12"/>
      <c r="IH29" s="12"/>
      <c r="II29" s="12"/>
      <c r="IP29" s="198"/>
      <c r="IQ29" s="50"/>
    </row>
    <row r="30" spans="1:280" customFormat="1" ht="14.3">
      <c r="B30" s="1854"/>
      <c r="E30" s="1884">
        <f>ROUND((E20+E22+E28)*E24,0)</f>
        <v>0</v>
      </c>
      <c r="F30" s="1884"/>
      <c r="G30" s="14" t="s">
        <v>415</v>
      </c>
      <c r="H30" s="1337"/>
      <c r="I30" s="465"/>
      <c r="J30" s="38"/>
      <c r="K30" s="1860">
        <f>IF(__Retrofit_TI_NC=0,CG906,CG906+'Building Area Installations'!P24)</f>
        <v>0</v>
      </c>
      <c r="L30" s="1861"/>
      <c r="M30" s="660"/>
      <c r="N30" s="660"/>
      <c r="O30" s="660"/>
      <c r="P30" s="14" t="s">
        <v>280</v>
      </c>
      <c r="Q30" s="38"/>
      <c r="R30" s="38"/>
      <c r="S30" s="38"/>
      <c r="T30" s="1868"/>
      <c r="U30" s="1868"/>
      <c r="V30" s="38"/>
      <c r="W30" s="1869">
        <f>JR12</f>
        <v>0</v>
      </c>
      <c r="X30" s="1870"/>
      <c r="Y30" s="542"/>
      <c r="Z30" s="542"/>
      <c r="AA30" s="1096" t="s">
        <v>416</v>
      </c>
      <c r="AB30" s="1088"/>
      <c r="AC30" s="1087"/>
      <c r="AD30" s="1088"/>
      <c r="AE30" s="38"/>
      <c r="AF30" s="1087"/>
      <c r="AG30" s="1088"/>
      <c r="AH30" s="38"/>
      <c r="AI30" s="38"/>
      <c r="AJ30" s="38"/>
      <c r="AK30" s="38"/>
      <c r="AL30" s="38"/>
      <c r="AM30" s="38"/>
      <c r="AN30" s="38"/>
      <c r="AO30" s="38"/>
      <c r="AP30" s="185" t="str">
        <f>Project!G67</f>
        <v>Email</v>
      </c>
      <c r="AQ30" s="172"/>
      <c r="AR30" s="1853" t="str">
        <f>IF(OR(Project!H59="",Project!H59="- Choose Type -"),"Missing",IF(Project!H59="Customer","",IF(Project!H59="Installing Contractor",Project!U67,IF(Project!H59="Vendor",Project!AJ67,IF(Project!H67="","",Project!H67)))))</f>
        <v/>
      </c>
      <c r="AS30" s="1853"/>
      <c r="AT30" s="1853"/>
      <c r="AU30" s="1853"/>
      <c r="AV30" s="1853"/>
      <c r="AW30" s="1853"/>
      <c r="AX30" s="92"/>
      <c r="AY30" s="38"/>
      <c r="AZ30" s="38"/>
      <c r="BA30" s="38"/>
      <c r="BB30" s="38"/>
      <c r="BC30" s="38"/>
      <c r="BD30" s="38"/>
      <c r="BE30" s="38"/>
      <c r="BF30" s="38"/>
      <c r="BG30" s="38"/>
      <c r="BH30" s="38"/>
      <c r="BI30" s="86" t="str">
        <f>BI867</f>
        <v/>
      </c>
      <c r="BJ30" s="86" t="str">
        <f t="shared" ref="BJ30:CJ30" si="13">BJ867</f>
        <v/>
      </c>
      <c r="BK30" s="86" t="str">
        <f t="shared" si="13"/>
        <v/>
      </c>
      <c r="BL30" s="86" t="str">
        <f t="shared" si="13"/>
        <v/>
      </c>
      <c r="BM30" s="86" t="str">
        <f t="shared" si="13"/>
        <v/>
      </c>
      <c r="BN30" s="86" t="str">
        <f t="shared" si="13"/>
        <v/>
      </c>
      <c r="BO30" s="86" t="str">
        <f t="shared" si="13"/>
        <v/>
      </c>
      <c r="BP30" s="86" t="str">
        <f t="shared" si="13"/>
        <v/>
      </c>
      <c r="BQ30" s="86" t="str">
        <f t="shared" si="13"/>
        <v/>
      </c>
      <c r="BR30" s="86" t="str">
        <f t="shared" si="13"/>
        <v/>
      </c>
      <c r="BS30" s="86" t="str">
        <f t="shared" si="13"/>
        <v/>
      </c>
      <c r="BT30" s="86" t="str">
        <f t="shared" si="13"/>
        <v/>
      </c>
      <c r="BU30" s="86" t="str">
        <f t="shared" si="13"/>
        <v/>
      </c>
      <c r="BV30" s="86" t="str">
        <f t="shared" si="13"/>
        <v/>
      </c>
      <c r="BW30" s="86" t="str">
        <f t="shared" si="13"/>
        <v/>
      </c>
      <c r="BX30" s="86" t="str">
        <f t="shared" si="13"/>
        <v/>
      </c>
      <c r="BY30" s="86" t="str">
        <f t="shared" si="13"/>
        <v/>
      </c>
      <c r="BZ30" s="86" t="str">
        <f t="shared" si="13"/>
        <v/>
      </c>
      <c r="CA30" s="86" t="str">
        <f t="shared" si="13"/>
        <v/>
      </c>
      <c r="CB30" s="86" t="str">
        <f t="shared" si="13"/>
        <v/>
      </c>
      <c r="CC30" s="86" t="str">
        <f t="shared" si="13"/>
        <v/>
      </c>
      <c r="CD30" s="86" t="str">
        <f t="shared" si="13"/>
        <v/>
      </c>
      <c r="CE30" s="86" t="str">
        <f t="shared" si="13"/>
        <v/>
      </c>
      <c r="CF30" s="86" t="str">
        <f t="shared" si="13"/>
        <v/>
      </c>
      <c r="CG30" s="86" t="str">
        <f t="shared" si="13"/>
        <v/>
      </c>
      <c r="CH30" s="86" t="str">
        <f t="shared" si="13"/>
        <v/>
      </c>
      <c r="CI30" s="86" t="str">
        <f t="shared" si="13"/>
        <v/>
      </c>
      <c r="CJ30" s="86"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IF(FO47=3,IR47,IF(FO47=4,IS47,IF(FO47=5,IT47,IF(FO47=6,IV47,IF(FO47=7,IX47,IF(FO47=8,#REF!,0))))))</f>
        <v>#N/A</v>
      </c>
      <c r="DJ30" s="38"/>
      <c r="DK30" s="38"/>
      <c r="DL30" s="38"/>
      <c r="DM30" s="101" t="s">
        <v>340</v>
      </c>
      <c r="DN30" s="101" t="s">
        <v>340</v>
      </c>
      <c r="DO30" s="38"/>
      <c r="DP30" s="38"/>
      <c r="DQ30" s="38"/>
      <c r="DR30" s="38"/>
      <c r="DS30" s="38"/>
      <c r="DT30" s="38"/>
      <c r="DU30" s="38"/>
      <c r="DV30" s="38"/>
      <c r="DW30" s="38"/>
      <c r="DX30" s="38"/>
      <c r="DY30" s="38"/>
      <c r="DZ30" s="38"/>
      <c r="EA30" s="38"/>
      <c r="EB30" s="38"/>
      <c r="EC30" s="38"/>
      <c r="EE30" s="38"/>
      <c r="EF30" s="38"/>
      <c r="EG30" s="38"/>
      <c r="EH30" s="38"/>
      <c r="EI30" s="38"/>
      <c r="EJ30" s="38"/>
      <c r="EK30" s="38"/>
      <c r="EL30" s="38"/>
      <c r="EM30" s="38"/>
      <c r="EN30" s="38"/>
      <c r="EO30" s="38"/>
      <c r="EP30" s="38"/>
      <c r="EQ30" s="38"/>
      <c r="ER30" s="38"/>
      <c r="ES30" s="38"/>
      <c r="ET30" s="38"/>
      <c r="EU30" s="38"/>
      <c r="EV30" s="38"/>
      <c r="FA30" s="38"/>
      <c r="FB30" s="38"/>
      <c r="FC30" s="38"/>
      <c r="FD30" s="38"/>
      <c r="FE30" s="38"/>
      <c r="FF30" s="38"/>
      <c r="FG30" s="38"/>
      <c r="FH30" s="38"/>
      <c r="FI30" s="38"/>
      <c r="FJ30" s="38"/>
      <c r="FR30" s="38"/>
      <c r="FS30" s="38"/>
      <c r="FT30" s="38"/>
      <c r="FU30" s="38"/>
      <c r="FV30" s="38"/>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G30" t="s">
        <v>234</v>
      </c>
      <c r="II30" t="s">
        <v>347</v>
      </c>
      <c r="IP30" s="198"/>
      <c r="IQ30" s="15">
        <v>2</v>
      </c>
      <c r="IR30" s="12">
        <v>3</v>
      </c>
      <c r="IS30" s="12">
        <v>4</v>
      </c>
      <c r="IT30" s="12">
        <v>5</v>
      </c>
      <c r="IU30" s="12">
        <v>6</v>
      </c>
      <c r="IV30" s="12">
        <v>7</v>
      </c>
      <c r="IW30" s="12">
        <v>8</v>
      </c>
      <c r="IX30" s="12">
        <v>9</v>
      </c>
      <c r="IY30" s="12">
        <v>10</v>
      </c>
      <c r="IZ30" s="12">
        <v>11</v>
      </c>
      <c r="JA30" s="12">
        <v>12</v>
      </c>
    </row>
    <row r="31" spans="1:280" customFormat="1" ht="2.0499999999999998" customHeight="1">
      <c r="B31" s="1854"/>
      <c r="F31" s="15"/>
      <c r="G31" s="98"/>
      <c r="H31" s="98"/>
      <c r="I31" s="14"/>
      <c r="J31" s="14"/>
      <c r="K31" s="95"/>
      <c r="L31" s="38"/>
      <c r="M31" s="95"/>
      <c r="N31" s="95"/>
      <c r="O31" s="95"/>
      <c r="Q31" s="38"/>
      <c r="R31" s="38"/>
      <c r="S31" s="38"/>
      <c r="T31" s="14"/>
      <c r="U31" s="38"/>
      <c r="V31" s="38"/>
      <c r="W31" s="95"/>
      <c r="X31" s="38"/>
      <c r="Y31" s="1030"/>
      <c r="Z31" s="542"/>
      <c r="AA31" s="86"/>
      <c r="AB31" s="1030"/>
      <c r="AC31" s="542"/>
      <c r="AD31" s="1031"/>
      <c r="AE31" s="92"/>
      <c r="AF31" s="1087"/>
      <c r="AG31" s="1031"/>
      <c r="AH31" s="38"/>
      <c r="AI31" s="38"/>
      <c r="AJ31" s="38"/>
      <c r="AK31" s="38"/>
      <c r="AL31" s="38"/>
      <c r="AM31" s="92"/>
      <c r="AR31" s="92"/>
      <c r="AS31" s="92"/>
      <c r="AT31" s="92"/>
      <c r="AU31" s="92"/>
      <c r="AV31" s="92"/>
      <c r="AW31" s="92"/>
      <c r="BF31" s="38"/>
      <c r="BG31" s="38"/>
      <c r="BH31" s="38"/>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38"/>
      <c r="CL31" s="38"/>
      <c r="CP31" s="14"/>
      <c r="FA31" s="38"/>
      <c r="FB31" s="38"/>
      <c r="FC31" s="38"/>
      <c r="FD31" s="38"/>
      <c r="FE31" s="38"/>
      <c r="FF31" s="38"/>
      <c r="FG31" s="38"/>
      <c r="FH31" s="38"/>
      <c r="FI31" s="38"/>
      <c r="FJ31" s="38"/>
      <c r="FR31" s="38"/>
      <c r="FS31" s="38"/>
      <c r="FT31" s="38"/>
      <c r="FU31" s="38"/>
      <c r="FV31" s="38"/>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P31" s="198"/>
      <c r="IQ31" s="50"/>
    </row>
    <row r="32" spans="1:280" ht="16.3">
      <c r="B32" s="1855"/>
      <c r="E32" s="1882">
        <f>IF(__Retrofit_TI_NC=2,Autofund!J26,E20+E22+E28+E30)</f>
        <v>0</v>
      </c>
      <c r="F32" s="1883"/>
      <c r="G32" s="1081" t="s">
        <v>289</v>
      </c>
      <c r="H32" s="78"/>
      <c r="I32" s="78"/>
      <c r="J32" s="78"/>
      <c r="K32" s="1862">
        <f>K28-K30</f>
        <v>0</v>
      </c>
      <c r="L32" s="1863"/>
      <c r="M32" s="1082"/>
      <c r="N32" s="1082"/>
      <c r="O32" s="1082"/>
      <c r="P32" s="1081" t="s">
        <v>281</v>
      </c>
      <c r="Q32" s="78"/>
      <c r="T32" s="1878" t="s">
        <v>417</v>
      </c>
      <c r="U32" s="1878"/>
      <c r="W32" s="1869">
        <f>JX12</f>
        <v>0</v>
      </c>
      <c r="X32" s="1870"/>
      <c r="Y32" s="426"/>
      <c r="Z32" s="426"/>
      <c r="AA32" s="1096" t="s">
        <v>418</v>
      </c>
      <c r="AP32" s="185" t="str">
        <f>Project!G69</f>
        <v>Phone #</v>
      </c>
      <c r="AQ32" s="172"/>
      <c r="AR32" s="1853" t="str">
        <f>IF(OR(Project!H59="",Project!H59="- Choose Type -"),"Missing",IF(Project!H59="Customer","",IF(Project!H59="Installing Contractor",Project!U69,IF(Project!H59="Vendor",Project!AJ69,IF(Project!H69="","",Project!H69)))))</f>
        <v/>
      </c>
      <c r="AS32" s="1853"/>
      <c r="AT32" s="1853"/>
      <c r="AU32" s="1853"/>
      <c r="AV32" s="1853"/>
      <c r="AW32" s="1853"/>
      <c r="AX32" s="470"/>
      <c r="BI32" s="86" t="str">
        <f>BI868</f>
        <v/>
      </c>
      <c r="BJ32" s="86" t="str">
        <f t="shared" ref="BJ32:CJ32" si="14">BJ868</f>
        <v/>
      </c>
      <c r="BK32" s="86" t="str">
        <f t="shared" si="14"/>
        <v/>
      </c>
      <c r="BL32" s="86" t="str">
        <f t="shared" si="14"/>
        <v/>
      </c>
      <c r="BM32" s="86" t="str">
        <f t="shared" si="14"/>
        <v/>
      </c>
      <c r="BN32" s="86" t="str">
        <f t="shared" si="14"/>
        <v/>
      </c>
      <c r="BO32" s="86" t="str">
        <f t="shared" si="14"/>
        <v/>
      </c>
      <c r="BP32" s="86" t="str">
        <f t="shared" si="14"/>
        <v/>
      </c>
      <c r="BQ32" s="86" t="str">
        <f t="shared" si="14"/>
        <v/>
      </c>
      <c r="BR32" s="86" t="str">
        <f t="shared" si="14"/>
        <v/>
      </c>
      <c r="BS32" s="86" t="str">
        <f t="shared" si="14"/>
        <v/>
      </c>
      <c r="BT32" s="86" t="str">
        <f t="shared" si="14"/>
        <v/>
      </c>
      <c r="BU32" s="86" t="str">
        <f t="shared" si="14"/>
        <v/>
      </c>
      <c r="BV32" s="86" t="str">
        <f t="shared" si="14"/>
        <v/>
      </c>
      <c r="BW32" s="86" t="str">
        <f t="shared" si="14"/>
        <v/>
      </c>
      <c r="BX32" s="86" t="str">
        <f t="shared" si="14"/>
        <v/>
      </c>
      <c r="BY32" s="86" t="str">
        <f t="shared" si="14"/>
        <v/>
      </c>
      <c r="BZ32" s="86" t="str">
        <f t="shared" si="14"/>
        <v/>
      </c>
      <c r="CA32" s="86" t="str">
        <f t="shared" si="14"/>
        <v/>
      </c>
      <c r="CB32" s="86" t="str">
        <f t="shared" si="14"/>
        <v/>
      </c>
      <c r="CC32" s="86" t="str">
        <f t="shared" si="14"/>
        <v/>
      </c>
      <c r="CD32" s="86" t="str">
        <f t="shared" si="14"/>
        <v/>
      </c>
      <c r="CE32" s="86" t="str">
        <f t="shared" si="14"/>
        <v/>
      </c>
      <c r="CF32" s="86" t="str">
        <f t="shared" si="14"/>
        <v/>
      </c>
      <c r="CG32" s="86" t="str">
        <f t="shared" si="14"/>
        <v/>
      </c>
      <c r="CH32" s="86" t="str">
        <f t="shared" si="14"/>
        <v/>
      </c>
      <c r="CI32" s="86" t="str">
        <f t="shared" si="14"/>
        <v/>
      </c>
      <c r="CJ32" s="86" t="str">
        <f t="shared" si="14"/>
        <v/>
      </c>
      <c r="CP32" s="472" t="s">
        <v>419</v>
      </c>
      <c r="CQ32" s="472" t="s">
        <v>419</v>
      </c>
      <c r="CS32" s="472" t="s">
        <v>419</v>
      </c>
      <c r="DM32" s="1864">
        <f>SUM(DM46:DM803)</f>
        <v>0</v>
      </c>
      <c r="DN32" s="1864">
        <f>SUM(DN46:DN803)</f>
        <v>0</v>
      </c>
      <c r="DO32" s="1864">
        <f>DM32-DN803</f>
        <v>0</v>
      </c>
      <c r="GN32" s="519"/>
      <c r="GO32" s="519"/>
      <c r="GP32" s="519"/>
      <c r="GQ32" s="519"/>
      <c r="GR32" s="519"/>
      <c r="GS32" s="519"/>
      <c r="GT32" s="519"/>
      <c r="GU32" s="519"/>
      <c r="GV32" s="519"/>
      <c r="GW32" s="519"/>
      <c r="GX32" s="519"/>
      <c r="GY32" s="519"/>
      <c r="GZ32" s="519"/>
      <c r="HA32" s="519"/>
      <c r="HB32" s="519"/>
      <c r="HC32" s="519"/>
      <c r="HD32" s="519"/>
      <c r="HE32" s="519"/>
      <c r="HF32" s="519"/>
      <c r="HG32" s="519"/>
      <c r="HH32" s="519"/>
      <c r="HI32" s="519"/>
      <c r="HJ32" s="519"/>
      <c r="HK32" s="519"/>
      <c r="HL32" s="519"/>
      <c r="HM32" s="519"/>
      <c r="HN32" s="519"/>
      <c r="HO32" s="519"/>
      <c r="HP32" s="519"/>
      <c r="HQ32" s="519"/>
      <c r="HR32" s="519"/>
      <c r="HS32" s="519"/>
      <c r="HT32" s="519"/>
      <c r="HU32" s="519"/>
      <c r="HV32" s="519"/>
      <c r="HW32" s="519"/>
      <c r="HX32" s="519"/>
      <c r="HY32" s="519"/>
      <c r="HZ32" s="519"/>
      <c r="IA32" s="519"/>
      <c r="IB32" s="519"/>
      <c r="IP32" s="198"/>
      <c r="IQ32" s="1065" t="s">
        <v>374</v>
      </c>
      <c r="IR32" s="86" t="s">
        <v>375</v>
      </c>
      <c r="IS32" s="86" t="s">
        <v>376</v>
      </c>
      <c r="IT32" s="1925" t="s">
        <v>377</v>
      </c>
      <c r="IU32" s="1868" t="s">
        <v>378</v>
      </c>
      <c r="IV32" s="1566" t="s">
        <v>365</v>
      </c>
      <c r="IW32" s="1722" t="s">
        <v>379</v>
      </c>
      <c r="IX32" s="1926" t="s">
        <v>385</v>
      </c>
      <c r="IY32" s="1566" t="s">
        <v>365</v>
      </c>
      <c r="IZ32" s="1722" t="s">
        <v>379</v>
      </c>
      <c r="JA32" s="1926" t="s">
        <v>385</v>
      </c>
    </row>
    <row r="33" spans="2:288" ht="2.0499999999999998" customHeight="1">
      <c r="B33" s="1029"/>
      <c r="E33" s="1027"/>
      <c r="F33" s="1027"/>
      <c r="G33" s="96"/>
      <c r="K33" s="1028"/>
      <c r="L33" s="1028"/>
      <c r="M33" s="1026"/>
      <c r="N33" s="1026"/>
      <c r="O33" s="1026"/>
      <c r="P33" s="96"/>
      <c r="W33" s="95"/>
      <c r="Y33" s="12"/>
      <c r="Z33" s="12"/>
      <c r="AA33" s="86"/>
      <c r="AB33" s="12"/>
      <c r="AF33" s="1087"/>
      <c r="AP33" s="185"/>
      <c r="AQ33" s="172"/>
      <c r="AR33" s="370"/>
      <c r="AS33" s="370"/>
      <c r="AT33" s="370"/>
      <c r="AU33" s="370"/>
      <c r="AV33" s="370"/>
      <c r="AW33" s="370"/>
      <c r="AX33" s="470"/>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P33" s="472"/>
      <c r="CQ33" s="472"/>
      <c r="CS33" s="472"/>
      <c r="DM33" s="1864"/>
      <c r="DN33" s="1864"/>
      <c r="DO33" s="1864"/>
      <c r="GN33" s="519"/>
      <c r="GO33" s="519"/>
      <c r="GP33" s="519"/>
      <c r="GQ33" s="519"/>
      <c r="GR33" s="519"/>
      <c r="GS33" s="519"/>
      <c r="GT33" s="519"/>
      <c r="GU33" s="519"/>
      <c r="GV33" s="519"/>
      <c r="GW33" s="519"/>
      <c r="GX33" s="519"/>
      <c r="GY33" s="519"/>
      <c r="GZ33" s="519"/>
      <c r="HA33" s="519"/>
      <c r="HB33" s="519"/>
      <c r="HC33" s="519"/>
      <c r="HD33" s="519"/>
      <c r="HE33" s="519"/>
      <c r="HF33" s="519"/>
      <c r="HG33" s="519"/>
      <c r="HH33" s="519"/>
      <c r="HI33" s="519"/>
      <c r="HJ33" s="519"/>
      <c r="HK33" s="519"/>
      <c r="HL33" s="519"/>
      <c r="HM33" s="519"/>
      <c r="HN33" s="519"/>
      <c r="HO33" s="519"/>
      <c r="HP33" s="519"/>
      <c r="HQ33" s="519"/>
      <c r="HR33" s="519"/>
      <c r="HS33" s="519"/>
      <c r="HT33" s="519"/>
      <c r="HU33" s="519"/>
      <c r="HV33" s="519"/>
      <c r="HW33" s="519"/>
      <c r="HX33" s="519"/>
      <c r="HY33" s="519"/>
      <c r="HZ33" s="519"/>
      <c r="IA33" s="519"/>
      <c r="IB33" s="519"/>
      <c r="IP33" s="198"/>
      <c r="IQ33" s="198"/>
      <c r="IR33" s="86"/>
      <c r="IS33" s="86"/>
      <c r="IT33" s="1925"/>
      <c r="IU33" s="1868"/>
      <c r="IV33" s="1566"/>
      <c r="IW33" s="1722"/>
      <c r="IX33" s="1926"/>
      <c r="IY33" s="1566"/>
      <c r="IZ33" s="1722"/>
      <c r="JA33" s="1926"/>
    </row>
    <row r="34" spans="2:288" ht="16.3">
      <c r="B34" s="940">
        <f>IF(__Retrofit_TI_NC=2,IF(_C406_3=2,0.8,IF(_C406_3=1,0.9,1)),1)</f>
        <v>1</v>
      </c>
      <c r="E34" s="1027"/>
      <c r="F34" s="1027"/>
      <c r="G34" s="96"/>
      <c r="K34" s="1028"/>
      <c r="L34" s="1028"/>
      <c r="M34" s="1026"/>
      <c r="N34" s="1026"/>
      <c r="O34" s="1026"/>
      <c r="P34" s="96"/>
      <c r="T34" s="1895">
        <f>W26+W28+W30+W32+W34</f>
        <v>0</v>
      </c>
      <c r="U34" s="1878"/>
      <c r="W34" s="1869">
        <f>JV12+KB12</f>
        <v>0</v>
      </c>
      <c r="X34" s="1870"/>
      <c r="AA34" s="1096" t="s">
        <v>420</v>
      </c>
      <c r="AF34" s="1087"/>
      <c r="AP34"/>
      <c r="AQ34" s="172"/>
      <c r="AR34" s="370"/>
      <c r="AS34" s="370"/>
      <c r="AT34" s="370"/>
      <c r="AU34" s="370"/>
      <c r="AV34" s="370"/>
      <c r="AW34" s="370"/>
      <c r="AX34" s="470"/>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P34" s="472"/>
      <c r="CQ34" s="472"/>
      <c r="CS34" s="472"/>
      <c r="DM34" s="1864"/>
      <c r="DN34" s="1864"/>
      <c r="DO34" s="1864"/>
      <c r="GN34" s="519"/>
      <c r="GO34" s="519"/>
      <c r="GP34" s="519"/>
      <c r="GQ34" s="519"/>
      <c r="GR34" s="519"/>
      <c r="GS34" s="519"/>
      <c r="GT34" s="519"/>
      <c r="GU34" s="519"/>
      <c r="GV34" s="519"/>
      <c r="GW34" s="519"/>
      <c r="GX34" s="519"/>
      <c r="GY34" s="519"/>
      <c r="GZ34" s="519"/>
      <c r="HA34" s="519"/>
      <c r="HB34" s="519"/>
      <c r="HC34" s="519"/>
      <c r="HD34" s="519"/>
      <c r="HE34" s="519"/>
      <c r="HF34" s="519"/>
      <c r="HG34" s="519"/>
      <c r="HH34" s="519"/>
      <c r="HI34" s="519"/>
      <c r="HJ34" s="519"/>
      <c r="HK34" s="519"/>
      <c r="HL34" s="519"/>
      <c r="HM34" s="519"/>
      <c r="HN34" s="519"/>
      <c r="HO34" s="519"/>
      <c r="HP34" s="519"/>
      <c r="HQ34" s="519"/>
      <c r="HR34" s="519"/>
      <c r="HS34" s="519"/>
      <c r="HT34" s="519"/>
      <c r="HU34" s="519"/>
      <c r="HV34" s="519"/>
      <c r="HW34" s="519"/>
      <c r="HX34" s="519"/>
      <c r="HY34" s="519"/>
      <c r="HZ34" s="519"/>
      <c r="IA34" s="519"/>
      <c r="IB34" s="519"/>
      <c r="IP34" s="198"/>
      <c r="IQ34" s="198"/>
      <c r="IR34" s="86"/>
      <c r="IS34" s="86"/>
      <c r="IT34" s="1925"/>
      <c r="IU34" s="1868"/>
      <c r="IV34" s="1566"/>
      <c r="IW34" s="1722"/>
      <c r="IX34" s="1926"/>
      <c r="IY34" s="1566"/>
      <c r="IZ34" s="1722"/>
      <c r="JA34" s="1926"/>
    </row>
    <row r="35" spans="2:288" ht="2.0499999999999998" customHeight="1">
      <c r="B35" s="1029"/>
      <c r="E35" s="1027"/>
      <c r="F35" s="1027"/>
      <c r="G35" s="96"/>
      <c r="K35" s="1028"/>
      <c r="L35" s="1028"/>
      <c r="M35" s="1093"/>
      <c r="N35" s="1093"/>
      <c r="O35" s="1093"/>
      <c r="P35" s="96"/>
      <c r="W35" s="12"/>
      <c r="X35" s="12"/>
      <c r="Y35" s="12"/>
      <c r="Z35" s="12"/>
      <c r="AA35" s="12"/>
      <c r="AB35" s="12"/>
      <c r="AP35" s="185"/>
      <c r="AQ35" s="172"/>
      <c r="AR35" s="370"/>
      <c r="AS35" s="370"/>
      <c r="AT35" s="370"/>
      <c r="AU35" s="370"/>
      <c r="AV35" s="370"/>
      <c r="AW35" s="370"/>
      <c r="AX35" s="470"/>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P35" s="472"/>
      <c r="CQ35" s="472"/>
      <c r="CS35" s="472"/>
      <c r="DM35" s="1864"/>
      <c r="DN35" s="1864"/>
      <c r="DO35" s="1864"/>
      <c r="GN35" s="519"/>
      <c r="GO35" s="519"/>
      <c r="GP35" s="519"/>
      <c r="GQ35" s="519"/>
      <c r="GR35" s="519"/>
      <c r="GS35" s="519"/>
      <c r="GT35" s="519"/>
      <c r="GU35" s="519"/>
      <c r="GV35" s="519"/>
      <c r="GW35" s="519"/>
      <c r="GX35" s="519"/>
      <c r="GY35" s="519"/>
      <c r="GZ35" s="519"/>
      <c r="HA35" s="519"/>
      <c r="HB35" s="519"/>
      <c r="HC35" s="519"/>
      <c r="HD35" s="519"/>
      <c r="HE35" s="519"/>
      <c r="HF35" s="519"/>
      <c r="HG35" s="519"/>
      <c r="HH35" s="519"/>
      <c r="HI35" s="519"/>
      <c r="HJ35" s="519"/>
      <c r="HK35" s="519"/>
      <c r="HL35" s="519"/>
      <c r="HM35" s="519"/>
      <c r="HN35" s="519"/>
      <c r="HO35" s="519"/>
      <c r="HP35" s="519"/>
      <c r="HQ35" s="519"/>
      <c r="HR35" s="519"/>
      <c r="HS35" s="519"/>
      <c r="HT35" s="519"/>
      <c r="HU35" s="519"/>
      <c r="HV35" s="519"/>
      <c r="HW35" s="519"/>
      <c r="HX35" s="519"/>
      <c r="HY35" s="519"/>
      <c r="HZ35" s="519"/>
      <c r="IA35" s="519"/>
      <c r="IB35" s="519"/>
      <c r="IP35" s="198"/>
      <c r="IQ35" s="198"/>
      <c r="IR35" s="86"/>
      <c r="IS35" s="86"/>
      <c r="IT35" s="86"/>
      <c r="IU35" s="86"/>
      <c r="IV35" s="86"/>
      <c r="IW35" s="86"/>
      <c r="IX35" s="86"/>
      <c r="IY35" s="86"/>
      <c r="IZ35" s="86"/>
      <c r="JA35" s="86"/>
    </row>
    <row r="36" spans="2:288" ht="10.199999999999999" customHeight="1">
      <c r="B36" s="1029"/>
      <c r="E36" s="1335"/>
      <c r="F36" s="1027"/>
      <c r="K36" s="1106"/>
      <c r="L36" s="1106"/>
      <c r="M36" s="1104"/>
      <c r="N36" s="1104"/>
      <c r="O36" s="1104"/>
      <c r="P36" s="1105"/>
      <c r="Q36" s="198"/>
      <c r="R36" s="1065"/>
      <c r="W36" s="12"/>
      <c r="X36" s="12"/>
      <c r="Y36" s="12"/>
      <c r="Z36" s="12"/>
      <c r="AA36" s="12"/>
      <c r="AB36" s="12"/>
      <c r="AP36" s="185"/>
      <c r="AQ36" s="172"/>
      <c r="AR36" s="370"/>
      <c r="AS36" s="370"/>
      <c r="AT36" s="370"/>
      <c r="AU36" s="370"/>
      <c r="AV36" s="370"/>
      <c r="AW36" s="370"/>
      <c r="AX36" s="470"/>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P36" s="472"/>
      <c r="CQ36" s="472"/>
      <c r="CS36" s="472"/>
      <c r="DM36" s="1864"/>
      <c r="DN36" s="1864"/>
      <c r="DO36" s="1864"/>
      <c r="GN36" s="519"/>
      <c r="GO36" s="519"/>
      <c r="GP36" s="519"/>
      <c r="GQ36" s="519"/>
      <c r="GR36" s="519"/>
      <c r="GS36" s="519"/>
      <c r="GT36" s="519"/>
      <c r="GU36" s="519"/>
      <c r="GV36" s="519"/>
      <c r="GW36" s="519"/>
      <c r="GX36" s="519"/>
      <c r="GY36" s="519"/>
      <c r="GZ36" s="519"/>
      <c r="HA36" s="519"/>
      <c r="HB36" s="519"/>
      <c r="HC36" s="519"/>
      <c r="HD36" s="519"/>
      <c r="HE36" s="519"/>
      <c r="HF36" s="519"/>
      <c r="HG36" s="519"/>
      <c r="HH36" s="519"/>
      <c r="HI36" s="519"/>
      <c r="HJ36" s="519"/>
      <c r="HK36" s="519"/>
      <c r="HL36" s="519"/>
      <c r="HM36" s="519"/>
      <c r="HN36" s="519"/>
      <c r="HO36" s="519"/>
      <c r="HP36" s="519"/>
      <c r="HQ36" s="519"/>
      <c r="HR36" s="519"/>
      <c r="HS36" s="519"/>
      <c r="HT36" s="519"/>
      <c r="HU36" s="519"/>
      <c r="HV36" s="519"/>
      <c r="HW36" s="519"/>
      <c r="HX36" s="519"/>
      <c r="HY36" s="519"/>
      <c r="HZ36" s="519"/>
      <c r="IA36" s="519"/>
      <c r="IB36" s="519"/>
      <c r="IP36" s="198"/>
      <c r="IQ36" s="198"/>
      <c r="IR36" s="86"/>
      <c r="IS36" s="86"/>
      <c r="IT36" s="86"/>
      <c r="IU36" s="86"/>
      <c r="IV36" s="86"/>
      <c r="IW36" s="86"/>
      <c r="IX36" s="86"/>
      <c r="IY36" s="86"/>
      <c r="IZ36" s="86"/>
      <c r="JA36" s="86"/>
    </row>
    <row r="37" spans="2:288" ht="2.0499999999999998" customHeight="1">
      <c r="B37" s="1029"/>
      <c r="E37" s="1027"/>
      <c r="F37" s="1027"/>
      <c r="G37" s="96"/>
      <c r="J37" s="198"/>
      <c r="K37" s="1103"/>
      <c r="L37" s="1103"/>
      <c r="M37" s="1104"/>
      <c r="N37" s="1104"/>
      <c r="O37" s="1104"/>
      <c r="P37" s="1105"/>
      <c r="Q37" s="198"/>
      <c r="R37" s="1065"/>
      <c r="W37" s="12"/>
      <c r="X37" s="12"/>
      <c r="Y37" s="12"/>
      <c r="Z37" s="12"/>
      <c r="AA37" s="12"/>
      <c r="AB37" s="12"/>
      <c r="AP37" s="185"/>
      <c r="AQ37" s="172"/>
      <c r="AR37" s="370"/>
      <c r="AS37" s="370"/>
      <c r="AT37" s="370"/>
      <c r="AU37" s="370"/>
      <c r="AV37" s="370"/>
      <c r="AW37" s="370"/>
      <c r="AX37" s="470"/>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P37" s="472"/>
      <c r="CQ37" s="472"/>
      <c r="CS37" s="472"/>
      <c r="DM37" s="1864"/>
      <c r="DN37" s="1864"/>
      <c r="DO37" s="1864"/>
      <c r="GN37" s="519"/>
      <c r="GO37" s="519"/>
      <c r="GP37" s="519"/>
      <c r="GQ37" s="519"/>
      <c r="GR37" s="519"/>
      <c r="GS37" s="519"/>
      <c r="GT37" s="519"/>
      <c r="GU37" s="519"/>
      <c r="GV37" s="519"/>
      <c r="GW37" s="519"/>
      <c r="GX37" s="519"/>
      <c r="GY37" s="519"/>
      <c r="GZ37" s="519"/>
      <c r="HA37" s="519"/>
      <c r="HB37" s="519"/>
      <c r="HC37" s="519"/>
      <c r="HD37" s="519"/>
      <c r="HE37" s="519"/>
      <c r="HF37" s="519"/>
      <c r="HG37" s="519"/>
      <c r="HH37" s="519"/>
      <c r="HI37" s="519"/>
      <c r="HJ37" s="519"/>
      <c r="HK37" s="519"/>
      <c r="HL37" s="519"/>
      <c r="HM37" s="519"/>
      <c r="HN37" s="519"/>
      <c r="HO37" s="519"/>
      <c r="HP37" s="519"/>
      <c r="HQ37" s="519"/>
      <c r="HR37" s="519"/>
      <c r="HS37" s="519"/>
      <c r="HT37" s="519"/>
      <c r="HU37" s="519"/>
      <c r="HV37" s="519"/>
      <c r="HW37" s="519"/>
      <c r="HX37" s="519"/>
      <c r="HY37" s="519"/>
      <c r="HZ37" s="519"/>
      <c r="IA37" s="519"/>
      <c r="IB37" s="519"/>
      <c r="IP37" s="198"/>
      <c r="IQ37" s="198"/>
      <c r="IR37" s="86"/>
      <c r="IS37" s="86"/>
      <c r="IT37" s="86"/>
      <c r="IU37" s="86"/>
      <c r="IV37" s="86"/>
      <c r="IW37" s="86"/>
      <c r="IX37" s="86"/>
      <c r="IY37" s="86"/>
      <c r="IZ37" s="86"/>
      <c r="JA37" s="86"/>
    </row>
    <row r="38" spans="2:288" ht="16.3" customHeight="1">
      <c r="B38" s="1029"/>
      <c r="L38" s="1106"/>
      <c r="M38" s="1104"/>
      <c r="N38" s="1104"/>
      <c r="O38" s="1104"/>
      <c r="P38" s="1105"/>
      <c r="Q38" s="198"/>
      <c r="R38" s="1065"/>
      <c r="Y38" s="12"/>
      <c r="Z38" s="12"/>
      <c r="AA38" s="1927" t="str">
        <f>Lookup!M26</f>
        <v/>
      </c>
      <c r="AB38" s="1927"/>
      <c r="AC38" s="1927"/>
      <c r="AD38" s="1927"/>
      <c r="AE38" s="1927"/>
      <c r="AF38" s="1927"/>
      <c r="AG38" s="1927"/>
      <c r="AH38" s="1927"/>
      <c r="AI38" s="1927"/>
      <c r="AJ38" s="1927"/>
      <c r="AK38" s="1927"/>
      <c r="AL38" s="1927"/>
      <c r="AM38" s="1927"/>
      <c r="AN38" s="1927"/>
      <c r="AO38" s="1927"/>
      <c r="AP38" s="1927"/>
      <c r="AQ38" s="1927"/>
      <c r="AR38" s="1927"/>
      <c r="AS38" s="1927"/>
      <c r="AT38" s="1927"/>
      <c r="AU38" s="1927"/>
      <c r="AV38" s="1927"/>
      <c r="AW38" s="1927"/>
      <c r="AX38" s="470"/>
      <c r="AY38"/>
      <c r="BD38"/>
      <c r="BE38"/>
      <c r="BF38"/>
      <c r="BG38"/>
      <c r="BH38"/>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P38" s="472"/>
      <c r="CQ38" s="472"/>
      <c r="CS38" s="472"/>
      <c r="DM38" s="1864"/>
      <c r="DN38" s="1864"/>
      <c r="DO38" s="1864"/>
      <c r="GN38" s="519"/>
      <c r="GO38" s="519"/>
      <c r="GP38" s="519"/>
      <c r="GQ38" s="519"/>
      <c r="GR38" s="519"/>
      <c r="GS38" s="519"/>
      <c r="GT38" s="519"/>
      <c r="GU38" s="519"/>
      <c r="GV38" s="519"/>
      <c r="GW38" s="519"/>
      <c r="GX38" s="519"/>
      <c r="GY38" s="519"/>
      <c r="GZ38" s="519"/>
      <c r="HA38" s="519"/>
      <c r="HB38" s="519"/>
      <c r="HC38" s="519"/>
      <c r="HD38" s="519"/>
      <c r="HE38" s="519"/>
      <c r="HF38" s="519"/>
      <c r="HG38" s="519"/>
      <c r="HH38" s="519"/>
      <c r="HI38" s="519"/>
      <c r="HJ38" s="519"/>
      <c r="HK38" s="519"/>
      <c r="HL38" s="519"/>
      <c r="HM38" s="519"/>
      <c r="HN38" s="519"/>
      <c r="HO38" s="519"/>
      <c r="HP38" s="519"/>
      <c r="HQ38" s="519"/>
      <c r="HR38" s="519"/>
      <c r="HS38" s="519"/>
      <c r="HT38" s="519"/>
      <c r="HU38" s="519"/>
      <c r="HV38" s="519"/>
      <c r="HW38" s="519"/>
      <c r="HX38" s="519"/>
      <c r="HY38" s="519"/>
      <c r="HZ38" s="519"/>
      <c r="IA38" s="519"/>
      <c r="IB38" s="519"/>
      <c r="IP38" s="198"/>
      <c r="IQ38" s="198"/>
      <c r="IR38" s="86"/>
      <c r="IS38" s="86"/>
      <c r="IT38" s="86"/>
      <c r="IU38" s="86"/>
      <c r="IV38" s="86"/>
      <c r="IW38" s="86"/>
      <c r="IX38" s="86"/>
      <c r="IY38" s="86"/>
      <c r="IZ38" s="86"/>
      <c r="JA38" s="86"/>
    </row>
    <row r="39" spans="2:288" ht="2.0499999999999998" customHeight="1">
      <c r="B39" s="1029"/>
      <c r="E39" s="1027"/>
      <c r="F39" s="1027"/>
      <c r="G39" s="96"/>
      <c r="K39" s="1028"/>
      <c r="L39" s="1028"/>
      <c r="M39" s="1026"/>
      <c r="N39" s="1026"/>
      <c r="O39" s="1026"/>
      <c r="P39" s="96"/>
      <c r="T39" s="95"/>
      <c r="V39" s="12"/>
      <c r="W39" s="12"/>
      <c r="X39" s="12"/>
      <c r="Y39" s="12"/>
      <c r="Z39" s="12"/>
      <c r="AA39" s="12"/>
      <c r="AB39" s="12"/>
      <c r="AP39" s="185"/>
      <c r="AQ39" s="172"/>
      <c r="AR39" s="370"/>
      <c r="AS39" s="370"/>
      <c r="AT39" s="370"/>
      <c r="AU39" s="370"/>
      <c r="AV39" s="370"/>
      <c r="AW39" s="370"/>
      <c r="AX39" s="470"/>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P39" s="472"/>
      <c r="CQ39" s="472"/>
      <c r="CS39" s="472"/>
      <c r="DM39" s="1864"/>
      <c r="DN39" s="1864"/>
      <c r="DO39" s="1864"/>
      <c r="GN39" s="519"/>
      <c r="GO39" s="519"/>
      <c r="GP39" s="519"/>
      <c r="GQ39" s="519"/>
      <c r="GR39" s="519"/>
      <c r="GS39" s="519"/>
      <c r="GT39" s="519"/>
      <c r="GU39" s="519"/>
      <c r="GV39" s="519"/>
      <c r="GW39" s="519"/>
      <c r="GX39" s="519"/>
      <c r="GY39" s="519"/>
      <c r="GZ39" s="519"/>
      <c r="HA39" s="519"/>
      <c r="HB39" s="519"/>
      <c r="HC39" s="519"/>
      <c r="HD39" s="519"/>
      <c r="HE39" s="519"/>
      <c r="HF39" s="519"/>
      <c r="HG39" s="519"/>
      <c r="HH39" s="519"/>
      <c r="HI39" s="519"/>
      <c r="HJ39" s="519"/>
      <c r="HK39" s="519"/>
      <c r="HL39" s="519"/>
      <c r="HM39" s="519"/>
      <c r="HN39" s="519"/>
      <c r="HO39" s="519"/>
      <c r="HP39" s="519"/>
      <c r="HQ39" s="519"/>
      <c r="HR39" s="519"/>
      <c r="HS39" s="519"/>
      <c r="HT39" s="519"/>
      <c r="HU39" s="519"/>
      <c r="HV39" s="519"/>
      <c r="HW39" s="519"/>
      <c r="HX39" s="519"/>
      <c r="HY39" s="519"/>
      <c r="HZ39" s="519"/>
      <c r="IA39" s="519"/>
      <c r="IB39" s="519"/>
      <c r="IP39" s="198"/>
      <c r="IQ39" s="198"/>
      <c r="IR39" s="86"/>
      <c r="IS39" s="86"/>
      <c r="IT39" s="86"/>
      <c r="IU39" s="86"/>
      <c r="IV39" s="86"/>
      <c r="IW39" s="86"/>
      <c r="IX39" s="86"/>
      <c r="IY39" s="86"/>
      <c r="IZ39" s="86"/>
      <c r="JA39" s="86"/>
    </row>
    <row r="40" spans="2:288" ht="10.199999999999999" customHeight="1">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397">
        <f>Lookup!K2</f>
        <v>4</v>
      </c>
      <c r="AX40" s="465"/>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1864"/>
      <c r="DN40" s="1864"/>
      <c r="DO40" s="1864"/>
      <c r="EN40" s="537">
        <f>SUM(EN46:EN803)</f>
        <v>0</v>
      </c>
      <c r="EO40" s="537">
        <f>SUM(EO46:EO803)</f>
        <v>0</v>
      </c>
      <c r="EP40" s="537">
        <f>EN40+EO40</f>
        <v>0</v>
      </c>
      <c r="EQ40" s="537">
        <f>EN40+EO40</f>
        <v>0</v>
      </c>
      <c r="ER40" s="198"/>
      <c r="ES40" s="537"/>
      <c r="ET40" s="538">
        <f>E20+E22</f>
        <v>0</v>
      </c>
      <c r="EU40" s="198"/>
      <c r="EV40" s="539" t="s">
        <v>229</v>
      </c>
      <c r="GN40" s="519"/>
      <c r="GO40" s="519"/>
      <c r="GP40" s="519"/>
      <c r="GQ40" s="519"/>
      <c r="GR40" s="519"/>
      <c r="GS40" s="519"/>
      <c r="GT40" s="519"/>
      <c r="GU40" s="519"/>
      <c r="GV40" s="519"/>
      <c r="GW40" s="519"/>
      <c r="GX40" s="519"/>
      <c r="GY40" s="519"/>
      <c r="GZ40" s="519"/>
      <c r="HA40" s="519"/>
      <c r="HB40" s="519"/>
      <c r="HC40" s="519"/>
      <c r="HD40" s="519"/>
      <c r="HE40" s="519"/>
      <c r="HF40" s="519"/>
      <c r="HG40" s="519"/>
      <c r="HH40" s="519"/>
      <c r="HI40" s="519"/>
      <c r="HJ40" s="519"/>
      <c r="HK40" s="519"/>
      <c r="HL40" s="519"/>
      <c r="HM40" s="519"/>
      <c r="HN40" s="519"/>
      <c r="HO40" s="519"/>
      <c r="HP40" s="519"/>
      <c r="HQ40" s="519"/>
      <c r="HR40" s="519"/>
      <c r="HS40" s="519"/>
      <c r="HT40" s="519"/>
      <c r="HU40" s="519"/>
      <c r="HV40" s="519"/>
      <c r="HW40" s="519"/>
      <c r="HX40" s="519"/>
      <c r="HY40" s="519"/>
      <c r="HZ40" s="519"/>
      <c r="IA40" s="519"/>
      <c r="IB40" s="519"/>
      <c r="IP40" s="198"/>
      <c r="IQ40" s="198"/>
      <c r="IR40" s="86" t="s">
        <v>421</v>
      </c>
      <c r="IS40" s="86" t="s">
        <v>376</v>
      </c>
      <c r="IT40" s="86" t="s">
        <v>422</v>
      </c>
      <c r="IU40" s="86"/>
      <c r="IV40" s="86"/>
      <c r="IW40" s="86"/>
      <c r="IX40" s="86" t="s">
        <v>423</v>
      </c>
      <c r="IY40" s="86"/>
      <c r="IZ40" s="86"/>
      <c r="JA40" s="86" t="s">
        <v>423</v>
      </c>
    </row>
    <row r="41" spans="2:288" ht="2.0499999999999998" customHeight="1">
      <c r="B41" s="1877"/>
      <c r="C41" s="1877"/>
      <c r="D41" s="1877"/>
      <c r="E41" s="1877"/>
      <c r="F41" s="1877"/>
      <c r="G41" s="1877"/>
      <c r="H41" s="1877"/>
      <c r="I41" s="1877"/>
      <c r="J41" s="1877"/>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7"/>
      <c r="AI41" s="1877"/>
      <c r="AJ41" s="1877"/>
      <c r="AK41" s="1877"/>
      <c r="AL41" s="1877"/>
      <c r="AM41" s="1877"/>
      <c r="AN41" s="1877"/>
      <c r="AO41" s="1877"/>
      <c r="AP41" s="1877"/>
      <c r="AQ41" s="1877"/>
      <c r="AR41" s="1877"/>
      <c r="AS41" s="1877"/>
      <c r="AT41" s="1877"/>
      <c r="AU41" s="1877"/>
      <c r="AV41" s="1877"/>
      <c r="AW41" s="1877"/>
      <c r="BH41" s="1878">
        <v>16</v>
      </c>
      <c r="BI41" s="1878"/>
      <c r="BJ41" s="1878"/>
      <c r="BK41" s="1878"/>
      <c r="BL41" s="1878"/>
      <c r="BM41" s="1878"/>
      <c r="BN41" s="1878"/>
      <c r="BO41" s="1878"/>
      <c r="BP41" s="1878"/>
      <c r="BQ41" s="1878"/>
      <c r="BR41" s="1878"/>
      <c r="BS41" s="1878"/>
      <c r="BT41" s="1878"/>
      <c r="BU41" s="1878"/>
      <c r="BV41" s="1878"/>
      <c r="BW41" s="1878"/>
      <c r="BX41" s="1878"/>
      <c r="BY41" s="1878"/>
      <c r="BZ41" s="1878"/>
      <c r="CA41" s="1878"/>
      <c r="CB41" s="1878"/>
      <c r="CC41" s="1878"/>
      <c r="CD41" s="1878"/>
      <c r="CE41" s="1878"/>
      <c r="CF41" s="1878"/>
      <c r="CG41" s="1878"/>
      <c r="CH41" s="1878"/>
      <c r="CI41" s="1878"/>
      <c r="CJ41" s="1878"/>
      <c r="IP41" s="198"/>
      <c r="IQ41" s="198"/>
    </row>
    <row r="42" spans="2:288" s="198" customFormat="1" ht="39.25" hidden="1" customHeight="1">
      <c r="AX42" s="536"/>
      <c r="AY42" s="1874" t="s">
        <v>424</v>
      </c>
      <c r="AZ42" s="1874" t="s">
        <v>425</v>
      </c>
      <c r="EX42" s="540"/>
      <c r="EY42" s="540"/>
      <c r="EZ42" s="540"/>
      <c r="FA42" s="540"/>
      <c r="FB42" s="540"/>
      <c r="FC42" s="540"/>
    </row>
    <row r="43" spans="2:288" ht="20.05" customHeight="1">
      <c r="C43" s="1872">
        <f>IF(Project!H24="Tenant Improvement",1,IF(Project!H24="New Construction",2,0))</f>
        <v>0</v>
      </c>
      <c r="D43" s="465"/>
      <c r="E43" s="508" t="str">
        <f>IF(__Retrofit_TI_NC=0,"Space Information","TI/NC Exterior Space Information")</f>
        <v>Space Information</v>
      </c>
      <c r="F43" s="77"/>
      <c r="G43" s="74"/>
      <c r="H43" s="74"/>
      <c r="I43" s="74"/>
      <c r="J43" s="74"/>
      <c r="K43" s="74"/>
      <c r="L43" s="74"/>
      <c r="M43" s="74"/>
      <c r="N43" s="74"/>
      <c r="O43" s="74"/>
      <c r="P43" s="1672" t="s">
        <v>426</v>
      </c>
      <c r="Q43" s="1672"/>
      <c r="R43" s="516">
        <f>IF(__Retrofit_TI_NC=0,Project!R$53,4200)</f>
        <v>0</v>
      </c>
      <c r="S43" s="519"/>
      <c r="T43" s="517" t="str">
        <f>IF(__Retrofit_TI_NC=0,"Lighting Fixture / Lamp","TI/NC Exterior Lighting Fixture / Lamp")</f>
        <v>Lighting Fixture / Lamp</v>
      </c>
      <c r="U43" s="71"/>
      <c r="V43" s="71"/>
      <c r="W43" s="71"/>
      <c r="X43" s="71"/>
      <c r="Y43" s="71"/>
      <c r="Z43" s="71"/>
      <c r="AA43" s="71"/>
      <c r="AB43" s="71"/>
      <c r="AC43" s="71"/>
      <c r="AD43" s="71"/>
      <c r="AE43" s="71"/>
      <c r="AF43" s="573"/>
      <c r="AG43" s="574"/>
      <c r="AH43" s="574"/>
      <c r="AI43" s="574"/>
      <c r="AJ43" s="574"/>
      <c r="AK43" s="574"/>
      <c r="AL43" s="574"/>
      <c r="AM43" s="574"/>
      <c r="AN43" s="574"/>
      <c r="AO43" s="521" t="s">
        <v>427</v>
      </c>
      <c r="AP43" s="464"/>
      <c r="AQ43" s="464"/>
      <c r="AR43" s="464"/>
      <c r="AS43" s="464"/>
      <c r="AT43" s="464"/>
      <c r="AU43" s="1893" t="s">
        <v>428</v>
      </c>
      <c r="AV43" s="525"/>
      <c r="AW43" s="1893" t="s">
        <v>429</v>
      </c>
      <c r="AX43" s="466"/>
      <c r="AY43" s="1875"/>
      <c r="AZ43" s="1875"/>
      <c r="DA43" s="37"/>
      <c r="DO43" s="337">
        <f>SUM(DO46:DO94)</f>
        <v>0</v>
      </c>
      <c r="DV43" s="101"/>
      <c r="EF43" s="101" t="s">
        <v>344</v>
      </c>
      <c r="EG43" s="101" t="s">
        <v>345</v>
      </c>
      <c r="EH43" s="101" t="s">
        <v>234</v>
      </c>
      <c r="EI43" s="101" t="s">
        <v>347</v>
      </c>
      <c r="EJ43" s="101" t="s">
        <v>348</v>
      </c>
      <c r="EM43" s="101" t="s">
        <v>349</v>
      </c>
      <c r="EN43" s="101" t="s">
        <v>234</v>
      </c>
      <c r="EO43" s="101" t="s">
        <v>347</v>
      </c>
      <c r="EP43" s="101" t="s">
        <v>234</v>
      </c>
      <c r="EQ43" s="101" t="s">
        <v>347</v>
      </c>
      <c r="ER43" s="101" t="s">
        <v>234</v>
      </c>
      <c r="ES43" s="101" t="s">
        <v>347</v>
      </c>
      <c r="ET43" s="101"/>
      <c r="EV43" s="101" t="s">
        <v>350</v>
      </c>
      <c r="EX43" s="84"/>
      <c r="EY43" s="84"/>
      <c r="EZ43" s="84"/>
      <c r="FA43" s="84"/>
      <c r="FB43" s="84"/>
      <c r="FC43" s="84"/>
      <c r="FH43" s="86">
        <f>SUM(FH46:FH94)</f>
        <v>0</v>
      </c>
      <c r="IP43" s="198"/>
      <c r="IQ43" s="198"/>
    </row>
    <row r="44" spans="2:288" ht="14.95" customHeight="1">
      <c r="C44" s="1872"/>
      <c r="E44" s="1336"/>
      <c r="F44" s="74"/>
      <c r="G44" s="74"/>
      <c r="H44" s="74"/>
      <c r="I44" s="74"/>
      <c r="J44" s="74"/>
      <c r="K44" s="1672" t="str">
        <f>IF(__Retrofit_TI_NC=0,"","Total Exterior Square Feet")</f>
        <v/>
      </c>
      <c r="L44" s="1672"/>
      <c r="M44" s="1672"/>
      <c r="N44" s="1672"/>
      <c r="O44" s="1672"/>
      <c r="P44" s="1672"/>
      <c r="Q44" s="1672"/>
      <c r="R44" s="1431" t="str">
        <f>IF(__Retrofit_TI_NC=0,"",SUMIF(P48:P500,"Area (sf):",R48:R500))</f>
        <v/>
      </c>
      <c r="S44" s="519"/>
      <c r="T44" s="510"/>
      <c r="U44" s="451"/>
      <c r="V44" s="510"/>
      <c r="W44" s="510"/>
      <c r="X44" s="510"/>
      <c r="Y44" s="510"/>
      <c r="Z44" s="510"/>
      <c r="AA44" s="510"/>
      <c r="AB44" s="452"/>
      <c r="AC44" s="452"/>
      <c r="AD44" s="510"/>
      <c r="AE44" s="510"/>
      <c r="AF44" s="575"/>
      <c r="AG44" s="576"/>
      <c r="AH44" s="577"/>
      <c r="AI44" s="577"/>
      <c r="AJ44" s="577"/>
      <c r="AK44" s="577"/>
      <c r="AL44" s="577"/>
      <c r="AM44" s="578"/>
      <c r="AN44" s="579"/>
      <c r="AO44" s="522"/>
      <c r="AP44" s="1879"/>
      <c r="AQ44" s="1880"/>
      <c r="AR44" s="464"/>
      <c r="AS44" s="464"/>
      <c r="AT44" s="464"/>
      <c r="AU44" s="1893"/>
      <c r="AV44" s="525"/>
      <c r="AW44" s="1893"/>
      <c r="AX44" s="466"/>
      <c r="AY44" s="1875"/>
      <c r="AZ44" s="1875"/>
      <c r="CP44" s="101" t="s">
        <v>354</v>
      </c>
      <c r="CQ44" s="101" t="s">
        <v>355</v>
      </c>
      <c r="CR44" s="101"/>
      <c r="CS44" s="101" t="s">
        <v>356</v>
      </c>
      <c r="CV44" s="37" t="s">
        <v>341</v>
      </c>
      <c r="CX44" s="101" t="s">
        <v>342</v>
      </c>
      <c r="DA44" s="101" t="s">
        <v>343</v>
      </c>
      <c r="DB44" s="101" t="s">
        <v>344</v>
      </c>
      <c r="DC44" s="101" t="s">
        <v>345</v>
      </c>
      <c r="DD44" s="101" t="s">
        <v>346</v>
      </c>
      <c r="DE44" s="37"/>
      <c r="DF44" s="37" t="s">
        <v>357</v>
      </c>
      <c r="DH44" s="101" t="s">
        <v>342</v>
      </c>
      <c r="DI44" s="37"/>
      <c r="DJ44" s="101" t="s">
        <v>343</v>
      </c>
      <c r="DK44" s="101" t="s">
        <v>343</v>
      </c>
      <c r="DM44" s="101" t="s">
        <v>430</v>
      </c>
      <c r="DN44" s="101" t="s">
        <v>430</v>
      </c>
      <c r="DO44" s="101" t="s">
        <v>286</v>
      </c>
      <c r="DQ44" s="1732" t="s">
        <v>234</v>
      </c>
      <c r="DR44" s="1732"/>
      <c r="DS44" s="101" t="s">
        <v>347</v>
      </c>
      <c r="DT44" s="101"/>
      <c r="DU44" s="101" t="s">
        <v>358</v>
      </c>
      <c r="DV44" s="101" t="s">
        <v>358</v>
      </c>
      <c r="DX44" s="1732" t="s">
        <v>347</v>
      </c>
      <c r="DY44" s="1732"/>
      <c r="DZ44" s="101" t="s">
        <v>358</v>
      </c>
      <c r="EA44" s="101" t="s">
        <v>359</v>
      </c>
      <c r="EC44" s="101" t="s">
        <v>360</v>
      </c>
      <c r="ED44" s="101" t="s">
        <v>361</v>
      </c>
      <c r="EF44" s="101" t="s">
        <v>234</v>
      </c>
      <c r="EG44" s="101" t="s">
        <v>234</v>
      </c>
      <c r="EH44" s="101" t="s">
        <v>362</v>
      </c>
      <c r="EI44" s="101" t="s">
        <v>362</v>
      </c>
      <c r="EJ44" s="101" t="s">
        <v>362</v>
      </c>
      <c r="EK44" s="101" t="s">
        <v>234</v>
      </c>
      <c r="EL44" s="101" t="s">
        <v>347</v>
      </c>
      <c r="EM44" s="101" t="s">
        <v>347</v>
      </c>
      <c r="EN44" s="101" t="s">
        <v>363</v>
      </c>
      <c r="EO44" s="101" t="s">
        <v>363</v>
      </c>
      <c r="EP44" s="101" t="s">
        <v>363</v>
      </c>
      <c r="EQ44" s="101" t="s">
        <v>363</v>
      </c>
      <c r="ER44" s="101" t="s">
        <v>363</v>
      </c>
      <c r="ES44" s="101" t="s">
        <v>363</v>
      </c>
      <c r="ET44" s="101" t="s">
        <v>363</v>
      </c>
      <c r="EV44" s="101">
        <f>SUM(EV46:EV46)</f>
        <v>0</v>
      </c>
      <c r="EX44" s="83"/>
      <c r="EY44" s="83"/>
      <c r="EZ44" s="83"/>
      <c r="FA44" s="83"/>
      <c r="FB44" s="83"/>
      <c r="FC44" s="83"/>
      <c r="FL44" s="101" t="s">
        <v>364</v>
      </c>
      <c r="FM44" s="101" t="s">
        <v>365</v>
      </c>
      <c r="FN44" s="101" t="s">
        <v>366</v>
      </c>
      <c r="FO44" s="101" t="s">
        <v>367</v>
      </c>
      <c r="FP44" s="101"/>
      <c r="FQ44" s="101" t="s">
        <v>431</v>
      </c>
      <c r="FR44" s="38" t="s">
        <v>368</v>
      </c>
      <c r="FS44" s="101">
        <v>3200</v>
      </c>
      <c r="FT44" s="101" t="s">
        <v>369</v>
      </c>
      <c r="FU44" s="101" t="s">
        <v>370</v>
      </c>
      <c r="FV44" s="101" t="s">
        <v>371</v>
      </c>
      <c r="FW44" s="101" t="s">
        <v>370</v>
      </c>
      <c r="GA44" s="101" t="s">
        <v>226</v>
      </c>
      <c r="GB44" s="101"/>
      <c r="GC44" s="101" t="s">
        <v>372</v>
      </c>
      <c r="GD44" s="101" t="s">
        <v>345</v>
      </c>
      <c r="GE44" s="101"/>
      <c r="GF44" s="101" t="s">
        <v>213</v>
      </c>
      <c r="GG44" s="101"/>
      <c r="GH44" s="1850" t="s">
        <v>373</v>
      </c>
      <c r="GJ44" s="101" t="s">
        <v>194</v>
      </c>
      <c r="GK44" s="101" t="s">
        <v>218</v>
      </c>
      <c r="GO44" s="101">
        <f>SUM(GO46:GO46)</f>
        <v>0</v>
      </c>
      <c r="IP44" s="539"/>
      <c r="IQ44" s="198"/>
    </row>
    <row r="45" spans="2:288" ht="14.8" customHeight="1">
      <c r="C45" s="1872"/>
      <c r="E45" s="509"/>
      <c r="F45" s="511"/>
      <c r="G45" s="511"/>
      <c r="H45" s="511"/>
      <c r="I45" s="1866"/>
      <c r="J45" s="1866"/>
      <c r="K45" s="1866"/>
      <c r="L45" s="1866"/>
      <c r="M45" s="512"/>
      <c r="N45" s="512"/>
      <c r="O45" s="512"/>
      <c r="P45" s="1866"/>
      <c r="Q45" s="1866"/>
      <c r="R45" s="512"/>
      <c r="S45" s="520"/>
      <c r="T45" s="518" t="s">
        <v>239</v>
      </c>
      <c r="U45" s="513" t="s">
        <v>234</v>
      </c>
      <c r="V45" s="514"/>
      <c r="W45" s="514"/>
      <c r="X45" s="514"/>
      <c r="Y45" s="514"/>
      <c r="Z45" s="514"/>
      <c r="AA45" s="514"/>
      <c r="AB45" s="515" t="s">
        <v>194</v>
      </c>
      <c r="AC45" s="515" t="s">
        <v>343</v>
      </c>
      <c r="AD45" s="518" t="s">
        <v>383</v>
      </c>
      <c r="AE45" s="518"/>
      <c r="AF45" s="580" t="s">
        <v>239</v>
      </c>
      <c r="AG45" s="581" t="s">
        <v>347</v>
      </c>
      <c r="AH45" s="582"/>
      <c r="AI45" s="582"/>
      <c r="AJ45" s="582"/>
      <c r="AK45" s="582"/>
      <c r="AL45" s="582"/>
      <c r="AM45" s="583" t="s">
        <v>286</v>
      </c>
      <c r="AN45" s="584" t="s">
        <v>407</v>
      </c>
      <c r="AO45" s="523" t="s">
        <v>432</v>
      </c>
      <c r="AP45" s="1768" t="s">
        <v>407</v>
      </c>
      <c r="AQ45" s="1769"/>
      <c r="AR45" s="1867" t="s">
        <v>433</v>
      </c>
      <c r="AS45" s="1867"/>
      <c r="AT45" s="524"/>
      <c r="AU45" s="1894"/>
      <c r="AV45" s="526"/>
      <c r="AW45" s="1894"/>
      <c r="AX45" s="525"/>
      <c r="AY45" s="1876"/>
      <c r="AZ45" s="1876"/>
      <c r="CP45" s="101" t="s">
        <v>381</v>
      </c>
      <c r="CQ45" s="101" t="s">
        <v>333</v>
      </c>
      <c r="CR45" s="101"/>
      <c r="CS45" s="101" t="s">
        <v>221</v>
      </c>
      <c r="CV45" s="101" t="s">
        <v>239</v>
      </c>
      <c r="CW45" s="101" t="s">
        <v>234</v>
      </c>
      <c r="CX45" s="101" t="s">
        <v>382</v>
      </c>
      <c r="CY45" s="101" t="s">
        <v>194</v>
      </c>
      <c r="CZ45" s="101" t="s">
        <v>343</v>
      </c>
      <c r="DA45" s="101" t="s">
        <v>346</v>
      </c>
      <c r="DB45" s="101" t="s">
        <v>383</v>
      </c>
      <c r="DC45" s="101" t="s">
        <v>383</v>
      </c>
      <c r="DD45" s="101" t="s">
        <v>383</v>
      </c>
      <c r="DE45" s="101"/>
      <c r="DF45" s="101" t="s">
        <v>239</v>
      </c>
      <c r="DG45" s="37" t="s">
        <v>347</v>
      </c>
      <c r="DH45" s="101" t="s">
        <v>382</v>
      </c>
      <c r="DI45" s="101" t="s">
        <v>384</v>
      </c>
      <c r="DJ45" s="101" t="s">
        <v>346</v>
      </c>
      <c r="DK45" s="101" t="s">
        <v>346</v>
      </c>
      <c r="DM45" s="101" t="s">
        <v>432</v>
      </c>
      <c r="DN45" s="101" t="s">
        <v>345</v>
      </c>
      <c r="DQ45" s="1833" t="s">
        <v>221</v>
      </c>
      <c r="DR45" s="1833"/>
      <c r="DS45" s="101" t="s">
        <v>221</v>
      </c>
      <c r="DT45" s="101"/>
      <c r="DU45" s="101" t="s">
        <v>234</v>
      </c>
      <c r="DV45" s="539" t="s">
        <v>434</v>
      </c>
      <c r="DX45" s="1833" t="s">
        <v>386</v>
      </c>
      <c r="DY45" s="1833"/>
      <c r="DZ45" s="101" t="s">
        <v>387</v>
      </c>
      <c r="EA45" s="101" t="s">
        <v>385</v>
      </c>
      <c r="EC45" s="101" t="s">
        <v>257</v>
      </c>
      <c r="ED45" s="101" t="s">
        <v>257</v>
      </c>
      <c r="EF45" s="107" t="s">
        <v>343</v>
      </c>
      <c r="EG45" s="107" t="s">
        <v>343</v>
      </c>
      <c r="EH45" s="107" t="s">
        <v>343</v>
      </c>
      <c r="EI45" s="107" t="s">
        <v>343</v>
      </c>
      <c r="EJ45" s="107" t="s">
        <v>343</v>
      </c>
      <c r="EK45" s="101" t="s">
        <v>342</v>
      </c>
      <c r="EL45" s="101" t="s">
        <v>342</v>
      </c>
      <c r="EM45" s="101" t="s">
        <v>342</v>
      </c>
      <c r="EN45" s="101" t="s">
        <v>388</v>
      </c>
      <c r="EO45" s="101" t="s">
        <v>388</v>
      </c>
      <c r="EP45" s="101" t="s">
        <v>389</v>
      </c>
      <c r="EQ45" s="101" t="s">
        <v>389</v>
      </c>
      <c r="ER45" s="101" t="s">
        <v>342</v>
      </c>
      <c r="ES45" s="101" t="s">
        <v>342</v>
      </c>
      <c r="ET45" s="101" t="s">
        <v>342</v>
      </c>
      <c r="EV45" s="662">
        <v>1</v>
      </c>
      <c r="EX45" s="85"/>
      <c r="EY45" s="85"/>
      <c r="EZ45" s="85"/>
      <c r="FA45" s="85"/>
      <c r="FB45" s="85" t="s">
        <v>385</v>
      </c>
      <c r="FC45" s="85" t="s">
        <v>218</v>
      </c>
      <c r="FG45" s="654" t="s">
        <v>390</v>
      </c>
      <c r="FH45" s="101"/>
      <c r="FI45" s="101"/>
      <c r="FM45" s="101" t="s">
        <v>328</v>
      </c>
      <c r="FR45" s="38" t="s">
        <v>286</v>
      </c>
      <c r="FS45" s="101" t="s">
        <v>369</v>
      </c>
      <c r="FT45" s="101" t="s">
        <v>391</v>
      </c>
      <c r="FU45" s="101" t="s">
        <v>369</v>
      </c>
      <c r="FV45" s="101" t="s">
        <v>347</v>
      </c>
      <c r="FW45" s="37" t="s">
        <v>392</v>
      </c>
      <c r="FY45" s="101" t="s">
        <v>393</v>
      </c>
      <c r="GA45" s="101" t="s">
        <v>218</v>
      </c>
      <c r="GB45" s="101"/>
      <c r="GC45" s="101" t="s">
        <v>394</v>
      </c>
      <c r="GD45" s="101" t="s">
        <v>218</v>
      </c>
      <c r="GE45" s="101"/>
      <c r="GF45" s="101" t="s">
        <v>395</v>
      </c>
      <c r="GG45" s="101"/>
      <c r="GH45" s="1851"/>
      <c r="GI45" s="101" t="s">
        <v>218</v>
      </c>
      <c r="GK45" s="101" t="s">
        <v>396</v>
      </c>
      <c r="IP45" s="539"/>
      <c r="IQ45" s="198"/>
    </row>
    <row r="46" spans="2:288" s="78" customFormat="1" ht="5.0999999999999996" customHeight="1">
      <c r="B46" s="471"/>
      <c r="C46" s="392"/>
      <c r="D46" s="392"/>
      <c r="E46" s="1848"/>
      <c r="F46" s="1848"/>
      <c r="G46" s="1848"/>
      <c r="H46" s="1848"/>
      <c r="I46" s="1848"/>
      <c r="J46" s="1848"/>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48"/>
      <c r="AK46" s="1848"/>
      <c r="AL46" s="1848"/>
      <c r="AM46" s="1848"/>
      <c r="AN46" s="1848"/>
      <c r="AO46" s="1848"/>
      <c r="AP46" s="1848"/>
      <c r="AQ46" s="1848"/>
      <c r="AR46" s="1848"/>
      <c r="AS46" s="1848"/>
      <c r="AT46" s="1848"/>
      <c r="AU46" s="1848"/>
      <c r="AV46" s="1848"/>
      <c r="AW46" s="1848"/>
      <c r="AX46" s="469"/>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663"/>
      <c r="CQ46" s="663"/>
      <c r="CR46" s="438"/>
      <c r="CS46" s="663"/>
      <c r="CV46" s="391"/>
      <c r="CW46" s="391"/>
      <c r="CX46" s="207"/>
      <c r="CY46" s="208"/>
      <c r="CZ46" s="208"/>
      <c r="DA46" s="208"/>
      <c r="DB46" s="209"/>
      <c r="DC46" s="209"/>
      <c r="DD46" s="209"/>
      <c r="DF46" s="664"/>
      <c r="DG46" s="665"/>
      <c r="DH46" s="666"/>
      <c r="DI46" s="667"/>
      <c r="DJ46" s="668"/>
      <c r="DK46" s="668"/>
      <c r="DN46" s="208"/>
      <c r="DO46" s="664"/>
      <c r="DQ46" s="664"/>
      <c r="DR46" s="669"/>
      <c r="DS46" s="391"/>
      <c r="DT46" s="664"/>
      <c r="DU46" s="664"/>
      <c r="DV46" s="664"/>
      <c r="DX46" s="664"/>
      <c r="DY46" s="664"/>
      <c r="DZ46" s="664"/>
      <c r="EA46" s="664"/>
      <c r="EC46" s="670"/>
      <c r="ED46" s="670"/>
      <c r="EF46" s="668"/>
      <c r="EG46" s="668"/>
      <c r="EH46" s="208"/>
      <c r="EI46" s="668"/>
      <c r="EJ46" s="668"/>
      <c r="EK46" s="207"/>
      <c r="EL46" s="207"/>
      <c r="EM46" s="666"/>
      <c r="EN46" s="671"/>
      <c r="EO46" s="671"/>
      <c r="EP46" s="672"/>
      <c r="EQ46" s="672"/>
      <c r="ER46" s="666"/>
      <c r="ES46" s="666"/>
      <c r="ET46" s="666"/>
      <c r="EV46" s="664"/>
      <c r="EX46" s="391"/>
      <c r="EY46" s="391"/>
      <c r="EZ46" s="391"/>
      <c r="FA46" s="391"/>
      <c r="FB46" s="391"/>
      <c r="FC46" s="391"/>
      <c r="FG46" s="391"/>
      <c r="FH46" s="391"/>
      <c r="FI46" s="391"/>
      <c r="FS46" s="664"/>
      <c r="FT46" s="391"/>
      <c r="FU46" s="391"/>
      <c r="FV46" s="664"/>
      <c r="FW46" s="664"/>
      <c r="GA46" s="663"/>
      <c r="GB46" s="663"/>
      <c r="GC46" s="663"/>
      <c r="GD46" s="663"/>
      <c r="GE46" s="663"/>
      <c r="GF46" s="663"/>
      <c r="GG46" s="663"/>
      <c r="GH46" s="663"/>
      <c r="GI46" s="665"/>
      <c r="GJ46" s="664"/>
      <c r="GK46" s="664"/>
      <c r="IP46" s="1060"/>
      <c r="IQ46" s="1061"/>
    </row>
    <row r="47" spans="2:288" s="78" customFormat="1" ht="14.95" customHeight="1">
      <c r="B47" s="1845" t="str">
        <f>ID50</f>
        <v xml:space="preserve"> </v>
      </c>
      <c r="C47" s="1846">
        <v>1</v>
      </c>
      <c r="D47" s="1847"/>
      <c r="E47" s="1799" t="s">
        <v>295</v>
      </c>
      <c r="F47" s="1800"/>
      <c r="G47" s="1741"/>
      <c r="H47" s="1742"/>
      <c r="I47" s="1742"/>
      <c r="J47" s="1742"/>
      <c r="K47" s="1742"/>
      <c r="L47" s="1742"/>
      <c r="M47" s="1742"/>
      <c r="N47" s="1742"/>
      <c r="O47" s="1742"/>
      <c r="P47" s="1742"/>
      <c r="Q47" s="1742"/>
      <c r="R47" s="1742"/>
      <c r="S47" s="1791" t="s">
        <v>344</v>
      </c>
      <c r="T47" s="590"/>
      <c r="U47" s="1743"/>
      <c r="V47" s="1744"/>
      <c r="W47" s="1744"/>
      <c r="X47" s="1744"/>
      <c r="Y47" s="1744"/>
      <c r="Z47" s="1744"/>
      <c r="AA47" s="1744"/>
      <c r="AB47" s="961" t="str">
        <f>IFERROR(IF(__Retrofit_TI_NC=0,VLOOKUP(U48,Fixtures_Existing_List,2,FALSE),ROUND(N49*R49/T49,10)),"")</f>
        <v/>
      </c>
      <c r="AC47" s="935" t="str">
        <f>IFERROR(IF(__Retrofit_TI_NC=0,ROUND(T48*AB47*N48*R48/1000,0),IF(CQ47="Interior",N49*R49*R48*N48*_C406_reduction/1000,N49*R49*R48*N48/1000)),"")</f>
        <v/>
      </c>
      <c r="AD47" s="936" t="str">
        <f>IFERROR(IF(C$43=0,ROUND(T48*AB47/1000,2),N49*R49/1000),"")</f>
        <v/>
      </c>
      <c r="AE47" s="997"/>
      <c r="AF47" s="937"/>
      <c r="AG47" s="1745" t="str">
        <f>IF(__Retrofit_TI_NC=0," Control","Select Control for New System")</f>
        <v xml:space="preserve"> Control</v>
      </c>
      <c r="AH47" s="1745"/>
      <c r="AI47" s="1745"/>
      <c r="AJ47" s="1745"/>
      <c r="AK47" s="1745"/>
      <c r="AL47" s="1745"/>
      <c r="AM47" s="1746">
        <f>IFERROR(DI47,"")</f>
        <v>0</v>
      </c>
      <c r="AN47" s="1774" t="str">
        <f>IFERROR(ROUND(AM47*AC47,0),"")</f>
        <v/>
      </c>
      <c r="AO47" s="1776">
        <f>IFERROR(IF(IB47=FALSE,0,AC47-AN47),0)</f>
        <v>0</v>
      </c>
      <c r="AP47" s="1778">
        <f>AO47-AO49</f>
        <v>0</v>
      </c>
      <c r="AQ47" s="1779"/>
      <c r="AR47" s="1793">
        <f>IFERROR(IF(IB47=FALSE,0,(T49*U50)+(AF49*AG50)),0)</f>
        <v>0</v>
      </c>
      <c r="AS47" s="1793"/>
      <c r="AT47" s="1794"/>
      <c r="AU47" s="1734" t="s">
        <v>237</v>
      </c>
      <c r="AV47" s="1751">
        <f>IF(AU47="Yes",1,0)</f>
        <v>1</v>
      </c>
      <c r="AW47" s="1704" t="str">
        <f>IF(OR(DQ47=4,DQ47=5,DQ47=6,DQ47=12),CONCATENATE("$",IF(GH47=TRUE,Lookup!$K$10,Lookup!$K$2)," /lamp"),CONCATENATE(TEXT(ED47,"$0.00"),"/ kWh"))</f>
        <v>$0.00/ kWh</v>
      </c>
      <c r="AX47" s="467"/>
      <c r="AY47" s="1748">
        <f ca="1">IFERROR(IF(GM48=TRUE,(AB50*T49)/R49,0),"NA")</f>
        <v>0</v>
      </c>
      <c r="AZ47" s="1748" t="str">
        <f>IFERROR(N49*_C406_reduction,"NA")</f>
        <v>NA</v>
      </c>
      <c r="BA47" s="1341"/>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696" t="str">
        <f>N48</f>
        <v/>
      </c>
      <c r="CQ47" s="1696" t="str">
        <f>IFERROR(VLOOKUP(G48,_Lookup_Heat_Type_Table_New,3,FALSE),"")</f>
        <v/>
      </c>
      <c r="CR47" s="1808" t="str">
        <f>CQ47</f>
        <v/>
      </c>
      <c r="CS47" s="1810" t="str">
        <f>IFERROR(VLOOKUP(G49,'Space Table'!$B$3:$L$163,9,FALSE),"")</f>
        <v/>
      </c>
      <c r="CU47" s="1688" t="s">
        <v>344</v>
      </c>
      <c r="CV47" s="1702">
        <f>IF(IB47=TRUE,T48,0)</f>
        <v>0</v>
      </c>
      <c r="CW47" s="1702" t="str">
        <f>IF(IB47=TRUE,U48,"")</f>
        <v/>
      </c>
      <c r="CX47" s="1702"/>
      <c r="CY47" s="1814">
        <f>IF(IB47=TRUE,AB47,0)</f>
        <v>0</v>
      </c>
      <c r="CZ47" s="1710">
        <f>IF(AND(__Retrofit_TI_NC&gt;0,CR47="interior"),0,IF(IB47=TRUE,AC47,0))</f>
        <v>0</v>
      </c>
      <c r="DA47" s="1814">
        <f>IFERROR(IF(IB47=TRUE,CZ47-CZ49,0),0)</f>
        <v>0</v>
      </c>
      <c r="DB47" s="1819">
        <f>IF(IB47=TRUE,AD47,0)</f>
        <v>0</v>
      </c>
      <c r="DC47" s="1819">
        <f>IF(IB47=TRUE,AD50,0)</f>
        <v>0</v>
      </c>
      <c r="DD47" s="1819">
        <f>IFERROR(DB47-DC47,0)</f>
        <v>0</v>
      </c>
      <c r="DF47" s="1702">
        <f>IF(IB47=TRUE,AF48,0)</f>
        <v>0</v>
      </c>
      <c r="DG47" s="1830">
        <f>IFERROR(IF(__Retrofit_TI_NC=2,IF(CQ47="Exterior",O50,FQ47),FN47),"")</f>
        <v>0</v>
      </c>
      <c r="DH47" s="1702"/>
      <c r="DI47" s="1837">
        <f>JE47</f>
        <v>0</v>
      </c>
      <c r="DJ47" s="1710">
        <f>IF(AND(__Retrofit_TI_NC&gt;0,CR47="interior"),0,IF(IB47=TRUE,AN47,0))</f>
        <v>0</v>
      </c>
      <c r="DK47" s="1712">
        <f>IFERROR(IF(IB47=TRUE,DJ49-DJ47,0),0)</f>
        <v>0</v>
      </c>
      <c r="DM47" s="1717">
        <f>IFERROR(CZ47-DJ47,0)</f>
        <v>0</v>
      </c>
      <c r="DO47" s="1708">
        <f>DM47-DN49</f>
        <v>0</v>
      </c>
      <c r="DQ47" s="1715" t="str">
        <f>IFERROR(IF(AND(OR(GC47=4,GC47=5,GC47=6),OR(GF47=4,GF47=5,GF47=6)),GC47+8,VLOOKUP(CW49,Fixtures!R$31:Y$78,8,FALSE)),"")</f>
        <v/>
      </c>
      <c r="DR47" s="1829" t="str">
        <f>DQ47</f>
        <v/>
      </c>
      <c r="DS47" s="1702" t="str">
        <f>IFERROR(VLOOKUP(DG49,Lookup!BB$3:BC$20,2,FALSE),"")</f>
        <v/>
      </c>
      <c r="DT47" s="1713" t="str">
        <f>IF(OR(DS47=7,DS47=8,DS47=9),"ALC","")</f>
        <v/>
      </c>
      <c r="DU47" s="1715">
        <f>IFERROR(IF(OR(DQ47=4,DQ47=5,DQ47=6,DQ47=12,DQ47=13,DQ47=14),VLOOKUP(CW49,Fixtures!DN$27:EG$77,19,FALSE),1)*CV49,0)</f>
        <v>0</v>
      </c>
      <c r="DV47" s="1716">
        <f>IF(OR(DS47=7,DS47=8,DS47=9),IF(DG47=DG49,0,DF49),0)</f>
        <v>0</v>
      </c>
      <c r="DX47" s="1715" t="str">
        <f>IFERROR(IF(EZ47&lt;EZ49,"Yes","No"),"")</f>
        <v/>
      </c>
      <c r="DY47" s="1829" t="str">
        <f>DX47</f>
        <v/>
      </c>
      <c r="DZ47" s="1715">
        <f>IF(DX47="Yes",DF49,0)</f>
        <v>0</v>
      </c>
      <c r="EA47" s="1715">
        <f>DZ47-DV47</f>
        <v>0</v>
      </c>
      <c r="EC47" s="1897">
        <f>IFERROR(VLOOKUP(DQ47,Lookup!AU$3:AV$16,2,FALSE),0)</f>
        <v>0</v>
      </c>
      <c r="ED47" s="1897">
        <f>IF(IB47=FALSE,0,IF(DX47="Yes",EC47+Lookup!K$6,EC47))</f>
        <v>0</v>
      </c>
      <c r="EF47" s="1707">
        <f>IF(IB47=TRUE,DM47,0)</f>
        <v>0</v>
      </c>
      <c r="EG47" s="1712">
        <f>IF(IB47=TRUE,CZ49,0)</f>
        <v>0</v>
      </c>
      <c r="EH47" s="1814">
        <f>IFERROR(EF47-EG47,0)</f>
        <v>0</v>
      </c>
      <c r="EI47" s="1712">
        <f>IF(IB47=TRUE,DJ49,0)</f>
        <v>0</v>
      </c>
      <c r="EJ47" s="1712">
        <f>IFERROR(EF47-EG47+EI47,0)</f>
        <v>0</v>
      </c>
      <c r="EK47" s="1812">
        <f>IF(IB47=TRUE,CV49*CX49,0)</f>
        <v>0</v>
      </c>
      <c r="EL47" s="1812">
        <f>IF(IB47=TRUE,DF49*DH49,0)</f>
        <v>0</v>
      </c>
      <c r="EM47" s="1807">
        <f>AR47</f>
        <v>0</v>
      </c>
      <c r="EN47" s="1839" t="str">
        <f>IFERROR(IF(IB47=TRUE,VLOOKUP(DQ47,Lookup!AU$3:AW$16,3,FALSE)*DU47,""),0)</f>
        <v/>
      </c>
      <c r="EO47" s="1839">
        <f>IF(IB47=TRUE,DZ47*Lookup!AW$12,0)</f>
        <v>0</v>
      </c>
      <c r="EP47" s="1817">
        <f>IFERROR(IF(IB47=TRUE,EN47/EP$40,0),0)</f>
        <v>0</v>
      </c>
      <c r="EQ47" s="1817">
        <f>IF(IB47=TRUE,EO47/EQ$40,0)</f>
        <v>0</v>
      </c>
      <c r="ER47" s="1807">
        <f>IF(IB47=TRUE,ET$40*EP47,0)</f>
        <v>0</v>
      </c>
      <c r="ES47" s="1807">
        <f>IF(IB47=TRUE,ET$40*EQ47,0)</f>
        <v>0</v>
      </c>
      <c r="ET47" s="1807">
        <f>ER47+ES47</f>
        <v>0</v>
      </c>
      <c r="EV47" s="1715">
        <f>IF(G47="",0,1)</f>
        <v>0</v>
      </c>
      <c r="EX47" s="1804" t="str">
        <f>IFERROR(VLOOKUP(CS49,'Space Table'!$B$3:$L$163,8,FALSE),"")</f>
        <v/>
      </c>
      <c r="EY47" s="1804" t="str">
        <f>IFERROR(IF(FB47="Yes",VLOOKUP(DG47,Lookup_Control_Type_Table2,4,FALSE),VLOOKUP(DG47,Lookup_Control_Type_Table2,3,FALSE)),"")</f>
        <v/>
      </c>
      <c r="EZ47" s="1804" t="e">
        <f>VLOOKUP(DG47,Lookup!BB$3:BC$20,2,FALSE)</f>
        <v>#N/A</v>
      </c>
      <c r="FA47" s="1804" t="e">
        <f>VLOOKUP(EX47,Lookup_Control_Type_Table,2,FALSE)</f>
        <v>#N/A</v>
      </c>
      <c r="FB47" s="1804" t="e">
        <f>VLOOKUP(CS49,'Space Table'!$B$3:$L$163,7,FALSE)</f>
        <v>#N/A</v>
      </c>
      <c r="FC47" s="1826" t="b">
        <f>ISNUMBER(SEARCH("TLED",U49))</f>
        <v>0</v>
      </c>
      <c r="FE47" s="1698" t="str">
        <f>CONCATENATE(CQ47," - ",DG47)</f>
        <v xml:space="preserve"> - 0</v>
      </c>
      <c r="FG47" s="1702" t="str">
        <f>VLOOKUP(CW49,Fixtures!DN$27:EZ$77,38,FALSE)</f>
        <v/>
      </c>
      <c r="FH47" s="1702">
        <f>IFERROR(FG47*EH47,0)</f>
        <v>0</v>
      </c>
      <c r="FI47" s="133"/>
      <c r="FL47" s="1822">
        <f>IF(CQ47="Exterior","Not Daylighted",G50)</f>
        <v>0</v>
      </c>
      <c r="FM47" s="1824" t="e">
        <f>VLOOKUP(FL47,_New_Daylight_Table_Codes,2,FALSE)</f>
        <v>#N/A</v>
      </c>
      <c r="FN47" s="1698">
        <f>IF(__Retrofit_TI_NC&gt;0,VLOOKUP(G49,'Space Table'!$B$3:$L$163,11,FALSE),AG48)</f>
        <v>0</v>
      </c>
      <c r="FO47" s="1698" t="e">
        <f>IF(__Retrofit_TI_NC=2,VLOOKUP(FQ47,_Control_Table,2,FALSE),VLOOKUP(FN47,_Control_Table,2,FALSE))</f>
        <v>#N/A</v>
      </c>
      <c r="FP47" s="1678" t="e">
        <f>VLOOKUP(CONCATENATE(FL47," ",FN47),Lookup!AY53:AZ$102,2,FALSE)</f>
        <v>#N/A</v>
      </c>
      <c r="FQ47" s="1678">
        <f>IF(__Retrofit_TI_NC=0,FN47,IF(AND(FT47&gt;0,FN47="Occupancy Sensor"),"Daylight + Occupancy",IF(AND(FT47&gt;0,VLOOKUP(FN47,_Control_Table,2,FALSE)&lt;4),"Interior Daylight Dimming",FN47)))</f>
        <v>0</v>
      </c>
      <c r="FS47" s="1686">
        <f>IF(CR47="Interior",VLOOKUP(CS47,Control_Savings_Interior,5,FALSE),0)</f>
        <v>0</v>
      </c>
      <c r="FT47" s="1687" t="e">
        <f>IF(CQ47="Exterior",0,IF(FM47=2,0.5,IF(OR(FM47=1,FM47=3),1,0)))</f>
        <v>#N/A</v>
      </c>
      <c r="FU47" s="1685" t="e">
        <f>IF(R46&gt;FS$44,(FS47*(FS$44/R46)),FS47)*FT47</f>
        <v>#N/A</v>
      </c>
      <c r="FV47" s="1686">
        <f>DI47</f>
        <v>0</v>
      </c>
      <c r="FW47" s="1686" t="e">
        <f>ROUND(FV47+((1-FV47)*FU47),2)</f>
        <v>#N/A</v>
      </c>
      <c r="FX47" s="1686">
        <f>IF(__Retrofit_TI_NC=2,FW47,FV47)</f>
        <v>0</v>
      </c>
      <c r="FY47" s="1697"/>
      <c r="GA47" s="1696" t="str">
        <f>IFERROR(VLOOKUP(U48,_Exist_Fixture_Table,3,FALSE),"")</f>
        <v/>
      </c>
      <c r="GB47" s="1696" t="str">
        <f>VLOOKUP(CW47,_Exist_Fixture_Table,4,FALSE)</f>
        <v/>
      </c>
      <c r="GC47" s="1696">
        <f>IFERROR(VLOOKUP(GB47,Lookup!AT$6:AU$8,2,FALSE),0)</f>
        <v>0</v>
      </c>
      <c r="GD47" s="1696" t="b">
        <f>IFERROR(IF(OR(GF47=4,GF47=5,GF47=6),TRUE,FALSE),"")</f>
        <v>0</v>
      </c>
      <c r="GE47" s="1696" t="str">
        <f>IFERROR(VLOOKUP(GF47,GC$6:GD$10,2,FALSE),"")</f>
        <v/>
      </c>
      <c r="GF47" s="1696" t="str">
        <f>VLOOKUP(CW49,Fixtures!R$31:Y$78,8,FALSE)</f>
        <v/>
      </c>
      <c r="GG47" s="1696">
        <f>IF(AND(GA47=TRUE,GD47=TRUE,OR(DQ47=12,DQ47=13,DQ47=14)),GC47+8,0)</f>
        <v>0</v>
      </c>
      <c r="GH47" s="1696" t="b">
        <f>IF(OR(GG47=12,GG47=13,GG47=14),TRUE,FALSE)</f>
        <v>0</v>
      </c>
      <c r="GI47" s="673" t="b">
        <f>IF(ISNUMBER(SEARCH("TLED",U48)),TRUE,FALSE)</f>
        <v>0</v>
      </c>
      <c r="GJ47" s="1135" t="str">
        <f>IFERROR(VLOOKUP(U48,Fixtures!BM$93:BR$142,6,FALSE),"")</f>
        <v/>
      </c>
      <c r="GK47" s="1832" t="b">
        <f>IF(OR(GI47=FALSE,GI49=FALSE),TRUE,IF(GJ47-GJ49&lt;5,FALSE,TRUE))</f>
        <v>1</v>
      </c>
      <c r="GO47" s="674">
        <f>GP47</f>
        <v>0</v>
      </c>
      <c r="GP47" s="674">
        <f>IF(G47="",0,1)</f>
        <v>0</v>
      </c>
      <c r="GQ47" s="674">
        <f ca="1">SUM(GR47:HF47)</f>
        <v>1</v>
      </c>
      <c r="GR47" s="674">
        <f>IF(G48="",0,1)</f>
        <v>0</v>
      </c>
      <c r="GS47" s="674">
        <f>IF(N50="BAM",1,IF(G49="",0,1))</f>
        <v>0</v>
      </c>
      <c r="GT47" s="674">
        <f>IF(N50="BAM",1,IF(R48="",0,1))</f>
        <v>0</v>
      </c>
      <c r="GU47" s="674">
        <f>IF(N50="BAM",1,IF(__Retrofit_TI_NC=0,1,IF(R49="",0,1)))</f>
        <v>1</v>
      </c>
      <c r="GV47" s="674">
        <f>IF(N50="BAM",1,IF(CQ47="Exterior",1,IF(G50="",0,1)))</f>
        <v>0</v>
      </c>
      <c r="GW47" s="674">
        <f>IF(__Retrofit_TI_NC&gt;0,1,IF(T48="",0,1))</f>
        <v>0</v>
      </c>
      <c r="GX47" s="674">
        <f>IF(__Retrofit_TI_NC&gt;0,1,IF(U48="",0,1))</f>
        <v>0</v>
      </c>
      <c r="GY47" s="674">
        <f>IF(N50="BAM",1,IF(T49="",0,1))</f>
        <v>0</v>
      </c>
      <c r="GZ47" s="674">
        <f>IF(N50="BAM",1,IF(U49="",0,1))</f>
        <v>0</v>
      </c>
      <c r="HA47" s="674">
        <f ca="1">IF(N50="BAM",1,IF(__Retrofit_TI_NC&gt;0,1,IF(U50="",0,1)))</f>
        <v>0</v>
      </c>
      <c r="HB47" s="674">
        <f>IF(__Retrofit_TI_NC&lt;&gt;0,1,IF(AF48="",0,1))</f>
        <v>0</v>
      </c>
      <c r="HC47" s="674">
        <f>IF(__Retrofit_TI_NC&lt;&gt;0,1,IF(AG48="",0,1))</f>
        <v>0</v>
      </c>
      <c r="HD47" s="674">
        <f>IF(N50="BAM",1,IF(AF49="",0,1))</f>
        <v>0</v>
      </c>
      <c r="HE47" s="674">
        <f>IF(N50="BAM",1,IF(AG49="",0,1))</f>
        <v>0</v>
      </c>
      <c r="HF47" s="674">
        <f>IF(N50="BAM",1,IF(__Retrofit_TI_NC&gt;0,1,IF(AG50="",0,1)))</f>
        <v>0</v>
      </c>
      <c r="HG47" s="391"/>
      <c r="IA47" s="391"/>
      <c r="IB47" s="1693" t="b">
        <f>IF(OR(IB50=0,IB50=HY$16,IB50=HX$16,IB50=HZ$16),TRUE,FALSE)</f>
        <v>0</v>
      </c>
      <c r="IC47" s="1694" t="b">
        <f>IB47</f>
        <v>0</v>
      </c>
      <c r="ID47" s="391"/>
      <c r="IE47" s="391"/>
      <c r="IF47" s="1688" t="b">
        <f ca="1">IF(MAX(GN50:HU50)&gt;5,FALSE,TRUE)</f>
        <v>0</v>
      </c>
      <c r="IG47" s="1689">
        <f ca="1">IF(IF47=TRUE,AC47,0)</f>
        <v>0</v>
      </c>
      <c r="IH47" s="1689">
        <f ca="1">IG47-IG49</f>
        <v>0</v>
      </c>
      <c r="IK47" s="1689" t="e">
        <f>ROUND(T48*VLOOKUP(U48,Fixtures_Existing_List,2,FALSE)*N48*R48/1000,0)</f>
        <v>#N/A</v>
      </c>
      <c r="IL47" s="1690" t="e">
        <f>IK47-IK49</f>
        <v>#N/A</v>
      </c>
      <c r="IM47" s="1693" t="e">
        <f>ROUND(IF(CQ47="Interior",N49*R49*R48*N48*_C406_reduction/1000,N49*R49*R48*N48/1000),0)</f>
        <v>#N/A</v>
      </c>
      <c r="IN47" s="1693" t="e">
        <f>IM47-IM49</f>
        <v>#N/A</v>
      </c>
      <c r="IP47" s="1679"/>
      <c r="IQ47" s="1679" t="e">
        <f t="shared" ref="IQ47:IU47" si="16">IF($CR47="interior",VLOOKUP($CS47,_New_Control_Savings_Interior,IQ$30,FALSE),VLOOKUP($CS47,Control_Savings_Exterior,IQ$30,FALSE))</f>
        <v>#N/A</v>
      </c>
      <c r="IR47" s="1679" t="e">
        <f t="shared" si="16"/>
        <v>#N/A</v>
      </c>
      <c r="IS47" s="1679" t="e">
        <f t="shared" si="16"/>
        <v>#N/A</v>
      </c>
      <c r="IT47" s="1679" t="e">
        <f t="shared" si="16"/>
        <v>#N/A</v>
      </c>
      <c r="IU47" s="1679" t="e">
        <f t="shared" si="16"/>
        <v>#N/A</v>
      </c>
      <c r="IV47" s="1679" t="e">
        <f>IF($CR47="interior",IF(R48&gt;$IP$14,ROUND(($IV$18*($IP$14/R48)),2),$IV$18),VLOOKUP($CS47,Control_Savings_Exterior,IV$30,FALSE))</f>
        <v>#N/A</v>
      </c>
      <c r="IW47" s="1679" t="e">
        <f>IF($CR47="interior",ROUND(((1-IS47)*IV47)+IS47,2),VLOOKUP($CS47,Control_Savings_Exterior,IW$30,FALSE))</f>
        <v>#N/A</v>
      </c>
      <c r="IX47" s="1679" t="e">
        <f>IF($CR47="interior",ROUND(((1-IT47)*IV47)+IT47,2),VLOOKUP($CS47,Control_Savings_Exterior,IX$30,FALSE))</f>
        <v>#N/A</v>
      </c>
      <c r="IY47" s="1679" t="e">
        <f>IF($CR47="interior",IF(R48&gt;$IP$14,ROUND(($IY$18*($IP$14/R48)),2),$IY$18),VLOOKUP($CS47,Control_Savings_Exterior,IY$30,FALSE))</f>
        <v>#N/A</v>
      </c>
      <c r="IZ47" s="1679" t="e">
        <f>IF($CR47="interior",ROUND(((1-IS47)*IY47)+IS47,2),VLOOKUP($CS47,Control_Savings_Exterior,IZ$30,FALSE))</f>
        <v>#N/A</v>
      </c>
      <c r="JA47" s="1679" t="e">
        <f>IF($CR47="interior",ROUND(((1-IT47)*IY47)+IT47,2),VLOOKUP($CS47,Control_Savings_Exterior,JA$30,FALSE))</f>
        <v>#N/A</v>
      </c>
      <c r="JC47" s="1680">
        <f>IFERROR(IF(CR47="Interior",CONCATENATE(G50," ",FQ47),FQ47),"")</f>
        <v>0</v>
      </c>
      <c r="JD47" s="1670" t="str">
        <f>IFERROR(VLOOKUP(JC47,_Controls_2023,2,FALSE),"")</f>
        <v/>
      </c>
      <c r="JE47" s="1681">
        <f>IFERROR(CHOOSE(JD47-1,IQ47,IR47,IS47,IT47,IU47,IV47,IW47,IX47,IY47,IZ47,JA47),0)</f>
        <v>0</v>
      </c>
      <c r="JG47" s="1680" t="str">
        <f>FE47</f>
        <v xml:space="preserve"> - 0</v>
      </c>
      <c r="JH47" s="1670" t="e">
        <f>$FO47</f>
        <v>#N/A</v>
      </c>
      <c r="JI47" s="1060"/>
      <c r="JJ47" s="1682" t="b">
        <f>IF($JG49=CONCATENATE("Interior - ",JJ$4),TRUE,FALSE)</f>
        <v>0</v>
      </c>
      <c r="JK47" s="1061"/>
      <c r="JL47" s="1682" t="b">
        <f>IF($JG49=CONCATENATE("Interior - ",JL$4),TRUE,FALSE)</f>
        <v>0</v>
      </c>
      <c r="JM47" s="1061"/>
      <c r="JN47" s="1682" t="b">
        <f>IF($JG49=CONCATENATE("Interior - ",JN$4),TRUE,FALSE)</f>
        <v>0</v>
      </c>
      <c r="JO47" s="1061"/>
      <c r="JP47" s="1682" t="b">
        <f>IF(__Retrofit_TI_NC&gt;0,FALSE,IF($JG49=CONCATENATE("Interior - ",JP$4),TRUE,FALSE))</f>
        <v>0</v>
      </c>
      <c r="JQ47" s="1061"/>
      <c r="JR47" s="1682" t="b">
        <f>IF(__Retrofit_TI_NC&gt;0,FALSE,IF($JG49=CONCATENATE("Interior - ",JR$4),TRUE,FALSE))</f>
        <v>0</v>
      </c>
      <c r="JS47" s="1061"/>
      <c r="JT47" s="1670" t="b">
        <f>IF(__Retrofit_TI_NC&gt;0,FALSE,IF($JG49=CONCATENATE("Interior - ",JT$4),TRUE,FALSE))</f>
        <v>0</v>
      </c>
      <c r="JU47" s="1061"/>
      <c r="JV47" s="1670" t="b">
        <f>IF(JC49="AELC on Existing",TRUE,FALSE)</f>
        <v>0</v>
      </c>
      <c r="JX47" s="1670" t="b">
        <f>IF(OR(JG49="Exterior - AELC Occupancy based",JG49="Exterior - AELC Time based"),TRUE,FALSE)</f>
        <v>0</v>
      </c>
      <c r="JZ47" s="1682" t="b">
        <f>IF($JG49=CONCATENATE("Exterior - ",JZ$4),TRUE,FALSE)</f>
        <v>0</v>
      </c>
      <c r="KB47" s="1670" t="b">
        <f>IF(__Retrofit_TI_NC&gt;0,FALSE,IF($JG49=CONCATENATE("Interior - ",KB$4),TRUE,FALSE))</f>
        <v>0</v>
      </c>
    </row>
    <row r="48" spans="2:288" s="78" customFormat="1" ht="14.95" customHeight="1">
      <c r="B48" s="1845"/>
      <c r="C48" s="1846"/>
      <c r="D48" s="1847"/>
      <c r="E48" s="1737" t="s">
        <v>297</v>
      </c>
      <c r="F48" s="1738"/>
      <c r="G48" s="1739"/>
      <c r="H48" s="1739"/>
      <c r="I48" s="1739"/>
      <c r="J48" s="1739"/>
      <c r="K48" s="1739"/>
      <c r="L48" s="1739"/>
      <c r="M48" s="461" t="e">
        <f>IF(__Retrofit_TI_NC&lt;&gt;0,IF(VLOOKUP(G49,'Space Table'!$B$3:$L$163,3,FALSE)&gt;0,1,0),IF(__Retrofit_TI_NC=VLOOKUP(G49,'Space Table'!$B$3:$L$163,3,FALSE),1,0))</f>
        <v>#N/A</v>
      </c>
      <c r="N48" s="461" t="str">
        <f>IFERROR(VLOOKUP(G48,_Lookup_Heat_Type_Table_New,2,FALSE),"")</f>
        <v/>
      </c>
      <c r="O48" s="461">
        <f>IF(__Retrofit_TI_NC=1,CONCATENATE("TI ",G48),IF(__Retrofit_TI_NC=2,CONCATENATE("NC ",G48),G48))</f>
        <v>0</v>
      </c>
      <c r="P48" s="1740" t="s">
        <v>435</v>
      </c>
      <c r="Q48" s="1740"/>
      <c r="R48" s="595"/>
      <c r="S48" s="1792"/>
      <c r="T48" s="597"/>
      <c r="U48" s="1765"/>
      <c r="V48" s="1766"/>
      <c r="W48" s="1766"/>
      <c r="X48" s="1766"/>
      <c r="Y48" s="1766"/>
      <c r="Z48" s="1766"/>
      <c r="AA48" s="1766"/>
      <c r="AB48" s="1766"/>
      <c r="AC48" s="1766"/>
      <c r="AD48" s="1767"/>
      <c r="AE48" s="1000"/>
      <c r="AF48" s="597"/>
      <c r="AG48" s="1723"/>
      <c r="AH48" s="1724"/>
      <c r="AI48" s="1724"/>
      <c r="AJ48" s="1724"/>
      <c r="AK48" s="1725"/>
      <c r="AL48" s="996"/>
      <c r="AM48" s="1747"/>
      <c r="AN48" s="1775"/>
      <c r="AO48" s="1777"/>
      <c r="AP48" s="1780"/>
      <c r="AQ48" s="1781"/>
      <c r="AR48" s="1795"/>
      <c r="AS48" s="1795"/>
      <c r="AT48" s="1796"/>
      <c r="AU48" s="1735"/>
      <c r="AV48" s="1752"/>
      <c r="AW48" s="1705"/>
      <c r="AX48" s="467"/>
      <c r="AY48" s="1749"/>
      <c r="AZ48" s="1749"/>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696"/>
      <c r="CQ48" s="1696"/>
      <c r="CR48" s="1809"/>
      <c r="CS48" s="1811"/>
      <c r="CU48" s="1688"/>
      <c r="CV48" s="1703"/>
      <c r="CW48" s="1703"/>
      <c r="CX48" s="1703"/>
      <c r="CY48" s="1815"/>
      <c r="CZ48" s="1711"/>
      <c r="DA48" s="1818"/>
      <c r="DB48" s="1820"/>
      <c r="DC48" s="1820"/>
      <c r="DD48" s="1820"/>
      <c r="DF48" s="1703"/>
      <c r="DG48" s="1831"/>
      <c r="DH48" s="1703"/>
      <c r="DI48" s="1838"/>
      <c r="DJ48" s="1711"/>
      <c r="DK48" s="1712"/>
      <c r="DM48" s="1718"/>
      <c r="DO48" s="1708"/>
      <c r="DQ48" s="1715"/>
      <c r="DR48" s="1720"/>
      <c r="DS48" s="1816"/>
      <c r="DT48" s="1714"/>
      <c r="DU48" s="1715"/>
      <c r="DV48" s="1716"/>
      <c r="DX48" s="1715"/>
      <c r="DY48" s="1720"/>
      <c r="DZ48" s="1715"/>
      <c r="EA48" s="1715"/>
      <c r="EC48" s="1897"/>
      <c r="ED48" s="1897"/>
      <c r="EF48" s="1707"/>
      <c r="EG48" s="1712"/>
      <c r="EH48" s="1818"/>
      <c r="EI48" s="1712"/>
      <c r="EJ48" s="1712"/>
      <c r="EK48" s="1836"/>
      <c r="EL48" s="1836"/>
      <c r="EM48" s="1807"/>
      <c r="EN48" s="1839"/>
      <c r="EO48" s="1839"/>
      <c r="EP48" s="1817"/>
      <c r="EQ48" s="1817"/>
      <c r="ER48" s="1807"/>
      <c r="ES48" s="1807"/>
      <c r="ET48" s="1807"/>
      <c r="EV48" s="1715"/>
      <c r="EX48" s="1805"/>
      <c r="EY48" s="1805"/>
      <c r="EZ48" s="1805"/>
      <c r="FA48" s="1805"/>
      <c r="FB48" s="1805"/>
      <c r="FC48" s="1827"/>
      <c r="FE48" s="1698"/>
      <c r="FG48" s="1816"/>
      <c r="FH48" s="1816"/>
      <c r="FI48" s="133"/>
      <c r="FL48" s="1823"/>
      <c r="FM48" s="1825"/>
      <c r="FN48" s="1698"/>
      <c r="FO48" s="1698"/>
      <c r="FP48" s="1678"/>
      <c r="FQ48" s="1678"/>
      <c r="FS48" s="1687"/>
      <c r="FT48" s="1687"/>
      <c r="FU48" s="1685"/>
      <c r="FV48" s="1687"/>
      <c r="FW48" s="1687"/>
      <c r="FX48" s="1687"/>
      <c r="FY48" s="1697"/>
      <c r="GA48" s="1696"/>
      <c r="GB48" s="1696"/>
      <c r="GC48" s="1696"/>
      <c r="GD48" s="1696"/>
      <c r="GE48" s="1696"/>
      <c r="GF48" s="1696"/>
      <c r="GG48" s="1696"/>
      <c r="GH48" s="1696"/>
      <c r="GI48" s="673"/>
      <c r="GJ48" s="1135"/>
      <c r="GK48" s="1832"/>
      <c r="GM48" s="1693" t="b">
        <f ca="1">IF(AND(GP48=TRUE,GQ48=TRUE),TRUE,FALSE)</f>
        <v>0</v>
      </c>
      <c r="GN48" s="1684" t="b">
        <f>IFERROR(IF(__Retrofit_TI_NC=2,TRUE,IF(AU47="Yes",TRUE,FALSE)),FALSE)</f>
        <v>1</v>
      </c>
      <c r="GP48" s="1684" t="b">
        <f>IFERROR(IF(GP47=1,TRUE,FALSE),FALSE)</f>
        <v>0</v>
      </c>
      <c r="GQ48" s="1684" t="b">
        <f ca="1">IFERROR(IF(GQ47=GQ$14,TRUE,FALSE),FALSE)</f>
        <v>0</v>
      </c>
      <c r="HG48" s="1684" t="b">
        <f>IFERROR(IF(AND(__Retrofit_TI_NC&gt;0,CQ47="Interior"),FALSE,TRUE),FALSE)</f>
        <v>1</v>
      </c>
      <c r="HH48" s="1684" t="b">
        <f>IFERROR(IF(M48=1,TRUE,FALSE),FALSE)</f>
        <v>0</v>
      </c>
      <c r="HI48" s="1684" t="b">
        <f>IFERROR(IF(OR(M49=1,N50="BAM"),TRUE,FALSE),FALSE)</f>
        <v>0</v>
      </c>
      <c r="HJ48" s="1684" t="b">
        <f>IFERROR(IF(__Retrofit_TI_NC&lt;&gt;0,TRUE,IFERROR(IF(VLOOKUP(U48,Fixtures_Existing_List,2,FALSE)&lt;&gt;"",TRUE,FALSE),FALSE)),FALSE)</f>
        <v>0</v>
      </c>
      <c r="HK48" s="1684" t="b">
        <f>IFERROR(IF(VLOOKUP(U49,Fixtures_Proposed_List,2,FALSE)&lt;&gt;"",TRUE,FALSE),FALSE)</f>
        <v>0</v>
      </c>
      <c r="HL48" s="1684" t="b">
        <f>IF(AND(__Retrofit_TI_NC=2,FC47=TRUE),FALSE,TRUE)</f>
        <v>1</v>
      </c>
      <c r="HM48" s="1684" t="b">
        <f>GK47</f>
        <v>1</v>
      </c>
      <c r="HN48" s="1682" t="b">
        <f>IF(ISERROR(MATCH(FE47,_Control_Match[],0))=TRUE,FALSE,TRUE)</f>
        <v>0</v>
      </c>
      <c r="HO48" s="1693" t="b">
        <f>IFERROR(IF(EX47&lt;&gt;EY47,FALSE,TRUE),FALSE)</f>
        <v>1</v>
      </c>
      <c r="HP48" s="1693" t="b">
        <f>IFERROR(IF(EX49&lt;&gt;EY49,FALSE,TRUE),FALSE)</f>
        <v>1</v>
      </c>
      <c r="HQ48" s="1670" t="b">
        <f>IFERROR(IF(CQ47="Exterior",TRUE,IF(AND(OR(FM49=0,FM49=3),JD49&gt;6),FALSE,TRUE)),FALSE)</f>
        <v>0</v>
      </c>
      <c r="HR48" s="1684" t="b">
        <f>IFERROR(IF(AND(FO49=7,FC47=TRUE),FALSE,TRUE),FALSE)</f>
        <v>0</v>
      </c>
      <c r="HS48" s="1684" t="b">
        <f>IFERROR(IF(AND(T49&lt;&gt;AF49,OR(AG49="Interior LLLC", AG49="Interior NLC", AG49="LLLC (outside Daylight)",AG49="LLLC Controls Only"))=TRUE,FALSE,TRUE),FALSE)</f>
        <v>1</v>
      </c>
      <c r="HT48" s="1670" t="b">
        <f>IFERROR(IF(OR(AG49=Lookup!BB$17,AG49=Lookup!BB$18,AG49=Lookup!BB$19)=TRUE,IF(AF49&gt;T49,FALSE,TRUE),TRUE),FALSE)</f>
        <v>1</v>
      </c>
      <c r="HU48" s="1684" t="b">
        <f>IFERROR(IF(__Retrofit_TI_NC=2,IF(EZ49&lt;EZ47,FALSE,TRUE),TRUE),FALSE)</f>
        <v>1</v>
      </c>
      <c r="HV48" s="1684" t="b">
        <f>IF(CQ47="Interior",IL$6,TRUE)</f>
        <v>1</v>
      </c>
      <c r="HW48" s="1684" t="b">
        <f>IF(CQ47="Exterior",IL$8,TRUE)</f>
        <v>1</v>
      </c>
      <c r="HX48" s="1684" t="b">
        <f>IFERROR(IF(__Retrofit_TI_NC&lt;&gt;0,IF(AZ47&lt;AY47,FALSE,TRUE),TRUE),FALSE)</f>
        <v>1</v>
      </c>
      <c r="HY48" s="1684" t="b">
        <f>IFERROR(IF(AND(G48="Exterior",R48&gt;4200),FALSE,TRUE),FALSE)</f>
        <v>1</v>
      </c>
      <c r="HZ48" s="1684" t="b">
        <f>IFERROR(IF(AB50/AB47&lt;HZ$18,FALSE,TRUE),FALSE)</f>
        <v>0</v>
      </c>
      <c r="IB48" s="1691"/>
      <c r="IC48" s="1695"/>
      <c r="ID48" s="1694" t="str">
        <f>VLOOKUP(IB50,_Error_Table,4,FALSE)</f>
        <v>White</v>
      </c>
      <c r="IE48" s="391"/>
      <c r="IF48" s="1688"/>
      <c r="IG48" s="1689"/>
      <c r="IH48" s="1684"/>
      <c r="IK48" s="1689"/>
      <c r="IL48" s="1691"/>
      <c r="IM48" s="1691"/>
      <c r="IN48" s="1691"/>
      <c r="IP48" s="1679"/>
      <c r="IQ48" s="1679"/>
      <c r="IR48" s="1679"/>
      <c r="IS48" s="1679"/>
      <c r="IT48" s="1679"/>
      <c r="IU48" s="1679"/>
      <c r="IV48" s="1679"/>
      <c r="IW48" s="1679"/>
      <c r="IX48" s="1679"/>
      <c r="IY48" s="1679"/>
      <c r="IZ48" s="1679"/>
      <c r="JA48" s="1679"/>
      <c r="JC48" s="1680"/>
      <c r="JD48" s="1670"/>
      <c r="JE48" s="1681"/>
      <c r="JG48" s="1680"/>
      <c r="JH48" s="1670"/>
      <c r="JI48" s="1060"/>
      <c r="JJ48" s="1683"/>
      <c r="JK48" s="1061"/>
      <c r="JL48" s="1683"/>
      <c r="JM48" s="1061"/>
      <c r="JN48" s="1683"/>
      <c r="JO48" s="1061"/>
      <c r="JP48" s="1683"/>
      <c r="JQ48" s="1061"/>
      <c r="JR48" s="1683"/>
      <c r="JS48" s="1061"/>
      <c r="JT48" s="1670"/>
      <c r="JU48" s="1061"/>
      <c r="JV48" s="1670"/>
      <c r="JX48" s="1670"/>
      <c r="JZ48" s="1683"/>
      <c r="KB48" s="1670"/>
    </row>
    <row r="49" spans="1:288" s="78" customFormat="1" ht="14.95" customHeight="1">
      <c r="A49" s="78">
        <f>ROW()</f>
        <v>49</v>
      </c>
      <c r="B49" s="1845"/>
      <c r="C49" s="1846"/>
      <c r="D49" s="1847"/>
      <c r="E49" s="1737" t="s">
        <v>298</v>
      </c>
      <c r="F49" s="1738"/>
      <c r="G49" s="1760"/>
      <c r="H49" s="1761"/>
      <c r="I49" s="1761"/>
      <c r="J49" s="1761"/>
      <c r="K49" s="1761"/>
      <c r="L49" s="1762"/>
      <c r="M49" s="461">
        <f>IFERROR(IF(IF(__Retrofit_TI_NC&lt;&gt;0,IF(CQ47="Interior",MATCH(G49,Lookup_Interior_New,0),MATCH(G49,Lookup_Exterior_New,0)),IF(CQ47="Interior",MATCH(G49,Lookup_Interior,0),MATCH(G49,Lookup_Exterior_Areas,0)))&gt;0,1,0),0)</f>
        <v>0</v>
      </c>
      <c r="N49" s="461" t="e">
        <f>IF(__Retrofit_TI_NC=1,
VLOOKUP(G49,'Space Table'!$B$3:$L$163,4,FALSE),
IF(__Retrofit_TI_NC=2,VLOOKUP(G49,'Space Table'!$B$3:$L$163,5,FALSE),VLOOKUP(G49,'Space Table'!$B$3:$L$163,5,FALSE)))</f>
        <v>#N/A</v>
      </c>
      <c r="O49" s="461">
        <f>G49</f>
        <v>0</v>
      </c>
      <c r="P49" s="1738" t="str">
        <f>IFERROR(IF(__Retrofit_TI_NC=1,VLOOKUP(G49,'Space Table'!$B$3:$O$163,13,FALSE),IF(__Retrofit_TI_NC=2,VLOOKUP(G49,'Space Table'!$B$3:$O$163,14,FALSE),"Area (sf):")),"Area (sf):")</f>
        <v>Area (sf):</v>
      </c>
      <c r="Q49" s="1738"/>
      <c r="R49" s="596"/>
      <c r="S49" s="1763" t="s">
        <v>345</v>
      </c>
      <c r="T49" s="594"/>
      <c r="U49" s="1801"/>
      <c r="V49" s="1802"/>
      <c r="W49" s="1802"/>
      <c r="X49" s="1802"/>
      <c r="Y49" s="1802"/>
      <c r="Z49" s="1802"/>
      <c r="AA49" s="1802"/>
      <c r="AB49" s="1802"/>
      <c r="AC49" s="1802"/>
      <c r="AD49" s="1802"/>
      <c r="AE49" s="1803"/>
      <c r="AF49" s="594"/>
      <c r="AG49" s="1787"/>
      <c r="AH49" s="1787"/>
      <c r="AI49" s="1787"/>
      <c r="AJ49" s="1787"/>
      <c r="AK49" s="1787"/>
      <c r="AL49" s="1787"/>
      <c r="AM49" s="1726">
        <f>IFERROR(DI49,"")</f>
        <v>0</v>
      </c>
      <c r="AN49" s="1728" t="str">
        <f>IFERROR(ROUND(AM49*AC50,0),"")</f>
        <v/>
      </c>
      <c r="AO49" s="1730">
        <f>IFERROR(IF(IB47=FALSE,0,AC50-AN49),0)</f>
        <v>0</v>
      </c>
      <c r="AP49" s="1780"/>
      <c r="AQ49" s="1781"/>
      <c r="AR49" s="1795"/>
      <c r="AS49" s="1795"/>
      <c r="AT49" s="1796"/>
      <c r="AU49" s="1735"/>
      <c r="AV49" s="1752"/>
      <c r="AW49" s="1705"/>
      <c r="AX49" s="467"/>
      <c r="AY49" s="1749"/>
      <c r="AZ49" s="1749"/>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696"/>
      <c r="CQ49" s="1696"/>
      <c r="CR49" s="1808" t="str">
        <f>CQ47</f>
        <v/>
      </c>
      <c r="CS49" s="1810" t="str">
        <f>CS47</f>
        <v/>
      </c>
      <c r="CU49" s="1688" t="s">
        <v>345</v>
      </c>
      <c r="CV49" s="1702">
        <f>IF(IB47=TRUE,T49,0)</f>
        <v>0</v>
      </c>
      <c r="CW49" s="1702" t="str">
        <f>IF(IB47=TRUE,U49,"")</f>
        <v/>
      </c>
      <c r="CX49" s="1812">
        <f>IF(IB47=TRUE,U50,0)</f>
        <v>0</v>
      </c>
      <c r="CY49" s="1814">
        <f>IF(IB47=TRUE,AB50,0)</f>
        <v>0</v>
      </c>
      <c r="CZ49" s="1710">
        <f>IF(AND(__Retrofit_TI_NC&gt;0,CR47="interior"),0,IF(IB47=TRUE,AC50,0))</f>
        <v>0</v>
      </c>
      <c r="DA49" s="1818"/>
      <c r="DB49" s="1820"/>
      <c r="DC49" s="1820"/>
      <c r="DD49" s="1820"/>
      <c r="DF49" s="1702">
        <f>IF(IB47=TRUE,AF49,0)</f>
        <v>0</v>
      </c>
      <c r="DG49" s="1830" t="str">
        <f>IF(IB47=TRUE,AG49,"")</f>
        <v/>
      </c>
      <c r="DH49" s="1812">
        <f>AG50</f>
        <v>0</v>
      </c>
      <c r="DI49" s="1837">
        <f>JE49</f>
        <v>0</v>
      </c>
      <c r="DJ49" s="1710">
        <f>IF(AND(__Retrofit_TI_NC&gt;0,CR47="interior"),0,IF(IB47=TRUE,AN49,0))</f>
        <v>0</v>
      </c>
      <c r="DK49" s="1712"/>
      <c r="DN49" s="1717">
        <f>IFERROR(CZ49-DJ49,0)</f>
        <v>0</v>
      </c>
      <c r="DO49" s="1709"/>
      <c r="DQ49" s="1715"/>
      <c r="DR49" s="1719" t="str">
        <f>DQ47</f>
        <v/>
      </c>
      <c r="DS49" s="1816"/>
      <c r="DT49" s="1835" t="str">
        <f>IF(OR(DS47=7,DS47=8,DS47=9),"ALC","")</f>
        <v/>
      </c>
      <c r="DU49" s="1715"/>
      <c r="DV49" s="1716"/>
      <c r="DX49" s="1715"/>
      <c r="DY49" s="1829" t="str">
        <f>DX47</f>
        <v/>
      </c>
      <c r="DZ49" s="1715"/>
      <c r="EA49" s="1715"/>
      <c r="EC49" s="1897"/>
      <c r="ED49" s="1897"/>
      <c r="EF49" s="1707"/>
      <c r="EG49" s="1712"/>
      <c r="EH49" s="1818"/>
      <c r="EI49" s="1712"/>
      <c r="EJ49" s="1712"/>
      <c r="EK49" s="1836"/>
      <c r="EL49" s="1836"/>
      <c r="EM49" s="1807"/>
      <c r="EN49" s="1839"/>
      <c r="EO49" s="1839"/>
      <c r="EP49" s="1817"/>
      <c r="EQ49" s="1817"/>
      <c r="ER49" s="1807"/>
      <c r="ES49" s="1807"/>
      <c r="ET49" s="1807"/>
      <c r="EV49" s="1715"/>
      <c r="EX49" s="1805" t="str">
        <f>IFERROR(VLOOKUP(CS49,'Space Table'!$B$3:$L$163,8,FALSE),"")</f>
        <v/>
      </c>
      <c r="EY49" s="1805" t="str">
        <f>IFERROR(IF(FB49="Yes",VLOOKUP(AG49,Lookup_Control_Type_Table2,4,FALSE),VLOOKUP(AG49,Lookup_Control_Type_Table2,3,FALSE)),"")</f>
        <v/>
      </c>
      <c r="EZ49" s="1805" t="e">
        <f>VLOOKUP(AG49,Lookup!BB$3:BC$20,2,FALSE)</f>
        <v>#N/A</v>
      </c>
      <c r="FA49" s="1805" t="e">
        <f>VLOOKUP(EX47,Lookup_Control_Type_Table,2,FALSE)</f>
        <v>#N/A</v>
      </c>
      <c r="FB49" s="1805" t="e">
        <f>VLOOKUP(CS49,'Space Table'!$B$3:$L$163,7,FALSE)</f>
        <v>#N/A</v>
      </c>
      <c r="FC49" s="1827"/>
      <c r="FE49" s="1698" t="str">
        <f>CONCATENATE(CQ47," - ",AG49)</f>
        <v xml:space="preserve"> - </v>
      </c>
      <c r="FG49" s="1816"/>
      <c r="FH49" s="1816"/>
      <c r="FI49" s="133"/>
      <c r="FL49" s="1822">
        <f>IF(CQ47="Exterior","Not Daylighted",G50)</f>
        <v>0</v>
      </c>
      <c r="FM49" s="1824" t="e">
        <f>VLOOKUP(FL49,_New_Daylight_Table_Codes,2,FALSE)</f>
        <v>#N/A</v>
      </c>
      <c r="FN49" s="1698">
        <f>AG49</f>
        <v>0</v>
      </c>
      <c r="FO49" s="1698" t="e">
        <f>VLOOKUP(FN49,_Control_Table,2,FALSE)</f>
        <v>#N/A</v>
      </c>
      <c r="FP49" s="1678" t="e">
        <f>VLOOKUP(CONCATENATE(FL49," ",FN49),Lookup!AY56:AZ$102,2,FALSE)</f>
        <v>#N/A</v>
      </c>
      <c r="FQ49" s="1698">
        <f>IF(__Retrofit_TI_NC=0,FN49,IF(AND(FT49&gt;0,FN49="Occupancy Sensor"),"Daylight + Occupancy",IF(AND(FT49&gt;0,FO49&lt;4),"Interior Daylight Dimming",FN49)))</f>
        <v>0</v>
      </c>
      <c r="FS49" s="1686">
        <f>IF(CQ47="Interior",VLOOKUP(CS47,Control_Savings_Interior,5,FALSE),0)</f>
        <v>0</v>
      </c>
      <c r="FT49" s="1687" t="e">
        <f>IF(CQ49="Exterior",0,IF(FM49=2,0.5,IF(OR(FM49=1,FM49=3),1,0)))</f>
        <v>#N/A</v>
      </c>
      <c r="FU49" s="1685" t="e">
        <f>IF(R48&gt;FS$44,(FS49*(FS$44/R48)),FS49)*FT49</f>
        <v>#N/A</v>
      </c>
      <c r="FV49" s="1686">
        <f>DI49</f>
        <v>0</v>
      </c>
      <c r="FW49" s="1686" t="e">
        <f>ROUND(FV49+((1-FV49)*FU49),2)</f>
        <v>#N/A</v>
      </c>
      <c r="FX49" s="1686">
        <f>IF(__Retrofit_TI_NC=2,FW49,FV49)</f>
        <v>0</v>
      </c>
      <c r="FY49" s="1697">
        <f>IF(CR49="Interior",VLOOKUP(CS49,Control_Savings_Interior,4,FALSE),0)</f>
        <v>0</v>
      </c>
      <c r="GA49" s="1696"/>
      <c r="GB49" s="1696"/>
      <c r="GC49" s="1696"/>
      <c r="GD49" s="1696"/>
      <c r="GE49" s="1696"/>
      <c r="GF49" s="1696"/>
      <c r="GG49" s="1696"/>
      <c r="GH49" s="1696"/>
      <c r="GI49" s="673" t="b">
        <f>IF(ISNUMBER(SEARCH("TLED",U49)),TRUE,FALSE)</f>
        <v>0</v>
      </c>
      <c r="GJ49" s="1135" t="str">
        <f>IFERROR(VLOOKUP(U49,Fixtures!DM$93:DR$142,6,FALSE),"")</f>
        <v/>
      </c>
      <c r="GK49" s="1832"/>
      <c r="GM49" s="1692"/>
      <c r="GN49" s="1684"/>
      <c r="GP49" s="1684"/>
      <c r="GQ49" s="1684"/>
      <c r="HG49" s="1684"/>
      <c r="HH49" s="1684"/>
      <c r="HI49" s="1684"/>
      <c r="HJ49" s="1684"/>
      <c r="HK49" s="1684"/>
      <c r="HL49" s="1684"/>
      <c r="HM49" s="1684"/>
      <c r="HN49" s="1683"/>
      <c r="HO49" s="1692"/>
      <c r="HP49" s="1692"/>
      <c r="HQ49" s="1670"/>
      <c r="HR49" s="1684"/>
      <c r="HS49" s="1684"/>
      <c r="HT49" s="1670"/>
      <c r="HU49" s="1684"/>
      <c r="HV49" s="1684"/>
      <c r="HW49" s="1684"/>
      <c r="HX49" s="1684"/>
      <c r="HY49" s="1684"/>
      <c r="HZ49" s="1684"/>
      <c r="IB49" s="1692"/>
      <c r="IC49" s="1693" t="b">
        <f>IB47</f>
        <v>0</v>
      </c>
      <c r="ID49" s="1695"/>
      <c r="IE49" s="391"/>
      <c r="IF49" s="1688"/>
      <c r="IG49" s="1689">
        <f ca="1">IF(IF47=TRUE,AC50,0)</f>
        <v>0</v>
      </c>
      <c r="IH49" s="1684"/>
      <c r="IK49" s="1689" t="e">
        <f>ROUND(T49*AB50*N48*R48/1000,0)</f>
        <v>#VALUE!</v>
      </c>
      <c r="IL49" s="1691"/>
      <c r="IM49" s="1693" t="e">
        <f>ROUND(T49*AB50*N48*R48/1000,0)</f>
        <v>#VALUE!</v>
      </c>
      <c r="IN49" s="1691"/>
      <c r="IP49" s="1679"/>
      <c r="IQ49" s="1679" t="e">
        <f t="shared" ref="IQ49:IU49" si="17">IF($CR49="interior",VLOOKUP($CS49,_New_Control_Savings_Interior,IQ$30,FALSE),VLOOKUP($CS49,Control_Savings_Exterior,IQ$30,FALSE))</f>
        <v>#N/A</v>
      </c>
      <c r="IR49" s="1679" t="e">
        <f t="shared" si="17"/>
        <v>#N/A</v>
      </c>
      <c r="IS49" s="1679" t="e">
        <f t="shared" si="17"/>
        <v>#N/A</v>
      </c>
      <c r="IT49" s="1679" t="e">
        <f t="shared" si="17"/>
        <v>#N/A</v>
      </c>
      <c r="IU49" s="1679" t="e">
        <f t="shared" si="17"/>
        <v>#N/A</v>
      </c>
      <c r="IV49" s="1679" t="e">
        <f>IF($CR49="interior",IF(R48&gt;$IP$14,ROUND(($IV$18*($IP$14/R48)),2),$IV$18),VLOOKUP($CS49,Control_Savings_Exterior,IV$30,FALSE))</f>
        <v>#N/A</v>
      </c>
      <c r="IW49" s="1679" t="e">
        <f>IF($CR49="interior",ROUND(((1-IS49)*IV49)+IS49,2),VLOOKUP($CS49,Control_Savings_Exterior,IW$30,FALSE))</f>
        <v>#N/A</v>
      </c>
      <c r="IX49" s="1679" t="e">
        <f>IF($CR49="interior",ROUND(((1-IT49)*IV49)+IT49,2),VLOOKUP($CS49,Control_Savings_Exterior,IX$30,FALSE))</f>
        <v>#N/A</v>
      </c>
      <c r="IY49" s="1679" t="e">
        <f>IF($CR49="interior",IF(R48&gt;$IP$14,ROUND(($IY$18*($IP$14/R48)),2),$IY$18),VLOOKUP($CS49,Control_Savings_Exterior,IY$30,FALSE))</f>
        <v>#N/A</v>
      </c>
      <c r="IZ49" s="1679" t="e">
        <f>IF($CR49="interior",ROUND(((1-IS49)*IY49)+IS49,2),VLOOKUP($CS49,Control_Savings_Exterior,IZ$30,FALSE))</f>
        <v>#N/A</v>
      </c>
      <c r="JA49" s="1679" t="e">
        <f>IF($CR49="interior",ROUND(((1-IT49)*IY49)+IT49,2),VLOOKUP($CS49,Control_Savings_Exterior,JA$30,FALSE))</f>
        <v>#N/A</v>
      </c>
      <c r="JC49" s="1680">
        <f>IFERROR(IF(CR49="Interior",CONCATENATE(G50," ",FQ49),AG49),"")</f>
        <v>0</v>
      </c>
      <c r="JD49" s="1670" t="str">
        <f>IFERROR(VLOOKUP(JC49,_Controls_2023,2,FALSE),"")</f>
        <v/>
      </c>
      <c r="JE49" s="1681">
        <f>IFERROR(CHOOSE(JD49-1,IQ49,IR49,IS49,IT49,IU49,IV49,IW49,IX49,IY49,IZ49,JA49),0)</f>
        <v>0</v>
      </c>
      <c r="JG49" s="1680" t="str">
        <f>FE49</f>
        <v xml:space="preserve"> - </v>
      </c>
      <c r="JH49" s="1670" t="e">
        <f>$FO49</f>
        <v>#N/A</v>
      </c>
      <c r="JI49" s="1060"/>
      <c r="JJ49" s="1670">
        <f>IFERROR(IF($IB47=TRUE,IF(OR(JJ$14="No",JJ47=FALSE,JH49&lt;=JH47,AND(_kWh_Grant=0,GD47=FALSE)),0,IF(JJ$8="Per Line",1,$AF49)),0),0)</f>
        <v>0</v>
      </c>
      <c r="JK49" s="1061"/>
      <c r="JL49" s="1670">
        <f>IFERROR(IF(_kWh_Grant=0,0,IF($IB47=TRUE,IF(OR(JL$14="No",JL47=FALSE,JH49&lt;=JH47),0,IF(JL$8="Per Line",1,$T49)),0)),0)</f>
        <v>0</v>
      </c>
      <c r="JM49" s="1061"/>
      <c r="JN49" s="1670">
        <f>IFERROR(IF(_kWh_Grant=0,0,IF($IB47=TRUE,IF(OR(JN$14="No",JN47=FALSE,JH49&lt;=JH47),0,IF(JN$8="Per Line",1,$AF49)),0)),0)</f>
        <v>0</v>
      </c>
      <c r="JO49" s="1061"/>
      <c r="JP49" s="1670">
        <f>IFERROR(IF(__Retrofit_TI_NC=0,IF(_kWh_Grant=0,0,IF($IB47=TRUE,IF(OR(JP$14="No",JP47=FALSE,$JH49&lt;=$JH47),0,IF(JP$8="Per Line",1,$AF49)),0)),IF($IB47=TRUE,IF(OR(JP$14="No",JP47=FALSE,$JH49&lt;=$JH47),0,IF(JP$8="Per Line",1,$AF49)))),0)</f>
        <v>0</v>
      </c>
      <c r="JQ49" s="1061"/>
      <c r="JR49" s="1670">
        <f>IFERROR(IF(__Retrofit_TI_NC=0,IF(_kWh_Grant=0,0,IF($IB47=TRUE,IF(OR(JR$14="No",JR47=FALSE,$JH49&lt;=$JH47),0,IF(JR$8="Per Line",1,$AF49)),0)),IF($IB47=TRUE,IF(OR(JR$14="No",JR47=FALSE,$JH49&lt;=$JH47),0,IF(JR$8="Per Line",1,$AF49)))),0)</f>
        <v>0</v>
      </c>
      <c r="JS49" s="1061"/>
      <c r="JT49" s="1670">
        <f>IFERROR(IF(__Retrofit_TI_NC=0,IF(_kWh_Grant=0,0,IF($IB47=TRUE,IF(OR(JT$14="No",JT47=FALSE,$JH49&lt;=$JH47),0,IF(JT$8="Per Line",1,$AF49)),0)),IF($IB47=TRUE,IF(OR(JT$14="No",JT47=FALSE,$JH49&lt;=$JH47),0,IF(JT$8="Per Line",1,$AF49)))),0)</f>
        <v>0</v>
      </c>
      <c r="JU49" s="1061"/>
      <c r="JV49" s="1670">
        <f>IFERROR(IF(__Retrofit_TI_NC=0,IF(_kWh_Grant=0,0,IF($IB47=TRUE,IF(OR(JV$14="No",JV47=FALSE,$JH49&lt;=$JH47),0,IF(JV$8="Per Line",1,$AF49)),0)),IF($IB47=TRUE,IF(OR(JV$14="No",JV47=FALSE,$JH49&lt;=$JH47),0,IF(JV$8="Per Line",1,$AF49)))),0)</f>
        <v>0</v>
      </c>
      <c r="JX49" s="1670">
        <f>IFERROR(IF(__Retrofit_TI_NC=0,IF(_kWh_Grant=0,0,IF($IB47=TRUE,IF(OR(JX$14="No",JX47=FALSE,$JH49&lt;=$JH47),0,IF(JX$8="Per Line",1,$AF49)),0)),IF($IB47=TRUE,IF(OR(JX$14="No",JX47=FALSE,$JH49&lt;=$JH47),0,IF(JX$8="Per Line",1,$AF49)))),0)</f>
        <v>0</v>
      </c>
      <c r="JZ49" s="1670">
        <f>IFERROR(IF($IB47=TRUE,IF(OR(JZ$14="No",JZ47=FALSE,$JH49&lt;=$JH47,AND(_kWh_Grant=0,$GD47=FALSE)),0,IF(JZ$8="Per Line",1,$AF49)),0),0)</f>
        <v>0</v>
      </c>
      <c r="KB49" s="1670">
        <f>IFERROR(IF(__Retrofit_TI_NC=0,IF(_kWh_Grant=0,0,IF($IB47=TRUE,IF(OR(KB$14="No",KB47=FALSE,$JH49&lt;=$JH47),0,IF(KB$8="Per Line",1,$AF49)),0)),IF($IB47=TRUE,IF(OR(KB$14="No",KB47=FALSE,$JH49&lt;=$JH47),0,IF(KB$8="Per Line",1,$AF49)))),0)</f>
        <v>0</v>
      </c>
    </row>
    <row r="50" spans="1:288" s="78" customFormat="1" ht="14.95" customHeight="1">
      <c r="B50" s="1845"/>
      <c r="C50" s="1846"/>
      <c r="D50" s="1847"/>
      <c r="E50" s="1771" t="s">
        <v>436</v>
      </c>
      <c r="F50" s="1772"/>
      <c r="G50" s="1784"/>
      <c r="H50" s="1785"/>
      <c r="I50" s="1785"/>
      <c r="J50" s="1785"/>
      <c r="K50" s="1785"/>
      <c r="L50" s="1786"/>
      <c r="M50" s="591">
        <f>IFERROR(VLOOKUP(G50,_Daylight_Table[],2,FALSE),0)</f>
        <v>0</v>
      </c>
      <c r="N50" s="592" t="str">
        <f>IF(AND(__Retrofit_TI_NC&gt;0,CQ47="Interior"),"BAM","")</f>
        <v/>
      </c>
      <c r="O50" s="591" t="e">
        <f>VLOOKUP(G49,'Space Table'!$B$3:$L$163,11,FALSE)</f>
        <v>#N/A</v>
      </c>
      <c r="P50" s="1789"/>
      <c r="Q50" s="1790"/>
      <c r="R50" s="1790"/>
      <c r="S50" s="1788"/>
      <c r="T50" s="593" t="s">
        <v>342</v>
      </c>
      <c r="U50" s="1756" t="str" cm="1">
        <f t="array" aca="1" ref="U50" ca="1">IFERROR(VLOOKUP(INDIRECT("U" &amp; ROW()-1),Fixtures!DM$93:DP$142,4,FALSE),"")</f>
        <v/>
      </c>
      <c r="V50" s="1757"/>
      <c r="W50" s="1757"/>
      <c r="X50" s="1757"/>
      <c r="Y50" s="1757"/>
      <c r="Z50" s="1757"/>
      <c r="AA50" s="1758"/>
      <c r="AB50" s="939" t="str">
        <f>IFERROR(VLOOKUP(U49,Fixtures_Proposed_List,2,FALSE),"")</f>
        <v/>
      </c>
      <c r="AC50" s="933" t="str">
        <f>IFERROR(ROUND(T49*AB50*N48*R48/1000,0),"")</f>
        <v/>
      </c>
      <c r="AD50" s="934" t="str">
        <f>IFERROR(ROUND(T49*AB50/1000,2),"")</f>
        <v/>
      </c>
      <c r="AE50" s="998"/>
      <c r="AF50" s="938" t="s">
        <v>342</v>
      </c>
      <c r="AG50" s="1770"/>
      <c r="AH50" s="1770"/>
      <c r="AI50" s="1770"/>
      <c r="AJ50" s="1770"/>
      <c r="AK50" s="1770"/>
      <c r="AL50" s="1770"/>
      <c r="AM50" s="1727"/>
      <c r="AN50" s="1729"/>
      <c r="AO50" s="1731"/>
      <c r="AP50" s="1782"/>
      <c r="AQ50" s="1783"/>
      <c r="AR50" s="1797"/>
      <c r="AS50" s="1797"/>
      <c r="AT50" s="1798"/>
      <c r="AU50" s="1736"/>
      <c r="AV50" s="1753"/>
      <c r="AW50" s="1706"/>
      <c r="AX50" s="468"/>
      <c r="AY50" s="1750"/>
      <c r="AZ50" s="1750"/>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696"/>
      <c r="CQ50" s="1696"/>
      <c r="CR50" s="1809"/>
      <c r="CS50" s="1811"/>
      <c r="CU50" s="1688"/>
      <c r="CV50" s="1703"/>
      <c r="CW50" s="1703"/>
      <c r="CX50" s="1813"/>
      <c r="CY50" s="1815"/>
      <c r="CZ50" s="1711"/>
      <c r="DA50" s="1815"/>
      <c r="DB50" s="1821"/>
      <c r="DC50" s="1821"/>
      <c r="DD50" s="1821"/>
      <c r="DF50" s="1703"/>
      <c r="DG50" s="1831"/>
      <c r="DH50" s="1813"/>
      <c r="DI50" s="1838"/>
      <c r="DJ50" s="1711"/>
      <c r="DK50" s="1712"/>
      <c r="DN50" s="1718"/>
      <c r="DO50" s="1709"/>
      <c r="DQ50" s="1715"/>
      <c r="DR50" s="1720"/>
      <c r="DS50" s="1703"/>
      <c r="DT50" s="1714"/>
      <c r="DU50" s="1715"/>
      <c r="DV50" s="1716"/>
      <c r="DX50" s="1715"/>
      <c r="DY50" s="1720"/>
      <c r="DZ50" s="1715"/>
      <c r="EA50" s="1715"/>
      <c r="EC50" s="1897"/>
      <c r="ED50" s="1897"/>
      <c r="EF50" s="1707"/>
      <c r="EG50" s="1712"/>
      <c r="EH50" s="1815"/>
      <c r="EI50" s="1712"/>
      <c r="EJ50" s="1712"/>
      <c r="EK50" s="1813"/>
      <c r="EL50" s="1813"/>
      <c r="EM50" s="1807"/>
      <c r="EN50" s="1839"/>
      <c r="EO50" s="1839"/>
      <c r="EP50" s="1817"/>
      <c r="EQ50" s="1817"/>
      <c r="ER50" s="1807"/>
      <c r="ES50" s="1807"/>
      <c r="ET50" s="1807"/>
      <c r="EV50" s="1715"/>
      <c r="EX50" s="1806"/>
      <c r="EY50" s="1806"/>
      <c r="EZ50" s="1806"/>
      <c r="FA50" s="1806"/>
      <c r="FB50" s="1806"/>
      <c r="FC50" s="1828"/>
      <c r="FE50" s="1698"/>
      <c r="FG50" s="1703"/>
      <c r="FH50" s="1703"/>
      <c r="FI50" s="133"/>
      <c r="FL50" s="1823"/>
      <c r="FM50" s="1825"/>
      <c r="FN50" s="1698"/>
      <c r="FO50" s="1698"/>
      <c r="FP50" s="1678"/>
      <c r="FQ50" s="1698"/>
      <c r="FS50" s="1687"/>
      <c r="FT50" s="1687"/>
      <c r="FU50" s="1685"/>
      <c r="FV50" s="1687"/>
      <c r="FW50" s="1687"/>
      <c r="FX50" s="1687"/>
      <c r="FY50" s="1697"/>
      <c r="GA50" s="1696"/>
      <c r="GB50" s="1696"/>
      <c r="GC50" s="1696"/>
      <c r="GD50" s="1696"/>
      <c r="GE50" s="1696"/>
      <c r="GF50" s="1696"/>
      <c r="GG50" s="1696"/>
      <c r="GH50" s="1696"/>
      <c r="GI50" s="673"/>
      <c r="GJ50" s="1135"/>
      <c r="GK50" s="1832"/>
      <c r="GN50" s="674">
        <f>IF(GN48=TRUE,0,GN$16)</f>
        <v>0</v>
      </c>
      <c r="GP50" s="674">
        <f>IF(GP48=TRUE,0,GP$16)</f>
        <v>36</v>
      </c>
      <c r="GQ50" s="674">
        <f ca="1">IF(GQ48=TRUE,0,GQ$16)</f>
        <v>35</v>
      </c>
      <c r="GR50" s="391"/>
      <c r="GS50" s="391"/>
      <c r="GT50" s="391"/>
      <c r="GU50" s="391"/>
      <c r="GV50" s="391"/>
      <c r="HG50" s="674">
        <f>IF(HG48=TRUE,0,HG$16)</f>
        <v>0</v>
      </c>
      <c r="HH50" s="674">
        <f t="shared" ref="HH50:HM50" si="18">IF(HH48=TRUE,0,HH$16)</f>
        <v>19</v>
      </c>
      <c r="HI50" s="674">
        <f t="shared" si="18"/>
        <v>18</v>
      </c>
      <c r="HJ50" s="674">
        <f t="shared" si="18"/>
        <v>17</v>
      </c>
      <c r="HK50" s="674">
        <f t="shared" si="18"/>
        <v>16</v>
      </c>
      <c r="HL50" s="674">
        <f t="shared" si="18"/>
        <v>0</v>
      </c>
      <c r="HM50" s="674">
        <f t="shared" si="18"/>
        <v>0</v>
      </c>
      <c r="HN50" s="674">
        <f>IF(HN48=TRUE,0,HN$16)</f>
        <v>13</v>
      </c>
      <c r="HO50" s="674">
        <f t="shared" ref="HO50:HQ50" si="19">IF(HO48=TRUE,0,HO$16)</f>
        <v>0</v>
      </c>
      <c r="HP50" s="674">
        <f t="shared" si="19"/>
        <v>0</v>
      </c>
      <c r="HQ50" s="674">
        <f t="shared" si="19"/>
        <v>10</v>
      </c>
      <c r="HR50" s="674">
        <f>IF(HR48=TRUE,0,HR$16)</f>
        <v>9</v>
      </c>
      <c r="HS50" s="674">
        <f t="shared" ref="HS50:HW50" si="20">IF(HS48=TRUE,0,HS$16)</f>
        <v>0</v>
      </c>
      <c r="HT50" s="674">
        <f t="shared" si="20"/>
        <v>0</v>
      </c>
      <c r="HU50" s="674">
        <f t="shared" si="20"/>
        <v>0</v>
      </c>
      <c r="HV50" s="674">
        <f t="shared" si="20"/>
        <v>0</v>
      </c>
      <c r="HW50" s="674">
        <f t="shared" si="20"/>
        <v>0</v>
      </c>
      <c r="HX50" s="674">
        <f>IF(HX48=TRUE,0,HX$16)</f>
        <v>0</v>
      </c>
      <c r="HY50" s="674">
        <f>IF(HY48=TRUE,0,HY$16)</f>
        <v>0</v>
      </c>
      <c r="HZ50" s="674">
        <f>IF(HZ48=TRUE,0,HZ$16)</f>
        <v>1</v>
      </c>
      <c r="IB50" s="674">
        <f>IF(GP48=FALSE,GP50,IF(GQ48=FALSE,GQ50,MAX(GN50:HZ50)))</f>
        <v>36</v>
      </c>
      <c r="IC50" s="1692"/>
      <c r="ID50" s="205" t="str">
        <f>VLOOKUP(IB50,_Error_Table,3,FALSE)</f>
        <v xml:space="preserve"> </v>
      </c>
      <c r="IE50" s="205"/>
      <c r="IF50" s="1688"/>
      <c r="IG50" s="1689"/>
      <c r="IH50" s="1684"/>
      <c r="IK50" s="1689"/>
      <c r="IL50" s="1692"/>
      <c r="IM50" s="1692"/>
      <c r="IN50" s="1692"/>
      <c r="IP50" s="1679"/>
      <c r="IQ50" s="1679"/>
      <c r="IR50" s="1679"/>
      <c r="IS50" s="1679"/>
      <c r="IT50" s="1679"/>
      <c r="IU50" s="1679"/>
      <c r="IV50" s="1679"/>
      <c r="IW50" s="1679"/>
      <c r="IX50" s="1679"/>
      <c r="IY50" s="1679"/>
      <c r="IZ50" s="1679"/>
      <c r="JA50" s="1679"/>
      <c r="JC50" s="1680"/>
      <c r="JD50" s="1670"/>
      <c r="JE50" s="1681"/>
      <c r="JG50" s="1680"/>
      <c r="JH50" s="1670"/>
      <c r="JI50" s="1060"/>
      <c r="JJ50" s="1670"/>
      <c r="JK50" s="1061"/>
      <c r="JL50" s="1670"/>
      <c r="JM50" s="1061"/>
      <c r="JN50" s="1670"/>
      <c r="JO50" s="1061"/>
      <c r="JP50" s="1670"/>
      <c r="JQ50" s="1061"/>
      <c r="JR50" s="1670"/>
      <c r="JS50" s="1061"/>
      <c r="JT50" s="1670"/>
      <c r="JU50" s="1061"/>
      <c r="JV50" s="1670"/>
      <c r="JX50" s="1670"/>
      <c r="JZ50" s="1670"/>
      <c r="KB50" s="1670"/>
    </row>
    <row r="51" spans="1:288" s="78" customFormat="1" ht="5.0999999999999996" customHeight="1">
      <c r="B51" s="675"/>
      <c r="C51" s="392"/>
      <c r="D51" s="392"/>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3"/>
      <c r="AH51" s="1733"/>
      <c r="AI51" s="1733"/>
      <c r="AJ51" s="1733"/>
      <c r="AK51" s="1733"/>
      <c r="AL51" s="1733"/>
      <c r="AM51" s="1733"/>
      <c r="AN51" s="1733"/>
      <c r="AO51" s="1733"/>
      <c r="AP51" s="1733"/>
      <c r="AQ51" s="1733"/>
      <c r="AR51" s="1733"/>
      <c r="AS51" s="1733"/>
      <c r="AT51" s="1733"/>
      <c r="AU51" s="1733"/>
      <c r="AV51" s="1733"/>
      <c r="AW51" s="1733"/>
      <c r="AX51" s="469"/>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663"/>
      <c r="CQ51" s="663"/>
      <c r="CR51" s="438"/>
      <c r="CS51" s="663"/>
      <c r="CV51" s="391"/>
      <c r="CW51" s="391"/>
      <c r="CX51" s="207"/>
      <c r="CY51" s="208"/>
      <c r="CZ51" s="208"/>
      <c r="DA51" s="208"/>
      <c r="DB51" s="209"/>
      <c r="DC51" s="209"/>
      <c r="DD51" s="209"/>
      <c r="DF51" s="664"/>
      <c r="DG51" s="1068"/>
      <c r="DH51" s="666"/>
      <c r="DI51" s="667"/>
      <c r="DJ51" s="668"/>
      <c r="DK51" s="668"/>
      <c r="DN51" s="208"/>
      <c r="DO51" s="664"/>
      <c r="DQ51" s="664"/>
      <c r="DR51" s="669"/>
      <c r="DS51" s="391"/>
      <c r="DT51" s="664"/>
      <c r="DU51" s="664"/>
      <c r="DV51" s="664"/>
      <c r="DX51" s="664"/>
      <c r="DY51" s="664"/>
      <c r="DZ51" s="664"/>
      <c r="EA51" s="664"/>
      <c r="EC51" s="670"/>
      <c r="ED51" s="670"/>
      <c r="EF51" s="668"/>
      <c r="EG51" s="668"/>
      <c r="EH51" s="208"/>
      <c r="EI51" s="668"/>
      <c r="EJ51" s="668"/>
      <c r="EK51" s="207"/>
      <c r="EL51" s="207"/>
      <c r="EM51" s="666"/>
      <c r="EN51" s="671"/>
      <c r="EO51" s="671"/>
      <c r="EP51" s="672"/>
      <c r="EQ51" s="672"/>
      <c r="ER51" s="666"/>
      <c r="ES51" s="666"/>
      <c r="ET51" s="666"/>
      <c r="EV51" s="664"/>
      <c r="EX51" s="391"/>
      <c r="EY51" s="391"/>
      <c r="EZ51" s="391"/>
      <c r="FA51" s="391"/>
      <c r="FB51" s="391"/>
      <c r="FC51" s="391"/>
      <c r="FE51" s="569"/>
      <c r="FG51" s="391"/>
      <c r="FH51" s="391"/>
      <c r="FI51" s="391"/>
      <c r="FP51" s="1061"/>
      <c r="FS51" s="664"/>
      <c r="FT51" s="391"/>
      <c r="FU51" s="391"/>
      <c r="FV51" s="664"/>
      <c r="FW51" s="664"/>
      <c r="GA51" s="663"/>
      <c r="GB51" s="663"/>
      <c r="GC51" s="663"/>
      <c r="GD51" s="663"/>
      <c r="GE51" s="663"/>
      <c r="GF51" s="663"/>
      <c r="GG51" s="663"/>
      <c r="GH51" s="663"/>
      <c r="GI51" s="665"/>
      <c r="GJ51" s="664"/>
      <c r="GK51" s="664"/>
      <c r="JG51" s="1062"/>
      <c r="JH51" s="1061"/>
      <c r="JI51" s="1061"/>
      <c r="JJ51" s="1061"/>
      <c r="JK51" s="1061"/>
      <c r="JL51" s="1061"/>
      <c r="JM51" s="1061"/>
      <c r="JN51" s="1061"/>
      <c r="JO51" s="1061"/>
      <c r="JP51" s="1061"/>
      <c r="JQ51" s="1061"/>
      <c r="JR51" s="1061"/>
      <c r="JS51" s="1061"/>
      <c r="JT51" s="1061"/>
      <c r="JU51" s="1061"/>
      <c r="JV51" s="1061"/>
      <c r="KB51" s="1061"/>
    </row>
    <row r="52" spans="1:288" s="78" customFormat="1" ht="14.95" customHeight="1">
      <c r="B52" s="1845" t="str">
        <f>ID55</f>
        <v xml:space="preserve"> </v>
      </c>
      <c r="C52" s="1846">
        <f>C47+1</f>
        <v>2</v>
      </c>
      <c r="D52" s="1847"/>
      <c r="E52" s="1799" t="s">
        <v>295</v>
      </c>
      <c r="F52" s="1800"/>
      <c r="G52" s="1741"/>
      <c r="H52" s="1742"/>
      <c r="I52" s="1742"/>
      <c r="J52" s="1742"/>
      <c r="K52" s="1742"/>
      <c r="L52" s="1742"/>
      <c r="M52" s="1742"/>
      <c r="N52" s="1742"/>
      <c r="O52" s="1742"/>
      <c r="P52" s="1742"/>
      <c r="Q52" s="1742"/>
      <c r="R52" s="1742"/>
      <c r="S52" s="1791" t="s">
        <v>344</v>
      </c>
      <c r="T52" s="590"/>
      <c r="U52" s="1743"/>
      <c r="V52" s="1744"/>
      <c r="W52" s="1744"/>
      <c r="X52" s="1744"/>
      <c r="Y52" s="1744"/>
      <c r="Z52" s="1744"/>
      <c r="AA52" s="1744"/>
      <c r="AB52" s="961" t="str">
        <f>IFERROR(IF(__Retrofit_TI_NC=0,VLOOKUP(U53,Fixtures_Existing_List,2,FALSE),ROUND(N54*R54/T54,10)),"")</f>
        <v/>
      </c>
      <c r="AC52" s="935" t="str">
        <f>IFERROR(IF(__Retrofit_TI_NC=0,ROUND(T53*AB52*N53*R53/1000,0),IF(CQ52="Interior",N54*R54*R53*N53*_C406_reduction/1000,N54*R54*R53*N53/1000)),"")</f>
        <v/>
      </c>
      <c r="AD52" s="936" t="str">
        <f>IFERROR(IF(C$43=0,ROUND(T53*AB52/1000,2),N54*R54/1000),"")</f>
        <v/>
      </c>
      <c r="AE52" s="997"/>
      <c r="AF52" s="937"/>
      <c r="AG52" s="1745" t="str">
        <f>IF(__Retrofit_TI_NC=0," Control","Select Control for New System")</f>
        <v xml:space="preserve"> Control</v>
      </c>
      <c r="AH52" s="1745"/>
      <c r="AI52" s="1745"/>
      <c r="AJ52" s="1745"/>
      <c r="AK52" s="1745"/>
      <c r="AL52" s="1745"/>
      <c r="AM52" s="1746">
        <f>IFERROR(DI52,"")</f>
        <v>0</v>
      </c>
      <c r="AN52" s="1774" t="str">
        <f>IFERROR(ROUND(AM52*AC52,0),"")</f>
        <v/>
      </c>
      <c r="AO52" s="1776">
        <f>IFERROR(IF(IB52=FALSE,0,AC52-AN52),0)</f>
        <v>0</v>
      </c>
      <c r="AP52" s="1778">
        <f>AO52-AO54</f>
        <v>0</v>
      </c>
      <c r="AQ52" s="1779"/>
      <c r="AR52" s="1793">
        <f>IFERROR(IF(IB52=FALSE,0,(T54*U55)+(AF54*AG55)),0)</f>
        <v>0</v>
      </c>
      <c r="AS52" s="1793"/>
      <c r="AT52" s="1794"/>
      <c r="AU52" s="1734" t="s">
        <v>237</v>
      </c>
      <c r="AV52" s="1751">
        <f>IF(AU52="Yes",1,0)</f>
        <v>1</v>
      </c>
      <c r="AW52" s="1704" t="str">
        <f>IF(OR(DQ52=4,DQ52=5,DQ52=6,DQ52=12),CONCATENATE("$",IF(GH52=TRUE,Lookup!$K$10,Lookup!$K$2)," /lamp"),CONCATENATE(TEXT(ED52,"$0.00"),"/ kWh"))</f>
        <v>$0.00/ kWh</v>
      </c>
      <c r="AX52" s="467"/>
      <c r="AY52" s="1748">
        <f ca="1">IFERROR(IF(GM53=TRUE,(AB55*T54)/R54,0),"NA")</f>
        <v>0</v>
      </c>
      <c r="AZ52" s="1748"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696" t="str">
        <f>N53</f>
        <v/>
      </c>
      <c r="CQ52" s="1696" t="str">
        <f>IFERROR(VLOOKUP(G53,_Lookup_Heat_Type_Table_New,3,FALSE),"")</f>
        <v/>
      </c>
      <c r="CR52" s="1808" t="str">
        <f>CQ52</f>
        <v/>
      </c>
      <c r="CS52" s="1810" t="str">
        <f>IFERROR(VLOOKUP(G54,'Space Table'!$B$3:$L$163,9,FALSE),"")</f>
        <v/>
      </c>
      <c r="CU52" s="1688" t="s">
        <v>344</v>
      </c>
      <c r="CV52" s="1702">
        <f>IF(IB52=TRUE,T53,0)</f>
        <v>0</v>
      </c>
      <c r="CW52" s="1702" t="str">
        <f>IF(IB52=TRUE,U53,"")</f>
        <v/>
      </c>
      <c r="CX52" s="1702"/>
      <c r="CY52" s="1814">
        <f>IF(IB52=TRUE,AB52,0)</f>
        <v>0</v>
      </c>
      <c r="CZ52" s="1710">
        <f>IF(AND(__Retrofit_TI_NC&gt;0,CR52="interior"),0,IF(IB52=TRUE,AC52,0))</f>
        <v>0</v>
      </c>
      <c r="DA52" s="1814">
        <f>IFERROR(IF(IB52=TRUE,CZ52-CZ54,0),0)</f>
        <v>0</v>
      </c>
      <c r="DB52" s="1819">
        <f>IF(IB52=TRUE,AD52,0)</f>
        <v>0</v>
      </c>
      <c r="DC52" s="1819">
        <f>IF(IB52=TRUE,AD55,0)</f>
        <v>0</v>
      </c>
      <c r="DD52" s="1819">
        <f>IFERROR(DB52-DC52,0)</f>
        <v>0</v>
      </c>
      <c r="DF52" s="1702">
        <f>IF(IB52=TRUE,AF53,0)</f>
        <v>0</v>
      </c>
      <c r="DG52" s="1830">
        <f>IFERROR(IF(__Retrofit_TI_NC=2,IF(CQ52="Exterior",O55,FQ52),FN52),"")</f>
        <v>0</v>
      </c>
      <c r="DH52" s="1702"/>
      <c r="DI52" s="1837">
        <f>JE52</f>
        <v>0</v>
      </c>
      <c r="DJ52" s="1710">
        <f>IF(AND(__Retrofit_TI_NC&gt;0,CR52="interior"),0,IF(IB52=TRUE,AN52,0))</f>
        <v>0</v>
      </c>
      <c r="DK52" s="1712">
        <f>IFERROR(IF(IB52=TRUE,DJ54-DJ52,0),0)</f>
        <v>0</v>
      </c>
      <c r="DM52" s="1717">
        <f>IFERROR(CZ52-DJ52,0)</f>
        <v>0</v>
      </c>
      <c r="DO52" s="1708">
        <f>DM52-DN54</f>
        <v>0</v>
      </c>
      <c r="DQ52" s="1715" t="str">
        <f>IFERROR(IF(AND(OR(GC52=4,GC52=5,GC52=6),OR(GF52=4,GF52=5,GF52=6)),GC52+8,VLOOKUP(CW54,Fixtures!R$31:Y$78,8,FALSE)),"")</f>
        <v/>
      </c>
      <c r="DR52" s="1829" t="str">
        <f>DQ52</f>
        <v/>
      </c>
      <c r="DS52" s="1702" t="str">
        <f>IFERROR(VLOOKUP(DG54,Lookup!BB$3:BC$20,2,FALSE),"")</f>
        <v/>
      </c>
      <c r="DT52" s="1713" t="str">
        <f>IF(OR(DS52=7,DS52=8,DS52=9),"ALC","")</f>
        <v/>
      </c>
      <c r="DU52" s="1715">
        <f>IFERROR(IF(OR(DQ52=4,DQ52=5,DQ52=6,DQ52=12,DQ52=13,DQ52=14),VLOOKUP(CW54,Fixtures!DN$27:EG$77,19,FALSE),1)*CV54,0)</f>
        <v>0</v>
      </c>
      <c r="DV52" s="1716">
        <f>IF(OR(DS52=7,DS52=8,DS52=9),IF(DG52=DG54,0,DF54),0)</f>
        <v>0</v>
      </c>
      <c r="DX52" s="1715" t="str">
        <f>IFERROR(IF(EZ52&lt;EZ54,"Yes","No"),"")</f>
        <v/>
      </c>
      <c r="DY52" s="1829" t="str">
        <f>DX52</f>
        <v/>
      </c>
      <c r="DZ52" s="1715">
        <f>IF(DX52="Yes",DF54,0)</f>
        <v>0</v>
      </c>
      <c r="EA52" s="1715">
        <f>DZ52-DV52</f>
        <v>0</v>
      </c>
      <c r="EC52" s="1834">
        <f>IFERROR(VLOOKUP(DQ52,Lookup!AU$3:AV$16,2,FALSE),0)</f>
        <v>0</v>
      </c>
      <c r="ED52" s="1834">
        <f>IF(IB52=FALSE,0,IF(DX52="Yes",EC52+Lookup!K$6,EC52))</f>
        <v>0</v>
      </c>
      <c r="EF52" s="1707">
        <f>IF(IB52=TRUE,DM52,0)</f>
        <v>0</v>
      </c>
      <c r="EG52" s="1712">
        <f>IF(IB52=TRUE,CZ54,0)</f>
        <v>0</v>
      </c>
      <c r="EH52" s="1814">
        <f>IFERROR(EF52-EG52,0)</f>
        <v>0</v>
      </c>
      <c r="EI52" s="1712">
        <f>IF(IB52=TRUE,DJ54,0)</f>
        <v>0</v>
      </c>
      <c r="EJ52" s="1712">
        <f>IFERROR(EF52-EG52+EI52,0)</f>
        <v>0</v>
      </c>
      <c r="EK52" s="1812">
        <f>IF(IB52=TRUE,CV54*CX54,0)</f>
        <v>0</v>
      </c>
      <c r="EL52" s="1812">
        <f>IF(IB52=TRUE,DF54*DH54,0)</f>
        <v>0</v>
      </c>
      <c r="EM52" s="1807">
        <f>AR52</f>
        <v>0</v>
      </c>
      <c r="EN52" s="1839" t="str">
        <f>IFERROR(IF(IB52=TRUE,VLOOKUP(DQ52,Lookup!AU$3:AW$16,3,FALSE)*DU52,""),0)</f>
        <v/>
      </c>
      <c r="EO52" s="1839">
        <f>IF(IB52=TRUE,DZ52*Lookup!AW$12,0)</f>
        <v>0</v>
      </c>
      <c r="EP52" s="1817">
        <f>IFERROR(IF(IB52=TRUE,EN52/EP$40,0),0)</f>
        <v>0</v>
      </c>
      <c r="EQ52" s="1817">
        <f>IF(IB52=TRUE,EO52/EQ$40,0)</f>
        <v>0</v>
      </c>
      <c r="ER52" s="1807">
        <f>IF(IB52=TRUE,ET$40*EP52,0)</f>
        <v>0</v>
      </c>
      <c r="ES52" s="1807">
        <f>IF(IB52=TRUE,ET$40*EQ52,0)</f>
        <v>0</v>
      </c>
      <c r="ET52" s="1807">
        <f>ER52+ES52</f>
        <v>0</v>
      </c>
      <c r="EV52" s="1715">
        <f>IF(G52="",0,1)</f>
        <v>0</v>
      </c>
      <c r="EX52" s="1804" t="str">
        <f>IFERROR(VLOOKUP(CS54,'Space Table'!$B$3:$L$163,8,FALSE),"")</f>
        <v/>
      </c>
      <c r="EY52" s="1804" t="str">
        <f>IFERROR(IF(FB52="Yes",VLOOKUP(DG52,Lookup_Control_Type_Table2,4,FALSE),VLOOKUP(DG52,Lookup_Control_Type_Table2,3,FALSE)),"")</f>
        <v/>
      </c>
      <c r="EZ52" s="1804" t="e">
        <f>VLOOKUP(DG52,Lookup!BB$3:BC$20,2,FALSE)</f>
        <v>#N/A</v>
      </c>
      <c r="FA52" s="1804" t="e">
        <f>VLOOKUP(EX52,Lookup_Control_Type_Table,2,FALSE)</f>
        <v>#N/A</v>
      </c>
      <c r="FB52" s="1804" t="e">
        <f>VLOOKUP(CS54,'Space Table'!$B$3:$L$163,7,FALSE)</f>
        <v>#N/A</v>
      </c>
      <c r="FC52" s="1826" t="b">
        <f>ISNUMBER(SEARCH("TLED",U54))</f>
        <v>0</v>
      </c>
      <c r="FE52" s="1698" t="str">
        <f>CONCATENATE(CQ52," - ",DG52)</f>
        <v xml:space="preserve"> - 0</v>
      </c>
      <c r="FG52" s="1702" t="str">
        <f>VLOOKUP(CW54,Fixtures!DN$27:EZ$77,38,FALSE)</f>
        <v/>
      </c>
      <c r="FH52" s="1702">
        <f>IFERROR(FG52*EH52,0)</f>
        <v>0</v>
      </c>
      <c r="FI52" s="133"/>
      <c r="FL52" s="1822" t="str">
        <f>IF(CQ52="Exterior","Not Daylighted",G55)</f>
        <v>Not Daylighted</v>
      </c>
      <c r="FM52" s="1824">
        <f>VLOOKUP(FL52,_New_Daylight_Table_Codes,2,FALSE)</f>
        <v>0</v>
      </c>
      <c r="FN52" s="1698">
        <f>IF(__Retrofit_TI_NC&gt;0,VLOOKUP(G54,'Space Table'!$B$3:$L$163,11,FALSE),AG53)</f>
        <v>0</v>
      </c>
      <c r="FO52" s="1698" t="e">
        <f>IF(__Retrofit_TI_NC=2,VLOOKUP(FQ52,_Control_Table,2,FALSE),VLOOKUP(FN52,_Control_Table,2,FALSE))</f>
        <v>#N/A</v>
      </c>
      <c r="FP52" s="1678" t="e">
        <f>VLOOKUP(CONCATENATE(FL52," ",FN52),Lookup!AY58:AZ$102,2,FALSE)</f>
        <v>#N/A</v>
      </c>
      <c r="FQ52" s="1678">
        <f>IF(__Retrofit_TI_NC=0,FN52,IF(AND(FT52&gt;0,FN52="Occupancy Sensor"),"Daylight + Occupancy",IF(AND(FT52&gt;0,VLOOKUP(FN52,_Control_Table,2,FALSE)&lt;4),"Interior Daylight Dimming",FN52)))</f>
        <v>0</v>
      </c>
      <c r="FS52" s="1686">
        <f>IF(CR52="Interior",VLOOKUP(CS52,Control_Savings_Interior,5,FALSE),0)</f>
        <v>0</v>
      </c>
      <c r="FT52" s="1687">
        <f>IF(CQ52="Exterior",0,IF(FM52=2,0.5,IF(OR(FM52=1,FM52=3),1,0)))</f>
        <v>0</v>
      </c>
      <c r="FU52" s="1685">
        <f>IF(R51&gt;FS$44,(FS52*(FS$44/R51)),FS52)*FT52</f>
        <v>0</v>
      </c>
      <c r="FV52" s="1686">
        <f>DI52</f>
        <v>0</v>
      </c>
      <c r="FW52" s="1686">
        <f>ROUND(FV52+((1-FV52)*FU52),2)</f>
        <v>0</v>
      </c>
      <c r="FX52" s="1686">
        <f>IF(__Retrofit_TI_NC=2,FW52,FV52)</f>
        <v>0</v>
      </c>
      <c r="FY52" s="1697"/>
      <c r="GA52" s="1696" t="str">
        <f>IFERROR(VLOOKUP(U53,_Exist_Fixture_Table,3,FALSE),"")</f>
        <v/>
      </c>
      <c r="GB52" s="1696" t="str">
        <f>VLOOKUP(CW52,_Exist_Fixture_Table,4,FALSE)</f>
        <v/>
      </c>
      <c r="GC52" s="1696">
        <f>IFERROR(VLOOKUP(GB52,Lookup!AT$6:AU$8,2,FALSE),0)</f>
        <v>0</v>
      </c>
      <c r="GD52" s="1696" t="b">
        <f>IFERROR(IF(OR(GF52=4,GF52=5,GF52=6),TRUE,FALSE),"")</f>
        <v>0</v>
      </c>
      <c r="GE52" s="1696" t="str">
        <f>IFERROR(VLOOKUP(GF52,GC$6:GD$10,2,FALSE),"")</f>
        <v/>
      </c>
      <c r="GF52" s="1696" t="str">
        <f>VLOOKUP(CW54,Fixtures!R$31:Y$78,8,FALSE)</f>
        <v/>
      </c>
      <c r="GG52" s="1696">
        <f>IF(AND(GA52=TRUE,GD52=TRUE,OR(DQ52=12,DQ52=13,DQ52=14)),GC52+8,0)</f>
        <v>0</v>
      </c>
      <c r="GH52" s="1696" t="b">
        <f>IF(OR(GG52=12,GG52=13,GG52=14),TRUE,FALSE)</f>
        <v>0</v>
      </c>
      <c r="GI52" s="673" t="b">
        <f>IF(ISNUMBER(SEARCH("TLED",U53)),TRUE,FALSE)</f>
        <v>0</v>
      </c>
      <c r="GJ52" s="1135" t="str">
        <f>IFERROR(VLOOKUP(U53,Fixtures!BM$93:BR$142,6,FALSE),"")</f>
        <v/>
      </c>
      <c r="GK52" s="1832" t="b">
        <f>IF(OR(GI52=FALSE,GI54=FALSE),TRUE,IF(GJ52-GJ54&lt;5,FALSE,TRUE))</f>
        <v>1</v>
      </c>
      <c r="GO52" s="674">
        <f>GP52</f>
        <v>0</v>
      </c>
      <c r="GP52" s="674">
        <f>IF(G52="",0,1)</f>
        <v>0</v>
      </c>
      <c r="GQ52" s="674">
        <f ca="1">SUM(GR52:HF52)</f>
        <v>2</v>
      </c>
      <c r="GR52" s="674">
        <f>IF(G53="",0,1)</f>
        <v>0</v>
      </c>
      <c r="GS52" s="674">
        <f>IF(N55="BAM",1,IF(G54="",0,1))</f>
        <v>0</v>
      </c>
      <c r="GT52" s="674">
        <f>IF(N55="BAM",1,IF(R53="",0,1))</f>
        <v>0</v>
      </c>
      <c r="GU52" s="674">
        <f>IF(N55="BAM",1,IF(__Retrofit_TI_NC=0,1,IF(R54="",0,1)))</f>
        <v>1</v>
      </c>
      <c r="GV52" s="674">
        <f>IF(N55="BAM",1,IF(CQ52="Exterior",1,IF(G55="",0,1)))</f>
        <v>1</v>
      </c>
      <c r="GW52" s="674">
        <f>IF(__Retrofit_TI_NC&gt;0,1,IF(T53="",0,1))</f>
        <v>0</v>
      </c>
      <c r="GX52" s="674">
        <f>IF(__Retrofit_TI_NC&gt;0,1,IF(U53="",0,1))</f>
        <v>0</v>
      </c>
      <c r="GY52" s="674">
        <f>IF(N55="BAM",1,IF(T54="",0,1))</f>
        <v>0</v>
      </c>
      <c r="GZ52" s="674">
        <f>IF(N55="BAM",1,IF(U54="",0,1))</f>
        <v>0</v>
      </c>
      <c r="HA52" s="674">
        <f ca="1">IF(N55="BAM",1,IF(__Retrofit_TI_NC&gt;0,1,IF(U55="",0,1)))</f>
        <v>0</v>
      </c>
      <c r="HB52" s="674">
        <f>IF(__Retrofit_TI_NC&lt;&gt;0,1,IF(AF53="",0,1))</f>
        <v>0</v>
      </c>
      <c r="HC52" s="674">
        <f>IF(__Retrofit_TI_NC&lt;&gt;0,1,IF(AG53="",0,1))</f>
        <v>0</v>
      </c>
      <c r="HD52" s="674">
        <f>IF(N55="BAM",1,IF(AF54="",0,1))</f>
        <v>0</v>
      </c>
      <c r="HE52" s="674">
        <f>IF(N55="BAM",1,IF(AG54="",0,1))</f>
        <v>0</v>
      </c>
      <c r="HF52" s="674">
        <f>IF(N55="BAM",1,IF(__Retrofit_TI_NC&gt;0,1,IF(AG55="",0,1)))</f>
        <v>0</v>
      </c>
      <c r="HG52" s="391"/>
      <c r="IA52" s="391"/>
      <c r="IB52" s="1693" t="b">
        <f>IF(OR(IB55=0,IB55=HY$16,IB55=HX$16,IB55=HZ$16),TRUE,FALSE)</f>
        <v>0</v>
      </c>
      <c r="IC52" s="1694" t="b">
        <f>IB52</f>
        <v>0</v>
      </c>
      <c r="ID52" s="391"/>
      <c r="IE52" s="391"/>
      <c r="IF52" s="1688" t="b">
        <f ca="1">IF(MAX(GN55:HU55)&gt;5,FALSE,TRUE)</f>
        <v>0</v>
      </c>
      <c r="IG52" s="1689">
        <f ca="1">IF(IF52=TRUE,AC52,0)</f>
        <v>0</v>
      </c>
      <c r="IH52" s="1689">
        <f ca="1">IG52-IG54</f>
        <v>0</v>
      </c>
      <c r="IK52" s="1689" t="e">
        <f>ROUND(T53*VLOOKUP(U53,Fixtures_Existing_List,2,FALSE)*N53*R53/1000,0)</f>
        <v>#N/A</v>
      </c>
      <c r="IL52" s="1690" t="e">
        <f>IK52-IK54</f>
        <v>#N/A</v>
      </c>
      <c r="IM52" s="1693" t="e">
        <f>ROUND(IF(CQ52="Interior",N54*R54*R53*N53*_C406_reduction/1000,N54*R54*R53*N53/1000),0)</f>
        <v>#N/A</v>
      </c>
      <c r="IN52" s="1693" t="e">
        <f>IM52-IM54</f>
        <v>#N/A</v>
      </c>
      <c r="IP52" s="1679"/>
      <c r="IQ52" s="1679" t="e">
        <f t="shared" ref="IQ52:IU52" si="21">IF($CR52="interior",VLOOKUP($CS52,_New_Control_Savings_Interior,IQ$30,FALSE),VLOOKUP($CS52,Control_Savings_Exterior,IQ$30,FALSE))</f>
        <v>#N/A</v>
      </c>
      <c r="IR52" s="1679" t="e">
        <f t="shared" si="21"/>
        <v>#N/A</v>
      </c>
      <c r="IS52" s="1679" t="e">
        <f t="shared" si="21"/>
        <v>#N/A</v>
      </c>
      <c r="IT52" s="1679" t="e">
        <f t="shared" si="21"/>
        <v>#N/A</v>
      </c>
      <c r="IU52" s="1679" t="e">
        <f t="shared" si="21"/>
        <v>#N/A</v>
      </c>
      <c r="IV52" s="1679" t="e">
        <f>IF($CR52="interior",IF(R53&gt;$IP$14,ROUND(($IV$18*($IP$14/R53)),2),$IV$18),VLOOKUP($CS52,Control_Savings_Exterior,IV$30,FALSE))</f>
        <v>#N/A</v>
      </c>
      <c r="IW52" s="1679" t="e">
        <f>IF($CR52="interior",ROUND(((1-IS52)*IV52)+IS52,2),VLOOKUP($CS52,Control_Savings_Exterior,IW$30,FALSE))</f>
        <v>#N/A</v>
      </c>
      <c r="IX52" s="1679" t="e">
        <f>IF($CR52="interior",ROUND(((1-IT52)*IV52)+IT52,2),VLOOKUP($CS52,Control_Savings_Exterior,IX$30,FALSE))</f>
        <v>#N/A</v>
      </c>
      <c r="IY52" s="1679" t="e">
        <f>IF($CR52="interior",IF(R53&gt;$IP$14,ROUND(($IY$18*($IP$14/R53)),2),$IY$18),VLOOKUP($CS52,Control_Savings_Exterior,IY$30,FALSE))</f>
        <v>#N/A</v>
      </c>
      <c r="IZ52" s="1679" t="e">
        <f>IF($CR52="interior",ROUND(((1-IS52)*IY52)+IS52,2),VLOOKUP($CS52,Control_Savings_Exterior,IZ$30,FALSE))</f>
        <v>#N/A</v>
      </c>
      <c r="JA52" s="1679" t="e">
        <f>IF($CR52="interior",ROUND(((1-IT52)*IY52)+IT52,2),VLOOKUP($CS52,Control_Savings_Exterior,JA$30,FALSE))</f>
        <v>#N/A</v>
      </c>
      <c r="JC52" s="1680">
        <f>IFERROR(IF(CR52="Interior",CONCATENATE(G55," ",FQ52),FQ52),"")</f>
        <v>0</v>
      </c>
      <c r="JD52" s="1670" t="str">
        <f>IFERROR(VLOOKUP(JC52,_Controls_2023,2,FALSE),"")</f>
        <v/>
      </c>
      <c r="JE52" s="1681">
        <f>IFERROR(CHOOSE(JD52-1,IQ52,IR52,IS52,IT52,IU52,IV52,IW52,IX52,IY52,IZ52,JA52),0)</f>
        <v>0</v>
      </c>
      <c r="JG52" s="1680" t="str">
        <f>FE52</f>
        <v xml:space="preserve"> - 0</v>
      </c>
      <c r="JH52" s="1670" t="e">
        <f>$FO52</f>
        <v>#N/A</v>
      </c>
      <c r="JI52" s="1060"/>
      <c r="JJ52" s="1682" t="b">
        <f>IF($JG54=CONCATENATE("Interior - ",JJ$4),TRUE,FALSE)</f>
        <v>0</v>
      </c>
      <c r="JK52" s="1061"/>
      <c r="JL52" s="1682" t="b">
        <f>IF($JG54=CONCATENATE("Interior - ",JL$4),TRUE,FALSE)</f>
        <v>0</v>
      </c>
      <c r="JM52" s="1061"/>
      <c r="JN52" s="1682" t="b">
        <f>IF($JG54=CONCATENATE("Interior - ",JN$4),TRUE,FALSE)</f>
        <v>0</v>
      </c>
      <c r="JO52" s="1061"/>
      <c r="JP52" s="1682" t="b">
        <f>IF(__Retrofit_TI_NC&gt;0,FALSE,IF($JG54=CONCATENATE("Interior - ",JP$4),TRUE,FALSE))</f>
        <v>0</v>
      </c>
      <c r="JQ52" s="1061"/>
      <c r="JR52" s="1682" t="b">
        <f>IF(__Retrofit_TI_NC&gt;0,FALSE,IF($JG54=CONCATENATE("Interior - ",JR$4),TRUE,FALSE))</f>
        <v>0</v>
      </c>
      <c r="JS52" s="1061"/>
      <c r="JT52" s="1670" t="b">
        <f>IF(__Retrofit_TI_NC&gt;0,FALSE,IF($JG54=CONCATENATE("Interior - ",JT$4),TRUE,FALSE))</f>
        <v>0</v>
      </c>
      <c r="JU52" s="1061"/>
      <c r="JV52" s="1670" t="b">
        <f>IF(JC54="AELC on Existing",TRUE,FALSE)</f>
        <v>0</v>
      </c>
      <c r="JX52" s="1670" t="b">
        <f>IF(OR(JG54="Exterior - AELC Occupancy based",JG54="Exterior - AELC Time based"),TRUE,FALSE)</f>
        <v>0</v>
      </c>
      <c r="JZ52" s="1682" t="b">
        <f>IF($JG54=CONCATENATE("Exterior - ",JZ$4),TRUE,FALSE)</f>
        <v>0</v>
      </c>
      <c r="KB52" s="1670" t="b">
        <f>IF(__Retrofit_TI_NC&gt;0,FALSE,IF($JG54=CONCATENATE("Interior - ",KB$4),TRUE,FALSE))</f>
        <v>0</v>
      </c>
    </row>
    <row r="53" spans="1:288" s="78" customFormat="1" ht="14.95" customHeight="1">
      <c r="B53" s="1845"/>
      <c r="C53" s="1846"/>
      <c r="D53" s="1847"/>
      <c r="E53" s="1737" t="s">
        <v>297</v>
      </c>
      <c r="F53" s="1738"/>
      <c r="G53" s="1739"/>
      <c r="H53" s="1739"/>
      <c r="I53" s="1739"/>
      <c r="J53" s="1739"/>
      <c r="K53" s="1739"/>
      <c r="L53" s="1739"/>
      <c r="M53" s="461" t="e">
        <f>IF(__Retrofit_TI_NC&lt;&gt;0,IF(VLOOKUP(G54,'Space Table'!$B$3:$L$163,3,FALSE)&gt;0,1,0),IF(__Retrofit_TI_NC=VLOOKUP(G54,'Space Table'!$B$3:$L$163,3,FALSE),1,0))</f>
        <v>#N/A</v>
      </c>
      <c r="N53" s="461" t="str">
        <f>IFERROR(VLOOKUP(G53,_Lookup_Heat_Type_Table_New,2,FALSE),"")</f>
        <v/>
      </c>
      <c r="O53" s="461">
        <f>IF(__Retrofit_TI_NC=1,CONCATENATE("TI ",G53),IF(__Retrofit_TI_NC=2,CONCATENATE("NC ",G53),G53))</f>
        <v>0</v>
      </c>
      <c r="P53" s="1740" t="s">
        <v>435</v>
      </c>
      <c r="Q53" s="1740"/>
      <c r="R53" s="595"/>
      <c r="S53" s="1792"/>
      <c r="T53" s="597"/>
      <c r="U53" s="1765"/>
      <c r="V53" s="1766"/>
      <c r="W53" s="1766"/>
      <c r="X53" s="1766"/>
      <c r="Y53" s="1766"/>
      <c r="Z53" s="1766"/>
      <c r="AA53" s="1766"/>
      <c r="AB53" s="1766"/>
      <c r="AC53" s="1766"/>
      <c r="AD53" s="1767"/>
      <c r="AE53" s="1000"/>
      <c r="AF53" s="597"/>
      <c r="AG53" s="1723"/>
      <c r="AH53" s="1724"/>
      <c r="AI53" s="1724"/>
      <c r="AJ53" s="1724"/>
      <c r="AK53" s="1725"/>
      <c r="AL53" s="996"/>
      <c r="AM53" s="1747"/>
      <c r="AN53" s="1775"/>
      <c r="AO53" s="1777"/>
      <c r="AP53" s="1780"/>
      <c r="AQ53" s="1781"/>
      <c r="AR53" s="1795"/>
      <c r="AS53" s="1795"/>
      <c r="AT53" s="1796"/>
      <c r="AU53" s="1735"/>
      <c r="AV53" s="1752"/>
      <c r="AW53" s="1705"/>
      <c r="AX53" s="467"/>
      <c r="AY53" s="1749"/>
      <c r="AZ53" s="1749"/>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696"/>
      <c r="CQ53" s="1696"/>
      <c r="CR53" s="1809"/>
      <c r="CS53" s="1811"/>
      <c r="CU53" s="1688"/>
      <c r="CV53" s="1703"/>
      <c r="CW53" s="1703"/>
      <c r="CX53" s="1703"/>
      <c r="CY53" s="1815"/>
      <c r="CZ53" s="1711"/>
      <c r="DA53" s="1818"/>
      <c r="DB53" s="1820"/>
      <c r="DC53" s="1820"/>
      <c r="DD53" s="1820"/>
      <c r="DF53" s="1703"/>
      <c r="DG53" s="1831"/>
      <c r="DH53" s="1703"/>
      <c r="DI53" s="1838"/>
      <c r="DJ53" s="1711"/>
      <c r="DK53" s="1712"/>
      <c r="DM53" s="1718"/>
      <c r="DO53" s="1708"/>
      <c r="DQ53" s="1715"/>
      <c r="DR53" s="1720"/>
      <c r="DS53" s="1816"/>
      <c r="DT53" s="1714"/>
      <c r="DU53" s="1715"/>
      <c r="DV53" s="1716"/>
      <c r="DX53" s="1715"/>
      <c r="DY53" s="1720"/>
      <c r="DZ53" s="1715"/>
      <c r="EA53" s="1715"/>
      <c r="EC53" s="1834"/>
      <c r="ED53" s="1834"/>
      <c r="EF53" s="1707"/>
      <c r="EG53" s="1712"/>
      <c r="EH53" s="1818"/>
      <c r="EI53" s="1712"/>
      <c r="EJ53" s="1712"/>
      <c r="EK53" s="1836"/>
      <c r="EL53" s="1836"/>
      <c r="EM53" s="1807"/>
      <c r="EN53" s="1839"/>
      <c r="EO53" s="1839"/>
      <c r="EP53" s="1817"/>
      <c r="EQ53" s="1817"/>
      <c r="ER53" s="1807"/>
      <c r="ES53" s="1807"/>
      <c r="ET53" s="1807"/>
      <c r="EV53" s="1715"/>
      <c r="EX53" s="1805"/>
      <c r="EY53" s="1805"/>
      <c r="EZ53" s="1805"/>
      <c r="FA53" s="1805"/>
      <c r="FB53" s="1805"/>
      <c r="FC53" s="1827"/>
      <c r="FE53" s="1698"/>
      <c r="FG53" s="1816"/>
      <c r="FH53" s="1816"/>
      <c r="FI53" s="133"/>
      <c r="FL53" s="1823"/>
      <c r="FM53" s="1825"/>
      <c r="FN53" s="1698"/>
      <c r="FO53" s="1698"/>
      <c r="FP53" s="1678"/>
      <c r="FQ53" s="1678"/>
      <c r="FS53" s="1687"/>
      <c r="FT53" s="1687"/>
      <c r="FU53" s="1685"/>
      <c r="FV53" s="1687"/>
      <c r="FW53" s="1687"/>
      <c r="FX53" s="1687"/>
      <c r="FY53" s="1697"/>
      <c r="GA53" s="1696"/>
      <c r="GB53" s="1696"/>
      <c r="GC53" s="1696"/>
      <c r="GD53" s="1696"/>
      <c r="GE53" s="1696"/>
      <c r="GF53" s="1696"/>
      <c r="GG53" s="1696"/>
      <c r="GH53" s="1696"/>
      <c r="GI53" s="673"/>
      <c r="GJ53" s="1135"/>
      <c r="GK53" s="1832"/>
      <c r="GM53" s="1693" t="b">
        <f ca="1">IF(AND(GP53=TRUE,GQ53=TRUE),TRUE,FALSE)</f>
        <v>0</v>
      </c>
      <c r="GN53" s="1684" t="b">
        <f>IFERROR(IF(__Retrofit_TI_NC=2,TRUE,IF(AU52="Yes",TRUE,FALSE)),FALSE)</f>
        <v>1</v>
      </c>
      <c r="GP53" s="1684" t="b">
        <f>IFERROR(IF(GP52=1,TRUE,FALSE),FALSE)</f>
        <v>0</v>
      </c>
      <c r="GQ53" s="1684" t="b">
        <f ca="1">IFERROR(IF(GQ52=GQ$14,TRUE,FALSE),FALSE)</f>
        <v>0</v>
      </c>
      <c r="HG53" s="1684" t="b">
        <f>IFERROR(IF(AND(__Retrofit_TI_NC&gt;0,CQ52="Interior"),FALSE,TRUE),FALSE)</f>
        <v>1</v>
      </c>
      <c r="HH53" s="1684" t="b">
        <f>IFERROR(IF(M53=1,TRUE,FALSE),FALSE)</f>
        <v>0</v>
      </c>
      <c r="HI53" s="1684" t="b">
        <f>IFERROR(IF(OR(M54=1,N55="BAM"),TRUE,FALSE),FALSE)</f>
        <v>0</v>
      </c>
      <c r="HJ53" s="1684" t="b">
        <f>IFERROR(IF(__Retrofit_TI_NC&lt;&gt;0,TRUE,IFERROR(IF(VLOOKUP(U53,Fixtures_Existing_List,2,FALSE)&lt;&gt;"",TRUE,FALSE),FALSE)),FALSE)</f>
        <v>0</v>
      </c>
      <c r="HK53" s="1684" t="b">
        <f>IFERROR(IF(VLOOKUP(U54,Fixtures_Proposed_List,2,FALSE)&lt;&gt;"",TRUE,FALSE),FALSE)</f>
        <v>0</v>
      </c>
      <c r="HL53" s="1684" t="b">
        <f>IF(AND(__Retrofit_TI_NC=2,FC52=TRUE),FALSE,TRUE)</f>
        <v>1</v>
      </c>
      <c r="HM53" s="1684" t="b">
        <f>GK52</f>
        <v>1</v>
      </c>
      <c r="HN53" s="1682" t="b">
        <f>IF(ISERROR(MATCH(FE52,_Control_Match[],0))=TRUE,FALSE,TRUE)</f>
        <v>0</v>
      </c>
      <c r="HO53" s="1693" t="b">
        <f>IFERROR(IF(EX52&lt;&gt;EY52,FALSE,TRUE),FALSE)</f>
        <v>1</v>
      </c>
      <c r="HP53" s="1693" t="b">
        <f>IFERROR(IF(EX54&lt;&gt;EY54,FALSE,TRUE),FALSE)</f>
        <v>1</v>
      </c>
      <c r="HQ53" s="1670" t="b">
        <f>IFERROR(IF(CQ52="Exterior",TRUE,IF(AND(OR(FM54=0,FM54=3),JD54&gt;6),FALSE,TRUE)),FALSE)</f>
        <v>0</v>
      </c>
      <c r="HR53" s="1684" t="b">
        <f>IFERROR(IF(AND(FO54=7,FC52=TRUE),FALSE,TRUE),FALSE)</f>
        <v>0</v>
      </c>
      <c r="HS53" s="1684" t="b">
        <f>IFERROR(IF(AND(T54&lt;&gt;AF54,OR(AG54="Interior LLLC", AG54="Interior NLC", AG54="LLLC (outside Daylight)",AG54="LLLC Controls Only"))=TRUE,FALSE,TRUE),FALSE)</f>
        <v>1</v>
      </c>
      <c r="HT53" s="1670" t="b">
        <f>IFERROR(IF(OR(AG54=Lookup!BB$17,AG54=Lookup!BB$18,AG54=Lookup!BB$19)=TRUE,IF(AF54&gt;T54,FALSE,TRUE),TRUE),FALSE)</f>
        <v>1</v>
      </c>
      <c r="HU53" s="1684" t="b">
        <f>IFERROR(IF(__Retrofit_TI_NC=2,IF(EZ54&lt;EZ52,FALSE,TRUE),TRUE),FALSE)</f>
        <v>1</v>
      </c>
      <c r="HV53" s="1684" t="b">
        <f>IF(CQ52="Interior",IL$6,TRUE)</f>
        <v>1</v>
      </c>
      <c r="HW53" s="1684" t="b">
        <f>IF(CQ52="Exterior",IL$8,TRUE)</f>
        <v>1</v>
      </c>
      <c r="HX53" s="1684" t="b">
        <f>IFERROR(IF(__Retrofit_TI_NC&lt;&gt;0,IF(AZ52&lt;AY52,FALSE,TRUE),TRUE),FALSE)</f>
        <v>1</v>
      </c>
      <c r="HY53" s="1684" t="b">
        <f>IFERROR(IF(AND(G53="Exterior",R53&gt;4200),FALSE,TRUE),FALSE)</f>
        <v>1</v>
      </c>
      <c r="HZ53" s="1684" t="b">
        <f>IFERROR(IF(AB55/AB52&lt;HZ$18,FALSE,TRUE),FALSE)</f>
        <v>0</v>
      </c>
      <c r="IB53" s="1691"/>
      <c r="IC53" s="1695"/>
      <c r="ID53" s="1694" t="str">
        <f>VLOOKUP(IB55,_Error_Table,4,FALSE)</f>
        <v>White</v>
      </c>
      <c r="IE53" s="391"/>
      <c r="IF53" s="1688"/>
      <c r="IG53" s="1689"/>
      <c r="IH53" s="1684"/>
      <c r="IK53" s="1689"/>
      <c r="IL53" s="1691"/>
      <c r="IM53" s="1691"/>
      <c r="IN53" s="1691"/>
      <c r="IP53" s="1679"/>
      <c r="IQ53" s="1679"/>
      <c r="IR53" s="1679"/>
      <c r="IS53" s="1679"/>
      <c r="IT53" s="1679"/>
      <c r="IU53" s="1679"/>
      <c r="IV53" s="1679"/>
      <c r="IW53" s="1679"/>
      <c r="IX53" s="1679"/>
      <c r="IY53" s="1679"/>
      <c r="IZ53" s="1679"/>
      <c r="JA53" s="1679"/>
      <c r="JC53" s="1680"/>
      <c r="JD53" s="1670"/>
      <c r="JE53" s="1681"/>
      <c r="JG53" s="1680"/>
      <c r="JH53" s="1670"/>
      <c r="JI53" s="1060"/>
      <c r="JJ53" s="1683"/>
      <c r="JK53" s="1061"/>
      <c r="JL53" s="1683"/>
      <c r="JM53" s="1061"/>
      <c r="JN53" s="1683"/>
      <c r="JO53" s="1061"/>
      <c r="JP53" s="1683"/>
      <c r="JQ53" s="1061"/>
      <c r="JR53" s="1683"/>
      <c r="JS53" s="1061"/>
      <c r="JT53" s="1670"/>
      <c r="JU53" s="1061"/>
      <c r="JV53" s="1670"/>
      <c r="JX53" s="1670"/>
      <c r="JZ53" s="1683"/>
      <c r="KB53" s="1670"/>
    </row>
    <row r="54" spans="1:288" s="78" customFormat="1" ht="14.95" customHeight="1">
      <c r="A54" s="78">
        <f>ROW()</f>
        <v>54</v>
      </c>
      <c r="B54" s="1845"/>
      <c r="C54" s="1846"/>
      <c r="D54" s="1847"/>
      <c r="E54" s="1737" t="s">
        <v>298</v>
      </c>
      <c r="F54" s="1738"/>
      <c r="G54" s="1760"/>
      <c r="H54" s="1761"/>
      <c r="I54" s="1761"/>
      <c r="J54" s="1761"/>
      <c r="K54" s="1761"/>
      <c r="L54" s="1762"/>
      <c r="M54" s="461">
        <f>IFERROR(IF(IF(__Retrofit_TI_NC&lt;&gt;0,IF(CQ52="Interior",MATCH(G54,Lookup_Interior_New,0),MATCH(G54,Lookup_Exterior_New,0)),IF(CQ52="Interior",MATCH(G54,Lookup_Interior,0),MATCH(G54,Lookup_Exterior_Areas,0)))&gt;0,1,0),0)</f>
        <v>0</v>
      </c>
      <c r="N54" s="461" t="e">
        <f>IF(__Retrofit_TI_NC=1,
VLOOKUP(G54,'Space Table'!$B$3:$L$163,4,FALSE),
IF(__Retrofit_TI_NC=2,VLOOKUP(G54,'Space Table'!$B$3:$L$163,5,FALSE),VLOOKUP(G54,'Space Table'!$B$3:$L$163,5,FALSE)))</f>
        <v>#N/A</v>
      </c>
      <c r="O54" s="461">
        <f>G54</f>
        <v>0</v>
      </c>
      <c r="P54" s="1738" t="str">
        <f>IFERROR(IF(__Retrofit_TI_NC=1,VLOOKUP(G54,'Space Table'!$B$3:$O$163,13,FALSE),IF(__Retrofit_TI_NC=2,VLOOKUP(G54,'Space Table'!$B$3:$O$163,14,FALSE),"Area (sf):")),"Area (sf):")</f>
        <v>Area (sf):</v>
      </c>
      <c r="Q54" s="1738"/>
      <c r="R54" s="596"/>
      <c r="S54" s="1763" t="s">
        <v>345</v>
      </c>
      <c r="T54" s="594"/>
      <c r="U54" s="1801"/>
      <c r="V54" s="1802"/>
      <c r="W54" s="1802"/>
      <c r="X54" s="1802"/>
      <c r="Y54" s="1802"/>
      <c r="Z54" s="1802"/>
      <c r="AA54" s="1802"/>
      <c r="AB54" s="1802"/>
      <c r="AC54" s="1802"/>
      <c r="AD54" s="1802"/>
      <c r="AE54" s="1803"/>
      <c r="AF54" s="594"/>
      <c r="AG54" s="1787"/>
      <c r="AH54" s="1787"/>
      <c r="AI54" s="1787"/>
      <c r="AJ54" s="1787"/>
      <c r="AK54" s="1787"/>
      <c r="AL54" s="1787"/>
      <c r="AM54" s="1726">
        <f>IFERROR(DI54,"")</f>
        <v>0</v>
      </c>
      <c r="AN54" s="1728" t="str">
        <f>IFERROR(ROUND(AM54*AC55,0),"")</f>
        <v/>
      </c>
      <c r="AO54" s="1730">
        <f>IFERROR(IF(IB52=FALSE,0,AC55-AN54),0)</f>
        <v>0</v>
      </c>
      <c r="AP54" s="1780"/>
      <c r="AQ54" s="1781"/>
      <c r="AR54" s="1795"/>
      <c r="AS54" s="1795"/>
      <c r="AT54" s="1796"/>
      <c r="AU54" s="1735"/>
      <c r="AV54" s="1752"/>
      <c r="AW54" s="1705"/>
      <c r="AX54" s="467"/>
      <c r="AY54" s="1749"/>
      <c r="AZ54" s="1749"/>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696"/>
      <c r="CQ54" s="1696"/>
      <c r="CR54" s="1808" t="str">
        <f>CQ52</f>
        <v/>
      </c>
      <c r="CS54" s="1810" t="str">
        <f>CS52</f>
        <v/>
      </c>
      <c r="CU54" s="1688" t="s">
        <v>345</v>
      </c>
      <c r="CV54" s="1702">
        <f>IF(IB52=TRUE,T54,0)</f>
        <v>0</v>
      </c>
      <c r="CW54" s="1702" t="str">
        <f>IF(IB52=TRUE,U54,"")</f>
        <v/>
      </c>
      <c r="CX54" s="1812">
        <f>IF(IB52=TRUE,U55,0)</f>
        <v>0</v>
      </c>
      <c r="CY54" s="1814">
        <f>IF(IB52=TRUE,AB55,0)</f>
        <v>0</v>
      </c>
      <c r="CZ54" s="1710">
        <f>IF(AND(__Retrofit_TI_NC&gt;0,CR52="interior"),0,IF(IB52=TRUE,AC55,0))</f>
        <v>0</v>
      </c>
      <c r="DA54" s="1818"/>
      <c r="DB54" s="1820"/>
      <c r="DC54" s="1820"/>
      <c r="DD54" s="1820"/>
      <c r="DF54" s="1702">
        <f>IF(IB52=TRUE,AF54,0)</f>
        <v>0</v>
      </c>
      <c r="DG54" s="1830" t="str">
        <f>IF(IB52=TRUE,AG54,"")</f>
        <v/>
      </c>
      <c r="DH54" s="1812">
        <f>AG55</f>
        <v>0</v>
      </c>
      <c r="DI54" s="1837">
        <f>JE54</f>
        <v>0</v>
      </c>
      <c r="DJ54" s="1710">
        <f>IF(AND(__Retrofit_TI_NC&gt;0,CR52="interior"),0,IF(IB52=TRUE,AN54,0))</f>
        <v>0</v>
      </c>
      <c r="DK54" s="1712"/>
      <c r="DN54" s="1717">
        <f>IFERROR(CZ54-DJ54,0)</f>
        <v>0</v>
      </c>
      <c r="DO54" s="1709"/>
      <c r="DQ54" s="1715"/>
      <c r="DR54" s="1719" t="str">
        <f>DQ52</f>
        <v/>
      </c>
      <c r="DS54" s="1816"/>
      <c r="DT54" s="1835" t="str">
        <f>IF(OR(DS52=7,DS52=8,DS52=9),"ALC","")</f>
        <v/>
      </c>
      <c r="DU54" s="1715"/>
      <c r="DV54" s="1716"/>
      <c r="DX54" s="1715"/>
      <c r="DY54" s="1829" t="str">
        <f>DX52</f>
        <v/>
      </c>
      <c r="DZ54" s="1715"/>
      <c r="EA54" s="1715"/>
      <c r="EC54" s="1834"/>
      <c r="ED54" s="1834"/>
      <c r="EF54" s="1707"/>
      <c r="EG54" s="1712"/>
      <c r="EH54" s="1818"/>
      <c r="EI54" s="1712"/>
      <c r="EJ54" s="1712"/>
      <c r="EK54" s="1836"/>
      <c r="EL54" s="1836"/>
      <c r="EM54" s="1807"/>
      <c r="EN54" s="1839"/>
      <c r="EO54" s="1839"/>
      <c r="EP54" s="1817"/>
      <c r="EQ54" s="1817"/>
      <c r="ER54" s="1807"/>
      <c r="ES54" s="1807"/>
      <c r="ET54" s="1807"/>
      <c r="EV54" s="1715"/>
      <c r="EX54" s="1805" t="str">
        <f>IFERROR(VLOOKUP(CS54,'Space Table'!$B$3:$L$163,8,FALSE),"")</f>
        <v/>
      </c>
      <c r="EY54" s="1805" t="str">
        <f>IFERROR(IF(FB54="Yes",VLOOKUP(AG54,Lookup_Control_Type_Table2,4,FALSE),VLOOKUP(AG54,Lookup_Control_Type_Table2,3,FALSE)),"")</f>
        <v/>
      </c>
      <c r="EZ54" s="1805" t="e">
        <f>VLOOKUP(AG54,Lookup!BB$3:BC$20,2,FALSE)</f>
        <v>#N/A</v>
      </c>
      <c r="FA54" s="1805" t="e">
        <f>VLOOKUP(EX52,Lookup_Control_Type_Table,2,FALSE)</f>
        <v>#N/A</v>
      </c>
      <c r="FB54" s="1805" t="e">
        <f>VLOOKUP(CS54,'Space Table'!$B$3:$L$163,7,FALSE)</f>
        <v>#N/A</v>
      </c>
      <c r="FC54" s="1827"/>
      <c r="FE54" s="1698" t="str">
        <f>CONCATENATE(CQ52," - ",AG54)</f>
        <v xml:space="preserve"> - </v>
      </c>
      <c r="FG54" s="1816"/>
      <c r="FH54" s="1816"/>
      <c r="FI54" s="133"/>
      <c r="FL54" s="1822" t="str">
        <f>IF(CQ52="Exterior","Not Daylighted",G55)</f>
        <v>Not Daylighted</v>
      </c>
      <c r="FM54" s="1824">
        <f>VLOOKUP(FL54,_New_Daylight_Table_Codes,2,FALSE)</f>
        <v>0</v>
      </c>
      <c r="FN54" s="1698">
        <f>AG54</f>
        <v>0</v>
      </c>
      <c r="FO54" s="1698" t="e">
        <f>VLOOKUP(FN54,_Control_Table,2,FALSE)</f>
        <v>#N/A</v>
      </c>
      <c r="FP54" s="1678" t="e">
        <f>VLOOKUP(CONCATENATE(FL54," ",FN54),Lookup!AY61:AZ$102,2,FALSE)</f>
        <v>#N/A</v>
      </c>
      <c r="FQ54" s="1698">
        <f>IF(__Retrofit_TI_NC=0,FN54,IF(AND(FT54&gt;0,FN54="Occupancy Sensor"),"Daylight + Occupancy",IF(AND(FT54&gt;0,FO54&lt;4),"Interior Daylight Dimming",FN54)))</f>
        <v>0</v>
      </c>
      <c r="FS54" s="1686">
        <f>IF(CQ52="Interior",VLOOKUP(CS52,Control_Savings_Interior,5,FALSE),0)</f>
        <v>0</v>
      </c>
      <c r="FT54" s="1687">
        <f>IF(CQ54="Exterior",0,IF(FM54=2,0.5,IF(OR(FM54=1,FM54=3),1,0)))</f>
        <v>0</v>
      </c>
      <c r="FU54" s="1685">
        <f>IF(R53&gt;FS$44,(FS54*(FS$44/R53)),FS54)*FT54</f>
        <v>0</v>
      </c>
      <c r="FV54" s="1686">
        <f>DI54</f>
        <v>0</v>
      </c>
      <c r="FW54" s="1686">
        <f>ROUND(FV54+((1-FV54)*FU54),2)</f>
        <v>0</v>
      </c>
      <c r="FX54" s="1686">
        <f>IF(__Retrofit_TI_NC=2,FW54,FV54)</f>
        <v>0</v>
      </c>
      <c r="FY54" s="1697">
        <f>IF(CR54="Interior",VLOOKUP(CS54,Control_Savings_Interior,4,FALSE),0)</f>
        <v>0</v>
      </c>
      <c r="GA54" s="1696"/>
      <c r="GB54" s="1696"/>
      <c r="GC54" s="1696"/>
      <c r="GD54" s="1696"/>
      <c r="GE54" s="1696"/>
      <c r="GF54" s="1696"/>
      <c r="GG54" s="1696"/>
      <c r="GH54" s="1696"/>
      <c r="GI54" s="673" t="b">
        <f>IF(ISNUMBER(SEARCH("TLED",U54)),TRUE,FALSE)</f>
        <v>0</v>
      </c>
      <c r="GJ54" s="1135" t="str">
        <f>IFERROR(VLOOKUP(U54,Fixtures!DM$93:DR$142,6,FALSE),"")</f>
        <v/>
      </c>
      <c r="GK54" s="1832"/>
      <c r="GM54" s="1692"/>
      <c r="GN54" s="1684"/>
      <c r="GP54" s="1684"/>
      <c r="GQ54" s="1684"/>
      <c r="HG54" s="1684"/>
      <c r="HH54" s="1684"/>
      <c r="HI54" s="1684"/>
      <c r="HJ54" s="1684"/>
      <c r="HK54" s="1684"/>
      <c r="HL54" s="1684"/>
      <c r="HM54" s="1684"/>
      <c r="HN54" s="1683"/>
      <c r="HO54" s="1692"/>
      <c r="HP54" s="1692"/>
      <c r="HQ54" s="1670"/>
      <c r="HR54" s="1684"/>
      <c r="HS54" s="1684"/>
      <c r="HT54" s="1670"/>
      <c r="HU54" s="1684"/>
      <c r="HV54" s="1684"/>
      <c r="HW54" s="1684"/>
      <c r="HX54" s="1684"/>
      <c r="HY54" s="1684"/>
      <c r="HZ54" s="1684"/>
      <c r="IB54" s="1692"/>
      <c r="IC54" s="1693" t="b">
        <f>IB52</f>
        <v>0</v>
      </c>
      <c r="ID54" s="1695"/>
      <c r="IE54" s="391"/>
      <c r="IF54" s="1688"/>
      <c r="IG54" s="1689">
        <f ca="1">IF(IF52=TRUE,AC55,0)</f>
        <v>0</v>
      </c>
      <c r="IH54" s="1684"/>
      <c r="IK54" s="1689" t="e">
        <f>ROUND(T54*AB55*N53*R53/1000,0)</f>
        <v>#VALUE!</v>
      </c>
      <c r="IL54" s="1691"/>
      <c r="IM54" s="1693" t="e">
        <f>ROUND(T54*AB55*N53*R53/1000,0)</f>
        <v>#VALUE!</v>
      </c>
      <c r="IN54" s="1691"/>
      <c r="IP54" s="1679"/>
      <c r="IQ54" s="1679" t="e">
        <f t="shared" ref="IQ54:IU54" si="22">IF($CR54="interior",VLOOKUP($CS54,_New_Control_Savings_Interior,IQ$30,FALSE),VLOOKUP($CS54,Control_Savings_Exterior,IQ$30,FALSE))</f>
        <v>#N/A</v>
      </c>
      <c r="IR54" s="1679" t="e">
        <f t="shared" si="22"/>
        <v>#N/A</v>
      </c>
      <c r="IS54" s="1679" t="e">
        <f t="shared" si="22"/>
        <v>#N/A</v>
      </c>
      <c r="IT54" s="1679" t="e">
        <f t="shared" si="22"/>
        <v>#N/A</v>
      </c>
      <c r="IU54" s="1679" t="e">
        <f t="shared" si="22"/>
        <v>#N/A</v>
      </c>
      <c r="IV54" s="1679" t="e">
        <f>IF($CR54="interior",IF(R53&gt;$IP$14,ROUND(($IV$18*($IP$14/R53)),2),$IV$18),VLOOKUP($CS54,Control_Savings_Exterior,IV$30,FALSE))</f>
        <v>#N/A</v>
      </c>
      <c r="IW54" s="1679" t="e">
        <f>IF($CR54="interior",ROUND(((1-IS54)*IV54)+IS54,2),VLOOKUP($CS54,Control_Savings_Exterior,IW$30,FALSE))</f>
        <v>#N/A</v>
      </c>
      <c r="IX54" s="1679" t="e">
        <f>IF($CR54="interior",ROUND(((1-IT54)*IV54)+IT54,2),VLOOKUP($CS54,Control_Savings_Exterior,IX$30,FALSE))</f>
        <v>#N/A</v>
      </c>
      <c r="IY54" s="1679" t="e">
        <f>IF($CR54="interior",IF(R53&gt;$IP$14,ROUND(($IY$18*($IP$14/R53)),2),$IY$18),VLOOKUP($CS54,Control_Savings_Exterior,IY$30,FALSE))</f>
        <v>#N/A</v>
      </c>
      <c r="IZ54" s="1679" t="e">
        <f>IF($CR54="interior",ROUND(((1-IS54)*IY54)+IS54,2),VLOOKUP($CS54,Control_Savings_Exterior,IZ$30,FALSE))</f>
        <v>#N/A</v>
      </c>
      <c r="JA54" s="1679" t="e">
        <f>IF($CR54="interior",ROUND(((1-IT54)*IY54)+IT54,2),VLOOKUP($CS54,Control_Savings_Exterior,JA$30,FALSE))</f>
        <v>#N/A</v>
      </c>
      <c r="JC54" s="1680">
        <f>IFERROR(IF(CR54="Interior",CONCATENATE(G55," ",FQ54),AG54),"")</f>
        <v>0</v>
      </c>
      <c r="JD54" s="1670" t="str">
        <f>IFERROR(VLOOKUP(JC54,_Controls_2023,2,FALSE),"")</f>
        <v/>
      </c>
      <c r="JE54" s="1681">
        <f>IFERROR(CHOOSE(JD54-1,IQ54,IR54,IS54,IT54,IU54,IV54,IW54,IX54,IY54,IZ54,JA54),0)</f>
        <v>0</v>
      </c>
      <c r="JG54" s="1680" t="str">
        <f>FE54</f>
        <v xml:space="preserve"> - </v>
      </c>
      <c r="JH54" s="1670" t="e">
        <f>$FO54</f>
        <v>#N/A</v>
      </c>
      <c r="JI54" s="1060"/>
      <c r="JJ54" s="1670">
        <f>IFERROR(IF($IB52=TRUE,IF(OR(JJ$14="No",JJ52=FALSE,JH54&lt;=JH52,AND(_kWh_Grant=0,GD52=FALSE)),0,IF(JJ$8="Per Line",1,$AF54)),0),0)</f>
        <v>0</v>
      </c>
      <c r="JK54" s="1061"/>
      <c r="JL54" s="1670">
        <f>IFERROR(IF(_kWh_Grant=0,0,IF($IB52=TRUE,IF(OR(JL$14="No",JL52=FALSE,JH54&lt;=JH52),0,IF(JL$8="Per Line",1,$T54)),0)),0)</f>
        <v>0</v>
      </c>
      <c r="JM54" s="1061"/>
      <c r="JN54" s="1670">
        <f>IFERROR(IF(_kWh_Grant=0,0,IF($IB52=TRUE,IF(OR(JN$14="No",JN52=FALSE,JH54&lt;=JH52),0,IF(JN$8="Per Line",1,$AF54)),0)),0)</f>
        <v>0</v>
      </c>
      <c r="JO54" s="1061"/>
      <c r="JP54" s="1670">
        <f>IFERROR(IF(__Retrofit_TI_NC=0,IF(_kWh_Grant=0,0,IF($IB52=TRUE,IF(OR(JP$14="No",JP52=FALSE,$JH54&lt;=$JH52),0,IF(JP$8="Per Line",1,$AF54)),0)),IF($IB52=TRUE,IF(OR(JP$14="No",JP52=FALSE,$JH54&lt;=$JH52),0,IF(JP$8="Per Line",1,$AF54)))),0)</f>
        <v>0</v>
      </c>
      <c r="JQ54" s="1061"/>
      <c r="JR54" s="1670">
        <f>IFERROR(IF(__Retrofit_TI_NC=0,IF(_kWh_Grant=0,0,IF($IB52=TRUE,IF(OR(JR$14="No",JR52=FALSE,$JH54&lt;=$JH52),0,IF(JR$8="Per Line",1,$AF54)),0)),IF($IB52=TRUE,IF(OR(JR$14="No",JR52=FALSE,$JH54&lt;=$JH52),0,IF(JR$8="Per Line",1,$AF54)))),0)</f>
        <v>0</v>
      </c>
      <c r="JS54" s="1061"/>
      <c r="JT54" s="1670">
        <f>IFERROR(IF(__Retrofit_TI_NC=0,IF(_kWh_Grant=0,0,IF($IB52=TRUE,IF(OR(JT$14="No",JT52=FALSE,$JH54&lt;=$JH52),0,IF(JT$8="Per Line",1,$AF54)),0)),IF($IB52=TRUE,IF(OR(JT$14="No",JT52=FALSE,$JH54&lt;=$JH52),0,IF(JT$8="Per Line",1,$AF54)))),0)</f>
        <v>0</v>
      </c>
      <c r="JU54" s="1061"/>
      <c r="JV54" s="1670">
        <f>IFERROR(IF(__Retrofit_TI_NC=0,IF(_kWh_Grant=0,0,IF($IB52=TRUE,IF(OR(JV$14="No",JV52=FALSE,$JH54&lt;=$JH52),0,IF(JV$8="Per Line",1,$AF54)),0)),IF($IB52=TRUE,IF(OR(JV$14="No",JV52=FALSE,$JH54&lt;=$JH52),0,IF(JV$8="Per Line",1,$AF54)))),0)</f>
        <v>0</v>
      </c>
      <c r="JX54" s="1670">
        <f>IFERROR(IF(__Retrofit_TI_NC=0,IF(_kWh_Grant=0,0,IF($IB52=TRUE,IF(OR(JX$14="No",JX52=FALSE,$JH54&lt;=$JH52),0,IF(JX$8="Per Line",1,$AF54)),0)),IF($IB52=TRUE,IF(OR(JX$14="No",JX52=FALSE,$JH54&lt;=$JH52),0,IF(JX$8="Per Line",1,$AF54)))),0)</f>
        <v>0</v>
      </c>
      <c r="JZ54" s="1670">
        <f>IFERROR(IF($IB52=TRUE,IF(OR(JZ$14="No",JZ52=FALSE,$JH54&lt;=$JH52,AND(_kWh_Grant=0,$GD52=FALSE)),0,IF(JZ$8="Per Line",1,$AF54)),0),0)</f>
        <v>0</v>
      </c>
      <c r="KB54" s="1670">
        <f>IFERROR(IF(__Retrofit_TI_NC=0,IF(_kWh_Grant=0,0,IF($IB52=TRUE,IF(OR(KB$14="No",KB52=FALSE,$JH54&lt;=$JH52),0,IF(KB$8="Per Line",1,$AF54)),0)),IF($IB52=TRUE,IF(OR(KB$14="No",KB52=FALSE,$JH54&lt;=$JH52),0,IF(KB$8="Per Line",1,$AF54)))),0)</f>
        <v>0</v>
      </c>
    </row>
    <row r="55" spans="1:288" s="78" customFormat="1" ht="14.95" customHeight="1">
      <c r="B55" s="1845"/>
      <c r="C55" s="1846"/>
      <c r="D55" s="1847"/>
      <c r="E55" s="1771" t="s">
        <v>436</v>
      </c>
      <c r="F55" s="1772"/>
      <c r="G55" s="1784" t="s">
        <v>437</v>
      </c>
      <c r="H55" s="1785" t="s">
        <v>438</v>
      </c>
      <c r="I55" s="1785" t="s">
        <v>438</v>
      </c>
      <c r="J55" s="1785" t="s">
        <v>438</v>
      </c>
      <c r="K55" s="1785" t="s">
        <v>438</v>
      </c>
      <c r="L55" s="1786" t="s">
        <v>438</v>
      </c>
      <c r="M55" s="591">
        <f>IFERROR(VLOOKUP(G55,_Daylight_Table[],2,FALSE),0)</f>
        <v>0</v>
      </c>
      <c r="N55" s="592" t="str">
        <f>IF(AND(__Retrofit_TI_NC&gt;0,CQ52="Interior"),"BAM","")</f>
        <v/>
      </c>
      <c r="O55" s="591" t="e">
        <f>VLOOKUP(G54,'Space Table'!$B$3:$L$163,11,FALSE)</f>
        <v>#N/A</v>
      </c>
      <c r="P55" s="1789"/>
      <c r="Q55" s="1790"/>
      <c r="R55" s="1790"/>
      <c r="S55" s="1788"/>
      <c r="T55" s="593" t="s">
        <v>342</v>
      </c>
      <c r="U55" s="1756" t="str" cm="1">
        <f t="array" aca="1" ref="U55" ca="1">IFERROR(VLOOKUP(INDIRECT("U" &amp; ROW()-1),Fixtures!DM$93:DP$142,4,FALSE),"")</f>
        <v/>
      </c>
      <c r="V55" s="1757"/>
      <c r="W55" s="1757"/>
      <c r="X55" s="1757"/>
      <c r="Y55" s="1757"/>
      <c r="Z55" s="1757"/>
      <c r="AA55" s="1758"/>
      <c r="AB55" s="939" t="str">
        <f>IFERROR(VLOOKUP(U54,Fixtures_Proposed_List,2,FALSE),"")</f>
        <v/>
      </c>
      <c r="AC55" s="933" t="str">
        <f>IFERROR(ROUND(T54*AB55*N53*R53/1000,0),"")</f>
        <v/>
      </c>
      <c r="AD55" s="934" t="str">
        <f>IFERROR(ROUND(T54*AB55/1000,2),"")</f>
        <v/>
      </c>
      <c r="AE55" s="998"/>
      <c r="AF55" s="938" t="s">
        <v>342</v>
      </c>
      <c r="AG55" s="1770"/>
      <c r="AH55" s="1770"/>
      <c r="AI55" s="1770"/>
      <c r="AJ55" s="1770"/>
      <c r="AK55" s="1770"/>
      <c r="AL55" s="1770"/>
      <c r="AM55" s="1727"/>
      <c r="AN55" s="1729"/>
      <c r="AO55" s="1731"/>
      <c r="AP55" s="1782"/>
      <c r="AQ55" s="1783"/>
      <c r="AR55" s="1797"/>
      <c r="AS55" s="1797"/>
      <c r="AT55" s="1798"/>
      <c r="AU55" s="1736"/>
      <c r="AV55" s="1753"/>
      <c r="AW55" s="1706"/>
      <c r="AX55" s="468"/>
      <c r="AY55" s="1750"/>
      <c r="AZ55" s="1750"/>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696"/>
      <c r="CQ55" s="1696"/>
      <c r="CR55" s="1809"/>
      <c r="CS55" s="1811"/>
      <c r="CU55" s="1688"/>
      <c r="CV55" s="1703"/>
      <c r="CW55" s="1703"/>
      <c r="CX55" s="1813"/>
      <c r="CY55" s="1815"/>
      <c r="CZ55" s="1711"/>
      <c r="DA55" s="1815"/>
      <c r="DB55" s="1821"/>
      <c r="DC55" s="1821"/>
      <c r="DD55" s="1821"/>
      <c r="DF55" s="1703"/>
      <c r="DG55" s="1831"/>
      <c r="DH55" s="1813"/>
      <c r="DI55" s="1838"/>
      <c r="DJ55" s="1711"/>
      <c r="DK55" s="1712"/>
      <c r="DN55" s="1718"/>
      <c r="DO55" s="1709"/>
      <c r="DQ55" s="1715"/>
      <c r="DR55" s="1720"/>
      <c r="DS55" s="1703"/>
      <c r="DT55" s="1714"/>
      <c r="DU55" s="1715"/>
      <c r="DV55" s="1716"/>
      <c r="DX55" s="1715"/>
      <c r="DY55" s="1720"/>
      <c r="DZ55" s="1715"/>
      <c r="EA55" s="1715"/>
      <c r="EC55" s="1834"/>
      <c r="ED55" s="1834"/>
      <c r="EF55" s="1707"/>
      <c r="EG55" s="1712"/>
      <c r="EH55" s="1815"/>
      <c r="EI55" s="1712"/>
      <c r="EJ55" s="1712"/>
      <c r="EK55" s="1813"/>
      <c r="EL55" s="1813"/>
      <c r="EM55" s="1807"/>
      <c r="EN55" s="1839"/>
      <c r="EO55" s="1839"/>
      <c r="EP55" s="1817"/>
      <c r="EQ55" s="1817"/>
      <c r="ER55" s="1807"/>
      <c r="ES55" s="1807"/>
      <c r="ET55" s="1807"/>
      <c r="EV55" s="1715"/>
      <c r="EX55" s="1806"/>
      <c r="EY55" s="1806"/>
      <c r="EZ55" s="1806"/>
      <c r="FA55" s="1806"/>
      <c r="FB55" s="1806"/>
      <c r="FC55" s="1828"/>
      <c r="FE55" s="1698"/>
      <c r="FG55" s="1703"/>
      <c r="FH55" s="1703"/>
      <c r="FI55" s="133"/>
      <c r="FL55" s="1823"/>
      <c r="FM55" s="1825"/>
      <c r="FN55" s="1698"/>
      <c r="FO55" s="1698"/>
      <c r="FP55" s="1678"/>
      <c r="FQ55" s="1698"/>
      <c r="FS55" s="1687"/>
      <c r="FT55" s="1687"/>
      <c r="FU55" s="1685"/>
      <c r="FV55" s="1687"/>
      <c r="FW55" s="1687"/>
      <c r="FX55" s="1687"/>
      <c r="FY55" s="1697"/>
      <c r="GA55" s="1696"/>
      <c r="GB55" s="1696"/>
      <c r="GC55" s="1696"/>
      <c r="GD55" s="1696"/>
      <c r="GE55" s="1696"/>
      <c r="GF55" s="1696"/>
      <c r="GG55" s="1696"/>
      <c r="GH55" s="1696"/>
      <c r="GI55" s="673"/>
      <c r="GJ55" s="1135"/>
      <c r="GK55" s="1832"/>
      <c r="GN55" s="674">
        <f>IF(GN53=TRUE,0,GN$16)</f>
        <v>0</v>
      </c>
      <c r="GP55" s="674">
        <f>IF(GP53=TRUE,0,GP$16)</f>
        <v>36</v>
      </c>
      <c r="GQ55" s="674">
        <f ca="1">IF(GQ53=TRUE,0,GQ$16)</f>
        <v>35</v>
      </c>
      <c r="GR55" s="391"/>
      <c r="GS55" s="391"/>
      <c r="GT55" s="391"/>
      <c r="GU55" s="391"/>
      <c r="GV55" s="391"/>
      <c r="HG55" s="674">
        <f>IF(HG53=TRUE,0,HG$16)</f>
        <v>0</v>
      </c>
      <c r="HH55" s="674">
        <f t="shared" ref="HH55:HM55" si="23">IF(HH53=TRUE,0,HH$16)</f>
        <v>19</v>
      </c>
      <c r="HI55" s="674">
        <f t="shared" si="23"/>
        <v>18</v>
      </c>
      <c r="HJ55" s="674">
        <f t="shared" si="23"/>
        <v>17</v>
      </c>
      <c r="HK55" s="674">
        <f t="shared" si="23"/>
        <v>16</v>
      </c>
      <c r="HL55" s="674">
        <f t="shared" si="23"/>
        <v>0</v>
      </c>
      <c r="HM55" s="674">
        <f t="shared" si="23"/>
        <v>0</v>
      </c>
      <c r="HN55" s="674">
        <f>IF(HN53=TRUE,0,HN$16)</f>
        <v>13</v>
      </c>
      <c r="HO55" s="674">
        <f t="shared" ref="HO55:HQ55" si="24">IF(HO53=TRUE,0,HO$16)</f>
        <v>0</v>
      </c>
      <c r="HP55" s="674">
        <f t="shared" si="24"/>
        <v>0</v>
      </c>
      <c r="HQ55" s="674">
        <f t="shared" si="24"/>
        <v>10</v>
      </c>
      <c r="HR55" s="674">
        <f>IF(HR53=TRUE,0,HR$16)</f>
        <v>9</v>
      </c>
      <c r="HS55" s="674">
        <f t="shared" ref="HS55:HW55" si="25">IF(HS53=TRUE,0,HS$16)</f>
        <v>0</v>
      </c>
      <c r="HT55" s="674">
        <f t="shared" si="25"/>
        <v>0</v>
      </c>
      <c r="HU55" s="674">
        <f t="shared" si="25"/>
        <v>0</v>
      </c>
      <c r="HV55" s="674">
        <f t="shared" si="25"/>
        <v>0</v>
      </c>
      <c r="HW55" s="674">
        <f t="shared" si="25"/>
        <v>0</v>
      </c>
      <c r="HX55" s="674">
        <f>IF(HX53=TRUE,0,HX$16)</f>
        <v>0</v>
      </c>
      <c r="HY55" s="674">
        <f>IF(HY53=TRUE,0,HY$16)</f>
        <v>0</v>
      </c>
      <c r="HZ55" s="674">
        <f>IF(HZ53=TRUE,0,HZ$16)</f>
        <v>1</v>
      </c>
      <c r="IB55" s="674">
        <f>IF(GP53=FALSE,GP55,IF(GQ53=FALSE,GQ55,MAX(GN55:HZ55)))</f>
        <v>36</v>
      </c>
      <c r="IC55" s="1692"/>
      <c r="ID55" s="205" t="str">
        <f>VLOOKUP(IB55,_Error_Table,3,FALSE)</f>
        <v xml:space="preserve"> </v>
      </c>
      <c r="IE55" s="205"/>
      <c r="IF55" s="1688"/>
      <c r="IG55" s="1689"/>
      <c r="IH55" s="1684"/>
      <c r="IK55" s="1689"/>
      <c r="IL55" s="1692"/>
      <c r="IM55" s="1692"/>
      <c r="IN55" s="1692"/>
      <c r="IP55" s="1679"/>
      <c r="IQ55" s="1679"/>
      <c r="IR55" s="1679"/>
      <c r="IS55" s="1679"/>
      <c r="IT55" s="1679"/>
      <c r="IU55" s="1679"/>
      <c r="IV55" s="1679"/>
      <c r="IW55" s="1679"/>
      <c r="IX55" s="1679"/>
      <c r="IY55" s="1679"/>
      <c r="IZ55" s="1679"/>
      <c r="JA55" s="1679"/>
      <c r="JC55" s="1680"/>
      <c r="JD55" s="1670"/>
      <c r="JE55" s="1681"/>
      <c r="JG55" s="1680"/>
      <c r="JH55" s="1670"/>
      <c r="JI55" s="1060"/>
      <c r="JJ55" s="1670"/>
      <c r="JK55" s="1061"/>
      <c r="JL55" s="1670"/>
      <c r="JM55" s="1061"/>
      <c r="JN55" s="1670"/>
      <c r="JO55" s="1061"/>
      <c r="JP55" s="1670"/>
      <c r="JQ55" s="1061"/>
      <c r="JR55" s="1670"/>
      <c r="JS55" s="1061"/>
      <c r="JT55" s="1670"/>
      <c r="JU55" s="1061"/>
      <c r="JV55" s="1670"/>
      <c r="JX55" s="1670"/>
      <c r="JZ55" s="1670"/>
      <c r="KB55" s="1670"/>
    </row>
    <row r="56" spans="1:288" s="78" customFormat="1" ht="5.0999999999999996" customHeight="1">
      <c r="B56" s="675"/>
      <c r="C56" s="392"/>
      <c r="D56" s="392"/>
      <c r="E56" s="1733"/>
      <c r="F56" s="1733"/>
      <c r="G56" s="1733"/>
      <c r="H56" s="1733"/>
      <c r="I56" s="1733"/>
      <c r="J56" s="1733"/>
      <c r="K56" s="1733"/>
      <c r="L56" s="1733"/>
      <c r="M56" s="1733"/>
      <c r="N56" s="1733"/>
      <c r="O56" s="1733"/>
      <c r="P56" s="1733"/>
      <c r="Q56" s="1733"/>
      <c r="R56" s="1733"/>
      <c r="S56" s="1733"/>
      <c r="T56" s="1733"/>
      <c r="U56" s="1733"/>
      <c r="V56" s="1733"/>
      <c r="W56" s="1733"/>
      <c r="X56" s="1733"/>
      <c r="Y56" s="1733"/>
      <c r="Z56" s="1733"/>
      <c r="AA56" s="1733"/>
      <c r="AB56" s="1733"/>
      <c r="AC56" s="1733"/>
      <c r="AD56" s="1733"/>
      <c r="AE56" s="1733"/>
      <c r="AF56" s="1733"/>
      <c r="AG56" s="1733"/>
      <c r="AH56" s="1733"/>
      <c r="AI56" s="1733"/>
      <c r="AJ56" s="1733"/>
      <c r="AK56" s="1733"/>
      <c r="AL56" s="1733"/>
      <c r="AM56" s="1733"/>
      <c r="AN56" s="1733"/>
      <c r="AO56" s="1733"/>
      <c r="AP56" s="1733"/>
      <c r="AQ56" s="1733"/>
      <c r="AR56" s="1733"/>
      <c r="AS56" s="1733"/>
      <c r="AT56" s="1733"/>
      <c r="AU56" s="1733"/>
      <c r="AV56" s="1733"/>
      <c r="AW56" s="1733"/>
      <c r="AX56" s="469"/>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663"/>
      <c r="CQ56" s="663"/>
      <c r="CR56" s="438"/>
      <c r="CS56" s="663"/>
      <c r="CV56" s="391"/>
      <c r="CW56" s="391"/>
      <c r="CX56" s="207"/>
      <c r="CY56" s="208"/>
      <c r="CZ56" s="208"/>
      <c r="DA56" s="208"/>
      <c r="DB56" s="209"/>
      <c r="DC56" s="209"/>
      <c r="DD56" s="209"/>
      <c r="DF56" s="664"/>
      <c r="DG56" s="665"/>
      <c r="DH56" s="666"/>
      <c r="DI56" s="667"/>
      <c r="DJ56" s="668"/>
      <c r="DK56" s="668"/>
      <c r="DN56" s="208"/>
      <c r="DO56" s="664"/>
      <c r="DQ56" s="664"/>
      <c r="DR56" s="669"/>
      <c r="DS56" s="391"/>
      <c r="DT56" s="664"/>
      <c r="DU56" s="664"/>
      <c r="DV56" s="664"/>
      <c r="DX56" s="664"/>
      <c r="DY56" s="664"/>
      <c r="DZ56" s="664"/>
      <c r="EA56" s="664"/>
      <c r="EC56" s="670"/>
      <c r="ED56" s="670"/>
      <c r="EF56" s="668"/>
      <c r="EG56" s="668"/>
      <c r="EH56" s="208"/>
      <c r="EI56" s="668"/>
      <c r="EJ56" s="668"/>
      <c r="EK56" s="207"/>
      <c r="EL56" s="207"/>
      <c r="EM56" s="666"/>
      <c r="EN56" s="671"/>
      <c r="EO56" s="671"/>
      <c r="EP56" s="672"/>
      <c r="EQ56" s="672"/>
      <c r="ER56" s="666"/>
      <c r="ES56" s="666"/>
      <c r="ET56" s="666"/>
      <c r="EV56" s="664"/>
      <c r="EX56" s="391"/>
      <c r="EY56" s="391"/>
      <c r="EZ56" s="391"/>
      <c r="FA56" s="391"/>
      <c r="FB56" s="391"/>
      <c r="FC56" s="391"/>
      <c r="FE56" s="569"/>
      <c r="FG56" s="391"/>
      <c r="FH56" s="391"/>
      <c r="FI56" s="391"/>
      <c r="FS56" s="664"/>
      <c r="FT56" s="391"/>
      <c r="FU56" s="391"/>
      <c r="FV56" s="664"/>
      <c r="FW56" s="664"/>
      <c r="GA56" s="663"/>
      <c r="GB56" s="663"/>
      <c r="GC56" s="663"/>
      <c r="GD56" s="663"/>
      <c r="GE56" s="663"/>
      <c r="GF56" s="663"/>
      <c r="GG56" s="663"/>
      <c r="GH56" s="663"/>
      <c r="GI56" s="665"/>
      <c r="GJ56" s="664"/>
      <c r="GK56" s="664"/>
      <c r="JG56" s="1061"/>
      <c r="JH56" s="1061"/>
      <c r="JI56" s="1061"/>
      <c r="JJ56" s="1061"/>
      <c r="JK56" s="1061"/>
      <c r="JL56" s="1061"/>
      <c r="JM56" s="1061"/>
      <c r="JN56" s="1061"/>
      <c r="JO56" s="1061"/>
      <c r="JP56" s="1061"/>
      <c r="JQ56" s="1061"/>
      <c r="JR56" s="1061"/>
      <c r="JS56" s="1061"/>
      <c r="JT56" s="1061"/>
      <c r="JU56" s="1061"/>
      <c r="JV56" s="1061"/>
      <c r="KB56" s="1061"/>
    </row>
    <row r="57" spans="1:288" s="78" customFormat="1" ht="14.95" customHeight="1">
      <c r="B57" s="1845" t="str">
        <f>ID60</f>
        <v xml:space="preserve"> </v>
      </c>
      <c r="C57" s="1846">
        <f>C52+1</f>
        <v>3</v>
      </c>
      <c r="D57" s="1847"/>
      <c r="E57" s="1799" t="s">
        <v>295</v>
      </c>
      <c r="F57" s="1800"/>
      <c r="G57" s="1741"/>
      <c r="H57" s="1742"/>
      <c r="I57" s="1742"/>
      <c r="J57" s="1742"/>
      <c r="K57" s="1742"/>
      <c r="L57" s="1742"/>
      <c r="M57" s="1742"/>
      <c r="N57" s="1742"/>
      <c r="O57" s="1742"/>
      <c r="P57" s="1742"/>
      <c r="Q57" s="1742"/>
      <c r="R57" s="1742"/>
      <c r="S57" s="1791" t="s">
        <v>344</v>
      </c>
      <c r="T57" s="590"/>
      <c r="U57" s="1743"/>
      <c r="V57" s="1744"/>
      <c r="W57" s="1744"/>
      <c r="X57" s="1744"/>
      <c r="Y57" s="1744"/>
      <c r="Z57" s="1744"/>
      <c r="AA57" s="1744"/>
      <c r="AB57" s="961" t="str">
        <f>IFERROR(IF(__Retrofit_TI_NC=0,VLOOKUP(U58,Fixtures_Existing_List,2,FALSE),ROUND(N59*R59/T59,10)),"")</f>
        <v/>
      </c>
      <c r="AC57" s="935" t="str">
        <f>IFERROR(IF(__Retrofit_TI_NC=0,ROUND(T58*AB57*N58*R58/1000,0),IF(CQ57="Interior",N59*R59*R58*N58*_C406_reduction/1000,N59*R59*R58*N58/1000)),"")</f>
        <v/>
      </c>
      <c r="AD57" s="936" t="str">
        <f>IFERROR(IF(C$43=0,ROUND(T58*AB57/1000,2),N59*R59/1000),"")</f>
        <v/>
      </c>
      <c r="AE57" s="997"/>
      <c r="AF57" s="937"/>
      <c r="AG57" s="1745" t="str">
        <f>IF(__Retrofit_TI_NC=0," Control","Select Control for New System")</f>
        <v xml:space="preserve"> Control</v>
      </c>
      <c r="AH57" s="1745"/>
      <c r="AI57" s="1745"/>
      <c r="AJ57" s="1745"/>
      <c r="AK57" s="1745"/>
      <c r="AL57" s="1745"/>
      <c r="AM57" s="1746">
        <f>IFERROR(DI57,"")</f>
        <v>0</v>
      </c>
      <c r="AN57" s="1774" t="str">
        <f>IFERROR(ROUND(AM57*AC57,0),"")</f>
        <v/>
      </c>
      <c r="AO57" s="1776">
        <f>IFERROR(IF(IB57=FALSE,0,AC57-AN57),0)</f>
        <v>0</v>
      </c>
      <c r="AP57" s="1778">
        <f>AO57-AO59</f>
        <v>0</v>
      </c>
      <c r="AQ57" s="1779"/>
      <c r="AR57" s="1793">
        <f>IFERROR(IF(IB57=FALSE,0,(T59*U60)+(AF59*AG60)),0)</f>
        <v>0</v>
      </c>
      <c r="AS57" s="1793"/>
      <c r="AT57" s="1794"/>
      <c r="AU57" s="1734" t="s">
        <v>237</v>
      </c>
      <c r="AV57" s="1751">
        <f>IF(AU57="Yes",1,0)</f>
        <v>1</v>
      </c>
      <c r="AW57" s="1704" t="str">
        <f>IF(OR(DQ57=4,DQ57=5,DQ57=6,DQ57=12),CONCATENATE("$",IF(GH57=TRUE,Lookup!$K$10,Lookup!$K$2)," /lamp"),CONCATENATE(TEXT(ED57,"$0.00"),"/ kWh"))</f>
        <v>$0.00/ kWh</v>
      </c>
      <c r="AX57" s="467"/>
      <c r="AY57" s="1748">
        <f ca="1">IFERROR(IF(GM58=TRUE,(AB60*T59)/R59,0),"NA")</f>
        <v>0</v>
      </c>
      <c r="AZ57" s="1748"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696" t="str">
        <f>N58</f>
        <v/>
      </c>
      <c r="CQ57" s="1696" t="str">
        <f>IFERROR(VLOOKUP(G58,_Lookup_Heat_Type_Table_New,3,FALSE),"")</f>
        <v/>
      </c>
      <c r="CR57" s="1808" t="str">
        <f>CQ57</f>
        <v/>
      </c>
      <c r="CS57" s="1810" t="str">
        <f>IFERROR(VLOOKUP(G59,'Space Table'!$B$3:$L$163,9,FALSE),"")</f>
        <v/>
      </c>
      <c r="CU57" s="1688" t="s">
        <v>344</v>
      </c>
      <c r="CV57" s="1702">
        <f>IF(IB57=TRUE,T58,0)</f>
        <v>0</v>
      </c>
      <c r="CW57" s="1702" t="str">
        <f>IF(IB57=TRUE,U58,"")</f>
        <v/>
      </c>
      <c r="CX57" s="1702"/>
      <c r="CY57" s="1814">
        <f>IF(IB57=TRUE,AB57,0)</f>
        <v>0</v>
      </c>
      <c r="CZ57" s="1710">
        <f>IF(AND(__Retrofit_TI_NC&gt;0,CR57="interior"),0,IF(IB57=TRUE,AC57,0))</f>
        <v>0</v>
      </c>
      <c r="DA57" s="1814">
        <f>IFERROR(IF(IB57=TRUE,CZ57-CZ59,0),0)</f>
        <v>0</v>
      </c>
      <c r="DB57" s="1819">
        <f>IF(IB57=TRUE,AD57,0)</f>
        <v>0</v>
      </c>
      <c r="DC57" s="1819">
        <f>IF(IB57=TRUE,AD60,0)</f>
        <v>0</v>
      </c>
      <c r="DD57" s="1819">
        <f>IFERROR(DB57-DC57,0)</f>
        <v>0</v>
      </c>
      <c r="DF57" s="1702">
        <f>IF(IB57=TRUE,AF58,0)</f>
        <v>0</v>
      </c>
      <c r="DG57" s="1830">
        <f>IFERROR(IF(__Retrofit_TI_NC=2,IF(CQ57="Exterior",O60,FQ57),FN57),"")</f>
        <v>0</v>
      </c>
      <c r="DH57" s="1702"/>
      <c r="DI57" s="1837">
        <f>JE57</f>
        <v>0</v>
      </c>
      <c r="DJ57" s="1710">
        <f>IF(AND(__Retrofit_TI_NC&gt;0,CR57="interior"),0,IF(IB57=TRUE,AN57,0))</f>
        <v>0</v>
      </c>
      <c r="DK57" s="1712">
        <f>IFERROR(IF(IB57=TRUE,DJ59-DJ57,0),0)</f>
        <v>0</v>
      </c>
      <c r="DM57" s="1717">
        <f>IFERROR(CZ57-DJ57,0)</f>
        <v>0</v>
      </c>
      <c r="DO57" s="1708">
        <f>DM57-DN59</f>
        <v>0</v>
      </c>
      <c r="DQ57" s="1715" t="str">
        <f>IFERROR(IF(AND(OR(GC57=4,GC57=5,GC57=6),OR(GF57=4,GF57=5,GF57=6)),GC57+8,VLOOKUP(CW59,Fixtures!R$31:Y$78,8,FALSE)),"")</f>
        <v/>
      </c>
      <c r="DR57" s="1829" t="str">
        <f>DQ57</f>
        <v/>
      </c>
      <c r="DS57" s="1702" t="str">
        <f>IFERROR(VLOOKUP(DG59,Lookup!BB$3:BC$20,2,FALSE),"")</f>
        <v/>
      </c>
      <c r="DT57" s="1713" t="str">
        <f>IF(OR(DS57=7,DS57=8,DS57=9),"ALC","")</f>
        <v/>
      </c>
      <c r="DU57" s="1715">
        <f>IFERROR(IF(OR(DQ57=4,DQ57=5,DQ57=6,DQ57=12,DQ57=13,DQ57=14),VLOOKUP(CW59,Fixtures!DN$27:EG$77,19,FALSE),1)*CV59,0)</f>
        <v>0</v>
      </c>
      <c r="DV57" s="1716">
        <f>IF(OR(DS57=7,DS57=8,DS57=9),IF(DG57=DG59,0,DF59),0)</f>
        <v>0</v>
      </c>
      <c r="DX57" s="1715" t="str">
        <f>IFERROR(IF(EZ57&lt;EZ59,"Yes","No"),"")</f>
        <v/>
      </c>
      <c r="DY57" s="1829" t="str">
        <f>DX57</f>
        <v/>
      </c>
      <c r="DZ57" s="1715">
        <f>IF(DX57="Yes",DF59,0)</f>
        <v>0</v>
      </c>
      <c r="EA57" s="1715">
        <f>DZ57-DV57</f>
        <v>0</v>
      </c>
      <c r="EC57" s="1834">
        <f>IFERROR(VLOOKUP(DQ57,Lookup!AU$3:AV$16,2,FALSE),0)</f>
        <v>0</v>
      </c>
      <c r="ED57" s="1834">
        <f>IF(IB57=FALSE,0,IF(DX57="Yes",EC57+Lookup!K$6,EC57))</f>
        <v>0</v>
      </c>
      <c r="EF57" s="1707">
        <f>IF(IB57=TRUE,DM57,0)</f>
        <v>0</v>
      </c>
      <c r="EG57" s="1712">
        <f>IF(IB57=TRUE,CZ59,0)</f>
        <v>0</v>
      </c>
      <c r="EH57" s="1814">
        <f>IFERROR(EF57-EG57,0)</f>
        <v>0</v>
      </c>
      <c r="EI57" s="1712">
        <f>IF(IB57=TRUE,DJ59,0)</f>
        <v>0</v>
      </c>
      <c r="EJ57" s="1712">
        <f>IFERROR(EF57-EG57+EI57,0)</f>
        <v>0</v>
      </c>
      <c r="EK57" s="1812">
        <f>IF(IB57=TRUE,CV59*CX59,0)</f>
        <v>0</v>
      </c>
      <c r="EL57" s="1812">
        <f>IF(IB57=TRUE,DF59*DH59,0)</f>
        <v>0</v>
      </c>
      <c r="EM57" s="1807">
        <f>AR57</f>
        <v>0</v>
      </c>
      <c r="EN57" s="1839" t="str">
        <f>IFERROR(IF(IB57=TRUE,VLOOKUP(DQ57,Lookup!AU$3:AW$16,3,FALSE)*DU57,""),0)</f>
        <v/>
      </c>
      <c r="EO57" s="1839">
        <f>IF(IB57=TRUE,DZ57*Lookup!AW$12,0)</f>
        <v>0</v>
      </c>
      <c r="EP57" s="1817">
        <f>IFERROR(IF(IB57=TRUE,EN57/EP$40,0),0)</f>
        <v>0</v>
      </c>
      <c r="EQ57" s="1817">
        <f>IF(IB57=TRUE,EO57/EQ$40,0)</f>
        <v>0</v>
      </c>
      <c r="ER57" s="1807">
        <f>IF(IB57=TRUE,ET$40*EP57,0)</f>
        <v>0</v>
      </c>
      <c r="ES57" s="1807">
        <f>IF(IB57=TRUE,ET$40*EQ57,0)</f>
        <v>0</v>
      </c>
      <c r="ET57" s="1807">
        <f>ER57+ES57</f>
        <v>0</v>
      </c>
      <c r="EV57" s="1715">
        <f>IF(G57="",0,1)</f>
        <v>0</v>
      </c>
      <c r="EX57" s="1804" t="str">
        <f>IFERROR(VLOOKUP(CS59,'Space Table'!$B$3:$L$163,8,FALSE),"")</f>
        <v/>
      </c>
      <c r="EY57" s="1804" t="str">
        <f>IFERROR(IF(FB57="Yes",VLOOKUP(DG57,Lookup_Control_Type_Table2,4,FALSE),VLOOKUP(DG57,Lookup_Control_Type_Table2,3,FALSE)),"")</f>
        <v/>
      </c>
      <c r="EZ57" s="1804" t="e">
        <f>VLOOKUP(DG57,Lookup!BB$3:BC$20,2,FALSE)</f>
        <v>#N/A</v>
      </c>
      <c r="FA57" s="1804" t="e">
        <f>VLOOKUP(EX57,Lookup_Control_Type_Table,2,FALSE)</f>
        <v>#N/A</v>
      </c>
      <c r="FB57" s="1804" t="e">
        <f>VLOOKUP(CS59,'Space Table'!$B$3:$L$163,7,FALSE)</f>
        <v>#N/A</v>
      </c>
      <c r="FC57" s="1826" t="b">
        <f>ISNUMBER(SEARCH("TLED",U59))</f>
        <v>0</v>
      </c>
      <c r="FE57" s="1698" t="str">
        <f>CONCATENATE(CQ57," - ",DG57)</f>
        <v xml:space="preserve"> - 0</v>
      </c>
      <c r="FG57" s="1702" t="str">
        <f>VLOOKUP(CW59,Fixtures!DN$27:EZ$77,38,FALSE)</f>
        <v/>
      </c>
      <c r="FH57" s="1702">
        <f>IFERROR(FG57*EH57,0)</f>
        <v>0</v>
      </c>
      <c r="FI57" s="133"/>
      <c r="FL57" s="1822" t="str">
        <f>IF(CQ57="Exterior","Not Daylighted",G60)</f>
        <v>Not Daylighted</v>
      </c>
      <c r="FM57" s="1824">
        <f>VLOOKUP(FL57,_New_Daylight_Table_Codes,2,FALSE)</f>
        <v>0</v>
      </c>
      <c r="FN57" s="1698">
        <f>IF(__Retrofit_TI_NC&gt;0,VLOOKUP(G59,'Space Table'!$B$3:$L$163,11,FALSE),AG58)</f>
        <v>0</v>
      </c>
      <c r="FO57" s="1698" t="e">
        <f>IF(__Retrofit_TI_NC=2,VLOOKUP(FQ57,_Control_Table,2,FALSE),VLOOKUP(FN57,_Control_Table,2,FALSE))</f>
        <v>#N/A</v>
      </c>
      <c r="FP57" s="1678" t="e">
        <f>VLOOKUP(CONCATENATE(FL57," ",FN57),Lookup!AY63:AZ$102,2,FALSE)</f>
        <v>#N/A</v>
      </c>
      <c r="FQ57" s="1678">
        <f>IF(__Retrofit_TI_NC=0,FN57,IF(AND(FT57&gt;0,FN57="Occupancy Sensor"),"Daylight + Occupancy",IF(AND(FT57&gt;0,VLOOKUP(FN57,_Control_Table,2,FALSE)&lt;4),"Interior Daylight Dimming",FN57)))</f>
        <v>0</v>
      </c>
      <c r="FS57" s="1686">
        <f>IF(CR57="Interior",VLOOKUP(CS57,Control_Savings_Interior,5,FALSE),0)</f>
        <v>0</v>
      </c>
      <c r="FT57" s="1687">
        <f>IF(CQ57="Exterior",0,IF(FM57=2,0.5,IF(OR(FM57=1,FM57=3),1,0)))</f>
        <v>0</v>
      </c>
      <c r="FU57" s="1685">
        <f>IF(R56&gt;FS$44,(FS57*(FS$44/R56)),FS57)*FT57</f>
        <v>0</v>
      </c>
      <c r="FV57" s="1686">
        <f>DI57</f>
        <v>0</v>
      </c>
      <c r="FW57" s="1686">
        <f>ROUND(FV57+((1-FV57)*FU57),2)</f>
        <v>0</v>
      </c>
      <c r="FX57" s="1686">
        <f>IF(__Retrofit_TI_NC=2,FW57,FV57)</f>
        <v>0</v>
      </c>
      <c r="FY57" s="1697"/>
      <c r="GA57" s="1696" t="str">
        <f>IFERROR(VLOOKUP(U58,_Exist_Fixture_Table,3,FALSE),"")</f>
        <v/>
      </c>
      <c r="GB57" s="1696" t="str">
        <f>VLOOKUP(CW57,_Exist_Fixture_Table,4,FALSE)</f>
        <v/>
      </c>
      <c r="GC57" s="1696">
        <f>IFERROR(VLOOKUP(GB57,Lookup!AT$6:AU$8,2,FALSE),0)</f>
        <v>0</v>
      </c>
      <c r="GD57" s="1696" t="b">
        <f>IFERROR(IF(OR(GF57=4,GF57=5,GF57=6),TRUE,FALSE),"")</f>
        <v>0</v>
      </c>
      <c r="GE57" s="1696" t="str">
        <f>IFERROR(VLOOKUP(GF57,GC$6:GD$10,2,FALSE),"")</f>
        <v/>
      </c>
      <c r="GF57" s="1696" t="str">
        <f>VLOOKUP(CW59,Fixtures!R$31:Y$78,8,FALSE)</f>
        <v/>
      </c>
      <c r="GG57" s="1696">
        <f>IF(AND(GA57=TRUE,GD57=TRUE,OR(DQ57=12,DQ57=13,DQ57=14)),GC57+8,0)</f>
        <v>0</v>
      </c>
      <c r="GH57" s="1696" t="b">
        <f>IF(OR(GG57=12,GG57=13,GG57=14),TRUE,FALSE)</f>
        <v>0</v>
      </c>
      <c r="GI57" s="673" t="b">
        <f>IF(ISNUMBER(SEARCH("TLED",U58)),TRUE,FALSE)</f>
        <v>0</v>
      </c>
      <c r="GJ57" s="1135" t="str">
        <f>IFERROR(VLOOKUP(U58,Fixtures!BM$93:BR$142,6,FALSE),"")</f>
        <v/>
      </c>
      <c r="GK57" s="1832" t="b">
        <f>IF(OR(GI57=FALSE,GI59=FALSE),TRUE,IF(GJ57-GJ59&lt;5,FALSE,TRUE))</f>
        <v>1</v>
      </c>
      <c r="GO57" s="674">
        <f>GP57</f>
        <v>0</v>
      </c>
      <c r="GP57" s="674">
        <f>IF(G57="",0,1)</f>
        <v>0</v>
      </c>
      <c r="GQ57" s="674">
        <f ca="1">SUM(GR57:HF57)</f>
        <v>2</v>
      </c>
      <c r="GR57" s="674">
        <f>IF(G58="",0,1)</f>
        <v>0</v>
      </c>
      <c r="GS57" s="674">
        <f>IF(N60="BAM",1,IF(G59="",0,1))</f>
        <v>0</v>
      </c>
      <c r="GT57" s="674">
        <f>IF(N60="BAM",1,IF(R58="",0,1))</f>
        <v>0</v>
      </c>
      <c r="GU57" s="674">
        <f>IF(N60="BAM",1,IF(__Retrofit_TI_NC=0,1,IF(R59="",0,1)))</f>
        <v>1</v>
      </c>
      <c r="GV57" s="674">
        <f>IF(N60="BAM",1,IF(CQ57="Exterior",1,IF(G60="",0,1)))</f>
        <v>1</v>
      </c>
      <c r="GW57" s="674">
        <f>IF(__Retrofit_TI_NC&gt;0,1,IF(T58="",0,1))</f>
        <v>0</v>
      </c>
      <c r="GX57" s="674">
        <f>IF(__Retrofit_TI_NC&gt;0,1,IF(U58="",0,1))</f>
        <v>0</v>
      </c>
      <c r="GY57" s="674">
        <f>IF(N60="BAM",1,IF(T59="",0,1))</f>
        <v>0</v>
      </c>
      <c r="GZ57" s="674">
        <f>IF(N60="BAM",1,IF(U59="",0,1))</f>
        <v>0</v>
      </c>
      <c r="HA57" s="674">
        <f ca="1">IF(N60="BAM",1,IF(__Retrofit_TI_NC&gt;0,1,IF(U60="",0,1)))</f>
        <v>0</v>
      </c>
      <c r="HB57" s="674">
        <f>IF(__Retrofit_TI_NC&lt;&gt;0,1,IF(AF58="",0,1))</f>
        <v>0</v>
      </c>
      <c r="HC57" s="674">
        <f>IF(__Retrofit_TI_NC&lt;&gt;0,1,IF(AG58="",0,1))</f>
        <v>0</v>
      </c>
      <c r="HD57" s="674">
        <f>IF(N60="BAM",1,IF(AF59="",0,1))</f>
        <v>0</v>
      </c>
      <c r="HE57" s="674">
        <f>IF(N60="BAM",1,IF(AG59="",0,1))</f>
        <v>0</v>
      </c>
      <c r="HF57" s="674">
        <f>IF(N60="BAM",1,IF(__Retrofit_TI_NC&gt;0,1,IF(AG60="",0,1)))</f>
        <v>0</v>
      </c>
      <c r="HG57" s="391"/>
      <c r="IA57" s="391"/>
      <c r="IB57" s="1693" t="b">
        <f>IF(OR(IB60=0,IB60=HY$16,IB60=HX$16,IB60=HZ$16),TRUE,FALSE)</f>
        <v>0</v>
      </c>
      <c r="IC57" s="1694" t="b">
        <f>IB57</f>
        <v>0</v>
      </c>
      <c r="ID57" s="391"/>
      <c r="IE57" s="391"/>
      <c r="IF57" s="1688" t="b">
        <f ca="1">IF(MAX(GN60:HU60)&gt;5,FALSE,TRUE)</f>
        <v>0</v>
      </c>
      <c r="IG57" s="1689">
        <f ca="1">IF(IF57=TRUE,AC57,0)</f>
        <v>0</v>
      </c>
      <c r="IH57" s="1689">
        <f ca="1">IG57-IG59</f>
        <v>0</v>
      </c>
      <c r="IK57" s="1689" t="e">
        <f>ROUND(T58*VLOOKUP(U58,Fixtures_Existing_List,2,FALSE)*N58*R58/1000,0)</f>
        <v>#N/A</v>
      </c>
      <c r="IL57" s="1690" t="e">
        <f>IK57-IK59</f>
        <v>#N/A</v>
      </c>
      <c r="IM57" s="1693" t="e">
        <f>ROUND(IF(CQ57="Interior",N59*R59*R58*N58*_C406_reduction/1000,N59*R59*R58*N58/1000),0)</f>
        <v>#N/A</v>
      </c>
      <c r="IN57" s="1693" t="e">
        <f>IM57-IM59</f>
        <v>#N/A</v>
      </c>
      <c r="IP57" s="1679"/>
      <c r="IQ57" s="1679" t="e">
        <f t="shared" ref="IQ57:IU57" si="26">IF($CR57="interior",VLOOKUP($CS57,_New_Control_Savings_Interior,IQ$30,FALSE),VLOOKUP($CS57,Control_Savings_Exterior,IQ$30,FALSE))</f>
        <v>#N/A</v>
      </c>
      <c r="IR57" s="1679" t="e">
        <f t="shared" si="26"/>
        <v>#N/A</v>
      </c>
      <c r="IS57" s="1679" t="e">
        <f t="shared" si="26"/>
        <v>#N/A</v>
      </c>
      <c r="IT57" s="1679" t="e">
        <f t="shared" si="26"/>
        <v>#N/A</v>
      </c>
      <c r="IU57" s="1679" t="e">
        <f t="shared" si="26"/>
        <v>#N/A</v>
      </c>
      <c r="IV57" s="1679" t="e">
        <f>IF($CR57="interior",IF(R58&gt;$IP$14,ROUND(($IV$18*($IP$14/R58)),2),$IV$18),VLOOKUP($CS57,Control_Savings_Exterior,IV$30,FALSE))</f>
        <v>#N/A</v>
      </c>
      <c r="IW57" s="1679" t="e">
        <f>IF($CR57="interior",ROUND(((1-IS57)*IV57)+IS57,2),VLOOKUP($CS57,Control_Savings_Exterior,IW$30,FALSE))</f>
        <v>#N/A</v>
      </c>
      <c r="IX57" s="1679" t="e">
        <f>IF($CR57="interior",ROUND(((1-IT57)*IV57)+IT57,2),VLOOKUP($CS57,Control_Savings_Exterior,IX$30,FALSE))</f>
        <v>#N/A</v>
      </c>
      <c r="IY57" s="1679" t="e">
        <f>IF($CR57="interior",IF(R58&gt;$IP$14,ROUND(($IY$18*($IP$14/R58)),2),$IY$18),VLOOKUP($CS57,Control_Savings_Exterior,IY$30,FALSE))</f>
        <v>#N/A</v>
      </c>
      <c r="IZ57" s="1679" t="e">
        <f>IF($CR57="interior",ROUND(((1-IS57)*IY57)+IS57,2),VLOOKUP($CS57,Control_Savings_Exterior,IZ$30,FALSE))</f>
        <v>#N/A</v>
      </c>
      <c r="JA57" s="1679" t="e">
        <f>IF($CR57="interior",ROUND(((1-IT57)*IY57)+IT57,2),VLOOKUP($CS57,Control_Savings_Exterior,JA$30,FALSE))</f>
        <v>#N/A</v>
      </c>
      <c r="JC57" s="1680">
        <f>IFERROR(IF(CR57="Interior",CONCATENATE(G60," ",FQ57),FQ57),"")</f>
        <v>0</v>
      </c>
      <c r="JD57" s="1670" t="str">
        <f>IFERROR(VLOOKUP(JC57,_Controls_2023,2,FALSE),"")</f>
        <v/>
      </c>
      <c r="JE57" s="1681">
        <f>IFERROR(CHOOSE(JD57-1,IQ57,IR57,IS57,IT57,IU57,IV57,IW57,IX57,IY57,IZ57,JA57),0)</f>
        <v>0</v>
      </c>
      <c r="JG57" s="1680" t="str">
        <f>FE57</f>
        <v xml:space="preserve"> - 0</v>
      </c>
      <c r="JH57" s="1670" t="e">
        <f>$FO57</f>
        <v>#N/A</v>
      </c>
      <c r="JI57" s="1060"/>
      <c r="JJ57" s="1682" t="b">
        <f>IF($JG59=CONCATENATE("Interior - ",JJ$4),TRUE,FALSE)</f>
        <v>0</v>
      </c>
      <c r="JK57" s="1061"/>
      <c r="JL57" s="1682" t="b">
        <f>IF($JG59=CONCATENATE("Interior - ",JL$4),TRUE,FALSE)</f>
        <v>0</v>
      </c>
      <c r="JM57" s="1061"/>
      <c r="JN57" s="1682" t="b">
        <f>IF($JG59=CONCATENATE("Interior - ",JN$4),TRUE,FALSE)</f>
        <v>0</v>
      </c>
      <c r="JO57" s="1061"/>
      <c r="JP57" s="1682" t="b">
        <f>IF(__Retrofit_TI_NC&gt;0,FALSE,IF($JG59=CONCATENATE("Interior - ",JP$4),TRUE,FALSE))</f>
        <v>0</v>
      </c>
      <c r="JQ57" s="1061"/>
      <c r="JR57" s="1682" t="b">
        <f>IF(__Retrofit_TI_NC&gt;0,FALSE,IF($JG59=CONCATENATE("Interior - ",JR$4),TRUE,FALSE))</f>
        <v>0</v>
      </c>
      <c r="JS57" s="1061"/>
      <c r="JT57" s="1670" t="b">
        <f>IF(__Retrofit_TI_NC&gt;0,FALSE,IF($JG59=CONCATENATE("Interior - ",JT$4),TRUE,FALSE))</f>
        <v>0</v>
      </c>
      <c r="JU57" s="1061"/>
      <c r="JV57" s="1670" t="b">
        <f>IF(JC59="AELC on Existing",TRUE,FALSE)</f>
        <v>0</v>
      </c>
      <c r="JX57" s="1670" t="b">
        <f>IF(OR(JG59="Exterior - AELC Occupancy based",JG59="Exterior - AELC Time based"),TRUE,FALSE)</f>
        <v>0</v>
      </c>
      <c r="JZ57" s="1682" t="b">
        <f>IF($JG59=CONCATENATE("Exterior - ",JZ$4),TRUE,FALSE)</f>
        <v>0</v>
      </c>
      <c r="KB57" s="1670" t="b">
        <f>IF(__Retrofit_TI_NC&gt;0,FALSE,IF($JG59=CONCATENATE("Interior - ",KB$4),TRUE,FALSE))</f>
        <v>0</v>
      </c>
    </row>
    <row r="58" spans="1:288" s="78" customFormat="1" ht="14.95" customHeight="1" thickTop="1" thickBot="1">
      <c r="B58" s="1845"/>
      <c r="C58" s="1846"/>
      <c r="D58" s="1847"/>
      <c r="E58" s="1737" t="s">
        <v>297</v>
      </c>
      <c r="F58" s="1738"/>
      <c r="G58" s="1739"/>
      <c r="H58" s="1739"/>
      <c r="I58" s="1739"/>
      <c r="J58" s="1739"/>
      <c r="K58" s="1739"/>
      <c r="L58" s="1739"/>
      <c r="M58" s="461" t="e">
        <f>IF(__Retrofit_TI_NC&lt;&gt;0,IF(VLOOKUP(G59,'Space Table'!$B$3:$L$163,3,FALSE)&gt;0,1,0),IF(__Retrofit_TI_NC=VLOOKUP(G59,'Space Table'!$B$3:$L$163,3,FALSE),1,0))</f>
        <v>#N/A</v>
      </c>
      <c r="N58" s="461" t="str">
        <f>IFERROR(VLOOKUP(G58,_Lookup_Heat_Type_Table_New,2,FALSE),"")</f>
        <v/>
      </c>
      <c r="O58" s="461">
        <f>IF(__Retrofit_TI_NC=1,CONCATENATE("TI ",G58),IF(__Retrofit_TI_NC=2,CONCATENATE("NC ",G58),G58))</f>
        <v>0</v>
      </c>
      <c r="P58" s="1740" t="s">
        <v>435</v>
      </c>
      <c r="Q58" s="1740"/>
      <c r="R58" s="595"/>
      <c r="S58" s="1792"/>
      <c r="T58" s="597"/>
      <c r="U58" s="1765"/>
      <c r="V58" s="1766"/>
      <c r="W58" s="1766"/>
      <c r="X58" s="1766"/>
      <c r="Y58" s="1766"/>
      <c r="Z58" s="1766"/>
      <c r="AA58" s="1766"/>
      <c r="AB58" s="1766"/>
      <c r="AC58" s="1766"/>
      <c r="AD58" s="1767"/>
      <c r="AE58" s="1000"/>
      <c r="AF58" s="597"/>
      <c r="AG58" s="1723"/>
      <c r="AH58" s="1724"/>
      <c r="AI58" s="1724"/>
      <c r="AJ58" s="1724"/>
      <c r="AK58" s="1725"/>
      <c r="AL58" s="996"/>
      <c r="AM58" s="1747"/>
      <c r="AN58" s="1775"/>
      <c r="AO58" s="1777"/>
      <c r="AP58" s="1780"/>
      <c r="AQ58" s="1781"/>
      <c r="AR58" s="1795"/>
      <c r="AS58" s="1795"/>
      <c r="AT58" s="1796"/>
      <c r="AU58" s="1735"/>
      <c r="AV58" s="1752"/>
      <c r="AW58" s="1705"/>
      <c r="AX58" s="467"/>
      <c r="AY58" s="1749"/>
      <c r="AZ58" s="1749"/>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696"/>
      <c r="CQ58" s="1696"/>
      <c r="CR58" s="1809"/>
      <c r="CS58" s="1811"/>
      <c r="CU58" s="1688"/>
      <c r="CV58" s="1703"/>
      <c r="CW58" s="1703"/>
      <c r="CX58" s="1703"/>
      <c r="CY58" s="1815"/>
      <c r="CZ58" s="1711"/>
      <c r="DA58" s="1818"/>
      <c r="DB58" s="1820"/>
      <c r="DC58" s="1820"/>
      <c r="DD58" s="1820"/>
      <c r="DF58" s="1703"/>
      <c r="DG58" s="1831"/>
      <c r="DH58" s="1703"/>
      <c r="DI58" s="1838"/>
      <c r="DJ58" s="1711"/>
      <c r="DK58" s="1712"/>
      <c r="DM58" s="1718"/>
      <c r="DO58" s="1708"/>
      <c r="DQ58" s="1715"/>
      <c r="DR58" s="1720"/>
      <c r="DS58" s="1816"/>
      <c r="DT58" s="1714"/>
      <c r="DU58" s="1715"/>
      <c r="DV58" s="1716"/>
      <c r="DX58" s="1715"/>
      <c r="DY58" s="1720"/>
      <c r="DZ58" s="1715"/>
      <c r="EA58" s="1715"/>
      <c r="EC58" s="1834"/>
      <c r="ED58" s="1834"/>
      <c r="EF58" s="1707"/>
      <c r="EG58" s="1712"/>
      <c r="EH58" s="1818"/>
      <c r="EI58" s="1712"/>
      <c r="EJ58" s="1712"/>
      <c r="EK58" s="1836"/>
      <c r="EL58" s="1836"/>
      <c r="EM58" s="1807"/>
      <c r="EN58" s="1839"/>
      <c r="EO58" s="1839"/>
      <c r="EP58" s="1817"/>
      <c r="EQ58" s="1817"/>
      <c r="ER58" s="1807"/>
      <c r="ES58" s="1807"/>
      <c r="ET58" s="1807"/>
      <c r="EV58" s="1715"/>
      <c r="EX58" s="1805"/>
      <c r="EY58" s="1805"/>
      <c r="EZ58" s="1805"/>
      <c r="FA58" s="1805"/>
      <c r="FB58" s="1805"/>
      <c r="FC58" s="1827"/>
      <c r="FE58" s="1698"/>
      <c r="FG58" s="1816"/>
      <c r="FH58" s="1816"/>
      <c r="FI58" s="133"/>
      <c r="FL58" s="1823"/>
      <c r="FM58" s="1825"/>
      <c r="FN58" s="1698"/>
      <c r="FO58" s="1698"/>
      <c r="FP58" s="1678"/>
      <c r="FQ58" s="1678"/>
      <c r="FS58" s="1687"/>
      <c r="FT58" s="1687"/>
      <c r="FU58" s="1685"/>
      <c r="FV58" s="1687"/>
      <c r="FW58" s="1687"/>
      <c r="FX58" s="1687"/>
      <c r="FY58" s="1697"/>
      <c r="GA58" s="1696"/>
      <c r="GB58" s="1696"/>
      <c r="GC58" s="1696"/>
      <c r="GD58" s="1696"/>
      <c r="GE58" s="1696"/>
      <c r="GF58" s="1696"/>
      <c r="GG58" s="1696"/>
      <c r="GH58" s="1696"/>
      <c r="GI58" s="673"/>
      <c r="GJ58" s="1135"/>
      <c r="GK58" s="1832"/>
      <c r="GM58" s="1693" t="b">
        <f ca="1">IF(AND(GP58=TRUE,GQ58=TRUE),TRUE,FALSE)</f>
        <v>0</v>
      </c>
      <c r="GN58" s="1684" t="b">
        <f>IFERROR(IF(__Retrofit_TI_NC=2,TRUE,IF(AU57="Yes",TRUE,FALSE)),FALSE)</f>
        <v>1</v>
      </c>
      <c r="GP58" s="1684" t="b">
        <f>IFERROR(IF(GP57=1,TRUE,FALSE),FALSE)</f>
        <v>0</v>
      </c>
      <c r="GQ58" s="1684" t="b">
        <f ca="1">IFERROR(IF(GQ57=GQ$14,TRUE,FALSE),FALSE)</f>
        <v>0</v>
      </c>
      <c r="HG58" s="1684" t="b">
        <f>IFERROR(IF(AND(__Retrofit_TI_NC&gt;0,CQ57="Interior"),FALSE,TRUE),FALSE)</f>
        <v>1</v>
      </c>
      <c r="HH58" s="1684" t="b">
        <f>IFERROR(IF(M58=1,TRUE,FALSE),FALSE)</f>
        <v>0</v>
      </c>
      <c r="HI58" s="1684" t="b">
        <f>IFERROR(IF(OR(M59=1,N60="BAM"),TRUE,FALSE),FALSE)</f>
        <v>0</v>
      </c>
      <c r="HJ58" s="1684" t="b">
        <f>IFERROR(IF(__Retrofit_TI_NC&lt;&gt;0,TRUE,IFERROR(IF(VLOOKUP(U58,Fixtures_Existing_List,2,FALSE)&lt;&gt;"",TRUE,FALSE),FALSE)),FALSE)</f>
        <v>0</v>
      </c>
      <c r="HK58" s="1684" t="b">
        <f>IFERROR(IF(VLOOKUP(U59,Fixtures_Proposed_List,2,FALSE)&lt;&gt;"",TRUE,FALSE),FALSE)</f>
        <v>0</v>
      </c>
      <c r="HL58" s="1684" t="b">
        <f>IF(AND(__Retrofit_TI_NC=2,FC57=TRUE),FALSE,TRUE)</f>
        <v>1</v>
      </c>
      <c r="HM58" s="1684" t="b">
        <f>GK57</f>
        <v>1</v>
      </c>
      <c r="HN58" s="1682" t="b">
        <f>IF(ISERROR(MATCH(FE57,_Control_Match[],0))=TRUE,FALSE,TRUE)</f>
        <v>0</v>
      </c>
      <c r="HO58" s="1693" t="b">
        <f>IFERROR(IF(EX57&lt;&gt;EY57,FALSE,TRUE),FALSE)</f>
        <v>1</v>
      </c>
      <c r="HP58" s="1693" t="b">
        <f>IFERROR(IF(EX59&lt;&gt;EY59,FALSE,TRUE),FALSE)</f>
        <v>1</v>
      </c>
      <c r="HQ58" s="1670" t="b">
        <f>IFERROR(IF(CQ57="Exterior",TRUE,IF(AND(OR(FM59=0,FM59=3),JD59&gt;6),FALSE,TRUE)),FALSE)</f>
        <v>0</v>
      </c>
      <c r="HR58" s="1684" t="b">
        <f>IFERROR(IF(AND(FO59=7,FC57=TRUE),FALSE,TRUE),FALSE)</f>
        <v>0</v>
      </c>
      <c r="HS58" s="1684" t="b">
        <f>IFERROR(IF(AND(T59&lt;&gt;AF59,OR(AG59="Interior LLLC", AG59="Interior NLC", AG59="LLLC (outside Daylight)",AG59="LLLC Controls Only"))=TRUE,FALSE,TRUE),FALSE)</f>
        <v>1</v>
      </c>
      <c r="HT58" s="1670" t="b">
        <f>IFERROR(IF(OR(AG59=Lookup!BB$17,AG59=Lookup!BB$18,AG59=Lookup!BB$19)=TRUE,IF(AF59&gt;T59,FALSE,TRUE),TRUE),FALSE)</f>
        <v>1</v>
      </c>
      <c r="HU58" s="1684" t="b">
        <f>IFERROR(IF(__Retrofit_TI_NC=2,IF(EZ59&lt;EZ57,FALSE,TRUE),TRUE),FALSE)</f>
        <v>1</v>
      </c>
      <c r="HV58" s="1684" t="b">
        <f>IF(CQ57="Interior",IL$6,TRUE)</f>
        <v>1</v>
      </c>
      <c r="HW58" s="1684" t="b">
        <f>IF(CQ57="Exterior",IL$8,TRUE)</f>
        <v>1</v>
      </c>
      <c r="HX58" s="1684" t="b">
        <f>IFERROR(IF(__Retrofit_TI_NC&lt;&gt;0,IF(AZ57&lt;AY57,FALSE,TRUE),TRUE),FALSE)</f>
        <v>1</v>
      </c>
      <c r="HY58" s="1684" t="b">
        <f>IFERROR(IF(AND(G58="Exterior",R58&gt;4200),FALSE,TRUE),FALSE)</f>
        <v>1</v>
      </c>
      <c r="HZ58" s="1684" t="b">
        <f>IFERROR(IF(AB60/AB57&lt;HZ$18,FALSE,TRUE),FALSE)</f>
        <v>0</v>
      </c>
      <c r="IB58" s="1691"/>
      <c r="IC58" s="1695"/>
      <c r="ID58" s="1694" t="str">
        <f>VLOOKUP(IB60,_Error_Table,4,FALSE)</f>
        <v>White</v>
      </c>
      <c r="IE58" s="391"/>
      <c r="IF58" s="1688"/>
      <c r="IG58" s="1689"/>
      <c r="IH58" s="1684"/>
      <c r="IK58" s="1689"/>
      <c r="IL58" s="1691"/>
      <c r="IM58" s="1691"/>
      <c r="IN58" s="1691"/>
      <c r="IP58" s="1679"/>
      <c r="IQ58" s="1679"/>
      <c r="IR58" s="1679"/>
      <c r="IS58" s="1679"/>
      <c r="IT58" s="1679"/>
      <c r="IU58" s="1679"/>
      <c r="IV58" s="1679"/>
      <c r="IW58" s="1679"/>
      <c r="IX58" s="1679"/>
      <c r="IY58" s="1679"/>
      <c r="IZ58" s="1679"/>
      <c r="JA58" s="1679"/>
      <c r="JC58" s="1680"/>
      <c r="JD58" s="1670"/>
      <c r="JE58" s="1681"/>
      <c r="JG58" s="1680"/>
      <c r="JH58" s="1670"/>
      <c r="JI58" s="1060"/>
      <c r="JJ58" s="1683"/>
      <c r="JK58" s="1061"/>
      <c r="JL58" s="1683"/>
      <c r="JM58" s="1061"/>
      <c r="JN58" s="1683"/>
      <c r="JO58" s="1061"/>
      <c r="JP58" s="1683"/>
      <c r="JQ58" s="1061"/>
      <c r="JR58" s="1683"/>
      <c r="JS58" s="1061"/>
      <c r="JT58" s="1670"/>
      <c r="JU58" s="1061"/>
      <c r="JV58" s="1670"/>
      <c r="JX58" s="1670"/>
      <c r="JZ58" s="1683"/>
      <c r="KB58" s="1670"/>
    </row>
    <row r="59" spans="1:288" s="78" customFormat="1" ht="14.95" customHeight="1" thickTop="1" thickBot="1">
      <c r="A59" s="78">
        <f>ROW()</f>
        <v>59</v>
      </c>
      <c r="B59" s="1845"/>
      <c r="C59" s="1846"/>
      <c r="D59" s="1847"/>
      <c r="E59" s="1737" t="s">
        <v>298</v>
      </c>
      <c r="F59" s="1738"/>
      <c r="G59" s="1760"/>
      <c r="H59" s="1761"/>
      <c r="I59" s="1761"/>
      <c r="J59" s="1761"/>
      <c r="K59" s="1761"/>
      <c r="L59" s="1762"/>
      <c r="M59" s="461">
        <f>IFERROR(IF(IF(__Retrofit_TI_NC&lt;&gt;0,IF(CQ57="Interior",MATCH(G59,Lookup_Interior_New,0),MATCH(G59,Lookup_Exterior_New,0)),IF(CQ57="Interior",MATCH(G59,Lookup_Interior,0),MATCH(G59,Lookup_Exterior_Areas,0)))&gt;0,1,0),0)</f>
        <v>0</v>
      </c>
      <c r="N59" s="461" t="e">
        <f>IF(__Retrofit_TI_NC=1,
VLOOKUP(G59,'Space Table'!$B$3:$L$163,4,FALSE),
IF(__Retrofit_TI_NC=2,VLOOKUP(G59,'Space Table'!$B$3:$L$163,5,FALSE),VLOOKUP(G59,'Space Table'!$B$3:$L$163,5,FALSE)))</f>
        <v>#N/A</v>
      </c>
      <c r="O59" s="461">
        <f>G59</f>
        <v>0</v>
      </c>
      <c r="P59" s="1738" t="str">
        <f>IFERROR(IF(__Retrofit_TI_NC=1,VLOOKUP(G59,'Space Table'!$B$3:$O$163,13,FALSE),IF(__Retrofit_TI_NC=2,VLOOKUP(G59,'Space Table'!$B$3:$O$163,14,FALSE),"Area (sf):")),"Area (sf):")</f>
        <v>Area (sf):</v>
      </c>
      <c r="Q59" s="1738"/>
      <c r="R59" s="596"/>
      <c r="S59" s="1763" t="s">
        <v>345</v>
      </c>
      <c r="T59" s="594"/>
      <c r="U59" s="1801"/>
      <c r="V59" s="1802"/>
      <c r="W59" s="1802"/>
      <c r="X59" s="1802"/>
      <c r="Y59" s="1802"/>
      <c r="Z59" s="1802"/>
      <c r="AA59" s="1802"/>
      <c r="AB59" s="1802"/>
      <c r="AC59" s="1802"/>
      <c r="AD59" s="1802"/>
      <c r="AE59" s="1803"/>
      <c r="AF59" s="594"/>
      <c r="AG59" s="1787"/>
      <c r="AH59" s="1787"/>
      <c r="AI59" s="1787"/>
      <c r="AJ59" s="1787"/>
      <c r="AK59" s="1787"/>
      <c r="AL59" s="1787"/>
      <c r="AM59" s="1726">
        <f>IFERROR(DI59,"")</f>
        <v>0</v>
      </c>
      <c r="AN59" s="1728" t="str">
        <f>IFERROR(ROUND(AM59*AC60,0),"")</f>
        <v/>
      </c>
      <c r="AO59" s="1730">
        <f>IFERROR(IF(IB57=FALSE,0,AC60-AN59),0)</f>
        <v>0</v>
      </c>
      <c r="AP59" s="1780"/>
      <c r="AQ59" s="1781"/>
      <c r="AR59" s="1795"/>
      <c r="AS59" s="1795"/>
      <c r="AT59" s="1796"/>
      <c r="AU59" s="1735"/>
      <c r="AV59" s="1752"/>
      <c r="AW59" s="1705"/>
      <c r="AX59" s="467"/>
      <c r="AY59" s="1749"/>
      <c r="AZ59" s="1749"/>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696"/>
      <c r="CQ59" s="1696"/>
      <c r="CR59" s="1808" t="str">
        <f>CQ57</f>
        <v/>
      </c>
      <c r="CS59" s="1810" t="str">
        <f>CS57</f>
        <v/>
      </c>
      <c r="CU59" s="1688" t="s">
        <v>345</v>
      </c>
      <c r="CV59" s="1702">
        <f>IF(IB57=TRUE,T59,0)</f>
        <v>0</v>
      </c>
      <c r="CW59" s="1702" t="str">
        <f>IF(IB57=TRUE,U59,"")</f>
        <v/>
      </c>
      <c r="CX59" s="1812">
        <f>IF(IB57=TRUE,U60,0)</f>
        <v>0</v>
      </c>
      <c r="CY59" s="1814">
        <f>IF(IB57=TRUE,AB60,0)</f>
        <v>0</v>
      </c>
      <c r="CZ59" s="1710">
        <f>IF(AND(__Retrofit_TI_NC&gt;0,CR57="interior"),0,IF(IB57=TRUE,AC60,0))</f>
        <v>0</v>
      </c>
      <c r="DA59" s="1818"/>
      <c r="DB59" s="1820"/>
      <c r="DC59" s="1820"/>
      <c r="DD59" s="1820"/>
      <c r="DF59" s="1702">
        <f>IF(IB57=TRUE,AF59,0)</f>
        <v>0</v>
      </c>
      <c r="DG59" s="1830" t="str">
        <f>IF(IB57=TRUE,AG59,"")</f>
        <v/>
      </c>
      <c r="DH59" s="1812">
        <f>AG60</f>
        <v>0</v>
      </c>
      <c r="DI59" s="1837">
        <f>JE59</f>
        <v>0</v>
      </c>
      <c r="DJ59" s="1710">
        <f>IF(AND(__Retrofit_TI_NC&gt;0,CR57="interior"),0,IF(IB57=TRUE,AN59,0))</f>
        <v>0</v>
      </c>
      <c r="DK59" s="1712"/>
      <c r="DN59" s="1717">
        <f>IFERROR(CZ59-DJ59,0)</f>
        <v>0</v>
      </c>
      <c r="DO59" s="1709"/>
      <c r="DQ59" s="1715"/>
      <c r="DR59" s="1719" t="str">
        <f>DQ57</f>
        <v/>
      </c>
      <c r="DS59" s="1816"/>
      <c r="DT59" s="1835" t="str">
        <f>IF(OR(DS57=7,DS57=8,DS57=9),"ALC","")</f>
        <v/>
      </c>
      <c r="DU59" s="1715"/>
      <c r="DV59" s="1716"/>
      <c r="DX59" s="1715"/>
      <c r="DY59" s="1829" t="str">
        <f>DX57</f>
        <v/>
      </c>
      <c r="DZ59" s="1715"/>
      <c r="EA59" s="1715"/>
      <c r="EC59" s="1834"/>
      <c r="ED59" s="1834"/>
      <c r="EF59" s="1707"/>
      <c r="EG59" s="1712"/>
      <c r="EH59" s="1818"/>
      <c r="EI59" s="1712"/>
      <c r="EJ59" s="1712"/>
      <c r="EK59" s="1836"/>
      <c r="EL59" s="1836"/>
      <c r="EM59" s="1807"/>
      <c r="EN59" s="1839"/>
      <c r="EO59" s="1839"/>
      <c r="EP59" s="1817"/>
      <c r="EQ59" s="1817"/>
      <c r="ER59" s="1807"/>
      <c r="ES59" s="1807"/>
      <c r="ET59" s="1807"/>
      <c r="EV59" s="1715"/>
      <c r="EX59" s="1805" t="str">
        <f>IFERROR(VLOOKUP(CS59,'Space Table'!$B$3:$L$163,8,FALSE),"")</f>
        <v/>
      </c>
      <c r="EY59" s="1805" t="str">
        <f>IFERROR(IF(FB59="Yes",VLOOKUP(AG59,Lookup_Control_Type_Table2,4,FALSE),VLOOKUP(AG59,Lookup_Control_Type_Table2,3,FALSE)),"")</f>
        <v/>
      </c>
      <c r="EZ59" s="1805" t="e">
        <f>VLOOKUP(AG59,Lookup!BB$3:BC$20,2,FALSE)</f>
        <v>#N/A</v>
      </c>
      <c r="FA59" s="1805" t="e">
        <f>VLOOKUP(EX57,Lookup_Control_Type_Table,2,FALSE)</f>
        <v>#N/A</v>
      </c>
      <c r="FB59" s="1805" t="e">
        <f>VLOOKUP(CS59,'Space Table'!$B$3:$L$163,7,FALSE)</f>
        <v>#N/A</v>
      </c>
      <c r="FC59" s="1827"/>
      <c r="FE59" s="1698" t="str">
        <f>CONCATENATE(CQ57," - ",AG59)</f>
        <v xml:space="preserve"> - </v>
      </c>
      <c r="FG59" s="1816"/>
      <c r="FH59" s="1816"/>
      <c r="FI59" s="133"/>
      <c r="FL59" s="1822" t="str">
        <f>IF(CQ57="Exterior","Not Daylighted",G60)</f>
        <v>Not Daylighted</v>
      </c>
      <c r="FM59" s="1824">
        <f>VLOOKUP(FL59,_New_Daylight_Table_Codes,2,FALSE)</f>
        <v>0</v>
      </c>
      <c r="FN59" s="1698">
        <f>AG59</f>
        <v>0</v>
      </c>
      <c r="FO59" s="1698" t="e">
        <f>VLOOKUP(FN59,_Control_Table,2,FALSE)</f>
        <v>#N/A</v>
      </c>
      <c r="FP59" s="1678" t="e">
        <f>VLOOKUP(CONCATENATE(FL59," ",FN59),Lookup!AY66:AZ$102,2,FALSE)</f>
        <v>#N/A</v>
      </c>
      <c r="FQ59" s="1698">
        <f>IF(__Retrofit_TI_NC=0,FN59,IF(AND(FT59&gt;0,FN59="Occupancy Sensor"),"Daylight + Occupancy",IF(AND(FT59&gt;0,FO59&lt;4),"Interior Daylight Dimming",FN59)))</f>
        <v>0</v>
      </c>
      <c r="FS59" s="1686">
        <f>IF(CQ57="Interior",VLOOKUP(CS57,Control_Savings_Interior,5,FALSE),0)</f>
        <v>0</v>
      </c>
      <c r="FT59" s="1687">
        <f>IF(CQ59="Exterior",0,IF(FM59=2,0.5,IF(OR(FM59=1,FM59=3),1,0)))</f>
        <v>0</v>
      </c>
      <c r="FU59" s="1685">
        <f>IF(R58&gt;FS$44,(FS59*(FS$44/R58)),FS59)*FT59</f>
        <v>0</v>
      </c>
      <c r="FV59" s="1686">
        <f>DI59</f>
        <v>0</v>
      </c>
      <c r="FW59" s="1686">
        <f>ROUND(FV59+((1-FV59)*FU59),2)</f>
        <v>0</v>
      </c>
      <c r="FX59" s="1686">
        <f>IF(__Retrofit_TI_NC=2,FW59,FV59)</f>
        <v>0</v>
      </c>
      <c r="FY59" s="1697">
        <f>IF(CR59="Interior",VLOOKUP(CS59,Control_Savings_Interior,4,FALSE),0)</f>
        <v>0</v>
      </c>
      <c r="GA59" s="1696"/>
      <c r="GB59" s="1696"/>
      <c r="GC59" s="1696"/>
      <c r="GD59" s="1696"/>
      <c r="GE59" s="1696"/>
      <c r="GF59" s="1696"/>
      <c r="GG59" s="1696"/>
      <c r="GH59" s="1696"/>
      <c r="GI59" s="673" t="b">
        <f>IF(ISNUMBER(SEARCH("TLED",U59)),TRUE,FALSE)</f>
        <v>0</v>
      </c>
      <c r="GJ59" s="1135" t="str">
        <f>IFERROR(VLOOKUP(U59,Fixtures!DM$93:DR$142,6,FALSE),"")</f>
        <v/>
      </c>
      <c r="GK59" s="1832"/>
      <c r="GM59" s="1692"/>
      <c r="GN59" s="1684"/>
      <c r="GP59" s="1684"/>
      <c r="GQ59" s="1684"/>
      <c r="HG59" s="1684"/>
      <c r="HH59" s="1684"/>
      <c r="HI59" s="1684"/>
      <c r="HJ59" s="1684"/>
      <c r="HK59" s="1684"/>
      <c r="HL59" s="1684"/>
      <c r="HM59" s="1684"/>
      <c r="HN59" s="1683"/>
      <c r="HO59" s="1692"/>
      <c r="HP59" s="1692"/>
      <c r="HQ59" s="1670"/>
      <c r="HR59" s="1684"/>
      <c r="HS59" s="1684"/>
      <c r="HT59" s="1670"/>
      <c r="HU59" s="1684"/>
      <c r="HV59" s="1684"/>
      <c r="HW59" s="1684"/>
      <c r="HX59" s="1684"/>
      <c r="HY59" s="1684"/>
      <c r="HZ59" s="1684"/>
      <c r="IB59" s="1692"/>
      <c r="IC59" s="1693" t="b">
        <f>IB57</f>
        <v>0</v>
      </c>
      <c r="ID59" s="1695"/>
      <c r="IE59" s="391"/>
      <c r="IF59" s="1688"/>
      <c r="IG59" s="1689">
        <f ca="1">IF(IF57=TRUE,AC60,0)</f>
        <v>0</v>
      </c>
      <c r="IH59" s="1684"/>
      <c r="IK59" s="1689" t="e">
        <f>ROUND(T59*AB60*N58*R58/1000,0)</f>
        <v>#VALUE!</v>
      </c>
      <c r="IL59" s="1691"/>
      <c r="IM59" s="1693" t="e">
        <f>ROUND(T59*AB60*N58*R58/1000,0)</f>
        <v>#VALUE!</v>
      </c>
      <c r="IN59" s="1691"/>
      <c r="IP59" s="1679"/>
      <c r="IQ59" s="1679" t="e">
        <f t="shared" ref="IQ59:IU59" si="27">IF($CR59="interior",VLOOKUP($CS59,_New_Control_Savings_Interior,IQ$30,FALSE),VLOOKUP($CS59,Control_Savings_Exterior,IQ$30,FALSE))</f>
        <v>#N/A</v>
      </c>
      <c r="IR59" s="1679" t="e">
        <f t="shared" si="27"/>
        <v>#N/A</v>
      </c>
      <c r="IS59" s="1679" t="e">
        <f t="shared" si="27"/>
        <v>#N/A</v>
      </c>
      <c r="IT59" s="1679" t="e">
        <f t="shared" si="27"/>
        <v>#N/A</v>
      </c>
      <c r="IU59" s="1679" t="e">
        <f t="shared" si="27"/>
        <v>#N/A</v>
      </c>
      <c r="IV59" s="1679" t="e">
        <f>IF($CR59="interior",IF(R58&gt;$IP$14,ROUND(($IV$18*($IP$14/R58)),2),$IV$18),VLOOKUP($CS59,Control_Savings_Exterior,IV$30,FALSE))</f>
        <v>#N/A</v>
      </c>
      <c r="IW59" s="1679" t="e">
        <f>IF($CR59="interior",ROUND(((1-IS59)*IV59)+IS59,2),VLOOKUP($CS59,Control_Savings_Exterior,IW$30,FALSE))</f>
        <v>#N/A</v>
      </c>
      <c r="IX59" s="1679" t="e">
        <f>IF($CR59="interior",ROUND(((1-IT59)*IV59)+IT59,2),VLOOKUP($CS59,Control_Savings_Exterior,IX$30,FALSE))</f>
        <v>#N/A</v>
      </c>
      <c r="IY59" s="1679" t="e">
        <f>IF($CR59="interior",IF(R58&gt;$IP$14,ROUND(($IY$18*($IP$14/R58)),2),$IY$18),VLOOKUP($CS59,Control_Savings_Exterior,IY$30,FALSE))</f>
        <v>#N/A</v>
      </c>
      <c r="IZ59" s="1679" t="e">
        <f>IF($CR59="interior",ROUND(((1-IS59)*IY59)+IS59,2),VLOOKUP($CS59,Control_Savings_Exterior,IZ$30,FALSE))</f>
        <v>#N/A</v>
      </c>
      <c r="JA59" s="1679" t="e">
        <f>IF($CR59="interior",ROUND(((1-IT59)*IY59)+IT59,2),VLOOKUP($CS59,Control_Savings_Exterior,JA$30,FALSE))</f>
        <v>#N/A</v>
      </c>
      <c r="JC59" s="1680">
        <f>IFERROR(IF(CR59="Interior",CONCATENATE(G60," ",FQ59),AG59),"")</f>
        <v>0</v>
      </c>
      <c r="JD59" s="1670" t="str">
        <f>IFERROR(VLOOKUP(JC59,_Controls_2023,2,FALSE),"")</f>
        <v/>
      </c>
      <c r="JE59" s="1681">
        <f>IFERROR(CHOOSE(JD59-1,IQ59,IR59,IS59,IT59,IU59,IV59,IW59,IX59,IY59,IZ59,JA59),0)</f>
        <v>0</v>
      </c>
      <c r="JG59" s="1680" t="str">
        <f>FE59</f>
        <v xml:space="preserve"> - </v>
      </c>
      <c r="JH59" s="1670" t="e">
        <f>$FO59</f>
        <v>#N/A</v>
      </c>
      <c r="JI59" s="1060"/>
      <c r="JJ59" s="1670">
        <f>IFERROR(IF($IB57=TRUE,IF(OR(JJ$14="No",JJ57=FALSE,JH59&lt;=JH57,AND(_kWh_Grant=0,GD57=FALSE)),0,IF(JJ$8="Per Line",1,$AF59)),0),0)</f>
        <v>0</v>
      </c>
      <c r="JK59" s="1061"/>
      <c r="JL59" s="1670">
        <f>IFERROR(IF(_kWh_Grant=0,0,IF($IB57=TRUE,IF(OR(JL$14="No",JL57=FALSE,JH59&lt;=JH57),0,IF(JL$8="Per Line",1,$T59)),0)),0)</f>
        <v>0</v>
      </c>
      <c r="JM59" s="1061"/>
      <c r="JN59" s="1670">
        <f>IFERROR(IF(_kWh_Grant=0,0,IF($IB57=TRUE,IF(OR(JN$14="No",JN57=FALSE,JH59&lt;=JH57),0,IF(JN$8="Per Line",1,$AF59)),0)),0)</f>
        <v>0</v>
      </c>
      <c r="JO59" s="1061"/>
      <c r="JP59" s="1670">
        <f>IFERROR(IF(__Retrofit_TI_NC=0,IF(_kWh_Grant=0,0,IF($IB57=TRUE,IF(OR(JP$14="No",JP57=FALSE,$JH59&lt;=$JH57),0,IF(JP$8="Per Line",1,$AF59)),0)),IF($IB57=TRUE,IF(OR(JP$14="No",JP57=FALSE,$JH59&lt;=$JH57),0,IF(JP$8="Per Line",1,$AF59)))),0)</f>
        <v>0</v>
      </c>
      <c r="JQ59" s="1061"/>
      <c r="JR59" s="1670">
        <f>IFERROR(IF(__Retrofit_TI_NC=0,IF(_kWh_Grant=0,0,IF($IB57=TRUE,IF(OR(JR$14="No",JR57=FALSE,$JH59&lt;=$JH57),0,IF(JR$8="Per Line",1,$AF59)),0)),IF($IB57=TRUE,IF(OR(JR$14="No",JR57=FALSE,$JH59&lt;=$JH57),0,IF(JR$8="Per Line",1,$AF59)))),0)</f>
        <v>0</v>
      </c>
      <c r="JS59" s="1061"/>
      <c r="JT59" s="1670">
        <f>IFERROR(IF(__Retrofit_TI_NC=0,IF(_kWh_Grant=0,0,IF($IB57=TRUE,IF(OR(JT$14="No",JT57=FALSE,$JH59&lt;=$JH57),0,IF(JT$8="Per Line",1,$AF59)),0)),IF($IB57=TRUE,IF(OR(JT$14="No",JT57=FALSE,$JH59&lt;=$JH57),0,IF(JT$8="Per Line",1,$AF59)))),0)</f>
        <v>0</v>
      </c>
      <c r="JU59" s="1061"/>
      <c r="JV59" s="1670">
        <f>IFERROR(IF(__Retrofit_TI_NC=0,IF(_kWh_Grant=0,0,IF($IB57=TRUE,IF(OR(JV$14="No",JV57=FALSE,$JH59&lt;=$JH57),0,IF(JV$8="Per Line",1,$AF59)),0)),IF($IB57=TRUE,IF(OR(JV$14="No",JV57=FALSE,$JH59&lt;=$JH57),0,IF(JV$8="Per Line",1,$AF59)))),0)</f>
        <v>0</v>
      </c>
      <c r="JX59" s="1670">
        <f>IFERROR(IF(__Retrofit_TI_NC=0,IF(_kWh_Grant=0,0,IF($IB57=TRUE,IF(OR(JX$14="No",JX57=FALSE,$JH59&lt;=$JH57),0,IF(JX$8="Per Line",1,$AF59)),0)),IF($IB57=TRUE,IF(OR(JX$14="No",JX57=FALSE,$JH59&lt;=$JH57),0,IF(JX$8="Per Line",1,$AF59)))),0)</f>
        <v>0</v>
      </c>
      <c r="JZ59" s="1670">
        <f>IFERROR(IF($IB57=TRUE,IF(OR(JZ$14="No",JZ57=FALSE,$JH59&lt;=$JH57,AND(_kWh_Grant=0,$GD57=FALSE)),0,IF(JZ$8="Per Line",1,$AF59)),0),0)</f>
        <v>0</v>
      </c>
      <c r="KB59" s="1670">
        <f>IFERROR(IF(__Retrofit_TI_NC=0,IF(_kWh_Grant=0,0,IF($IB57=TRUE,IF(OR(KB$14="No",KB57=FALSE,$JH59&lt;=$JH57),0,IF(KB$8="Per Line",1,$AF59)),0)),IF($IB57=TRUE,IF(OR(KB$14="No",KB57=FALSE,$JH59&lt;=$JH57),0,IF(KB$8="Per Line",1,$AF59)))),0)</f>
        <v>0</v>
      </c>
    </row>
    <row r="60" spans="1:288" s="78" customFormat="1" ht="14.95" customHeight="1" thickTop="1" thickBot="1">
      <c r="B60" s="1845"/>
      <c r="C60" s="1846"/>
      <c r="D60" s="1847"/>
      <c r="E60" s="1771" t="s">
        <v>436</v>
      </c>
      <c r="F60" s="1772"/>
      <c r="G60" s="1784" t="s">
        <v>437</v>
      </c>
      <c r="H60" s="1785"/>
      <c r="I60" s="1785"/>
      <c r="J60" s="1785"/>
      <c r="K60" s="1785"/>
      <c r="L60" s="1786"/>
      <c r="M60" s="591">
        <f>IFERROR(VLOOKUP(G60,_Daylight_Table[],2,FALSE),0)</f>
        <v>0</v>
      </c>
      <c r="N60" s="592" t="str">
        <f>IF(AND(__Retrofit_TI_NC&gt;0,CQ57="Interior"),"BAM","")</f>
        <v/>
      </c>
      <c r="O60" s="591" t="e">
        <f>VLOOKUP(G59,'Space Table'!$B$3:$L$163,11,FALSE)</f>
        <v>#N/A</v>
      </c>
      <c r="P60" s="1789"/>
      <c r="Q60" s="1790"/>
      <c r="R60" s="1790"/>
      <c r="S60" s="1788"/>
      <c r="T60" s="593" t="s">
        <v>342</v>
      </c>
      <c r="U60" s="1756" t="str" cm="1">
        <f t="array" aca="1" ref="U60" ca="1">IFERROR(VLOOKUP(INDIRECT("U" &amp; ROW()-1),Fixtures!DM$93:DP$142,4,FALSE),"")</f>
        <v/>
      </c>
      <c r="V60" s="1757"/>
      <c r="W60" s="1757"/>
      <c r="X60" s="1757"/>
      <c r="Y60" s="1757"/>
      <c r="Z60" s="1757"/>
      <c r="AA60" s="1758"/>
      <c r="AB60" s="939" t="str">
        <f>IFERROR(VLOOKUP(U59,Fixtures_Proposed_List,2,FALSE),"")</f>
        <v/>
      </c>
      <c r="AC60" s="933" t="str">
        <f>IFERROR(ROUND(T59*AB60*N58*R58/1000,0),"")</f>
        <v/>
      </c>
      <c r="AD60" s="934" t="str">
        <f>IFERROR(ROUND(T59*AB60/1000,2),"")</f>
        <v/>
      </c>
      <c r="AE60" s="998"/>
      <c r="AF60" s="938" t="s">
        <v>342</v>
      </c>
      <c r="AG60" s="1770"/>
      <c r="AH60" s="1770"/>
      <c r="AI60" s="1770"/>
      <c r="AJ60" s="1770"/>
      <c r="AK60" s="1770"/>
      <c r="AL60" s="1770"/>
      <c r="AM60" s="1727"/>
      <c r="AN60" s="1729"/>
      <c r="AO60" s="1731"/>
      <c r="AP60" s="1782"/>
      <c r="AQ60" s="1783"/>
      <c r="AR60" s="1797"/>
      <c r="AS60" s="1797"/>
      <c r="AT60" s="1798"/>
      <c r="AU60" s="1736"/>
      <c r="AV60" s="1753"/>
      <c r="AW60" s="1706"/>
      <c r="AX60" s="468"/>
      <c r="AY60" s="1750"/>
      <c r="AZ60" s="1750"/>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696"/>
      <c r="CQ60" s="1696"/>
      <c r="CR60" s="1809"/>
      <c r="CS60" s="1811"/>
      <c r="CU60" s="1688"/>
      <c r="CV60" s="1703"/>
      <c r="CW60" s="1703"/>
      <c r="CX60" s="1813"/>
      <c r="CY60" s="1815"/>
      <c r="CZ60" s="1711"/>
      <c r="DA60" s="1815"/>
      <c r="DB60" s="1821"/>
      <c r="DC60" s="1821"/>
      <c r="DD60" s="1821"/>
      <c r="DF60" s="1703"/>
      <c r="DG60" s="1831"/>
      <c r="DH60" s="1813"/>
      <c r="DI60" s="1838"/>
      <c r="DJ60" s="1711"/>
      <c r="DK60" s="1712"/>
      <c r="DN60" s="1718"/>
      <c r="DO60" s="1709"/>
      <c r="DQ60" s="1715"/>
      <c r="DR60" s="1720"/>
      <c r="DS60" s="1703"/>
      <c r="DT60" s="1714"/>
      <c r="DU60" s="1715"/>
      <c r="DV60" s="1716"/>
      <c r="DX60" s="1715"/>
      <c r="DY60" s="1720"/>
      <c r="DZ60" s="1715"/>
      <c r="EA60" s="1715"/>
      <c r="EC60" s="1834"/>
      <c r="ED60" s="1834"/>
      <c r="EF60" s="1707"/>
      <c r="EG60" s="1712"/>
      <c r="EH60" s="1815"/>
      <c r="EI60" s="1712"/>
      <c r="EJ60" s="1712"/>
      <c r="EK60" s="1813"/>
      <c r="EL60" s="1813"/>
      <c r="EM60" s="1807"/>
      <c r="EN60" s="1839"/>
      <c r="EO60" s="1839"/>
      <c r="EP60" s="1817"/>
      <c r="EQ60" s="1817"/>
      <c r="ER60" s="1807"/>
      <c r="ES60" s="1807"/>
      <c r="ET60" s="1807"/>
      <c r="EV60" s="1715"/>
      <c r="EX60" s="1806"/>
      <c r="EY60" s="1806"/>
      <c r="EZ60" s="1806"/>
      <c r="FA60" s="1806"/>
      <c r="FB60" s="1806"/>
      <c r="FC60" s="1828"/>
      <c r="FE60" s="1698"/>
      <c r="FG60" s="1703"/>
      <c r="FH60" s="1703"/>
      <c r="FI60" s="133"/>
      <c r="FL60" s="1823"/>
      <c r="FM60" s="1825"/>
      <c r="FN60" s="1698"/>
      <c r="FO60" s="1698"/>
      <c r="FP60" s="1678"/>
      <c r="FQ60" s="1698"/>
      <c r="FS60" s="1687"/>
      <c r="FT60" s="1687"/>
      <c r="FU60" s="1685"/>
      <c r="FV60" s="1687"/>
      <c r="FW60" s="1687"/>
      <c r="FX60" s="1687"/>
      <c r="FY60" s="1697"/>
      <c r="GA60" s="1696"/>
      <c r="GB60" s="1696"/>
      <c r="GC60" s="1696"/>
      <c r="GD60" s="1696"/>
      <c r="GE60" s="1696"/>
      <c r="GF60" s="1696"/>
      <c r="GG60" s="1696"/>
      <c r="GH60" s="1696"/>
      <c r="GI60" s="673"/>
      <c r="GJ60" s="1135"/>
      <c r="GK60" s="1832"/>
      <c r="GN60" s="674">
        <f>IF(GN58=TRUE,0,GN$16)</f>
        <v>0</v>
      </c>
      <c r="GP60" s="674">
        <f>IF(GP58=TRUE,0,GP$16)</f>
        <v>36</v>
      </c>
      <c r="GQ60" s="674">
        <f ca="1">IF(GQ58=TRUE,0,GQ$16)</f>
        <v>35</v>
      </c>
      <c r="GR60" s="391"/>
      <c r="GS60" s="391"/>
      <c r="GT60" s="391"/>
      <c r="GU60" s="391"/>
      <c r="GV60" s="391"/>
      <c r="HG60" s="674">
        <f>IF(HG58=TRUE,0,HG$16)</f>
        <v>0</v>
      </c>
      <c r="HH60" s="674">
        <f t="shared" ref="HH60:HM60" si="28">IF(HH58=TRUE,0,HH$16)</f>
        <v>19</v>
      </c>
      <c r="HI60" s="674">
        <f t="shared" si="28"/>
        <v>18</v>
      </c>
      <c r="HJ60" s="674">
        <f t="shared" si="28"/>
        <v>17</v>
      </c>
      <c r="HK60" s="674">
        <f t="shared" si="28"/>
        <v>16</v>
      </c>
      <c r="HL60" s="674">
        <f t="shared" si="28"/>
        <v>0</v>
      </c>
      <c r="HM60" s="674">
        <f t="shared" si="28"/>
        <v>0</v>
      </c>
      <c r="HN60" s="674">
        <f>IF(HN58=TRUE,0,HN$16)</f>
        <v>13</v>
      </c>
      <c r="HO60" s="674">
        <f t="shared" ref="HO60:HQ60" si="29">IF(HO58=TRUE,0,HO$16)</f>
        <v>0</v>
      </c>
      <c r="HP60" s="674">
        <f t="shared" si="29"/>
        <v>0</v>
      </c>
      <c r="HQ60" s="674">
        <f t="shared" si="29"/>
        <v>10</v>
      </c>
      <c r="HR60" s="674">
        <f>IF(HR58=TRUE,0,HR$16)</f>
        <v>9</v>
      </c>
      <c r="HS60" s="674">
        <f t="shared" ref="HS60:HW60" si="30">IF(HS58=TRUE,0,HS$16)</f>
        <v>0</v>
      </c>
      <c r="HT60" s="674">
        <f t="shared" si="30"/>
        <v>0</v>
      </c>
      <c r="HU60" s="674">
        <f t="shared" si="30"/>
        <v>0</v>
      </c>
      <c r="HV60" s="674">
        <f t="shared" si="30"/>
        <v>0</v>
      </c>
      <c r="HW60" s="674">
        <f t="shared" si="30"/>
        <v>0</v>
      </c>
      <c r="HX60" s="674">
        <f>IF(HX58=TRUE,0,HX$16)</f>
        <v>0</v>
      </c>
      <c r="HY60" s="674">
        <f>IF(HY58=TRUE,0,HY$16)</f>
        <v>0</v>
      </c>
      <c r="HZ60" s="674">
        <f>IF(HZ58=TRUE,0,HZ$16)</f>
        <v>1</v>
      </c>
      <c r="IB60" s="674">
        <f>IF(GP58=FALSE,GP60,IF(GQ58=FALSE,GQ60,MAX(GN60:HZ60)))</f>
        <v>36</v>
      </c>
      <c r="IC60" s="1692"/>
      <c r="ID60" s="205" t="str">
        <f>VLOOKUP(IB60,_Error_Table,3,FALSE)</f>
        <v xml:space="preserve"> </v>
      </c>
      <c r="IE60" s="205"/>
      <c r="IF60" s="1688"/>
      <c r="IG60" s="1689"/>
      <c r="IH60" s="1684"/>
      <c r="IK60" s="1689"/>
      <c r="IL60" s="1692"/>
      <c r="IM60" s="1692"/>
      <c r="IN60" s="1692"/>
      <c r="IP60" s="1679"/>
      <c r="IQ60" s="1679"/>
      <c r="IR60" s="1679"/>
      <c r="IS60" s="1679"/>
      <c r="IT60" s="1679"/>
      <c r="IU60" s="1679"/>
      <c r="IV60" s="1679"/>
      <c r="IW60" s="1679"/>
      <c r="IX60" s="1679"/>
      <c r="IY60" s="1679"/>
      <c r="IZ60" s="1679"/>
      <c r="JA60" s="1679"/>
      <c r="JC60" s="1680"/>
      <c r="JD60" s="1670"/>
      <c r="JE60" s="1681"/>
      <c r="JG60" s="1680"/>
      <c r="JH60" s="1670"/>
      <c r="JI60" s="1060"/>
      <c r="JJ60" s="1670"/>
      <c r="JK60" s="1061"/>
      <c r="JL60" s="1670"/>
      <c r="JM60" s="1061"/>
      <c r="JN60" s="1670"/>
      <c r="JO60" s="1061"/>
      <c r="JP60" s="1670"/>
      <c r="JQ60" s="1061"/>
      <c r="JR60" s="1670"/>
      <c r="JS60" s="1061"/>
      <c r="JT60" s="1670"/>
      <c r="JU60" s="1061"/>
      <c r="JV60" s="1670"/>
      <c r="JX60" s="1670"/>
      <c r="JZ60" s="1670"/>
      <c r="KB60" s="1670"/>
    </row>
    <row r="61" spans="1:288" s="78" customFormat="1" ht="5.0999999999999996" customHeight="1">
      <c r="B61" s="675"/>
      <c r="C61" s="392"/>
      <c r="D61" s="392"/>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c r="AB61" s="1733"/>
      <c r="AC61" s="1733"/>
      <c r="AD61" s="1733"/>
      <c r="AE61" s="1733"/>
      <c r="AF61" s="1733"/>
      <c r="AG61" s="1733"/>
      <c r="AH61" s="1733"/>
      <c r="AI61" s="1733"/>
      <c r="AJ61" s="1733"/>
      <c r="AK61" s="1733"/>
      <c r="AL61" s="1733"/>
      <c r="AM61" s="1733"/>
      <c r="AN61" s="1733"/>
      <c r="AO61" s="1733"/>
      <c r="AP61" s="1733"/>
      <c r="AQ61" s="1733"/>
      <c r="AR61" s="1733"/>
      <c r="AS61" s="1733"/>
      <c r="AT61" s="1733"/>
      <c r="AU61" s="1733"/>
      <c r="AV61" s="1733"/>
      <c r="AW61" s="1733"/>
      <c r="AX61" s="469"/>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663"/>
      <c r="CQ61" s="663"/>
      <c r="CR61" s="438"/>
      <c r="CS61" s="663"/>
      <c r="CV61" s="391"/>
      <c r="CW61" s="391"/>
      <c r="CX61" s="207"/>
      <c r="CY61" s="208"/>
      <c r="CZ61" s="208"/>
      <c r="DA61" s="208"/>
      <c r="DB61" s="209"/>
      <c r="DC61" s="209"/>
      <c r="DD61" s="209"/>
      <c r="DF61" s="664"/>
      <c r="DG61" s="665"/>
      <c r="DH61" s="666"/>
      <c r="DI61" s="667"/>
      <c r="DJ61" s="668"/>
      <c r="DK61" s="668"/>
      <c r="DN61" s="208"/>
      <c r="DO61" s="664"/>
      <c r="DQ61" s="664"/>
      <c r="DR61" s="669"/>
      <c r="DS61" s="391"/>
      <c r="DT61" s="664"/>
      <c r="DU61" s="664"/>
      <c r="DV61" s="664"/>
      <c r="DX61" s="664"/>
      <c r="DY61" s="664"/>
      <c r="DZ61" s="664"/>
      <c r="EA61" s="664"/>
      <c r="EC61" s="670"/>
      <c r="ED61" s="670"/>
      <c r="EF61" s="668"/>
      <c r="EG61" s="668"/>
      <c r="EH61" s="208"/>
      <c r="EI61" s="668"/>
      <c r="EJ61" s="668"/>
      <c r="EK61" s="207"/>
      <c r="EL61" s="207"/>
      <c r="EM61" s="666"/>
      <c r="EN61" s="671"/>
      <c r="EO61" s="671"/>
      <c r="EP61" s="672"/>
      <c r="EQ61" s="672"/>
      <c r="ER61" s="666"/>
      <c r="ES61" s="666"/>
      <c r="ET61" s="666"/>
      <c r="EV61" s="664"/>
      <c r="EX61" s="391"/>
      <c r="EY61" s="391"/>
      <c r="EZ61" s="391"/>
      <c r="FA61" s="391"/>
      <c r="FB61" s="391"/>
      <c r="FC61" s="391"/>
      <c r="FE61" s="569"/>
      <c r="FG61" s="391"/>
      <c r="FH61" s="391"/>
      <c r="FI61" s="391"/>
      <c r="FS61" s="664"/>
      <c r="FT61" s="391"/>
      <c r="FU61" s="391"/>
      <c r="FV61" s="664"/>
      <c r="FW61" s="664"/>
      <c r="GA61" s="663"/>
      <c r="GB61" s="663"/>
      <c r="GC61" s="663"/>
      <c r="GD61" s="663"/>
      <c r="GE61" s="663"/>
      <c r="GF61" s="663"/>
      <c r="GG61" s="663"/>
      <c r="GH61" s="663"/>
      <c r="GI61" s="665"/>
      <c r="GJ61" s="664"/>
      <c r="GK61" s="664"/>
      <c r="JG61" s="1061"/>
      <c r="JH61" s="1061"/>
      <c r="JI61" s="1061"/>
      <c r="JJ61" s="1061"/>
      <c r="JK61" s="1061"/>
      <c r="JL61" s="1061"/>
      <c r="JM61" s="1061"/>
      <c r="JN61" s="1061"/>
      <c r="JO61" s="1061"/>
      <c r="JP61" s="1061"/>
      <c r="JQ61" s="1061"/>
      <c r="JR61" s="1061"/>
      <c r="JS61" s="1061"/>
      <c r="JT61" s="1061"/>
      <c r="JU61" s="1061"/>
      <c r="JV61" s="1061"/>
      <c r="KB61" s="1061"/>
    </row>
    <row r="62" spans="1:288" s="78" customFormat="1" ht="14.95" customHeight="1">
      <c r="B62" s="1845" t="str">
        <f>ID65</f>
        <v xml:space="preserve"> </v>
      </c>
      <c r="C62" s="1846">
        <f>C57+1</f>
        <v>4</v>
      </c>
      <c r="D62" s="1847"/>
      <c r="E62" s="1799" t="s">
        <v>295</v>
      </c>
      <c r="F62" s="1800"/>
      <c r="G62" s="1741"/>
      <c r="H62" s="1742"/>
      <c r="I62" s="1742"/>
      <c r="J62" s="1742"/>
      <c r="K62" s="1742"/>
      <c r="L62" s="1742"/>
      <c r="M62" s="1742"/>
      <c r="N62" s="1742"/>
      <c r="O62" s="1742"/>
      <c r="P62" s="1742"/>
      <c r="Q62" s="1742"/>
      <c r="R62" s="1742"/>
      <c r="S62" s="1791" t="s">
        <v>344</v>
      </c>
      <c r="T62" s="590"/>
      <c r="U62" s="1743"/>
      <c r="V62" s="1744"/>
      <c r="W62" s="1744"/>
      <c r="X62" s="1744"/>
      <c r="Y62" s="1744"/>
      <c r="Z62" s="1744"/>
      <c r="AA62" s="1744"/>
      <c r="AB62" s="961" t="str">
        <f>IFERROR(IF(__Retrofit_TI_NC=0,VLOOKUP(U63,Fixtures_Existing_List,2,FALSE),ROUND(N64*R64/T64,10)),"")</f>
        <v/>
      </c>
      <c r="AC62" s="935" t="str">
        <f>IFERROR(IF(__Retrofit_TI_NC=0,ROUND(T63*AB62*N63*R63/1000,0),IF(CQ62="Interior",N64*R64*R63*N63*_C406_reduction/1000,N64*R64*R63*N63/1000)),"")</f>
        <v/>
      </c>
      <c r="AD62" s="936" t="str">
        <f>IFERROR(IF(C$43=0,ROUND(T63*AB62/1000,2),N64*R64/1000),"")</f>
        <v/>
      </c>
      <c r="AE62" s="997"/>
      <c r="AF62" s="937"/>
      <c r="AG62" s="1745" t="str">
        <f>IF(__Retrofit_TI_NC=0," Control","Select Advanced Control for New System")</f>
        <v xml:space="preserve"> Control</v>
      </c>
      <c r="AH62" s="1745"/>
      <c r="AI62" s="1745"/>
      <c r="AJ62" s="1745"/>
      <c r="AK62" s="1745"/>
      <c r="AL62" s="1745"/>
      <c r="AM62" s="1746">
        <f>IFERROR(DI62,"")</f>
        <v>0</v>
      </c>
      <c r="AN62" s="1774" t="str">
        <f>IFERROR(ROUND(AM62*AC62,0),"")</f>
        <v/>
      </c>
      <c r="AO62" s="1776">
        <f>IFERROR(IF(IB62=FALSE,0,AC62-AN62),0)</f>
        <v>0</v>
      </c>
      <c r="AP62" s="1778">
        <f>AO62-AO64</f>
        <v>0</v>
      </c>
      <c r="AQ62" s="1779"/>
      <c r="AR62" s="1793">
        <f>IFERROR(IF(IB62=FALSE,0,(T64*U65)+(AF64*AG65)),0)</f>
        <v>0</v>
      </c>
      <c r="AS62" s="1793"/>
      <c r="AT62" s="1794"/>
      <c r="AU62" s="1734" t="s">
        <v>237</v>
      </c>
      <c r="AV62" s="1751">
        <f>IF(AU62="Yes",1,0)</f>
        <v>1</v>
      </c>
      <c r="AW62" s="1704" t="str">
        <f>IF(OR(DQ62=4,DQ62=5,DQ62=6,DQ62=12),CONCATENATE("$",IF(GH62=TRUE,Lookup!$K$10,Lookup!$K$2)," /lamp"),CONCATENATE(TEXT(ED62,"$0.00"),"/ kWh"))</f>
        <v>$0.00/ kWh</v>
      </c>
      <c r="AX62" s="467"/>
      <c r="AY62" s="1748">
        <f ca="1">IFERROR(IF(GM63=TRUE,(AB65*T64)/R64,0),"NA")</f>
        <v>0</v>
      </c>
      <c r="AZ62" s="1748"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696" t="str">
        <f>N63</f>
        <v/>
      </c>
      <c r="CQ62" s="1696" t="str">
        <f>IFERROR(VLOOKUP(G63,_Lookup_Heat_Type_Table_New,3,FALSE),"")</f>
        <v/>
      </c>
      <c r="CR62" s="1808" t="str">
        <f>CQ62</f>
        <v/>
      </c>
      <c r="CS62" s="1810" t="str">
        <f>IFERROR(VLOOKUP(G64,'Space Table'!$B$3:$L$163,9,FALSE),"")</f>
        <v/>
      </c>
      <c r="CU62" s="1688" t="s">
        <v>344</v>
      </c>
      <c r="CV62" s="1702">
        <f>IF(IB62=TRUE,T63,0)</f>
        <v>0</v>
      </c>
      <c r="CW62" s="1702" t="str">
        <f>IF(IB62=TRUE,U63,"")</f>
        <v/>
      </c>
      <c r="CX62" s="1702"/>
      <c r="CY62" s="1814">
        <f>IF(IB62=TRUE,AB62,0)</f>
        <v>0</v>
      </c>
      <c r="CZ62" s="1710">
        <f>IF(AND(__Retrofit_TI_NC&gt;0,CR62="interior"),0,IF(IB62=TRUE,AC62,0))</f>
        <v>0</v>
      </c>
      <c r="DA62" s="1814">
        <f>IFERROR(IF(IB62=TRUE,CZ62-CZ64,0),0)</f>
        <v>0</v>
      </c>
      <c r="DB62" s="1819">
        <f>IF(IB62=TRUE,AD62,0)</f>
        <v>0</v>
      </c>
      <c r="DC62" s="1819">
        <f>IF(IB62=TRUE,AD65,0)</f>
        <v>0</v>
      </c>
      <c r="DD62" s="1819">
        <f>IFERROR(DB62-DC62,0)</f>
        <v>0</v>
      </c>
      <c r="DF62" s="1702">
        <f>IF(IB62=TRUE,AF63,0)</f>
        <v>0</v>
      </c>
      <c r="DG62" s="1830">
        <f>IFERROR(IF(__Retrofit_TI_NC=2,IF(CQ62="Exterior",O65,FQ62),FN62),"")</f>
        <v>0</v>
      </c>
      <c r="DH62" s="1702"/>
      <c r="DI62" s="1837">
        <f>JE62</f>
        <v>0</v>
      </c>
      <c r="DJ62" s="1710">
        <f>IF(AND(__Retrofit_TI_NC&gt;0,CR62="interior"),0,IF(IB62=TRUE,AN62,0))</f>
        <v>0</v>
      </c>
      <c r="DK62" s="1712">
        <f>IFERROR(IF(IB62=TRUE,DJ64-DJ62,0),0)</f>
        <v>0</v>
      </c>
      <c r="DM62" s="1717">
        <f>IFERROR(CZ62-DJ62,0)</f>
        <v>0</v>
      </c>
      <c r="DO62" s="1708">
        <f>DM62-DN64</f>
        <v>0</v>
      </c>
      <c r="DQ62" s="1715" t="str">
        <f>IFERROR(IF(AND(OR(GC62=4,GC62=5,GC62=6),OR(GF62=4,GF62=5,GF62=6)),GC62+8,VLOOKUP(CW64,Fixtures!R$31:Y$78,8,FALSE)),"")</f>
        <v/>
      </c>
      <c r="DR62" s="1829" t="str">
        <f>DQ62</f>
        <v/>
      </c>
      <c r="DS62" s="1702" t="str">
        <f>IFERROR(VLOOKUP(DG64,Lookup!BB$3:BC$20,2,FALSE),"")</f>
        <v/>
      </c>
      <c r="DT62" s="1713" t="str">
        <f>IF(OR(DS62=7,DS62=8,DS62=9),"ALC","")</f>
        <v/>
      </c>
      <c r="DU62" s="1715">
        <f>IFERROR(IF(OR(DQ62=4,DQ62=5,DQ62=6,DQ62=12,DQ62=13,DQ62=14),VLOOKUP(CW64,Fixtures!DN$27:EG$77,19,FALSE),1)*CV64,0)</f>
        <v>0</v>
      </c>
      <c r="DV62" s="1716">
        <f>IF(OR(DS62=7,DS62=8,DS62=9),IF(DG62=DG64,0,DF64),0)</f>
        <v>0</v>
      </c>
      <c r="DX62" s="1715" t="str">
        <f>IFERROR(IF(EZ62&lt;EZ64,"Yes","No"),"")</f>
        <v/>
      </c>
      <c r="DY62" s="1829" t="str">
        <f>DX62</f>
        <v/>
      </c>
      <c r="DZ62" s="1715">
        <f>IF(DX62="Yes",DF64,0)</f>
        <v>0</v>
      </c>
      <c r="EA62" s="1715">
        <f>DZ62-DV62</f>
        <v>0</v>
      </c>
      <c r="EC62" s="1834">
        <f>IFERROR(VLOOKUP(DQ62,Lookup!AU$3:AV$16,2,FALSE),0)</f>
        <v>0</v>
      </c>
      <c r="ED62" s="1834">
        <f>IF(IB62=FALSE,0,IF(DX62="Yes",EC62+Lookup!K$6,EC62))</f>
        <v>0</v>
      </c>
      <c r="EF62" s="1707">
        <f>IF(IB62=TRUE,DM62,0)</f>
        <v>0</v>
      </c>
      <c r="EG62" s="1712">
        <f>IF(IB62=TRUE,CZ64,0)</f>
        <v>0</v>
      </c>
      <c r="EH62" s="1814">
        <f>IFERROR(EF62-EG62,0)</f>
        <v>0</v>
      </c>
      <c r="EI62" s="1712">
        <f>IF(IB62=TRUE,DJ64,0)</f>
        <v>0</v>
      </c>
      <c r="EJ62" s="1712">
        <f>IFERROR(EF62-EG62+EI62,0)</f>
        <v>0</v>
      </c>
      <c r="EK62" s="1812">
        <f>IF(IB62=TRUE,CV64*CX64,0)</f>
        <v>0</v>
      </c>
      <c r="EL62" s="1812">
        <f>IF(IB62=TRUE,DF64*DH64,0)</f>
        <v>0</v>
      </c>
      <c r="EM62" s="1807">
        <f>AR62</f>
        <v>0</v>
      </c>
      <c r="EN62" s="1839" t="str">
        <f>IFERROR(IF(IB62=TRUE,VLOOKUP(DQ62,Lookup!AU$3:AW$16,3,FALSE)*DU62,""),0)</f>
        <v/>
      </c>
      <c r="EO62" s="1839">
        <f>IF(IB62=TRUE,DZ62*Lookup!AW$12,0)</f>
        <v>0</v>
      </c>
      <c r="EP62" s="1817">
        <f>IFERROR(IF(IB62=TRUE,EN62/EP$40,0),0)</f>
        <v>0</v>
      </c>
      <c r="EQ62" s="1817">
        <f>IF(IB62=TRUE,EO62/EQ$40,0)</f>
        <v>0</v>
      </c>
      <c r="ER62" s="1807">
        <f>IF(IB62=TRUE,ET$40*EP62,0)</f>
        <v>0</v>
      </c>
      <c r="ES62" s="1807">
        <f>IF(IB62=TRUE,ET$40*EQ62,0)</f>
        <v>0</v>
      </c>
      <c r="ET62" s="1807">
        <f>ER62+ES62</f>
        <v>0</v>
      </c>
      <c r="EV62" s="1715">
        <f>IF(G62="",0,1)</f>
        <v>0</v>
      </c>
      <c r="EX62" s="1804" t="str">
        <f>IFERROR(VLOOKUP(CS64,'Space Table'!$B$3:$L$163,8,FALSE),"")</f>
        <v/>
      </c>
      <c r="EY62" s="1804" t="str">
        <f>IFERROR(IF(FB62="Yes",VLOOKUP(DG62,Lookup_Control_Type_Table2,4,FALSE),VLOOKUP(DG62,Lookup_Control_Type_Table2,3,FALSE)),"")</f>
        <v/>
      </c>
      <c r="EZ62" s="1804" t="e">
        <f>VLOOKUP(DG62,Lookup!BB$3:BC$20,2,FALSE)</f>
        <v>#N/A</v>
      </c>
      <c r="FA62" s="1804" t="e">
        <f>VLOOKUP(EX62,Lookup_Control_Type_Table,2,FALSE)</f>
        <v>#N/A</v>
      </c>
      <c r="FB62" s="1804" t="e">
        <f>VLOOKUP(CS64,'Space Table'!$B$3:$L$163,7,FALSE)</f>
        <v>#N/A</v>
      </c>
      <c r="FC62" s="1826" t="b">
        <f>ISNUMBER(SEARCH("TLED",U64))</f>
        <v>0</v>
      </c>
      <c r="FE62" s="1698" t="str">
        <f>CONCATENATE(CQ62," - ",DG62)</f>
        <v xml:space="preserve"> - 0</v>
      </c>
      <c r="FG62" s="1702" t="str">
        <f>VLOOKUP(CW64,Fixtures!DN$27:EZ$77,38,FALSE)</f>
        <v/>
      </c>
      <c r="FH62" s="1702">
        <f>IFERROR(FG62*EH62,0)</f>
        <v>0</v>
      </c>
      <c r="FI62" s="133"/>
      <c r="FL62" s="1822" t="str">
        <f>IF(CQ62="Exterior","Not Daylighted",G65)</f>
        <v>Not Daylighted</v>
      </c>
      <c r="FM62" s="1824">
        <f>VLOOKUP(FL62,_New_Daylight_Table_Codes,2,FALSE)</f>
        <v>0</v>
      </c>
      <c r="FN62" s="1698">
        <f>IF(__Retrofit_TI_NC&gt;0,VLOOKUP(G64,'Space Table'!$B$3:$L$163,11,FALSE),AG63)</f>
        <v>0</v>
      </c>
      <c r="FO62" s="1698" t="e">
        <f>IF(__Retrofit_TI_NC=2,VLOOKUP(FQ62,_Control_Table,2,FALSE),VLOOKUP(FN62,_Control_Table,2,FALSE))</f>
        <v>#N/A</v>
      </c>
      <c r="FP62" s="1678" t="e">
        <f>VLOOKUP(CONCATENATE(FL62," ",FN62),Lookup!AY69:AZ$102,2,FALSE)</f>
        <v>#N/A</v>
      </c>
      <c r="FQ62" s="1678">
        <f>IF(__Retrofit_TI_NC=0,FN62,IF(AND(FT62&gt;0,FN62="Occupancy Sensor"),"Daylight + Occupancy",IF(AND(FT62&gt;0,VLOOKUP(FN62,_Control_Table,2,FALSE)&lt;4),"Interior Daylight Dimming",FN62)))</f>
        <v>0</v>
      </c>
      <c r="FS62" s="1686">
        <f>IF(CR62="Interior",VLOOKUP(CS62,Control_Savings_Interior,5,FALSE),0)</f>
        <v>0</v>
      </c>
      <c r="FT62" s="1687">
        <f>IF(CQ62="Exterior",0,IF(FM62=2,0.5,IF(OR(FM62=1,FM62=3),1,0)))</f>
        <v>0</v>
      </c>
      <c r="FU62" s="1685">
        <f>IF(R61&gt;FS$44,(FS62*(FS$44/R61)),FS62)*FT62</f>
        <v>0</v>
      </c>
      <c r="FV62" s="1686">
        <f>DI62</f>
        <v>0</v>
      </c>
      <c r="FW62" s="1686">
        <f>ROUND(FV62+((1-FV62)*FU62),2)</f>
        <v>0</v>
      </c>
      <c r="FX62" s="1686">
        <f>IF(__Retrofit_TI_NC=2,FW62,FV62)</f>
        <v>0</v>
      </c>
      <c r="FY62" s="1697"/>
      <c r="GA62" s="1696" t="str">
        <f>IFERROR(VLOOKUP(U63,_Exist_Fixture_Table,3,FALSE),"")</f>
        <v/>
      </c>
      <c r="GB62" s="1696" t="str">
        <f>VLOOKUP(CW62,_Exist_Fixture_Table,4,FALSE)</f>
        <v/>
      </c>
      <c r="GC62" s="1696">
        <f>IFERROR(VLOOKUP(GB62,Lookup!AT$6:AU$8,2,FALSE),0)</f>
        <v>0</v>
      </c>
      <c r="GD62" s="1696" t="b">
        <f>IFERROR(IF(OR(GF62=4,GF62=5,GF62=6),TRUE,FALSE),"")</f>
        <v>0</v>
      </c>
      <c r="GE62" s="1696" t="str">
        <f>IFERROR(VLOOKUP(GF62,GC$6:GD$10,2,FALSE),"")</f>
        <v/>
      </c>
      <c r="GF62" s="1696" t="str">
        <f>VLOOKUP(CW64,Fixtures!R$31:Y$78,8,FALSE)</f>
        <v/>
      </c>
      <c r="GG62" s="1696">
        <f>IF(AND(GA62=TRUE,GD62=TRUE,OR(DQ62=12,DQ62=13,DQ62=14)),GC62+8,0)</f>
        <v>0</v>
      </c>
      <c r="GH62" s="1696" t="b">
        <f>IF(OR(GG62=12,GG62=13,GG62=14),TRUE,FALSE)</f>
        <v>0</v>
      </c>
      <c r="GI62" s="673" t="b">
        <f>IF(ISNUMBER(SEARCH("TLED",U63)),TRUE,FALSE)</f>
        <v>0</v>
      </c>
      <c r="GJ62" s="1135" t="str">
        <f>IFERROR(VLOOKUP(U63,Fixtures!BM$93:BR$142,6,FALSE),"")</f>
        <v/>
      </c>
      <c r="GK62" s="1832" t="b">
        <f>IF(OR(GI62=FALSE,GI64=FALSE),TRUE,IF(GJ62-GJ64&lt;5,FALSE,TRUE))</f>
        <v>1</v>
      </c>
      <c r="GO62" s="674">
        <f>GP62</f>
        <v>0</v>
      </c>
      <c r="GP62" s="674">
        <f>IF(G62="",0,1)</f>
        <v>0</v>
      </c>
      <c r="GQ62" s="674">
        <f ca="1">SUM(GR62:HF62)</f>
        <v>2</v>
      </c>
      <c r="GR62" s="674">
        <f>IF(G63="",0,1)</f>
        <v>0</v>
      </c>
      <c r="GS62" s="674">
        <f>IF(N65="BAM",1,IF(G64="",0,1))</f>
        <v>0</v>
      </c>
      <c r="GT62" s="674">
        <f>IF(N65="BAM",1,IF(R63="",0,1))</f>
        <v>0</v>
      </c>
      <c r="GU62" s="674">
        <f>IF(N65="BAM",1,IF(__Retrofit_TI_NC=0,1,IF(R64="",0,1)))</f>
        <v>1</v>
      </c>
      <c r="GV62" s="674">
        <f>IF(N65="BAM",1,IF(CQ62="Exterior",1,IF(G65="",0,1)))</f>
        <v>1</v>
      </c>
      <c r="GW62" s="674">
        <f>IF(__Retrofit_TI_NC&gt;0,1,IF(T63="",0,1))</f>
        <v>0</v>
      </c>
      <c r="GX62" s="674">
        <f>IF(__Retrofit_TI_NC&gt;0,1,IF(U63="",0,1))</f>
        <v>0</v>
      </c>
      <c r="GY62" s="674">
        <f>IF(N65="BAM",1,IF(T64="",0,1))</f>
        <v>0</v>
      </c>
      <c r="GZ62" s="674">
        <f>IF(N65="BAM",1,IF(U64="",0,1))</f>
        <v>0</v>
      </c>
      <c r="HA62" s="674">
        <f ca="1">IF(N65="BAM",1,IF(__Retrofit_TI_NC&gt;0,1,IF(U65="",0,1)))</f>
        <v>0</v>
      </c>
      <c r="HB62" s="674">
        <f>IF(__Retrofit_TI_NC&lt;&gt;0,1,IF(AF63="",0,1))</f>
        <v>0</v>
      </c>
      <c r="HC62" s="674">
        <f>IF(__Retrofit_TI_NC&lt;&gt;0,1,IF(AG63="",0,1))</f>
        <v>0</v>
      </c>
      <c r="HD62" s="674">
        <f>IF(N65="BAM",1,IF(AF64="",0,1))</f>
        <v>0</v>
      </c>
      <c r="HE62" s="674">
        <f>IF(N65="BAM",1,IF(AG64="",0,1))</f>
        <v>0</v>
      </c>
      <c r="HF62" s="674">
        <f>IF(N65="BAM",1,IF(__Retrofit_TI_NC&gt;0,1,IF(AG65="",0,1)))</f>
        <v>0</v>
      </c>
      <c r="HG62" s="391"/>
      <c r="IA62" s="391"/>
      <c r="IB62" s="1693" t="b">
        <f>IF(OR(IB65=0,IB65=HY$16,IB65=HX$16,IB65=HZ$16),TRUE,FALSE)</f>
        <v>0</v>
      </c>
      <c r="IC62" s="1694" t="b">
        <f>IB62</f>
        <v>0</v>
      </c>
      <c r="ID62" s="391"/>
      <c r="IE62" s="391"/>
      <c r="IF62" s="1688" t="b">
        <f ca="1">IF(MAX(GN65:HU65)&gt;5,FALSE,TRUE)</f>
        <v>0</v>
      </c>
      <c r="IG62" s="1689">
        <f ca="1">IF(IF62=TRUE,AC62,0)</f>
        <v>0</v>
      </c>
      <c r="IH62" s="1689">
        <f ca="1">IG62-IG64</f>
        <v>0</v>
      </c>
      <c r="IK62" s="1689" t="e">
        <f>ROUND(T63*VLOOKUP(U63,Fixtures_Existing_List,2,FALSE)*N63*R63/1000,0)</f>
        <v>#N/A</v>
      </c>
      <c r="IL62" s="1690" t="e">
        <f>IK62-IK64</f>
        <v>#N/A</v>
      </c>
      <c r="IM62" s="1693" t="e">
        <f>ROUND(IF(CQ62="Interior",N64*R64*R63*N63*_C406_reduction/1000,N64*R64*R63*N63/1000),0)</f>
        <v>#N/A</v>
      </c>
      <c r="IN62" s="1693" t="e">
        <f>IM62-IM64</f>
        <v>#N/A</v>
      </c>
      <c r="IP62" s="1679"/>
      <c r="IQ62" s="1679" t="e">
        <f t="shared" ref="IQ62:IU62" si="31">IF($CR62="interior",VLOOKUP($CS62,_New_Control_Savings_Interior,IQ$30,FALSE),VLOOKUP($CS62,Control_Savings_Exterior,IQ$30,FALSE))</f>
        <v>#N/A</v>
      </c>
      <c r="IR62" s="1679" t="e">
        <f t="shared" si="31"/>
        <v>#N/A</v>
      </c>
      <c r="IS62" s="1679" t="e">
        <f t="shared" si="31"/>
        <v>#N/A</v>
      </c>
      <c r="IT62" s="1679" t="e">
        <f t="shared" si="31"/>
        <v>#N/A</v>
      </c>
      <c r="IU62" s="1679" t="e">
        <f t="shared" si="31"/>
        <v>#N/A</v>
      </c>
      <c r="IV62" s="1679" t="e">
        <f>IF($CR62="interior",IF(R63&gt;$IP$14,ROUND(($IV$18*($IP$14/R63)),2),$IV$18),VLOOKUP($CS62,Control_Savings_Exterior,IV$30,FALSE))</f>
        <v>#N/A</v>
      </c>
      <c r="IW62" s="1679" t="e">
        <f>IF($CR62="interior",ROUND(((1-IS62)*IV62)+IS62,2),VLOOKUP($CS62,Control_Savings_Exterior,IW$30,FALSE))</f>
        <v>#N/A</v>
      </c>
      <c r="IX62" s="1679" t="e">
        <f>IF($CR62="interior",ROUND(((1-IT62)*IV62)+IT62,2),VLOOKUP($CS62,Control_Savings_Exterior,IX$30,FALSE))</f>
        <v>#N/A</v>
      </c>
      <c r="IY62" s="1679" t="e">
        <f>IF($CR62="interior",IF(R63&gt;$IP$14,ROUND(($IY$18*($IP$14/R63)),2),$IY$18),VLOOKUP($CS62,Control_Savings_Exterior,IY$30,FALSE))</f>
        <v>#N/A</v>
      </c>
      <c r="IZ62" s="1679" t="e">
        <f>IF($CR62="interior",ROUND(((1-IS62)*IY62)+IS62,2),VLOOKUP($CS62,Control_Savings_Exterior,IZ$30,FALSE))</f>
        <v>#N/A</v>
      </c>
      <c r="JA62" s="1679" t="e">
        <f>IF($CR62="interior",ROUND(((1-IT62)*IY62)+IT62,2),VLOOKUP($CS62,Control_Savings_Exterior,JA$30,FALSE))</f>
        <v>#N/A</v>
      </c>
      <c r="JC62" s="1680">
        <f>IFERROR(IF(CR62="Interior",CONCATENATE(G65," ",FQ62),FQ62),"")</f>
        <v>0</v>
      </c>
      <c r="JD62" s="1670" t="str">
        <f>IFERROR(VLOOKUP(JC62,_Controls_2023,2,FALSE),"")</f>
        <v/>
      </c>
      <c r="JE62" s="1681">
        <f>IFERROR(CHOOSE(JD62-1,IQ62,IR62,IS62,IT62,IU62,IV62,IW62,IX62,IY62,IZ62,JA62),0)</f>
        <v>0</v>
      </c>
      <c r="JG62" s="1680" t="str">
        <f>FE62</f>
        <v xml:space="preserve"> - 0</v>
      </c>
      <c r="JH62" s="1670" t="e">
        <f>$FO62</f>
        <v>#N/A</v>
      </c>
      <c r="JI62" s="1060"/>
      <c r="JJ62" s="1682" t="b">
        <f>IF($JG64=CONCATENATE("Interior - ",JJ$4),TRUE,FALSE)</f>
        <v>0</v>
      </c>
      <c r="JK62" s="1061"/>
      <c r="JL62" s="1682" t="b">
        <f>IF($JG64=CONCATENATE("Interior - ",JL$4),TRUE,FALSE)</f>
        <v>0</v>
      </c>
      <c r="JM62" s="1061"/>
      <c r="JN62" s="1682" t="b">
        <f>IF($JG64=CONCATENATE("Interior - ",JN$4),TRUE,FALSE)</f>
        <v>0</v>
      </c>
      <c r="JO62" s="1061"/>
      <c r="JP62" s="1682" t="b">
        <f>IF(__Retrofit_TI_NC&gt;0,FALSE,IF($JG64=CONCATENATE("Interior - ",JP$4),TRUE,FALSE))</f>
        <v>0</v>
      </c>
      <c r="JQ62" s="1061"/>
      <c r="JR62" s="1682" t="b">
        <f>IF(__Retrofit_TI_NC&gt;0,FALSE,IF($JG64=CONCATENATE("Interior - ",JR$4),TRUE,FALSE))</f>
        <v>0</v>
      </c>
      <c r="JS62" s="1061"/>
      <c r="JT62" s="1670" t="b">
        <f>IF(__Retrofit_TI_NC&gt;0,FALSE,IF($JG64=CONCATENATE("Interior - ",JT$4),TRUE,FALSE))</f>
        <v>0</v>
      </c>
      <c r="JU62" s="1061"/>
      <c r="JV62" s="1670" t="b">
        <f>IF(JC64="AELC on Existing",TRUE,FALSE)</f>
        <v>0</v>
      </c>
      <c r="JX62" s="1670" t="b">
        <f>IF(OR(JG64="Exterior - AELC Occupancy based",JG64="Exterior - AELC Time based"),TRUE,FALSE)</f>
        <v>0</v>
      </c>
      <c r="JZ62" s="1682" t="b">
        <f>IF($JG64=CONCATENATE("Exterior - ",JZ$4),TRUE,FALSE)</f>
        <v>0</v>
      </c>
      <c r="KB62" s="1670" t="b">
        <f>IF(__Retrofit_TI_NC&gt;0,FALSE,IF($JG64=CONCATENATE("Interior - ",KB$4),TRUE,FALSE))</f>
        <v>0</v>
      </c>
    </row>
    <row r="63" spans="1:288" s="78" customFormat="1" ht="14.95" customHeight="1" thickTop="1" thickBot="1">
      <c r="B63" s="1845"/>
      <c r="C63" s="1846"/>
      <c r="D63" s="1847"/>
      <c r="E63" s="1737" t="s">
        <v>297</v>
      </c>
      <c r="F63" s="1738"/>
      <c r="G63" s="1739"/>
      <c r="H63" s="1739"/>
      <c r="I63" s="1739"/>
      <c r="J63" s="1739"/>
      <c r="K63" s="1739"/>
      <c r="L63" s="1739"/>
      <c r="M63" s="461" t="e">
        <f>IF(__Retrofit_TI_NC&lt;&gt;0,IF(VLOOKUP(G64,'Space Table'!$B$3:$L$163,3,FALSE)&gt;0,1,0),IF(__Retrofit_TI_NC=VLOOKUP(G64,'Space Table'!$B$3:$L$163,3,FALSE),1,0))</f>
        <v>#N/A</v>
      </c>
      <c r="N63" s="461" t="str">
        <f>IFERROR(VLOOKUP(G63,_Lookup_Heat_Type_Table_New,2,FALSE),"")</f>
        <v/>
      </c>
      <c r="O63" s="461">
        <f>IF(__Retrofit_TI_NC=1,CONCATENATE("TI ",G63),IF(__Retrofit_TI_NC=2,CONCATENATE("NC ",G63),G63))</f>
        <v>0</v>
      </c>
      <c r="P63" s="1740" t="s">
        <v>435</v>
      </c>
      <c r="Q63" s="1740"/>
      <c r="R63" s="595"/>
      <c r="S63" s="1792"/>
      <c r="T63" s="597"/>
      <c r="U63" s="1765"/>
      <c r="V63" s="1766"/>
      <c r="W63" s="1766"/>
      <c r="X63" s="1766"/>
      <c r="Y63" s="1766"/>
      <c r="Z63" s="1766"/>
      <c r="AA63" s="1766"/>
      <c r="AB63" s="1766"/>
      <c r="AC63" s="1766"/>
      <c r="AD63" s="1767"/>
      <c r="AE63" s="1000"/>
      <c r="AF63" s="597"/>
      <c r="AG63" s="1723"/>
      <c r="AH63" s="1724"/>
      <c r="AI63" s="1724"/>
      <c r="AJ63" s="1724"/>
      <c r="AK63" s="1725"/>
      <c r="AL63" s="996"/>
      <c r="AM63" s="1747"/>
      <c r="AN63" s="1775"/>
      <c r="AO63" s="1777"/>
      <c r="AP63" s="1780"/>
      <c r="AQ63" s="1781"/>
      <c r="AR63" s="1795"/>
      <c r="AS63" s="1795"/>
      <c r="AT63" s="1796"/>
      <c r="AU63" s="1735"/>
      <c r="AV63" s="1752"/>
      <c r="AW63" s="1705"/>
      <c r="AX63" s="467"/>
      <c r="AY63" s="1749"/>
      <c r="AZ63" s="1749"/>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696"/>
      <c r="CQ63" s="1696"/>
      <c r="CR63" s="1809"/>
      <c r="CS63" s="1811"/>
      <c r="CU63" s="1688"/>
      <c r="CV63" s="1703"/>
      <c r="CW63" s="1703"/>
      <c r="CX63" s="1703"/>
      <c r="CY63" s="1815"/>
      <c r="CZ63" s="1711"/>
      <c r="DA63" s="1818"/>
      <c r="DB63" s="1820"/>
      <c r="DC63" s="1820"/>
      <c r="DD63" s="1820"/>
      <c r="DF63" s="1703"/>
      <c r="DG63" s="1831"/>
      <c r="DH63" s="1703"/>
      <c r="DI63" s="1838"/>
      <c r="DJ63" s="1711"/>
      <c r="DK63" s="1712"/>
      <c r="DM63" s="1718"/>
      <c r="DO63" s="1708"/>
      <c r="DQ63" s="1715"/>
      <c r="DR63" s="1720"/>
      <c r="DS63" s="1816"/>
      <c r="DT63" s="1714"/>
      <c r="DU63" s="1715"/>
      <c r="DV63" s="1716"/>
      <c r="DX63" s="1715"/>
      <c r="DY63" s="1720"/>
      <c r="DZ63" s="1715"/>
      <c r="EA63" s="1715"/>
      <c r="EC63" s="1834"/>
      <c r="ED63" s="1834"/>
      <c r="EF63" s="1707"/>
      <c r="EG63" s="1712"/>
      <c r="EH63" s="1818"/>
      <c r="EI63" s="1712"/>
      <c r="EJ63" s="1712"/>
      <c r="EK63" s="1836"/>
      <c r="EL63" s="1836"/>
      <c r="EM63" s="1807"/>
      <c r="EN63" s="1839"/>
      <c r="EO63" s="1839"/>
      <c r="EP63" s="1817"/>
      <c r="EQ63" s="1817"/>
      <c r="ER63" s="1807"/>
      <c r="ES63" s="1807"/>
      <c r="ET63" s="1807"/>
      <c r="EV63" s="1715"/>
      <c r="EX63" s="1805"/>
      <c r="EY63" s="1805"/>
      <c r="EZ63" s="1805"/>
      <c r="FA63" s="1805"/>
      <c r="FB63" s="1805"/>
      <c r="FC63" s="1827"/>
      <c r="FE63" s="1698"/>
      <c r="FG63" s="1816"/>
      <c r="FH63" s="1816"/>
      <c r="FI63" s="133"/>
      <c r="FL63" s="1823"/>
      <c r="FM63" s="1825"/>
      <c r="FN63" s="1698"/>
      <c r="FO63" s="1698"/>
      <c r="FP63" s="1678"/>
      <c r="FQ63" s="1678"/>
      <c r="FS63" s="1687"/>
      <c r="FT63" s="1687"/>
      <c r="FU63" s="1685"/>
      <c r="FV63" s="1687"/>
      <c r="FW63" s="1687"/>
      <c r="FX63" s="1687"/>
      <c r="FY63" s="1697"/>
      <c r="GA63" s="1696"/>
      <c r="GB63" s="1696"/>
      <c r="GC63" s="1696"/>
      <c r="GD63" s="1696"/>
      <c r="GE63" s="1696"/>
      <c r="GF63" s="1696"/>
      <c r="GG63" s="1696"/>
      <c r="GH63" s="1696"/>
      <c r="GI63" s="673"/>
      <c r="GJ63" s="1135"/>
      <c r="GK63" s="1832"/>
      <c r="GM63" s="1693" t="b">
        <f ca="1">IF(AND(GP63=TRUE,GQ63=TRUE),TRUE,FALSE)</f>
        <v>0</v>
      </c>
      <c r="GN63" s="1684" t="b">
        <f>IFERROR(IF(__Retrofit_TI_NC=2,TRUE,IF(AU62="Yes",TRUE,FALSE)),FALSE)</f>
        <v>1</v>
      </c>
      <c r="GP63" s="1684" t="b">
        <f>IFERROR(IF(GP62=1,TRUE,FALSE),FALSE)</f>
        <v>0</v>
      </c>
      <c r="GQ63" s="1684" t="b">
        <f ca="1">IFERROR(IF(GQ62=GQ$14,TRUE,FALSE),FALSE)</f>
        <v>0</v>
      </c>
      <c r="HG63" s="1684" t="b">
        <f>IFERROR(IF(AND(__Retrofit_TI_NC&gt;0,CQ62="Interior"),FALSE,TRUE),FALSE)</f>
        <v>1</v>
      </c>
      <c r="HH63" s="1684" t="b">
        <f>IFERROR(IF(M63=1,TRUE,FALSE),FALSE)</f>
        <v>0</v>
      </c>
      <c r="HI63" s="1684" t="b">
        <f>IFERROR(IF(OR(M64=1,N65="BAM"),TRUE,FALSE),FALSE)</f>
        <v>0</v>
      </c>
      <c r="HJ63" s="1684" t="b">
        <f>IFERROR(IF(__Retrofit_TI_NC&lt;&gt;0,TRUE,IFERROR(IF(VLOOKUP(U63,Fixtures_Existing_List,2,FALSE)&lt;&gt;"",TRUE,FALSE),FALSE)),FALSE)</f>
        <v>0</v>
      </c>
      <c r="HK63" s="1684" t="b">
        <f>IFERROR(IF(VLOOKUP(U64,Fixtures_Proposed_List,2,FALSE)&lt;&gt;"",TRUE,FALSE),FALSE)</f>
        <v>0</v>
      </c>
      <c r="HL63" s="1684" t="b">
        <f>IF(AND(__Retrofit_TI_NC=2,FC62=TRUE),FALSE,TRUE)</f>
        <v>1</v>
      </c>
      <c r="HM63" s="1684" t="b">
        <f>GK62</f>
        <v>1</v>
      </c>
      <c r="HN63" s="1682" t="b">
        <f>IF(ISERROR(MATCH(FE62,_Control_Match[],0))=TRUE,FALSE,TRUE)</f>
        <v>0</v>
      </c>
      <c r="HO63" s="1693" t="b">
        <f>IFERROR(IF(EX62&lt;&gt;EY62,FALSE,TRUE),FALSE)</f>
        <v>1</v>
      </c>
      <c r="HP63" s="1693" t="b">
        <f>IFERROR(IF(EX64&lt;&gt;EY64,FALSE,TRUE),FALSE)</f>
        <v>1</v>
      </c>
      <c r="HQ63" s="1670" t="b">
        <f>IFERROR(IF(CQ62="Exterior",TRUE,IF(AND(OR(FM64=0,FM64=3),JD64&gt;6),FALSE,TRUE)),FALSE)</f>
        <v>0</v>
      </c>
      <c r="HR63" s="1684" t="b">
        <f>IFERROR(IF(AND(FO64=7,FC62=TRUE),FALSE,TRUE),FALSE)</f>
        <v>0</v>
      </c>
      <c r="HS63" s="1684" t="b">
        <f>IFERROR(IF(AND(T64&lt;&gt;AF64,OR(AG64="Interior LLLC", AG64="Interior NLC", AG64="LLLC (outside Daylight)",AG64="LLLC Controls Only"))=TRUE,FALSE,TRUE),FALSE)</f>
        <v>1</v>
      </c>
      <c r="HT63" s="1670" t="b">
        <f>IFERROR(IF(OR(AG64=Lookup!BB$17,AG64=Lookup!BB$18,AG64=Lookup!BB$19)=TRUE,IF(AF64&gt;T64,FALSE,TRUE),TRUE),FALSE)</f>
        <v>1</v>
      </c>
      <c r="HU63" s="1684" t="b">
        <f>IFERROR(IF(__Retrofit_TI_NC=2,IF(EZ64&lt;EZ62,FALSE,TRUE),TRUE),FALSE)</f>
        <v>1</v>
      </c>
      <c r="HV63" s="1684" t="b">
        <f>IF(CQ62="Interior",IL$6,TRUE)</f>
        <v>1</v>
      </c>
      <c r="HW63" s="1684" t="b">
        <f>IF(CQ62="Exterior",IL$8,TRUE)</f>
        <v>1</v>
      </c>
      <c r="HX63" s="1684" t="b">
        <f>IFERROR(IF(__Retrofit_TI_NC&lt;&gt;0,IF(AZ62&lt;AY62,FALSE,TRUE),TRUE),FALSE)</f>
        <v>1</v>
      </c>
      <c r="HY63" s="1684" t="b">
        <f>IFERROR(IF(AND(G63="Exterior",R63&gt;4200),FALSE,TRUE),FALSE)</f>
        <v>1</v>
      </c>
      <c r="HZ63" s="1684" t="b">
        <f>IFERROR(IF(AB65/AB62&lt;HZ$18,FALSE,TRUE),FALSE)</f>
        <v>0</v>
      </c>
      <c r="IB63" s="1691"/>
      <c r="IC63" s="1695"/>
      <c r="ID63" s="1694" t="str">
        <f>VLOOKUP(IB65,_Error_Table,4,FALSE)</f>
        <v>White</v>
      </c>
      <c r="IE63" s="391"/>
      <c r="IF63" s="1688"/>
      <c r="IG63" s="1689"/>
      <c r="IH63" s="1684"/>
      <c r="IK63" s="1689"/>
      <c r="IL63" s="1691"/>
      <c r="IM63" s="1691"/>
      <c r="IN63" s="1691"/>
      <c r="IP63" s="1679"/>
      <c r="IQ63" s="1679"/>
      <c r="IR63" s="1679"/>
      <c r="IS63" s="1679"/>
      <c r="IT63" s="1679"/>
      <c r="IU63" s="1679"/>
      <c r="IV63" s="1679"/>
      <c r="IW63" s="1679"/>
      <c r="IX63" s="1679"/>
      <c r="IY63" s="1679"/>
      <c r="IZ63" s="1679"/>
      <c r="JA63" s="1679"/>
      <c r="JC63" s="1680"/>
      <c r="JD63" s="1670"/>
      <c r="JE63" s="1681"/>
      <c r="JG63" s="1680"/>
      <c r="JH63" s="1670"/>
      <c r="JI63" s="1060"/>
      <c r="JJ63" s="1683"/>
      <c r="JK63" s="1061"/>
      <c r="JL63" s="1683"/>
      <c r="JM63" s="1061"/>
      <c r="JN63" s="1683"/>
      <c r="JO63" s="1061"/>
      <c r="JP63" s="1683"/>
      <c r="JQ63" s="1061"/>
      <c r="JR63" s="1683"/>
      <c r="JS63" s="1061"/>
      <c r="JT63" s="1670"/>
      <c r="JU63" s="1061"/>
      <c r="JV63" s="1670"/>
      <c r="JX63" s="1670"/>
      <c r="JZ63" s="1683"/>
      <c r="KB63" s="1670"/>
    </row>
    <row r="64" spans="1:288" s="78" customFormat="1" ht="14.95" customHeight="1" thickTop="1" thickBot="1">
      <c r="A64" s="78">
        <f>ROW()</f>
        <v>64</v>
      </c>
      <c r="B64" s="1845"/>
      <c r="C64" s="1846"/>
      <c r="D64" s="1847"/>
      <c r="E64" s="1737" t="s">
        <v>298</v>
      </c>
      <c r="F64" s="1738"/>
      <c r="G64" s="1760"/>
      <c r="H64" s="1761"/>
      <c r="I64" s="1761"/>
      <c r="J64" s="1761"/>
      <c r="K64" s="1761"/>
      <c r="L64" s="1762"/>
      <c r="M64" s="461">
        <f>IFERROR(IF(IF(__Retrofit_TI_NC&lt;&gt;0,IF(CQ62="Interior",MATCH(G64,Lookup_Interior_New,0),MATCH(G64,Lookup_Exterior_New,0)),IF(CQ62="Interior",MATCH(G64,Lookup_Interior,0),MATCH(G64,Lookup_Exterior_Areas,0)))&gt;0,1,0),0)</f>
        <v>0</v>
      </c>
      <c r="N64" s="461" t="e">
        <f>IF(__Retrofit_TI_NC=1,
VLOOKUP(G64,'Space Table'!$B$3:$L$163,4,FALSE),
IF(__Retrofit_TI_NC=2,VLOOKUP(G64,'Space Table'!$B$3:$L$163,5,FALSE),VLOOKUP(G64,'Space Table'!$B$3:$L$163,5,FALSE)))</f>
        <v>#N/A</v>
      </c>
      <c r="O64" s="461">
        <f>G64</f>
        <v>0</v>
      </c>
      <c r="P64" s="1738" t="str">
        <f>IFERROR(IF(__Retrofit_TI_NC=1,VLOOKUP(G64,'Space Table'!$B$3:$O$163,13,FALSE),IF(__Retrofit_TI_NC=2,VLOOKUP(G64,'Space Table'!$B$3:$O$163,14,FALSE),"Area (sf):")),"Area (sf):")</f>
        <v>Area (sf):</v>
      </c>
      <c r="Q64" s="1738"/>
      <c r="R64" s="596"/>
      <c r="S64" s="1763" t="s">
        <v>345</v>
      </c>
      <c r="T64" s="594"/>
      <c r="U64" s="1801"/>
      <c r="V64" s="1802"/>
      <c r="W64" s="1802"/>
      <c r="X64" s="1802"/>
      <c r="Y64" s="1802"/>
      <c r="Z64" s="1802"/>
      <c r="AA64" s="1802"/>
      <c r="AB64" s="1802"/>
      <c r="AC64" s="1802"/>
      <c r="AD64" s="1802"/>
      <c r="AE64" s="1803"/>
      <c r="AF64" s="594"/>
      <c r="AG64" s="1787"/>
      <c r="AH64" s="1787"/>
      <c r="AI64" s="1787"/>
      <c r="AJ64" s="1787"/>
      <c r="AK64" s="1787"/>
      <c r="AL64" s="1787"/>
      <c r="AM64" s="1726">
        <f>IFERROR(DI64,"")</f>
        <v>0</v>
      </c>
      <c r="AN64" s="1728" t="str">
        <f>IFERROR(ROUND(AM64*AC65,0),"")</f>
        <v/>
      </c>
      <c r="AO64" s="1730">
        <f>IFERROR(IF(IB62=FALSE,0,AC65-AN64),0)</f>
        <v>0</v>
      </c>
      <c r="AP64" s="1780"/>
      <c r="AQ64" s="1781"/>
      <c r="AR64" s="1795"/>
      <c r="AS64" s="1795"/>
      <c r="AT64" s="1796"/>
      <c r="AU64" s="1735"/>
      <c r="AV64" s="1752"/>
      <c r="AW64" s="1705"/>
      <c r="AX64" s="467"/>
      <c r="AY64" s="1749"/>
      <c r="AZ64" s="1749"/>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696"/>
      <c r="CQ64" s="1696"/>
      <c r="CR64" s="1808" t="str">
        <f>CQ62</f>
        <v/>
      </c>
      <c r="CS64" s="1810" t="str">
        <f>CS62</f>
        <v/>
      </c>
      <c r="CU64" s="1688" t="s">
        <v>345</v>
      </c>
      <c r="CV64" s="1702">
        <f>IF(IB62=TRUE,T64,0)</f>
        <v>0</v>
      </c>
      <c r="CW64" s="1702" t="str">
        <f>IF(IB62=TRUE,U64,"")</f>
        <v/>
      </c>
      <c r="CX64" s="1812">
        <f>IF(IB62=TRUE,U65,0)</f>
        <v>0</v>
      </c>
      <c r="CY64" s="1814">
        <f>IF(IB62=TRUE,AB65,0)</f>
        <v>0</v>
      </c>
      <c r="CZ64" s="1710">
        <f>IF(AND(__Retrofit_TI_NC&gt;0,CR62="interior"),0,IF(IB62=TRUE,AC65,0))</f>
        <v>0</v>
      </c>
      <c r="DA64" s="1818"/>
      <c r="DB64" s="1820"/>
      <c r="DC64" s="1820"/>
      <c r="DD64" s="1820"/>
      <c r="DF64" s="1702">
        <f>IF(IB62=TRUE,AF64,0)</f>
        <v>0</v>
      </c>
      <c r="DG64" s="1830" t="str">
        <f>IF(IB62=TRUE,AG64,"")</f>
        <v/>
      </c>
      <c r="DH64" s="1812">
        <f>AG65</f>
        <v>0</v>
      </c>
      <c r="DI64" s="1837">
        <f>JE64</f>
        <v>0</v>
      </c>
      <c r="DJ64" s="1710">
        <f>IF(AND(__Retrofit_TI_NC&gt;0,CR62="interior"),0,IF(IB62=TRUE,AN64,0))</f>
        <v>0</v>
      </c>
      <c r="DK64" s="1712"/>
      <c r="DN64" s="1717">
        <f>IFERROR(CZ64-DJ64,0)</f>
        <v>0</v>
      </c>
      <c r="DO64" s="1709"/>
      <c r="DQ64" s="1715"/>
      <c r="DR64" s="1719" t="str">
        <f>DQ62</f>
        <v/>
      </c>
      <c r="DS64" s="1816"/>
      <c r="DT64" s="1835" t="str">
        <f>IF(OR(DS62=7,DS62=8,DS62=9),"ALC","")</f>
        <v/>
      </c>
      <c r="DU64" s="1715"/>
      <c r="DV64" s="1716"/>
      <c r="DX64" s="1715"/>
      <c r="DY64" s="1829" t="str">
        <f>DX62</f>
        <v/>
      </c>
      <c r="DZ64" s="1715"/>
      <c r="EA64" s="1715"/>
      <c r="EC64" s="1834"/>
      <c r="ED64" s="1834"/>
      <c r="EF64" s="1707"/>
      <c r="EG64" s="1712"/>
      <c r="EH64" s="1818"/>
      <c r="EI64" s="1712"/>
      <c r="EJ64" s="1712"/>
      <c r="EK64" s="1836"/>
      <c r="EL64" s="1836"/>
      <c r="EM64" s="1807"/>
      <c r="EN64" s="1839"/>
      <c r="EO64" s="1839"/>
      <c r="EP64" s="1817"/>
      <c r="EQ64" s="1817"/>
      <c r="ER64" s="1807"/>
      <c r="ES64" s="1807"/>
      <c r="ET64" s="1807"/>
      <c r="EV64" s="1715"/>
      <c r="EX64" s="1805" t="str">
        <f>IFERROR(VLOOKUP(CS64,'Space Table'!$B$3:$L$163,8,FALSE),"")</f>
        <v/>
      </c>
      <c r="EY64" s="1805" t="str">
        <f>IFERROR(IF(FB64="Yes",VLOOKUP(AG64,Lookup_Control_Type_Table2,4,FALSE),VLOOKUP(AG64,Lookup_Control_Type_Table2,3,FALSE)),"")</f>
        <v/>
      </c>
      <c r="EZ64" s="1805" t="e">
        <f>VLOOKUP(AG64,Lookup!BB$3:BC$20,2,FALSE)</f>
        <v>#N/A</v>
      </c>
      <c r="FA64" s="1805" t="e">
        <f>VLOOKUP(EX62,Lookup_Control_Type_Table,2,FALSE)</f>
        <v>#N/A</v>
      </c>
      <c r="FB64" s="1805" t="e">
        <f>VLOOKUP(CS64,'Space Table'!$B$3:$L$163,7,FALSE)</f>
        <v>#N/A</v>
      </c>
      <c r="FC64" s="1827"/>
      <c r="FE64" s="1698" t="str">
        <f>CONCATENATE(CQ62," - ",AG64)</f>
        <v xml:space="preserve"> - </v>
      </c>
      <c r="FG64" s="1816"/>
      <c r="FH64" s="1816"/>
      <c r="FI64" s="133"/>
      <c r="FL64" s="1822" t="str">
        <f>IF(CQ62="Exterior","Not Daylighted",G65)</f>
        <v>Not Daylighted</v>
      </c>
      <c r="FM64" s="1824">
        <f>VLOOKUP(FL64,_New_Daylight_Table_Codes,2,FALSE)</f>
        <v>0</v>
      </c>
      <c r="FN64" s="1698">
        <f>AG64</f>
        <v>0</v>
      </c>
      <c r="FO64" s="1698" t="e">
        <f>VLOOKUP(FN64,_Control_Table,2,FALSE)</f>
        <v>#N/A</v>
      </c>
      <c r="FP64" s="1678" t="e">
        <f>VLOOKUP(CONCATENATE(FL64," ",FN64),Lookup!AY72:AZ$102,2,FALSE)</f>
        <v>#N/A</v>
      </c>
      <c r="FQ64" s="1698">
        <f>IF(__Retrofit_TI_NC=0,FN64,IF(AND(FT64&gt;0,FN64="Occupancy Sensor"),"Daylight + Occupancy",IF(AND(FT64&gt;0,FO64&lt;4),"Interior Daylight Dimming",FN64)))</f>
        <v>0</v>
      </c>
      <c r="FS64" s="1686">
        <f>IF(CQ62="Interior",VLOOKUP(CS62,Control_Savings_Interior,5,FALSE),0)</f>
        <v>0</v>
      </c>
      <c r="FT64" s="1687">
        <f>IF(CQ64="Exterior",0,IF(FM64=2,0.5,IF(OR(FM64=1,FM64=3),1,0)))</f>
        <v>0</v>
      </c>
      <c r="FU64" s="1685">
        <f>IF(R63&gt;FS$44,(FS64*(FS$44/R63)),FS64)*FT64</f>
        <v>0</v>
      </c>
      <c r="FV64" s="1686">
        <f>DI64</f>
        <v>0</v>
      </c>
      <c r="FW64" s="1686">
        <f>ROUND(FV64+((1-FV64)*FU64),2)</f>
        <v>0</v>
      </c>
      <c r="FX64" s="1686">
        <f>IF(__Retrofit_TI_NC=2,FW64,FV64)</f>
        <v>0</v>
      </c>
      <c r="FY64" s="1697">
        <f>IF(CR64="Interior",VLOOKUP(CS64,Control_Savings_Interior,4,FALSE),0)</f>
        <v>0</v>
      </c>
      <c r="GA64" s="1696"/>
      <c r="GB64" s="1696"/>
      <c r="GC64" s="1696"/>
      <c r="GD64" s="1696"/>
      <c r="GE64" s="1696"/>
      <c r="GF64" s="1696"/>
      <c r="GG64" s="1696"/>
      <c r="GH64" s="1696"/>
      <c r="GI64" s="673" t="b">
        <f>IF(ISNUMBER(SEARCH("TLED",U64)),TRUE,FALSE)</f>
        <v>0</v>
      </c>
      <c r="GJ64" s="1135" t="str">
        <f>IFERROR(VLOOKUP(U64,Fixtures!DM$93:DR$142,6,FALSE),"")</f>
        <v/>
      </c>
      <c r="GK64" s="1832"/>
      <c r="GM64" s="1692"/>
      <c r="GN64" s="1684"/>
      <c r="GP64" s="1684"/>
      <c r="GQ64" s="1684"/>
      <c r="HG64" s="1684"/>
      <c r="HH64" s="1684"/>
      <c r="HI64" s="1684"/>
      <c r="HJ64" s="1684"/>
      <c r="HK64" s="1684"/>
      <c r="HL64" s="1684"/>
      <c r="HM64" s="1684"/>
      <c r="HN64" s="1683"/>
      <c r="HO64" s="1692"/>
      <c r="HP64" s="1692"/>
      <c r="HQ64" s="1670"/>
      <c r="HR64" s="1684"/>
      <c r="HS64" s="1684"/>
      <c r="HT64" s="1670"/>
      <c r="HU64" s="1684"/>
      <c r="HV64" s="1684"/>
      <c r="HW64" s="1684"/>
      <c r="HX64" s="1684"/>
      <c r="HY64" s="1684"/>
      <c r="HZ64" s="1684"/>
      <c r="IB64" s="1692"/>
      <c r="IC64" s="1693" t="b">
        <f>IB62</f>
        <v>0</v>
      </c>
      <c r="ID64" s="1695"/>
      <c r="IE64" s="391"/>
      <c r="IF64" s="1688"/>
      <c r="IG64" s="1689">
        <f ca="1">IF(IF62=TRUE,AC65,0)</f>
        <v>0</v>
      </c>
      <c r="IH64" s="1684"/>
      <c r="IK64" s="1689" t="e">
        <f>ROUND(T64*AB65*N63*R63/1000,0)</f>
        <v>#VALUE!</v>
      </c>
      <c r="IL64" s="1691"/>
      <c r="IM64" s="1693" t="e">
        <f>ROUND(T64*AB65*N63*R63/1000,0)</f>
        <v>#VALUE!</v>
      </c>
      <c r="IN64" s="1691"/>
      <c r="IP64" s="1679"/>
      <c r="IQ64" s="1679" t="e">
        <f t="shared" ref="IQ64:IU64" si="32">IF($CR64="interior",VLOOKUP($CS64,_New_Control_Savings_Interior,IQ$30,FALSE),VLOOKUP($CS64,Control_Savings_Exterior,IQ$30,FALSE))</f>
        <v>#N/A</v>
      </c>
      <c r="IR64" s="1679" t="e">
        <f t="shared" si="32"/>
        <v>#N/A</v>
      </c>
      <c r="IS64" s="1679" t="e">
        <f t="shared" si="32"/>
        <v>#N/A</v>
      </c>
      <c r="IT64" s="1679" t="e">
        <f t="shared" si="32"/>
        <v>#N/A</v>
      </c>
      <c r="IU64" s="1679" t="e">
        <f t="shared" si="32"/>
        <v>#N/A</v>
      </c>
      <c r="IV64" s="1679" t="e">
        <f>IF($CR64="interior",IF(R63&gt;$IP$14,ROUND(($IV$18*($IP$14/R63)),2),$IV$18),VLOOKUP($CS64,Control_Savings_Exterior,IV$30,FALSE))</f>
        <v>#N/A</v>
      </c>
      <c r="IW64" s="1679" t="e">
        <f>IF($CR64="interior",ROUND(((1-IS64)*IV64)+IS64,2),VLOOKUP($CS64,Control_Savings_Exterior,IW$30,FALSE))</f>
        <v>#N/A</v>
      </c>
      <c r="IX64" s="1679" t="e">
        <f>IF($CR64="interior",ROUND(((1-IT64)*IV64)+IT64,2),VLOOKUP($CS64,Control_Savings_Exterior,IX$30,FALSE))</f>
        <v>#N/A</v>
      </c>
      <c r="IY64" s="1679" t="e">
        <f>IF($CR64="interior",IF(R63&gt;$IP$14,ROUND(($IY$18*($IP$14/R63)),2),$IY$18),VLOOKUP($CS64,Control_Savings_Exterior,IY$30,FALSE))</f>
        <v>#N/A</v>
      </c>
      <c r="IZ64" s="1679" t="e">
        <f>IF($CR64="interior",ROUND(((1-IS64)*IY64)+IS64,2),VLOOKUP($CS64,Control_Savings_Exterior,IZ$30,FALSE))</f>
        <v>#N/A</v>
      </c>
      <c r="JA64" s="1679" t="e">
        <f>IF($CR64="interior",ROUND(((1-IT64)*IY64)+IT64,2),VLOOKUP($CS64,Control_Savings_Exterior,JA$30,FALSE))</f>
        <v>#N/A</v>
      </c>
      <c r="JC64" s="1680">
        <f>IFERROR(IF(CR64="Interior",CONCATENATE(G65," ",FQ64),AG64),"")</f>
        <v>0</v>
      </c>
      <c r="JD64" s="1670" t="str">
        <f>IFERROR(VLOOKUP(JC64,_Controls_2023,2,FALSE),"")</f>
        <v/>
      </c>
      <c r="JE64" s="1681">
        <f>IFERROR(CHOOSE(JD64-1,IQ64,IR64,IS64,IT64,IU64,IV64,IW64,IX64,IY64,IZ64,JA64),0)</f>
        <v>0</v>
      </c>
      <c r="JG64" s="1680" t="str">
        <f>FE64</f>
        <v xml:space="preserve"> - </v>
      </c>
      <c r="JH64" s="1670" t="e">
        <f>$FO64</f>
        <v>#N/A</v>
      </c>
      <c r="JI64" s="1060"/>
      <c r="JJ64" s="1670">
        <f>IFERROR(IF($IB62=TRUE,IF(OR(JJ$14="No",JJ62=FALSE,JH64&lt;=JH62,AND(_kWh_Grant=0,GD62=FALSE)),0,IF(JJ$8="Per Line",1,$AF64)),0),0)</f>
        <v>0</v>
      </c>
      <c r="JK64" s="1061"/>
      <c r="JL64" s="1670">
        <f>IFERROR(IF(_kWh_Grant=0,0,IF($IB62=TRUE,IF(OR(JL$14="No",JL62=FALSE,JH64&lt;=JH62),0,IF(JL$8="Per Line",1,$T64)),0)),0)</f>
        <v>0</v>
      </c>
      <c r="JM64" s="1061"/>
      <c r="JN64" s="1670">
        <f>IFERROR(IF(_kWh_Grant=0,0,IF($IB62=TRUE,IF(OR(JN$14="No",JN62=FALSE,JH64&lt;=JH62),0,IF(JN$8="Per Line",1,$AF64)),0)),0)</f>
        <v>0</v>
      </c>
      <c r="JO64" s="1061"/>
      <c r="JP64" s="1670">
        <f>IFERROR(IF(__Retrofit_TI_NC=0,IF(_kWh_Grant=0,0,IF($IB62=TRUE,IF(OR(JP$14="No",JP62=FALSE,$JH64&lt;=$JH62),0,IF(JP$8="Per Line",1,$AF64)),0)),IF($IB62=TRUE,IF(OR(JP$14="No",JP62=FALSE,$JH64&lt;=$JH62),0,IF(JP$8="Per Line",1,$AF64)))),0)</f>
        <v>0</v>
      </c>
      <c r="JQ64" s="1061"/>
      <c r="JR64" s="1670">
        <f>IFERROR(IF(__Retrofit_TI_NC=0,IF(_kWh_Grant=0,0,IF($IB62=TRUE,IF(OR(JR$14="No",JR62=FALSE,$JH64&lt;=$JH62),0,IF(JR$8="Per Line",1,$AF64)),0)),IF($IB62=TRUE,IF(OR(JR$14="No",JR62=FALSE,$JH64&lt;=$JH62),0,IF(JR$8="Per Line",1,$AF64)))),0)</f>
        <v>0</v>
      </c>
      <c r="JS64" s="1061"/>
      <c r="JT64" s="1670">
        <f>IFERROR(IF(__Retrofit_TI_NC=0,IF(_kWh_Grant=0,0,IF($IB62=TRUE,IF(OR(JT$14="No",JT62=FALSE,$JH64&lt;=$JH62),0,IF(JT$8="Per Line",1,$AF64)),0)),IF($IB62=TRUE,IF(OR(JT$14="No",JT62=FALSE,$JH64&lt;=$JH62),0,IF(JT$8="Per Line",1,$AF64)))),0)</f>
        <v>0</v>
      </c>
      <c r="JU64" s="1061"/>
      <c r="JV64" s="1670">
        <f>IFERROR(IF(__Retrofit_TI_NC=0,IF(_kWh_Grant=0,0,IF($IB62=TRUE,IF(OR(JV$14="No",JV62=FALSE,$JH64&lt;=$JH62),0,IF(JV$8="Per Line",1,$AF64)),0)),IF($IB62=TRUE,IF(OR(JV$14="No",JV62=FALSE,$JH64&lt;=$JH62),0,IF(JV$8="Per Line",1,$AF64)))),0)</f>
        <v>0</v>
      </c>
      <c r="JX64" s="1670">
        <f>IFERROR(IF(__Retrofit_TI_NC=0,IF(_kWh_Grant=0,0,IF($IB62=TRUE,IF(OR(JX$14="No",JX62=FALSE,$JH64&lt;=$JH62),0,IF(JX$8="Per Line",1,$AF64)),0)),IF($IB62=TRUE,IF(OR(JX$14="No",JX62=FALSE,$JH64&lt;=$JH62),0,IF(JX$8="Per Line",1,$AF64)))),0)</f>
        <v>0</v>
      </c>
      <c r="JZ64" s="1670">
        <f>IFERROR(IF($IB62=TRUE,IF(OR(JZ$14="No",JZ62=FALSE,$JH64&lt;=$JH62,AND(_kWh_Grant=0,$GD62=FALSE)),0,IF(JZ$8="Per Line",1,$AF64)),0),0)</f>
        <v>0</v>
      </c>
      <c r="KB64" s="1670">
        <f>IFERROR(IF(__Retrofit_TI_NC=0,IF(_kWh_Grant=0,0,IF($IB62=TRUE,IF(OR(KB$14="No",KB62=FALSE,$JH64&lt;=$JH62),0,IF(KB$8="Per Line",1,$AF64)),0)),IF($IB62=TRUE,IF(OR(KB$14="No",KB62=FALSE,$JH64&lt;=$JH62),0,IF(KB$8="Per Line",1,$AF64)))),0)</f>
        <v>0</v>
      </c>
    </row>
    <row r="65" spans="1:288" s="78" customFormat="1" ht="14.95" customHeight="1" thickTop="1" thickBot="1">
      <c r="B65" s="1845"/>
      <c r="C65" s="1846"/>
      <c r="D65" s="1847"/>
      <c r="E65" s="1771" t="s">
        <v>436</v>
      </c>
      <c r="F65" s="1772"/>
      <c r="G65" s="1784" t="s">
        <v>437</v>
      </c>
      <c r="H65" s="1785"/>
      <c r="I65" s="1785"/>
      <c r="J65" s="1785"/>
      <c r="K65" s="1785"/>
      <c r="L65" s="1786"/>
      <c r="M65" s="591">
        <f>IFERROR(VLOOKUP(G65,_Daylight_Table[],2,FALSE),0)</f>
        <v>0</v>
      </c>
      <c r="N65" s="592" t="str">
        <f>IF(AND(__Retrofit_TI_NC&gt;0,CQ62="Interior"),"BAM","")</f>
        <v/>
      </c>
      <c r="O65" s="591" t="e">
        <f>VLOOKUP(G64,'Space Table'!$B$3:$L$163,11,FALSE)</f>
        <v>#N/A</v>
      </c>
      <c r="P65" s="1789"/>
      <c r="Q65" s="1790"/>
      <c r="R65" s="1790"/>
      <c r="S65" s="1788"/>
      <c r="T65" s="593" t="s">
        <v>342</v>
      </c>
      <c r="U65" s="1756" t="str" cm="1">
        <f t="array" aca="1" ref="U65" ca="1">IFERROR(VLOOKUP(INDIRECT("U" &amp; ROW()-1),Fixtures!DM$93:DP$142,4,FALSE),"")</f>
        <v/>
      </c>
      <c r="V65" s="1757"/>
      <c r="W65" s="1757"/>
      <c r="X65" s="1757"/>
      <c r="Y65" s="1757"/>
      <c r="Z65" s="1757"/>
      <c r="AA65" s="1758"/>
      <c r="AB65" s="939" t="str">
        <f>IFERROR(VLOOKUP(U64,Fixtures_Proposed_List,2,FALSE),"")</f>
        <v/>
      </c>
      <c r="AC65" s="933" t="str">
        <f>IFERROR(ROUND(T64*AB65*N63*R63/1000,0),"")</f>
        <v/>
      </c>
      <c r="AD65" s="934" t="str">
        <f>IFERROR(ROUND(T64*AB65/1000,2),"")</f>
        <v/>
      </c>
      <c r="AE65" s="998"/>
      <c r="AF65" s="938" t="s">
        <v>342</v>
      </c>
      <c r="AG65" s="1770"/>
      <c r="AH65" s="1770"/>
      <c r="AI65" s="1770"/>
      <c r="AJ65" s="1770"/>
      <c r="AK65" s="1770"/>
      <c r="AL65" s="1770"/>
      <c r="AM65" s="1727"/>
      <c r="AN65" s="1729"/>
      <c r="AO65" s="1731"/>
      <c r="AP65" s="1782"/>
      <c r="AQ65" s="1783"/>
      <c r="AR65" s="1797"/>
      <c r="AS65" s="1797"/>
      <c r="AT65" s="1798"/>
      <c r="AU65" s="1736"/>
      <c r="AV65" s="1753"/>
      <c r="AW65" s="1706"/>
      <c r="AX65" s="468"/>
      <c r="AY65" s="1750"/>
      <c r="AZ65" s="1750"/>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696"/>
      <c r="CQ65" s="1696"/>
      <c r="CR65" s="1809"/>
      <c r="CS65" s="1811"/>
      <c r="CU65" s="1688"/>
      <c r="CV65" s="1703"/>
      <c r="CW65" s="1703"/>
      <c r="CX65" s="1813"/>
      <c r="CY65" s="1815"/>
      <c r="CZ65" s="1711"/>
      <c r="DA65" s="1815"/>
      <c r="DB65" s="1821"/>
      <c r="DC65" s="1821"/>
      <c r="DD65" s="1821"/>
      <c r="DF65" s="1703"/>
      <c r="DG65" s="1831"/>
      <c r="DH65" s="1813"/>
      <c r="DI65" s="1838"/>
      <c r="DJ65" s="1711"/>
      <c r="DK65" s="1712"/>
      <c r="DN65" s="1718"/>
      <c r="DO65" s="1709"/>
      <c r="DQ65" s="1715"/>
      <c r="DR65" s="1720"/>
      <c r="DS65" s="1703"/>
      <c r="DT65" s="1714"/>
      <c r="DU65" s="1715"/>
      <c r="DV65" s="1716"/>
      <c r="DX65" s="1715"/>
      <c r="DY65" s="1720"/>
      <c r="DZ65" s="1715"/>
      <c r="EA65" s="1715"/>
      <c r="EC65" s="1834"/>
      <c r="ED65" s="1834"/>
      <c r="EF65" s="1707"/>
      <c r="EG65" s="1712"/>
      <c r="EH65" s="1815"/>
      <c r="EI65" s="1712"/>
      <c r="EJ65" s="1712"/>
      <c r="EK65" s="1813"/>
      <c r="EL65" s="1813"/>
      <c r="EM65" s="1807"/>
      <c r="EN65" s="1839"/>
      <c r="EO65" s="1839"/>
      <c r="EP65" s="1817"/>
      <c r="EQ65" s="1817"/>
      <c r="ER65" s="1807"/>
      <c r="ES65" s="1807"/>
      <c r="ET65" s="1807"/>
      <c r="EV65" s="1715"/>
      <c r="EX65" s="1806"/>
      <c r="EY65" s="1806"/>
      <c r="EZ65" s="1806"/>
      <c r="FA65" s="1806"/>
      <c r="FB65" s="1806"/>
      <c r="FC65" s="1828"/>
      <c r="FE65" s="1698"/>
      <c r="FG65" s="1703"/>
      <c r="FH65" s="1703"/>
      <c r="FI65" s="133"/>
      <c r="FL65" s="1823"/>
      <c r="FM65" s="1825"/>
      <c r="FN65" s="1698"/>
      <c r="FO65" s="1698"/>
      <c r="FP65" s="1678"/>
      <c r="FQ65" s="1698"/>
      <c r="FS65" s="1687"/>
      <c r="FT65" s="1687"/>
      <c r="FU65" s="1685"/>
      <c r="FV65" s="1687"/>
      <c r="FW65" s="1687"/>
      <c r="FX65" s="1687"/>
      <c r="FY65" s="1697"/>
      <c r="GA65" s="1696"/>
      <c r="GB65" s="1696"/>
      <c r="GC65" s="1696"/>
      <c r="GD65" s="1696"/>
      <c r="GE65" s="1696"/>
      <c r="GF65" s="1696"/>
      <c r="GG65" s="1696"/>
      <c r="GH65" s="1696"/>
      <c r="GI65" s="673"/>
      <c r="GJ65" s="1135"/>
      <c r="GK65" s="1832"/>
      <c r="GN65" s="674">
        <f>IF(GN63=TRUE,0,GN$16)</f>
        <v>0</v>
      </c>
      <c r="GP65" s="674">
        <f>IF(GP63=TRUE,0,GP$16)</f>
        <v>36</v>
      </c>
      <c r="GQ65" s="674">
        <f ca="1">IF(GQ63=TRUE,0,GQ$16)</f>
        <v>35</v>
      </c>
      <c r="GR65" s="391"/>
      <c r="GS65" s="391"/>
      <c r="GT65" s="391"/>
      <c r="GU65" s="391"/>
      <c r="GV65" s="391"/>
      <c r="HG65" s="674">
        <f>IF(HG63=TRUE,0,HG$16)</f>
        <v>0</v>
      </c>
      <c r="HH65" s="674">
        <f t="shared" ref="HH65:HM65" si="33">IF(HH63=TRUE,0,HH$16)</f>
        <v>19</v>
      </c>
      <c r="HI65" s="674">
        <f t="shared" si="33"/>
        <v>18</v>
      </c>
      <c r="HJ65" s="674">
        <f t="shared" si="33"/>
        <v>17</v>
      </c>
      <c r="HK65" s="674">
        <f t="shared" si="33"/>
        <v>16</v>
      </c>
      <c r="HL65" s="674">
        <f t="shared" si="33"/>
        <v>0</v>
      </c>
      <c r="HM65" s="674">
        <f t="shared" si="33"/>
        <v>0</v>
      </c>
      <c r="HN65" s="674">
        <f>IF(HN63=TRUE,0,HN$16)</f>
        <v>13</v>
      </c>
      <c r="HO65" s="674">
        <f t="shared" ref="HO65:HQ65" si="34">IF(HO63=TRUE,0,HO$16)</f>
        <v>0</v>
      </c>
      <c r="HP65" s="674">
        <f t="shared" si="34"/>
        <v>0</v>
      </c>
      <c r="HQ65" s="674">
        <f t="shared" si="34"/>
        <v>10</v>
      </c>
      <c r="HR65" s="674">
        <f>IF(HR63=TRUE,0,HR$16)</f>
        <v>9</v>
      </c>
      <c r="HS65" s="674">
        <f t="shared" ref="HS65:HW65" si="35">IF(HS63=TRUE,0,HS$16)</f>
        <v>0</v>
      </c>
      <c r="HT65" s="674">
        <f t="shared" si="35"/>
        <v>0</v>
      </c>
      <c r="HU65" s="674">
        <f t="shared" si="35"/>
        <v>0</v>
      </c>
      <c r="HV65" s="674">
        <f t="shared" si="35"/>
        <v>0</v>
      </c>
      <c r="HW65" s="674">
        <f t="shared" si="35"/>
        <v>0</v>
      </c>
      <c r="HX65" s="674">
        <f>IF(HX63=TRUE,0,HX$16)</f>
        <v>0</v>
      </c>
      <c r="HY65" s="674">
        <f>IF(HY63=TRUE,0,HY$16)</f>
        <v>0</v>
      </c>
      <c r="HZ65" s="674">
        <f>IF(HZ63=TRUE,0,HZ$16)</f>
        <v>1</v>
      </c>
      <c r="IB65" s="674">
        <f>IF(GP63=FALSE,GP65,IF(GQ63=FALSE,GQ65,MAX(GN65:HZ65)))</f>
        <v>36</v>
      </c>
      <c r="IC65" s="1692"/>
      <c r="ID65" s="205" t="str">
        <f>VLOOKUP(IB65,_Error_Table,3,FALSE)</f>
        <v xml:space="preserve"> </v>
      </c>
      <c r="IE65" s="205"/>
      <c r="IF65" s="1688"/>
      <c r="IG65" s="1689"/>
      <c r="IH65" s="1684"/>
      <c r="IK65" s="1689"/>
      <c r="IL65" s="1692"/>
      <c r="IM65" s="1692"/>
      <c r="IN65" s="1692"/>
      <c r="IP65" s="1679"/>
      <c r="IQ65" s="1679"/>
      <c r="IR65" s="1679"/>
      <c r="IS65" s="1679"/>
      <c r="IT65" s="1679"/>
      <c r="IU65" s="1679"/>
      <c r="IV65" s="1679"/>
      <c r="IW65" s="1679"/>
      <c r="IX65" s="1679"/>
      <c r="IY65" s="1679"/>
      <c r="IZ65" s="1679"/>
      <c r="JA65" s="1679"/>
      <c r="JC65" s="1680"/>
      <c r="JD65" s="1670"/>
      <c r="JE65" s="1681"/>
      <c r="JG65" s="1680"/>
      <c r="JH65" s="1670"/>
      <c r="JI65" s="1060"/>
      <c r="JJ65" s="1670"/>
      <c r="JK65" s="1061"/>
      <c r="JL65" s="1670"/>
      <c r="JM65" s="1061"/>
      <c r="JN65" s="1670"/>
      <c r="JO65" s="1061"/>
      <c r="JP65" s="1670"/>
      <c r="JQ65" s="1061"/>
      <c r="JR65" s="1670"/>
      <c r="JS65" s="1061"/>
      <c r="JT65" s="1670"/>
      <c r="JU65" s="1061"/>
      <c r="JV65" s="1670"/>
      <c r="JX65" s="1670"/>
      <c r="JZ65" s="1670"/>
      <c r="KB65" s="1670"/>
    </row>
    <row r="66" spans="1:288" s="78" customFormat="1" ht="5.0999999999999996" customHeight="1">
      <c r="B66" s="675"/>
      <c r="C66" s="392"/>
      <c r="D66" s="392"/>
      <c r="E66" s="1733"/>
      <c r="F66" s="1733"/>
      <c r="G66" s="1733"/>
      <c r="H66" s="1733"/>
      <c r="I66" s="1733"/>
      <c r="J66" s="1733"/>
      <c r="K66" s="1733"/>
      <c r="L66" s="1733"/>
      <c r="M66" s="1733"/>
      <c r="N66" s="1733"/>
      <c r="O66" s="1733"/>
      <c r="P66" s="1733"/>
      <c r="Q66" s="1733"/>
      <c r="R66" s="1733"/>
      <c r="S66" s="1733"/>
      <c r="T66" s="1733"/>
      <c r="U66" s="1733"/>
      <c r="V66" s="1733"/>
      <c r="W66" s="1733"/>
      <c r="X66" s="1733"/>
      <c r="Y66" s="1733"/>
      <c r="Z66" s="1733"/>
      <c r="AA66" s="1733"/>
      <c r="AB66" s="1733"/>
      <c r="AC66" s="1733"/>
      <c r="AD66" s="1733"/>
      <c r="AE66" s="1733"/>
      <c r="AF66" s="1733"/>
      <c r="AG66" s="1733"/>
      <c r="AH66" s="1733"/>
      <c r="AI66" s="1733"/>
      <c r="AJ66" s="1733"/>
      <c r="AK66" s="1733"/>
      <c r="AL66" s="1733"/>
      <c r="AM66" s="1733"/>
      <c r="AN66" s="1733"/>
      <c r="AO66" s="1733"/>
      <c r="AP66" s="1733"/>
      <c r="AQ66" s="1733"/>
      <c r="AR66" s="1733"/>
      <c r="AS66" s="1733"/>
      <c r="AT66" s="1733"/>
      <c r="AU66" s="1733"/>
      <c r="AV66" s="1733"/>
      <c r="AW66" s="1733"/>
      <c r="AX66" s="469"/>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663"/>
      <c r="CQ66" s="663"/>
      <c r="CR66" s="438"/>
      <c r="CS66" s="663"/>
      <c r="CV66" s="391"/>
      <c r="CW66" s="391"/>
      <c r="CX66" s="207"/>
      <c r="CY66" s="208"/>
      <c r="CZ66" s="208"/>
      <c r="DA66" s="208"/>
      <c r="DB66" s="209"/>
      <c r="DC66" s="209"/>
      <c r="DD66" s="209"/>
      <c r="DF66" s="664"/>
      <c r="DG66" s="665"/>
      <c r="DH66" s="666"/>
      <c r="DI66" s="667"/>
      <c r="DJ66" s="668"/>
      <c r="DK66" s="668"/>
      <c r="DN66" s="208"/>
      <c r="DO66" s="664"/>
      <c r="DQ66" s="664"/>
      <c r="DR66" s="669"/>
      <c r="DS66" s="391"/>
      <c r="DT66" s="664"/>
      <c r="DU66" s="664"/>
      <c r="DV66" s="664"/>
      <c r="DX66" s="664"/>
      <c r="DY66" s="664"/>
      <c r="DZ66" s="664"/>
      <c r="EA66" s="664"/>
      <c r="EC66" s="670"/>
      <c r="ED66" s="670"/>
      <c r="EF66" s="668"/>
      <c r="EG66" s="668"/>
      <c r="EH66" s="208"/>
      <c r="EI66" s="668"/>
      <c r="EJ66" s="668"/>
      <c r="EK66" s="207"/>
      <c r="EL66" s="207"/>
      <c r="EM66" s="666"/>
      <c r="EN66" s="671"/>
      <c r="EO66" s="671"/>
      <c r="EP66" s="672"/>
      <c r="EQ66" s="672"/>
      <c r="ER66" s="666"/>
      <c r="ES66" s="666"/>
      <c r="ET66" s="666"/>
      <c r="EV66" s="664"/>
      <c r="EX66" s="391"/>
      <c r="EY66" s="391"/>
      <c r="EZ66" s="391"/>
      <c r="FA66" s="391"/>
      <c r="FB66" s="391"/>
      <c r="FC66" s="391"/>
      <c r="FE66" s="569"/>
      <c r="FG66" s="391"/>
      <c r="FH66" s="391"/>
      <c r="FI66" s="391"/>
      <c r="FS66" s="664"/>
      <c r="FT66" s="391"/>
      <c r="FU66" s="391"/>
      <c r="FV66" s="664"/>
      <c r="FW66" s="664"/>
      <c r="GA66" s="663"/>
      <c r="GB66" s="663"/>
      <c r="GC66" s="663"/>
      <c r="GD66" s="663"/>
      <c r="GE66" s="663"/>
      <c r="GF66" s="663"/>
      <c r="GG66" s="663"/>
      <c r="GH66" s="663"/>
      <c r="GI66" s="665"/>
      <c r="GJ66" s="664"/>
      <c r="GK66" s="664"/>
      <c r="JG66" s="1061"/>
      <c r="JH66" s="1061"/>
      <c r="JI66" s="1061"/>
      <c r="JJ66" s="1061"/>
      <c r="JK66" s="1061"/>
      <c r="JL66" s="1061"/>
      <c r="JM66" s="1061"/>
      <c r="JN66" s="1061"/>
      <c r="JO66" s="1061"/>
      <c r="JP66" s="1061"/>
      <c r="JQ66" s="1061"/>
      <c r="JR66" s="1061"/>
      <c r="JS66" s="1061"/>
      <c r="JT66" s="1061"/>
      <c r="JU66" s="1061"/>
      <c r="JV66" s="1061"/>
      <c r="KB66" s="1061"/>
    </row>
    <row r="67" spans="1:288" s="78" customFormat="1" ht="14.95" customHeight="1">
      <c r="B67" s="1845" t="str">
        <f>ID70</f>
        <v xml:space="preserve"> </v>
      </c>
      <c r="C67" s="1846">
        <f>C62+1</f>
        <v>5</v>
      </c>
      <c r="D67" s="1847"/>
      <c r="E67" s="1799" t="s">
        <v>295</v>
      </c>
      <c r="F67" s="1800"/>
      <c r="G67" s="1741"/>
      <c r="H67" s="1742"/>
      <c r="I67" s="1742"/>
      <c r="J67" s="1742"/>
      <c r="K67" s="1742"/>
      <c r="L67" s="1742"/>
      <c r="M67" s="1742"/>
      <c r="N67" s="1742"/>
      <c r="O67" s="1742"/>
      <c r="P67" s="1742"/>
      <c r="Q67" s="1742"/>
      <c r="R67" s="1742"/>
      <c r="S67" s="1791" t="s">
        <v>344</v>
      </c>
      <c r="T67" s="590"/>
      <c r="U67" s="1743"/>
      <c r="V67" s="1744"/>
      <c r="W67" s="1744"/>
      <c r="X67" s="1744"/>
      <c r="Y67" s="1744"/>
      <c r="Z67" s="1744"/>
      <c r="AA67" s="1744"/>
      <c r="AB67" s="961" t="str">
        <f>IFERROR(IF(__Retrofit_TI_NC=0,VLOOKUP(U68,Fixtures_Existing_List,2,FALSE),ROUND(N69*R69/T69,10)),"")</f>
        <v/>
      </c>
      <c r="AC67" s="935" t="str">
        <f>IFERROR(IF(__Retrofit_TI_NC=0,ROUND(T68*AB67*N68*R68/1000,0),IF(CQ67="Interior",N69*R69*R68*N68*_C406_reduction/1000,N69*R69*R68*N68/1000)),"")</f>
        <v/>
      </c>
      <c r="AD67" s="936" t="str">
        <f>IFERROR(IF(C$43=0,ROUND(T68*AB67/1000,2),N69*R69/1000),"")</f>
        <v/>
      </c>
      <c r="AE67" s="997"/>
      <c r="AF67" s="937"/>
      <c r="AG67" s="1745" t="str">
        <f>IF(__Retrofit_TI_NC=0," Control","Select Advanced Control for New System")</f>
        <v xml:space="preserve"> Control</v>
      </c>
      <c r="AH67" s="1745"/>
      <c r="AI67" s="1745"/>
      <c r="AJ67" s="1745"/>
      <c r="AK67" s="1745"/>
      <c r="AL67" s="1745"/>
      <c r="AM67" s="1746">
        <f>IFERROR(DI67,"")</f>
        <v>0</v>
      </c>
      <c r="AN67" s="1774" t="str">
        <f>IFERROR(ROUND(AM67*AC67,0),"")</f>
        <v/>
      </c>
      <c r="AO67" s="1776">
        <f>IFERROR(IF(IB67=FALSE,0,AC67-AN67),0)</f>
        <v>0</v>
      </c>
      <c r="AP67" s="1778">
        <f>AO67-AO69</f>
        <v>0</v>
      </c>
      <c r="AQ67" s="1779"/>
      <c r="AR67" s="1793">
        <f>IFERROR(IF(IB67=FALSE,0,(T69*U70)+(AF69*AG70)),0)</f>
        <v>0</v>
      </c>
      <c r="AS67" s="1793"/>
      <c r="AT67" s="1794"/>
      <c r="AU67" s="1734" t="s">
        <v>237</v>
      </c>
      <c r="AV67" s="1751">
        <f>IF(AU67="Yes",1,0)</f>
        <v>1</v>
      </c>
      <c r="AW67" s="1704" t="str">
        <f>IF(OR(DQ67=4,DQ67=5,DQ67=6,DQ67=12),CONCATENATE("$",IF(GH67=TRUE,Lookup!$K$10,Lookup!$K$2)," /lamp"),CONCATENATE(TEXT(ED67,"$0.00"),"/ kWh"))</f>
        <v>$0.00/ kWh</v>
      </c>
      <c r="AX67" s="467"/>
      <c r="AY67" s="1748">
        <f ca="1">IFERROR(IF(GM68=TRUE,(AB70*T69)/R69,0),"NA")</f>
        <v>0</v>
      </c>
      <c r="AZ67" s="1748"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696" t="str">
        <f>N68</f>
        <v/>
      </c>
      <c r="CQ67" s="1696" t="str">
        <f>IFERROR(VLOOKUP(G68,_Lookup_Heat_Type_Table_New,3,FALSE),"")</f>
        <v/>
      </c>
      <c r="CR67" s="1808" t="str">
        <f>CQ67</f>
        <v/>
      </c>
      <c r="CS67" s="1810" t="str">
        <f>IFERROR(VLOOKUP(G69,'Space Table'!$B$3:$L$163,9,FALSE),"")</f>
        <v/>
      </c>
      <c r="CU67" s="1688" t="s">
        <v>344</v>
      </c>
      <c r="CV67" s="1702">
        <f>IF(IB67=TRUE,T68,0)</f>
        <v>0</v>
      </c>
      <c r="CW67" s="1702" t="str">
        <f>IF(IB67=TRUE,U68,"")</f>
        <v/>
      </c>
      <c r="CX67" s="1702"/>
      <c r="CY67" s="1814">
        <f>IF(IB67=TRUE,AB67,0)</f>
        <v>0</v>
      </c>
      <c r="CZ67" s="1710">
        <f>IF(AND(__Retrofit_TI_NC&gt;0,CR67="interior"),0,IF(IB67=TRUE,AC67,0))</f>
        <v>0</v>
      </c>
      <c r="DA67" s="1814">
        <f>IFERROR(IF(IB67=TRUE,CZ67-CZ69,0),0)</f>
        <v>0</v>
      </c>
      <c r="DB67" s="1819">
        <f>IF(IB67=TRUE,AD67,0)</f>
        <v>0</v>
      </c>
      <c r="DC67" s="1819">
        <f>IF(IB67=TRUE,AD70,0)</f>
        <v>0</v>
      </c>
      <c r="DD67" s="1819">
        <f>IFERROR(DB67-DC67,0)</f>
        <v>0</v>
      </c>
      <c r="DF67" s="1702">
        <f>IF(IB67=TRUE,AF68,0)</f>
        <v>0</v>
      </c>
      <c r="DG67" s="1830">
        <f>IFERROR(IF(__Retrofit_TI_NC=2,IF(CQ67="Exterior",O70,FQ67),FN67),"")</f>
        <v>0</v>
      </c>
      <c r="DH67" s="1702"/>
      <c r="DI67" s="1837">
        <f>JE67</f>
        <v>0</v>
      </c>
      <c r="DJ67" s="1710">
        <f>IF(AND(__Retrofit_TI_NC&gt;0,CR67="interior"),0,IF(IB67=TRUE,AN67,0))</f>
        <v>0</v>
      </c>
      <c r="DK67" s="1712">
        <f>IFERROR(IF(IB67=TRUE,DJ69-DJ67,0),0)</f>
        <v>0</v>
      </c>
      <c r="DM67" s="1717">
        <f>IFERROR(CZ67-DJ67,0)</f>
        <v>0</v>
      </c>
      <c r="DO67" s="1708">
        <f>DM67-DN69</f>
        <v>0</v>
      </c>
      <c r="DQ67" s="1715" t="str">
        <f>IFERROR(IF(AND(OR(GC67=4,GC67=5,GC67=6),OR(GF67=4,GF67=5,GF67=6)),GC67+8,VLOOKUP(CW69,Fixtures!R$31:Y$78,8,FALSE)),"")</f>
        <v/>
      </c>
      <c r="DR67" s="1829" t="str">
        <f>DQ67</f>
        <v/>
      </c>
      <c r="DS67" s="1702" t="str">
        <f>IFERROR(VLOOKUP(DG69,Lookup!BB$3:BC$20,2,FALSE),"")</f>
        <v/>
      </c>
      <c r="DT67" s="1713" t="str">
        <f>IF(OR(DS67=7,DS67=8,DS67=9),"ALC","")</f>
        <v/>
      </c>
      <c r="DU67" s="1715">
        <f>IFERROR(IF(OR(DQ67=4,DQ67=5,DQ67=6,DQ67=12,DQ67=13,DQ67=14),VLOOKUP(CW69,Fixtures!DN$27:EG$77,19,FALSE),1)*CV69,0)</f>
        <v>0</v>
      </c>
      <c r="DV67" s="1716">
        <f>IF(OR(DS67=7,DS67=8,DS67=9),IF(DG67=DG69,0,DF69),0)</f>
        <v>0</v>
      </c>
      <c r="DX67" s="1715" t="str">
        <f>IFERROR(IF(EZ67&lt;EZ69,"Yes","No"),"")</f>
        <v/>
      </c>
      <c r="DY67" s="1829" t="str">
        <f>DX67</f>
        <v/>
      </c>
      <c r="DZ67" s="1715">
        <f>IF(DX67="Yes",DF69,0)</f>
        <v>0</v>
      </c>
      <c r="EA67" s="1715">
        <f>DZ67-DV67</f>
        <v>0</v>
      </c>
      <c r="EC67" s="1834">
        <f>IFERROR(VLOOKUP(DQ67,Lookup!AU$3:AV$16,2,FALSE),0)</f>
        <v>0</v>
      </c>
      <c r="ED67" s="1834">
        <f>IF(IB67=FALSE,0,IF(DX67="Yes",EC67+Lookup!K$6,EC67))</f>
        <v>0</v>
      </c>
      <c r="EF67" s="1707">
        <f>IF(IB67=TRUE,DM67,0)</f>
        <v>0</v>
      </c>
      <c r="EG67" s="1712">
        <f>IF(IB67=TRUE,CZ69,0)</f>
        <v>0</v>
      </c>
      <c r="EH67" s="1814">
        <f>IFERROR(EF67-EG67,0)</f>
        <v>0</v>
      </c>
      <c r="EI67" s="1712">
        <f>IF(IB67=TRUE,DJ69,0)</f>
        <v>0</v>
      </c>
      <c r="EJ67" s="1712">
        <f>IFERROR(EF67-EG67+EI67,0)</f>
        <v>0</v>
      </c>
      <c r="EK67" s="1812">
        <f>IF(IB67=TRUE,CV69*CX69,0)</f>
        <v>0</v>
      </c>
      <c r="EL67" s="1812">
        <f>IF(IB67=TRUE,DF69*DH69,0)</f>
        <v>0</v>
      </c>
      <c r="EM67" s="1807">
        <f>AR67</f>
        <v>0</v>
      </c>
      <c r="EN67" s="1839" t="str">
        <f>IFERROR(IF(IB67=TRUE,VLOOKUP(DQ67,Lookup!AU$3:AW$16,3,FALSE)*DU67,""),0)</f>
        <v/>
      </c>
      <c r="EO67" s="1839">
        <f>IF(IB67=TRUE,DZ67*Lookup!AW$12,0)</f>
        <v>0</v>
      </c>
      <c r="EP67" s="1817">
        <f>IFERROR(IF(IB67=TRUE,EN67/EP$40,0),0)</f>
        <v>0</v>
      </c>
      <c r="EQ67" s="1817">
        <f>IF(IB67=TRUE,EO67/EQ$40,0)</f>
        <v>0</v>
      </c>
      <c r="ER67" s="1807">
        <f>IF(IB67=TRUE,ET$40*EP67,0)</f>
        <v>0</v>
      </c>
      <c r="ES67" s="1807">
        <f>IF(IB67=TRUE,ET$40*EQ67,0)</f>
        <v>0</v>
      </c>
      <c r="ET67" s="1807">
        <f>ER67+ES67</f>
        <v>0</v>
      </c>
      <c r="EV67" s="1715">
        <f>IF(G67="",0,1)</f>
        <v>0</v>
      </c>
      <c r="EX67" s="1804" t="str">
        <f>IFERROR(VLOOKUP(CS69,'Space Table'!$B$3:$L$163,8,FALSE),"")</f>
        <v/>
      </c>
      <c r="EY67" s="1804" t="str">
        <f>IFERROR(IF(FB67="Yes",VLOOKUP(DG67,Lookup_Control_Type_Table2,4,FALSE),VLOOKUP(DG67,Lookup_Control_Type_Table2,3,FALSE)),"")</f>
        <v/>
      </c>
      <c r="EZ67" s="1804" t="e">
        <f>VLOOKUP(DG67,Lookup!BB$3:BC$20,2,FALSE)</f>
        <v>#N/A</v>
      </c>
      <c r="FA67" s="1804" t="e">
        <f>VLOOKUP(EX67,Lookup_Control_Type_Table,2,FALSE)</f>
        <v>#N/A</v>
      </c>
      <c r="FB67" s="1804" t="e">
        <f>VLOOKUP(CS69,'Space Table'!$B$3:$L$163,7,FALSE)</f>
        <v>#N/A</v>
      </c>
      <c r="FC67" s="1826" t="b">
        <f>ISNUMBER(SEARCH("TLED",U69))</f>
        <v>0</v>
      </c>
      <c r="FE67" s="1698" t="str">
        <f>CONCATENATE(CQ67," - ",DG67)</f>
        <v xml:space="preserve"> - 0</v>
      </c>
      <c r="FG67" s="1702" t="str">
        <f>VLOOKUP(CW69,Fixtures!DN$27:EZ$77,38,FALSE)</f>
        <v/>
      </c>
      <c r="FH67" s="1702">
        <f>IFERROR(FG67*EH67,0)</f>
        <v>0</v>
      </c>
      <c r="FI67" s="133"/>
      <c r="FL67" s="1822" t="str">
        <f>IF(CQ67="Exterior","Not Daylighted",G70)</f>
        <v>Not Daylighted</v>
      </c>
      <c r="FM67" s="1824">
        <f>VLOOKUP(FL67,_New_Daylight_Table_Codes,2,FALSE)</f>
        <v>0</v>
      </c>
      <c r="FN67" s="1698">
        <f>IF(__Retrofit_TI_NC&gt;0,VLOOKUP(G69,'Space Table'!$B$3:$L$163,11,FALSE),AG68)</f>
        <v>0</v>
      </c>
      <c r="FO67" s="1698" t="e">
        <f>IF(__Retrofit_TI_NC=2,VLOOKUP(FQ67,_Control_Table,2,FALSE),VLOOKUP(FN67,_Control_Table,2,FALSE))</f>
        <v>#N/A</v>
      </c>
      <c r="FP67" s="1678" t="e">
        <f>VLOOKUP(CONCATENATE(FL67," ",FN67),Lookup!AY74:AZ$102,2,FALSE)</f>
        <v>#N/A</v>
      </c>
      <c r="FQ67" s="1678">
        <f>IF(__Retrofit_TI_NC=0,FN67,IF(AND(FT67&gt;0,FN67="Occupancy Sensor"),"Daylight + Occupancy",IF(AND(FT67&gt;0,VLOOKUP(FN67,_Control_Table,2,FALSE)&lt;4),"Interior Daylight Dimming",FN67)))</f>
        <v>0</v>
      </c>
      <c r="FS67" s="1686">
        <f>IF(CR67="Interior",VLOOKUP(CS67,Control_Savings_Interior,5,FALSE),0)</f>
        <v>0</v>
      </c>
      <c r="FT67" s="1687">
        <f>IF(CQ67="Exterior",0,IF(FM67=2,0.5,IF(OR(FM67=1,FM67=3),1,0)))</f>
        <v>0</v>
      </c>
      <c r="FU67" s="1685">
        <f>IF(R66&gt;FS$44,(FS67*(FS$44/R66)),FS67)*FT67</f>
        <v>0</v>
      </c>
      <c r="FV67" s="1686">
        <f>DI67</f>
        <v>0</v>
      </c>
      <c r="FW67" s="1686">
        <f>ROUND(FV67+((1-FV67)*FU67),2)</f>
        <v>0</v>
      </c>
      <c r="FX67" s="1686">
        <f>IF(__Retrofit_TI_NC=2,FW67,FV67)</f>
        <v>0</v>
      </c>
      <c r="FY67" s="1697"/>
      <c r="GA67" s="1696" t="str">
        <f>IFERROR(VLOOKUP(U68,_Exist_Fixture_Table,3,FALSE),"")</f>
        <v/>
      </c>
      <c r="GB67" s="1696" t="str">
        <f>VLOOKUP(CW67,_Exist_Fixture_Table,4,FALSE)</f>
        <v/>
      </c>
      <c r="GC67" s="1696">
        <f>IFERROR(VLOOKUP(GB67,Lookup!AT$6:AU$8,2,FALSE),0)</f>
        <v>0</v>
      </c>
      <c r="GD67" s="1696" t="b">
        <f>IFERROR(IF(OR(GF67=4,GF67=5,GF67=6),TRUE,FALSE),"")</f>
        <v>0</v>
      </c>
      <c r="GE67" s="1696" t="str">
        <f>IFERROR(VLOOKUP(GF67,GC$6:GD$10,2,FALSE),"")</f>
        <v/>
      </c>
      <c r="GF67" s="1696" t="str">
        <f>VLOOKUP(CW69,Fixtures!R$31:Y$78,8,FALSE)</f>
        <v/>
      </c>
      <c r="GG67" s="1696">
        <f>IF(AND(GA67=TRUE,GD67=TRUE,OR(DQ67=12,DQ67=13,DQ67=14)),GC67+8,0)</f>
        <v>0</v>
      </c>
      <c r="GH67" s="1696" t="b">
        <f>IF(OR(GG67=12,GG67=13,GG67=14),TRUE,FALSE)</f>
        <v>0</v>
      </c>
      <c r="GI67" s="673" t="b">
        <f>IF(ISNUMBER(SEARCH("TLED",U68)),TRUE,FALSE)</f>
        <v>0</v>
      </c>
      <c r="GJ67" s="1135" t="str">
        <f>IFERROR(VLOOKUP(U68,Fixtures!BM$93:BR$142,6,FALSE),"")</f>
        <v/>
      </c>
      <c r="GK67" s="1832" t="b">
        <f>IF(OR(GI67=FALSE,GI69=FALSE),TRUE,IF(GJ67-GJ69&lt;5,FALSE,TRUE))</f>
        <v>1</v>
      </c>
      <c r="GO67" s="674">
        <f>GP67</f>
        <v>0</v>
      </c>
      <c r="GP67" s="674">
        <f>IF(G67="",0,1)</f>
        <v>0</v>
      </c>
      <c r="GQ67" s="674">
        <f ca="1">SUM(GR67:HF67)</f>
        <v>2</v>
      </c>
      <c r="GR67" s="674">
        <f>IF(G68="",0,1)</f>
        <v>0</v>
      </c>
      <c r="GS67" s="674">
        <f>IF(N70="BAM",1,IF(G69="",0,1))</f>
        <v>0</v>
      </c>
      <c r="GT67" s="674">
        <f>IF(N70="BAM",1,IF(R68="",0,1))</f>
        <v>0</v>
      </c>
      <c r="GU67" s="674">
        <f>IF(N70="BAM",1,IF(__Retrofit_TI_NC=0,1,IF(R69="",0,1)))</f>
        <v>1</v>
      </c>
      <c r="GV67" s="674">
        <f>IF(N70="BAM",1,IF(CQ67="Exterior",1,IF(G70="",0,1)))</f>
        <v>1</v>
      </c>
      <c r="GW67" s="674">
        <f>IF(__Retrofit_TI_NC&gt;0,1,IF(T68="",0,1))</f>
        <v>0</v>
      </c>
      <c r="GX67" s="674">
        <f>IF(__Retrofit_TI_NC&gt;0,1,IF(U68="",0,1))</f>
        <v>0</v>
      </c>
      <c r="GY67" s="674">
        <f>IF(N70="BAM",1,IF(T69="",0,1))</f>
        <v>0</v>
      </c>
      <c r="GZ67" s="674">
        <f>IF(N70="BAM",1,IF(U69="",0,1))</f>
        <v>0</v>
      </c>
      <c r="HA67" s="674">
        <f ca="1">IF(N70="BAM",1,IF(__Retrofit_TI_NC&gt;0,1,IF(U70="",0,1)))</f>
        <v>0</v>
      </c>
      <c r="HB67" s="674">
        <f>IF(__Retrofit_TI_NC&lt;&gt;0,1,IF(AF68="",0,1))</f>
        <v>0</v>
      </c>
      <c r="HC67" s="674">
        <f>IF(__Retrofit_TI_NC&lt;&gt;0,1,IF(AG68="",0,1))</f>
        <v>0</v>
      </c>
      <c r="HD67" s="674">
        <f>IF(N70="BAM",1,IF(AF69="",0,1))</f>
        <v>0</v>
      </c>
      <c r="HE67" s="674">
        <f>IF(N70="BAM",1,IF(AG69="",0,1))</f>
        <v>0</v>
      </c>
      <c r="HF67" s="674">
        <f>IF(N70="BAM",1,IF(__Retrofit_TI_NC&gt;0,1,IF(AG70="",0,1)))</f>
        <v>0</v>
      </c>
      <c r="HG67" s="391"/>
      <c r="IA67" s="391"/>
      <c r="IB67" s="1693" t="b">
        <f>IF(OR(IB70=0,IB70=HY$16,IB70=HX$16,IB70=HZ$16),TRUE,FALSE)</f>
        <v>0</v>
      </c>
      <c r="IC67" s="1694" t="b">
        <f>IB67</f>
        <v>0</v>
      </c>
      <c r="ID67" s="391"/>
      <c r="IE67" s="391"/>
      <c r="IF67" s="1688" t="b">
        <f ca="1">IF(MAX(GN70:HU70)&gt;5,FALSE,TRUE)</f>
        <v>0</v>
      </c>
      <c r="IG67" s="1689">
        <f ca="1">IF(IF67=TRUE,AC67,0)</f>
        <v>0</v>
      </c>
      <c r="IH67" s="1689">
        <f ca="1">IG67-IG69</f>
        <v>0</v>
      </c>
      <c r="IK67" s="1689" t="e">
        <f>ROUND(T68*VLOOKUP(U68,Fixtures_Existing_List,2,FALSE)*N68*R68/1000,0)</f>
        <v>#N/A</v>
      </c>
      <c r="IL67" s="1690" t="e">
        <f>IK67-IK69</f>
        <v>#N/A</v>
      </c>
      <c r="IM67" s="1693" t="e">
        <f>ROUND(IF(CQ67="Interior",N69*R69*R68*N68*_C406_reduction/1000,N69*R69*R68*N68/1000),0)</f>
        <v>#N/A</v>
      </c>
      <c r="IN67" s="1693" t="e">
        <f>IM67-IM69</f>
        <v>#N/A</v>
      </c>
      <c r="IP67" s="1679"/>
      <c r="IQ67" s="1679" t="e">
        <f t="shared" ref="IQ67:IU67" si="36">IF($CR67="interior",VLOOKUP($CS67,_New_Control_Savings_Interior,IQ$30,FALSE),VLOOKUP($CS67,Control_Savings_Exterior,IQ$30,FALSE))</f>
        <v>#N/A</v>
      </c>
      <c r="IR67" s="1679" t="e">
        <f t="shared" si="36"/>
        <v>#N/A</v>
      </c>
      <c r="IS67" s="1679" t="e">
        <f t="shared" si="36"/>
        <v>#N/A</v>
      </c>
      <c r="IT67" s="1679" t="e">
        <f t="shared" si="36"/>
        <v>#N/A</v>
      </c>
      <c r="IU67" s="1679" t="e">
        <f t="shared" si="36"/>
        <v>#N/A</v>
      </c>
      <c r="IV67" s="1679" t="e">
        <f>IF($CR67="interior",IF(R68&gt;$IP$14,ROUND(($IV$18*($IP$14/R68)),2),$IV$18),VLOOKUP($CS67,Control_Savings_Exterior,IV$30,FALSE))</f>
        <v>#N/A</v>
      </c>
      <c r="IW67" s="1679" t="e">
        <f>IF($CR67="interior",ROUND(((1-IS67)*IV67)+IS67,2),VLOOKUP($CS67,Control_Savings_Exterior,IW$30,FALSE))</f>
        <v>#N/A</v>
      </c>
      <c r="IX67" s="1679" t="e">
        <f>IF($CR67="interior",ROUND(((1-IT67)*IV67)+IT67,2),VLOOKUP($CS67,Control_Savings_Exterior,IX$30,FALSE))</f>
        <v>#N/A</v>
      </c>
      <c r="IY67" s="1679" t="e">
        <f>IF($CR67="interior",IF(R68&gt;$IP$14,ROUND(($IY$18*($IP$14/R68)),2),$IY$18),VLOOKUP($CS67,Control_Savings_Exterior,IY$30,FALSE))</f>
        <v>#N/A</v>
      </c>
      <c r="IZ67" s="1679" t="e">
        <f>IF($CR67="interior",ROUND(((1-IS67)*IY67)+IS67,2),VLOOKUP($CS67,Control_Savings_Exterior,IZ$30,FALSE))</f>
        <v>#N/A</v>
      </c>
      <c r="JA67" s="1679" t="e">
        <f>IF($CR67="interior",ROUND(((1-IT67)*IY67)+IT67,2),VLOOKUP($CS67,Control_Savings_Exterior,JA$30,FALSE))</f>
        <v>#N/A</v>
      </c>
      <c r="JC67" s="1680">
        <f>IFERROR(IF(CR67="Interior",CONCATENATE(G70," ",FQ67),FQ67),"")</f>
        <v>0</v>
      </c>
      <c r="JD67" s="1670" t="str">
        <f>IFERROR(VLOOKUP(JC67,_Controls_2023,2,FALSE),"")</f>
        <v/>
      </c>
      <c r="JE67" s="1681">
        <f>IFERROR(CHOOSE(JD67-1,IQ67,IR67,IS67,IT67,IU67,IV67,IW67,IX67,IY67,IZ67,JA67),0)</f>
        <v>0</v>
      </c>
      <c r="JG67" s="1680" t="str">
        <f>FE67</f>
        <v xml:space="preserve"> - 0</v>
      </c>
      <c r="JH67" s="1670" t="e">
        <f>$FO67</f>
        <v>#N/A</v>
      </c>
      <c r="JI67" s="1060"/>
      <c r="JJ67" s="1682" t="b">
        <f>IF($JG69=CONCATENATE("Interior - ",JJ$4),TRUE,FALSE)</f>
        <v>0</v>
      </c>
      <c r="JK67" s="1061"/>
      <c r="JL67" s="1682" t="b">
        <f>IF($JG69=CONCATENATE("Interior - ",JL$4),TRUE,FALSE)</f>
        <v>0</v>
      </c>
      <c r="JM67" s="1061"/>
      <c r="JN67" s="1682" t="b">
        <f>IF($JG69=CONCATENATE("Interior - ",JN$4),TRUE,FALSE)</f>
        <v>0</v>
      </c>
      <c r="JO67" s="1061"/>
      <c r="JP67" s="1682" t="b">
        <f>IF(__Retrofit_TI_NC&gt;0,FALSE,IF($JG69=CONCATENATE("Interior - ",JP$4),TRUE,FALSE))</f>
        <v>0</v>
      </c>
      <c r="JQ67" s="1061"/>
      <c r="JR67" s="1682" t="b">
        <f>IF(__Retrofit_TI_NC&gt;0,FALSE,IF($JG69=CONCATENATE("Interior - ",JR$4),TRUE,FALSE))</f>
        <v>0</v>
      </c>
      <c r="JS67" s="1061"/>
      <c r="JT67" s="1670" t="b">
        <f>IF(__Retrofit_TI_NC&gt;0,FALSE,IF($JG69=CONCATENATE("Interior - ",JT$4),TRUE,FALSE))</f>
        <v>0</v>
      </c>
      <c r="JU67" s="1061"/>
      <c r="JV67" s="1670" t="b">
        <f>IF(JC69="AELC on Existing",TRUE,FALSE)</f>
        <v>0</v>
      </c>
      <c r="JX67" s="1670" t="b">
        <f>IF(OR(JG69="Exterior - AELC Occupancy based",JG69="Exterior - AELC Time based"),TRUE,FALSE)</f>
        <v>0</v>
      </c>
      <c r="JZ67" s="1682" t="b">
        <f>IF($JG69=CONCATENATE("Exterior - ",JZ$4),TRUE,FALSE)</f>
        <v>0</v>
      </c>
      <c r="KB67" s="1670" t="b">
        <f>IF(__Retrofit_TI_NC&gt;0,FALSE,IF($JG69=CONCATENATE("Interior - ",KB$4),TRUE,FALSE))</f>
        <v>0</v>
      </c>
    </row>
    <row r="68" spans="1:288" s="78" customFormat="1" ht="14.95" customHeight="1" thickTop="1" thickBot="1">
      <c r="B68" s="1845"/>
      <c r="C68" s="1846"/>
      <c r="D68" s="1847"/>
      <c r="E68" s="1737" t="s">
        <v>297</v>
      </c>
      <c r="F68" s="1738"/>
      <c r="G68" s="1739"/>
      <c r="H68" s="1739"/>
      <c r="I68" s="1739"/>
      <c r="J68" s="1739"/>
      <c r="K68" s="1739"/>
      <c r="L68" s="1739"/>
      <c r="M68" s="461" t="e">
        <f>IF(__Retrofit_TI_NC&lt;&gt;0,IF(VLOOKUP(G69,'Space Table'!$B$3:$L$163,3,FALSE)&gt;0,1,0),IF(__Retrofit_TI_NC=VLOOKUP(G69,'Space Table'!$B$3:$L$163,3,FALSE),1,0))</f>
        <v>#N/A</v>
      </c>
      <c r="N68" s="461" t="str">
        <f>IFERROR(VLOOKUP(G68,_Lookup_Heat_Type_Table_New,2,FALSE),"")</f>
        <v/>
      </c>
      <c r="O68" s="461">
        <f>IF(__Retrofit_TI_NC=1,CONCATENATE("TI ",G68),IF(__Retrofit_TI_NC=2,CONCATENATE("NC ",G68),G68))</f>
        <v>0</v>
      </c>
      <c r="P68" s="1740" t="s">
        <v>435</v>
      </c>
      <c r="Q68" s="1740"/>
      <c r="R68" s="595"/>
      <c r="S68" s="1792"/>
      <c r="T68" s="597"/>
      <c r="U68" s="1765"/>
      <c r="V68" s="1766"/>
      <c r="W68" s="1766"/>
      <c r="X68" s="1766"/>
      <c r="Y68" s="1766"/>
      <c r="Z68" s="1766"/>
      <c r="AA68" s="1766"/>
      <c r="AB68" s="1766"/>
      <c r="AC68" s="1766"/>
      <c r="AD68" s="1767"/>
      <c r="AE68" s="1000"/>
      <c r="AF68" s="597"/>
      <c r="AG68" s="1723"/>
      <c r="AH68" s="1724"/>
      <c r="AI68" s="1724"/>
      <c r="AJ68" s="1724"/>
      <c r="AK68" s="1725"/>
      <c r="AL68" s="996"/>
      <c r="AM68" s="1747"/>
      <c r="AN68" s="1775"/>
      <c r="AO68" s="1777"/>
      <c r="AP68" s="1780"/>
      <c r="AQ68" s="1781"/>
      <c r="AR68" s="1795"/>
      <c r="AS68" s="1795"/>
      <c r="AT68" s="1796"/>
      <c r="AU68" s="1735"/>
      <c r="AV68" s="1752"/>
      <c r="AW68" s="1705"/>
      <c r="AX68" s="467"/>
      <c r="AY68" s="1749"/>
      <c r="AZ68" s="1749"/>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696"/>
      <c r="CQ68" s="1696"/>
      <c r="CR68" s="1809"/>
      <c r="CS68" s="1811"/>
      <c r="CU68" s="1688"/>
      <c r="CV68" s="1703"/>
      <c r="CW68" s="1703"/>
      <c r="CX68" s="1703"/>
      <c r="CY68" s="1815"/>
      <c r="CZ68" s="1711"/>
      <c r="DA68" s="1818"/>
      <c r="DB68" s="1820"/>
      <c r="DC68" s="1820"/>
      <c r="DD68" s="1820"/>
      <c r="DF68" s="1703"/>
      <c r="DG68" s="1831"/>
      <c r="DH68" s="1703"/>
      <c r="DI68" s="1838"/>
      <c r="DJ68" s="1711"/>
      <c r="DK68" s="1712"/>
      <c r="DM68" s="1718"/>
      <c r="DO68" s="1708"/>
      <c r="DQ68" s="1715"/>
      <c r="DR68" s="1720"/>
      <c r="DS68" s="1816"/>
      <c r="DT68" s="1714"/>
      <c r="DU68" s="1715"/>
      <c r="DV68" s="1716"/>
      <c r="DX68" s="1715"/>
      <c r="DY68" s="1720"/>
      <c r="DZ68" s="1715"/>
      <c r="EA68" s="1715"/>
      <c r="EC68" s="1834"/>
      <c r="ED68" s="1834"/>
      <c r="EF68" s="1707"/>
      <c r="EG68" s="1712"/>
      <c r="EH68" s="1818"/>
      <c r="EI68" s="1712"/>
      <c r="EJ68" s="1712"/>
      <c r="EK68" s="1836"/>
      <c r="EL68" s="1836"/>
      <c r="EM68" s="1807"/>
      <c r="EN68" s="1839"/>
      <c r="EO68" s="1839"/>
      <c r="EP68" s="1817"/>
      <c r="EQ68" s="1817"/>
      <c r="ER68" s="1807"/>
      <c r="ES68" s="1807"/>
      <c r="ET68" s="1807"/>
      <c r="EV68" s="1715"/>
      <c r="EX68" s="1805"/>
      <c r="EY68" s="1805"/>
      <c r="EZ68" s="1805"/>
      <c r="FA68" s="1805"/>
      <c r="FB68" s="1805"/>
      <c r="FC68" s="1827"/>
      <c r="FE68" s="1698"/>
      <c r="FG68" s="1816"/>
      <c r="FH68" s="1816"/>
      <c r="FI68" s="133"/>
      <c r="FL68" s="1823"/>
      <c r="FM68" s="1825"/>
      <c r="FN68" s="1698"/>
      <c r="FO68" s="1698"/>
      <c r="FP68" s="1678"/>
      <c r="FQ68" s="1678"/>
      <c r="FS68" s="1687"/>
      <c r="FT68" s="1687"/>
      <c r="FU68" s="1685"/>
      <c r="FV68" s="1687"/>
      <c r="FW68" s="1687"/>
      <c r="FX68" s="1687"/>
      <c r="FY68" s="1697"/>
      <c r="GA68" s="1696"/>
      <c r="GB68" s="1696"/>
      <c r="GC68" s="1696"/>
      <c r="GD68" s="1696"/>
      <c r="GE68" s="1696"/>
      <c r="GF68" s="1696"/>
      <c r="GG68" s="1696"/>
      <c r="GH68" s="1696"/>
      <c r="GI68" s="673"/>
      <c r="GJ68" s="1135"/>
      <c r="GK68" s="1832"/>
      <c r="GM68" s="1693" t="b">
        <f ca="1">IF(AND(GP68=TRUE,GQ68=TRUE),TRUE,FALSE)</f>
        <v>0</v>
      </c>
      <c r="GN68" s="1684" t="b">
        <f>IFERROR(IF(__Retrofit_TI_NC=2,TRUE,IF(AU67="Yes",TRUE,FALSE)),FALSE)</f>
        <v>1</v>
      </c>
      <c r="GP68" s="1684" t="b">
        <f>IFERROR(IF(GP67=1,TRUE,FALSE),FALSE)</f>
        <v>0</v>
      </c>
      <c r="GQ68" s="1684" t="b">
        <f ca="1">IFERROR(IF(GQ67=GQ$14,TRUE,FALSE),FALSE)</f>
        <v>0</v>
      </c>
      <c r="HG68" s="1684" t="b">
        <f>IFERROR(IF(AND(__Retrofit_TI_NC&gt;0,CQ67="Interior"),FALSE,TRUE),FALSE)</f>
        <v>1</v>
      </c>
      <c r="HH68" s="1684" t="b">
        <f>IFERROR(IF(M68=1,TRUE,FALSE),FALSE)</f>
        <v>0</v>
      </c>
      <c r="HI68" s="1684" t="b">
        <f>IFERROR(IF(OR(M69=1,N70="BAM"),TRUE,FALSE),FALSE)</f>
        <v>0</v>
      </c>
      <c r="HJ68" s="1684" t="b">
        <f>IFERROR(IF(__Retrofit_TI_NC&lt;&gt;0,TRUE,IFERROR(IF(VLOOKUP(U68,Fixtures_Existing_List,2,FALSE)&lt;&gt;"",TRUE,FALSE),FALSE)),FALSE)</f>
        <v>0</v>
      </c>
      <c r="HK68" s="1684" t="b">
        <f>IFERROR(IF(VLOOKUP(U69,Fixtures_Proposed_List,2,FALSE)&lt;&gt;"",TRUE,FALSE),FALSE)</f>
        <v>0</v>
      </c>
      <c r="HL68" s="1684" t="b">
        <f>IF(AND(__Retrofit_TI_NC=2,FC67=TRUE),FALSE,TRUE)</f>
        <v>1</v>
      </c>
      <c r="HM68" s="1684" t="b">
        <f>GK67</f>
        <v>1</v>
      </c>
      <c r="HN68" s="1682" t="b">
        <f>IF(ISERROR(MATCH(FE67,_Control_Match[],0))=TRUE,FALSE,TRUE)</f>
        <v>0</v>
      </c>
      <c r="HO68" s="1693" t="b">
        <f>IFERROR(IF(EX67&lt;&gt;EY67,FALSE,TRUE),FALSE)</f>
        <v>1</v>
      </c>
      <c r="HP68" s="1693" t="b">
        <f>IFERROR(IF(EX69&lt;&gt;EY69,FALSE,TRUE),FALSE)</f>
        <v>1</v>
      </c>
      <c r="HQ68" s="1670" t="b">
        <f>IFERROR(IF(CQ67="Exterior",TRUE,IF(AND(OR(FM69=0,FM69=3),JD69&gt;6),FALSE,TRUE)),FALSE)</f>
        <v>0</v>
      </c>
      <c r="HR68" s="1684" t="b">
        <f>IFERROR(IF(AND(FO69=7,FC67=TRUE),FALSE,TRUE),FALSE)</f>
        <v>0</v>
      </c>
      <c r="HS68" s="1684" t="b">
        <f>IFERROR(IF(AND(T69&lt;&gt;AF69,OR(AG69="Interior LLLC", AG69="Interior NLC", AG69="LLLC (outside Daylight)",AG69="LLLC Controls Only"))=TRUE,FALSE,TRUE),FALSE)</f>
        <v>1</v>
      </c>
      <c r="HT68" s="1670" t="b">
        <f>IFERROR(IF(OR(AG69=Lookup!BB$17,AG69=Lookup!BB$18,AG69=Lookup!BB$19)=TRUE,IF(AF69&gt;T69,FALSE,TRUE),TRUE),FALSE)</f>
        <v>1</v>
      </c>
      <c r="HU68" s="1684" t="b">
        <f>IFERROR(IF(__Retrofit_TI_NC=2,IF(EZ69&lt;EZ67,FALSE,TRUE),TRUE),FALSE)</f>
        <v>1</v>
      </c>
      <c r="HV68" s="1684" t="b">
        <f>IF(CQ67="Interior",IL$6,TRUE)</f>
        <v>1</v>
      </c>
      <c r="HW68" s="1684" t="b">
        <f>IF(CQ67="Exterior",IL$8,TRUE)</f>
        <v>1</v>
      </c>
      <c r="HX68" s="1684" t="b">
        <f>IFERROR(IF(__Retrofit_TI_NC&lt;&gt;0,IF(AZ67&lt;AY67,FALSE,TRUE),TRUE),FALSE)</f>
        <v>1</v>
      </c>
      <c r="HY68" s="1684" t="b">
        <f>IFERROR(IF(AND(G68="Exterior",R68&gt;4200),FALSE,TRUE),FALSE)</f>
        <v>1</v>
      </c>
      <c r="HZ68" s="1684" t="b">
        <f>IFERROR(IF(AB70/AB67&lt;HZ$18,FALSE,TRUE),FALSE)</f>
        <v>0</v>
      </c>
      <c r="IB68" s="1691"/>
      <c r="IC68" s="1695"/>
      <c r="ID68" s="1694" t="str">
        <f>VLOOKUP(IB70,_Error_Table,4,FALSE)</f>
        <v>White</v>
      </c>
      <c r="IE68" s="391"/>
      <c r="IF68" s="1688"/>
      <c r="IG68" s="1689"/>
      <c r="IH68" s="1684"/>
      <c r="IK68" s="1689"/>
      <c r="IL68" s="1691"/>
      <c r="IM68" s="1691"/>
      <c r="IN68" s="1691"/>
      <c r="IP68" s="1679"/>
      <c r="IQ68" s="1679"/>
      <c r="IR68" s="1679"/>
      <c r="IS68" s="1679"/>
      <c r="IT68" s="1679"/>
      <c r="IU68" s="1679"/>
      <c r="IV68" s="1679"/>
      <c r="IW68" s="1679"/>
      <c r="IX68" s="1679"/>
      <c r="IY68" s="1679"/>
      <c r="IZ68" s="1679"/>
      <c r="JA68" s="1679"/>
      <c r="JC68" s="1680"/>
      <c r="JD68" s="1670"/>
      <c r="JE68" s="1681"/>
      <c r="JG68" s="1680"/>
      <c r="JH68" s="1670"/>
      <c r="JI68" s="1060"/>
      <c r="JJ68" s="1683"/>
      <c r="JK68" s="1061"/>
      <c r="JL68" s="1683"/>
      <c r="JM68" s="1061"/>
      <c r="JN68" s="1683"/>
      <c r="JO68" s="1061"/>
      <c r="JP68" s="1683"/>
      <c r="JQ68" s="1061"/>
      <c r="JR68" s="1683"/>
      <c r="JS68" s="1061"/>
      <c r="JT68" s="1670"/>
      <c r="JU68" s="1061"/>
      <c r="JV68" s="1670"/>
      <c r="JX68" s="1670"/>
      <c r="JZ68" s="1683"/>
      <c r="KB68" s="1670"/>
    </row>
    <row r="69" spans="1:288" s="78" customFormat="1" ht="14.95" customHeight="1" thickTop="1" thickBot="1">
      <c r="A69" s="78">
        <f>ROW()</f>
        <v>69</v>
      </c>
      <c r="B69" s="1845"/>
      <c r="C69" s="1846"/>
      <c r="D69" s="1847"/>
      <c r="E69" s="1737" t="s">
        <v>298</v>
      </c>
      <c r="F69" s="1738"/>
      <c r="G69" s="1760"/>
      <c r="H69" s="1761"/>
      <c r="I69" s="1761"/>
      <c r="J69" s="1761"/>
      <c r="K69" s="1761"/>
      <c r="L69" s="1762"/>
      <c r="M69" s="461">
        <f>IFERROR(IF(IF(__Retrofit_TI_NC&lt;&gt;0,IF(CQ67="Interior",MATCH(G69,Lookup_Interior_New,0),MATCH(G69,Lookup_Exterior_New,0)),IF(CQ67="Interior",MATCH(G69,Lookup_Interior,0),MATCH(G69,Lookup_Exterior_Areas,0)))&gt;0,1,0),0)</f>
        <v>0</v>
      </c>
      <c r="N69" s="461" t="e">
        <f>IF(__Retrofit_TI_NC=1,
VLOOKUP(G69,'Space Table'!$B$3:$L$163,4,FALSE),
IF(__Retrofit_TI_NC=2,VLOOKUP(G69,'Space Table'!$B$3:$L$163,5,FALSE),VLOOKUP(G69,'Space Table'!$B$3:$L$163,5,FALSE)))</f>
        <v>#N/A</v>
      </c>
      <c r="O69" s="461">
        <f>G69</f>
        <v>0</v>
      </c>
      <c r="P69" s="1738" t="str">
        <f>IFERROR(IF(__Retrofit_TI_NC=1,VLOOKUP(G69,'Space Table'!$B$3:$O$163,13,FALSE),IF(__Retrofit_TI_NC=2,VLOOKUP(G69,'Space Table'!$B$3:$O$163,14,FALSE),"Area (sf):")),"Area (sf):")</f>
        <v>Area (sf):</v>
      </c>
      <c r="Q69" s="1738"/>
      <c r="R69" s="596"/>
      <c r="S69" s="1763" t="s">
        <v>345</v>
      </c>
      <c r="T69" s="594"/>
      <c r="U69" s="1801"/>
      <c r="V69" s="1802"/>
      <c r="W69" s="1802"/>
      <c r="X69" s="1802"/>
      <c r="Y69" s="1802"/>
      <c r="Z69" s="1802"/>
      <c r="AA69" s="1802"/>
      <c r="AB69" s="1802"/>
      <c r="AC69" s="1802"/>
      <c r="AD69" s="1802"/>
      <c r="AE69" s="1803"/>
      <c r="AF69" s="594"/>
      <c r="AG69" s="1787"/>
      <c r="AH69" s="1787"/>
      <c r="AI69" s="1787"/>
      <c r="AJ69" s="1787"/>
      <c r="AK69" s="1787"/>
      <c r="AL69" s="1787"/>
      <c r="AM69" s="1726">
        <f>IFERROR(DI69,"")</f>
        <v>0</v>
      </c>
      <c r="AN69" s="1728" t="str">
        <f>IFERROR(ROUND(AM69*AC70,0),"")</f>
        <v/>
      </c>
      <c r="AO69" s="1730">
        <f>IFERROR(IF(IB67=FALSE,0,AC70-AN69),0)</f>
        <v>0</v>
      </c>
      <c r="AP69" s="1780"/>
      <c r="AQ69" s="1781"/>
      <c r="AR69" s="1795"/>
      <c r="AS69" s="1795"/>
      <c r="AT69" s="1796"/>
      <c r="AU69" s="1735"/>
      <c r="AV69" s="1752"/>
      <c r="AW69" s="1705"/>
      <c r="AX69" s="467"/>
      <c r="AY69" s="1749"/>
      <c r="AZ69" s="1749"/>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696"/>
      <c r="CQ69" s="1696"/>
      <c r="CR69" s="1808" t="str">
        <f>CQ67</f>
        <v/>
      </c>
      <c r="CS69" s="1810" t="str">
        <f>CS67</f>
        <v/>
      </c>
      <c r="CU69" s="1688" t="s">
        <v>345</v>
      </c>
      <c r="CV69" s="1702">
        <f>IF(IB67=TRUE,T69,0)</f>
        <v>0</v>
      </c>
      <c r="CW69" s="1702" t="str">
        <f>IF(IB67=TRUE,U69,"")</f>
        <v/>
      </c>
      <c r="CX69" s="1812">
        <f>IF(IB67=TRUE,U70,0)</f>
        <v>0</v>
      </c>
      <c r="CY69" s="1814">
        <f>IF(IB67=TRUE,AB70,0)</f>
        <v>0</v>
      </c>
      <c r="CZ69" s="1710">
        <f>IF(AND(__Retrofit_TI_NC&gt;0,CR67="interior"),0,IF(IB67=TRUE,AC70,0))</f>
        <v>0</v>
      </c>
      <c r="DA69" s="1818"/>
      <c r="DB69" s="1820"/>
      <c r="DC69" s="1820"/>
      <c r="DD69" s="1820"/>
      <c r="DF69" s="1702">
        <f>IF(IB67=TRUE,AF69,0)</f>
        <v>0</v>
      </c>
      <c r="DG69" s="1830" t="str">
        <f>IF(IB67=TRUE,AG69,"")</f>
        <v/>
      </c>
      <c r="DH69" s="1812">
        <f>AG70</f>
        <v>0</v>
      </c>
      <c r="DI69" s="1837">
        <f>JE69</f>
        <v>0</v>
      </c>
      <c r="DJ69" s="1710">
        <f>IF(AND(__Retrofit_TI_NC&gt;0,CR67="interior"),0,IF(IB67=TRUE,AN69,0))</f>
        <v>0</v>
      </c>
      <c r="DK69" s="1712"/>
      <c r="DN69" s="1717">
        <f>IFERROR(CZ69-DJ69,0)</f>
        <v>0</v>
      </c>
      <c r="DO69" s="1709"/>
      <c r="DQ69" s="1715"/>
      <c r="DR69" s="1719" t="str">
        <f>DQ67</f>
        <v/>
      </c>
      <c r="DS69" s="1816"/>
      <c r="DT69" s="1835" t="str">
        <f>IF(OR(DS67=7,DS67=8,DS67=9),"ALC","")</f>
        <v/>
      </c>
      <c r="DU69" s="1715"/>
      <c r="DV69" s="1716"/>
      <c r="DX69" s="1715"/>
      <c r="DY69" s="1829" t="str">
        <f>DX67</f>
        <v/>
      </c>
      <c r="DZ69" s="1715"/>
      <c r="EA69" s="1715"/>
      <c r="EC69" s="1834"/>
      <c r="ED69" s="1834"/>
      <c r="EF69" s="1707"/>
      <c r="EG69" s="1712"/>
      <c r="EH69" s="1818"/>
      <c r="EI69" s="1712"/>
      <c r="EJ69" s="1712"/>
      <c r="EK69" s="1836"/>
      <c r="EL69" s="1836"/>
      <c r="EM69" s="1807"/>
      <c r="EN69" s="1839"/>
      <c r="EO69" s="1839"/>
      <c r="EP69" s="1817"/>
      <c r="EQ69" s="1817"/>
      <c r="ER69" s="1807"/>
      <c r="ES69" s="1807"/>
      <c r="ET69" s="1807"/>
      <c r="EV69" s="1715"/>
      <c r="EX69" s="1805" t="str">
        <f>IFERROR(VLOOKUP(CS69,'Space Table'!$B$3:$L$163,8,FALSE),"")</f>
        <v/>
      </c>
      <c r="EY69" s="1805" t="str">
        <f>IFERROR(IF(FB69="Yes",VLOOKUP(AG69,Lookup_Control_Type_Table2,4,FALSE),VLOOKUP(AG69,Lookup_Control_Type_Table2,3,FALSE)),"")</f>
        <v/>
      </c>
      <c r="EZ69" s="1805" t="e">
        <f>VLOOKUP(AG69,Lookup!BB$3:BC$20,2,FALSE)</f>
        <v>#N/A</v>
      </c>
      <c r="FA69" s="1805" t="e">
        <f>VLOOKUP(EX67,Lookup_Control_Type_Table,2,FALSE)</f>
        <v>#N/A</v>
      </c>
      <c r="FB69" s="1805" t="e">
        <f>VLOOKUP(CS69,'Space Table'!$B$3:$L$163,7,FALSE)</f>
        <v>#N/A</v>
      </c>
      <c r="FC69" s="1827"/>
      <c r="FE69" s="1698" t="str">
        <f>CONCATENATE(CQ67," - ",AG69)</f>
        <v xml:space="preserve"> - </v>
      </c>
      <c r="FG69" s="1816"/>
      <c r="FH69" s="1816"/>
      <c r="FI69" s="133"/>
      <c r="FL69" s="1822" t="str">
        <f>IF(CQ67="Exterior","Not Daylighted",G70)</f>
        <v>Not Daylighted</v>
      </c>
      <c r="FM69" s="1824">
        <f>VLOOKUP(FL69,_New_Daylight_Table_Codes,2,FALSE)</f>
        <v>0</v>
      </c>
      <c r="FN69" s="1698">
        <f>AG69</f>
        <v>0</v>
      </c>
      <c r="FO69" s="1698" t="e">
        <f>VLOOKUP(FN69,_Control_Table,2,FALSE)</f>
        <v>#N/A</v>
      </c>
      <c r="FP69" s="1678" t="e">
        <f>VLOOKUP(CONCATENATE(FL69," ",FN69),Lookup!AY77:AZ$102,2,FALSE)</f>
        <v>#N/A</v>
      </c>
      <c r="FQ69" s="1698">
        <f>IF(__Retrofit_TI_NC=0,FN69,IF(AND(FT69&gt;0,FN69="Occupancy Sensor"),"Daylight + Occupancy",IF(AND(FT69&gt;0,FO69&lt;4),"Interior Daylight Dimming",FN69)))</f>
        <v>0</v>
      </c>
      <c r="FS69" s="1686">
        <f>IF(CQ67="Interior",VLOOKUP(CS67,Control_Savings_Interior,5,FALSE),0)</f>
        <v>0</v>
      </c>
      <c r="FT69" s="1687">
        <f>IF(CQ69="Exterior",0,IF(FM69=2,0.5,IF(OR(FM69=1,FM69=3),1,0)))</f>
        <v>0</v>
      </c>
      <c r="FU69" s="1685">
        <f>IF(R68&gt;FS$44,(FS69*(FS$44/R68)),FS69)*FT69</f>
        <v>0</v>
      </c>
      <c r="FV69" s="1686">
        <f>DI69</f>
        <v>0</v>
      </c>
      <c r="FW69" s="1686">
        <f>ROUND(FV69+((1-FV69)*FU69),2)</f>
        <v>0</v>
      </c>
      <c r="FX69" s="1686">
        <f>IF(__Retrofit_TI_NC=2,FW69,FV69)</f>
        <v>0</v>
      </c>
      <c r="FY69" s="1697">
        <f>IF(CR69="Interior",VLOOKUP(CS69,Control_Savings_Interior,4,FALSE),0)</f>
        <v>0</v>
      </c>
      <c r="GA69" s="1696"/>
      <c r="GB69" s="1696"/>
      <c r="GC69" s="1696"/>
      <c r="GD69" s="1696"/>
      <c r="GE69" s="1696"/>
      <c r="GF69" s="1696"/>
      <c r="GG69" s="1696"/>
      <c r="GH69" s="1696"/>
      <c r="GI69" s="673" t="b">
        <f>IF(ISNUMBER(SEARCH("TLED",U69)),TRUE,FALSE)</f>
        <v>0</v>
      </c>
      <c r="GJ69" s="1135" t="str">
        <f>IFERROR(VLOOKUP(U69,Fixtures!DM$93:DR$142,6,FALSE),"")</f>
        <v/>
      </c>
      <c r="GK69" s="1832"/>
      <c r="GM69" s="1692"/>
      <c r="GN69" s="1684"/>
      <c r="GP69" s="1684"/>
      <c r="GQ69" s="1684"/>
      <c r="HG69" s="1684"/>
      <c r="HH69" s="1684"/>
      <c r="HI69" s="1684"/>
      <c r="HJ69" s="1684"/>
      <c r="HK69" s="1684"/>
      <c r="HL69" s="1684"/>
      <c r="HM69" s="1684"/>
      <c r="HN69" s="1683"/>
      <c r="HO69" s="1692"/>
      <c r="HP69" s="1692"/>
      <c r="HQ69" s="1670"/>
      <c r="HR69" s="1684"/>
      <c r="HS69" s="1684"/>
      <c r="HT69" s="1670"/>
      <c r="HU69" s="1684"/>
      <c r="HV69" s="1684"/>
      <c r="HW69" s="1684"/>
      <c r="HX69" s="1684"/>
      <c r="HY69" s="1684"/>
      <c r="HZ69" s="1684"/>
      <c r="IB69" s="1692"/>
      <c r="IC69" s="1693" t="b">
        <f>IB67</f>
        <v>0</v>
      </c>
      <c r="ID69" s="1695"/>
      <c r="IE69" s="391"/>
      <c r="IF69" s="1688"/>
      <c r="IG69" s="1689">
        <f ca="1">IF(IF67=TRUE,AC70,0)</f>
        <v>0</v>
      </c>
      <c r="IH69" s="1684"/>
      <c r="IK69" s="1689" t="e">
        <f>ROUND(T69*AB70*N68*R68/1000,0)</f>
        <v>#VALUE!</v>
      </c>
      <c r="IL69" s="1691"/>
      <c r="IM69" s="1693" t="e">
        <f>ROUND(T69*AB70*N68*R68/1000,0)</f>
        <v>#VALUE!</v>
      </c>
      <c r="IN69" s="1691"/>
      <c r="IP69" s="1679"/>
      <c r="IQ69" s="1679" t="e">
        <f t="shared" ref="IQ69:IU69" si="37">IF($CR69="interior",VLOOKUP($CS69,_New_Control_Savings_Interior,IQ$30,FALSE),VLOOKUP($CS69,Control_Savings_Exterior,IQ$30,FALSE))</f>
        <v>#N/A</v>
      </c>
      <c r="IR69" s="1679" t="e">
        <f t="shared" si="37"/>
        <v>#N/A</v>
      </c>
      <c r="IS69" s="1679" t="e">
        <f t="shared" si="37"/>
        <v>#N/A</v>
      </c>
      <c r="IT69" s="1679" t="e">
        <f t="shared" si="37"/>
        <v>#N/A</v>
      </c>
      <c r="IU69" s="1679" t="e">
        <f t="shared" si="37"/>
        <v>#N/A</v>
      </c>
      <c r="IV69" s="1679" t="e">
        <f>IF($CR69="interior",IF(R68&gt;$IP$14,ROUND(($IV$18*($IP$14/R68)),2),$IV$18),VLOOKUP($CS69,Control_Savings_Exterior,IV$30,FALSE))</f>
        <v>#N/A</v>
      </c>
      <c r="IW69" s="1679" t="e">
        <f>IF($CR69="interior",ROUND(((1-IS69)*IV69)+IS69,2),VLOOKUP($CS69,Control_Savings_Exterior,IW$30,FALSE))</f>
        <v>#N/A</v>
      </c>
      <c r="IX69" s="1679" t="e">
        <f>IF($CR69="interior",ROUND(((1-IT69)*IV69)+IT69,2),VLOOKUP($CS69,Control_Savings_Exterior,IX$30,FALSE))</f>
        <v>#N/A</v>
      </c>
      <c r="IY69" s="1679" t="e">
        <f>IF($CR69="interior",IF(R68&gt;$IP$14,ROUND(($IY$18*($IP$14/R68)),2),$IY$18),VLOOKUP($CS69,Control_Savings_Exterior,IY$30,FALSE))</f>
        <v>#N/A</v>
      </c>
      <c r="IZ69" s="1679" t="e">
        <f>IF($CR69="interior",ROUND(((1-IS69)*IY69)+IS69,2),VLOOKUP($CS69,Control_Savings_Exterior,IZ$30,FALSE))</f>
        <v>#N/A</v>
      </c>
      <c r="JA69" s="1679" t="e">
        <f>IF($CR69="interior",ROUND(((1-IT69)*IY69)+IT69,2),VLOOKUP($CS69,Control_Savings_Exterior,JA$30,FALSE))</f>
        <v>#N/A</v>
      </c>
      <c r="JC69" s="1680">
        <f>IFERROR(IF(CR69="Interior",CONCATENATE(G70," ",FQ69),AG69),"")</f>
        <v>0</v>
      </c>
      <c r="JD69" s="1670" t="str">
        <f>IFERROR(VLOOKUP(JC69,_Controls_2023,2,FALSE),"")</f>
        <v/>
      </c>
      <c r="JE69" s="1681">
        <f>IFERROR(CHOOSE(JD69-1,IQ69,IR69,IS69,IT69,IU69,IV69,IW69,IX69,IY69,IZ69,JA69),0)</f>
        <v>0</v>
      </c>
      <c r="JG69" s="1680" t="str">
        <f>FE69</f>
        <v xml:space="preserve"> - </v>
      </c>
      <c r="JH69" s="1670" t="e">
        <f>$FO69</f>
        <v>#N/A</v>
      </c>
      <c r="JI69" s="1060"/>
      <c r="JJ69" s="1670">
        <f>IFERROR(IF($IB67=TRUE,IF(OR(JJ$14="No",JJ67=FALSE,JH69&lt;=JH67,AND(_kWh_Grant=0,GD67=FALSE)),0,IF(JJ$8="Per Line",1,$AF69)),0),0)</f>
        <v>0</v>
      </c>
      <c r="JK69" s="1061"/>
      <c r="JL69" s="1670">
        <f>IFERROR(IF(_kWh_Grant=0,0,IF($IB67=TRUE,IF(OR(JL$14="No",JL67=FALSE,JH69&lt;=JH67),0,IF(JL$8="Per Line",1,$T69)),0)),0)</f>
        <v>0</v>
      </c>
      <c r="JM69" s="1061"/>
      <c r="JN69" s="1670">
        <f>IFERROR(IF(_kWh_Grant=0,0,IF($IB67=TRUE,IF(OR(JN$14="No",JN67=FALSE,JH69&lt;=JH67),0,IF(JN$8="Per Line",1,$AF69)),0)),0)</f>
        <v>0</v>
      </c>
      <c r="JO69" s="1061"/>
      <c r="JP69" s="1670">
        <f>IFERROR(IF(__Retrofit_TI_NC=0,IF(_kWh_Grant=0,0,IF($IB67=TRUE,IF(OR(JP$14="No",JP67=FALSE,$JH69&lt;=$JH67),0,IF(JP$8="Per Line",1,$AF69)),0)),IF($IB67=TRUE,IF(OR(JP$14="No",JP67=FALSE,$JH69&lt;=$JH67),0,IF(JP$8="Per Line",1,$AF69)))),0)</f>
        <v>0</v>
      </c>
      <c r="JQ69" s="1061"/>
      <c r="JR69" s="1670">
        <f>IFERROR(IF(__Retrofit_TI_NC=0,IF(_kWh_Grant=0,0,IF($IB67=TRUE,IF(OR(JR$14="No",JR67=FALSE,$JH69&lt;=$JH67),0,IF(JR$8="Per Line",1,$AF69)),0)),IF($IB67=TRUE,IF(OR(JR$14="No",JR67=FALSE,$JH69&lt;=$JH67),0,IF(JR$8="Per Line",1,$AF69)))),0)</f>
        <v>0</v>
      </c>
      <c r="JS69" s="1061"/>
      <c r="JT69" s="1670">
        <f>IFERROR(IF(__Retrofit_TI_NC=0,IF(_kWh_Grant=0,0,IF($IB67=TRUE,IF(OR(JT$14="No",JT67=FALSE,$JH69&lt;=$JH67),0,IF(JT$8="Per Line",1,$AF69)),0)),IF($IB67=TRUE,IF(OR(JT$14="No",JT67=FALSE,$JH69&lt;=$JH67),0,IF(JT$8="Per Line",1,$AF69)))),0)</f>
        <v>0</v>
      </c>
      <c r="JU69" s="1061"/>
      <c r="JV69" s="1670">
        <f>IFERROR(IF(__Retrofit_TI_NC=0,IF(_kWh_Grant=0,0,IF($IB67=TRUE,IF(OR(JV$14="No",JV67=FALSE,$JH69&lt;=$JH67),0,IF(JV$8="Per Line",1,$AF69)),0)),IF($IB67=TRUE,IF(OR(JV$14="No",JV67=FALSE,$JH69&lt;=$JH67),0,IF(JV$8="Per Line",1,$AF69)))),0)</f>
        <v>0</v>
      </c>
      <c r="JX69" s="1670">
        <f>IFERROR(IF(__Retrofit_TI_NC=0,IF(_kWh_Grant=0,0,IF($IB67=TRUE,IF(OR(JX$14="No",JX67=FALSE,$JH69&lt;=$JH67),0,IF(JX$8="Per Line",1,$AF69)),0)),IF($IB67=TRUE,IF(OR(JX$14="No",JX67=FALSE,$JH69&lt;=$JH67),0,IF(JX$8="Per Line",1,$AF69)))),0)</f>
        <v>0</v>
      </c>
      <c r="JZ69" s="1670">
        <f>IFERROR(IF($IB67=TRUE,IF(OR(JZ$14="No",JZ67=FALSE,$JH69&lt;=$JH67,AND(_kWh_Grant=0,$GD67=FALSE)),0,IF(JZ$8="Per Line",1,$AF69)),0),0)</f>
        <v>0</v>
      </c>
      <c r="KB69" s="1670">
        <f>IFERROR(IF(__Retrofit_TI_NC=0,IF(_kWh_Grant=0,0,IF($IB67=TRUE,IF(OR(KB$14="No",KB67=FALSE,$JH69&lt;=$JH67),0,IF(KB$8="Per Line",1,$AF69)),0)),IF($IB67=TRUE,IF(OR(KB$14="No",KB67=FALSE,$JH69&lt;=$JH67),0,IF(KB$8="Per Line",1,$AF69)))),0)</f>
        <v>0</v>
      </c>
    </row>
    <row r="70" spans="1:288" s="78" customFormat="1" ht="14.95" customHeight="1" thickTop="1" thickBot="1">
      <c r="B70" s="1845"/>
      <c r="C70" s="1846"/>
      <c r="D70" s="1847"/>
      <c r="E70" s="1771" t="s">
        <v>436</v>
      </c>
      <c r="F70" s="1772"/>
      <c r="G70" s="1784" t="s">
        <v>437</v>
      </c>
      <c r="H70" s="1785"/>
      <c r="I70" s="1785"/>
      <c r="J70" s="1785"/>
      <c r="K70" s="1785"/>
      <c r="L70" s="1786"/>
      <c r="M70" s="591">
        <f>IFERROR(VLOOKUP(G70,_Daylight_Table[],2,FALSE),0)</f>
        <v>0</v>
      </c>
      <c r="N70" s="592" t="str">
        <f>IF(AND(__Retrofit_TI_NC&gt;0,CQ67="Interior"),"BAM","")</f>
        <v/>
      </c>
      <c r="O70" s="591" t="e">
        <f>VLOOKUP(G69,'Space Table'!$B$3:$L$163,11,FALSE)</f>
        <v>#N/A</v>
      </c>
      <c r="P70" s="1789"/>
      <c r="Q70" s="1790"/>
      <c r="R70" s="1790"/>
      <c r="S70" s="1788"/>
      <c r="T70" s="593" t="s">
        <v>342</v>
      </c>
      <c r="U70" s="1756" t="str" cm="1">
        <f t="array" aca="1" ref="U70" ca="1">IFERROR(VLOOKUP(INDIRECT("U" &amp; ROW()-1),Fixtures!DM$93:DP$142,4,FALSE),"")</f>
        <v/>
      </c>
      <c r="V70" s="1757"/>
      <c r="W70" s="1757"/>
      <c r="X70" s="1757"/>
      <c r="Y70" s="1757"/>
      <c r="Z70" s="1757"/>
      <c r="AA70" s="1758"/>
      <c r="AB70" s="939" t="str">
        <f>IFERROR(VLOOKUP(U69,Fixtures_Proposed_List,2,FALSE),"")</f>
        <v/>
      </c>
      <c r="AC70" s="933" t="str">
        <f>IFERROR(ROUND(T69*AB70*N68*R68/1000,0),"")</f>
        <v/>
      </c>
      <c r="AD70" s="934" t="str">
        <f>IFERROR(ROUND(T69*AB70/1000,2),"")</f>
        <v/>
      </c>
      <c r="AE70" s="998"/>
      <c r="AF70" s="938" t="s">
        <v>342</v>
      </c>
      <c r="AG70" s="1770"/>
      <c r="AH70" s="1770"/>
      <c r="AI70" s="1770"/>
      <c r="AJ70" s="1770"/>
      <c r="AK70" s="1770"/>
      <c r="AL70" s="1770"/>
      <c r="AM70" s="1727"/>
      <c r="AN70" s="1729"/>
      <c r="AO70" s="1731"/>
      <c r="AP70" s="1782"/>
      <c r="AQ70" s="1783"/>
      <c r="AR70" s="1797"/>
      <c r="AS70" s="1797"/>
      <c r="AT70" s="1798"/>
      <c r="AU70" s="1736"/>
      <c r="AV70" s="1753"/>
      <c r="AW70" s="1706"/>
      <c r="AX70" s="468"/>
      <c r="AY70" s="1750"/>
      <c r="AZ70" s="1750"/>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696"/>
      <c r="CQ70" s="1696"/>
      <c r="CR70" s="1809"/>
      <c r="CS70" s="1811"/>
      <c r="CU70" s="1688"/>
      <c r="CV70" s="1703"/>
      <c r="CW70" s="1703"/>
      <c r="CX70" s="1813"/>
      <c r="CY70" s="1815"/>
      <c r="CZ70" s="1711"/>
      <c r="DA70" s="1815"/>
      <c r="DB70" s="1821"/>
      <c r="DC70" s="1821"/>
      <c r="DD70" s="1821"/>
      <c r="DF70" s="1703"/>
      <c r="DG70" s="1831"/>
      <c r="DH70" s="1813"/>
      <c r="DI70" s="1838"/>
      <c r="DJ70" s="1711"/>
      <c r="DK70" s="1712"/>
      <c r="DN70" s="1718"/>
      <c r="DO70" s="1709"/>
      <c r="DQ70" s="1715"/>
      <c r="DR70" s="1720"/>
      <c r="DS70" s="1703"/>
      <c r="DT70" s="1714"/>
      <c r="DU70" s="1715"/>
      <c r="DV70" s="1716"/>
      <c r="DX70" s="1715"/>
      <c r="DY70" s="1720"/>
      <c r="DZ70" s="1715"/>
      <c r="EA70" s="1715"/>
      <c r="EC70" s="1834"/>
      <c r="ED70" s="1834"/>
      <c r="EF70" s="1707"/>
      <c r="EG70" s="1712"/>
      <c r="EH70" s="1815"/>
      <c r="EI70" s="1712"/>
      <c r="EJ70" s="1712"/>
      <c r="EK70" s="1813"/>
      <c r="EL70" s="1813"/>
      <c r="EM70" s="1807"/>
      <c r="EN70" s="1839"/>
      <c r="EO70" s="1839"/>
      <c r="EP70" s="1817"/>
      <c r="EQ70" s="1817"/>
      <c r="ER70" s="1807"/>
      <c r="ES70" s="1807"/>
      <c r="ET70" s="1807"/>
      <c r="EV70" s="1715"/>
      <c r="EX70" s="1806"/>
      <c r="EY70" s="1806"/>
      <c r="EZ70" s="1806"/>
      <c r="FA70" s="1806"/>
      <c r="FB70" s="1806"/>
      <c r="FC70" s="1828"/>
      <c r="FE70" s="1698"/>
      <c r="FG70" s="1703"/>
      <c r="FH70" s="1703"/>
      <c r="FI70" s="133"/>
      <c r="FL70" s="1823"/>
      <c r="FM70" s="1825"/>
      <c r="FN70" s="1698"/>
      <c r="FO70" s="1698"/>
      <c r="FP70" s="1678"/>
      <c r="FQ70" s="1698"/>
      <c r="FS70" s="1687"/>
      <c r="FT70" s="1687"/>
      <c r="FU70" s="1685"/>
      <c r="FV70" s="1687"/>
      <c r="FW70" s="1687"/>
      <c r="FX70" s="1687"/>
      <c r="FY70" s="1697"/>
      <c r="GA70" s="1696"/>
      <c r="GB70" s="1696"/>
      <c r="GC70" s="1696"/>
      <c r="GD70" s="1696"/>
      <c r="GE70" s="1696"/>
      <c r="GF70" s="1696"/>
      <c r="GG70" s="1696"/>
      <c r="GH70" s="1696"/>
      <c r="GI70" s="673"/>
      <c r="GJ70" s="1135"/>
      <c r="GK70" s="1832"/>
      <c r="GN70" s="674">
        <f>IF(GN68=TRUE,0,GN$16)</f>
        <v>0</v>
      </c>
      <c r="GP70" s="674">
        <f>IF(GP68=TRUE,0,GP$16)</f>
        <v>36</v>
      </c>
      <c r="GQ70" s="674">
        <f ca="1">IF(GQ68=TRUE,0,GQ$16)</f>
        <v>35</v>
      </c>
      <c r="GR70" s="391"/>
      <c r="GS70" s="391"/>
      <c r="GT70" s="391"/>
      <c r="GU70" s="391"/>
      <c r="GV70" s="391"/>
      <c r="HG70" s="674">
        <f>IF(HG68=TRUE,0,HG$16)</f>
        <v>0</v>
      </c>
      <c r="HH70" s="674">
        <f t="shared" ref="HH70:HM70" si="38">IF(HH68=TRUE,0,HH$16)</f>
        <v>19</v>
      </c>
      <c r="HI70" s="674">
        <f t="shared" si="38"/>
        <v>18</v>
      </c>
      <c r="HJ70" s="674">
        <f t="shared" si="38"/>
        <v>17</v>
      </c>
      <c r="HK70" s="674">
        <f t="shared" si="38"/>
        <v>16</v>
      </c>
      <c r="HL70" s="674">
        <f t="shared" si="38"/>
        <v>0</v>
      </c>
      <c r="HM70" s="674">
        <f t="shared" si="38"/>
        <v>0</v>
      </c>
      <c r="HN70" s="674">
        <f>IF(HN68=TRUE,0,HN$16)</f>
        <v>13</v>
      </c>
      <c r="HO70" s="674">
        <f t="shared" ref="HO70:HQ70" si="39">IF(HO68=TRUE,0,HO$16)</f>
        <v>0</v>
      </c>
      <c r="HP70" s="674">
        <f t="shared" si="39"/>
        <v>0</v>
      </c>
      <c r="HQ70" s="674">
        <f t="shared" si="39"/>
        <v>10</v>
      </c>
      <c r="HR70" s="674">
        <f>IF(HR68=TRUE,0,HR$16)</f>
        <v>9</v>
      </c>
      <c r="HS70" s="674">
        <f t="shared" ref="HS70:HW70" si="40">IF(HS68=TRUE,0,HS$16)</f>
        <v>0</v>
      </c>
      <c r="HT70" s="674">
        <f t="shared" si="40"/>
        <v>0</v>
      </c>
      <c r="HU70" s="674">
        <f t="shared" si="40"/>
        <v>0</v>
      </c>
      <c r="HV70" s="674">
        <f t="shared" si="40"/>
        <v>0</v>
      </c>
      <c r="HW70" s="674">
        <f t="shared" si="40"/>
        <v>0</v>
      </c>
      <c r="HX70" s="674">
        <f>IF(HX68=TRUE,0,HX$16)</f>
        <v>0</v>
      </c>
      <c r="HY70" s="674">
        <f>IF(HY68=TRUE,0,HY$16)</f>
        <v>0</v>
      </c>
      <c r="HZ70" s="674">
        <f>IF(HZ68=TRUE,0,HZ$16)</f>
        <v>1</v>
      </c>
      <c r="IB70" s="674">
        <f>IF(GP68=FALSE,GP70,IF(GQ68=FALSE,GQ70,MAX(GN70:HZ70)))</f>
        <v>36</v>
      </c>
      <c r="IC70" s="1692"/>
      <c r="ID70" s="205" t="str">
        <f>VLOOKUP(IB70,_Error_Table,3,FALSE)</f>
        <v xml:space="preserve"> </v>
      </c>
      <c r="IE70" s="205"/>
      <c r="IF70" s="1688"/>
      <c r="IG70" s="1689"/>
      <c r="IH70" s="1684"/>
      <c r="IK70" s="1689"/>
      <c r="IL70" s="1692"/>
      <c r="IM70" s="1692"/>
      <c r="IN70" s="1692"/>
      <c r="IP70" s="1679"/>
      <c r="IQ70" s="1679"/>
      <c r="IR70" s="1679"/>
      <c r="IS70" s="1679"/>
      <c r="IT70" s="1679"/>
      <c r="IU70" s="1679"/>
      <c r="IV70" s="1679"/>
      <c r="IW70" s="1679"/>
      <c r="IX70" s="1679"/>
      <c r="IY70" s="1679"/>
      <c r="IZ70" s="1679"/>
      <c r="JA70" s="1679"/>
      <c r="JC70" s="1680"/>
      <c r="JD70" s="1670"/>
      <c r="JE70" s="1681"/>
      <c r="JG70" s="1680"/>
      <c r="JH70" s="1670"/>
      <c r="JI70" s="1060"/>
      <c r="JJ70" s="1670"/>
      <c r="JK70" s="1061"/>
      <c r="JL70" s="1670"/>
      <c r="JM70" s="1061"/>
      <c r="JN70" s="1670"/>
      <c r="JO70" s="1061"/>
      <c r="JP70" s="1670"/>
      <c r="JQ70" s="1061"/>
      <c r="JR70" s="1670"/>
      <c r="JS70" s="1061"/>
      <c r="JT70" s="1670"/>
      <c r="JU70" s="1061"/>
      <c r="JV70" s="1670"/>
      <c r="JX70" s="1670"/>
      <c r="JZ70" s="1670"/>
      <c r="KB70" s="1670"/>
    </row>
    <row r="71" spans="1:288" s="78" customFormat="1" ht="5.0999999999999996" customHeight="1">
      <c r="B71" s="675"/>
      <c r="C71" s="392"/>
      <c r="D71" s="392"/>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3"/>
      <c r="AH71" s="1733"/>
      <c r="AI71" s="1733"/>
      <c r="AJ71" s="1733"/>
      <c r="AK71" s="1733"/>
      <c r="AL71" s="1733"/>
      <c r="AM71" s="1733"/>
      <c r="AN71" s="1733"/>
      <c r="AO71" s="1733"/>
      <c r="AP71" s="1733"/>
      <c r="AQ71" s="1733"/>
      <c r="AR71" s="1733"/>
      <c r="AS71" s="1733"/>
      <c r="AT71" s="1733"/>
      <c r="AU71" s="1733"/>
      <c r="AV71" s="1733"/>
      <c r="AW71" s="1733"/>
      <c r="AX71" s="469"/>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663"/>
      <c r="CQ71" s="663"/>
      <c r="CR71" s="438"/>
      <c r="CS71" s="663"/>
      <c r="CV71" s="391"/>
      <c r="CW71" s="391"/>
      <c r="CX71" s="207"/>
      <c r="CY71" s="208"/>
      <c r="CZ71" s="208"/>
      <c r="DA71" s="208"/>
      <c r="DB71" s="209"/>
      <c r="DC71" s="209"/>
      <c r="DD71" s="209"/>
      <c r="DF71" s="664"/>
      <c r="DG71" s="665"/>
      <c r="DH71" s="666"/>
      <c r="DI71" s="667"/>
      <c r="DJ71" s="668"/>
      <c r="DK71" s="668"/>
      <c r="DN71" s="208"/>
      <c r="DO71" s="664"/>
      <c r="DQ71" s="664"/>
      <c r="DR71" s="669"/>
      <c r="DS71" s="391"/>
      <c r="DT71" s="664"/>
      <c r="DU71" s="664"/>
      <c r="DV71" s="664"/>
      <c r="DX71" s="664"/>
      <c r="DY71" s="664"/>
      <c r="DZ71" s="664"/>
      <c r="EA71" s="664"/>
      <c r="EC71" s="670"/>
      <c r="ED71" s="670"/>
      <c r="EF71" s="668"/>
      <c r="EG71" s="668"/>
      <c r="EH71" s="208"/>
      <c r="EI71" s="668"/>
      <c r="EJ71" s="668"/>
      <c r="EK71" s="207"/>
      <c r="EL71" s="207"/>
      <c r="EM71" s="666"/>
      <c r="EN71" s="671"/>
      <c r="EO71" s="671"/>
      <c r="EP71" s="672"/>
      <c r="EQ71" s="672"/>
      <c r="ER71" s="666"/>
      <c r="ES71" s="666"/>
      <c r="ET71" s="666"/>
      <c r="EV71" s="664"/>
      <c r="EX71" s="391"/>
      <c r="EY71" s="391"/>
      <c r="EZ71" s="391"/>
      <c r="FA71" s="391"/>
      <c r="FB71" s="391"/>
      <c r="FC71" s="391"/>
      <c r="FE71" s="569"/>
      <c r="FG71" s="391"/>
      <c r="FH71" s="391"/>
      <c r="FI71" s="391"/>
      <c r="FS71" s="664"/>
      <c r="FT71" s="391"/>
      <c r="FU71" s="391"/>
      <c r="FV71" s="664"/>
      <c r="FW71" s="664"/>
      <c r="GA71" s="663"/>
      <c r="GB71" s="663"/>
      <c r="GC71" s="663"/>
      <c r="GD71" s="663"/>
      <c r="GE71" s="663"/>
      <c r="GF71" s="663"/>
      <c r="GG71" s="663"/>
      <c r="GH71" s="663"/>
      <c r="GI71" s="665"/>
      <c r="GJ71" s="664"/>
      <c r="GK71" s="664"/>
      <c r="JG71" s="1061"/>
      <c r="JH71" s="1061"/>
      <c r="JI71" s="1061"/>
      <c r="JJ71" s="1061"/>
      <c r="JK71" s="1061"/>
      <c r="JL71" s="1061"/>
      <c r="JM71" s="1061"/>
      <c r="JN71" s="1061"/>
      <c r="JO71" s="1061"/>
      <c r="JP71" s="1061"/>
      <c r="JQ71" s="1061"/>
      <c r="JR71" s="1061"/>
      <c r="JS71" s="1061"/>
      <c r="JT71" s="1061"/>
      <c r="JU71" s="1061"/>
      <c r="JV71" s="1061"/>
      <c r="KB71" s="1061"/>
    </row>
    <row r="72" spans="1:288" s="78" customFormat="1" ht="14.95" customHeight="1">
      <c r="B72" s="1845" t="str">
        <f>ID75</f>
        <v xml:space="preserve"> </v>
      </c>
      <c r="C72" s="1846">
        <f>C67+1</f>
        <v>6</v>
      </c>
      <c r="D72" s="1847"/>
      <c r="E72" s="1799" t="s">
        <v>295</v>
      </c>
      <c r="F72" s="1800"/>
      <c r="G72" s="1741"/>
      <c r="H72" s="1742"/>
      <c r="I72" s="1742"/>
      <c r="J72" s="1742"/>
      <c r="K72" s="1742"/>
      <c r="L72" s="1742"/>
      <c r="M72" s="1742"/>
      <c r="N72" s="1742"/>
      <c r="O72" s="1742"/>
      <c r="P72" s="1742"/>
      <c r="Q72" s="1742"/>
      <c r="R72" s="1742"/>
      <c r="S72" s="1791" t="s">
        <v>344</v>
      </c>
      <c r="T72" s="590"/>
      <c r="U72" s="1743"/>
      <c r="V72" s="1744"/>
      <c r="W72" s="1744"/>
      <c r="X72" s="1744"/>
      <c r="Y72" s="1744"/>
      <c r="Z72" s="1744"/>
      <c r="AA72" s="1744"/>
      <c r="AB72" s="961" t="str">
        <f>IFERROR(IF(__Retrofit_TI_NC=0,VLOOKUP(U73,Fixtures_Existing_List,2,FALSE),ROUND(N74*R74/T74,10)),"")</f>
        <v/>
      </c>
      <c r="AC72" s="935" t="str">
        <f>IFERROR(IF(__Retrofit_TI_NC=0,ROUND(T73*AB72*N73*R73/1000,0),IF(CQ72="Interior",N74*R74*R73*N73*_C406_reduction/1000,N74*R74*R73*N73/1000)),"")</f>
        <v/>
      </c>
      <c r="AD72" s="936" t="str">
        <f>IFERROR(IF(C$43=0,ROUND(T73*AB72/1000,2),N74*R74/1000),"")</f>
        <v/>
      </c>
      <c r="AE72" s="997"/>
      <c r="AF72" s="937"/>
      <c r="AG72" s="1745" t="str">
        <f>IF(__Retrofit_TI_NC=0," Control","Select Advanced Control for New System")</f>
        <v xml:space="preserve"> Control</v>
      </c>
      <c r="AH72" s="1745"/>
      <c r="AI72" s="1745"/>
      <c r="AJ72" s="1745"/>
      <c r="AK72" s="1745"/>
      <c r="AL72" s="1745"/>
      <c r="AM72" s="1746">
        <f>IFERROR(DI72,"")</f>
        <v>0</v>
      </c>
      <c r="AN72" s="1774" t="str">
        <f>IFERROR(ROUND(AM72*AC72,0),"")</f>
        <v/>
      </c>
      <c r="AO72" s="1776">
        <f>IFERROR(IF(IB72=FALSE,0,AC72-AN72),0)</f>
        <v>0</v>
      </c>
      <c r="AP72" s="1778">
        <f>AO72-AO74</f>
        <v>0</v>
      </c>
      <c r="AQ72" s="1779"/>
      <c r="AR72" s="1793">
        <f>IFERROR(IF(IB72=FALSE,0,(T74*U75)+(AF74*AG75)),0)</f>
        <v>0</v>
      </c>
      <c r="AS72" s="1793"/>
      <c r="AT72" s="1794"/>
      <c r="AU72" s="1734" t="s">
        <v>237</v>
      </c>
      <c r="AV72" s="1751">
        <f>IF(AU72="Yes",1,0)</f>
        <v>1</v>
      </c>
      <c r="AW72" s="1704" t="str">
        <f>IF(OR(DQ72=4,DQ72=5,DQ72=6,DQ72=12),CONCATENATE("$",IF(GH72=TRUE,Lookup!$K$10,Lookup!$K$2)," /lamp"),CONCATENATE(TEXT(ED72,"$0.00"),"/ kWh"))</f>
        <v>$0.00/ kWh</v>
      </c>
      <c r="AX72" s="467"/>
      <c r="AY72" s="1748">
        <f ca="1">IFERROR(IF(GM73=TRUE,(AB75*T74)/R74,0),"NA")</f>
        <v>0</v>
      </c>
      <c r="AZ72" s="1748"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696" t="str">
        <f>N73</f>
        <v/>
      </c>
      <c r="CQ72" s="1696" t="str">
        <f>IFERROR(VLOOKUP(G73,_Lookup_Heat_Type_Table_New,3,FALSE),"")</f>
        <v/>
      </c>
      <c r="CR72" s="1808" t="str">
        <f>CQ72</f>
        <v/>
      </c>
      <c r="CS72" s="1810" t="str">
        <f>IFERROR(VLOOKUP(G74,'Space Table'!$B$3:$L$163,9,FALSE),"")</f>
        <v/>
      </c>
      <c r="CU72" s="1688" t="s">
        <v>344</v>
      </c>
      <c r="CV72" s="1702">
        <f>IF(IB72=TRUE,T73,0)</f>
        <v>0</v>
      </c>
      <c r="CW72" s="1702" t="str">
        <f>IF(IB72=TRUE,U73,"")</f>
        <v/>
      </c>
      <c r="CX72" s="1702"/>
      <c r="CY72" s="1814">
        <f>IF(IB72=TRUE,AB72,0)</f>
        <v>0</v>
      </c>
      <c r="CZ72" s="1710">
        <f>IF(AND(__Retrofit_TI_NC&gt;0,CR72="interior"),0,IF(IB72=TRUE,AC72,0))</f>
        <v>0</v>
      </c>
      <c r="DA72" s="1814">
        <f>IFERROR(IF(IB72=TRUE,CZ72-CZ74,0),0)</f>
        <v>0</v>
      </c>
      <c r="DB72" s="1819">
        <f>IF(IB72=TRUE,AD72,0)</f>
        <v>0</v>
      </c>
      <c r="DC72" s="1819">
        <f>IF(IB72=TRUE,AD75,0)</f>
        <v>0</v>
      </c>
      <c r="DD72" s="1819">
        <f>IFERROR(DB72-DC72,0)</f>
        <v>0</v>
      </c>
      <c r="DF72" s="1702">
        <f>IF(IB72=TRUE,AF73,0)</f>
        <v>0</v>
      </c>
      <c r="DG72" s="1830">
        <f>IFERROR(IF(__Retrofit_TI_NC=2,IF(CQ72="Exterior",O75,FQ72),FN72),"")</f>
        <v>0</v>
      </c>
      <c r="DH72" s="1702"/>
      <c r="DI72" s="1837">
        <f>JE72</f>
        <v>0</v>
      </c>
      <c r="DJ72" s="1710">
        <f>IF(AND(__Retrofit_TI_NC&gt;0,CR72="interior"),0,IF(IB72=TRUE,AN72,0))</f>
        <v>0</v>
      </c>
      <c r="DK72" s="1712">
        <f>IFERROR(IF(IB72=TRUE,DJ74-DJ72,0),0)</f>
        <v>0</v>
      </c>
      <c r="DM72" s="1717">
        <f>IFERROR(CZ72-DJ72,0)</f>
        <v>0</v>
      </c>
      <c r="DO72" s="1708">
        <f>DM72-DN74</f>
        <v>0</v>
      </c>
      <c r="DQ72" s="1715" t="str">
        <f>IFERROR(IF(AND(OR(GC72=4,GC72=5,GC72=6),OR(GF72=4,GF72=5,GF72=6)),GC72+8,VLOOKUP(CW74,Fixtures!R$31:Y$78,8,FALSE)),"")</f>
        <v/>
      </c>
      <c r="DR72" s="1829" t="str">
        <f>DQ72</f>
        <v/>
      </c>
      <c r="DS72" s="1702" t="str">
        <f>IFERROR(VLOOKUP(DG74,Lookup!BB$3:BC$20,2,FALSE),"")</f>
        <v/>
      </c>
      <c r="DT72" s="1713" t="str">
        <f>IF(OR(DS72=7,DS72=8,DS72=9),"ALC","")</f>
        <v/>
      </c>
      <c r="DU72" s="1715">
        <f>IFERROR(IF(OR(DQ72=4,DQ72=5,DQ72=6,DQ72=12,DQ72=13,DQ72=14),VLOOKUP(CW74,Fixtures!DN$27:EG$77,19,FALSE),1)*CV74,0)</f>
        <v>0</v>
      </c>
      <c r="DV72" s="1716">
        <f>IF(OR(DS72=7,DS72=8,DS72=9),IF(DG72=DG74,0,DF74),0)</f>
        <v>0</v>
      </c>
      <c r="DX72" s="1715" t="str">
        <f>IFERROR(IF(EZ72&lt;EZ74,"Yes","No"),"")</f>
        <v/>
      </c>
      <c r="DY72" s="1829" t="str">
        <f>DX72</f>
        <v/>
      </c>
      <c r="DZ72" s="1715">
        <f>IF(DX72="Yes",DF74,0)</f>
        <v>0</v>
      </c>
      <c r="EA72" s="1715">
        <f>DZ72-DV72</f>
        <v>0</v>
      </c>
      <c r="EC72" s="1834">
        <f>IFERROR(VLOOKUP(DQ72,Lookup!AU$3:AV$16,2,FALSE),0)</f>
        <v>0</v>
      </c>
      <c r="ED72" s="1834">
        <f>IF(IB72=FALSE,0,IF(DX72="Yes",EC72+Lookup!K$6,EC72))</f>
        <v>0</v>
      </c>
      <c r="EF72" s="1707">
        <f>IF(IB72=TRUE,DM72,0)</f>
        <v>0</v>
      </c>
      <c r="EG72" s="1712">
        <f>IF(IB72=TRUE,CZ74,0)</f>
        <v>0</v>
      </c>
      <c r="EH72" s="1814">
        <f>IFERROR(EF72-EG72,0)</f>
        <v>0</v>
      </c>
      <c r="EI72" s="1712">
        <f>IF(IB72=TRUE,DJ74,0)</f>
        <v>0</v>
      </c>
      <c r="EJ72" s="1712">
        <f>IFERROR(EF72-EG72+EI72,0)</f>
        <v>0</v>
      </c>
      <c r="EK72" s="1812">
        <f>IF(IB72=TRUE,CV74*CX74,0)</f>
        <v>0</v>
      </c>
      <c r="EL72" s="1812">
        <f>IF(IB72=TRUE,DF74*DH74,0)</f>
        <v>0</v>
      </c>
      <c r="EM72" s="1807">
        <f>AR72</f>
        <v>0</v>
      </c>
      <c r="EN72" s="1839" t="str">
        <f>IFERROR(IF(IB72=TRUE,VLOOKUP(DQ72,Lookup!AU$3:AW$16,3,FALSE)*DU72,""),0)</f>
        <v/>
      </c>
      <c r="EO72" s="1839">
        <f>IF(IB72=TRUE,DZ72*Lookup!AW$12,0)</f>
        <v>0</v>
      </c>
      <c r="EP72" s="1817">
        <f>IFERROR(IF(IB72=TRUE,EN72/EP$40,0),0)</f>
        <v>0</v>
      </c>
      <c r="EQ72" s="1817">
        <f>IF(IB72=TRUE,EO72/EQ$40,0)</f>
        <v>0</v>
      </c>
      <c r="ER72" s="1807">
        <f>IF(IB72=TRUE,ET$40*EP72,0)</f>
        <v>0</v>
      </c>
      <c r="ES72" s="1807">
        <f>IF(IB72=TRUE,ET$40*EQ72,0)</f>
        <v>0</v>
      </c>
      <c r="ET72" s="1807">
        <f>ER72+ES72</f>
        <v>0</v>
      </c>
      <c r="EV72" s="1715">
        <f>IF(G72="",0,1)</f>
        <v>0</v>
      </c>
      <c r="EX72" s="1804" t="str">
        <f>IFERROR(VLOOKUP(CS74,'Space Table'!$B$3:$L$163,8,FALSE),"")</f>
        <v/>
      </c>
      <c r="EY72" s="1804" t="str">
        <f>IFERROR(IF(FB72="Yes",VLOOKUP(DG72,Lookup_Control_Type_Table2,4,FALSE),VLOOKUP(DG72,Lookup_Control_Type_Table2,3,FALSE)),"")</f>
        <v/>
      </c>
      <c r="EZ72" s="1804" t="e">
        <f>VLOOKUP(DG72,Lookup!BB$3:BC$20,2,FALSE)</f>
        <v>#N/A</v>
      </c>
      <c r="FA72" s="1804" t="e">
        <f>VLOOKUP(EX72,Lookup_Control_Type_Table,2,FALSE)</f>
        <v>#N/A</v>
      </c>
      <c r="FB72" s="1804" t="e">
        <f>VLOOKUP(CS74,'Space Table'!$B$3:$L$163,7,FALSE)</f>
        <v>#N/A</v>
      </c>
      <c r="FC72" s="1826" t="b">
        <f>ISNUMBER(SEARCH("TLED",U74))</f>
        <v>0</v>
      </c>
      <c r="FE72" s="1698" t="str">
        <f>CONCATENATE(CQ72," - ",DG72)</f>
        <v xml:space="preserve"> - 0</v>
      </c>
      <c r="FG72" s="1702" t="str">
        <f>VLOOKUP(CW74,Fixtures!DN$27:EZ$77,38,FALSE)</f>
        <v/>
      </c>
      <c r="FH72" s="1702">
        <f>IFERROR(FG72*EH72,0)</f>
        <v>0</v>
      </c>
      <c r="FI72" s="133"/>
      <c r="FL72" s="1822" t="str">
        <f>IF(CQ72="Exterior","Not Daylighted",G75)</f>
        <v>Not Daylighted</v>
      </c>
      <c r="FM72" s="1824">
        <f>VLOOKUP(FL72,_New_Daylight_Table_Codes,2,FALSE)</f>
        <v>0</v>
      </c>
      <c r="FN72" s="1698">
        <f>IF(__Retrofit_TI_NC&gt;0,VLOOKUP(G74,'Space Table'!$B$3:$L$163,11,FALSE),AG73)</f>
        <v>0</v>
      </c>
      <c r="FO72" s="1698" t="e">
        <f>IF(__Retrofit_TI_NC=2,VLOOKUP(FQ72,_Control_Table,2,FALSE),VLOOKUP(FN72,_Control_Table,2,FALSE))</f>
        <v>#N/A</v>
      </c>
      <c r="FP72" s="1678" t="e">
        <f>VLOOKUP(CONCATENATE(FL72," ",FN72),Lookup!AY80:AZ$102,2,FALSE)</f>
        <v>#N/A</v>
      </c>
      <c r="FQ72" s="1678">
        <f>IF(__Retrofit_TI_NC=0,FN72,IF(AND(FT72&gt;0,FN72="Occupancy Sensor"),"Daylight + Occupancy",IF(AND(FT72&gt;0,VLOOKUP(FN72,_Control_Table,2,FALSE)&lt;4),"Interior Daylight Dimming",FN72)))</f>
        <v>0</v>
      </c>
      <c r="FS72" s="1686">
        <f>IF(CR72="Interior",VLOOKUP(CS72,Control_Savings_Interior,5,FALSE),0)</f>
        <v>0</v>
      </c>
      <c r="FT72" s="1687">
        <f>IF(CQ72="Exterior",0,IF(FM72=2,0.5,IF(OR(FM72=1,FM72=3),1,0)))</f>
        <v>0</v>
      </c>
      <c r="FU72" s="1685">
        <f>IF(R71&gt;FS$44,(FS72*(FS$44/R71)),FS72)*FT72</f>
        <v>0</v>
      </c>
      <c r="FV72" s="1686">
        <f>DI72</f>
        <v>0</v>
      </c>
      <c r="FW72" s="1686">
        <f>ROUND(FV72+((1-FV72)*FU72),2)</f>
        <v>0</v>
      </c>
      <c r="FX72" s="1686">
        <f>IF(__Retrofit_TI_NC=2,FW72,FV72)</f>
        <v>0</v>
      </c>
      <c r="FY72" s="1697"/>
      <c r="GA72" s="1696" t="str">
        <f>IFERROR(VLOOKUP(U73,_Exist_Fixture_Table,3,FALSE),"")</f>
        <v/>
      </c>
      <c r="GB72" s="1696" t="str">
        <f>VLOOKUP(CW72,_Exist_Fixture_Table,4,FALSE)</f>
        <v/>
      </c>
      <c r="GC72" s="1696">
        <f>IFERROR(VLOOKUP(GB72,Lookup!AT$6:AU$8,2,FALSE),0)</f>
        <v>0</v>
      </c>
      <c r="GD72" s="1696" t="b">
        <f>IFERROR(IF(OR(GF72=4,GF72=5,GF72=6),TRUE,FALSE),"")</f>
        <v>0</v>
      </c>
      <c r="GE72" s="1696" t="str">
        <f>IFERROR(VLOOKUP(GF72,GC$6:GD$10,2,FALSE),"")</f>
        <v/>
      </c>
      <c r="GF72" s="1696" t="str">
        <f>VLOOKUP(CW74,Fixtures!R$31:Y$78,8,FALSE)</f>
        <v/>
      </c>
      <c r="GG72" s="1696">
        <f>IF(AND(GA72=TRUE,GD72=TRUE,OR(DQ72=12,DQ72=13,DQ72=14)),GC72+8,0)</f>
        <v>0</v>
      </c>
      <c r="GH72" s="1696" t="b">
        <f>IF(OR(GG72=12,GG72=13,GG72=14),TRUE,FALSE)</f>
        <v>0</v>
      </c>
      <c r="GI72" s="673" t="b">
        <f>IF(ISNUMBER(SEARCH("TLED",U73)),TRUE,FALSE)</f>
        <v>0</v>
      </c>
      <c r="GJ72" s="1135" t="str">
        <f>IFERROR(VLOOKUP(U73,Fixtures!BM$93:BR$142,6,FALSE),"")</f>
        <v/>
      </c>
      <c r="GK72" s="1832" t="b">
        <f>IF(OR(GI72=FALSE,GI74=FALSE),TRUE,IF(GJ72-GJ74&lt;5,FALSE,TRUE))</f>
        <v>1</v>
      </c>
      <c r="GO72" s="674">
        <f>GP72</f>
        <v>0</v>
      </c>
      <c r="GP72" s="674">
        <f>IF(G72="",0,1)</f>
        <v>0</v>
      </c>
      <c r="GQ72" s="674">
        <f ca="1">SUM(GR72:HF72)</f>
        <v>2</v>
      </c>
      <c r="GR72" s="674">
        <f>IF(G73="",0,1)</f>
        <v>0</v>
      </c>
      <c r="GS72" s="674">
        <f>IF(N75="BAM",1,IF(G74="",0,1))</f>
        <v>0</v>
      </c>
      <c r="GT72" s="674">
        <f>IF(N75="BAM",1,IF(R73="",0,1))</f>
        <v>0</v>
      </c>
      <c r="GU72" s="674">
        <f>IF(N75="BAM",1,IF(__Retrofit_TI_NC=0,1,IF(R74="",0,1)))</f>
        <v>1</v>
      </c>
      <c r="GV72" s="674">
        <f>IF(N75="BAM",1,IF(CQ72="Exterior",1,IF(G75="",0,1)))</f>
        <v>1</v>
      </c>
      <c r="GW72" s="674">
        <f>IF(__Retrofit_TI_NC&gt;0,1,IF(T73="",0,1))</f>
        <v>0</v>
      </c>
      <c r="GX72" s="674">
        <f>IF(__Retrofit_TI_NC&gt;0,1,IF(U73="",0,1))</f>
        <v>0</v>
      </c>
      <c r="GY72" s="674">
        <f>IF(N75="BAM",1,IF(T74="",0,1))</f>
        <v>0</v>
      </c>
      <c r="GZ72" s="674">
        <f>IF(N75="BAM",1,IF(U74="",0,1))</f>
        <v>0</v>
      </c>
      <c r="HA72" s="674">
        <f ca="1">IF(N75="BAM",1,IF(__Retrofit_TI_NC&gt;0,1,IF(U75="",0,1)))</f>
        <v>0</v>
      </c>
      <c r="HB72" s="674">
        <f>IF(__Retrofit_TI_NC&lt;&gt;0,1,IF(AF73="",0,1))</f>
        <v>0</v>
      </c>
      <c r="HC72" s="674">
        <f>IF(__Retrofit_TI_NC&lt;&gt;0,1,IF(AG73="",0,1))</f>
        <v>0</v>
      </c>
      <c r="HD72" s="674">
        <f>IF(N75="BAM",1,IF(AF74="",0,1))</f>
        <v>0</v>
      </c>
      <c r="HE72" s="674">
        <f>IF(N75="BAM",1,IF(AG74="",0,1))</f>
        <v>0</v>
      </c>
      <c r="HF72" s="674">
        <f>IF(N75="BAM",1,IF(__Retrofit_TI_NC&gt;0,1,IF(AG75="",0,1)))</f>
        <v>0</v>
      </c>
      <c r="HG72" s="391"/>
      <c r="IA72" s="391"/>
      <c r="IB72" s="1693" t="b">
        <f>IF(OR(IB75=0,IB75=HY$16,IB75=HX$16,IB75=HZ$16),TRUE,FALSE)</f>
        <v>0</v>
      </c>
      <c r="IC72" s="1694" t="b">
        <f>IB72</f>
        <v>0</v>
      </c>
      <c r="ID72" s="391"/>
      <c r="IE72" s="391"/>
      <c r="IF72" s="1688" t="b">
        <f ca="1">IF(MAX(GN75:HU75)&gt;5,FALSE,TRUE)</f>
        <v>0</v>
      </c>
      <c r="IG72" s="1689">
        <f ca="1">IF(IF72=TRUE,AC72,0)</f>
        <v>0</v>
      </c>
      <c r="IH72" s="1689">
        <f ca="1">IG72-IG74</f>
        <v>0</v>
      </c>
      <c r="IK72" s="1689" t="e">
        <f>ROUND(T73*VLOOKUP(U73,Fixtures_Existing_List,2,FALSE)*N73*R73/1000,0)</f>
        <v>#N/A</v>
      </c>
      <c r="IL72" s="1690" t="e">
        <f>IK72-IK74</f>
        <v>#N/A</v>
      </c>
      <c r="IM72" s="1693" t="e">
        <f>ROUND(IF(CQ72="Interior",N74*R74*R73*N73*_C406_reduction/1000,N74*R74*R73*N73/1000),0)</f>
        <v>#N/A</v>
      </c>
      <c r="IN72" s="1693" t="e">
        <f>IM72-IM74</f>
        <v>#N/A</v>
      </c>
      <c r="IP72" s="1679"/>
      <c r="IQ72" s="1679" t="e">
        <f t="shared" ref="IQ72:IU72" si="41">IF($CR72="interior",VLOOKUP($CS72,_New_Control_Savings_Interior,IQ$30,FALSE),VLOOKUP($CS72,Control_Savings_Exterior,IQ$30,FALSE))</f>
        <v>#N/A</v>
      </c>
      <c r="IR72" s="1679" t="e">
        <f t="shared" si="41"/>
        <v>#N/A</v>
      </c>
      <c r="IS72" s="1679" t="e">
        <f t="shared" si="41"/>
        <v>#N/A</v>
      </c>
      <c r="IT72" s="1679" t="e">
        <f t="shared" si="41"/>
        <v>#N/A</v>
      </c>
      <c r="IU72" s="1679" t="e">
        <f t="shared" si="41"/>
        <v>#N/A</v>
      </c>
      <c r="IV72" s="1679" t="e">
        <f>IF($CR72="interior",IF(R73&gt;$IP$14,ROUND(($IV$18*($IP$14/R73)),2),$IV$18),VLOOKUP($CS72,Control_Savings_Exterior,IV$30,FALSE))</f>
        <v>#N/A</v>
      </c>
      <c r="IW72" s="1679" t="e">
        <f>IF($CR72="interior",ROUND(((1-IS72)*IV72)+IS72,2),VLOOKUP($CS72,Control_Savings_Exterior,IW$30,FALSE))</f>
        <v>#N/A</v>
      </c>
      <c r="IX72" s="1679" t="e">
        <f>IF($CR72="interior",ROUND(((1-IT72)*IV72)+IT72,2),VLOOKUP($CS72,Control_Savings_Exterior,IX$30,FALSE))</f>
        <v>#N/A</v>
      </c>
      <c r="IY72" s="1679" t="e">
        <f>IF($CR72="interior",IF(R73&gt;$IP$14,ROUND(($IY$18*($IP$14/R73)),2),$IY$18),VLOOKUP($CS72,Control_Savings_Exterior,IY$30,FALSE))</f>
        <v>#N/A</v>
      </c>
      <c r="IZ72" s="1679" t="e">
        <f>IF($CR72="interior",ROUND(((1-IS72)*IY72)+IS72,2),VLOOKUP($CS72,Control_Savings_Exterior,IZ$30,FALSE))</f>
        <v>#N/A</v>
      </c>
      <c r="JA72" s="1679" t="e">
        <f>IF($CR72="interior",ROUND(((1-IT72)*IY72)+IT72,2),VLOOKUP($CS72,Control_Savings_Exterior,JA$30,FALSE))</f>
        <v>#N/A</v>
      </c>
      <c r="JC72" s="1680">
        <f>IFERROR(IF(CR72="Interior",CONCATENATE(G75," ",FQ72),FQ72),"")</f>
        <v>0</v>
      </c>
      <c r="JD72" s="1670" t="str">
        <f>IFERROR(VLOOKUP(JC72,_Controls_2023,2,FALSE),"")</f>
        <v/>
      </c>
      <c r="JE72" s="1681">
        <f>IFERROR(CHOOSE(JD72-1,IQ72,IR72,IS72,IT72,IU72,IV72,IW72,IX72,IY72,IZ72,JA72),0)</f>
        <v>0</v>
      </c>
      <c r="JG72" s="1680" t="str">
        <f>FE72</f>
        <v xml:space="preserve"> - 0</v>
      </c>
      <c r="JH72" s="1670" t="e">
        <f>$FO72</f>
        <v>#N/A</v>
      </c>
      <c r="JI72" s="1060"/>
      <c r="JJ72" s="1682" t="b">
        <f>IF($JG74=CONCATENATE("Interior - ",JJ$4),TRUE,FALSE)</f>
        <v>0</v>
      </c>
      <c r="JK72" s="1061"/>
      <c r="JL72" s="1682" t="b">
        <f>IF($JG74=CONCATENATE("Interior - ",JL$4),TRUE,FALSE)</f>
        <v>0</v>
      </c>
      <c r="JM72" s="1061"/>
      <c r="JN72" s="1682" t="b">
        <f>IF($JG74=CONCATENATE("Interior - ",JN$4),TRUE,FALSE)</f>
        <v>0</v>
      </c>
      <c r="JO72" s="1061"/>
      <c r="JP72" s="1682" t="b">
        <f>IF(__Retrofit_TI_NC&gt;0,FALSE,IF($JG74=CONCATENATE("Interior - ",JP$4),TRUE,FALSE))</f>
        <v>0</v>
      </c>
      <c r="JQ72" s="1061"/>
      <c r="JR72" s="1682" t="b">
        <f>IF(__Retrofit_TI_NC&gt;0,FALSE,IF($JG74=CONCATENATE("Interior - ",JR$4),TRUE,FALSE))</f>
        <v>0</v>
      </c>
      <c r="JS72" s="1061"/>
      <c r="JT72" s="1670" t="b">
        <f>IF(__Retrofit_TI_NC&gt;0,FALSE,IF($JG74=CONCATENATE("Interior - ",JT$4),TRUE,FALSE))</f>
        <v>0</v>
      </c>
      <c r="JU72" s="1061"/>
      <c r="JV72" s="1670" t="b">
        <f>IF(JC74="AELC on Existing",TRUE,FALSE)</f>
        <v>0</v>
      </c>
      <c r="JX72" s="1670" t="b">
        <f>IF(OR(JG74="Exterior - AELC Occupancy based",JG74="Exterior - AELC Time based"),TRUE,FALSE)</f>
        <v>0</v>
      </c>
      <c r="JZ72" s="1682" t="b">
        <f>IF($JG74=CONCATENATE("Exterior - ",JZ$4),TRUE,FALSE)</f>
        <v>0</v>
      </c>
      <c r="KB72" s="1670" t="b">
        <f>IF(__Retrofit_TI_NC&gt;0,FALSE,IF($JG74=CONCATENATE("Interior - ",KB$4),TRUE,FALSE))</f>
        <v>0</v>
      </c>
    </row>
    <row r="73" spans="1:288" s="78" customFormat="1" ht="14.95" customHeight="1" thickTop="1" thickBot="1">
      <c r="B73" s="1845"/>
      <c r="C73" s="1846"/>
      <c r="D73" s="1847"/>
      <c r="E73" s="1737" t="s">
        <v>297</v>
      </c>
      <c r="F73" s="1738"/>
      <c r="G73" s="1739"/>
      <c r="H73" s="1739"/>
      <c r="I73" s="1739"/>
      <c r="J73" s="1739"/>
      <c r="K73" s="1739"/>
      <c r="L73" s="1739"/>
      <c r="M73" s="461" t="e">
        <f>IF(__Retrofit_TI_NC&lt;&gt;0,IF(VLOOKUP(G74,'Space Table'!$B$3:$L$163,3,FALSE)&gt;0,1,0),IF(__Retrofit_TI_NC=VLOOKUP(G74,'Space Table'!$B$3:$L$163,3,FALSE),1,0))</f>
        <v>#N/A</v>
      </c>
      <c r="N73" s="461" t="str">
        <f>IFERROR(VLOOKUP(G73,_Lookup_Heat_Type_Table_New,2,FALSE),"")</f>
        <v/>
      </c>
      <c r="O73" s="461">
        <f>IF(__Retrofit_TI_NC=1,CONCATENATE("TI ",G73),IF(__Retrofit_TI_NC=2,CONCATENATE("NC ",G73),G73))</f>
        <v>0</v>
      </c>
      <c r="P73" s="1740" t="s">
        <v>435</v>
      </c>
      <c r="Q73" s="1740"/>
      <c r="R73" s="595"/>
      <c r="S73" s="1792"/>
      <c r="T73" s="597"/>
      <c r="U73" s="1765"/>
      <c r="V73" s="1766"/>
      <c r="W73" s="1766"/>
      <c r="X73" s="1766"/>
      <c r="Y73" s="1766"/>
      <c r="Z73" s="1766"/>
      <c r="AA73" s="1766"/>
      <c r="AB73" s="1766"/>
      <c r="AC73" s="1766"/>
      <c r="AD73" s="1767"/>
      <c r="AE73" s="1000"/>
      <c r="AF73" s="597"/>
      <c r="AG73" s="1723"/>
      <c r="AH73" s="1724"/>
      <c r="AI73" s="1724"/>
      <c r="AJ73" s="1724"/>
      <c r="AK73" s="1725"/>
      <c r="AL73" s="996"/>
      <c r="AM73" s="1747"/>
      <c r="AN73" s="1775"/>
      <c r="AO73" s="1777"/>
      <c r="AP73" s="1780"/>
      <c r="AQ73" s="1781"/>
      <c r="AR73" s="1795"/>
      <c r="AS73" s="1795"/>
      <c r="AT73" s="1796"/>
      <c r="AU73" s="1735"/>
      <c r="AV73" s="1752"/>
      <c r="AW73" s="1705"/>
      <c r="AX73" s="467"/>
      <c r="AY73" s="1749"/>
      <c r="AZ73" s="1749"/>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696"/>
      <c r="CQ73" s="1696"/>
      <c r="CR73" s="1809"/>
      <c r="CS73" s="1811"/>
      <c r="CU73" s="1688"/>
      <c r="CV73" s="1703"/>
      <c r="CW73" s="1703"/>
      <c r="CX73" s="1703"/>
      <c r="CY73" s="1815"/>
      <c r="CZ73" s="1711"/>
      <c r="DA73" s="1818"/>
      <c r="DB73" s="1820"/>
      <c r="DC73" s="1820"/>
      <c r="DD73" s="1820"/>
      <c r="DF73" s="1703"/>
      <c r="DG73" s="1831"/>
      <c r="DH73" s="1703"/>
      <c r="DI73" s="1838"/>
      <c r="DJ73" s="1711"/>
      <c r="DK73" s="1712"/>
      <c r="DM73" s="1718"/>
      <c r="DO73" s="1708"/>
      <c r="DQ73" s="1715"/>
      <c r="DR73" s="1720"/>
      <c r="DS73" s="1816"/>
      <c r="DT73" s="1714"/>
      <c r="DU73" s="1715"/>
      <c r="DV73" s="1716"/>
      <c r="DX73" s="1715"/>
      <c r="DY73" s="1720"/>
      <c r="DZ73" s="1715"/>
      <c r="EA73" s="1715"/>
      <c r="EC73" s="1834"/>
      <c r="ED73" s="1834"/>
      <c r="EF73" s="1707"/>
      <c r="EG73" s="1712"/>
      <c r="EH73" s="1818"/>
      <c r="EI73" s="1712"/>
      <c r="EJ73" s="1712"/>
      <c r="EK73" s="1836"/>
      <c r="EL73" s="1836"/>
      <c r="EM73" s="1807"/>
      <c r="EN73" s="1839"/>
      <c r="EO73" s="1839"/>
      <c r="EP73" s="1817"/>
      <c r="EQ73" s="1817"/>
      <c r="ER73" s="1807"/>
      <c r="ES73" s="1807"/>
      <c r="ET73" s="1807"/>
      <c r="EV73" s="1715"/>
      <c r="EX73" s="1805"/>
      <c r="EY73" s="1805"/>
      <c r="EZ73" s="1805"/>
      <c r="FA73" s="1805"/>
      <c r="FB73" s="1805"/>
      <c r="FC73" s="1827"/>
      <c r="FE73" s="1698"/>
      <c r="FG73" s="1816"/>
      <c r="FH73" s="1816"/>
      <c r="FI73" s="133"/>
      <c r="FL73" s="1823"/>
      <c r="FM73" s="1825"/>
      <c r="FN73" s="1698"/>
      <c r="FO73" s="1698"/>
      <c r="FP73" s="1678"/>
      <c r="FQ73" s="1678"/>
      <c r="FS73" s="1687"/>
      <c r="FT73" s="1687"/>
      <c r="FU73" s="1685"/>
      <c r="FV73" s="1687"/>
      <c r="FW73" s="1687"/>
      <c r="FX73" s="1687"/>
      <c r="FY73" s="1697"/>
      <c r="GA73" s="1696"/>
      <c r="GB73" s="1696"/>
      <c r="GC73" s="1696"/>
      <c r="GD73" s="1696"/>
      <c r="GE73" s="1696"/>
      <c r="GF73" s="1696"/>
      <c r="GG73" s="1696"/>
      <c r="GH73" s="1696"/>
      <c r="GI73" s="673"/>
      <c r="GJ73" s="1135"/>
      <c r="GK73" s="1832"/>
      <c r="GM73" s="1693" t="b">
        <f ca="1">IF(AND(GP73=TRUE,GQ73=TRUE),TRUE,FALSE)</f>
        <v>0</v>
      </c>
      <c r="GN73" s="1684" t="b">
        <f>IFERROR(IF(__Retrofit_TI_NC=2,TRUE,IF(AU72="Yes",TRUE,FALSE)),FALSE)</f>
        <v>1</v>
      </c>
      <c r="GP73" s="1684" t="b">
        <f>IFERROR(IF(GP72=1,TRUE,FALSE),FALSE)</f>
        <v>0</v>
      </c>
      <c r="GQ73" s="1684" t="b">
        <f ca="1">IFERROR(IF(GQ72=GQ$14,TRUE,FALSE),FALSE)</f>
        <v>0</v>
      </c>
      <c r="HG73" s="1684" t="b">
        <f>IFERROR(IF(AND(__Retrofit_TI_NC&gt;0,CQ72="Interior"),FALSE,TRUE),FALSE)</f>
        <v>1</v>
      </c>
      <c r="HH73" s="1684" t="b">
        <f>IFERROR(IF(M73=1,TRUE,FALSE),FALSE)</f>
        <v>0</v>
      </c>
      <c r="HI73" s="1684" t="b">
        <f>IFERROR(IF(OR(M74=1,N75="BAM"),TRUE,FALSE),FALSE)</f>
        <v>0</v>
      </c>
      <c r="HJ73" s="1684" t="b">
        <f>IFERROR(IF(__Retrofit_TI_NC&lt;&gt;0,TRUE,IFERROR(IF(VLOOKUP(U73,Fixtures_Existing_List,2,FALSE)&lt;&gt;"",TRUE,FALSE),FALSE)),FALSE)</f>
        <v>0</v>
      </c>
      <c r="HK73" s="1684" t="b">
        <f>IFERROR(IF(VLOOKUP(U74,Fixtures_Proposed_List,2,FALSE)&lt;&gt;"",TRUE,FALSE),FALSE)</f>
        <v>0</v>
      </c>
      <c r="HL73" s="1684" t="b">
        <f>IF(AND(__Retrofit_TI_NC=2,FC72=TRUE),FALSE,TRUE)</f>
        <v>1</v>
      </c>
      <c r="HM73" s="1684" t="b">
        <f>GK72</f>
        <v>1</v>
      </c>
      <c r="HN73" s="1682" t="b">
        <f>IF(ISERROR(MATCH(FE72,_Control_Match[],0))=TRUE,FALSE,TRUE)</f>
        <v>0</v>
      </c>
      <c r="HO73" s="1693" t="b">
        <f>IFERROR(IF(EX72&lt;&gt;EY72,FALSE,TRUE),FALSE)</f>
        <v>1</v>
      </c>
      <c r="HP73" s="1693" t="b">
        <f>IFERROR(IF(EX74&lt;&gt;EY74,FALSE,TRUE),FALSE)</f>
        <v>1</v>
      </c>
      <c r="HQ73" s="1670" t="b">
        <f>IFERROR(IF(CQ72="Exterior",TRUE,IF(AND(OR(FM74=0,FM74=3),JD74&gt;6),FALSE,TRUE)),FALSE)</f>
        <v>0</v>
      </c>
      <c r="HR73" s="1684" t="b">
        <f>IFERROR(IF(AND(FO74=7,FC72=TRUE),FALSE,TRUE),FALSE)</f>
        <v>0</v>
      </c>
      <c r="HS73" s="1684" t="b">
        <f>IFERROR(IF(AND(T74&lt;&gt;AF74,OR(AG74="Interior LLLC", AG74="Interior NLC", AG74="LLLC (outside Daylight)",AG74="LLLC Controls Only"))=TRUE,FALSE,TRUE),FALSE)</f>
        <v>1</v>
      </c>
      <c r="HT73" s="1670" t="b">
        <f>IFERROR(IF(OR(AG74=Lookup!BB$17,AG74=Lookup!BB$18,AG74=Lookup!BB$19)=TRUE,IF(AF74&gt;T74,FALSE,TRUE),TRUE),FALSE)</f>
        <v>1</v>
      </c>
      <c r="HU73" s="1684" t="b">
        <f>IFERROR(IF(__Retrofit_TI_NC=2,IF(EZ74&lt;EZ72,FALSE,TRUE),TRUE),FALSE)</f>
        <v>1</v>
      </c>
      <c r="HV73" s="1684" t="b">
        <f>IF(CQ72="Interior",IL$6,TRUE)</f>
        <v>1</v>
      </c>
      <c r="HW73" s="1684" t="b">
        <f>IF(CQ72="Exterior",IL$8,TRUE)</f>
        <v>1</v>
      </c>
      <c r="HX73" s="1684" t="b">
        <f>IFERROR(IF(__Retrofit_TI_NC&lt;&gt;0,IF(AZ72&lt;AY72,FALSE,TRUE),TRUE),FALSE)</f>
        <v>1</v>
      </c>
      <c r="HY73" s="1684" t="b">
        <f>IFERROR(IF(AND(G73="Exterior",R73&gt;4200),FALSE,TRUE),FALSE)</f>
        <v>1</v>
      </c>
      <c r="HZ73" s="1684" t="b">
        <f>IFERROR(IF(AB75/AB72&lt;HZ$18,FALSE,TRUE),FALSE)</f>
        <v>0</v>
      </c>
      <c r="IB73" s="1691"/>
      <c r="IC73" s="1695"/>
      <c r="ID73" s="1694" t="str">
        <f>VLOOKUP(IB75,_Error_Table,4,FALSE)</f>
        <v>White</v>
      </c>
      <c r="IE73" s="391"/>
      <c r="IF73" s="1688"/>
      <c r="IG73" s="1689"/>
      <c r="IH73" s="1684"/>
      <c r="IK73" s="1689"/>
      <c r="IL73" s="1691"/>
      <c r="IM73" s="1691"/>
      <c r="IN73" s="1691"/>
      <c r="IP73" s="1679"/>
      <c r="IQ73" s="1679"/>
      <c r="IR73" s="1679"/>
      <c r="IS73" s="1679"/>
      <c r="IT73" s="1679"/>
      <c r="IU73" s="1679"/>
      <c r="IV73" s="1679"/>
      <c r="IW73" s="1679"/>
      <c r="IX73" s="1679"/>
      <c r="IY73" s="1679"/>
      <c r="IZ73" s="1679"/>
      <c r="JA73" s="1679"/>
      <c r="JC73" s="1680"/>
      <c r="JD73" s="1670"/>
      <c r="JE73" s="1681"/>
      <c r="JG73" s="1680"/>
      <c r="JH73" s="1670"/>
      <c r="JI73" s="1060"/>
      <c r="JJ73" s="1683"/>
      <c r="JK73" s="1061"/>
      <c r="JL73" s="1683"/>
      <c r="JM73" s="1061"/>
      <c r="JN73" s="1683"/>
      <c r="JO73" s="1061"/>
      <c r="JP73" s="1683"/>
      <c r="JQ73" s="1061"/>
      <c r="JR73" s="1683"/>
      <c r="JS73" s="1061"/>
      <c r="JT73" s="1670"/>
      <c r="JU73" s="1061"/>
      <c r="JV73" s="1670"/>
      <c r="JX73" s="1670"/>
      <c r="JZ73" s="1683"/>
      <c r="KB73" s="1670"/>
    </row>
    <row r="74" spans="1:288" s="78" customFormat="1" ht="14.95" customHeight="1" thickTop="1" thickBot="1">
      <c r="A74" s="78">
        <f>ROW()</f>
        <v>74</v>
      </c>
      <c r="B74" s="1845"/>
      <c r="C74" s="1846"/>
      <c r="D74" s="1847"/>
      <c r="E74" s="1737" t="s">
        <v>298</v>
      </c>
      <c r="F74" s="1738"/>
      <c r="G74" s="1760"/>
      <c r="H74" s="1761"/>
      <c r="I74" s="1761"/>
      <c r="J74" s="1761"/>
      <c r="K74" s="1761"/>
      <c r="L74" s="1762"/>
      <c r="M74" s="461">
        <f>IFERROR(IF(IF(__Retrofit_TI_NC&lt;&gt;0,IF(CQ72="Interior",MATCH(G74,Lookup_Interior_New,0),MATCH(G74,Lookup_Exterior_New,0)),IF(CQ72="Interior",MATCH(G74,Lookup_Interior,0),MATCH(G74,Lookup_Exterior_Areas,0)))&gt;0,1,0),0)</f>
        <v>0</v>
      </c>
      <c r="N74" s="461" t="e">
        <f>IF(__Retrofit_TI_NC=1,
VLOOKUP(G74,'Space Table'!$B$3:$L$163,4,FALSE),
IF(__Retrofit_TI_NC=2,VLOOKUP(G74,'Space Table'!$B$3:$L$163,5,FALSE),VLOOKUP(G74,'Space Table'!$B$3:$L$163,5,FALSE)))</f>
        <v>#N/A</v>
      </c>
      <c r="O74" s="461">
        <f>G74</f>
        <v>0</v>
      </c>
      <c r="P74" s="1738" t="str">
        <f>IFERROR(IF(__Retrofit_TI_NC=1,VLOOKUP(G74,'Space Table'!$B$3:$O$163,13,FALSE),IF(__Retrofit_TI_NC=2,VLOOKUP(G74,'Space Table'!$B$3:$O$163,14,FALSE),"Area (sf):")),"Area (sf):")</f>
        <v>Area (sf):</v>
      </c>
      <c r="Q74" s="1738"/>
      <c r="R74" s="596"/>
      <c r="S74" s="1763" t="s">
        <v>345</v>
      </c>
      <c r="T74" s="594"/>
      <c r="U74" s="1801"/>
      <c r="V74" s="1802"/>
      <c r="W74" s="1802"/>
      <c r="X74" s="1802"/>
      <c r="Y74" s="1802"/>
      <c r="Z74" s="1802"/>
      <c r="AA74" s="1802"/>
      <c r="AB74" s="1802"/>
      <c r="AC74" s="1802"/>
      <c r="AD74" s="1802"/>
      <c r="AE74" s="1803"/>
      <c r="AF74" s="594"/>
      <c r="AG74" s="1787"/>
      <c r="AH74" s="1787"/>
      <c r="AI74" s="1787"/>
      <c r="AJ74" s="1787"/>
      <c r="AK74" s="1787"/>
      <c r="AL74" s="1787"/>
      <c r="AM74" s="1726">
        <f>IFERROR(DI74,"")</f>
        <v>0</v>
      </c>
      <c r="AN74" s="1728" t="str">
        <f>IFERROR(ROUND(AM74*AC75,0),"")</f>
        <v/>
      </c>
      <c r="AO74" s="1730">
        <f>IFERROR(IF(IB72=FALSE,0,AC75-AN74),0)</f>
        <v>0</v>
      </c>
      <c r="AP74" s="1780"/>
      <c r="AQ74" s="1781"/>
      <c r="AR74" s="1795"/>
      <c r="AS74" s="1795"/>
      <c r="AT74" s="1796"/>
      <c r="AU74" s="1735"/>
      <c r="AV74" s="1752"/>
      <c r="AW74" s="1705"/>
      <c r="AX74" s="467"/>
      <c r="AY74" s="1749"/>
      <c r="AZ74" s="1749"/>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696"/>
      <c r="CQ74" s="1696"/>
      <c r="CR74" s="1808" t="str">
        <f>CQ72</f>
        <v/>
      </c>
      <c r="CS74" s="1810" t="str">
        <f>CS72</f>
        <v/>
      </c>
      <c r="CU74" s="1688" t="s">
        <v>345</v>
      </c>
      <c r="CV74" s="1702">
        <f>IF(IB72=TRUE,T74,0)</f>
        <v>0</v>
      </c>
      <c r="CW74" s="1702" t="str">
        <f>IF(IB72=TRUE,U74,"")</f>
        <v/>
      </c>
      <c r="CX74" s="1812">
        <f>IF(IB72=TRUE,U75,0)</f>
        <v>0</v>
      </c>
      <c r="CY74" s="1814">
        <f>IF(IB72=TRUE,AB75,0)</f>
        <v>0</v>
      </c>
      <c r="CZ74" s="1710">
        <f>IF(AND(__Retrofit_TI_NC&gt;0,CR72="interior"),0,IF(IB72=TRUE,AC75,0))</f>
        <v>0</v>
      </c>
      <c r="DA74" s="1818"/>
      <c r="DB74" s="1820"/>
      <c r="DC74" s="1820"/>
      <c r="DD74" s="1820"/>
      <c r="DF74" s="1702">
        <f>IF(IB72=TRUE,AF74,0)</f>
        <v>0</v>
      </c>
      <c r="DG74" s="1830" t="str">
        <f>IF(IB72=TRUE,AG74,"")</f>
        <v/>
      </c>
      <c r="DH74" s="1812">
        <f>AG75</f>
        <v>0</v>
      </c>
      <c r="DI74" s="1837">
        <f>JE74</f>
        <v>0</v>
      </c>
      <c r="DJ74" s="1710">
        <f>IF(AND(__Retrofit_TI_NC&gt;0,CR72="interior"),0,IF(IB72=TRUE,AN74,0))</f>
        <v>0</v>
      </c>
      <c r="DK74" s="1712"/>
      <c r="DN74" s="1717">
        <f>IFERROR(CZ74-DJ74,0)</f>
        <v>0</v>
      </c>
      <c r="DO74" s="1709"/>
      <c r="DQ74" s="1715"/>
      <c r="DR74" s="1719" t="str">
        <f>DQ72</f>
        <v/>
      </c>
      <c r="DS74" s="1816"/>
      <c r="DT74" s="1835" t="str">
        <f>IF(OR(DS72=7,DS72=8,DS72=9),"ALC","")</f>
        <v/>
      </c>
      <c r="DU74" s="1715"/>
      <c r="DV74" s="1716"/>
      <c r="DX74" s="1715"/>
      <c r="DY74" s="1829" t="str">
        <f>DX72</f>
        <v/>
      </c>
      <c r="DZ74" s="1715"/>
      <c r="EA74" s="1715"/>
      <c r="EC74" s="1834"/>
      <c r="ED74" s="1834"/>
      <c r="EF74" s="1707"/>
      <c r="EG74" s="1712"/>
      <c r="EH74" s="1818"/>
      <c r="EI74" s="1712"/>
      <c r="EJ74" s="1712"/>
      <c r="EK74" s="1836"/>
      <c r="EL74" s="1836"/>
      <c r="EM74" s="1807"/>
      <c r="EN74" s="1839"/>
      <c r="EO74" s="1839"/>
      <c r="EP74" s="1817"/>
      <c r="EQ74" s="1817"/>
      <c r="ER74" s="1807"/>
      <c r="ES74" s="1807"/>
      <c r="ET74" s="1807"/>
      <c r="EV74" s="1715"/>
      <c r="EX74" s="1805" t="str">
        <f>IFERROR(VLOOKUP(CS74,'Space Table'!$B$3:$L$163,8,FALSE),"")</f>
        <v/>
      </c>
      <c r="EY74" s="1805" t="str">
        <f>IFERROR(IF(FB74="Yes",VLOOKUP(AG74,Lookup_Control_Type_Table2,4,FALSE),VLOOKUP(AG74,Lookup_Control_Type_Table2,3,FALSE)),"")</f>
        <v/>
      </c>
      <c r="EZ74" s="1805" t="e">
        <f>VLOOKUP(AG74,Lookup!BB$3:BC$20,2,FALSE)</f>
        <v>#N/A</v>
      </c>
      <c r="FA74" s="1805" t="e">
        <f>VLOOKUP(EX72,Lookup_Control_Type_Table,2,FALSE)</f>
        <v>#N/A</v>
      </c>
      <c r="FB74" s="1805" t="e">
        <f>VLOOKUP(CS74,'Space Table'!$B$3:$L$163,7,FALSE)</f>
        <v>#N/A</v>
      </c>
      <c r="FC74" s="1827"/>
      <c r="FE74" s="1698" t="str">
        <f>CONCATENATE(CQ72," - ",AG74)</f>
        <v xml:space="preserve"> - </v>
      </c>
      <c r="FG74" s="1816"/>
      <c r="FH74" s="1816"/>
      <c r="FI74" s="133"/>
      <c r="FL74" s="1822" t="str">
        <f>IF(CQ72="Exterior","Not Daylighted",G75)</f>
        <v>Not Daylighted</v>
      </c>
      <c r="FM74" s="1824">
        <f>VLOOKUP(FL74,_New_Daylight_Table_Codes,2,FALSE)</f>
        <v>0</v>
      </c>
      <c r="FN74" s="1698">
        <f>AG74</f>
        <v>0</v>
      </c>
      <c r="FO74" s="1698" t="e">
        <f>VLOOKUP(FN74,_Control_Table,2,FALSE)</f>
        <v>#N/A</v>
      </c>
      <c r="FP74" s="1678" t="e">
        <f>VLOOKUP(CONCATENATE(FL74," ",FN74),Lookup!AY83:AZ$102,2,FALSE)</f>
        <v>#N/A</v>
      </c>
      <c r="FQ74" s="1698">
        <f>IF(__Retrofit_TI_NC=0,FN74,IF(AND(FT74&gt;0,FN74="Occupancy Sensor"),"Daylight + Occupancy",IF(AND(FT74&gt;0,FO74&lt;4),"Interior Daylight Dimming",FN74)))</f>
        <v>0</v>
      </c>
      <c r="FS74" s="1686">
        <f>IF(CQ72="Interior",VLOOKUP(CS72,Control_Savings_Interior,5,FALSE),0)</f>
        <v>0</v>
      </c>
      <c r="FT74" s="1687">
        <f>IF(CQ74="Exterior",0,IF(FM74=2,0.5,IF(OR(FM74=1,FM74=3),1,0)))</f>
        <v>0</v>
      </c>
      <c r="FU74" s="1685">
        <f>IF(R73&gt;FS$44,(FS74*(FS$44/R73)),FS74)*FT74</f>
        <v>0</v>
      </c>
      <c r="FV74" s="1686">
        <f>DI74</f>
        <v>0</v>
      </c>
      <c r="FW74" s="1686">
        <f>ROUND(FV74+((1-FV74)*FU74),2)</f>
        <v>0</v>
      </c>
      <c r="FX74" s="1686">
        <f>IF(__Retrofit_TI_NC=2,FW74,FV74)</f>
        <v>0</v>
      </c>
      <c r="FY74" s="1697">
        <f>IF(CR74="Interior",VLOOKUP(CS74,Control_Savings_Interior,4,FALSE),0)</f>
        <v>0</v>
      </c>
      <c r="GA74" s="1696"/>
      <c r="GB74" s="1696"/>
      <c r="GC74" s="1696"/>
      <c r="GD74" s="1696"/>
      <c r="GE74" s="1696"/>
      <c r="GF74" s="1696"/>
      <c r="GG74" s="1696"/>
      <c r="GH74" s="1696"/>
      <c r="GI74" s="673" t="b">
        <f>IF(ISNUMBER(SEARCH("TLED",U74)),TRUE,FALSE)</f>
        <v>0</v>
      </c>
      <c r="GJ74" s="1135" t="str">
        <f>IFERROR(VLOOKUP(U74,Fixtures!DM$93:DR$142,6,FALSE),"")</f>
        <v/>
      </c>
      <c r="GK74" s="1832"/>
      <c r="GM74" s="1692"/>
      <c r="GN74" s="1684"/>
      <c r="GP74" s="1684"/>
      <c r="GQ74" s="1684"/>
      <c r="HG74" s="1684"/>
      <c r="HH74" s="1684"/>
      <c r="HI74" s="1684"/>
      <c r="HJ74" s="1684"/>
      <c r="HK74" s="1684"/>
      <c r="HL74" s="1684"/>
      <c r="HM74" s="1684"/>
      <c r="HN74" s="1683"/>
      <c r="HO74" s="1692"/>
      <c r="HP74" s="1692"/>
      <c r="HQ74" s="1670"/>
      <c r="HR74" s="1684"/>
      <c r="HS74" s="1684"/>
      <c r="HT74" s="1670"/>
      <c r="HU74" s="1684"/>
      <c r="HV74" s="1684"/>
      <c r="HW74" s="1684"/>
      <c r="HX74" s="1684"/>
      <c r="HY74" s="1684"/>
      <c r="HZ74" s="1684"/>
      <c r="IB74" s="1692"/>
      <c r="IC74" s="1693" t="b">
        <f>IB72</f>
        <v>0</v>
      </c>
      <c r="ID74" s="1695"/>
      <c r="IE74" s="391"/>
      <c r="IF74" s="1688"/>
      <c r="IG74" s="1689">
        <f ca="1">IF(IF72=TRUE,AC75,0)</f>
        <v>0</v>
      </c>
      <c r="IH74" s="1684"/>
      <c r="IK74" s="1689" t="e">
        <f>ROUND(T74*AB75*N73*R73/1000,0)</f>
        <v>#VALUE!</v>
      </c>
      <c r="IL74" s="1691"/>
      <c r="IM74" s="1693" t="e">
        <f>ROUND(T74*AB75*N73*R73/1000,0)</f>
        <v>#VALUE!</v>
      </c>
      <c r="IN74" s="1691"/>
      <c r="IP74" s="1679"/>
      <c r="IQ74" s="1679" t="e">
        <f t="shared" ref="IQ74:IU74" si="42">IF($CR74="interior",VLOOKUP($CS74,_New_Control_Savings_Interior,IQ$30,FALSE),VLOOKUP($CS74,Control_Savings_Exterior,IQ$30,FALSE))</f>
        <v>#N/A</v>
      </c>
      <c r="IR74" s="1679" t="e">
        <f t="shared" si="42"/>
        <v>#N/A</v>
      </c>
      <c r="IS74" s="1679" t="e">
        <f t="shared" si="42"/>
        <v>#N/A</v>
      </c>
      <c r="IT74" s="1679" t="e">
        <f t="shared" si="42"/>
        <v>#N/A</v>
      </c>
      <c r="IU74" s="1679" t="e">
        <f t="shared" si="42"/>
        <v>#N/A</v>
      </c>
      <c r="IV74" s="1679" t="e">
        <f>IF($CR74="interior",IF(R73&gt;$IP$14,ROUND(($IV$18*($IP$14/R73)),2),$IV$18),VLOOKUP($CS74,Control_Savings_Exterior,IV$30,FALSE))</f>
        <v>#N/A</v>
      </c>
      <c r="IW74" s="1679" t="e">
        <f>IF($CR74="interior",ROUND(((1-IS74)*IV74)+IS74,2),VLOOKUP($CS74,Control_Savings_Exterior,IW$30,FALSE))</f>
        <v>#N/A</v>
      </c>
      <c r="IX74" s="1679" t="e">
        <f>IF($CR74="interior",ROUND(((1-IT74)*IV74)+IT74,2),VLOOKUP($CS74,Control_Savings_Exterior,IX$30,FALSE))</f>
        <v>#N/A</v>
      </c>
      <c r="IY74" s="1679" t="e">
        <f>IF($CR74="interior",IF(R73&gt;$IP$14,ROUND(($IY$18*($IP$14/R73)),2),$IY$18),VLOOKUP($CS74,Control_Savings_Exterior,IY$30,FALSE))</f>
        <v>#N/A</v>
      </c>
      <c r="IZ74" s="1679" t="e">
        <f>IF($CR74="interior",ROUND(((1-IS74)*IY74)+IS74,2),VLOOKUP($CS74,Control_Savings_Exterior,IZ$30,FALSE))</f>
        <v>#N/A</v>
      </c>
      <c r="JA74" s="1679" t="e">
        <f>IF($CR74="interior",ROUND(((1-IT74)*IY74)+IT74,2),VLOOKUP($CS74,Control_Savings_Exterior,JA$30,FALSE))</f>
        <v>#N/A</v>
      </c>
      <c r="JC74" s="1680">
        <f>IFERROR(IF(CR74="Interior",CONCATENATE(G75," ",FQ74),AG74),"")</f>
        <v>0</v>
      </c>
      <c r="JD74" s="1670" t="str">
        <f>IFERROR(VLOOKUP(JC74,_Controls_2023,2,FALSE),"")</f>
        <v/>
      </c>
      <c r="JE74" s="1681">
        <f>IFERROR(CHOOSE(JD74-1,IQ74,IR74,IS74,IT74,IU74,IV74,IW74,IX74,IY74,IZ74,JA74),0)</f>
        <v>0</v>
      </c>
      <c r="JG74" s="1680" t="str">
        <f>FE74</f>
        <v xml:space="preserve"> - </v>
      </c>
      <c r="JH74" s="1670" t="e">
        <f>$FO74</f>
        <v>#N/A</v>
      </c>
      <c r="JI74" s="1060"/>
      <c r="JJ74" s="1670">
        <f>IFERROR(IF($IB72=TRUE,IF(OR(JJ$14="No",JJ72=FALSE,JH74&lt;=JH72,AND(_kWh_Grant=0,GD72=FALSE)),0,IF(JJ$8="Per Line",1,$AF74)),0),0)</f>
        <v>0</v>
      </c>
      <c r="JK74" s="1061"/>
      <c r="JL74" s="1670">
        <f>IFERROR(IF(_kWh_Grant=0,0,IF($IB72=TRUE,IF(OR(JL$14="No",JL72=FALSE,JH74&lt;=JH72),0,IF(JL$8="Per Line",1,$T74)),0)),0)</f>
        <v>0</v>
      </c>
      <c r="JM74" s="1061"/>
      <c r="JN74" s="1670">
        <f>IFERROR(IF(_kWh_Grant=0,0,IF($IB72=TRUE,IF(OR(JN$14="No",JN72=FALSE,JH74&lt;=JH72),0,IF(JN$8="Per Line",1,$AF74)),0)),0)</f>
        <v>0</v>
      </c>
      <c r="JO74" s="1061"/>
      <c r="JP74" s="1670">
        <f>IFERROR(IF(__Retrofit_TI_NC=0,IF(_kWh_Grant=0,0,IF($IB72=TRUE,IF(OR(JP$14="No",JP72=FALSE,$JH74&lt;=$JH72),0,IF(JP$8="Per Line",1,$AF74)),0)),IF($IB72=TRUE,IF(OR(JP$14="No",JP72=FALSE,$JH74&lt;=$JH72),0,IF(JP$8="Per Line",1,$AF74)))),0)</f>
        <v>0</v>
      </c>
      <c r="JQ74" s="1061"/>
      <c r="JR74" s="1670">
        <f>IFERROR(IF(__Retrofit_TI_NC=0,IF(_kWh_Grant=0,0,IF($IB72=TRUE,IF(OR(JR$14="No",JR72=FALSE,$JH74&lt;=$JH72),0,IF(JR$8="Per Line",1,$AF74)),0)),IF($IB72=TRUE,IF(OR(JR$14="No",JR72=FALSE,$JH74&lt;=$JH72),0,IF(JR$8="Per Line",1,$AF74)))),0)</f>
        <v>0</v>
      </c>
      <c r="JS74" s="1061"/>
      <c r="JT74" s="1670">
        <f>IFERROR(IF(__Retrofit_TI_NC=0,IF(_kWh_Grant=0,0,IF($IB72=TRUE,IF(OR(JT$14="No",JT72=FALSE,$JH74&lt;=$JH72),0,IF(JT$8="Per Line",1,$AF74)),0)),IF($IB72=TRUE,IF(OR(JT$14="No",JT72=FALSE,$JH74&lt;=$JH72),0,IF(JT$8="Per Line",1,$AF74)))),0)</f>
        <v>0</v>
      </c>
      <c r="JU74" s="1061"/>
      <c r="JV74" s="1670">
        <f>IFERROR(IF(__Retrofit_TI_NC=0,IF(_kWh_Grant=0,0,IF($IB72=TRUE,IF(OR(JV$14="No",JV72=FALSE,$JH74&lt;=$JH72),0,IF(JV$8="Per Line",1,$AF74)),0)),IF($IB72=TRUE,IF(OR(JV$14="No",JV72=FALSE,$JH74&lt;=$JH72),0,IF(JV$8="Per Line",1,$AF74)))),0)</f>
        <v>0</v>
      </c>
      <c r="JX74" s="1670">
        <f>IFERROR(IF(__Retrofit_TI_NC=0,IF(_kWh_Grant=0,0,IF($IB72=TRUE,IF(OR(JX$14="No",JX72=FALSE,$JH74&lt;=$JH72),0,IF(JX$8="Per Line",1,$AF74)),0)),IF($IB72=TRUE,IF(OR(JX$14="No",JX72=FALSE,$JH74&lt;=$JH72),0,IF(JX$8="Per Line",1,$AF74)))),0)</f>
        <v>0</v>
      </c>
      <c r="JZ74" s="1670">
        <f>IFERROR(IF($IB72=TRUE,IF(OR(JZ$14="No",JZ72=FALSE,$JH74&lt;=$JH72,AND(_kWh_Grant=0,$GD72=FALSE)),0,IF(JZ$8="Per Line",1,$AF74)),0),0)</f>
        <v>0</v>
      </c>
      <c r="KB74" s="1670">
        <f>IFERROR(IF(__Retrofit_TI_NC=0,IF(_kWh_Grant=0,0,IF($IB72=TRUE,IF(OR(KB$14="No",KB72=FALSE,$JH74&lt;=$JH72),0,IF(KB$8="Per Line",1,$AF74)),0)),IF($IB72=TRUE,IF(OR(KB$14="No",KB72=FALSE,$JH74&lt;=$JH72),0,IF(KB$8="Per Line",1,$AF74)))),0)</f>
        <v>0</v>
      </c>
    </row>
    <row r="75" spans="1:288" s="78" customFormat="1" ht="14.95" customHeight="1" thickTop="1" thickBot="1">
      <c r="B75" s="1845"/>
      <c r="C75" s="1846"/>
      <c r="D75" s="1847"/>
      <c r="E75" s="1771" t="s">
        <v>436</v>
      </c>
      <c r="F75" s="1772"/>
      <c r="G75" s="1784" t="s">
        <v>437</v>
      </c>
      <c r="H75" s="1785"/>
      <c r="I75" s="1785"/>
      <c r="J75" s="1785"/>
      <c r="K75" s="1785"/>
      <c r="L75" s="1786"/>
      <c r="M75" s="591">
        <f>IFERROR(VLOOKUP(G75,_Daylight_Table[],2,FALSE),0)</f>
        <v>0</v>
      </c>
      <c r="N75" s="592" t="str">
        <f>IF(AND(__Retrofit_TI_NC&gt;0,CQ72="Interior"),"BAM","")</f>
        <v/>
      </c>
      <c r="O75" s="591" t="e">
        <f>VLOOKUP(G74,'Space Table'!$B$3:$L$163,11,FALSE)</f>
        <v>#N/A</v>
      </c>
      <c r="P75" s="1789"/>
      <c r="Q75" s="1790"/>
      <c r="R75" s="1790"/>
      <c r="S75" s="1788"/>
      <c r="T75" s="593" t="s">
        <v>342</v>
      </c>
      <c r="U75" s="1756" t="str" cm="1">
        <f t="array" aca="1" ref="U75" ca="1">IFERROR(VLOOKUP(INDIRECT("U" &amp; ROW()-1),Fixtures!DM$93:DP$142,4,FALSE),"")</f>
        <v/>
      </c>
      <c r="V75" s="1757"/>
      <c r="W75" s="1757"/>
      <c r="X75" s="1757"/>
      <c r="Y75" s="1757"/>
      <c r="Z75" s="1757"/>
      <c r="AA75" s="1758"/>
      <c r="AB75" s="939" t="str">
        <f>IFERROR(VLOOKUP(U74,Fixtures_Proposed_List,2,FALSE),"")</f>
        <v/>
      </c>
      <c r="AC75" s="933" t="str">
        <f>IFERROR(ROUND(T74*AB75*N73*R73/1000,0),"")</f>
        <v/>
      </c>
      <c r="AD75" s="934" t="str">
        <f>IFERROR(ROUND(T74*AB75/1000,2),"")</f>
        <v/>
      </c>
      <c r="AE75" s="998"/>
      <c r="AF75" s="938" t="s">
        <v>342</v>
      </c>
      <c r="AG75" s="1770"/>
      <c r="AH75" s="1770"/>
      <c r="AI75" s="1770"/>
      <c r="AJ75" s="1770"/>
      <c r="AK75" s="1770"/>
      <c r="AL75" s="1770"/>
      <c r="AM75" s="1727"/>
      <c r="AN75" s="1729"/>
      <c r="AO75" s="1731"/>
      <c r="AP75" s="1782"/>
      <c r="AQ75" s="1783"/>
      <c r="AR75" s="1797"/>
      <c r="AS75" s="1797"/>
      <c r="AT75" s="1798"/>
      <c r="AU75" s="1736"/>
      <c r="AV75" s="1753"/>
      <c r="AW75" s="1706"/>
      <c r="AX75" s="468"/>
      <c r="AY75" s="1750"/>
      <c r="AZ75" s="1750"/>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696"/>
      <c r="CQ75" s="1696"/>
      <c r="CR75" s="1809"/>
      <c r="CS75" s="1811"/>
      <c r="CU75" s="1688"/>
      <c r="CV75" s="1703"/>
      <c r="CW75" s="1703"/>
      <c r="CX75" s="1813"/>
      <c r="CY75" s="1815"/>
      <c r="CZ75" s="1711"/>
      <c r="DA75" s="1815"/>
      <c r="DB75" s="1821"/>
      <c r="DC75" s="1821"/>
      <c r="DD75" s="1821"/>
      <c r="DF75" s="1703"/>
      <c r="DG75" s="1831"/>
      <c r="DH75" s="1813"/>
      <c r="DI75" s="1838"/>
      <c r="DJ75" s="1711"/>
      <c r="DK75" s="1712"/>
      <c r="DN75" s="1718"/>
      <c r="DO75" s="1709"/>
      <c r="DQ75" s="1715"/>
      <c r="DR75" s="1720"/>
      <c r="DS75" s="1703"/>
      <c r="DT75" s="1714"/>
      <c r="DU75" s="1715"/>
      <c r="DV75" s="1716"/>
      <c r="DX75" s="1715"/>
      <c r="DY75" s="1720"/>
      <c r="DZ75" s="1715"/>
      <c r="EA75" s="1715"/>
      <c r="EC75" s="1834"/>
      <c r="ED75" s="1834"/>
      <c r="EF75" s="1707"/>
      <c r="EG75" s="1712"/>
      <c r="EH75" s="1815"/>
      <c r="EI75" s="1712"/>
      <c r="EJ75" s="1712"/>
      <c r="EK75" s="1813"/>
      <c r="EL75" s="1813"/>
      <c r="EM75" s="1807"/>
      <c r="EN75" s="1839"/>
      <c r="EO75" s="1839"/>
      <c r="EP75" s="1817"/>
      <c r="EQ75" s="1817"/>
      <c r="ER75" s="1807"/>
      <c r="ES75" s="1807"/>
      <c r="ET75" s="1807"/>
      <c r="EV75" s="1715"/>
      <c r="EX75" s="1806"/>
      <c r="EY75" s="1806"/>
      <c r="EZ75" s="1806"/>
      <c r="FA75" s="1806"/>
      <c r="FB75" s="1806"/>
      <c r="FC75" s="1828"/>
      <c r="FE75" s="1698"/>
      <c r="FG75" s="1703"/>
      <c r="FH75" s="1703"/>
      <c r="FI75" s="133"/>
      <c r="FL75" s="1823"/>
      <c r="FM75" s="1825"/>
      <c r="FN75" s="1698"/>
      <c r="FO75" s="1698"/>
      <c r="FP75" s="1678"/>
      <c r="FQ75" s="1698"/>
      <c r="FS75" s="1687"/>
      <c r="FT75" s="1687"/>
      <c r="FU75" s="1685"/>
      <c r="FV75" s="1687"/>
      <c r="FW75" s="1687"/>
      <c r="FX75" s="1687"/>
      <c r="FY75" s="1697"/>
      <c r="GA75" s="1696"/>
      <c r="GB75" s="1696"/>
      <c r="GC75" s="1696"/>
      <c r="GD75" s="1696"/>
      <c r="GE75" s="1696"/>
      <c r="GF75" s="1696"/>
      <c r="GG75" s="1696"/>
      <c r="GH75" s="1696"/>
      <c r="GI75" s="673"/>
      <c r="GJ75" s="1135"/>
      <c r="GK75" s="1832"/>
      <c r="GN75" s="674">
        <f>IF(GN73=TRUE,0,GN$16)</f>
        <v>0</v>
      </c>
      <c r="GP75" s="674">
        <f>IF(GP73=TRUE,0,GP$16)</f>
        <v>36</v>
      </c>
      <c r="GQ75" s="674">
        <f ca="1">IF(GQ73=TRUE,0,GQ$16)</f>
        <v>35</v>
      </c>
      <c r="GR75" s="391"/>
      <c r="GS75" s="391"/>
      <c r="GT75" s="391"/>
      <c r="GU75" s="391"/>
      <c r="GV75" s="391"/>
      <c r="HG75" s="674">
        <f>IF(HG73=TRUE,0,HG$16)</f>
        <v>0</v>
      </c>
      <c r="HH75" s="674">
        <f t="shared" ref="HH75:HM75" si="43">IF(HH73=TRUE,0,HH$16)</f>
        <v>19</v>
      </c>
      <c r="HI75" s="674">
        <f t="shared" si="43"/>
        <v>18</v>
      </c>
      <c r="HJ75" s="674">
        <f t="shared" si="43"/>
        <v>17</v>
      </c>
      <c r="HK75" s="674">
        <f t="shared" si="43"/>
        <v>16</v>
      </c>
      <c r="HL75" s="674">
        <f t="shared" si="43"/>
        <v>0</v>
      </c>
      <c r="HM75" s="674">
        <f t="shared" si="43"/>
        <v>0</v>
      </c>
      <c r="HN75" s="674">
        <f>IF(HN73=TRUE,0,HN$16)</f>
        <v>13</v>
      </c>
      <c r="HO75" s="674">
        <f t="shared" ref="HO75:HQ75" si="44">IF(HO73=TRUE,0,HO$16)</f>
        <v>0</v>
      </c>
      <c r="HP75" s="674">
        <f t="shared" si="44"/>
        <v>0</v>
      </c>
      <c r="HQ75" s="674">
        <f t="shared" si="44"/>
        <v>10</v>
      </c>
      <c r="HR75" s="674">
        <f>IF(HR73=TRUE,0,HR$16)</f>
        <v>9</v>
      </c>
      <c r="HS75" s="674">
        <f t="shared" ref="HS75:HW75" si="45">IF(HS73=TRUE,0,HS$16)</f>
        <v>0</v>
      </c>
      <c r="HT75" s="674">
        <f t="shared" si="45"/>
        <v>0</v>
      </c>
      <c r="HU75" s="674">
        <f t="shared" si="45"/>
        <v>0</v>
      </c>
      <c r="HV75" s="674">
        <f t="shared" si="45"/>
        <v>0</v>
      </c>
      <c r="HW75" s="674">
        <f t="shared" si="45"/>
        <v>0</v>
      </c>
      <c r="HX75" s="674">
        <f>IF(HX73=TRUE,0,HX$16)</f>
        <v>0</v>
      </c>
      <c r="HY75" s="674">
        <f>IF(HY73=TRUE,0,HY$16)</f>
        <v>0</v>
      </c>
      <c r="HZ75" s="674">
        <f>IF(HZ73=TRUE,0,HZ$16)</f>
        <v>1</v>
      </c>
      <c r="IB75" s="674">
        <f>IF(GP73=FALSE,GP75,IF(GQ73=FALSE,GQ75,MAX(GN75:HZ75)))</f>
        <v>36</v>
      </c>
      <c r="IC75" s="1692"/>
      <c r="ID75" s="205" t="str">
        <f>VLOOKUP(IB75,_Error_Table,3,FALSE)</f>
        <v xml:space="preserve"> </v>
      </c>
      <c r="IE75" s="205"/>
      <c r="IF75" s="1688"/>
      <c r="IG75" s="1689"/>
      <c r="IH75" s="1684"/>
      <c r="IK75" s="1689"/>
      <c r="IL75" s="1692"/>
      <c r="IM75" s="1692"/>
      <c r="IN75" s="1692"/>
      <c r="IP75" s="1679"/>
      <c r="IQ75" s="1679"/>
      <c r="IR75" s="1679"/>
      <c r="IS75" s="1679"/>
      <c r="IT75" s="1679"/>
      <c r="IU75" s="1679"/>
      <c r="IV75" s="1679"/>
      <c r="IW75" s="1679"/>
      <c r="IX75" s="1679"/>
      <c r="IY75" s="1679"/>
      <c r="IZ75" s="1679"/>
      <c r="JA75" s="1679"/>
      <c r="JC75" s="1680"/>
      <c r="JD75" s="1670"/>
      <c r="JE75" s="1681"/>
      <c r="JG75" s="1680"/>
      <c r="JH75" s="1670"/>
      <c r="JI75" s="1060"/>
      <c r="JJ75" s="1670"/>
      <c r="JK75" s="1061"/>
      <c r="JL75" s="1670"/>
      <c r="JM75" s="1061"/>
      <c r="JN75" s="1670"/>
      <c r="JO75" s="1061"/>
      <c r="JP75" s="1670"/>
      <c r="JQ75" s="1061"/>
      <c r="JR75" s="1670"/>
      <c r="JS75" s="1061"/>
      <c r="JT75" s="1670"/>
      <c r="JU75" s="1061"/>
      <c r="JV75" s="1670"/>
      <c r="JX75" s="1670"/>
      <c r="JZ75" s="1670"/>
      <c r="KB75" s="1670"/>
    </row>
    <row r="76" spans="1:288" s="78" customFormat="1" ht="5.0999999999999996" customHeight="1">
      <c r="B76" s="675"/>
      <c r="C76" s="392"/>
      <c r="D76" s="392"/>
      <c r="E76" s="1733"/>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1733"/>
      <c r="AB76" s="1733"/>
      <c r="AC76" s="1733"/>
      <c r="AD76" s="1733"/>
      <c r="AE76" s="1733"/>
      <c r="AF76" s="1733"/>
      <c r="AG76" s="1733"/>
      <c r="AH76" s="1733"/>
      <c r="AI76" s="1733"/>
      <c r="AJ76" s="1733"/>
      <c r="AK76" s="1733"/>
      <c r="AL76" s="1733"/>
      <c r="AM76" s="1733"/>
      <c r="AN76" s="1733"/>
      <c r="AO76" s="1733"/>
      <c r="AP76" s="1733"/>
      <c r="AQ76" s="1733"/>
      <c r="AR76" s="1733"/>
      <c r="AS76" s="1733"/>
      <c r="AT76" s="1733"/>
      <c r="AU76" s="1733"/>
      <c r="AV76" s="1733"/>
      <c r="AW76" s="1733"/>
      <c r="AX76" s="469"/>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663"/>
      <c r="CQ76" s="663"/>
      <c r="CR76" s="438"/>
      <c r="CS76" s="663"/>
      <c r="CV76" s="391"/>
      <c r="CW76" s="391"/>
      <c r="CX76" s="207"/>
      <c r="CY76" s="208"/>
      <c r="CZ76" s="208"/>
      <c r="DA76" s="208"/>
      <c r="DB76" s="209"/>
      <c r="DC76" s="209"/>
      <c r="DD76" s="209"/>
      <c r="DF76" s="664"/>
      <c r="DG76" s="665"/>
      <c r="DH76" s="666"/>
      <c r="DI76" s="667"/>
      <c r="DJ76" s="668"/>
      <c r="DK76" s="668"/>
      <c r="DN76" s="208"/>
      <c r="DO76" s="664"/>
      <c r="DQ76" s="664"/>
      <c r="DR76" s="669"/>
      <c r="DS76" s="391"/>
      <c r="DT76" s="664"/>
      <c r="DU76" s="664"/>
      <c r="DV76" s="664"/>
      <c r="DX76" s="664"/>
      <c r="DY76" s="664"/>
      <c r="DZ76" s="664"/>
      <c r="EA76" s="664"/>
      <c r="EC76" s="670"/>
      <c r="ED76" s="670"/>
      <c r="EF76" s="668"/>
      <c r="EG76" s="668"/>
      <c r="EH76" s="208"/>
      <c r="EI76" s="668"/>
      <c r="EJ76" s="668"/>
      <c r="EK76" s="207"/>
      <c r="EL76" s="207"/>
      <c r="EM76" s="666"/>
      <c r="EN76" s="671"/>
      <c r="EO76" s="671"/>
      <c r="EP76" s="672"/>
      <c r="EQ76" s="672"/>
      <c r="ER76" s="666"/>
      <c r="ES76" s="666"/>
      <c r="ET76" s="666"/>
      <c r="EV76" s="664"/>
      <c r="EX76" s="391"/>
      <c r="EY76" s="391"/>
      <c r="EZ76" s="391"/>
      <c r="FA76" s="391"/>
      <c r="FB76" s="391"/>
      <c r="FC76" s="391"/>
      <c r="FE76" s="569"/>
      <c r="FG76" s="391"/>
      <c r="FH76" s="391"/>
      <c r="FI76" s="391"/>
      <c r="FS76" s="664"/>
      <c r="FT76" s="391"/>
      <c r="FU76" s="391"/>
      <c r="FV76" s="664"/>
      <c r="FW76" s="664"/>
      <c r="GA76" s="663"/>
      <c r="GB76" s="663"/>
      <c r="GC76" s="663"/>
      <c r="GD76" s="663"/>
      <c r="GE76" s="663"/>
      <c r="GF76" s="663"/>
      <c r="GG76" s="663"/>
      <c r="GH76" s="663"/>
      <c r="GI76" s="665"/>
      <c r="GJ76" s="664"/>
      <c r="GK76" s="664"/>
      <c r="JG76" s="1061"/>
      <c r="JH76" s="1061"/>
      <c r="JI76" s="1061"/>
      <c r="JJ76" s="1061"/>
      <c r="JK76" s="1061"/>
      <c r="JL76" s="1061"/>
      <c r="JM76" s="1061"/>
      <c r="JN76" s="1061"/>
      <c r="JO76" s="1061"/>
      <c r="JP76" s="1061"/>
      <c r="JQ76" s="1061"/>
      <c r="JR76" s="1061"/>
      <c r="JS76" s="1061"/>
      <c r="JT76" s="1061"/>
      <c r="JU76" s="1061"/>
      <c r="JV76" s="1061"/>
      <c r="KB76" s="1061"/>
    </row>
    <row r="77" spans="1:288" s="78" customFormat="1" ht="14.95" customHeight="1">
      <c r="B77" s="1845" t="str">
        <f>ID80</f>
        <v xml:space="preserve"> </v>
      </c>
      <c r="C77" s="1846">
        <f>C72+1</f>
        <v>7</v>
      </c>
      <c r="D77" s="1847"/>
      <c r="E77" s="1799" t="s">
        <v>295</v>
      </c>
      <c r="F77" s="1800"/>
      <c r="G77" s="1741"/>
      <c r="H77" s="1742"/>
      <c r="I77" s="1742"/>
      <c r="J77" s="1742"/>
      <c r="K77" s="1742"/>
      <c r="L77" s="1742"/>
      <c r="M77" s="1742"/>
      <c r="N77" s="1742"/>
      <c r="O77" s="1742"/>
      <c r="P77" s="1742"/>
      <c r="Q77" s="1742"/>
      <c r="R77" s="1742"/>
      <c r="S77" s="1791" t="s">
        <v>344</v>
      </c>
      <c r="T77" s="590"/>
      <c r="U77" s="1743"/>
      <c r="V77" s="1744"/>
      <c r="W77" s="1744"/>
      <c r="X77" s="1744"/>
      <c r="Y77" s="1744"/>
      <c r="Z77" s="1744"/>
      <c r="AA77" s="1744"/>
      <c r="AB77" s="961" t="str">
        <f>IFERROR(IF(__Retrofit_TI_NC=0,VLOOKUP(U78,Fixtures_Existing_List,2,FALSE),ROUND(N79*R79/T79,10)),"")</f>
        <v/>
      </c>
      <c r="AC77" s="935" t="str">
        <f>IFERROR(IF(__Retrofit_TI_NC=0,ROUND(T78*AB77*N78*R78/1000,0),IF(CQ77="Interior",N79*R79*R78*N78*_C406_reduction/1000,N79*R79*R78*N78/1000)),"")</f>
        <v/>
      </c>
      <c r="AD77" s="936" t="str">
        <f>IFERROR(IF(C$43=0,ROUND(T78*AB77/1000,2),N79*R79/1000),"")</f>
        <v/>
      </c>
      <c r="AE77" s="997"/>
      <c r="AF77" s="937"/>
      <c r="AG77" s="1745" t="str">
        <f>IF(__Retrofit_TI_NC=0," Control","Select Advanced Control for New System")</f>
        <v xml:space="preserve"> Control</v>
      </c>
      <c r="AH77" s="1745"/>
      <c r="AI77" s="1745"/>
      <c r="AJ77" s="1745"/>
      <c r="AK77" s="1745"/>
      <c r="AL77" s="1745"/>
      <c r="AM77" s="1746">
        <f>IFERROR(DI77,"")</f>
        <v>0</v>
      </c>
      <c r="AN77" s="1774" t="str">
        <f>IFERROR(ROUND(AM77*AC77,0),"")</f>
        <v/>
      </c>
      <c r="AO77" s="1776">
        <f>IFERROR(IF(IB77=FALSE,0,AC77-AN77),0)</f>
        <v>0</v>
      </c>
      <c r="AP77" s="1778">
        <f>AO77-AO79</f>
        <v>0</v>
      </c>
      <c r="AQ77" s="1779"/>
      <c r="AR77" s="1793">
        <f>IFERROR(IF(IB77=FALSE,0,(T79*U80)+(AF79*AG80)),0)</f>
        <v>0</v>
      </c>
      <c r="AS77" s="1793"/>
      <c r="AT77" s="1794"/>
      <c r="AU77" s="1734" t="s">
        <v>237</v>
      </c>
      <c r="AV77" s="1751">
        <f>IF(AU77="Yes",1,0)</f>
        <v>1</v>
      </c>
      <c r="AW77" s="1704" t="str">
        <f>IF(OR(DQ77=4,DQ77=5,DQ77=6,DQ77=12),CONCATENATE("$",IF(GH77=TRUE,Lookup!$K$10,Lookup!$K$2)," /lamp"),CONCATENATE(TEXT(ED77,"$0.00"),"/ kWh"))</f>
        <v>$0.00/ kWh</v>
      </c>
      <c r="AX77" s="467"/>
      <c r="AY77" s="1748">
        <f ca="1">IFERROR(IF(GM78=TRUE,(AB80*T79)/R79,0),"NA")</f>
        <v>0</v>
      </c>
      <c r="AZ77" s="1748"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696" t="str">
        <f>N78</f>
        <v/>
      </c>
      <c r="CQ77" s="1696" t="str">
        <f>IFERROR(VLOOKUP(G78,_Lookup_Heat_Type_Table_New,3,FALSE),"")</f>
        <v/>
      </c>
      <c r="CR77" s="1808" t="str">
        <f>CQ77</f>
        <v/>
      </c>
      <c r="CS77" s="1810" t="str">
        <f>IFERROR(VLOOKUP(G79,'Space Table'!$B$3:$L$163,9,FALSE),"")</f>
        <v/>
      </c>
      <c r="CU77" s="1688" t="s">
        <v>344</v>
      </c>
      <c r="CV77" s="1702">
        <f>IF(IB77=TRUE,T78,0)</f>
        <v>0</v>
      </c>
      <c r="CW77" s="1702" t="str">
        <f>IF(IB77=TRUE,U78,"")</f>
        <v/>
      </c>
      <c r="CX77" s="1702"/>
      <c r="CY77" s="1814">
        <f>IF(IB77=TRUE,AB77,0)</f>
        <v>0</v>
      </c>
      <c r="CZ77" s="1710">
        <f>IF(AND(__Retrofit_TI_NC&gt;0,CR77="interior"),0,IF(IB77=TRUE,AC77,0))</f>
        <v>0</v>
      </c>
      <c r="DA77" s="1814">
        <f>IFERROR(IF(IB77=TRUE,CZ77-CZ79,0),0)</f>
        <v>0</v>
      </c>
      <c r="DB77" s="1819">
        <f>IF(IB77=TRUE,AD77,0)</f>
        <v>0</v>
      </c>
      <c r="DC77" s="1819">
        <f>IF(IB77=TRUE,AD80,0)</f>
        <v>0</v>
      </c>
      <c r="DD77" s="1819">
        <f>IFERROR(DB77-DC77,0)</f>
        <v>0</v>
      </c>
      <c r="DF77" s="1702">
        <f>IF(IB77=TRUE,AF78,0)</f>
        <v>0</v>
      </c>
      <c r="DG77" s="1830">
        <f>IFERROR(IF(__Retrofit_TI_NC=2,IF(CQ77="Exterior",O80,FQ77),FN77),"")</f>
        <v>0</v>
      </c>
      <c r="DH77" s="1702"/>
      <c r="DI77" s="1837">
        <f>JE77</f>
        <v>0</v>
      </c>
      <c r="DJ77" s="1710">
        <f>IF(AND(__Retrofit_TI_NC&gt;0,CR77="interior"),0,IF(IB77=TRUE,AN77,0))</f>
        <v>0</v>
      </c>
      <c r="DK77" s="1712">
        <f>IFERROR(IF(IB77=TRUE,DJ79-DJ77,0),0)</f>
        <v>0</v>
      </c>
      <c r="DM77" s="1717">
        <f>IFERROR(CZ77-DJ77,0)</f>
        <v>0</v>
      </c>
      <c r="DO77" s="1708">
        <f>DM77-DN79</f>
        <v>0</v>
      </c>
      <c r="DQ77" s="1715" t="str">
        <f>IFERROR(IF(AND(OR(GC77=4,GC77=5,GC77=6),OR(GF77=4,GF77=5,GF77=6)),GC77+8,VLOOKUP(CW79,Fixtures!R$31:Y$78,8,FALSE)),"")</f>
        <v/>
      </c>
      <c r="DR77" s="1829" t="str">
        <f>DQ77</f>
        <v/>
      </c>
      <c r="DS77" s="1702" t="str">
        <f>IFERROR(VLOOKUP(DG79,Lookup!BB$3:BC$20,2,FALSE),"")</f>
        <v/>
      </c>
      <c r="DT77" s="1713" t="str">
        <f>IF(OR(DS77=7,DS77=8,DS77=9),"ALC","")</f>
        <v/>
      </c>
      <c r="DU77" s="1715">
        <f>IFERROR(IF(OR(DQ77=4,DQ77=5,DQ77=6,DQ77=12,DQ77=13,DQ77=14),VLOOKUP(CW79,Fixtures!DN$27:EG$77,19,FALSE),1)*CV79,0)</f>
        <v>0</v>
      </c>
      <c r="DV77" s="1716">
        <f>IF(OR(DS77=7,DS77=8,DS77=9),IF(DG77=DG79,0,DF79),0)</f>
        <v>0</v>
      </c>
      <c r="DX77" s="1715" t="str">
        <f>IFERROR(IF(EZ77&lt;EZ79,"Yes","No"),"")</f>
        <v/>
      </c>
      <c r="DY77" s="1829" t="str">
        <f>DX77</f>
        <v/>
      </c>
      <c r="DZ77" s="1715">
        <f>IF(DX77="Yes",DF79,0)</f>
        <v>0</v>
      </c>
      <c r="EA77" s="1715">
        <f>DZ77-DV77</f>
        <v>0</v>
      </c>
      <c r="EC77" s="1834">
        <f>IFERROR(VLOOKUP(DQ77,Lookup!AU$3:AV$16,2,FALSE),0)</f>
        <v>0</v>
      </c>
      <c r="ED77" s="1834">
        <f>IF(IB77=FALSE,0,IF(DX77="Yes",EC77+Lookup!K$6,EC77))</f>
        <v>0</v>
      </c>
      <c r="EF77" s="1707">
        <f>IF(IB77=TRUE,DM77,0)</f>
        <v>0</v>
      </c>
      <c r="EG77" s="1712">
        <f>IF(IB77=TRUE,CZ79,0)</f>
        <v>0</v>
      </c>
      <c r="EH77" s="1814">
        <f>IFERROR(EF77-EG77,0)</f>
        <v>0</v>
      </c>
      <c r="EI77" s="1712">
        <f>IF(IB77=TRUE,DJ79,0)</f>
        <v>0</v>
      </c>
      <c r="EJ77" s="1712">
        <f>IFERROR(EF77-EG77+EI77,0)</f>
        <v>0</v>
      </c>
      <c r="EK77" s="1812">
        <f>IF(IB77=TRUE,CV79*CX79,0)</f>
        <v>0</v>
      </c>
      <c r="EL77" s="1812">
        <f>IF(IB77=TRUE,DF79*DH79,0)</f>
        <v>0</v>
      </c>
      <c r="EM77" s="1807">
        <f>AR77</f>
        <v>0</v>
      </c>
      <c r="EN77" s="1839" t="str">
        <f>IFERROR(IF(IB77=TRUE,VLOOKUP(DQ77,Lookup!AU$3:AW$16,3,FALSE)*DU77,""),0)</f>
        <v/>
      </c>
      <c r="EO77" s="1839">
        <f>IF(IB77=TRUE,DZ77*Lookup!AW$12,0)</f>
        <v>0</v>
      </c>
      <c r="EP77" s="1817">
        <f>IFERROR(IF(IB77=TRUE,EN77/EP$40,0),0)</f>
        <v>0</v>
      </c>
      <c r="EQ77" s="1817">
        <f>IF(IB77=TRUE,EO77/EQ$40,0)</f>
        <v>0</v>
      </c>
      <c r="ER77" s="1807">
        <f>IF(IB77=TRUE,ET$40*EP77,0)</f>
        <v>0</v>
      </c>
      <c r="ES77" s="1807">
        <f>IF(IB77=TRUE,ET$40*EQ77,0)</f>
        <v>0</v>
      </c>
      <c r="ET77" s="1807">
        <f>ER77+ES77</f>
        <v>0</v>
      </c>
      <c r="EV77" s="1715">
        <f>IF(G77="",0,1)</f>
        <v>0</v>
      </c>
      <c r="EX77" s="1804" t="str">
        <f>IFERROR(VLOOKUP(CS79,'Space Table'!$B$3:$L$163,8,FALSE),"")</f>
        <v/>
      </c>
      <c r="EY77" s="1804" t="str">
        <f>IFERROR(IF(FB77="Yes",VLOOKUP(DG77,Lookup_Control_Type_Table2,4,FALSE),VLOOKUP(DG77,Lookup_Control_Type_Table2,3,FALSE)),"")</f>
        <v/>
      </c>
      <c r="EZ77" s="1804" t="e">
        <f>VLOOKUP(DG77,Lookup!BB$3:BC$20,2,FALSE)</f>
        <v>#N/A</v>
      </c>
      <c r="FA77" s="1804" t="e">
        <f>VLOOKUP(EX77,Lookup_Control_Type_Table,2,FALSE)</f>
        <v>#N/A</v>
      </c>
      <c r="FB77" s="1804" t="e">
        <f>VLOOKUP(CS79,'Space Table'!$B$3:$L$163,7,FALSE)</f>
        <v>#N/A</v>
      </c>
      <c r="FC77" s="1826" t="b">
        <f>ISNUMBER(SEARCH("TLED",U79))</f>
        <v>0</v>
      </c>
      <c r="FE77" s="1698" t="str">
        <f>CONCATENATE(CQ77," - ",DG77)</f>
        <v xml:space="preserve"> - 0</v>
      </c>
      <c r="FG77" s="1702" t="str">
        <f>VLOOKUP(CW79,Fixtures!DN$27:EZ$77,38,FALSE)</f>
        <v/>
      </c>
      <c r="FH77" s="1702">
        <f>IFERROR(FG77*EH77,0)</f>
        <v>0</v>
      </c>
      <c r="FI77" s="133"/>
      <c r="FL77" s="1822" t="str">
        <f>IF(CQ77="Exterior","Not Daylighted",G80)</f>
        <v>Not Daylighted</v>
      </c>
      <c r="FM77" s="1824">
        <f>VLOOKUP(FL77,_New_Daylight_Table_Codes,2,FALSE)</f>
        <v>0</v>
      </c>
      <c r="FN77" s="1698">
        <f>IF(__Retrofit_TI_NC&gt;0,VLOOKUP(G79,'Space Table'!$B$3:$L$163,11,FALSE),AG78)</f>
        <v>0</v>
      </c>
      <c r="FO77" s="1698" t="e">
        <f>IF(__Retrofit_TI_NC=2,VLOOKUP(FQ77,_Control_Table,2,FALSE),VLOOKUP(FN77,_Control_Table,2,FALSE))</f>
        <v>#N/A</v>
      </c>
      <c r="FP77" s="1678" t="e">
        <f>VLOOKUP(CONCATENATE(FL77," ",FN77),Lookup!AY86:AZ$102,2,FALSE)</f>
        <v>#N/A</v>
      </c>
      <c r="FQ77" s="1678">
        <f>IF(__Retrofit_TI_NC=0,FN77,IF(AND(FT77&gt;0,FN77="Occupancy Sensor"),"Daylight + Occupancy",IF(AND(FT77&gt;0,VLOOKUP(FN77,_Control_Table,2,FALSE)&lt;4),"Interior Daylight Dimming",FN77)))</f>
        <v>0</v>
      </c>
      <c r="FS77" s="1686">
        <f>IF(CR77="Interior",VLOOKUP(CS77,Control_Savings_Interior,5,FALSE),0)</f>
        <v>0</v>
      </c>
      <c r="FT77" s="1687">
        <f>IF(CQ77="Exterior",0,IF(FM77=2,0.5,IF(OR(FM77=1,FM77=3),1,0)))</f>
        <v>0</v>
      </c>
      <c r="FU77" s="1685">
        <f>IF(R76&gt;FS$44,(FS77*(FS$44/R76)),FS77)*FT77</f>
        <v>0</v>
      </c>
      <c r="FV77" s="1686">
        <f>DI77</f>
        <v>0</v>
      </c>
      <c r="FW77" s="1686">
        <f>ROUND(FV77+((1-FV77)*FU77),2)</f>
        <v>0</v>
      </c>
      <c r="FX77" s="1686">
        <f>IF(__Retrofit_TI_NC=2,FW77,FV77)</f>
        <v>0</v>
      </c>
      <c r="FY77" s="1697"/>
      <c r="GA77" s="1696" t="str">
        <f>IFERROR(VLOOKUP(U78,_Exist_Fixture_Table,3,FALSE),"")</f>
        <v/>
      </c>
      <c r="GB77" s="1696" t="str">
        <f>VLOOKUP(CW77,_Exist_Fixture_Table,4,FALSE)</f>
        <v/>
      </c>
      <c r="GC77" s="1696">
        <f>IFERROR(VLOOKUP(GB77,Lookup!AT$6:AU$8,2,FALSE),0)</f>
        <v>0</v>
      </c>
      <c r="GD77" s="1696" t="b">
        <f>IFERROR(IF(OR(GF77=4,GF77=5,GF77=6),TRUE,FALSE),"")</f>
        <v>0</v>
      </c>
      <c r="GE77" s="1696" t="str">
        <f>IFERROR(VLOOKUP(GF77,GC$6:GD$10,2,FALSE),"")</f>
        <v/>
      </c>
      <c r="GF77" s="1696" t="str">
        <f>VLOOKUP(CW79,Fixtures!R$31:Y$78,8,FALSE)</f>
        <v/>
      </c>
      <c r="GG77" s="1696">
        <f>IF(AND(GA77=TRUE,GD77=TRUE,OR(DQ77=12,DQ77=13,DQ77=14)),GC77+8,0)</f>
        <v>0</v>
      </c>
      <c r="GH77" s="1696" t="b">
        <f>IF(OR(GG77=12,GG77=13,GG77=14),TRUE,FALSE)</f>
        <v>0</v>
      </c>
      <c r="GI77" s="673" t="b">
        <f>IF(ISNUMBER(SEARCH("TLED",U78)),TRUE,FALSE)</f>
        <v>0</v>
      </c>
      <c r="GJ77" s="1135" t="str">
        <f>IFERROR(VLOOKUP(U78,Fixtures!BM$93:BR$142,6,FALSE),"")</f>
        <v/>
      </c>
      <c r="GK77" s="1832" t="b">
        <f>IF(OR(GI77=FALSE,GI79=FALSE),TRUE,IF(GJ77-GJ79&lt;5,FALSE,TRUE))</f>
        <v>1</v>
      </c>
      <c r="GO77" s="674">
        <f>GP77</f>
        <v>0</v>
      </c>
      <c r="GP77" s="674">
        <f>IF(G77="",0,1)</f>
        <v>0</v>
      </c>
      <c r="GQ77" s="674">
        <f ca="1">SUM(GR77:HF77)</f>
        <v>2</v>
      </c>
      <c r="GR77" s="674">
        <f>IF(G78="",0,1)</f>
        <v>0</v>
      </c>
      <c r="GS77" s="674">
        <f>IF(N80="BAM",1,IF(G79="",0,1))</f>
        <v>0</v>
      </c>
      <c r="GT77" s="674">
        <f>IF(N80="BAM",1,IF(R78="",0,1))</f>
        <v>0</v>
      </c>
      <c r="GU77" s="674">
        <f>IF(N80="BAM",1,IF(__Retrofit_TI_NC=0,1,IF(R79="",0,1)))</f>
        <v>1</v>
      </c>
      <c r="GV77" s="674">
        <f>IF(N80="BAM",1,IF(CQ77="Exterior",1,IF(G80="",0,1)))</f>
        <v>1</v>
      </c>
      <c r="GW77" s="674">
        <f>IF(__Retrofit_TI_NC&gt;0,1,IF(T78="",0,1))</f>
        <v>0</v>
      </c>
      <c r="GX77" s="674">
        <f>IF(__Retrofit_TI_NC&gt;0,1,IF(U78="",0,1))</f>
        <v>0</v>
      </c>
      <c r="GY77" s="674">
        <f>IF(N80="BAM",1,IF(T79="",0,1))</f>
        <v>0</v>
      </c>
      <c r="GZ77" s="674">
        <f>IF(N80="BAM",1,IF(U79="",0,1))</f>
        <v>0</v>
      </c>
      <c r="HA77" s="674">
        <f ca="1">IF(N80="BAM",1,IF(__Retrofit_TI_NC&gt;0,1,IF(U80="",0,1)))</f>
        <v>0</v>
      </c>
      <c r="HB77" s="674">
        <f>IF(__Retrofit_TI_NC&lt;&gt;0,1,IF(AF78="",0,1))</f>
        <v>0</v>
      </c>
      <c r="HC77" s="674">
        <f>IF(__Retrofit_TI_NC&lt;&gt;0,1,IF(AG78="",0,1))</f>
        <v>0</v>
      </c>
      <c r="HD77" s="674">
        <f>IF(N80="BAM",1,IF(AF79="",0,1))</f>
        <v>0</v>
      </c>
      <c r="HE77" s="674">
        <f>IF(N80="BAM",1,IF(AG79="",0,1))</f>
        <v>0</v>
      </c>
      <c r="HF77" s="674">
        <f>IF(N80="BAM",1,IF(__Retrofit_TI_NC&gt;0,1,IF(AG80="",0,1)))</f>
        <v>0</v>
      </c>
      <c r="HG77" s="391"/>
      <c r="IA77" s="391"/>
      <c r="IB77" s="1693" t="b">
        <f>IF(OR(IB80=0,IB80=HY$16,IB80=HX$16,IB80=HZ$16),TRUE,FALSE)</f>
        <v>0</v>
      </c>
      <c r="IC77" s="1694" t="b">
        <f>IB77</f>
        <v>0</v>
      </c>
      <c r="ID77" s="391"/>
      <c r="IE77" s="391"/>
      <c r="IF77" s="1688" t="b">
        <f ca="1">IF(MAX(GN80:HU80)&gt;5,FALSE,TRUE)</f>
        <v>0</v>
      </c>
      <c r="IG77" s="1689">
        <f ca="1">IF(IF77=TRUE,AC77,0)</f>
        <v>0</v>
      </c>
      <c r="IH77" s="1689">
        <f ca="1">IG77-IG79</f>
        <v>0</v>
      </c>
      <c r="IK77" s="1689" t="e">
        <f>ROUND(T78*VLOOKUP(U78,Fixtures_Existing_List,2,FALSE)*N78*R78/1000,0)</f>
        <v>#N/A</v>
      </c>
      <c r="IL77" s="1690" t="e">
        <f>IK77-IK79</f>
        <v>#N/A</v>
      </c>
      <c r="IM77" s="1693" t="e">
        <f>ROUND(IF(CQ77="Interior",N79*R79*R78*N78*_C406_reduction/1000,N79*R79*R78*N78/1000),0)</f>
        <v>#N/A</v>
      </c>
      <c r="IN77" s="1693" t="e">
        <f>IM77-IM79</f>
        <v>#N/A</v>
      </c>
      <c r="IP77" s="1679"/>
      <c r="IQ77" s="1679" t="e">
        <f t="shared" ref="IQ77:IU77" si="46">IF($CR77="interior",VLOOKUP($CS77,_New_Control_Savings_Interior,IQ$30,FALSE),VLOOKUP($CS77,Control_Savings_Exterior,IQ$30,FALSE))</f>
        <v>#N/A</v>
      </c>
      <c r="IR77" s="1679" t="e">
        <f t="shared" si="46"/>
        <v>#N/A</v>
      </c>
      <c r="IS77" s="1679" t="e">
        <f t="shared" si="46"/>
        <v>#N/A</v>
      </c>
      <c r="IT77" s="1679" t="e">
        <f t="shared" si="46"/>
        <v>#N/A</v>
      </c>
      <c r="IU77" s="1679" t="e">
        <f t="shared" si="46"/>
        <v>#N/A</v>
      </c>
      <c r="IV77" s="1679" t="e">
        <f>IF($CR77="interior",IF(R78&gt;$IP$14,ROUND(($IV$18*($IP$14/R78)),2),$IV$18),VLOOKUP($CS77,Control_Savings_Exterior,IV$30,FALSE))</f>
        <v>#N/A</v>
      </c>
      <c r="IW77" s="1679" t="e">
        <f>IF($CR77="interior",ROUND(((1-IS77)*IV77)+IS77,2),VLOOKUP($CS77,Control_Savings_Exterior,IW$30,FALSE))</f>
        <v>#N/A</v>
      </c>
      <c r="IX77" s="1679" t="e">
        <f>IF($CR77="interior",ROUND(((1-IT77)*IV77)+IT77,2),VLOOKUP($CS77,Control_Savings_Exterior,IX$30,FALSE))</f>
        <v>#N/A</v>
      </c>
      <c r="IY77" s="1679" t="e">
        <f>IF($CR77="interior",IF(R78&gt;$IP$14,ROUND(($IY$18*($IP$14/R78)),2),$IY$18),VLOOKUP($CS77,Control_Savings_Exterior,IY$30,FALSE))</f>
        <v>#N/A</v>
      </c>
      <c r="IZ77" s="1679" t="e">
        <f>IF($CR77="interior",ROUND(((1-IS77)*IY77)+IS77,2),VLOOKUP($CS77,Control_Savings_Exterior,IZ$30,FALSE))</f>
        <v>#N/A</v>
      </c>
      <c r="JA77" s="1679" t="e">
        <f>IF($CR77="interior",ROUND(((1-IT77)*IY77)+IT77,2),VLOOKUP($CS77,Control_Savings_Exterior,JA$30,FALSE))</f>
        <v>#N/A</v>
      </c>
      <c r="JC77" s="1680">
        <f>IFERROR(IF(CR77="Interior",CONCATENATE(G80," ",FQ77),FQ77),"")</f>
        <v>0</v>
      </c>
      <c r="JD77" s="1670" t="str">
        <f>IFERROR(VLOOKUP(JC77,_Controls_2023,2,FALSE),"")</f>
        <v/>
      </c>
      <c r="JE77" s="1681">
        <f>IFERROR(CHOOSE(JD77-1,IQ77,IR77,IS77,IT77,IU77,IV77,IW77,IX77,IY77,IZ77,JA77),0)</f>
        <v>0</v>
      </c>
      <c r="JG77" s="1680" t="str">
        <f>FE77</f>
        <v xml:space="preserve"> - 0</v>
      </c>
      <c r="JH77" s="1670" t="e">
        <f>$FO77</f>
        <v>#N/A</v>
      </c>
      <c r="JI77" s="1060"/>
      <c r="JJ77" s="1682" t="b">
        <f>IF($JG79=CONCATENATE("Interior - ",JJ$4),TRUE,FALSE)</f>
        <v>0</v>
      </c>
      <c r="JK77" s="1061"/>
      <c r="JL77" s="1682" t="b">
        <f>IF($JG79=CONCATENATE("Interior - ",JL$4),TRUE,FALSE)</f>
        <v>0</v>
      </c>
      <c r="JM77" s="1061"/>
      <c r="JN77" s="1682" t="b">
        <f>IF($JG79=CONCATENATE("Interior - ",JN$4),TRUE,FALSE)</f>
        <v>0</v>
      </c>
      <c r="JO77" s="1061"/>
      <c r="JP77" s="1682" t="b">
        <f>IF(__Retrofit_TI_NC&gt;0,FALSE,IF($JG79=CONCATENATE("Interior - ",JP$4),TRUE,FALSE))</f>
        <v>0</v>
      </c>
      <c r="JQ77" s="1061"/>
      <c r="JR77" s="1682" t="b">
        <f>IF(__Retrofit_TI_NC&gt;0,FALSE,IF($JG79=CONCATENATE("Interior - ",JR$4),TRUE,FALSE))</f>
        <v>0</v>
      </c>
      <c r="JS77" s="1061"/>
      <c r="JT77" s="1670" t="b">
        <f>IF(__Retrofit_TI_NC&gt;0,FALSE,IF($JG79=CONCATENATE("Interior - ",JT$4),TRUE,FALSE))</f>
        <v>0</v>
      </c>
      <c r="JU77" s="1061"/>
      <c r="JV77" s="1670" t="b">
        <f>IF(JC79="AELC on Existing",TRUE,FALSE)</f>
        <v>0</v>
      </c>
      <c r="JX77" s="1670" t="b">
        <f>IF(OR(JG79="Exterior - AELC Occupancy based",JG79="Exterior - AELC Time based"),TRUE,FALSE)</f>
        <v>0</v>
      </c>
      <c r="JZ77" s="1682" t="b">
        <f>IF($JG79=CONCATENATE("Exterior - ",JZ$4),TRUE,FALSE)</f>
        <v>0</v>
      </c>
      <c r="KB77" s="1670" t="b">
        <f>IF(__Retrofit_TI_NC&gt;0,FALSE,IF($JG79=CONCATENATE("Interior - ",KB$4),TRUE,FALSE))</f>
        <v>0</v>
      </c>
    </row>
    <row r="78" spans="1:288" s="78" customFormat="1" ht="14.95" customHeight="1" thickTop="1" thickBot="1">
      <c r="B78" s="1845"/>
      <c r="C78" s="1846"/>
      <c r="D78" s="1847"/>
      <c r="E78" s="1737" t="s">
        <v>297</v>
      </c>
      <c r="F78" s="1738"/>
      <c r="G78" s="1739"/>
      <c r="H78" s="1739"/>
      <c r="I78" s="1739"/>
      <c r="J78" s="1739"/>
      <c r="K78" s="1739"/>
      <c r="L78" s="1739"/>
      <c r="M78" s="461" t="e">
        <f>IF(__Retrofit_TI_NC&lt;&gt;0,IF(VLOOKUP(G79,'Space Table'!$B$3:$L$163,3,FALSE)&gt;0,1,0),IF(__Retrofit_TI_NC=VLOOKUP(G79,'Space Table'!$B$3:$L$163,3,FALSE),1,0))</f>
        <v>#N/A</v>
      </c>
      <c r="N78" s="461" t="str">
        <f>IFERROR(VLOOKUP(G78,_Lookup_Heat_Type_Table_New,2,FALSE),"")</f>
        <v/>
      </c>
      <c r="O78" s="461">
        <f>IF(__Retrofit_TI_NC=1,CONCATENATE("TI ",G78),IF(__Retrofit_TI_NC=2,CONCATENATE("NC ",G78),G78))</f>
        <v>0</v>
      </c>
      <c r="P78" s="1740" t="s">
        <v>435</v>
      </c>
      <c r="Q78" s="1740"/>
      <c r="R78" s="595"/>
      <c r="S78" s="1792"/>
      <c r="T78" s="597"/>
      <c r="U78" s="1765"/>
      <c r="V78" s="1766"/>
      <c r="W78" s="1766"/>
      <c r="X78" s="1766"/>
      <c r="Y78" s="1766"/>
      <c r="Z78" s="1766"/>
      <c r="AA78" s="1766"/>
      <c r="AB78" s="1766"/>
      <c r="AC78" s="1766"/>
      <c r="AD78" s="1767"/>
      <c r="AE78" s="1000"/>
      <c r="AF78" s="597"/>
      <c r="AG78" s="1723"/>
      <c r="AH78" s="1724"/>
      <c r="AI78" s="1724"/>
      <c r="AJ78" s="1724"/>
      <c r="AK78" s="1725"/>
      <c r="AL78" s="996"/>
      <c r="AM78" s="1747"/>
      <c r="AN78" s="1775"/>
      <c r="AO78" s="1777"/>
      <c r="AP78" s="1780"/>
      <c r="AQ78" s="1781"/>
      <c r="AR78" s="1795"/>
      <c r="AS78" s="1795"/>
      <c r="AT78" s="1796"/>
      <c r="AU78" s="1735"/>
      <c r="AV78" s="1752"/>
      <c r="AW78" s="1705"/>
      <c r="AX78" s="467"/>
      <c r="AY78" s="1749"/>
      <c r="AZ78" s="1749"/>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696"/>
      <c r="CQ78" s="1696"/>
      <c r="CR78" s="1809"/>
      <c r="CS78" s="1811"/>
      <c r="CU78" s="1688"/>
      <c r="CV78" s="1703"/>
      <c r="CW78" s="1703"/>
      <c r="CX78" s="1703"/>
      <c r="CY78" s="1815"/>
      <c r="CZ78" s="1711"/>
      <c r="DA78" s="1818"/>
      <c r="DB78" s="1820"/>
      <c r="DC78" s="1820"/>
      <c r="DD78" s="1820"/>
      <c r="DF78" s="1703"/>
      <c r="DG78" s="1831"/>
      <c r="DH78" s="1703"/>
      <c r="DI78" s="1838"/>
      <c r="DJ78" s="1711"/>
      <c r="DK78" s="1712"/>
      <c r="DM78" s="1718"/>
      <c r="DO78" s="1708"/>
      <c r="DQ78" s="1715"/>
      <c r="DR78" s="1720"/>
      <c r="DS78" s="1816"/>
      <c r="DT78" s="1714"/>
      <c r="DU78" s="1715"/>
      <c r="DV78" s="1716"/>
      <c r="DX78" s="1715"/>
      <c r="DY78" s="1720"/>
      <c r="DZ78" s="1715"/>
      <c r="EA78" s="1715"/>
      <c r="EC78" s="1834"/>
      <c r="ED78" s="1834"/>
      <c r="EF78" s="1707"/>
      <c r="EG78" s="1712"/>
      <c r="EH78" s="1818"/>
      <c r="EI78" s="1712"/>
      <c r="EJ78" s="1712"/>
      <c r="EK78" s="1836"/>
      <c r="EL78" s="1836"/>
      <c r="EM78" s="1807"/>
      <c r="EN78" s="1839"/>
      <c r="EO78" s="1839"/>
      <c r="EP78" s="1817"/>
      <c r="EQ78" s="1817"/>
      <c r="ER78" s="1807"/>
      <c r="ES78" s="1807"/>
      <c r="ET78" s="1807"/>
      <c r="EV78" s="1715"/>
      <c r="EX78" s="1805"/>
      <c r="EY78" s="1805"/>
      <c r="EZ78" s="1805"/>
      <c r="FA78" s="1805"/>
      <c r="FB78" s="1805"/>
      <c r="FC78" s="1827"/>
      <c r="FE78" s="1698"/>
      <c r="FG78" s="1816"/>
      <c r="FH78" s="1816"/>
      <c r="FI78" s="133"/>
      <c r="FL78" s="1823"/>
      <c r="FM78" s="1825"/>
      <c r="FN78" s="1698"/>
      <c r="FO78" s="1698"/>
      <c r="FP78" s="1678"/>
      <c r="FQ78" s="1678"/>
      <c r="FS78" s="1687"/>
      <c r="FT78" s="1687"/>
      <c r="FU78" s="1685"/>
      <c r="FV78" s="1687"/>
      <c r="FW78" s="1687"/>
      <c r="FX78" s="1687"/>
      <c r="FY78" s="1697"/>
      <c r="GA78" s="1696"/>
      <c r="GB78" s="1696"/>
      <c r="GC78" s="1696"/>
      <c r="GD78" s="1696"/>
      <c r="GE78" s="1696"/>
      <c r="GF78" s="1696"/>
      <c r="GG78" s="1696"/>
      <c r="GH78" s="1696"/>
      <c r="GI78" s="673"/>
      <c r="GJ78" s="1135"/>
      <c r="GK78" s="1832"/>
      <c r="GM78" s="1693" t="b">
        <f ca="1">IF(AND(GP78=TRUE,GQ78=TRUE),TRUE,FALSE)</f>
        <v>0</v>
      </c>
      <c r="GN78" s="1684" t="b">
        <f>IFERROR(IF(__Retrofit_TI_NC=2,TRUE,IF(AU77="Yes",TRUE,FALSE)),FALSE)</f>
        <v>1</v>
      </c>
      <c r="GP78" s="1684" t="b">
        <f>IFERROR(IF(GP77=1,TRUE,FALSE),FALSE)</f>
        <v>0</v>
      </c>
      <c r="GQ78" s="1684" t="b">
        <f ca="1">IFERROR(IF(GQ77=GQ$14,TRUE,FALSE),FALSE)</f>
        <v>0</v>
      </c>
      <c r="HG78" s="1684" t="b">
        <f>IFERROR(IF(AND(__Retrofit_TI_NC&gt;0,CQ77="Interior"),FALSE,TRUE),FALSE)</f>
        <v>1</v>
      </c>
      <c r="HH78" s="1684" t="b">
        <f>IFERROR(IF(M78=1,TRUE,FALSE),FALSE)</f>
        <v>0</v>
      </c>
      <c r="HI78" s="1684" t="b">
        <f>IFERROR(IF(OR(M79=1,N80="BAM"),TRUE,FALSE),FALSE)</f>
        <v>0</v>
      </c>
      <c r="HJ78" s="1684" t="b">
        <f>IFERROR(IF(__Retrofit_TI_NC&lt;&gt;0,TRUE,IFERROR(IF(VLOOKUP(U78,Fixtures_Existing_List,2,FALSE)&lt;&gt;"",TRUE,FALSE),FALSE)),FALSE)</f>
        <v>0</v>
      </c>
      <c r="HK78" s="1684" t="b">
        <f>IFERROR(IF(VLOOKUP(U79,Fixtures_Proposed_List,2,FALSE)&lt;&gt;"",TRUE,FALSE),FALSE)</f>
        <v>0</v>
      </c>
      <c r="HL78" s="1684" t="b">
        <f>IF(AND(__Retrofit_TI_NC=2,FC77=TRUE),FALSE,TRUE)</f>
        <v>1</v>
      </c>
      <c r="HM78" s="1684" t="b">
        <f>GK77</f>
        <v>1</v>
      </c>
      <c r="HN78" s="1682" t="b">
        <f>IF(ISERROR(MATCH(FE77,_Control_Match[],0))=TRUE,FALSE,TRUE)</f>
        <v>0</v>
      </c>
      <c r="HO78" s="1693" t="b">
        <f>IFERROR(IF(EX77&lt;&gt;EY77,FALSE,TRUE),FALSE)</f>
        <v>1</v>
      </c>
      <c r="HP78" s="1693" t="b">
        <f>IFERROR(IF(EX79&lt;&gt;EY79,FALSE,TRUE),FALSE)</f>
        <v>1</v>
      </c>
      <c r="HQ78" s="1670" t="b">
        <f>IFERROR(IF(CQ77="Exterior",TRUE,IF(AND(OR(FM79=0,FM79=3),JD79&gt;6),FALSE,TRUE)),FALSE)</f>
        <v>0</v>
      </c>
      <c r="HR78" s="1684" t="b">
        <f>IFERROR(IF(AND(FO79=7,FC77=TRUE),FALSE,TRUE),FALSE)</f>
        <v>0</v>
      </c>
      <c r="HS78" s="1684" t="b">
        <f>IFERROR(IF(AND(T79&lt;&gt;AF79,OR(AG79="Interior LLLC", AG79="Interior NLC", AG79="LLLC (outside Daylight)",AG79="LLLC Controls Only"))=TRUE,FALSE,TRUE),FALSE)</f>
        <v>1</v>
      </c>
      <c r="HT78" s="1670" t="b">
        <f>IFERROR(IF(OR(AG79=Lookup!BB$17,AG79=Lookup!BB$18,AG79=Lookup!BB$19)=TRUE,IF(AF79&gt;T79,FALSE,TRUE),TRUE),FALSE)</f>
        <v>1</v>
      </c>
      <c r="HU78" s="1684" t="b">
        <f>IFERROR(IF(__Retrofit_TI_NC=2,IF(EZ79&lt;EZ77,FALSE,TRUE),TRUE),FALSE)</f>
        <v>1</v>
      </c>
      <c r="HV78" s="1684" t="b">
        <f>IF(CQ77="Interior",IL$6,TRUE)</f>
        <v>1</v>
      </c>
      <c r="HW78" s="1684" t="b">
        <f>IF(CQ77="Exterior",IL$8,TRUE)</f>
        <v>1</v>
      </c>
      <c r="HX78" s="1684" t="b">
        <f>IFERROR(IF(__Retrofit_TI_NC&lt;&gt;0,IF(AZ77&lt;AY77,FALSE,TRUE),TRUE),FALSE)</f>
        <v>1</v>
      </c>
      <c r="HY78" s="1684" t="b">
        <f>IFERROR(IF(AND(G78="Exterior",R78&gt;4200),FALSE,TRUE),FALSE)</f>
        <v>1</v>
      </c>
      <c r="HZ78" s="1684" t="b">
        <f>IFERROR(IF(AB80/AB77&lt;HZ$18,FALSE,TRUE),FALSE)</f>
        <v>0</v>
      </c>
      <c r="IB78" s="1691"/>
      <c r="IC78" s="1695"/>
      <c r="ID78" s="1694" t="str">
        <f>VLOOKUP(IB80,_Error_Table,4,FALSE)</f>
        <v>White</v>
      </c>
      <c r="IE78" s="391"/>
      <c r="IF78" s="1688"/>
      <c r="IG78" s="1689"/>
      <c r="IH78" s="1684"/>
      <c r="IK78" s="1689"/>
      <c r="IL78" s="1691"/>
      <c r="IM78" s="1691"/>
      <c r="IN78" s="1691"/>
      <c r="IP78" s="1679"/>
      <c r="IQ78" s="1679"/>
      <c r="IR78" s="1679"/>
      <c r="IS78" s="1679"/>
      <c r="IT78" s="1679"/>
      <c r="IU78" s="1679"/>
      <c r="IV78" s="1679"/>
      <c r="IW78" s="1679"/>
      <c r="IX78" s="1679"/>
      <c r="IY78" s="1679"/>
      <c r="IZ78" s="1679"/>
      <c r="JA78" s="1679"/>
      <c r="JC78" s="1680"/>
      <c r="JD78" s="1670"/>
      <c r="JE78" s="1681"/>
      <c r="JG78" s="1680"/>
      <c r="JH78" s="1670"/>
      <c r="JI78" s="1060"/>
      <c r="JJ78" s="1683"/>
      <c r="JK78" s="1061"/>
      <c r="JL78" s="1683"/>
      <c r="JM78" s="1061"/>
      <c r="JN78" s="1683"/>
      <c r="JO78" s="1061"/>
      <c r="JP78" s="1683"/>
      <c r="JQ78" s="1061"/>
      <c r="JR78" s="1683"/>
      <c r="JS78" s="1061"/>
      <c r="JT78" s="1670"/>
      <c r="JU78" s="1061"/>
      <c r="JV78" s="1670"/>
      <c r="JX78" s="1670"/>
      <c r="JZ78" s="1683"/>
      <c r="KB78" s="1670"/>
    </row>
    <row r="79" spans="1:288" s="78" customFormat="1" ht="14.95" customHeight="1" thickTop="1" thickBot="1">
      <c r="A79" s="78">
        <f>ROW()</f>
        <v>79</v>
      </c>
      <c r="B79" s="1845"/>
      <c r="C79" s="1846"/>
      <c r="D79" s="1847"/>
      <c r="E79" s="1737" t="s">
        <v>298</v>
      </c>
      <c r="F79" s="1738"/>
      <c r="G79" s="1760"/>
      <c r="H79" s="1761"/>
      <c r="I79" s="1761"/>
      <c r="J79" s="1761"/>
      <c r="K79" s="1761"/>
      <c r="L79" s="1762"/>
      <c r="M79" s="461">
        <f>IFERROR(IF(IF(__Retrofit_TI_NC&lt;&gt;0,IF(CQ77="Interior",MATCH(G79,Lookup_Interior_New,0),MATCH(G79,Lookup_Exterior_New,0)),IF(CQ77="Interior",MATCH(G79,Lookup_Interior,0),MATCH(G79,Lookup_Exterior_Areas,0)))&gt;0,1,0),0)</f>
        <v>0</v>
      </c>
      <c r="N79" s="461" t="e">
        <f>IF(__Retrofit_TI_NC=1,
VLOOKUP(G79,'Space Table'!$B$3:$L$163,4,FALSE),
IF(__Retrofit_TI_NC=2,VLOOKUP(G79,'Space Table'!$B$3:$L$163,5,FALSE),VLOOKUP(G79,'Space Table'!$B$3:$L$163,5,FALSE)))</f>
        <v>#N/A</v>
      </c>
      <c r="O79" s="461">
        <f>G79</f>
        <v>0</v>
      </c>
      <c r="P79" s="1738" t="str">
        <f>IFERROR(IF(__Retrofit_TI_NC=1,VLOOKUP(G79,'Space Table'!$B$3:$O$163,13,FALSE),IF(__Retrofit_TI_NC=2,VLOOKUP(G79,'Space Table'!$B$3:$O$163,14,FALSE),"Area (sf):")),"Area (sf):")</f>
        <v>Area (sf):</v>
      </c>
      <c r="Q79" s="1738"/>
      <c r="R79" s="596"/>
      <c r="S79" s="1763" t="s">
        <v>345</v>
      </c>
      <c r="T79" s="594"/>
      <c r="U79" s="1801"/>
      <c r="V79" s="1802"/>
      <c r="W79" s="1802"/>
      <c r="X79" s="1802"/>
      <c r="Y79" s="1802"/>
      <c r="Z79" s="1802"/>
      <c r="AA79" s="1802"/>
      <c r="AB79" s="1802"/>
      <c r="AC79" s="1802"/>
      <c r="AD79" s="1802"/>
      <c r="AE79" s="1803"/>
      <c r="AF79" s="594"/>
      <c r="AG79" s="1787"/>
      <c r="AH79" s="1787"/>
      <c r="AI79" s="1787"/>
      <c r="AJ79" s="1787"/>
      <c r="AK79" s="1787"/>
      <c r="AL79" s="1787"/>
      <c r="AM79" s="1726">
        <f>IFERROR(DI79,"")</f>
        <v>0</v>
      </c>
      <c r="AN79" s="1728" t="str">
        <f>IFERROR(ROUND(AM79*AC80,0),"")</f>
        <v/>
      </c>
      <c r="AO79" s="1730">
        <f>IFERROR(IF(IB77=FALSE,0,AC80-AN79),0)</f>
        <v>0</v>
      </c>
      <c r="AP79" s="1780"/>
      <c r="AQ79" s="1781"/>
      <c r="AR79" s="1795"/>
      <c r="AS79" s="1795"/>
      <c r="AT79" s="1796"/>
      <c r="AU79" s="1735"/>
      <c r="AV79" s="1752"/>
      <c r="AW79" s="1705"/>
      <c r="AX79" s="467"/>
      <c r="AY79" s="1749"/>
      <c r="AZ79" s="1749"/>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696"/>
      <c r="CQ79" s="1696"/>
      <c r="CR79" s="1808" t="str">
        <f>CQ77</f>
        <v/>
      </c>
      <c r="CS79" s="1810" t="str">
        <f>CS77</f>
        <v/>
      </c>
      <c r="CU79" s="1688" t="s">
        <v>345</v>
      </c>
      <c r="CV79" s="1702">
        <f>IF(IB77=TRUE,T79,0)</f>
        <v>0</v>
      </c>
      <c r="CW79" s="1702" t="str">
        <f>IF(IB77=TRUE,U79,"")</f>
        <v/>
      </c>
      <c r="CX79" s="1812">
        <f>IF(IB77=TRUE,U80,0)</f>
        <v>0</v>
      </c>
      <c r="CY79" s="1814">
        <f>IF(IB77=TRUE,AB80,0)</f>
        <v>0</v>
      </c>
      <c r="CZ79" s="1710">
        <f>IF(AND(__Retrofit_TI_NC&gt;0,CR77="interior"),0,IF(IB77=TRUE,AC80,0))</f>
        <v>0</v>
      </c>
      <c r="DA79" s="1818"/>
      <c r="DB79" s="1820"/>
      <c r="DC79" s="1820"/>
      <c r="DD79" s="1820"/>
      <c r="DF79" s="1702">
        <f>IF(IB77=TRUE,AF79,0)</f>
        <v>0</v>
      </c>
      <c r="DG79" s="1830" t="str">
        <f>IF(IB77=TRUE,AG79,"")</f>
        <v/>
      </c>
      <c r="DH79" s="1812">
        <f>AG80</f>
        <v>0</v>
      </c>
      <c r="DI79" s="1837">
        <f>JE79</f>
        <v>0</v>
      </c>
      <c r="DJ79" s="1710">
        <f>IF(AND(__Retrofit_TI_NC&gt;0,CR77="interior"),0,IF(IB77=TRUE,AN79,0))</f>
        <v>0</v>
      </c>
      <c r="DK79" s="1712"/>
      <c r="DN79" s="1717">
        <f>IFERROR(CZ79-DJ79,0)</f>
        <v>0</v>
      </c>
      <c r="DO79" s="1709"/>
      <c r="DQ79" s="1715"/>
      <c r="DR79" s="1719" t="str">
        <f>DQ77</f>
        <v/>
      </c>
      <c r="DS79" s="1816"/>
      <c r="DT79" s="1835" t="str">
        <f>IF(OR(DS77=7,DS77=8,DS77=9),"ALC","")</f>
        <v/>
      </c>
      <c r="DU79" s="1715"/>
      <c r="DV79" s="1716"/>
      <c r="DX79" s="1715"/>
      <c r="DY79" s="1829" t="str">
        <f>DX77</f>
        <v/>
      </c>
      <c r="DZ79" s="1715"/>
      <c r="EA79" s="1715"/>
      <c r="EC79" s="1834"/>
      <c r="ED79" s="1834"/>
      <c r="EF79" s="1707"/>
      <c r="EG79" s="1712"/>
      <c r="EH79" s="1818"/>
      <c r="EI79" s="1712"/>
      <c r="EJ79" s="1712"/>
      <c r="EK79" s="1836"/>
      <c r="EL79" s="1836"/>
      <c r="EM79" s="1807"/>
      <c r="EN79" s="1839"/>
      <c r="EO79" s="1839"/>
      <c r="EP79" s="1817"/>
      <c r="EQ79" s="1817"/>
      <c r="ER79" s="1807"/>
      <c r="ES79" s="1807"/>
      <c r="ET79" s="1807"/>
      <c r="EV79" s="1715"/>
      <c r="EX79" s="1805" t="str">
        <f>IFERROR(VLOOKUP(CS79,'Space Table'!$B$3:$L$163,8,FALSE),"")</f>
        <v/>
      </c>
      <c r="EY79" s="1805" t="str">
        <f>IFERROR(IF(FB79="Yes",VLOOKUP(AG79,Lookup_Control_Type_Table2,4,FALSE),VLOOKUP(AG79,Lookup_Control_Type_Table2,3,FALSE)),"")</f>
        <v/>
      </c>
      <c r="EZ79" s="1805" t="e">
        <f>VLOOKUP(AG79,Lookup!BB$3:BC$20,2,FALSE)</f>
        <v>#N/A</v>
      </c>
      <c r="FA79" s="1805" t="e">
        <f>VLOOKUP(EX77,Lookup_Control_Type_Table,2,FALSE)</f>
        <v>#N/A</v>
      </c>
      <c r="FB79" s="1805" t="e">
        <f>VLOOKUP(CS79,'Space Table'!$B$3:$L$163,7,FALSE)</f>
        <v>#N/A</v>
      </c>
      <c r="FC79" s="1827"/>
      <c r="FE79" s="1698" t="str">
        <f>CONCATENATE(CQ77," - ",AG79)</f>
        <v xml:space="preserve"> - </v>
      </c>
      <c r="FG79" s="1816"/>
      <c r="FH79" s="1816"/>
      <c r="FI79" s="133"/>
      <c r="FL79" s="1822" t="str">
        <f>IF(CQ77="Exterior","Not Daylighted",G80)</f>
        <v>Not Daylighted</v>
      </c>
      <c r="FM79" s="1824">
        <f>VLOOKUP(FL79,_New_Daylight_Table_Codes,2,FALSE)</f>
        <v>0</v>
      </c>
      <c r="FN79" s="1698">
        <f>AG79</f>
        <v>0</v>
      </c>
      <c r="FO79" s="1698" t="e">
        <f>VLOOKUP(FN79,_Control_Table,2,FALSE)</f>
        <v>#N/A</v>
      </c>
      <c r="FP79" s="1678" t="e">
        <f>VLOOKUP(CONCATENATE(FL79," ",FN79),Lookup!AY89:AZ$102,2,FALSE)</f>
        <v>#N/A</v>
      </c>
      <c r="FQ79" s="1698">
        <f>IF(__Retrofit_TI_NC=0,FN79,IF(AND(FT79&gt;0,FN79="Occupancy Sensor"),"Daylight + Occupancy",IF(AND(FT79&gt;0,FO79&lt;4),"Interior Daylight Dimming",FN79)))</f>
        <v>0</v>
      </c>
      <c r="FS79" s="1686">
        <f>IF(CQ77="Interior",VLOOKUP(CS77,Control_Savings_Interior,5,FALSE),0)</f>
        <v>0</v>
      </c>
      <c r="FT79" s="1687">
        <f>IF(CQ79="Exterior",0,IF(FM79=2,0.5,IF(OR(FM79=1,FM79=3),1,0)))</f>
        <v>0</v>
      </c>
      <c r="FU79" s="1685">
        <f>IF(R78&gt;FS$44,(FS79*(FS$44/R78)),FS79)*FT79</f>
        <v>0</v>
      </c>
      <c r="FV79" s="1686">
        <f>DI79</f>
        <v>0</v>
      </c>
      <c r="FW79" s="1686">
        <f>ROUND(FV79+((1-FV79)*FU79),2)</f>
        <v>0</v>
      </c>
      <c r="FX79" s="1686">
        <f>IF(__Retrofit_TI_NC=2,FW79,FV79)</f>
        <v>0</v>
      </c>
      <c r="FY79" s="1697">
        <f>IF(CR79="Interior",VLOOKUP(CS79,Control_Savings_Interior,4,FALSE),0)</f>
        <v>0</v>
      </c>
      <c r="GA79" s="1696"/>
      <c r="GB79" s="1696"/>
      <c r="GC79" s="1696"/>
      <c r="GD79" s="1696"/>
      <c r="GE79" s="1696"/>
      <c r="GF79" s="1696"/>
      <c r="GG79" s="1696"/>
      <c r="GH79" s="1696"/>
      <c r="GI79" s="673" t="b">
        <f>IF(ISNUMBER(SEARCH("TLED",U79)),TRUE,FALSE)</f>
        <v>0</v>
      </c>
      <c r="GJ79" s="1135" t="str">
        <f>IFERROR(VLOOKUP(U79,Fixtures!DM$93:DR$142,6,FALSE),"")</f>
        <v/>
      </c>
      <c r="GK79" s="1832"/>
      <c r="GM79" s="1692"/>
      <c r="GN79" s="1684"/>
      <c r="GP79" s="1684"/>
      <c r="GQ79" s="1684"/>
      <c r="HG79" s="1684"/>
      <c r="HH79" s="1684"/>
      <c r="HI79" s="1684"/>
      <c r="HJ79" s="1684"/>
      <c r="HK79" s="1684"/>
      <c r="HL79" s="1684"/>
      <c r="HM79" s="1684"/>
      <c r="HN79" s="1683"/>
      <c r="HO79" s="1692"/>
      <c r="HP79" s="1692"/>
      <c r="HQ79" s="1670"/>
      <c r="HR79" s="1684"/>
      <c r="HS79" s="1684"/>
      <c r="HT79" s="1670"/>
      <c r="HU79" s="1684"/>
      <c r="HV79" s="1684"/>
      <c r="HW79" s="1684"/>
      <c r="HX79" s="1684"/>
      <c r="HY79" s="1684"/>
      <c r="HZ79" s="1684"/>
      <c r="IB79" s="1692"/>
      <c r="IC79" s="1693" t="b">
        <f>IB77</f>
        <v>0</v>
      </c>
      <c r="ID79" s="1695"/>
      <c r="IE79" s="391"/>
      <c r="IF79" s="1688"/>
      <c r="IG79" s="1689">
        <f ca="1">IF(IF77=TRUE,AC80,0)</f>
        <v>0</v>
      </c>
      <c r="IH79" s="1684"/>
      <c r="IK79" s="1689" t="e">
        <f>ROUND(T79*AB80*N78*R78/1000,0)</f>
        <v>#VALUE!</v>
      </c>
      <c r="IL79" s="1691"/>
      <c r="IM79" s="1693" t="e">
        <f>ROUND(T79*AB80*N78*R78/1000,0)</f>
        <v>#VALUE!</v>
      </c>
      <c r="IN79" s="1691"/>
      <c r="IP79" s="1679"/>
      <c r="IQ79" s="1679" t="e">
        <f t="shared" ref="IQ79:IU79" si="47">IF($CR79="interior",VLOOKUP($CS79,_New_Control_Savings_Interior,IQ$30,FALSE),VLOOKUP($CS79,Control_Savings_Exterior,IQ$30,FALSE))</f>
        <v>#N/A</v>
      </c>
      <c r="IR79" s="1679" t="e">
        <f t="shared" si="47"/>
        <v>#N/A</v>
      </c>
      <c r="IS79" s="1679" t="e">
        <f t="shared" si="47"/>
        <v>#N/A</v>
      </c>
      <c r="IT79" s="1679" t="e">
        <f t="shared" si="47"/>
        <v>#N/A</v>
      </c>
      <c r="IU79" s="1679" t="e">
        <f t="shared" si="47"/>
        <v>#N/A</v>
      </c>
      <c r="IV79" s="1679" t="e">
        <f>IF($CR79="interior",IF(R78&gt;$IP$14,ROUND(($IV$18*($IP$14/R78)),2),$IV$18),VLOOKUP($CS79,Control_Savings_Exterior,IV$30,FALSE))</f>
        <v>#N/A</v>
      </c>
      <c r="IW79" s="1679" t="e">
        <f>IF($CR79="interior",ROUND(((1-IS79)*IV79)+IS79,2),VLOOKUP($CS79,Control_Savings_Exterior,IW$30,FALSE))</f>
        <v>#N/A</v>
      </c>
      <c r="IX79" s="1679" t="e">
        <f>IF($CR79="interior",ROUND(((1-IT79)*IV79)+IT79,2),VLOOKUP($CS79,Control_Savings_Exterior,IX$30,FALSE))</f>
        <v>#N/A</v>
      </c>
      <c r="IY79" s="1679" t="e">
        <f>IF($CR79="interior",IF(R78&gt;$IP$14,ROUND(($IY$18*($IP$14/R78)),2),$IY$18),VLOOKUP($CS79,Control_Savings_Exterior,IY$30,FALSE))</f>
        <v>#N/A</v>
      </c>
      <c r="IZ79" s="1679" t="e">
        <f>IF($CR79="interior",ROUND(((1-IS79)*IY79)+IS79,2),VLOOKUP($CS79,Control_Savings_Exterior,IZ$30,FALSE))</f>
        <v>#N/A</v>
      </c>
      <c r="JA79" s="1679" t="e">
        <f>IF($CR79="interior",ROUND(((1-IT79)*IY79)+IT79,2),VLOOKUP($CS79,Control_Savings_Exterior,JA$30,FALSE))</f>
        <v>#N/A</v>
      </c>
      <c r="JC79" s="1680">
        <f>IFERROR(IF(CR79="Interior",CONCATENATE(G80," ",FQ79),AG79),"")</f>
        <v>0</v>
      </c>
      <c r="JD79" s="1670" t="str">
        <f>IFERROR(VLOOKUP(JC79,_Controls_2023,2,FALSE),"")</f>
        <v/>
      </c>
      <c r="JE79" s="1681">
        <f>IFERROR(CHOOSE(JD79-1,IQ79,IR79,IS79,IT79,IU79,IV79,IW79,IX79,IY79,IZ79,JA79),0)</f>
        <v>0</v>
      </c>
      <c r="JG79" s="1680" t="str">
        <f>FE79</f>
        <v xml:space="preserve"> - </v>
      </c>
      <c r="JH79" s="1670" t="e">
        <f>$FO79</f>
        <v>#N/A</v>
      </c>
      <c r="JI79" s="1060"/>
      <c r="JJ79" s="1670">
        <f>IFERROR(IF($IB77=TRUE,IF(OR(JJ$14="No",JJ77=FALSE,JH79&lt;=JH77,AND(_kWh_Grant=0,GD77=FALSE)),0,IF(JJ$8="Per Line",1,$AF79)),0),0)</f>
        <v>0</v>
      </c>
      <c r="JK79" s="1061"/>
      <c r="JL79" s="1670">
        <f>IFERROR(IF(_kWh_Grant=0,0,IF($IB77=TRUE,IF(OR(JL$14="No",JL77=FALSE,JH79&lt;=JH77),0,IF(JL$8="Per Line",1,$T79)),0)),0)</f>
        <v>0</v>
      </c>
      <c r="JM79" s="1061"/>
      <c r="JN79" s="1670">
        <f>IFERROR(IF(_kWh_Grant=0,0,IF($IB77=TRUE,IF(OR(JN$14="No",JN77=FALSE,JH79&lt;=JH77),0,IF(JN$8="Per Line",1,$AF79)),0)),0)</f>
        <v>0</v>
      </c>
      <c r="JO79" s="1061"/>
      <c r="JP79" s="1670">
        <f>IFERROR(IF(__Retrofit_TI_NC=0,IF(_kWh_Grant=0,0,IF($IB77=TRUE,IF(OR(JP$14="No",JP77=FALSE,$JH79&lt;=$JH77),0,IF(JP$8="Per Line",1,$AF79)),0)),IF($IB77=TRUE,IF(OR(JP$14="No",JP77=FALSE,$JH79&lt;=$JH77),0,IF(JP$8="Per Line",1,$AF79)))),0)</f>
        <v>0</v>
      </c>
      <c r="JQ79" s="1061"/>
      <c r="JR79" s="1670">
        <f>IFERROR(IF(__Retrofit_TI_NC=0,IF(_kWh_Grant=0,0,IF($IB77=TRUE,IF(OR(JR$14="No",JR77=FALSE,$JH79&lt;=$JH77),0,IF(JR$8="Per Line",1,$AF79)),0)),IF($IB77=TRUE,IF(OR(JR$14="No",JR77=FALSE,$JH79&lt;=$JH77),0,IF(JR$8="Per Line",1,$AF79)))),0)</f>
        <v>0</v>
      </c>
      <c r="JS79" s="1061"/>
      <c r="JT79" s="1670">
        <f>IFERROR(IF(__Retrofit_TI_NC=0,IF(_kWh_Grant=0,0,IF($IB77=TRUE,IF(OR(JT$14="No",JT77=FALSE,$JH79&lt;=$JH77),0,IF(JT$8="Per Line",1,$AF79)),0)),IF($IB77=TRUE,IF(OR(JT$14="No",JT77=FALSE,$JH79&lt;=$JH77),0,IF(JT$8="Per Line",1,$AF79)))),0)</f>
        <v>0</v>
      </c>
      <c r="JU79" s="1061"/>
      <c r="JV79" s="1670">
        <f>IFERROR(IF(__Retrofit_TI_NC=0,IF(_kWh_Grant=0,0,IF($IB77=TRUE,IF(OR(JV$14="No",JV77=FALSE,$JH79&lt;=$JH77),0,IF(JV$8="Per Line",1,$AF79)),0)),IF($IB77=TRUE,IF(OR(JV$14="No",JV77=FALSE,$JH79&lt;=$JH77),0,IF(JV$8="Per Line",1,$AF79)))),0)</f>
        <v>0</v>
      </c>
      <c r="JX79" s="1670">
        <f>IFERROR(IF(__Retrofit_TI_NC=0,IF(_kWh_Grant=0,0,IF($IB77=TRUE,IF(OR(JX$14="No",JX77=FALSE,$JH79&lt;=$JH77),0,IF(JX$8="Per Line",1,$AF79)),0)),IF($IB77=TRUE,IF(OR(JX$14="No",JX77=FALSE,$JH79&lt;=$JH77),0,IF(JX$8="Per Line",1,$AF79)))),0)</f>
        <v>0</v>
      </c>
      <c r="JZ79" s="1670">
        <f>IFERROR(IF($IB77=TRUE,IF(OR(JZ$14="No",JZ77=FALSE,$JH79&lt;=$JH77,AND(_kWh_Grant=0,$GD77=FALSE)),0,IF(JZ$8="Per Line",1,$AF79)),0),0)</f>
        <v>0</v>
      </c>
      <c r="KB79" s="1670">
        <f>IFERROR(IF(__Retrofit_TI_NC=0,IF(_kWh_Grant=0,0,IF($IB77=TRUE,IF(OR(KB$14="No",KB77=FALSE,$JH79&lt;=$JH77),0,IF(KB$8="Per Line",1,$AF79)),0)),IF($IB77=TRUE,IF(OR(KB$14="No",KB77=FALSE,$JH79&lt;=$JH77),0,IF(KB$8="Per Line",1,$AF79)))),0)</f>
        <v>0</v>
      </c>
    </row>
    <row r="80" spans="1:288" s="78" customFormat="1" ht="14.95" customHeight="1" thickTop="1" thickBot="1">
      <c r="B80" s="1845"/>
      <c r="C80" s="1846"/>
      <c r="D80" s="1847"/>
      <c r="E80" s="1771" t="s">
        <v>436</v>
      </c>
      <c r="F80" s="1772"/>
      <c r="G80" s="1784" t="s">
        <v>437</v>
      </c>
      <c r="H80" s="1785"/>
      <c r="I80" s="1785"/>
      <c r="J80" s="1785"/>
      <c r="K80" s="1785"/>
      <c r="L80" s="1786"/>
      <c r="M80" s="591">
        <f>IFERROR(VLOOKUP(G80,_Daylight_Table[],2,FALSE),0)</f>
        <v>0</v>
      </c>
      <c r="N80" s="592" t="str">
        <f>IF(AND(__Retrofit_TI_NC&gt;0,CQ77="Interior"),"BAM","")</f>
        <v/>
      </c>
      <c r="O80" s="591" t="e">
        <f>VLOOKUP(G79,'Space Table'!$B$3:$L$163,11,FALSE)</f>
        <v>#N/A</v>
      </c>
      <c r="P80" s="1789"/>
      <c r="Q80" s="1790"/>
      <c r="R80" s="1790"/>
      <c r="S80" s="1788"/>
      <c r="T80" s="593" t="s">
        <v>342</v>
      </c>
      <c r="U80" s="1756" t="str" cm="1">
        <f t="array" aca="1" ref="U80" ca="1">IFERROR(VLOOKUP(INDIRECT("U" &amp; ROW()-1),Fixtures!DM$93:DP$142,4,FALSE),"")</f>
        <v/>
      </c>
      <c r="V80" s="1757"/>
      <c r="W80" s="1757"/>
      <c r="X80" s="1757"/>
      <c r="Y80" s="1757"/>
      <c r="Z80" s="1757"/>
      <c r="AA80" s="1758"/>
      <c r="AB80" s="939" t="str">
        <f>IFERROR(VLOOKUP(U79,Fixtures_Proposed_List,2,FALSE),"")</f>
        <v/>
      </c>
      <c r="AC80" s="933" t="str">
        <f>IFERROR(ROUND(T79*AB80*N78*R78/1000,0),"")</f>
        <v/>
      </c>
      <c r="AD80" s="934" t="str">
        <f>IFERROR(ROUND(T79*AB80/1000,2),"")</f>
        <v/>
      </c>
      <c r="AE80" s="998"/>
      <c r="AF80" s="938" t="s">
        <v>342</v>
      </c>
      <c r="AG80" s="1770"/>
      <c r="AH80" s="1770"/>
      <c r="AI80" s="1770"/>
      <c r="AJ80" s="1770"/>
      <c r="AK80" s="1770"/>
      <c r="AL80" s="1770"/>
      <c r="AM80" s="1727"/>
      <c r="AN80" s="1729"/>
      <c r="AO80" s="1731"/>
      <c r="AP80" s="1782"/>
      <c r="AQ80" s="1783"/>
      <c r="AR80" s="1797"/>
      <c r="AS80" s="1797"/>
      <c r="AT80" s="1798"/>
      <c r="AU80" s="1736"/>
      <c r="AV80" s="1753"/>
      <c r="AW80" s="1706"/>
      <c r="AX80" s="468"/>
      <c r="AY80" s="1750"/>
      <c r="AZ80" s="1750"/>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696"/>
      <c r="CQ80" s="1696"/>
      <c r="CR80" s="1809"/>
      <c r="CS80" s="1811"/>
      <c r="CU80" s="1688"/>
      <c r="CV80" s="1703"/>
      <c r="CW80" s="1703"/>
      <c r="CX80" s="1813"/>
      <c r="CY80" s="1815"/>
      <c r="CZ80" s="1711"/>
      <c r="DA80" s="1815"/>
      <c r="DB80" s="1821"/>
      <c r="DC80" s="1821"/>
      <c r="DD80" s="1821"/>
      <c r="DF80" s="1703"/>
      <c r="DG80" s="1831"/>
      <c r="DH80" s="1813"/>
      <c r="DI80" s="1838"/>
      <c r="DJ80" s="1711"/>
      <c r="DK80" s="1712"/>
      <c r="DN80" s="1718"/>
      <c r="DO80" s="1709"/>
      <c r="DQ80" s="1715"/>
      <c r="DR80" s="1720"/>
      <c r="DS80" s="1703"/>
      <c r="DT80" s="1714"/>
      <c r="DU80" s="1715"/>
      <c r="DV80" s="1716"/>
      <c r="DX80" s="1715"/>
      <c r="DY80" s="1720"/>
      <c r="DZ80" s="1715"/>
      <c r="EA80" s="1715"/>
      <c r="EC80" s="1834"/>
      <c r="ED80" s="1834"/>
      <c r="EF80" s="1707"/>
      <c r="EG80" s="1712"/>
      <c r="EH80" s="1815"/>
      <c r="EI80" s="1712"/>
      <c r="EJ80" s="1712"/>
      <c r="EK80" s="1813"/>
      <c r="EL80" s="1813"/>
      <c r="EM80" s="1807"/>
      <c r="EN80" s="1839"/>
      <c r="EO80" s="1839"/>
      <c r="EP80" s="1817"/>
      <c r="EQ80" s="1817"/>
      <c r="ER80" s="1807"/>
      <c r="ES80" s="1807"/>
      <c r="ET80" s="1807"/>
      <c r="EV80" s="1715"/>
      <c r="EX80" s="1806"/>
      <c r="EY80" s="1806"/>
      <c r="EZ80" s="1806"/>
      <c r="FA80" s="1806"/>
      <c r="FB80" s="1806"/>
      <c r="FC80" s="1828"/>
      <c r="FE80" s="1698"/>
      <c r="FG80" s="1703"/>
      <c r="FH80" s="1703"/>
      <c r="FI80" s="133"/>
      <c r="FL80" s="1823"/>
      <c r="FM80" s="1825"/>
      <c r="FN80" s="1698"/>
      <c r="FO80" s="1698"/>
      <c r="FP80" s="1678"/>
      <c r="FQ80" s="1698"/>
      <c r="FS80" s="1687"/>
      <c r="FT80" s="1687"/>
      <c r="FU80" s="1685"/>
      <c r="FV80" s="1687"/>
      <c r="FW80" s="1687"/>
      <c r="FX80" s="1687"/>
      <c r="FY80" s="1697"/>
      <c r="GA80" s="1696"/>
      <c r="GB80" s="1696"/>
      <c r="GC80" s="1696"/>
      <c r="GD80" s="1696"/>
      <c r="GE80" s="1696"/>
      <c r="GF80" s="1696"/>
      <c r="GG80" s="1696"/>
      <c r="GH80" s="1696"/>
      <c r="GI80" s="673"/>
      <c r="GJ80" s="1135"/>
      <c r="GK80" s="1832"/>
      <c r="GN80" s="674">
        <f>IF(GN78=TRUE,0,GN$16)</f>
        <v>0</v>
      </c>
      <c r="GP80" s="674">
        <f>IF(GP78=TRUE,0,GP$16)</f>
        <v>36</v>
      </c>
      <c r="GQ80" s="674">
        <f ca="1">IF(GQ78=TRUE,0,GQ$16)</f>
        <v>35</v>
      </c>
      <c r="GR80" s="391"/>
      <c r="GS80" s="391"/>
      <c r="GT80" s="391"/>
      <c r="GU80" s="391"/>
      <c r="GV80" s="391"/>
      <c r="HG80" s="674">
        <f>IF(HG78=TRUE,0,HG$16)</f>
        <v>0</v>
      </c>
      <c r="HH80" s="674">
        <f t="shared" ref="HH80:HM80" si="48">IF(HH78=TRUE,0,HH$16)</f>
        <v>19</v>
      </c>
      <c r="HI80" s="674">
        <f t="shared" si="48"/>
        <v>18</v>
      </c>
      <c r="HJ80" s="674">
        <f t="shared" si="48"/>
        <v>17</v>
      </c>
      <c r="HK80" s="674">
        <f t="shared" si="48"/>
        <v>16</v>
      </c>
      <c r="HL80" s="674">
        <f t="shared" si="48"/>
        <v>0</v>
      </c>
      <c r="HM80" s="674">
        <f t="shared" si="48"/>
        <v>0</v>
      </c>
      <c r="HN80" s="674">
        <f>IF(HN78=TRUE,0,HN$16)</f>
        <v>13</v>
      </c>
      <c r="HO80" s="674">
        <f t="shared" ref="HO80:HQ80" si="49">IF(HO78=TRUE,0,HO$16)</f>
        <v>0</v>
      </c>
      <c r="HP80" s="674">
        <f t="shared" si="49"/>
        <v>0</v>
      </c>
      <c r="HQ80" s="674">
        <f t="shared" si="49"/>
        <v>10</v>
      </c>
      <c r="HR80" s="674">
        <f>IF(HR78=TRUE,0,HR$16)</f>
        <v>9</v>
      </c>
      <c r="HS80" s="674">
        <f t="shared" ref="HS80:HW80" si="50">IF(HS78=TRUE,0,HS$16)</f>
        <v>0</v>
      </c>
      <c r="HT80" s="674">
        <f t="shared" si="50"/>
        <v>0</v>
      </c>
      <c r="HU80" s="674">
        <f t="shared" si="50"/>
        <v>0</v>
      </c>
      <c r="HV80" s="674">
        <f t="shared" si="50"/>
        <v>0</v>
      </c>
      <c r="HW80" s="674">
        <f t="shared" si="50"/>
        <v>0</v>
      </c>
      <c r="HX80" s="674">
        <f>IF(HX78=TRUE,0,HX$16)</f>
        <v>0</v>
      </c>
      <c r="HY80" s="674">
        <f>IF(HY78=TRUE,0,HY$16)</f>
        <v>0</v>
      </c>
      <c r="HZ80" s="674">
        <f>IF(HZ78=TRUE,0,HZ$16)</f>
        <v>1</v>
      </c>
      <c r="IB80" s="674">
        <f>IF(GP78=FALSE,GP80,IF(GQ78=FALSE,GQ80,MAX(GN80:HZ80)))</f>
        <v>36</v>
      </c>
      <c r="IC80" s="1692"/>
      <c r="ID80" s="205" t="str">
        <f>VLOOKUP(IB80,_Error_Table,3,FALSE)</f>
        <v xml:space="preserve"> </v>
      </c>
      <c r="IE80" s="205"/>
      <c r="IF80" s="1688"/>
      <c r="IG80" s="1689"/>
      <c r="IH80" s="1684"/>
      <c r="IK80" s="1689"/>
      <c r="IL80" s="1692"/>
      <c r="IM80" s="1692"/>
      <c r="IN80" s="1692"/>
      <c r="IP80" s="1679"/>
      <c r="IQ80" s="1679"/>
      <c r="IR80" s="1679"/>
      <c r="IS80" s="1679"/>
      <c r="IT80" s="1679"/>
      <c r="IU80" s="1679"/>
      <c r="IV80" s="1679"/>
      <c r="IW80" s="1679"/>
      <c r="IX80" s="1679"/>
      <c r="IY80" s="1679"/>
      <c r="IZ80" s="1679"/>
      <c r="JA80" s="1679"/>
      <c r="JC80" s="1680"/>
      <c r="JD80" s="1670"/>
      <c r="JE80" s="1681"/>
      <c r="JG80" s="1680"/>
      <c r="JH80" s="1670"/>
      <c r="JI80" s="1060"/>
      <c r="JJ80" s="1670"/>
      <c r="JK80" s="1061"/>
      <c r="JL80" s="1670"/>
      <c r="JM80" s="1061"/>
      <c r="JN80" s="1670"/>
      <c r="JO80" s="1061"/>
      <c r="JP80" s="1670"/>
      <c r="JQ80" s="1061"/>
      <c r="JR80" s="1670"/>
      <c r="JS80" s="1061"/>
      <c r="JT80" s="1670"/>
      <c r="JU80" s="1061"/>
      <c r="JV80" s="1670"/>
      <c r="JX80" s="1670"/>
      <c r="JZ80" s="1670"/>
      <c r="KB80" s="1670"/>
    </row>
    <row r="81" spans="1:288" s="78" customFormat="1" ht="5.0999999999999996" customHeight="1">
      <c r="B81" s="675"/>
      <c r="C81" s="392"/>
      <c r="D81" s="392"/>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3"/>
      <c r="AB81" s="1733"/>
      <c r="AC81" s="1733"/>
      <c r="AD81" s="1733"/>
      <c r="AE81" s="1733"/>
      <c r="AF81" s="1733"/>
      <c r="AG81" s="1733"/>
      <c r="AH81" s="1733"/>
      <c r="AI81" s="1733"/>
      <c r="AJ81" s="1733"/>
      <c r="AK81" s="1733"/>
      <c r="AL81" s="1733"/>
      <c r="AM81" s="1733"/>
      <c r="AN81" s="1733"/>
      <c r="AO81" s="1733"/>
      <c r="AP81" s="1733"/>
      <c r="AQ81" s="1733"/>
      <c r="AR81" s="1733"/>
      <c r="AS81" s="1733"/>
      <c r="AT81" s="1733"/>
      <c r="AU81" s="1733"/>
      <c r="AV81" s="1733"/>
      <c r="AW81" s="1733"/>
      <c r="AX81" s="469"/>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663"/>
      <c r="CQ81" s="663"/>
      <c r="CR81" s="438"/>
      <c r="CS81" s="663"/>
      <c r="CV81" s="391"/>
      <c r="CW81" s="391"/>
      <c r="CX81" s="207"/>
      <c r="CY81" s="208"/>
      <c r="CZ81" s="208"/>
      <c r="DA81" s="208"/>
      <c r="DB81" s="209"/>
      <c r="DC81" s="209"/>
      <c r="DD81" s="209"/>
      <c r="DF81" s="664"/>
      <c r="DG81" s="665"/>
      <c r="DH81" s="666"/>
      <c r="DI81" s="667"/>
      <c r="DJ81" s="668"/>
      <c r="DK81" s="668"/>
      <c r="DN81" s="208"/>
      <c r="DO81" s="664"/>
      <c r="DQ81" s="664"/>
      <c r="DR81" s="669"/>
      <c r="DS81" s="391"/>
      <c r="DT81" s="664"/>
      <c r="DU81" s="664"/>
      <c r="DV81" s="664"/>
      <c r="DX81" s="664"/>
      <c r="DY81" s="664"/>
      <c r="DZ81" s="664"/>
      <c r="EA81" s="664"/>
      <c r="EC81" s="670"/>
      <c r="ED81" s="670"/>
      <c r="EF81" s="668"/>
      <c r="EG81" s="668"/>
      <c r="EH81" s="208"/>
      <c r="EI81" s="668"/>
      <c r="EJ81" s="668"/>
      <c r="EK81" s="207"/>
      <c r="EL81" s="207"/>
      <c r="EM81" s="666"/>
      <c r="EN81" s="671"/>
      <c r="EO81" s="671"/>
      <c r="EP81" s="672"/>
      <c r="EQ81" s="672"/>
      <c r="ER81" s="666"/>
      <c r="ES81" s="666"/>
      <c r="ET81" s="666"/>
      <c r="EV81" s="664"/>
      <c r="EX81" s="391"/>
      <c r="EY81" s="391"/>
      <c r="EZ81" s="391"/>
      <c r="FA81" s="391"/>
      <c r="FB81" s="391"/>
      <c r="FC81" s="391"/>
      <c r="FE81" s="569"/>
      <c r="FG81" s="391"/>
      <c r="FH81" s="391"/>
      <c r="FI81" s="391"/>
      <c r="FS81" s="664"/>
      <c r="FT81" s="391"/>
      <c r="FU81" s="391"/>
      <c r="FV81" s="664"/>
      <c r="FW81" s="664"/>
      <c r="GA81" s="663"/>
      <c r="GB81" s="663"/>
      <c r="GC81" s="663"/>
      <c r="GD81" s="663"/>
      <c r="GE81" s="663"/>
      <c r="GF81" s="663"/>
      <c r="GG81" s="663"/>
      <c r="GH81" s="663"/>
      <c r="GI81" s="665"/>
      <c r="GJ81" s="664"/>
      <c r="GK81" s="664"/>
    </row>
    <row r="82" spans="1:288" s="78" customFormat="1" ht="14.95" customHeight="1">
      <c r="B82" s="1845" t="str">
        <f>ID85</f>
        <v xml:space="preserve"> </v>
      </c>
      <c r="C82" s="1846">
        <f>C77+1</f>
        <v>8</v>
      </c>
      <c r="D82" s="1847"/>
      <c r="E82" s="1799" t="s">
        <v>295</v>
      </c>
      <c r="F82" s="1800"/>
      <c r="G82" s="1741"/>
      <c r="H82" s="1742"/>
      <c r="I82" s="1742"/>
      <c r="J82" s="1742"/>
      <c r="K82" s="1742"/>
      <c r="L82" s="1742"/>
      <c r="M82" s="1742"/>
      <c r="N82" s="1742"/>
      <c r="O82" s="1742"/>
      <c r="P82" s="1742"/>
      <c r="Q82" s="1742"/>
      <c r="R82" s="1742"/>
      <c r="S82" s="1791" t="s">
        <v>344</v>
      </c>
      <c r="T82" s="590"/>
      <c r="U82" s="1743"/>
      <c r="V82" s="1744"/>
      <c r="W82" s="1744"/>
      <c r="X82" s="1744"/>
      <c r="Y82" s="1744"/>
      <c r="Z82" s="1744"/>
      <c r="AA82" s="1744"/>
      <c r="AB82" s="961" t="str">
        <f>IFERROR(IF(__Retrofit_TI_NC=0,VLOOKUP(U83,Fixtures_Existing_List,2,FALSE),ROUND(N84*R84/T84,10)),"")</f>
        <v/>
      </c>
      <c r="AC82" s="935" t="str">
        <f>IFERROR(IF(__Retrofit_TI_NC=0,ROUND(T83*AB82*N83*R83/1000,0),IF(CQ82="Interior",N84*R84*R83*N83*_C406_reduction/1000,N84*R84*R83*N83/1000)),"")</f>
        <v/>
      </c>
      <c r="AD82" s="936" t="str">
        <f>IFERROR(IF(C$43=0,ROUND(T83*AB82/1000,2),N84*R84/1000),"")</f>
        <v/>
      </c>
      <c r="AE82" s="997"/>
      <c r="AF82" s="937"/>
      <c r="AG82" s="1745" t="str">
        <f>IF(__Retrofit_TI_NC=0," Control","Select Advanced Control for New System")</f>
        <v xml:space="preserve"> Control</v>
      </c>
      <c r="AH82" s="1745"/>
      <c r="AI82" s="1745"/>
      <c r="AJ82" s="1745"/>
      <c r="AK82" s="1745"/>
      <c r="AL82" s="1745"/>
      <c r="AM82" s="1746">
        <f>IFERROR(DI82,"")</f>
        <v>0</v>
      </c>
      <c r="AN82" s="1774" t="str">
        <f>IFERROR(ROUND(AM82*AC82,0),"")</f>
        <v/>
      </c>
      <c r="AO82" s="1776">
        <f>IFERROR(IF(IB82=FALSE,0,AC82-AN82),0)</f>
        <v>0</v>
      </c>
      <c r="AP82" s="1778">
        <f>AO82-AO84</f>
        <v>0</v>
      </c>
      <c r="AQ82" s="1779"/>
      <c r="AR82" s="1793">
        <f>IFERROR(IF(IB82=FALSE,0,(T84*U85)+(AF84*AG85)),0)</f>
        <v>0</v>
      </c>
      <c r="AS82" s="1793"/>
      <c r="AT82" s="1794"/>
      <c r="AU82" s="1734" t="s">
        <v>237</v>
      </c>
      <c r="AV82" s="1751">
        <f>IF(AU82="Yes",1,0)</f>
        <v>1</v>
      </c>
      <c r="AW82" s="1704" t="str">
        <f>IF(OR(DQ82=4,DQ82=5,DQ82=6,DQ82=12),CONCATENATE("$",IF(GH82=TRUE,Lookup!$K$10,Lookup!$K$2)," /lamp"),CONCATENATE(TEXT(ED82,"$0.00"),"/ kWh"))</f>
        <v>$0.00/ kWh</v>
      </c>
      <c r="AX82" s="467"/>
      <c r="AY82" s="1748">
        <f ca="1">IFERROR(IF(GM83=TRUE,(AB85*T84)/R84,0),"NA")</f>
        <v>0</v>
      </c>
      <c r="AZ82" s="1748"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696" t="str">
        <f>N83</f>
        <v/>
      </c>
      <c r="CQ82" s="1696" t="str">
        <f>IFERROR(VLOOKUP(G83,_Lookup_Heat_Type_Table_New,3,FALSE),"")</f>
        <v/>
      </c>
      <c r="CR82" s="1808" t="str">
        <f>CQ82</f>
        <v/>
      </c>
      <c r="CS82" s="1810" t="str">
        <f>IFERROR(VLOOKUP(G84,'Space Table'!$B$3:$L$163,9,FALSE),"")</f>
        <v/>
      </c>
      <c r="CU82" s="1688" t="s">
        <v>344</v>
      </c>
      <c r="CV82" s="1702">
        <f>IF(IB82=TRUE,T83,0)</f>
        <v>0</v>
      </c>
      <c r="CW82" s="1702" t="str">
        <f>IF(IB82=TRUE,U83,"")</f>
        <v/>
      </c>
      <c r="CX82" s="1702"/>
      <c r="CY82" s="1814">
        <f>IF(IB82=TRUE,AB82,0)</f>
        <v>0</v>
      </c>
      <c r="CZ82" s="1710">
        <f>IF(AND(__Retrofit_TI_NC&gt;0,CR82="interior"),0,IF(IB82=TRUE,AC82,0))</f>
        <v>0</v>
      </c>
      <c r="DA82" s="1814">
        <f>IFERROR(IF(IB82=TRUE,CZ82-CZ84,0),0)</f>
        <v>0</v>
      </c>
      <c r="DB82" s="1819">
        <f>IF(IB82=TRUE,AD82,0)</f>
        <v>0</v>
      </c>
      <c r="DC82" s="1819">
        <f>IF(IB82=TRUE,AD85,0)</f>
        <v>0</v>
      </c>
      <c r="DD82" s="1819">
        <f>IFERROR(DB82-DC82,0)</f>
        <v>0</v>
      </c>
      <c r="DF82" s="1702">
        <f>IF(IB82=TRUE,AF83,0)</f>
        <v>0</v>
      </c>
      <c r="DG82" s="1830">
        <f>IFERROR(IF(__Retrofit_TI_NC=2,IF(CQ82="Exterior",O85,FQ82),FN82),"")</f>
        <v>0</v>
      </c>
      <c r="DH82" s="1702"/>
      <c r="DI82" s="1837">
        <f>JE82</f>
        <v>0</v>
      </c>
      <c r="DJ82" s="1710">
        <f>IF(AND(__Retrofit_TI_NC&gt;0,CR82="interior"),0,IF(IB82=TRUE,AN82,0))</f>
        <v>0</v>
      </c>
      <c r="DK82" s="1712">
        <f>IFERROR(IF(IB82=TRUE,DJ84-DJ82,0),0)</f>
        <v>0</v>
      </c>
      <c r="DM82" s="1717">
        <f>IFERROR(CZ82-DJ82,0)</f>
        <v>0</v>
      </c>
      <c r="DO82" s="1708">
        <f>DM82-DN84</f>
        <v>0</v>
      </c>
      <c r="DQ82" s="1715" t="str">
        <f>IFERROR(IF(AND(OR(GC82=4,GC82=5,GC82=6),OR(GF82=4,GF82=5,GF82=6)),GC82+8,VLOOKUP(CW84,Fixtures!R$31:Y$78,8,FALSE)),"")</f>
        <v/>
      </c>
      <c r="DR82" s="1829" t="str">
        <f>DQ82</f>
        <v/>
      </c>
      <c r="DS82" s="1702" t="str">
        <f>IFERROR(VLOOKUP(DG84,Lookup!BB$3:BC$20,2,FALSE),"")</f>
        <v/>
      </c>
      <c r="DT82" s="1713" t="str">
        <f>IF(OR(DS82=7,DS82=8,DS82=9),"ALC","")</f>
        <v/>
      </c>
      <c r="DU82" s="1715">
        <f>IFERROR(IF(OR(DQ82=4,DQ82=5,DQ82=6,DQ82=12,DQ82=13,DQ82=14),VLOOKUP(CW84,Fixtures!DN$27:EG$77,19,FALSE),1)*CV84,0)</f>
        <v>0</v>
      </c>
      <c r="DV82" s="1716">
        <f>IF(OR(DS82=7,DS82=8,DS82=9),IF(DG82=DG84,0,DF84),0)</f>
        <v>0</v>
      </c>
      <c r="DX82" s="1715" t="str">
        <f>IFERROR(IF(EZ82&lt;EZ84,"Yes","No"),"")</f>
        <v/>
      </c>
      <c r="DY82" s="1829" t="str">
        <f>DX82</f>
        <v/>
      </c>
      <c r="DZ82" s="1715">
        <f>IF(DX82="Yes",DF84,0)</f>
        <v>0</v>
      </c>
      <c r="EA82" s="1715">
        <f>DZ82-DV82</f>
        <v>0</v>
      </c>
      <c r="EC82" s="1834">
        <f>IFERROR(VLOOKUP(DQ82,Lookup!AU$3:AV$16,2,FALSE),0)</f>
        <v>0</v>
      </c>
      <c r="ED82" s="1834">
        <f>IF(IB82=FALSE,0,IF(DX82="Yes",EC82+Lookup!K$6,EC82))</f>
        <v>0</v>
      </c>
      <c r="EF82" s="1707">
        <f>IF(IB82=TRUE,DM82,0)</f>
        <v>0</v>
      </c>
      <c r="EG82" s="1712">
        <f>IF(IB82=TRUE,CZ84,0)</f>
        <v>0</v>
      </c>
      <c r="EH82" s="1814">
        <f>IFERROR(EF82-EG82,0)</f>
        <v>0</v>
      </c>
      <c r="EI82" s="1712">
        <f>IF(IB82=TRUE,DJ84,0)</f>
        <v>0</v>
      </c>
      <c r="EJ82" s="1712">
        <f>IFERROR(EF82-EG82+EI82,0)</f>
        <v>0</v>
      </c>
      <c r="EK82" s="1812">
        <f>IF(IB82=TRUE,CV84*CX84,0)</f>
        <v>0</v>
      </c>
      <c r="EL82" s="1812">
        <f>IF(IB82=TRUE,DF84*DH84,0)</f>
        <v>0</v>
      </c>
      <c r="EM82" s="1807">
        <f>AR82</f>
        <v>0</v>
      </c>
      <c r="EN82" s="1839" t="str">
        <f>IFERROR(IF(IB82=TRUE,VLOOKUP(DQ82,Lookup!AU$3:AW$16,3,FALSE)*DU82,""),0)</f>
        <v/>
      </c>
      <c r="EO82" s="1839">
        <f>IF(IB82=TRUE,DZ82*Lookup!AW$12,0)</f>
        <v>0</v>
      </c>
      <c r="EP82" s="1817">
        <f>IFERROR(IF(IB82=TRUE,EN82/EP$40,0),0)</f>
        <v>0</v>
      </c>
      <c r="EQ82" s="1817">
        <f>IF(IB82=TRUE,EO82/EQ$40,0)</f>
        <v>0</v>
      </c>
      <c r="ER82" s="1807">
        <f>IF(IB82=TRUE,ET$40*EP82,0)</f>
        <v>0</v>
      </c>
      <c r="ES82" s="1807">
        <f>IF(IB82=TRUE,ET$40*EQ82,0)</f>
        <v>0</v>
      </c>
      <c r="ET82" s="1807">
        <f>ER82+ES82</f>
        <v>0</v>
      </c>
      <c r="EV82" s="1715">
        <f>IF(G82="",0,1)</f>
        <v>0</v>
      </c>
      <c r="EX82" s="1804" t="str">
        <f>IFERROR(VLOOKUP(CS84,'Space Table'!$B$3:$L$163,8,FALSE),"")</f>
        <v/>
      </c>
      <c r="EY82" s="1804" t="str">
        <f>IFERROR(IF(FB82="Yes",VLOOKUP(DG82,Lookup_Control_Type_Table2,4,FALSE),VLOOKUP(DG82,Lookup_Control_Type_Table2,3,FALSE)),"")</f>
        <v/>
      </c>
      <c r="EZ82" s="1804" t="e">
        <f>VLOOKUP(DG82,Lookup!BB$3:BC$20,2,FALSE)</f>
        <v>#N/A</v>
      </c>
      <c r="FA82" s="1804" t="e">
        <f>VLOOKUP(EX82,Lookup_Control_Type_Table,2,FALSE)</f>
        <v>#N/A</v>
      </c>
      <c r="FB82" s="1804" t="e">
        <f>VLOOKUP(CS84,'Space Table'!$B$3:$L$163,7,FALSE)</f>
        <v>#N/A</v>
      </c>
      <c r="FC82" s="1826" t="b">
        <f>ISNUMBER(SEARCH("TLED",U84))</f>
        <v>0</v>
      </c>
      <c r="FE82" s="1698" t="str">
        <f>CONCATENATE(CQ82," - ",DG82)</f>
        <v xml:space="preserve"> - 0</v>
      </c>
      <c r="FG82" s="1702" t="str">
        <f>VLOOKUP(CW84,Fixtures!DN$27:EZ$77,38,FALSE)</f>
        <v/>
      </c>
      <c r="FH82" s="1702">
        <f>IFERROR(FG82*EH82,0)</f>
        <v>0</v>
      </c>
      <c r="FI82" s="133"/>
      <c r="FL82" s="1822" t="str">
        <f>IF(CQ82="Exterior","Not Daylighted",G85)</f>
        <v>Not Daylighted</v>
      </c>
      <c r="FM82" s="1824">
        <f>VLOOKUP(FL82,_New_Daylight_Table_Codes,2,FALSE)</f>
        <v>0</v>
      </c>
      <c r="FN82" s="1698">
        <f>IF(__Retrofit_TI_NC&gt;0,VLOOKUP(G84,'Space Table'!$B$3:$L$163,11,FALSE),AG83)</f>
        <v>0</v>
      </c>
      <c r="FO82" s="1698" t="e">
        <f>IF(__Retrofit_TI_NC=2,VLOOKUP(FQ82,_Control_Table,2,FALSE),VLOOKUP(FN82,_Control_Table,2,FALSE))</f>
        <v>#N/A</v>
      </c>
      <c r="FP82" s="1678" t="e">
        <f>VLOOKUP(CONCATENATE(FL82," ",FN82),Lookup!AY91:AZ$102,2,FALSE)</f>
        <v>#N/A</v>
      </c>
      <c r="FQ82" s="1678">
        <f>IF(__Retrofit_TI_NC=0,FN82,IF(AND(FT82&gt;0,FN82="Occupancy Sensor"),"Daylight + Occupancy",IF(AND(FT82&gt;0,VLOOKUP(FN82,_Control_Table,2,FALSE)&lt;4),"Interior Daylight Dimming",FN82)))</f>
        <v>0</v>
      </c>
      <c r="FS82" s="1686">
        <f>IF(CR82="Interior",VLOOKUP(CS82,Control_Savings_Interior,5,FALSE),0)</f>
        <v>0</v>
      </c>
      <c r="FT82" s="1687">
        <f>IF(CQ82="Exterior",0,IF(FM82=2,0.5,IF(OR(FM82=1,FM82=3),1,0)))</f>
        <v>0</v>
      </c>
      <c r="FU82" s="1685">
        <f>IF(R81&gt;FS$44,(FS82*(FS$44/R81)),FS82)*FT82</f>
        <v>0</v>
      </c>
      <c r="FV82" s="1686">
        <f>DI82</f>
        <v>0</v>
      </c>
      <c r="FW82" s="1686">
        <f>ROUND(FV82+((1-FV82)*FU82),2)</f>
        <v>0</v>
      </c>
      <c r="FX82" s="1686">
        <f>IF(__Retrofit_TI_NC=2,FW82,FV82)</f>
        <v>0</v>
      </c>
      <c r="FY82" s="1697"/>
      <c r="GA82" s="1696" t="str">
        <f>IFERROR(VLOOKUP(U83,_Exist_Fixture_Table,3,FALSE),"")</f>
        <v/>
      </c>
      <c r="GB82" s="1696" t="str">
        <f>VLOOKUP(CW82,_Exist_Fixture_Table,4,FALSE)</f>
        <v/>
      </c>
      <c r="GC82" s="1696">
        <f>IFERROR(VLOOKUP(GB82,Lookup!AT$6:AU$8,2,FALSE),0)</f>
        <v>0</v>
      </c>
      <c r="GD82" s="1696" t="b">
        <f>IFERROR(IF(OR(GF82=4,GF82=5,GF82=6),TRUE,FALSE),"")</f>
        <v>0</v>
      </c>
      <c r="GE82" s="1696" t="str">
        <f>IFERROR(VLOOKUP(GF82,GC$6:GD$10,2,FALSE),"")</f>
        <v/>
      </c>
      <c r="GF82" s="1696" t="str">
        <f>VLOOKUP(CW84,Fixtures!R$31:Y$78,8,FALSE)</f>
        <v/>
      </c>
      <c r="GG82" s="1696">
        <f>IF(AND(GA82=TRUE,GD82=TRUE,OR(DQ82=12,DQ82=13,DQ82=14)),GC82+8,0)</f>
        <v>0</v>
      </c>
      <c r="GH82" s="1696" t="b">
        <f>IF(OR(GG82=12,GG82=13,GG82=14),TRUE,FALSE)</f>
        <v>0</v>
      </c>
      <c r="GI82" s="673" t="b">
        <f>IF(ISNUMBER(SEARCH("TLED",U83)),TRUE,FALSE)</f>
        <v>0</v>
      </c>
      <c r="GJ82" s="1135" t="str">
        <f>IFERROR(VLOOKUP(U83,Fixtures!BM$93:BR$142,6,FALSE),"")</f>
        <v/>
      </c>
      <c r="GK82" s="1832" t="b">
        <f>IF(OR(GI82=FALSE,GI84=FALSE),TRUE,IF(GJ82-GJ84&lt;5,FALSE,TRUE))</f>
        <v>1</v>
      </c>
      <c r="GO82" s="674">
        <f>GP82</f>
        <v>0</v>
      </c>
      <c r="GP82" s="674">
        <f>IF(G82="",0,1)</f>
        <v>0</v>
      </c>
      <c r="GQ82" s="674">
        <f ca="1">SUM(GR82:HF82)</f>
        <v>2</v>
      </c>
      <c r="GR82" s="674">
        <f>IF(G83="",0,1)</f>
        <v>0</v>
      </c>
      <c r="GS82" s="674">
        <f>IF(N85="BAM",1,IF(G84="",0,1))</f>
        <v>0</v>
      </c>
      <c r="GT82" s="674">
        <f>IF(N85="BAM",1,IF(R83="",0,1))</f>
        <v>0</v>
      </c>
      <c r="GU82" s="674">
        <f>IF(N85="BAM",1,IF(__Retrofit_TI_NC=0,1,IF(R84="",0,1)))</f>
        <v>1</v>
      </c>
      <c r="GV82" s="674">
        <f>IF(N85="BAM",1,IF(CQ82="Exterior",1,IF(G85="",0,1)))</f>
        <v>1</v>
      </c>
      <c r="GW82" s="674">
        <f>IF(__Retrofit_TI_NC&gt;0,1,IF(T83="",0,1))</f>
        <v>0</v>
      </c>
      <c r="GX82" s="674">
        <f>IF(__Retrofit_TI_NC&gt;0,1,IF(U83="",0,1))</f>
        <v>0</v>
      </c>
      <c r="GY82" s="674">
        <f>IF(N85="BAM",1,IF(T84="",0,1))</f>
        <v>0</v>
      </c>
      <c r="GZ82" s="674">
        <f>IF(N85="BAM",1,IF(U84="",0,1))</f>
        <v>0</v>
      </c>
      <c r="HA82" s="674">
        <f ca="1">IF(N85="BAM",1,IF(__Retrofit_TI_NC&gt;0,1,IF(U85="",0,1)))</f>
        <v>0</v>
      </c>
      <c r="HB82" s="674">
        <f>IF(__Retrofit_TI_NC&lt;&gt;0,1,IF(AF83="",0,1))</f>
        <v>0</v>
      </c>
      <c r="HC82" s="674">
        <f>IF(__Retrofit_TI_NC&lt;&gt;0,1,IF(AG83="",0,1))</f>
        <v>0</v>
      </c>
      <c r="HD82" s="674">
        <f>IF(N85="BAM",1,IF(AF84="",0,1))</f>
        <v>0</v>
      </c>
      <c r="HE82" s="674">
        <f>IF(N85="BAM",1,IF(AG84="",0,1))</f>
        <v>0</v>
      </c>
      <c r="HF82" s="674">
        <f>IF(N85="BAM",1,IF(__Retrofit_TI_NC&gt;0,1,IF(AG85="",0,1)))</f>
        <v>0</v>
      </c>
      <c r="HG82" s="391"/>
      <c r="IA82" s="391"/>
      <c r="IB82" s="1693" t="b">
        <f>IF(OR(IB85=0,IB85=HY$16,IB85=HX$16,IB85=HZ$16),TRUE,FALSE)</f>
        <v>0</v>
      </c>
      <c r="IC82" s="1694" t="b">
        <f>IB82</f>
        <v>0</v>
      </c>
      <c r="ID82" s="391"/>
      <c r="IE82" s="391"/>
      <c r="IF82" s="1688" t="b">
        <f ca="1">IF(MAX(GN85:HU85)&gt;5,FALSE,TRUE)</f>
        <v>0</v>
      </c>
      <c r="IG82" s="1689">
        <f ca="1">IF(IF82=TRUE,AC82,0)</f>
        <v>0</v>
      </c>
      <c r="IH82" s="1689">
        <f ca="1">IG82-IG84</f>
        <v>0</v>
      </c>
      <c r="IK82" s="1689" t="e">
        <f>ROUND(T83*VLOOKUP(U83,Fixtures_Existing_List,2,FALSE)*N83*R83/1000,0)</f>
        <v>#N/A</v>
      </c>
      <c r="IL82" s="1690" t="e">
        <f>IK82-IK84</f>
        <v>#N/A</v>
      </c>
      <c r="IM82" s="1693" t="e">
        <f>ROUND(IF(CQ82="Interior",N84*R84*R83*N83*_C406_reduction/1000,N84*R84*R83*N83/1000),0)</f>
        <v>#N/A</v>
      </c>
      <c r="IN82" s="1693" t="e">
        <f>IM82-IM84</f>
        <v>#N/A</v>
      </c>
      <c r="IP82" s="1679"/>
      <c r="IQ82" s="1679" t="e">
        <f t="shared" ref="IQ82:IU82" si="51">IF($CR82="interior",VLOOKUP($CS82,_New_Control_Savings_Interior,IQ$30,FALSE),VLOOKUP($CS82,Control_Savings_Exterior,IQ$30,FALSE))</f>
        <v>#N/A</v>
      </c>
      <c r="IR82" s="1679" t="e">
        <f t="shared" si="51"/>
        <v>#N/A</v>
      </c>
      <c r="IS82" s="1679" t="e">
        <f t="shared" si="51"/>
        <v>#N/A</v>
      </c>
      <c r="IT82" s="1679" t="e">
        <f t="shared" si="51"/>
        <v>#N/A</v>
      </c>
      <c r="IU82" s="1679" t="e">
        <f t="shared" si="51"/>
        <v>#N/A</v>
      </c>
      <c r="IV82" s="1679" t="e">
        <f>IF($CR82="interior",IF(R83&gt;$IP$14,ROUND(($IV$18*($IP$14/R83)),2),$IV$18),VLOOKUP($CS82,Control_Savings_Exterior,IV$30,FALSE))</f>
        <v>#N/A</v>
      </c>
      <c r="IW82" s="1679" t="e">
        <f>IF($CR82="interior",ROUND(((1-IS82)*IV82)+IS82,2),VLOOKUP($CS82,Control_Savings_Exterior,IW$30,FALSE))</f>
        <v>#N/A</v>
      </c>
      <c r="IX82" s="1679" t="e">
        <f>IF($CR82="interior",ROUND(((1-IT82)*IV82)+IT82,2),VLOOKUP($CS82,Control_Savings_Exterior,IX$30,FALSE))</f>
        <v>#N/A</v>
      </c>
      <c r="IY82" s="1679" t="e">
        <f>IF($CR82="interior",IF(R83&gt;$IP$14,ROUND(($IY$18*($IP$14/R83)),2),$IY$18),VLOOKUP($CS82,Control_Savings_Exterior,IY$30,FALSE))</f>
        <v>#N/A</v>
      </c>
      <c r="IZ82" s="1679" t="e">
        <f>IF($CR82="interior",ROUND(((1-IS82)*IY82)+IS82,2),VLOOKUP($CS82,Control_Savings_Exterior,IZ$30,FALSE))</f>
        <v>#N/A</v>
      </c>
      <c r="JA82" s="1679" t="e">
        <f>IF($CR82="interior",ROUND(((1-IT82)*IY82)+IT82,2),VLOOKUP($CS82,Control_Savings_Exterior,JA$30,FALSE))</f>
        <v>#N/A</v>
      </c>
      <c r="JC82" s="1680">
        <f>IFERROR(IF(CR82="Interior",CONCATENATE(G85," ",FQ82),FQ82),"")</f>
        <v>0</v>
      </c>
      <c r="JD82" s="1670" t="str">
        <f>IFERROR(VLOOKUP(JC82,_Controls_2023,2,FALSE),"")</f>
        <v/>
      </c>
      <c r="JE82" s="1681">
        <f>IFERROR(CHOOSE(JD82-1,IQ82,IR82,IS82,IT82,IU82,IV82,IW82,IX82,IY82,IZ82,JA82),0)</f>
        <v>0</v>
      </c>
      <c r="JG82" s="1680" t="str">
        <f>FE82</f>
        <v xml:space="preserve"> - 0</v>
      </c>
      <c r="JH82" s="1670" t="e">
        <f>$FO82</f>
        <v>#N/A</v>
      </c>
      <c r="JI82" s="1060"/>
      <c r="JJ82" s="1682" t="b">
        <f>IF($JG84=CONCATENATE("Interior - ",JJ$4),TRUE,FALSE)</f>
        <v>0</v>
      </c>
      <c r="JK82" s="1061"/>
      <c r="JL82" s="1682" t="b">
        <f>IF($JG84=CONCATENATE("Interior - ",JL$4),TRUE,FALSE)</f>
        <v>0</v>
      </c>
      <c r="JM82" s="1061"/>
      <c r="JN82" s="1682" t="b">
        <f>IF($JG84=CONCATENATE("Interior - ",JN$4),TRUE,FALSE)</f>
        <v>0</v>
      </c>
      <c r="JO82" s="1061"/>
      <c r="JP82" s="1682" t="b">
        <f>IF(__Retrofit_TI_NC&gt;0,FALSE,IF($JG84=CONCATENATE("Interior - ",JP$4),TRUE,FALSE))</f>
        <v>0</v>
      </c>
      <c r="JQ82" s="1061"/>
      <c r="JR82" s="1682" t="b">
        <f>IF(__Retrofit_TI_NC&gt;0,FALSE,IF($JG84=CONCATENATE("Interior - ",JR$4),TRUE,FALSE))</f>
        <v>0</v>
      </c>
      <c r="JS82" s="1061"/>
      <c r="JT82" s="1670" t="b">
        <f>IF(__Retrofit_TI_NC&gt;0,FALSE,IF($JG84=CONCATENATE("Interior - ",JT$4),TRUE,FALSE))</f>
        <v>0</v>
      </c>
      <c r="JU82" s="1061"/>
      <c r="JV82" s="1670" t="b">
        <f>IF(JC84="AELC on Existing",TRUE,FALSE)</f>
        <v>0</v>
      </c>
      <c r="JX82" s="1670" t="b">
        <f>IF(OR(JG84="Exterior - AELC Occupancy based",JG84="Exterior - AELC Time based"),TRUE,FALSE)</f>
        <v>0</v>
      </c>
      <c r="JZ82" s="1682" t="b">
        <f>IF($JG84=CONCATENATE("Exterior - ",JZ$4),TRUE,FALSE)</f>
        <v>0</v>
      </c>
      <c r="KB82" s="1670" t="b">
        <f>IF(__Retrofit_TI_NC&gt;0,FALSE,IF($JG84=CONCATENATE("Interior - ",KB$4),TRUE,FALSE))</f>
        <v>0</v>
      </c>
    </row>
    <row r="83" spans="1:288" s="78" customFormat="1" ht="14.95" customHeight="1" thickTop="1" thickBot="1">
      <c r="B83" s="1845"/>
      <c r="C83" s="1846"/>
      <c r="D83" s="1847"/>
      <c r="E83" s="1737" t="s">
        <v>297</v>
      </c>
      <c r="F83" s="1738"/>
      <c r="G83" s="1739"/>
      <c r="H83" s="1739"/>
      <c r="I83" s="1739"/>
      <c r="J83" s="1739"/>
      <c r="K83" s="1739"/>
      <c r="L83" s="1739"/>
      <c r="M83" s="461" t="e">
        <f>IF(__Retrofit_TI_NC&lt;&gt;0,IF(VLOOKUP(G84,'Space Table'!$B$3:$L$163,3,FALSE)&gt;0,1,0),IF(__Retrofit_TI_NC=VLOOKUP(G84,'Space Table'!$B$3:$L$163,3,FALSE),1,0))</f>
        <v>#N/A</v>
      </c>
      <c r="N83" s="461" t="str">
        <f>IFERROR(VLOOKUP(G83,_Lookup_Heat_Type_Table_New,2,FALSE),"")</f>
        <v/>
      </c>
      <c r="O83" s="461">
        <f>IF(__Retrofit_TI_NC=1,CONCATENATE("TI ",G83),IF(__Retrofit_TI_NC=2,CONCATENATE("NC ",G83),G83))</f>
        <v>0</v>
      </c>
      <c r="P83" s="1740" t="s">
        <v>435</v>
      </c>
      <c r="Q83" s="1740"/>
      <c r="R83" s="595"/>
      <c r="S83" s="1792"/>
      <c r="T83" s="597"/>
      <c r="U83" s="1765"/>
      <c r="V83" s="1766"/>
      <c r="W83" s="1766"/>
      <c r="X83" s="1766"/>
      <c r="Y83" s="1766"/>
      <c r="Z83" s="1766"/>
      <c r="AA83" s="1766"/>
      <c r="AB83" s="1766"/>
      <c r="AC83" s="1766"/>
      <c r="AD83" s="1767"/>
      <c r="AE83" s="1000"/>
      <c r="AF83" s="597"/>
      <c r="AG83" s="1723"/>
      <c r="AH83" s="1724"/>
      <c r="AI83" s="1724"/>
      <c r="AJ83" s="1724"/>
      <c r="AK83" s="1725"/>
      <c r="AL83" s="996"/>
      <c r="AM83" s="1747"/>
      <c r="AN83" s="1775"/>
      <c r="AO83" s="1777"/>
      <c r="AP83" s="1780"/>
      <c r="AQ83" s="1781"/>
      <c r="AR83" s="1795"/>
      <c r="AS83" s="1795"/>
      <c r="AT83" s="1796"/>
      <c r="AU83" s="1735"/>
      <c r="AV83" s="1752"/>
      <c r="AW83" s="1705"/>
      <c r="AX83" s="467"/>
      <c r="AY83" s="1749"/>
      <c r="AZ83" s="1749"/>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696"/>
      <c r="CQ83" s="1696"/>
      <c r="CR83" s="1809"/>
      <c r="CS83" s="1811"/>
      <c r="CU83" s="1688"/>
      <c r="CV83" s="1703"/>
      <c r="CW83" s="1703"/>
      <c r="CX83" s="1703"/>
      <c r="CY83" s="1815"/>
      <c r="CZ83" s="1711"/>
      <c r="DA83" s="1818"/>
      <c r="DB83" s="1820"/>
      <c r="DC83" s="1820"/>
      <c r="DD83" s="1820"/>
      <c r="DF83" s="1703"/>
      <c r="DG83" s="1831"/>
      <c r="DH83" s="1703"/>
      <c r="DI83" s="1838"/>
      <c r="DJ83" s="1711"/>
      <c r="DK83" s="1712"/>
      <c r="DM83" s="1718"/>
      <c r="DO83" s="1708"/>
      <c r="DQ83" s="1715"/>
      <c r="DR83" s="1720"/>
      <c r="DS83" s="1816"/>
      <c r="DT83" s="1714"/>
      <c r="DU83" s="1715"/>
      <c r="DV83" s="1716"/>
      <c r="DX83" s="1715"/>
      <c r="DY83" s="1720"/>
      <c r="DZ83" s="1715"/>
      <c r="EA83" s="1715"/>
      <c r="EC83" s="1834"/>
      <c r="ED83" s="1834"/>
      <c r="EF83" s="1707"/>
      <c r="EG83" s="1712"/>
      <c r="EH83" s="1818"/>
      <c r="EI83" s="1712"/>
      <c r="EJ83" s="1712"/>
      <c r="EK83" s="1836"/>
      <c r="EL83" s="1836"/>
      <c r="EM83" s="1807"/>
      <c r="EN83" s="1839"/>
      <c r="EO83" s="1839"/>
      <c r="EP83" s="1817"/>
      <c r="EQ83" s="1817"/>
      <c r="ER83" s="1807"/>
      <c r="ES83" s="1807"/>
      <c r="ET83" s="1807"/>
      <c r="EV83" s="1715"/>
      <c r="EX83" s="1805"/>
      <c r="EY83" s="1805"/>
      <c r="EZ83" s="1805"/>
      <c r="FA83" s="1805"/>
      <c r="FB83" s="1805"/>
      <c r="FC83" s="1827"/>
      <c r="FE83" s="1698"/>
      <c r="FG83" s="1816"/>
      <c r="FH83" s="1816"/>
      <c r="FI83" s="133"/>
      <c r="FL83" s="1823"/>
      <c r="FM83" s="1825"/>
      <c r="FN83" s="1698"/>
      <c r="FO83" s="1698"/>
      <c r="FP83" s="1678"/>
      <c r="FQ83" s="1678"/>
      <c r="FS83" s="1687"/>
      <c r="FT83" s="1687"/>
      <c r="FU83" s="1685"/>
      <c r="FV83" s="1687"/>
      <c r="FW83" s="1687"/>
      <c r="FX83" s="1687"/>
      <c r="FY83" s="1697"/>
      <c r="GA83" s="1696"/>
      <c r="GB83" s="1696"/>
      <c r="GC83" s="1696"/>
      <c r="GD83" s="1696"/>
      <c r="GE83" s="1696"/>
      <c r="GF83" s="1696"/>
      <c r="GG83" s="1696"/>
      <c r="GH83" s="1696"/>
      <c r="GI83" s="673"/>
      <c r="GJ83" s="1135"/>
      <c r="GK83" s="1832"/>
      <c r="GM83" s="1693" t="b">
        <f ca="1">IF(AND(GP83=TRUE,GQ83=TRUE),TRUE,FALSE)</f>
        <v>0</v>
      </c>
      <c r="GN83" s="1684" t="b">
        <f>IFERROR(IF(__Retrofit_TI_NC=2,TRUE,IF(AU82="Yes",TRUE,FALSE)),FALSE)</f>
        <v>1</v>
      </c>
      <c r="GP83" s="1684" t="b">
        <f>IFERROR(IF(GP82=1,TRUE,FALSE),FALSE)</f>
        <v>0</v>
      </c>
      <c r="GQ83" s="1684" t="b">
        <f ca="1">IFERROR(IF(GQ82=GQ$14,TRUE,FALSE),FALSE)</f>
        <v>0</v>
      </c>
      <c r="HG83" s="1684" t="b">
        <f>IFERROR(IF(AND(__Retrofit_TI_NC&gt;0,CQ82="Interior"),FALSE,TRUE),FALSE)</f>
        <v>1</v>
      </c>
      <c r="HH83" s="1684" t="b">
        <f>IFERROR(IF(M83=1,TRUE,FALSE),FALSE)</f>
        <v>0</v>
      </c>
      <c r="HI83" s="1684" t="b">
        <f>IFERROR(IF(OR(M84=1,N85="BAM"),TRUE,FALSE),FALSE)</f>
        <v>0</v>
      </c>
      <c r="HJ83" s="1684" t="b">
        <f>IFERROR(IF(__Retrofit_TI_NC&lt;&gt;0,TRUE,IFERROR(IF(VLOOKUP(U83,Fixtures_Existing_List,2,FALSE)&lt;&gt;"",TRUE,FALSE),FALSE)),FALSE)</f>
        <v>0</v>
      </c>
      <c r="HK83" s="1684" t="b">
        <f>IFERROR(IF(VLOOKUP(U84,Fixtures_Proposed_List,2,FALSE)&lt;&gt;"",TRUE,FALSE),FALSE)</f>
        <v>0</v>
      </c>
      <c r="HL83" s="1684" t="b">
        <f>IF(AND(__Retrofit_TI_NC=2,FC82=TRUE),FALSE,TRUE)</f>
        <v>1</v>
      </c>
      <c r="HM83" s="1684" t="b">
        <f>GK82</f>
        <v>1</v>
      </c>
      <c r="HN83" s="1682" t="b">
        <f>IF(ISERROR(MATCH(FE82,_Control_Match[],0))=TRUE,FALSE,TRUE)</f>
        <v>0</v>
      </c>
      <c r="HO83" s="1693" t="b">
        <f>IFERROR(IF(EX82&lt;&gt;EY82,FALSE,TRUE),FALSE)</f>
        <v>1</v>
      </c>
      <c r="HP83" s="1693" t="b">
        <f>IFERROR(IF(EX84&lt;&gt;EY84,FALSE,TRUE),FALSE)</f>
        <v>1</v>
      </c>
      <c r="HQ83" s="1670" t="b">
        <f>IFERROR(IF(CQ82="Exterior",TRUE,IF(AND(OR(FM84=0,FM84=3),JD84&gt;6),FALSE,TRUE)),FALSE)</f>
        <v>0</v>
      </c>
      <c r="HR83" s="1684" t="b">
        <f>IFERROR(IF(AND(FO84=7,FC82=TRUE),FALSE,TRUE),FALSE)</f>
        <v>0</v>
      </c>
      <c r="HS83" s="1684" t="b">
        <f>IFERROR(IF(AND(T84&lt;&gt;AF84,OR(AG84="Interior LLLC", AG84="Interior NLC", AG84="LLLC (outside Daylight)",AG84="LLLC Controls Only"))=TRUE,FALSE,TRUE),FALSE)</f>
        <v>1</v>
      </c>
      <c r="HT83" s="1670" t="b">
        <f>IFERROR(IF(OR(AG84=Lookup!BB$17,AG84=Lookup!BB$18,AG84=Lookup!BB$19)=TRUE,IF(AF84&gt;T84,FALSE,TRUE),TRUE),FALSE)</f>
        <v>1</v>
      </c>
      <c r="HU83" s="1684" t="b">
        <f>IFERROR(IF(__Retrofit_TI_NC=2,IF(EZ84&lt;EZ82,FALSE,TRUE),TRUE),FALSE)</f>
        <v>1</v>
      </c>
      <c r="HV83" s="1684" t="b">
        <f>IF(CQ82="Interior",IL$6,TRUE)</f>
        <v>1</v>
      </c>
      <c r="HW83" s="1684" t="b">
        <f>IF(CQ82="Exterior",IL$8,TRUE)</f>
        <v>1</v>
      </c>
      <c r="HX83" s="1684" t="b">
        <f>IFERROR(IF(__Retrofit_TI_NC&lt;&gt;0,IF(AZ82&lt;AY82,FALSE,TRUE),TRUE),FALSE)</f>
        <v>1</v>
      </c>
      <c r="HY83" s="1684" t="b">
        <f>IFERROR(IF(AND(G83="Exterior",R83&gt;4200),FALSE,TRUE),FALSE)</f>
        <v>1</v>
      </c>
      <c r="HZ83" s="1684" t="b">
        <f>IFERROR(IF(AB85/AB82&lt;HZ$18,FALSE,TRUE),FALSE)</f>
        <v>0</v>
      </c>
      <c r="IB83" s="1691"/>
      <c r="IC83" s="1695"/>
      <c r="ID83" s="1694" t="str">
        <f>VLOOKUP(IB85,_Error_Table,4,FALSE)</f>
        <v>White</v>
      </c>
      <c r="IE83" s="391"/>
      <c r="IF83" s="1688"/>
      <c r="IG83" s="1689"/>
      <c r="IH83" s="1684"/>
      <c r="IK83" s="1689"/>
      <c r="IL83" s="1691"/>
      <c r="IM83" s="1691"/>
      <c r="IN83" s="1691"/>
      <c r="IP83" s="1679"/>
      <c r="IQ83" s="1679"/>
      <c r="IR83" s="1679"/>
      <c r="IS83" s="1679"/>
      <c r="IT83" s="1679"/>
      <c r="IU83" s="1679"/>
      <c r="IV83" s="1679"/>
      <c r="IW83" s="1679"/>
      <c r="IX83" s="1679"/>
      <c r="IY83" s="1679"/>
      <c r="IZ83" s="1679"/>
      <c r="JA83" s="1679"/>
      <c r="JC83" s="1680"/>
      <c r="JD83" s="1670"/>
      <c r="JE83" s="1681"/>
      <c r="JG83" s="1680"/>
      <c r="JH83" s="1670"/>
      <c r="JI83" s="1060"/>
      <c r="JJ83" s="1683"/>
      <c r="JK83" s="1061"/>
      <c r="JL83" s="1683"/>
      <c r="JM83" s="1061"/>
      <c r="JN83" s="1683"/>
      <c r="JO83" s="1061"/>
      <c r="JP83" s="1683"/>
      <c r="JQ83" s="1061"/>
      <c r="JR83" s="1683"/>
      <c r="JS83" s="1061"/>
      <c r="JT83" s="1670"/>
      <c r="JU83" s="1061"/>
      <c r="JV83" s="1670"/>
      <c r="JX83" s="1670"/>
      <c r="JZ83" s="1683"/>
      <c r="KB83" s="1670"/>
    </row>
    <row r="84" spans="1:288" s="78" customFormat="1" ht="14.95" customHeight="1" thickTop="1" thickBot="1">
      <c r="A84" s="78">
        <f>ROW()</f>
        <v>84</v>
      </c>
      <c r="B84" s="1845"/>
      <c r="C84" s="1846"/>
      <c r="D84" s="1847"/>
      <c r="E84" s="1737" t="s">
        <v>298</v>
      </c>
      <c r="F84" s="1738"/>
      <c r="G84" s="1760"/>
      <c r="H84" s="1761"/>
      <c r="I84" s="1761"/>
      <c r="J84" s="1761"/>
      <c r="K84" s="1761"/>
      <c r="L84" s="1762"/>
      <c r="M84" s="461">
        <f>IFERROR(IF(IF(__Retrofit_TI_NC&lt;&gt;0,IF(CQ82="Interior",MATCH(G84,Lookup_Interior_New,0),MATCH(G84,Lookup_Exterior_New,0)),IF(CQ82="Interior",MATCH(G84,Lookup_Interior,0),MATCH(G84,Lookup_Exterior_Areas,0)))&gt;0,1,0),0)</f>
        <v>0</v>
      </c>
      <c r="N84" s="461" t="e">
        <f>IF(__Retrofit_TI_NC=1,
VLOOKUP(G84,'Space Table'!$B$3:$L$163,4,FALSE),
IF(__Retrofit_TI_NC=2,VLOOKUP(G84,'Space Table'!$B$3:$L$163,5,FALSE),VLOOKUP(G84,'Space Table'!$B$3:$L$163,5,FALSE)))</f>
        <v>#N/A</v>
      </c>
      <c r="O84" s="461">
        <f>G84</f>
        <v>0</v>
      </c>
      <c r="P84" s="1738" t="str">
        <f>IFERROR(IF(__Retrofit_TI_NC=1,VLOOKUP(G84,'Space Table'!$B$3:$O$163,13,FALSE),IF(__Retrofit_TI_NC=2,VLOOKUP(G84,'Space Table'!$B$3:$O$163,14,FALSE),"Area (sf):")),"Area (sf):")</f>
        <v>Area (sf):</v>
      </c>
      <c r="Q84" s="1738"/>
      <c r="R84" s="596"/>
      <c r="S84" s="1763" t="s">
        <v>345</v>
      </c>
      <c r="T84" s="594"/>
      <c r="U84" s="1801"/>
      <c r="V84" s="1802"/>
      <c r="W84" s="1802"/>
      <c r="X84" s="1802"/>
      <c r="Y84" s="1802"/>
      <c r="Z84" s="1802"/>
      <c r="AA84" s="1802"/>
      <c r="AB84" s="1802"/>
      <c r="AC84" s="1802"/>
      <c r="AD84" s="1802"/>
      <c r="AE84" s="1803"/>
      <c r="AF84" s="594"/>
      <c r="AG84" s="1787"/>
      <c r="AH84" s="1787"/>
      <c r="AI84" s="1787"/>
      <c r="AJ84" s="1787"/>
      <c r="AK84" s="1787"/>
      <c r="AL84" s="1787"/>
      <c r="AM84" s="1726">
        <f>IFERROR(DI84,"")</f>
        <v>0</v>
      </c>
      <c r="AN84" s="1728" t="str">
        <f>IFERROR(ROUND(AM84*AC85,0),"")</f>
        <v/>
      </c>
      <c r="AO84" s="1730">
        <f>IFERROR(IF(IB82=FALSE,0,AC85-AN84),0)</f>
        <v>0</v>
      </c>
      <c r="AP84" s="1780"/>
      <c r="AQ84" s="1781"/>
      <c r="AR84" s="1795"/>
      <c r="AS84" s="1795"/>
      <c r="AT84" s="1796"/>
      <c r="AU84" s="1735"/>
      <c r="AV84" s="1752"/>
      <c r="AW84" s="1705"/>
      <c r="AX84" s="467"/>
      <c r="AY84" s="1749"/>
      <c r="AZ84" s="1749"/>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696"/>
      <c r="CQ84" s="1696"/>
      <c r="CR84" s="1808" t="str">
        <f>CQ82</f>
        <v/>
      </c>
      <c r="CS84" s="1810" t="str">
        <f>CS82</f>
        <v/>
      </c>
      <c r="CU84" s="1688" t="s">
        <v>345</v>
      </c>
      <c r="CV84" s="1702">
        <f>IF(IB82=TRUE,T84,0)</f>
        <v>0</v>
      </c>
      <c r="CW84" s="1702" t="str">
        <f>IF(IB82=TRUE,U84,"")</f>
        <v/>
      </c>
      <c r="CX84" s="1812">
        <f>IF(IB82=TRUE,U85,0)</f>
        <v>0</v>
      </c>
      <c r="CY84" s="1814">
        <f>IF(IB82=TRUE,AB85,0)</f>
        <v>0</v>
      </c>
      <c r="CZ84" s="1710">
        <f>IF(AND(__Retrofit_TI_NC&gt;0,CR82="interior"),0,IF(IB82=TRUE,AC85,0))</f>
        <v>0</v>
      </c>
      <c r="DA84" s="1818"/>
      <c r="DB84" s="1820"/>
      <c r="DC84" s="1820"/>
      <c r="DD84" s="1820"/>
      <c r="DF84" s="1702">
        <f>IF(IB82=TRUE,AF84,0)</f>
        <v>0</v>
      </c>
      <c r="DG84" s="1830" t="str">
        <f>IF(IB82=TRUE,AG84,"")</f>
        <v/>
      </c>
      <c r="DH84" s="1812">
        <f>AG85</f>
        <v>0</v>
      </c>
      <c r="DI84" s="1837">
        <f>JE84</f>
        <v>0</v>
      </c>
      <c r="DJ84" s="1710">
        <f>IF(AND(__Retrofit_TI_NC&gt;0,CR82="interior"),0,IF(IB82=TRUE,AN84,0))</f>
        <v>0</v>
      </c>
      <c r="DK84" s="1712"/>
      <c r="DN84" s="1717">
        <f>IFERROR(CZ84-DJ84,0)</f>
        <v>0</v>
      </c>
      <c r="DO84" s="1709"/>
      <c r="DQ84" s="1715"/>
      <c r="DR84" s="1719" t="str">
        <f>DQ82</f>
        <v/>
      </c>
      <c r="DS84" s="1816"/>
      <c r="DT84" s="1835" t="str">
        <f>IF(OR(DS82=7,DS82=8,DS82=9),"ALC","")</f>
        <v/>
      </c>
      <c r="DU84" s="1715"/>
      <c r="DV84" s="1716"/>
      <c r="DX84" s="1715"/>
      <c r="DY84" s="1829" t="str">
        <f>DX82</f>
        <v/>
      </c>
      <c r="DZ84" s="1715"/>
      <c r="EA84" s="1715"/>
      <c r="EC84" s="1834"/>
      <c r="ED84" s="1834"/>
      <c r="EF84" s="1707"/>
      <c r="EG84" s="1712"/>
      <c r="EH84" s="1818"/>
      <c r="EI84" s="1712"/>
      <c r="EJ84" s="1712"/>
      <c r="EK84" s="1836"/>
      <c r="EL84" s="1836"/>
      <c r="EM84" s="1807"/>
      <c r="EN84" s="1839"/>
      <c r="EO84" s="1839"/>
      <c r="EP84" s="1817"/>
      <c r="EQ84" s="1817"/>
      <c r="ER84" s="1807"/>
      <c r="ES84" s="1807"/>
      <c r="ET84" s="1807"/>
      <c r="EV84" s="1715"/>
      <c r="EX84" s="1805" t="str">
        <f>IFERROR(VLOOKUP(CS84,'Space Table'!$B$3:$L$163,8,FALSE),"")</f>
        <v/>
      </c>
      <c r="EY84" s="1805" t="str">
        <f>IFERROR(IF(FB84="Yes",VLOOKUP(AG84,Lookup_Control_Type_Table2,4,FALSE),VLOOKUP(AG84,Lookup_Control_Type_Table2,3,FALSE)),"")</f>
        <v/>
      </c>
      <c r="EZ84" s="1805" t="e">
        <f>VLOOKUP(AG84,Lookup!BB$3:BC$20,2,FALSE)</f>
        <v>#N/A</v>
      </c>
      <c r="FA84" s="1805" t="e">
        <f>VLOOKUP(EX82,Lookup_Control_Type_Table,2,FALSE)</f>
        <v>#N/A</v>
      </c>
      <c r="FB84" s="1805" t="e">
        <f>VLOOKUP(CS84,'Space Table'!$B$3:$L$163,7,FALSE)</f>
        <v>#N/A</v>
      </c>
      <c r="FC84" s="1827"/>
      <c r="FE84" s="1698" t="str">
        <f>CONCATENATE(CQ82," - ",AG84)</f>
        <v xml:space="preserve"> - </v>
      </c>
      <c r="FG84" s="1816"/>
      <c r="FH84" s="1816"/>
      <c r="FI84" s="133"/>
      <c r="FL84" s="1822" t="str">
        <f>IF(CQ82="Exterior","Not Daylighted",G85)</f>
        <v>Not Daylighted</v>
      </c>
      <c r="FM84" s="1824">
        <f>VLOOKUP(FL84,_New_Daylight_Table_Codes,2,FALSE)</f>
        <v>0</v>
      </c>
      <c r="FN84" s="1698">
        <f>AG84</f>
        <v>0</v>
      </c>
      <c r="FO84" s="1698" t="e">
        <f>VLOOKUP(FN84,_Control_Table,2,FALSE)</f>
        <v>#N/A</v>
      </c>
      <c r="FP84" s="1678" t="e">
        <f>VLOOKUP(CONCATENATE(FL84," ",FN84),Lookup!AY95:AZ$102,2,FALSE)</f>
        <v>#N/A</v>
      </c>
      <c r="FQ84" s="1698">
        <f>IF(__Retrofit_TI_NC=0,FN84,IF(AND(FT84&gt;0,FN84="Occupancy Sensor"),"Daylight + Occupancy",IF(AND(FT84&gt;0,FO84&lt;4),"Interior Daylight Dimming",FN84)))</f>
        <v>0</v>
      </c>
      <c r="FS84" s="1686">
        <f>IF(CQ82="Interior",VLOOKUP(CS82,Control_Savings_Interior,5,FALSE),0)</f>
        <v>0</v>
      </c>
      <c r="FT84" s="1687">
        <f>IF(CQ84="Exterior",0,IF(FM84=2,0.5,IF(OR(FM84=1,FM84=3),1,0)))</f>
        <v>0</v>
      </c>
      <c r="FU84" s="1685">
        <f>IF(R83&gt;FS$44,(FS84*(FS$44/R83)),FS84)*FT84</f>
        <v>0</v>
      </c>
      <c r="FV84" s="1686">
        <f>DI84</f>
        <v>0</v>
      </c>
      <c r="FW84" s="1686">
        <f>ROUND(FV84+((1-FV84)*FU84),2)</f>
        <v>0</v>
      </c>
      <c r="FX84" s="1686">
        <f>IF(__Retrofit_TI_NC=2,FW84,FV84)</f>
        <v>0</v>
      </c>
      <c r="FY84" s="1697">
        <f>IF(CR84="Interior",VLOOKUP(CS84,Control_Savings_Interior,4,FALSE),0)</f>
        <v>0</v>
      </c>
      <c r="GA84" s="1696"/>
      <c r="GB84" s="1696"/>
      <c r="GC84" s="1696"/>
      <c r="GD84" s="1696"/>
      <c r="GE84" s="1696"/>
      <c r="GF84" s="1696"/>
      <c r="GG84" s="1696"/>
      <c r="GH84" s="1696"/>
      <c r="GI84" s="673" t="b">
        <f>IF(ISNUMBER(SEARCH("TLED",U84)),TRUE,FALSE)</f>
        <v>0</v>
      </c>
      <c r="GJ84" s="1135" t="str">
        <f>IFERROR(VLOOKUP(U84,Fixtures!DM$93:DR$142,6,FALSE),"")</f>
        <v/>
      </c>
      <c r="GK84" s="1832"/>
      <c r="GM84" s="1692"/>
      <c r="GN84" s="1684"/>
      <c r="GP84" s="1684"/>
      <c r="GQ84" s="1684"/>
      <c r="HG84" s="1684"/>
      <c r="HH84" s="1684"/>
      <c r="HI84" s="1684"/>
      <c r="HJ84" s="1684"/>
      <c r="HK84" s="1684"/>
      <c r="HL84" s="1684"/>
      <c r="HM84" s="1684"/>
      <c r="HN84" s="1683"/>
      <c r="HO84" s="1692"/>
      <c r="HP84" s="1692"/>
      <c r="HQ84" s="1670"/>
      <c r="HR84" s="1684"/>
      <c r="HS84" s="1684"/>
      <c r="HT84" s="1670"/>
      <c r="HU84" s="1684"/>
      <c r="HV84" s="1684"/>
      <c r="HW84" s="1684"/>
      <c r="HX84" s="1684"/>
      <c r="HY84" s="1684"/>
      <c r="HZ84" s="1684"/>
      <c r="IB84" s="1692"/>
      <c r="IC84" s="1693" t="b">
        <f>IB82</f>
        <v>0</v>
      </c>
      <c r="ID84" s="1695"/>
      <c r="IE84" s="391"/>
      <c r="IF84" s="1688"/>
      <c r="IG84" s="1689">
        <f ca="1">IF(IF82=TRUE,AC85,0)</f>
        <v>0</v>
      </c>
      <c r="IH84" s="1684"/>
      <c r="IK84" s="1689" t="e">
        <f>ROUND(T84*AB85*N83*R83/1000,0)</f>
        <v>#VALUE!</v>
      </c>
      <c r="IL84" s="1691"/>
      <c r="IM84" s="1693" t="e">
        <f>ROUND(T84*AB85*N83*R83/1000,0)</f>
        <v>#VALUE!</v>
      </c>
      <c r="IN84" s="1691"/>
      <c r="IP84" s="1679"/>
      <c r="IQ84" s="1679" t="e">
        <f t="shared" ref="IQ84:IU84" si="52">IF($CR84="interior",VLOOKUP($CS84,_New_Control_Savings_Interior,IQ$30,FALSE),VLOOKUP($CS84,Control_Savings_Exterior,IQ$30,FALSE))</f>
        <v>#N/A</v>
      </c>
      <c r="IR84" s="1679" t="e">
        <f t="shared" si="52"/>
        <v>#N/A</v>
      </c>
      <c r="IS84" s="1679" t="e">
        <f t="shared" si="52"/>
        <v>#N/A</v>
      </c>
      <c r="IT84" s="1679" t="e">
        <f t="shared" si="52"/>
        <v>#N/A</v>
      </c>
      <c r="IU84" s="1679" t="e">
        <f t="shared" si="52"/>
        <v>#N/A</v>
      </c>
      <c r="IV84" s="1679" t="e">
        <f>IF($CR84="interior",IF(R83&gt;$IP$14,ROUND(($IV$18*($IP$14/R83)),2),$IV$18),VLOOKUP($CS84,Control_Savings_Exterior,IV$30,FALSE))</f>
        <v>#N/A</v>
      </c>
      <c r="IW84" s="1679" t="e">
        <f>IF($CR84="interior",ROUND(((1-IS84)*IV84)+IS84,2),VLOOKUP($CS84,Control_Savings_Exterior,IW$30,FALSE))</f>
        <v>#N/A</v>
      </c>
      <c r="IX84" s="1679" t="e">
        <f>IF($CR84="interior",ROUND(((1-IT84)*IV84)+IT84,2),VLOOKUP($CS84,Control_Savings_Exterior,IX$30,FALSE))</f>
        <v>#N/A</v>
      </c>
      <c r="IY84" s="1679" t="e">
        <f>IF($CR84="interior",IF(R83&gt;$IP$14,ROUND(($IY$18*($IP$14/R83)),2),$IY$18),VLOOKUP($CS84,Control_Savings_Exterior,IY$30,FALSE))</f>
        <v>#N/A</v>
      </c>
      <c r="IZ84" s="1679" t="e">
        <f>IF($CR84="interior",ROUND(((1-IS84)*IY84)+IS84,2),VLOOKUP($CS84,Control_Savings_Exterior,IZ$30,FALSE))</f>
        <v>#N/A</v>
      </c>
      <c r="JA84" s="1679" t="e">
        <f>IF($CR84="interior",ROUND(((1-IT84)*IY84)+IT84,2),VLOOKUP($CS84,Control_Savings_Exterior,JA$30,FALSE))</f>
        <v>#N/A</v>
      </c>
      <c r="JC84" s="1680">
        <f>IFERROR(IF(CR84="Interior",CONCATENATE(G85," ",FQ84),AG84),"")</f>
        <v>0</v>
      </c>
      <c r="JD84" s="1670" t="str">
        <f>IFERROR(VLOOKUP(JC84,_Controls_2023,2,FALSE),"")</f>
        <v/>
      </c>
      <c r="JE84" s="1681">
        <f>IFERROR(CHOOSE(JD84-1,IQ84,IR84,IS84,IT84,IU84,IV84,IW84,IX84,IY84,IZ84,JA84),0)</f>
        <v>0</v>
      </c>
      <c r="JG84" s="1680" t="str">
        <f>FE84</f>
        <v xml:space="preserve"> - </v>
      </c>
      <c r="JH84" s="1670" t="e">
        <f>$FO84</f>
        <v>#N/A</v>
      </c>
      <c r="JI84" s="1060"/>
      <c r="JJ84" s="1670">
        <f>IFERROR(IF($IB82=TRUE,IF(OR(JJ$14="No",JJ82=FALSE,JH84&lt;=JH82,AND(_kWh_Grant=0,GD82=FALSE)),0,IF(JJ$8="Per Line",1,$AF84)),0),0)</f>
        <v>0</v>
      </c>
      <c r="JK84" s="1061"/>
      <c r="JL84" s="1670">
        <f>IFERROR(IF(_kWh_Grant=0,0,IF($IB82=TRUE,IF(OR(JL$14="No",JL82=FALSE,JH84&lt;=JH82),0,IF(JL$8="Per Line",1,$T84)),0)),0)</f>
        <v>0</v>
      </c>
      <c r="JM84" s="1061"/>
      <c r="JN84" s="1670">
        <f>IFERROR(IF(_kWh_Grant=0,0,IF($IB82=TRUE,IF(OR(JN$14="No",JN82=FALSE,JH84&lt;=JH82),0,IF(JN$8="Per Line",1,$AF84)),0)),0)</f>
        <v>0</v>
      </c>
      <c r="JO84" s="1061"/>
      <c r="JP84" s="1670">
        <f>IFERROR(IF(__Retrofit_TI_NC=0,IF(_kWh_Grant=0,0,IF($IB82=TRUE,IF(OR(JP$14="No",JP82=FALSE,$JH84&lt;=$JH82),0,IF(JP$8="Per Line",1,$AF84)),0)),IF($IB82=TRUE,IF(OR(JP$14="No",JP82=FALSE,$JH84&lt;=$JH82),0,IF(JP$8="Per Line",1,$AF84)))),0)</f>
        <v>0</v>
      </c>
      <c r="JQ84" s="1061"/>
      <c r="JR84" s="1670">
        <f>IFERROR(IF(__Retrofit_TI_NC=0,IF(_kWh_Grant=0,0,IF($IB82=TRUE,IF(OR(JR$14="No",JR82=FALSE,$JH84&lt;=$JH82),0,IF(JR$8="Per Line",1,$AF84)),0)),IF($IB82=TRUE,IF(OR(JR$14="No",JR82=FALSE,$JH84&lt;=$JH82),0,IF(JR$8="Per Line",1,$AF84)))),0)</f>
        <v>0</v>
      </c>
      <c r="JS84" s="1061"/>
      <c r="JT84" s="1670">
        <f>IFERROR(IF(__Retrofit_TI_NC=0,IF(_kWh_Grant=0,0,IF($IB82=TRUE,IF(OR(JT$14="No",JT82=FALSE,$JH84&lt;=$JH82),0,IF(JT$8="Per Line",1,$AF84)),0)),IF($IB82=TRUE,IF(OR(JT$14="No",JT82=FALSE,$JH84&lt;=$JH82),0,IF(JT$8="Per Line",1,$AF84)))),0)</f>
        <v>0</v>
      </c>
      <c r="JU84" s="1061"/>
      <c r="JV84" s="1670">
        <f>IFERROR(IF(__Retrofit_TI_NC=0,IF(_kWh_Grant=0,0,IF($IB82=TRUE,IF(OR(JV$14="No",JV82=FALSE,$JH84&lt;=$JH82),0,IF(JV$8="Per Line",1,$AF84)),0)),IF($IB82=TRUE,IF(OR(JV$14="No",JV82=FALSE,$JH84&lt;=$JH82),0,IF(JV$8="Per Line",1,$AF84)))),0)</f>
        <v>0</v>
      </c>
      <c r="JX84" s="1670">
        <f>IFERROR(IF(__Retrofit_TI_NC=0,IF(_kWh_Grant=0,0,IF($IB82=TRUE,IF(OR(JX$14="No",JX82=FALSE,$JH84&lt;=$JH82),0,IF(JX$8="Per Line",1,$AF84)),0)),IF($IB82=TRUE,IF(OR(JX$14="No",JX82=FALSE,$JH84&lt;=$JH82),0,IF(JX$8="Per Line",1,$AF84)))),0)</f>
        <v>0</v>
      </c>
      <c r="JZ84" s="1670">
        <f>IFERROR(IF($IB82=TRUE,IF(OR(JZ$14="No",JZ82=FALSE,$JH84&lt;=$JH82,AND(_kWh_Grant=0,$GD82=FALSE)),0,IF(JZ$8="Per Line",1,$AF84)),0),0)</f>
        <v>0</v>
      </c>
      <c r="KB84" s="1670">
        <f>IFERROR(IF(__Retrofit_TI_NC=0,IF(_kWh_Grant=0,0,IF($IB82=TRUE,IF(OR(KB$14="No",KB82=FALSE,$JH84&lt;=$JH82),0,IF(KB$8="Per Line",1,$AF84)),0)),IF($IB82=TRUE,IF(OR(KB$14="No",KB82=FALSE,$JH84&lt;=$JH82),0,IF(KB$8="Per Line",1,$AF84)))),0)</f>
        <v>0</v>
      </c>
    </row>
    <row r="85" spans="1:288" s="78" customFormat="1" ht="14.95" customHeight="1" thickTop="1" thickBot="1">
      <c r="B85" s="1845"/>
      <c r="C85" s="1846"/>
      <c r="D85" s="1847"/>
      <c r="E85" s="1771" t="s">
        <v>436</v>
      </c>
      <c r="F85" s="1772"/>
      <c r="G85" s="1784" t="s">
        <v>437</v>
      </c>
      <c r="H85" s="1785"/>
      <c r="I85" s="1785"/>
      <c r="J85" s="1785"/>
      <c r="K85" s="1785"/>
      <c r="L85" s="1786"/>
      <c r="M85" s="591">
        <f>IFERROR(VLOOKUP(G85,_Daylight_Table[],2,FALSE),0)</f>
        <v>0</v>
      </c>
      <c r="N85" s="592" t="str">
        <f>IF(AND(__Retrofit_TI_NC&gt;0,CQ82="Interior"),"BAM","")</f>
        <v/>
      </c>
      <c r="O85" s="591" t="e">
        <f>VLOOKUP(G84,'Space Table'!$B$3:$L$163,11,FALSE)</f>
        <v>#N/A</v>
      </c>
      <c r="P85" s="1789"/>
      <c r="Q85" s="1790"/>
      <c r="R85" s="1790"/>
      <c r="S85" s="1788"/>
      <c r="T85" s="593" t="s">
        <v>342</v>
      </c>
      <c r="U85" s="1756" t="str" cm="1">
        <f t="array" aca="1" ref="U85" ca="1">IFERROR(VLOOKUP(INDIRECT("U" &amp; ROW()-1),Fixtures!DM$93:DP$142,4,FALSE),"")</f>
        <v/>
      </c>
      <c r="V85" s="1757"/>
      <c r="W85" s="1757"/>
      <c r="X85" s="1757"/>
      <c r="Y85" s="1757"/>
      <c r="Z85" s="1757"/>
      <c r="AA85" s="1758"/>
      <c r="AB85" s="939" t="str">
        <f>IFERROR(VLOOKUP(U84,Fixtures_Proposed_List,2,FALSE),"")</f>
        <v/>
      </c>
      <c r="AC85" s="933" t="str">
        <f>IFERROR(ROUND(T84*AB85*N83*R83/1000,0),"")</f>
        <v/>
      </c>
      <c r="AD85" s="934" t="str">
        <f>IFERROR(ROUND(T84*AB85/1000,2),"")</f>
        <v/>
      </c>
      <c r="AE85" s="998"/>
      <c r="AF85" s="938" t="s">
        <v>342</v>
      </c>
      <c r="AG85" s="1770"/>
      <c r="AH85" s="1770"/>
      <c r="AI85" s="1770"/>
      <c r="AJ85" s="1770"/>
      <c r="AK85" s="1770"/>
      <c r="AL85" s="1770"/>
      <c r="AM85" s="1727"/>
      <c r="AN85" s="1729"/>
      <c r="AO85" s="1731"/>
      <c r="AP85" s="1782"/>
      <c r="AQ85" s="1783"/>
      <c r="AR85" s="1797"/>
      <c r="AS85" s="1797"/>
      <c r="AT85" s="1798"/>
      <c r="AU85" s="1736"/>
      <c r="AV85" s="1753"/>
      <c r="AW85" s="1706"/>
      <c r="AX85" s="468"/>
      <c r="AY85" s="1750"/>
      <c r="AZ85" s="1750"/>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696"/>
      <c r="CQ85" s="1696"/>
      <c r="CR85" s="1809"/>
      <c r="CS85" s="1811"/>
      <c r="CU85" s="1688"/>
      <c r="CV85" s="1703"/>
      <c r="CW85" s="1703"/>
      <c r="CX85" s="1813"/>
      <c r="CY85" s="1815"/>
      <c r="CZ85" s="1711"/>
      <c r="DA85" s="1815"/>
      <c r="DB85" s="1821"/>
      <c r="DC85" s="1821"/>
      <c r="DD85" s="1821"/>
      <c r="DF85" s="1703"/>
      <c r="DG85" s="1831"/>
      <c r="DH85" s="1813"/>
      <c r="DI85" s="1838"/>
      <c r="DJ85" s="1711"/>
      <c r="DK85" s="1712"/>
      <c r="DN85" s="1718"/>
      <c r="DO85" s="1709"/>
      <c r="DQ85" s="1715"/>
      <c r="DR85" s="1720"/>
      <c r="DS85" s="1703"/>
      <c r="DT85" s="1714"/>
      <c r="DU85" s="1715"/>
      <c r="DV85" s="1716"/>
      <c r="DX85" s="1715"/>
      <c r="DY85" s="1720"/>
      <c r="DZ85" s="1715"/>
      <c r="EA85" s="1715"/>
      <c r="EC85" s="1834"/>
      <c r="ED85" s="1834"/>
      <c r="EF85" s="1707"/>
      <c r="EG85" s="1712"/>
      <c r="EH85" s="1815"/>
      <c r="EI85" s="1712"/>
      <c r="EJ85" s="1712"/>
      <c r="EK85" s="1813"/>
      <c r="EL85" s="1813"/>
      <c r="EM85" s="1807"/>
      <c r="EN85" s="1839"/>
      <c r="EO85" s="1839"/>
      <c r="EP85" s="1817"/>
      <c r="EQ85" s="1817"/>
      <c r="ER85" s="1807"/>
      <c r="ES85" s="1807"/>
      <c r="ET85" s="1807"/>
      <c r="EV85" s="1715"/>
      <c r="EX85" s="1806"/>
      <c r="EY85" s="1806"/>
      <c r="EZ85" s="1806"/>
      <c r="FA85" s="1806"/>
      <c r="FB85" s="1806"/>
      <c r="FC85" s="1828"/>
      <c r="FE85" s="1698"/>
      <c r="FG85" s="1703"/>
      <c r="FH85" s="1703"/>
      <c r="FI85" s="133"/>
      <c r="FL85" s="1823"/>
      <c r="FM85" s="1825"/>
      <c r="FN85" s="1698"/>
      <c r="FO85" s="1698"/>
      <c r="FP85" s="1678"/>
      <c r="FQ85" s="1698"/>
      <c r="FS85" s="1687"/>
      <c r="FT85" s="1687"/>
      <c r="FU85" s="1685"/>
      <c r="FV85" s="1687"/>
      <c r="FW85" s="1687"/>
      <c r="FX85" s="1687"/>
      <c r="FY85" s="1697"/>
      <c r="GA85" s="1696"/>
      <c r="GB85" s="1696"/>
      <c r="GC85" s="1696"/>
      <c r="GD85" s="1696"/>
      <c r="GE85" s="1696"/>
      <c r="GF85" s="1696"/>
      <c r="GG85" s="1696"/>
      <c r="GH85" s="1696"/>
      <c r="GI85" s="673"/>
      <c r="GJ85" s="1135"/>
      <c r="GK85" s="1832"/>
      <c r="GN85" s="674">
        <f>IF(GN83=TRUE,0,GN$16)</f>
        <v>0</v>
      </c>
      <c r="GP85" s="674">
        <f>IF(GP83=TRUE,0,GP$16)</f>
        <v>36</v>
      </c>
      <c r="GQ85" s="674">
        <f ca="1">IF(GQ83=TRUE,0,GQ$16)</f>
        <v>35</v>
      </c>
      <c r="GR85" s="391"/>
      <c r="GS85" s="391"/>
      <c r="GT85" s="391"/>
      <c r="GU85" s="391"/>
      <c r="GV85" s="391"/>
      <c r="HG85" s="674">
        <f>IF(HG83=TRUE,0,HG$16)</f>
        <v>0</v>
      </c>
      <c r="HH85" s="674">
        <f t="shared" ref="HH85:HM85" si="53">IF(HH83=TRUE,0,HH$16)</f>
        <v>19</v>
      </c>
      <c r="HI85" s="674">
        <f t="shared" si="53"/>
        <v>18</v>
      </c>
      <c r="HJ85" s="674">
        <f t="shared" si="53"/>
        <v>17</v>
      </c>
      <c r="HK85" s="674">
        <f t="shared" si="53"/>
        <v>16</v>
      </c>
      <c r="HL85" s="674">
        <f t="shared" si="53"/>
        <v>0</v>
      </c>
      <c r="HM85" s="674">
        <f t="shared" si="53"/>
        <v>0</v>
      </c>
      <c r="HN85" s="674">
        <f>IF(HN83=TRUE,0,HN$16)</f>
        <v>13</v>
      </c>
      <c r="HO85" s="674">
        <f t="shared" ref="HO85:HQ85" si="54">IF(HO83=TRUE,0,HO$16)</f>
        <v>0</v>
      </c>
      <c r="HP85" s="674">
        <f t="shared" si="54"/>
        <v>0</v>
      </c>
      <c r="HQ85" s="674">
        <f t="shared" si="54"/>
        <v>10</v>
      </c>
      <c r="HR85" s="674">
        <f>IF(HR83=TRUE,0,HR$16)</f>
        <v>9</v>
      </c>
      <c r="HS85" s="674">
        <f t="shared" ref="HS85:HW85" si="55">IF(HS83=TRUE,0,HS$16)</f>
        <v>0</v>
      </c>
      <c r="HT85" s="674">
        <f t="shared" si="55"/>
        <v>0</v>
      </c>
      <c r="HU85" s="674">
        <f t="shared" si="55"/>
        <v>0</v>
      </c>
      <c r="HV85" s="674">
        <f t="shared" si="55"/>
        <v>0</v>
      </c>
      <c r="HW85" s="674">
        <f t="shared" si="55"/>
        <v>0</v>
      </c>
      <c r="HX85" s="674">
        <f>IF(HX83=TRUE,0,HX$16)</f>
        <v>0</v>
      </c>
      <c r="HY85" s="674">
        <f>IF(HY83=TRUE,0,HY$16)</f>
        <v>0</v>
      </c>
      <c r="HZ85" s="674">
        <f>IF(HZ83=TRUE,0,HZ$16)</f>
        <v>1</v>
      </c>
      <c r="IB85" s="674">
        <f>IF(GP83=FALSE,GP85,IF(GQ83=FALSE,GQ85,MAX(GN85:HZ85)))</f>
        <v>36</v>
      </c>
      <c r="IC85" s="1692"/>
      <c r="ID85" s="205" t="str">
        <f>VLOOKUP(IB85,_Error_Table,3,FALSE)</f>
        <v xml:space="preserve"> </v>
      </c>
      <c r="IE85" s="205"/>
      <c r="IF85" s="1688"/>
      <c r="IG85" s="1689"/>
      <c r="IH85" s="1684"/>
      <c r="IK85" s="1689"/>
      <c r="IL85" s="1692"/>
      <c r="IM85" s="1692"/>
      <c r="IN85" s="1692"/>
      <c r="IP85" s="1679"/>
      <c r="IQ85" s="1679"/>
      <c r="IR85" s="1679"/>
      <c r="IS85" s="1679"/>
      <c r="IT85" s="1679"/>
      <c r="IU85" s="1679"/>
      <c r="IV85" s="1679"/>
      <c r="IW85" s="1679"/>
      <c r="IX85" s="1679"/>
      <c r="IY85" s="1679"/>
      <c r="IZ85" s="1679"/>
      <c r="JA85" s="1679"/>
      <c r="JC85" s="1680"/>
      <c r="JD85" s="1670"/>
      <c r="JE85" s="1681"/>
      <c r="JG85" s="1680"/>
      <c r="JH85" s="1670"/>
      <c r="JI85" s="1060"/>
      <c r="JJ85" s="1670"/>
      <c r="JK85" s="1061"/>
      <c r="JL85" s="1670"/>
      <c r="JM85" s="1061"/>
      <c r="JN85" s="1670"/>
      <c r="JO85" s="1061"/>
      <c r="JP85" s="1670"/>
      <c r="JQ85" s="1061"/>
      <c r="JR85" s="1670"/>
      <c r="JS85" s="1061"/>
      <c r="JT85" s="1670"/>
      <c r="JU85" s="1061"/>
      <c r="JV85" s="1670"/>
      <c r="JX85" s="1670"/>
      <c r="JZ85" s="1670"/>
      <c r="KB85" s="1670"/>
    </row>
    <row r="86" spans="1:288" s="78" customFormat="1" ht="5.0999999999999996" customHeight="1">
      <c r="B86" s="675"/>
      <c r="C86" s="392"/>
      <c r="D86" s="392"/>
      <c r="E86" s="1733"/>
      <c r="F86" s="1733"/>
      <c r="G86" s="1733"/>
      <c r="H86" s="1733"/>
      <c r="I86" s="1733"/>
      <c r="J86" s="1733"/>
      <c r="K86" s="1733"/>
      <c r="L86" s="1733"/>
      <c r="M86" s="1733"/>
      <c r="N86" s="1733"/>
      <c r="O86" s="1733"/>
      <c r="P86" s="1733"/>
      <c r="Q86" s="1733"/>
      <c r="R86" s="1733"/>
      <c r="S86" s="1733"/>
      <c r="T86" s="1733"/>
      <c r="U86" s="1733"/>
      <c r="V86" s="1733"/>
      <c r="W86" s="1733"/>
      <c r="X86" s="1733"/>
      <c r="Y86" s="1733"/>
      <c r="Z86" s="1733"/>
      <c r="AA86" s="1733"/>
      <c r="AB86" s="1733"/>
      <c r="AC86" s="1733"/>
      <c r="AD86" s="1733"/>
      <c r="AE86" s="1733"/>
      <c r="AF86" s="1733"/>
      <c r="AG86" s="1733"/>
      <c r="AH86" s="1733"/>
      <c r="AI86" s="1733"/>
      <c r="AJ86" s="1733"/>
      <c r="AK86" s="1733"/>
      <c r="AL86" s="1733"/>
      <c r="AM86" s="1733"/>
      <c r="AN86" s="1733"/>
      <c r="AO86" s="1733"/>
      <c r="AP86" s="1733"/>
      <c r="AQ86" s="1733"/>
      <c r="AR86" s="1733"/>
      <c r="AS86" s="1733"/>
      <c r="AT86" s="1733"/>
      <c r="AU86" s="1733"/>
      <c r="AV86" s="1733"/>
      <c r="AW86" s="1733"/>
      <c r="AX86" s="469"/>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663"/>
      <c r="CQ86" s="663"/>
      <c r="CR86" s="438"/>
      <c r="CS86" s="663"/>
      <c r="CV86" s="391"/>
      <c r="CW86" s="391"/>
      <c r="CX86" s="207"/>
      <c r="CY86" s="208"/>
      <c r="CZ86" s="208"/>
      <c r="DA86" s="208"/>
      <c r="DB86" s="209"/>
      <c r="DC86" s="209"/>
      <c r="DD86" s="209"/>
      <c r="DF86" s="664"/>
      <c r="DG86" s="665"/>
      <c r="DH86" s="666"/>
      <c r="DI86" s="667"/>
      <c r="DJ86" s="668"/>
      <c r="DK86" s="668"/>
      <c r="DN86" s="208"/>
      <c r="DO86" s="664"/>
      <c r="DQ86" s="664"/>
      <c r="DR86" s="669"/>
      <c r="DS86" s="391"/>
      <c r="DT86" s="664"/>
      <c r="DU86" s="664"/>
      <c r="DV86" s="664"/>
      <c r="DX86" s="664"/>
      <c r="DY86" s="664"/>
      <c r="DZ86" s="664"/>
      <c r="EA86" s="664"/>
      <c r="EC86" s="670"/>
      <c r="ED86" s="670"/>
      <c r="EF86" s="668"/>
      <c r="EG86" s="668"/>
      <c r="EH86" s="208"/>
      <c r="EI86" s="668"/>
      <c r="EJ86" s="668"/>
      <c r="EK86" s="207"/>
      <c r="EL86" s="207"/>
      <c r="EM86" s="666"/>
      <c r="EN86" s="671"/>
      <c r="EO86" s="671"/>
      <c r="EP86" s="672"/>
      <c r="EQ86" s="672"/>
      <c r="ER86" s="666"/>
      <c r="ES86" s="666"/>
      <c r="ET86" s="666"/>
      <c r="EV86" s="664"/>
      <c r="EX86" s="391"/>
      <c r="EY86" s="391"/>
      <c r="EZ86" s="391"/>
      <c r="FA86" s="391"/>
      <c r="FB86" s="391"/>
      <c r="FC86" s="391"/>
      <c r="FE86" s="569"/>
      <c r="FG86" s="391"/>
      <c r="FH86" s="391"/>
      <c r="FI86" s="391"/>
      <c r="FS86" s="664"/>
      <c r="FT86" s="391"/>
      <c r="FU86" s="391"/>
      <c r="FV86" s="664"/>
      <c r="FW86" s="664"/>
      <c r="GA86" s="663"/>
      <c r="GB86" s="663"/>
      <c r="GC86" s="663"/>
      <c r="GD86" s="663"/>
      <c r="GE86" s="663"/>
      <c r="GF86" s="663"/>
      <c r="GG86" s="663"/>
      <c r="GH86" s="663"/>
      <c r="GI86" s="665"/>
      <c r="GJ86" s="664"/>
      <c r="GK86" s="664"/>
    </row>
    <row r="87" spans="1:288" s="78" customFormat="1" ht="14.95" customHeight="1">
      <c r="B87" s="1845" t="str">
        <f>ID90</f>
        <v xml:space="preserve"> </v>
      </c>
      <c r="C87" s="1846">
        <f>C82+1</f>
        <v>9</v>
      </c>
      <c r="D87" s="1847"/>
      <c r="E87" s="1799" t="s">
        <v>295</v>
      </c>
      <c r="F87" s="1800"/>
      <c r="G87" s="1741"/>
      <c r="H87" s="1742"/>
      <c r="I87" s="1742"/>
      <c r="J87" s="1742"/>
      <c r="K87" s="1742"/>
      <c r="L87" s="1742"/>
      <c r="M87" s="1742"/>
      <c r="N87" s="1742"/>
      <c r="O87" s="1742"/>
      <c r="P87" s="1742"/>
      <c r="Q87" s="1742"/>
      <c r="R87" s="1742"/>
      <c r="S87" s="1791" t="s">
        <v>344</v>
      </c>
      <c r="T87" s="590"/>
      <c r="U87" s="1743"/>
      <c r="V87" s="1744"/>
      <c r="W87" s="1744"/>
      <c r="X87" s="1744"/>
      <c r="Y87" s="1744"/>
      <c r="Z87" s="1744"/>
      <c r="AA87" s="1744"/>
      <c r="AB87" s="961" t="str">
        <f>IFERROR(IF(__Retrofit_TI_NC=0,VLOOKUP(U88,Fixtures_Existing_List,2,FALSE),ROUND(N89*R89/T89,10)),"")</f>
        <v/>
      </c>
      <c r="AC87" s="935" t="str">
        <f>IFERROR(IF(__Retrofit_TI_NC=0,ROUND(T88*AB87*N88*R88/1000,0),IF(CQ87="Interior",N89*R89*R88*N88*_C406_reduction/1000,N89*R89*R88*N88/1000)),"")</f>
        <v/>
      </c>
      <c r="AD87" s="936" t="str">
        <f>IFERROR(IF(C$43=0,ROUND(T88*AB87/1000,2),N89*R89/1000),"")</f>
        <v/>
      </c>
      <c r="AE87" s="997"/>
      <c r="AF87" s="937"/>
      <c r="AG87" s="1745" t="str">
        <f>IF(__Retrofit_TI_NC=0," Control","Select Advanced Control for New System")</f>
        <v xml:space="preserve"> Control</v>
      </c>
      <c r="AH87" s="1745"/>
      <c r="AI87" s="1745"/>
      <c r="AJ87" s="1745"/>
      <c r="AK87" s="1745"/>
      <c r="AL87" s="1745"/>
      <c r="AM87" s="1746">
        <f>IFERROR(DI87,"")</f>
        <v>0</v>
      </c>
      <c r="AN87" s="1774" t="str">
        <f>IFERROR(ROUND(AM87*AC87,0),"")</f>
        <v/>
      </c>
      <c r="AO87" s="1776">
        <f>IFERROR(IF(IB87=FALSE,0,AC87-AN87),0)</f>
        <v>0</v>
      </c>
      <c r="AP87" s="1778">
        <f>AO87-AO89</f>
        <v>0</v>
      </c>
      <c r="AQ87" s="1779"/>
      <c r="AR87" s="1793">
        <f>IFERROR(IF(IB87=FALSE,0,(T89*U90)+(AF89*AG90)),0)</f>
        <v>0</v>
      </c>
      <c r="AS87" s="1793"/>
      <c r="AT87" s="1794"/>
      <c r="AU87" s="1734" t="s">
        <v>237</v>
      </c>
      <c r="AV87" s="1751">
        <f>IF(AU87="Yes",1,0)</f>
        <v>1</v>
      </c>
      <c r="AW87" s="1704" t="str">
        <f>IF(OR(DQ87=4,DQ87=5,DQ87=6,DQ87=12),CONCATENATE("$",IF(GH87=TRUE,Lookup!$K$10,Lookup!$K$2)," /lamp"),CONCATENATE(TEXT(ED87,"$0.00"),"/ kWh"))</f>
        <v>$0.00/ kWh</v>
      </c>
      <c r="AX87" s="467"/>
      <c r="AY87" s="1748">
        <f ca="1">IFERROR(IF(GM88=TRUE,(AB90*T89)/R89,0),"NA")</f>
        <v>0</v>
      </c>
      <c r="AZ87" s="1748"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696" t="str">
        <f>N88</f>
        <v/>
      </c>
      <c r="CQ87" s="1696" t="str">
        <f>IFERROR(VLOOKUP(G88,_Lookup_Heat_Type_Table_New,3,FALSE),"")</f>
        <v/>
      </c>
      <c r="CR87" s="1808" t="str">
        <f>CQ87</f>
        <v/>
      </c>
      <c r="CS87" s="1810" t="str">
        <f>IFERROR(VLOOKUP(G89,'Space Table'!$B$3:$L$163,9,FALSE),"")</f>
        <v/>
      </c>
      <c r="CU87" s="1688" t="s">
        <v>344</v>
      </c>
      <c r="CV87" s="1702">
        <f>IF(IB87=TRUE,T88,0)</f>
        <v>0</v>
      </c>
      <c r="CW87" s="1702" t="str">
        <f>IF(IB87=TRUE,U88,"")</f>
        <v/>
      </c>
      <c r="CX87" s="1702"/>
      <c r="CY87" s="1814">
        <f>IF(IB87=TRUE,AB87,0)</f>
        <v>0</v>
      </c>
      <c r="CZ87" s="1710">
        <f>IF(AND(__Retrofit_TI_NC&gt;0,CR87="interior"),0,IF(IB87=TRUE,AC87,0))</f>
        <v>0</v>
      </c>
      <c r="DA87" s="1814">
        <f>IFERROR(IF(IB87=TRUE,CZ87-CZ89,0),0)</f>
        <v>0</v>
      </c>
      <c r="DB87" s="1819">
        <f>IF(IB87=TRUE,AD87,0)</f>
        <v>0</v>
      </c>
      <c r="DC87" s="1819">
        <f>IF(IB87=TRUE,AD90,0)</f>
        <v>0</v>
      </c>
      <c r="DD87" s="1819">
        <f>IFERROR(DB87-DC87,0)</f>
        <v>0</v>
      </c>
      <c r="DF87" s="1702">
        <f>IF(IB87=TRUE,AF88,0)</f>
        <v>0</v>
      </c>
      <c r="DG87" s="1830">
        <f>IFERROR(IF(__Retrofit_TI_NC=2,IF(CQ87="Exterior",O90,FQ87),FN87),"")</f>
        <v>0</v>
      </c>
      <c r="DH87" s="1702"/>
      <c r="DI87" s="1837">
        <f>JE87</f>
        <v>0</v>
      </c>
      <c r="DJ87" s="1710">
        <f>IF(AND(__Retrofit_TI_NC&gt;0,CR87="interior"),0,IF(IB87=TRUE,AN87,0))</f>
        <v>0</v>
      </c>
      <c r="DK87" s="1712">
        <f>IFERROR(IF(IB87=TRUE,DJ89-DJ87,0),0)</f>
        <v>0</v>
      </c>
      <c r="DM87" s="1717">
        <f>IFERROR(CZ87-DJ87,0)</f>
        <v>0</v>
      </c>
      <c r="DO87" s="1708">
        <f>DM87-DN89</f>
        <v>0</v>
      </c>
      <c r="DQ87" s="1715" t="str">
        <f>IFERROR(IF(AND(OR(GC87=4,GC87=5,GC87=6),OR(GF87=4,GF87=5,GF87=6)),GC87+8,VLOOKUP(CW89,Fixtures!R$31:Y$78,8,FALSE)),"")</f>
        <v/>
      </c>
      <c r="DR87" s="1829" t="str">
        <f>DQ87</f>
        <v/>
      </c>
      <c r="DS87" s="1702" t="str">
        <f>IFERROR(VLOOKUP(DG89,Lookup!BB$3:BC$20,2,FALSE),"")</f>
        <v/>
      </c>
      <c r="DT87" s="1713" t="str">
        <f>IF(OR(DS87=7,DS87=8,DS87=9),"ALC","")</f>
        <v/>
      </c>
      <c r="DU87" s="1715">
        <f>IFERROR(IF(OR(DQ87=4,DQ87=5,DQ87=6,DQ87=12,DQ87=13,DQ87=14),VLOOKUP(CW89,Fixtures!DN$27:EG$77,19,FALSE),1)*CV89,0)</f>
        <v>0</v>
      </c>
      <c r="DV87" s="1716">
        <f>IF(OR(DS87=7,DS87=8,DS87=9),IF(DG87=DG89,0,DF89),0)</f>
        <v>0</v>
      </c>
      <c r="DX87" s="1715" t="str">
        <f>IFERROR(IF(EZ87&lt;EZ89,"Yes","No"),"")</f>
        <v/>
      </c>
      <c r="DY87" s="1829" t="str">
        <f>DX87</f>
        <v/>
      </c>
      <c r="DZ87" s="1715">
        <f>IF(DX87="Yes",DF89,0)</f>
        <v>0</v>
      </c>
      <c r="EA87" s="1715">
        <f>DZ87-DV87</f>
        <v>0</v>
      </c>
      <c r="EC87" s="1834">
        <f>IFERROR(VLOOKUP(DQ87,Lookup!AU$3:AV$16,2,FALSE),0)</f>
        <v>0</v>
      </c>
      <c r="ED87" s="1834">
        <f>IF(IB87=FALSE,0,IF(DX87="Yes",EC87+Lookup!K$6,EC87))</f>
        <v>0</v>
      </c>
      <c r="EF87" s="1707">
        <f>IF(IB87=TRUE,DM87,0)</f>
        <v>0</v>
      </c>
      <c r="EG87" s="1712">
        <f>IF(IB87=TRUE,CZ89,0)</f>
        <v>0</v>
      </c>
      <c r="EH87" s="1814">
        <f>IFERROR(EF87-EG87,0)</f>
        <v>0</v>
      </c>
      <c r="EI87" s="1712">
        <f>IF(IB87=TRUE,DJ89,0)</f>
        <v>0</v>
      </c>
      <c r="EJ87" s="1712">
        <f>IFERROR(EF87-EG87+EI87,0)</f>
        <v>0</v>
      </c>
      <c r="EK87" s="1812">
        <f>IF(IB87=TRUE,CV89*CX89,0)</f>
        <v>0</v>
      </c>
      <c r="EL87" s="1812">
        <f>IF(IB87=TRUE,DF89*DH89,0)</f>
        <v>0</v>
      </c>
      <c r="EM87" s="1807">
        <f>AR87</f>
        <v>0</v>
      </c>
      <c r="EN87" s="1839" t="str">
        <f>IFERROR(IF(IB87=TRUE,VLOOKUP(DQ87,Lookup!AU$3:AW$16,3,FALSE)*DU87,""),0)</f>
        <v/>
      </c>
      <c r="EO87" s="1839">
        <f>IF(IB87=TRUE,DZ87*Lookup!AW$12,0)</f>
        <v>0</v>
      </c>
      <c r="EP87" s="1817">
        <f>IFERROR(IF(IB87=TRUE,EN87/EP$40,0),0)</f>
        <v>0</v>
      </c>
      <c r="EQ87" s="1817">
        <f>IF(IB87=TRUE,EO87/EQ$40,0)</f>
        <v>0</v>
      </c>
      <c r="ER87" s="1807">
        <f>IF(IB87=TRUE,ET$40*EP87,0)</f>
        <v>0</v>
      </c>
      <c r="ES87" s="1807">
        <f>IF(IB87=TRUE,ET$40*EQ87,0)</f>
        <v>0</v>
      </c>
      <c r="ET87" s="1807">
        <f>ER87+ES87</f>
        <v>0</v>
      </c>
      <c r="EV87" s="1715">
        <f>IF(G87="",0,1)</f>
        <v>0</v>
      </c>
      <c r="EX87" s="1804" t="str">
        <f>IFERROR(VLOOKUP(CS89,'Space Table'!$B$3:$L$163,8,FALSE),"")</f>
        <v/>
      </c>
      <c r="EY87" s="1804" t="str">
        <f>IFERROR(IF(FB87="Yes",VLOOKUP(DG87,Lookup_Control_Type_Table2,4,FALSE),VLOOKUP(DG87,Lookup_Control_Type_Table2,3,FALSE)),"")</f>
        <v/>
      </c>
      <c r="EZ87" s="1804" t="e">
        <f>VLOOKUP(DG87,Lookup!BB$3:BC$20,2,FALSE)</f>
        <v>#N/A</v>
      </c>
      <c r="FA87" s="1804" t="e">
        <f>VLOOKUP(EX87,Lookup_Control_Type_Table,2,FALSE)</f>
        <v>#N/A</v>
      </c>
      <c r="FB87" s="1804" t="e">
        <f>VLOOKUP(CS89,'Space Table'!$B$3:$L$163,7,FALSE)</f>
        <v>#N/A</v>
      </c>
      <c r="FC87" s="1826" t="b">
        <f>ISNUMBER(SEARCH("TLED",U89))</f>
        <v>0</v>
      </c>
      <c r="FE87" s="1698" t="str">
        <f>CONCATENATE(CQ87," - ",DG87)</f>
        <v xml:space="preserve"> - 0</v>
      </c>
      <c r="FG87" s="1702" t="str">
        <f>VLOOKUP(CW89,Fixtures!DN$27:EZ$77,38,FALSE)</f>
        <v/>
      </c>
      <c r="FH87" s="1702">
        <f>IFERROR(FG87*EH87,0)</f>
        <v>0</v>
      </c>
      <c r="FI87" s="133"/>
      <c r="FL87" s="1822" t="str">
        <f>IF(CQ87="Exterior","Not Daylighted",G90)</f>
        <v>Not Daylighted</v>
      </c>
      <c r="FM87" s="1824">
        <f>VLOOKUP(FL87,_New_Daylight_Table_Codes,2,FALSE)</f>
        <v>0</v>
      </c>
      <c r="FN87" s="1698">
        <f>IF(__Retrofit_TI_NC&gt;0,VLOOKUP(G89,'Space Table'!$B$3:$L$163,11,FALSE),AG88)</f>
        <v>0</v>
      </c>
      <c r="FO87" s="1698" t="e">
        <f>IF(__Retrofit_TI_NC=2,VLOOKUP(FQ87,_Control_Table,2,FALSE),VLOOKUP(FN87,_Control_Table,2,FALSE))</f>
        <v>#N/A</v>
      </c>
      <c r="FP87" s="1678" t="e">
        <f>VLOOKUP(CONCATENATE(FL87," ",FN87),Lookup!AY97:AZ$102,2,FALSE)</f>
        <v>#N/A</v>
      </c>
      <c r="FQ87" s="1678">
        <f>IF(__Retrofit_TI_NC=0,FN87,IF(AND(FT87&gt;0,FN87="Occupancy Sensor"),"Daylight + Occupancy",IF(AND(FT87&gt;0,VLOOKUP(FN87,_Control_Table,2,FALSE)&lt;4),"Interior Daylight Dimming",FN87)))</f>
        <v>0</v>
      </c>
      <c r="FS87" s="1686">
        <f>IF(CR87="Interior",VLOOKUP(CS87,Control_Savings_Interior,5,FALSE),0)</f>
        <v>0</v>
      </c>
      <c r="FT87" s="1687">
        <f>IF(CQ87="Exterior",0,IF(FM87=2,0.5,IF(OR(FM87=1,FM87=3),1,0)))</f>
        <v>0</v>
      </c>
      <c r="FU87" s="1685">
        <f>IF(R86&gt;FS$44,(FS87*(FS$44/R86)),FS87)*FT87</f>
        <v>0</v>
      </c>
      <c r="FV87" s="1686">
        <f>DI87</f>
        <v>0</v>
      </c>
      <c r="FW87" s="1686">
        <f>ROUND(FV87+((1-FV87)*FU87),2)</f>
        <v>0</v>
      </c>
      <c r="FX87" s="1686">
        <f>IF(__Retrofit_TI_NC=2,FW87,FV87)</f>
        <v>0</v>
      </c>
      <c r="FY87" s="1697"/>
      <c r="GA87" s="1696" t="str">
        <f>IFERROR(VLOOKUP(U88,_Exist_Fixture_Table,3,FALSE),"")</f>
        <v/>
      </c>
      <c r="GB87" s="1696" t="str">
        <f>VLOOKUP(CW87,_Exist_Fixture_Table,4,FALSE)</f>
        <v/>
      </c>
      <c r="GC87" s="1696">
        <f>IFERROR(VLOOKUP(GB87,Lookup!AT$6:AU$8,2,FALSE),0)</f>
        <v>0</v>
      </c>
      <c r="GD87" s="1696" t="b">
        <f>IFERROR(IF(OR(GF87=4,GF87=5,GF87=6),TRUE,FALSE),"")</f>
        <v>0</v>
      </c>
      <c r="GE87" s="1696" t="str">
        <f>IFERROR(VLOOKUP(GF87,GC$6:GD$10,2,FALSE),"")</f>
        <v/>
      </c>
      <c r="GF87" s="1696" t="str">
        <f>VLOOKUP(CW89,Fixtures!R$31:Y$78,8,FALSE)</f>
        <v/>
      </c>
      <c r="GG87" s="1696">
        <f>IF(AND(GA87=TRUE,GD87=TRUE,OR(DQ87=12,DQ87=13,DQ87=14)),GC87+8,0)</f>
        <v>0</v>
      </c>
      <c r="GH87" s="1696" t="b">
        <f>IF(OR(GG87=12,GG87=13,GG87=14),TRUE,FALSE)</f>
        <v>0</v>
      </c>
      <c r="GI87" s="673" t="b">
        <f>IF(ISNUMBER(SEARCH("TLED",U88)),TRUE,FALSE)</f>
        <v>0</v>
      </c>
      <c r="GJ87" s="1135" t="str">
        <f>IFERROR(VLOOKUP(U88,Fixtures!BM$93:BR$142,6,FALSE),"")</f>
        <v/>
      </c>
      <c r="GK87" s="1832" t="b">
        <f>IF(OR(GI87=FALSE,GI89=FALSE),TRUE,IF(GJ87-GJ89&lt;5,FALSE,TRUE))</f>
        <v>1</v>
      </c>
      <c r="GO87" s="674">
        <f>GP87</f>
        <v>0</v>
      </c>
      <c r="GP87" s="674">
        <f>IF(G87="",0,1)</f>
        <v>0</v>
      </c>
      <c r="GQ87" s="674">
        <f ca="1">SUM(GR87:HF87)</f>
        <v>2</v>
      </c>
      <c r="GR87" s="674">
        <f>IF(G88="",0,1)</f>
        <v>0</v>
      </c>
      <c r="GS87" s="674">
        <f>IF(N90="BAM",1,IF(G89="",0,1))</f>
        <v>0</v>
      </c>
      <c r="GT87" s="674">
        <f>IF(N90="BAM",1,IF(R88="",0,1))</f>
        <v>0</v>
      </c>
      <c r="GU87" s="674">
        <f>IF(N90="BAM",1,IF(__Retrofit_TI_NC=0,1,IF(R89="",0,1)))</f>
        <v>1</v>
      </c>
      <c r="GV87" s="674">
        <f>IF(N90="BAM",1,IF(CQ87="Exterior",1,IF(G90="",0,1)))</f>
        <v>1</v>
      </c>
      <c r="GW87" s="674">
        <f>IF(__Retrofit_TI_NC&gt;0,1,IF(T88="",0,1))</f>
        <v>0</v>
      </c>
      <c r="GX87" s="674">
        <f>IF(__Retrofit_TI_NC&gt;0,1,IF(U88="",0,1))</f>
        <v>0</v>
      </c>
      <c r="GY87" s="674">
        <f>IF(N90="BAM",1,IF(T89="",0,1))</f>
        <v>0</v>
      </c>
      <c r="GZ87" s="674">
        <f>IF(N90="BAM",1,IF(U89="",0,1))</f>
        <v>0</v>
      </c>
      <c r="HA87" s="674">
        <f ca="1">IF(N90="BAM",1,IF(__Retrofit_TI_NC&gt;0,1,IF(U90="",0,1)))</f>
        <v>0</v>
      </c>
      <c r="HB87" s="674">
        <f>IF(__Retrofit_TI_NC&lt;&gt;0,1,IF(AF88="",0,1))</f>
        <v>0</v>
      </c>
      <c r="HC87" s="674">
        <f>IF(__Retrofit_TI_NC&lt;&gt;0,1,IF(AG88="",0,1))</f>
        <v>0</v>
      </c>
      <c r="HD87" s="674">
        <f>IF(N90="BAM",1,IF(AF89="",0,1))</f>
        <v>0</v>
      </c>
      <c r="HE87" s="674">
        <f>IF(N90="BAM",1,IF(AG89="",0,1))</f>
        <v>0</v>
      </c>
      <c r="HF87" s="674">
        <f>IF(N90="BAM",1,IF(__Retrofit_TI_NC&gt;0,1,IF(AG90="",0,1)))</f>
        <v>0</v>
      </c>
      <c r="HG87" s="391"/>
      <c r="IA87" s="391"/>
      <c r="IB87" s="1693" t="b">
        <f>IF(OR(IB90=0,IB90=HY$16,IB90=HX$16,IB90=HZ$16),TRUE,FALSE)</f>
        <v>0</v>
      </c>
      <c r="IC87" s="1694" t="b">
        <f>IB87</f>
        <v>0</v>
      </c>
      <c r="ID87" s="391"/>
      <c r="IE87" s="391"/>
      <c r="IF87" s="1688" t="b">
        <f ca="1">IF(MAX(GN90:HU90)&gt;5,FALSE,TRUE)</f>
        <v>0</v>
      </c>
      <c r="IG87" s="1689">
        <f ca="1">IF(IF87=TRUE,AC87,0)</f>
        <v>0</v>
      </c>
      <c r="IH87" s="1689">
        <f ca="1">IG87-IG89</f>
        <v>0</v>
      </c>
      <c r="IK87" s="1689" t="e">
        <f>ROUND(T88*VLOOKUP(U88,Fixtures_Existing_List,2,FALSE)*N88*R88/1000,0)</f>
        <v>#N/A</v>
      </c>
      <c r="IL87" s="1690" t="e">
        <f>IK87-IK89</f>
        <v>#N/A</v>
      </c>
      <c r="IM87" s="1693" t="e">
        <f>ROUND(IF(CQ87="Interior",N89*R89*R88*N88*_C406_reduction/1000,N89*R89*R88*N88/1000),0)</f>
        <v>#N/A</v>
      </c>
      <c r="IN87" s="1693" t="e">
        <f>IM87-IM89</f>
        <v>#N/A</v>
      </c>
      <c r="IP87" s="1679"/>
      <c r="IQ87" s="1679" t="e">
        <f t="shared" ref="IQ87:IU87" si="56">IF($CR87="interior",VLOOKUP($CS87,_New_Control_Savings_Interior,IQ$30,FALSE),VLOOKUP($CS87,Control_Savings_Exterior,IQ$30,FALSE))</f>
        <v>#N/A</v>
      </c>
      <c r="IR87" s="1679" t="e">
        <f t="shared" si="56"/>
        <v>#N/A</v>
      </c>
      <c r="IS87" s="1679" t="e">
        <f t="shared" si="56"/>
        <v>#N/A</v>
      </c>
      <c r="IT87" s="1679" t="e">
        <f t="shared" si="56"/>
        <v>#N/A</v>
      </c>
      <c r="IU87" s="1679" t="e">
        <f t="shared" si="56"/>
        <v>#N/A</v>
      </c>
      <c r="IV87" s="1679" t="e">
        <f>IF($CR87="interior",IF(R88&gt;$IP$14,ROUND(($IV$18*($IP$14/R88)),2),$IV$18),VLOOKUP($CS87,Control_Savings_Exterior,IV$30,FALSE))</f>
        <v>#N/A</v>
      </c>
      <c r="IW87" s="1679" t="e">
        <f>IF($CR87="interior",ROUND(((1-IS87)*IV87)+IS87,2),VLOOKUP($CS87,Control_Savings_Exterior,IW$30,FALSE))</f>
        <v>#N/A</v>
      </c>
      <c r="IX87" s="1679" t="e">
        <f>IF($CR87="interior",ROUND(((1-IT87)*IV87)+IT87,2),VLOOKUP($CS87,Control_Savings_Exterior,IX$30,FALSE))</f>
        <v>#N/A</v>
      </c>
      <c r="IY87" s="1679" t="e">
        <f>IF($CR87="interior",IF(R88&gt;$IP$14,ROUND(($IY$18*($IP$14/R88)),2),$IY$18),VLOOKUP($CS87,Control_Savings_Exterior,IY$30,FALSE))</f>
        <v>#N/A</v>
      </c>
      <c r="IZ87" s="1679" t="e">
        <f>IF($CR87="interior",ROUND(((1-IS87)*IY87)+IS87,2),VLOOKUP($CS87,Control_Savings_Exterior,IZ$30,FALSE))</f>
        <v>#N/A</v>
      </c>
      <c r="JA87" s="1679" t="e">
        <f>IF($CR87="interior",ROUND(((1-IT87)*IY87)+IT87,2),VLOOKUP($CS87,Control_Savings_Exterior,JA$30,FALSE))</f>
        <v>#N/A</v>
      </c>
      <c r="JC87" s="1680">
        <f>IFERROR(IF(CR87="Interior",CONCATENATE(G90," ",FQ87),FQ87),"")</f>
        <v>0</v>
      </c>
      <c r="JD87" s="1670" t="str">
        <f>IFERROR(VLOOKUP(JC87,_Controls_2023,2,FALSE),"")</f>
        <v/>
      </c>
      <c r="JE87" s="1681">
        <f>IFERROR(CHOOSE(JD87-1,IQ87,IR87,IS87,IT87,IU87,IV87,IW87,IX87,IY87,IZ87,JA87),0)</f>
        <v>0</v>
      </c>
      <c r="JG87" s="1680" t="str">
        <f>FE87</f>
        <v xml:space="preserve"> - 0</v>
      </c>
      <c r="JH87" s="1670" t="e">
        <f>$FO87</f>
        <v>#N/A</v>
      </c>
      <c r="JI87" s="1060"/>
      <c r="JJ87" s="1682" t="b">
        <f>IF($JG89=CONCATENATE("Interior - ",JJ$4),TRUE,FALSE)</f>
        <v>0</v>
      </c>
      <c r="JK87" s="1061"/>
      <c r="JL87" s="1682" t="b">
        <f>IF($JG89=CONCATENATE("Interior - ",JL$4),TRUE,FALSE)</f>
        <v>0</v>
      </c>
      <c r="JM87" s="1061"/>
      <c r="JN87" s="1682" t="b">
        <f>IF($JG89=CONCATENATE("Interior - ",JN$4),TRUE,FALSE)</f>
        <v>0</v>
      </c>
      <c r="JO87" s="1061"/>
      <c r="JP87" s="1682" t="b">
        <f>IF(__Retrofit_TI_NC&gt;0,FALSE,IF($JG89=CONCATENATE("Interior - ",JP$4),TRUE,FALSE))</f>
        <v>0</v>
      </c>
      <c r="JQ87" s="1061"/>
      <c r="JR87" s="1682" t="b">
        <f>IF(__Retrofit_TI_NC&gt;0,FALSE,IF($JG89=CONCATENATE("Interior - ",JR$4),TRUE,FALSE))</f>
        <v>0</v>
      </c>
      <c r="JS87" s="1061"/>
      <c r="JT87" s="1670" t="b">
        <f>IF(__Retrofit_TI_NC&gt;0,FALSE,IF($JG89=CONCATENATE("Interior - ",JT$4),TRUE,FALSE))</f>
        <v>0</v>
      </c>
      <c r="JU87" s="1061"/>
      <c r="JV87" s="1670" t="b">
        <f>IF(JC89="AELC on Existing",TRUE,FALSE)</f>
        <v>0</v>
      </c>
      <c r="JX87" s="1670" t="b">
        <f>IF(OR(JG89="Exterior - AELC Occupancy based",JG89="Exterior - AELC Time based"),TRUE,FALSE)</f>
        <v>0</v>
      </c>
      <c r="JZ87" s="1682" t="b">
        <f>IF($JG89=CONCATENATE("Exterior - ",JZ$4),TRUE,FALSE)</f>
        <v>0</v>
      </c>
      <c r="KB87" s="1670" t="b">
        <f>IF(__Retrofit_TI_NC&gt;0,FALSE,IF($JG89=CONCATENATE("Interior - ",KB$4),TRUE,FALSE))</f>
        <v>0</v>
      </c>
    </row>
    <row r="88" spans="1:288" s="78" customFormat="1" ht="14.95" customHeight="1" thickTop="1" thickBot="1">
      <c r="B88" s="1845"/>
      <c r="C88" s="1846"/>
      <c r="D88" s="1847"/>
      <c r="E88" s="1737" t="s">
        <v>297</v>
      </c>
      <c r="F88" s="1738"/>
      <c r="G88" s="1739"/>
      <c r="H88" s="1739"/>
      <c r="I88" s="1739"/>
      <c r="J88" s="1739"/>
      <c r="K88" s="1739"/>
      <c r="L88" s="1739"/>
      <c r="M88" s="461" t="e">
        <f>IF(__Retrofit_TI_NC&lt;&gt;0,IF(VLOOKUP(G89,'Space Table'!$B$3:$L$163,3,FALSE)&gt;0,1,0),IF(__Retrofit_TI_NC=VLOOKUP(G89,'Space Table'!$B$3:$L$163,3,FALSE),1,0))</f>
        <v>#N/A</v>
      </c>
      <c r="N88" s="461" t="str">
        <f>IFERROR(VLOOKUP(G88,_Lookup_Heat_Type_Table_New,2,FALSE),"")</f>
        <v/>
      </c>
      <c r="O88" s="461">
        <f>IF(__Retrofit_TI_NC=1,CONCATENATE("TI ",G88),IF(__Retrofit_TI_NC=2,CONCATENATE("NC ",G88),G88))</f>
        <v>0</v>
      </c>
      <c r="P88" s="1740" t="s">
        <v>435</v>
      </c>
      <c r="Q88" s="1740"/>
      <c r="R88" s="595"/>
      <c r="S88" s="1792"/>
      <c r="T88" s="597"/>
      <c r="U88" s="1765"/>
      <c r="V88" s="1766"/>
      <c r="W88" s="1766"/>
      <c r="X88" s="1766"/>
      <c r="Y88" s="1766"/>
      <c r="Z88" s="1766"/>
      <c r="AA88" s="1766"/>
      <c r="AB88" s="1766"/>
      <c r="AC88" s="1766"/>
      <c r="AD88" s="1767"/>
      <c r="AE88" s="1000"/>
      <c r="AF88" s="597"/>
      <c r="AG88" s="1723"/>
      <c r="AH88" s="1724"/>
      <c r="AI88" s="1724"/>
      <c r="AJ88" s="1724"/>
      <c r="AK88" s="1725"/>
      <c r="AL88" s="996"/>
      <c r="AM88" s="1747"/>
      <c r="AN88" s="1775"/>
      <c r="AO88" s="1777"/>
      <c r="AP88" s="1780"/>
      <c r="AQ88" s="1781"/>
      <c r="AR88" s="1795"/>
      <c r="AS88" s="1795"/>
      <c r="AT88" s="1796"/>
      <c r="AU88" s="1735"/>
      <c r="AV88" s="1752"/>
      <c r="AW88" s="1705"/>
      <c r="AX88" s="467"/>
      <c r="AY88" s="1749"/>
      <c r="AZ88" s="1749"/>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696"/>
      <c r="CQ88" s="1696"/>
      <c r="CR88" s="1809"/>
      <c r="CS88" s="1811"/>
      <c r="CU88" s="1688"/>
      <c r="CV88" s="1703"/>
      <c r="CW88" s="1703"/>
      <c r="CX88" s="1703"/>
      <c r="CY88" s="1815"/>
      <c r="CZ88" s="1711"/>
      <c r="DA88" s="1818"/>
      <c r="DB88" s="1820"/>
      <c r="DC88" s="1820"/>
      <c r="DD88" s="1820"/>
      <c r="DF88" s="1703"/>
      <c r="DG88" s="1831"/>
      <c r="DH88" s="1703"/>
      <c r="DI88" s="1838"/>
      <c r="DJ88" s="1711"/>
      <c r="DK88" s="1712"/>
      <c r="DM88" s="1718"/>
      <c r="DO88" s="1708"/>
      <c r="DQ88" s="1715"/>
      <c r="DR88" s="1720"/>
      <c r="DS88" s="1816"/>
      <c r="DT88" s="1714"/>
      <c r="DU88" s="1715"/>
      <c r="DV88" s="1716"/>
      <c r="DX88" s="1715"/>
      <c r="DY88" s="1720"/>
      <c r="DZ88" s="1715"/>
      <c r="EA88" s="1715"/>
      <c r="EC88" s="1834"/>
      <c r="ED88" s="1834"/>
      <c r="EF88" s="1707"/>
      <c r="EG88" s="1712"/>
      <c r="EH88" s="1818"/>
      <c r="EI88" s="1712"/>
      <c r="EJ88" s="1712"/>
      <c r="EK88" s="1836"/>
      <c r="EL88" s="1836"/>
      <c r="EM88" s="1807"/>
      <c r="EN88" s="1839"/>
      <c r="EO88" s="1839"/>
      <c r="EP88" s="1817"/>
      <c r="EQ88" s="1817"/>
      <c r="ER88" s="1807"/>
      <c r="ES88" s="1807"/>
      <c r="ET88" s="1807"/>
      <c r="EV88" s="1715"/>
      <c r="EX88" s="1805"/>
      <c r="EY88" s="1805"/>
      <c r="EZ88" s="1805"/>
      <c r="FA88" s="1805"/>
      <c r="FB88" s="1805"/>
      <c r="FC88" s="1827"/>
      <c r="FE88" s="1698"/>
      <c r="FG88" s="1816"/>
      <c r="FH88" s="1816"/>
      <c r="FI88" s="133"/>
      <c r="FL88" s="1823"/>
      <c r="FM88" s="1825"/>
      <c r="FN88" s="1698"/>
      <c r="FO88" s="1698"/>
      <c r="FP88" s="1678"/>
      <c r="FQ88" s="1678"/>
      <c r="FS88" s="1687"/>
      <c r="FT88" s="1687"/>
      <c r="FU88" s="1685"/>
      <c r="FV88" s="1687"/>
      <c r="FW88" s="1687"/>
      <c r="FX88" s="1687"/>
      <c r="FY88" s="1697"/>
      <c r="GA88" s="1696"/>
      <c r="GB88" s="1696"/>
      <c r="GC88" s="1696"/>
      <c r="GD88" s="1696"/>
      <c r="GE88" s="1696"/>
      <c r="GF88" s="1696"/>
      <c r="GG88" s="1696"/>
      <c r="GH88" s="1696"/>
      <c r="GI88" s="673"/>
      <c r="GJ88" s="1135"/>
      <c r="GK88" s="1832"/>
      <c r="GM88" s="1693" t="b">
        <f ca="1">IF(AND(GP88=TRUE,GQ88=TRUE),TRUE,FALSE)</f>
        <v>0</v>
      </c>
      <c r="GN88" s="1684" t="b">
        <f>IFERROR(IF(__Retrofit_TI_NC=2,TRUE,IF(AU87="Yes",TRUE,FALSE)),FALSE)</f>
        <v>1</v>
      </c>
      <c r="GP88" s="1684" t="b">
        <f>IFERROR(IF(GP87=1,TRUE,FALSE),FALSE)</f>
        <v>0</v>
      </c>
      <c r="GQ88" s="1684" t="b">
        <f ca="1">IFERROR(IF(GQ87=GQ$14,TRUE,FALSE),FALSE)</f>
        <v>0</v>
      </c>
      <c r="HG88" s="1684" t="b">
        <f>IFERROR(IF(AND(__Retrofit_TI_NC&gt;0,CQ87="Interior"),FALSE,TRUE),FALSE)</f>
        <v>1</v>
      </c>
      <c r="HH88" s="1684" t="b">
        <f>IFERROR(IF(M88=1,TRUE,FALSE),FALSE)</f>
        <v>0</v>
      </c>
      <c r="HI88" s="1684" t="b">
        <f>IFERROR(IF(OR(M89=1,N90="BAM"),TRUE,FALSE),FALSE)</f>
        <v>0</v>
      </c>
      <c r="HJ88" s="1684" t="b">
        <f>IFERROR(IF(__Retrofit_TI_NC&lt;&gt;0,TRUE,IFERROR(IF(VLOOKUP(U88,Fixtures_Existing_List,2,FALSE)&lt;&gt;"",TRUE,FALSE),FALSE)),FALSE)</f>
        <v>0</v>
      </c>
      <c r="HK88" s="1684" t="b">
        <f>IFERROR(IF(VLOOKUP(U89,Fixtures_Proposed_List,2,FALSE)&lt;&gt;"",TRUE,FALSE),FALSE)</f>
        <v>0</v>
      </c>
      <c r="HL88" s="1684" t="b">
        <f>IF(AND(__Retrofit_TI_NC=2,FC87=TRUE),FALSE,TRUE)</f>
        <v>1</v>
      </c>
      <c r="HM88" s="1684" t="b">
        <f>GK87</f>
        <v>1</v>
      </c>
      <c r="HN88" s="1682" t="b">
        <f>IF(ISERROR(MATCH(FE87,_Control_Match[],0))=TRUE,FALSE,TRUE)</f>
        <v>0</v>
      </c>
      <c r="HO88" s="1693" t="b">
        <f>IFERROR(IF(EX87&lt;&gt;EY87,FALSE,TRUE),FALSE)</f>
        <v>1</v>
      </c>
      <c r="HP88" s="1693" t="b">
        <f>IFERROR(IF(EX89&lt;&gt;EY89,FALSE,TRUE),FALSE)</f>
        <v>1</v>
      </c>
      <c r="HQ88" s="1670" t="b">
        <f>IFERROR(IF(CQ87="Exterior",TRUE,IF(AND(OR(FM89=0,FM89=3),JD89&gt;6),FALSE,TRUE)),FALSE)</f>
        <v>0</v>
      </c>
      <c r="HR88" s="1684" t="b">
        <f>IFERROR(IF(AND(FO89=7,FC87=TRUE),FALSE,TRUE),FALSE)</f>
        <v>0</v>
      </c>
      <c r="HS88" s="1684" t="b">
        <f>IFERROR(IF(AND(T89&lt;&gt;AF89,OR(AG89="Interior LLLC", AG89="Interior NLC", AG89="LLLC (outside Daylight)",AG89="LLLC Controls Only"))=TRUE,FALSE,TRUE),FALSE)</f>
        <v>1</v>
      </c>
      <c r="HT88" s="1670" t="b">
        <f>IFERROR(IF(OR(AG89=Lookup!BB$17,AG89=Lookup!BB$18,AG89=Lookup!BB$19)=TRUE,IF(AF89&gt;T89,FALSE,TRUE),TRUE),FALSE)</f>
        <v>1</v>
      </c>
      <c r="HU88" s="1684" t="b">
        <f>IFERROR(IF(__Retrofit_TI_NC=2,IF(EZ89&lt;EZ87,FALSE,TRUE),TRUE),FALSE)</f>
        <v>1</v>
      </c>
      <c r="HV88" s="1684" t="b">
        <f>IF(CQ87="Interior",IL$6,TRUE)</f>
        <v>1</v>
      </c>
      <c r="HW88" s="1684" t="b">
        <f>IF(CQ87="Exterior",IL$8,TRUE)</f>
        <v>1</v>
      </c>
      <c r="HX88" s="1684" t="b">
        <f>IFERROR(IF(__Retrofit_TI_NC&lt;&gt;0,IF(AZ87&lt;AY87,FALSE,TRUE),TRUE),FALSE)</f>
        <v>1</v>
      </c>
      <c r="HY88" s="1684" t="b">
        <f>IFERROR(IF(AND(G88="Exterior",R88&gt;4200),FALSE,TRUE),FALSE)</f>
        <v>1</v>
      </c>
      <c r="HZ88" s="1684" t="b">
        <f>IFERROR(IF(AB90/AB87&lt;HZ$18,FALSE,TRUE),FALSE)</f>
        <v>0</v>
      </c>
      <c r="IB88" s="1691"/>
      <c r="IC88" s="1695"/>
      <c r="ID88" s="1694" t="str">
        <f>VLOOKUP(IB90,_Error_Table,4,FALSE)</f>
        <v>White</v>
      </c>
      <c r="IE88" s="391"/>
      <c r="IF88" s="1688"/>
      <c r="IG88" s="1689"/>
      <c r="IH88" s="1684"/>
      <c r="IK88" s="1689"/>
      <c r="IL88" s="1691"/>
      <c r="IM88" s="1691"/>
      <c r="IN88" s="1691"/>
      <c r="IP88" s="1679"/>
      <c r="IQ88" s="1679"/>
      <c r="IR88" s="1679"/>
      <c r="IS88" s="1679"/>
      <c r="IT88" s="1679"/>
      <c r="IU88" s="1679"/>
      <c r="IV88" s="1679"/>
      <c r="IW88" s="1679"/>
      <c r="IX88" s="1679"/>
      <c r="IY88" s="1679"/>
      <c r="IZ88" s="1679"/>
      <c r="JA88" s="1679"/>
      <c r="JC88" s="1680"/>
      <c r="JD88" s="1670"/>
      <c r="JE88" s="1681"/>
      <c r="JG88" s="1680"/>
      <c r="JH88" s="1670"/>
      <c r="JI88" s="1060"/>
      <c r="JJ88" s="1683"/>
      <c r="JK88" s="1061"/>
      <c r="JL88" s="1683"/>
      <c r="JM88" s="1061"/>
      <c r="JN88" s="1683"/>
      <c r="JO88" s="1061"/>
      <c r="JP88" s="1683"/>
      <c r="JQ88" s="1061"/>
      <c r="JR88" s="1683"/>
      <c r="JS88" s="1061"/>
      <c r="JT88" s="1670"/>
      <c r="JU88" s="1061"/>
      <c r="JV88" s="1670"/>
      <c r="JX88" s="1670"/>
      <c r="JZ88" s="1683"/>
      <c r="KB88" s="1670"/>
    </row>
    <row r="89" spans="1:288" s="78" customFormat="1" ht="14.95" customHeight="1" thickTop="1" thickBot="1">
      <c r="A89" s="78">
        <f>ROW()</f>
        <v>89</v>
      </c>
      <c r="B89" s="1845"/>
      <c r="C89" s="1846"/>
      <c r="D89" s="1847"/>
      <c r="E89" s="1737" t="s">
        <v>298</v>
      </c>
      <c r="F89" s="1738"/>
      <c r="G89" s="1760"/>
      <c r="H89" s="1761"/>
      <c r="I89" s="1761"/>
      <c r="J89" s="1761"/>
      <c r="K89" s="1761"/>
      <c r="L89" s="1762"/>
      <c r="M89" s="461">
        <f>IFERROR(IF(IF(__Retrofit_TI_NC&lt;&gt;0,IF(CQ87="Interior",MATCH(G89,Lookup_Interior_New,0),MATCH(G89,Lookup_Exterior_New,0)),IF(CQ87="Interior",MATCH(G89,Lookup_Interior,0),MATCH(G89,Lookup_Exterior_Areas,0)))&gt;0,1,0),0)</f>
        <v>0</v>
      </c>
      <c r="N89" s="461" t="e">
        <f>IF(__Retrofit_TI_NC=1,
VLOOKUP(G89,'Space Table'!$B$3:$L$163,4,FALSE),
IF(__Retrofit_TI_NC=2,VLOOKUP(G89,'Space Table'!$B$3:$L$163,5,FALSE),VLOOKUP(G89,'Space Table'!$B$3:$L$163,5,FALSE)))</f>
        <v>#N/A</v>
      </c>
      <c r="O89" s="461">
        <f>G89</f>
        <v>0</v>
      </c>
      <c r="P89" s="1738" t="str">
        <f>IFERROR(IF(__Retrofit_TI_NC=1,VLOOKUP(G89,'Space Table'!$B$3:$O$163,13,FALSE),IF(__Retrofit_TI_NC=2,VLOOKUP(G89,'Space Table'!$B$3:$O$163,14,FALSE),"Area (sf):")),"Area (sf):")</f>
        <v>Area (sf):</v>
      </c>
      <c r="Q89" s="1738"/>
      <c r="R89" s="596"/>
      <c r="S89" s="1763" t="s">
        <v>345</v>
      </c>
      <c r="T89" s="594"/>
      <c r="U89" s="1801"/>
      <c r="V89" s="1802"/>
      <c r="W89" s="1802"/>
      <c r="X89" s="1802"/>
      <c r="Y89" s="1802"/>
      <c r="Z89" s="1802"/>
      <c r="AA89" s="1802"/>
      <c r="AB89" s="1802"/>
      <c r="AC89" s="1802"/>
      <c r="AD89" s="1802"/>
      <c r="AE89" s="1803"/>
      <c r="AF89" s="594"/>
      <c r="AG89" s="1787"/>
      <c r="AH89" s="1787"/>
      <c r="AI89" s="1787"/>
      <c r="AJ89" s="1787"/>
      <c r="AK89" s="1787"/>
      <c r="AL89" s="1787"/>
      <c r="AM89" s="1726">
        <f>IFERROR(DI89,"")</f>
        <v>0</v>
      </c>
      <c r="AN89" s="1728" t="str">
        <f>IFERROR(ROUND(AM89*AC90,0),"")</f>
        <v/>
      </c>
      <c r="AO89" s="1730">
        <f>IFERROR(IF(IB87=FALSE,0,AC90-AN89),0)</f>
        <v>0</v>
      </c>
      <c r="AP89" s="1780"/>
      <c r="AQ89" s="1781"/>
      <c r="AR89" s="1795"/>
      <c r="AS89" s="1795"/>
      <c r="AT89" s="1796"/>
      <c r="AU89" s="1735"/>
      <c r="AV89" s="1752"/>
      <c r="AW89" s="1705"/>
      <c r="AX89" s="467"/>
      <c r="AY89" s="1749"/>
      <c r="AZ89" s="1749"/>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696"/>
      <c r="CQ89" s="1696"/>
      <c r="CR89" s="1808" t="str">
        <f>CQ87</f>
        <v/>
      </c>
      <c r="CS89" s="1810" t="str">
        <f>CS87</f>
        <v/>
      </c>
      <c r="CU89" s="1688" t="s">
        <v>345</v>
      </c>
      <c r="CV89" s="1702">
        <f>IF(IB87=TRUE,T89,0)</f>
        <v>0</v>
      </c>
      <c r="CW89" s="1702" t="str">
        <f>IF(IB87=TRUE,U89,"")</f>
        <v/>
      </c>
      <c r="CX89" s="1812">
        <f>IF(IB87=TRUE,U90,0)</f>
        <v>0</v>
      </c>
      <c r="CY89" s="1814">
        <f>IF(IB87=TRUE,AB90,0)</f>
        <v>0</v>
      </c>
      <c r="CZ89" s="1710">
        <f>IF(AND(__Retrofit_TI_NC&gt;0,CR87="interior"),0,IF(IB87=TRUE,AC90,0))</f>
        <v>0</v>
      </c>
      <c r="DA89" s="1818"/>
      <c r="DB89" s="1820"/>
      <c r="DC89" s="1820"/>
      <c r="DD89" s="1820"/>
      <c r="DF89" s="1702">
        <f>IF(IB87=TRUE,AF89,0)</f>
        <v>0</v>
      </c>
      <c r="DG89" s="1830" t="str">
        <f>IF(IB87=TRUE,AG89,"")</f>
        <v/>
      </c>
      <c r="DH89" s="1812">
        <f>AG90</f>
        <v>0</v>
      </c>
      <c r="DI89" s="1837">
        <f>JE89</f>
        <v>0</v>
      </c>
      <c r="DJ89" s="1710">
        <f>IF(AND(__Retrofit_TI_NC&gt;0,CR87="interior"),0,IF(IB87=TRUE,AN89,0))</f>
        <v>0</v>
      </c>
      <c r="DK89" s="1712"/>
      <c r="DN89" s="1717">
        <f>IFERROR(CZ89-DJ89,0)</f>
        <v>0</v>
      </c>
      <c r="DO89" s="1709"/>
      <c r="DQ89" s="1715"/>
      <c r="DR89" s="1719" t="str">
        <f>DQ87</f>
        <v/>
      </c>
      <c r="DS89" s="1816"/>
      <c r="DT89" s="1835" t="str">
        <f>IF(OR(DS87=7,DS87=8,DS87=9),"ALC","")</f>
        <v/>
      </c>
      <c r="DU89" s="1715"/>
      <c r="DV89" s="1716"/>
      <c r="DX89" s="1715"/>
      <c r="DY89" s="1829" t="str">
        <f>DX87</f>
        <v/>
      </c>
      <c r="DZ89" s="1715"/>
      <c r="EA89" s="1715"/>
      <c r="EC89" s="1834"/>
      <c r="ED89" s="1834"/>
      <c r="EF89" s="1707"/>
      <c r="EG89" s="1712"/>
      <c r="EH89" s="1818"/>
      <c r="EI89" s="1712"/>
      <c r="EJ89" s="1712"/>
      <c r="EK89" s="1836"/>
      <c r="EL89" s="1836"/>
      <c r="EM89" s="1807"/>
      <c r="EN89" s="1839"/>
      <c r="EO89" s="1839"/>
      <c r="EP89" s="1817"/>
      <c r="EQ89" s="1817"/>
      <c r="ER89" s="1807"/>
      <c r="ES89" s="1807"/>
      <c r="ET89" s="1807"/>
      <c r="EV89" s="1715"/>
      <c r="EX89" s="1805" t="str">
        <f>IFERROR(VLOOKUP(CS89,'Space Table'!$B$3:$L$163,8,FALSE),"")</f>
        <v/>
      </c>
      <c r="EY89" s="1805" t="str">
        <f>IFERROR(IF(FB89="Yes",VLOOKUP(AG89,Lookup_Control_Type_Table2,4,FALSE),VLOOKUP(AG89,Lookup_Control_Type_Table2,3,FALSE)),"")</f>
        <v/>
      </c>
      <c r="EZ89" s="1805" t="e">
        <f>VLOOKUP(AG89,Lookup!BB$3:BC$20,2,FALSE)</f>
        <v>#N/A</v>
      </c>
      <c r="FA89" s="1805" t="e">
        <f>VLOOKUP(EX87,Lookup_Control_Type_Table,2,FALSE)</f>
        <v>#N/A</v>
      </c>
      <c r="FB89" s="1805" t="e">
        <f>VLOOKUP(CS89,'Space Table'!$B$3:$L$163,7,FALSE)</f>
        <v>#N/A</v>
      </c>
      <c r="FC89" s="1827"/>
      <c r="FE89" s="1698" t="str">
        <f>CONCATENATE(CQ87," - ",AG89)</f>
        <v xml:space="preserve"> - </v>
      </c>
      <c r="FG89" s="1816"/>
      <c r="FH89" s="1816"/>
      <c r="FI89" s="133"/>
      <c r="FL89" s="1822" t="str">
        <f>IF(CQ87="Exterior","Not Daylighted",G90)</f>
        <v>Not Daylighted</v>
      </c>
      <c r="FM89" s="1824">
        <f>VLOOKUP(FL89,_New_Daylight_Table_Codes,2,FALSE)</f>
        <v>0</v>
      </c>
      <c r="FN89" s="1698">
        <f>AG89</f>
        <v>0</v>
      </c>
      <c r="FO89" s="1698" t="e">
        <f>VLOOKUP(FN89,_Control_Table,2,FALSE)</f>
        <v>#N/A</v>
      </c>
      <c r="FP89" s="1678" t="e">
        <f>VLOOKUP(CONCATENATE(FL89," ",FN89),Lookup!AY100:AZ$102,2,FALSE)</f>
        <v>#N/A</v>
      </c>
      <c r="FQ89" s="1698">
        <f>IF(__Retrofit_TI_NC=0,FN89,IF(AND(FT89&gt;0,FN89="Occupancy Sensor"),"Daylight + Occupancy",IF(AND(FT89&gt;0,FO89&lt;4),"Interior Daylight Dimming",FN89)))</f>
        <v>0</v>
      </c>
      <c r="FS89" s="1686">
        <f>IF(CQ87="Interior",VLOOKUP(CS87,Control_Savings_Interior,5,FALSE),0)</f>
        <v>0</v>
      </c>
      <c r="FT89" s="1687">
        <f>IF(CQ89="Exterior",0,IF(FM89=2,0.5,IF(OR(FM89=1,FM89=3),1,0)))</f>
        <v>0</v>
      </c>
      <c r="FU89" s="1685">
        <f>IF(R88&gt;FS$44,(FS89*(FS$44/R88)),FS89)*FT89</f>
        <v>0</v>
      </c>
      <c r="FV89" s="1686">
        <f>DI89</f>
        <v>0</v>
      </c>
      <c r="FW89" s="1686">
        <f>ROUND(FV89+((1-FV89)*FU89),2)</f>
        <v>0</v>
      </c>
      <c r="FX89" s="1686">
        <f>IF(__Retrofit_TI_NC=2,FW89,FV89)</f>
        <v>0</v>
      </c>
      <c r="FY89" s="1697">
        <f>IF(CR89="Interior",VLOOKUP(CS89,Control_Savings_Interior,4,FALSE),0)</f>
        <v>0</v>
      </c>
      <c r="GA89" s="1696"/>
      <c r="GB89" s="1696"/>
      <c r="GC89" s="1696"/>
      <c r="GD89" s="1696"/>
      <c r="GE89" s="1696"/>
      <c r="GF89" s="1696"/>
      <c r="GG89" s="1696"/>
      <c r="GH89" s="1696"/>
      <c r="GI89" s="673" t="b">
        <f>IF(ISNUMBER(SEARCH("TLED",U89)),TRUE,FALSE)</f>
        <v>0</v>
      </c>
      <c r="GJ89" s="1135" t="str">
        <f>IFERROR(VLOOKUP(U89,Fixtures!DM$93:DR$142,6,FALSE),"")</f>
        <v/>
      </c>
      <c r="GK89" s="1832"/>
      <c r="GM89" s="1692"/>
      <c r="GN89" s="1684"/>
      <c r="GP89" s="1684"/>
      <c r="GQ89" s="1684"/>
      <c r="HG89" s="1684"/>
      <c r="HH89" s="1684"/>
      <c r="HI89" s="1684"/>
      <c r="HJ89" s="1684"/>
      <c r="HK89" s="1684"/>
      <c r="HL89" s="1684"/>
      <c r="HM89" s="1684"/>
      <c r="HN89" s="1683"/>
      <c r="HO89" s="1692"/>
      <c r="HP89" s="1692"/>
      <c r="HQ89" s="1670"/>
      <c r="HR89" s="1684"/>
      <c r="HS89" s="1684"/>
      <c r="HT89" s="1670"/>
      <c r="HU89" s="1684"/>
      <c r="HV89" s="1684"/>
      <c r="HW89" s="1684"/>
      <c r="HX89" s="1684"/>
      <c r="HY89" s="1684"/>
      <c r="HZ89" s="1684"/>
      <c r="IB89" s="1692"/>
      <c r="IC89" s="1693" t="b">
        <f>IB87</f>
        <v>0</v>
      </c>
      <c r="ID89" s="1695"/>
      <c r="IE89" s="391"/>
      <c r="IF89" s="1688"/>
      <c r="IG89" s="1689">
        <f ca="1">IF(IF87=TRUE,AC90,0)</f>
        <v>0</v>
      </c>
      <c r="IH89" s="1684"/>
      <c r="IK89" s="1689" t="e">
        <f>ROUND(T89*AB90*N88*R88/1000,0)</f>
        <v>#VALUE!</v>
      </c>
      <c r="IL89" s="1691"/>
      <c r="IM89" s="1693" t="e">
        <f>ROUND(T89*AB90*N88*R88/1000,0)</f>
        <v>#VALUE!</v>
      </c>
      <c r="IN89" s="1691"/>
      <c r="IP89" s="1679"/>
      <c r="IQ89" s="1679" t="e">
        <f t="shared" ref="IQ89:IU89" si="57">IF($CR89="interior",VLOOKUP($CS89,_New_Control_Savings_Interior,IQ$30,FALSE),VLOOKUP($CS89,Control_Savings_Exterior,IQ$30,FALSE))</f>
        <v>#N/A</v>
      </c>
      <c r="IR89" s="1679" t="e">
        <f t="shared" si="57"/>
        <v>#N/A</v>
      </c>
      <c r="IS89" s="1679" t="e">
        <f t="shared" si="57"/>
        <v>#N/A</v>
      </c>
      <c r="IT89" s="1679" t="e">
        <f t="shared" si="57"/>
        <v>#N/A</v>
      </c>
      <c r="IU89" s="1679" t="e">
        <f t="shared" si="57"/>
        <v>#N/A</v>
      </c>
      <c r="IV89" s="1679" t="e">
        <f>IF($CR89="interior",IF(R88&gt;$IP$14,ROUND(($IV$18*($IP$14/R88)),2),$IV$18),VLOOKUP($CS89,Control_Savings_Exterior,IV$30,FALSE))</f>
        <v>#N/A</v>
      </c>
      <c r="IW89" s="1679" t="e">
        <f>IF($CR89="interior",ROUND(((1-IS89)*IV89)+IS89,2),VLOOKUP($CS89,Control_Savings_Exterior,IW$30,FALSE))</f>
        <v>#N/A</v>
      </c>
      <c r="IX89" s="1679" t="e">
        <f>IF($CR89="interior",ROUND(((1-IT89)*IV89)+IT89,2),VLOOKUP($CS89,Control_Savings_Exterior,IX$30,FALSE))</f>
        <v>#N/A</v>
      </c>
      <c r="IY89" s="1679" t="e">
        <f>IF($CR89="interior",IF(R88&gt;$IP$14,ROUND(($IY$18*($IP$14/R88)),2),$IY$18),VLOOKUP($CS89,Control_Savings_Exterior,IY$30,FALSE))</f>
        <v>#N/A</v>
      </c>
      <c r="IZ89" s="1679" t="e">
        <f>IF($CR89="interior",ROUND(((1-IS89)*IY89)+IS89,2),VLOOKUP($CS89,Control_Savings_Exterior,IZ$30,FALSE))</f>
        <v>#N/A</v>
      </c>
      <c r="JA89" s="1679" t="e">
        <f>IF($CR89="interior",ROUND(((1-IT89)*IY89)+IT89,2),VLOOKUP($CS89,Control_Savings_Exterior,JA$30,FALSE))</f>
        <v>#N/A</v>
      </c>
      <c r="JC89" s="1680">
        <f>IFERROR(IF(CR89="Interior",CONCATENATE(G90," ",FQ89),AG89),"")</f>
        <v>0</v>
      </c>
      <c r="JD89" s="1670" t="str">
        <f>IFERROR(VLOOKUP(JC89,_Controls_2023,2,FALSE),"")</f>
        <v/>
      </c>
      <c r="JE89" s="1681">
        <f>IFERROR(CHOOSE(JD89-1,IQ89,IR89,IS89,IT89,IU89,IV89,IW89,IX89,IY89,IZ89,JA89),0)</f>
        <v>0</v>
      </c>
      <c r="JG89" s="1680" t="str">
        <f>FE89</f>
        <v xml:space="preserve"> - </v>
      </c>
      <c r="JH89" s="1670" t="e">
        <f>$FO89</f>
        <v>#N/A</v>
      </c>
      <c r="JI89" s="1060"/>
      <c r="JJ89" s="1670">
        <f>IFERROR(IF($IB87=TRUE,IF(OR(JJ$14="No",JJ87=FALSE,JH89&lt;=JH87,AND(_kWh_Grant=0,GD87=FALSE)),0,IF(JJ$8="Per Line",1,$AF89)),0),0)</f>
        <v>0</v>
      </c>
      <c r="JK89" s="1061"/>
      <c r="JL89" s="1670">
        <f>IFERROR(IF(_kWh_Grant=0,0,IF($IB87=TRUE,IF(OR(JL$14="No",JL87=FALSE,JH89&lt;=JH87),0,IF(JL$8="Per Line",1,$T89)),0)),0)</f>
        <v>0</v>
      </c>
      <c r="JM89" s="1061"/>
      <c r="JN89" s="1670">
        <f>IFERROR(IF(_kWh_Grant=0,0,IF($IB87=TRUE,IF(OR(JN$14="No",JN87=FALSE,JH89&lt;=JH87),0,IF(JN$8="Per Line",1,$AF89)),0)),0)</f>
        <v>0</v>
      </c>
      <c r="JO89" s="1061"/>
      <c r="JP89" s="1670">
        <f>IFERROR(IF(__Retrofit_TI_NC=0,IF(_kWh_Grant=0,0,IF($IB87=TRUE,IF(OR(JP$14="No",JP87=FALSE,$JH89&lt;=$JH87),0,IF(JP$8="Per Line",1,$AF89)),0)),IF($IB87=TRUE,IF(OR(JP$14="No",JP87=FALSE,$JH89&lt;=$JH87),0,IF(JP$8="Per Line",1,$AF89)))),0)</f>
        <v>0</v>
      </c>
      <c r="JQ89" s="1061"/>
      <c r="JR89" s="1670">
        <f>IFERROR(IF(__Retrofit_TI_NC=0,IF(_kWh_Grant=0,0,IF($IB87=TRUE,IF(OR(JR$14="No",JR87=FALSE,$JH89&lt;=$JH87),0,IF(JR$8="Per Line",1,$AF89)),0)),IF($IB87=TRUE,IF(OR(JR$14="No",JR87=FALSE,$JH89&lt;=$JH87),0,IF(JR$8="Per Line",1,$AF89)))),0)</f>
        <v>0</v>
      </c>
      <c r="JS89" s="1061"/>
      <c r="JT89" s="1670">
        <f>IFERROR(IF(__Retrofit_TI_NC=0,IF(_kWh_Grant=0,0,IF($IB87=TRUE,IF(OR(JT$14="No",JT87=FALSE,$JH89&lt;=$JH87),0,IF(JT$8="Per Line",1,$AF89)),0)),IF($IB87=TRUE,IF(OR(JT$14="No",JT87=FALSE,$JH89&lt;=$JH87),0,IF(JT$8="Per Line",1,$AF89)))),0)</f>
        <v>0</v>
      </c>
      <c r="JU89" s="1061"/>
      <c r="JV89" s="1670">
        <f>IFERROR(IF(__Retrofit_TI_NC=0,IF(_kWh_Grant=0,0,IF($IB87=TRUE,IF(OR(JV$14="No",JV87=FALSE,$JH89&lt;=$JH87),0,IF(JV$8="Per Line",1,$AF89)),0)),IF($IB87=TRUE,IF(OR(JV$14="No",JV87=FALSE,$JH89&lt;=$JH87),0,IF(JV$8="Per Line",1,$AF89)))),0)</f>
        <v>0</v>
      </c>
      <c r="JX89" s="1670">
        <f>IFERROR(IF(__Retrofit_TI_NC=0,IF(_kWh_Grant=0,0,IF($IB87=TRUE,IF(OR(JX$14="No",JX87=FALSE,$JH89&lt;=$JH87),0,IF(JX$8="Per Line",1,$AF89)),0)),IF($IB87=TRUE,IF(OR(JX$14="No",JX87=FALSE,$JH89&lt;=$JH87),0,IF(JX$8="Per Line",1,$AF89)))),0)</f>
        <v>0</v>
      </c>
      <c r="JZ89" s="1670">
        <f>IFERROR(IF($IB87=TRUE,IF(OR(JZ$14="No",JZ87=FALSE,$JH89&lt;=$JH87,AND(_kWh_Grant=0,$GD87=FALSE)),0,IF(JZ$8="Per Line",1,$AF89)),0),0)</f>
        <v>0</v>
      </c>
      <c r="KB89" s="1670">
        <f>IFERROR(IF(__Retrofit_TI_NC=0,IF(_kWh_Grant=0,0,IF($IB87=TRUE,IF(OR(KB$14="No",KB87=FALSE,$JH89&lt;=$JH87),0,IF(KB$8="Per Line",1,$AF89)),0)),IF($IB87=TRUE,IF(OR(KB$14="No",KB87=FALSE,$JH89&lt;=$JH87),0,IF(KB$8="Per Line",1,$AF89)))),0)</f>
        <v>0</v>
      </c>
    </row>
    <row r="90" spans="1:288" s="78" customFormat="1" ht="14.95" customHeight="1" thickTop="1" thickBot="1">
      <c r="B90" s="1845"/>
      <c r="C90" s="1846"/>
      <c r="D90" s="1847"/>
      <c r="E90" s="1771" t="s">
        <v>436</v>
      </c>
      <c r="F90" s="1772"/>
      <c r="G90" s="1784" t="s">
        <v>437</v>
      </c>
      <c r="H90" s="1785"/>
      <c r="I90" s="1785"/>
      <c r="J90" s="1785"/>
      <c r="K90" s="1785"/>
      <c r="L90" s="1786"/>
      <c r="M90" s="591">
        <f>IFERROR(VLOOKUP(G90,_Daylight_Table[],2,FALSE),0)</f>
        <v>0</v>
      </c>
      <c r="N90" s="592" t="str">
        <f>IF(AND(__Retrofit_TI_NC&gt;0,CQ87="Interior"),"BAM","")</f>
        <v/>
      </c>
      <c r="O90" s="591" t="e">
        <f>VLOOKUP(G89,'Space Table'!$B$3:$L$163,11,FALSE)</f>
        <v>#N/A</v>
      </c>
      <c r="P90" s="1789"/>
      <c r="Q90" s="1790"/>
      <c r="R90" s="1790"/>
      <c r="S90" s="1788"/>
      <c r="T90" s="593" t="s">
        <v>342</v>
      </c>
      <c r="U90" s="1756" t="str" cm="1">
        <f t="array" aca="1" ref="U90" ca="1">IFERROR(VLOOKUP(INDIRECT("U" &amp; ROW()-1),Fixtures!DM$93:DP$142,4,FALSE),"")</f>
        <v/>
      </c>
      <c r="V90" s="1757"/>
      <c r="W90" s="1757"/>
      <c r="X90" s="1757"/>
      <c r="Y90" s="1757"/>
      <c r="Z90" s="1757"/>
      <c r="AA90" s="1758"/>
      <c r="AB90" s="939" t="str">
        <f>IFERROR(VLOOKUP(U89,Fixtures_Proposed_List,2,FALSE),"")</f>
        <v/>
      </c>
      <c r="AC90" s="933" t="str">
        <f>IFERROR(ROUND(T89*AB90*N88*R88/1000,0),"")</f>
        <v/>
      </c>
      <c r="AD90" s="934" t="str">
        <f>IFERROR(ROUND(T89*AB90/1000,2),"")</f>
        <v/>
      </c>
      <c r="AE90" s="998"/>
      <c r="AF90" s="938" t="s">
        <v>342</v>
      </c>
      <c r="AG90" s="1770"/>
      <c r="AH90" s="1770"/>
      <c r="AI90" s="1770"/>
      <c r="AJ90" s="1770"/>
      <c r="AK90" s="1770"/>
      <c r="AL90" s="1770"/>
      <c r="AM90" s="1727"/>
      <c r="AN90" s="1729"/>
      <c r="AO90" s="1731"/>
      <c r="AP90" s="1782"/>
      <c r="AQ90" s="1783"/>
      <c r="AR90" s="1797"/>
      <c r="AS90" s="1797"/>
      <c r="AT90" s="1798"/>
      <c r="AU90" s="1736"/>
      <c r="AV90" s="1753"/>
      <c r="AW90" s="1706"/>
      <c r="AX90" s="468"/>
      <c r="AY90" s="1750"/>
      <c r="AZ90" s="1750"/>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696"/>
      <c r="CQ90" s="1696"/>
      <c r="CR90" s="1809"/>
      <c r="CS90" s="1811"/>
      <c r="CU90" s="1688"/>
      <c r="CV90" s="1703"/>
      <c r="CW90" s="1703"/>
      <c r="CX90" s="1813"/>
      <c r="CY90" s="1815"/>
      <c r="CZ90" s="1711"/>
      <c r="DA90" s="1815"/>
      <c r="DB90" s="1821"/>
      <c r="DC90" s="1821"/>
      <c r="DD90" s="1821"/>
      <c r="DF90" s="1703"/>
      <c r="DG90" s="1831"/>
      <c r="DH90" s="1813"/>
      <c r="DI90" s="1838"/>
      <c r="DJ90" s="1711"/>
      <c r="DK90" s="1712"/>
      <c r="DN90" s="1718"/>
      <c r="DO90" s="1709"/>
      <c r="DQ90" s="1715"/>
      <c r="DR90" s="1720"/>
      <c r="DS90" s="1703"/>
      <c r="DT90" s="1714"/>
      <c r="DU90" s="1715"/>
      <c r="DV90" s="1716"/>
      <c r="DX90" s="1715"/>
      <c r="DY90" s="1720"/>
      <c r="DZ90" s="1715"/>
      <c r="EA90" s="1715"/>
      <c r="EC90" s="1834"/>
      <c r="ED90" s="1834"/>
      <c r="EF90" s="1707"/>
      <c r="EG90" s="1712"/>
      <c r="EH90" s="1815"/>
      <c r="EI90" s="1712"/>
      <c r="EJ90" s="1712"/>
      <c r="EK90" s="1813"/>
      <c r="EL90" s="1813"/>
      <c r="EM90" s="1807"/>
      <c r="EN90" s="1839"/>
      <c r="EO90" s="1839"/>
      <c r="EP90" s="1817"/>
      <c r="EQ90" s="1817"/>
      <c r="ER90" s="1807"/>
      <c r="ES90" s="1807"/>
      <c r="ET90" s="1807"/>
      <c r="EV90" s="1715"/>
      <c r="EX90" s="1806"/>
      <c r="EY90" s="1806"/>
      <c r="EZ90" s="1806"/>
      <c r="FA90" s="1806"/>
      <c r="FB90" s="1806"/>
      <c r="FC90" s="1828"/>
      <c r="FE90" s="1698"/>
      <c r="FG90" s="1703"/>
      <c r="FH90" s="1703"/>
      <c r="FI90" s="133"/>
      <c r="FL90" s="1823"/>
      <c r="FM90" s="1825"/>
      <c r="FN90" s="1698"/>
      <c r="FO90" s="1698"/>
      <c r="FP90" s="1678"/>
      <c r="FQ90" s="1698"/>
      <c r="FS90" s="1687"/>
      <c r="FT90" s="1687"/>
      <c r="FU90" s="1685"/>
      <c r="FV90" s="1687"/>
      <c r="FW90" s="1687"/>
      <c r="FX90" s="1687"/>
      <c r="FY90" s="1697"/>
      <c r="GA90" s="1696"/>
      <c r="GB90" s="1696"/>
      <c r="GC90" s="1696"/>
      <c r="GD90" s="1696"/>
      <c r="GE90" s="1696"/>
      <c r="GF90" s="1696"/>
      <c r="GG90" s="1696"/>
      <c r="GH90" s="1696"/>
      <c r="GI90" s="673"/>
      <c r="GJ90" s="1135"/>
      <c r="GK90" s="1832"/>
      <c r="GN90" s="674">
        <f>IF(GN88=TRUE,0,GN$16)</f>
        <v>0</v>
      </c>
      <c r="GP90" s="674">
        <f>IF(GP88=TRUE,0,GP$16)</f>
        <v>36</v>
      </c>
      <c r="GQ90" s="674">
        <f ca="1">IF(GQ88=TRUE,0,GQ$16)</f>
        <v>35</v>
      </c>
      <c r="GR90" s="391"/>
      <c r="GS90" s="391"/>
      <c r="GT90" s="391"/>
      <c r="GU90" s="391"/>
      <c r="GV90" s="391"/>
      <c r="HG90" s="674">
        <f>IF(HG88=TRUE,0,HG$16)</f>
        <v>0</v>
      </c>
      <c r="HH90" s="674">
        <f t="shared" ref="HH90:HM90" si="58">IF(HH88=TRUE,0,HH$16)</f>
        <v>19</v>
      </c>
      <c r="HI90" s="674">
        <f t="shared" si="58"/>
        <v>18</v>
      </c>
      <c r="HJ90" s="674">
        <f t="shared" si="58"/>
        <v>17</v>
      </c>
      <c r="HK90" s="674">
        <f t="shared" si="58"/>
        <v>16</v>
      </c>
      <c r="HL90" s="674">
        <f t="shared" si="58"/>
        <v>0</v>
      </c>
      <c r="HM90" s="674">
        <f t="shared" si="58"/>
        <v>0</v>
      </c>
      <c r="HN90" s="674">
        <f>IF(HN88=TRUE,0,HN$16)</f>
        <v>13</v>
      </c>
      <c r="HO90" s="674">
        <f t="shared" ref="HO90:HQ90" si="59">IF(HO88=TRUE,0,HO$16)</f>
        <v>0</v>
      </c>
      <c r="HP90" s="674">
        <f t="shared" si="59"/>
        <v>0</v>
      </c>
      <c r="HQ90" s="674">
        <f t="shared" si="59"/>
        <v>10</v>
      </c>
      <c r="HR90" s="674">
        <f>IF(HR88=TRUE,0,HR$16)</f>
        <v>9</v>
      </c>
      <c r="HS90" s="674">
        <f t="shared" ref="HS90:HW90" si="60">IF(HS88=TRUE,0,HS$16)</f>
        <v>0</v>
      </c>
      <c r="HT90" s="674">
        <f t="shared" si="60"/>
        <v>0</v>
      </c>
      <c r="HU90" s="674">
        <f t="shared" si="60"/>
        <v>0</v>
      </c>
      <c r="HV90" s="674">
        <f t="shared" si="60"/>
        <v>0</v>
      </c>
      <c r="HW90" s="674">
        <f t="shared" si="60"/>
        <v>0</v>
      </c>
      <c r="HX90" s="674">
        <f>IF(HX88=TRUE,0,HX$16)</f>
        <v>0</v>
      </c>
      <c r="HY90" s="674">
        <f>IF(HY88=TRUE,0,HY$16)</f>
        <v>0</v>
      </c>
      <c r="HZ90" s="674">
        <f>IF(HZ88=TRUE,0,HZ$16)</f>
        <v>1</v>
      </c>
      <c r="IB90" s="674">
        <f>IF(GP88=FALSE,GP90,IF(GQ88=FALSE,GQ90,MAX(GN90:HZ90)))</f>
        <v>36</v>
      </c>
      <c r="IC90" s="1692"/>
      <c r="ID90" s="205" t="str">
        <f>VLOOKUP(IB90,_Error_Table,3,FALSE)</f>
        <v xml:space="preserve"> </v>
      </c>
      <c r="IE90" s="205"/>
      <c r="IF90" s="1688"/>
      <c r="IG90" s="1689"/>
      <c r="IH90" s="1684"/>
      <c r="IK90" s="1689"/>
      <c r="IL90" s="1692"/>
      <c r="IM90" s="1692"/>
      <c r="IN90" s="1692"/>
      <c r="IP90" s="1679"/>
      <c r="IQ90" s="1679"/>
      <c r="IR90" s="1679"/>
      <c r="IS90" s="1679"/>
      <c r="IT90" s="1679"/>
      <c r="IU90" s="1679"/>
      <c r="IV90" s="1679"/>
      <c r="IW90" s="1679"/>
      <c r="IX90" s="1679"/>
      <c r="IY90" s="1679"/>
      <c r="IZ90" s="1679"/>
      <c r="JA90" s="1679"/>
      <c r="JC90" s="1680"/>
      <c r="JD90" s="1670"/>
      <c r="JE90" s="1681"/>
      <c r="JG90" s="1680"/>
      <c r="JH90" s="1670"/>
      <c r="JI90" s="1060"/>
      <c r="JJ90" s="1670"/>
      <c r="JK90" s="1061"/>
      <c r="JL90" s="1670"/>
      <c r="JM90" s="1061"/>
      <c r="JN90" s="1670"/>
      <c r="JO90" s="1061"/>
      <c r="JP90" s="1670"/>
      <c r="JQ90" s="1061"/>
      <c r="JR90" s="1670"/>
      <c r="JS90" s="1061"/>
      <c r="JT90" s="1670"/>
      <c r="JU90" s="1061"/>
      <c r="JV90" s="1670"/>
      <c r="JX90" s="1670"/>
      <c r="JZ90" s="1670"/>
      <c r="KB90" s="1670"/>
    </row>
    <row r="91" spans="1:288" s="78" customFormat="1" ht="5.0999999999999996" customHeight="1">
      <c r="B91" s="675"/>
      <c r="C91" s="392"/>
      <c r="D91" s="392"/>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c r="AB91" s="1733"/>
      <c r="AC91" s="1733"/>
      <c r="AD91" s="1733"/>
      <c r="AE91" s="1733"/>
      <c r="AF91" s="1733"/>
      <c r="AG91" s="1733"/>
      <c r="AH91" s="1733"/>
      <c r="AI91" s="1733"/>
      <c r="AJ91" s="1733"/>
      <c r="AK91" s="1733"/>
      <c r="AL91" s="1733"/>
      <c r="AM91" s="1733"/>
      <c r="AN91" s="1733"/>
      <c r="AO91" s="1733"/>
      <c r="AP91" s="1733"/>
      <c r="AQ91" s="1733"/>
      <c r="AR91" s="1733"/>
      <c r="AS91" s="1733"/>
      <c r="AT91" s="1733"/>
      <c r="AU91" s="1733"/>
      <c r="AV91" s="1733"/>
      <c r="AW91" s="1733"/>
      <c r="AX91" s="469"/>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663"/>
      <c r="CQ91" s="663"/>
      <c r="CR91" s="438"/>
      <c r="CS91" s="663"/>
      <c r="CV91" s="391"/>
      <c r="CW91" s="391"/>
      <c r="CX91" s="207"/>
      <c r="CY91" s="208"/>
      <c r="CZ91" s="208"/>
      <c r="DA91" s="208"/>
      <c r="DB91" s="209"/>
      <c r="DC91" s="209"/>
      <c r="DD91" s="209"/>
      <c r="DF91" s="664"/>
      <c r="DG91" s="665"/>
      <c r="DH91" s="666"/>
      <c r="DI91" s="667"/>
      <c r="DJ91" s="668"/>
      <c r="DK91" s="668"/>
      <c r="DN91" s="208"/>
      <c r="DO91" s="664"/>
      <c r="DQ91" s="664"/>
      <c r="DR91" s="669"/>
      <c r="DS91" s="391"/>
      <c r="DT91" s="664"/>
      <c r="DU91" s="664"/>
      <c r="DV91" s="664"/>
      <c r="DX91" s="664"/>
      <c r="DY91" s="664"/>
      <c r="DZ91" s="664"/>
      <c r="EA91" s="664"/>
      <c r="EC91" s="670"/>
      <c r="ED91" s="670"/>
      <c r="EF91" s="668"/>
      <c r="EG91" s="668"/>
      <c r="EH91" s="208"/>
      <c r="EI91" s="668"/>
      <c r="EJ91" s="668"/>
      <c r="EK91" s="207"/>
      <c r="EL91" s="207"/>
      <c r="EM91" s="666"/>
      <c r="EN91" s="671"/>
      <c r="EO91" s="671"/>
      <c r="EP91" s="672"/>
      <c r="EQ91" s="672"/>
      <c r="ER91" s="666"/>
      <c r="ES91" s="666"/>
      <c r="ET91" s="666"/>
      <c r="EV91" s="664"/>
      <c r="EX91" s="391"/>
      <c r="EY91" s="391"/>
      <c r="EZ91" s="391"/>
      <c r="FA91" s="391"/>
      <c r="FB91" s="391"/>
      <c r="FC91" s="391"/>
      <c r="FE91" s="569"/>
      <c r="FG91" s="391"/>
      <c r="FH91" s="391"/>
      <c r="FI91" s="391"/>
      <c r="FS91" s="664"/>
      <c r="FT91" s="391"/>
      <c r="FU91" s="391"/>
      <c r="FV91" s="664"/>
      <c r="FW91" s="664"/>
      <c r="GA91" s="663"/>
      <c r="GB91" s="663"/>
      <c r="GC91" s="663"/>
      <c r="GD91" s="663"/>
      <c r="GE91" s="663"/>
      <c r="GF91" s="663"/>
      <c r="GG91" s="663"/>
      <c r="GH91" s="663"/>
      <c r="GI91" s="665"/>
      <c r="GJ91" s="664"/>
      <c r="GK91" s="664"/>
    </row>
    <row r="92" spans="1:288" s="78" customFormat="1" ht="20.05" customHeight="1">
      <c r="B92" s="211"/>
      <c r="C92" s="392"/>
      <c r="D92" s="392"/>
      <c r="E92" s="211"/>
      <c r="F92" s="211"/>
      <c r="G92" s="211"/>
      <c r="H92" s="211"/>
      <c r="I92" s="438"/>
      <c r="J92" s="438"/>
      <c r="K92" s="438"/>
      <c r="L92" s="438"/>
      <c r="M92" s="438"/>
      <c r="N92" s="438"/>
      <c r="O92" s="438"/>
      <c r="P92" s="438"/>
      <c r="Q92" s="438"/>
      <c r="R92" s="391"/>
      <c r="S92" s="206"/>
      <c r="T92" s="391"/>
      <c r="U92" s="205"/>
      <c r="V92" s="205"/>
      <c r="W92" s="205"/>
      <c r="X92" s="205"/>
      <c r="Y92" s="205"/>
      <c r="Z92" s="205"/>
      <c r="AA92" s="207"/>
      <c r="AB92" s="391"/>
      <c r="AC92" s="208"/>
      <c r="AD92" s="209"/>
      <c r="AE92" s="209"/>
      <c r="AF92" s="391"/>
      <c r="AG92" s="205"/>
      <c r="AH92" s="205"/>
      <c r="AI92" s="205"/>
      <c r="AJ92" s="205"/>
      <c r="AK92" s="205"/>
      <c r="AL92" s="207"/>
      <c r="AM92" s="210"/>
      <c r="AN92" s="208"/>
      <c r="AO92" s="208"/>
      <c r="AP92" s="391"/>
      <c r="AQ92" s="391"/>
      <c r="AR92" s="391"/>
      <c r="AS92" s="391"/>
      <c r="AT92" s="391"/>
      <c r="AU92" s="391"/>
      <c r="AV92" s="391"/>
      <c r="AW92" s="438"/>
      <c r="AX92" s="4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669"/>
      <c r="CQ92" s="669"/>
      <c r="CR92" s="669"/>
      <c r="CS92" s="669"/>
      <c r="CT92" s="669"/>
      <c r="CU92" s="669"/>
      <c r="CV92" s="669"/>
      <c r="CW92" s="669"/>
      <c r="CX92" s="669"/>
      <c r="CY92" s="669"/>
      <c r="CZ92" s="669"/>
      <c r="DA92" s="669"/>
      <c r="DB92" s="669"/>
      <c r="DC92" s="669"/>
      <c r="DD92" s="669"/>
      <c r="DE92" s="669"/>
      <c r="DF92" s="669"/>
      <c r="DG92" s="669"/>
      <c r="DH92" s="669"/>
      <c r="DI92" s="669"/>
      <c r="DJ92" s="669"/>
      <c r="DK92" s="669"/>
      <c r="DL92" s="669"/>
      <c r="DM92" s="669"/>
      <c r="DO92" s="669"/>
      <c r="DP92" s="669"/>
      <c r="DQ92" s="669"/>
      <c r="DR92" s="669"/>
      <c r="DS92" s="669"/>
      <c r="DT92" s="669"/>
      <c r="DU92" s="669"/>
      <c r="DV92" s="669"/>
      <c r="DW92" s="669"/>
      <c r="DX92" s="669"/>
      <c r="DY92" s="669"/>
      <c r="DZ92" s="669"/>
      <c r="EA92" s="669"/>
      <c r="EB92" s="669"/>
      <c r="EC92" s="669"/>
      <c r="ED92" s="669"/>
      <c r="EE92" s="669"/>
      <c r="EF92" s="677" t="s">
        <v>344</v>
      </c>
      <c r="EG92" s="677" t="s">
        <v>345</v>
      </c>
      <c r="EH92" s="677" t="s">
        <v>234</v>
      </c>
      <c r="EI92" s="677" t="s">
        <v>347</v>
      </c>
      <c r="EJ92" s="677" t="s">
        <v>348</v>
      </c>
      <c r="EK92" s="677"/>
      <c r="EL92" s="677"/>
      <c r="EM92" s="677" t="s">
        <v>349</v>
      </c>
      <c r="EN92" s="677" t="s">
        <v>234</v>
      </c>
      <c r="EO92" s="677" t="s">
        <v>347</v>
      </c>
      <c r="EP92" s="677" t="s">
        <v>234</v>
      </c>
      <c r="EQ92" s="677" t="s">
        <v>347</v>
      </c>
      <c r="ER92" s="677" t="s">
        <v>234</v>
      </c>
      <c r="ES92" s="677" t="s">
        <v>347</v>
      </c>
      <c r="ET92" s="677"/>
      <c r="EU92" s="669"/>
      <c r="EV92" s="669">
        <f>ROW()</f>
        <v>92</v>
      </c>
      <c r="EX92" s="391"/>
      <c r="EY92" s="391"/>
      <c r="EZ92" s="391"/>
      <c r="FA92" s="391"/>
      <c r="FB92" s="391"/>
      <c r="FC92" s="391"/>
      <c r="FG92" s="391"/>
      <c r="FH92" s="391"/>
      <c r="FI92" s="391"/>
      <c r="FN92" s="78">
        <v>29</v>
      </c>
      <c r="FQ92" s="78" t="s">
        <v>439</v>
      </c>
    </row>
    <row r="93" spans="1:288" s="78" customFormat="1" ht="20.05" customHeight="1">
      <c r="B93" s="211"/>
      <c r="C93" s="392"/>
      <c r="D93" s="392"/>
      <c r="E93" s="211"/>
      <c r="F93" s="211"/>
      <c r="G93" s="211"/>
      <c r="H93" s="211"/>
      <c r="I93" s="438"/>
      <c r="J93" s="438"/>
      <c r="K93" s="438"/>
      <c r="L93" s="438"/>
      <c r="M93" s="438"/>
      <c r="N93" s="438"/>
      <c r="O93" s="438"/>
      <c r="P93" s="438"/>
      <c r="Q93" s="438"/>
      <c r="R93" s="391"/>
      <c r="S93" s="206"/>
      <c r="T93" s="391"/>
      <c r="U93" s="205"/>
      <c r="V93" s="205"/>
      <c r="W93" s="205"/>
      <c r="X93" s="205"/>
      <c r="Y93" s="205"/>
      <c r="Z93" s="205"/>
      <c r="AA93" s="207"/>
      <c r="AB93" s="391"/>
      <c r="AC93" s="208"/>
      <c r="AD93" s="209"/>
      <c r="AE93" s="209"/>
      <c r="AF93" s="391"/>
      <c r="AG93" s="205"/>
      <c r="AH93" s="205"/>
      <c r="AI93" s="205"/>
      <c r="AJ93" s="205"/>
      <c r="AK93" s="205"/>
      <c r="AL93" s="207"/>
      <c r="AM93" s="210"/>
      <c r="AN93" s="208"/>
      <c r="AO93" s="208"/>
      <c r="AP93" s="1768" t="s">
        <v>407</v>
      </c>
      <c r="AQ93" s="1769"/>
      <c r="AR93" s="1867" t="s">
        <v>433</v>
      </c>
      <c r="AS93" s="1867"/>
      <c r="AT93" s="1867" t="s">
        <v>257</v>
      </c>
      <c r="AU93" s="1867"/>
      <c r="AV93" s="1867"/>
      <c r="AW93" s="1867"/>
      <c r="AX93" s="4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101" t="s">
        <v>354</v>
      </c>
      <c r="CQ93" s="101" t="s">
        <v>355</v>
      </c>
      <c r="CR93" s="101"/>
      <c r="CS93" s="101" t="s">
        <v>356</v>
      </c>
      <c r="CT93" s="38"/>
      <c r="CU93" s="38"/>
      <c r="CV93" s="37" t="s">
        <v>341</v>
      </c>
      <c r="CW93" s="38"/>
      <c r="CX93" s="101" t="s">
        <v>342</v>
      </c>
      <c r="CY93" s="38"/>
      <c r="CZ93" s="38"/>
      <c r="DA93" s="101" t="s">
        <v>343</v>
      </c>
      <c r="DB93" s="101" t="s">
        <v>344</v>
      </c>
      <c r="DC93" s="101" t="s">
        <v>345</v>
      </c>
      <c r="DD93" s="101" t="s">
        <v>346</v>
      </c>
      <c r="DE93" s="391"/>
      <c r="DF93" s="37" t="s">
        <v>357</v>
      </c>
      <c r="DG93" s="38"/>
      <c r="DH93" s="101" t="s">
        <v>342</v>
      </c>
      <c r="DI93" s="37"/>
      <c r="DJ93" s="101" t="s">
        <v>343</v>
      </c>
      <c r="DK93" s="101" t="s">
        <v>343</v>
      </c>
      <c r="DL93" s="38"/>
      <c r="DM93" s="101" t="s">
        <v>430</v>
      </c>
      <c r="DN93" s="101" t="s">
        <v>430</v>
      </c>
      <c r="DO93" s="101" t="s">
        <v>286</v>
      </c>
      <c r="DP93" s="38"/>
      <c r="DQ93" s="1732" t="s">
        <v>234</v>
      </c>
      <c r="DR93" s="1732"/>
      <c r="DS93" s="101" t="s">
        <v>347</v>
      </c>
      <c r="DT93" s="101"/>
      <c r="DU93" s="101" t="s">
        <v>358</v>
      </c>
      <c r="DV93" s="101" t="s">
        <v>358</v>
      </c>
      <c r="DW93" s="38"/>
      <c r="DX93" s="1732" t="s">
        <v>347</v>
      </c>
      <c r="DY93" s="1732"/>
      <c r="DZ93" s="101" t="s">
        <v>358</v>
      </c>
      <c r="EA93" s="101" t="s">
        <v>359</v>
      </c>
      <c r="EB93" s="38"/>
      <c r="EC93" s="101" t="s">
        <v>360</v>
      </c>
      <c r="ED93" s="101" t="s">
        <v>361</v>
      </c>
      <c r="EE93" s="391"/>
      <c r="EF93" s="609" t="s">
        <v>234</v>
      </c>
      <c r="EG93" s="609" t="s">
        <v>234</v>
      </c>
      <c r="EH93" s="609" t="s">
        <v>362</v>
      </c>
      <c r="EI93" s="609" t="s">
        <v>362</v>
      </c>
      <c r="EJ93" s="609" t="s">
        <v>362</v>
      </c>
      <c r="EK93" s="609" t="s">
        <v>234</v>
      </c>
      <c r="EL93" s="609" t="s">
        <v>347</v>
      </c>
      <c r="EM93" s="609" t="s">
        <v>347</v>
      </c>
      <c r="EN93" s="609" t="s">
        <v>363</v>
      </c>
      <c r="EO93" s="609" t="s">
        <v>363</v>
      </c>
      <c r="EP93" s="609" t="s">
        <v>363</v>
      </c>
      <c r="EQ93" s="609" t="s">
        <v>363</v>
      </c>
      <c r="ER93" s="609" t="s">
        <v>363</v>
      </c>
      <c r="ES93" s="609" t="s">
        <v>363</v>
      </c>
      <c r="ET93" s="609" t="s">
        <v>363</v>
      </c>
      <c r="EU93" s="391"/>
      <c r="EV93" s="391"/>
      <c r="EX93" s="391"/>
      <c r="EY93" s="391"/>
      <c r="EZ93" s="391"/>
      <c r="FA93" s="391"/>
      <c r="FB93" s="391"/>
      <c r="FC93" s="391"/>
      <c r="FG93" s="391"/>
      <c r="FH93" s="391"/>
      <c r="FI93" s="391"/>
      <c r="FL93" s="101" t="s">
        <v>364</v>
      </c>
      <c r="FM93" s="101" t="s">
        <v>365</v>
      </c>
      <c r="FN93" s="101" t="s">
        <v>366</v>
      </c>
      <c r="FO93" s="101" t="s">
        <v>367</v>
      </c>
      <c r="FP93" s="101"/>
      <c r="FQ93" s="38"/>
      <c r="FR93" s="38" t="s">
        <v>368</v>
      </c>
      <c r="FS93" s="101">
        <v>3200</v>
      </c>
      <c r="FT93" s="101" t="s">
        <v>369</v>
      </c>
      <c r="FU93" s="101" t="s">
        <v>370</v>
      </c>
      <c r="FV93" s="101" t="s">
        <v>371</v>
      </c>
      <c r="FW93" s="101" t="s">
        <v>370</v>
      </c>
      <c r="FX93" s="38"/>
      <c r="FY93" s="38"/>
    </row>
    <row r="94" spans="1:288" s="78" customFormat="1" ht="20.05" customHeight="1">
      <c r="B94" s="211"/>
      <c r="C94" s="585">
        <v>2</v>
      </c>
      <c r="D94" s="392"/>
      <c r="E94" s="205" t="str">
        <f>CONCATENATE(AH$20," - page ",C94)</f>
        <v xml:space="preserve"> - page 2</v>
      </c>
      <c r="F94" s="211"/>
      <c r="G94" s="211"/>
      <c r="H94" s="211"/>
      <c r="I94" s="438"/>
      <c r="J94" s="438"/>
      <c r="K94" s="438"/>
      <c r="L94" s="438"/>
      <c r="M94" s="438"/>
      <c r="N94" s="438"/>
      <c r="O94" s="438"/>
      <c r="P94" s="438"/>
      <c r="Q94" s="438"/>
      <c r="R94" s="391"/>
      <c r="S94" s="206"/>
      <c r="T94" s="391"/>
      <c r="U94" s="205"/>
      <c r="V94" s="205"/>
      <c r="W94" s="205"/>
      <c r="X94" s="205"/>
      <c r="Y94" s="205"/>
      <c r="Z94" s="205"/>
      <c r="AA94" s="207"/>
      <c r="AB94" s="599" t="s">
        <v>194</v>
      </c>
      <c r="AC94" s="599" t="s">
        <v>343</v>
      </c>
      <c r="AD94" s="599" t="s">
        <v>383</v>
      </c>
      <c r="AE94" s="999"/>
      <c r="AF94" s="391"/>
      <c r="AG94" s="205"/>
      <c r="AH94" s="205"/>
      <c r="AI94" s="205"/>
      <c r="AJ94" s="205"/>
      <c r="AK94" s="205"/>
      <c r="AL94" s="207"/>
      <c r="AM94" s="600" t="s">
        <v>286</v>
      </c>
      <c r="AN94" s="600" t="s">
        <v>407</v>
      </c>
      <c r="AO94" s="601" t="s">
        <v>432</v>
      </c>
      <c r="AP94" s="1840">
        <f>BA$4</f>
        <v>0</v>
      </c>
      <c r="AQ94" s="1841"/>
      <c r="AR94" s="1842">
        <f>BA$6</f>
        <v>0</v>
      </c>
      <c r="AS94" s="1843"/>
      <c r="AT94" s="1844"/>
      <c r="AU94" s="1898" t="str">
        <f>BA$2</f>
        <v>Rate Sch?</v>
      </c>
      <c r="AV94" s="1898"/>
      <c r="AW94" s="1684"/>
      <c r="AX94" s="391"/>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101" t="s">
        <v>381</v>
      </c>
      <c r="CQ94" s="101" t="s">
        <v>333</v>
      </c>
      <c r="CR94" s="101"/>
      <c r="CS94" s="101" t="s">
        <v>221</v>
      </c>
      <c r="CT94" s="38"/>
      <c r="CU94" s="38"/>
      <c r="CV94" s="101" t="s">
        <v>239</v>
      </c>
      <c r="CW94" s="101" t="s">
        <v>234</v>
      </c>
      <c r="CX94" s="101" t="s">
        <v>382</v>
      </c>
      <c r="CY94" s="101" t="s">
        <v>194</v>
      </c>
      <c r="CZ94" s="101" t="s">
        <v>343</v>
      </c>
      <c r="DA94" s="101" t="s">
        <v>346</v>
      </c>
      <c r="DB94" s="101" t="s">
        <v>383</v>
      </c>
      <c r="DC94" s="101" t="s">
        <v>383</v>
      </c>
      <c r="DD94" s="101" t="s">
        <v>383</v>
      </c>
      <c r="DE94" s="391"/>
      <c r="DF94" s="101" t="s">
        <v>239</v>
      </c>
      <c r="DG94" s="37" t="s">
        <v>347</v>
      </c>
      <c r="DH94" s="101" t="s">
        <v>382</v>
      </c>
      <c r="DI94" s="101" t="s">
        <v>384</v>
      </c>
      <c r="DJ94" s="101" t="s">
        <v>346</v>
      </c>
      <c r="DK94" s="101" t="s">
        <v>346</v>
      </c>
      <c r="DL94" s="38"/>
      <c r="DM94" s="101" t="s">
        <v>432</v>
      </c>
      <c r="DN94" s="101" t="s">
        <v>345</v>
      </c>
      <c r="DO94" s="38"/>
      <c r="DP94" s="38"/>
      <c r="DQ94" s="1833" t="s">
        <v>221</v>
      </c>
      <c r="DR94" s="1833"/>
      <c r="DS94" s="101" t="s">
        <v>221</v>
      </c>
      <c r="DT94" s="101"/>
      <c r="DU94" s="101" t="s">
        <v>234</v>
      </c>
      <c r="DV94" s="101" t="s">
        <v>385</v>
      </c>
      <c r="DW94" s="38"/>
      <c r="DX94" s="1833" t="s">
        <v>386</v>
      </c>
      <c r="DY94" s="1833"/>
      <c r="DZ94" s="101" t="s">
        <v>387</v>
      </c>
      <c r="EA94" s="101" t="s">
        <v>385</v>
      </c>
      <c r="EB94" s="38"/>
      <c r="EC94" s="101" t="s">
        <v>257</v>
      </c>
      <c r="ED94" s="101" t="s">
        <v>257</v>
      </c>
      <c r="EE94" s="391"/>
      <c r="EF94" s="609" t="s">
        <v>343</v>
      </c>
      <c r="EG94" s="609" t="s">
        <v>343</v>
      </c>
      <c r="EH94" s="609" t="s">
        <v>343</v>
      </c>
      <c r="EI94" s="609" t="s">
        <v>343</v>
      </c>
      <c r="EJ94" s="609" t="s">
        <v>343</v>
      </c>
      <c r="EK94" s="609" t="s">
        <v>342</v>
      </c>
      <c r="EL94" s="609" t="s">
        <v>342</v>
      </c>
      <c r="EM94" s="609" t="s">
        <v>342</v>
      </c>
      <c r="EN94" s="609" t="s">
        <v>388</v>
      </c>
      <c r="EO94" s="609" t="s">
        <v>388</v>
      </c>
      <c r="EP94" s="609" t="s">
        <v>389</v>
      </c>
      <c r="EQ94" s="609" t="s">
        <v>389</v>
      </c>
      <c r="ER94" s="609" t="s">
        <v>342</v>
      </c>
      <c r="ES94" s="609" t="s">
        <v>342</v>
      </c>
      <c r="ET94" s="609" t="s">
        <v>342</v>
      </c>
      <c r="EU94" s="391"/>
      <c r="EV94" s="391">
        <f>SUM(EV95:EV168)</f>
        <v>0</v>
      </c>
      <c r="EX94" s="391"/>
      <c r="EY94" s="391"/>
      <c r="EZ94" s="391"/>
      <c r="FA94" s="391"/>
      <c r="FB94" s="85" t="s">
        <v>385</v>
      </c>
      <c r="FC94" s="85" t="s">
        <v>218</v>
      </c>
      <c r="FG94" s="391"/>
      <c r="FH94" s="391"/>
      <c r="FI94" s="391"/>
      <c r="FL94" s="38"/>
      <c r="FM94" s="101" t="s">
        <v>328</v>
      </c>
      <c r="FN94" s="38"/>
      <c r="FO94" s="38"/>
      <c r="FP94" s="38"/>
      <c r="FQ94" s="38"/>
      <c r="FR94" s="38" t="s">
        <v>286</v>
      </c>
      <c r="FS94" s="101" t="s">
        <v>369</v>
      </c>
      <c r="FT94" s="101" t="s">
        <v>391</v>
      </c>
      <c r="FU94" s="101" t="s">
        <v>369</v>
      </c>
      <c r="FV94" s="101" t="s">
        <v>347</v>
      </c>
      <c r="FW94" s="37" t="s">
        <v>392</v>
      </c>
      <c r="FX94" s="38"/>
      <c r="FY94" s="101" t="s">
        <v>393</v>
      </c>
    </row>
    <row r="95" spans="1:288" s="78" customFormat="1" ht="14.95" customHeight="1">
      <c r="B95" s="1845" t="str">
        <f>ID98</f>
        <v xml:space="preserve"> </v>
      </c>
      <c r="C95" s="1846">
        <f>C87+1</f>
        <v>10</v>
      </c>
      <c r="D95" s="1847"/>
      <c r="E95" s="1799" t="s">
        <v>295</v>
      </c>
      <c r="F95" s="1800"/>
      <c r="G95" s="1741"/>
      <c r="H95" s="1742"/>
      <c r="I95" s="1742"/>
      <c r="J95" s="1742"/>
      <c r="K95" s="1742"/>
      <c r="L95" s="1742"/>
      <c r="M95" s="1742"/>
      <c r="N95" s="1742"/>
      <c r="O95" s="1742"/>
      <c r="P95" s="1742"/>
      <c r="Q95" s="1742"/>
      <c r="R95" s="1742"/>
      <c r="S95" s="1791" t="s">
        <v>344</v>
      </c>
      <c r="T95" s="590"/>
      <c r="U95" s="1743"/>
      <c r="V95" s="1744"/>
      <c r="W95" s="1744"/>
      <c r="X95" s="1744"/>
      <c r="Y95" s="1744"/>
      <c r="Z95" s="1744"/>
      <c r="AA95" s="1744"/>
      <c r="AB95" s="961" t="str">
        <f>IFERROR(IF(__Retrofit_TI_NC=0,VLOOKUP(U96,Fixtures_Existing_List,2,FALSE),ROUND(N97*R97/T97,10)),"")</f>
        <v/>
      </c>
      <c r="AC95" s="935" t="str">
        <f>IFERROR(IF(__Retrofit_TI_NC=0,ROUND(T96*AB95*N96*R96/1000,0),IF(CQ95="Interior",N97*R97*R96*N96*_C406_reduction/1000,N97*R97*R96*N96/1000)),"")</f>
        <v/>
      </c>
      <c r="AD95" s="936" t="str">
        <f>IFERROR(IF(C$43=0,ROUND(T96*AB95/1000,2),N97*R97/1000),"")</f>
        <v/>
      </c>
      <c r="AE95" s="997"/>
      <c r="AF95" s="937"/>
      <c r="AG95" s="1745" t="str">
        <f>IF(__Retrofit_TI_NC=0," Control","Select Advanced Control for New System")</f>
        <v xml:space="preserve"> Control</v>
      </c>
      <c r="AH95" s="1745"/>
      <c r="AI95" s="1745"/>
      <c r="AJ95" s="1745"/>
      <c r="AK95" s="1745"/>
      <c r="AL95" s="1745"/>
      <c r="AM95" s="1746">
        <f>IFERROR(DI95,"")</f>
        <v>0</v>
      </c>
      <c r="AN95" s="1774" t="str">
        <f>IFERROR(ROUND(AM95*AC95,0),"")</f>
        <v/>
      </c>
      <c r="AO95" s="1776">
        <f>IFERROR(IF(IB95=FALSE,0,AC95-AN95),0)</f>
        <v>0</v>
      </c>
      <c r="AP95" s="1778">
        <f>AO95-AO97</f>
        <v>0</v>
      </c>
      <c r="AQ95" s="1779"/>
      <c r="AR95" s="1793">
        <f>IFERROR(IF(IB95=FALSE,0,(T97*U98)+(AF97*AG98)),0)</f>
        <v>0</v>
      </c>
      <c r="AS95" s="1793"/>
      <c r="AT95" s="1794"/>
      <c r="AU95" s="1734" t="s">
        <v>237</v>
      </c>
      <c r="AV95" s="1751">
        <f>IF(AU95="Yes",1,0)</f>
        <v>1</v>
      </c>
      <c r="AW95" s="1704" t="str">
        <f>IF(OR(DQ95=4,DQ95=5,DQ95=6,DQ95=12),CONCATENATE("$",IF(GH95=TRUE,Lookup!$K$10,Lookup!$K$2)," /lamp"),CONCATENATE(TEXT(ED95,"$0.00"),"/ kWh"))</f>
        <v>$0.00/ kWh</v>
      </c>
      <c r="AX95" s="467"/>
      <c r="AY95" s="1748">
        <f ca="1">IFERROR(IF(GM96=TRUE,(AB98*T97)/R97,0),"NA")</f>
        <v>0</v>
      </c>
      <c r="AZ95" s="1748"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696" t="str">
        <f>N96</f>
        <v/>
      </c>
      <c r="CQ95" s="1696" t="str">
        <f>IFERROR(VLOOKUP(G96,_Lookup_Heat_Type_Table_New,3,FALSE),"")</f>
        <v/>
      </c>
      <c r="CR95" s="1808" t="str">
        <f>CQ95</f>
        <v/>
      </c>
      <c r="CS95" s="1810" t="str">
        <f>IFERROR(VLOOKUP(G97,'Space Table'!$B$3:$L$163,9,FALSE),"")</f>
        <v/>
      </c>
      <c r="CU95" s="1688" t="s">
        <v>344</v>
      </c>
      <c r="CV95" s="1702">
        <f>IF(IB95=TRUE,T96,0)</f>
        <v>0</v>
      </c>
      <c r="CW95" s="1702" t="str">
        <f>IF(IB95=TRUE,U96,"")</f>
        <v/>
      </c>
      <c r="CX95" s="1702"/>
      <c r="CY95" s="1814">
        <f>IF(IB95=TRUE,AB95,0)</f>
        <v>0</v>
      </c>
      <c r="CZ95" s="1710">
        <f>IF(AND(__Retrofit_TI_NC&gt;0,CR95="interior"),0,IF(IB95=TRUE,AC95,0))</f>
        <v>0</v>
      </c>
      <c r="DA95" s="1814">
        <f>IFERROR(IF(IB95=TRUE,CZ95-CZ97,0),0)</f>
        <v>0</v>
      </c>
      <c r="DB95" s="1819">
        <f>IF(IB95=TRUE,AD95,0)</f>
        <v>0</v>
      </c>
      <c r="DC95" s="1819">
        <f>IF(IB95=TRUE,AD98,0)</f>
        <v>0</v>
      </c>
      <c r="DD95" s="1819">
        <f>IFERROR(DB95-DC95,0)</f>
        <v>0</v>
      </c>
      <c r="DF95" s="1702">
        <f>IF(IB95=TRUE,AF96,0)</f>
        <v>0</v>
      </c>
      <c r="DG95" s="1830">
        <f>IFERROR(IF(__Retrofit_TI_NC=2,IF(CQ95="Exterior",O98,FQ95),FN95),"")</f>
        <v>0</v>
      </c>
      <c r="DH95" s="1702"/>
      <c r="DI95" s="1837">
        <f>JE95</f>
        <v>0</v>
      </c>
      <c r="DJ95" s="1710">
        <f>IF(AND(__Retrofit_TI_NC&gt;0,CR95="interior"),0,IF(IB95=TRUE,AN95,0))</f>
        <v>0</v>
      </c>
      <c r="DK95" s="1712">
        <f>IFERROR(IF(IB95=TRUE,DJ97-DJ95,0),0)</f>
        <v>0</v>
      </c>
      <c r="DM95" s="1717">
        <f>IFERROR(CZ95-DJ95,0)</f>
        <v>0</v>
      </c>
      <c r="DO95" s="1708">
        <f>DM95-DN97</f>
        <v>0</v>
      </c>
      <c r="DQ95" s="1715" t="str">
        <f>IFERROR(IF(AND(OR(GC95=4,GC95=5,GC95=6),OR(GF95=4,GF95=5,GF95=6)),GC95+8,VLOOKUP(CW97,Fixtures!R$31:Y$78,8,FALSE)),"")</f>
        <v/>
      </c>
      <c r="DR95" s="1829" t="str">
        <f>DQ95</f>
        <v/>
      </c>
      <c r="DS95" s="1702" t="str">
        <f>IFERROR(VLOOKUP(DG97,Lookup!BB$3:BC$20,2,FALSE),"")</f>
        <v/>
      </c>
      <c r="DT95" s="1713" t="str">
        <f>IF(OR(DS95=7,DS95=8,DS95=9),"ALC","")</f>
        <v/>
      </c>
      <c r="DU95" s="1715">
        <f>IFERROR(IF(OR(DQ95=4,DQ95=5,DQ95=6,DQ95=12,DQ95=13,DQ95=14),VLOOKUP(CW97,Fixtures!DN$27:EG$77,19,FALSE),1)*CV97,0)</f>
        <v>0</v>
      </c>
      <c r="DV95" s="1716">
        <f>IF(OR(DS95=7,DS95=8,DS95=9),IF(DG95=DG97,0,DF97),0)</f>
        <v>0</v>
      </c>
      <c r="DX95" s="1715" t="str">
        <f>IFERROR(IF(EZ95&lt;EZ97,"Yes","No"),"")</f>
        <v/>
      </c>
      <c r="DY95" s="1829" t="str">
        <f>DX95</f>
        <v/>
      </c>
      <c r="DZ95" s="1715">
        <f>IF(DX95="Yes",DF97,0)</f>
        <v>0</v>
      </c>
      <c r="EA95" s="1715">
        <f>DZ95-DV95</f>
        <v>0</v>
      </c>
      <c r="EC95" s="1834">
        <f>IFERROR(VLOOKUP(DQ95,Lookup!AU$3:AV$16,2,FALSE),0)</f>
        <v>0</v>
      </c>
      <c r="ED95" s="1834">
        <f>IF(IB95=FALSE,0,IF(DX95="Yes",EC95+Lookup!K$6,EC95))</f>
        <v>0</v>
      </c>
      <c r="EF95" s="1707">
        <f>IF(IB95=TRUE,DM95,0)</f>
        <v>0</v>
      </c>
      <c r="EG95" s="1712">
        <f>IF(IB95=TRUE,CZ97,0)</f>
        <v>0</v>
      </c>
      <c r="EH95" s="1814">
        <f>IFERROR(EF95-EG95,0)</f>
        <v>0</v>
      </c>
      <c r="EI95" s="1712">
        <f>IF(IB95=TRUE,DJ97,0)</f>
        <v>0</v>
      </c>
      <c r="EJ95" s="1712">
        <f>IFERROR(EF95-EG95+EI95,0)</f>
        <v>0</v>
      </c>
      <c r="EK95" s="1812">
        <f>IF(IB95=TRUE,CV97*CX97,0)</f>
        <v>0</v>
      </c>
      <c r="EL95" s="1812">
        <f>IF(IB95=TRUE,DF97*DH97,0)</f>
        <v>0</v>
      </c>
      <c r="EM95" s="1807">
        <f>AR95</f>
        <v>0</v>
      </c>
      <c r="EN95" s="1839" t="str">
        <f>IFERROR(IF(IB95=TRUE,VLOOKUP(DQ95,Lookup!AU$3:AW$16,3,FALSE)*DU95,""),0)</f>
        <v/>
      </c>
      <c r="EO95" s="1839">
        <f>IF(IB95=TRUE,DZ95*Lookup!AW$12,0)</f>
        <v>0</v>
      </c>
      <c r="EP95" s="1817">
        <f>IFERROR(IF(IB95=TRUE,EN95/EP$40,0),0)</f>
        <v>0</v>
      </c>
      <c r="EQ95" s="1817">
        <f>IF(IB95=TRUE,EO95/EQ$40,0)</f>
        <v>0</v>
      </c>
      <c r="ER95" s="1807">
        <f>IF(IB95=TRUE,ET$40*EP95,0)</f>
        <v>0</v>
      </c>
      <c r="ES95" s="1807">
        <f>IF(IB95=TRUE,ET$40*EQ95,0)</f>
        <v>0</v>
      </c>
      <c r="ET95" s="1807">
        <f>ER95+ES95</f>
        <v>0</v>
      </c>
      <c r="EV95" s="1715">
        <f>IF(G95="",0,1)</f>
        <v>0</v>
      </c>
      <c r="EX95" s="1804" t="str">
        <f>IFERROR(VLOOKUP(CS97,'Space Table'!$B$3:$L$163,8,FALSE),"")</f>
        <v/>
      </c>
      <c r="EY95" s="1804" t="str">
        <f>IFERROR(IF(FB95="Yes",VLOOKUP(DG95,Lookup_Control_Type_Table2,4,FALSE),VLOOKUP(DG95,Lookup_Control_Type_Table2,3,FALSE)),"")</f>
        <v/>
      </c>
      <c r="EZ95" s="1804" t="e">
        <f>VLOOKUP(DG95,Lookup!BB$3:BC$20,2,FALSE)</f>
        <v>#N/A</v>
      </c>
      <c r="FA95" s="1804" t="e">
        <f>VLOOKUP(EX95,Lookup_Control_Type_Table,2,FALSE)</f>
        <v>#N/A</v>
      </c>
      <c r="FB95" s="1804" t="e">
        <f>VLOOKUP(CS97,'Space Table'!$B$3:$L$163,7,FALSE)</f>
        <v>#N/A</v>
      </c>
      <c r="FC95" s="1826" t="b">
        <f>ISNUMBER(SEARCH("TLED",U97))</f>
        <v>0</v>
      </c>
      <c r="FE95" s="1698" t="str">
        <f>CONCATENATE(CQ95," - ",DG95)</f>
        <v xml:space="preserve"> - 0</v>
      </c>
      <c r="FG95" s="1702" t="str">
        <f>VLOOKUP(CW97,Fixtures!DN$27:EZ$77,38,FALSE)</f>
        <v/>
      </c>
      <c r="FH95" s="1702">
        <f>IFERROR(FG95*EH95,0)</f>
        <v>0</v>
      </c>
      <c r="FI95" s="133"/>
      <c r="FL95" s="1822" t="str">
        <f>IF(CQ95="Exterior","Not Daylighted",G98)</f>
        <v>Not Daylighted</v>
      </c>
      <c r="FM95" s="1824">
        <f>VLOOKUP(FL95,_New_Daylight_Table_Codes,2,FALSE)</f>
        <v>0</v>
      </c>
      <c r="FN95" s="1698">
        <f>IF(__Retrofit_TI_NC&gt;0,VLOOKUP(G97,'Space Table'!$B$3:$L$163,11,FALSE),AG96)</f>
        <v>0</v>
      </c>
      <c r="FO95" s="1698" t="e">
        <f>IF(__Retrofit_TI_NC=2,VLOOKUP(FQ95,_Control_Table,2,FALSE),VLOOKUP(FN95,_Control_Table,2,FALSE))</f>
        <v>#N/A</v>
      </c>
      <c r="FP95" s="1678" t="e">
        <f>VLOOKUP(CONCATENATE(FL95," ",FN95),Lookup!AY$102:AZ105,2,FALSE)</f>
        <v>#N/A</v>
      </c>
      <c r="FQ95" s="1678">
        <f>IF(__Retrofit_TI_NC=0,FN95,IF(AND(FT95&gt;0,FN95="Occupancy Sensor"),"Daylight + Occupancy",IF(AND(FT95&gt;0,VLOOKUP(FN95,_Control_Table,2,FALSE)&lt;4),"Interior Daylight Dimming",FN95)))</f>
        <v>0</v>
      </c>
      <c r="FS95" s="1686">
        <f>IF(CR95="Interior",VLOOKUP(CS95,Control_Savings_Interior,5,FALSE),0)</f>
        <v>0</v>
      </c>
      <c r="FT95" s="1687">
        <f>IF(CQ95="Exterior",0,IF(FM95=2,0.5,IF(OR(FM95=1,FM95=3),1,0)))</f>
        <v>0</v>
      </c>
      <c r="FU95" s="1685">
        <f>IF(R94&gt;FS$44,(FS95*(FS$44/R94)),FS95)*FT95</f>
        <v>0</v>
      </c>
      <c r="FV95" s="1686">
        <f>DI95</f>
        <v>0</v>
      </c>
      <c r="FW95" s="1686">
        <f>ROUND(FV95+((1-FV95)*FU95),2)</f>
        <v>0</v>
      </c>
      <c r="FX95" s="1686">
        <f>IF(__Retrofit_TI_NC=2,FW95,FV95)</f>
        <v>0</v>
      </c>
      <c r="FY95" s="1697"/>
      <c r="GA95" s="1696" t="str">
        <f>IFERROR(VLOOKUP(U96,_Exist_Fixture_Table,3,FALSE),"")</f>
        <v/>
      </c>
      <c r="GB95" s="1696" t="str">
        <f>VLOOKUP(CW95,_Exist_Fixture_Table,4,FALSE)</f>
        <v/>
      </c>
      <c r="GC95" s="1696">
        <f>IFERROR(VLOOKUP(GB95,Lookup!AT$6:AU$8,2,FALSE),0)</f>
        <v>0</v>
      </c>
      <c r="GD95" s="1696" t="b">
        <f>IFERROR(IF(OR(GF95=4,GF95=5,GF95=6),TRUE,FALSE),"")</f>
        <v>0</v>
      </c>
      <c r="GE95" s="1696" t="str">
        <f>IFERROR(VLOOKUP(GF95,GC$6:GD$10,2,FALSE),"")</f>
        <v/>
      </c>
      <c r="GF95" s="1696" t="str">
        <f>VLOOKUP(CW97,Fixtures!R$31:Y$78,8,FALSE)</f>
        <v/>
      </c>
      <c r="GG95" s="1696">
        <f>IF(AND(GA95=TRUE,GD95=TRUE,OR(DQ95=12,DQ95=13,DQ95=14)),GC95+8,0)</f>
        <v>0</v>
      </c>
      <c r="GH95" s="1696" t="b">
        <f>IF(OR(GG95=12,GG95=13,GG95=14),TRUE,FALSE)</f>
        <v>0</v>
      </c>
      <c r="GI95" s="673" t="b">
        <f>IF(ISNUMBER(SEARCH("TLED",U96)),TRUE,FALSE)</f>
        <v>0</v>
      </c>
      <c r="GJ95" s="1135" t="str">
        <f>IFERROR(VLOOKUP(U96,Fixtures!BM$93:BR$142,6,FALSE),"")</f>
        <v/>
      </c>
      <c r="GK95" s="1832" t="b">
        <f>IF(OR(GI95=FALSE,GI97=FALSE),TRUE,IF(GJ95-GJ97&lt;5,FALSE,TRUE))</f>
        <v>1</v>
      </c>
      <c r="GO95" s="674">
        <f>GP95</f>
        <v>0</v>
      </c>
      <c r="GP95" s="674">
        <f>IF(G95="",0,1)</f>
        <v>0</v>
      </c>
      <c r="GQ95" s="674">
        <f ca="1">SUM(GR95:HF95)</f>
        <v>2</v>
      </c>
      <c r="GR95" s="674">
        <f>IF(G96="",0,1)</f>
        <v>0</v>
      </c>
      <c r="GS95" s="674">
        <f>IF(N98="BAM",1,IF(G97="",0,1))</f>
        <v>0</v>
      </c>
      <c r="GT95" s="674">
        <f>IF(N98="BAM",1,IF(R96="",0,1))</f>
        <v>0</v>
      </c>
      <c r="GU95" s="674">
        <f>IF(N98="BAM",1,IF(__Retrofit_TI_NC=0,1,IF(R97="",0,1)))</f>
        <v>1</v>
      </c>
      <c r="GV95" s="674">
        <f>IF(N98="BAM",1,IF(CQ95="Exterior",1,IF(G98="",0,1)))</f>
        <v>1</v>
      </c>
      <c r="GW95" s="674">
        <f>IF(__Retrofit_TI_NC&gt;0,1,IF(T96="",0,1))</f>
        <v>0</v>
      </c>
      <c r="GX95" s="674">
        <f>IF(__Retrofit_TI_NC&gt;0,1,IF(U96="",0,1))</f>
        <v>0</v>
      </c>
      <c r="GY95" s="674">
        <f>IF(N98="BAM",1,IF(T97="",0,1))</f>
        <v>0</v>
      </c>
      <c r="GZ95" s="674">
        <f>IF(N98="BAM",1,IF(U97="",0,1))</f>
        <v>0</v>
      </c>
      <c r="HA95" s="674">
        <f ca="1">IF(N98="BAM",1,IF(__Retrofit_TI_NC&gt;0,1,IF(U98="",0,1)))</f>
        <v>0</v>
      </c>
      <c r="HB95" s="674">
        <f>IF(__Retrofit_TI_NC&lt;&gt;0,1,IF(AF96="",0,1))</f>
        <v>0</v>
      </c>
      <c r="HC95" s="674">
        <f>IF(__Retrofit_TI_NC&lt;&gt;0,1,IF(AG96="",0,1))</f>
        <v>0</v>
      </c>
      <c r="HD95" s="674">
        <f>IF(N98="BAM",1,IF(AF97="",0,1))</f>
        <v>0</v>
      </c>
      <c r="HE95" s="674">
        <f>IF(N98="BAM",1,IF(AG97="",0,1))</f>
        <v>0</v>
      </c>
      <c r="HF95" s="674">
        <f>IF(N98="BAM",1,IF(__Retrofit_TI_NC&gt;0,1,IF(AG98="",0,1)))</f>
        <v>0</v>
      </c>
      <c r="HG95" s="391"/>
      <c r="IA95" s="391"/>
      <c r="IB95" s="1693" t="b">
        <f>IF(OR(IB98=0,IB98=HY$16,IB98=HX$16,IB98=HZ$16),TRUE,FALSE)</f>
        <v>0</v>
      </c>
      <c r="IC95" s="1694" t="b">
        <f>IB95</f>
        <v>0</v>
      </c>
      <c r="ID95" s="391"/>
      <c r="IE95" s="391"/>
      <c r="IF95" s="1688" t="b">
        <f ca="1">IF(MAX(GN98:HU98)&gt;5,FALSE,TRUE)</f>
        <v>0</v>
      </c>
      <c r="IG95" s="1689">
        <f ca="1">IF(IF95=TRUE,AC95,0)</f>
        <v>0</v>
      </c>
      <c r="IH95" s="1689">
        <f ca="1">IG95-IG97</f>
        <v>0</v>
      </c>
      <c r="IK95" s="1689" t="e">
        <f>ROUND(T96*VLOOKUP(U96,Fixtures_Existing_List,2,FALSE)*N96*R96/1000,0)</f>
        <v>#N/A</v>
      </c>
      <c r="IL95" s="1690" t="e">
        <f>IK95-IK97</f>
        <v>#N/A</v>
      </c>
      <c r="IM95" s="1693" t="e">
        <f>ROUND(IF(CQ95="Interior",N97*R97*R96*N96*_C406_reduction/1000,N97*R97*R96*N96/1000),0)</f>
        <v>#N/A</v>
      </c>
      <c r="IN95" s="1693" t="e">
        <f>IM95-IM97</f>
        <v>#N/A</v>
      </c>
      <c r="IP95" s="1679"/>
      <c r="IQ95" s="1679" t="e">
        <f t="shared" ref="IQ95:IU95" si="61">IF($CR95="interior",VLOOKUP($CS95,_New_Control_Savings_Interior,IQ$30,FALSE),VLOOKUP($CS95,Control_Savings_Exterior,IQ$30,FALSE))</f>
        <v>#N/A</v>
      </c>
      <c r="IR95" s="1679" t="e">
        <f t="shared" si="61"/>
        <v>#N/A</v>
      </c>
      <c r="IS95" s="1679" t="e">
        <f t="shared" si="61"/>
        <v>#N/A</v>
      </c>
      <c r="IT95" s="1679" t="e">
        <f t="shared" si="61"/>
        <v>#N/A</v>
      </c>
      <c r="IU95" s="1679" t="e">
        <f t="shared" si="61"/>
        <v>#N/A</v>
      </c>
      <c r="IV95" s="1679" t="e">
        <f>IF($CR95="interior",IF(R96&gt;$IP$14,ROUND(($IV$18*($IP$14/R96)),2),$IV$18),VLOOKUP($CS95,Control_Savings_Exterior,IV$30,FALSE))</f>
        <v>#N/A</v>
      </c>
      <c r="IW95" s="1679" t="e">
        <f>IF($CR95="interior",ROUND(((1-IS95)*IV95)+IS95,2),VLOOKUP($CS95,Control_Savings_Exterior,IW$30,FALSE))</f>
        <v>#N/A</v>
      </c>
      <c r="IX95" s="1679" t="e">
        <f>IF($CR95="interior",ROUND(((1-IT95)*IV95)+IT95,2),VLOOKUP($CS95,Control_Savings_Exterior,IX$30,FALSE))</f>
        <v>#N/A</v>
      </c>
      <c r="IY95" s="1679" t="e">
        <f>IF($CR95="interior",IF(R96&gt;$IP$14,ROUND(($IY$18*($IP$14/R96)),2),$IY$18),VLOOKUP($CS95,Control_Savings_Exterior,IY$30,FALSE))</f>
        <v>#N/A</v>
      </c>
      <c r="IZ95" s="1679" t="e">
        <f>IF($CR95="interior",ROUND(((1-IS95)*IY95)+IS95,2),VLOOKUP($CS95,Control_Savings_Exterior,IZ$30,FALSE))</f>
        <v>#N/A</v>
      </c>
      <c r="JA95" s="1679" t="e">
        <f>IF($CR95="interior",ROUND(((1-IT95)*IY95)+IT95,2),VLOOKUP($CS95,Control_Savings_Exterior,JA$30,FALSE))</f>
        <v>#N/A</v>
      </c>
      <c r="JC95" s="1680">
        <f>IFERROR(IF(CR95="Interior",CONCATENATE(G98," ",FQ95),FQ95),"")</f>
        <v>0</v>
      </c>
      <c r="JD95" s="1670" t="str">
        <f>IFERROR(VLOOKUP(JC95,_Controls_2023,2,FALSE),"")</f>
        <v/>
      </c>
      <c r="JE95" s="1681">
        <f>IFERROR(CHOOSE(JD95-1,IQ95,IR95,IS95,IT95,IU95,IV95,IW95,IX95,IY95,IZ95,JA95),0)</f>
        <v>0</v>
      </c>
      <c r="JG95" s="1680" t="str">
        <f>FE95</f>
        <v xml:space="preserve"> - 0</v>
      </c>
      <c r="JH95" s="1670" t="e">
        <f>$FO95</f>
        <v>#N/A</v>
      </c>
      <c r="JI95" s="1060"/>
      <c r="JJ95" s="1682" t="b">
        <f>IF($JG97=CONCATENATE("Interior - ",JJ$4),TRUE,FALSE)</f>
        <v>0</v>
      </c>
      <c r="JK95" s="1061"/>
      <c r="JL95" s="1682" t="b">
        <f>IF($JG97=CONCATENATE("Interior - ",JL$4),TRUE,FALSE)</f>
        <v>0</v>
      </c>
      <c r="JM95" s="1061"/>
      <c r="JN95" s="1682" t="b">
        <f>IF($JG97=CONCATENATE("Interior - ",JN$4),TRUE,FALSE)</f>
        <v>0</v>
      </c>
      <c r="JO95" s="1061"/>
      <c r="JP95" s="1682" t="b">
        <f>IF(__Retrofit_TI_NC&gt;0,FALSE,IF($JG97=CONCATENATE("Interior - ",JP$4),TRUE,FALSE))</f>
        <v>0</v>
      </c>
      <c r="JQ95" s="1061"/>
      <c r="JR95" s="1682" t="b">
        <f>IF(__Retrofit_TI_NC&gt;0,FALSE,IF($JG97=CONCATENATE("Interior - ",JR$4),TRUE,FALSE))</f>
        <v>0</v>
      </c>
      <c r="JS95" s="1061"/>
      <c r="JT95" s="1670" t="b">
        <f>IF(__Retrofit_TI_NC&gt;0,FALSE,IF($JG97=CONCATENATE("Interior - ",JT$4),TRUE,FALSE))</f>
        <v>0</v>
      </c>
      <c r="JU95" s="1061"/>
      <c r="JV95" s="1670" t="b">
        <f>IF(JC97="AELC on Existing",TRUE,FALSE)</f>
        <v>0</v>
      </c>
      <c r="JX95" s="1670" t="b">
        <f>IF(OR(JG97="Exterior - AELC Occupancy based",JG97="Exterior - AELC Time based"),TRUE,FALSE)</f>
        <v>0</v>
      </c>
      <c r="JZ95" s="1682" t="b">
        <f>IF($JG97=CONCATENATE("Exterior - ",JZ$4),TRUE,FALSE)</f>
        <v>0</v>
      </c>
      <c r="KB95" s="1670" t="b">
        <f>IF(__Retrofit_TI_NC&gt;0,FALSE,IF($JG97=CONCATENATE("Interior - ",KB$4),TRUE,FALSE))</f>
        <v>0</v>
      </c>
    </row>
    <row r="96" spans="1:288" s="78" customFormat="1" ht="14.95" customHeight="1" thickTop="1" thickBot="1">
      <c r="B96" s="1845"/>
      <c r="C96" s="1846"/>
      <c r="D96" s="1847"/>
      <c r="E96" s="1737" t="s">
        <v>297</v>
      </c>
      <c r="F96" s="1738"/>
      <c r="G96" s="1739"/>
      <c r="H96" s="1739"/>
      <c r="I96" s="1739"/>
      <c r="J96" s="1739"/>
      <c r="K96" s="1739"/>
      <c r="L96" s="1739"/>
      <c r="M96" s="461" t="e">
        <f>IF(__Retrofit_TI_NC&lt;&gt;0,IF(VLOOKUP(G97,'Space Table'!$B$3:$L$163,3,FALSE)&gt;0,1,0),IF(__Retrofit_TI_NC=VLOOKUP(G97,'Space Table'!$B$3:$L$163,3,FALSE),1,0))</f>
        <v>#N/A</v>
      </c>
      <c r="N96" s="461" t="str">
        <f>IFERROR(VLOOKUP(G96,_Lookup_Heat_Type_Table_New,2,FALSE),"")</f>
        <v/>
      </c>
      <c r="O96" s="461">
        <f>IF(__Retrofit_TI_NC=1,CONCATENATE("TI ",G96),IF(__Retrofit_TI_NC=2,CONCATENATE("NC ",G96),G96))</f>
        <v>0</v>
      </c>
      <c r="P96" s="1740" t="s">
        <v>435</v>
      </c>
      <c r="Q96" s="1740"/>
      <c r="R96" s="595"/>
      <c r="S96" s="1792"/>
      <c r="T96" s="597"/>
      <c r="U96" s="1765"/>
      <c r="V96" s="1766"/>
      <c r="W96" s="1766"/>
      <c r="X96" s="1766"/>
      <c r="Y96" s="1766"/>
      <c r="Z96" s="1766"/>
      <c r="AA96" s="1766"/>
      <c r="AB96" s="1766"/>
      <c r="AC96" s="1766"/>
      <c r="AD96" s="1767"/>
      <c r="AE96" s="1000"/>
      <c r="AF96" s="597"/>
      <c r="AG96" s="1723"/>
      <c r="AH96" s="1724"/>
      <c r="AI96" s="1724"/>
      <c r="AJ96" s="1724"/>
      <c r="AK96" s="1725"/>
      <c r="AL96" s="996"/>
      <c r="AM96" s="1747"/>
      <c r="AN96" s="1775"/>
      <c r="AO96" s="1777"/>
      <c r="AP96" s="1780"/>
      <c r="AQ96" s="1781"/>
      <c r="AR96" s="1795"/>
      <c r="AS96" s="1795"/>
      <c r="AT96" s="1796"/>
      <c r="AU96" s="1735"/>
      <c r="AV96" s="1752"/>
      <c r="AW96" s="1705"/>
      <c r="AX96" s="467"/>
      <c r="AY96" s="1749"/>
      <c r="AZ96" s="1749"/>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696"/>
      <c r="CQ96" s="1696"/>
      <c r="CR96" s="1809"/>
      <c r="CS96" s="1811"/>
      <c r="CU96" s="1688"/>
      <c r="CV96" s="1703"/>
      <c r="CW96" s="1703"/>
      <c r="CX96" s="1703"/>
      <c r="CY96" s="1815"/>
      <c r="CZ96" s="1711"/>
      <c r="DA96" s="1818"/>
      <c r="DB96" s="1820"/>
      <c r="DC96" s="1820"/>
      <c r="DD96" s="1820"/>
      <c r="DF96" s="1703"/>
      <c r="DG96" s="1831"/>
      <c r="DH96" s="1703"/>
      <c r="DI96" s="1838"/>
      <c r="DJ96" s="1711"/>
      <c r="DK96" s="1712"/>
      <c r="DM96" s="1718"/>
      <c r="DO96" s="1708"/>
      <c r="DQ96" s="1715"/>
      <c r="DR96" s="1720"/>
      <c r="DS96" s="1816"/>
      <c r="DT96" s="1714"/>
      <c r="DU96" s="1715"/>
      <c r="DV96" s="1716"/>
      <c r="DX96" s="1715"/>
      <c r="DY96" s="1720"/>
      <c r="DZ96" s="1715"/>
      <c r="EA96" s="1715"/>
      <c r="EC96" s="1834"/>
      <c r="ED96" s="1834"/>
      <c r="EF96" s="1707"/>
      <c r="EG96" s="1712"/>
      <c r="EH96" s="1818"/>
      <c r="EI96" s="1712"/>
      <c r="EJ96" s="1712"/>
      <c r="EK96" s="1836"/>
      <c r="EL96" s="1836"/>
      <c r="EM96" s="1807"/>
      <c r="EN96" s="1839"/>
      <c r="EO96" s="1839"/>
      <c r="EP96" s="1817"/>
      <c r="EQ96" s="1817"/>
      <c r="ER96" s="1807"/>
      <c r="ES96" s="1807"/>
      <c r="ET96" s="1807"/>
      <c r="EV96" s="1715"/>
      <c r="EX96" s="1805"/>
      <c r="EY96" s="1805"/>
      <c r="EZ96" s="1805"/>
      <c r="FA96" s="1805"/>
      <c r="FB96" s="1805"/>
      <c r="FC96" s="1827"/>
      <c r="FE96" s="1698"/>
      <c r="FG96" s="1816"/>
      <c r="FH96" s="1816"/>
      <c r="FI96" s="133"/>
      <c r="FL96" s="1823"/>
      <c r="FM96" s="1825"/>
      <c r="FN96" s="1698"/>
      <c r="FO96" s="1698"/>
      <c r="FP96" s="1678"/>
      <c r="FQ96" s="1678"/>
      <c r="FS96" s="1687"/>
      <c r="FT96" s="1687"/>
      <c r="FU96" s="1685"/>
      <c r="FV96" s="1687"/>
      <c r="FW96" s="1687"/>
      <c r="FX96" s="1687"/>
      <c r="FY96" s="1697"/>
      <c r="GA96" s="1696"/>
      <c r="GB96" s="1696"/>
      <c r="GC96" s="1696"/>
      <c r="GD96" s="1696"/>
      <c r="GE96" s="1696"/>
      <c r="GF96" s="1696"/>
      <c r="GG96" s="1696"/>
      <c r="GH96" s="1696"/>
      <c r="GI96" s="673"/>
      <c r="GJ96" s="1135"/>
      <c r="GK96" s="1832"/>
      <c r="GM96" s="1693" t="b">
        <f ca="1">IF(AND(GP96=TRUE,GQ96=TRUE),TRUE,FALSE)</f>
        <v>0</v>
      </c>
      <c r="GN96" s="1684" t="b">
        <f>IFERROR(IF(__Retrofit_TI_NC=2,TRUE,IF(AU95="Yes",TRUE,FALSE)),FALSE)</f>
        <v>1</v>
      </c>
      <c r="GP96" s="1684" t="b">
        <f>IFERROR(IF(GP95=1,TRUE,FALSE),FALSE)</f>
        <v>0</v>
      </c>
      <c r="GQ96" s="1684" t="b">
        <f ca="1">IFERROR(IF(GQ95=GQ$14,TRUE,FALSE),FALSE)</f>
        <v>0</v>
      </c>
      <c r="HG96" s="1684" t="b">
        <f>IFERROR(IF(AND(__Retrofit_TI_NC&gt;0,CQ95="Interior"),FALSE,TRUE),FALSE)</f>
        <v>1</v>
      </c>
      <c r="HH96" s="1684" t="b">
        <f>IFERROR(IF(M96=1,TRUE,FALSE),FALSE)</f>
        <v>0</v>
      </c>
      <c r="HI96" s="1684" t="b">
        <f>IFERROR(IF(OR(M97=1,N98="BAM"),TRUE,FALSE),FALSE)</f>
        <v>0</v>
      </c>
      <c r="HJ96" s="1684" t="b">
        <f>IFERROR(IF(__Retrofit_TI_NC&lt;&gt;0,TRUE,IFERROR(IF(VLOOKUP(U96,Fixtures_Existing_List,2,FALSE)&lt;&gt;"",TRUE,FALSE),FALSE)),FALSE)</f>
        <v>0</v>
      </c>
      <c r="HK96" s="1684" t="b">
        <f>IFERROR(IF(VLOOKUP(U97,Fixtures_Proposed_List,2,FALSE)&lt;&gt;"",TRUE,FALSE),FALSE)</f>
        <v>0</v>
      </c>
      <c r="HL96" s="1684" t="b">
        <f>IF(AND(__Retrofit_TI_NC=2,FC95=TRUE),FALSE,TRUE)</f>
        <v>1</v>
      </c>
      <c r="HM96" s="1684" t="b">
        <f>GK95</f>
        <v>1</v>
      </c>
      <c r="HN96" s="1682" t="b">
        <f>IF(ISERROR(MATCH(FE95,_Control_Match[],0))=TRUE,FALSE,TRUE)</f>
        <v>0</v>
      </c>
      <c r="HO96" s="1693" t="b">
        <f>IFERROR(IF(EX95&lt;&gt;EY95,FALSE,TRUE),FALSE)</f>
        <v>1</v>
      </c>
      <c r="HP96" s="1693" t="b">
        <f>IFERROR(IF(EX97&lt;&gt;EY97,FALSE,TRUE),FALSE)</f>
        <v>1</v>
      </c>
      <c r="HQ96" s="1670" t="b">
        <f>IFERROR(IF(CQ95="Exterior",TRUE,IF(AND(OR(FM97=0,FM97=3),JD97&gt;6),FALSE,TRUE)),FALSE)</f>
        <v>0</v>
      </c>
      <c r="HR96" s="1684" t="b">
        <f>IFERROR(IF(AND(FO97=7,FC95=TRUE),FALSE,TRUE),FALSE)</f>
        <v>0</v>
      </c>
      <c r="HS96" s="1684" t="b">
        <f>IFERROR(IF(AND(T97&lt;&gt;AF97,OR(AG97="Interior LLLC", AG97="Interior NLC", AG97="LLLC (outside Daylight)",AG97="LLLC Controls Only"))=TRUE,FALSE,TRUE),FALSE)</f>
        <v>1</v>
      </c>
      <c r="HT96" s="1670" t="b">
        <f>IFERROR(IF(OR(AG97=Lookup!BB$17,AG97=Lookup!BB$18,AG97=Lookup!BB$19)=TRUE,IF(AF97&gt;T97,FALSE,TRUE),TRUE),FALSE)</f>
        <v>1</v>
      </c>
      <c r="HU96" s="1684" t="b">
        <f>IFERROR(IF(__Retrofit_TI_NC=2,IF(EZ97&lt;EZ95,FALSE,TRUE),TRUE),FALSE)</f>
        <v>1</v>
      </c>
      <c r="HV96" s="1684" t="b">
        <f>IF(CQ95="Interior",IL$6,TRUE)</f>
        <v>1</v>
      </c>
      <c r="HW96" s="1684" t="b">
        <f>IF(CQ95="Exterior",IL$8,TRUE)</f>
        <v>1</v>
      </c>
      <c r="HX96" s="1684" t="b">
        <f>IFERROR(IF(__Retrofit_TI_NC&lt;&gt;0,IF(AZ95&lt;AY95,FALSE,TRUE),TRUE),FALSE)</f>
        <v>1</v>
      </c>
      <c r="HY96" s="1684" t="b">
        <f>IFERROR(IF(AND(G96="Exterior",R96&gt;4200),FALSE,TRUE),FALSE)</f>
        <v>1</v>
      </c>
      <c r="HZ96" s="1684" t="b">
        <f>IFERROR(IF(AB98/AB95&lt;HZ$18,FALSE,TRUE),FALSE)</f>
        <v>0</v>
      </c>
      <c r="IB96" s="1691"/>
      <c r="IC96" s="1695"/>
      <c r="ID96" s="1694" t="str">
        <f>VLOOKUP(IB98,_Error_Table,4,FALSE)</f>
        <v>White</v>
      </c>
      <c r="IE96" s="391"/>
      <c r="IF96" s="1688"/>
      <c r="IG96" s="1689"/>
      <c r="IH96" s="1684"/>
      <c r="IK96" s="1689"/>
      <c r="IL96" s="1691"/>
      <c r="IM96" s="1691"/>
      <c r="IN96" s="1691"/>
      <c r="IP96" s="1679"/>
      <c r="IQ96" s="1679"/>
      <c r="IR96" s="1679"/>
      <c r="IS96" s="1679"/>
      <c r="IT96" s="1679"/>
      <c r="IU96" s="1679"/>
      <c r="IV96" s="1679"/>
      <c r="IW96" s="1679"/>
      <c r="IX96" s="1679"/>
      <c r="IY96" s="1679"/>
      <c r="IZ96" s="1679"/>
      <c r="JA96" s="1679"/>
      <c r="JC96" s="1680"/>
      <c r="JD96" s="1670"/>
      <c r="JE96" s="1681"/>
      <c r="JG96" s="1680"/>
      <c r="JH96" s="1670"/>
      <c r="JI96" s="1060"/>
      <c r="JJ96" s="1683"/>
      <c r="JK96" s="1061"/>
      <c r="JL96" s="1683"/>
      <c r="JM96" s="1061"/>
      <c r="JN96" s="1683"/>
      <c r="JO96" s="1061"/>
      <c r="JP96" s="1683"/>
      <c r="JQ96" s="1061"/>
      <c r="JR96" s="1683"/>
      <c r="JS96" s="1061"/>
      <c r="JT96" s="1670"/>
      <c r="JU96" s="1061"/>
      <c r="JV96" s="1670"/>
      <c r="JX96" s="1670"/>
      <c r="JZ96" s="1683"/>
      <c r="KB96" s="1670"/>
    </row>
    <row r="97" spans="1:288" s="78" customFormat="1" ht="14.95" customHeight="1" thickTop="1" thickBot="1">
      <c r="A97" s="78">
        <f>ROW()</f>
        <v>97</v>
      </c>
      <c r="B97" s="1845"/>
      <c r="C97" s="1846"/>
      <c r="D97" s="1847"/>
      <c r="E97" s="1737" t="s">
        <v>298</v>
      </c>
      <c r="F97" s="1738"/>
      <c r="G97" s="1760"/>
      <c r="H97" s="1761"/>
      <c r="I97" s="1761"/>
      <c r="J97" s="1761"/>
      <c r="K97" s="1761"/>
      <c r="L97" s="1762"/>
      <c r="M97" s="461">
        <f>IFERROR(IF(IF(__Retrofit_TI_NC&lt;&gt;0,IF(CQ95="Interior",MATCH(G97,Lookup_Interior_New,0),MATCH(G97,Lookup_Exterior_New,0)),IF(CQ95="Interior",MATCH(G97,Lookup_Interior,0),MATCH(G97,Lookup_Exterior_Areas,0)))&gt;0,1,0),0)</f>
        <v>0</v>
      </c>
      <c r="N97" s="461" t="e">
        <f>IF(__Retrofit_TI_NC=1,
VLOOKUP(G97,'Space Table'!$B$3:$L$163,4,FALSE),
IF(__Retrofit_TI_NC=2,VLOOKUP(G97,'Space Table'!$B$3:$L$163,5,FALSE),VLOOKUP(G97,'Space Table'!$B$3:$L$163,5,FALSE)))</f>
        <v>#N/A</v>
      </c>
      <c r="O97" s="461">
        <f>G97</f>
        <v>0</v>
      </c>
      <c r="P97" s="1738" t="str">
        <f>IFERROR(IF(__Retrofit_TI_NC=1,VLOOKUP(G97,'Space Table'!$B$3:$O$163,13,FALSE),IF(__Retrofit_TI_NC=2,VLOOKUP(G97,'Space Table'!$B$3:$O$163,14,FALSE),"Area (sf):")),"Area (sf):")</f>
        <v>Area (sf):</v>
      </c>
      <c r="Q97" s="1738"/>
      <c r="R97" s="596"/>
      <c r="S97" s="1763" t="s">
        <v>345</v>
      </c>
      <c r="T97" s="594"/>
      <c r="U97" s="1801"/>
      <c r="V97" s="1802"/>
      <c r="W97" s="1802"/>
      <c r="X97" s="1802"/>
      <c r="Y97" s="1802"/>
      <c r="Z97" s="1802"/>
      <c r="AA97" s="1802"/>
      <c r="AB97" s="1802"/>
      <c r="AC97" s="1802"/>
      <c r="AD97" s="1802"/>
      <c r="AE97" s="1803"/>
      <c r="AF97" s="594"/>
      <c r="AG97" s="1787"/>
      <c r="AH97" s="1787"/>
      <c r="AI97" s="1787"/>
      <c r="AJ97" s="1787"/>
      <c r="AK97" s="1787"/>
      <c r="AL97" s="1787"/>
      <c r="AM97" s="1726">
        <f>IFERROR(DI97,"")</f>
        <v>0</v>
      </c>
      <c r="AN97" s="1728" t="str">
        <f>IFERROR(ROUND(AM97*AC98,0),"")</f>
        <v/>
      </c>
      <c r="AO97" s="1730">
        <f>IFERROR(IF(IB95=FALSE,0,AC98-AN97),0)</f>
        <v>0</v>
      </c>
      <c r="AP97" s="1780"/>
      <c r="AQ97" s="1781"/>
      <c r="AR97" s="1795"/>
      <c r="AS97" s="1795"/>
      <c r="AT97" s="1796"/>
      <c r="AU97" s="1735"/>
      <c r="AV97" s="1752"/>
      <c r="AW97" s="1705"/>
      <c r="AX97" s="467"/>
      <c r="AY97" s="1749"/>
      <c r="AZ97" s="1749"/>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696"/>
      <c r="CQ97" s="1696"/>
      <c r="CR97" s="1808" t="str">
        <f>CQ95</f>
        <v/>
      </c>
      <c r="CS97" s="1810" t="str">
        <f>CS95</f>
        <v/>
      </c>
      <c r="CU97" s="1688" t="s">
        <v>345</v>
      </c>
      <c r="CV97" s="1702">
        <f>IF(IB95=TRUE,T97,0)</f>
        <v>0</v>
      </c>
      <c r="CW97" s="1702" t="str">
        <f>IF(IB95=TRUE,U97,"")</f>
        <v/>
      </c>
      <c r="CX97" s="1812">
        <f>IF(IB95=TRUE,U98,0)</f>
        <v>0</v>
      </c>
      <c r="CY97" s="1814">
        <f>IF(IB95=TRUE,AB98,0)</f>
        <v>0</v>
      </c>
      <c r="CZ97" s="1710">
        <f>IF(AND(__Retrofit_TI_NC&gt;0,CR95="interior"),0,IF(IB95=TRUE,AC98,0))</f>
        <v>0</v>
      </c>
      <c r="DA97" s="1818"/>
      <c r="DB97" s="1820"/>
      <c r="DC97" s="1820"/>
      <c r="DD97" s="1820"/>
      <c r="DF97" s="1702">
        <f>IF(IB95=TRUE,AF97,0)</f>
        <v>0</v>
      </c>
      <c r="DG97" s="1830" t="str">
        <f>IF(IB95=TRUE,AG97,"")</f>
        <v/>
      </c>
      <c r="DH97" s="1812">
        <f>AG98</f>
        <v>0</v>
      </c>
      <c r="DI97" s="1837">
        <f>JE97</f>
        <v>0</v>
      </c>
      <c r="DJ97" s="1710">
        <f>IF(AND(__Retrofit_TI_NC&gt;0,CR95="interior"),0,IF(IB95=TRUE,AN97,0))</f>
        <v>0</v>
      </c>
      <c r="DK97" s="1712"/>
      <c r="DN97" s="1717">
        <f>IFERROR(CZ97-DJ97,0)</f>
        <v>0</v>
      </c>
      <c r="DO97" s="1709"/>
      <c r="DQ97" s="1715"/>
      <c r="DR97" s="1719" t="str">
        <f>DQ95</f>
        <v/>
      </c>
      <c r="DS97" s="1816"/>
      <c r="DT97" s="1835" t="str">
        <f>IF(OR(DS95=7,DS95=8,DS95=9),"ALC","")</f>
        <v/>
      </c>
      <c r="DU97" s="1715"/>
      <c r="DV97" s="1716"/>
      <c r="DX97" s="1715"/>
      <c r="DY97" s="1829" t="str">
        <f>DX95</f>
        <v/>
      </c>
      <c r="DZ97" s="1715"/>
      <c r="EA97" s="1715"/>
      <c r="EC97" s="1834"/>
      <c r="ED97" s="1834"/>
      <c r="EF97" s="1707"/>
      <c r="EG97" s="1712"/>
      <c r="EH97" s="1818"/>
      <c r="EI97" s="1712"/>
      <c r="EJ97" s="1712"/>
      <c r="EK97" s="1836"/>
      <c r="EL97" s="1836"/>
      <c r="EM97" s="1807"/>
      <c r="EN97" s="1839"/>
      <c r="EO97" s="1839"/>
      <c r="EP97" s="1817"/>
      <c r="EQ97" s="1817"/>
      <c r="ER97" s="1807"/>
      <c r="ES97" s="1807"/>
      <c r="ET97" s="1807"/>
      <c r="EV97" s="1715"/>
      <c r="EX97" s="1805" t="str">
        <f>IFERROR(VLOOKUP(CS97,'Space Table'!$B$3:$L$163,8,FALSE),"")</f>
        <v/>
      </c>
      <c r="EY97" s="1805" t="str">
        <f>IFERROR(IF(FB97="Yes",VLOOKUP(AG97,Lookup_Control_Type_Table2,4,FALSE),VLOOKUP(AG97,Lookup_Control_Type_Table2,3,FALSE)),"")</f>
        <v/>
      </c>
      <c r="EZ97" s="1805" t="e">
        <f>VLOOKUP(AG97,Lookup!BB$3:BC$20,2,FALSE)</f>
        <v>#N/A</v>
      </c>
      <c r="FA97" s="1805" t="e">
        <f>VLOOKUP(EX95,Lookup_Control_Type_Table,2,FALSE)</f>
        <v>#N/A</v>
      </c>
      <c r="FB97" s="1805" t="e">
        <f>VLOOKUP(CS97,'Space Table'!$B$3:$L$163,7,FALSE)</f>
        <v>#N/A</v>
      </c>
      <c r="FC97" s="1827"/>
      <c r="FE97" s="1698" t="str">
        <f>CONCATENATE(CQ95," - ",AG97)</f>
        <v xml:space="preserve"> - </v>
      </c>
      <c r="FG97" s="1816"/>
      <c r="FH97" s="1816"/>
      <c r="FI97" s="133"/>
      <c r="FL97" s="1822" t="str">
        <f>IF(CQ95="Exterior","Not Daylighted",G98)</f>
        <v>Not Daylighted</v>
      </c>
      <c r="FM97" s="1824">
        <f>VLOOKUP(FL97,_New_Daylight_Table_Codes,2,FALSE)</f>
        <v>0</v>
      </c>
      <c r="FN97" s="1698">
        <f>AG97</f>
        <v>0</v>
      </c>
      <c r="FO97" s="1698" t="e">
        <f>VLOOKUP(FN97,_Control_Table,2,FALSE)</f>
        <v>#N/A</v>
      </c>
      <c r="FP97" s="1678" t="e">
        <f>VLOOKUP(CONCATENATE(FL97," ",FN97),Lookup!AY$102:AZ108,2,FALSE)</f>
        <v>#N/A</v>
      </c>
      <c r="FQ97" s="1698">
        <f>IF(__Retrofit_TI_NC=0,FN97,IF(AND(FT97&gt;0,FN97="Occupancy Sensor"),"Daylight + Occupancy",IF(AND(FT97&gt;0,FO97&lt;4),"Interior Daylight Dimming",FN97)))</f>
        <v>0</v>
      </c>
      <c r="FS97" s="1686">
        <f>IF(CQ95="Interior",VLOOKUP(CS95,Control_Savings_Interior,5,FALSE),0)</f>
        <v>0</v>
      </c>
      <c r="FT97" s="1687">
        <f>IF(CQ97="Exterior",0,IF(FM97=2,0.5,IF(OR(FM97=1,FM97=3),1,0)))</f>
        <v>0</v>
      </c>
      <c r="FU97" s="1685">
        <f>IF(R96&gt;FS$44,(FS97*(FS$44/R96)),FS97)*FT97</f>
        <v>0</v>
      </c>
      <c r="FV97" s="1686">
        <f>DI97</f>
        <v>0</v>
      </c>
      <c r="FW97" s="1686">
        <f>ROUND(FV97+((1-FV97)*FU97),2)</f>
        <v>0</v>
      </c>
      <c r="FX97" s="1686">
        <f>IF(__Retrofit_TI_NC=2,FW97,FV97)</f>
        <v>0</v>
      </c>
      <c r="FY97" s="1697">
        <f>IF(CR97="Interior",VLOOKUP(CS97,Control_Savings_Interior,4,FALSE),0)</f>
        <v>0</v>
      </c>
      <c r="GA97" s="1696"/>
      <c r="GB97" s="1696"/>
      <c r="GC97" s="1696"/>
      <c r="GD97" s="1696"/>
      <c r="GE97" s="1696"/>
      <c r="GF97" s="1696"/>
      <c r="GG97" s="1696"/>
      <c r="GH97" s="1696"/>
      <c r="GI97" s="673" t="b">
        <f>IF(ISNUMBER(SEARCH("TLED",U97)),TRUE,FALSE)</f>
        <v>0</v>
      </c>
      <c r="GJ97" s="1135" t="str">
        <f>IFERROR(VLOOKUP(U97,Fixtures!DM$93:DR$142,6,FALSE),"")</f>
        <v/>
      </c>
      <c r="GK97" s="1832"/>
      <c r="GM97" s="1692"/>
      <c r="GN97" s="1684"/>
      <c r="GP97" s="1684"/>
      <c r="GQ97" s="1684"/>
      <c r="HG97" s="1684"/>
      <c r="HH97" s="1684"/>
      <c r="HI97" s="1684"/>
      <c r="HJ97" s="1684"/>
      <c r="HK97" s="1684"/>
      <c r="HL97" s="1684"/>
      <c r="HM97" s="1684"/>
      <c r="HN97" s="1683"/>
      <c r="HO97" s="1692"/>
      <c r="HP97" s="1692"/>
      <c r="HQ97" s="1670"/>
      <c r="HR97" s="1684"/>
      <c r="HS97" s="1684"/>
      <c r="HT97" s="1670"/>
      <c r="HU97" s="1684"/>
      <c r="HV97" s="1684"/>
      <c r="HW97" s="1684"/>
      <c r="HX97" s="1684"/>
      <c r="HY97" s="1684"/>
      <c r="HZ97" s="1684"/>
      <c r="IB97" s="1692"/>
      <c r="IC97" s="1693" t="b">
        <f>IB95</f>
        <v>0</v>
      </c>
      <c r="ID97" s="1695"/>
      <c r="IE97" s="391"/>
      <c r="IF97" s="1688"/>
      <c r="IG97" s="1689">
        <f ca="1">IF(IF95=TRUE,AC98,0)</f>
        <v>0</v>
      </c>
      <c r="IH97" s="1684"/>
      <c r="IK97" s="1689" t="e">
        <f>ROUND(T97*AB98*N96*R96/1000,0)</f>
        <v>#VALUE!</v>
      </c>
      <c r="IL97" s="1691"/>
      <c r="IM97" s="1693" t="e">
        <f>ROUND(T97*AB98*N96*R96/1000,0)</f>
        <v>#VALUE!</v>
      </c>
      <c r="IN97" s="1691"/>
      <c r="IP97" s="1679"/>
      <c r="IQ97" s="1679" t="e">
        <f t="shared" ref="IQ97:IU97" si="62">IF($CR97="interior",VLOOKUP($CS97,_New_Control_Savings_Interior,IQ$30,FALSE),VLOOKUP($CS97,Control_Savings_Exterior,IQ$30,FALSE))</f>
        <v>#N/A</v>
      </c>
      <c r="IR97" s="1679" t="e">
        <f t="shared" si="62"/>
        <v>#N/A</v>
      </c>
      <c r="IS97" s="1679" t="e">
        <f t="shared" si="62"/>
        <v>#N/A</v>
      </c>
      <c r="IT97" s="1679" t="e">
        <f t="shared" si="62"/>
        <v>#N/A</v>
      </c>
      <c r="IU97" s="1679" t="e">
        <f t="shared" si="62"/>
        <v>#N/A</v>
      </c>
      <c r="IV97" s="1679" t="e">
        <f>IF($CR97="interior",IF(R96&gt;$IP$14,ROUND(($IV$18*($IP$14/R96)),2),$IV$18),VLOOKUP($CS97,Control_Savings_Exterior,IV$30,FALSE))</f>
        <v>#N/A</v>
      </c>
      <c r="IW97" s="1679" t="e">
        <f>IF($CR97="interior",ROUND(((1-IS97)*IV97)+IS97,2),VLOOKUP($CS97,Control_Savings_Exterior,IW$30,FALSE))</f>
        <v>#N/A</v>
      </c>
      <c r="IX97" s="1679" t="e">
        <f>IF($CR97="interior",ROUND(((1-IT97)*IV97)+IT97,2),VLOOKUP($CS97,Control_Savings_Exterior,IX$30,FALSE))</f>
        <v>#N/A</v>
      </c>
      <c r="IY97" s="1679" t="e">
        <f>IF($CR97="interior",IF(R96&gt;$IP$14,ROUND(($IY$18*($IP$14/R96)),2),$IY$18),VLOOKUP($CS97,Control_Savings_Exterior,IY$30,FALSE))</f>
        <v>#N/A</v>
      </c>
      <c r="IZ97" s="1679" t="e">
        <f>IF($CR97="interior",ROUND(((1-IS97)*IY97)+IS97,2),VLOOKUP($CS97,Control_Savings_Exterior,IZ$30,FALSE))</f>
        <v>#N/A</v>
      </c>
      <c r="JA97" s="1679" t="e">
        <f>IF($CR97="interior",ROUND(((1-IT97)*IY97)+IT97,2),VLOOKUP($CS97,Control_Savings_Exterior,JA$30,FALSE))</f>
        <v>#N/A</v>
      </c>
      <c r="JC97" s="1680">
        <f>IFERROR(IF(CR97="Interior",CONCATENATE(G98," ",FQ97),AG97),"")</f>
        <v>0</v>
      </c>
      <c r="JD97" s="1670" t="str">
        <f>IFERROR(VLOOKUP(JC97,_Controls_2023,2,FALSE),"")</f>
        <v/>
      </c>
      <c r="JE97" s="1681">
        <f>IFERROR(CHOOSE(JD97-1,IQ97,IR97,IS97,IT97,IU97,IV97,IW97,IX97,IY97,IZ97,JA97),0)</f>
        <v>0</v>
      </c>
      <c r="JG97" s="1680" t="str">
        <f>FE97</f>
        <v xml:space="preserve"> - </v>
      </c>
      <c r="JH97" s="1670" t="e">
        <f>$FO97</f>
        <v>#N/A</v>
      </c>
      <c r="JI97" s="1060"/>
      <c r="JJ97" s="1670">
        <f>IFERROR(IF($IB95=TRUE,IF(OR(JJ$14="No",JJ95=FALSE,JH97&lt;=JH95,AND(_kWh_Grant=0,GD95=FALSE)),0,IF(JJ$8="Per Line",1,$AF97)),0),0)</f>
        <v>0</v>
      </c>
      <c r="JK97" s="1061"/>
      <c r="JL97" s="1670">
        <f>IFERROR(IF(_kWh_Grant=0,0,IF($IB95=TRUE,IF(OR(JL$14="No",JL95=FALSE,JH97&lt;=JH95),0,IF(JL$8="Per Line",1,$T97)),0)),0)</f>
        <v>0</v>
      </c>
      <c r="JM97" s="1061"/>
      <c r="JN97" s="1670">
        <f>IFERROR(IF(_kWh_Grant=0,0,IF($IB95=TRUE,IF(OR(JN$14="No",JN95=FALSE,JH97&lt;=JH95),0,IF(JN$8="Per Line",1,$AF97)),0)),0)</f>
        <v>0</v>
      </c>
      <c r="JO97" s="1061"/>
      <c r="JP97" s="1670">
        <f>IFERROR(IF(__Retrofit_TI_NC=0,IF(_kWh_Grant=0,0,IF($IB95=TRUE,IF(OR(JP$14="No",JP95=FALSE,$JH97&lt;=$JH95),0,IF(JP$8="Per Line",1,$AF97)),0)),IF($IB95=TRUE,IF(OR(JP$14="No",JP95=FALSE,$JH97&lt;=$JH95),0,IF(JP$8="Per Line",1,$AF97)))),0)</f>
        <v>0</v>
      </c>
      <c r="JQ97" s="1061"/>
      <c r="JR97" s="1670">
        <f>IFERROR(IF(__Retrofit_TI_NC=0,IF(_kWh_Grant=0,0,IF($IB95=TRUE,IF(OR(JR$14="No",JR95=FALSE,$JH97&lt;=$JH95),0,IF(JR$8="Per Line",1,$AF97)),0)),IF($IB95=TRUE,IF(OR(JR$14="No",JR95=FALSE,$JH97&lt;=$JH95),0,IF(JR$8="Per Line",1,$AF97)))),0)</f>
        <v>0</v>
      </c>
      <c r="JS97" s="1061"/>
      <c r="JT97" s="1670">
        <f>IFERROR(IF(__Retrofit_TI_NC=0,IF(_kWh_Grant=0,0,IF($IB95=TRUE,IF(OR(JT$14="No",JT95=FALSE,$JH97&lt;=$JH95),0,IF(JT$8="Per Line",1,$AF97)),0)),IF($IB95=TRUE,IF(OR(JT$14="No",JT95=FALSE,$JH97&lt;=$JH95),0,IF(JT$8="Per Line",1,$AF97)))),0)</f>
        <v>0</v>
      </c>
      <c r="JU97" s="1061"/>
      <c r="JV97" s="1670">
        <f>IFERROR(IF(__Retrofit_TI_NC=0,IF(_kWh_Grant=0,0,IF($IB95=TRUE,IF(OR(JV$14="No",JV95=FALSE,$JH97&lt;=$JH95),0,IF(JV$8="Per Line",1,$AF97)),0)),IF($IB95=TRUE,IF(OR(JV$14="No",JV95=FALSE,$JH97&lt;=$JH95),0,IF(JV$8="Per Line",1,$AF97)))),0)</f>
        <v>0</v>
      </c>
      <c r="JX97" s="1670">
        <f>IFERROR(IF(__Retrofit_TI_NC=0,IF(_kWh_Grant=0,0,IF($IB95=TRUE,IF(OR(JX$14="No",JX95=FALSE,$JH97&lt;=$JH95),0,IF(JX$8="Per Line",1,$AF97)),0)),IF($IB95=TRUE,IF(OR(JX$14="No",JX95=FALSE,$JH97&lt;=$JH95),0,IF(JX$8="Per Line",1,$AF97)))),0)</f>
        <v>0</v>
      </c>
      <c r="JZ97" s="1670">
        <f>IFERROR(IF($IB95=TRUE,IF(OR(JZ$14="No",JZ95=FALSE,$JH97&lt;=$JH95,AND(_kWh_Grant=0,$GD95=FALSE)),0,IF(JZ$8="Per Line",1,$AF97)),0),0)</f>
        <v>0</v>
      </c>
      <c r="KB97" s="1670">
        <f>IFERROR(IF(__Retrofit_TI_NC=0,IF(_kWh_Grant=0,0,IF($IB95=TRUE,IF(OR(KB$14="No",KB95=FALSE,$JH97&lt;=$JH95),0,IF(KB$8="Per Line",1,$AF97)),0)),IF($IB95=TRUE,IF(OR(KB$14="No",KB95=FALSE,$JH97&lt;=$JH95),0,IF(KB$8="Per Line",1,$AF97)))),0)</f>
        <v>0</v>
      </c>
    </row>
    <row r="98" spans="1:288" s="78" customFormat="1" ht="14.95" customHeight="1" thickTop="1" thickBot="1">
      <c r="B98" s="1845"/>
      <c r="C98" s="1846"/>
      <c r="D98" s="1847"/>
      <c r="E98" s="1771" t="s">
        <v>436</v>
      </c>
      <c r="F98" s="1772"/>
      <c r="G98" s="1784" t="s">
        <v>437</v>
      </c>
      <c r="H98" s="1785"/>
      <c r="I98" s="1785"/>
      <c r="J98" s="1785"/>
      <c r="K98" s="1785"/>
      <c r="L98" s="1786"/>
      <c r="M98" s="591">
        <f>IFERROR(VLOOKUP(G98,_Daylight_Table[],2,FALSE),0)</f>
        <v>0</v>
      </c>
      <c r="N98" s="592" t="str">
        <f>IF(AND(__Retrofit_TI_NC&gt;0,CQ95="Interior"),"BAM","")</f>
        <v/>
      </c>
      <c r="O98" s="591" t="e">
        <f>VLOOKUP(G97,'Space Table'!$B$3:$L$163,11,FALSE)</f>
        <v>#N/A</v>
      </c>
      <c r="P98" s="1789"/>
      <c r="Q98" s="1790"/>
      <c r="R98" s="1790"/>
      <c r="S98" s="1788"/>
      <c r="T98" s="593" t="s">
        <v>342</v>
      </c>
      <c r="U98" s="1756" t="str" cm="1">
        <f t="array" aca="1" ref="U98" ca="1">IFERROR(VLOOKUP(INDIRECT("U" &amp; ROW()-1),Fixtures!DM$93:DP$142,4,FALSE),"")</f>
        <v/>
      </c>
      <c r="V98" s="1757"/>
      <c r="W98" s="1757"/>
      <c r="X98" s="1757"/>
      <c r="Y98" s="1757"/>
      <c r="Z98" s="1757"/>
      <c r="AA98" s="1758"/>
      <c r="AB98" s="939" t="str">
        <f>IFERROR(VLOOKUP(U97,Fixtures_Proposed_List,2,FALSE),"")</f>
        <v/>
      </c>
      <c r="AC98" s="933" t="str">
        <f>IFERROR(ROUND(T97*AB98*N96*R96/1000,0),"")</f>
        <v/>
      </c>
      <c r="AD98" s="934" t="str">
        <f>IFERROR(ROUND(T97*AB98/1000,2),"")</f>
        <v/>
      </c>
      <c r="AE98" s="998"/>
      <c r="AF98" s="938" t="s">
        <v>342</v>
      </c>
      <c r="AG98" s="1770"/>
      <c r="AH98" s="1770"/>
      <c r="AI98" s="1770"/>
      <c r="AJ98" s="1770"/>
      <c r="AK98" s="1770"/>
      <c r="AL98" s="1770"/>
      <c r="AM98" s="1727"/>
      <c r="AN98" s="1729"/>
      <c r="AO98" s="1731"/>
      <c r="AP98" s="1782"/>
      <c r="AQ98" s="1783"/>
      <c r="AR98" s="1797"/>
      <c r="AS98" s="1797"/>
      <c r="AT98" s="1798"/>
      <c r="AU98" s="1736"/>
      <c r="AV98" s="1753"/>
      <c r="AW98" s="1706"/>
      <c r="AX98" s="468"/>
      <c r="AY98" s="1750"/>
      <c r="AZ98" s="1750"/>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696"/>
      <c r="CQ98" s="1696"/>
      <c r="CR98" s="1809"/>
      <c r="CS98" s="1811"/>
      <c r="CU98" s="1688"/>
      <c r="CV98" s="1703"/>
      <c r="CW98" s="1703"/>
      <c r="CX98" s="1813"/>
      <c r="CY98" s="1815"/>
      <c r="CZ98" s="1711"/>
      <c r="DA98" s="1815"/>
      <c r="DB98" s="1821"/>
      <c r="DC98" s="1821"/>
      <c r="DD98" s="1821"/>
      <c r="DF98" s="1703"/>
      <c r="DG98" s="1831"/>
      <c r="DH98" s="1813"/>
      <c r="DI98" s="1838"/>
      <c r="DJ98" s="1711"/>
      <c r="DK98" s="1712"/>
      <c r="DN98" s="1718"/>
      <c r="DO98" s="1709"/>
      <c r="DQ98" s="1715"/>
      <c r="DR98" s="1720"/>
      <c r="DS98" s="1703"/>
      <c r="DT98" s="1714"/>
      <c r="DU98" s="1715"/>
      <c r="DV98" s="1716"/>
      <c r="DX98" s="1715"/>
      <c r="DY98" s="1720"/>
      <c r="DZ98" s="1715"/>
      <c r="EA98" s="1715"/>
      <c r="EC98" s="1834"/>
      <c r="ED98" s="1834"/>
      <c r="EF98" s="1707"/>
      <c r="EG98" s="1712"/>
      <c r="EH98" s="1815"/>
      <c r="EI98" s="1712"/>
      <c r="EJ98" s="1712"/>
      <c r="EK98" s="1813"/>
      <c r="EL98" s="1813"/>
      <c r="EM98" s="1807"/>
      <c r="EN98" s="1839"/>
      <c r="EO98" s="1839"/>
      <c r="EP98" s="1817"/>
      <c r="EQ98" s="1817"/>
      <c r="ER98" s="1807"/>
      <c r="ES98" s="1807"/>
      <c r="ET98" s="1807"/>
      <c r="EV98" s="1715"/>
      <c r="EX98" s="1806"/>
      <c r="EY98" s="1806"/>
      <c r="EZ98" s="1806"/>
      <c r="FA98" s="1806"/>
      <c r="FB98" s="1806"/>
      <c r="FC98" s="1828"/>
      <c r="FE98" s="1698"/>
      <c r="FG98" s="1703"/>
      <c r="FH98" s="1703"/>
      <c r="FI98" s="133"/>
      <c r="FL98" s="1823"/>
      <c r="FM98" s="1825"/>
      <c r="FN98" s="1698"/>
      <c r="FO98" s="1698"/>
      <c r="FP98" s="1678"/>
      <c r="FQ98" s="1698"/>
      <c r="FS98" s="1687"/>
      <c r="FT98" s="1687"/>
      <c r="FU98" s="1685"/>
      <c r="FV98" s="1687"/>
      <c r="FW98" s="1687"/>
      <c r="FX98" s="1687"/>
      <c r="FY98" s="1697"/>
      <c r="GA98" s="1696"/>
      <c r="GB98" s="1696"/>
      <c r="GC98" s="1696"/>
      <c r="GD98" s="1696"/>
      <c r="GE98" s="1696"/>
      <c r="GF98" s="1696"/>
      <c r="GG98" s="1696"/>
      <c r="GH98" s="1696"/>
      <c r="GI98" s="673"/>
      <c r="GJ98" s="1135"/>
      <c r="GK98" s="1832"/>
      <c r="GN98" s="674">
        <f>IF(GN96=TRUE,0,GN$16)</f>
        <v>0</v>
      </c>
      <c r="GP98" s="674">
        <f>IF(GP96=TRUE,0,GP$16)</f>
        <v>36</v>
      </c>
      <c r="GQ98" s="674">
        <f ca="1">IF(GQ96=TRUE,0,GQ$16)</f>
        <v>35</v>
      </c>
      <c r="GR98" s="391"/>
      <c r="GS98" s="391"/>
      <c r="GT98" s="391"/>
      <c r="GU98" s="391"/>
      <c r="GV98" s="391"/>
      <c r="HG98" s="674">
        <f>IF(HG96=TRUE,0,HG$16)</f>
        <v>0</v>
      </c>
      <c r="HH98" s="674">
        <f t="shared" ref="HH98:HM98" si="63">IF(HH96=TRUE,0,HH$16)</f>
        <v>19</v>
      </c>
      <c r="HI98" s="674">
        <f t="shared" si="63"/>
        <v>18</v>
      </c>
      <c r="HJ98" s="674">
        <f t="shared" si="63"/>
        <v>17</v>
      </c>
      <c r="HK98" s="674">
        <f t="shared" si="63"/>
        <v>16</v>
      </c>
      <c r="HL98" s="674">
        <f t="shared" si="63"/>
        <v>0</v>
      </c>
      <c r="HM98" s="674">
        <f t="shared" si="63"/>
        <v>0</v>
      </c>
      <c r="HN98" s="674">
        <f>IF(HN96=TRUE,0,HN$16)</f>
        <v>13</v>
      </c>
      <c r="HO98" s="674">
        <f t="shared" ref="HO98:HQ98" si="64">IF(HO96=TRUE,0,HO$16)</f>
        <v>0</v>
      </c>
      <c r="HP98" s="674">
        <f t="shared" si="64"/>
        <v>0</v>
      </c>
      <c r="HQ98" s="674">
        <f t="shared" si="64"/>
        <v>10</v>
      </c>
      <c r="HR98" s="674">
        <f>IF(HR96=TRUE,0,HR$16)</f>
        <v>9</v>
      </c>
      <c r="HS98" s="674">
        <f t="shared" ref="HS98:HW98" si="65">IF(HS96=TRUE,0,HS$16)</f>
        <v>0</v>
      </c>
      <c r="HT98" s="674">
        <f t="shared" si="65"/>
        <v>0</v>
      </c>
      <c r="HU98" s="674">
        <f t="shared" si="65"/>
        <v>0</v>
      </c>
      <c r="HV98" s="674">
        <f t="shared" si="65"/>
        <v>0</v>
      </c>
      <c r="HW98" s="674">
        <f t="shared" si="65"/>
        <v>0</v>
      </c>
      <c r="HX98" s="674">
        <f>IF(HX96=TRUE,0,HX$16)</f>
        <v>0</v>
      </c>
      <c r="HY98" s="674">
        <f>IF(HY96=TRUE,0,HY$16)</f>
        <v>0</v>
      </c>
      <c r="HZ98" s="674">
        <f>IF(HZ96=TRUE,0,HZ$16)</f>
        <v>1</v>
      </c>
      <c r="IB98" s="674">
        <f>IF(GP96=FALSE,GP98,IF(GQ96=FALSE,GQ98,MAX(GN98:HZ98)))</f>
        <v>36</v>
      </c>
      <c r="IC98" s="1692"/>
      <c r="ID98" s="205" t="str">
        <f>VLOOKUP(IB98,_Error_Table,3,FALSE)</f>
        <v xml:space="preserve"> </v>
      </c>
      <c r="IE98" s="205"/>
      <c r="IF98" s="1688"/>
      <c r="IG98" s="1689"/>
      <c r="IH98" s="1684"/>
      <c r="IK98" s="1689"/>
      <c r="IL98" s="1692"/>
      <c r="IM98" s="1692"/>
      <c r="IN98" s="1692"/>
      <c r="IP98" s="1679"/>
      <c r="IQ98" s="1679"/>
      <c r="IR98" s="1679"/>
      <c r="IS98" s="1679"/>
      <c r="IT98" s="1679"/>
      <c r="IU98" s="1679"/>
      <c r="IV98" s="1679"/>
      <c r="IW98" s="1679"/>
      <c r="IX98" s="1679"/>
      <c r="IY98" s="1679"/>
      <c r="IZ98" s="1679"/>
      <c r="JA98" s="1679"/>
      <c r="JC98" s="1680"/>
      <c r="JD98" s="1670"/>
      <c r="JE98" s="1681"/>
      <c r="JG98" s="1680"/>
      <c r="JH98" s="1670"/>
      <c r="JI98" s="1060"/>
      <c r="JJ98" s="1670"/>
      <c r="JK98" s="1061"/>
      <c r="JL98" s="1670"/>
      <c r="JM98" s="1061"/>
      <c r="JN98" s="1670"/>
      <c r="JO98" s="1061"/>
      <c r="JP98" s="1670"/>
      <c r="JQ98" s="1061"/>
      <c r="JR98" s="1670"/>
      <c r="JS98" s="1061"/>
      <c r="JT98" s="1670"/>
      <c r="JU98" s="1061"/>
      <c r="JV98" s="1670"/>
      <c r="JX98" s="1670"/>
      <c r="JZ98" s="1670"/>
      <c r="KB98" s="1670"/>
    </row>
    <row r="99" spans="1:288" s="78" customFormat="1" ht="4.75" customHeight="1">
      <c r="B99" s="676"/>
      <c r="C99" s="392"/>
      <c r="D99" s="392"/>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c r="AI99" s="1733"/>
      <c r="AJ99" s="1733"/>
      <c r="AK99" s="1733"/>
      <c r="AL99" s="1733"/>
      <c r="AM99" s="1733"/>
      <c r="AN99" s="1733"/>
      <c r="AO99" s="1733"/>
      <c r="AP99" s="1733"/>
      <c r="AQ99" s="1733"/>
      <c r="AR99" s="1733"/>
      <c r="AS99" s="1733"/>
      <c r="AT99" s="1733"/>
      <c r="AU99" s="1733"/>
      <c r="AV99" s="1733"/>
      <c r="AW99" s="1733"/>
      <c r="AX99" s="469"/>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663"/>
      <c r="CQ99" s="663"/>
      <c r="CR99" s="438"/>
      <c r="CS99" s="663"/>
      <c r="CV99" s="391"/>
      <c r="CW99" s="391"/>
      <c r="CX99" s="207"/>
      <c r="CY99" s="208"/>
      <c r="CZ99" s="208"/>
      <c r="DA99" s="208"/>
      <c r="DB99" s="209"/>
      <c r="DC99" s="209"/>
      <c r="DD99" s="209"/>
      <c r="DF99" s="664"/>
      <c r="DG99" s="665"/>
      <c r="DH99" s="666"/>
      <c r="DI99" s="667"/>
      <c r="DJ99" s="668"/>
      <c r="DK99" s="668"/>
      <c r="DN99" s="208"/>
      <c r="DO99" s="664"/>
      <c r="DQ99" s="664"/>
      <c r="DR99" s="669"/>
      <c r="DS99" s="391"/>
      <c r="DT99" s="664"/>
      <c r="DU99" s="664"/>
      <c r="DV99" s="664"/>
      <c r="DX99" s="664"/>
      <c r="DY99" s="664"/>
      <c r="DZ99" s="664"/>
      <c r="EA99" s="664"/>
      <c r="EC99" s="670"/>
      <c r="ED99" s="670"/>
      <c r="EF99" s="668"/>
      <c r="EG99" s="668"/>
      <c r="EH99" s="208"/>
      <c r="EI99" s="668"/>
      <c r="EJ99" s="668"/>
      <c r="EK99" s="207"/>
      <c r="EL99" s="207"/>
      <c r="EM99" s="666"/>
      <c r="EN99" s="671"/>
      <c r="EO99" s="671"/>
      <c r="EP99" s="672"/>
      <c r="EQ99" s="672"/>
      <c r="ER99" s="666"/>
      <c r="ES99" s="666"/>
      <c r="ET99" s="666"/>
      <c r="EV99" s="664"/>
      <c r="EX99" s="391"/>
      <c r="EY99" s="391"/>
      <c r="EZ99" s="391"/>
      <c r="FA99" s="391"/>
      <c r="FB99" s="391"/>
      <c r="FC99" s="391"/>
      <c r="FE99" s="569"/>
      <c r="FG99" s="391"/>
      <c r="FH99" s="391"/>
      <c r="FI99" s="391"/>
      <c r="FS99" s="664"/>
      <c r="FT99" s="391"/>
      <c r="FU99" s="391"/>
      <c r="FV99" s="664"/>
      <c r="FW99" s="664"/>
      <c r="GA99" s="663"/>
      <c r="GB99" s="663"/>
      <c r="GC99" s="663"/>
      <c r="GD99" s="663"/>
      <c r="GE99" s="663"/>
      <c r="GF99" s="663"/>
      <c r="GG99" s="663"/>
      <c r="GH99" s="663"/>
      <c r="GI99" s="665"/>
      <c r="GJ99" s="664"/>
      <c r="GK99" s="664"/>
    </row>
    <row r="100" spans="1:288" s="78" customFormat="1" ht="14.95" customHeight="1">
      <c r="B100" s="1845" t="str">
        <f>ID103</f>
        <v xml:space="preserve"> </v>
      </c>
      <c r="C100" s="1846">
        <f>C95+1</f>
        <v>11</v>
      </c>
      <c r="D100" s="1847"/>
      <c r="E100" s="1799" t="s">
        <v>295</v>
      </c>
      <c r="F100" s="1800"/>
      <c r="G100" s="1741"/>
      <c r="H100" s="1742"/>
      <c r="I100" s="1742"/>
      <c r="J100" s="1742"/>
      <c r="K100" s="1742"/>
      <c r="L100" s="1742"/>
      <c r="M100" s="1742"/>
      <c r="N100" s="1742"/>
      <c r="O100" s="1742"/>
      <c r="P100" s="1742"/>
      <c r="Q100" s="1742"/>
      <c r="R100" s="1742"/>
      <c r="S100" s="1791" t="s">
        <v>344</v>
      </c>
      <c r="T100" s="590"/>
      <c r="U100" s="1743"/>
      <c r="V100" s="1744"/>
      <c r="W100" s="1744"/>
      <c r="X100" s="1744"/>
      <c r="Y100" s="1744"/>
      <c r="Z100" s="1744"/>
      <c r="AA100" s="1744"/>
      <c r="AB100" s="961" t="str">
        <f>IFERROR(IF(__Retrofit_TI_NC=0,VLOOKUP(U101,Fixtures_Existing_List,2,FALSE),ROUND(N102*R102/T102,10)),"")</f>
        <v/>
      </c>
      <c r="AC100" s="935" t="str">
        <f>IFERROR(IF(__Retrofit_TI_NC=0,ROUND(T101*AB100*N101*R101/1000,0),IF(CQ100="Interior",N102*R102*R101*N101*_C406_reduction/1000,N102*R102*R101*N101/1000)),"")</f>
        <v/>
      </c>
      <c r="AD100" s="936" t="str">
        <f>IFERROR(IF(C$43=0,ROUND(T101*AB100/1000,2),N102*R102/1000),"")</f>
        <v/>
      </c>
      <c r="AE100" s="997"/>
      <c r="AF100" s="937"/>
      <c r="AG100" s="1745" t="str">
        <f>IF(__Retrofit_TI_NC=0," Control","Select Advanced Control for New System")</f>
        <v xml:space="preserve"> Control</v>
      </c>
      <c r="AH100" s="1745"/>
      <c r="AI100" s="1745"/>
      <c r="AJ100" s="1745"/>
      <c r="AK100" s="1745"/>
      <c r="AL100" s="1745"/>
      <c r="AM100" s="1746">
        <f>IFERROR(DI100,"")</f>
        <v>0</v>
      </c>
      <c r="AN100" s="1774" t="str">
        <f>IFERROR(ROUND(AM100*AC100,0),"")</f>
        <v/>
      </c>
      <c r="AO100" s="1776">
        <f>IFERROR(IF(IB100=FALSE,0,AC100-AN100),0)</f>
        <v>0</v>
      </c>
      <c r="AP100" s="1778">
        <f>AO100-AO102</f>
        <v>0</v>
      </c>
      <c r="AQ100" s="1779"/>
      <c r="AR100" s="1793">
        <f>IFERROR(IF(IB100=FALSE,0,(T102*U103)+(AF102*AG103)),0)</f>
        <v>0</v>
      </c>
      <c r="AS100" s="1793"/>
      <c r="AT100" s="1794"/>
      <c r="AU100" s="1734" t="s">
        <v>237</v>
      </c>
      <c r="AV100" s="1751">
        <f>IF(AU100="Yes",1,0)</f>
        <v>1</v>
      </c>
      <c r="AW100" s="1704" t="str">
        <f>IF(OR(DQ100=4,DQ100=5,DQ100=6,DQ100=12),CONCATENATE("$",IF(GH100=TRUE,Lookup!$K$10,Lookup!$K$2)," /lamp"),CONCATENATE(TEXT(ED100,"$0.00"),"/ kWh"))</f>
        <v>$0.00/ kWh</v>
      </c>
      <c r="AX100" s="467"/>
      <c r="AY100" s="1748">
        <f ca="1">IFERROR(IF(GM101=TRUE,(AB103*T102)/R102,0),"NA")</f>
        <v>0</v>
      </c>
      <c r="AZ100" s="1748"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696" t="str">
        <f>N101</f>
        <v/>
      </c>
      <c r="CQ100" s="1696" t="str">
        <f>IFERROR(VLOOKUP(G101,_Lookup_Heat_Type_Table_New,3,FALSE),"")</f>
        <v/>
      </c>
      <c r="CR100" s="1808" t="str">
        <f>CQ100</f>
        <v/>
      </c>
      <c r="CS100" s="1810" t="str">
        <f>IFERROR(VLOOKUP(G102,'Space Table'!$B$3:$L$163,9,FALSE),"")</f>
        <v/>
      </c>
      <c r="CU100" s="1688" t="s">
        <v>344</v>
      </c>
      <c r="CV100" s="1702">
        <f>IF(IB100=TRUE,T101,0)</f>
        <v>0</v>
      </c>
      <c r="CW100" s="1702" t="str">
        <f>IF(IB100=TRUE,U101,"")</f>
        <v/>
      </c>
      <c r="CX100" s="1702"/>
      <c r="CY100" s="1814">
        <f>IF(IB100=TRUE,AB100,0)</f>
        <v>0</v>
      </c>
      <c r="CZ100" s="1710">
        <f>IF(AND(__Retrofit_TI_NC&gt;0,CR100="interior"),0,IF(IB100=TRUE,AC100,0))</f>
        <v>0</v>
      </c>
      <c r="DA100" s="1814">
        <f>IFERROR(IF(IB100=TRUE,CZ100-CZ102,0),0)</f>
        <v>0</v>
      </c>
      <c r="DB100" s="1819">
        <f>IF(IB100=TRUE,AD100,0)</f>
        <v>0</v>
      </c>
      <c r="DC100" s="1819">
        <f>IF(IB100=TRUE,AD103,0)</f>
        <v>0</v>
      </c>
      <c r="DD100" s="1819">
        <f>IFERROR(DB100-DC100,0)</f>
        <v>0</v>
      </c>
      <c r="DF100" s="1702">
        <f>IF(IB100=TRUE,AF101,0)</f>
        <v>0</v>
      </c>
      <c r="DG100" s="1830">
        <f>IFERROR(IF(__Retrofit_TI_NC=2,IF(CQ100="Exterior",O103,FQ100),FN100),"")</f>
        <v>0</v>
      </c>
      <c r="DH100" s="1702"/>
      <c r="DI100" s="1837">
        <f>JE100</f>
        <v>0</v>
      </c>
      <c r="DJ100" s="1710">
        <f>IF(AND(__Retrofit_TI_NC&gt;0,CR100="interior"),0,IF(IB100=TRUE,AN100,0))</f>
        <v>0</v>
      </c>
      <c r="DK100" s="1712">
        <f>IFERROR(IF(IB100=TRUE,DJ102-DJ100,0),0)</f>
        <v>0</v>
      </c>
      <c r="DM100" s="1717">
        <f>IFERROR(CZ100-DJ100,0)</f>
        <v>0</v>
      </c>
      <c r="DO100" s="1708">
        <f>DM100-DN102</f>
        <v>0</v>
      </c>
      <c r="DQ100" s="1715" t="str">
        <f>IFERROR(IF(AND(OR(GC100=4,GC100=5,GC100=6),OR(GF100=4,GF100=5,GF100=6)),GC100+8,VLOOKUP(CW102,Fixtures!R$31:Y$78,8,FALSE)),"")</f>
        <v/>
      </c>
      <c r="DR100" s="1829" t="str">
        <f>DQ100</f>
        <v/>
      </c>
      <c r="DS100" s="1702" t="str">
        <f>IFERROR(VLOOKUP(DG102,Lookup!BB$3:BC$20,2,FALSE),"")</f>
        <v/>
      </c>
      <c r="DT100" s="1713" t="str">
        <f>IF(OR(DS100=7,DS100=8,DS100=9),"ALC","")</f>
        <v/>
      </c>
      <c r="DU100" s="1715">
        <f>IFERROR(IF(OR(DQ100=4,DQ100=5,DQ100=6,DQ100=12,DQ100=13,DQ100=14),VLOOKUP(CW102,Fixtures!DN$27:EG$77,19,FALSE),1)*CV102,0)</f>
        <v>0</v>
      </c>
      <c r="DV100" s="1716">
        <f>IF(OR(DS100=7,DS100=8,DS100=9),IF(DG100=DG102,0,DF102),0)</f>
        <v>0</v>
      </c>
      <c r="DX100" s="1715" t="str">
        <f>IFERROR(IF(EZ100&lt;EZ102,"Yes","No"),"")</f>
        <v/>
      </c>
      <c r="DY100" s="1829" t="str">
        <f>DX100</f>
        <v/>
      </c>
      <c r="DZ100" s="1715">
        <f>IF(DX100="Yes",DF102,0)</f>
        <v>0</v>
      </c>
      <c r="EA100" s="1715">
        <f>DZ100-DV100</f>
        <v>0</v>
      </c>
      <c r="EC100" s="1834">
        <f>IFERROR(VLOOKUP(DQ100,Lookup!AU$3:AV$16,2,FALSE),0)</f>
        <v>0</v>
      </c>
      <c r="ED100" s="1834">
        <f>IF(IB100=FALSE,0,IF(DX100="Yes",EC100+Lookup!K$6,EC100))</f>
        <v>0</v>
      </c>
      <c r="EF100" s="1707">
        <f>IF(IB100=TRUE,DM100,0)</f>
        <v>0</v>
      </c>
      <c r="EG100" s="1712">
        <f>IF(IB100=TRUE,CZ102,0)</f>
        <v>0</v>
      </c>
      <c r="EH100" s="1814">
        <f>IFERROR(EF100-EG100,0)</f>
        <v>0</v>
      </c>
      <c r="EI100" s="1712">
        <f>IF(IB100=TRUE,DJ102,0)</f>
        <v>0</v>
      </c>
      <c r="EJ100" s="1712">
        <f>IFERROR(EF100-EG100+EI100,0)</f>
        <v>0</v>
      </c>
      <c r="EK100" s="1812">
        <f>IF(IB100=TRUE,CV102*CX102,0)</f>
        <v>0</v>
      </c>
      <c r="EL100" s="1812">
        <f>IF(IB100=TRUE,DF102*DH102,0)</f>
        <v>0</v>
      </c>
      <c r="EM100" s="1807">
        <f>AR100</f>
        <v>0</v>
      </c>
      <c r="EN100" s="1839" t="str">
        <f>IFERROR(IF(IB100=TRUE,VLOOKUP(DQ100,Lookup!AU$3:AW$16,3,FALSE)*DU100,""),0)</f>
        <v/>
      </c>
      <c r="EO100" s="1839">
        <f>IF(IB100=TRUE,DZ100*Lookup!AW$12,0)</f>
        <v>0</v>
      </c>
      <c r="EP100" s="1817">
        <f>IFERROR(IF(IB100=TRUE,EN100/EP$40,0),0)</f>
        <v>0</v>
      </c>
      <c r="EQ100" s="1817">
        <f>IF(IB100=TRUE,EO100/EQ$40,0)</f>
        <v>0</v>
      </c>
      <c r="ER100" s="1807">
        <f>IF(IB100=TRUE,ET$40*EP100,0)</f>
        <v>0</v>
      </c>
      <c r="ES100" s="1807">
        <f>IF(IB100=TRUE,ET$40*EQ100,0)</f>
        <v>0</v>
      </c>
      <c r="ET100" s="1807">
        <f>ER100+ES100</f>
        <v>0</v>
      </c>
      <c r="EV100" s="1715">
        <f>IF(G100="",0,1)</f>
        <v>0</v>
      </c>
      <c r="EX100" s="1804" t="str">
        <f>IFERROR(VLOOKUP(CS102,'Space Table'!$B$3:$L$163,8,FALSE),"")</f>
        <v/>
      </c>
      <c r="EY100" s="1804" t="str">
        <f>IFERROR(IF(FB100="Yes",VLOOKUP(DG100,Lookup_Control_Type_Table2,4,FALSE),VLOOKUP(DG100,Lookup_Control_Type_Table2,3,FALSE)),"")</f>
        <v/>
      </c>
      <c r="EZ100" s="1804" t="e">
        <f>VLOOKUP(DG100,Lookup!BB$3:BC$20,2,FALSE)</f>
        <v>#N/A</v>
      </c>
      <c r="FA100" s="1804" t="e">
        <f>VLOOKUP(EX100,Lookup_Control_Type_Table,2,FALSE)</f>
        <v>#N/A</v>
      </c>
      <c r="FB100" s="1804" t="e">
        <f>VLOOKUP(CS102,'Space Table'!$B$3:$L$163,7,FALSE)</f>
        <v>#N/A</v>
      </c>
      <c r="FC100" s="1826" t="b">
        <f>ISNUMBER(SEARCH("TLED",U102))</f>
        <v>0</v>
      </c>
      <c r="FE100" s="1698" t="str">
        <f>CONCATENATE(CQ100," - ",DG100)</f>
        <v xml:space="preserve"> - 0</v>
      </c>
      <c r="FG100" s="1702" t="str">
        <f>VLOOKUP(CW102,Fixtures!DN$27:EZ$77,38,FALSE)</f>
        <v/>
      </c>
      <c r="FH100" s="1702">
        <f>IFERROR(FG100*EH100,0)</f>
        <v>0</v>
      </c>
      <c r="FI100" s="133"/>
      <c r="FL100" s="1822" t="str">
        <f>IF(CQ100="Exterior","Not Daylighted",G103)</f>
        <v>Not Daylighted</v>
      </c>
      <c r="FM100" s="1824">
        <f>VLOOKUP(FL100,_New_Daylight_Table_Codes,2,FALSE)</f>
        <v>0</v>
      </c>
      <c r="FN100" s="1698">
        <f>IF(__Retrofit_TI_NC&gt;0,VLOOKUP(G102,'Space Table'!$B$3:$L$163,11,FALSE),AG101)</f>
        <v>0</v>
      </c>
      <c r="FO100" s="1698" t="e">
        <f>IF(__Retrofit_TI_NC=2,VLOOKUP(FQ100,_Control_Table,2,FALSE),VLOOKUP(FN100,_Control_Table,2,FALSE))</f>
        <v>#N/A</v>
      </c>
      <c r="FP100" s="1678" t="e">
        <f>VLOOKUP(CONCATENATE(FL100," ",FN100),Lookup!AY$102:AZ110,2,FALSE)</f>
        <v>#N/A</v>
      </c>
      <c r="FQ100" s="1678">
        <f>IF(__Retrofit_TI_NC=0,FN100,IF(AND(FT100&gt;0,FN100="Occupancy Sensor"),"Daylight + Occupancy",IF(AND(FT100&gt;0,VLOOKUP(FN100,_Control_Table,2,FALSE)&lt;4),"Interior Daylight Dimming",FN100)))</f>
        <v>0</v>
      </c>
      <c r="FS100" s="1686">
        <f>IF(CR100="Interior",VLOOKUP(CS100,Control_Savings_Interior,5,FALSE),0)</f>
        <v>0</v>
      </c>
      <c r="FT100" s="1687">
        <f>IF(CQ100="Exterior",0,IF(FM100=2,0.5,IF(OR(FM100=1,FM100=3),1,0)))</f>
        <v>0</v>
      </c>
      <c r="FU100" s="1685">
        <f>IF(R99&gt;FS$44,(FS100*(FS$44/R99)),FS100)*FT100</f>
        <v>0</v>
      </c>
      <c r="FV100" s="1686">
        <f>DI100</f>
        <v>0</v>
      </c>
      <c r="FW100" s="1686">
        <f>ROUND(FV100+((1-FV100)*FU100),2)</f>
        <v>0</v>
      </c>
      <c r="FX100" s="1686">
        <f>IF(__Retrofit_TI_NC=2,FW100,FV100)</f>
        <v>0</v>
      </c>
      <c r="FY100" s="1697"/>
      <c r="GA100" s="1696" t="str">
        <f>IFERROR(VLOOKUP(U101,_Exist_Fixture_Table,3,FALSE),"")</f>
        <v/>
      </c>
      <c r="GB100" s="1696" t="str">
        <f>VLOOKUP(CW100,_Exist_Fixture_Table,4,FALSE)</f>
        <v/>
      </c>
      <c r="GC100" s="1696">
        <f>IFERROR(VLOOKUP(GB100,Lookup!AT$6:AU$8,2,FALSE),0)</f>
        <v>0</v>
      </c>
      <c r="GD100" s="1696" t="b">
        <f>IFERROR(IF(OR(GF100=4,GF100=5,GF100=6),TRUE,FALSE),"")</f>
        <v>0</v>
      </c>
      <c r="GE100" s="1696" t="str">
        <f>IFERROR(VLOOKUP(GF100,GC$6:GD$10,2,FALSE),"")</f>
        <v/>
      </c>
      <c r="GF100" s="1696" t="str">
        <f>VLOOKUP(CW102,Fixtures!R$31:Y$78,8,FALSE)</f>
        <v/>
      </c>
      <c r="GG100" s="1696">
        <f>IF(AND(GA100=TRUE,GD100=TRUE,OR(DQ100=12,DQ100=13,DQ100=14)),GC100+8,0)</f>
        <v>0</v>
      </c>
      <c r="GH100" s="1696" t="b">
        <f>IF(OR(GG100=12,GG100=13,GG100=14),TRUE,FALSE)</f>
        <v>0</v>
      </c>
      <c r="GI100" s="673" t="b">
        <f>IF(ISNUMBER(SEARCH("TLED",U101)),TRUE,FALSE)</f>
        <v>0</v>
      </c>
      <c r="GJ100" s="1135" t="str">
        <f>IFERROR(VLOOKUP(U101,Fixtures!BM$93:BR$142,6,FALSE),"")</f>
        <v/>
      </c>
      <c r="GK100" s="1832" t="b">
        <f>IF(OR(GI100=FALSE,GI102=FALSE),TRUE,IF(GJ100-GJ102&lt;5,FALSE,TRUE))</f>
        <v>1</v>
      </c>
      <c r="GO100" s="674">
        <f>GP100</f>
        <v>0</v>
      </c>
      <c r="GP100" s="674">
        <f>IF(G100="",0,1)</f>
        <v>0</v>
      </c>
      <c r="GQ100" s="674">
        <f ca="1">SUM(GR100:HF100)</f>
        <v>2</v>
      </c>
      <c r="GR100" s="674">
        <f>IF(G101="",0,1)</f>
        <v>0</v>
      </c>
      <c r="GS100" s="674">
        <f>IF(N103="BAM",1,IF(G102="",0,1))</f>
        <v>0</v>
      </c>
      <c r="GT100" s="674">
        <f>IF(N103="BAM",1,IF(R101="",0,1))</f>
        <v>0</v>
      </c>
      <c r="GU100" s="674">
        <f>IF(N103="BAM",1,IF(__Retrofit_TI_NC=0,1,IF(R102="",0,1)))</f>
        <v>1</v>
      </c>
      <c r="GV100" s="674">
        <f>IF(N103="BAM",1,IF(CQ100="Exterior",1,IF(G103="",0,1)))</f>
        <v>1</v>
      </c>
      <c r="GW100" s="674">
        <f>IF(__Retrofit_TI_NC&gt;0,1,IF(T101="",0,1))</f>
        <v>0</v>
      </c>
      <c r="GX100" s="674">
        <f>IF(__Retrofit_TI_NC&gt;0,1,IF(U101="",0,1))</f>
        <v>0</v>
      </c>
      <c r="GY100" s="674">
        <f>IF(N103="BAM",1,IF(T102="",0,1))</f>
        <v>0</v>
      </c>
      <c r="GZ100" s="674">
        <f>IF(N103="BAM",1,IF(U102="",0,1))</f>
        <v>0</v>
      </c>
      <c r="HA100" s="674">
        <f ca="1">IF(N103="BAM",1,IF(__Retrofit_TI_NC&gt;0,1,IF(U103="",0,1)))</f>
        <v>0</v>
      </c>
      <c r="HB100" s="674">
        <f>IF(__Retrofit_TI_NC&lt;&gt;0,1,IF(AF101="",0,1))</f>
        <v>0</v>
      </c>
      <c r="HC100" s="674">
        <f>IF(__Retrofit_TI_NC&lt;&gt;0,1,IF(AG101="",0,1))</f>
        <v>0</v>
      </c>
      <c r="HD100" s="674">
        <f>IF(N103="BAM",1,IF(AF102="",0,1))</f>
        <v>0</v>
      </c>
      <c r="HE100" s="674">
        <f>IF(N103="BAM",1,IF(AG102="",0,1))</f>
        <v>0</v>
      </c>
      <c r="HF100" s="674">
        <f>IF(N103="BAM",1,IF(__Retrofit_TI_NC&gt;0,1,IF(AG103="",0,1)))</f>
        <v>0</v>
      </c>
      <c r="HG100" s="391"/>
      <c r="IA100" s="391"/>
      <c r="IB100" s="1693" t="b">
        <f>IF(OR(IB103=0,IB103=HY$16,IB103=HX$16,IB103=HZ$16),TRUE,FALSE)</f>
        <v>0</v>
      </c>
      <c r="IC100" s="1694" t="b">
        <f>IB100</f>
        <v>0</v>
      </c>
      <c r="ID100" s="391"/>
      <c r="IE100" s="391"/>
      <c r="IF100" s="1688" t="b">
        <f ca="1">IF(MAX(GN103:HU103)&gt;5,FALSE,TRUE)</f>
        <v>0</v>
      </c>
      <c r="IG100" s="1689">
        <f ca="1">IF(IF100=TRUE,AC100,0)</f>
        <v>0</v>
      </c>
      <c r="IH100" s="1689">
        <f ca="1">IG100-IG102</f>
        <v>0</v>
      </c>
      <c r="IK100" s="1689" t="e">
        <f>ROUND(T101*VLOOKUP(U101,Fixtures_Existing_List,2,FALSE)*N101*R101/1000,0)</f>
        <v>#N/A</v>
      </c>
      <c r="IL100" s="1690" t="e">
        <f>IK100-IK102</f>
        <v>#N/A</v>
      </c>
      <c r="IM100" s="1693" t="e">
        <f>ROUND(IF(CQ100="Interior",N102*R102*R101*N101*_C406_reduction/1000,N102*R102*R101*N101/1000),0)</f>
        <v>#N/A</v>
      </c>
      <c r="IN100" s="1693" t="e">
        <f>IM100-IM102</f>
        <v>#N/A</v>
      </c>
      <c r="IP100" s="1679"/>
      <c r="IQ100" s="1679" t="e">
        <f t="shared" ref="IQ100:IU100" si="66">IF($CR100="interior",VLOOKUP($CS100,_New_Control_Savings_Interior,IQ$30,FALSE),VLOOKUP($CS100,Control_Savings_Exterior,IQ$30,FALSE))</f>
        <v>#N/A</v>
      </c>
      <c r="IR100" s="1679" t="e">
        <f t="shared" si="66"/>
        <v>#N/A</v>
      </c>
      <c r="IS100" s="1679" t="e">
        <f t="shared" si="66"/>
        <v>#N/A</v>
      </c>
      <c r="IT100" s="1679" t="e">
        <f t="shared" si="66"/>
        <v>#N/A</v>
      </c>
      <c r="IU100" s="1679" t="e">
        <f t="shared" si="66"/>
        <v>#N/A</v>
      </c>
      <c r="IV100" s="1679" t="e">
        <f>IF($CR100="interior",IF(R101&gt;$IP$14,ROUND(($IV$18*($IP$14/R101)),2),$IV$18),VLOOKUP($CS100,Control_Savings_Exterior,IV$30,FALSE))</f>
        <v>#N/A</v>
      </c>
      <c r="IW100" s="1679" t="e">
        <f>IF($CR100="interior",ROUND(((1-IS100)*IV100)+IS100,2),VLOOKUP($CS100,Control_Savings_Exterior,IW$30,FALSE))</f>
        <v>#N/A</v>
      </c>
      <c r="IX100" s="1679" t="e">
        <f>IF($CR100="interior",ROUND(((1-IT100)*IV100)+IT100,2),VLOOKUP($CS100,Control_Savings_Exterior,IX$30,FALSE))</f>
        <v>#N/A</v>
      </c>
      <c r="IY100" s="1679" t="e">
        <f>IF($CR100="interior",IF(R101&gt;$IP$14,ROUND(($IY$18*($IP$14/R101)),2),$IY$18),VLOOKUP($CS100,Control_Savings_Exterior,IY$30,FALSE))</f>
        <v>#N/A</v>
      </c>
      <c r="IZ100" s="1679" t="e">
        <f>IF($CR100="interior",ROUND(((1-IS100)*IY100)+IS100,2),VLOOKUP($CS100,Control_Savings_Exterior,IZ$30,FALSE))</f>
        <v>#N/A</v>
      </c>
      <c r="JA100" s="1679" t="e">
        <f>IF($CR100="interior",ROUND(((1-IT100)*IY100)+IT100,2),VLOOKUP($CS100,Control_Savings_Exterior,JA$30,FALSE))</f>
        <v>#N/A</v>
      </c>
      <c r="JC100" s="1680">
        <f>IFERROR(IF(CR100="Interior",CONCATENATE(G103," ",FQ100),FQ100),"")</f>
        <v>0</v>
      </c>
      <c r="JD100" s="1670" t="str">
        <f>IFERROR(VLOOKUP(JC100,_Controls_2023,2,FALSE),"")</f>
        <v/>
      </c>
      <c r="JE100" s="1681">
        <f>IFERROR(CHOOSE(JD100-1,IQ100,IR100,IS100,IT100,IU100,IV100,IW100,IX100,IY100,IZ100,JA100),0)</f>
        <v>0</v>
      </c>
      <c r="JG100" s="1680" t="str">
        <f>FE100</f>
        <v xml:space="preserve"> - 0</v>
      </c>
      <c r="JH100" s="1670" t="e">
        <f>$FO100</f>
        <v>#N/A</v>
      </c>
      <c r="JI100" s="1060"/>
      <c r="JJ100" s="1682" t="b">
        <f>IF($JG102=CONCATENATE("Interior - ",JJ$4),TRUE,FALSE)</f>
        <v>0</v>
      </c>
      <c r="JK100" s="1061"/>
      <c r="JL100" s="1682" t="b">
        <f>IF($JG102=CONCATENATE("Interior - ",JL$4),TRUE,FALSE)</f>
        <v>0</v>
      </c>
      <c r="JM100" s="1061"/>
      <c r="JN100" s="1682" t="b">
        <f>IF($JG102=CONCATENATE("Interior - ",JN$4),TRUE,FALSE)</f>
        <v>0</v>
      </c>
      <c r="JO100" s="1061"/>
      <c r="JP100" s="1682" t="b">
        <f>IF(__Retrofit_TI_NC&gt;0,FALSE,IF($JG102=CONCATENATE("Interior - ",JP$4),TRUE,FALSE))</f>
        <v>0</v>
      </c>
      <c r="JQ100" s="1061"/>
      <c r="JR100" s="1682" t="b">
        <f>IF(__Retrofit_TI_NC&gt;0,FALSE,IF($JG102=CONCATENATE("Interior - ",JR$4),TRUE,FALSE))</f>
        <v>0</v>
      </c>
      <c r="JS100" s="1061"/>
      <c r="JT100" s="1670" t="b">
        <f>IF(__Retrofit_TI_NC&gt;0,FALSE,IF($JG102=CONCATENATE("Interior - ",JT$4),TRUE,FALSE))</f>
        <v>0</v>
      </c>
      <c r="JU100" s="1061"/>
      <c r="JV100" s="1670" t="b">
        <f>IF(JC102="AELC on Existing",TRUE,FALSE)</f>
        <v>0</v>
      </c>
      <c r="JX100" s="1670" t="b">
        <f>IF(OR(JG102="Exterior - AELC Occupancy based",JG102="Exterior - AELC Time based"),TRUE,FALSE)</f>
        <v>0</v>
      </c>
      <c r="JZ100" s="1682" t="b">
        <f>IF($JG102=CONCATENATE("Exterior - ",JZ$4),TRUE,FALSE)</f>
        <v>0</v>
      </c>
      <c r="KB100" s="1670" t="b">
        <f>IF(__Retrofit_TI_NC&gt;0,FALSE,IF($JG102=CONCATENATE("Interior - ",KB$4),TRUE,FALSE))</f>
        <v>0</v>
      </c>
    </row>
    <row r="101" spans="1:288" s="78" customFormat="1" ht="14.95" customHeight="1" thickTop="1" thickBot="1">
      <c r="B101" s="1845"/>
      <c r="C101" s="1846"/>
      <c r="D101" s="1847"/>
      <c r="E101" s="1737" t="s">
        <v>297</v>
      </c>
      <c r="F101" s="1738"/>
      <c r="G101" s="1739"/>
      <c r="H101" s="1739"/>
      <c r="I101" s="1739"/>
      <c r="J101" s="1739"/>
      <c r="K101" s="1739"/>
      <c r="L101" s="1739"/>
      <c r="M101" s="461" t="e">
        <f>IF(__Retrofit_TI_NC&lt;&gt;0,IF(VLOOKUP(G102,'Space Table'!$B$3:$L$163,3,FALSE)&gt;0,1,0),IF(__Retrofit_TI_NC=VLOOKUP(G102,'Space Table'!$B$3:$L$163,3,FALSE),1,0))</f>
        <v>#N/A</v>
      </c>
      <c r="N101" s="461" t="str">
        <f>IFERROR(VLOOKUP(G101,_Lookup_Heat_Type_Table_New,2,FALSE),"")</f>
        <v/>
      </c>
      <c r="O101" s="461">
        <f>IF(__Retrofit_TI_NC=1,CONCATENATE("TI ",G101),IF(__Retrofit_TI_NC=2,CONCATENATE("NC ",G101),G101))</f>
        <v>0</v>
      </c>
      <c r="P101" s="1740" t="s">
        <v>435</v>
      </c>
      <c r="Q101" s="1740"/>
      <c r="R101" s="595"/>
      <c r="S101" s="1792"/>
      <c r="T101" s="597"/>
      <c r="U101" s="1765"/>
      <c r="V101" s="1766"/>
      <c r="W101" s="1766"/>
      <c r="X101" s="1766"/>
      <c r="Y101" s="1766"/>
      <c r="Z101" s="1766"/>
      <c r="AA101" s="1766"/>
      <c r="AB101" s="1766"/>
      <c r="AC101" s="1766"/>
      <c r="AD101" s="1767"/>
      <c r="AE101" s="1000"/>
      <c r="AF101" s="597"/>
      <c r="AG101" s="1723"/>
      <c r="AH101" s="1724"/>
      <c r="AI101" s="1724"/>
      <c r="AJ101" s="1724"/>
      <c r="AK101" s="1725"/>
      <c r="AL101" s="996"/>
      <c r="AM101" s="1747"/>
      <c r="AN101" s="1775"/>
      <c r="AO101" s="1777"/>
      <c r="AP101" s="1780"/>
      <c r="AQ101" s="1781"/>
      <c r="AR101" s="1795"/>
      <c r="AS101" s="1795"/>
      <c r="AT101" s="1796"/>
      <c r="AU101" s="1735"/>
      <c r="AV101" s="1752"/>
      <c r="AW101" s="1705"/>
      <c r="AX101" s="467"/>
      <c r="AY101" s="1749"/>
      <c r="AZ101" s="1749"/>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696"/>
      <c r="CQ101" s="1696"/>
      <c r="CR101" s="1809"/>
      <c r="CS101" s="1811"/>
      <c r="CU101" s="1688"/>
      <c r="CV101" s="1703"/>
      <c r="CW101" s="1703"/>
      <c r="CX101" s="1703"/>
      <c r="CY101" s="1815"/>
      <c r="CZ101" s="1711"/>
      <c r="DA101" s="1818"/>
      <c r="DB101" s="1820"/>
      <c r="DC101" s="1820"/>
      <c r="DD101" s="1820"/>
      <c r="DF101" s="1703"/>
      <c r="DG101" s="1831"/>
      <c r="DH101" s="1703"/>
      <c r="DI101" s="1838"/>
      <c r="DJ101" s="1711"/>
      <c r="DK101" s="1712"/>
      <c r="DM101" s="1718"/>
      <c r="DO101" s="1708"/>
      <c r="DQ101" s="1715"/>
      <c r="DR101" s="1720"/>
      <c r="DS101" s="1816"/>
      <c r="DT101" s="1714"/>
      <c r="DU101" s="1715"/>
      <c r="DV101" s="1716"/>
      <c r="DX101" s="1715"/>
      <c r="DY101" s="1720"/>
      <c r="DZ101" s="1715"/>
      <c r="EA101" s="1715"/>
      <c r="EC101" s="1834"/>
      <c r="ED101" s="1834"/>
      <c r="EF101" s="1707"/>
      <c r="EG101" s="1712"/>
      <c r="EH101" s="1818"/>
      <c r="EI101" s="1712"/>
      <c r="EJ101" s="1712"/>
      <c r="EK101" s="1836"/>
      <c r="EL101" s="1836"/>
      <c r="EM101" s="1807"/>
      <c r="EN101" s="1839"/>
      <c r="EO101" s="1839"/>
      <c r="EP101" s="1817"/>
      <c r="EQ101" s="1817"/>
      <c r="ER101" s="1807"/>
      <c r="ES101" s="1807"/>
      <c r="ET101" s="1807"/>
      <c r="EV101" s="1715"/>
      <c r="EX101" s="1805"/>
      <c r="EY101" s="1805"/>
      <c r="EZ101" s="1805"/>
      <c r="FA101" s="1805"/>
      <c r="FB101" s="1805"/>
      <c r="FC101" s="1827"/>
      <c r="FE101" s="1698"/>
      <c r="FG101" s="1816"/>
      <c r="FH101" s="1816"/>
      <c r="FI101" s="133"/>
      <c r="FL101" s="1823"/>
      <c r="FM101" s="1825"/>
      <c r="FN101" s="1698"/>
      <c r="FO101" s="1698"/>
      <c r="FP101" s="1678"/>
      <c r="FQ101" s="1678"/>
      <c r="FS101" s="1687"/>
      <c r="FT101" s="1687"/>
      <c r="FU101" s="1685"/>
      <c r="FV101" s="1687"/>
      <c r="FW101" s="1687"/>
      <c r="FX101" s="1687"/>
      <c r="FY101" s="1697"/>
      <c r="GA101" s="1696"/>
      <c r="GB101" s="1696"/>
      <c r="GC101" s="1696"/>
      <c r="GD101" s="1696"/>
      <c r="GE101" s="1696"/>
      <c r="GF101" s="1696"/>
      <c r="GG101" s="1696"/>
      <c r="GH101" s="1696"/>
      <c r="GI101" s="673"/>
      <c r="GJ101" s="1135"/>
      <c r="GK101" s="1832"/>
      <c r="GM101" s="1693" t="b">
        <f ca="1">IF(AND(GP101=TRUE,GQ101=TRUE),TRUE,FALSE)</f>
        <v>0</v>
      </c>
      <c r="GN101" s="1684" t="b">
        <f>IFERROR(IF(__Retrofit_TI_NC=2,TRUE,IF(AU100="Yes",TRUE,FALSE)),FALSE)</f>
        <v>1</v>
      </c>
      <c r="GP101" s="1684" t="b">
        <f>IFERROR(IF(GP100=1,TRUE,FALSE),FALSE)</f>
        <v>0</v>
      </c>
      <c r="GQ101" s="1684" t="b">
        <f ca="1">IFERROR(IF(GQ100=GQ$14,TRUE,FALSE),FALSE)</f>
        <v>0</v>
      </c>
      <c r="HG101" s="1684" t="b">
        <f>IFERROR(IF(AND(__Retrofit_TI_NC&gt;0,CQ100="Interior"),FALSE,TRUE),FALSE)</f>
        <v>1</v>
      </c>
      <c r="HH101" s="1684" t="b">
        <f>IFERROR(IF(M101=1,TRUE,FALSE),FALSE)</f>
        <v>0</v>
      </c>
      <c r="HI101" s="1684" t="b">
        <f>IFERROR(IF(OR(M102=1,N103="BAM"),TRUE,FALSE),FALSE)</f>
        <v>0</v>
      </c>
      <c r="HJ101" s="1684" t="b">
        <f>IFERROR(IF(__Retrofit_TI_NC&lt;&gt;0,TRUE,IFERROR(IF(VLOOKUP(U101,Fixtures_Existing_List,2,FALSE)&lt;&gt;"",TRUE,FALSE),FALSE)),FALSE)</f>
        <v>0</v>
      </c>
      <c r="HK101" s="1684" t="b">
        <f>IFERROR(IF(VLOOKUP(U102,Fixtures_Proposed_List,2,FALSE)&lt;&gt;"",TRUE,FALSE),FALSE)</f>
        <v>0</v>
      </c>
      <c r="HL101" s="1684" t="b">
        <f>IF(AND(__Retrofit_TI_NC=2,FC100=TRUE),FALSE,TRUE)</f>
        <v>1</v>
      </c>
      <c r="HM101" s="1684" t="b">
        <f>GK100</f>
        <v>1</v>
      </c>
      <c r="HN101" s="1682" t="b">
        <f>IF(ISERROR(MATCH(FE100,_Control_Match[],0))=TRUE,FALSE,TRUE)</f>
        <v>0</v>
      </c>
      <c r="HO101" s="1693" t="b">
        <f>IFERROR(IF(EX100&lt;&gt;EY100,FALSE,TRUE),FALSE)</f>
        <v>1</v>
      </c>
      <c r="HP101" s="1693" t="b">
        <f>IFERROR(IF(EX102&lt;&gt;EY102,FALSE,TRUE),FALSE)</f>
        <v>1</v>
      </c>
      <c r="HQ101" s="1670" t="b">
        <f>IFERROR(IF(CQ100="Exterior",TRUE,IF(AND(OR(FM102=0,FM102=3),JD102&gt;6),FALSE,TRUE)),FALSE)</f>
        <v>0</v>
      </c>
      <c r="HR101" s="1684" t="b">
        <f>IFERROR(IF(AND(FO102=7,FC100=TRUE),FALSE,TRUE),FALSE)</f>
        <v>0</v>
      </c>
      <c r="HS101" s="1684" t="b">
        <f>IFERROR(IF(AND(T102&lt;&gt;AF102,OR(AG102="Interior LLLC", AG102="Interior NLC", AG102="LLLC (outside Daylight)",AG102="LLLC Controls Only"))=TRUE,FALSE,TRUE),FALSE)</f>
        <v>1</v>
      </c>
      <c r="HT101" s="1670" t="b">
        <f>IFERROR(IF(OR(AG102=Lookup!BB$17,AG102=Lookup!BB$18,AG102=Lookup!BB$19)=TRUE,IF(AF102&gt;T102,FALSE,TRUE),TRUE),FALSE)</f>
        <v>1</v>
      </c>
      <c r="HU101" s="1684" t="b">
        <f>IFERROR(IF(__Retrofit_TI_NC=2,IF(EZ102&lt;EZ100,FALSE,TRUE),TRUE),FALSE)</f>
        <v>1</v>
      </c>
      <c r="HV101" s="1684" t="b">
        <f>IF(CQ100="Interior",IL$6,TRUE)</f>
        <v>1</v>
      </c>
      <c r="HW101" s="1684" t="b">
        <f>IF(CQ100="Exterior",IL$8,TRUE)</f>
        <v>1</v>
      </c>
      <c r="HX101" s="1684" t="b">
        <f>IFERROR(IF(__Retrofit_TI_NC&lt;&gt;0,IF(AZ100&lt;AY100,FALSE,TRUE),TRUE),FALSE)</f>
        <v>1</v>
      </c>
      <c r="HY101" s="1684" t="b">
        <f>IFERROR(IF(AND(G101="Exterior",R101&gt;4200),FALSE,TRUE),FALSE)</f>
        <v>1</v>
      </c>
      <c r="HZ101" s="1684" t="b">
        <f>IFERROR(IF(AB103/AB100&lt;HZ$18,FALSE,TRUE),FALSE)</f>
        <v>0</v>
      </c>
      <c r="IB101" s="1691"/>
      <c r="IC101" s="1695"/>
      <c r="ID101" s="1694" t="str">
        <f>VLOOKUP(IB103,_Error_Table,4,FALSE)</f>
        <v>White</v>
      </c>
      <c r="IE101" s="391"/>
      <c r="IF101" s="1688"/>
      <c r="IG101" s="1689"/>
      <c r="IH101" s="1684"/>
      <c r="IK101" s="1689"/>
      <c r="IL101" s="1691"/>
      <c r="IM101" s="1691"/>
      <c r="IN101" s="1691"/>
      <c r="IP101" s="1679"/>
      <c r="IQ101" s="1679"/>
      <c r="IR101" s="1679"/>
      <c r="IS101" s="1679"/>
      <c r="IT101" s="1679"/>
      <c r="IU101" s="1679"/>
      <c r="IV101" s="1679"/>
      <c r="IW101" s="1679"/>
      <c r="IX101" s="1679"/>
      <c r="IY101" s="1679"/>
      <c r="IZ101" s="1679"/>
      <c r="JA101" s="1679"/>
      <c r="JC101" s="1680"/>
      <c r="JD101" s="1670"/>
      <c r="JE101" s="1681"/>
      <c r="JG101" s="1680"/>
      <c r="JH101" s="1670"/>
      <c r="JI101" s="1060"/>
      <c r="JJ101" s="1683"/>
      <c r="JK101" s="1061"/>
      <c r="JL101" s="1683"/>
      <c r="JM101" s="1061"/>
      <c r="JN101" s="1683"/>
      <c r="JO101" s="1061"/>
      <c r="JP101" s="1683"/>
      <c r="JQ101" s="1061"/>
      <c r="JR101" s="1683"/>
      <c r="JS101" s="1061"/>
      <c r="JT101" s="1670"/>
      <c r="JU101" s="1061"/>
      <c r="JV101" s="1670"/>
      <c r="JX101" s="1670"/>
      <c r="JZ101" s="1683"/>
      <c r="KB101" s="1670"/>
    </row>
    <row r="102" spans="1:288" s="78" customFormat="1" ht="14.95" customHeight="1" thickTop="1" thickBot="1">
      <c r="A102" s="78">
        <f>ROW()</f>
        <v>102</v>
      </c>
      <c r="B102" s="1845"/>
      <c r="C102" s="1846"/>
      <c r="D102" s="1847"/>
      <c r="E102" s="1737" t="s">
        <v>298</v>
      </c>
      <c r="F102" s="1738"/>
      <c r="G102" s="1760"/>
      <c r="H102" s="1761"/>
      <c r="I102" s="1761"/>
      <c r="J102" s="1761"/>
      <c r="K102" s="1761"/>
      <c r="L102" s="1762"/>
      <c r="M102" s="461">
        <f>IFERROR(IF(IF(__Retrofit_TI_NC&lt;&gt;0,IF(CQ100="Interior",MATCH(G102,Lookup_Interior_New,0),MATCH(G102,Lookup_Exterior_New,0)),IF(CQ100="Interior",MATCH(G102,Lookup_Interior,0),MATCH(G102,Lookup_Exterior_Areas,0)))&gt;0,1,0),0)</f>
        <v>0</v>
      </c>
      <c r="N102" s="461" t="e">
        <f>IF(__Retrofit_TI_NC=1,
VLOOKUP(G102,'Space Table'!$B$3:$L$163,4,FALSE),
IF(__Retrofit_TI_NC=2,VLOOKUP(G102,'Space Table'!$B$3:$L$163,5,FALSE),VLOOKUP(G102,'Space Table'!$B$3:$L$163,5,FALSE)))</f>
        <v>#N/A</v>
      </c>
      <c r="O102" s="461">
        <f>G102</f>
        <v>0</v>
      </c>
      <c r="P102" s="1738" t="str">
        <f>IFERROR(IF(__Retrofit_TI_NC=1,VLOOKUP(G102,'Space Table'!$B$3:$O$163,13,FALSE),IF(__Retrofit_TI_NC=2,VLOOKUP(G102,'Space Table'!$B$3:$O$163,14,FALSE),"Area (sf):")),"Area (sf):")</f>
        <v>Area (sf):</v>
      </c>
      <c r="Q102" s="1738"/>
      <c r="R102" s="596"/>
      <c r="S102" s="1763" t="s">
        <v>345</v>
      </c>
      <c r="T102" s="594"/>
      <c r="U102" s="1801"/>
      <c r="V102" s="1802"/>
      <c r="W102" s="1802"/>
      <c r="X102" s="1802"/>
      <c r="Y102" s="1802"/>
      <c r="Z102" s="1802"/>
      <c r="AA102" s="1802"/>
      <c r="AB102" s="1802"/>
      <c r="AC102" s="1802"/>
      <c r="AD102" s="1802"/>
      <c r="AE102" s="1803"/>
      <c r="AF102" s="594"/>
      <c r="AG102" s="1787"/>
      <c r="AH102" s="1787"/>
      <c r="AI102" s="1787"/>
      <c r="AJ102" s="1787"/>
      <c r="AK102" s="1787"/>
      <c r="AL102" s="1787"/>
      <c r="AM102" s="1726">
        <f>IFERROR(DI102,"")</f>
        <v>0</v>
      </c>
      <c r="AN102" s="1728" t="str">
        <f>IFERROR(ROUND(AM102*AC103,0),"")</f>
        <v/>
      </c>
      <c r="AO102" s="1730">
        <f>IFERROR(IF(IB100=FALSE,0,AC103-AN102),0)</f>
        <v>0</v>
      </c>
      <c r="AP102" s="1780"/>
      <c r="AQ102" s="1781"/>
      <c r="AR102" s="1795"/>
      <c r="AS102" s="1795"/>
      <c r="AT102" s="1796"/>
      <c r="AU102" s="1735"/>
      <c r="AV102" s="1752"/>
      <c r="AW102" s="1705"/>
      <c r="AX102" s="467"/>
      <c r="AY102" s="1749"/>
      <c r="AZ102" s="1749"/>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696"/>
      <c r="CQ102" s="1696"/>
      <c r="CR102" s="1808" t="str">
        <f>CQ100</f>
        <v/>
      </c>
      <c r="CS102" s="1810" t="str">
        <f>CS100</f>
        <v/>
      </c>
      <c r="CU102" s="1688" t="s">
        <v>345</v>
      </c>
      <c r="CV102" s="1702">
        <f>IF(IB100=TRUE,T102,0)</f>
        <v>0</v>
      </c>
      <c r="CW102" s="1702" t="str">
        <f>IF(IB100=TRUE,U102,"")</f>
        <v/>
      </c>
      <c r="CX102" s="1812">
        <f>IF(IB100=TRUE,U103,0)</f>
        <v>0</v>
      </c>
      <c r="CY102" s="1814">
        <f>IF(IB100=TRUE,AB103,0)</f>
        <v>0</v>
      </c>
      <c r="CZ102" s="1710">
        <f>IF(AND(__Retrofit_TI_NC&gt;0,CR100="interior"),0,IF(IB100=TRUE,AC103,0))</f>
        <v>0</v>
      </c>
      <c r="DA102" s="1818"/>
      <c r="DB102" s="1820"/>
      <c r="DC102" s="1820"/>
      <c r="DD102" s="1820"/>
      <c r="DF102" s="1702">
        <f>IF(IB100=TRUE,AF102,0)</f>
        <v>0</v>
      </c>
      <c r="DG102" s="1830" t="str">
        <f>IF(IB100=TRUE,AG102,"")</f>
        <v/>
      </c>
      <c r="DH102" s="1812">
        <f>AG103</f>
        <v>0</v>
      </c>
      <c r="DI102" s="1837">
        <f>JE102</f>
        <v>0</v>
      </c>
      <c r="DJ102" s="1710">
        <f>IF(AND(__Retrofit_TI_NC&gt;0,CR100="interior"),0,IF(IB100=TRUE,AN102,0))</f>
        <v>0</v>
      </c>
      <c r="DK102" s="1712"/>
      <c r="DN102" s="1717">
        <f>IFERROR(CZ102-DJ102,0)</f>
        <v>0</v>
      </c>
      <c r="DO102" s="1709"/>
      <c r="DQ102" s="1715"/>
      <c r="DR102" s="1719" t="str">
        <f>DQ100</f>
        <v/>
      </c>
      <c r="DS102" s="1816"/>
      <c r="DT102" s="1835" t="str">
        <f>IF(OR(DS100=7,DS100=8,DS100=9),"ALC","")</f>
        <v/>
      </c>
      <c r="DU102" s="1715"/>
      <c r="DV102" s="1716"/>
      <c r="DX102" s="1715"/>
      <c r="DY102" s="1829" t="str">
        <f>DX100</f>
        <v/>
      </c>
      <c r="DZ102" s="1715"/>
      <c r="EA102" s="1715"/>
      <c r="EC102" s="1834"/>
      <c r="ED102" s="1834"/>
      <c r="EF102" s="1707"/>
      <c r="EG102" s="1712"/>
      <c r="EH102" s="1818"/>
      <c r="EI102" s="1712"/>
      <c r="EJ102" s="1712"/>
      <c r="EK102" s="1836"/>
      <c r="EL102" s="1836"/>
      <c r="EM102" s="1807"/>
      <c r="EN102" s="1839"/>
      <c r="EO102" s="1839"/>
      <c r="EP102" s="1817"/>
      <c r="EQ102" s="1817"/>
      <c r="ER102" s="1807"/>
      <c r="ES102" s="1807"/>
      <c r="ET102" s="1807"/>
      <c r="EV102" s="1715"/>
      <c r="EX102" s="1805" t="str">
        <f>IFERROR(VLOOKUP(CS102,'Space Table'!$B$3:$L$163,8,FALSE),"")</f>
        <v/>
      </c>
      <c r="EY102" s="1805" t="str">
        <f>IFERROR(IF(FB102="Yes",VLOOKUP(AG102,Lookup_Control_Type_Table2,4,FALSE),VLOOKUP(AG102,Lookup_Control_Type_Table2,3,FALSE)),"")</f>
        <v/>
      </c>
      <c r="EZ102" s="1805" t="e">
        <f>VLOOKUP(AG102,Lookup!BB$3:BC$20,2,FALSE)</f>
        <v>#N/A</v>
      </c>
      <c r="FA102" s="1805" t="e">
        <f>VLOOKUP(EX100,Lookup_Control_Type_Table,2,FALSE)</f>
        <v>#N/A</v>
      </c>
      <c r="FB102" s="1805" t="e">
        <f>VLOOKUP(CS102,'Space Table'!$B$3:$L$163,7,FALSE)</f>
        <v>#N/A</v>
      </c>
      <c r="FC102" s="1827"/>
      <c r="FE102" s="1698" t="str">
        <f>CONCATENATE(CQ100," - ",AG102)</f>
        <v xml:space="preserve"> - </v>
      </c>
      <c r="FG102" s="1816"/>
      <c r="FH102" s="1816"/>
      <c r="FI102" s="133"/>
      <c r="FL102" s="1822" t="str">
        <f>IF(CQ100="Exterior","Not Daylighted",G103)</f>
        <v>Not Daylighted</v>
      </c>
      <c r="FM102" s="1824">
        <f>VLOOKUP(FL102,_New_Daylight_Table_Codes,2,FALSE)</f>
        <v>0</v>
      </c>
      <c r="FN102" s="1698">
        <f>AG102</f>
        <v>0</v>
      </c>
      <c r="FO102" s="1698" t="e">
        <f>VLOOKUP(FN102,_Control_Table,2,FALSE)</f>
        <v>#N/A</v>
      </c>
      <c r="FP102" s="1678" t="e">
        <f>VLOOKUP(CONCATENATE(FL102," ",FN102),Lookup!AY$102:AZ113,2,FALSE)</f>
        <v>#N/A</v>
      </c>
      <c r="FQ102" s="1698">
        <f>IF(__Retrofit_TI_NC=0,FN102,IF(AND(FT102&gt;0,FN102="Occupancy Sensor"),"Daylight + Occupancy",IF(AND(FT102&gt;0,FO102&lt;4),"Interior Daylight Dimming",FN102)))</f>
        <v>0</v>
      </c>
      <c r="FS102" s="1686">
        <f>IF(CQ100="Interior",VLOOKUP(CS100,Control_Savings_Interior,5,FALSE),0)</f>
        <v>0</v>
      </c>
      <c r="FT102" s="1687">
        <f>IF(CQ102="Exterior",0,IF(FM102=2,0.5,IF(OR(FM102=1,FM102=3),1,0)))</f>
        <v>0</v>
      </c>
      <c r="FU102" s="1685">
        <f>IF(R101&gt;FS$44,(FS102*(FS$44/R101)),FS102)*FT102</f>
        <v>0</v>
      </c>
      <c r="FV102" s="1686">
        <f>DI102</f>
        <v>0</v>
      </c>
      <c r="FW102" s="1686">
        <f>ROUND(FV102+((1-FV102)*FU102),2)</f>
        <v>0</v>
      </c>
      <c r="FX102" s="1686">
        <f>IF(__Retrofit_TI_NC=2,FW102,FV102)</f>
        <v>0</v>
      </c>
      <c r="FY102" s="1697">
        <f>IF(CR102="Interior",VLOOKUP(CS102,Control_Savings_Interior,4,FALSE),0)</f>
        <v>0</v>
      </c>
      <c r="GA102" s="1696"/>
      <c r="GB102" s="1696"/>
      <c r="GC102" s="1696"/>
      <c r="GD102" s="1696"/>
      <c r="GE102" s="1696"/>
      <c r="GF102" s="1696"/>
      <c r="GG102" s="1696"/>
      <c r="GH102" s="1696"/>
      <c r="GI102" s="673" t="b">
        <f>IF(ISNUMBER(SEARCH("TLED",U102)),TRUE,FALSE)</f>
        <v>0</v>
      </c>
      <c r="GJ102" s="1135" t="str">
        <f>IFERROR(VLOOKUP(U102,Fixtures!DM$93:DR$142,6,FALSE),"")</f>
        <v/>
      </c>
      <c r="GK102" s="1832"/>
      <c r="GM102" s="1692"/>
      <c r="GN102" s="1684"/>
      <c r="GP102" s="1684"/>
      <c r="GQ102" s="1684"/>
      <c r="HG102" s="1684"/>
      <c r="HH102" s="1684"/>
      <c r="HI102" s="1684"/>
      <c r="HJ102" s="1684"/>
      <c r="HK102" s="1684"/>
      <c r="HL102" s="1684"/>
      <c r="HM102" s="1684"/>
      <c r="HN102" s="1683"/>
      <c r="HO102" s="1692"/>
      <c r="HP102" s="1692"/>
      <c r="HQ102" s="1670"/>
      <c r="HR102" s="1684"/>
      <c r="HS102" s="1684"/>
      <c r="HT102" s="1670"/>
      <c r="HU102" s="1684"/>
      <c r="HV102" s="1684"/>
      <c r="HW102" s="1684"/>
      <c r="HX102" s="1684"/>
      <c r="HY102" s="1684"/>
      <c r="HZ102" s="1684"/>
      <c r="IB102" s="1692"/>
      <c r="IC102" s="1693" t="b">
        <f>IB100</f>
        <v>0</v>
      </c>
      <c r="ID102" s="1695"/>
      <c r="IE102" s="391"/>
      <c r="IF102" s="1688"/>
      <c r="IG102" s="1689">
        <f ca="1">IF(IF100=TRUE,AC103,0)</f>
        <v>0</v>
      </c>
      <c r="IH102" s="1684"/>
      <c r="IK102" s="1689" t="e">
        <f>ROUND(T102*AB103*N101*R101/1000,0)</f>
        <v>#VALUE!</v>
      </c>
      <c r="IL102" s="1691"/>
      <c r="IM102" s="1693" t="e">
        <f>ROUND(T102*AB103*N101*R101/1000,0)</f>
        <v>#VALUE!</v>
      </c>
      <c r="IN102" s="1691"/>
      <c r="IP102" s="1679"/>
      <c r="IQ102" s="1679" t="e">
        <f t="shared" ref="IQ102:IU102" si="67">IF($CR102="interior",VLOOKUP($CS102,_New_Control_Savings_Interior,IQ$30,FALSE),VLOOKUP($CS102,Control_Savings_Exterior,IQ$30,FALSE))</f>
        <v>#N/A</v>
      </c>
      <c r="IR102" s="1679" t="e">
        <f t="shared" si="67"/>
        <v>#N/A</v>
      </c>
      <c r="IS102" s="1679" t="e">
        <f t="shared" si="67"/>
        <v>#N/A</v>
      </c>
      <c r="IT102" s="1679" t="e">
        <f t="shared" si="67"/>
        <v>#N/A</v>
      </c>
      <c r="IU102" s="1679" t="e">
        <f t="shared" si="67"/>
        <v>#N/A</v>
      </c>
      <c r="IV102" s="1679" t="e">
        <f>IF($CR102="interior",IF(R101&gt;$IP$14,ROUND(($IV$18*($IP$14/R101)),2),$IV$18),VLOOKUP($CS102,Control_Savings_Exterior,IV$30,FALSE))</f>
        <v>#N/A</v>
      </c>
      <c r="IW102" s="1679" t="e">
        <f>IF($CR102="interior",ROUND(((1-IS102)*IV102)+IS102,2),VLOOKUP($CS102,Control_Savings_Exterior,IW$30,FALSE))</f>
        <v>#N/A</v>
      </c>
      <c r="IX102" s="1679" t="e">
        <f>IF($CR102="interior",ROUND(((1-IT102)*IV102)+IT102,2),VLOOKUP($CS102,Control_Savings_Exterior,IX$30,FALSE))</f>
        <v>#N/A</v>
      </c>
      <c r="IY102" s="1679" t="e">
        <f>IF($CR102="interior",IF(R101&gt;$IP$14,ROUND(($IY$18*($IP$14/R101)),2),$IY$18),VLOOKUP($CS102,Control_Savings_Exterior,IY$30,FALSE))</f>
        <v>#N/A</v>
      </c>
      <c r="IZ102" s="1679" t="e">
        <f>IF($CR102="interior",ROUND(((1-IS102)*IY102)+IS102,2),VLOOKUP($CS102,Control_Savings_Exterior,IZ$30,FALSE))</f>
        <v>#N/A</v>
      </c>
      <c r="JA102" s="1679" t="e">
        <f>IF($CR102="interior",ROUND(((1-IT102)*IY102)+IT102,2),VLOOKUP($CS102,Control_Savings_Exterior,JA$30,FALSE))</f>
        <v>#N/A</v>
      </c>
      <c r="JC102" s="1680">
        <f>IFERROR(IF(CR102="Interior",CONCATENATE(G103," ",FQ102),AG102),"")</f>
        <v>0</v>
      </c>
      <c r="JD102" s="1670" t="str">
        <f>IFERROR(VLOOKUP(JC102,_Controls_2023,2,FALSE),"")</f>
        <v/>
      </c>
      <c r="JE102" s="1681">
        <f>IFERROR(CHOOSE(JD102-1,IQ102,IR102,IS102,IT102,IU102,IV102,IW102,IX102,IY102,IZ102,JA102),0)</f>
        <v>0</v>
      </c>
      <c r="JG102" s="1680" t="str">
        <f>FE102</f>
        <v xml:space="preserve"> - </v>
      </c>
      <c r="JH102" s="1670" t="e">
        <f>$FO102</f>
        <v>#N/A</v>
      </c>
      <c r="JI102" s="1060"/>
      <c r="JJ102" s="1670">
        <f>IFERROR(IF($IB100=TRUE,IF(OR(JJ$14="No",JJ100=FALSE,JH102&lt;=JH100,AND(_kWh_Grant=0,GD100=FALSE)),0,IF(JJ$8="Per Line",1,$AF102)),0),0)</f>
        <v>0</v>
      </c>
      <c r="JK102" s="1061"/>
      <c r="JL102" s="1670">
        <f>IFERROR(IF(_kWh_Grant=0,0,IF($IB100=TRUE,IF(OR(JL$14="No",JL100=FALSE,JH102&lt;=JH100),0,IF(JL$8="Per Line",1,$T102)),0)),0)</f>
        <v>0</v>
      </c>
      <c r="JM102" s="1061"/>
      <c r="JN102" s="1670">
        <f>IFERROR(IF(_kWh_Grant=0,0,IF($IB100=TRUE,IF(OR(JN$14="No",JN100=FALSE,JH102&lt;=JH100),0,IF(JN$8="Per Line",1,$AF102)),0)),0)</f>
        <v>0</v>
      </c>
      <c r="JO102" s="1061"/>
      <c r="JP102" s="1670">
        <f>IFERROR(IF(__Retrofit_TI_NC=0,IF(_kWh_Grant=0,0,IF($IB100=TRUE,IF(OR(JP$14="No",JP100=FALSE,$JH102&lt;=$JH100),0,IF(JP$8="Per Line",1,$AF102)),0)),IF($IB100=TRUE,IF(OR(JP$14="No",JP100=FALSE,$JH102&lt;=$JH100),0,IF(JP$8="Per Line",1,$AF102)))),0)</f>
        <v>0</v>
      </c>
      <c r="JQ102" s="1061"/>
      <c r="JR102" s="1670">
        <f>IFERROR(IF(__Retrofit_TI_NC=0,IF(_kWh_Grant=0,0,IF($IB100=TRUE,IF(OR(JR$14="No",JR100=FALSE,$JH102&lt;=$JH100),0,IF(JR$8="Per Line",1,$AF102)),0)),IF($IB100=TRUE,IF(OR(JR$14="No",JR100=FALSE,$JH102&lt;=$JH100),0,IF(JR$8="Per Line",1,$AF102)))),0)</f>
        <v>0</v>
      </c>
      <c r="JS102" s="1061"/>
      <c r="JT102" s="1670">
        <f>IFERROR(IF(__Retrofit_TI_NC=0,IF(_kWh_Grant=0,0,IF($IB100=TRUE,IF(OR(JT$14="No",JT100=FALSE,$JH102&lt;=$JH100),0,IF(JT$8="Per Line",1,$AF102)),0)),IF($IB100=TRUE,IF(OR(JT$14="No",JT100=FALSE,$JH102&lt;=$JH100),0,IF(JT$8="Per Line",1,$AF102)))),0)</f>
        <v>0</v>
      </c>
      <c r="JU102" s="1061"/>
      <c r="JV102" s="1670">
        <f>IFERROR(IF(__Retrofit_TI_NC=0,IF(_kWh_Grant=0,0,IF($IB100=TRUE,IF(OR(JV$14="No",JV100=FALSE,$JH102&lt;=$JH100),0,IF(JV$8="Per Line",1,$AF102)),0)),IF($IB100=TRUE,IF(OR(JV$14="No",JV100=FALSE,$JH102&lt;=$JH100),0,IF(JV$8="Per Line",1,$AF102)))),0)</f>
        <v>0</v>
      </c>
      <c r="JX102" s="1670">
        <f>IFERROR(IF(__Retrofit_TI_NC=0,IF(_kWh_Grant=0,0,IF($IB100=TRUE,IF(OR(JX$14="No",JX100=FALSE,$JH102&lt;=$JH100),0,IF(JX$8="Per Line",1,$AF102)),0)),IF($IB100=TRUE,IF(OR(JX$14="No",JX100=FALSE,$JH102&lt;=$JH100),0,IF(JX$8="Per Line",1,$AF102)))),0)</f>
        <v>0</v>
      </c>
      <c r="JZ102" s="1670">
        <f>IFERROR(IF($IB100=TRUE,IF(OR(JZ$14="No",JZ100=FALSE,$JH102&lt;=$JH100,AND(_kWh_Grant=0,$GD100=FALSE)),0,IF(JZ$8="Per Line",1,$AF102)),0),0)</f>
        <v>0</v>
      </c>
      <c r="KB102" s="1670">
        <f>IFERROR(IF(__Retrofit_TI_NC=0,IF(_kWh_Grant=0,0,IF($IB100=TRUE,IF(OR(KB$14="No",KB100=FALSE,$JH102&lt;=$JH100),0,IF(KB$8="Per Line",1,$AF102)),0)),IF($IB100=TRUE,IF(OR(KB$14="No",KB100=FALSE,$JH102&lt;=$JH100),0,IF(KB$8="Per Line",1,$AF102)))),0)</f>
        <v>0</v>
      </c>
    </row>
    <row r="103" spans="1:288" s="78" customFormat="1" ht="14.95" customHeight="1" thickTop="1" thickBot="1">
      <c r="B103" s="1845"/>
      <c r="C103" s="1846"/>
      <c r="D103" s="1847"/>
      <c r="E103" s="1771" t="s">
        <v>436</v>
      </c>
      <c r="F103" s="1772"/>
      <c r="G103" s="1784" t="s">
        <v>437</v>
      </c>
      <c r="H103" s="1785"/>
      <c r="I103" s="1785"/>
      <c r="J103" s="1785"/>
      <c r="K103" s="1785"/>
      <c r="L103" s="1786"/>
      <c r="M103" s="591">
        <f>IFERROR(VLOOKUP(G103,_Daylight_Table[],2,FALSE),0)</f>
        <v>0</v>
      </c>
      <c r="N103" s="592" t="str">
        <f>IF(AND(__Retrofit_TI_NC&gt;0,CQ100="Interior"),"BAM","")</f>
        <v/>
      </c>
      <c r="O103" s="591" t="e">
        <f>VLOOKUP(G102,'Space Table'!$B$3:$L$163,11,FALSE)</f>
        <v>#N/A</v>
      </c>
      <c r="P103" s="1789"/>
      <c r="Q103" s="1790"/>
      <c r="R103" s="1790"/>
      <c r="S103" s="1788"/>
      <c r="T103" s="593" t="s">
        <v>342</v>
      </c>
      <c r="U103" s="1756" t="str" cm="1">
        <f t="array" aca="1" ref="U103" ca="1">IFERROR(VLOOKUP(INDIRECT("U" &amp; ROW()-1),Fixtures!DM$93:DP$142,4,FALSE),"")</f>
        <v/>
      </c>
      <c r="V103" s="1757"/>
      <c r="W103" s="1757"/>
      <c r="X103" s="1757"/>
      <c r="Y103" s="1757"/>
      <c r="Z103" s="1757"/>
      <c r="AA103" s="1758"/>
      <c r="AB103" s="939" t="str">
        <f>IFERROR(VLOOKUP(U102,Fixtures_Proposed_List,2,FALSE),"")</f>
        <v/>
      </c>
      <c r="AC103" s="933" t="str">
        <f>IFERROR(ROUND(T102*AB103*N101*R101/1000,0),"")</f>
        <v/>
      </c>
      <c r="AD103" s="934" t="str">
        <f>IFERROR(ROUND(T102*AB103/1000,2),"")</f>
        <v/>
      </c>
      <c r="AE103" s="998"/>
      <c r="AF103" s="938" t="s">
        <v>342</v>
      </c>
      <c r="AG103" s="1770"/>
      <c r="AH103" s="1770"/>
      <c r="AI103" s="1770"/>
      <c r="AJ103" s="1770"/>
      <c r="AK103" s="1770"/>
      <c r="AL103" s="1770"/>
      <c r="AM103" s="1727"/>
      <c r="AN103" s="1729"/>
      <c r="AO103" s="1731"/>
      <c r="AP103" s="1782"/>
      <c r="AQ103" s="1783"/>
      <c r="AR103" s="1797"/>
      <c r="AS103" s="1797"/>
      <c r="AT103" s="1798"/>
      <c r="AU103" s="1736"/>
      <c r="AV103" s="1753"/>
      <c r="AW103" s="1706"/>
      <c r="AX103" s="468"/>
      <c r="AY103" s="1750"/>
      <c r="AZ103" s="1750"/>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696"/>
      <c r="CQ103" s="1696"/>
      <c r="CR103" s="1809"/>
      <c r="CS103" s="1811"/>
      <c r="CU103" s="1688"/>
      <c r="CV103" s="1703"/>
      <c r="CW103" s="1703"/>
      <c r="CX103" s="1813"/>
      <c r="CY103" s="1815"/>
      <c r="CZ103" s="1711"/>
      <c r="DA103" s="1815"/>
      <c r="DB103" s="1821"/>
      <c r="DC103" s="1821"/>
      <c r="DD103" s="1821"/>
      <c r="DF103" s="1703"/>
      <c r="DG103" s="1831"/>
      <c r="DH103" s="1813"/>
      <c r="DI103" s="1838"/>
      <c r="DJ103" s="1711"/>
      <c r="DK103" s="1712"/>
      <c r="DN103" s="1718"/>
      <c r="DO103" s="1709"/>
      <c r="DQ103" s="1715"/>
      <c r="DR103" s="1720"/>
      <c r="DS103" s="1703"/>
      <c r="DT103" s="1714"/>
      <c r="DU103" s="1715"/>
      <c r="DV103" s="1716"/>
      <c r="DX103" s="1715"/>
      <c r="DY103" s="1720"/>
      <c r="DZ103" s="1715"/>
      <c r="EA103" s="1715"/>
      <c r="EC103" s="1834"/>
      <c r="ED103" s="1834"/>
      <c r="EF103" s="1707"/>
      <c r="EG103" s="1712"/>
      <c r="EH103" s="1815"/>
      <c r="EI103" s="1712"/>
      <c r="EJ103" s="1712"/>
      <c r="EK103" s="1813"/>
      <c r="EL103" s="1813"/>
      <c r="EM103" s="1807"/>
      <c r="EN103" s="1839"/>
      <c r="EO103" s="1839"/>
      <c r="EP103" s="1817"/>
      <c r="EQ103" s="1817"/>
      <c r="ER103" s="1807"/>
      <c r="ES103" s="1807"/>
      <c r="ET103" s="1807"/>
      <c r="EV103" s="1715"/>
      <c r="EX103" s="1806"/>
      <c r="EY103" s="1806"/>
      <c r="EZ103" s="1806"/>
      <c r="FA103" s="1806"/>
      <c r="FB103" s="1806"/>
      <c r="FC103" s="1828"/>
      <c r="FE103" s="1698"/>
      <c r="FG103" s="1703"/>
      <c r="FH103" s="1703"/>
      <c r="FI103" s="133"/>
      <c r="FL103" s="1823"/>
      <c r="FM103" s="1825"/>
      <c r="FN103" s="1698"/>
      <c r="FO103" s="1698"/>
      <c r="FP103" s="1678"/>
      <c r="FQ103" s="1698"/>
      <c r="FS103" s="1687"/>
      <c r="FT103" s="1687"/>
      <c r="FU103" s="1685"/>
      <c r="FV103" s="1687"/>
      <c r="FW103" s="1687"/>
      <c r="FX103" s="1687"/>
      <c r="FY103" s="1697"/>
      <c r="GA103" s="1696"/>
      <c r="GB103" s="1696"/>
      <c r="GC103" s="1696"/>
      <c r="GD103" s="1696"/>
      <c r="GE103" s="1696"/>
      <c r="GF103" s="1696"/>
      <c r="GG103" s="1696"/>
      <c r="GH103" s="1696"/>
      <c r="GI103" s="673"/>
      <c r="GJ103" s="1135"/>
      <c r="GK103" s="1832"/>
      <c r="GN103" s="674">
        <f>IF(GN101=TRUE,0,GN$16)</f>
        <v>0</v>
      </c>
      <c r="GP103" s="674">
        <f>IF(GP101=TRUE,0,GP$16)</f>
        <v>36</v>
      </c>
      <c r="GQ103" s="674">
        <f ca="1">IF(GQ101=TRUE,0,GQ$16)</f>
        <v>35</v>
      </c>
      <c r="GR103" s="391"/>
      <c r="GS103" s="391"/>
      <c r="GT103" s="391"/>
      <c r="GU103" s="391"/>
      <c r="GV103" s="391"/>
      <c r="HG103" s="674">
        <f>IF(HG101=TRUE,0,HG$16)</f>
        <v>0</v>
      </c>
      <c r="HH103" s="674">
        <f t="shared" ref="HH103:HM103" si="68">IF(HH101=TRUE,0,HH$16)</f>
        <v>19</v>
      </c>
      <c r="HI103" s="674">
        <f t="shared" si="68"/>
        <v>18</v>
      </c>
      <c r="HJ103" s="674">
        <f t="shared" si="68"/>
        <v>17</v>
      </c>
      <c r="HK103" s="674">
        <f t="shared" si="68"/>
        <v>16</v>
      </c>
      <c r="HL103" s="674">
        <f t="shared" si="68"/>
        <v>0</v>
      </c>
      <c r="HM103" s="674">
        <f t="shared" si="68"/>
        <v>0</v>
      </c>
      <c r="HN103" s="674">
        <f>IF(HN101=TRUE,0,HN$16)</f>
        <v>13</v>
      </c>
      <c r="HO103" s="674">
        <f t="shared" ref="HO103:HQ103" si="69">IF(HO101=TRUE,0,HO$16)</f>
        <v>0</v>
      </c>
      <c r="HP103" s="674">
        <f t="shared" si="69"/>
        <v>0</v>
      </c>
      <c r="HQ103" s="674">
        <f t="shared" si="69"/>
        <v>10</v>
      </c>
      <c r="HR103" s="674">
        <f>IF(HR101=TRUE,0,HR$16)</f>
        <v>9</v>
      </c>
      <c r="HS103" s="674">
        <f t="shared" ref="HS103:HW103" si="70">IF(HS101=TRUE,0,HS$16)</f>
        <v>0</v>
      </c>
      <c r="HT103" s="674">
        <f t="shared" si="70"/>
        <v>0</v>
      </c>
      <c r="HU103" s="674">
        <f t="shared" si="70"/>
        <v>0</v>
      </c>
      <c r="HV103" s="674">
        <f t="shared" si="70"/>
        <v>0</v>
      </c>
      <c r="HW103" s="674">
        <f t="shared" si="70"/>
        <v>0</v>
      </c>
      <c r="HX103" s="674">
        <f>IF(HX101=TRUE,0,HX$16)</f>
        <v>0</v>
      </c>
      <c r="HY103" s="674">
        <f>IF(HY101=TRUE,0,HY$16)</f>
        <v>0</v>
      </c>
      <c r="HZ103" s="674">
        <f>IF(HZ101=TRUE,0,HZ$16)</f>
        <v>1</v>
      </c>
      <c r="IB103" s="674">
        <f>IF(GP101=FALSE,GP103,IF(GQ101=FALSE,GQ103,MAX(GN103:HZ103)))</f>
        <v>36</v>
      </c>
      <c r="IC103" s="1692"/>
      <c r="ID103" s="205" t="str">
        <f>VLOOKUP(IB103,_Error_Table,3,FALSE)</f>
        <v xml:space="preserve"> </v>
      </c>
      <c r="IE103" s="205"/>
      <c r="IF103" s="1688"/>
      <c r="IG103" s="1689"/>
      <c r="IH103" s="1684"/>
      <c r="IK103" s="1689"/>
      <c r="IL103" s="1692"/>
      <c r="IM103" s="1692"/>
      <c r="IN103" s="1692"/>
      <c r="IP103" s="1679"/>
      <c r="IQ103" s="1679"/>
      <c r="IR103" s="1679"/>
      <c r="IS103" s="1679"/>
      <c r="IT103" s="1679"/>
      <c r="IU103" s="1679"/>
      <c r="IV103" s="1679"/>
      <c r="IW103" s="1679"/>
      <c r="IX103" s="1679"/>
      <c r="IY103" s="1679"/>
      <c r="IZ103" s="1679"/>
      <c r="JA103" s="1679"/>
      <c r="JC103" s="1680"/>
      <c r="JD103" s="1670"/>
      <c r="JE103" s="1681"/>
      <c r="JG103" s="1680"/>
      <c r="JH103" s="1670"/>
      <c r="JI103" s="1060"/>
      <c r="JJ103" s="1670"/>
      <c r="JK103" s="1061"/>
      <c r="JL103" s="1670"/>
      <c r="JM103" s="1061"/>
      <c r="JN103" s="1670"/>
      <c r="JO103" s="1061"/>
      <c r="JP103" s="1670"/>
      <c r="JQ103" s="1061"/>
      <c r="JR103" s="1670"/>
      <c r="JS103" s="1061"/>
      <c r="JT103" s="1670"/>
      <c r="JU103" s="1061"/>
      <c r="JV103" s="1670"/>
      <c r="JX103" s="1670"/>
      <c r="JZ103" s="1670"/>
      <c r="KB103" s="1670"/>
    </row>
    <row r="104" spans="1:288" s="78" customFormat="1" ht="5.0999999999999996" customHeight="1">
      <c r="B104" s="676"/>
      <c r="C104" s="1029" t="s">
        <v>440</v>
      </c>
      <c r="D104" s="392"/>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3"/>
      <c r="AH104" s="1733"/>
      <c r="AI104" s="1733"/>
      <c r="AJ104" s="1733"/>
      <c r="AK104" s="1733"/>
      <c r="AL104" s="1733"/>
      <c r="AM104" s="1733"/>
      <c r="AN104" s="1733"/>
      <c r="AO104" s="1733"/>
      <c r="AP104" s="1733"/>
      <c r="AQ104" s="1733"/>
      <c r="AR104" s="1733"/>
      <c r="AS104" s="1733"/>
      <c r="AT104" s="1733"/>
      <c r="AU104" s="1733"/>
      <c r="AV104" s="1733"/>
      <c r="AW104" s="1733"/>
      <c r="AX104" s="469"/>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663"/>
      <c r="CQ104" s="663"/>
      <c r="CR104" s="438"/>
      <c r="CS104" s="663"/>
      <c r="CV104" s="391"/>
      <c r="CW104" s="391"/>
      <c r="CX104" s="207"/>
      <c r="CY104" s="208"/>
      <c r="CZ104" s="208"/>
      <c r="DA104" s="208"/>
      <c r="DB104" s="209"/>
      <c r="DC104" s="209"/>
      <c r="DD104" s="209"/>
      <c r="DF104" s="664"/>
      <c r="DG104" s="665"/>
      <c r="DH104" s="666"/>
      <c r="DI104" s="667"/>
      <c r="DJ104" s="668"/>
      <c r="DK104" s="668"/>
      <c r="DN104" s="208"/>
      <c r="DO104" s="664"/>
      <c r="DQ104" s="664"/>
      <c r="DR104" s="669"/>
      <c r="DS104" s="391"/>
      <c r="DT104" s="664"/>
      <c r="DU104" s="664"/>
      <c r="DV104" s="664"/>
      <c r="DX104" s="664"/>
      <c r="DY104" s="664"/>
      <c r="DZ104" s="664"/>
      <c r="EA104" s="664"/>
      <c r="EC104" s="670"/>
      <c r="ED104" s="670"/>
      <c r="EF104" s="668"/>
      <c r="EG104" s="668"/>
      <c r="EH104" s="208"/>
      <c r="EI104" s="668"/>
      <c r="EJ104" s="668"/>
      <c r="EK104" s="207"/>
      <c r="EL104" s="207"/>
      <c r="EM104" s="666"/>
      <c r="EN104" s="671"/>
      <c r="EO104" s="671"/>
      <c r="EP104" s="672"/>
      <c r="EQ104" s="672"/>
      <c r="ER104" s="666"/>
      <c r="ES104" s="666"/>
      <c r="ET104" s="666"/>
      <c r="EV104" s="664"/>
      <c r="EX104" s="391"/>
      <c r="EY104" s="391"/>
      <c r="EZ104" s="391"/>
      <c r="FA104" s="391"/>
      <c r="FB104" s="391"/>
      <c r="FC104" s="391"/>
      <c r="FE104" s="569"/>
      <c r="FG104" s="391"/>
      <c r="FH104" s="391"/>
      <c r="FI104" s="391"/>
      <c r="FS104" s="664"/>
      <c r="FT104" s="391"/>
      <c r="FU104" s="391"/>
      <c r="FV104" s="664"/>
      <c r="FW104" s="664"/>
      <c r="GA104" s="663"/>
      <c r="GB104" s="663"/>
      <c r="GC104" s="663"/>
      <c r="GD104" s="663"/>
      <c r="GE104" s="663"/>
      <c r="GF104" s="663"/>
      <c r="GG104" s="663"/>
      <c r="GH104" s="663"/>
      <c r="GI104" s="665"/>
      <c r="GJ104" s="664"/>
      <c r="GK104" s="664"/>
    </row>
    <row r="105" spans="1:288" s="78" customFormat="1" ht="14.95" customHeight="1">
      <c r="B105" s="1845" t="str">
        <f>ID108</f>
        <v xml:space="preserve"> </v>
      </c>
      <c r="C105" s="1846">
        <f>C100+1</f>
        <v>12</v>
      </c>
      <c r="D105" s="1847"/>
      <c r="E105" s="1799" t="s">
        <v>295</v>
      </c>
      <c r="F105" s="1800"/>
      <c r="G105" s="1741"/>
      <c r="H105" s="1742"/>
      <c r="I105" s="1742"/>
      <c r="J105" s="1742"/>
      <c r="K105" s="1742"/>
      <c r="L105" s="1742"/>
      <c r="M105" s="1742"/>
      <c r="N105" s="1742"/>
      <c r="O105" s="1742"/>
      <c r="P105" s="1742"/>
      <c r="Q105" s="1742"/>
      <c r="R105" s="1742"/>
      <c r="S105" s="1791" t="s">
        <v>344</v>
      </c>
      <c r="T105" s="590"/>
      <c r="U105" s="1743"/>
      <c r="V105" s="1744"/>
      <c r="W105" s="1744"/>
      <c r="X105" s="1744"/>
      <c r="Y105" s="1744"/>
      <c r="Z105" s="1744"/>
      <c r="AA105" s="1744"/>
      <c r="AB105" s="961" t="str">
        <f>IFERROR(IF(__Retrofit_TI_NC=0,VLOOKUP(U106,Fixtures_Existing_List,2,FALSE),ROUND(N107*R107/T107,10)),"")</f>
        <v/>
      </c>
      <c r="AC105" s="935" t="str">
        <f>IFERROR(IF(__Retrofit_TI_NC=0,ROUND(T106*AB105*N106*R106/1000,0),IF(CQ105="Interior",N107*R107*R106*N106*_C406_reduction/1000,N107*R107*R106*N106/1000)),"")</f>
        <v/>
      </c>
      <c r="AD105" s="936" t="str">
        <f>IFERROR(IF(C$43=0,ROUND(T106*AB105/1000,2),N107*R107/1000),"")</f>
        <v/>
      </c>
      <c r="AE105" s="997"/>
      <c r="AF105" s="937"/>
      <c r="AG105" s="1745" t="str">
        <f>IF(__Retrofit_TI_NC=0," Control","Select Advanced Control for New System")</f>
        <v xml:space="preserve"> Control</v>
      </c>
      <c r="AH105" s="1745"/>
      <c r="AI105" s="1745"/>
      <c r="AJ105" s="1745"/>
      <c r="AK105" s="1745"/>
      <c r="AL105" s="1745"/>
      <c r="AM105" s="1746">
        <f>IFERROR(DI105,"")</f>
        <v>0</v>
      </c>
      <c r="AN105" s="1774" t="str">
        <f>IFERROR(ROUND(AM105*AC105,0),"")</f>
        <v/>
      </c>
      <c r="AO105" s="1776">
        <f>IFERROR(IF(IB105=FALSE,0,AC105-AN105),0)</f>
        <v>0</v>
      </c>
      <c r="AP105" s="1778">
        <f>AO105-AO107</f>
        <v>0</v>
      </c>
      <c r="AQ105" s="1779"/>
      <c r="AR105" s="1793">
        <f>IFERROR(IF(IB105=FALSE,0,(T107*U108)+(AF107*AG108)),0)</f>
        <v>0</v>
      </c>
      <c r="AS105" s="1793"/>
      <c r="AT105" s="1794"/>
      <c r="AU105" s="1734" t="s">
        <v>237</v>
      </c>
      <c r="AV105" s="1751">
        <f>IF(AU105="Yes",1,0)</f>
        <v>1</v>
      </c>
      <c r="AW105" s="1704" t="str">
        <f>IF(OR(DQ105=4,DQ105=5,DQ105=6,DQ105=12),CONCATENATE("$",IF(GH105=TRUE,Lookup!$K$10,Lookup!$K$2)," /lamp"),CONCATENATE(TEXT(ED105,"$0.00"),"/ kWh"))</f>
        <v>$0.00/ kWh</v>
      </c>
      <c r="AX105" s="467"/>
      <c r="AY105" s="1748">
        <f ca="1">IFERROR(IF(GM106=TRUE,(AB108*T107)/R107,0),"NA")</f>
        <v>0</v>
      </c>
      <c r="AZ105" s="1748"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696" t="str">
        <f>N106</f>
        <v/>
      </c>
      <c r="CQ105" s="1696" t="str">
        <f>IFERROR(VLOOKUP(G106,_Lookup_Heat_Type_Table_New,3,FALSE),"")</f>
        <v/>
      </c>
      <c r="CR105" s="1808" t="str">
        <f>CQ105</f>
        <v/>
      </c>
      <c r="CS105" s="1810" t="str">
        <f>IFERROR(VLOOKUP(G107,'Space Table'!$B$3:$L$163,9,FALSE),"")</f>
        <v/>
      </c>
      <c r="CU105" s="1688" t="s">
        <v>344</v>
      </c>
      <c r="CV105" s="1702">
        <f>IF(IB105=TRUE,T106,0)</f>
        <v>0</v>
      </c>
      <c r="CW105" s="1702" t="str">
        <f>IF(IB105=TRUE,U106,"")</f>
        <v/>
      </c>
      <c r="CX105" s="1702"/>
      <c r="CY105" s="1814">
        <f>IF(IB105=TRUE,AB105,0)</f>
        <v>0</v>
      </c>
      <c r="CZ105" s="1710">
        <f>IF(AND(__Retrofit_TI_NC&gt;0,CR105="interior"),0,IF(IB105=TRUE,AC105,0))</f>
        <v>0</v>
      </c>
      <c r="DA105" s="1814">
        <f>IFERROR(IF(IB105=TRUE,CZ105-CZ107,0),0)</f>
        <v>0</v>
      </c>
      <c r="DB105" s="1819">
        <f>IF(IB105=TRUE,AD105,0)</f>
        <v>0</v>
      </c>
      <c r="DC105" s="1819">
        <f>IF(IB105=TRUE,AD108,0)</f>
        <v>0</v>
      </c>
      <c r="DD105" s="1819">
        <f>IFERROR(DB105-DC105,0)</f>
        <v>0</v>
      </c>
      <c r="DF105" s="1702">
        <f>IF(IB105=TRUE,AF106,0)</f>
        <v>0</v>
      </c>
      <c r="DG105" s="1830">
        <f>IFERROR(IF(__Retrofit_TI_NC=2,IF(CQ105="Exterior",O108,FQ105),FN105),"")</f>
        <v>0</v>
      </c>
      <c r="DH105" s="1702"/>
      <c r="DI105" s="1837">
        <f>JE105</f>
        <v>0</v>
      </c>
      <c r="DJ105" s="1710">
        <f>IF(AND(__Retrofit_TI_NC&gt;0,CR105="interior"),0,IF(IB105=TRUE,AN105,0))</f>
        <v>0</v>
      </c>
      <c r="DK105" s="1712">
        <f>IFERROR(IF(IB105=TRUE,DJ107-DJ105,0),0)</f>
        <v>0</v>
      </c>
      <c r="DM105" s="1717">
        <f>IFERROR(CZ105-DJ105,0)</f>
        <v>0</v>
      </c>
      <c r="DO105" s="1708">
        <f>DM105-DN107</f>
        <v>0</v>
      </c>
      <c r="DQ105" s="1715" t="str">
        <f>IFERROR(IF(AND(OR(GC105=4,GC105=5,GC105=6),OR(GF105=4,GF105=5,GF105=6)),GC105+8,VLOOKUP(CW107,Fixtures!R$31:Y$78,8,FALSE)),"")</f>
        <v/>
      </c>
      <c r="DR105" s="1829" t="str">
        <f>DQ105</f>
        <v/>
      </c>
      <c r="DS105" s="1702" t="str">
        <f>IFERROR(VLOOKUP(DG107,Lookup!BB$3:BC$20,2,FALSE),"")</f>
        <v/>
      </c>
      <c r="DT105" s="1713" t="str">
        <f>IF(OR(DS105=7,DS105=8,DS105=9),"ALC","")</f>
        <v/>
      </c>
      <c r="DU105" s="1715">
        <f>IFERROR(IF(OR(DQ105=4,DQ105=5,DQ105=6,DQ105=12,DQ105=13,DQ105=14),VLOOKUP(CW107,Fixtures!DN$27:EG$77,19,FALSE),1)*CV107,0)</f>
        <v>0</v>
      </c>
      <c r="DV105" s="1716">
        <f>IF(OR(DS105=7,DS105=8,DS105=9),IF(DG105=DG107,0,DF107),0)</f>
        <v>0</v>
      </c>
      <c r="DX105" s="1715" t="str">
        <f>IFERROR(IF(EZ105&lt;EZ107,"Yes","No"),"")</f>
        <v/>
      </c>
      <c r="DY105" s="1829" t="str">
        <f>DX105</f>
        <v/>
      </c>
      <c r="DZ105" s="1715">
        <f>IF(DX105="Yes",DF107,0)</f>
        <v>0</v>
      </c>
      <c r="EA105" s="1715">
        <f>DZ105-DV105</f>
        <v>0</v>
      </c>
      <c r="EC105" s="1834">
        <f>IFERROR(VLOOKUP(DQ105,Lookup!AU$3:AV$16,2,FALSE),0)</f>
        <v>0</v>
      </c>
      <c r="ED105" s="1834">
        <f>IF(IB105=FALSE,0,IF(DX105="Yes",EC105+Lookup!K$6,EC105))</f>
        <v>0</v>
      </c>
      <c r="EF105" s="1707">
        <f>IF(IB105=TRUE,DM105,0)</f>
        <v>0</v>
      </c>
      <c r="EG105" s="1712">
        <f>IF(IB105=TRUE,CZ107,0)</f>
        <v>0</v>
      </c>
      <c r="EH105" s="1814">
        <f>IFERROR(EF105-EG105,0)</f>
        <v>0</v>
      </c>
      <c r="EI105" s="1712">
        <f>IF(IB105=TRUE,DJ107,0)</f>
        <v>0</v>
      </c>
      <c r="EJ105" s="1712">
        <f>IFERROR(EF105-EG105+EI105,0)</f>
        <v>0</v>
      </c>
      <c r="EK105" s="1812">
        <f>IF(IB105=TRUE,CV107*CX107,0)</f>
        <v>0</v>
      </c>
      <c r="EL105" s="1812">
        <f>IF(IB105=TRUE,DF107*DH107,0)</f>
        <v>0</v>
      </c>
      <c r="EM105" s="1807">
        <f>AR105</f>
        <v>0</v>
      </c>
      <c r="EN105" s="1839" t="str">
        <f>IFERROR(IF(IB105=TRUE,VLOOKUP(DQ105,Lookup!AU$3:AW$16,3,FALSE)*DU105,""),0)</f>
        <v/>
      </c>
      <c r="EO105" s="1839">
        <f>IF(IB105=TRUE,DZ105*Lookup!AW$12,0)</f>
        <v>0</v>
      </c>
      <c r="EP105" s="1817">
        <f>IFERROR(IF(IB105=TRUE,EN105/EP$40,0),0)</f>
        <v>0</v>
      </c>
      <c r="EQ105" s="1817">
        <f>IF(IB105=TRUE,EO105/EQ$40,0)</f>
        <v>0</v>
      </c>
      <c r="ER105" s="1807">
        <f>IF(IB105=TRUE,ET$40*EP105,0)</f>
        <v>0</v>
      </c>
      <c r="ES105" s="1807">
        <f>IF(IB105=TRUE,ET$40*EQ105,0)</f>
        <v>0</v>
      </c>
      <c r="ET105" s="1807">
        <f>ER105+ES105</f>
        <v>0</v>
      </c>
      <c r="EV105" s="1715">
        <f>IF(G105="",0,1)</f>
        <v>0</v>
      </c>
      <c r="EX105" s="1804" t="str">
        <f>IFERROR(VLOOKUP(CS107,'Space Table'!$B$3:$L$163,8,FALSE),"")</f>
        <v/>
      </c>
      <c r="EY105" s="1804" t="str">
        <f>IFERROR(IF(FB105="Yes",VLOOKUP(DG105,Lookup_Control_Type_Table2,4,FALSE),VLOOKUP(DG105,Lookup_Control_Type_Table2,3,FALSE)),"")</f>
        <v/>
      </c>
      <c r="EZ105" s="1804" t="e">
        <f>VLOOKUP(DG105,Lookup!BB$3:BC$20,2,FALSE)</f>
        <v>#N/A</v>
      </c>
      <c r="FA105" s="1804" t="e">
        <f>VLOOKUP(EX105,Lookup_Control_Type_Table,2,FALSE)</f>
        <v>#N/A</v>
      </c>
      <c r="FB105" s="1804" t="e">
        <f>VLOOKUP(CS107,'Space Table'!$B$3:$L$163,7,FALSE)</f>
        <v>#N/A</v>
      </c>
      <c r="FC105" s="1826" t="b">
        <f>ISNUMBER(SEARCH("TLED",U107))</f>
        <v>0</v>
      </c>
      <c r="FE105" s="1698" t="str">
        <f>CONCATENATE(CQ105," - ",DG105)</f>
        <v xml:space="preserve"> - 0</v>
      </c>
      <c r="FG105" s="1702" t="str">
        <f>VLOOKUP(CW107,Fixtures!DN$27:EZ$77,38,FALSE)</f>
        <v/>
      </c>
      <c r="FH105" s="1702">
        <f>IFERROR(FG105*EH105,0)</f>
        <v>0</v>
      </c>
      <c r="FI105" s="133"/>
      <c r="FL105" s="1822" t="str">
        <f>IF(CQ105="Exterior","Not Daylighted",G108)</f>
        <v>Not Daylighted</v>
      </c>
      <c r="FM105" s="1824">
        <f>VLOOKUP(FL105,_New_Daylight_Table_Codes,2,FALSE)</f>
        <v>0</v>
      </c>
      <c r="FN105" s="1698">
        <f>IF(__Retrofit_TI_NC&gt;0,VLOOKUP(G107,'Space Table'!$B$3:$L$163,11,FALSE),AG106)</f>
        <v>0</v>
      </c>
      <c r="FO105" s="1698" t="e">
        <f>IF(__Retrofit_TI_NC=2,VLOOKUP(FQ105,_Control_Table,2,FALSE),VLOOKUP(FN105,_Control_Table,2,FALSE))</f>
        <v>#N/A</v>
      </c>
      <c r="FP105" s="1678" t="e">
        <f>VLOOKUP(CONCATENATE(FL105," ",FN105),Lookup!AY$102:AZ115,2,FALSE)</f>
        <v>#N/A</v>
      </c>
      <c r="FQ105" s="1678">
        <f>IF(__Retrofit_TI_NC=0,FN105,IF(AND(FT105&gt;0,FN105="Occupancy Sensor"),"Daylight + Occupancy",IF(AND(FT105&gt;0,VLOOKUP(FN105,_Control_Table,2,FALSE)&lt;4),"Interior Daylight Dimming",FN105)))</f>
        <v>0</v>
      </c>
      <c r="FS105" s="1686">
        <f>IF(CR105="Interior",VLOOKUP(CS105,Control_Savings_Interior,5,FALSE),0)</f>
        <v>0</v>
      </c>
      <c r="FT105" s="1687">
        <f>IF(CQ105="Exterior",0,IF(FM105=2,0.5,IF(OR(FM105=1,FM105=3),1,0)))</f>
        <v>0</v>
      </c>
      <c r="FU105" s="1685">
        <f>IF(R104&gt;FS$44,(FS105*(FS$44/R104)),FS105)*FT105</f>
        <v>0</v>
      </c>
      <c r="FV105" s="1686">
        <f>DI105</f>
        <v>0</v>
      </c>
      <c r="FW105" s="1686">
        <f>ROUND(FV105+((1-FV105)*FU105),2)</f>
        <v>0</v>
      </c>
      <c r="FX105" s="1686">
        <f>IF(__Retrofit_TI_NC=2,FW105,FV105)</f>
        <v>0</v>
      </c>
      <c r="FY105" s="1697"/>
      <c r="GA105" s="1696" t="str">
        <f>IFERROR(VLOOKUP(U106,_Exist_Fixture_Table,3,FALSE),"")</f>
        <v/>
      </c>
      <c r="GB105" s="1696" t="str">
        <f>VLOOKUP(CW105,_Exist_Fixture_Table,4,FALSE)</f>
        <v/>
      </c>
      <c r="GC105" s="1696">
        <f>IFERROR(VLOOKUP(GB105,Lookup!AT$6:AU$8,2,FALSE),0)</f>
        <v>0</v>
      </c>
      <c r="GD105" s="1696" t="b">
        <f>IFERROR(IF(OR(GF105=4,GF105=5,GF105=6),TRUE,FALSE),"")</f>
        <v>0</v>
      </c>
      <c r="GE105" s="1696" t="str">
        <f>IFERROR(VLOOKUP(GF105,GC$6:GD$10,2,FALSE),"")</f>
        <v/>
      </c>
      <c r="GF105" s="1696" t="str">
        <f>VLOOKUP(CW107,Fixtures!R$31:Y$78,8,FALSE)</f>
        <v/>
      </c>
      <c r="GG105" s="1696">
        <f>IF(AND(GA105=TRUE,GD105=TRUE,OR(DQ105=12,DQ105=13,DQ105=14)),GC105+8,0)</f>
        <v>0</v>
      </c>
      <c r="GH105" s="1696" t="b">
        <f>IF(OR(GG105=12,GG105=13,GG105=14),TRUE,FALSE)</f>
        <v>0</v>
      </c>
      <c r="GI105" s="673" t="b">
        <f>IF(ISNUMBER(SEARCH("TLED",U106)),TRUE,FALSE)</f>
        <v>0</v>
      </c>
      <c r="GJ105" s="1135" t="str">
        <f>IFERROR(VLOOKUP(U106,Fixtures!BM$93:BR$142,6,FALSE),"")</f>
        <v/>
      </c>
      <c r="GK105" s="1832" t="b">
        <f>IF(OR(GI105=FALSE,GI107=FALSE),TRUE,IF(GJ105-GJ107&lt;5,FALSE,TRUE))</f>
        <v>1</v>
      </c>
      <c r="GO105" s="674">
        <f>GP105</f>
        <v>0</v>
      </c>
      <c r="GP105" s="674">
        <f>IF(G105="",0,1)</f>
        <v>0</v>
      </c>
      <c r="GQ105" s="674">
        <f ca="1">SUM(GR105:HF105)</f>
        <v>2</v>
      </c>
      <c r="GR105" s="674">
        <f>IF(G106="",0,1)</f>
        <v>0</v>
      </c>
      <c r="GS105" s="674">
        <f>IF(N108="BAM",1,IF(G107="",0,1))</f>
        <v>0</v>
      </c>
      <c r="GT105" s="674">
        <f>IF(N108="BAM",1,IF(R106="",0,1))</f>
        <v>0</v>
      </c>
      <c r="GU105" s="674">
        <f>IF(N108="BAM",1,IF(__Retrofit_TI_NC=0,1,IF(R107="",0,1)))</f>
        <v>1</v>
      </c>
      <c r="GV105" s="674">
        <f>IF(N108="BAM",1,IF(CQ105="Exterior",1,IF(G108="",0,1)))</f>
        <v>1</v>
      </c>
      <c r="GW105" s="674">
        <f>IF(__Retrofit_TI_NC&gt;0,1,IF(T106="",0,1))</f>
        <v>0</v>
      </c>
      <c r="GX105" s="674">
        <f>IF(__Retrofit_TI_NC&gt;0,1,IF(U106="",0,1))</f>
        <v>0</v>
      </c>
      <c r="GY105" s="674">
        <f>IF(N108="BAM",1,IF(T107="",0,1))</f>
        <v>0</v>
      </c>
      <c r="GZ105" s="674">
        <f>IF(N108="BAM",1,IF(U107="",0,1))</f>
        <v>0</v>
      </c>
      <c r="HA105" s="674">
        <f ca="1">IF(N108="BAM",1,IF(__Retrofit_TI_NC&gt;0,1,IF(U108="",0,1)))</f>
        <v>0</v>
      </c>
      <c r="HB105" s="674">
        <f>IF(__Retrofit_TI_NC&lt;&gt;0,1,IF(AF106="",0,1))</f>
        <v>0</v>
      </c>
      <c r="HC105" s="674">
        <f>IF(__Retrofit_TI_NC&lt;&gt;0,1,IF(AG106="",0,1))</f>
        <v>0</v>
      </c>
      <c r="HD105" s="674">
        <f>IF(N108="BAM",1,IF(AF107="",0,1))</f>
        <v>0</v>
      </c>
      <c r="HE105" s="674">
        <f>IF(N108="BAM",1,IF(AG107="",0,1))</f>
        <v>0</v>
      </c>
      <c r="HF105" s="674">
        <f>IF(N108="BAM",1,IF(__Retrofit_TI_NC&gt;0,1,IF(AG108="",0,1)))</f>
        <v>0</v>
      </c>
      <c r="HG105" s="391"/>
      <c r="IA105" s="391"/>
      <c r="IB105" s="1693" t="b">
        <f>IF(OR(IB108=0,IB108=HY$16,IB108=HX$16,IB108=HZ$16),TRUE,FALSE)</f>
        <v>0</v>
      </c>
      <c r="IC105" s="1694" t="b">
        <f>IB105</f>
        <v>0</v>
      </c>
      <c r="ID105" s="391"/>
      <c r="IE105" s="391"/>
      <c r="IF105" s="1688" t="b">
        <f ca="1">IF(MAX(GN108:HU108)&gt;5,FALSE,TRUE)</f>
        <v>0</v>
      </c>
      <c r="IG105" s="1689">
        <f ca="1">IF(IF105=TRUE,AC105,0)</f>
        <v>0</v>
      </c>
      <c r="IH105" s="1689">
        <f ca="1">IG105-IG107</f>
        <v>0</v>
      </c>
      <c r="IK105" s="1689" t="e">
        <f>ROUND(T106*VLOOKUP(U106,Fixtures_Existing_List,2,FALSE)*N106*R106/1000,0)</f>
        <v>#N/A</v>
      </c>
      <c r="IL105" s="1690" t="e">
        <f>IK105-IK107</f>
        <v>#N/A</v>
      </c>
      <c r="IM105" s="1693" t="e">
        <f>ROUND(IF(CQ105="Interior",N107*R107*R106*N106*_C406_reduction/1000,N107*R107*R106*N106/1000),0)</f>
        <v>#N/A</v>
      </c>
      <c r="IN105" s="1693" t="e">
        <f>IM105-IM107</f>
        <v>#N/A</v>
      </c>
      <c r="IP105" s="1679"/>
      <c r="IQ105" s="1679" t="e">
        <f t="shared" ref="IQ105:IU105" si="71">IF($CR105="interior",VLOOKUP($CS105,_New_Control_Savings_Interior,IQ$30,FALSE),VLOOKUP($CS105,Control_Savings_Exterior,IQ$30,FALSE))</f>
        <v>#N/A</v>
      </c>
      <c r="IR105" s="1679" t="e">
        <f t="shared" si="71"/>
        <v>#N/A</v>
      </c>
      <c r="IS105" s="1679" t="e">
        <f t="shared" si="71"/>
        <v>#N/A</v>
      </c>
      <c r="IT105" s="1679" t="e">
        <f t="shared" si="71"/>
        <v>#N/A</v>
      </c>
      <c r="IU105" s="1679" t="e">
        <f t="shared" si="71"/>
        <v>#N/A</v>
      </c>
      <c r="IV105" s="1679" t="e">
        <f>IF($CR105="interior",IF(R106&gt;$IP$14,ROUND(($IV$18*($IP$14/R106)),2),$IV$18),VLOOKUP($CS105,Control_Savings_Exterior,IV$30,FALSE))</f>
        <v>#N/A</v>
      </c>
      <c r="IW105" s="1679" t="e">
        <f>IF($CR105="interior",ROUND(((1-IS105)*IV105)+IS105,2),VLOOKUP($CS105,Control_Savings_Exterior,IW$30,FALSE))</f>
        <v>#N/A</v>
      </c>
      <c r="IX105" s="1679" t="e">
        <f>IF($CR105="interior",ROUND(((1-IT105)*IV105)+IT105,2),VLOOKUP($CS105,Control_Savings_Exterior,IX$30,FALSE))</f>
        <v>#N/A</v>
      </c>
      <c r="IY105" s="1679" t="e">
        <f>IF($CR105="interior",IF(R106&gt;$IP$14,ROUND(($IY$18*($IP$14/R106)),2),$IY$18),VLOOKUP($CS105,Control_Savings_Exterior,IY$30,FALSE))</f>
        <v>#N/A</v>
      </c>
      <c r="IZ105" s="1679" t="e">
        <f>IF($CR105="interior",ROUND(((1-IS105)*IY105)+IS105,2),VLOOKUP($CS105,Control_Savings_Exterior,IZ$30,FALSE))</f>
        <v>#N/A</v>
      </c>
      <c r="JA105" s="1679" t="e">
        <f>IF($CR105="interior",ROUND(((1-IT105)*IY105)+IT105,2),VLOOKUP($CS105,Control_Savings_Exterior,JA$30,FALSE))</f>
        <v>#N/A</v>
      </c>
      <c r="JC105" s="1680">
        <f>IFERROR(IF(CR105="Interior",CONCATENATE(G108," ",FQ105),FQ105),"")</f>
        <v>0</v>
      </c>
      <c r="JD105" s="1670" t="str">
        <f>IFERROR(VLOOKUP(JC105,_Controls_2023,2,FALSE),"")</f>
        <v/>
      </c>
      <c r="JE105" s="1681">
        <f>IFERROR(CHOOSE(JD105-1,IQ105,IR105,IS105,IT105,IU105,IV105,IW105,IX105,IY105,IZ105,JA105),0)</f>
        <v>0</v>
      </c>
      <c r="JG105" s="1680" t="str">
        <f>FE105</f>
        <v xml:space="preserve"> - 0</v>
      </c>
      <c r="JH105" s="1670" t="e">
        <f>$FO105</f>
        <v>#N/A</v>
      </c>
      <c r="JI105" s="1060"/>
      <c r="JJ105" s="1682" t="b">
        <f>IF($JG107=CONCATENATE("Interior - ",JJ$4),TRUE,FALSE)</f>
        <v>0</v>
      </c>
      <c r="JK105" s="1061"/>
      <c r="JL105" s="1682" t="b">
        <f>IF($JG107=CONCATENATE("Interior - ",JL$4),TRUE,FALSE)</f>
        <v>0</v>
      </c>
      <c r="JM105" s="1061"/>
      <c r="JN105" s="1682" t="b">
        <f>IF($JG107=CONCATENATE("Interior - ",JN$4),TRUE,FALSE)</f>
        <v>0</v>
      </c>
      <c r="JO105" s="1061"/>
      <c r="JP105" s="1682" t="b">
        <f>IF(__Retrofit_TI_NC&gt;0,FALSE,IF($JG107=CONCATENATE("Interior - ",JP$4),TRUE,FALSE))</f>
        <v>0</v>
      </c>
      <c r="JQ105" s="1061"/>
      <c r="JR105" s="1682" t="b">
        <f>IF(__Retrofit_TI_NC&gt;0,FALSE,IF($JG107=CONCATENATE("Interior - ",JR$4),TRUE,FALSE))</f>
        <v>0</v>
      </c>
      <c r="JS105" s="1061"/>
      <c r="JT105" s="1670" t="b">
        <f>IF(__Retrofit_TI_NC&gt;0,FALSE,IF($JG107=CONCATENATE("Interior - ",JT$4),TRUE,FALSE))</f>
        <v>0</v>
      </c>
      <c r="JU105" s="1061"/>
      <c r="JV105" s="1670" t="b">
        <f>IF(JC107="AELC on Existing",TRUE,FALSE)</f>
        <v>0</v>
      </c>
      <c r="JX105" s="1670" t="b">
        <f>IF(OR(JG107="Exterior - AELC Occupancy based",JG107="Exterior - AELC Time based"),TRUE,FALSE)</f>
        <v>0</v>
      </c>
      <c r="JZ105" s="1682" t="b">
        <f>IF($JG107=CONCATENATE("Exterior - ",JZ$4),TRUE,FALSE)</f>
        <v>0</v>
      </c>
      <c r="KB105" s="1670" t="b">
        <f>IF(__Retrofit_TI_NC&gt;0,FALSE,IF($JG107=CONCATENATE("Interior - ",KB$4),TRUE,FALSE))</f>
        <v>0</v>
      </c>
    </row>
    <row r="106" spans="1:288" s="78" customFormat="1" ht="14.95" customHeight="1" thickTop="1" thickBot="1">
      <c r="B106" s="1845"/>
      <c r="C106" s="1846"/>
      <c r="D106" s="1847"/>
      <c r="E106" s="1737" t="s">
        <v>297</v>
      </c>
      <c r="F106" s="1738"/>
      <c r="G106" s="1739"/>
      <c r="H106" s="1739"/>
      <c r="I106" s="1739"/>
      <c r="J106" s="1739"/>
      <c r="K106" s="1739"/>
      <c r="L106" s="1739"/>
      <c r="M106" s="461" t="e">
        <f>IF(__Retrofit_TI_NC&lt;&gt;0,IF(VLOOKUP(G107,'Space Table'!$B$3:$L$163,3,FALSE)&gt;0,1,0),IF(__Retrofit_TI_NC=VLOOKUP(G107,'Space Table'!$B$3:$L$163,3,FALSE),1,0))</f>
        <v>#N/A</v>
      </c>
      <c r="N106" s="461" t="str">
        <f>IFERROR(VLOOKUP(G106,_Lookup_Heat_Type_Table_New,2,FALSE),"")</f>
        <v/>
      </c>
      <c r="O106" s="461">
        <f>IF(__Retrofit_TI_NC=1,CONCATENATE("TI ",G106),IF(__Retrofit_TI_NC=2,CONCATENATE("NC ",G106),G106))</f>
        <v>0</v>
      </c>
      <c r="P106" s="1740" t="s">
        <v>435</v>
      </c>
      <c r="Q106" s="1740"/>
      <c r="R106" s="595"/>
      <c r="S106" s="1792"/>
      <c r="T106" s="597"/>
      <c r="U106" s="1765"/>
      <c r="V106" s="1766"/>
      <c r="W106" s="1766"/>
      <c r="X106" s="1766"/>
      <c r="Y106" s="1766"/>
      <c r="Z106" s="1766"/>
      <c r="AA106" s="1766"/>
      <c r="AB106" s="1766"/>
      <c r="AC106" s="1766"/>
      <c r="AD106" s="1767"/>
      <c r="AE106" s="1000"/>
      <c r="AF106" s="597"/>
      <c r="AG106" s="1723"/>
      <c r="AH106" s="1724"/>
      <c r="AI106" s="1724"/>
      <c r="AJ106" s="1724"/>
      <c r="AK106" s="1725"/>
      <c r="AL106" s="996"/>
      <c r="AM106" s="1747"/>
      <c r="AN106" s="1775"/>
      <c r="AO106" s="1777"/>
      <c r="AP106" s="1780"/>
      <c r="AQ106" s="1781"/>
      <c r="AR106" s="1795"/>
      <c r="AS106" s="1795"/>
      <c r="AT106" s="1796"/>
      <c r="AU106" s="1735"/>
      <c r="AV106" s="1752"/>
      <c r="AW106" s="1705"/>
      <c r="AX106" s="467"/>
      <c r="AY106" s="1749"/>
      <c r="AZ106" s="1749"/>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696"/>
      <c r="CQ106" s="1696"/>
      <c r="CR106" s="1809"/>
      <c r="CS106" s="1811"/>
      <c r="CU106" s="1688"/>
      <c r="CV106" s="1703"/>
      <c r="CW106" s="1703"/>
      <c r="CX106" s="1703"/>
      <c r="CY106" s="1815"/>
      <c r="CZ106" s="1711"/>
      <c r="DA106" s="1818"/>
      <c r="DB106" s="1820"/>
      <c r="DC106" s="1820"/>
      <c r="DD106" s="1820"/>
      <c r="DF106" s="1703"/>
      <c r="DG106" s="1831"/>
      <c r="DH106" s="1703"/>
      <c r="DI106" s="1838"/>
      <c r="DJ106" s="1711"/>
      <c r="DK106" s="1712"/>
      <c r="DM106" s="1718"/>
      <c r="DO106" s="1708"/>
      <c r="DQ106" s="1715"/>
      <c r="DR106" s="1720"/>
      <c r="DS106" s="1816"/>
      <c r="DT106" s="1714"/>
      <c r="DU106" s="1715"/>
      <c r="DV106" s="1716"/>
      <c r="DX106" s="1715"/>
      <c r="DY106" s="1720"/>
      <c r="DZ106" s="1715"/>
      <c r="EA106" s="1715"/>
      <c r="EC106" s="1834"/>
      <c r="ED106" s="1834"/>
      <c r="EF106" s="1707"/>
      <c r="EG106" s="1712"/>
      <c r="EH106" s="1818"/>
      <c r="EI106" s="1712"/>
      <c r="EJ106" s="1712"/>
      <c r="EK106" s="1836"/>
      <c r="EL106" s="1836"/>
      <c r="EM106" s="1807"/>
      <c r="EN106" s="1839"/>
      <c r="EO106" s="1839"/>
      <c r="EP106" s="1817"/>
      <c r="EQ106" s="1817"/>
      <c r="ER106" s="1807"/>
      <c r="ES106" s="1807"/>
      <c r="ET106" s="1807"/>
      <c r="EV106" s="1715"/>
      <c r="EX106" s="1805"/>
      <c r="EY106" s="1805"/>
      <c r="EZ106" s="1805"/>
      <c r="FA106" s="1805"/>
      <c r="FB106" s="1805"/>
      <c r="FC106" s="1827"/>
      <c r="FE106" s="1698"/>
      <c r="FG106" s="1816"/>
      <c r="FH106" s="1816"/>
      <c r="FI106" s="133"/>
      <c r="FL106" s="1823"/>
      <c r="FM106" s="1825"/>
      <c r="FN106" s="1698"/>
      <c r="FO106" s="1698"/>
      <c r="FP106" s="1678"/>
      <c r="FQ106" s="1678"/>
      <c r="FS106" s="1687"/>
      <c r="FT106" s="1687"/>
      <c r="FU106" s="1685"/>
      <c r="FV106" s="1687"/>
      <c r="FW106" s="1687"/>
      <c r="FX106" s="1687"/>
      <c r="FY106" s="1697"/>
      <c r="GA106" s="1696"/>
      <c r="GB106" s="1696"/>
      <c r="GC106" s="1696"/>
      <c r="GD106" s="1696"/>
      <c r="GE106" s="1696"/>
      <c r="GF106" s="1696"/>
      <c r="GG106" s="1696"/>
      <c r="GH106" s="1696"/>
      <c r="GI106" s="673"/>
      <c r="GJ106" s="1135"/>
      <c r="GK106" s="1832"/>
      <c r="GM106" s="1693" t="b">
        <f ca="1">IF(AND(GP106=TRUE,GQ106=TRUE),TRUE,FALSE)</f>
        <v>0</v>
      </c>
      <c r="GN106" s="1684" t="b">
        <f>IFERROR(IF(__Retrofit_TI_NC=2,TRUE,IF(AU105="Yes",TRUE,FALSE)),FALSE)</f>
        <v>1</v>
      </c>
      <c r="GP106" s="1684" t="b">
        <f>IFERROR(IF(GP105=1,TRUE,FALSE),FALSE)</f>
        <v>0</v>
      </c>
      <c r="GQ106" s="1684" t="b">
        <f ca="1">IFERROR(IF(GQ105=GQ$14,TRUE,FALSE),FALSE)</f>
        <v>0</v>
      </c>
      <c r="HG106" s="1684" t="b">
        <f>IFERROR(IF(AND(__Retrofit_TI_NC&gt;0,CQ105="Interior"),FALSE,TRUE),FALSE)</f>
        <v>1</v>
      </c>
      <c r="HH106" s="1684" t="b">
        <f>IFERROR(IF(M106=1,TRUE,FALSE),FALSE)</f>
        <v>0</v>
      </c>
      <c r="HI106" s="1684" t="b">
        <f>IFERROR(IF(OR(M107=1,N108="BAM"),TRUE,FALSE),FALSE)</f>
        <v>0</v>
      </c>
      <c r="HJ106" s="1684" t="b">
        <f>IFERROR(IF(__Retrofit_TI_NC&lt;&gt;0,TRUE,IFERROR(IF(VLOOKUP(U106,Fixtures_Existing_List,2,FALSE)&lt;&gt;"",TRUE,FALSE),FALSE)),FALSE)</f>
        <v>0</v>
      </c>
      <c r="HK106" s="1684" t="b">
        <f>IFERROR(IF(VLOOKUP(U107,Fixtures_Proposed_List,2,FALSE)&lt;&gt;"",TRUE,FALSE),FALSE)</f>
        <v>0</v>
      </c>
      <c r="HL106" s="1684" t="b">
        <f>IF(AND(__Retrofit_TI_NC=2,FC105=TRUE),FALSE,TRUE)</f>
        <v>1</v>
      </c>
      <c r="HM106" s="1684" t="b">
        <f>GK105</f>
        <v>1</v>
      </c>
      <c r="HN106" s="1682" t="b">
        <f>IF(ISERROR(MATCH(FE105,_Control_Match[],0))=TRUE,FALSE,TRUE)</f>
        <v>0</v>
      </c>
      <c r="HO106" s="1693" t="b">
        <f>IFERROR(IF(EX105&lt;&gt;EY105,FALSE,TRUE),FALSE)</f>
        <v>1</v>
      </c>
      <c r="HP106" s="1693" t="b">
        <f>IFERROR(IF(EX107&lt;&gt;EY107,FALSE,TRUE),FALSE)</f>
        <v>1</v>
      </c>
      <c r="HQ106" s="1670" t="b">
        <f>IFERROR(IF(CQ105="Exterior",TRUE,IF(AND(OR(FM107=0,FM107=3),JD107&gt;6),FALSE,TRUE)),FALSE)</f>
        <v>0</v>
      </c>
      <c r="HR106" s="1684" t="b">
        <f>IFERROR(IF(AND(FO107=7,FC105=TRUE),FALSE,TRUE),FALSE)</f>
        <v>0</v>
      </c>
      <c r="HS106" s="1684" t="b">
        <f>IFERROR(IF(AND(T107&lt;&gt;AF107,OR(AG107="Interior LLLC", AG107="Interior NLC", AG107="LLLC (outside Daylight)",AG107="LLLC Controls Only"))=TRUE,FALSE,TRUE),FALSE)</f>
        <v>1</v>
      </c>
      <c r="HT106" s="1670" t="b">
        <f>IFERROR(IF(OR(AG107=Lookup!BB$17,AG107=Lookup!BB$18,AG107=Lookup!BB$19)=TRUE,IF(AF107&gt;T107,FALSE,TRUE),TRUE),FALSE)</f>
        <v>1</v>
      </c>
      <c r="HU106" s="1684" t="b">
        <f>IFERROR(IF(__Retrofit_TI_NC=2,IF(EZ107&lt;EZ105,FALSE,TRUE),TRUE),FALSE)</f>
        <v>1</v>
      </c>
      <c r="HV106" s="1684" t="b">
        <f>IF(CQ105="Interior",IL$6,TRUE)</f>
        <v>1</v>
      </c>
      <c r="HW106" s="1684" t="b">
        <f>IF(CQ105="Exterior",IL$8,TRUE)</f>
        <v>1</v>
      </c>
      <c r="HX106" s="1684" t="b">
        <f>IFERROR(IF(__Retrofit_TI_NC&lt;&gt;0,IF(AZ105&lt;AY105,FALSE,TRUE),TRUE),FALSE)</f>
        <v>1</v>
      </c>
      <c r="HY106" s="1684" t="b">
        <f>IFERROR(IF(AND(G106="Exterior",R106&gt;4200),FALSE,TRUE),FALSE)</f>
        <v>1</v>
      </c>
      <c r="HZ106" s="1684" t="b">
        <f>IFERROR(IF(AB108/AB105&lt;HZ$18,FALSE,TRUE),FALSE)</f>
        <v>0</v>
      </c>
      <c r="IB106" s="1691"/>
      <c r="IC106" s="1695"/>
      <c r="ID106" s="1694" t="str">
        <f>VLOOKUP(IB108,_Error_Table,4,FALSE)</f>
        <v>White</v>
      </c>
      <c r="IE106" s="391"/>
      <c r="IF106" s="1688"/>
      <c r="IG106" s="1689"/>
      <c r="IH106" s="1684"/>
      <c r="IK106" s="1689"/>
      <c r="IL106" s="1691"/>
      <c r="IM106" s="1691"/>
      <c r="IN106" s="1691"/>
      <c r="IP106" s="1679"/>
      <c r="IQ106" s="1679"/>
      <c r="IR106" s="1679"/>
      <c r="IS106" s="1679"/>
      <c r="IT106" s="1679"/>
      <c r="IU106" s="1679"/>
      <c r="IV106" s="1679"/>
      <c r="IW106" s="1679"/>
      <c r="IX106" s="1679"/>
      <c r="IY106" s="1679"/>
      <c r="IZ106" s="1679"/>
      <c r="JA106" s="1679"/>
      <c r="JC106" s="1680"/>
      <c r="JD106" s="1670"/>
      <c r="JE106" s="1681"/>
      <c r="JG106" s="1680"/>
      <c r="JH106" s="1670"/>
      <c r="JI106" s="1060"/>
      <c r="JJ106" s="1683"/>
      <c r="JK106" s="1061"/>
      <c r="JL106" s="1683"/>
      <c r="JM106" s="1061"/>
      <c r="JN106" s="1683"/>
      <c r="JO106" s="1061"/>
      <c r="JP106" s="1683"/>
      <c r="JQ106" s="1061"/>
      <c r="JR106" s="1683"/>
      <c r="JS106" s="1061"/>
      <c r="JT106" s="1670"/>
      <c r="JU106" s="1061"/>
      <c r="JV106" s="1670"/>
      <c r="JX106" s="1670"/>
      <c r="JZ106" s="1683"/>
      <c r="KB106" s="1670"/>
    </row>
    <row r="107" spans="1:288" s="78" customFormat="1" ht="14.95" customHeight="1" thickTop="1" thickBot="1">
      <c r="A107" s="78">
        <f>ROW()</f>
        <v>107</v>
      </c>
      <c r="B107" s="1845"/>
      <c r="C107" s="1846"/>
      <c r="D107" s="1847"/>
      <c r="E107" s="1737" t="s">
        <v>298</v>
      </c>
      <c r="F107" s="1738"/>
      <c r="G107" s="1760"/>
      <c r="H107" s="1761"/>
      <c r="I107" s="1761"/>
      <c r="J107" s="1761"/>
      <c r="K107" s="1761"/>
      <c r="L107" s="1762"/>
      <c r="M107" s="461">
        <f>IFERROR(IF(IF(__Retrofit_TI_NC&lt;&gt;0,IF(CQ105="Interior",MATCH(G107,Lookup_Interior_New,0),MATCH(G107,Lookup_Exterior_New,0)),IF(CQ105="Interior",MATCH(G107,Lookup_Interior,0),MATCH(G107,Lookup_Exterior_Areas,0)))&gt;0,1,0),0)</f>
        <v>0</v>
      </c>
      <c r="N107" s="461" t="e">
        <f>IF(__Retrofit_TI_NC=1,
VLOOKUP(G107,'Space Table'!$B$3:$L$163,4,FALSE),
IF(__Retrofit_TI_NC=2,VLOOKUP(G107,'Space Table'!$B$3:$L$163,5,FALSE),VLOOKUP(G107,'Space Table'!$B$3:$L$163,5,FALSE)))</f>
        <v>#N/A</v>
      </c>
      <c r="O107" s="461">
        <f>G107</f>
        <v>0</v>
      </c>
      <c r="P107" s="1738" t="str">
        <f>IFERROR(IF(__Retrofit_TI_NC=1,VLOOKUP(G107,'Space Table'!$B$3:$O$163,13,FALSE),IF(__Retrofit_TI_NC=2,VLOOKUP(G107,'Space Table'!$B$3:$O$163,14,FALSE),"Area (sf):")),"Area (sf):")</f>
        <v>Area (sf):</v>
      </c>
      <c r="Q107" s="1738"/>
      <c r="R107" s="596"/>
      <c r="S107" s="1763" t="s">
        <v>345</v>
      </c>
      <c r="T107" s="594"/>
      <c r="U107" s="1801"/>
      <c r="V107" s="1802"/>
      <c r="W107" s="1802"/>
      <c r="X107" s="1802"/>
      <c r="Y107" s="1802"/>
      <c r="Z107" s="1802"/>
      <c r="AA107" s="1802"/>
      <c r="AB107" s="1802"/>
      <c r="AC107" s="1802"/>
      <c r="AD107" s="1802"/>
      <c r="AE107" s="1803"/>
      <c r="AF107" s="594"/>
      <c r="AG107" s="1787"/>
      <c r="AH107" s="1787"/>
      <c r="AI107" s="1787"/>
      <c r="AJ107" s="1787"/>
      <c r="AK107" s="1787"/>
      <c r="AL107" s="1787"/>
      <c r="AM107" s="1726">
        <f>IFERROR(DI107,"")</f>
        <v>0</v>
      </c>
      <c r="AN107" s="1728" t="str">
        <f>IFERROR(ROUND(AM107*AC108,0),"")</f>
        <v/>
      </c>
      <c r="AO107" s="1730">
        <f>IFERROR(IF(IB105=FALSE,0,AC108-AN107),0)</f>
        <v>0</v>
      </c>
      <c r="AP107" s="1780"/>
      <c r="AQ107" s="1781"/>
      <c r="AR107" s="1795"/>
      <c r="AS107" s="1795"/>
      <c r="AT107" s="1796"/>
      <c r="AU107" s="1735"/>
      <c r="AV107" s="1752"/>
      <c r="AW107" s="1705"/>
      <c r="AX107" s="467"/>
      <c r="AY107" s="1749"/>
      <c r="AZ107" s="1749"/>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696"/>
      <c r="CQ107" s="1696"/>
      <c r="CR107" s="1808" t="str">
        <f>CQ105</f>
        <v/>
      </c>
      <c r="CS107" s="1810" t="str">
        <f>CS105</f>
        <v/>
      </c>
      <c r="CU107" s="1688" t="s">
        <v>345</v>
      </c>
      <c r="CV107" s="1702">
        <f>IF(IB105=TRUE,T107,0)</f>
        <v>0</v>
      </c>
      <c r="CW107" s="1702" t="str">
        <f>IF(IB105=TRUE,U107,"")</f>
        <v/>
      </c>
      <c r="CX107" s="1812">
        <f>IF(IB105=TRUE,U108,0)</f>
        <v>0</v>
      </c>
      <c r="CY107" s="1814">
        <f>IF(IB105=TRUE,AB108,0)</f>
        <v>0</v>
      </c>
      <c r="CZ107" s="1710">
        <f>IF(AND(__Retrofit_TI_NC&gt;0,CR105="interior"),0,IF(IB105=TRUE,AC108,0))</f>
        <v>0</v>
      </c>
      <c r="DA107" s="1818"/>
      <c r="DB107" s="1820"/>
      <c r="DC107" s="1820"/>
      <c r="DD107" s="1820"/>
      <c r="DF107" s="1702">
        <f>IF(IB105=TRUE,AF107,0)</f>
        <v>0</v>
      </c>
      <c r="DG107" s="1830" t="str">
        <f>IF(IB105=TRUE,AG107,"")</f>
        <v/>
      </c>
      <c r="DH107" s="1812">
        <f>AG108</f>
        <v>0</v>
      </c>
      <c r="DI107" s="1837">
        <f>JE107</f>
        <v>0</v>
      </c>
      <c r="DJ107" s="1710">
        <f>IF(AND(__Retrofit_TI_NC&gt;0,CR105="interior"),0,IF(IB105=TRUE,AN107,0))</f>
        <v>0</v>
      </c>
      <c r="DK107" s="1712"/>
      <c r="DN107" s="1717">
        <f>IFERROR(CZ107-DJ107,0)</f>
        <v>0</v>
      </c>
      <c r="DO107" s="1709"/>
      <c r="DQ107" s="1715"/>
      <c r="DR107" s="1719" t="str">
        <f>DQ105</f>
        <v/>
      </c>
      <c r="DS107" s="1816"/>
      <c r="DT107" s="1835" t="str">
        <f>IF(OR(DS105=7,DS105=8,DS105=9),"ALC","")</f>
        <v/>
      </c>
      <c r="DU107" s="1715"/>
      <c r="DV107" s="1716"/>
      <c r="DX107" s="1715"/>
      <c r="DY107" s="1829" t="str">
        <f>DX105</f>
        <v/>
      </c>
      <c r="DZ107" s="1715"/>
      <c r="EA107" s="1715"/>
      <c r="EC107" s="1834"/>
      <c r="ED107" s="1834"/>
      <c r="EF107" s="1707"/>
      <c r="EG107" s="1712"/>
      <c r="EH107" s="1818"/>
      <c r="EI107" s="1712"/>
      <c r="EJ107" s="1712"/>
      <c r="EK107" s="1836"/>
      <c r="EL107" s="1836"/>
      <c r="EM107" s="1807"/>
      <c r="EN107" s="1839"/>
      <c r="EO107" s="1839"/>
      <c r="EP107" s="1817"/>
      <c r="EQ107" s="1817"/>
      <c r="ER107" s="1807"/>
      <c r="ES107" s="1807"/>
      <c r="ET107" s="1807"/>
      <c r="EV107" s="1715"/>
      <c r="EX107" s="1805" t="str">
        <f>IFERROR(VLOOKUP(CS107,'Space Table'!$B$3:$L$163,8,FALSE),"")</f>
        <v/>
      </c>
      <c r="EY107" s="1805" t="str">
        <f>IFERROR(IF(FB107="Yes",VLOOKUP(AG107,Lookup_Control_Type_Table2,4,FALSE),VLOOKUP(AG107,Lookup_Control_Type_Table2,3,FALSE)),"")</f>
        <v/>
      </c>
      <c r="EZ107" s="1805" t="e">
        <f>VLOOKUP(AG107,Lookup!BB$3:BC$20,2,FALSE)</f>
        <v>#N/A</v>
      </c>
      <c r="FA107" s="1805" t="e">
        <f>VLOOKUP(EX105,Lookup_Control_Type_Table,2,FALSE)</f>
        <v>#N/A</v>
      </c>
      <c r="FB107" s="1805" t="e">
        <f>VLOOKUP(CS107,'Space Table'!$B$3:$L$163,7,FALSE)</f>
        <v>#N/A</v>
      </c>
      <c r="FC107" s="1827"/>
      <c r="FE107" s="1698" t="str">
        <f>CONCATENATE(CQ105," - ",AG107)</f>
        <v xml:space="preserve"> - </v>
      </c>
      <c r="FG107" s="1816"/>
      <c r="FH107" s="1816"/>
      <c r="FI107" s="133"/>
      <c r="FL107" s="1822" t="str">
        <f>IF(CQ105="Exterior","Not Daylighted",G108)</f>
        <v>Not Daylighted</v>
      </c>
      <c r="FM107" s="1824">
        <f>VLOOKUP(FL107,_New_Daylight_Table_Codes,2,FALSE)</f>
        <v>0</v>
      </c>
      <c r="FN107" s="1698">
        <f>AG107</f>
        <v>0</v>
      </c>
      <c r="FO107" s="1698" t="e">
        <f>VLOOKUP(FN107,_Control_Table,2,FALSE)</f>
        <v>#N/A</v>
      </c>
      <c r="FP107" s="1678" t="e">
        <f>VLOOKUP(CONCATENATE(FL107," ",FN107),Lookup!AY$102:AZ118,2,FALSE)</f>
        <v>#N/A</v>
      </c>
      <c r="FQ107" s="1698">
        <f>IF(__Retrofit_TI_NC=0,FN107,IF(AND(FT107&gt;0,FN107="Occupancy Sensor"),"Daylight + Occupancy",IF(AND(FT107&gt;0,FO107&lt;4),"Interior Daylight Dimming",FN107)))</f>
        <v>0</v>
      </c>
      <c r="FS107" s="1686">
        <f>IF(CQ105="Interior",VLOOKUP(CS105,Control_Savings_Interior,5,FALSE),0)</f>
        <v>0</v>
      </c>
      <c r="FT107" s="1687">
        <f>IF(CQ107="Exterior",0,IF(FM107=2,0.5,IF(OR(FM107=1,FM107=3),1,0)))</f>
        <v>0</v>
      </c>
      <c r="FU107" s="1685">
        <f>IF(R106&gt;FS$44,(FS107*(FS$44/R106)),FS107)*FT107</f>
        <v>0</v>
      </c>
      <c r="FV107" s="1686">
        <f>DI107</f>
        <v>0</v>
      </c>
      <c r="FW107" s="1686">
        <f>ROUND(FV107+((1-FV107)*FU107),2)</f>
        <v>0</v>
      </c>
      <c r="FX107" s="1686">
        <f>IF(__Retrofit_TI_NC=2,FW107,FV107)</f>
        <v>0</v>
      </c>
      <c r="FY107" s="1697">
        <f>IF(CR107="Interior",VLOOKUP(CS107,Control_Savings_Interior,4,FALSE),0)</f>
        <v>0</v>
      </c>
      <c r="GA107" s="1696"/>
      <c r="GB107" s="1696"/>
      <c r="GC107" s="1696"/>
      <c r="GD107" s="1696"/>
      <c r="GE107" s="1696"/>
      <c r="GF107" s="1696"/>
      <c r="GG107" s="1696"/>
      <c r="GH107" s="1696"/>
      <c r="GI107" s="673" t="b">
        <f>IF(ISNUMBER(SEARCH("TLED",U107)),TRUE,FALSE)</f>
        <v>0</v>
      </c>
      <c r="GJ107" s="1135" t="str">
        <f>IFERROR(VLOOKUP(U107,Fixtures!DM$93:DR$142,6,FALSE),"")</f>
        <v/>
      </c>
      <c r="GK107" s="1832"/>
      <c r="GM107" s="1692"/>
      <c r="GN107" s="1684"/>
      <c r="GP107" s="1684"/>
      <c r="GQ107" s="1684"/>
      <c r="HG107" s="1684"/>
      <c r="HH107" s="1684"/>
      <c r="HI107" s="1684"/>
      <c r="HJ107" s="1684"/>
      <c r="HK107" s="1684"/>
      <c r="HL107" s="1684"/>
      <c r="HM107" s="1684"/>
      <c r="HN107" s="1683"/>
      <c r="HO107" s="1692"/>
      <c r="HP107" s="1692"/>
      <c r="HQ107" s="1670"/>
      <c r="HR107" s="1684"/>
      <c r="HS107" s="1684"/>
      <c r="HT107" s="1670"/>
      <c r="HU107" s="1684"/>
      <c r="HV107" s="1684"/>
      <c r="HW107" s="1684"/>
      <c r="HX107" s="1684"/>
      <c r="HY107" s="1684"/>
      <c r="HZ107" s="1684"/>
      <c r="IB107" s="1692"/>
      <c r="IC107" s="1693" t="b">
        <f>IB105</f>
        <v>0</v>
      </c>
      <c r="ID107" s="1695"/>
      <c r="IE107" s="391"/>
      <c r="IF107" s="1688"/>
      <c r="IG107" s="1689">
        <f ca="1">IF(IF105=TRUE,AC108,0)</f>
        <v>0</v>
      </c>
      <c r="IH107" s="1684"/>
      <c r="IK107" s="1689" t="e">
        <f>ROUND(T107*AB108*N106*R106/1000,0)</f>
        <v>#VALUE!</v>
      </c>
      <c r="IL107" s="1691"/>
      <c r="IM107" s="1693" t="e">
        <f>ROUND(T107*AB108*N106*R106/1000,0)</f>
        <v>#VALUE!</v>
      </c>
      <c r="IN107" s="1691"/>
      <c r="IP107" s="1679"/>
      <c r="IQ107" s="1679" t="e">
        <f t="shared" ref="IQ107:IU107" si="72">IF($CR107="interior",VLOOKUP($CS107,_New_Control_Savings_Interior,IQ$30,FALSE),VLOOKUP($CS107,Control_Savings_Exterior,IQ$30,FALSE))</f>
        <v>#N/A</v>
      </c>
      <c r="IR107" s="1679" t="e">
        <f t="shared" si="72"/>
        <v>#N/A</v>
      </c>
      <c r="IS107" s="1679" t="e">
        <f t="shared" si="72"/>
        <v>#N/A</v>
      </c>
      <c r="IT107" s="1679" t="e">
        <f t="shared" si="72"/>
        <v>#N/A</v>
      </c>
      <c r="IU107" s="1679" t="e">
        <f t="shared" si="72"/>
        <v>#N/A</v>
      </c>
      <c r="IV107" s="1679" t="e">
        <f>IF($CR107="interior",IF(R106&gt;$IP$14,ROUND(($IV$18*($IP$14/R106)),2),$IV$18),VLOOKUP($CS107,Control_Savings_Exterior,IV$30,FALSE))</f>
        <v>#N/A</v>
      </c>
      <c r="IW107" s="1679" t="e">
        <f>IF($CR107="interior",ROUND(((1-IS107)*IV107)+IS107,2),VLOOKUP($CS107,Control_Savings_Exterior,IW$30,FALSE))</f>
        <v>#N/A</v>
      </c>
      <c r="IX107" s="1679" t="e">
        <f>IF($CR107="interior",ROUND(((1-IT107)*IV107)+IT107,2),VLOOKUP($CS107,Control_Savings_Exterior,IX$30,FALSE))</f>
        <v>#N/A</v>
      </c>
      <c r="IY107" s="1679" t="e">
        <f>IF($CR107="interior",IF(R106&gt;$IP$14,ROUND(($IY$18*($IP$14/R106)),2),$IY$18),VLOOKUP($CS107,Control_Savings_Exterior,IY$30,FALSE))</f>
        <v>#N/A</v>
      </c>
      <c r="IZ107" s="1679" t="e">
        <f>IF($CR107="interior",ROUND(((1-IS107)*IY107)+IS107,2),VLOOKUP($CS107,Control_Savings_Exterior,IZ$30,FALSE))</f>
        <v>#N/A</v>
      </c>
      <c r="JA107" s="1679" t="e">
        <f>IF($CR107="interior",ROUND(((1-IT107)*IY107)+IT107,2),VLOOKUP($CS107,Control_Savings_Exterior,JA$30,FALSE))</f>
        <v>#N/A</v>
      </c>
      <c r="JC107" s="1680">
        <f>IFERROR(IF(CR107="Interior",CONCATENATE(G108," ",FQ107),AG107),"")</f>
        <v>0</v>
      </c>
      <c r="JD107" s="1670" t="str">
        <f>IFERROR(VLOOKUP(JC107,_Controls_2023,2,FALSE),"")</f>
        <v/>
      </c>
      <c r="JE107" s="1681">
        <f>IFERROR(CHOOSE(JD107-1,IQ107,IR107,IS107,IT107,IU107,IV107,IW107,IX107,IY107,IZ107,JA107),0)</f>
        <v>0</v>
      </c>
      <c r="JG107" s="1680" t="str">
        <f>FE107</f>
        <v xml:space="preserve"> - </v>
      </c>
      <c r="JH107" s="1670" t="e">
        <f>$FO107</f>
        <v>#N/A</v>
      </c>
      <c r="JI107" s="1060"/>
      <c r="JJ107" s="1670">
        <f>IFERROR(IF($IB105=TRUE,IF(OR(JJ$14="No",JJ105=FALSE,JH107&lt;=JH105,AND(_kWh_Grant=0,GD105=FALSE)),0,IF(JJ$8="Per Line",1,$AF107)),0),0)</f>
        <v>0</v>
      </c>
      <c r="JK107" s="1061"/>
      <c r="JL107" s="1670">
        <f>IFERROR(IF(_kWh_Grant=0,0,IF($IB105=TRUE,IF(OR(JL$14="No",JL105=FALSE,JH107&lt;=JH105),0,IF(JL$8="Per Line",1,$T107)),0)),0)</f>
        <v>0</v>
      </c>
      <c r="JM107" s="1061"/>
      <c r="JN107" s="1670">
        <f>IFERROR(IF(_kWh_Grant=0,0,IF($IB105=TRUE,IF(OR(JN$14="No",JN105=FALSE,JH107&lt;=JH105),0,IF(JN$8="Per Line",1,$AF107)),0)),0)</f>
        <v>0</v>
      </c>
      <c r="JO107" s="1061"/>
      <c r="JP107" s="1670">
        <f>IFERROR(IF(__Retrofit_TI_NC=0,IF(_kWh_Grant=0,0,IF($IB105=TRUE,IF(OR(JP$14="No",JP105=FALSE,$JH107&lt;=$JH105),0,IF(JP$8="Per Line",1,$AF107)),0)),IF($IB105=TRUE,IF(OR(JP$14="No",JP105=FALSE,$JH107&lt;=$JH105),0,IF(JP$8="Per Line",1,$AF107)))),0)</f>
        <v>0</v>
      </c>
      <c r="JQ107" s="1061"/>
      <c r="JR107" s="1670">
        <f>IFERROR(IF(__Retrofit_TI_NC=0,IF(_kWh_Grant=0,0,IF($IB105=TRUE,IF(OR(JR$14="No",JR105=FALSE,$JH107&lt;=$JH105),0,IF(JR$8="Per Line",1,$AF107)),0)),IF($IB105=TRUE,IF(OR(JR$14="No",JR105=FALSE,$JH107&lt;=$JH105),0,IF(JR$8="Per Line",1,$AF107)))),0)</f>
        <v>0</v>
      </c>
      <c r="JS107" s="1061"/>
      <c r="JT107" s="1670">
        <f>IFERROR(IF(__Retrofit_TI_NC=0,IF(_kWh_Grant=0,0,IF($IB105=TRUE,IF(OR(JT$14="No",JT105=FALSE,$JH107&lt;=$JH105),0,IF(JT$8="Per Line",1,$AF107)),0)),IF($IB105=TRUE,IF(OR(JT$14="No",JT105=FALSE,$JH107&lt;=$JH105),0,IF(JT$8="Per Line",1,$AF107)))),0)</f>
        <v>0</v>
      </c>
      <c r="JU107" s="1061"/>
      <c r="JV107" s="1670">
        <f>IFERROR(IF(__Retrofit_TI_NC=0,IF(_kWh_Grant=0,0,IF($IB105=TRUE,IF(OR(JV$14="No",JV105=FALSE,$JH107&lt;=$JH105),0,IF(JV$8="Per Line",1,$AF107)),0)),IF($IB105=TRUE,IF(OR(JV$14="No",JV105=FALSE,$JH107&lt;=$JH105),0,IF(JV$8="Per Line",1,$AF107)))),0)</f>
        <v>0</v>
      </c>
      <c r="JX107" s="1670">
        <f>IFERROR(IF(__Retrofit_TI_NC=0,IF(_kWh_Grant=0,0,IF($IB105=TRUE,IF(OR(JX$14="No",JX105=FALSE,$JH107&lt;=$JH105),0,IF(JX$8="Per Line",1,$AF107)),0)),IF($IB105=TRUE,IF(OR(JX$14="No",JX105=FALSE,$JH107&lt;=$JH105),0,IF(JX$8="Per Line",1,$AF107)))),0)</f>
        <v>0</v>
      </c>
      <c r="JZ107" s="1670">
        <f>IFERROR(IF($IB105=TRUE,IF(OR(JZ$14="No",JZ105=FALSE,$JH107&lt;=$JH105,AND(_kWh_Grant=0,$GD105=FALSE)),0,IF(JZ$8="Per Line",1,$AF107)),0),0)</f>
        <v>0</v>
      </c>
      <c r="KB107" s="1670">
        <f>IFERROR(IF(__Retrofit_TI_NC=0,IF(_kWh_Grant=0,0,IF($IB105=TRUE,IF(OR(KB$14="No",KB105=FALSE,$JH107&lt;=$JH105),0,IF(KB$8="Per Line",1,$AF107)),0)),IF($IB105=TRUE,IF(OR(KB$14="No",KB105=FALSE,$JH107&lt;=$JH105),0,IF(KB$8="Per Line",1,$AF107)))),0)</f>
        <v>0</v>
      </c>
    </row>
    <row r="108" spans="1:288" s="78" customFormat="1" ht="14.95" customHeight="1" thickTop="1" thickBot="1">
      <c r="B108" s="1845"/>
      <c r="C108" s="1846"/>
      <c r="D108" s="1847"/>
      <c r="E108" s="1771" t="s">
        <v>436</v>
      </c>
      <c r="F108" s="1772"/>
      <c r="G108" s="1784" t="s">
        <v>437</v>
      </c>
      <c r="H108" s="1785"/>
      <c r="I108" s="1785"/>
      <c r="J108" s="1785"/>
      <c r="K108" s="1785"/>
      <c r="L108" s="1786"/>
      <c r="M108" s="591">
        <f>IFERROR(VLOOKUP(G108,_Daylight_Table[],2,FALSE),0)</f>
        <v>0</v>
      </c>
      <c r="N108" s="592" t="str">
        <f>IF(AND(__Retrofit_TI_NC&gt;0,CQ105="Interior"),"BAM","")</f>
        <v/>
      </c>
      <c r="O108" s="591" t="e">
        <f>VLOOKUP(G107,'Space Table'!$B$3:$L$163,11,FALSE)</f>
        <v>#N/A</v>
      </c>
      <c r="P108" s="1789"/>
      <c r="Q108" s="1790"/>
      <c r="R108" s="1790"/>
      <c r="S108" s="1788"/>
      <c r="T108" s="593" t="s">
        <v>342</v>
      </c>
      <c r="U108" s="1756" t="str" cm="1">
        <f t="array" aca="1" ref="U108" ca="1">IFERROR(VLOOKUP(INDIRECT("U" &amp; ROW()-1),Fixtures!DM$93:DP$142,4,FALSE),"")</f>
        <v/>
      </c>
      <c r="V108" s="1757"/>
      <c r="W108" s="1757"/>
      <c r="X108" s="1757"/>
      <c r="Y108" s="1757"/>
      <c r="Z108" s="1757"/>
      <c r="AA108" s="1758"/>
      <c r="AB108" s="939" t="str">
        <f>IFERROR(VLOOKUP(U107,Fixtures_Proposed_List,2,FALSE),"")</f>
        <v/>
      </c>
      <c r="AC108" s="933" t="str">
        <f>IFERROR(ROUND(T107*AB108*N106*R106/1000,0),"")</f>
        <v/>
      </c>
      <c r="AD108" s="934" t="str">
        <f>IFERROR(ROUND(T107*AB108/1000,2),"")</f>
        <v/>
      </c>
      <c r="AE108" s="998"/>
      <c r="AF108" s="938" t="s">
        <v>342</v>
      </c>
      <c r="AG108" s="1770"/>
      <c r="AH108" s="1770"/>
      <c r="AI108" s="1770"/>
      <c r="AJ108" s="1770"/>
      <c r="AK108" s="1770"/>
      <c r="AL108" s="1770"/>
      <c r="AM108" s="1727"/>
      <c r="AN108" s="1729"/>
      <c r="AO108" s="1731"/>
      <c r="AP108" s="1782"/>
      <c r="AQ108" s="1783"/>
      <c r="AR108" s="1797"/>
      <c r="AS108" s="1797"/>
      <c r="AT108" s="1798"/>
      <c r="AU108" s="1736"/>
      <c r="AV108" s="1753"/>
      <c r="AW108" s="1706"/>
      <c r="AX108" s="468"/>
      <c r="AY108" s="1750"/>
      <c r="AZ108" s="1750"/>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696"/>
      <c r="CQ108" s="1696"/>
      <c r="CR108" s="1809"/>
      <c r="CS108" s="1811"/>
      <c r="CU108" s="1688"/>
      <c r="CV108" s="1703"/>
      <c r="CW108" s="1703"/>
      <c r="CX108" s="1813"/>
      <c r="CY108" s="1815"/>
      <c r="CZ108" s="1711"/>
      <c r="DA108" s="1815"/>
      <c r="DB108" s="1821"/>
      <c r="DC108" s="1821"/>
      <c r="DD108" s="1821"/>
      <c r="DF108" s="1703"/>
      <c r="DG108" s="1831"/>
      <c r="DH108" s="1813"/>
      <c r="DI108" s="1838"/>
      <c r="DJ108" s="1711"/>
      <c r="DK108" s="1712"/>
      <c r="DN108" s="1718"/>
      <c r="DO108" s="1709"/>
      <c r="DQ108" s="1715"/>
      <c r="DR108" s="1720"/>
      <c r="DS108" s="1703"/>
      <c r="DT108" s="1714"/>
      <c r="DU108" s="1715"/>
      <c r="DV108" s="1716"/>
      <c r="DX108" s="1715"/>
      <c r="DY108" s="1720"/>
      <c r="DZ108" s="1715"/>
      <c r="EA108" s="1715"/>
      <c r="EC108" s="1834"/>
      <c r="ED108" s="1834"/>
      <c r="EF108" s="1707"/>
      <c r="EG108" s="1712"/>
      <c r="EH108" s="1815"/>
      <c r="EI108" s="1712"/>
      <c r="EJ108" s="1712"/>
      <c r="EK108" s="1813"/>
      <c r="EL108" s="1813"/>
      <c r="EM108" s="1807"/>
      <c r="EN108" s="1839"/>
      <c r="EO108" s="1839"/>
      <c r="EP108" s="1817"/>
      <c r="EQ108" s="1817"/>
      <c r="ER108" s="1807"/>
      <c r="ES108" s="1807"/>
      <c r="ET108" s="1807"/>
      <c r="EV108" s="1715"/>
      <c r="EX108" s="1806"/>
      <c r="EY108" s="1806"/>
      <c r="EZ108" s="1806"/>
      <c r="FA108" s="1806"/>
      <c r="FB108" s="1806"/>
      <c r="FC108" s="1828"/>
      <c r="FE108" s="1698"/>
      <c r="FG108" s="1703"/>
      <c r="FH108" s="1703"/>
      <c r="FI108" s="133"/>
      <c r="FL108" s="1823"/>
      <c r="FM108" s="1825"/>
      <c r="FN108" s="1698"/>
      <c r="FO108" s="1698"/>
      <c r="FP108" s="1678"/>
      <c r="FQ108" s="1698"/>
      <c r="FS108" s="1687"/>
      <c r="FT108" s="1687"/>
      <c r="FU108" s="1685"/>
      <c r="FV108" s="1687"/>
      <c r="FW108" s="1687"/>
      <c r="FX108" s="1687"/>
      <c r="FY108" s="1697"/>
      <c r="GA108" s="1696"/>
      <c r="GB108" s="1696"/>
      <c r="GC108" s="1696"/>
      <c r="GD108" s="1696"/>
      <c r="GE108" s="1696"/>
      <c r="GF108" s="1696"/>
      <c r="GG108" s="1696"/>
      <c r="GH108" s="1696"/>
      <c r="GI108" s="673"/>
      <c r="GJ108" s="1135"/>
      <c r="GK108" s="1832"/>
      <c r="GN108" s="674">
        <f>IF(GN106=TRUE,0,GN$16)</f>
        <v>0</v>
      </c>
      <c r="GP108" s="674">
        <f>IF(GP106=TRUE,0,GP$16)</f>
        <v>36</v>
      </c>
      <c r="GQ108" s="674">
        <f ca="1">IF(GQ106=TRUE,0,GQ$16)</f>
        <v>35</v>
      </c>
      <c r="GR108" s="391"/>
      <c r="GS108" s="391"/>
      <c r="GT108" s="391"/>
      <c r="GU108" s="391"/>
      <c r="GV108" s="391"/>
      <c r="HG108" s="674">
        <f>IF(HG106=TRUE,0,HG$16)</f>
        <v>0</v>
      </c>
      <c r="HH108" s="674">
        <f t="shared" ref="HH108:HM108" si="73">IF(HH106=TRUE,0,HH$16)</f>
        <v>19</v>
      </c>
      <c r="HI108" s="674">
        <f t="shared" si="73"/>
        <v>18</v>
      </c>
      <c r="HJ108" s="674">
        <f t="shared" si="73"/>
        <v>17</v>
      </c>
      <c r="HK108" s="674">
        <f t="shared" si="73"/>
        <v>16</v>
      </c>
      <c r="HL108" s="674">
        <f t="shared" si="73"/>
        <v>0</v>
      </c>
      <c r="HM108" s="674">
        <f t="shared" si="73"/>
        <v>0</v>
      </c>
      <c r="HN108" s="674">
        <f>IF(HN106=TRUE,0,HN$16)</f>
        <v>13</v>
      </c>
      <c r="HO108" s="674">
        <f t="shared" ref="HO108:HQ108" si="74">IF(HO106=TRUE,0,HO$16)</f>
        <v>0</v>
      </c>
      <c r="HP108" s="674">
        <f t="shared" si="74"/>
        <v>0</v>
      </c>
      <c r="HQ108" s="674">
        <f t="shared" si="74"/>
        <v>10</v>
      </c>
      <c r="HR108" s="674">
        <f>IF(HR106=TRUE,0,HR$16)</f>
        <v>9</v>
      </c>
      <c r="HS108" s="674">
        <f t="shared" ref="HS108:HW108" si="75">IF(HS106=TRUE,0,HS$16)</f>
        <v>0</v>
      </c>
      <c r="HT108" s="674">
        <f t="shared" si="75"/>
        <v>0</v>
      </c>
      <c r="HU108" s="674">
        <f t="shared" si="75"/>
        <v>0</v>
      </c>
      <c r="HV108" s="674">
        <f t="shared" si="75"/>
        <v>0</v>
      </c>
      <c r="HW108" s="674">
        <f t="shared" si="75"/>
        <v>0</v>
      </c>
      <c r="HX108" s="674">
        <f>IF(HX106=TRUE,0,HX$16)</f>
        <v>0</v>
      </c>
      <c r="HY108" s="674">
        <f>IF(HY106=TRUE,0,HY$16)</f>
        <v>0</v>
      </c>
      <c r="HZ108" s="674">
        <f>IF(HZ106=TRUE,0,HZ$16)</f>
        <v>1</v>
      </c>
      <c r="IB108" s="674">
        <f>IF(GP106=FALSE,GP108,IF(GQ106=FALSE,GQ108,MAX(GN108:HZ108)))</f>
        <v>36</v>
      </c>
      <c r="IC108" s="1692"/>
      <c r="ID108" s="205" t="str">
        <f>VLOOKUP(IB108,_Error_Table,3,FALSE)</f>
        <v xml:space="preserve"> </v>
      </c>
      <c r="IE108" s="205"/>
      <c r="IF108" s="1688"/>
      <c r="IG108" s="1689"/>
      <c r="IH108" s="1684"/>
      <c r="IK108" s="1689"/>
      <c r="IL108" s="1692"/>
      <c r="IM108" s="1692"/>
      <c r="IN108" s="1692"/>
      <c r="IP108" s="1679"/>
      <c r="IQ108" s="1679"/>
      <c r="IR108" s="1679"/>
      <c r="IS108" s="1679"/>
      <c r="IT108" s="1679"/>
      <c r="IU108" s="1679"/>
      <c r="IV108" s="1679"/>
      <c r="IW108" s="1679"/>
      <c r="IX108" s="1679"/>
      <c r="IY108" s="1679"/>
      <c r="IZ108" s="1679"/>
      <c r="JA108" s="1679"/>
      <c r="JC108" s="1680"/>
      <c r="JD108" s="1670"/>
      <c r="JE108" s="1681"/>
      <c r="JG108" s="1680"/>
      <c r="JH108" s="1670"/>
      <c r="JI108" s="1060"/>
      <c r="JJ108" s="1670"/>
      <c r="JK108" s="1061"/>
      <c r="JL108" s="1670"/>
      <c r="JM108" s="1061"/>
      <c r="JN108" s="1670"/>
      <c r="JO108" s="1061"/>
      <c r="JP108" s="1670"/>
      <c r="JQ108" s="1061"/>
      <c r="JR108" s="1670"/>
      <c r="JS108" s="1061"/>
      <c r="JT108" s="1670"/>
      <c r="JU108" s="1061"/>
      <c r="JV108" s="1670"/>
      <c r="JX108" s="1670"/>
      <c r="JZ108" s="1670"/>
      <c r="KB108" s="1670"/>
    </row>
    <row r="109" spans="1:288" s="78" customFormat="1" ht="5.0999999999999996" customHeight="1">
      <c r="B109" s="676"/>
      <c r="C109" s="392"/>
      <c r="D109" s="392"/>
      <c r="E109" s="1733"/>
      <c r="F109" s="1733"/>
      <c r="G109" s="1733"/>
      <c r="H109" s="1733"/>
      <c r="I109" s="1733"/>
      <c r="J109" s="1733"/>
      <c r="K109" s="1733"/>
      <c r="L109" s="1733"/>
      <c r="M109" s="1733"/>
      <c r="N109" s="1733"/>
      <c r="O109" s="1733"/>
      <c r="P109" s="1733"/>
      <c r="Q109" s="1733"/>
      <c r="R109" s="1733"/>
      <c r="S109" s="1733"/>
      <c r="T109" s="1733"/>
      <c r="U109" s="1733"/>
      <c r="V109" s="1733"/>
      <c r="W109" s="1733"/>
      <c r="X109" s="1733"/>
      <c r="Y109" s="1733"/>
      <c r="Z109" s="1733"/>
      <c r="AA109" s="1733"/>
      <c r="AB109" s="1733"/>
      <c r="AC109" s="1733"/>
      <c r="AD109" s="1733"/>
      <c r="AE109" s="1733"/>
      <c r="AF109" s="1733"/>
      <c r="AG109" s="1733"/>
      <c r="AH109" s="1733"/>
      <c r="AI109" s="1733"/>
      <c r="AJ109" s="1733"/>
      <c r="AK109" s="1733"/>
      <c r="AL109" s="1733"/>
      <c r="AM109" s="1733"/>
      <c r="AN109" s="1733"/>
      <c r="AO109" s="1733"/>
      <c r="AP109" s="1733"/>
      <c r="AQ109" s="1733"/>
      <c r="AR109" s="1733"/>
      <c r="AS109" s="1733"/>
      <c r="AT109" s="1733"/>
      <c r="AU109" s="1733"/>
      <c r="AV109" s="1733"/>
      <c r="AW109" s="1733"/>
      <c r="AX109" s="469"/>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663"/>
      <c r="CQ109" s="663"/>
      <c r="CR109" s="438"/>
      <c r="CS109" s="663"/>
      <c r="CV109" s="391"/>
      <c r="CW109" s="391"/>
      <c r="CX109" s="207"/>
      <c r="CY109" s="208"/>
      <c r="CZ109" s="208"/>
      <c r="DA109" s="208"/>
      <c r="DB109" s="209"/>
      <c r="DC109" s="209"/>
      <c r="DD109" s="209"/>
      <c r="DF109" s="664"/>
      <c r="DG109" s="665"/>
      <c r="DH109" s="666"/>
      <c r="DI109" s="667"/>
      <c r="DJ109" s="668"/>
      <c r="DK109" s="668"/>
      <c r="DN109" s="208"/>
      <c r="DO109" s="664"/>
      <c r="DQ109" s="664"/>
      <c r="DR109" s="669"/>
      <c r="DS109" s="391"/>
      <c r="DT109" s="664"/>
      <c r="DU109" s="664"/>
      <c r="DV109" s="664"/>
      <c r="DX109" s="664"/>
      <c r="DY109" s="664"/>
      <c r="DZ109" s="664"/>
      <c r="EA109" s="664"/>
      <c r="EC109" s="670"/>
      <c r="ED109" s="670"/>
      <c r="EF109" s="668"/>
      <c r="EG109" s="668"/>
      <c r="EH109" s="208"/>
      <c r="EI109" s="668"/>
      <c r="EJ109" s="668"/>
      <c r="EK109" s="207"/>
      <c r="EL109" s="207"/>
      <c r="EM109" s="666"/>
      <c r="EN109" s="671"/>
      <c r="EO109" s="671"/>
      <c r="EP109" s="672"/>
      <c r="EQ109" s="672"/>
      <c r="ER109" s="666"/>
      <c r="ES109" s="666"/>
      <c r="ET109" s="666"/>
      <c r="EV109" s="664"/>
      <c r="EX109" s="391"/>
      <c r="EY109" s="391"/>
      <c r="EZ109" s="391"/>
      <c r="FA109" s="391"/>
      <c r="FB109" s="391"/>
      <c r="FC109" s="391"/>
      <c r="FE109" s="569"/>
      <c r="FG109" s="391"/>
      <c r="FH109" s="391"/>
      <c r="FI109" s="391"/>
      <c r="FS109" s="664"/>
      <c r="FT109" s="391"/>
      <c r="FU109" s="391"/>
      <c r="FV109" s="664"/>
      <c r="FW109" s="664"/>
      <c r="GA109" s="663"/>
      <c r="GB109" s="663"/>
      <c r="GC109" s="663"/>
      <c r="GD109" s="663"/>
      <c r="GE109" s="663"/>
      <c r="GF109" s="663"/>
      <c r="GG109" s="663"/>
      <c r="GH109" s="663"/>
      <c r="GI109" s="665"/>
      <c r="GJ109" s="664"/>
      <c r="GK109" s="664"/>
    </row>
    <row r="110" spans="1:288" s="78" customFormat="1" ht="14.95" customHeight="1">
      <c r="B110" s="1845" t="str">
        <f>ID113</f>
        <v xml:space="preserve"> </v>
      </c>
      <c r="C110" s="1846">
        <f>C105+1</f>
        <v>13</v>
      </c>
      <c r="D110" s="1847"/>
      <c r="E110" s="1799" t="s">
        <v>295</v>
      </c>
      <c r="F110" s="1800"/>
      <c r="G110" s="1741"/>
      <c r="H110" s="1742"/>
      <c r="I110" s="1742"/>
      <c r="J110" s="1742"/>
      <c r="K110" s="1742"/>
      <c r="L110" s="1742"/>
      <c r="M110" s="1742"/>
      <c r="N110" s="1742"/>
      <c r="O110" s="1742"/>
      <c r="P110" s="1742"/>
      <c r="Q110" s="1742"/>
      <c r="R110" s="1742"/>
      <c r="S110" s="1791" t="s">
        <v>344</v>
      </c>
      <c r="T110" s="590"/>
      <c r="U110" s="1743"/>
      <c r="V110" s="1744"/>
      <c r="W110" s="1744"/>
      <c r="X110" s="1744"/>
      <c r="Y110" s="1744"/>
      <c r="Z110" s="1744"/>
      <c r="AA110" s="1744"/>
      <c r="AB110" s="961" t="str">
        <f>IFERROR(IF(__Retrofit_TI_NC=0,VLOOKUP(U111,Fixtures_Existing_List,2,FALSE),ROUND(N112*R112/T112,10)),"")</f>
        <v/>
      </c>
      <c r="AC110" s="935" t="str">
        <f>IFERROR(IF(__Retrofit_TI_NC=0,ROUND(T111*AB110*N111*R111/1000,0),IF(CQ110="Interior",N112*R112*R111*N111*_C406_reduction/1000,N112*R112*R111*N111/1000)),"")</f>
        <v/>
      </c>
      <c r="AD110" s="936" t="str">
        <f>IFERROR(IF(C$43=0,ROUND(T111*AB110/1000,2),N112*R112/1000),"")</f>
        <v/>
      </c>
      <c r="AE110" s="997"/>
      <c r="AF110" s="937"/>
      <c r="AG110" s="1745" t="str">
        <f>IF(__Retrofit_TI_NC=0," Control","Select Advanced Control for New System")</f>
        <v xml:space="preserve"> Control</v>
      </c>
      <c r="AH110" s="1745"/>
      <c r="AI110" s="1745"/>
      <c r="AJ110" s="1745"/>
      <c r="AK110" s="1745"/>
      <c r="AL110" s="1745"/>
      <c r="AM110" s="1746">
        <f>IFERROR(DI110,"")</f>
        <v>0</v>
      </c>
      <c r="AN110" s="1774" t="str">
        <f>IFERROR(ROUND(AM110*AC110,0),"")</f>
        <v/>
      </c>
      <c r="AO110" s="1776">
        <f>IFERROR(IF(IB110=FALSE,0,AC110-AN110),0)</f>
        <v>0</v>
      </c>
      <c r="AP110" s="1778">
        <f>AO110-AO112</f>
        <v>0</v>
      </c>
      <c r="AQ110" s="1779"/>
      <c r="AR110" s="1793">
        <f>IFERROR(IF(IB110=FALSE,0,(T112*U113)+(AF112*AG113)),0)</f>
        <v>0</v>
      </c>
      <c r="AS110" s="1793"/>
      <c r="AT110" s="1794"/>
      <c r="AU110" s="1734" t="s">
        <v>237</v>
      </c>
      <c r="AV110" s="1751">
        <f>IF(AU110="Yes",1,0)</f>
        <v>1</v>
      </c>
      <c r="AW110" s="1704" t="str">
        <f>IF(OR(DQ110=4,DQ110=5,DQ110=6,DQ110=12),CONCATENATE("$",IF(GH110=TRUE,Lookup!$K$10,Lookup!$K$2)," /lamp"),CONCATENATE(TEXT(ED110,"$0.00"),"/ kWh"))</f>
        <v>$0.00/ kWh</v>
      </c>
      <c r="AX110" s="467"/>
      <c r="AY110" s="1748">
        <f ca="1">IFERROR(IF(GM111=TRUE,(AB113*T112)/R112,0),"NA")</f>
        <v>0</v>
      </c>
      <c r="AZ110" s="1748"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696" t="str">
        <f>N111</f>
        <v/>
      </c>
      <c r="CQ110" s="1696" t="str">
        <f>IFERROR(VLOOKUP(G111,_Lookup_Heat_Type_Table_New,3,FALSE),"")</f>
        <v/>
      </c>
      <c r="CR110" s="1808" t="str">
        <f>CQ110</f>
        <v/>
      </c>
      <c r="CS110" s="1810" t="str">
        <f>IFERROR(VLOOKUP(G112,'Space Table'!$B$3:$L$163,9,FALSE),"")</f>
        <v/>
      </c>
      <c r="CU110" s="1688" t="s">
        <v>344</v>
      </c>
      <c r="CV110" s="1702">
        <f>IF(IB110=TRUE,T111,0)</f>
        <v>0</v>
      </c>
      <c r="CW110" s="1702" t="str">
        <f>IF(IB110=TRUE,U111,"")</f>
        <v/>
      </c>
      <c r="CX110" s="1702"/>
      <c r="CY110" s="1814">
        <f>IF(IB110=TRUE,AB110,0)</f>
        <v>0</v>
      </c>
      <c r="CZ110" s="1710">
        <f>IF(AND(__Retrofit_TI_NC&gt;0,CR110="interior"),0,IF(IB110=TRUE,AC110,0))</f>
        <v>0</v>
      </c>
      <c r="DA110" s="1814">
        <f>IFERROR(IF(IB110=TRUE,CZ110-CZ112,0),0)</f>
        <v>0</v>
      </c>
      <c r="DB110" s="1819">
        <f>IF(IB110=TRUE,AD110,0)</f>
        <v>0</v>
      </c>
      <c r="DC110" s="1819">
        <f>IF(IB110=TRUE,AD113,0)</f>
        <v>0</v>
      </c>
      <c r="DD110" s="1819">
        <f>IFERROR(DB110-DC110,0)</f>
        <v>0</v>
      </c>
      <c r="DF110" s="1702">
        <f>IF(IB110=TRUE,AF111,0)</f>
        <v>0</v>
      </c>
      <c r="DG110" s="1830">
        <f>IFERROR(IF(__Retrofit_TI_NC=2,IF(CQ110="Exterior",O113,FQ110),FN110),"")</f>
        <v>0</v>
      </c>
      <c r="DH110" s="1702"/>
      <c r="DI110" s="1837">
        <f>JE110</f>
        <v>0</v>
      </c>
      <c r="DJ110" s="1710">
        <f>IF(AND(__Retrofit_TI_NC&gt;0,CR110="interior"),0,IF(IB110=TRUE,AN110,0))</f>
        <v>0</v>
      </c>
      <c r="DK110" s="1712">
        <f>IFERROR(IF(IB110=TRUE,DJ112-DJ110,0),0)</f>
        <v>0</v>
      </c>
      <c r="DM110" s="1717">
        <f>IFERROR(CZ110-DJ110,0)</f>
        <v>0</v>
      </c>
      <c r="DO110" s="1708">
        <f>DM110-DN112</f>
        <v>0</v>
      </c>
      <c r="DQ110" s="1715" t="str">
        <f>IFERROR(IF(AND(OR(GC110=4,GC110=5,GC110=6),OR(GF110=4,GF110=5,GF110=6)),GC110+8,VLOOKUP(CW112,Fixtures!R$31:Y$78,8,FALSE)),"")</f>
        <v/>
      </c>
      <c r="DR110" s="1829" t="str">
        <f>DQ110</f>
        <v/>
      </c>
      <c r="DS110" s="1702" t="str">
        <f>IFERROR(VLOOKUP(DG112,Lookup!BB$3:BC$20,2,FALSE),"")</f>
        <v/>
      </c>
      <c r="DT110" s="1713" t="str">
        <f>IF(OR(DS110=7,DS110=8,DS110=9),"ALC","")</f>
        <v/>
      </c>
      <c r="DU110" s="1715">
        <f>IFERROR(IF(OR(DQ110=4,DQ110=5,DQ110=6,DQ110=12,DQ110=13,DQ110=14),VLOOKUP(CW112,Fixtures!DN$27:EG$77,19,FALSE),1)*CV112,0)</f>
        <v>0</v>
      </c>
      <c r="DV110" s="1716">
        <f>IF(OR(DS110=7,DS110=8,DS110=9),IF(DG110=DG112,0,DF112),0)</f>
        <v>0</v>
      </c>
      <c r="DX110" s="1715" t="str">
        <f>IFERROR(IF(EZ110&lt;EZ112,"Yes","No"),"")</f>
        <v/>
      </c>
      <c r="DY110" s="1829" t="str">
        <f>DX110</f>
        <v/>
      </c>
      <c r="DZ110" s="1715">
        <f>IF(DX110="Yes",DF112,0)</f>
        <v>0</v>
      </c>
      <c r="EA110" s="1715">
        <f>DZ110-DV110</f>
        <v>0</v>
      </c>
      <c r="EC110" s="1834">
        <f>IFERROR(VLOOKUP(DQ110,Lookup!AU$3:AV$16,2,FALSE),0)</f>
        <v>0</v>
      </c>
      <c r="ED110" s="1834">
        <f>IF(IB110=FALSE,0,IF(DX110="Yes",EC110+Lookup!K$6,EC110))</f>
        <v>0</v>
      </c>
      <c r="EF110" s="1707">
        <f>IF(IB110=TRUE,DM110,0)</f>
        <v>0</v>
      </c>
      <c r="EG110" s="1712">
        <f>IF(IB110=TRUE,CZ112,0)</f>
        <v>0</v>
      </c>
      <c r="EH110" s="1814">
        <f>IFERROR(EF110-EG110,0)</f>
        <v>0</v>
      </c>
      <c r="EI110" s="1712">
        <f>IF(IB110=TRUE,DJ112,0)</f>
        <v>0</v>
      </c>
      <c r="EJ110" s="1712">
        <f>IFERROR(EF110-EG110+EI110,0)</f>
        <v>0</v>
      </c>
      <c r="EK110" s="1812">
        <f>IF(IB110=TRUE,CV112*CX112,0)</f>
        <v>0</v>
      </c>
      <c r="EL110" s="1812">
        <f>IF(IB110=TRUE,DF112*DH112,0)</f>
        <v>0</v>
      </c>
      <c r="EM110" s="1807">
        <f>AR110</f>
        <v>0</v>
      </c>
      <c r="EN110" s="1839" t="str">
        <f>IFERROR(IF(IB110=TRUE,VLOOKUP(DQ110,Lookup!AU$3:AW$16,3,FALSE)*DU110,""),0)</f>
        <v/>
      </c>
      <c r="EO110" s="1839">
        <f>IF(IB110=TRUE,DZ110*Lookup!AW$12,0)</f>
        <v>0</v>
      </c>
      <c r="EP110" s="1817">
        <f>IFERROR(IF(IB110=TRUE,EN110/EP$40,0),0)</f>
        <v>0</v>
      </c>
      <c r="EQ110" s="1817">
        <f>IF(IB110=TRUE,EO110/EQ$40,0)</f>
        <v>0</v>
      </c>
      <c r="ER110" s="1807">
        <f>IF(IB110=TRUE,ET$40*EP110,0)</f>
        <v>0</v>
      </c>
      <c r="ES110" s="1807">
        <f>IF(IB110=TRUE,ET$40*EQ110,0)</f>
        <v>0</v>
      </c>
      <c r="ET110" s="1807">
        <f>ER110+ES110</f>
        <v>0</v>
      </c>
      <c r="EV110" s="1715">
        <f>IF(G110="",0,1)</f>
        <v>0</v>
      </c>
      <c r="EX110" s="1804" t="str">
        <f>IFERROR(VLOOKUP(CS112,'Space Table'!$B$3:$L$163,8,FALSE),"")</f>
        <v/>
      </c>
      <c r="EY110" s="1804" t="str">
        <f>IFERROR(IF(FB110="Yes",VLOOKUP(DG110,Lookup_Control_Type_Table2,4,FALSE),VLOOKUP(DG110,Lookup_Control_Type_Table2,3,FALSE)),"")</f>
        <v/>
      </c>
      <c r="EZ110" s="1804" t="e">
        <f>VLOOKUP(DG110,Lookup!BB$3:BC$20,2,FALSE)</f>
        <v>#N/A</v>
      </c>
      <c r="FA110" s="1804" t="e">
        <f>VLOOKUP(EX110,Lookup_Control_Type_Table,2,FALSE)</f>
        <v>#N/A</v>
      </c>
      <c r="FB110" s="1804" t="e">
        <f>VLOOKUP(CS112,'Space Table'!$B$3:$L$163,7,FALSE)</f>
        <v>#N/A</v>
      </c>
      <c r="FC110" s="1826" t="b">
        <f>ISNUMBER(SEARCH("TLED",U112))</f>
        <v>0</v>
      </c>
      <c r="FE110" s="1698" t="str">
        <f>CONCATENATE(CQ110," - ",DG110)</f>
        <v xml:space="preserve"> - 0</v>
      </c>
      <c r="FG110" s="1702" t="str">
        <f>VLOOKUP(CW112,Fixtures!DN$27:EZ$77,38,FALSE)</f>
        <v/>
      </c>
      <c r="FH110" s="1702">
        <f>IFERROR(FG110*EH110,0)</f>
        <v>0</v>
      </c>
      <c r="FI110" s="133"/>
      <c r="FL110" s="1822" t="str">
        <f>IF(CQ110="Exterior","Not Daylighted",G113)</f>
        <v>Not Daylighted</v>
      </c>
      <c r="FM110" s="1824">
        <f>VLOOKUP(FL110,_New_Daylight_Table_Codes,2,FALSE)</f>
        <v>0</v>
      </c>
      <c r="FN110" s="1698">
        <f>IF(__Retrofit_TI_NC&gt;0,VLOOKUP(G112,'Space Table'!$B$3:$L$163,11,FALSE),AG111)</f>
        <v>0</v>
      </c>
      <c r="FO110" s="1698" t="e">
        <f>IF(__Retrofit_TI_NC=2,VLOOKUP(FQ110,_Control_Table,2,FALSE),VLOOKUP(FN110,_Control_Table,2,FALSE))</f>
        <v>#N/A</v>
      </c>
      <c r="FP110" s="1678" t="e">
        <f>VLOOKUP(CONCATENATE(FL110," ",FN110),Lookup!AY$102:AZ120,2,FALSE)</f>
        <v>#N/A</v>
      </c>
      <c r="FQ110" s="1678">
        <f>IF(__Retrofit_TI_NC=0,FN110,IF(AND(FT110&gt;0,FN110="Occupancy Sensor"),"Daylight + Occupancy",IF(AND(FT110&gt;0,VLOOKUP(FN110,_Control_Table,2,FALSE)&lt;4),"Interior Daylight Dimming",FN110)))</f>
        <v>0</v>
      </c>
      <c r="FS110" s="1686">
        <f>IF(CR110="Interior",VLOOKUP(CS110,Control_Savings_Interior,5,FALSE),0)</f>
        <v>0</v>
      </c>
      <c r="FT110" s="1687">
        <f>IF(CQ110="Exterior",0,IF(FM110=2,0.5,IF(OR(FM110=1,FM110=3),1,0)))</f>
        <v>0</v>
      </c>
      <c r="FU110" s="1685">
        <f>IF(R109&gt;FS$44,(FS110*(FS$44/R109)),FS110)*FT110</f>
        <v>0</v>
      </c>
      <c r="FV110" s="1686">
        <f>DI110</f>
        <v>0</v>
      </c>
      <c r="FW110" s="1686">
        <f>ROUND(FV110+((1-FV110)*FU110),2)</f>
        <v>0</v>
      </c>
      <c r="FX110" s="1686">
        <f>IF(__Retrofit_TI_NC=2,FW110,FV110)</f>
        <v>0</v>
      </c>
      <c r="FY110" s="1697"/>
      <c r="GA110" s="1696" t="str">
        <f>IFERROR(VLOOKUP(U111,_Exist_Fixture_Table,3,FALSE),"")</f>
        <v/>
      </c>
      <c r="GB110" s="1696" t="str">
        <f>VLOOKUP(CW110,_Exist_Fixture_Table,4,FALSE)</f>
        <v/>
      </c>
      <c r="GC110" s="1696">
        <f>IFERROR(VLOOKUP(GB110,Lookup!AT$6:AU$8,2,FALSE),0)</f>
        <v>0</v>
      </c>
      <c r="GD110" s="1696" t="b">
        <f>IFERROR(IF(OR(GF110=4,GF110=5,GF110=6),TRUE,FALSE),"")</f>
        <v>0</v>
      </c>
      <c r="GE110" s="1696" t="str">
        <f>IFERROR(VLOOKUP(GF110,GC$6:GD$10,2,FALSE),"")</f>
        <v/>
      </c>
      <c r="GF110" s="1696" t="str">
        <f>VLOOKUP(CW112,Fixtures!R$31:Y$78,8,FALSE)</f>
        <v/>
      </c>
      <c r="GG110" s="1696">
        <f>IF(AND(GA110=TRUE,GD110=TRUE,OR(DQ110=12,DQ110=13,DQ110=14)),GC110+8,0)</f>
        <v>0</v>
      </c>
      <c r="GH110" s="1696" t="b">
        <f>IF(OR(GG110=12,GG110=13,GG110=14),TRUE,FALSE)</f>
        <v>0</v>
      </c>
      <c r="GI110" s="673" t="b">
        <f>IF(ISNUMBER(SEARCH("TLED",U111)),TRUE,FALSE)</f>
        <v>0</v>
      </c>
      <c r="GJ110" s="1135" t="str">
        <f>IFERROR(VLOOKUP(U111,Fixtures!BM$93:BR$142,6,FALSE),"")</f>
        <v/>
      </c>
      <c r="GK110" s="1832" t="b">
        <f>IF(OR(GI110=FALSE,GI112=FALSE),TRUE,IF(GJ110-GJ112&lt;5,FALSE,TRUE))</f>
        <v>1</v>
      </c>
      <c r="GO110" s="674">
        <f>GP110</f>
        <v>0</v>
      </c>
      <c r="GP110" s="674">
        <f>IF(G110="",0,1)</f>
        <v>0</v>
      </c>
      <c r="GQ110" s="674">
        <f ca="1">SUM(GR110:HF110)</f>
        <v>2</v>
      </c>
      <c r="GR110" s="674">
        <f>IF(G111="",0,1)</f>
        <v>0</v>
      </c>
      <c r="GS110" s="674">
        <f>IF(N113="BAM",1,IF(G112="",0,1))</f>
        <v>0</v>
      </c>
      <c r="GT110" s="674">
        <f>IF(N113="BAM",1,IF(R111="",0,1))</f>
        <v>0</v>
      </c>
      <c r="GU110" s="674">
        <f>IF(N113="BAM",1,IF(__Retrofit_TI_NC=0,1,IF(R112="",0,1)))</f>
        <v>1</v>
      </c>
      <c r="GV110" s="674">
        <f>IF(N113="BAM",1,IF(CQ110="Exterior",1,IF(G113="",0,1)))</f>
        <v>1</v>
      </c>
      <c r="GW110" s="674">
        <f>IF(__Retrofit_TI_NC&gt;0,1,IF(T111="",0,1))</f>
        <v>0</v>
      </c>
      <c r="GX110" s="674">
        <f>IF(__Retrofit_TI_NC&gt;0,1,IF(U111="",0,1))</f>
        <v>0</v>
      </c>
      <c r="GY110" s="674">
        <f>IF(N113="BAM",1,IF(T112="",0,1))</f>
        <v>0</v>
      </c>
      <c r="GZ110" s="674">
        <f>IF(N113="BAM",1,IF(U112="",0,1))</f>
        <v>0</v>
      </c>
      <c r="HA110" s="674">
        <f ca="1">IF(N113="BAM",1,IF(__Retrofit_TI_NC&gt;0,1,IF(U113="",0,1)))</f>
        <v>0</v>
      </c>
      <c r="HB110" s="674">
        <f>IF(__Retrofit_TI_NC&lt;&gt;0,1,IF(AF111="",0,1))</f>
        <v>0</v>
      </c>
      <c r="HC110" s="674">
        <f>IF(__Retrofit_TI_NC&lt;&gt;0,1,IF(AG111="",0,1))</f>
        <v>0</v>
      </c>
      <c r="HD110" s="674">
        <f>IF(N113="BAM",1,IF(AF112="",0,1))</f>
        <v>0</v>
      </c>
      <c r="HE110" s="674">
        <f>IF(N113="BAM",1,IF(AG112="",0,1))</f>
        <v>0</v>
      </c>
      <c r="HF110" s="674">
        <f>IF(N113="BAM",1,IF(__Retrofit_TI_NC&gt;0,1,IF(AG113="",0,1)))</f>
        <v>0</v>
      </c>
      <c r="HG110" s="391"/>
      <c r="IA110" s="391"/>
      <c r="IB110" s="1693" t="b">
        <f>IF(OR(IB113=0,IB113=HY$16,IB113=HX$16,IB113=HZ$16),TRUE,FALSE)</f>
        <v>0</v>
      </c>
      <c r="IC110" s="1694" t="b">
        <f>IB110</f>
        <v>0</v>
      </c>
      <c r="ID110" s="391"/>
      <c r="IE110" s="391"/>
      <c r="IF110" s="1688" t="b">
        <f ca="1">IF(MAX(GN113:HU113)&gt;5,FALSE,TRUE)</f>
        <v>0</v>
      </c>
      <c r="IG110" s="1689">
        <f ca="1">IF(IF110=TRUE,AC110,0)</f>
        <v>0</v>
      </c>
      <c r="IH110" s="1689">
        <f ca="1">IG110-IG112</f>
        <v>0</v>
      </c>
      <c r="IK110" s="1689" t="e">
        <f>ROUND(T111*VLOOKUP(U111,Fixtures_Existing_List,2,FALSE)*N111*R111/1000,0)</f>
        <v>#N/A</v>
      </c>
      <c r="IL110" s="1690" t="e">
        <f>IK110-IK112</f>
        <v>#N/A</v>
      </c>
      <c r="IM110" s="1693" t="e">
        <f>ROUND(IF(CQ110="Interior",N112*R112*R111*N111*_C406_reduction/1000,N112*R112*R111*N111/1000),0)</f>
        <v>#N/A</v>
      </c>
      <c r="IN110" s="1693" t="e">
        <f>IM110-IM112</f>
        <v>#N/A</v>
      </c>
      <c r="IP110" s="1679"/>
      <c r="IQ110" s="1679" t="e">
        <f t="shared" ref="IQ110:IU110" si="76">IF($CR110="interior",VLOOKUP($CS110,_New_Control_Savings_Interior,IQ$30,FALSE),VLOOKUP($CS110,Control_Savings_Exterior,IQ$30,FALSE))</f>
        <v>#N/A</v>
      </c>
      <c r="IR110" s="1679" t="e">
        <f t="shared" si="76"/>
        <v>#N/A</v>
      </c>
      <c r="IS110" s="1679" t="e">
        <f t="shared" si="76"/>
        <v>#N/A</v>
      </c>
      <c r="IT110" s="1679" t="e">
        <f t="shared" si="76"/>
        <v>#N/A</v>
      </c>
      <c r="IU110" s="1679" t="e">
        <f t="shared" si="76"/>
        <v>#N/A</v>
      </c>
      <c r="IV110" s="1679" t="e">
        <f>IF($CR110="interior",IF(R111&gt;$IP$14,ROUND(($IV$18*($IP$14/R111)),2),$IV$18),VLOOKUP($CS110,Control_Savings_Exterior,IV$30,FALSE))</f>
        <v>#N/A</v>
      </c>
      <c r="IW110" s="1679" t="e">
        <f>IF($CR110="interior",ROUND(((1-IS110)*IV110)+IS110,2),VLOOKUP($CS110,Control_Savings_Exterior,IW$30,FALSE))</f>
        <v>#N/A</v>
      </c>
      <c r="IX110" s="1679" t="e">
        <f>IF($CR110="interior",ROUND(((1-IT110)*IV110)+IT110,2),VLOOKUP($CS110,Control_Savings_Exterior,IX$30,FALSE))</f>
        <v>#N/A</v>
      </c>
      <c r="IY110" s="1679" t="e">
        <f>IF($CR110="interior",IF(R111&gt;$IP$14,ROUND(($IY$18*($IP$14/R111)),2),$IY$18),VLOOKUP($CS110,Control_Savings_Exterior,IY$30,FALSE))</f>
        <v>#N/A</v>
      </c>
      <c r="IZ110" s="1679" t="e">
        <f>IF($CR110="interior",ROUND(((1-IS110)*IY110)+IS110,2),VLOOKUP($CS110,Control_Savings_Exterior,IZ$30,FALSE))</f>
        <v>#N/A</v>
      </c>
      <c r="JA110" s="1679" t="e">
        <f>IF($CR110="interior",ROUND(((1-IT110)*IY110)+IT110,2),VLOOKUP($CS110,Control_Savings_Exterior,JA$30,FALSE))</f>
        <v>#N/A</v>
      </c>
      <c r="JC110" s="1680">
        <f>IFERROR(IF(CR110="Interior",CONCATENATE(G113," ",FQ110),FQ110),"")</f>
        <v>0</v>
      </c>
      <c r="JD110" s="1670" t="str">
        <f>IFERROR(VLOOKUP(JC110,_Controls_2023,2,FALSE),"")</f>
        <v/>
      </c>
      <c r="JE110" s="1681">
        <f>IFERROR(CHOOSE(JD110-1,IQ110,IR110,IS110,IT110,IU110,IV110,IW110,IX110,IY110,IZ110,JA110),0)</f>
        <v>0</v>
      </c>
      <c r="JG110" s="1680" t="str">
        <f>FE110</f>
        <v xml:space="preserve"> - 0</v>
      </c>
      <c r="JH110" s="1670" t="e">
        <f>$FO110</f>
        <v>#N/A</v>
      </c>
      <c r="JI110" s="1060"/>
      <c r="JJ110" s="1682" t="b">
        <f>IF($JG112=CONCATENATE("Interior - ",JJ$4),TRUE,FALSE)</f>
        <v>0</v>
      </c>
      <c r="JK110" s="1061"/>
      <c r="JL110" s="1682" t="b">
        <f>IF($JG112=CONCATENATE("Interior - ",JL$4),TRUE,FALSE)</f>
        <v>0</v>
      </c>
      <c r="JM110" s="1061"/>
      <c r="JN110" s="1682" t="b">
        <f>IF($JG112=CONCATENATE("Interior - ",JN$4),TRUE,FALSE)</f>
        <v>0</v>
      </c>
      <c r="JO110" s="1061"/>
      <c r="JP110" s="1682" t="b">
        <f>IF(__Retrofit_TI_NC&gt;0,FALSE,IF($JG112=CONCATENATE("Interior - ",JP$4),TRUE,FALSE))</f>
        <v>0</v>
      </c>
      <c r="JQ110" s="1061"/>
      <c r="JR110" s="1682" t="b">
        <f>IF(__Retrofit_TI_NC&gt;0,FALSE,IF($JG112=CONCATENATE("Interior - ",JR$4),TRUE,FALSE))</f>
        <v>0</v>
      </c>
      <c r="JS110" s="1061"/>
      <c r="JT110" s="1670" t="b">
        <f>IF(__Retrofit_TI_NC&gt;0,FALSE,IF($JG112=CONCATENATE("Interior - ",JT$4),TRUE,FALSE))</f>
        <v>0</v>
      </c>
      <c r="JU110" s="1061"/>
      <c r="JV110" s="1670" t="b">
        <f>IF(JC112="AELC on Existing",TRUE,FALSE)</f>
        <v>0</v>
      </c>
      <c r="JX110" s="1670" t="b">
        <f>IF(OR(JG112="Exterior - AELC Occupancy based",JG112="Exterior - AELC Time based"),TRUE,FALSE)</f>
        <v>0</v>
      </c>
      <c r="JZ110" s="1682" t="b">
        <f>IF($JG112=CONCATENATE("Exterior - ",JZ$4),TRUE,FALSE)</f>
        <v>0</v>
      </c>
      <c r="KB110" s="1670" t="b">
        <f>IF(__Retrofit_TI_NC&gt;0,FALSE,IF($JG112=CONCATENATE("Interior - ",KB$4),TRUE,FALSE))</f>
        <v>0</v>
      </c>
    </row>
    <row r="111" spans="1:288" s="78" customFormat="1" ht="14.95" customHeight="1" thickTop="1" thickBot="1">
      <c r="B111" s="1845"/>
      <c r="C111" s="1846"/>
      <c r="D111" s="1847"/>
      <c r="E111" s="1737" t="s">
        <v>297</v>
      </c>
      <c r="F111" s="1738"/>
      <c r="G111" s="1739"/>
      <c r="H111" s="1739"/>
      <c r="I111" s="1739"/>
      <c r="J111" s="1739"/>
      <c r="K111" s="1739"/>
      <c r="L111" s="1739"/>
      <c r="M111" s="461" t="e">
        <f>IF(__Retrofit_TI_NC&lt;&gt;0,IF(VLOOKUP(G112,'Space Table'!$B$3:$L$163,3,FALSE)&gt;0,1,0),IF(__Retrofit_TI_NC=VLOOKUP(G112,'Space Table'!$B$3:$L$163,3,FALSE),1,0))</f>
        <v>#N/A</v>
      </c>
      <c r="N111" s="461" t="str">
        <f>IFERROR(VLOOKUP(G111,_Lookup_Heat_Type_Table_New,2,FALSE),"")</f>
        <v/>
      </c>
      <c r="O111" s="461">
        <f>IF(__Retrofit_TI_NC=1,CONCATENATE("TI ",G111),IF(__Retrofit_TI_NC=2,CONCATENATE("NC ",G111),G111))</f>
        <v>0</v>
      </c>
      <c r="P111" s="1740" t="s">
        <v>435</v>
      </c>
      <c r="Q111" s="1740"/>
      <c r="R111" s="595"/>
      <c r="S111" s="1792"/>
      <c r="T111" s="597"/>
      <c r="U111" s="1765"/>
      <c r="V111" s="1766"/>
      <c r="W111" s="1766"/>
      <c r="X111" s="1766"/>
      <c r="Y111" s="1766"/>
      <c r="Z111" s="1766"/>
      <c r="AA111" s="1766"/>
      <c r="AB111" s="1766"/>
      <c r="AC111" s="1766"/>
      <c r="AD111" s="1767"/>
      <c r="AE111" s="1000"/>
      <c r="AF111" s="597"/>
      <c r="AG111" s="1723"/>
      <c r="AH111" s="1724"/>
      <c r="AI111" s="1724"/>
      <c r="AJ111" s="1724"/>
      <c r="AK111" s="1725"/>
      <c r="AL111" s="996"/>
      <c r="AM111" s="1747"/>
      <c r="AN111" s="1775"/>
      <c r="AO111" s="1777"/>
      <c r="AP111" s="1780"/>
      <c r="AQ111" s="1781"/>
      <c r="AR111" s="1795"/>
      <c r="AS111" s="1795"/>
      <c r="AT111" s="1796"/>
      <c r="AU111" s="1735"/>
      <c r="AV111" s="1752"/>
      <c r="AW111" s="1705"/>
      <c r="AX111" s="467"/>
      <c r="AY111" s="1749"/>
      <c r="AZ111" s="1749"/>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696"/>
      <c r="CQ111" s="1696"/>
      <c r="CR111" s="1809"/>
      <c r="CS111" s="1811"/>
      <c r="CU111" s="1688"/>
      <c r="CV111" s="1703"/>
      <c r="CW111" s="1703"/>
      <c r="CX111" s="1703"/>
      <c r="CY111" s="1815"/>
      <c r="CZ111" s="1711"/>
      <c r="DA111" s="1818"/>
      <c r="DB111" s="1820"/>
      <c r="DC111" s="1820"/>
      <c r="DD111" s="1820"/>
      <c r="DF111" s="1703"/>
      <c r="DG111" s="1831"/>
      <c r="DH111" s="1703"/>
      <c r="DI111" s="1838"/>
      <c r="DJ111" s="1711"/>
      <c r="DK111" s="1712"/>
      <c r="DM111" s="1718"/>
      <c r="DO111" s="1708"/>
      <c r="DQ111" s="1715"/>
      <c r="DR111" s="1720"/>
      <c r="DS111" s="1816"/>
      <c r="DT111" s="1714"/>
      <c r="DU111" s="1715"/>
      <c r="DV111" s="1716"/>
      <c r="DX111" s="1715"/>
      <c r="DY111" s="1720"/>
      <c r="DZ111" s="1715"/>
      <c r="EA111" s="1715"/>
      <c r="EC111" s="1834"/>
      <c r="ED111" s="1834"/>
      <c r="EF111" s="1707"/>
      <c r="EG111" s="1712"/>
      <c r="EH111" s="1818"/>
      <c r="EI111" s="1712"/>
      <c r="EJ111" s="1712"/>
      <c r="EK111" s="1836"/>
      <c r="EL111" s="1836"/>
      <c r="EM111" s="1807"/>
      <c r="EN111" s="1839"/>
      <c r="EO111" s="1839"/>
      <c r="EP111" s="1817"/>
      <c r="EQ111" s="1817"/>
      <c r="ER111" s="1807"/>
      <c r="ES111" s="1807"/>
      <c r="ET111" s="1807"/>
      <c r="EV111" s="1715"/>
      <c r="EX111" s="1805"/>
      <c r="EY111" s="1805"/>
      <c r="EZ111" s="1805"/>
      <c r="FA111" s="1805"/>
      <c r="FB111" s="1805"/>
      <c r="FC111" s="1827"/>
      <c r="FE111" s="1698"/>
      <c r="FG111" s="1816"/>
      <c r="FH111" s="1816"/>
      <c r="FI111" s="133"/>
      <c r="FL111" s="1823"/>
      <c r="FM111" s="1825"/>
      <c r="FN111" s="1698"/>
      <c r="FO111" s="1698"/>
      <c r="FP111" s="1678"/>
      <c r="FQ111" s="1678"/>
      <c r="FS111" s="1687"/>
      <c r="FT111" s="1687"/>
      <c r="FU111" s="1685"/>
      <c r="FV111" s="1687"/>
      <c r="FW111" s="1687"/>
      <c r="FX111" s="1687"/>
      <c r="FY111" s="1697"/>
      <c r="GA111" s="1696"/>
      <c r="GB111" s="1696"/>
      <c r="GC111" s="1696"/>
      <c r="GD111" s="1696"/>
      <c r="GE111" s="1696"/>
      <c r="GF111" s="1696"/>
      <c r="GG111" s="1696"/>
      <c r="GH111" s="1696"/>
      <c r="GI111" s="673"/>
      <c r="GJ111" s="1135"/>
      <c r="GK111" s="1832"/>
      <c r="GM111" s="1693" t="b">
        <f ca="1">IF(AND(GP111=TRUE,GQ111=TRUE),TRUE,FALSE)</f>
        <v>0</v>
      </c>
      <c r="GN111" s="1684" t="b">
        <f>IFERROR(IF(__Retrofit_TI_NC=2,TRUE,IF(AU110="Yes",TRUE,FALSE)),FALSE)</f>
        <v>1</v>
      </c>
      <c r="GP111" s="1684" t="b">
        <f>IFERROR(IF(GP110=1,TRUE,FALSE),FALSE)</f>
        <v>0</v>
      </c>
      <c r="GQ111" s="1684" t="b">
        <f ca="1">IFERROR(IF(GQ110=GQ$14,TRUE,FALSE),FALSE)</f>
        <v>0</v>
      </c>
      <c r="HG111" s="1684" t="b">
        <f>IFERROR(IF(AND(__Retrofit_TI_NC&gt;0,CQ110="Interior"),FALSE,TRUE),FALSE)</f>
        <v>1</v>
      </c>
      <c r="HH111" s="1684" t="b">
        <f>IFERROR(IF(M111=1,TRUE,FALSE),FALSE)</f>
        <v>0</v>
      </c>
      <c r="HI111" s="1684" t="b">
        <f>IFERROR(IF(OR(M112=1,N113="BAM"),TRUE,FALSE),FALSE)</f>
        <v>0</v>
      </c>
      <c r="HJ111" s="1684" t="b">
        <f>IFERROR(IF(__Retrofit_TI_NC&lt;&gt;0,TRUE,IFERROR(IF(VLOOKUP(U111,Fixtures_Existing_List,2,FALSE)&lt;&gt;"",TRUE,FALSE),FALSE)),FALSE)</f>
        <v>0</v>
      </c>
      <c r="HK111" s="1684" t="b">
        <f>IFERROR(IF(VLOOKUP(U112,Fixtures_Proposed_List,2,FALSE)&lt;&gt;"",TRUE,FALSE),FALSE)</f>
        <v>0</v>
      </c>
      <c r="HL111" s="1684" t="b">
        <f>IF(AND(__Retrofit_TI_NC=2,FC110=TRUE),FALSE,TRUE)</f>
        <v>1</v>
      </c>
      <c r="HM111" s="1684" t="b">
        <f>GK110</f>
        <v>1</v>
      </c>
      <c r="HN111" s="1682" t="b">
        <f>IF(ISERROR(MATCH(FE110,_Control_Match[],0))=TRUE,FALSE,TRUE)</f>
        <v>0</v>
      </c>
      <c r="HO111" s="1693" t="b">
        <f>IFERROR(IF(EX110&lt;&gt;EY110,FALSE,TRUE),FALSE)</f>
        <v>1</v>
      </c>
      <c r="HP111" s="1693" t="b">
        <f>IFERROR(IF(EX112&lt;&gt;EY112,FALSE,TRUE),FALSE)</f>
        <v>1</v>
      </c>
      <c r="HQ111" s="1670" t="b">
        <f>IFERROR(IF(CQ110="Exterior",TRUE,IF(AND(OR(FM112=0,FM112=3),JD112&gt;6),FALSE,TRUE)),FALSE)</f>
        <v>0</v>
      </c>
      <c r="HR111" s="1684" t="b">
        <f>IFERROR(IF(AND(FO112=7,FC110=TRUE),FALSE,TRUE),FALSE)</f>
        <v>0</v>
      </c>
      <c r="HS111" s="1684" t="b">
        <f>IFERROR(IF(AND(T112&lt;&gt;AF112,OR(AG112="Interior LLLC", AG112="Interior NLC", AG112="LLLC (outside Daylight)",AG112="LLLC Controls Only"))=TRUE,FALSE,TRUE),FALSE)</f>
        <v>1</v>
      </c>
      <c r="HT111" s="1670" t="b">
        <f>IFERROR(IF(OR(AG112=Lookup!BB$17,AG112=Lookup!BB$18,AG112=Lookup!BB$19)=TRUE,IF(AF112&gt;T112,FALSE,TRUE),TRUE),FALSE)</f>
        <v>1</v>
      </c>
      <c r="HU111" s="1684" t="b">
        <f>IFERROR(IF(__Retrofit_TI_NC=2,IF(EZ112&lt;EZ110,FALSE,TRUE),TRUE),FALSE)</f>
        <v>1</v>
      </c>
      <c r="HV111" s="1684" t="b">
        <f>IF(CQ110="Interior",IL$6,TRUE)</f>
        <v>1</v>
      </c>
      <c r="HW111" s="1684" t="b">
        <f>IF(CQ110="Exterior",IL$8,TRUE)</f>
        <v>1</v>
      </c>
      <c r="HX111" s="1684" t="b">
        <f>IFERROR(IF(__Retrofit_TI_NC&lt;&gt;0,IF(AZ110&lt;AY110,FALSE,TRUE),TRUE),FALSE)</f>
        <v>1</v>
      </c>
      <c r="HY111" s="1684" t="b">
        <f>IFERROR(IF(AND(G111="Exterior",R111&gt;4200),FALSE,TRUE),FALSE)</f>
        <v>1</v>
      </c>
      <c r="HZ111" s="1684" t="b">
        <f>IFERROR(IF(AB113/AB110&lt;HZ$18,FALSE,TRUE),FALSE)</f>
        <v>0</v>
      </c>
      <c r="IB111" s="1691"/>
      <c r="IC111" s="1695"/>
      <c r="ID111" s="1694" t="str">
        <f>VLOOKUP(IB113,_Error_Table,4,FALSE)</f>
        <v>White</v>
      </c>
      <c r="IE111" s="391"/>
      <c r="IF111" s="1688"/>
      <c r="IG111" s="1689"/>
      <c r="IH111" s="1684"/>
      <c r="IK111" s="1689"/>
      <c r="IL111" s="1691"/>
      <c r="IM111" s="1691"/>
      <c r="IN111" s="1691"/>
      <c r="IP111" s="1679"/>
      <c r="IQ111" s="1679"/>
      <c r="IR111" s="1679"/>
      <c r="IS111" s="1679"/>
      <c r="IT111" s="1679"/>
      <c r="IU111" s="1679"/>
      <c r="IV111" s="1679"/>
      <c r="IW111" s="1679"/>
      <c r="IX111" s="1679"/>
      <c r="IY111" s="1679"/>
      <c r="IZ111" s="1679"/>
      <c r="JA111" s="1679"/>
      <c r="JC111" s="1680"/>
      <c r="JD111" s="1670"/>
      <c r="JE111" s="1681"/>
      <c r="JG111" s="1680"/>
      <c r="JH111" s="1670"/>
      <c r="JI111" s="1060"/>
      <c r="JJ111" s="1683"/>
      <c r="JK111" s="1061"/>
      <c r="JL111" s="1683"/>
      <c r="JM111" s="1061"/>
      <c r="JN111" s="1683"/>
      <c r="JO111" s="1061"/>
      <c r="JP111" s="1683"/>
      <c r="JQ111" s="1061"/>
      <c r="JR111" s="1683"/>
      <c r="JS111" s="1061"/>
      <c r="JT111" s="1670"/>
      <c r="JU111" s="1061"/>
      <c r="JV111" s="1670"/>
      <c r="JX111" s="1670"/>
      <c r="JZ111" s="1683"/>
      <c r="KB111" s="1670"/>
    </row>
    <row r="112" spans="1:288" s="78" customFormat="1" ht="14.95" customHeight="1" thickTop="1" thickBot="1">
      <c r="A112" s="78">
        <f>ROW()</f>
        <v>112</v>
      </c>
      <c r="B112" s="1845"/>
      <c r="C112" s="1846"/>
      <c r="D112" s="1847"/>
      <c r="E112" s="1737" t="s">
        <v>298</v>
      </c>
      <c r="F112" s="1738"/>
      <c r="G112" s="1760"/>
      <c r="H112" s="1761"/>
      <c r="I112" s="1761"/>
      <c r="J112" s="1761"/>
      <c r="K112" s="1761"/>
      <c r="L112" s="1762"/>
      <c r="M112" s="461">
        <f>IFERROR(IF(IF(__Retrofit_TI_NC&lt;&gt;0,IF(CQ110="Interior",MATCH(G112,Lookup_Interior_New,0),MATCH(G112,Lookup_Exterior_New,0)),IF(CQ110="Interior",MATCH(G112,Lookup_Interior,0),MATCH(G112,Lookup_Exterior_Areas,0)))&gt;0,1,0),0)</f>
        <v>0</v>
      </c>
      <c r="N112" s="461" t="e">
        <f>IF(__Retrofit_TI_NC=1,
VLOOKUP(G112,'Space Table'!$B$3:$L$163,4,FALSE),
IF(__Retrofit_TI_NC=2,VLOOKUP(G112,'Space Table'!$B$3:$L$163,5,FALSE),VLOOKUP(G112,'Space Table'!$B$3:$L$163,5,FALSE)))</f>
        <v>#N/A</v>
      </c>
      <c r="O112" s="461">
        <f>G112</f>
        <v>0</v>
      </c>
      <c r="P112" s="1738" t="str">
        <f>IFERROR(IF(__Retrofit_TI_NC=1,VLOOKUP(G112,'Space Table'!$B$3:$O$163,13,FALSE),IF(__Retrofit_TI_NC=2,VLOOKUP(G112,'Space Table'!$B$3:$O$163,14,FALSE),"Area (sf):")),"Area (sf):")</f>
        <v>Area (sf):</v>
      </c>
      <c r="Q112" s="1738"/>
      <c r="R112" s="596"/>
      <c r="S112" s="1763" t="s">
        <v>345</v>
      </c>
      <c r="T112" s="594"/>
      <c r="U112" s="1801"/>
      <c r="V112" s="1802"/>
      <c r="W112" s="1802"/>
      <c r="X112" s="1802"/>
      <c r="Y112" s="1802"/>
      <c r="Z112" s="1802"/>
      <c r="AA112" s="1802"/>
      <c r="AB112" s="1802"/>
      <c r="AC112" s="1802"/>
      <c r="AD112" s="1802"/>
      <c r="AE112" s="1803"/>
      <c r="AF112" s="594"/>
      <c r="AG112" s="1787"/>
      <c r="AH112" s="1787"/>
      <c r="AI112" s="1787"/>
      <c r="AJ112" s="1787"/>
      <c r="AK112" s="1787"/>
      <c r="AL112" s="1787"/>
      <c r="AM112" s="1726">
        <f>IFERROR(DI112,"")</f>
        <v>0</v>
      </c>
      <c r="AN112" s="1728" t="str">
        <f>IFERROR(ROUND(AM112*AC113,0),"")</f>
        <v/>
      </c>
      <c r="AO112" s="1730">
        <f>IFERROR(IF(IB110=FALSE,0,AC113-AN112),0)</f>
        <v>0</v>
      </c>
      <c r="AP112" s="1780"/>
      <c r="AQ112" s="1781"/>
      <c r="AR112" s="1795"/>
      <c r="AS112" s="1795"/>
      <c r="AT112" s="1796"/>
      <c r="AU112" s="1735"/>
      <c r="AV112" s="1752"/>
      <c r="AW112" s="1705"/>
      <c r="AX112" s="467"/>
      <c r="AY112" s="1749"/>
      <c r="AZ112" s="1749"/>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696"/>
      <c r="CQ112" s="1696"/>
      <c r="CR112" s="1808" t="str">
        <f>CQ110</f>
        <v/>
      </c>
      <c r="CS112" s="1810" t="str">
        <f>CS110</f>
        <v/>
      </c>
      <c r="CU112" s="1688" t="s">
        <v>345</v>
      </c>
      <c r="CV112" s="1702">
        <f>IF(IB110=TRUE,T112,0)</f>
        <v>0</v>
      </c>
      <c r="CW112" s="1702" t="str">
        <f>IF(IB110=TRUE,U112,"")</f>
        <v/>
      </c>
      <c r="CX112" s="1812">
        <f>IF(IB110=TRUE,U113,0)</f>
        <v>0</v>
      </c>
      <c r="CY112" s="1814">
        <f>IF(IB110=TRUE,AB113,0)</f>
        <v>0</v>
      </c>
      <c r="CZ112" s="1710">
        <f>IF(AND(__Retrofit_TI_NC&gt;0,CR110="interior"),0,IF(IB110=TRUE,AC113,0))</f>
        <v>0</v>
      </c>
      <c r="DA112" s="1818"/>
      <c r="DB112" s="1820"/>
      <c r="DC112" s="1820"/>
      <c r="DD112" s="1820"/>
      <c r="DF112" s="1702">
        <f>IF(IB110=TRUE,AF112,0)</f>
        <v>0</v>
      </c>
      <c r="DG112" s="1830" t="str">
        <f>IF(IB110=TRUE,AG112,"")</f>
        <v/>
      </c>
      <c r="DH112" s="1812">
        <f>AG113</f>
        <v>0</v>
      </c>
      <c r="DI112" s="1837">
        <f>JE112</f>
        <v>0</v>
      </c>
      <c r="DJ112" s="1710">
        <f>IF(AND(__Retrofit_TI_NC&gt;0,CR110="interior"),0,IF(IB110=TRUE,AN112,0))</f>
        <v>0</v>
      </c>
      <c r="DK112" s="1712"/>
      <c r="DN112" s="1717">
        <f>IFERROR(CZ112-DJ112,0)</f>
        <v>0</v>
      </c>
      <c r="DO112" s="1709"/>
      <c r="DQ112" s="1715"/>
      <c r="DR112" s="1719" t="str">
        <f>DQ110</f>
        <v/>
      </c>
      <c r="DS112" s="1816"/>
      <c r="DT112" s="1835" t="str">
        <f>IF(OR(DS110=7,DS110=8,DS110=9),"ALC","")</f>
        <v/>
      </c>
      <c r="DU112" s="1715"/>
      <c r="DV112" s="1716"/>
      <c r="DX112" s="1715"/>
      <c r="DY112" s="1829" t="str">
        <f>DX110</f>
        <v/>
      </c>
      <c r="DZ112" s="1715"/>
      <c r="EA112" s="1715"/>
      <c r="EC112" s="1834"/>
      <c r="ED112" s="1834"/>
      <c r="EF112" s="1707"/>
      <c r="EG112" s="1712"/>
      <c r="EH112" s="1818"/>
      <c r="EI112" s="1712"/>
      <c r="EJ112" s="1712"/>
      <c r="EK112" s="1836"/>
      <c r="EL112" s="1836"/>
      <c r="EM112" s="1807"/>
      <c r="EN112" s="1839"/>
      <c r="EO112" s="1839"/>
      <c r="EP112" s="1817"/>
      <c r="EQ112" s="1817"/>
      <c r="ER112" s="1807"/>
      <c r="ES112" s="1807"/>
      <c r="ET112" s="1807"/>
      <c r="EV112" s="1715"/>
      <c r="EX112" s="1805" t="str">
        <f>IFERROR(VLOOKUP(CS112,'Space Table'!$B$3:$L$163,8,FALSE),"")</f>
        <v/>
      </c>
      <c r="EY112" s="1805" t="str">
        <f>IFERROR(IF(FB112="Yes",VLOOKUP(AG112,Lookup_Control_Type_Table2,4,FALSE),VLOOKUP(AG112,Lookup_Control_Type_Table2,3,FALSE)),"")</f>
        <v/>
      </c>
      <c r="EZ112" s="1805" t="e">
        <f>VLOOKUP(AG112,Lookup!BB$3:BC$20,2,FALSE)</f>
        <v>#N/A</v>
      </c>
      <c r="FA112" s="1805" t="e">
        <f>VLOOKUP(EX110,Lookup_Control_Type_Table,2,FALSE)</f>
        <v>#N/A</v>
      </c>
      <c r="FB112" s="1805" t="e">
        <f>VLOOKUP(CS112,'Space Table'!$B$3:$L$163,7,FALSE)</f>
        <v>#N/A</v>
      </c>
      <c r="FC112" s="1827"/>
      <c r="FE112" s="1698" t="str">
        <f>CONCATENATE(CQ110," - ",AG112)</f>
        <v xml:space="preserve"> - </v>
      </c>
      <c r="FG112" s="1816"/>
      <c r="FH112" s="1816"/>
      <c r="FI112" s="133"/>
      <c r="FL112" s="1822" t="str">
        <f>IF(CQ110="Exterior","Not Daylighted",G113)</f>
        <v>Not Daylighted</v>
      </c>
      <c r="FM112" s="1824">
        <f>VLOOKUP(FL112,_New_Daylight_Table_Codes,2,FALSE)</f>
        <v>0</v>
      </c>
      <c r="FN112" s="1698">
        <f>AG112</f>
        <v>0</v>
      </c>
      <c r="FO112" s="1698" t="e">
        <f>VLOOKUP(FN112,_Control_Table,2,FALSE)</f>
        <v>#N/A</v>
      </c>
      <c r="FP112" s="1678" t="e">
        <f>VLOOKUP(CONCATENATE(FL112," ",FN112),Lookup!AY$102:AZ123,2,FALSE)</f>
        <v>#N/A</v>
      </c>
      <c r="FQ112" s="1698">
        <f>IF(__Retrofit_TI_NC=0,FN112,IF(AND(FT112&gt;0,FN112="Occupancy Sensor"),"Daylight + Occupancy",IF(AND(FT112&gt;0,FO112&lt;4),"Interior Daylight Dimming",FN112)))</f>
        <v>0</v>
      </c>
      <c r="FS112" s="1686">
        <f>IF(CQ110="Interior",VLOOKUP(CS110,Control_Savings_Interior,5,FALSE),0)</f>
        <v>0</v>
      </c>
      <c r="FT112" s="1687">
        <f>IF(CQ112="Exterior",0,IF(FM112=2,0.5,IF(OR(FM112=1,FM112=3),1,0)))</f>
        <v>0</v>
      </c>
      <c r="FU112" s="1685">
        <f>IF(R111&gt;FS$44,(FS112*(FS$44/R111)),FS112)*FT112</f>
        <v>0</v>
      </c>
      <c r="FV112" s="1686">
        <f>DI112</f>
        <v>0</v>
      </c>
      <c r="FW112" s="1686">
        <f>ROUND(FV112+((1-FV112)*FU112),2)</f>
        <v>0</v>
      </c>
      <c r="FX112" s="1686">
        <f>IF(__Retrofit_TI_NC=2,FW112,FV112)</f>
        <v>0</v>
      </c>
      <c r="FY112" s="1697">
        <f>IF(CR112="Interior",VLOOKUP(CS112,Control_Savings_Interior,4,FALSE),0)</f>
        <v>0</v>
      </c>
      <c r="GA112" s="1696"/>
      <c r="GB112" s="1696"/>
      <c r="GC112" s="1696"/>
      <c r="GD112" s="1696"/>
      <c r="GE112" s="1696"/>
      <c r="GF112" s="1696"/>
      <c r="GG112" s="1696"/>
      <c r="GH112" s="1696"/>
      <c r="GI112" s="673" t="b">
        <f>IF(ISNUMBER(SEARCH("TLED",U112)),TRUE,FALSE)</f>
        <v>0</v>
      </c>
      <c r="GJ112" s="1135" t="str">
        <f>IFERROR(VLOOKUP(U112,Fixtures!DM$93:DR$142,6,FALSE),"")</f>
        <v/>
      </c>
      <c r="GK112" s="1832"/>
      <c r="GM112" s="1692"/>
      <c r="GN112" s="1684"/>
      <c r="GP112" s="1684"/>
      <c r="GQ112" s="1684"/>
      <c r="HG112" s="1684"/>
      <c r="HH112" s="1684"/>
      <c r="HI112" s="1684"/>
      <c r="HJ112" s="1684"/>
      <c r="HK112" s="1684"/>
      <c r="HL112" s="1684"/>
      <c r="HM112" s="1684"/>
      <c r="HN112" s="1683"/>
      <c r="HO112" s="1692"/>
      <c r="HP112" s="1692"/>
      <c r="HQ112" s="1670"/>
      <c r="HR112" s="1684"/>
      <c r="HS112" s="1684"/>
      <c r="HT112" s="1670"/>
      <c r="HU112" s="1684"/>
      <c r="HV112" s="1684"/>
      <c r="HW112" s="1684"/>
      <c r="HX112" s="1684"/>
      <c r="HY112" s="1684"/>
      <c r="HZ112" s="1684"/>
      <c r="IB112" s="1692"/>
      <c r="IC112" s="1693" t="b">
        <f>IB110</f>
        <v>0</v>
      </c>
      <c r="ID112" s="1695"/>
      <c r="IE112" s="391"/>
      <c r="IF112" s="1688"/>
      <c r="IG112" s="1689">
        <f ca="1">IF(IF110=TRUE,AC113,0)</f>
        <v>0</v>
      </c>
      <c r="IH112" s="1684"/>
      <c r="IK112" s="1689" t="e">
        <f>ROUND(T112*AB113*N111*R111/1000,0)</f>
        <v>#VALUE!</v>
      </c>
      <c r="IL112" s="1691"/>
      <c r="IM112" s="1693" t="e">
        <f>ROUND(T112*AB113*N111*R111/1000,0)</f>
        <v>#VALUE!</v>
      </c>
      <c r="IN112" s="1691"/>
      <c r="IP112" s="1679"/>
      <c r="IQ112" s="1679" t="e">
        <f t="shared" ref="IQ112:IU112" si="77">IF($CR112="interior",VLOOKUP($CS112,_New_Control_Savings_Interior,IQ$30,FALSE),VLOOKUP($CS112,Control_Savings_Exterior,IQ$30,FALSE))</f>
        <v>#N/A</v>
      </c>
      <c r="IR112" s="1679" t="e">
        <f t="shared" si="77"/>
        <v>#N/A</v>
      </c>
      <c r="IS112" s="1679" t="e">
        <f t="shared" si="77"/>
        <v>#N/A</v>
      </c>
      <c r="IT112" s="1679" t="e">
        <f t="shared" si="77"/>
        <v>#N/A</v>
      </c>
      <c r="IU112" s="1679" t="e">
        <f t="shared" si="77"/>
        <v>#N/A</v>
      </c>
      <c r="IV112" s="1679" t="e">
        <f>IF($CR112="interior",IF(R111&gt;$IP$14,ROUND(($IV$18*($IP$14/R111)),2),$IV$18),VLOOKUP($CS112,Control_Savings_Exterior,IV$30,FALSE))</f>
        <v>#N/A</v>
      </c>
      <c r="IW112" s="1679" t="e">
        <f>IF($CR112="interior",ROUND(((1-IS112)*IV112)+IS112,2),VLOOKUP($CS112,Control_Savings_Exterior,IW$30,FALSE))</f>
        <v>#N/A</v>
      </c>
      <c r="IX112" s="1679" t="e">
        <f>IF($CR112="interior",ROUND(((1-IT112)*IV112)+IT112,2),VLOOKUP($CS112,Control_Savings_Exterior,IX$30,FALSE))</f>
        <v>#N/A</v>
      </c>
      <c r="IY112" s="1679" t="e">
        <f>IF($CR112="interior",IF(R111&gt;$IP$14,ROUND(($IY$18*($IP$14/R111)),2),$IY$18),VLOOKUP($CS112,Control_Savings_Exterior,IY$30,FALSE))</f>
        <v>#N/A</v>
      </c>
      <c r="IZ112" s="1679" t="e">
        <f>IF($CR112="interior",ROUND(((1-IS112)*IY112)+IS112,2),VLOOKUP($CS112,Control_Savings_Exterior,IZ$30,FALSE))</f>
        <v>#N/A</v>
      </c>
      <c r="JA112" s="1679" t="e">
        <f>IF($CR112="interior",ROUND(((1-IT112)*IY112)+IT112,2),VLOOKUP($CS112,Control_Savings_Exterior,JA$30,FALSE))</f>
        <v>#N/A</v>
      </c>
      <c r="JC112" s="1680">
        <f>IFERROR(IF(CR112="Interior",CONCATENATE(G113," ",FQ112),AG112),"")</f>
        <v>0</v>
      </c>
      <c r="JD112" s="1670" t="str">
        <f>IFERROR(VLOOKUP(JC112,_Controls_2023,2,FALSE),"")</f>
        <v/>
      </c>
      <c r="JE112" s="1681">
        <f>IFERROR(CHOOSE(JD112-1,IQ112,IR112,IS112,IT112,IU112,IV112,IW112,IX112,IY112,IZ112,JA112),0)</f>
        <v>0</v>
      </c>
      <c r="JG112" s="1680" t="str">
        <f>FE112</f>
        <v xml:space="preserve"> - </v>
      </c>
      <c r="JH112" s="1670" t="e">
        <f>$FO112</f>
        <v>#N/A</v>
      </c>
      <c r="JI112" s="1060"/>
      <c r="JJ112" s="1670">
        <f>IFERROR(IF($IB110=TRUE,IF(OR(JJ$14="No",JJ110=FALSE,JH112&lt;=JH110,AND(_kWh_Grant=0,GD110=FALSE)),0,IF(JJ$8="Per Line",1,$AF112)),0),0)</f>
        <v>0</v>
      </c>
      <c r="JK112" s="1061"/>
      <c r="JL112" s="1670">
        <f>IFERROR(IF(_kWh_Grant=0,0,IF($IB110=TRUE,IF(OR(JL$14="No",JL110=FALSE,JH112&lt;=JH110),0,IF(JL$8="Per Line",1,$T112)),0)),0)</f>
        <v>0</v>
      </c>
      <c r="JM112" s="1061"/>
      <c r="JN112" s="1670">
        <f>IFERROR(IF(_kWh_Grant=0,0,IF($IB110=TRUE,IF(OR(JN$14="No",JN110=FALSE,JH112&lt;=JH110),0,IF(JN$8="Per Line",1,$AF112)),0)),0)</f>
        <v>0</v>
      </c>
      <c r="JO112" s="1061"/>
      <c r="JP112" s="1670">
        <f>IFERROR(IF(__Retrofit_TI_NC=0,IF(_kWh_Grant=0,0,IF($IB110=TRUE,IF(OR(JP$14="No",JP110=FALSE,$JH112&lt;=$JH110),0,IF(JP$8="Per Line",1,$AF112)),0)),IF($IB110=TRUE,IF(OR(JP$14="No",JP110=FALSE,$JH112&lt;=$JH110),0,IF(JP$8="Per Line",1,$AF112)))),0)</f>
        <v>0</v>
      </c>
      <c r="JQ112" s="1061"/>
      <c r="JR112" s="1670">
        <f>IFERROR(IF(__Retrofit_TI_NC=0,IF(_kWh_Grant=0,0,IF($IB110=TRUE,IF(OR(JR$14="No",JR110=FALSE,$JH112&lt;=$JH110),0,IF(JR$8="Per Line",1,$AF112)),0)),IF($IB110=TRUE,IF(OR(JR$14="No",JR110=FALSE,$JH112&lt;=$JH110),0,IF(JR$8="Per Line",1,$AF112)))),0)</f>
        <v>0</v>
      </c>
      <c r="JS112" s="1061"/>
      <c r="JT112" s="1670">
        <f>IFERROR(IF(__Retrofit_TI_NC=0,IF(_kWh_Grant=0,0,IF($IB110=TRUE,IF(OR(JT$14="No",JT110=FALSE,$JH112&lt;=$JH110),0,IF(JT$8="Per Line",1,$AF112)),0)),IF($IB110=TRUE,IF(OR(JT$14="No",JT110=FALSE,$JH112&lt;=$JH110),0,IF(JT$8="Per Line",1,$AF112)))),0)</f>
        <v>0</v>
      </c>
      <c r="JU112" s="1061"/>
      <c r="JV112" s="1670">
        <f>IFERROR(IF(__Retrofit_TI_NC=0,IF(_kWh_Grant=0,0,IF($IB110=TRUE,IF(OR(JV$14="No",JV110=FALSE,$JH112&lt;=$JH110),0,IF(JV$8="Per Line",1,$AF112)),0)),IF($IB110=TRUE,IF(OR(JV$14="No",JV110=FALSE,$JH112&lt;=$JH110),0,IF(JV$8="Per Line",1,$AF112)))),0)</f>
        <v>0</v>
      </c>
      <c r="JX112" s="1670">
        <f>IFERROR(IF(__Retrofit_TI_NC=0,IF(_kWh_Grant=0,0,IF($IB110=TRUE,IF(OR(JX$14="No",JX110=FALSE,$JH112&lt;=$JH110),0,IF(JX$8="Per Line",1,$AF112)),0)),IF($IB110=TRUE,IF(OR(JX$14="No",JX110=FALSE,$JH112&lt;=$JH110),0,IF(JX$8="Per Line",1,$AF112)))),0)</f>
        <v>0</v>
      </c>
      <c r="JZ112" s="1670">
        <f>IFERROR(IF($IB110=TRUE,IF(OR(JZ$14="No",JZ110=FALSE,$JH112&lt;=$JH110,AND(_kWh_Grant=0,$GD110=FALSE)),0,IF(JZ$8="Per Line",1,$AF112)),0),0)</f>
        <v>0</v>
      </c>
      <c r="KB112" s="1670">
        <f>IFERROR(IF(__Retrofit_TI_NC=0,IF(_kWh_Grant=0,0,IF($IB110=TRUE,IF(OR(KB$14="No",KB110=FALSE,$JH112&lt;=$JH110),0,IF(KB$8="Per Line",1,$AF112)),0)),IF($IB110=TRUE,IF(OR(KB$14="No",KB110=FALSE,$JH112&lt;=$JH110),0,IF(KB$8="Per Line",1,$AF112)))),0)</f>
        <v>0</v>
      </c>
    </row>
    <row r="113" spans="1:288" s="78" customFormat="1" ht="14.95" customHeight="1" thickTop="1" thickBot="1">
      <c r="B113" s="1845"/>
      <c r="C113" s="1846"/>
      <c r="D113" s="1847"/>
      <c r="E113" s="1771" t="s">
        <v>436</v>
      </c>
      <c r="F113" s="1772"/>
      <c r="G113" s="1784" t="s">
        <v>437</v>
      </c>
      <c r="H113" s="1785"/>
      <c r="I113" s="1785"/>
      <c r="J113" s="1785"/>
      <c r="K113" s="1785"/>
      <c r="L113" s="1786"/>
      <c r="M113" s="591">
        <f>IFERROR(VLOOKUP(G113,_Daylight_Table[],2,FALSE),0)</f>
        <v>0</v>
      </c>
      <c r="N113" s="592" t="str">
        <f>IF(AND(__Retrofit_TI_NC&gt;0,CQ110="Interior"),"BAM","")</f>
        <v/>
      </c>
      <c r="O113" s="591" t="e">
        <f>VLOOKUP(G112,'Space Table'!$B$3:$L$163,11,FALSE)</f>
        <v>#N/A</v>
      </c>
      <c r="P113" s="1789"/>
      <c r="Q113" s="1790"/>
      <c r="R113" s="1790"/>
      <c r="S113" s="1788"/>
      <c r="T113" s="593" t="s">
        <v>342</v>
      </c>
      <c r="U113" s="1756" t="str" cm="1">
        <f t="array" aca="1" ref="U113" ca="1">IFERROR(VLOOKUP(INDIRECT("U" &amp; ROW()-1),Fixtures!DM$93:DP$142,4,FALSE),"")</f>
        <v/>
      </c>
      <c r="V113" s="1757"/>
      <c r="W113" s="1757"/>
      <c r="X113" s="1757"/>
      <c r="Y113" s="1757"/>
      <c r="Z113" s="1757"/>
      <c r="AA113" s="1758"/>
      <c r="AB113" s="939" t="str">
        <f>IFERROR(VLOOKUP(U112,Fixtures_Proposed_List,2,FALSE),"")</f>
        <v/>
      </c>
      <c r="AC113" s="933" t="str">
        <f>IFERROR(ROUND(T112*AB113*N111*R111/1000,0),"")</f>
        <v/>
      </c>
      <c r="AD113" s="934" t="str">
        <f>IFERROR(ROUND(T112*AB113/1000,2),"")</f>
        <v/>
      </c>
      <c r="AE113" s="998"/>
      <c r="AF113" s="938" t="s">
        <v>342</v>
      </c>
      <c r="AG113" s="1770"/>
      <c r="AH113" s="1770"/>
      <c r="AI113" s="1770"/>
      <c r="AJ113" s="1770"/>
      <c r="AK113" s="1770"/>
      <c r="AL113" s="1770"/>
      <c r="AM113" s="1727"/>
      <c r="AN113" s="1729"/>
      <c r="AO113" s="1731"/>
      <c r="AP113" s="1782"/>
      <c r="AQ113" s="1783"/>
      <c r="AR113" s="1797"/>
      <c r="AS113" s="1797"/>
      <c r="AT113" s="1798"/>
      <c r="AU113" s="1736"/>
      <c r="AV113" s="1753"/>
      <c r="AW113" s="1706"/>
      <c r="AX113" s="468"/>
      <c r="AY113" s="1750"/>
      <c r="AZ113" s="1750"/>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696"/>
      <c r="CQ113" s="1696"/>
      <c r="CR113" s="1809"/>
      <c r="CS113" s="1811"/>
      <c r="CU113" s="1688"/>
      <c r="CV113" s="1703"/>
      <c r="CW113" s="1703"/>
      <c r="CX113" s="1813"/>
      <c r="CY113" s="1815"/>
      <c r="CZ113" s="1711"/>
      <c r="DA113" s="1815"/>
      <c r="DB113" s="1821"/>
      <c r="DC113" s="1821"/>
      <c r="DD113" s="1821"/>
      <c r="DF113" s="1703"/>
      <c r="DG113" s="1831"/>
      <c r="DH113" s="1813"/>
      <c r="DI113" s="1838"/>
      <c r="DJ113" s="1711"/>
      <c r="DK113" s="1712"/>
      <c r="DN113" s="1718"/>
      <c r="DO113" s="1709"/>
      <c r="DQ113" s="1715"/>
      <c r="DR113" s="1720"/>
      <c r="DS113" s="1703"/>
      <c r="DT113" s="1714"/>
      <c r="DU113" s="1715"/>
      <c r="DV113" s="1716"/>
      <c r="DX113" s="1715"/>
      <c r="DY113" s="1720"/>
      <c r="DZ113" s="1715"/>
      <c r="EA113" s="1715"/>
      <c r="EC113" s="1834"/>
      <c r="ED113" s="1834"/>
      <c r="EF113" s="1707"/>
      <c r="EG113" s="1712"/>
      <c r="EH113" s="1815"/>
      <c r="EI113" s="1712"/>
      <c r="EJ113" s="1712"/>
      <c r="EK113" s="1813"/>
      <c r="EL113" s="1813"/>
      <c r="EM113" s="1807"/>
      <c r="EN113" s="1839"/>
      <c r="EO113" s="1839"/>
      <c r="EP113" s="1817"/>
      <c r="EQ113" s="1817"/>
      <c r="ER113" s="1807"/>
      <c r="ES113" s="1807"/>
      <c r="ET113" s="1807"/>
      <c r="EV113" s="1715"/>
      <c r="EX113" s="1806"/>
      <c r="EY113" s="1806"/>
      <c r="EZ113" s="1806"/>
      <c r="FA113" s="1806"/>
      <c r="FB113" s="1806"/>
      <c r="FC113" s="1828"/>
      <c r="FE113" s="1698"/>
      <c r="FG113" s="1703"/>
      <c r="FH113" s="1703"/>
      <c r="FI113" s="133"/>
      <c r="FL113" s="1823"/>
      <c r="FM113" s="1825"/>
      <c r="FN113" s="1698"/>
      <c r="FO113" s="1698"/>
      <c r="FP113" s="1678"/>
      <c r="FQ113" s="1698"/>
      <c r="FS113" s="1687"/>
      <c r="FT113" s="1687"/>
      <c r="FU113" s="1685"/>
      <c r="FV113" s="1687"/>
      <c r="FW113" s="1687"/>
      <c r="FX113" s="1687"/>
      <c r="FY113" s="1697"/>
      <c r="GA113" s="1696"/>
      <c r="GB113" s="1696"/>
      <c r="GC113" s="1696"/>
      <c r="GD113" s="1696"/>
      <c r="GE113" s="1696"/>
      <c r="GF113" s="1696"/>
      <c r="GG113" s="1696"/>
      <c r="GH113" s="1696"/>
      <c r="GI113" s="673"/>
      <c r="GJ113" s="1135"/>
      <c r="GK113" s="1832"/>
      <c r="GN113" s="674">
        <f>IF(GN111=TRUE,0,GN$16)</f>
        <v>0</v>
      </c>
      <c r="GP113" s="674">
        <f>IF(GP111=TRUE,0,GP$16)</f>
        <v>36</v>
      </c>
      <c r="GQ113" s="674">
        <f ca="1">IF(GQ111=TRUE,0,GQ$16)</f>
        <v>35</v>
      </c>
      <c r="GR113" s="391"/>
      <c r="GS113" s="391"/>
      <c r="GT113" s="391"/>
      <c r="GU113" s="391"/>
      <c r="GV113" s="391"/>
      <c r="HG113" s="674">
        <f>IF(HG111=TRUE,0,HG$16)</f>
        <v>0</v>
      </c>
      <c r="HH113" s="674">
        <f t="shared" ref="HH113:HM113" si="78">IF(HH111=TRUE,0,HH$16)</f>
        <v>19</v>
      </c>
      <c r="HI113" s="674">
        <f t="shared" si="78"/>
        <v>18</v>
      </c>
      <c r="HJ113" s="674">
        <f t="shared" si="78"/>
        <v>17</v>
      </c>
      <c r="HK113" s="674">
        <f t="shared" si="78"/>
        <v>16</v>
      </c>
      <c r="HL113" s="674">
        <f t="shared" si="78"/>
        <v>0</v>
      </c>
      <c r="HM113" s="674">
        <f t="shared" si="78"/>
        <v>0</v>
      </c>
      <c r="HN113" s="674">
        <f>IF(HN111=TRUE,0,HN$16)</f>
        <v>13</v>
      </c>
      <c r="HO113" s="674">
        <f t="shared" ref="HO113:HQ113" si="79">IF(HO111=TRUE,0,HO$16)</f>
        <v>0</v>
      </c>
      <c r="HP113" s="674">
        <f t="shared" si="79"/>
        <v>0</v>
      </c>
      <c r="HQ113" s="674">
        <f t="shared" si="79"/>
        <v>10</v>
      </c>
      <c r="HR113" s="674">
        <f>IF(HR111=TRUE,0,HR$16)</f>
        <v>9</v>
      </c>
      <c r="HS113" s="674">
        <f t="shared" ref="HS113:HW113" si="80">IF(HS111=TRUE,0,HS$16)</f>
        <v>0</v>
      </c>
      <c r="HT113" s="674">
        <f t="shared" si="80"/>
        <v>0</v>
      </c>
      <c r="HU113" s="674">
        <f t="shared" si="80"/>
        <v>0</v>
      </c>
      <c r="HV113" s="674">
        <f t="shared" si="80"/>
        <v>0</v>
      </c>
      <c r="HW113" s="674">
        <f t="shared" si="80"/>
        <v>0</v>
      </c>
      <c r="HX113" s="674">
        <f>IF(HX111=TRUE,0,HX$16)</f>
        <v>0</v>
      </c>
      <c r="HY113" s="674">
        <f>IF(HY111=TRUE,0,HY$16)</f>
        <v>0</v>
      </c>
      <c r="HZ113" s="674">
        <f>IF(HZ111=TRUE,0,HZ$16)</f>
        <v>1</v>
      </c>
      <c r="IB113" s="674">
        <f>IF(GP111=FALSE,GP113,IF(GQ111=FALSE,GQ113,MAX(GN113:HZ113)))</f>
        <v>36</v>
      </c>
      <c r="IC113" s="1692"/>
      <c r="ID113" s="205" t="str">
        <f>VLOOKUP(IB113,_Error_Table,3,FALSE)</f>
        <v xml:space="preserve"> </v>
      </c>
      <c r="IE113" s="205"/>
      <c r="IF113" s="1688"/>
      <c r="IG113" s="1689"/>
      <c r="IH113" s="1684"/>
      <c r="IK113" s="1689"/>
      <c r="IL113" s="1692"/>
      <c r="IM113" s="1692"/>
      <c r="IN113" s="1692"/>
      <c r="IP113" s="1679"/>
      <c r="IQ113" s="1679"/>
      <c r="IR113" s="1679"/>
      <c r="IS113" s="1679"/>
      <c r="IT113" s="1679"/>
      <c r="IU113" s="1679"/>
      <c r="IV113" s="1679"/>
      <c r="IW113" s="1679"/>
      <c r="IX113" s="1679"/>
      <c r="IY113" s="1679"/>
      <c r="IZ113" s="1679"/>
      <c r="JA113" s="1679"/>
      <c r="JC113" s="1680"/>
      <c r="JD113" s="1670"/>
      <c r="JE113" s="1681"/>
      <c r="JG113" s="1680"/>
      <c r="JH113" s="1670"/>
      <c r="JI113" s="1060"/>
      <c r="JJ113" s="1670"/>
      <c r="JK113" s="1061"/>
      <c r="JL113" s="1670"/>
      <c r="JM113" s="1061"/>
      <c r="JN113" s="1670"/>
      <c r="JO113" s="1061"/>
      <c r="JP113" s="1670"/>
      <c r="JQ113" s="1061"/>
      <c r="JR113" s="1670"/>
      <c r="JS113" s="1061"/>
      <c r="JT113" s="1670"/>
      <c r="JU113" s="1061"/>
      <c r="JV113" s="1670"/>
      <c r="JX113" s="1670"/>
      <c r="JZ113" s="1670"/>
      <c r="KB113" s="1670"/>
    </row>
    <row r="114" spans="1:288" s="78" customFormat="1" ht="5.0999999999999996" customHeight="1">
      <c r="B114" s="676"/>
      <c r="C114" s="392"/>
      <c r="D114" s="392"/>
      <c r="E114" s="1733"/>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1733"/>
      <c r="AB114" s="1733"/>
      <c r="AC114" s="1733"/>
      <c r="AD114" s="1733"/>
      <c r="AE114" s="1733"/>
      <c r="AF114" s="1733"/>
      <c r="AG114" s="1733"/>
      <c r="AH114" s="1733"/>
      <c r="AI114" s="1733"/>
      <c r="AJ114" s="1733"/>
      <c r="AK114" s="1733"/>
      <c r="AL114" s="1733"/>
      <c r="AM114" s="1733"/>
      <c r="AN114" s="1733"/>
      <c r="AO114" s="1733"/>
      <c r="AP114" s="1733"/>
      <c r="AQ114" s="1733"/>
      <c r="AR114" s="1733"/>
      <c r="AS114" s="1733"/>
      <c r="AT114" s="1733"/>
      <c r="AU114" s="1733"/>
      <c r="AV114" s="1733"/>
      <c r="AW114" s="1733"/>
      <c r="AX114" s="469"/>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663"/>
      <c r="CQ114" s="663"/>
      <c r="CR114" s="438"/>
      <c r="CS114" s="663"/>
      <c r="CV114" s="391"/>
      <c r="CW114" s="391"/>
      <c r="CX114" s="207"/>
      <c r="CY114" s="208"/>
      <c r="CZ114" s="208"/>
      <c r="DA114" s="208"/>
      <c r="DB114" s="209"/>
      <c r="DC114" s="209"/>
      <c r="DD114" s="209"/>
      <c r="DF114" s="664"/>
      <c r="DG114" s="665"/>
      <c r="DH114" s="666"/>
      <c r="DI114" s="667"/>
      <c r="DJ114" s="668"/>
      <c r="DK114" s="668"/>
      <c r="DN114" s="208"/>
      <c r="DO114" s="664"/>
      <c r="DQ114" s="664"/>
      <c r="DR114" s="669"/>
      <c r="DS114" s="391"/>
      <c r="DT114" s="664"/>
      <c r="DU114" s="664"/>
      <c r="DV114" s="664"/>
      <c r="DX114" s="664"/>
      <c r="DY114" s="664"/>
      <c r="DZ114" s="664"/>
      <c r="EA114" s="664"/>
      <c r="EC114" s="670"/>
      <c r="ED114" s="670"/>
      <c r="EF114" s="668"/>
      <c r="EG114" s="668"/>
      <c r="EH114" s="208"/>
      <c r="EI114" s="668"/>
      <c r="EJ114" s="668"/>
      <c r="EK114" s="207"/>
      <c r="EL114" s="207"/>
      <c r="EM114" s="666"/>
      <c r="EN114" s="671"/>
      <c r="EO114" s="671"/>
      <c r="EP114" s="672"/>
      <c r="EQ114" s="672"/>
      <c r="ER114" s="666"/>
      <c r="ES114" s="666"/>
      <c r="ET114" s="666"/>
      <c r="EV114" s="664"/>
      <c r="EX114" s="391"/>
      <c r="EY114" s="391"/>
      <c r="EZ114" s="391"/>
      <c r="FA114" s="391"/>
      <c r="FB114" s="391"/>
      <c r="FC114" s="391"/>
      <c r="FE114" s="569"/>
      <c r="FG114" s="391"/>
      <c r="FH114" s="391"/>
      <c r="FI114" s="391"/>
      <c r="FS114" s="664"/>
      <c r="FT114" s="391"/>
      <c r="FU114" s="391"/>
      <c r="FV114" s="664"/>
      <c r="FW114" s="664"/>
      <c r="GA114" s="663"/>
      <c r="GB114" s="663"/>
      <c r="GC114" s="663"/>
      <c r="GD114" s="663"/>
      <c r="GE114" s="663"/>
      <c r="GF114" s="663"/>
      <c r="GG114" s="663"/>
      <c r="GH114" s="663"/>
      <c r="GI114" s="665"/>
      <c r="GJ114" s="664"/>
      <c r="GK114" s="664"/>
    </row>
    <row r="115" spans="1:288" s="78" customFormat="1" ht="14.95" customHeight="1">
      <c r="B115" s="1845" t="str">
        <f>ID118</f>
        <v xml:space="preserve"> </v>
      </c>
      <c r="C115" s="1846">
        <f>C110+1</f>
        <v>14</v>
      </c>
      <c r="D115" s="1847"/>
      <c r="E115" s="1799" t="s">
        <v>295</v>
      </c>
      <c r="F115" s="1800"/>
      <c r="G115" s="1741"/>
      <c r="H115" s="1742"/>
      <c r="I115" s="1742"/>
      <c r="J115" s="1742"/>
      <c r="K115" s="1742"/>
      <c r="L115" s="1742"/>
      <c r="M115" s="1742"/>
      <c r="N115" s="1742"/>
      <c r="O115" s="1742"/>
      <c r="P115" s="1742"/>
      <c r="Q115" s="1742"/>
      <c r="R115" s="1742"/>
      <c r="S115" s="1791" t="s">
        <v>344</v>
      </c>
      <c r="T115" s="590"/>
      <c r="U115" s="1743"/>
      <c r="V115" s="1744"/>
      <c r="W115" s="1744"/>
      <c r="X115" s="1744"/>
      <c r="Y115" s="1744"/>
      <c r="Z115" s="1744"/>
      <c r="AA115" s="1744"/>
      <c r="AB115" s="961" t="str">
        <f>IFERROR(IF(__Retrofit_TI_NC=0,VLOOKUP(U116,Fixtures_Existing_List,2,FALSE),ROUND(N117*R117/T117,10)),"")</f>
        <v/>
      </c>
      <c r="AC115" s="935" t="str">
        <f>IFERROR(IF(__Retrofit_TI_NC=0,ROUND(T116*AB115*N116*R116/1000,0),IF(CQ115="Interior",N117*R117*R116*N116*_C406_reduction/1000,N117*R117*R116*N116/1000)),"")</f>
        <v/>
      </c>
      <c r="AD115" s="936" t="str">
        <f>IFERROR(IF(C$43=0,ROUND(T116*AB115/1000,2),N117*R117/1000),"")</f>
        <v/>
      </c>
      <c r="AE115" s="997"/>
      <c r="AF115" s="937"/>
      <c r="AG115" s="1745" t="str">
        <f>IF(__Retrofit_TI_NC=0," Control","Select Advanced Control for New System")</f>
        <v xml:space="preserve"> Control</v>
      </c>
      <c r="AH115" s="1745"/>
      <c r="AI115" s="1745"/>
      <c r="AJ115" s="1745"/>
      <c r="AK115" s="1745"/>
      <c r="AL115" s="1745"/>
      <c r="AM115" s="1746">
        <f>IFERROR(DI115,"")</f>
        <v>0</v>
      </c>
      <c r="AN115" s="1774" t="str">
        <f>IFERROR(ROUND(AM115*AC115,0),"")</f>
        <v/>
      </c>
      <c r="AO115" s="1776">
        <f>IFERROR(IF(IB115=FALSE,0,AC115-AN115),0)</f>
        <v>0</v>
      </c>
      <c r="AP115" s="1778">
        <f>AO115-AO117</f>
        <v>0</v>
      </c>
      <c r="AQ115" s="1779"/>
      <c r="AR115" s="1793">
        <f>IFERROR(IF(IB115=FALSE,0,(T117*U118)+(AF117*AG118)),0)</f>
        <v>0</v>
      </c>
      <c r="AS115" s="1793"/>
      <c r="AT115" s="1794"/>
      <c r="AU115" s="1734" t="s">
        <v>237</v>
      </c>
      <c r="AV115" s="1751">
        <f>IF(AU115="Yes",1,0)</f>
        <v>1</v>
      </c>
      <c r="AW115" s="1704" t="str">
        <f>IF(OR(DQ115=4,DQ115=5,DQ115=6,DQ115=12),CONCATENATE("$",IF(GH115=TRUE,Lookup!$K$10,Lookup!$K$2)," /lamp"),CONCATENATE(TEXT(ED115,"$0.00"),"/ kWh"))</f>
        <v>$0.00/ kWh</v>
      </c>
      <c r="AX115" s="467"/>
      <c r="AY115" s="1748">
        <f ca="1">IFERROR(IF(GM116=TRUE,(AB118*T117)/R117,0),"NA")</f>
        <v>0</v>
      </c>
      <c r="AZ115" s="1748"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696" t="str">
        <f>N116</f>
        <v/>
      </c>
      <c r="CQ115" s="1696" t="str">
        <f>IFERROR(VLOOKUP(G116,_Lookup_Heat_Type_Table_New,3,FALSE),"")</f>
        <v/>
      </c>
      <c r="CR115" s="1808" t="str">
        <f>CQ115</f>
        <v/>
      </c>
      <c r="CS115" s="1810" t="str">
        <f>IFERROR(VLOOKUP(G117,'Space Table'!$B$3:$L$163,9,FALSE),"")</f>
        <v/>
      </c>
      <c r="CU115" s="1688" t="s">
        <v>344</v>
      </c>
      <c r="CV115" s="1702">
        <f>IF(IB115=TRUE,T116,0)</f>
        <v>0</v>
      </c>
      <c r="CW115" s="1702" t="str">
        <f>IF(IB115=TRUE,U116,"")</f>
        <v/>
      </c>
      <c r="CX115" s="1702"/>
      <c r="CY115" s="1814">
        <f>IF(IB115=TRUE,AB115,0)</f>
        <v>0</v>
      </c>
      <c r="CZ115" s="1710">
        <f>IF(AND(__Retrofit_TI_NC&gt;0,CR115="interior"),0,IF(IB115=TRUE,AC115,0))</f>
        <v>0</v>
      </c>
      <c r="DA115" s="1814">
        <f>IFERROR(IF(IB115=TRUE,CZ115-CZ117,0),0)</f>
        <v>0</v>
      </c>
      <c r="DB115" s="1819">
        <f>IF(IB115=TRUE,AD115,0)</f>
        <v>0</v>
      </c>
      <c r="DC115" s="1819">
        <f>IF(IB115=TRUE,AD118,0)</f>
        <v>0</v>
      </c>
      <c r="DD115" s="1819">
        <f>IFERROR(DB115-DC115,0)</f>
        <v>0</v>
      </c>
      <c r="DF115" s="1702">
        <f>IF(IB115=TRUE,AF116,0)</f>
        <v>0</v>
      </c>
      <c r="DG115" s="1830">
        <f>IFERROR(IF(__Retrofit_TI_NC=2,IF(CQ115="Exterior",O118,FQ115),FN115),"")</f>
        <v>0</v>
      </c>
      <c r="DH115" s="1702"/>
      <c r="DI115" s="1837">
        <f>JE115</f>
        <v>0</v>
      </c>
      <c r="DJ115" s="1710">
        <f>IF(AND(__Retrofit_TI_NC&gt;0,CR115="interior"),0,IF(IB115=TRUE,AN115,0))</f>
        <v>0</v>
      </c>
      <c r="DK115" s="1712">
        <f>IFERROR(IF(IB115=TRUE,DJ117-DJ115,0),0)</f>
        <v>0</v>
      </c>
      <c r="DM115" s="1717">
        <f>IFERROR(CZ115-DJ115,0)</f>
        <v>0</v>
      </c>
      <c r="DO115" s="1708">
        <f>DM115-DN117</f>
        <v>0</v>
      </c>
      <c r="DQ115" s="1715" t="str">
        <f>IFERROR(IF(AND(OR(GC115=4,GC115=5,GC115=6),OR(GF115=4,GF115=5,GF115=6)),GC115+8,VLOOKUP(CW117,Fixtures!R$31:Y$78,8,FALSE)),"")</f>
        <v/>
      </c>
      <c r="DR115" s="1829" t="str">
        <f>DQ115</f>
        <v/>
      </c>
      <c r="DS115" s="1702" t="str">
        <f>IFERROR(VLOOKUP(DG117,Lookup!BB$3:BC$20,2,FALSE),"")</f>
        <v/>
      </c>
      <c r="DT115" s="1713" t="str">
        <f>IF(OR(DS115=7,DS115=8,DS115=9),"ALC","")</f>
        <v/>
      </c>
      <c r="DU115" s="1715">
        <f>IFERROR(IF(OR(DQ115=4,DQ115=5,DQ115=6,DQ115=12,DQ115=13,DQ115=14),VLOOKUP(CW117,Fixtures!DN$27:EG$77,19,FALSE),1)*CV117,0)</f>
        <v>0</v>
      </c>
      <c r="DV115" s="1716">
        <f>IF(OR(DS115=7,DS115=8,DS115=9),IF(DG115=DG117,0,DF117),0)</f>
        <v>0</v>
      </c>
      <c r="DX115" s="1715" t="str">
        <f>IFERROR(IF(EZ115&lt;EZ117,"Yes","No"),"")</f>
        <v/>
      </c>
      <c r="DY115" s="1829" t="str">
        <f>DX115</f>
        <v/>
      </c>
      <c r="DZ115" s="1715">
        <f>IF(DX115="Yes",DF117,0)</f>
        <v>0</v>
      </c>
      <c r="EA115" s="1715">
        <f>DZ115-DV115</f>
        <v>0</v>
      </c>
      <c r="EC115" s="1834">
        <f>IFERROR(VLOOKUP(DQ115,Lookup!AU$3:AV$16,2,FALSE),0)</f>
        <v>0</v>
      </c>
      <c r="ED115" s="1834">
        <f>IF(IB115=FALSE,0,IF(DX115="Yes",EC115+Lookup!K$6,EC115))</f>
        <v>0</v>
      </c>
      <c r="EF115" s="1707">
        <f>IF(IB115=TRUE,DM115,0)</f>
        <v>0</v>
      </c>
      <c r="EG115" s="1712">
        <f>IF(IB115=TRUE,CZ117,0)</f>
        <v>0</v>
      </c>
      <c r="EH115" s="1814">
        <f>IFERROR(EF115-EG115,0)</f>
        <v>0</v>
      </c>
      <c r="EI115" s="1712">
        <f>IF(IB115=TRUE,DJ117,0)</f>
        <v>0</v>
      </c>
      <c r="EJ115" s="1712">
        <f>IFERROR(EF115-EG115+EI115,0)</f>
        <v>0</v>
      </c>
      <c r="EK115" s="1812">
        <f>IF(IB115=TRUE,CV117*CX117,0)</f>
        <v>0</v>
      </c>
      <c r="EL115" s="1812">
        <f>IF(IB115=TRUE,DF117*DH117,0)</f>
        <v>0</v>
      </c>
      <c r="EM115" s="1807">
        <f>AR115</f>
        <v>0</v>
      </c>
      <c r="EN115" s="1839" t="str">
        <f>IFERROR(IF(IB115=TRUE,VLOOKUP(DQ115,Lookup!AU$3:AW$16,3,FALSE)*DU115,""),0)</f>
        <v/>
      </c>
      <c r="EO115" s="1839">
        <f>IF(IB115=TRUE,DZ115*Lookup!AW$12,0)</f>
        <v>0</v>
      </c>
      <c r="EP115" s="1817">
        <f>IFERROR(IF(IB115=TRUE,EN115/EP$40,0),0)</f>
        <v>0</v>
      </c>
      <c r="EQ115" s="1817">
        <f>IF(IB115=TRUE,EO115/EQ$40,0)</f>
        <v>0</v>
      </c>
      <c r="ER115" s="1807">
        <f>IF(IB115=TRUE,ET$40*EP115,0)</f>
        <v>0</v>
      </c>
      <c r="ES115" s="1807">
        <f>IF(IB115=TRUE,ET$40*EQ115,0)</f>
        <v>0</v>
      </c>
      <c r="ET115" s="1807">
        <f>ER115+ES115</f>
        <v>0</v>
      </c>
      <c r="EV115" s="1715">
        <f>IF(G115="",0,1)</f>
        <v>0</v>
      </c>
      <c r="EX115" s="1804" t="str">
        <f>IFERROR(VLOOKUP(CS117,'Space Table'!$B$3:$L$163,8,FALSE),"")</f>
        <v/>
      </c>
      <c r="EY115" s="1804" t="str">
        <f>IFERROR(IF(FB115="Yes",VLOOKUP(DG115,Lookup_Control_Type_Table2,4,FALSE),VLOOKUP(DG115,Lookup_Control_Type_Table2,3,FALSE)),"")</f>
        <v/>
      </c>
      <c r="EZ115" s="1804" t="e">
        <f>VLOOKUP(DG115,Lookup!BB$3:BC$20,2,FALSE)</f>
        <v>#N/A</v>
      </c>
      <c r="FA115" s="1804" t="e">
        <f>VLOOKUP(EX115,Lookup_Control_Type_Table,2,FALSE)</f>
        <v>#N/A</v>
      </c>
      <c r="FB115" s="1804" t="e">
        <f>VLOOKUP(CS117,'Space Table'!$B$3:$L$163,7,FALSE)</f>
        <v>#N/A</v>
      </c>
      <c r="FC115" s="1826" t="b">
        <f>ISNUMBER(SEARCH("TLED",U117))</f>
        <v>0</v>
      </c>
      <c r="FE115" s="1698" t="str">
        <f>CONCATENATE(CQ115," - ",DG115)</f>
        <v xml:space="preserve"> - 0</v>
      </c>
      <c r="FG115" s="1702" t="str">
        <f>VLOOKUP(CW117,Fixtures!DN$27:EZ$77,38,FALSE)</f>
        <v/>
      </c>
      <c r="FH115" s="1702">
        <f>IFERROR(FG115*EH115,0)</f>
        <v>0</v>
      </c>
      <c r="FI115" s="133"/>
      <c r="FL115" s="1822" t="str">
        <f>IF(CQ115="Exterior","Not Daylighted",G118)</f>
        <v>Not Daylighted</v>
      </c>
      <c r="FM115" s="1824">
        <f>VLOOKUP(FL115,_New_Daylight_Table_Codes,2,FALSE)</f>
        <v>0</v>
      </c>
      <c r="FN115" s="1698">
        <f>IF(__Retrofit_TI_NC&gt;0,VLOOKUP(G117,'Space Table'!$B$3:$L$163,11,FALSE),AG116)</f>
        <v>0</v>
      </c>
      <c r="FO115" s="1698" t="e">
        <f>IF(__Retrofit_TI_NC=2,VLOOKUP(FQ115,_Control_Table,2,FALSE),VLOOKUP(FN115,_Control_Table,2,FALSE))</f>
        <v>#N/A</v>
      </c>
      <c r="FP115" s="1678" t="e">
        <f>VLOOKUP(CONCATENATE(FL115," ",FN115),Lookup!AY$102:AZ125,2,FALSE)</f>
        <v>#N/A</v>
      </c>
      <c r="FQ115" s="1678">
        <f>IF(__Retrofit_TI_NC=0,FN115,IF(AND(FT115&gt;0,FN115="Occupancy Sensor"),"Daylight + Occupancy",IF(AND(FT115&gt;0,VLOOKUP(FN115,_Control_Table,2,FALSE)&lt;4),"Interior Daylight Dimming",FN115)))</f>
        <v>0</v>
      </c>
      <c r="FS115" s="1686">
        <f>IF(CR115="Interior",VLOOKUP(CS115,Control_Savings_Interior,5,FALSE),0)</f>
        <v>0</v>
      </c>
      <c r="FT115" s="1687">
        <f>IF(CQ115="Exterior",0,IF(FM115=2,0.5,IF(OR(FM115=1,FM115=3),1,0)))</f>
        <v>0</v>
      </c>
      <c r="FU115" s="1685">
        <f>IF(R114&gt;FS$44,(FS115*(FS$44/R114)),FS115)*FT115</f>
        <v>0</v>
      </c>
      <c r="FV115" s="1686">
        <f>DI115</f>
        <v>0</v>
      </c>
      <c r="FW115" s="1686">
        <f>ROUND(FV115+((1-FV115)*FU115),2)</f>
        <v>0</v>
      </c>
      <c r="FX115" s="1686">
        <f>IF(__Retrofit_TI_NC=2,FW115,FV115)</f>
        <v>0</v>
      </c>
      <c r="FY115" s="1697"/>
      <c r="GA115" s="1696" t="str">
        <f>IFERROR(VLOOKUP(U116,_Exist_Fixture_Table,3,FALSE),"")</f>
        <v/>
      </c>
      <c r="GB115" s="1696" t="str">
        <f>VLOOKUP(CW115,_Exist_Fixture_Table,4,FALSE)</f>
        <v/>
      </c>
      <c r="GC115" s="1696">
        <f>IFERROR(VLOOKUP(GB115,Lookup!AT$6:AU$8,2,FALSE),0)</f>
        <v>0</v>
      </c>
      <c r="GD115" s="1696" t="b">
        <f>IFERROR(IF(OR(GF115=4,GF115=5,GF115=6),TRUE,FALSE),"")</f>
        <v>0</v>
      </c>
      <c r="GE115" s="1696" t="str">
        <f>IFERROR(VLOOKUP(GF115,GC$6:GD$10,2,FALSE),"")</f>
        <v/>
      </c>
      <c r="GF115" s="1696" t="str">
        <f>VLOOKUP(CW117,Fixtures!R$31:Y$78,8,FALSE)</f>
        <v/>
      </c>
      <c r="GG115" s="1696">
        <f>IF(AND(GA115=TRUE,GD115=TRUE,OR(DQ115=12,DQ115=13,DQ115=14)),GC115+8,0)</f>
        <v>0</v>
      </c>
      <c r="GH115" s="1696" t="b">
        <f>IF(OR(GG115=12,GG115=13,GG115=14),TRUE,FALSE)</f>
        <v>0</v>
      </c>
      <c r="GI115" s="673" t="b">
        <f>IF(ISNUMBER(SEARCH("TLED",U116)),TRUE,FALSE)</f>
        <v>0</v>
      </c>
      <c r="GJ115" s="1135" t="str">
        <f>IFERROR(VLOOKUP(U116,Fixtures!BM$93:BR$142,6,FALSE),"")</f>
        <v/>
      </c>
      <c r="GK115" s="1832" t="b">
        <f>IF(OR(GI115=FALSE,GI117=FALSE),TRUE,IF(GJ115-GJ117&lt;5,FALSE,TRUE))</f>
        <v>1</v>
      </c>
      <c r="GO115" s="674">
        <f>GP115</f>
        <v>0</v>
      </c>
      <c r="GP115" s="674">
        <f>IF(G115="",0,1)</f>
        <v>0</v>
      </c>
      <c r="GQ115" s="674">
        <f ca="1">SUM(GR115:HF115)</f>
        <v>2</v>
      </c>
      <c r="GR115" s="674">
        <f>IF(G116="",0,1)</f>
        <v>0</v>
      </c>
      <c r="GS115" s="674">
        <f>IF(N118="BAM",1,IF(G117="",0,1))</f>
        <v>0</v>
      </c>
      <c r="GT115" s="674">
        <f>IF(N118="BAM",1,IF(R116="",0,1))</f>
        <v>0</v>
      </c>
      <c r="GU115" s="674">
        <f>IF(N118="BAM",1,IF(__Retrofit_TI_NC=0,1,IF(R117="",0,1)))</f>
        <v>1</v>
      </c>
      <c r="GV115" s="674">
        <f>IF(N118="BAM",1,IF(CQ115="Exterior",1,IF(G118="",0,1)))</f>
        <v>1</v>
      </c>
      <c r="GW115" s="674">
        <f>IF(__Retrofit_TI_NC&gt;0,1,IF(T116="",0,1))</f>
        <v>0</v>
      </c>
      <c r="GX115" s="674">
        <f>IF(__Retrofit_TI_NC&gt;0,1,IF(U116="",0,1))</f>
        <v>0</v>
      </c>
      <c r="GY115" s="674">
        <f>IF(N118="BAM",1,IF(T117="",0,1))</f>
        <v>0</v>
      </c>
      <c r="GZ115" s="674">
        <f>IF(N118="BAM",1,IF(U117="",0,1))</f>
        <v>0</v>
      </c>
      <c r="HA115" s="674">
        <f ca="1">IF(N118="BAM",1,IF(__Retrofit_TI_NC&gt;0,1,IF(U118="",0,1)))</f>
        <v>0</v>
      </c>
      <c r="HB115" s="674">
        <f>IF(__Retrofit_TI_NC&lt;&gt;0,1,IF(AF116="",0,1))</f>
        <v>0</v>
      </c>
      <c r="HC115" s="674">
        <f>IF(__Retrofit_TI_NC&lt;&gt;0,1,IF(AG116="",0,1))</f>
        <v>0</v>
      </c>
      <c r="HD115" s="674">
        <f>IF(N118="BAM",1,IF(AF117="",0,1))</f>
        <v>0</v>
      </c>
      <c r="HE115" s="674">
        <f>IF(N118="BAM",1,IF(AG117="",0,1))</f>
        <v>0</v>
      </c>
      <c r="HF115" s="674">
        <f>IF(N118="BAM",1,IF(__Retrofit_TI_NC&gt;0,1,IF(AG118="",0,1)))</f>
        <v>0</v>
      </c>
      <c r="HG115" s="391"/>
      <c r="IA115" s="391"/>
      <c r="IB115" s="1693" t="b">
        <f>IF(OR(IB118=0,IB118=HY$16,IB118=HX$16,IB118=HZ$16),TRUE,FALSE)</f>
        <v>0</v>
      </c>
      <c r="IC115" s="1694" t="b">
        <f>IB115</f>
        <v>0</v>
      </c>
      <c r="ID115" s="391"/>
      <c r="IE115" s="391"/>
      <c r="IF115" s="1688" t="b">
        <f ca="1">IF(MAX(GN118:HU118)&gt;5,FALSE,TRUE)</f>
        <v>0</v>
      </c>
      <c r="IG115" s="1689">
        <f ca="1">IF(IF115=TRUE,AC115,0)</f>
        <v>0</v>
      </c>
      <c r="IH115" s="1689">
        <f ca="1">IG115-IG117</f>
        <v>0</v>
      </c>
      <c r="IK115" s="1689" t="e">
        <f>ROUND(T116*VLOOKUP(U116,Fixtures_Existing_List,2,FALSE)*N116*R116/1000,0)</f>
        <v>#N/A</v>
      </c>
      <c r="IL115" s="1690" t="e">
        <f>IK115-IK117</f>
        <v>#N/A</v>
      </c>
      <c r="IM115" s="1693" t="e">
        <f>ROUND(IF(CQ115="Interior",N117*R117*R116*N116*_C406_reduction/1000,N117*R117*R116*N116/1000),0)</f>
        <v>#N/A</v>
      </c>
      <c r="IN115" s="1693" t="e">
        <f>IM115-IM117</f>
        <v>#N/A</v>
      </c>
      <c r="IP115" s="1679"/>
      <c r="IQ115" s="1679" t="e">
        <f t="shared" ref="IQ115:IU115" si="81">IF($CR115="interior",VLOOKUP($CS115,_New_Control_Savings_Interior,IQ$30,FALSE),VLOOKUP($CS115,Control_Savings_Exterior,IQ$30,FALSE))</f>
        <v>#N/A</v>
      </c>
      <c r="IR115" s="1679" t="e">
        <f t="shared" si="81"/>
        <v>#N/A</v>
      </c>
      <c r="IS115" s="1679" t="e">
        <f t="shared" si="81"/>
        <v>#N/A</v>
      </c>
      <c r="IT115" s="1679" t="e">
        <f t="shared" si="81"/>
        <v>#N/A</v>
      </c>
      <c r="IU115" s="1679" t="e">
        <f t="shared" si="81"/>
        <v>#N/A</v>
      </c>
      <c r="IV115" s="1679" t="e">
        <f>IF($CR115="interior",IF(R116&gt;$IP$14,ROUND(($IV$18*($IP$14/R116)),2),$IV$18),VLOOKUP($CS115,Control_Savings_Exterior,IV$30,FALSE))</f>
        <v>#N/A</v>
      </c>
      <c r="IW115" s="1679" t="e">
        <f>IF($CR115="interior",ROUND(((1-IS115)*IV115)+IS115,2),VLOOKUP($CS115,Control_Savings_Exterior,IW$30,FALSE))</f>
        <v>#N/A</v>
      </c>
      <c r="IX115" s="1679" t="e">
        <f>IF($CR115="interior",ROUND(((1-IT115)*IV115)+IT115,2),VLOOKUP($CS115,Control_Savings_Exterior,IX$30,FALSE))</f>
        <v>#N/A</v>
      </c>
      <c r="IY115" s="1679" t="e">
        <f>IF($CR115="interior",IF(R116&gt;$IP$14,ROUND(($IY$18*($IP$14/R116)),2),$IY$18),VLOOKUP($CS115,Control_Savings_Exterior,IY$30,FALSE))</f>
        <v>#N/A</v>
      </c>
      <c r="IZ115" s="1679" t="e">
        <f>IF($CR115="interior",ROUND(((1-IS115)*IY115)+IS115,2),VLOOKUP($CS115,Control_Savings_Exterior,IZ$30,FALSE))</f>
        <v>#N/A</v>
      </c>
      <c r="JA115" s="1679" t="e">
        <f>IF($CR115="interior",ROUND(((1-IT115)*IY115)+IT115,2),VLOOKUP($CS115,Control_Savings_Exterior,JA$30,FALSE))</f>
        <v>#N/A</v>
      </c>
      <c r="JC115" s="1680">
        <f>IFERROR(IF(CR115="Interior",CONCATENATE(G118," ",FQ115),FQ115),"")</f>
        <v>0</v>
      </c>
      <c r="JD115" s="1670" t="str">
        <f>IFERROR(VLOOKUP(JC115,_Controls_2023,2,FALSE),"")</f>
        <v/>
      </c>
      <c r="JE115" s="1681">
        <f>IFERROR(CHOOSE(JD115-1,IQ115,IR115,IS115,IT115,IU115,IV115,IW115,IX115,IY115,IZ115,JA115),0)</f>
        <v>0</v>
      </c>
      <c r="JG115" s="1680" t="str">
        <f>FE115</f>
        <v xml:space="preserve"> - 0</v>
      </c>
      <c r="JH115" s="1670" t="e">
        <f>$FO115</f>
        <v>#N/A</v>
      </c>
      <c r="JI115" s="1060"/>
      <c r="JJ115" s="1682" t="b">
        <f>IF($JG117=CONCATENATE("Interior - ",JJ$4),TRUE,FALSE)</f>
        <v>0</v>
      </c>
      <c r="JK115" s="1061"/>
      <c r="JL115" s="1682" t="b">
        <f>IF($JG117=CONCATENATE("Interior - ",JL$4),TRUE,FALSE)</f>
        <v>0</v>
      </c>
      <c r="JM115" s="1061"/>
      <c r="JN115" s="1682" t="b">
        <f>IF($JG117=CONCATENATE("Interior - ",JN$4),TRUE,FALSE)</f>
        <v>0</v>
      </c>
      <c r="JO115" s="1061"/>
      <c r="JP115" s="1682" t="b">
        <f>IF(__Retrofit_TI_NC&gt;0,FALSE,IF($JG117=CONCATENATE("Interior - ",JP$4),TRUE,FALSE))</f>
        <v>0</v>
      </c>
      <c r="JQ115" s="1061"/>
      <c r="JR115" s="1682" t="b">
        <f>IF(__Retrofit_TI_NC&gt;0,FALSE,IF($JG117=CONCATENATE("Interior - ",JR$4),TRUE,FALSE))</f>
        <v>0</v>
      </c>
      <c r="JS115" s="1061"/>
      <c r="JT115" s="1670" t="b">
        <f>IF(__Retrofit_TI_NC&gt;0,FALSE,IF($JG117=CONCATENATE("Interior - ",JT$4),TRUE,FALSE))</f>
        <v>0</v>
      </c>
      <c r="JU115" s="1061"/>
      <c r="JV115" s="1670" t="b">
        <f>IF(JC117="AELC on Existing",TRUE,FALSE)</f>
        <v>0</v>
      </c>
      <c r="JX115" s="1670" t="b">
        <f>IF(OR(JG117="Exterior - AELC Occupancy based",JG117="Exterior - AELC Time based"),TRUE,FALSE)</f>
        <v>0</v>
      </c>
      <c r="JZ115" s="1682" t="b">
        <f>IF($JG117=CONCATENATE("Exterior - ",JZ$4),TRUE,FALSE)</f>
        <v>0</v>
      </c>
      <c r="KB115" s="1670" t="b">
        <f>IF(__Retrofit_TI_NC&gt;0,FALSE,IF($JG117=CONCATENATE("Interior - ",KB$4),TRUE,FALSE))</f>
        <v>0</v>
      </c>
    </row>
    <row r="116" spans="1:288" s="78" customFormat="1" ht="14.95" customHeight="1" thickTop="1" thickBot="1">
      <c r="B116" s="1845"/>
      <c r="C116" s="1846"/>
      <c r="D116" s="1847"/>
      <c r="E116" s="1737" t="s">
        <v>297</v>
      </c>
      <c r="F116" s="1738"/>
      <c r="G116" s="1739"/>
      <c r="H116" s="1739"/>
      <c r="I116" s="1739"/>
      <c r="J116" s="1739"/>
      <c r="K116" s="1739"/>
      <c r="L116" s="1739"/>
      <c r="M116" s="461" t="e">
        <f>IF(__Retrofit_TI_NC&lt;&gt;0,IF(VLOOKUP(G117,'Space Table'!$B$3:$L$163,3,FALSE)&gt;0,1,0),IF(__Retrofit_TI_NC=VLOOKUP(G117,'Space Table'!$B$3:$L$163,3,FALSE),1,0))</f>
        <v>#N/A</v>
      </c>
      <c r="N116" s="461" t="str">
        <f>IFERROR(VLOOKUP(G116,_Lookup_Heat_Type_Table_New,2,FALSE),"")</f>
        <v/>
      </c>
      <c r="O116" s="461">
        <f>IF(__Retrofit_TI_NC=1,CONCATENATE("TI ",G116),IF(__Retrofit_TI_NC=2,CONCATENATE("NC ",G116),G116))</f>
        <v>0</v>
      </c>
      <c r="P116" s="1740" t="s">
        <v>435</v>
      </c>
      <c r="Q116" s="1740"/>
      <c r="R116" s="595"/>
      <c r="S116" s="1792"/>
      <c r="T116" s="597"/>
      <c r="U116" s="1765"/>
      <c r="V116" s="1766"/>
      <c r="W116" s="1766"/>
      <c r="X116" s="1766"/>
      <c r="Y116" s="1766"/>
      <c r="Z116" s="1766"/>
      <c r="AA116" s="1766"/>
      <c r="AB116" s="1766"/>
      <c r="AC116" s="1766"/>
      <c r="AD116" s="1767"/>
      <c r="AE116" s="1000"/>
      <c r="AF116" s="597"/>
      <c r="AG116" s="1723"/>
      <c r="AH116" s="1724"/>
      <c r="AI116" s="1724"/>
      <c r="AJ116" s="1724"/>
      <c r="AK116" s="1725"/>
      <c r="AL116" s="996"/>
      <c r="AM116" s="1747"/>
      <c r="AN116" s="1775"/>
      <c r="AO116" s="1777"/>
      <c r="AP116" s="1780"/>
      <c r="AQ116" s="1781"/>
      <c r="AR116" s="1795"/>
      <c r="AS116" s="1795"/>
      <c r="AT116" s="1796"/>
      <c r="AU116" s="1735"/>
      <c r="AV116" s="1752"/>
      <c r="AW116" s="1705"/>
      <c r="AX116" s="467"/>
      <c r="AY116" s="1749"/>
      <c r="AZ116" s="1749"/>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696"/>
      <c r="CQ116" s="1696"/>
      <c r="CR116" s="1809"/>
      <c r="CS116" s="1811"/>
      <c r="CU116" s="1688"/>
      <c r="CV116" s="1703"/>
      <c r="CW116" s="1703"/>
      <c r="CX116" s="1703"/>
      <c r="CY116" s="1815"/>
      <c r="CZ116" s="1711"/>
      <c r="DA116" s="1818"/>
      <c r="DB116" s="1820"/>
      <c r="DC116" s="1820"/>
      <c r="DD116" s="1820"/>
      <c r="DF116" s="1703"/>
      <c r="DG116" s="1831"/>
      <c r="DH116" s="1703"/>
      <c r="DI116" s="1838"/>
      <c r="DJ116" s="1711"/>
      <c r="DK116" s="1712"/>
      <c r="DM116" s="1718"/>
      <c r="DO116" s="1708"/>
      <c r="DQ116" s="1715"/>
      <c r="DR116" s="1720"/>
      <c r="DS116" s="1816"/>
      <c r="DT116" s="1714"/>
      <c r="DU116" s="1715"/>
      <c r="DV116" s="1716"/>
      <c r="DX116" s="1715"/>
      <c r="DY116" s="1720"/>
      <c r="DZ116" s="1715"/>
      <c r="EA116" s="1715"/>
      <c r="EC116" s="1834"/>
      <c r="ED116" s="1834"/>
      <c r="EF116" s="1707"/>
      <c r="EG116" s="1712"/>
      <c r="EH116" s="1818"/>
      <c r="EI116" s="1712"/>
      <c r="EJ116" s="1712"/>
      <c r="EK116" s="1836"/>
      <c r="EL116" s="1836"/>
      <c r="EM116" s="1807"/>
      <c r="EN116" s="1839"/>
      <c r="EO116" s="1839"/>
      <c r="EP116" s="1817"/>
      <c r="EQ116" s="1817"/>
      <c r="ER116" s="1807"/>
      <c r="ES116" s="1807"/>
      <c r="ET116" s="1807"/>
      <c r="EV116" s="1715"/>
      <c r="EX116" s="1805"/>
      <c r="EY116" s="1805"/>
      <c r="EZ116" s="1805"/>
      <c r="FA116" s="1805"/>
      <c r="FB116" s="1805"/>
      <c r="FC116" s="1827"/>
      <c r="FE116" s="1698"/>
      <c r="FG116" s="1816"/>
      <c r="FH116" s="1816"/>
      <c r="FI116" s="133"/>
      <c r="FL116" s="1823"/>
      <c r="FM116" s="1825"/>
      <c r="FN116" s="1698"/>
      <c r="FO116" s="1698"/>
      <c r="FP116" s="1678"/>
      <c r="FQ116" s="1678"/>
      <c r="FS116" s="1687"/>
      <c r="FT116" s="1687"/>
      <c r="FU116" s="1685"/>
      <c r="FV116" s="1687"/>
      <c r="FW116" s="1687"/>
      <c r="FX116" s="1687"/>
      <c r="FY116" s="1697"/>
      <c r="GA116" s="1696"/>
      <c r="GB116" s="1696"/>
      <c r="GC116" s="1696"/>
      <c r="GD116" s="1696"/>
      <c r="GE116" s="1696"/>
      <c r="GF116" s="1696"/>
      <c r="GG116" s="1696"/>
      <c r="GH116" s="1696"/>
      <c r="GI116" s="673"/>
      <c r="GJ116" s="1135"/>
      <c r="GK116" s="1832"/>
      <c r="GM116" s="1693" t="b">
        <f ca="1">IF(AND(GP116=TRUE,GQ116=TRUE),TRUE,FALSE)</f>
        <v>0</v>
      </c>
      <c r="GN116" s="1684" t="b">
        <f>IFERROR(IF(__Retrofit_TI_NC=2,TRUE,IF(AU115="Yes",TRUE,FALSE)),FALSE)</f>
        <v>1</v>
      </c>
      <c r="GP116" s="1684" t="b">
        <f>IFERROR(IF(GP115=1,TRUE,FALSE),FALSE)</f>
        <v>0</v>
      </c>
      <c r="GQ116" s="1684" t="b">
        <f ca="1">IFERROR(IF(GQ115=GQ$14,TRUE,FALSE),FALSE)</f>
        <v>0</v>
      </c>
      <c r="HG116" s="1684" t="b">
        <f>IFERROR(IF(AND(__Retrofit_TI_NC&gt;0,CQ115="Interior"),FALSE,TRUE),FALSE)</f>
        <v>1</v>
      </c>
      <c r="HH116" s="1684" t="b">
        <f>IFERROR(IF(M116=1,TRUE,FALSE),FALSE)</f>
        <v>0</v>
      </c>
      <c r="HI116" s="1684" t="b">
        <f>IFERROR(IF(OR(M117=1,N118="BAM"),TRUE,FALSE),FALSE)</f>
        <v>0</v>
      </c>
      <c r="HJ116" s="1684" t="b">
        <f>IFERROR(IF(__Retrofit_TI_NC&lt;&gt;0,TRUE,IFERROR(IF(VLOOKUP(U116,Fixtures_Existing_List,2,FALSE)&lt;&gt;"",TRUE,FALSE),FALSE)),FALSE)</f>
        <v>0</v>
      </c>
      <c r="HK116" s="1684" t="b">
        <f>IFERROR(IF(VLOOKUP(U117,Fixtures_Proposed_List,2,FALSE)&lt;&gt;"",TRUE,FALSE),FALSE)</f>
        <v>0</v>
      </c>
      <c r="HL116" s="1684" t="b">
        <f>IF(AND(__Retrofit_TI_NC=2,FC115=TRUE),FALSE,TRUE)</f>
        <v>1</v>
      </c>
      <c r="HM116" s="1684" t="b">
        <f>GK115</f>
        <v>1</v>
      </c>
      <c r="HN116" s="1682" t="b">
        <f>IF(ISERROR(MATCH(FE115,_Control_Match[],0))=TRUE,FALSE,TRUE)</f>
        <v>0</v>
      </c>
      <c r="HO116" s="1693" t="b">
        <f>IFERROR(IF(EX115&lt;&gt;EY115,FALSE,TRUE),FALSE)</f>
        <v>1</v>
      </c>
      <c r="HP116" s="1693" t="b">
        <f>IFERROR(IF(EX117&lt;&gt;EY117,FALSE,TRUE),FALSE)</f>
        <v>1</v>
      </c>
      <c r="HQ116" s="1670" t="b">
        <f>IFERROR(IF(CQ115="Exterior",TRUE,IF(AND(OR(FM117=0,FM117=3),JD117&gt;6),FALSE,TRUE)),FALSE)</f>
        <v>0</v>
      </c>
      <c r="HR116" s="1684" t="b">
        <f>IFERROR(IF(AND(FO117=7,FC115=TRUE),FALSE,TRUE),FALSE)</f>
        <v>0</v>
      </c>
      <c r="HS116" s="1684" t="b">
        <f>IFERROR(IF(AND(T117&lt;&gt;AF117,OR(AG117="Interior LLLC", AG117="Interior NLC", AG117="LLLC (outside Daylight)",AG117="LLLC Controls Only"))=TRUE,FALSE,TRUE),FALSE)</f>
        <v>1</v>
      </c>
      <c r="HT116" s="1670" t="b">
        <f>IFERROR(IF(OR(AG117=Lookup!BB$17,AG117=Lookup!BB$18,AG117=Lookup!BB$19)=TRUE,IF(AF117&gt;T117,FALSE,TRUE),TRUE),FALSE)</f>
        <v>1</v>
      </c>
      <c r="HU116" s="1684" t="b">
        <f>IFERROR(IF(__Retrofit_TI_NC=2,IF(EZ117&lt;EZ115,FALSE,TRUE),TRUE),FALSE)</f>
        <v>1</v>
      </c>
      <c r="HV116" s="1684" t="b">
        <f>IF(CQ115="Interior",IL$6,TRUE)</f>
        <v>1</v>
      </c>
      <c r="HW116" s="1684" t="b">
        <f>IF(CQ115="Exterior",IL$8,TRUE)</f>
        <v>1</v>
      </c>
      <c r="HX116" s="1684" t="b">
        <f>IFERROR(IF(__Retrofit_TI_NC&lt;&gt;0,IF(AZ115&lt;AY115,FALSE,TRUE),TRUE),FALSE)</f>
        <v>1</v>
      </c>
      <c r="HY116" s="1684" t="b">
        <f>IFERROR(IF(AND(G116="Exterior",R116&gt;4200),FALSE,TRUE),FALSE)</f>
        <v>1</v>
      </c>
      <c r="HZ116" s="1684" t="b">
        <f>IFERROR(IF(AB118/AB115&lt;HZ$18,FALSE,TRUE),FALSE)</f>
        <v>0</v>
      </c>
      <c r="IB116" s="1691"/>
      <c r="IC116" s="1695"/>
      <c r="ID116" s="1694" t="str">
        <f>VLOOKUP(IB118,_Error_Table,4,FALSE)</f>
        <v>White</v>
      </c>
      <c r="IE116" s="391"/>
      <c r="IF116" s="1688"/>
      <c r="IG116" s="1689"/>
      <c r="IH116" s="1684"/>
      <c r="IK116" s="1689"/>
      <c r="IL116" s="1691"/>
      <c r="IM116" s="1691"/>
      <c r="IN116" s="1691"/>
      <c r="IP116" s="1679"/>
      <c r="IQ116" s="1679"/>
      <c r="IR116" s="1679"/>
      <c r="IS116" s="1679"/>
      <c r="IT116" s="1679"/>
      <c r="IU116" s="1679"/>
      <c r="IV116" s="1679"/>
      <c r="IW116" s="1679"/>
      <c r="IX116" s="1679"/>
      <c r="IY116" s="1679"/>
      <c r="IZ116" s="1679"/>
      <c r="JA116" s="1679"/>
      <c r="JC116" s="1680"/>
      <c r="JD116" s="1670"/>
      <c r="JE116" s="1681"/>
      <c r="JG116" s="1680"/>
      <c r="JH116" s="1670"/>
      <c r="JI116" s="1060"/>
      <c r="JJ116" s="1683"/>
      <c r="JK116" s="1061"/>
      <c r="JL116" s="1683"/>
      <c r="JM116" s="1061"/>
      <c r="JN116" s="1683"/>
      <c r="JO116" s="1061"/>
      <c r="JP116" s="1683"/>
      <c r="JQ116" s="1061"/>
      <c r="JR116" s="1683"/>
      <c r="JS116" s="1061"/>
      <c r="JT116" s="1670"/>
      <c r="JU116" s="1061"/>
      <c r="JV116" s="1670"/>
      <c r="JX116" s="1670"/>
      <c r="JZ116" s="1683"/>
      <c r="KB116" s="1670"/>
    </row>
    <row r="117" spans="1:288" s="78" customFormat="1" ht="14.95" customHeight="1" thickTop="1" thickBot="1">
      <c r="A117" s="78">
        <f>ROW()</f>
        <v>117</v>
      </c>
      <c r="B117" s="1845"/>
      <c r="C117" s="1846"/>
      <c r="D117" s="1847"/>
      <c r="E117" s="1737" t="s">
        <v>298</v>
      </c>
      <c r="F117" s="1738"/>
      <c r="G117" s="1760"/>
      <c r="H117" s="1761"/>
      <c r="I117" s="1761"/>
      <c r="J117" s="1761"/>
      <c r="K117" s="1761"/>
      <c r="L117" s="1762"/>
      <c r="M117" s="461">
        <f>IFERROR(IF(IF(__Retrofit_TI_NC&lt;&gt;0,IF(CQ115="Interior",MATCH(G117,Lookup_Interior_New,0),MATCH(G117,Lookup_Exterior_New,0)),IF(CQ115="Interior",MATCH(G117,Lookup_Interior,0),MATCH(G117,Lookup_Exterior_Areas,0)))&gt;0,1,0),0)</f>
        <v>0</v>
      </c>
      <c r="N117" s="461" t="e">
        <f>IF(__Retrofit_TI_NC=1,
VLOOKUP(G117,'Space Table'!$B$3:$L$163,4,FALSE),
IF(__Retrofit_TI_NC=2,VLOOKUP(G117,'Space Table'!$B$3:$L$163,5,FALSE),VLOOKUP(G117,'Space Table'!$B$3:$L$163,5,FALSE)))</f>
        <v>#N/A</v>
      </c>
      <c r="O117" s="461">
        <f>G117</f>
        <v>0</v>
      </c>
      <c r="P117" s="1738" t="str">
        <f>IFERROR(IF(__Retrofit_TI_NC=1,VLOOKUP(G117,'Space Table'!$B$3:$O$163,13,FALSE),IF(__Retrofit_TI_NC=2,VLOOKUP(G117,'Space Table'!$B$3:$O$163,14,FALSE),"Area (sf):")),"Area (sf):")</f>
        <v>Area (sf):</v>
      </c>
      <c r="Q117" s="1738"/>
      <c r="R117" s="596"/>
      <c r="S117" s="1763" t="s">
        <v>345</v>
      </c>
      <c r="T117" s="594"/>
      <c r="U117" s="1801"/>
      <c r="V117" s="1802"/>
      <c r="W117" s="1802"/>
      <c r="X117" s="1802"/>
      <c r="Y117" s="1802"/>
      <c r="Z117" s="1802"/>
      <c r="AA117" s="1802"/>
      <c r="AB117" s="1802"/>
      <c r="AC117" s="1802"/>
      <c r="AD117" s="1802"/>
      <c r="AE117" s="1803"/>
      <c r="AF117" s="594"/>
      <c r="AG117" s="1787"/>
      <c r="AH117" s="1787"/>
      <c r="AI117" s="1787"/>
      <c r="AJ117" s="1787"/>
      <c r="AK117" s="1787"/>
      <c r="AL117" s="1787"/>
      <c r="AM117" s="1726">
        <f>IFERROR(DI117,"")</f>
        <v>0</v>
      </c>
      <c r="AN117" s="1728" t="str">
        <f>IFERROR(ROUND(AM117*AC118,0),"")</f>
        <v/>
      </c>
      <c r="AO117" s="1730">
        <f>IFERROR(IF(IB115=FALSE,0,AC118-AN117),0)</f>
        <v>0</v>
      </c>
      <c r="AP117" s="1780"/>
      <c r="AQ117" s="1781"/>
      <c r="AR117" s="1795"/>
      <c r="AS117" s="1795"/>
      <c r="AT117" s="1796"/>
      <c r="AU117" s="1735"/>
      <c r="AV117" s="1752"/>
      <c r="AW117" s="1705"/>
      <c r="AX117" s="467"/>
      <c r="AY117" s="1749"/>
      <c r="AZ117" s="1749"/>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696"/>
      <c r="CQ117" s="1696"/>
      <c r="CR117" s="1808" t="str">
        <f>CQ115</f>
        <v/>
      </c>
      <c r="CS117" s="1810" t="str">
        <f>CS115</f>
        <v/>
      </c>
      <c r="CU117" s="1688" t="s">
        <v>345</v>
      </c>
      <c r="CV117" s="1702">
        <f>IF(IB115=TRUE,T117,0)</f>
        <v>0</v>
      </c>
      <c r="CW117" s="1702" t="str">
        <f>IF(IB115=TRUE,U117,"")</f>
        <v/>
      </c>
      <c r="CX117" s="1812">
        <f>IF(IB115=TRUE,U118,0)</f>
        <v>0</v>
      </c>
      <c r="CY117" s="1814">
        <f>IF(IB115=TRUE,AB118,0)</f>
        <v>0</v>
      </c>
      <c r="CZ117" s="1710">
        <f>IF(AND(__Retrofit_TI_NC&gt;0,CR115="interior"),0,IF(IB115=TRUE,AC118,0))</f>
        <v>0</v>
      </c>
      <c r="DA117" s="1818"/>
      <c r="DB117" s="1820"/>
      <c r="DC117" s="1820"/>
      <c r="DD117" s="1820"/>
      <c r="DF117" s="1702">
        <f>IF(IB115=TRUE,AF117,0)</f>
        <v>0</v>
      </c>
      <c r="DG117" s="1830" t="str">
        <f>IF(IB115=TRUE,AG117,"")</f>
        <v/>
      </c>
      <c r="DH117" s="1812">
        <f>AG118</f>
        <v>0</v>
      </c>
      <c r="DI117" s="1837">
        <f>JE117</f>
        <v>0</v>
      </c>
      <c r="DJ117" s="1710">
        <f>IF(AND(__Retrofit_TI_NC&gt;0,CR115="interior"),0,IF(IB115=TRUE,AN117,0))</f>
        <v>0</v>
      </c>
      <c r="DK117" s="1712"/>
      <c r="DN117" s="1717">
        <f>IFERROR(CZ117-DJ117,0)</f>
        <v>0</v>
      </c>
      <c r="DO117" s="1709"/>
      <c r="DQ117" s="1715"/>
      <c r="DR117" s="1719" t="str">
        <f>DQ115</f>
        <v/>
      </c>
      <c r="DS117" s="1816"/>
      <c r="DT117" s="1835" t="str">
        <f>IF(OR(DS115=7,DS115=8,DS115=9),"ALC","")</f>
        <v/>
      </c>
      <c r="DU117" s="1715"/>
      <c r="DV117" s="1716"/>
      <c r="DX117" s="1715"/>
      <c r="DY117" s="1829" t="str">
        <f>DX115</f>
        <v/>
      </c>
      <c r="DZ117" s="1715"/>
      <c r="EA117" s="1715"/>
      <c r="EC117" s="1834"/>
      <c r="ED117" s="1834"/>
      <c r="EF117" s="1707"/>
      <c r="EG117" s="1712"/>
      <c r="EH117" s="1818"/>
      <c r="EI117" s="1712"/>
      <c r="EJ117" s="1712"/>
      <c r="EK117" s="1836"/>
      <c r="EL117" s="1836"/>
      <c r="EM117" s="1807"/>
      <c r="EN117" s="1839"/>
      <c r="EO117" s="1839"/>
      <c r="EP117" s="1817"/>
      <c r="EQ117" s="1817"/>
      <c r="ER117" s="1807"/>
      <c r="ES117" s="1807"/>
      <c r="ET117" s="1807"/>
      <c r="EV117" s="1715"/>
      <c r="EX117" s="1805" t="str">
        <f>IFERROR(VLOOKUP(CS117,'Space Table'!$B$3:$L$163,8,FALSE),"")</f>
        <v/>
      </c>
      <c r="EY117" s="1805" t="str">
        <f>IFERROR(IF(FB117="Yes",VLOOKUP(AG117,Lookup_Control_Type_Table2,4,FALSE),VLOOKUP(AG117,Lookup_Control_Type_Table2,3,FALSE)),"")</f>
        <v/>
      </c>
      <c r="EZ117" s="1805" t="e">
        <f>VLOOKUP(AG117,Lookup!BB$3:BC$20,2,FALSE)</f>
        <v>#N/A</v>
      </c>
      <c r="FA117" s="1805" t="e">
        <f>VLOOKUP(EX115,Lookup_Control_Type_Table,2,FALSE)</f>
        <v>#N/A</v>
      </c>
      <c r="FB117" s="1805" t="e">
        <f>VLOOKUP(CS117,'Space Table'!$B$3:$L$163,7,FALSE)</f>
        <v>#N/A</v>
      </c>
      <c r="FC117" s="1827"/>
      <c r="FE117" s="1698" t="str">
        <f>CONCATENATE(CQ115," - ",AG117)</f>
        <v xml:space="preserve"> - </v>
      </c>
      <c r="FG117" s="1816"/>
      <c r="FH117" s="1816"/>
      <c r="FI117" s="133"/>
      <c r="FL117" s="1822" t="str">
        <f>IF(CQ115="Exterior","Not Daylighted",G118)</f>
        <v>Not Daylighted</v>
      </c>
      <c r="FM117" s="1824">
        <f>VLOOKUP(FL117,_New_Daylight_Table_Codes,2,FALSE)</f>
        <v>0</v>
      </c>
      <c r="FN117" s="1698">
        <f>AG117</f>
        <v>0</v>
      </c>
      <c r="FO117" s="1698" t="e">
        <f>VLOOKUP(FN117,_Control_Table,2,FALSE)</f>
        <v>#N/A</v>
      </c>
      <c r="FP117" s="1678" t="e">
        <f>VLOOKUP(CONCATENATE(FL117," ",FN117),Lookup!AY$102:AZ128,2,FALSE)</f>
        <v>#N/A</v>
      </c>
      <c r="FQ117" s="1698">
        <f>IF(__Retrofit_TI_NC=0,FN117,IF(AND(FT117&gt;0,FN117="Occupancy Sensor"),"Daylight + Occupancy",IF(AND(FT117&gt;0,FO117&lt;4),"Interior Daylight Dimming",FN117)))</f>
        <v>0</v>
      </c>
      <c r="FS117" s="1686">
        <f>IF(CQ115="Interior",VLOOKUP(CS115,Control_Savings_Interior,5,FALSE),0)</f>
        <v>0</v>
      </c>
      <c r="FT117" s="1687">
        <f>IF(CQ117="Exterior",0,IF(FM117=2,0.5,IF(OR(FM117=1,FM117=3),1,0)))</f>
        <v>0</v>
      </c>
      <c r="FU117" s="1685">
        <f>IF(R116&gt;FS$44,(FS117*(FS$44/R116)),FS117)*FT117</f>
        <v>0</v>
      </c>
      <c r="FV117" s="1686">
        <f>DI117</f>
        <v>0</v>
      </c>
      <c r="FW117" s="1686">
        <f>ROUND(FV117+((1-FV117)*FU117),2)</f>
        <v>0</v>
      </c>
      <c r="FX117" s="1686">
        <f>IF(__Retrofit_TI_NC=2,FW117,FV117)</f>
        <v>0</v>
      </c>
      <c r="FY117" s="1697">
        <f>IF(CR117="Interior",VLOOKUP(CS117,Control_Savings_Interior,4,FALSE),0)</f>
        <v>0</v>
      </c>
      <c r="GA117" s="1696"/>
      <c r="GB117" s="1696"/>
      <c r="GC117" s="1696"/>
      <c r="GD117" s="1696"/>
      <c r="GE117" s="1696"/>
      <c r="GF117" s="1696"/>
      <c r="GG117" s="1696"/>
      <c r="GH117" s="1696"/>
      <c r="GI117" s="673" t="b">
        <f>IF(ISNUMBER(SEARCH("TLED",U117)),TRUE,FALSE)</f>
        <v>0</v>
      </c>
      <c r="GJ117" s="1135" t="str">
        <f>IFERROR(VLOOKUP(U117,Fixtures!DM$93:DR$142,6,FALSE),"")</f>
        <v/>
      </c>
      <c r="GK117" s="1832"/>
      <c r="GM117" s="1692"/>
      <c r="GN117" s="1684"/>
      <c r="GP117" s="1684"/>
      <c r="GQ117" s="1684"/>
      <c r="HG117" s="1684"/>
      <c r="HH117" s="1684"/>
      <c r="HI117" s="1684"/>
      <c r="HJ117" s="1684"/>
      <c r="HK117" s="1684"/>
      <c r="HL117" s="1684"/>
      <c r="HM117" s="1684"/>
      <c r="HN117" s="1683"/>
      <c r="HO117" s="1692"/>
      <c r="HP117" s="1692"/>
      <c r="HQ117" s="1670"/>
      <c r="HR117" s="1684"/>
      <c r="HS117" s="1684"/>
      <c r="HT117" s="1670"/>
      <c r="HU117" s="1684"/>
      <c r="HV117" s="1684"/>
      <c r="HW117" s="1684"/>
      <c r="HX117" s="1684"/>
      <c r="HY117" s="1684"/>
      <c r="HZ117" s="1684"/>
      <c r="IB117" s="1692"/>
      <c r="IC117" s="1693" t="b">
        <f>IB115</f>
        <v>0</v>
      </c>
      <c r="ID117" s="1695"/>
      <c r="IE117" s="391"/>
      <c r="IF117" s="1688"/>
      <c r="IG117" s="1689">
        <f ca="1">IF(IF115=TRUE,AC118,0)</f>
        <v>0</v>
      </c>
      <c r="IH117" s="1684"/>
      <c r="IK117" s="1689" t="e">
        <f>ROUND(T117*AB118*N116*R116/1000,0)</f>
        <v>#VALUE!</v>
      </c>
      <c r="IL117" s="1691"/>
      <c r="IM117" s="1693" t="e">
        <f>ROUND(T117*AB118*N116*R116/1000,0)</f>
        <v>#VALUE!</v>
      </c>
      <c r="IN117" s="1691"/>
      <c r="IP117" s="1679"/>
      <c r="IQ117" s="1679" t="e">
        <f t="shared" ref="IQ117:IU117" si="82">IF($CR117="interior",VLOOKUP($CS117,_New_Control_Savings_Interior,IQ$30,FALSE),VLOOKUP($CS117,Control_Savings_Exterior,IQ$30,FALSE))</f>
        <v>#N/A</v>
      </c>
      <c r="IR117" s="1679" t="e">
        <f t="shared" si="82"/>
        <v>#N/A</v>
      </c>
      <c r="IS117" s="1679" t="e">
        <f t="shared" si="82"/>
        <v>#N/A</v>
      </c>
      <c r="IT117" s="1679" t="e">
        <f t="shared" si="82"/>
        <v>#N/A</v>
      </c>
      <c r="IU117" s="1679" t="e">
        <f t="shared" si="82"/>
        <v>#N/A</v>
      </c>
      <c r="IV117" s="1679" t="e">
        <f>IF($CR117="interior",IF(R116&gt;$IP$14,ROUND(($IV$18*($IP$14/R116)),2),$IV$18),VLOOKUP($CS117,Control_Savings_Exterior,IV$30,FALSE))</f>
        <v>#N/A</v>
      </c>
      <c r="IW117" s="1679" t="e">
        <f>IF($CR117="interior",ROUND(((1-IS117)*IV117)+IS117,2),VLOOKUP($CS117,Control_Savings_Exterior,IW$30,FALSE))</f>
        <v>#N/A</v>
      </c>
      <c r="IX117" s="1679" t="e">
        <f>IF($CR117="interior",ROUND(((1-IT117)*IV117)+IT117,2),VLOOKUP($CS117,Control_Savings_Exterior,IX$30,FALSE))</f>
        <v>#N/A</v>
      </c>
      <c r="IY117" s="1679" t="e">
        <f>IF($CR117="interior",IF(R116&gt;$IP$14,ROUND(($IY$18*($IP$14/R116)),2),$IY$18),VLOOKUP($CS117,Control_Savings_Exterior,IY$30,FALSE))</f>
        <v>#N/A</v>
      </c>
      <c r="IZ117" s="1679" t="e">
        <f>IF($CR117="interior",ROUND(((1-IS117)*IY117)+IS117,2),VLOOKUP($CS117,Control_Savings_Exterior,IZ$30,FALSE))</f>
        <v>#N/A</v>
      </c>
      <c r="JA117" s="1679" t="e">
        <f>IF($CR117="interior",ROUND(((1-IT117)*IY117)+IT117,2),VLOOKUP($CS117,Control_Savings_Exterior,JA$30,FALSE))</f>
        <v>#N/A</v>
      </c>
      <c r="JC117" s="1680">
        <f>IFERROR(IF(CR117="Interior",CONCATENATE(G118," ",FQ117),AG117),"")</f>
        <v>0</v>
      </c>
      <c r="JD117" s="1670" t="str">
        <f>IFERROR(VLOOKUP(JC117,_Controls_2023,2,FALSE),"")</f>
        <v/>
      </c>
      <c r="JE117" s="1681">
        <f>IFERROR(CHOOSE(JD117-1,IQ117,IR117,IS117,IT117,IU117,IV117,IW117,IX117,IY117,IZ117,JA117),0)</f>
        <v>0</v>
      </c>
      <c r="JG117" s="1680" t="str">
        <f>FE117</f>
        <v xml:space="preserve"> - </v>
      </c>
      <c r="JH117" s="1670" t="e">
        <f>$FO117</f>
        <v>#N/A</v>
      </c>
      <c r="JI117" s="1060"/>
      <c r="JJ117" s="1670">
        <f>IFERROR(IF($IB115=TRUE,IF(OR(JJ$14="No",JJ115=FALSE,JH117&lt;=JH115,AND(_kWh_Grant=0,GD115=FALSE)),0,IF(JJ$8="Per Line",1,$AF117)),0),0)</f>
        <v>0</v>
      </c>
      <c r="JK117" s="1061"/>
      <c r="JL117" s="1670">
        <f>IFERROR(IF(_kWh_Grant=0,0,IF($IB115=TRUE,IF(OR(JL$14="No",JL115=FALSE,JH117&lt;=JH115),0,IF(JL$8="Per Line",1,$T117)),0)),0)</f>
        <v>0</v>
      </c>
      <c r="JM117" s="1061"/>
      <c r="JN117" s="1670">
        <f>IFERROR(IF(_kWh_Grant=0,0,IF($IB115=TRUE,IF(OR(JN$14="No",JN115=FALSE,JH117&lt;=JH115),0,IF(JN$8="Per Line",1,$AF117)),0)),0)</f>
        <v>0</v>
      </c>
      <c r="JO117" s="1061"/>
      <c r="JP117" s="1670">
        <f>IFERROR(IF(__Retrofit_TI_NC=0,IF(_kWh_Grant=0,0,IF($IB115=TRUE,IF(OR(JP$14="No",JP115=FALSE,$JH117&lt;=$JH115),0,IF(JP$8="Per Line",1,$AF117)),0)),IF($IB115=TRUE,IF(OR(JP$14="No",JP115=FALSE,$JH117&lt;=$JH115),0,IF(JP$8="Per Line",1,$AF117)))),0)</f>
        <v>0</v>
      </c>
      <c r="JQ117" s="1061"/>
      <c r="JR117" s="1670">
        <f>IFERROR(IF(__Retrofit_TI_NC=0,IF(_kWh_Grant=0,0,IF($IB115=TRUE,IF(OR(JR$14="No",JR115=FALSE,$JH117&lt;=$JH115),0,IF(JR$8="Per Line",1,$AF117)),0)),IF($IB115=TRUE,IF(OR(JR$14="No",JR115=FALSE,$JH117&lt;=$JH115),0,IF(JR$8="Per Line",1,$AF117)))),0)</f>
        <v>0</v>
      </c>
      <c r="JS117" s="1061"/>
      <c r="JT117" s="1670">
        <f>IFERROR(IF(__Retrofit_TI_NC=0,IF(_kWh_Grant=0,0,IF($IB115=TRUE,IF(OR(JT$14="No",JT115=FALSE,$JH117&lt;=$JH115),0,IF(JT$8="Per Line",1,$AF117)),0)),IF($IB115=TRUE,IF(OR(JT$14="No",JT115=FALSE,$JH117&lt;=$JH115),0,IF(JT$8="Per Line",1,$AF117)))),0)</f>
        <v>0</v>
      </c>
      <c r="JU117" s="1061"/>
      <c r="JV117" s="1670">
        <f>IFERROR(IF(__Retrofit_TI_NC=0,IF(_kWh_Grant=0,0,IF($IB115=TRUE,IF(OR(JV$14="No",JV115=FALSE,$JH117&lt;=$JH115),0,IF(JV$8="Per Line",1,$AF117)),0)),IF($IB115=TRUE,IF(OR(JV$14="No",JV115=FALSE,$JH117&lt;=$JH115),0,IF(JV$8="Per Line",1,$AF117)))),0)</f>
        <v>0</v>
      </c>
      <c r="JX117" s="1670">
        <f>IFERROR(IF(__Retrofit_TI_NC=0,IF(_kWh_Grant=0,0,IF($IB115=TRUE,IF(OR(JX$14="No",JX115=FALSE,$JH117&lt;=$JH115),0,IF(JX$8="Per Line",1,$AF117)),0)),IF($IB115=TRUE,IF(OR(JX$14="No",JX115=FALSE,$JH117&lt;=$JH115),0,IF(JX$8="Per Line",1,$AF117)))),0)</f>
        <v>0</v>
      </c>
      <c r="JZ117" s="1670">
        <f>IFERROR(IF($IB115=TRUE,IF(OR(JZ$14="No",JZ115=FALSE,$JH117&lt;=$JH115,AND(_kWh_Grant=0,$GD115=FALSE)),0,IF(JZ$8="Per Line",1,$AF117)),0),0)</f>
        <v>0</v>
      </c>
      <c r="KB117" s="1670">
        <f>IFERROR(IF(__Retrofit_TI_NC=0,IF(_kWh_Grant=0,0,IF($IB115=TRUE,IF(OR(KB$14="No",KB115=FALSE,$JH117&lt;=$JH115),0,IF(KB$8="Per Line",1,$AF117)),0)),IF($IB115=TRUE,IF(OR(KB$14="No",KB115=FALSE,$JH117&lt;=$JH115),0,IF(KB$8="Per Line",1,$AF117)))),0)</f>
        <v>0</v>
      </c>
    </row>
    <row r="118" spans="1:288" s="78" customFormat="1" ht="14.95" customHeight="1" thickTop="1" thickBot="1">
      <c r="B118" s="1845"/>
      <c r="C118" s="1846"/>
      <c r="D118" s="1847"/>
      <c r="E118" s="1771" t="s">
        <v>436</v>
      </c>
      <c r="F118" s="1772"/>
      <c r="G118" s="1784" t="s">
        <v>437</v>
      </c>
      <c r="H118" s="1785"/>
      <c r="I118" s="1785"/>
      <c r="J118" s="1785"/>
      <c r="K118" s="1785"/>
      <c r="L118" s="1786"/>
      <c r="M118" s="591">
        <f>IFERROR(VLOOKUP(G118,_Daylight_Table[],2,FALSE),0)</f>
        <v>0</v>
      </c>
      <c r="N118" s="592" t="str">
        <f>IF(AND(__Retrofit_TI_NC&gt;0,CQ115="Interior"),"BAM","")</f>
        <v/>
      </c>
      <c r="O118" s="591" t="e">
        <f>VLOOKUP(G117,'Space Table'!$B$3:$L$163,11,FALSE)</f>
        <v>#N/A</v>
      </c>
      <c r="P118" s="1789"/>
      <c r="Q118" s="1790"/>
      <c r="R118" s="1790"/>
      <c r="S118" s="1788"/>
      <c r="T118" s="593" t="s">
        <v>342</v>
      </c>
      <c r="U118" s="1756" t="str" cm="1">
        <f t="array" aca="1" ref="U118" ca="1">IFERROR(VLOOKUP(INDIRECT("U" &amp; ROW()-1),Fixtures!DM$93:DP$142,4,FALSE),"")</f>
        <v/>
      </c>
      <c r="V118" s="1757"/>
      <c r="W118" s="1757"/>
      <c r="X118" s="1757"/>
      <c r="Y118" s="1757"/>
      <c r="Z118" s="1757"/>
      <c r="AA118" s="1758"/>
      <c r="AB118" s="939" t="str">
        <f>IFERROR(VLOOKUP(U117,Fixtures_Proposed_List,2,FALSE),"")</f>
        <v/>
      </c>
      <c r="AC118" s="933" t="str">
        <f>IFERROR(ROUND(T117*AB118*N116*R116/1000,0),"")</f>
        <v/>
      </c>
      <c r="AD118" s="934" t="str">
        <f>IFERROR(ROUND(T117*AB118/1000,2),"")</f>
        <v/>
      </c>
      <c r="AE118" s="998"/>
      <c r="AF118" s="938" t="s">
        <v>342</v>
      </c>
      <c r="AG118" s="1770"/>
      <c r="AH118" s="1770"/>
      <c r="AI118" s="1770"/>
      <c r="AJ118" s="1770"/>
      <c r="AK118" s="1770"/>
      <c r="AL118" s="1770"/>
      <c r="AM118" s="1727"/>
      <c r="AN118" s="1729"/>
      <c r="AO118" s="1731"/>
      <c r="AP118" s="1782"/>
      <c r="AQ118" s="1783"/>
      <c r="AR118" s="1797"/>
      <c r="AS118" s="1797"/>
      <c r="AT118" s="1798"/>
      <c r="AU118" s="1736"/>
      <c r="AV118" s="1753"/>
      <c r="AW118" s="1706"/>
      <c r="AX118" s="468"/>
      <c r="AY118" s="1750"/>
      <c r="AZ118" s="1750"/>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696"/>
      <c r="CQ118" s="1696"/>
      <c r="CR118" s="1809"/>
      <c r="CS118" s="1811"/>
      <c r="CU118" s="1688"/>
      <c r="CV118" s="1703"/>
      <c r="CW118" s="1703"/>
      <c r="CX118" s="1813"/>
      <c r="CY118" s="1815"/>
      <c r="CZ118" s="1711"/>
      <c r="DA118" s="1815"/>
      <c r="DB118" s="1821"/>
      <c r="DC118" s="1821"/>
      <c r="DD118" s="1821"/>
      <c r="DF118" s="1703"/>
      <c r="DG118" s="1831"/>
      <c r="DH118" s="1813"/>
      <c r="DI118" s="1838"/>
      <c r="DJ118" s="1711"/>
      <c r="DK118" s="1712"/>
      <c r="DN118" s="1718"/>
      <c r="DO118" s="1709"/>
      <c r="DQ118" s="1715"/>
      <c r="DR118" s="1720"/>
      <c r="DS118" s="1703"/>
      <c r="DT118" s="1714"/>
      <c r="DU118" s="1715"/>
      <c r="DV118" s="1716"/>
      <c r="DX118" s="1715"/>
      <c r="DY118" s="1720"/>
      <c r="DZ118" s="1715"/>
      <c r="EA118" s="1715"/>
      <c r="EC118" s="1834"/>
      <c r="ED118" s="1834"/>
      <c r="EF118" s="1707"/>
      <c r="EG118" s="1712"/>
      <c r="EH118" s="1815"/>
      <c r="EI118" s="1712"/>
      <c r="EJ118" s="1712"/>
      <c r="EK118" s="1813"/>
      <c r="EL118" s="1813"/>
      <c r="EM118" s="1807"/>
      <c r="EN118" s="1839"/>
      <c r="EO118" s="1839"/>
      <c r="EP118" s="1817"/>
      <c r="EQ118" s="1817"/>
      <c r="ER118" s="1807"/>
      <c r="ES118" s="1807"/>
      <c r="ET118" s="1807"/>
      <c r="EV118" s="1715"/>
      <c r="EX118" s="1806"/>
      <c r="EY118" s="1806"/>
      <c r="EZ118" s="1806"/>
      <c r="FA118" s="1806"/>
      <c r="FB118" s="1806"/>
      <c r="FC118" s="1828"/>
      <c r="FE118" s="1698"/>
      <c r="FG118" s="1703"/>
      <c r="FH118" s="1703"/>
      <c r="FI118" s="133"/>
      <c r="FL118" s="1823"/>
      <c r="FM118" s="1825"/>
      <c r="FN118" s="1698"/>
      <c r="FO118" s="1698"/>
      <c r="FP118" s="1678"/>
      <c r="FQ118" s="1698"/>
      <c r="FS118" s="1687"/>
      <c r="FT118" s="1687"/>
      <c r="FU118" s="1685"/>
      <c r="FV118" s="1687"/>
      <c r="FW118" s="1687"/>
      <c r="FX118" s="1687"/>
      <c r="FY118" s="1697"/>
      <c r="GA118" s="1696"/>
      <c r="GB118" s="1696"/>
      <c r="GC118" s="1696"/>
      <c r="GD118" s="1696"/>
      <c r="GE118" s="1696"/>
      <c r="GF118" s="1696"/>
      <c r="GG118" s="1696"/>
      <c r="GH118" s="1696"/>
      <c r="GI118" s="673"/>
      <c r="GJ118" s="1135"/>
      <c r="GK118" s="1832"/>
      <c r="GN118" s="674">
        <f>IF(GN116=TRUE,0,GN$16)</f>
        <v>0</v>
      </c>
      <c r="GP118" s="674">
        <f>IF(GP116=TRUE,0,GP$16)</f>
        <v>36</v>
      </c>
      <c r="GQ118" s="674">
        <f ca="1">IF(GQ116=TRUE,0,GQ$16)</f>
        <v>35</v>
      </c>
      <c r="GR118" s="391"/>
      <c r="GS118" s="391"/>
      <c r="GT118" s="391"/>
      <c r="GU118" s="391"/>
      <c r="GV118" s="391"/>
      <c r="HG118" s="674">
        <f>IF(HG116=TRUE,0,HG$16)</f>
        <v>0</v>
      </c>
      <c r="HH118" s="674">
        <f t="shared" ref="HH118:HM118" si="83">IF(HH116=TRUE,0,HH$16)</f>
        <v>19</v>
      </c>
      <c r="HI118" s="674">
        <f t="shared" si="83"/>
        <v>18</v>
      </c>
      <c r="HJ118" s="674">
        <f t="shared" si="83"/>
        <v>17</v>
      </c>
      <c r="HK118" s="674">
        <f t="shared" si="83"/>
        <v>16</v>
      </c>
      <c r="HL118" s="674">
        <f t="shared" si="83"/>
        <v>0</v>
      </c>
      <c r="HM118" s="674">
        <f t="shared" si="83"/>
        <v>0</v>
      </c>
      <c r="HN118" s="674">
        <f>IF(HN116=TRUE,0,HN$16)</f>
        <v>13</v>
      </c>
      <c r="HO118" s="674">
        <f t="shared" ref="HO118:HQ118" si="84">IF(HO116=TRUE,0,HO$16)</f>
        <v>0</v>
      </c>
      <c r="HP118" s="674">
        <f t="shared" si="84"/>
        <v>0</v>
      </c>
      <c r="HQ118" s="674">
        <f t="shared" si="84"/>
        <v>10</v>
      </c>
      <c r="HR118" s="674">
        <f>IF(HR116=TRUE,0,HR$16)</f>
        <v>9</v>
      </c>
      <c r="HS118" s="674">
        <f t="shared" ref="HS118:HW118" si="85">IF(HS116=TRUE,0,HS$16)</f>
        <v>0</v>
      </c>
      <c r="HT118" s="674">
        <f t="shared" si="85"/>
        <v>0</v>
      </c>
      <c r="HU118" s="674">
        <f t="shared" si="85"/>
        <v>0</v>
      </c>
      <c r="HV118" s="674">
        <f t="shared" si="85"/>
        <v>0</v>
      </c>
      <c r="HW118" s="674">
        <f t="shared" si="85"/>
        <v>0</v>
      </c>
      <c r="HX118" s="674">
        <f>IF(HX116=TRUE,0,HX$16)</f>
        <v>0</v>
      </c>
      <c r="HY118" s="674">
        <f>IF(HY116=TRUE,0,HY$16)</f>
        <v>0</v>
      </c>
      <c r="HZ118" s="674">
        <f>IF(HZ116=TRUE,0,HZ$16)</f>
        <v>1</v>
      </c>
      <c r="IB118" s="674">
        <f>IF(GP116=FALSE,GP118,IF(GQ116=FALSE,GQ118,MAX(GN118:HZ118)))</f>
        <v>36</v>
      </c>
      <c r="IC118" s="1692"/>
      <c r="ID118" s="205" t="str">
        <f>VLOOKUP(IB118,_Error_Table,3,FALSE)</f>
        <v xml:space="preserve"> </v>
      </c>
      <c r="IE118" s="205"/>
      <c r="IF118" s="1688"/>
      <c r="IG118" s="1689"/>
      <c r="IH118" s="1684"/>
      <c r="IK118" s="1689"/>
      <c r="IL118" s="1692"/>
      <c r="IM118" s="1692"/>
      <c r="IN118" s="1692"/>
      <c r="IP118" s="1679"/>
      <c r="IQ118" s="1679"/>
      <c r="IR118" s="1679"/>
      <c r="IS118" s="1679"/>
      <c r="IT118" s="1679"/>
      <c r="IU118" s="1679"/>
      <c r="IV118" s="1679"/>
      <c r="IW118" s="1679"/>
      <c r="IX118" s="1679"/>
      <c r="IY118" s="1679"/>
      <c r="IZ118" s="1679"/>
      <c r="JA118" s="1679"/>
      <c r="JC118" s="1680"/>
      <c r="JD118" s="1670"/>
      <c r="JE118" s="1681"/>
      <c r="JG118" s="1680"/>
      <c r="JH118" s="1670"/>
      <c r="JI118" s="1060"/>
      <c r="JJ118" s="1670"/>
      <c r="JK118" s="1061"/>
      <c r="JL118" s="1670"/>
      <c r="JM118" s="1061"/>
      <c r="JN118" s="1670"/>
      <c r="JO118" s="1061"/>
      <c r="JP118" s="1670"/>
      <c r="JQ118" s="1061"/>
      <c r="JR118" s="1670"/>
      <c r="JS118" s="1061"/>
      <c r="JT118" s="1670"/>
      <c r="JU118" s="1061"/>
      <c r="JV118" s="1670"/>
      <c r="JX118" s="1670"/>
      <c r="JZ118" s="1670"/>
      <c r="KB118" s="1670"/>
    </row>
    <row r="119" spans="1:288" s="78" customFormat="1" ht="5.0999999999999996" customHeight="1">
      <c r="B119" s="676"/>
      <c r="C119" s="392"/>
      <c r="D119" s="392"/>
      <c r="E119" s="1733"/>
      <c r="F119" s="1733"/>
      <c r="G119" s="1733"/>
      <c r="H119" s="1733"/>
      <c r="I119" s="1733"/>
      <c r="J119" s="1733"/>
      <c r="K119" s="1733"/>
      <c r="L119" s="1733"/>
      <c r="M119" s="1733"/>
      <c r="N119" s="1733"/>
      <c r="O119" s="1733"/>
      <c r="P119" s="1733"/>
      <c r="Q119" s="1733"/>
      <c r="R119" s="1733"/>
      <c r="S119" s="1733"/>
      <c r="T119" s="1733"/>
      <c r="U119" s="1733"/>
      <c r="V119" s="1733"/>
      <c r="W119" s="1733"/>
      <c r="X119" s="1733"/>
      <c r="Y119" s="1733"/>
      <c r="Z119" s="1733"/>
      <c r="AA119" s="1733"/>
      <c r="AB119" s="1733"/>
      <c r="AC119" s="1733"/>
      <c r="AD119" s="1733"/>
      <c r="AE119" s="1733"/>
      <c r="AF119" s="1733"/>
      <c r="AG119" s="1733"/>
      <c r="AH119" s="1733"/>
      <c r="AI119" s="1733"/>
      <c r="AJ119" s="1733"/>
      <c r="AK119" s="1733"/>
      <c r="AL119" s="1733"/>
      <c r="AM119" s="1733"/>
      <c r="AN119" s="1733"/>
      <c r="AO119" s="1733"/>
      <c r="AP119" s="1733"/>
      <c r="AQ119" s="1733"/>
      <c r="AR119" s="1733"/>
      <c r="AS119" s="1733"/>
      <c r="AT119" s="1733"/>
      <c r="AU119" s="1733"/>
      <c r="AV119" s="1733"/>
      <c r="AW119" s="1733"/>
      <c r="AX119" s="469"/>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663"/>
      <c r="CQ119" s="663"/>
      <c r="CR119" s="438"/>
      <c r="CS119" s="663"/>
      <c r="CV119" s="391"/>
      <c r="CW119" s="391"/>
      <c r="CX119" s="207"/>
      <c r="CY119" s="208"/>
      <c r="CZ119" s="208"/>
      <c r="DA119" s="208"/>
      <c r="DB119" s="209"/>
      <c r="DC119" s="209"/>
      <c r="DD119" s="209"/>
      <c r="DF119" s="664"/>
      <c r="DG119" s="665"/>
      <c r="DH119" s="666"/>
      <c r="DI119" s="667"/>
      <c r="DJ119" s="668"/>
      <c r="DK119" s="668"/>
      <c r="DN119" s="208"/>
      <c r="DO119" s="664"/>
      <c r="DQ119" s="664"/>
      <c r="DR119" s="669"/>
      <c r="DS119" s="391"/>
      <c r="DT119" s="664"/>
      <c r="DU119" s="664"/>
      <c r="DV119" s="664"/>
      <c r="DX119" s="664"/>
      <c r="DY119" s="664"/>
      <c r="DZ119" s="664"/>
      <c r="EA119" s="664"/>
      <c r="EC119" s="670"/>
      <c r="ED119" s="670"/>
      <c r="EF119" s="668"/>
      <c r="EG119" s="668"/>
      <c r="EH119" s="208"/>
      <c r="EI119" s="668"/>
      <c r="EJ119" s="668"/>
      <c r="EK119" s="207"/>
      <c r="EL119" s="207"/>
      <c r="EM119" s="666"/>
      <c r="EN119" s="671"/>
      <c r="EO119" s="671"/>
      <c r="EP119" s="672"/>
      <c r="EQ119" s="672"/>
      <c r="ER119" s="666"/>
      <c r="ES119" s="666"/>
      <c r="ET119" s="666"/>
      <c r="EV119" s="664"/>
      <c r="EX119" s="391"/>
      <c r="EY119" s="391"/>
      <c r="EZ119" s="391"/>
      <c r="FA119" s="391"/>
      <c r="FB119" s="391"/>
      <c r="FC119" s="391"/>
      <c r="FE119" s="569"/>
      <c r="FG119" s="391"/>
      <c r="FH119" s="391"/>
      <c r="FI119" s="391"/>
      <c r="FS119" s="664"/>
      <c r="FT119" s="391"/>
      <c r="FU119" s="391"/>
      <c r="FV119" s="664"/>
      <c r="FW119" s="664"/>
      <c r="GA119" s="663"/>
      <c r="GB119" s="663"/>
      <c r="GC119" s="663"/>
      <c r="GD119" s="663"/>
      <c r="GE119" s="663"/>
      <c r="GF119" s="663"/>
      <c r="GG119" s="663"/>
      <c r="GH119" s="663"/>
      <c r="GI119" s="665"/>
      <c r="GJ119" s="664"/>
      <c r="GK119" s="664"/>
    </row>
    <row r="120" spans="1:288" s="78" customFormat="1" ht="14.95" customHeight="1">
      <c r="B120" s="1845" t="str">
        <f>ID123</f>
        <v xml:space="preserve"> </v>
      </c>
      <c r="C120" s="1846">
        <f>C115+1</f>
        <v>15</v>
      </c>
      <c r="D120" s="1847"/>
      <c r="E120" s="1799" t="s">
        <v>295</v>
      </c>
      <c r="F120" s="1800"/>
      <c r="G120" s="1741"/>
      <c r="H120" s="1742"/>
      <c r="I120" s="1742"/>
      <c r="J120" s="1742"/>
      <c r="K120" s="1742"/>
      <c r="L120" s="1742"/>
      <c r="M120" s="1742"/>
      <c r="N120" s="1742"/>
      <c r="O120" s="1742"/>
      <c r="P120" s="1742"/>
      <c r="Q120" s="1742"/>
      <c r="R120" s="1742"/>
      <c r="S120" s="1791" t="s">
        <v>344</v>
      </c>
      <c r="T120" s="590"/>
      <c r="U120" s="1743"/>
      <c r="V120" s="1744"/>
      <c r="W120" s="1744"/>
      <c r="X120" s="1744"/>
      <c r="Y120" s="1744"/>
      <c r="Z120" s="1744"/>
      <c r="AA120" s="1744"/>
      <c r="AB120" s="961" t="str">
        <f>IFERROR(IF(__Retrofit_TI_NC=0,VLOOKUP(U121,Fixtures_Existing_List,2,FALSE),ROUND(N122*R122/T122,10)),"")</f>
        <v/>
      </c>
      <c r="AC120" s="935" t="str">
        <f>IFERROR(IF(__Retrofit_TI_NC=0,ROUND(T121*AB120*N121*R121/1000,0),IF(CQ120="Interior",N122*R122*R121*N121*_C406_reduction/1000,N122*R122*R121*N121/1000)),"")</f>
        <v/>
      </c>
      <c r="AD120" s="936" t="str">
        <f>IFERROR(IF(C$43=0,ROUND(T121*AB120/1000,2),N122*R122/1000),"")</f>
        <v/>
      </c>
      <c r="AE120" s="997"/>
      <c r="AF120" s="937"/>
      <c r="AG120" s="1745" t="str">
        <f>IF(__Retrofit_TI_NC=0," Control","Select Advanced Control for New System")</f>
        <v xml:space="preserve"> Control</v>
      </c>
      <c r="AH120" s="1745"/>
      <c r="AI120" s="1745"/>
      <c r="AJ120" s="1745"/>
      <c r="AK120" s="1745"/>
      <c r="AL120" s="1745"/>
      <c r="AM120" s="1746">
        <f>IFERROR(DI120,"")</f>
        <v>0</v>
      </c>
      <c r="AN120" s="1774" t="str">
        <f>IFERROR(ROUND(AM120*AC120,0),"")</f>
        <v/>
      </c>
      <c r="AO120" s="1776">
        <f>IFERROR(IF(IB120=FALSE,0,AC120-AN120),0)</f>
        <v>0</v>
      </c>
      <c r="AP120" s="1778">
        <f>AO120-AO122</f>
        <v>0</v>
      </c>
      <c r="AQ120" s="1779"/>
      <c r="AR120" s="1793">
        <f>IFERROR(IF(IB120=FALSE,0,(T122*U123)+(AF122*AG123)),0)</f>
        <v>0</v>
      </c>
      <c r="AS120" s="1793"/>
      <c r="AT120" s="1794"/>
      <c r="AU120" s="1734" t="s">
        <v>237</v>
      </c>
      <c r="AV120" s="1751">
        <f>IF(AU120="Yes",1,0)</f>
        <v>1</v>
      </c>
      <c r="AW120" s="1704" t="str">
        <f>IF(OR(DQ120=4,DQ120=5,DQ120=6,DQ120=12),CONCATENATE("$",IF(GH120=TRUE,Lookup!$K$10,Lookup!$K$2)," /lamp"),CONCATENATE(TEXT(ED120,"$0.00"),"/ kWh"))</f>
        <v>$0.00/ kWh</v>
      </c>
      <c r="AX120" s="467"/>
      <c r="AY120" s="1748">
        <f ca="1">IFERROR(IF(GM121=TRUE,(AB123*T122)/R122,0),"NA")</f>
        <v>0</v>
      </c>
      <c r="AZ120" s="1748"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696" t="str">
        <f>N121</f>
        <v/>
      </c>
      <c r="CQ120" s="1696" t="str">
        <f>IFERROR(VLOOKUP(G121,_Lookup_Heat_Type_Table_New,3,FALSE),"")</f>
        <v/>
      </c>
      <c r="CR120" s="1808" t="str">
        <f>CQ120</f>
        <v/>
      </c>
      <c r="CS120" s="1810" t="str">
        <f>IFERROR(VLOOKUP(G122,'Space Table'!$B$3:$L$163,9,FALSE),"")</f>
        <v/>
      </c>
      <c r="CU120" s="1688" t="s">
        <v>344</v>
      </c>
      <c r="CV120" s="1702">
        <f>IF(IB120=TRUE,T121,0)</f>
        <v>0</v>
      </c>
      <c r="CW120" s="1702" t="str">
        <f>IF(IB120=TRUE,U121,"")</f>
        <v/>
      </c>
      <c r="CX120" s="1702"/>
      <c r="CY120" s="1814">
        <f>IF(IB120=TRUE,AB120,0)</f>
        <v>0</v>
      </c>
      <c r="CZ120" s="1710">
        <f>IF(AND(__Retrofit_TI_NC&gt;0,CR120="interior"),0,IF(IB120=TRUE,AC120,0))</f>
        <v>0</v>
      </c>
      <c r="DA120" s="1814">
        <f>IFERROR(IF(IB120=TRUE,CZ120-CZ122,0),0)</f>
        <v>0</v>
      </c>
      <c r="DB120" s="1819">
        <f>IF(IB120=TRUE,AD120,0)</f>
        <v>0</v>
      </c>
      <c r="DC120" s="1819">
        <f>IF(IB120=TRUE,AD123,0)</f>
        <v>0</v>
      </c>
      <c r="DD120" s="1819">
        <f>IFERROR(DB120-DC120,0)</f>
        <v>0</v>
      </c>
      <c r="DF120" s="1702">
        <f>IF(IB120=TRUE,AF121,0)</f>
        <v>0</v>
      </c>
      <c r="DG120" s="1830">
        <f>IFERROR(IF(__Retrofit_TI_NC=2,IF(CQ120="Exterior",O123,FQ120),FN120),"")</f>
        <v>0</v>
      </c>
      <c r="DH120" s="1702"/>
      <c r="DI120" s="1837">
        <f>JE120</f>
        <v>0</v>
      </c>
      <c r="DJ120" s="1710">
        <f>IF(AND(__Retrofit_TI_NC&gt;0,CR120="interior"),0,IF(IB120=TRUE,AN120,0))</f>
        <v>0</v>
      </c>
      <c r="DK120" s="1712">
        <f>IFERROR(IF(IB120=TRUE,DJ122-DJ120,0),0)</f>
        <v>0</v>
      </c>
      <c r="DM120" s="1717">
        <f>IFERROR(CZ120-DJ120,0)</f>
        <v>0</v>
      </c>
      <c r="DO120" s="1708">
        <f>DM120-DN122</f>
        <v>0</v>
      </c>
      <c r="DQ120" s="1715" t="str">
        <f>IFERROR(IF(AND(OR(GC120=4,GC120=5,GC120=6),OR(GF120=4,GF120=5,GF120=6)),GC120+8,VLOOKUP(CW122,Fixtures!R$31:Y$78,8,FALSE)),"")</f>
        <v/>
      </c>
      <c r="DR120" s="1829" t="str">
        <f>DQ120</f>
        <v/>
      </c>
      <c r="DS120" s="1702" t="str">
        <f>IFERROR(VLOOKUP(DG122,Lookup!BB$3:BC$20,2,FALSE),"")</f>
        <v/>
      </c>
      <c r="DT120" s="1713" t="str">
        <f>IF(OR(DS120=7,DS120=8,DS120=9),"ALC","")</f>
        <v/>
      </c>
      <c r="DU120" s="1715">
        <f>IFERROR(IF(OR(DQ120=4,DQ120=5,DQ120=6,DQ120=12,DQ120=13,DQ120=14),VLOOKUP(CW122,Fixtures!DN$27:EG$77,19,FALSE),1)*CV122,0)</f>
        <v>0</v>
      </c>
      <c r="DV120" s="1716">
        <f>IF(OR(DS120=7,DS120=8,DS120=9),IF(DG120=DG122,0,DF122),0)</f>
        <v>0</v>
      </c>
      <c r="DX120" s="1715" t="str">
        <f>IFERROR(IF(EZ120&lt;EZ122,"Yes","No"),"")</f>
        <v/>
      </c>
      <c r="DY120" s="1829" t="str">
        <f>DX120</f>
        <v/>
      </c>
      <c r="DZ120" s="1715">
        <f>IF(DX120="Yes",DF122,0)</f>
        <v>0</v>
      </c>
      <c r="EA120" s="1715">
        <f>DZ120-DV120</f>
        <v>0</v>
      </c>
      <c r="EC120" s="1834">
        <f>IFERROR(VLOOKUP(DQ120,Lookup!AU$3:AV$16,2,FALSE),0)</f>
        <v>0</v>
      </c>
      <c r="ED120" s="1834">
        <f>IF(IB120=FALSE,0,IF(DX120="Yes",EC120+Lookup!K$6,EC120))</f>
        <v>0</v>
      </c>
      <c r="EF120" s="1707">
        <f>IF(IB120=TRUE,DM120,0)</f>
        <v>0</v>
      </c>
      <c r="EG120" s="1712">
        <f>IF(IB120=TRUE,CZ122,0)</f>
        <v>0</v>
      </c>
      <c r="EH120" s="1814">
        <f>IFERROR(EF120-EG120,0)</f>
        <v>0</v>
      </c>
      <c r="EI120" s="1712">
        <f>IF(IB120=TRUE,DJ122,0)</f>
        <v>0</v>
      </c>
      <c r="EJ120" s="1712">
        <f>IFERROR(EF120-EG120+EI120,0)</f>
        <v>0</v>
      </c>
      <c r="EK120" s="1812">
        <f>IF(IB120=TRUE,CV122*CX122,0)</f>
        <v>0</v>
      </c>
      <c r="EL120" s="1812">
        <f>IF(IB120=TRUE,DF122*DH122,0)</f>
        <v>0</v>
      </c>
      <c r="EM120" s="1807">
        <f>AR120</f>
        <v>0</v>
      </c>
      <c r="EN120" s="1839" t="str">
        <f>IFERROR(IF(IB120=TRUE,VLOOKUP(DQ120,Lookup!AU$3:AW$16,3,FALSE)*DU120,""),0)</f>
        <v/>
      </c>
      <c r="EO120" s="1839">
        <f>IF(IB120=TRUE,DZ120*Lookup!AW$12,0)</f>
        <v>0</v>
      </c>
      <c r="EP120" s="1817">
        <f>IFERROR(IF(IB120=TRUE,EN120/EP$40,0),0)</f>
        <v>0</v>
      </c>
      <c r="EQ120" s="1817">
        <f>IF(IB120=TRUE,EO120/EQ$40,0)</f>
        <v>0</v>
      </c>
      <c r="ER120" s="1807">
        <f>IF(IB120=TRUE,ET$40*EP120,0)</f>
        <v>0</v>
      </c>
      <c r="ES120" s="1807">
        <f>IF(IB120=TRUE,ET$40*EQ120,0)</f>
        <v>0</v>
      </c>
      <c r="ET120" s="1807">
        <f>ER120+ES120</f>
        <v>0</v>
      </c>
      <c r="EV120" s="1715">
        <f>IF(G120="",0,1)</f>
        <v>0</v>
      </c>
      <c r="EX120" s="1804" t="str">
        <f>IFERROR(VLOOKUP(CS122,'Space Table'!$B$3:$L$163,8,FALSE),"")</f>
        <v/>
      </c>
      <c r="EY120" s="1804" t="str">
        <f>IFERROR(IF(FB120="Yes",VLOOKUP(DG120,Lookup_Control_Type_Table2,4,FALSE),VLOOKUP(DG120,Lookup_Control_Type_Table2,3,FALSE)),"")</f>
        <v/>
      </c>
      <c r="EZ120" s="1804" t="e">
        <f>VLOOKUP(DG120,Lookup!BB$3:BC$20,2,FALSE)</f>
        <v>#N/A</v>
      </c>
      <c r="FA120" s="1804" t="e">
        <f>VLOOKUP(EX120,Lookup_Control_Type_Table,2,FALSE)</f>
        <v>#N/A</v>
      </c>
      <c r="FB120" s="1804" t="e">
        <f>VLOOKUP(CS122,'Space Table'!$B$3:$L$163,7,FALSE)</f>
        <v>#N/A</v>
      </c>
      <c r="FC120" s="1826" t="b">
        <f>ISNUMBER(SEARCH("TLED",U122))</f>
        <v>0</v>
      </c>
      <c r="FE120" s="1698" t="str">
        <f>CONCATENATE(CQ120," - ",DG120)</f>
        <v xml:space="preserve"> - 0</v>
      </c>
      <c r="FG120" s="1702" t="str">
        <f>VLOOKUP(CW122,Fixtures!DN$27:EZ$77,38,FALSE)</f>
        <v/>
      </c>
      <c r="FH120" s="1702">
        <f>IFERROR(FG120*EH120,0)</f>
        <v>0</v>
      </c>
      <c r="FI120" s="133"/>
      <c r="FL120" s="1822" t="str">
        <f>IF(CQ120="Exterior","Not Daylighted",G123)</f>
        <v>Not Daylighted</v>
      </c>
      <c r="FM120" s="1824">
        <f>VLOOKUP(FL120,_New_Daylight_Table_Codes,2,FALSE)</f>
        <v>0</v>
      </c>
      <c r="FN120" s="1698">
        <f>IF(__Retrofit_TI_NC&gt;0,VLOOKUP(G122,'Space Table'!$B$3:$L$163,11,FALSE),AG121)</f>
        <v>0</v>
      </c>
      <c r="FO120" s="1698" t="e">
        <f>IF(__Retrofit_TI_NC=2,VLOOKUP(FQ120,_Control_Table,2,FALSE),VLOOKUP(FN120,_Control_Table,2,FALSE))</f>
        <v>#N/A</v>
      </c>
      <c r="FP120" s="1678" t="e">
        <f>VLOOKUP(CONCATENATE(FL120," ",FN120),Lookup!AY$102:AZ130,2,FALSE)</f>
        <v>#N/A</v>
      </c>
      <c r="FQ120" s="1678">
        <f>IF(__Retrofit_TI_NC=0,FN120,IF(AND(FT120&gt;0,FN120="Occupancy Sensor"),"Daylight + Occupancy",IF(AND(FT120&gt;0,VLOOKUP(FN120,_Control_Table,2,FALSE)&lt;4),"Interior Daylight Dimming",FN120)))</f>
        <v>0</v>
      </c>
      <c r="FS120" s="1686">
        <f>IF(CR120="Interior",VLOOKUP(CS120,Control_Savings_Interior,5,FALSE),0)</f>
        <v>0</v>
      </c>
      <c r="FT120" s="1687">
        <f>IF(CQ120="Exterior",0,IF(FM120=2,0.5,IF(OR(FM120=1,FM120=3),1,0)))</f>
        <v>0</v>
      </c>
      <c r="FU120" s="1685">
        <f>IF(R119&gt;FS$44,(FS120*(FS$44/R119)),FS120)*FT120</f>
        <v>0</v>
      </c>
      <c r="FV120" s="1686">
        <f>DI120</f>
        <v>0</v>
      </c>
      <c r="FW120" s="1686">
        <f>ROUND(FV120+((1-FV120)*FU120),2)</f>
        <v>0</v>
      </c>
      <c r="FX120" s="1686">
        <f>IF(__Retrofit_TI_NC=2,FW120,FV120)</f>
        <v>0</v>
      </c>
      <c r="FY120" s="1697"/>
      <c r="GA120" s="1696" t="str">
        <f>IFERROR(VLOOKUP(U121,_Exist_Fixture_Table,3,FALSE),"")</f>
        <v/>
      </c>
      <c r="GB120" s="1696" t="str">
        <f>VLOOKUP(CW120,_Exist_Fixture_Table,4,FALSE)</f>
        <v/>
      </c>
      <c r="GC120" s="1696">
        <f>IFERROR(VLOOKUP(GB120,Lookup!AT$6:AU$8,2,FALSE),0)</f>
        <v>0</v>
      </c>
      <c r="GD120" s="1696" t="b">
        <f>IFERROR(IF(OR(GF120=4,GF120=5,GF120=6),TRUE,FALSE),"")</f>
        <v>0</v>
      </c>
      <c r="GE120" s="1696" t="str">
        <f>IFERROR(VLOOKUP(GF120,GC$6:GD$10,2,FALSE),"")</f>
        <v/>
      </c>
      <c r="GF120" s="1696" t="str">
        <f>VLOOKUP(CW122,Fixtures!R$31:Y$78,8,FALSE)</f>
        <v/>
      </c>
      <c r="GG120" s="1696">
        <f>IF(AND(GA120=TRUE,GD120=TRUE,OR(DQ120=12,DQ120=13,DQ120=14)),GC120+8,0)</f>
        <v>0</v>
      </c>
      <c r="GH120" s="1696" t="b">
        <f>IF(OR(GG120=12,GG120=13,GG120=14),TRUE,FALSE)</f>
        <v>0</v>
      </c>
      <c r="GI120" s="673" t="b">
        <f>IF(ISNUMBER(SEARCH("TLED",U121)),TRUE,FALSE)</f>
        <v>0</v>
      </c>
      <c r="GJ120" s="1135" t="str">
        <f>IFERROR(VLOOKUP(U121,Fixtures!BM$93:BR$142,6,FALSE),"")</f>
        <v/>
      </c>
      <c r="GK120" s="1832" t="b">
        <f>IF(OR(GI120=FALSE,GI122=FALSE),TRUE,IF(GJ120-GJ122&lt;5,FALSE,TRUE))</f>
        <v>1</v>
      </c>
      <c r="GO120" s="674">
        <f>GP120</f>
        <v>0</v>
      </c>
      <c r="GP120" s="674">
        <f>IF(G120="",0,1)</f>
        <v>0</v>
      </c>
      <c r="GQ120" s="674">
        <f ca="1">SUM(GR120:HF120)</f>
        <v>2</v>
      </c>
      <c r="GR120" s="674">
        <f>IF(G121="",0,1)</f>
        <v>0</v>
      </c>
      <c r="GS120" s="674">
        <f>IF(N123="BAM",1,IF(G122="",0,1))</f>
        <v>0</v>
      </c>
      <c r="GT120" s="674">
        <f>IF(N123="BAM",1,IF(R121="",0,1))</f>
        <v>0</v>
      </c>
      <c r="GU120" s="674">
        <f>IF(N123="BAM",1,IF(__Retrofit_TI_NC=0,1,IF(R122="",0,1)))</f>
        <v>1</v>
      </c>
      <c r="GV120" s="674">
        <f>IF(N123="BAM",1,IF(CQ120="Exterior",1,IF(G123="",0,1)))</f>
        <v>1</v>
      </c>
      <c r="GW120" s="674">
        <f>IF(__Retrofit_TI_NC&gt;0,1,IF(T121="",0,1))</f>
        <v>0</v>
      </c>
      <c r="GX120" s="674">
        <f>IF(__Retrofit_TI_NC&gt;0,1,IF(U121="",0,1))</f>
        <v>0</v>
      </c>
      <c r="GY120" s="674">
        <f>IF(N123="BAM",1,IF(T122="",0,1))</f>
        <v>0</v>
      </c>
      <c r="GZ120" s="674">
        <f>IF(N123="BAM",1,IF(U122="",0,1))</f>
        <v>0</v>
      </c>
      <c r="HA120" s="674">
        <f ca="1">IF(N123="BAM",1,IF(__Retrofit_TI_NC&gt;0,1,IF(U123="",0,1)))</f>
        <v>0</v>
      </c>
      <c r="HB120" s="674">
        <f>IF(__Retrofit_TI_NC&lt;&gt;0,1,IF(AF121="",0,1))</f>
        <v>0</v>
      </c>
      <c r="HC120" s="674">
        <f>IF(__Retrofit_TI_NC&lt;&gt;0,1,IF(AG121="",0,1))</f>
        <v>0</v>
      </c>
      <c r="HD120" s="674">
        <f>IF(N123="BAM",1,IF(AF122="",0,1))</f>
        <v>0</v>
      </c>
      <c r="HE120" s="674">
        <f>IF(N123="BAM",1,IF(AG122="",0,1))</f>
        <v>0</v>
      </c>
      <c r="HF120" s="674">
        <f>IF(N123="BAM",1,IF(__Retrofit_TI_NC&gt;0,1,IF(AG123="",0,1)))</f>
        <v>0</v>
      </c>
      <c r="HG120" s="391"/>
      <c r="IA120" s="391"/>
      <c r="IB120" s="1693" t="b">
        <f>IF(OR(IB123=0,IB123=HY$16,IB123=HX$16,IB123=HZ$16),TRUE,FALSE)</f>
        <v>0</v>
      </c>
      <c r="IC120" s="1694" t="b">
        <f>IB120</f>
        <v>0</v>
      </c>
      <c r="ID120" s="391"/>
      <c r="IE120" s="391"/>
      <c r="IF120" s="1688" t="b">
        <f ca="1">IF(MAX(GN123:HU123)&gt;5,FALSE,TRUE)</f>
        <v>0</v>
      </c>
      <c r="IG120" s="1689">
        <f ca="1">IF(IF120=TRUE,AC120,0)</f>
        <v>0</v>
      </c>
      <c r="IH120" s="1689">
        <f ca="1">IG120-IG122</f>
        <v>0</v>
      </c>
      <c r="IK120" s="1689" t="e">
        <f>ROUND(T121*VLOOKUP(U121,Fixtures_Existing_List,2,FALSE)*N121*R121/1000,0)</f>
        <v>#N/A</v>
      </c>
      <c r="IL120" s="1690" t="e">
        <f>IK120-IK122</f>
        <v>#N/A</v>
      </c>
      <c r="IM120" s="1693" t="e">
        <f>ROUND(IF(CQ120="Interior",N122*R122*R121*N121*_C406_reduction/1000,N122*R122*R121*N121/1000),0)</f>
        <v>#N/A</v>
      </c>
      <c r="IN120" s="1693" t="e">
        <f>IM120-IM122</f>
        <v>#N/A</v>
      </c>
      <c r="IP120" s="1679"/>
      <c r="IQ120" s="1679" t="e">
        <f t="shared" ref="IQ120:IU120" si="86">IF($CR120="interior",VLOOKUP($CS120,_New_Control_Savings_Interior,IQ$30,FALSE),VLOOKUP($CS120,Control_Savings_Exterior,IQ$30,FALSE))</f>
        <v>#N/A</v>
      </c>
      <c r="IR120" s="1679" t="e">
        <f t="shared" si="86"/>
        <v>#N/A</v>
      </c>
      <c r="IS120" s="1679" t="e">
        <f t="shared" si="86"/>
        <v>#N/A</v>
      </c>
      <c r="IT120" s="1679" t="e">
        <f t="shared" si="86"/>
        <v>#N/A</v>
      </c>
      <c r="IU120" s="1679" t="e">
        <f t="shared" si="86"/>
        <v>#N/A</v>
      </c>
      <c r="IV120" s="1679" t="e">
        <f>IF($CR120="interior",IF(R121&gt;$IP$14,ROUND(($IV$18*($IP$14/R121)),2),$IV$18),VLOOKUP($CS120,Control_Savings_Exterior,IV$30,FALSE))</f>
        <v>#N/A</v>
      </c>
      <c r="IW120" s="1679" t="e">
        <f>IF($CR120="interior",ROUND(((1-IS120)*IV120)+IS120,2),VLOOKUP($CS120,Control_Savings_Exterior,IW$30,FALSE))</f>
        <v>#N/A</v>
      </c>
      <c r="IX120" s="1679" t="e">
        <f>IF($CR120="interior",ROUND(((1-IT120)*IV120)+IT120,2),VLOOKUP($CS120,Control_Savings_Exterior,IX$30,FALSE))</f>
        <v>#N/A</v>
      </c>
      <c r="IY120" s="1679" t="e">
        <f>IF($CR120="interior",IF(R121&gt;$IP$14,ROUND(($IY$18*($IP$14/R121)),2),$IY$18),VLOOKUP($CS120,Control_Savings_Exterior,IY$30,FALSE))</f>
        <v>#N/A</v>
      </c>
      <c r="IZ120" s="1679" t="e">
        <f>IF($CR120="interior",ROUND(((1-IS120)*IY120)+IS120,2),VLOOKUP($CS120,Control_Savings_Exterior,IZ$30,FALSE))</f>
        <v>#N/A</v>
      </c>
      <c r="JA120" s="1679" t="e">
        <f>IF($CR120="interior",ROUND(((1-IT120)*IY120)+IT120,2),VLOOKUP($CS120,Control_Savings_Exterior,JA$30,FALSE))</f>
        <v>#N/A</v>
      </c>
      <c r="JC120" s="1680">
        <f>IFERROR(IF(CR120="Interior",CONCATENATE(G123," ",FQ120),FQ120),"")</f>
        <v>0</v>
      </c>
      <c r="JD120" s="1670" t="str">
        <f>IFERROR(VLOOKUP(JC120,_Controls_2023,2,FALSE),"")</f>
        <v/>
      </c>
      <c r="JE120" s="1681">
        <f>IFERROR(CHOOSE(JD120-1,IQ120,IR120,IS120,IT120,IU120,IV120,IW120,IX120,IY120,IZ120,JA120),0)</f>
        <v>0</v>
      </c>
      <c r="JG120" s="1680" t="str">
        <f>FE120</f>
        <v xml:space="preserve"> - 0</v>
      </c>
      <c r="JH120" s="1670" t="e">
        <f>$FO120</f>
        <v>#N/A</v>
      </c>
      <c r="JI120" s="1060"/>
      <c r="JJ120" s="1682" t="b">
        <f>IF($JG122=CONCATENATE("Interior - ",JJ$4),TRUE,FALSE)</f>
        <v>0</v>
      </c>
      <c r="JK120" s="1061"/>
      <c r="JL120" s="1682" t="b">
        <f>IF($JG122=CONCATENATE("Interior - ",JL$4),TRUE,FALSE)</f>
        <v>0</v>
      </c>
      <c r="JM120" s="1061"/>
      <c r="JN120" s="1682" t="b">
        <f>IF($JG122=CONCATENATE("Interior - ",JN$4),TRUE,FALSE)</f>
        <v>0</v>
      </c>
      <c r="JO120" s="1061"/>
      <c r="JP120" s="1682" t="b">
        <f>IF(__Retrofit_TI_NC&gt;0,FALSE,IF($JG122=CONCATENATE("Interior - ",JP$4),TRUE,FALSE))</f>
        <v>0</v>
      </c>
      <c r="JQ120" s="1061"/>
      <c r="JR120" s="1682" t="b">
        <f>IF(__Retrofit_TI_NC&gt;0,FALSE,IF($JG122=CONCATENATE("Interior - ",JR$4),TRUE,FALSE))</f>
        <v>0</v>
      </c>
      <c r="JS120" s="1061"/>
      <c r="JT120" s="1670" t="b">
        <f>IF(__Retrofit_TI_NC&gt;0,FALSE,IF($JG122=CONCATENATE("Interior - ",JT$4),TRUE,FALSE))</f>
        <v>0</v>
      </c>
      <c r="JU120" s="1061"/>
      <c r="JV120" s="1670" t="b">
        <f>IF(JC122="AELC on Existing",TRUE,FALSE)</f>
        <v>0</v>
      </c>
      <c r="JX120" s="1670" t="b">
        <f>IF(OR(JG122="Exterior - AELC Occupancy based",JG122="Exterior - AELC Time based"),TRUE,FALSE)</f>
        <v>0</v>
      </c>
      <c r="JZ120" s="1682" t="b">
        <f>IF($JG122=CONCATENATE("Exterior - ",JZ$4),TRUE,FALSE)</f>
        <v>0</v>
      </c>
      <c r="KB120" s="1670" t="b">
        <f>IF(__Retrofit_TI_NC&gt;0,FALSE,IF($JG122=CONCATENATE("Interior - ",KB$4),TRUE,FALSE))</f>
        <v>0</v>
      </c>
    </row>
    <row r="121" spans="1:288" s="78" customFormat="1" ht="14.95" customHeight="1" thickTop="1" thickBot="1">
      <c r="B121" s="1845"/>
      <c r="C121" s="1846"/>
      <c r="D121" s="1847"/>
      <c r="E121" s="1737" t="s">
        <v>297</v>
      </c>
      <c r="F121" s="1738"/>
      <c r="G121" s="1739"/>
      <c r="H121" s="1739"/>
      <c r="I121" s="1739"/>
      <c r="J121" s="1739"/>
      <c r="K121" s="1739"/>
      <c r="L121" s="1739"/>
      <c r="M121" s="461" t="e">
        <f>IF(__Retrofit_TI_NC&lt;&gt;0,IF(VLOOKUP(G122,'Space Table'!$B$3:$L$163,3,FALSE)&gt;0,1,0),IF(__Retrofit_TI_NC=VLOOKUP(G122,'Space Table'!$B$3:$L$163,3,FALSE),1,0))</f>
        <v>#N/A</v>
      </c>
      <c r="N121" s="461" t="str">
        <f>IFERROR(VLOOKUP(G121,_Lookup_Heat_Type_Table_New,2,FALSE),"")</f>
        <v/>
      </c>
      <c r="O121" s="461">
        <f>IF(__Retrofit_TI_NC=1,CONCATENATE("TI ",G121),IF(__Retrofit_TI_NC=2,CONCATENATE("NC ",G121),G121))</f>
        <v>0</v>
      </c>
      <c r="P121" s="1740" t="s">
        <v>435</v>
      </c>
      <c r="Q121" s="1740"/>
      <c r="R121" s="595"/>
      <c r="S121" s="1792"/>
      <c r="T121" s="597"/>
      <c r="U121" s="1765"/>
      <c r="V121" s="1766"/>
      <c r="W121" s="1766"/>
      <c r="X121" s="1766"/>
      <c r="Y121" s="1766"/>
      <c r="Z121" s="1766"/>
      <c r="AA121" s="1766"/>
      <c r="AB121" s="1766"/>
      <c r="AC121" s="1766"/>
      <c r="AD121" s="1767"/>
      <c r="AE121" s="1000"/>
      <c r="AF121" s="597"/>
      <c r="AG121" s="1723"/>
      <c r="AH121" s="1724"/>
      <c r="AI121" s="1724"/>
      <c r="AJ121" s="1724"/>
      <c r="AK121" s="1725"/>
      <c r="AL121" s="996"/>
      <c r="AM121" s="1747"/>
      <c r="AN121" s="1775"/>
      <c r="AO121" s="1777"/>
      <c r="AP121" s="1780"/>
      <c r="AQ121" s="1781"/>
      <c r="AR121" s="1795"/>
      <c r="AS121" s="1795"/>
      <c r="AT121" s="1796"/>
      <c r="AU121" s="1735"/>
      <c r="AV121" s="1752"/>
      <c r="AW121" s="1705"/>
      <c r="AX121" s="467"/>
      <c r="AY121" s="1749"/>
      <c r="AZ121" s="1749"/>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696"/>
      <c r="CQ121" s="1696"/>
      <c r="CR121" s="1809"/>
      <c r="CS121" s="1811"/>
      <c r="CU121" s="1688"/>
      <c r="CV121" s="1703"/>
      <c r="CW121" s="1703"/>
      <c r="CX121" s="1703"/>
      <c r="CY121" s="1815"/>
      <c r="CZ121" s="1711"/>
      <c r="DA121" s="1818"/>
      <c r="DB121" s="1820"/>
      <c r="DC121" s="1820"/>
      <c r="DD121" s="1820"/>
      <c r="DF121" s="1703"/>
      <c r="DG121" s="1831"/>
      <c r="DH121" s="1703"/>
      <c r="DI121" s="1838"/>
      <c r="DJ121" s="1711"/>
      <c r="DK121" s="1712"/>
      <c r="DM121" s="1718"/>
      <c r="DO121" s="1708"/>
      <c r="DQ121" s="1715"/>
      <c r="DR121" s="1720"/>
      <c r="DS121" s="1816"/>
      <c r="DT121" s="1714"/>
      <c r="DU121" s="1715"/>
      <c r="DV121" s="1716"/>
      <c r="DX121" s="1715"/>
      <c r="DY121" s="1720"/>
      <c r="DZ121" s="1715"/>
      <c r="EA121" s="1715"/>
      <c r="EC121" s="1834"/>
      <c r="ED121" s="1834"/>
      <c r="EF121" s="1707"/>
      <c r="EG121" s="1712"/>
      <c r="EH121" s="1818"/>
      <c r="EI121" s="1712"/>
      <c r="EJ121" s="1712"/>
      <c r="EK121" s="1836"/>
      <c r="EL121" s="1836"/>
      <c r="EM121" s="1807"/>
      <c r="EN121" s="1839"/>
      <c r="EO121" s="1839"/>
      <c r="EP121" s="1817"/>
      <c r="EQ121" s="1817"/>
      <c r="ER121" s="1807"/>
      <c r="ES121" s="1807"/>
      <c r="ET121" s="1807"/>
      <c r="EV121" s="1715"/>
      <c r="EX121" s="1805"/>
      <c r="EY121" s="1805"/>
      <c r="EZ121" s="1805"/>
      <c r="FA121" s="1805"/>
      <c r="FB121" s="1805"/>
      <c r="FC121" s="1827"/>
      <c r="FE121" s="1698"/>
      <c r="FG121" s="1816"/>
      <c r="FH121" s="1816"/>
      <c r="FI121" s="133"/>
      <c r="FL121" s="1823"/>
      <c r="FM121" s="1825"/>
      <c r="FN121" s="1698"/>
      <c r="FO121" s="1698"/>
      <c r="FP121" s="1678"/>
      <c r="FQ121" s="1678"/>
      <c r="FS121" s="1687"/>
      <c r="FT121" s="1687"/>
      <c r="FU121" s="1685"/>
      <c r="FV121" s="1687"/>
      <c r="FW121" s="1687"/>
      <c r="FX121" s="1687"/>
      <c r="FY121" s="1697"/>
      <c r="GA121" s="1696"/>
      <c r="GB121" s="1696"/>
      <c r="GC121" s="1696"/>
      <c r="GD121" s="1696"/>
      <c r="GE121" s="1696"/>
      <c r="GF121" s="1696"/>
      <c r="GG121" s="1696"/>
      <c r="GH121" s="1696"/>
      <c r="GI121" s="673"/>
      <c r="GJ121" s="1135"/>
      <c r="GK121" s="1832"/>
      <c r="GM121" s="1693" t="b">
        <f ca="1">IF(AND(GP121=TRUE,GQ121=TRUE),TRUE,FALSE)</f>
        <v>0</v>
      </c>
      <c r="GN121" s="1684" t="b">
        <f>IFERROR(IF(__Retrofit_TI_NC=2,TRUE,IF(AU120="Yes",TRUE,FALSE)),FALSE)</f>
        <v>1</v>
      </c>
      <c r="GP121" s="1684" t="b">
        <f>IFERROR(IF(GP120=1,TRUE,FALSE),FALSE)</f>
        <v>0</v>
      </c>
      <c r="GQ121" s="1684" t="b">
        <f ca="1">IFERROR(IF(GQ120=GQ$14,TRUE,FALSE),FALSE)</f>
        <v>0</v>
      </c>
      <c r="HG121" s="1684" t="b">
        <f>IFERROR(IF(AND(__Retrofit_TI_NC&gt;0,CQ120="Interior"),FALSE,TRUE),FALSE)</f>
        <v>1</v>
      </c>
      <c r="HH121" s="1684" t="b">
        <f>IFERROR(IF(M121=1,TRUE,FALSE),FALSE)</f>
        <v>0</v>
      </c>
      <c r="HI121" s="1684" t="b">
        <f>IFERROR(IF(OR(M122=1,N123="BAM"),TRUE,FALSE),FALSE)</f>
        <v>0</v>
      </c>
      <c r="HJ121" s="1684" t="b">
        <f>IFERROR(IF(__Retrofit_TI_NC&lt;&gt;0,TRUE,IFERROR(IF(VLOOKUP(U121,Fixtures_Existing_List,2,FALSE)&lt;&gt;"",TRUE,FALSE),FALSE)),FALSE)</f>
        <v>0</v>
      </c>
      <c r="HK121" s="1684" t="b">
        <f>IFERROR(IF(VLOOKUP(U122,Fixtures_Proposed_List,2,FALSE)&lt;&gt;"",TRUE,FALSE),FALSE)</f>
        <v>0</v>
      </c>
      <c r="HL121" s="1684" t="b">
        <f>IF(AND(__Retrofit_TI_NC=2,FC120=TRUE),FALSE,TRUE)</f>
        <v>1</v>
      </c>
      <c r="HM121" s="1684" t="b">
        <f>GK120</f>
        <v>1</v>
      </c>
      <c r="HN121" s="1682" t="b">
        <f>IF(ISERROR(MATCH(FE120,_Control_Match[],0))=TRUE,FALSE,TRUE)</f>
        <v>0</v>
      </c>
      <c r="HO121" s="1693" t="b">
        <f>IFERROR(IF(EX120&lt;&gt;EY120,FALSE,TRUE),FALSE)</f>
        <v>1</v>
      </c>
      <c r="HP121" s="1693" t="b">
        <f>IFERROR(IF(EX122&lt;&gt;EY122,FALSE,TRUE),FALSE)</f>
        <v>1</v>
      </c>
      <c r="HQ121" s="1670" t="b">
        <f>IFERROR(IF(CQ120="Exterior",TRUE,IF(AND(OR(FM122=0,FM122=3),JD122&gt;6),FALSE,TRUE)),FALSE)</f>
        <v>0</v>
      </c>
      <c r="HR121" s="1684" t="b">
        <f>IFERROR(IF(AND(FO122=7,FC120=TRUE),FALSE,TRUE),FALSE)</f>
        <v>0</v>
      </c>
      <c r="HS121" s="1684" t="b">
        <f>IFERROR(IF(AND(T122&lt;&gt;AF122,OR(AG122="Interior LLLC", AG122="Interior NLC", AG122="LLLC (outside Daylight)",AG122="LLLC Controls Only"))=TRUE,FALSE,TRUE),FALSE)</f>
        <v>1</v>
      </c>
      <c r="HT121" s="1670" t="b">
        <f>IFERROR(IF(OR(AG122=Lookup!BB$17,AG122=Lookup!BB$18,AG122=Lookup!BB$19)=TRUE,IF(AF122&gt;T122,FALSE,TRUE),TRUE),FALSE)</f>
        <v>1</v>
      </c>
      <c r="HU121" s="1684" t="b">
        <f>IFERROR(IF(__Retrofit_TI_NC=2,IF(EZ122&lt;EZ120,FALSE,TRUE),TRUE),FALSE)</f>
        <v>1</v>
      </c>
      <c r="HV121" s="1684" t="b">
        <f>IF(CQ120="Interior",IL$6,TRUE)</f>
        <v>1</v>
      </c>
      <c r="HW121" s="1684" t="b">
        <f>IF(CQ120="Exterior",IL$8,TRUE)</f>
        <v>1</v>
      </c>
      <c r="HX121" s="1684" t="b">
        <f>IFERROR(IF(__Retrofit_TI_NC&lt;&gt;0,IF(AZ120&lt;AY120,FALSE,TRUE),TRUE),FALSE)</f>
        <v>1</v>
      </c>
      <c r="HY121" s="1684" t="b">
        <f>IFERROR(IF(AND(G121="Exterior",R121&gt;4200),FALSE,TRUE),FALSE)</f>
        <v>1</v>
      </c>
      <c r="HZ121" s="1684" t="b">
        <f>IFERROR(IF(AB123/AB120&lt;HZ$18,FALSE,TRUE),FALSE)</f>
        <v>0</v>
      </c>
      <c r="IB121" s="1691"/>
      <c r="IC121" s="1695"/>
      <c r="ID121" s="1694" t="str">
        <f>VLOOKUP(IB123,_Error_Table,4,FALSE)</f>
        <v>White</v>
      </c>
      <c r="IE121" s="391"/>
      <c r="IF121" s="1688"/>
      <c r="IG121" s="1689"/>
      <c r="IH121" s="1684"/>
      <c r="IK121" s="1689"/>
      <c r="IL121" s="1691"/>
      <c r="IM121" s="1691"/>
      <c r="IN121" s="1691"/>
      <c r="IP121" s="1679"/>
      <c r="IQ121" s="1679"/>
      <c r="IR121" s="1679"/>
      <c r="IS121" s="1679"/>
      <c r="IT121" s="1679"/>
      <c r="IU121" s="1679"/>
      <c r="IV121" s="1679"/>
      <c r="IW121" s="1679"/>
      <c r="IX121" s="1679"/>
      <c r="IY121" s="1679"/>
      <c r="IZ121" s="1679"/>
      <c r="JA121" s="1679"/>
      <c r="JC121" s="1680"/>
      <c r="JD121" s="1670"/>
      <c r="JE121" s="1681"/>
      <c r="JG121" s="1680"/>
      <c r="JH121" s="1670"/>
      <c r="JI121" s="1060"/>
      <c r="JJ121" s="1683"/>
      <c r="JK121" s="1061"/>
      <c r="JL121" s="1683"/>
      <c r="JM121" s="1061"/>
      <c r="JN121" s="1683"/>
      <c r="JO121" s="1061"/>
      <c r="JP121" s="1683"/>
      <c r="JQ121" s="1061"/>
      <c r="JR121" s="1683"/>
      <c r="JS121" s="1061"/>
      <c r="JT121" s="1670"/>
      <c r="JU121" s="1061"/>
      <c r="JV121" s="1670"/>
      <c r="JX121" s="1670"/>
      <c r="JZ121" s="1683"/>
      <c r="KB121" s="1670"/>
    </row>
    <row r="122" spans="1:288" s="78" customFormat="1" ht="14.95" customHeight="1" thickTop="1" thickBot="1">
      <c r="A122" s="78">
        <f>ROW()</f>
        <v>122</v>
      </c>
      <c r="B122" s="1845"/>
      <c r="C122" s="1846"/>
      <c r="D122" s="1847"/>
      <c r="E122" s="1737" t="s">
        <v>298</v>
      </c>
      <c r="F122" s="1738"/>
      <c r="G122" s="1760"/>
      <c r="H122" s="1761"/>
      <c r="I122" s="1761"/>
      <c r="J122" s="1761"/>
      <c r="K122" s="1761"/>
      <c r="L122" s="1762"/>
      <c r="M122" s="461">
        <f>IFERROR(IF(IF(__Retrofit_TI_NC&lt;&gt;0,IF(CQ120="Interior",MATCH(G122,Lookup_Interior_New,0),MATCH(G122,Lookup_Exterior_New,0)),IF(CQ120="Interior",MATCH(G122,Lookup_Interior,0),MATCH(G122,Lookup_Exterior_Areas,0)))&gt;0,1,0),0)</f>
        <v>0</v>
      </c>
      <c r="N122" s="461" t="e">
        <f>IF(__Retrofit_TI_NC=1,
VLOOKUP(G122,'Space Table'!$B$3:$L$163,4,FALSE),
IF(__Retrofit_TI_NC=2,VLOOKUP(G122,'Space Table'!$B$3:$L$163,5,FALSE),VLOOKUP(G122,'Space Table'!$B$3:$L$163,5,FALSE)))</f>
        <v>#N/A</v>
      </c>
      <c r="O122" s="461">
        <f>G122</f>
        <v>0</v>
      </c>
      <c r="P122" s="1738" t="str">
        <f>IFERROR(IF(__Retrofit_TI_NC=1,VLOOKUP(G122,'Space Table'!$B$3:$O$163,13,FALSE),IF(__Retrofit_TI_NC=2,VLOOKUP(G122,'Space Table'!$B$3:$O$163,14,FALSE),"Area (sf):")),"Area (sf):")</f>
        <v>Area (sf):</v>
      </c>
      <c r="Q122" s="1738"/>
      <c r="R122" s="596"/>
      <c r="S122" s="1763" t="s">
        <v>345</v>
      </c>
      <c r="T122" s="594"/>
      <c r="U122" s="1801"/>
      <c r="V122" s="1802"/>
      <c r="W122" s="1802"/>
      <c r="X122" s="1802"/>
      <c r="Y122" s="1802"/>
      <c r="Z122" s="1802"/>
      <c r="AA122" s="1802"/>
      <c r="AB122" s="1802"/>
      <c r="AC122" s="1802"/>
      <c r="AD122" s="1802"/>
      <c r="AE122" s="1803"/>
      <c r="AF122" s="594"/>
      <c r="AG122" s="1787"/>
      <c r="AH122" s="1787"/>
      <c r="AI122" s="1787"/>
      <c r="AJ122" s="1787"/>
      <c r="AK122" s="1787"/>
      <c r="AL122" s="1787"/>
      <c r="AM122" s="1726">
        <f>IFERROR(DI122,"")</f>
        <v>0</v>
      </c>
      <c r="AN122" s="1728" t="str">
        <f>IFERROR(ROUND(AM122*AC123,0),"")</f>
        <v/>
      </c>
      <c r="AO122" s="1730">
        <f>IFERROR(IF(IB120=FALSE,0,AC123-AN122),0)</f>
        <v>0</v>
      </c>
      <c r="AP122" s="1780"/>
      <c r="AQ122" s="1781"/>
      <c r="AR122" s="1795"/>
      <c r="AS122" s="1795"/>
      <c r="AT122" s="1796"/>
      <c r="AU122" s="1735"/>
      <c r="AV122" s="1752"/>
      <c r="AW122" s="1705"/>
      <c r="AX122" s="467"/>
      <c r="AY122" s="1749"/>
      <c r="AZ122" s="1749"/>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696"/>
      <c r="CQ122" s="1696"/>
      <c r="CR122" s="1808" t="str">
        <f>CQ120</f>
        <v/>
      </c>
      <c r="CS122" s="1810" t="str">
        <f>CS120</f>
        <v/>
      </c>
      <c r="CU122" s="1688" t="s">
        <v>345</v>
      </c>
      <c r="CV122" s="1702">
        <f>IF(IB120=TRUE,T122,0)</f>
        <v>0</v>
      </c>
      <c r="CW122" s="1702" t="str">
        <f>IF(IB120=TRUE,U122,"")</f>
        <v/>
      </c>
      <c r="CX122" s="1812">
        <f>IF(IB120=TRUE,U123,0)</f>
        <v>0</v>
      </c>
      <c r="CY122" s="1814">
        <f>IF(IB120=TRUE,AB123,0)</f>
        <v>0</v>
      </c>
      <c r="CZ122" s="1710">
        <f>IF(AND(__Retrofit_TI_NC&gt;0,CR120="interior"),0,IF(IB120=TRUE,AC123,0))</f>
        <v>0</v>
      </c>
      <c r="DA122" s="1818"/>
      <c r="DB122" s="1820"/>
      <c r="DC122" s="1820"/>
      <c r="DD122" s="1820"/>
      <c r="DF122" s="1702">
        <f>IF(IB120=TRUE,AF122,0)</f>
        <v>0</v>
      </c>
      <c r="DG122" s="1830" t="str">
        <f>IF(IB120=TRUE,AG122,"")</f>
        <v/>
      </c>
      <c r="DH122" s="1812">
        <f>AG123</f>
        <v>0</v>
      </c>
      <c r="DI122" s="1837">
        <f>JE122</f>
        <v>0</v>
      </c>
      <c r="DJ122" s="1710">
        <f>IF(AND(__Retrofit_TI_NC&gt;0,CR120="interior"),0,IF(IB120=TRUE,AN122,0))</f>
        <v>0</v>
      </c>
      <c r="DK122" s="1712"/>
      <c r="DN122" s="1717">
        <f>IFERROR(CZ122-DJ122,0)</f>
        <v>0</v>
      </c>
      <c r="DO122" s="1709"/>
      <c r="DQ122" s="1715"/>
      <c r="DR122" s="1719" t="str">
        <f>DQ120</f>
        <v/>
      </c>
      <c r="DS122" s="1816"/>
      <c r="DT122" s="1835" t="str">
        <f>IF(OR(DS120=7,DS120=8,DS120=9),"ALC","")</f>
        <v/>
      </c>
      <c r="DU122" s="1715"/>
      <c r="DV122" s="1716"/>
      <c r="DX122" s="1715"/>
      <c r="DY122" s="1829" t="str">
        <f>DX120</f>
        <v/>
      </c>
      <c r="DZ122" s="1715"/>
      <c r="EA122" s="1715"/>
      <c r="EC122" s="1834"/>
      <c r="ED122" s="1834"/>
      <c r="EF122" s="1707"/>
      <c r="EG122" s="1712"/>
      <c r="EH122" s="1818"/>
      <c r="EI122" s="1712"/>
      <c r="EJ122" s="1712"/>
      <c r="EK122" s="1836"/>
      <c r="EL122" s="1836"/>
      <c r="EM122" s="1807"/>
      <c r="EN122" s="1839"/>
      <c r="EO122" s="1839"/>
      <c r="EP122" s="1817"/>
      <c r="EQ122" s="1817"/>
      <c r="ER122" s="1807"/>
      <c r="ES122" s="1807"/>
      <c r="ET122" s="1807"/>
      <c r="EV122" s="1715"/>
      <c r="EX122" s="1805" t="str">
        <f>IFERROR(VLOOKUP(CS122,'Space Table'!$B$3:$L$163,8,FALSE),"")</f>
        <v/>
      </c>
      <c r="EY122" s="1805" t="str">
        <f>IFERROR(IF(FB122="Yes",VLOOKUP(AG122,Lookup_Control_Type_Table2,4,FALSE),VLOOKUP(AG122,Lookup_Control_Type_Table2,3,FALSE)),"")</f>
        <v/>
      </c>
      <c r="EZ122" s="1805" t="e">
        <f>VLOOKUP(AG122,Lookup!BB$3:BC$20,2,FALSE)</f>
        <v>#N/A</v>
      </c>
      <c r="FA122" s="1805" t="e">
        <f>VLOOKUP(EX120,Lookup_Control_Type_Table,2,FALSE)</f>
        <v>#N/A</v>
      </c>
      <c r="FB122" s="1805" t="e">
        <f>VLOOKUP(CS122,'Space Table'!$B$3:$L$163,7,FALSE)</f>
        <v>#N/A</v>
      </c>
      <c r="FC122" s="1827"/>
      <c r="FE122" s="1698" t="str">
        <f>CONCATENATE(CQ120," - ",AG122)</f>
        <v xml:space="preserve"> - </v>
      </c>
      <c r="FG122" s="1816"/>
      <c r="FH122" s="1816"/>
      <c r="FI122" s="133"/>
      <c r="FL122" s="1822" t="str">
        <f>IF(CQ120="Exterior","Not Daylighted",G123)</f>
        <v>Not Daylighted</v>
      </c>
      <c r="FM122" s="1824">
        <f>VLOOKUP(FL122,_New_Daylight_Table_Codes,2,FALSE)</f>
        <v>0</v>
      </c>
      <c r="FN122" s="1698">
        <f>AG122</f>
        <v>0</v>
      </c>
      <c r="FO122" s="1698" t="e">
        <f>VLOOKUP(FN122,_Control_Table,2,FALSE)</f>
        <v>#N/A</v>
      </c>
      <c r="FP122" s="1678" t="e">
        <f>VLOOKUP(CONCATENATE(FL122," ",FN122),Lookup!AY$102:AZ133,2,FALSE)</f>
        <v>#N/A</v>
      </c>
      <c r="FQ122" s="1698">
        <f>IF(__Retrofit_TI_NC=0,FN122,IF(AND(FT122&gt;0,FN122="Occupancy Sensor"),"Daylight + Occupancy",IF(AND(FT122&gt;0,FO122&lt;4),"Interior Daylight Dimming",FN122)))</f>
        <v>0</v>
      </c>
      <c r="FS122" s="1686">
        <f>IF(CQ120="Interior",VLOOKUP(CS120,Control_Savings_Interior,5,FALSE),0)</f>
        <v>0</v>
      </c>
      <c r="FT122" s="1687">
        <f>IF(CQ122="Exterior",0,IF(FM122=2,0.5,IF(OR(FM122=1,FM122=3),1,0)))</f>
        <v>0</v>
      </c>
      <c r="FU122" s="1685">
        <f>IF(R121&gt;FS$44,(FS122*(FS$44/R121)),FS122)*FT122</f>
        <v>0</v>
      </c>
      <c r="FV122" s="1686">
        <f>DI122</f>
        <v>0</v>
      </c>
      <c r="FW122" s="1686">
        <f>ROUND(FV122+((1-FV122)*FU122),2)</f>
        <v>0</v>
      </c>
      <c r="FX122" s="1686">
        <f>IF(__Retrofit_TI_NC=2,FW122,FV122)</f>
        <v>0</v>
      </c>
      <c r="FY122" s="1697">
        <f>IF(CR122="Interior",VLOOKUP(CS122,Control_Savings_Interior,4,FALSE),0)</f>
        <v>0</v>
      </c>
      <c r="GA122" s="1696"/>
      <c r="GB122" s="1696"/>
      <c r="GC122" s="1696"/>
      <c r="GD122" s="1696"/>
      <c r="GE122" s="1696"/>
      <c r="GF122" s="1696"/>
      <c r="GG122" s="1696"/>
      <c r="GH122" s="1696"/>
      <c r="GI122" s="673" t="b">
        <f>IF(ISNUMBER(SEARCH("TLED",U122)),TRUE,FALSE)</f>
        <v>0</v>
      </c>
      <c r="GJ122" s="1135" t="str">
        <f>IFERROR(VLOOKUP(U122,Fixtures!DM$93:DR$142,6,FALSE),"")</f>
        <v/>
      </c>
      <c r="GK122" s="1832"/>
      <c r="GM122" s="1692"/>
      <c r="GN122" s="1684"/>
      <c r="GP122" s="1684"/>
      <c r="GQ122" s="1684"/>
      <c r="HG122" s="1684"/>
      <c r="HH122" s="1684"/>
      <c r="HI122" s="1684"/>
      <c r="HJ122" s="1684"/>
      <c r="HK122" s="1684"/>
      <c r="HL122" s="1684"/>
      <c r="HM122" s="1684"/>
      <c r="HN122" s="1683"/>
      <c r="HO122" s="1692"/>
      <c r="HP122" s="1692"/>
      <c r="HQ122" s="1670"/>
      <c r="HR122" s="1684"/>
      <c r="HS122" s="1684"/>
      <c r="HT122" s="1670"/>
      <c r="HU122" s="1684"/>
      <c r="HV122" s="1684"/>
      <c r="HW122" s="1684"/>
      <c r="HX122" s="1684"/>
      <c r="HY122" s="1684"/>
      <c r="HZ122" s="1684"/>
      <c r="IB122" s="1692"/>
      <c r="IC122" s="1693" t="b">
        <f>IB120</f>
        <v>0</v>
      </c>
      <c r="ID122" s="1695"/>
      <c r="IE122" s="391"/>
      <c r="IF122" s="1688"/>
      <c r="IG122" s="1689">
        <f ca="1">IF(IF120=TRUE,AC123,0)</f>
        <v>0</v>
      </c>
      <c r="IH122" s="1684"/>
      <c r="IK122" s="1689" t="e">
        <f>ROUND(T122*AB123*N121*R121/1000,0)</f>
        <v>#VALUE!</v>
      </c>
      <c r="IL122" s="1691"/>
      <c r="IM122" s="1693" t="e">
        <f>ROUND(T122*AB123*N121*R121/1000,0)</f>
        <v>#VALUE!</v>
      </c>
      <c r="IN122" s="1691"/>
      <c r="IP122" s="1679"/>
      <c r="IQ122" s="1679" t="e">
        <f t="shared" ref="IQ122:IU122" si="87">IF($CR122="interior",VLOOKUP($CS122,_New_Control_Savings_Interior,IQ$30,FALSE),VLOOKUP($CS122,Control_Savings_Exterior,IQ$30,FALSE))</f>
        <v>#N/A</v>
      </c>
      <c r="IR122" s="1679" t="e">
        <f t="shared" si="87"/>
        <v>#N/A</v>
      </c>
      <c r="IS122" s="1679" t="e">
        <f t="shared" si="87"/>
        <v>#N/A</v>
      </c>
      <c r="IT122" s="1679" t="e">
        <f t="shared" si="87"/>
        <v>#N/A</v>
      </c>
      <c r="IU122" s="1679" t="e">
        <f t="shared" si="87"/>
        <v>#N/A</v>
      </c>
      <c r="IV122" s="1679" t="e">
        <f>IF($CR122="interior",IF(R121&gt;$IP$14,ROUND(($IV$18*($IP$14/R121)),2),$IV$18),VLOOKUP($CS122,Control_Savings_Exterior,IV$30,FALSE))</f>
        <v>#N/A</v>
      </c>
      <c r="IW122" s="1679" t="e">
        <f>IF($CR122="interior",ROUND(((1-IS122)*IV122)+IS122,2),VLOOKUP($CS122,Control_Savings_Exterior,IW$30,FALSE))</f>
        <v>#N/A</v>
      </c>
      <c r="IX122" s="1679" t="e">
        <f>IF($CR122="interior",ROUND(((1-IT122)*IV122)+IT122,2),VLOOKUP($CS122,Control_Savings_Exterior,IX$30,FALSE))</f>
        <v>#N/A</v>
      </c>
      <c r="IY122" s="1679" t="e">
        <f>IF($CR122="interior",IF(R121&gt;$IP$14,ROUND(($IY$18*($IP$14/R121)),2),$IY$18),VLOOKUP($CS122,Control_Savings_Exterior,IY$30,FALSE))</f>
        <v>#N/A</v>
      </c>
      <c r="IZ122" s="1679" t="e">
        <f>IF($CR122="interior",ROUND(((1-IS122)*IY122)+IS122,2),VLOOKUP($CS122,Control_Savings_Exterior,IZ$30,FALSE))</f>
        <v>#N/A</v>
      </c>
      <c r="JA122" s="1679" t="e">
        <f>IF($CR122="interior",ROUND(((1-IT122)*IY122)+IT122,2),VLOOKUP($CS122,Control_Savings_Exterior,JA$30,FALSE))</f>
        <v>#N/A</v>
      </c>
      <c r="JC122" s="1680">
        <f>IFERROR(IF(CR122="Interior",CONCATENATE(G123," ",FQ122),AG122),"")</f>
        <v>0</v>
      </c>
      <c r="JD122" s="1670" t="str">
        <f>IFERROR(VLOOKUP(JC122,_Controls_2023,2,FALSE),"")</f>
        <v/>
      </c>
      <c r="JE122" s="1681">
        <f>IFERROR(CHOOSE(JD122-1,IQ122,IR122,IS122,IT122,IU122,IV122,IW122,IX122,IY122,IZ122,JA122),0)</f>
        <v>0</v>
      </c>
      <c r="JG122" s="1680" t="str">
        <f>FE122</f>
        <v xml:space="preserve"> - </v>
      </c>
      <c r="JH122" s="1670" t="e">
        <f>$FO122</f>
        <v>#N/A</v>
      </c>
      <c r="JI122" s="1060"/>
      <c r="JJ122" s="1670">
        <f>IFERROR(IF($IB120=TRUE,IF(OR(JJ$14="No",JJ120=FALSE,JH122&lt;=JH120,AND(_kWh_Grant=0,GD120=FALSE)),0,IF(JJ$8="Per Line",1,$AF122)),0),0)</f>
        <v>0</v>
      </c>
      <c r="JK122" s="1061"/>
      <c r="JL122" s="1670">
        <f>IFERROR(IF(_kWh_Grant=0,0,IF($IB120=TRUE,IF(OR(JL$14="No",JL120=FALSE,JH122&lt;=JH120),0,IF(JL$8="Per Line",1,$T122)),0)),0)</f>
        <v>0</v>
      </c>
      <c r="JM122" s="1061"/>
      <c r="JN122" s="1670">
        <f>IFERROR(IF(_kWh_Grant=0,0,IF($IB120=TRUE,IF(OR(JN$14="No",JN120=FALSE,JH122&lt;=JH120),0,IF(JN$8="Per Line",1,$AF122)),0)),0)</f>
        <v>0</v>
      </c>
      <c r="JO122" s="1061"/>
      <c r="JP122" s="1670">
        <f>IFERROR(IF(__Retrofit_TI_NC=0,IF(_kWh_Grant=0,0,IF($IB120=TRUE,IF(OR(JP$14="No",JP120=FALSE,$JH122&lt;=$JH120),0,IF(JP$8="Per Line",1,$AF122)),0)),IF($IB120=TRUE,IF(OR(JP$14="No",JP120=FALSE,$JH122&lt;=$JH120),0,IF(JP$8="Per Line",1,$AF122)))),0)</f>
        <v>0</v>
      </c>
      <c r="JQ122" s="1061"/>
      <c r="JR122" s="1670">
        <f>IFERROR(IF(__Retrofit_TI_NC=0,IF(_kWh_Grant=0,0,IF($IB120=TRUE,IF(OR(JR$14="No",JR120=FALSE,$JH122&lt;=$JH120),0,IF(JR$8="Per Line",1,$AF122)),0)),IF($IB120=TRUE,IF(OR(JR$14="No",JR120=FALSE,$JH122&lt;=$JH120),0,IF(JR$8="Per Line",1,$AF122)))),0)</f>
        <v>0</v>
      </c>
      <c r="JS122" s="1061"/>
      <c r="JT122" s="1670">
        <f>IFERROR(IF(__Retrofit_TI_NC=0,IF(_kWh_Grant=0,0,IF($IB120=TRUE,IF(OR(JT$14="No",JT120=FALSE,$JH122&lt;=$JH120),0,IF(JT$8="Per Line",1,$AF122)),0)),IF($IB120=TRUE,IF(OR(JT$14="No",JT120=FALSE,$JH122&lt;=$JH120),0,IF(JT$8="Per Line",1,$AF122)))),0)</f>
        <v>0</v>
      </c>
      <c r="JU122" s="1061"/>
      <c r="JV122" s="1670">
        <f>IFERROR(IF(__Retrofit_TI_NC=0,IF(_kWh_Grant=0,0,IF($IB120=TRUE,IF(OR(JV$14="No",JV120=FALSE,$JH122&lt;=$JH120),0,IF(JV$8="Per Line",1,$AF122)),0)),IF($IB120=TRUE,IF(OR(JV$14="No",JV120=FALSE,$JH122&lt;=$JH120),0,IF(JV$8="Per Line",1,$AF122)))),0)</f>
        <v>0</v>
      </c>
      <c r="JX122" s="1670">
        <f>IFERROR(IF(__Retrofit_TI_NC=0,IF(_kWh_Grant=0,0,IF($IB120=TRUE,IF(OR(JX$14="No",JX120=FALSE,$JH122&lt;=$JH120),0,IF(JX$8="Per Line",1,$AF122)),0)),IF($IB120=TRUE,IF(OR(JX$14="No",JX120=FALSE,$JH122&lt;=$JH120),0,IF(JX$8="Per Line",1,$AF122)))),0)</f>
        <v>0</v>
      </c>
      <c r="JZ122" s="1670">
        <f>IFERROR(IF($IB120=TRUE,IF(OR(JZ$14="No",JZ120=FALSE,$JH122&lt;=$JH120,AND(_kWh_Grant=0,$GD120=FALSE)),0,IF(JZ$8="Per Line",1,$AF122)),0),0)</f>
        <v>0</v>
      </c>
      <c r="KB122" s="1670">
        <f>IFERROR(IF(__Retrofit_TI_NC=0,IF(_kWh_Grant=0,0,IF($IB120=TRUE,IF(OR(KB$14="No",KB120=FALSE,$JH122&lt;=$JH120),0,IF(KB$8="Per Line",1,$AF122)),0)),IF($IB120=TRUE,IF(OR(KB$14="No",KB120=FALSE,$JH122&lt;=$JH120),0,IF(KB$8="Per Line",1,$AF122)))),0)</f>
        <v>0</v>
      </c>
    </row>
    <row r="123" spans="1:288" s="78" customFormat="1" ht="14.95" customHeight="1" thickTop="1" thickBot="1">
      <c r="B123" s="1845"/>
      <c r="C123" s="1846"/>
      <c r="D123" s="1847"/>
      <c r="E123" s="1771" t="s">
        <v>436</v>
      </c>
      <c r="F123" s="1772"/>
      <c r="G123" s="1784" t="s">
        <v>437</v>
      </c>
      <c r="H123" s="1785"/>
      <c r="I123" s="1785"/>
      <c r="J123" s="1785"/>
      <c r="K123" s="1785"/>
      <c r="L123" s="1786"/>
      <c r="M123" s="591">
        <f>IFERROR(VLOOKUP(G123,_Daylight_Table[],2,FALSE),0)</f>
        <v>0</v>
      </c>
      <c r="N123" s="592" t="str">
        <f>IF(AND(__Retrofit_TI_NC&gt;0,CQ120="Interior"),"BAM","")</f>
        <v/>
      </c>
      <c r="O123" s="591" t="e">
        <f>VLOOKUP(G122,'Space Table'!$B$3:$L$163,11,FALSE)</f>
        <v>#N/A</v>
      </c>
      <c r="P123" s="1789"/>
      <c r="Q123" s="1790"/>
      <c r="R123" s="1790"/>
      <c r="S123" s="1788"/>
      <c r="T123" s="593" t="s">
        <v>342</v>
      </c>
      <c r="U123" s="1756" t="str" cm="1">
        <f t="array" aca="1" ref="U123" ca="1">IFERROR(VLOOKUP(INDIRECT("U" &amp; ROW()-1),Fixtures!DM$93:DP$142,4,FALSE),"")</f>
        <v/>
      </c>
      <c r="V123" s="1757"/>
      <c r="W123" s="1757"/>
      <c r="X123" s="1757"/>
      <c r="Y123" s="1757"/>
      <c r="Z123" s="1757"/>
      <c r="AA123" s="1758"/>
      <c r="AB123" s="939" t="str">
        <f>IFERROR(VLOOKUP(U122,Fixtures_Proposed_List,2,FALSE),"")</f>
        <v/>
      </c>
      <c r="AC123" s="933" t="str">
        <f>IFERROR(ROUND(T122*AB123*N121*R121/1000,0),"")</f>
        <v/>
      </c>
      <c r="AD123" s="934" t="str">
        <f>IFERROR(ROUND(T122*AB123/1000,2),"")</f>
        <v/>
      </c>
      <c r="AE123" s="998"/>
      <c r="AF123" s="938" t="s">
        <v>342</v>
      </c>
      <c r="AG123" s="1770"/>
      <c r="AH123" s="1770"/>
      <c r="AI123" s="1770"/>
      <c r="AJ123" s="1770"/>
      <c r="AK123" s="1770"/>
      <c r="AL123" s="1770"/>
      <c r="AM123" s="1727"/>
      <c r="AN123" s="1729"/>
      <c r="AO123" s="1731"/>
      <c r="AP123" s="1782"/>
      <c r="AQ123" s="1783"/>
      <c r="AR123" s="1797"/>
      <c r="AS123" s="1797"/>
      <c r="AT123" s="1798"/>
      <c r="AU123" s="1736"/>
      <c r="AV123" s="1753"/>
      <c r="AW123" s="1706"/>
      <c r="AX123" s="468"/>
      <c r="AY123" s="1750"/>
      <c r="AZ123" s="1750"/>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696"/>
      <c r="CQ123" s="1696"/>
      <c r="CR123" s="1809"/>
      <c r="CS123" s="1811"/>
      <c r="CU123" s="1688"/>
      <c r="CV123" s="1703"/>
      <c r="CW123" s="1703"/>
      <c r="CX123" s="1813"/>
      <c r="CY123" s="1815"/>
      <c r="CZ123" s="1711"/>
      <c r="DA123" s="1815"/>
      <c r="DB123" s="1821"/>
      <c r="DC123" s="1821"/>
      <c r="DD123" s="1821"/>
      <c r="DF123" s="1703"/>
      <c r="DG123" s="1831"/>
      <c r="DH123" s="1813"/>
      <c r="DI123" s="1838"/>
      <c r="DJ123" s="1711"/>
      <c r="DK123" s="1712"/>
      <c r="DN123" s="1718"/>
      <c r="DO123" s="1709"/>
      <c r="DQ123" s="1715"/>
      <c r="DR123" s="1720"/>
      <c r="DS123" s="1703"/>
      <c r="DT123" s="1714"/>
      <c r="DU123" s="1715"/>
      <c r="DV123" s="1716"/>
      <c r="DX123" s="1715"/>
      <c r="DY123" s="1720"/>
      <c r="DZ123" s="1715"/>
      <c r="EA123" s="1715"/>
      <c r="EC123" s="1834"/>
      <c r="ED123" s="1834"/>
      <c r="EF123" s="1707"/>
      <c r="EG123" s="1712"/>
      <c r="EH123" s="1815"/>
      <c r="EI123" s="1712"/>
      <c r="EJ123" s="1712"/>
      <c r="EK123" s="1813"/>
      <c r="EL123" s="1813"/>
      <c r="EM123" s="1807"/>
      <c r="EN123" s="1839"/>
      <c r="EO123" s="1839"/>
      <c r="EP123" s="1817"/>
      <c r="EQ123" s="1817"/>
      <c r="ER123" s="1807"/>
      <c r="ES123" s="1807"/>
      <c r="ET123" s="1807"/>
      <c r="EV123" s="1715"/>
      <c r="EX123" s="1806"/>
      <c r="EY123" s="1806"/>
      <c r="EZ123" s="1806"/>
      <c r="FA123" s="1806"/>
      <c r="FB123" s="1806"/>
      <c r="FC123" s="1828"/>
      <c r="FE123" s="1698"/>
      <c r="FG123" s="1703"/>
      <c r="FH123" s="1703"/>
      <c r="FI123" s="133"/>
      <c r="FL123" s="1823"/>
      <c r="FM123" s="1825"/>
      <c r="FN123" s="1698"/>
      <c r="FO123" s="1698"/>
      <c r="FP123" s="1678"/>
      <c r="FQ123" s="1698"/>
      <c r="FS123" s="1687"/>
      <c r="FT123" s="1687"/>
      <c r="FU123" s="1685"/>
      <c r="FV123" s="1687"/>
      <c r="FW123" s="1687"/>
      <c r="FX123" s="1687"/>
      <c r="FY123" s="1697"/>
      <c r="GA123" s="1696"/>
      <c r="GB123" s="1696"/>
      <c r="GC123" s="1696"/>
      <c r="GD123" s="1696"/>
      <c r="GE123" s="1696"/>
      <c r="GF123" s="1696"/>
      <c r="GG123" s="1696"/>
      <c r="GH123" s="1696"/>
      <c r="GI123" s="673"/>
      <c r="GJ123" s="1135"/>
      <c r="GK123" s="1832"/>
      <c r="GN123" s="674">
        <f>IF(GN121=TRUE,0,GN$16)</f>
        <v>0</v>
      </c>
      <c r="GP123" s="674">
        <f>IF(GP121=TRUE,0,GP$16)</f>
        <v>36</v>
      </c>
      <c r="GQ123" s="674">
        <f ca="1">IF(GQ121=TRUE,0,GQ$16)</f>
        <v>35</v>
      </c>
      <c r="GR123" s="391"/>
      <c r="GS123" s="391"/>
      <c r="GT123" s="391"/>
      <c r="GU123" s="391"/>
      <c r="GV123" s="391"/>
      <c r="HG123" s="674">
        <f>IF(HG121=TRUE,0,HG$16)</f>
        <v>0</v>
      </c>
      <c r="HH123" s="674">
        <f t="shared" ref="HH123:HM123" si="88">IF(HH121=TRUE,0,HH$16)</f>
        <v>19</v>
      </c>
      <c r="HI123" s="674">
        <f t="shared" si="88"/>
        <v>18</v>
      </c>
      <c r="HJ123" s="674">
        <f t="shared" si="88"/>
        <v>17</v>
      </c>
      <c r="HK123" s="674">
        <f t="shared" si="88"/>
        <v>16</v>
      </c>
      <c r="HL123" s="674">
        <f t="shared" si="88"/>
        <v>0</v>
      </c>
      <c r="HM123" s="674">
        <f t="shared" si="88"/>
        <v>0</v>
      </c>
      <c r="HN123" s="674">
        <f>IF(HN121=TRUE,0,HN$16)</f>
        <v>13</v>
      </c>
      <c r="HO123" s="674">
        <f t="shared" ref="HO123:HQ123" si="89">IF(HO121=TRUE,0,HO$16)</f>
        <v>0</v>
      </c>
      <c r="HP123" s="674">
        <f t="shared" si="89"/>
        <v>0</v>
      </c>
      <c r="HQ123" s="674">
        <f t="shared" si="89"/>
        <v>10</v>
      </c>
      <c r="HR123" s="674">
        <f>IF(HR121=TRUE,0,HR$16)</f>
        <v>9</v>
      </c>
      <c r="HS123" s="674">
        <f t="shared" ref="HS123:HW123" si="90">IF(HS121=TRUE,0,HS$16)</f>
        <v>0</v>
      </c>
      <c r="HT123" s="674">
        <f t="shared" si="90"/>
        <v>0</v>
      </c>
      <c r="HU123" s="674">
        <f t="shared" si="90"/>
        <v>0</v>
      </c>
      <c r="HV123" s="674">
        <f t="shared" si="90"/>
        <v>0</v>
      </c>
      <c r="HW123" s="674">
        <f t="shared" si="90"/>
        <v>0</v>
      </c>
      <c r="HX123" s="674">
        <f>IF(HX121=TRUE,0,HX$16)</f>
        <v>0</v>
      </c>
      <c r="HY123" s="674">
        <f>IF(HY121=TRUE,0,HY$16)</f>
        <v>0</v>
      </c>
      <c r="HZ123" s="674">
        <f>IF(HZ121=TRUE,0,HZ$16)</f>
        <v>1</v>
      </c>
      <c r="IB123" s="674">
        <f>IF(GP121=FALSE,GP123,IF(GQ121=FALSE,GQ123,MAX(GN123:HZ123)))</f>
        <v>36</v>
      </c>
      <c r="IC123" s="1692"/>
      <c r="ID123" s="205" t="str">
        <f>VLOOKUP(IB123,_Error_Table,3,FALSE)</f>
        <v xml:space="preserve"> </v>
      </c>
      <c r="IE123" s="205"/>
      <c r="IF123" s="1688"/>
      <c r="IG123" s="1689"/>
      <c r="IH123" s="1684"/>
      <c r="IK123" s="1689"/>
      <c r="IL123" s="1692"/>
      <c r="IM123" s="1692"/>
      <c r="IN123" s="1692"/>
      <c r="IP123" s="1679"/>
      <c r="IQ123" s="1679"/>
      <c r="IR123" s="1679"/>
      <c r="IS123" s="1679"/>
      <c r="IT123" s="1679"/>
      <c r="IU123" s="1679"/>
      <c r="IV123" s="1679"/>
      <c r="IW123" s="1679"/>
      <c r="IX123" s="1679"/>
      <c r="IY123" s="1679"/>
      <c r="IZ123" s="1679"/>
      <c r="JA123" s="1679"/>
      <c r="JC123" s="1680"/>
      <c r="JD123" s="1670"/>
      <c r="JE123" s="1681"/>
      <c r="JG123" s="1680"/>
      <c r="JH123" s="1670"/>
      <c r="JI123" s="1060"/>
      <c r="JJ123" s="1670"/>
      <c r="JK123" s="1061"/>
      <c r="JL123" s="1670"/>
      <c r="JM123" s="1061"/>
      <c r="JN123" s="1670"/>
      <c r="JO123" s="1061"/>
      <c r="JP123" s="1670"/>
      <c r="JQ123" s="1061"/>
      <c r="JR123" s="1670"/>
      <c r="JS123" s="1061"/>
      <c r="JT123" s="1670"/>
      <c r="JU123" s="1061"/>
      <c r="JV123" s="1670"/>
      <c r="JX123" s="1670"/>
      <c r="JZ123" s="1670"/>
      <c r="KB123" s="1670"/>
    </row>
    <row r="124" spans="1:288" s="78" customFormat="1" ht="5.0999999999999996" customHeight="1">
      <c r="B124" s="676"/>
      <c r="C124" s="392"/>
      <c r="D124" s="392"/>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33"/>
      <c r="AD124" s="1733"/>
      <c r="AE124" s="1733"/>
      <c r="AF124" s="1733"/>
      <c r="AG124" s="1733"/>
      <c r="AH124" s="1733"/>
      <c r="AI124" s="1733"/>
      <c r="AJ124" s="1733"/>
      <c r="AK124" s="1733"/>
      <c r="AL124" s="1733"/>
      <c r="AM124" s="1733"/>
      <c r="AN124" s="1733"/>
      <c r="AO124" s="1733"/>
      <c r="AP124" s="1733"/>
      <c r="AQ124" s="1733"/>
      <c r="AR124" s="1733"/>
      <c r="AS124" s="1733"/>
      <c r="AT124" s="1733"/>
      <c r="AU124" s="1733"/>
      <c r="AV124" s="1733"/>
      <c r="AW124" s="1733"/>
      <c r="AX124" s="469"/>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663"/>
      <c r="CQ124" s="663"/>
      <c r="CR124" s="438"/>
      <c r="CS124" s="663"/>
      <c r="CV124" s="391"/>
      <c r="CW124" s="391"/>
      <c r="CX124" s="207"/>
      <c r="CY124" s="208"/>
      <c r="CZ124" s="208"/>
      <c r="DA124" s="208"/>
      <c r="DB124" s="209"/>
      <c r="DC124" s="209"/>
      <c r="DD124" s="209"/>
      <c r="DF124" s="664"/>
      <c r="DG124" s="665"/>
      <c r="DH124" s="666"/>
      <c r="DI124" s="667"/>
      <c r="DJ124" s="668"/>
      <c r="DK124" s="668"/>
      <c r="DN124" s="208"/>
      <c r="DO124" s="664"/>
      <c r="DQ124" s="664"/>
      <c r="DR124" s="669"/>
      <c r="DS124" s="391"/>
      <c r="DT124" s="664"/>
      <c r="DU124" s="664"/>
      <c r="DV124" s="664"/>
      <c r="DX124" s="664"/>
      <c r="DY124" s="664"/>
      <c r="DZ124" s="664"/>
      <c r="EA124" s="664"/>
      <c r="EC124" s="670"/>
      <c r="ED124" s="670"/>
      <c r="EF124" s="668"/>
      <c r="EG124" s="668"/>
      <c r="EH124" s="208"/>
      <c r="EI124" s="668"/>
      <c r="EJ124" s="668"/>
      <c r="EK124" s="207"/>
      <c r="EL124" s="207"/>
      <c r="EM124" s="666"/>
      <c r="EN124" s="671"/>
      <c r="EO124" s="671"/>
      <c r="EP124" s="672"/>
      <c r="EQ124" s="672"/>
      <c r="ER124" s="666"/>
      <c r="ES124" s="666"/>
      <c r="ET124" s="666"/>
      <c r="EV124" s="664"/>
      <c r="EX124" s="391"/>
      <c r="EY124" s="391"/>
      <c r="EZ124" s="391"/>
      <c r="FA124" s="391"/>
      <c r="FB124" s="391"/>
      <c r="FC124" s="391"/>
      <c r="FE124" s="569"/>
      <c r="FG124" s="391"/>
      <c r="FH124" s="391"/>
      <c r="FI124" s="391"/>
      <c r="FS124" s="664"/>
      <c r="FT124" s="391"/>
      <c r="FU124" s="391"/>
      <c r="FV124" s="664"/>
      <c r="FW124" s="664"/>
      <c r="GA124" s="663"/>
      <c r="GB124" s="663"/>
      <c r="GC124" s="663"/>
      <c r="GD124" s="663"/>
      <c r="GE124" s="663"/>
      <c r="GF124" s="663"/>
      <c r="GG124" s="663"/>
      <c r="GH124" s="663"/>
      <c r="GI124" s="665"/>
      <c r="GJ124" s="664"/>
      <c r="GK124" s="664"/>
    </row>
    <row r="125" spans="1:288" s="78" customFormat="1" ht="14.95" customHeight="1">
      <c r="B125" s="1845" t="str">
        <f>ID128</f>
        <v xml:space="preserve"> </v>
      </c>
      <c r="C125" s="1846">
        <f>C120+1</f>
        <v>16</v>
      </c>
      <c r="D125" s="1847"/>
      <c r="E125" s="1799" t="s">
        <v>295</v>
      </c>
      <c r="F125" s="1800"/>
      <c r="G125" s="1741"/>
      <c r="H125" s="1742"/>
      <c r="I125" s="1742"/>
      <c r="J125" s="1742"/>
      <c r="K125" s="1742"/>
      <c r="L125" s="1742"/>
      <c r="M125" s="1742"/>
      <c r="N125" s="1742"/>
      <c r="O125" s="1742"/>
      <c r="P125" s="1742"/>
      <c r="Q125" s="1742"/>
      <c r="R125" s="1742"/>
      <c r="S125" s="1791" t="s">
        <v>344</v>
      </c>
      <c r="T125" s="590"/>
      <c r="U125" s="1743"/>
      <c r="V125" s="1744"/>
      <c r="W125" s="1744"/>
      <c r="X125" s="1744"/>
      <c r="Y125" s="1744"/>
      <c r="Z125" s="1744"/>
      <c r="AA125" s="1744"/>
      <c r="AB125" s="961" t="str">
        <f>IFERROR(IF(__Retrofit_TI_NC=0,VLOOKUP(U126,Fixtures_Existing_List,2,FALSE),ROUND(N127*R127/T127,10)),"")</f>
        <v/>
      </c>
      <c r="AC125" s="935" t="str">
        <f>IFERROR(IF(__Retrofit_TI_NC=0,ROUND(T126*AB125*N126*R126/1000,0),IF(CQ125="Interior",N127*R127*R126*N126*_C406_reduction/1000,N127*R127*R126*N126/1000)),"")</f>
        <v/>
      </c>
      <c r="AD125" s="936" t="str">
        <f>IFERROR(IF(C$43=0,ROUND(T126*AB125/1000,2),N127*R127/1000),"")</f>
        <v/>
      </c>
      <c r="AE125" s="997"/>
      <c r="AF125" s="937"/>
      <c r="AG125" s="1745" t="str">
        <f>IF(__Retrofit_TI_NC=0," Control","Select Advanced Control for New System")</f>
        <v xml:space="preserve"> Control</v>
      </c>
      <c r="AH125" s="1745"/>
      <c r="AI125" s="1745"/>
      <c r="AJ125" s="1745"/>
      <c r="AK125" s="1745"/>
      <c r="AL125" s="1745"/>
      <c r="AM125" s="1746">
        <f>IFERROR(DI125,"")</f>
        <v>0</v>
      </c>
      <c r="AN125" s="1774" t="str">
        <f>IFERROR(ROUND(AM125*AC125,0),"")</f>
        <v/>
      </c>
      <c r="AO125" s="1776">
        <f>IFERROR(IF(IB125=FALSE,0,AC125-AN125),0)</f>
        <v>0</v>
      </c>
      <c r="AP125" s="1778">
        <f>AO125-AO127</f>
        <v>0</v>
      </c>
      <c r="AQ125" s="1779"/>
      <c r="AR125" s="1793">
        <f>IFERROR(IF(IB125=FALSE,0,(T127*U128)+(AF127*AG128)),0)</f>
        <v>0</v>
      </c>
      <c r="AS125" s="1793"/>
      <c r="AT125" s="1794"/>
      <c r="AU125" s="1734" t="s">
        <v>237</v>
      </c>
      <c r="AV125" s="1751">
        <f>IF(AU125="Yes",1,0)</f>
        <v>1</v>
      </c>
      <c r="AW125" s="1704" t="str">
        <f>IF(OR(DQ125=4,DQ125=5,DQ125=6,DQ125=12),CONCATENATE("$",IF(GH125=TRUE,Lookup!$K$10,Lookup!$K$2)," /lamp"),CONCATENATE(TEXT(ED125,"$0.00"),"/ kWh"))</f>
        <v>$0.00/ kWh</v>
      </c>
      <c r="AX125" s="467"/>
      <c r="AY125" s="1748">
        <f ca="1">IFERROR(IF(GM126=TRUE,(AB128*T127)/R127,0),"NA")</f>
        <v>0</v>
      </c>
      <c r="AZ125" s="1748"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696" t="str">
        <f>N126</f>
        <v/>
      </c>
      <c r="CQ125" s="1696" t="str">
        <f>IFERROR(VLOOKUP(G126,_Lookup_Heat_Type_Table_New,3,FALSE),"")</f>
        <v/>
      </c>
      <c r="CR125" s="1808" t="str">
        <f>CQ125</f>
        <v/>
      </c>
      <c r="CS125" s="1810" t="str">
        <f>IFERROR(VLOOKUP(G127,'Space Table'!$B$3:$L$163,9,FALSE),"")</f>
        <v/>
      </c>
      <c r="CU125" s="1688" t="s">
        <v>344</v>
      </c>
      <c r="CV125" s="1702">
        <f>IF(IB125=TRUE,T126,0)</f>
        <v>0</v>
      </c>
      <c r="CW125" s="1702" t="str">
        <f>IF(IB125=TRUE,U126,"")</f>
        <v/>
      </c>
      <c r="CX125" s="1702"/>
      <c r="CY125" s="1814">
        <f>IF(IB125=TRUE,AB125,0)</f>
        <v>0</v>
      </c>
      <c r="CZ125" s="1710">
        <f>IF(AND(__Retrofit_TI_NC&gt;0,CR125="interior"),0,IF(IB125=TRUE,AC125,0))</f>
        <v>0</v>
      </c>
      <c r="DA125" s="1814">
        <f>IFERROR(IF(IB125=TRUE,CZ125-CZ127,0),0)</f>
        <v>0</v>
      </c>
      <c r="DB125" s="1819">
        <f>IF(IB125=TRUE,AD125,0)</f>
        <v>0</v>
      </c>
      <c r="DC125" s="1819">
        <f>IF(IB125=TRUE,AD128,0)</f>
        <v>0</v>
      </c>
      <c r="DD125" s="1819">
        <f>IFERROR(DB125-DC125,0)</f>
        <v>0</v>
      </c>
      <c r="DF125" s="1702">
        <f>IF(IB125=TRUE,AF126,0)</f>
        <v>0</v>
      </c>
      <c r="DG125" s="1830">
        <f>IFERROR(IF(__Retrofit_TI_NC=2,IF(CQ125="Exterior",O128,FQ125),FN125),"")</f>
        <v>0</v>
      </c>
      <c r="DH125" s="1702"/>
      <c r="DI125" s="1837">
        <f>JE125</f>
        <v>0</v>
      </c>
      <c r="DJ125" s="1710">
        <f>IF(AND(__Retrofit_TI_NC&gt;0,CR125="interior"),0,IF(IB125=TRUE,AN125,0))</f>
        <v>0</v>
      </c>
      <c r="DK125" s="1712">
        <f>IFERROR(IF(IB125=TRUE,DJ127-DJ125,0),0)</f>
        <v>0</v>
      </c>
      <c r="DM125" s="1717">
        <f>IFERROR(CZ125-DJ125,0)</f>
        <v>0</v>
      </c>
      <c r="DO125" s="1708">
        <f>DM125-DN127</f>
        <v>0</v>
      </c>
      <c r="DQ125" s="1715" t="str">
        <f>IFERROR(IF(AND(OR(GC125=4,GC125=5,GC125=6),OR(GF125=4,GF125=5,GF125=6)),GC125+8,VLOOKUP(CW127,Fixtures!R$31:Y$78,8,FALSE)),"")</f>
        <v/>
      </c>
      <c r="DR125" s="1829" t="str">
        <f>DQ125</f>
        <v/>
      </c>
      <c r="DS125" s="1702" t="str">
        <f>IFERROR(VLOOKUP(DG127,Lookup!BB$3:BC$20,2,FALSE),"")</f>
        <v/>
      </c>
      <c r="DT125" s="1713" t="str">
        <f>IF(OR(DS125=7,DS125=8,DS125=9),"ALC","")</f>
        <v/>
      </c>
      <c r="DU125" s="1715">
        <f>IFERROR(IF(OR(DQ125=4,DQ125=5,DQ125=6,DQ125=12,DQ125=13,DQ125=14),VLOOKUP(CW127,Fixtures!DN$27:EG$77,19,FALSE),1)*CV127,0)</f>
        <v>0</v>
      </c>
      <c r="DV125" s="1716">
        <f>IF(OR(DS125=7,DS125=8,DS125=9),IF(DG125=DG127,0,DF127),0)</f>
        <v>0</v>
      </c>
      <c r="DX125" s="1715" t="str">
        <f>IFERROR(IF(EZ125&lt;EZ127,"Yes","No"),"")</f>
        <v/>
      </c>
      <c r="DY125" s="1829" t="str">
        <f>DX125</f>
        <v/>
      </c>
      <c r="DZ125" s="1715">
        <f>IF(DX125="Yes",DF127,0)</f>
        <v>0</v>
      </c>
      <c r="EA125" s="1715">
        <f>DZ125-DV125</f>
        <v>0</v>
      </c>
      <c r="EC125" s="1834">
        <f>IFERROR(VLOOKUP(DQ125,Lookup!AU$3:AV$16,2,FALSE),0)</f>
        <v>0</v>
      </c>
      <c r="ED125" s="1834">
        <f>IF(IB125=FALSE,0,IF(DX125="Yes",EC125+Lookup!K$6,EC125))</f>
        <v>0</v>
      </c>
      <c r="EF125" s="1707">
        <f>IF(IB125=TRUE,DM125,0)</f>
        <v>0</v>
      </c>
      <c r="EG125" s="1712">
        <f>IF(IB125=TRUE,CZ127,0)</f>
        <v>0</v>
      </c>
      <c r="EH125" s="1814">
        <f>IFERROR(EF125-EG125,0)</f>
        <v>0</v>
      </c>
      <c r="EI125" s="1712">
        <f>IF(IB125=TRUE,DJ127,0)</f>
        <v>0</v>
      </c>
      <c r="EJ125" s="1712">
        <f>IFERROR(EF125-EG125+EI125,0)</f>
        <v>0</v>
      </c>
      <c r="EK125" s="1812">
        <f>IF(IB125=TRUE,CV127*CX127,0)</f>
        <v>0</v>
      </c>
      <c r="EL125" s="1812">
        <f>IF(IB125=TRUE,DF127*DH127,0)</f>
        <v>0</v>
      </c>
      <c r="EM125" s="1807">
        <f>AR125</f>
        <v>0</v>
      </c>
      <c r="EN125" s="1839" t="str">
        <f>IFERROR(IF(IB125=TRUE,VLOOKUP(DQ125,Lookup!AU$3:AW$16,3,FALSE)*DU125,""),0)</f>
        <v/>
      </c>
      <c r="EO125" s="1839">
        <f>IF(IB125=TRUE,DZ125*Lookup!AW$12,0)</f>
        <v>0</v>
      </c>
      <c r="EP125" s="1817">
        <f>IFERROR(IF(IB125=TRUE,EN125/EP$40,0),0)</f>
        <v>0</v>
      </c>
      <c r="EQ125" s="1817">
        <f>IF(IB125=TRUE,EO125/EQ$40,0)</f>
        <v>0</v>
      </c>
      <c r="ER125" s="1807">
        <f>IF(IB125=TRUE,ET$40*EP125,0)</f>
        <v>0</v>
      </c>
      <c r="ES125" s="1807">
        <f>IF(IB125=TRUE,ET$40*EQ125,0)</f>
        <v>0</v>
      </c>
      <c r="ET125" s="1807">
        <f>ER125+ES125</f>
        <v>0</v>
      </c>
      <c r="EV125" s="1715">
        <f>IF(G125="",0,1)</f>
        <v>0</v>
      </c>
      <c r="EX125" s="1804" t="str">
        <f>IFERROR(VLOOKUP(CS127,'Space Table'!$B$3:$L$163,8,FALSE),"")</f>
        <v/>
      </c>
      <c r="EY125" s="1804" t="str">
        <f>IFERROR(IF(FB125="Yes",VLOOKUP(DG125,Lookup_Control_Type_Table2,4,FALSE),VLOOKUP(DG125,Lookup_Control_Type_Table2,3,FALSE)),"")</f>
        <v/>
      </c>
      <c r="EZ125" s="1804" t="e">
        <f>VLOOKUP(DG125,Lookup!BB$3:BC$20,2,FALSE)</f>
        <v>#N/A</v>
      </c>
      <c r="FA125" s="1804" t="e">
        <f>VLOOKUP(EX125,Lookup_Control_Type_Table,2,FALSE)</f>
        <v>#N/A</v>
      </c>
      <c r="FB125" s="1804" t="e">
        <f>VLOOKUP(CS127,'Space Table'!$B$3:$L$163,7,FALSE)</f>
        <v>#N/A</v>
      </c>
      <c r="FC125" s="1826" t="b">
        <f>ISNUMBER(SEARCH("TLED",U127))</f>
        <v>0</v>
      </c>
      <c r="FE125" s="1698" t="str">
        <f>CONCATENATE(CQ125," - ",DG125)</f>
        <v xml:space="preserve"> - 0</v>
      </c>
      <c r="FG125" s="1702" t="str">
        <f>VLOOKUP(CW127,Fixtures!DN$27:EZ$77,38,FALSE)</f>
        <v/>
      </c>
      <c r="FH125" s="1702">
        <f>IFERROR(FG125*EH125,0)</f>
        <v>0</v>
      </c>
      <c r="FI125" s="133"/>
      <c r="FL125" s="1822" t="str">
        <f>IF(CQ125="Exterior","Not Daylighted",G128)</f>
        <v>Not Daylighted</v>
      </c>
      <c r="FM125" s="1824">
        <f>VLOOKUP(FL125,_New_Daylight_Table_Codes,2,FALSE)</f>
        <v>0</v>
      </c>
      <c r="FN125" s="1698">
        <f>IF(__Retrofit_TI_NC&gt;0,VLOOKUP(G127,'Space Table'!$B$3:$L$163,11,FALSE),AG126)</f>
        <v>0</v>
      </c>
      <c r="FO125" s="1698" t="e">
        <f>IF(__Retrofit_TI_NC=2,VLOOKUP(FQ125,_Control_Table,2,FALSE),VLOOKUP(FN125,_Control_Table,2,FALSE))</f>
        <v>#N/A</v>
      </c>
      <c r="FP125" s="1678" t="e">
        <f>VLOOKUP(CONCATENATE(FL125," ",FN125),Lookup!AY$102:AZ135,2,FALSE)</f>
        <v>#N/A</v>
      </c>
      <c r="FQ125" s="1678">
        <f>IF(__Retrofit_TI_NC=0,FN125,IF(AND(FT125&gt;0,FN125="Occupancy Sensor"),"Daylight + Occupancy",IF(AND(FT125&gt;0,VLOOKUP(FN125,_Control_Table,2,FALSE)&lt;4),"Interior Daylight Dimming",FN125)))</f>
        <v>0</v>
      </c>
      <c r="FS125" s="1686">
        <f>IF(CR125="Interior",VLOOKUP(CS125,Control_Savings_Interior,5,FALSE),0)</f>
        <v>0</v>
      </c>
      <c r="FT125" s="1687">
        <f>IF(CQ125="Exterior",0,IF(FM125=2,0.5,IF(OR(FM125=1,FM125=3),1,0)))</f>
        <v>0</v>
      </c>
      <c r="FU125" s="1685">
        <f>IF(R124&gt;FS$44,(FS125*(FS$44/R124)),FS125)*FT125</f>
        <v>0</v>
      </c>
      <c r="FV125" s="1686">
        <f>DI125</f>
        <v>0</v>
      </c>
      <c r="FW125" s="1686">
        <f>ROUND(FV125+((1-FV125)*FU125),2)</f>
        <v>0</v>
      </c>
      <c r="FX125" s="1686">
        <f>IF(__Retrofit_TI_NC=2,FW125,FV125)</f>
        <v>0</v>
      </c>
      <c r="FY125" s="1697"/>
      <c r="GA125" s="1696" t="str">
        <f>IFERROR(VLOOKUP(U126,_Exist_Fixture_Table,3,FALSE),"")</f>
        <v/>
      </c>
      <c r="GB125" s="1696" t="str">
        <f>VLOOKUP(CW125,_Exist_Fixture_Table,4,FALSE)</f>
        <v/>
      </c>
      <c r="GC125" s="1696">
        <f>IFERROR(VLOOKUP(GB125,Lookup!AT$6:AU$8,2,FALSE),0)</f>
        <v>0</v>
      </c>
      <c r="GD125" s="1696" t="b">
        <f>IFERROR(IF(OR(GF125=4,GF125=5,GF125=6),TRUE,FALSE),"")</f>
        <v>0</v>
      </c>
      <c r="GE125" s="1696" t="str">
        <f>IFERROR(VLOOKUP(GF125,GC$6:GD$10,2,FALSE),"")</f>
        <v/>
      </c>
      <c r="GF125" s="1696" t="str">
        <f>VLOOKUP(CW127,Fixtures!R$31:Y$78,8,FALSE)</f>
        <v/>
      </c>
      <c r="GG125" s="1696">
        <f>IF(AND(GA125=TRUE,GD125=TRUE,OR(DQ125=12,DQ125=13,DQ125=14)),GC125+8,0)</f>
        <v>0</v>
      </c>
      <c r="GH125" s="1696" t="b">
        <f>IF(OR(GG125=12,GG125=13,GG125=14),TRUE,FALSE)</f>
        <v>0</v>
      </c>
      <c r="GI125" s="673" t="b">
        <f>IF(ISNUMBER(SEARCH("TLED",U126)),TRUE,FALSE)</f>
        <v>0</v>
      </c>
      <c r="GJ125" s="1135" t="str">
        <f>IFERROR(VLOOKUP(U126,Fixtures!BM$93:BR$142,6,FALSE),"")</f>
        <v/>
      </c>
      <c r="GK125" s="1832" t="b">
        <f>IF(OR(GI125=FALSE,GI127=FALSE),TRUE,IF(GJ125-GJ127&lt;5,FALSE,TRUE))</f>
        <v>1</v>
      </c>
      <c r="GO125" s="674">
        <f>GP125</f>
        <v>0</v>
      </c>
      <c r="GP125" s="674">
        <f>IF(G125="",0,1)</f>
        <v>0</v>
      </c>
      <c r="GQ125" s="674">
        <f ca="1">SUM(GR125:HF125)</f>
        <v>2</v>
      </c>
      <c r="GR125" s="674">
        <f>IF(G126="",0,1)</f>
        <v>0</v>
      </c>
      <c r="GS125" s="674">
        <f>IF(N128="BAM",1,IF(G127="",0,1))</f>
        <v>0</v>
      </c>
      <c r="GT125" s="674">
        <f>IF(N128="BAM",1,IF(R126="",0,1))</f>
        <v>0</v>
      </c>
      <c r="GU125" s="674">
        <f>IF(N128="BAM",1,IF(__Retrofit_TI_NC=0,1,IF(R127="",0,1)))</f>
        <v>1</v>
      </c>
      <c r="GV125" s="674">
        <f>IF(N128="BAM",1,IF(CQ125="Exterior",1,IF(G128="",0,1)))</f>
        <v>1</v>
      </c>
      <c r="GW125" s="674">
        <f>IF(__Retrofit_TI_NC&gt;0,1,IF(T126="",0,1))</f>
        <v>0</v>
      </c>
      <c r="GX125" s="674">
        <f>IF(__Retrofit_TI_NC&gt;0,1,IF(U126="",0,1))</f>
        <v>0</v>
      </c>
      <c r="GY125" s="674">
        <f>IF(N128="BAM",1,IF(T127="",0,1))</f>
        <v>0</v>
      </c>
      <c r="GZ125" s="674">
        <f>IF(N128="BAM",1,IF(U127="",0,1))</f>
        <v>0</v>
      </c>
      <c r="HA125" s="674">
        <f ca="1">IF(N128="BAM",1,IF(__Retrofit_TI_NC&gt;0,1,IF(U128="",0,1)))</f>
        <v>0</v>
      </c>
      <c r="HB125" s="674">
        <f>IF(__Retrofit_TI_NC&lt;&gt;0,1,IF(AF126="",0,1))</f>
        <v>0</v>
      </c>
      <c r="HC125" s="674">
        <f>IF(__Retrofit_TI_NC&lt;&gt;0,1,IF(AG126="",0,1))</f>
        <v>0</v>
      </c>
      <c r="HD125" s="674">
        <f>IF(N128="BAM",1,IF(AF127="",0,1))</f>
        <v>0</v>
      </c>
      <c r="HE125" s="674">
        <f>IF(N128="BAM",1,IF(AG127="",0,1))</f>
        <v>0</v>
      </c>
      <c r="HF125" s="674">
        <f>IF(N128="BAM",1,IF(__Retrofit_TI_NC&gt;0,1,IF(AG128="",0,1)))</f>
        <v>0</v>
      </c>
      <c r="HG125" s="391"/>
      <c r="IA125" s="391"/>
      <c r="IB125" s="1693" t="b">
        <f>IF(OR(IB128=0,IB128=HY$16,IB128=HX$16,IB128=HZ$16),TRUE,FALSE)</f>
        <v>0</v>
      </c>
      <c r="IC125" s="1694" t="b">
        <f>IB125</f>
        <v>0</v>
      </c>
      <c r="ID125" s="391"/>
      <c r="IE125" s="391"/>
      <c r="IF125" s="1688" t="b">
        <f ca="1">IF(MAX(GN128:HU128)&gt;5,FALSE,TRUE)</f>
        <v>0</v>
      </c>
      <c r="IG125" s="1689">
        <f ca="1">IF(IF125=TRUE,AC125,0)</f>
        <v>0</v>
      </c>
      <c r="IH125" s="1689">
        <f ca="1">IG125-IG127</f>
        <v>0</v>
      </c>
      <c r="IK125" s="1689" t="e">
        <f>ROUND(T126*VLOOKUP(U126,Fixtures_Existing_List,2,FALSE)*N126*R126/1000,0)</f>
        <v>#N/A</v>
      </c>
      <c r="IL125" s="1690" t="e">
        <f>IK125-IK127</f>
        <v>#N/A</v>
      </c>
      <c r="IM125" s="1693" t="e">
        <f>ROUND(IF(CQ125="Interior",N127*R127*R126*N126*_C406_reduction/1000,N127*R127*R126*N126/1000),0)</f>
        <v>#N/A</v>
      </c>
      <c r="IN125" s="1693" t="e">
        <f>IM125-IM127</f>
        <v>#N/A</v>
      </c>
      <c r="IP125" s="1679"/>
      <c r="IQ125" s="1679" t="e">
        <f t="shared" ref="IQ125:IU125" si="91">IF($CR125="interior",VLOOKUP($CS125,_New_Control_Savings_Interior,IQ$30,FALSE),VLOOKUP($CS125,Control_Savings_Exterior,IQ$30,FALSE))</f>
        <v>#N/A</v>
      </c>
      <c r="IR125" s="1679" t="e">
        <f t="shared" si="91"/>
        <v>#N/A</v>
      </c>
      <c r="IS125" s="1679" t="e">
        <f t="shared" si="91"/>
        <v>#N/A</v>
      </c>
      <c r="IT125" s="1679" t="e">
        <f t="shared" si="91"/>
        <v>#N/A</v>
      </c>
      <c r="IU125" s="1679" t="e">
        <f t="shared" si="91"/>
        <v>#N/A</v>
      </c>
      <c r="IV125" s="1679" t="e">
        <f>IF($CR125="interior",IF(R126&gt;$IP$14,ROUND(($IV$18*($IP$14/R126)),2),$IV$18),VLOOKUP($CS125,Control_Savings_Exterior,IV$30,FALSE))</f>
        <v>#N/A</v>
      </c>
      <c r="IW125" s="1679" t="e">
        <f>IF($CR125="interior",ROUND(((1-IS125)*IV125)+IS125,2),VLOOKUP($CS125,Control_Savings_Exterior,IW$30,FALSE))</f>
        <v>#N/A</v>
      </c>
      <c r="IX125" s="1679" t="e">
        <f>IF($CR125="interior",ROUND(((1-IT125)*IV125)+IT125,2),VLOOKUP($CS125,Control_Savings_Exterior,IX$30,FALSE))</f>
        <v>#N/A</v>
      </c>
      <c r="IY125" s="1679" t="e">
        <f>IF($CR125="interior",IF(R126&gt;$IP$14,ROUND(($IY$18*($IP$14/R126)),2),$IY$18),VLOOKUP($CS125,Control_Savings_Exterior,IY$30,FALSE))</f>
        <v>#N/A</v>
      </c>
      <c r="IZ125" s="1679" t="e">
        <f>IF($CR125="interior",ROUND(((1-IS125)*IY125)+IS125,2),VLOOKUP($CS125,Control_Savings_Exterior,IZ$30,FALSE))</f>
        <v>#N/A</v>
      </c>
      <c r="JA125" s="1679" t="e">
        <f>IF($CR125="interior",ROUND(((1-IT125)*IY125)+IT125,2),VLOOKUP($CS125,Control_Savings_Exterior,JA$30,FALSE))</f>
        <v>#N/A</v>
      </c>
      <c r="JC125" s="1680">
        <f>IFERROR(IF(CR125="Interior",CONCATENATE(G128," ",FQ125),FQ125),"")</f>
        <v>0</v>
      </c>
      <c r="JD125" s="1670" t="str">
        <f>IFERROR(VLOOKUP(JC125,_Controls_2023,2,FALSE),"")</f>
        <v/>
      </c>
      <c r="JE125" s="1681">
        <f>IFERROR(CHOOSE(JD125-1,IQ125,IR125,IS125,IT125,IU125,IV125,IW125,IX125,IY125,IZ125,JA125),0)</f>
        <v>0</v>
      </c>
      <c r="JG125" s="1680" t="str">
        <f>FE125</f>
        <v xml:space="preserve"> - 0</v>
      </c>
      <c r="JH125" s="1670" t="e">
        <f>$FO125</f>
        <v>#N/A</v>
      </c>
      <c r="JI125" s="1060"/>
      <c r="JJ125" s="1682" t="b">
        <f>IF($JG127=CONCATENATE("Interior - ",JJ$4),TRUE,FALSE)</f>
        <v>0</v>
      </c>
      <c r="JK125" s="1061"/>
      <c r="JL125" s="1682" t="b">
        <f>IF($JG127=CONCATENATE("Interior - ",JL$4),TRUE,FALSE)</f>
        <v>0</v>
      </c>
      <c r="JM125" s="1061"/>
      <c r="JN125" s="1682" t="b">
        <f>IF($JG127=CONCATENATE("Interior - ",JN$4),TRUE,FALSE)</f>
        <v>0</v>
      </c>
      <c r="JO125" s="1061"/>
      <c r="JP125" s="1682" t="b">
        <f>IF(__Retrofit_TI_NC&gt;0,FALSE,IF($JG127=CONCATENATE("Interior - ",JP$4),TRUE,FALSE))</f>
        <v>0</v>
      </c>
      <c r="JQ125" s="1061"/>
      <c r="JR125" s="1682" t="b">
        <f>IF(__Retrofit_TI_NC&gt;0,FALSE,IF($JG127=CONCATENATE("Interior - ",JR$4),TRUE,FALSE))</f>
        <v>0</v>
      </c>
      <c r="JS125" s="1061"/>
      <c r="JT125" s="1670" t="b">
        <f>IF(__Retrofit_TI_NC&gt;0,FALSE,IF($JG127=CONCATENATE("Interior - ",JT$4),TRUE,FALSE))</f>
        <v>0</v>
      </c>
      <c r="JU125" s="1061"/>
      <c r="JV125" s="1670" t="b">
        <f>IF(JC127="AELC on Existing",TRUE,FALSE)</f>
        <v>0</v>
      </c>
      <c r="JX125" s="1670" t="b">
        <f>IF(OR(JG127="Exterior - AELC Occupancy based",JG127="Exterior - AELC Time based"),TRUE,FALSE)</f>
        <v>0</v>
      </c>
      <c r="JZ125" s="1682" t="b">
        <f>IF($JG127=CONCATENATE("Exterior - ",JZ$4),TRUE,FALSE)</f>
        <v>0</v>
      </c>
      <c r="KB125" s="1670" t="b">
        <f>IF(__Retrofit_TI_NC&gt;0,FALSE,IF($JG127=CONCATENATE("Interior - ",KB$4),TRUE,FALSE))</f>
        <v>0</v>
      </c>
    </row>
    <row r="126" spans="1:288" s="78" customFormat="1" ht="14.95" customHeight="1" thickTop="1" thickBot="1">
      <c r="B126" s="1845"/>
      <c r="C126" s="1846"/>
      <c r="D126" s="1847"/>
      <c r="E126" s="1737" t="s">
        <v>297</v>
      </c>
      <c r="F126" s="1738"/>
      <c r="G126" s="1739"/>
      <c r="H126" s="1739"/>
      <c r="I126" s="1739"/>
      <c r="J126" s="1739"/>
      <c r="K126" s="1739"/>
      <c r="L126" s="1739"/>
      <c r="M126" s="461" t="e">
        <f>IF(__Retrofit_TI_NC&lt;&gt;0,IF(VLOOKUP(G127,'Space Table'!$B$3:$L$163,3,FALSE)&gt;0,1,0),IF(__Retrofit_TI_NC=VLOOKUP(G127,'Space Table'!$B$3:$L$163,3,FALSE),1,0))</f>
        <v>#N/A</v>
      </c>
      <c r="N126" s="461" t="str">
        <f>IFERROR(VLOOKUP(G126,_Lookup_Heat_Type_Table_New,2,FALSE),"")</f>
        <v/>
      </c>
      <c r="O126" s="461">
        <f>IF(__Retrofit_TI_NC=1,CONCATENATE("TI ",G126),IF(__Retrofit_TI_NC=2,CONCATENATE("NC ",G126),G126))</f>
        <v>0</v>
      </c>
      <c r="P126" s="1740" t="s">
        <v>435</v>
      </c>
      <c r="Q126" s="1740"/>
      <c r="R126" s="595"/>
      <c r="S126" s="1792"/>
      <c r="T126" s="597"/>
      <c r="U126" s="1765"/>
      <c r="V126" s="1766"/>
      <c r="W126" s="1766"/>
      <c r="X126" s="1766"/>
      <c r="Y126" s="1766"/>
      <c r="Z126" s="1766"/>
      <c r="AA126" s="1766"/>
      <c r="AB126" s="1766"/>
      <c r="AC126" s="1766"/>
      <c r="AD126" s="1767"/>
      <c r="AE126" s="1000"/>
      <c r="AF126" s="597"/>
      <c r="AG126" s="1723"/>
      <c r="AH126" s="1724"/>
      <c r="AI126" s="1724"/>
      <c r="AJ126" s="1724"/>
      <c r="AK126" s="1725"/>
      <c r="AL126" s="996"/>
      <c r="AM126" s="1747"/>
      <c r="AN126" s="1775"/>
      <c r="AO126" s="1777"/>
      <c r="AP126" s="1780"/>
      <c r="AQ126" s="1781"/>
      <c r="AR126" s="1795"/>
      <c r="AS126" s="1795"/>
      <c r="AT126" s="1796"/>
      <c r="AU126" s="1735"/>
      <c r="AV126" s="1752"/>
      <c r="AW126" s="1705"/>
      <c r="AX126" s="467"/>
      <c r="AY126" s="1749"/>
      <c r="AZ126" s="1749"/>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696"/>
      <c r="CQ126" s="1696"/>
      <c r="CR126" s="1809"/>
      <c r="CS126" s="1811"/>
      <c r="CU126" s="1688"/>
      <c r="CV126" s="1703"/>
      <c r="CW126" s="1703"/>
      <c r="CX126" s="1703"/>
      <c r="CY126" s="1815"/>
      <c r="CZ126" s="1711"/>
      <c r="DA126" s="1818"/>
      <c r="DB126" s="1820"/>
      <c r="DC126" s="1820"/>
      <c r="DD126" s="1820"/>
      <c r="DF126" s="1703"/>
      <c r="DG126" s="1831"/>
      <c r="DH126" s="1703"/>
      <c r="DI126" s="1838"/>
      <c r="DJ126" s="1711"/>
      <c r="DK126" s="1712"/>
      <c r="DM126" s="1718"/>
      <c r="DO126" s="1708"/>
      <c r="DQ126" s="1715"/>
      <c r="DR126" s="1720"/>
      <c r="DS126" s="1816"/>
      <c r="DT126" s="1714"/>
      <c r="DU126" s="1715"/>
      <c r="DV126" s="1716"/>
      <c r="DX126" s="1715"/>
      <c r="DY126" s="1720"/>
      <c r="DZ126" s="1715"/>
      <c r="EA126" s="1715"/>
      <c r="EC126" s="1834"/>
      <c r="ED126" s="1834"/>
      <c r="EF126" s="1707"/>
      <c r="EG126" s="1712"/>
      <c r="EH126" s="1818"/>
      <c r="EI126" s="1712"/>
      <c r="EJ126" s="1712"/>
      <c r="EK126" s="1836"/>
      <c r="EL126" s="1836"/>
      <c r="EM126" s="1807"/>
      <c r="EN126" s="1839"/>
      <c r="EO126" s="1839"/>
      <c r="EP126" s="1817"/>
      <c r="EQ126" s="1817"/>
      <c r="ER126" s="1807"/>
      <c r="ES126" s="1807"/>
      <c r="ET126" s="1807"/>
      <c r="EV126" s="1715"/>
      <c r="EX126" s="1805"/>
      <c r="EY126" s="1805"/>
      <c r="EZ126" s="1805"/>
      <c r="FA126" s="1805"/>
      <c r="FB126" s="1805"/>
      <c r="FC126" s="1827"/>
      <c r="FE126" s="1698"/>
      <c r="FG126" s="1816"/>
      <c r="FH126" s="1816"/>
      <c r="FI126" s="133"/>
      <c r="FL126" s="1823"/>
      <c r="FM126" s="1825"/>
      <c r="FN126" s="1698"/>
      <c r="FO126" s="1698"/>
      <c r="FP126" s="1678"/>
      <c r="FQ126" s="1678"/>
      <c r="FS126" s="1687"/>
      <c r="FT126" s="1687"/>
      <c r="FU126" s="1685"/>
      <c r="FV126" s="1687"/>
      <c r="FW126" s="1687"/>
      <c r="FX126" s="1687"/>
      <c r="FY126" s="1697"/>
      <c r="GA126" s="1696"/>
      <c r="GB126" s="1696"/>
      <c r="GC126" s="1696"/>
      <c r="GD126" s="1696"/>
      <c r="GE126" s="1696"/>
      <c r="GF126" s="1696"/>
      <c r="GG126" s="1696"/>
      <c r="GH126" s="1696"/>
      <c r="GI126" s="673"/>
      <c r="GJ126" s="1135"/>
      <c r="GK126" s="1832"/>
      <c r="GM126" s="1693" t="b">
        <f ca="1">IF(AND(GP126=TRUE,GQ126=TRUE),TRUE,FALSE)</f>
        <v>0</v>
      </c>
      <c r="GN126" s="1684" t="b">
        <f>IFERROR(IF(__Retrofit_TI_NC=2,TRUE,IF(AU125="Yes",TRUE,FALSE)),FALSE)</f>
        <v>1</v>
      </c>
      <c r="GP126" s="1684" t="b">
        <f>IFERROR(IF(GP125=1,TRUE,FALSE),FALSE)</f>
        <v>0</v>
      </c>
      <c r="GQ126" s="1684" t="b">
        <f ca="1">IFERROR(IF(GQ125=GQ$14,TRUE,FALSE),FALSE)</f>
        <v>0</v>
      </c>
      <c r="HG126" s="1684" t="b">
        <f>IFERROR(IF(AND(__Retrofit_TI_NC&gt;0,CQ125="Interior"),FALSE,TRUE),FALSE)</f>
        <v>1</v>
      </c>
      <c r="HH126" s="1684" t="b">
        <f>IFERROR(IF(M126=1,TRUE,FALSE),FALSE)</f>
        <v>0</v>
      </c>
      <c r="HI126" s="1684" t="b">
        <f>IFERROR(IF(OR(M127=1,N128="BAM"),TRUE,FALSE),FALSE)</f>
        <v>0</v>
      </c>
      <c r="HJ126" s="1684" t="b">
        <f>IFERROR(IF(__Retrofit_TI_NC&lt;&gt;0,TRUE,IFERROR(IF(VLOOKUP(U126,Fixtures_Existing_List,2,FALSE)&lt;&gt;"",TRUE,FALSE),FALSE)),FALSE)</f>
        <v>0</v>
      </c>
      <c r="HK126" s="1684" t="b">
        <f>IFERROR(IF(VLOOKUP(U127,Fixtures_Proposed_List,2,FALSE)&lt;&gt;"",TRUE,FALSE),FALSE)</f>
        <v>0</v>
      </c>
      <c r="HL126" s="1684" t="b">
        <f>IF(AND(__Retrofit_TI_NC=2,FC125=TRUE),FALSE,TRUE)</f>
        <v>1</v>
      </c>
      <c r="HM126" s="1684" t="b">
        <f>GK125</f>
        <v>1</v>
      </c>
      <c r="HN126" s="1682" t="b">
        <f>IF(ISERROR(MATCH(FE125,_Control_Match[],0))=TRUE,FALSE,TRUE)</f>
        <v>0</v>
      </c>
      <c r="HO126" s="1693" t="b">
        <f>IFERROR(IF(EX125&lt;&gt;EY125,FALSE,TRUE),FALSE)</f>
        <v>1</v>
      </c>
      <c r="HP126" s="1693" t="b">
        <f>IFERROR(IF(EX127&lt;&gt;EY127,FALSE,TRUE),FALSE)</f>
        <v>1</v>
      </c>
      <c r="HQ126" s="1670" t="b">
        <f>IFERROR(IF(CQ125="Exterior",TRUE,IF(AND(OR(FM127=0,FM127=3),JD127&gt;6),FALSE,TRUE)),FALSE)</f>
        <v>0</v>
      </c>
      <c r="HR126" s="1684" t="b">
        <f>IFERROR(IF(AND(FO127=7,FC125=TRUE),FALSE,TRUE),FALSE)</f>
        <v>0</v>
      </c>
      <c r="HS126" s="1684" t="b">
        <f>IFERROR(IF(AND(T127&lt;&gt;AF127,OR(AG127="Interior LLLC", AG127="Interior NLC", AG127="LLLC (outside Daylight)",AG127="LLLC Controls Only"))=TRUE,FALSE,TRUE),FALSE)</f>
        <v>1</v>
      </c>
      <c r="HT126" s="1670" t="b">
        <f>IFERROR(IF(OR(AG127=Lookup!BB$17,AG127=Lookup!BB$18,AG127=Lookup!BB$19)=TRUE,IF(AF127&gt;T127,FALSE,TRUE),TRUE),FALSE)</f>
        <v>1</v>
      </c>
      <c r="HU126" s="1684" t="b">
        <f>IFERROR(IF(__Retrofit_TI_NC=2,IF(EZ127&lt;EZ125,FALSE,TRUE),TRUE),FALSE)</f>
        <v>1</v>
      </c>
      <c r="HV126" s="1684" t="b">
        <f>IF(CQ125="Interior",IL$6,TRUE)</f>
        <v>1</v>
      </c>
      <c r="HW126" s="1684" t="b">
        <f>IF(CQ125="Exterior",IL$8,TRUE)</f>
        <v>1</v>
      </c>
      <c r="HX126" s="1684" t="b">
        <f>IFERROR(IF(__Retrofit_TI_NC&lt;&gt;0,IF(AZ125&lt;AY125,FALSE,TRUE),TRUE),FALSE)</f>
        <v>1</v>
      </c>
      <c r="HY126" s="1684" t="b">
        <f>IFERROR(IF(AND(G126="Exterior",R126&gt;4200),FALSE,TRUE),FALSE)</f>
        <v>1</v>
      </c>
      <c r="HZ126" s="1684" t="b">
        <f>IFERROR(IF(AB128/AB125&lt;HZ$18,FALSE,TRUE),FALSE)</f>
        <v>0</v>
      </c>
      <c r="IB126" s="1691"/>
      <c r="IC126" s="1695"/>
      <c r="ID126" s="1694" t="str">
        <f>VLOOKUP(IB128,_Error_Table,4,FALSE)</f>
        <v>White</v>
      </c>
      <c r="IE126" s="391"/>
      <c r="IF126" s="1688"/>
      <c r="IG126" s="1689"/>
      <c r="IH126" s="1684"/>
      <c r="IK126" s="1689"/>
      <c r="IL126" s="1691"/>
      <c r="IM126" s="1691"/>
      <c r="IN126" s="1691"/>
      <c r="IP126" s="1679"/>
      <c r="IQ126" s="1679"/>
      <c r="IR126" s="1679"/>
      <c r="IS126" s="1679"/>
      <c r="IT126" s="1679"/>
      <c r="IU126" s="1679"/>
      <c r="IV126" s="1679"/>
      <c r="IW126" s="1679"/>
      <c r="IX126" s="1679"/>
      <c r="IY126" s="1679"/>
      <c r="IZ126" s="1679"/>
      <c r="JA126" s="1679"/>
      <c r="JC126" s="1680"/>
      <c r="JD126" s="1670"/>
      <c r="JE126" s="1681"/>
      <c r="JG126" s="1680"/>
      <c r="JH126" s="1670"/>
      <c r="JI126" s="1060"/>
      <c r="JJ126" s="1683"/>
      <c r="JK126" s="1061"/>
      <c r="JL126" s="1683"/>
      <c r="JM126" s="1061"/>
      <c r="JN126" s="1683"/>
      <c r="JO126" s="1061"/>
      <c r="JP126" s="1683"/>
      <c r="JQ126" s="1061"/>
      <c r="JR126" s="1683"/>
      <c r="JS126" s="1061"/>
      <c r="JT126" s="1670"/>
      <c r="JU126" s="1061"/>
      <c r="JV126" s="1670"/>
      <c r="JX126" s="1670"/>
      <c r="JZ126" s="1683"/>
      <c r="KB126" s="1670"/>
    </row>
    <row r="127" spans="1:288" s="78" customFormat="1" ht="14.95" customHeight="1" thickTop="1" thickBot="1">
      <c r="A127" s="78">
        <f>ROW()</f>
        <v>127</v>
      </c>
      <c r="B127" s="1845"/>
      <c r="C127" s="1846"/>
      <c r="D127" s="1847"/>
      <c r="E127" s="1737" t="s">
        <v>298</v>
      </c>
      <c r="F127" s="1738"/>
      <c r="G127" s="1760"/>
      <c r="H127" s="1761"/>
      <c r="I127" s="1761"/>
      <c r="J127" s="1761"/>
      <c r="K127" s="1761"/>
      <c r="L127" s="1762"/>
      <c r="M127" s="461">
        <f>IFERROR(IF(IF(__Retrofit_TI_NC&lt;&gt;0,IF(CQ125="Interior",MATCH(G127,Lookup_Interior_New,0),MATCH(G127,Lookup_Exterior_New,0)),IF(CQ125="Interior",MATCH(G127,Lookup_Interior,0),MATCH(G127,Lookup_Exterior_Areas,0)))&gt;0,1,0),0)</f>
        <v>0</v>
      </c>
      <c r="N127" s="461" t="e">
        <f>IF(__Retrofit_TI_NC=1,
VLOOKUP(G127,'Space Table'!$B$3:$L$163,4,FALSE),
IF(__Retrofit_TI_NC=2,VLOOKUP(G127,'Space Table'!$B$3:$L$163,5,FALSE),VLOOKUP(G127,'Space Table'!$B$3:$L$163,5,FALSE)))</f>
        <v>#N/A</v>
      </c>
      <c r="O127" s="461">
        <f>G127</f>
        <v>0</v>
      </c>
      <c r="P127" s="1738" t="str">
        <f>IFERROR(IF(__Retrofit_TI_NC=1,VLOOKUP(G127,'Space Table'!$B$3:$O$163,13,FALSE),IF(__Retrofit_TI_NC=2,VLOOKUP(G127,'Space Table'!$B$3:$O$163,14,FALSE),"Area (sf):")),"Area (sf):")</f>
        <v>Area (sf):</v>
      </c>
      <c r="Q127" s="1738"/>
      <c r="R127" s="596"/>
      <c r="S127" s="1763" t="s">
        <v>345</v>
      </c>
      <c r="T127" s="594"/>
      <c r="U127" s="1801"/>
      <c r="V127" s="1802"/>
      <c r="W127" s="1802"/>
      <c r="X127" s="1802"/>
      <c r="Y127" s="1802"/>
      <c r="Z127" s="1802"/>
      <c r="AA127" s="1802"/>
      <c r="AB127" s="1802"/>
      <c r="AC127" s="1802"/>
      <c r="AD127" s="1802"/>
      <c r="AE127" s="1803"/>
      <c r="AF127" s="594"/>
      <c r="AG127" s="1787"/>
      <c r="AH127" s="1787"/>
      <c r="AI127" s="1787"/>
      <c r="AJ127" s="1787"/>
      <c r="AK127" s="1787"/>
      <c r="AL127" s="1787"/>
      <c r="AM127" s="1726">
        <f>IFERROR(DI127,"")</f>
        <v>0</v>
      </c>
      <c r="AN127" s="1728" t="str">
        <f>IFERROR(ROUND(AM127*AC128,0),"")</f>
        <v/>
      </c>
      <c r="AO127" s="1730">
        <f>IFERROR(IF(IB125=FALSE,0,AC128-AN127),0)</f>
        <v>0</v>
      </c>
      <c r="AP127" s="1780"/>
      <c r="AQ127" s="1781"/>
      <c r="AR127" s="1795"/>
      <c r="AS127" s="1795"/>
      <c r="AT127" s="1796"/>
      <c r="AU127" s="1735"/>
      <c r="AV127" s="1752"/>
      <c r="AW127" s="1705"/>
      <c r="AX127" s="467"/>
      <c r="AY127" s="1749"/>
      <c r="AZ127" s="1749"/>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696"/>
      <c r="CQ127" s="1696"/>
      <c r="CR127" s="1808" t="str">
        <f>CQ125</f>
        <v/>
      </c>
      <c r="CS127" s="1810" t="str">
        <f>CS125</f>
        <v/>
      </c>
      <c r="CU127" s="1688" t="s">
        <v>345</v>
      </c>
      <c r="CV127" s="1702">
        <f>IF(IB125=TRUE,T127,0)</f>
        <v>0</v>
      </c>
      <c r="CW127" s="1702" t="str">
        <f>IF(IB125=TRUE,U127,"")</f>
        <v/>
      </c>
      <c r="CX127" s="1812">
        <f>IF(IB125=TRUE,U128,0)</f>
        <v>0</v>
      </c>
      <c r="CY127" s="1814">
        <f>IF(IB125=TRUE,AB128,0)</f>
        <v>0</v>
      </c>
      <c r="CZ127" s="1710">
        <f>IF(AND(__Retrofit_TI_NC&gt;0,CR125="interior"),0,IF(IB125=TRUE,AC128,0))</f>
        <v>0</v>
      </c>
      <c r="DA127" s="1818"/>
      <c r="DB127" s="1820"/>
      <c r="DC127" s="1820"/>
      <c r="DD127" s="1820"/>
      <c r="DF127" s="1702">
        <f>IF(IB125=TRUE,AF127,0)</f>
        <v>0</v>
      </c>
      <c r="DG127" s="1830" t="str">
        <f>IF(IB125=TRUE,AG127,"")</f>
        <v/>
      </c>
      <c r="DH127" s="1812">
        <f>AG128</f>
        <v>0</v>
      </c>
      <c r="DI127" s="1837">
        <f>JE127</f>
        <v>0</v>
      </c>
      <c r="DJ127" s="1710">
        <f>IF(AND(__Retrofit_TI_NC&gt;0,CR125="interior"),0,IF(IB125=TRUE,AN127,0))</f>
        <v>0</v>
      </c>
      <c r="DK127" s="1712"/>
      <c r="DN127" s="1717">
        <f>IFERROR(CZ127-DJ127,0)</f>
        <v>0</v>
      </c>
      <c r="DO127" s="1709"/>
      <c r="DQ127" s="1715"/>
      <c r="DR127" s="1719" t="str">
        <f>DQ125</f>
        <v/>
      </c>
      <c r="DS127" s="1816"/>
      <c r="DT127" s="1835" t="str">
        <f>IF(OR(DS125=7,DS125=8,DS125=9),"ALC","")</f>
        <v/>
      </c>
      <c r="DU127" s="1715"/>
      <c r="DV127" s="1716"/>
      <c r="DX127" s="1715"/>
      <c r="DY127" s="1829" t="str">
        <f>DX125</f>
        <v/>
      </c>
      <c r="DZ127" s="1715"/>
      <c r="EA127" s="1715"/>
      <c r="EC127" s="1834"/>
      <c r="ED127" s="1834"/>
      <c r="EF127" s="1707"/>
      <c r="EG127" s="1712"/>
      <c r="EH127" s="1818"/>
      <c r="EI127" s="1712"/>
      <c r="EJ127" s="1712"/>
      <c r="EK127" s="1836"/>
      <c r="EL127" s="1836"/>
      <c r="EM127" s="1807"/>
      <c r="EN127" s="1839"/>
      <c r="EO127" s="1839"/>
      <c r="EP127" s="1817"/>
      <c r="EQ127" s="1817"/>
      <c r="ER127" s="1807"/>
      <c r="ES127" s="1807"/>
      <c r="ET127" s="1807"/>
      <c r="EV127" s="1715"/>
      <c r="EX127" s="1805" t="str">
        <f>IFERROR(VLOOKUP(CS127,'Space Table'!$B$3:$L$163,8,FALSE),"")</f>
        <v/>
      </c>
      <c r="EY127" s="1805" t="str">
        <f>IFERROR(IF(FB127="Yes",VLOOKUP(AG127,Lookup_Control_Type_Table2,4,FALSE),VLOOKUP(AG127,Lookup_Control_Type_Table2,3,FALSE)),"")</f>
        <v/>
      </c>
      <c r="EZ127" s="1805" t="e">
        <f>VLOOKUP(AG127,Lookup!BB$3:BC$20,2,FALSE)</f>
        <v>#N/A</v>
      </c>
      <c r="FA127" s="1805" t="e">
        <f>VLOOKUP(EX125,Lookup_Control_Type_Table,2,FALSE)</f>
        <v>#N/A</v>
      </c>
      <c r="FB127" s="1805" t="e">
        <f>VLOOKUP(CS127,'Space Table'!$B$3:$L$163,7,FALSE)</f>
        <v>#N/A</v>
      </c>
      <c r="FC127" s="1827"/>
      <c r="FE127" s="1698" t="str">
        <f>CONCATENATE(CQ125," - ",AG127)</f>
        <v xml:space="preserve"> - </v>
      </c>
      <c r="FG127" s="1816"/>
      <c r="FH127" s="1816"/>
      <c r="FI127" s="133"/>
      <c r="FL127" s="1822" t="str">
        <f>IF(CQ125="Exterior","Not Daylighted",G128)</f>
        <v>Not Daylighted</v>
      </c>
      <c r="FM127" s="1824">
        <f>VLOOKUP(FL127,_New_Daylight_Table_Codes,2,FALSE)</f>
        <v>0</v>
      </c>
      <c r="FN127" s="1698">
        <f>AG127</f>
        <v>0</v>
      </c>
      <c r="FO127" s="1698" t="e">
        <f>VLOOKUP(FN127,_Control_Table,2,FALSE)</f>
        <v>#N/A</v>
      </c>
      <c r="FP127" s="1678" t="e">
        <f>VLOOKUP(CONCATENATE(FL127," ",FN127),Lookup!AY$102:AZ138,2,FALSE)</f>
        <v>#N/A</v>
      </c>
      <c r="FQ127" s="1698">
        <f>IF(__Retrofit_TI_NC=0,FN127,IF(AND(FT127&gt;0,FN127="Occupancy Sensor"),"Daylight + Occupancy",IF(AND(FT127&gt;0,FO127&lt;4),"Interior Daylight Dimming",FN127)))</f>
        <v>0</v>
      </c>
      <c r="FS127" s="1686">
        <f>IF(CQ125="Interior",VLOOKUP(CS125,Control_Savings_Interior,5,FALSE),0)</f>
        <v>0</v>
      </c>
      <c r="FT127" s="1687">
        <f>IF(CQ127="Exterior",0,IF(FM127=2,0.5,IF(OR(FM127=1,FM127=3),1,0)))</f>
        <v>0</v>
      </c>
      <c r="FU127" s="1685">
        <f>IF(R126&gt;FS$44,(FS127*(FS$44/R126)),FS127)*FT127</f>
        <v>0</v>
      </c>
      <c r="FV127" s="1686">
        <f>DI127</f>
        <v>0</v>
      </c>
      <c r="FW127" s="1686">
        <f>ROUND(FV127+((1-FV127)*FU127),2)</f>
        <v>0</v>
      </c>
      <c r="FX127" s="1686">
        <f>IF(__Retrofit_TI_NC=2,FW127,FV127)</f>
        <v>0</v>
      </c>
      <c r="FY127" s="1697">
        <f>IF(CR127="Interior",VLOOKUP(CS127,Control_Savings_Interior,4,FALSE),0)</f>
        <v>0</v>
      </c>
      <c r="GA127" s="1696"/>
      <c r="GB127" s="1696"/>
      <c r="GC127" s="1696"/>
      <c r="GD127" s="1696"/>
      <c r="GE127" s="1696"/>
      <c r="GF127" s="1696"/>
      <c r="GG127" s="1696"/>
      <c r="GH127" s="1696"/>
      <c r="GI127" s="673" t="b">
        <f>IF(ISNUMBER(SEARCH("TLED",U127)),TRUE,FALSE)</f>
        <v>0</v>
      </c>
      <c r="GJ127" s="1135" t="str">
        <f>IFERROR(VLOOKUP(U127,Fixtures!DM$93:DR$142,6,FALSE),"")</f>
        <v/>
      </c>
      <c r="GK127" s="1832"/>
      <c r="GM127" s="1692"/>
      <c r="GN127" s="1684"/>
      <c r="GP127" s="1684"/>
      <c r="GQ127" s="1684"/>
      <c r="HG127" s="1684"/>
      <c r="HH127" s="1684"/>
      <c r="HI127" s="1684"/>
      <c r="HJ127" s="1684"/>
      <c r="HK127" s="1684"/>
      <c r="HL127" s="1684"/>
      <c r="HM127" s="1684"/>
      <c r="HN127" s="1683"/>
      <c r="HO127" s="1692"/>
      <c r="HP127" s="1692"/>
      <c r="HQ127" s="1670"/>
      <c r="HR127" s="1684"/>
      <c r="HS127" s="1684"/>
      <c r="HT127" s="1670"/>
      <c r="HU127" s="1684"/>
      <c r="HV127" s="1684"/>
      <c r="HW127" s="1684"/>
      <c r="HX127" s="1684"/>
      <c r="HY127" s="1684"/>
      <c r="HZ127" s="1684"/>
      <c r="IB127" s="1692"/>
      <c r="IC127" s="1693" t="b">
        <f>IB125</f>
        <v>0</v>
      </c>
      <c r="ID127" s="1695"/>
      <c r="IE127" s="391"/>
      <c r="IF127" s="1688"/>
      <c r="IG127" s="1689">
        <f ca="1">IF(IF125=TRUE,AC128,0)</f>
        <v>0</v>
      </c>
      <c r="IH127" s="1684"/>
      <c r="IK127" s="1689" t="e">
        <f>ROUND(T127*AB128*N126*R126/1000,0)</f>
        <v>#VALUE!</v>
      </c>
      <c r="IL127" s="1691"/>
      <c r="IM127" s="1693" t="e">
        <f>ROUND(T127*AB128*N126*R126/1000,0)</f>
        <v>#VALUE!</v>
      </c>
      <c r="IN127" s="1691"/>
      <c r="IP127" s="1679"/>
      <c r="IQ127" s="1679" t="e">
        <f t="shared" ref="IQ127:IU127" si="92">IF($CR127="interior",VLOOKUP($CS127,_New_Control_Savings_Interior,IQ$30,FALSE),VLOOKUP($CS127,Control_Savings_Exterior,IQ$30,FALSE))</f>
        <v>#N/A</v>
      </c>
      <c r="IR127" s="1679" t="e">
        <f t="shared" si="92"/>
        <v>#N/A</v>
      </c>
      <c r="IS127" s="1679" t="e">
        <f t="shared" si="92"/>
        <v>#N/A</v>
      </c>
      <c r="IT127" s="1679" t="e">
        <f t="shared" si="92"/>
        <v>#N/A</v>
      </c>
      <c r="IU127" s="1679" t="e">
        <f t="shared" si="92"/>
        <v>#N/A</v>
      </c>
      <c r="IV127" s="1679" t="e">
        <f>IF($CR127="interior",IF(R126&gt;$IP$14,ROUND(($IV$18*($IP$14/R126)),2),$IV$18),VLOOKUP($CS127,Control_Savings_Exterior,IV$30,FALSE))</f>
        <v>#N/A</v>
      </c>
      <c r="IW127" s="1679" t="e">
        <f>IF($CR127="interior",ROUND(((1-IS127)*IV127)+IS127,2),VLOOKUP($CS127,Control_Savings_Exterior,IW$30,FALSE))</f>
        <v>#N/A</v>
      </c>
      <c r="IX127" s="1679" t="e">
        <f>IF($CR127="interior",ROUND(((1-IT127)*IV127)+IT127,2),VLOOKUP($CS127,Control_Savings_Exterior,IX$30,FALSE))</f>
        <v>#N/A</v>
      </c>
      <c r="IY127" s="1679" t="e">
        <f>IF($CR127="interior",IF(R126&gt;$IP$14,ROUND(($IY$18*($IP$14/R126)),2),$IY$18),VLOOKUP($CS127,Control_Savings_Exterior,IY$30,FALSE))</f>
        <v>#N/A</v>
      </c>
      <c r="IZ127" s="1679" t="e">
        <f>IF($CR127="interior",ROUND(((1-IS127)*IY127)+IS127,2),VLOOKUP($CS127,Control_Savings_Exterior,IZ$30,FALSE))</f>
        <v>#N/A</v>
      </c>
      <c r="JA127" s="1679" t="e">
        <f>IF($CR127="interior",ROUND(((1-IT127)*IY127)+IT127,2),VLOOKUP($CS127,Control_Savings_Exterior,JA$30,FALSE))</f>
        <v>#N/A</v>
      </c>
      <c r="JC127" s="1680">
        <f>IFERROR(IF(CR127="Interior",CONCATENATE(G128," ",FQ127),AG127),"")</f>
        <v>0</v>
      </c>
      <c r="JD127" s="1670" t="str">
        <f>IFERROR(VLOOKUP(JC127,_Controls_2023,2,FALSE),"")</f>
        <v/>
      </c>
      <c r="JE127" s="1681">
        <f>IFERROR(CHOOSE(JD127-1,IQ127,IR127,IS127,IT127,IU127,IV127,IW127,IX127,IY127,IZ127,JA127),0)</f>
        <v>0</v>
      </c>
      <c r="JG127" s="1680" t="str">
        <f>FE127</f>
        <v xml:space="preserve"> - </v>
      </c>
      <c r="JH127" s="1670" t="e">
        <f>$FO127</f>
        <v>#N/A</v>
      </c>
      <c r="JI127" s="1060"/>
      <c r="JJ127" s="1670">
        <f>IFERROR(IF($IB125=TRUE,IF(OR(JJ$14="No",JJ125=FALSE,JH127&lt;=JH125,AND(_kWh_Grant=0,GD125=FALSE)),0,IF(JJ$8="Per Line",1,$AF127)),0),0)</f>
        <v>0</v>
      </c>
      <c r="JK127" s="1061"/>
      <c r="JL127" s="1670">
        <f>IFERROR(IF(_kWh_Grant=0,0,IF($IB125=TRUE,IF(OR(JL$14="No",JL125=FALSE,JH127&lt;=JH125),0,IF(JL$8="Per Line",1,$T127)),0)),0)</f>
        <v>0</v>
      </c>
      <c r="JM127" s="1061"/>
      <c r="JN127" s="1670">
        <f>IFERROR(IF(_kWh_Grant=0,0,IF($IB125=TRUE,IF(OR(JN$14="No",JN125=FALSE,JH127&lt;=JH125),0,IF(JN$8="Per Line",1,$AF127)),0)),0)</f>
        <v>0</v>
      </c>
      <c r="JO127" s="1061"/>
      <c r="JP127" s="1670">
        <f>IFERROR(IF(__Retrofit_TI_NC=0,IF(_kWh_Grant=0,0,IF($IB125=TRUE,IF(OR(JP$14="No",JP125=FALSE,$JH127&lt;=$JH125),0,IF(JP$8="Per Line",1,$AF127)),0)),IF($IB125=TRUE,IF(OR(JP$14="No",JP125=FALSE,$JH127&lt;=$JH125),0,IF(JP$8="Per Line",1,$AF127)))),0)</f>
        <v>0</v>
      </c>
      <c r="JQ127" s="1061"/>
      <c r="JR127" s="1670">
        <f>IFERROR(IF(__Retrofit_TI_NC=0,IF(_kWh_Grant=0,0,IF($IB125=TRUE,IF(OR(JR$14="No",JR125=FALSE,$JH127&lt;=$JH125),0,IF(JR$8="Per Line",1,$AF127)),0)),IF($IB125=TRUE,IF(OR(JR$14="No",JR125=FALSE,$JH127&lt;=$JH125),0,IF(JR$8="Per Line",1,$AF127)))),0)</f>
        <v>0</v>
      </c>
      <c r="JS127" s="1061"/>
      <c r="JT127" s="1670">
        <f>IFERROR(IF(__Retrofit_TI_NC=0,IF(_kWh_Grant=0,0,IF($IB125=TRUE,IF(OR(JT$14="No",JT125=FALSE,$JH127&lt;=$JH125),0,IF(JT$8="Per Line",1,$AF127)),0)),IF($IB125=TRUE,IF(OR(JT$14="No",JT125=FALSE,$JH127&lt;=$JH125),0,IF(JT$8="Per Line",1,$AF127)))),0)</f>
        <v>0</v>
      </c>
      <c r="JU127" s="1061"/>
      <c r="JV127" s="1670">
        <f>IFERROR(IF(__Retrofit_TI_NC=0,IF(_kWh_Grant=0,0,IF($IB125=TRUE,IF(OR(JV$14="No",JV125=FALSE,$JH127&lt;=$JH125),0,IF(JV$8="Per Line",1,$AF127)),0)),IF($IB125=TRUE,IF(OR(JV$14="No",JV125=FALSE,$JH127&lt;=$JH125),0,IF(JV$8="Per Line",1,$AF127)))),0)</f>
        <v>0</v>
      </c>
      <c r="JX127" s="1670">
        <f>IFERROR(IF(__Retrofit_TI_NC=0,IF(_kWh_Grant=0,0,IF($IB125=TRUE,IF(OR(JX$14="No",JX125=FALSE,$JH127&lt;=$JH125),0,IF(JX$8="Per Line",1,$AF127)),0)),IF($IB125=TRUE,IF(OR(JX$14="No",JX125=FALSE,$JH127&lt;=$JH125),0,IF(JX$8="Per Line",1,$AF127)))),0)</f>
        <v>0</v>
      </c>
      <c r="JZ127" s="1670">
        <f>IFERROR(IF($IB125=TRUE,IF(OR(JZ$14="No",JZ125=FALSE,$JH127&lt;=$JH125,AND(_kWh_Grant=0,$GD125=FALSE)),0,IF(JZ$8="Per Line",1,$AF127)),0),0)</f>
        <v>0</v>
      </c>
      <c r="KB127" s="1670">
        <f>IFERROR(IF(__Retrofit_TI_NC=0,IF(_kWh_Grant=0,0,IF($IB125=TRUE,IF(OR(KB$14="No",KB125=FALSE,$JH127&lt;=$JH125),0,IF(KB$8="Per Line",1,$AF127)),0)),IF($IB125=TRUE,IF(OR(KB$14="No",KB125=FALSE,$JH127&lt;=$JH125),0,IF(KB$8="Per Line",1,$AF127)))),0)</f>
        <v>0</v>
      </c>
    </row>
    <row r="128" spans="1:288" s="78" customFormat="1" ht="14.95" customHeight="1" thickTop="1" thickBot="1">
      <c r="B128" s="1845"/>
      <c r="C128" s="1846"/>
      <c r="D128" s="1847"/>
      <c r="E128" s="1771" t="s">
        <v>436</v>
      </c>
      <c r="F128" s="1772"/>
      <c r="G128" s="1784" t="s">
        <v>437</v>
      </c>
      <c r="H128" s="1785"/>
      <c r="I128" s="1785"/>
      <c r="J128" s="1785"/>
      <c r="K128" s="1785"/>
      <c r="L128" s="1786"/>
      <c r="M128" s="591">
        <f>IFERROR(VLOOKUP(G128,_Daylight_Table[],2,FALSE),0)</f>
        <v>0</v>
      </c>
      <c r="N128" s="592" t="str">
        <f>IF(AND(__Retrofit_TI_NC&gt;0,CQ125="Interior"),"BAM","")</f>
        <v/>
      </c>
      <c r="O128" s="591" t="e">
        <f>VLOOKUP(G127,'Space Table'!$B$3:$L$163,11,FALSE)</f>
        <v>#N/A</v>
      </c>
      <c r="P128" s="1789"/>
      <c r="Q128" s="1790"/>
      <c r="R128" s="1790"/>
      <c r="S128" s="1788"/>
      <c r="T128" s="593" t="s">
        <v>342</v>
      </c>
      <c r="U128" s="1756" t="str" cm="1">
        <f t="array" aca="1" ref="U128" ca="1">IFERROR(VLOOKUP(INDIRECT("U" &amp; ROW()-1),Fixtures!DM$93:DP$142,4,FALSE),"")</f>
        <v/>
      </c>
      <c r="V128" s="1757"/>
      <c r="W128" s="1757"/>
      <c r="X128" s="1757"/>
      <c r="Y128" s="1757"/>
      <c r="Z128" s="1757"/>
      <c r="AA128" s="1758"/>
      <c r="AB128" s="939" t="str">
        <f>IFERROR(VLOOKUP(U127,Fixtures_Proposed_List,2,FALSE),"")</f>
        <v/>
      </c>
      <c r="AC128" s="933" t="str">
        <f>IFERROR(ROUND(T127*AB128*N126*R126/1000,0),"")</f>
        <v/>
      </c>
      <c r="AD128" s="934" t="str">
        <f>IFERROR(ROUND(T127*AB128/1000,2),"")</f>
        <v/>
      </c>
      <c r="AE128" s="998"/>
      <c r="AF128" s="938" t="s">
        <v>342</v>
      </c>
      <c r="AG128" s="1770"/>
      <c r="AH128" s="1770"/>
      <c r="AI128" s="1770"/>
      <c r="AJ128" s="1770"/>
      <c r="AK128" s="1770"/>
      <c r="AL128" s="1770"/>
      <c r="AM128" s="1727"/>
      <c r="AN128" s="1729"/>
      <c r="AO128" s="1731"/>
      <c r="AP128" s="1782"/>
      <c r="AQ128" s="1783"/>
      <c r="AR128" s="1797"/>
      <c r="AS128" s="1797"/>
      <c r="AT128" s="1798"/>
      <c r="AU128" s="1736"/>
      <c r="AV128" s="1753"/>
      <c r="AW128" s="1706"/>
      <c r="AX128" s="468"/>
      <c r="AY128" s="1750"/>
      <c r="AZ128" s="1750"/>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696"/>
      <c r="CQ128" s="1696"/>
      <c r="CR128" s="1809"/>
      <c r="CS128" s="1811"/>
      <c r="CU128" s="1688"/>
      <c r="CV128" s="1703"/>
      <c r="CW128" s="1703"/>
      <c r="CX128" s="1813"/>
      <c r="CY128" s="1815"/>
      <c r="CZ128" s="1711"/>
      <c r="DA128" s="1815"/>
      <c r="DB128" s="1821"/>
      <c r="DC128" s="1821"/>
      <c r="DD128" s="1821"/>
      <c r="DF128" s="1703"/>
      <c r="DG128" s="1831"/>
      <c r="DH128" s="1813"/>
      <c r="DI128" s="1838"/>
      <c r="DJ128" s="1711"/>
      <c r="DK128" s="1712"/>
      <c r="DN128" s="1718"/>
      <c r="DO128" s="1709"/>
      <c r="DQ128" s="1715"/>
      <c r="DR128" s="1720"/>
      <c r="DS128" s="1703"/>
      <c r="DT128" s="1714"/>
      <c r="DU128" s="1715"/>
      <c r="DV128" s="1716"/>
      <c r="DX128" s="1715"/>
      <c r="DY128" s="1720"/>
      <c r="DZ128" s="1715"/>
      <c r="EA128" s="1715"/>
      <c r="EC128" s="1834"/>
      <c r="ED128" s="1834"/>
      <c r="EF128" s="1707"/>
      <c r="EG128" s="1712"/>
      <c r="EH128" s="1815"/>
      <c r="EI128" s="1712"/>
      <c r="EJ128" s="1712"/>
      <c r="EK128" s="1813"/>
      <c r="EL128" s="1813"/>
      <c r="EM128" s="1807"/>
      <c r="EN128" s="1839"/>
      <c r="EO128" s="1839"/>
      <c r="EP128" s="1817"/>
      <c r="EQ128" s="1817"/>
      <c r="ER128" s="1807"/>
      <c r="ES128" s="1807"/>
      <c r="ET128" s="1807"/>
      <c r="EV128" s="1715"/>
      <c r="EX128" s="1806"/>
      <c r="EY128" s="1806"/>
      <c r="EZ128" s="1806"/>
      <c r="FA128" s="1806"/>
      <c r="FB128" s="1806"/>
      <c r="FC128" s="1828"/>
      <c r="FE128" s="1698"/>
      <c r="FG128" s="1703"/>
      <c r="FH128" s="1703"/>
      <c r="FI128" s="133"/>
      <c r="FL128" s="1823"/>
      <c r="FM128" s="1825"/>
      <c r="FN128" s="1698"/>
      <c r="FO128" s="1698"/>
      <c r="FP128" s="1678"/>
      <c r="FQ128" s="1698"/>
      <c r="FS128" s="1687"/>
      <c r="FT128" s="1687"/>
      <c r="FU128" s="1685"/>
      <c r="FV128" s="1687"/>
      <c r="FW128" s="1687"/>
      <c r="FX128" s="1687"/>
      <c r="FY128" s="1697"/>
      <c r="GA128" s="1696"/>
      <c r="GB128" s="1696"/>
      <c r="GC128" s="1696"/>
      <c r="GD128" s="1696"/>
      <c r="GE128" s="1696"/>
      <c r="GF128" s="1696"/>
      <c r="GG128" s="1696"/>
      <c r="GH128" s="1696"/>
      <c r="GI128" s="673"/>
      <c r="GJ128" s="1135"/>
      <c r="GK128" s="1832"/>
      <c r="GN128" s="674">
        <f>IF(GN126=TRUE,0,GN$16)</f>
        <v>0</v>
      </c>
      <c r="GP128" s="674">
        <f>IF(GP126=TRUE,0,GP$16)</f>
        <v>36</v>
      </c>
      <c r="GQ128" s="674">
        <f ca="1">IF(GQ126=TRUE,0,GQ$16)</f>
        <v>35</v>
      </c>
      <c r="GR128" s="391"/>
      <c r="GS128" s="391"/>
      <c r="GT128" s="391"/>
      <c r="GU128" s="391"/>
      <c r="GV128" s="391"/>
      <c r="HG128" s="674">
        <f>IF(HG126=TRUE,0,HG$16)</f>
        <v>0</v>
      </c>
      <c r="HH128" s="674">
        <f t="shared" ref="HH128:HM128" si="93">IF(HH126=TRUE,0,HH$16)</f>
        <v>19</v>
      </c>
      <c r="HI128" s="674">
        <f t="shared" si="93"/>
        <v>18</v>
      </c>
      <c r="HJ128" s="674">
        <f t="shared" si="93"/>
        <v>17</v>
      </c>
      <c r="HK128" s="674">
        <f t="shared" si="93"/>
        <v>16</v>
      </c>
      <c r="HL128" s="674">
        <f t="shared" si="93"/>
        <v>0</v>
      </c>
      <c r="HM128" s="674">
        <f t="shared" si="93"/>
        <v>0</v>
      </c>
      <c r="HN128" s="674">
        <f>IF(HN126=TRUE,0,HN$16)</f>
        <v>13</v>
      </c>
      <c r="HO128" s="674">
        <f t="shared" ref="HO128:HQ128" si="94">IF(HO126=TRUE,0,HO$16)</f>
        <v>0</v>
      </c>
      <c r="HP128" s="674">
        <f t="shared" si="94"/>
        <v>0</v>
      </c>
      <c r="HQ128" s="674">
        <f t="shared" si="94"/>
        <v>10</v>
      </c>
      <c r="HR128" s="674">
        <f>IF(HR126=TRUE,0,HR$16)</f>
        <v>9</v>
      </c>
      <c r="HS128" s="674">
        <f t="shared" ref="HS128:HW128" si="95">IF(HS126=TRUE,0,HS$16)</f>
        <v>0</v>
      </c>
      <c r="HT128" s="674">
        <f t="shared" si="95"/>
        <v>0</v>
      </c>
      <c r="HU128" s="674">
        <f t="shared" si="95"/>
        <v>0</v>
      </c>
      <c r="HV128" s="674">
        <f t="shared" si="95"/>
        <v>0</v>
      </c>
      <c r="HW128" s="674">
        <f t="shared" si="95"/>
        <v>0</v>
      </c>
      <c r="HX128" s="674">
        <f>IF(HX126=TRUE,0,HX$16)</f>
        <v>0</v>
      </c>
      <c r="HY128" s="674">
        <f>IF(HY126=TRUE,0,HY$16)</f>
        <v>0</v>
      </c>
      <c r="HZ128" s="674">
        <f>IF(HZ126=TRUE,0,HZ$16)</f>
        <v>1</v>
      </c>
      <c r="IB128" s="674">
        <f>IF(GP126=FALSE,GP128,IF(GQ126=FALSE,GQ128,MAX(GN128:HZ128)))</f>
        <v>36</v>
      </c>
      <c r="IC128" s="1692"/>
      <c r="ID128" s="205" t="str">
        <f>VLOOKUP(IB128,_Error_Table,3,FALSE)</f>
        <v xml:space="preserve"> </v>
      </c>
      <c r="IE128" s="205"/>
      <c r="IF128" s="1688"/>
      <c r="IG128" s="1689"/>
      <c r="IH128" s="1684"/>
      <c r="IK128" s="1689"/>
      <c r="IL128" s="1692"/>
      <c r="IM128" s="1692"/>
      <c r="IN128" s="1692"/>
      <c r="IP128" s="1679"/>
      <c r="IQ128" s="1679"/>
      <c r="IR128" s="1679"/>
      <c r="IS128" s="1679"/>
      <c r="IT128" s="1679"/>
      <c r="IU128" s="1679"/>
      <c r="IV128" s="1679"/>
      <c r="IW128" s="1679"/>
      <c r="IX128" s="1679"/>
      <c r="IY128" s="1679"/>
      <c r="IZ128" s="1679"/>
      <c r="JA128" s="1679"/>
      <c r="JC128" s="1680"/>
      <c r="JD128" s="1670"/>
      <c r="JE128" s="1681"/>
      <c r="JG128" s="1680"/>
      <c r="JH128" s="1670"/>
      <c r="JI128" s="1060"/>
      <c r="JJ128" s="1670"/>
      <c r="JK128" s="1061"/>
      <c r="JL128" s="1670"/>
      <c r="JM128" s="1061"/>
      <c r="JN128" s="1670"/>
      <c r="JO128" s="1061"/>
      <c r="JP128" s="1670"/>
      <c r="JQ128" s="1061"/>
      <c r="JR128" s="1670"/>
      <c r="JS128" s="1061"/>
      <c r="JT128" s="1670"/>
      <c r="JU128" s="1061"/>
      <c r="JV128" s="1670"/>
      <c r="JX128" s="1670"/>
      <c r="JZ128" s="1670"/>
      <c r="KB128" s="1670"/>
    </row>
    <row r="129" spans="1:288" s="78" customFormat="1" ht="5.0999999999999996" customHeight="1">
      <c r="B129" s="676"/>
      <c r="C129" s="392"/>
      <c r="D129" s="392"/>
      <c r="E129" s="1733"/>
      <c r="F129" s="1733"/>
      <c r="G129" s="1733"/>
      <c r="H129" s="1733"/>
      <c r="I129" s="1733"/>
      <c r="J129" s="1733"/>
      <c r="K129" s="1733"/>
      <c r="L129" s="1733"/>
      <c r="M129" s="1733"/>
      <c r="N129" s="1733"/>
      <c r="O129" s="1733"/>
      <c r="P129" s="1733"/>
      <c r="Q129" s="1733"/>
      <c r="R129" s="1733"/>
      <c r="S129" s="1733"/>
      <c r="T129" s="1733"/>
      <c r="U129" s="1733"/>
      <c r="V129" s="1733"/>
      <c r="W129" s="1733"/>
      <c r="X129" s="1733"/>
      <c r="Y129" s="1733"/>
      <c r="Z129" s="1733"/>
      <c r="AA129" s="1733"/>
      <c r="AB129" s="1733"/>
      <c r="AC129" s="1733"/>
      <c r="AD129" s="1733"/>
      <c r="AE129" s="1733"/>
      <c r="AF129" s="1733"/>
      <c r="AG129" s="1733"/>
      <c r="AH129" s="1733"/>
      <c r="AI129" s="1733"/>
      <c r="AJ129" s="1733"/>
      <c r="AK129" s="1733"/>
      <c r="AL129" s="1733"/>
      <c r="AM129" s="1733"/>
      <c r="AN129" s="1733"/>
      <c r="AO129" s="1733"/>
      <c r="AP129" s="1733"/>
      <c r="AQ129" s="1733"/>
      <c r="AR129" s="1733"/>
      <c r="AS129" s="1733"/>
      <c r="AT129" s="1733"/>
      <c r="AU129" s="1733"/>
      <c r="AV129" s="1733"/>
      <c r="AW129" s="1733"/>
      <c r="AX129" s="469"/>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663"/>
      <c r="CQ129" s="663"/>
      <c r="CR129" s="438"/>
      <c r="CS129" s="663"/>
      <c r="CV129" s="391"/>
      <c r="CW129" s="391"/>
      <c r="CX129" s="207"/>
      <c r="CY129" s="208"/>
      <c r="CZ129" s="208"/>
      <c r="DA129" s="208"/>
      <c r="DB129" s="209"/>
      <c r="DC129" s="209"/>
      <c r="DD129" s="209"/>
      <c r="DF129" s="664"/>
      <c r="DG129" s="665"/>
      <c r="DH129" s="666"/>
      <c r="DI129" s="667"/>
      <c r="DJ129" s="668"/>
      <c r="DK129" s="668"/>
      <c r="DN129" s="208"/>
      <c r="DO129" s="664"/>
      <c r="DQ129" s="664"/>
      <c r="DR129" s="669"/>
      <c r="DS129" s="391"/>
      <c r="DT129" s="664"/>
      <c r="DU129" s="664"/>
      <c r="DV129" s="664"/>
      <c r="DX129" s="664"/>
      <c r="DY129" s="664"/>
      <c r="DZ129" s="664"/>
      <c r="EA129" s="664"/>
      <c r="EC129" s="670"/>
      <c r="ED129" s="670"/>
      <c r="EF129" s="668"/>
      <c r="EG129" s="668"/>
      <c r="EH129" s="208"/>
      <c r="EI129" s="668"/>
      <c r="EJ129" s="668"/>
      <c r="EK129" s="207"/>
      <c r="EL129" s="207"/>
      <c r="EM129" s="666"/>
      <c r="EN129" s="671"/>
      <c r="EO129" s="671"/>
      <c r="EP129" s="672"/>
      <c r="EQ129" s="672"/>
      <c r="ER129" s="666"/>
      <c r="ES129" s="666"/>
      <c r="ET129" s="666"/>
      <c r="EV129" s="664"/>
      <c r="EX129" s="391"/>
      <c r="EY129" s="391"/>
      <c r="EZ129" s="391"/>
      <c r="FA129" s="391"/>
      <c r="FB129" s="391"/>
      <c r="FC129" s="391"/>
      <c r="FE129" s="569"/>
      <c r="FG129" s="391"/>
      <c r="FH129" s="391"/>
      <c r="FI129" s="391"/>
      <c r="FS129" s="664"/>
      <c r="FT129" s="391"/>
      <c r="FU129" s="391"/>
      <c r="FV129" s="664"/>
      <c r="FW129" s="664"/>
      <c r="GA129" s="663"/>
      <c r="GB129" s="663"/>
      <c r="GC129" s="663"/>
      <c r="GD129" s="663"/>
      <c r="GE129" s="663"/>
      <c r="GF129" s="663"/>
      <c r="GG129" s="663"/>
      <c r="GH129" s="663"/>
      <c r="GI129" s="665"/>
      <c r="GJ129" s="664"/>
      <c r="GK129" s="664"/>
    </row>
    <row r="130" spans="1:288" s="78" customFormat="1" ht="14.95" customHeight="1">
      <c r="B130" s="1845" t="str">
        <f>ID133</f>
        <v xml:space="preserve"> </v>
      </c>
      <c r="C130" s="1846">
        <f>C125+1</f>
        <v>17</v>
      </c>
      <c r="D130" s="1847"/>
      <c r="E130" s="1799" t="s">
        <v>295</v>
      </c>
      <c r="F130" s="1800"/>
      <c r="G130" s="1741"/>
      <c r="H130" s="1742"/>
      <c r="I130" s="1742"/>
      <c r="J130" s="1742"/>
      <c r="K130" s="1742"/>
      <c r="L130" s="1742"/>
      <c r="M130" s="1742"/>
      <c r="N130" s="1742"/>
      <c r="O130" s="1742"/>
      <c r="P130" s="1742"/>
      <c r="Q130" s="1742"/>
      <c r="R130" s="1742"/>
      <c r="S130" s="1791" t="s">
        <v>344</v>
      </c>
      <c r="T130" s="590"/>
      <c r="U130" s="1743"/>
      <c r="V130" s="1744"/>
      <c r="W130" s="1744"/>
      <c r="X130" s="1744"/>
      <c r="Y130" s="1744"/>
      <c r="Z130" s="1744"/>
      <c r="AA130" s="1744"/>
      <c r="AB130" s="961" t="str">
        <f>IFERROR(IF(__Retrofit_TI_NC=0,VLOOKUP(U131,Fixtures_Existing_List,2,FALSE),ROUND(N132*R132/T132,10)),"")</f>
        <v/>
      </c>
      <c r="AC130" s="935" t="str">
        <f>IFERROR(IF(__Retrofit_TI_NC=0,ROUND(T131*AB130*N131*R131/1000,0),IF(CQ130="Interior",N132*R132*R131*N131*_C406_reduction/1000,N132*R132*R131*N131/1000)),"")</f>
        <v/>
      </c>
      <c r="AD130" s="936" t="str">
        <f>IFERROR(IF(C$43=0,ROUND(T131*AB130/1000,2),N132*R132/1000),"")</f>
        <v/>
      </c>
      <c r="AE130" s="997"/>
      <c r="AF130" s="937"/>
      <c r="AG130" s="1745" t="str">
        <f>IF(__Retrofit_TI_NC=0," Control","Select Advanced Control for New System")</f>
        <v xml:space="preserve"> Control</v>
      </c>
      <c r="AH130" s="1745"/>
      <c r="AI130" s="1745"/>
      <c r="AJ130" s="1745"/>
      <c r="AK130" s="1745"/>
      <c r="AL130" s="1745"/>
      <c r="AM130" s="1746">
        <f>IFERROR(DI130,"")</f>
        <v>0</v>
      </c>
      <c r="AN130" s="1774" t="str">
        <f>IFERROR(ROUND(AM130*AC130,0),"")</f>
        <v/>
      </c>
      <c r="AO130" s="1776">
        <f>IFERROR(IF(IB130=FALSE,0,AC130-AN130),0)</f>
        <v>0</v>
      </c>
      <c r="AP130" s="1778">
        <f>AO130-AO132</f>
        <v>0</v>
      </c>
      <c r="AQ130" s="1779"/>
      <c r="AR130" s="1793">
        <f>IFERROR(IF(IB130=FALSE,0,(T132*U133)+(AF132*AG133)),0)</f>
        <v>0</v>
      </c>
      <c r="AS130" s="1793"/>
      <c r="AT130" s="1794"/>
      <c r="AU130" s="1734" t="s">
        <v>237</v>
      </c>
      <c r="AV130" s="1751">
        <f>IF(AU130="Yes",1,0)</f>
        <v>1</v>
      </c>
      <c r="AW130" s="1704" t="str">
        <f>IF(OR(DQ130=4,DQ130=5,DQ130=6,DQ130=12),CONCATENATE("$",IF(GH130=TRUE,Lookup!$K$10,Lookup!$K$2)," /lamp"),CONCATENATE(TEXT(ED130,"$0.00"),"/ kWh"))</f>
        <v>$0.00/ kWh</v>
      </c>
      <c r="AX130" s="467"/>
      <c r="AY130" s="1748">
        <f ca="1">IFERROR(IF(GM131=TRUE,(AB133*T132)/R132,0),"NA")</f>
        <v>0</v>
      </c>
      <c r="AZ130" s="1748"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696" t="str">
        <f>N131</f>
        <v/>
      </c>
      <c r="CQ130" s="1696" t="str">
        <f>IFERROR(VLOOKUP(G131,_Lookup_Heat_Type_Table_New,3,FALSE),"")</f>
        <v/>
      </c>
      <c r="CR130" s="1808" t="str">
        <f>CQ130</f>
        <v/>
      </c>
      <c r="CS130" s="1810" t="str">
        <f>IFERROR(VLOOKUP(G132,'Space Table'!$B$3:$L$163,9,FALSE),"")</f>
        <v/>
      </c>
      <c r="CU130" s="1688" t="s">
        <v>344</v>
      </c>
      <c r="CV130" s="1702">
        <f>IF(IB130=TRUE,T131,0)</f>
        <v>0</v>
      </c>
      <c r="CW130" s="1702" t="str">
        <f>IF(IB130=TRUE,U131,"")</f>
        <v/>
      </c>
      <c r="CX130" s="1702"/>
      <c r="CY130" s="1814">
        <f>IF(IB130=TRUE,AB130,0)</f>
        <v>0</v>
      </c>
      <c r="CZ130" s="1710">
        <f>IF(AND(__Retrofit_TI_NC&gt;0,CR130="interior"),0,IF(IB130=TRUE,AC130,0))</f>
        <v>0</v>
      </c>
      <c r="DA130" s="1814">
        <f>IFERROR(IF(IB130=TRUE,CZ130-CZ132,0),0)</f>
        <v>0</v>
      </c>
      <c r="DB130" s="1819">
        <f>IF(IB130=TRUE,AD130,0)</f>
        <v>0</v>
      </c>
      <c r="DC130" s="1819">
        <f>IF(IB130=TRUE,AD133,0)</f>
        <v>0</v>
      </c>
      <c r="DD130" s="1819">
        <f>IFERROR(DB130-DC130,0)</f>
        <v>0</v>
      </c>
      <c r="DF130" s="1702">
        <f>IF(IB130=TRUE,AF131,0)</f>
        <v>0</v>
      </c>
      <c r="DG130" s="1830">
        <f>IFERROR(IF(__Retrofit_TI_NC=2,IF(CQ130="Exterior",O133,FQ130),FN130),"")</f>
        <v>0</v>
      </c>
      <c r="DH130" s="1702"/>
      <c r="DI130" s="1837">
        <f>JE130</f>
        <v>0</v>
      </c>
      <c r="DJ130" s="1710">
        <f>IF(AND(__Retrofit_TI_NC&gt;0,CR130="interior"),0,IF(IB130=TRUE,AN130,0))</f>
        <v>0</v>
      </c>
      <c r="DK130" s="1712">
        <f>IFERROR(IF(IB130=TRUE,DJ132-DJ130,0),0)</f>
        <v>0</v>
      </c>
      <c r="DM130" s="1717">
        <f>IFERROR(CZ130-DJ130,0)</f>
        <v>0</v>
      </c>
      <c r="DO130" s="1708">
        <f>DM130-DN132</f>
        <v>0</v>
      </c>
      <c r="DQ130" s="1715" t="str">
        <f>IFERROR(IF(AND(OR(GC130=4,GC130=5,GC130=6),OR(GF130=4,GF130=5,GF130=6)),GC130+8,VLOOKUP(CW132,Fixtures!R$31:Y$78,8,FALSE)),"")</f>
        <v/>
      </c>
      <c r="DR130" s="1829" t="str">
        <f>DQ130</f>
        <v/>
      </c>
      <c r="DS130" s="1702" t="str">
        <f>IFERROR(VLOOKUP(DG132,Lookup!BB$3:BC$20,2,FALSE),"")</f>
        <v/>
      </c>
      <c r="DT130" s="1713" t="str">
        <f>IF(OR(DS130=7,DS130=8,DS130=9),"ALC","")</f>
        <v/>
      </c>
      <c r="DU130" s="1715">
        <f>IFERROR(IF(OR(DQ130=4,DQ130=5,DQ130=6,DQ130=12,DQ130=13,DQ130=14),VLOOKUP(CW132,Fixtures!DN$27:EG$77,19,FALSE),1)*CV132,0)</f>
        <v>0</v>
      </c>
      <c r="DV130" s="1716">
        <f>IF(OR(DS130=7,DS130=8,DS130=9),IF(DG130=DG132,0,DF132),0)</f>
        <v>0</v>
      </c>
      <c r="DX130" s="1715" t="str">
        <f>IFERROR(IF(EZ130&lt;EZ132,"Yes","No"),"")</f>
        <v/>
      </c>
      <c r="DY130" s="1829" t="str">
        <f>DX130</f>
        <v/>
      </c>
      <c r="DZ130" s="1715">
        <f>IF(DX130="Yes",DF132,0)</f>
        <v>0</v>
      </c>
      <c r="EA130" s="1715">
        <f>DZ130-DV130</f>
        <v>0</v>
      </c>
      <c r="EC130" s="1834">
        <f>IFERROR(VLOOKUP(DQ130,Lookup!AU$3:AV$16,2,FALSE),0)</f>
        <v>0</v>
      </c>
      <c r="ED130" s="1834">
        <f>IF(IB130=FALSE,0,IF(DX130="Yes",EC130+Lookup!K$6,EC130))</f>
        <v>0</v>
      </c>
      <c r="EF130" s="1707">
        <f>IF(IB130=TRUE,DM130,0)</f>
        <v>0</v>
      </c>
      <c r="EG130" s="1712">
        <f>IF(IB130=TRUE,CZ132,0)</f>
        <v>0</v>
      </c>
      <c r="EH130" s="1814">
        <f>IFERROR(EF130-EG130,0)</f>
        <v>0</v>
      </c>
      <c r="EI130" s="1712">
        <f>IF(IB130=TRUE,DJ132,0)</f>
        <v>0</v>
      </c>
      <c r="EJ130" s="1712">
        <f>IFERROR(EF130-EG130+EI130,0)</f>
        <v>0</v>
      </c>
      <c r="EK130" s="1812">
        <f>IF(IB130=TRUE,CV132*CX132,0)</f>
        <v>0</v>
      </c>
      <c r="EL130" s="1812">
        <f>IF(IB130=TRUE,DF132*DH132,0)</f>
        <v>0</v>
      </c>
      <c r="EM130" s="1807">
        <f>AR130</f>
        <v>0</v>
      </c>
      <c r="EN130" s="1839" t="str">
        <f>IFERROR(IF(IB130=TRUE,VLOOKUP(DQ130,Lookup!AU$3:AW$16,3,FALSE)*DU130,""),0)</f>
        <v/>
      </c>
      <c r="EO130" s="1839">
        <f>IF(IB130=TRUE,DZ130*Lookup!AW$12,0)</f>
        <v>0</v>
      </c>
      <c r="EP130" s="1817">
        <f>IFERROR(IF(IB130=TRUE,EN130/EP$40,0),0)</f>
        <v>0</v>
      </c>
      <c r="EQ130" s="1817">
        <f>IF(IB130=TRUE,EO130/EQ$40,0)</f>
        <v>0</v>
      </c>
      <c r="ER130" s="1807">
        <f>IF(IB130=TRUE,ET$40*EP130,0)</f>
        <v>0</v>
      </c>
      <c r="ES130" s="1807">
        <f>IF(IB130=TRUE,ET$40*EQ130,0)</f>
        <v>0</v>
      </c>
      <c r="ET130" s="1807">
        <f>ER130+ES130</f>
        <v>0</v>
      </c>
      <c r="EV130" s="1715">
        <f>IF(G130="",0,1)</f>
        <v>0</v>
      </c>
      <c r="EX130" s="1804" t="str">
        <f>IFERROR(VLOOKUP(CS132,'Space Table'!$B$3:$L$163,8,FALSE),"")</f>
        <v/>
      </c>
      <c r="EY130" s="1804" t="str">
        <f>IFERROR(IF(FB130="Yes",VLOOKUP(DG130,Lookup_Control_Type_Table2,4,FALSE),VLOOKUP(DG130,Lookup_Control_Type_Table2,3,FALSE)),"")</f>
        <v/>
      </c>
      <c r="EZ130" s="1804" t="e">
        <f>VLOOKUP(DG130,Lookup!BB$3:BC$20,2,FALSE)</f>
        <v>#N/A</v>
      </c>
      <c r="FA130" s="1804" t="e">
        <f>VLOOKUP(EX130,Lookup_Control_Type_Table,2,FALSE)</f>
        <v>#N/A</v>
      </c>
      <c r="FB130" s="1804" t="e">
        <f>VLOOKUP(CS132,'Space Table'!$B$3:$L$163,7,FALSE)</f>
        <v>#N/A</v>
      </c>
      <c r="FC130" s="1826" t="b">
        <f>ISNUMBER(SEARCH("TLED",U132))</f>
        <v>0</v>
      </c>
      <c r="FE130" s="1698" t="str">
        <f>CONCATENATE(CQ130," - ",DG130)</f>
        <v xml:space="preserve"> - 0</v>
      </c>
      <c r="FG130" s="1702" t="str">
        <f>VLOOKUP(CW132,Fixtures!DN$27:EZ$77,38,FALSE)</f>
        <v/>
      </c>
      <c r="FH130" s="1702">
        <f>IFERROR(FG130*EH130,0)</f>
        <v>0</v>
      </c>
      <c r="FI130" s="133"/>
      <c r="FL130" s="1822" t="str">
        <f>IF(CQ130="Exterior","Not Daylighted",G133)</f>
        <v>Not Daylighted</v>
      </c>
      <c r="FM130" s="1824">
        <f>VLOOKUP(FL130,_New_Daylight_Table_Codes,2,FALSE)</f>
        <v>0</v>
      </c>
      <c r="FN130" s="1698">
        <f>IF(__Retrofit_TI_NC&gt;0,VLOOKUP(G132,'Space Table'!$B$3:$L$163,11,FALSE),AG131)</f>
        <v>0</v>
      </c>
      <c r="FO130" s="1698" t="e">
        <f>IF(__Retrofit_TI_NC=2,VLOOKUP(FQ130,_Control_Table,2,FALSE),VLOOKUP(FN130,_Control_Table,2,FALSE))</f>
        <v>#N/A</v>
      </c>
      <c r="FP130" s="1678" t="e">
        <f>VLOOKUP(CONCATENATE(FL130," ",FN130),Lookup!AY$102:AZ140,2,FALSE)</f>
        <v>#N/A</v>
      </c>
      <c r="FQ130" s="1678">
        <f>IF(__Retrofit_TI_NC=0,FN130,IF(AND(FT130&gt;0,FN130="Occupancy Sensor"),"Daylight + Occupancy",IF(AND(FT130&gt;0,VLOOKUP(FN130,_Control_Table,2,FALSE)&lt;4),"Interior Daylight Dimming",FN130)))</f>
        <v>0</v>
      </c>
      <c r="FS130" s="1686">
        <f>IF(CR130="Interior",VLOOKUP(CS130,Control_Savings_Interior,5,FALSE),0)</f>
        <v>0</v>
      </c>
      <c r="FT130" s="1687">
        <f>IF(CQ130="Exterior",0,IF(FM130=2,0.5,IF(OR(FM130=1,FM130=3),1,0)))</f>
        <v>0</v>
      </c>
      <c r="FU130" s="1685">
        <f>IF(R129&gt;FS$44,(FS130*(FS$44/R129)),FS130)*FT130</f>
        <v>0</v>
      </c>
      <c r="FV130" s="1686">
        <f>DI130</f>
        <v>0</v>
      </c>
      <c r="FW130" s="1686">
        <f>ROUND(FV130+((1-FV130)*FU130),2)</f>
        <v>0</v>
      </c>
      <c r="FX130" s="1686">
        <f>IF(__Retrofit_TI_NC=2,FW130,FV130)</f>
        <v>0</v>
      </c>
      <c r="FY130" s="1697"/>
      <c r="GA130" s="1696" t="str">
        <f>IFERROR(VLOOKUP(U131,_Exist_Fixture_Table,3,FALSE),"")</f>
        <v/>
      </c>
      <c r="GB130" s="1696" t="str">
        <f>VLOOKUP(CW130,_Exist_Fixture_Table,4,FALSE)</f>
        <v/>
      </c>
      <c r="GC130" s="1696">
        <f>IFERROR(VLOOKUP(GB130,Lookup!AT$6:AU$8,2,FALSE),0)</f>
        <v>0</v>
      </c>
      <c r="GD130" s="1696" t="b">
        <f>IFERROR(IF(OR(GF130=4,GF130=5,GF130=6),TRUE,FALSE),"")</f>
        <v>0</v>
      </c>
      <c r="GE130" s="1696" t="str">
        <f>IFERROR(VLOOKUP(GF130,GC$6:GD$10,2,FALSE),"")</f>
        <v/>
      </c>
      <c r="GF130" s="1696" t="str">
        <f>VLOOKUP(CW132,Fixtures!R$31:Y$78,8,FALSE)</f>
        <v/>
      </c>
      <c r="GG130" s="1696">
        <f>IF(AND(GA130=TRUE,GD130=TRUE,OR(DQ130=12,DQ130=13,DQ130=14)),GC130+8,0)</f>
        <v>0</v>
      </c>
      <c r="GH130" s="1696" t="b">
        <f>IF(OR(GG130=12,GG130=13,GG130=14),TRUE,FALSE)</f>
        <v>0</v>
      </c>
      <c r="GI130" s="673" t="b">
        <f>IF(ISNUMBER(SEARCH("TLED",U131)),TRUE,FALSE)</f>
        <v>0</v>
      </c>
      <c r="GJ130" s="1135" t="str">
        <f>IFERROR(VLOOKUP(U131,Fixtures!BM$93:BR$142,6,FALSE),"")</f>
        <v/>
      </c>
      <c r="GK130" s="1832" t="b">
        <f>IF(OR(GI130=FALSE,GI132=FALSE),TRUE,IF(GJ130-GJ132&lt;5,FALSE,TRUE))</f>
        <v>1</v>
      </c>
      <c r="GO130" s="674">
        <f>GP130</f>
        <v>0</v>
      </c>
      <c r="GP130" s="674">
        <f>IF(G130="",0,1)</f>
        <v>0</v>
      </c>
      <c r="GQ130" s="674">
        <f ca="1">SUM(GR130:HF130)</f>
        <v>2</v>
      </c>
      <c r="GR130" s="674">
        <f>IF(G131="",0,1)</f>
        <v>0</v>
      </c>
      <c r="GS130" s="674">
        <f>IF(N133="BAM",1,IF(G132="",0,1))</f>
        <v>0</v>
      </c>
      <c r="GT130" s="674">
        <f>IF(N133="BAM",1,IF(R131="",0,1))</f>
        <v>0</v>
      </c>
      <c r="GU130" s="674">
        <f>IF(N133="BAM",1,IF(__Retrofit_TI_NC=0,1,IF(R132="",0,1)))</f>
        <v>1</v>
      </c>
      <c r="GV130" s="674">
        <f>IF(N133="BAM",1,IF(CQ130="Exterior",1,IF(G133="",0,1)))</f>
        <v>1</v>
      </c>
      <c r="GW130" s="674">
        <f>IF(__Retrofit_TI_NC&gt;0,1,IF(T131="",0,1))</f>
        <v>0</v>
      </c>
      <c r="GX130" s="674">
        <f>IF(__Retrofit_TI_NC&gt;0,1,IF(U131="",0,1))</f>
        <v>0</v>
      </c>
      <c r="GY130" s="674">
        <f>IF(N133="BAM",1,IF(T132="",0,1))</f>
        <v>0</v>
      </c>
      <c r="GZ130" s="674">
        <f>IF(N133="BAM",1,IF(U132="",0,1))</f>
        <v>0</v>
      </c>
      <c r="HA130" s="674">
        <f ca="1">IF(N133="BAM",1,IF(__Retrofit_TI_NC&gt;0,1,IF(U133="",0,1)))</f>
        <v>0</v>
      </c>
      <c r="HB130" s="674">
        <f>IF(__Retrofit_TI_NC&lt;&gt;0,1,IF(AF131="",0,1))</f>
        <v>0</v>
      </c>
      <c r="HC130" s="674">
        <f>IF(__Retrofit_TI_NC&lt;&gt;0,1,IF(AG131="",0,1))</f>
        <v>0</v>
      </c>
      <c r="HD130" s="674">
        <f>IF(N133="BAM",1,IF(AF132="",0,1))</f>
        <v>0</v>
      </c>
      <c r="HE130" s="674">
        <f>IF(N133="BAM",1,IF(AG132="",0,1))</f>
        <v>0</v>
      </c>
      <c r="HF130" s="674">
        <f>IF(N133="BAM",1,IF(__Retrofit_TI_NC&gt;0,1,IF(AG133="",0,1)))</f>
        <v>0</v>
      </c>
      <c r="HG130" s="391"/>
      <c r="IA130" s="391"/>
      <c r="IB130" s="1693" t="b">
        <f>IF(OR(IB133=0,IB133=HY$16,IB133=HX$16,IB133=HZ$16),TRUE,FALSE)</f>
        <v>0</v>
      </c>
      <c r="IC130" s="1694" t="b">
        <f>IB130</f>
        <v>0</v>
      </c>
      <c r="ID130" s="391"/>
      <c r="IE130" s="391"/>
      <c r="IF130" s="1688" t="b">
        <f ca="1">IF(MAX(GN133:HU133)&gt;5,FALSE,TRUE)</f>
        <v>0</v>
      </c>
      <c r="IG130" s="1689">
        <f ca="1">IF(IF130=TRUE,AC130,0)</f>
        <v>0</v>
      </c>
      <c r="IH130" s="1689">
        <f ca="1">IG130-IG132</f>
        <v>0</v>
      </c>
      <c r="IK130" s="1689" t="e">
        <f>ROUND(T131*VLOOKUP(U131,Fixtures_Existing_List,2,FALSE)*N131*R131/1000,0)</f>
        <v>#N/A</v>
      </c>
      <c r="IL130" s="1690" t="e">
        <f>IK130-IK132</f>
        <v>#N/A</v>
      </c>
      <c r="IM130" s="1693" t="e">
        <f>ROUND(IF(CQ130="Interior",N132*R132*R131*N131*_C406_reduction/1000,N132*R132*R131*N131/1000),0)</f>
        <v>#N/A</v>
      </c>
      <c r="IN130" s="1693" t="e">
        <f>IM130-IM132</f>
        <v>#N/A</v>
      </c>
      <c r="IP130" s="1679"/>
      <c r="IQ130" s="1679" t="e">
        <f t="shared" ref="IQ130:IU130" si="96">IF($CR130="interior",VLOOKUP($CS130,_New_Control_Savings_Interior,IQ$30,FALSE),VLOOKUP($CS130,Control_Savings_Exterior,IQ$30,FALSE))</f>
        <v>#N/A</v>
      </c>
      <c r="IR130" s="1679" t="e">
        <f t="shared" si="96"/>
        <v>#N/A</v>
      </c>
      <c r="IS130" s="1679" t="e">
        <f t="shared" si="96"/>
        <v>#N/A</v>
      </c>
      <c r="IT130" s="1679" t="e">
        <f t="shared" si="96"/>
        <v>#N/A</v>
      </c>
      <c r="IU130" s="1679" t="e">
        <f t="shared" si="96"/>
        <v>#N/A</v>
      </c>
      <c r="IV130" s="1679" t="e">
        <f>IF($CR130="interior",IF(R131&gt;$IP$14,ROUND(($IV$18*($IP$14/R131)),2),$IV$18),VLOOKUP($CS130,Control_Savings_Exterior,IV$30,FALSE))</f>
        <v>#N/A</v>
      </c>
      <c r="IW130" s="1679" t="e">
        <f>IF($CR130="interior",ROUND(((1-IS130)*IV130)+IS130,2),VLOOKUP($CS130,Control_Savings_Exterior,IW$30,FALSE))</f>
        <v>#N/A</v>
      </c>
      <c r="IX130" s="1679" t="e">
        <f>IF($CR130="interior",ROUND(((1-IT130)*IV130)+IT130,2),VLOOKUP($CS130,Control_Savings_Exterior,IX$30,FALSE))</f>
        <v>#N/A</v>
      </c>
      <c r="IY130" s="1679" t="e">
        <f>IF($CR130="interior",IF(R131&gt;$IP$14,ROUND(($IY$18*($IP$14/R131)),2),$IY$18),VLOOKUP($CS130,Control_Savings_Exterior,IY$30,FALSE))</f>
        <v>#N/A</v>
      </c>
      <c r="IZ130" s="1679" t="e">
        <f>IF($CR130="interior",ROUND(((1-IS130)*IY130)+IS130,2),VLOOKUP($CS130,Control_Savings_Exterior,IZ$30,FALSE))</f>
        <v>#N/A</v>
      </c>
      <c r="JA130" s="1679" t="e">
        <f>IF($CR130="interior",ROUND(((1-IT130)*IY130)+IT130,2),VLOOKUP($CS130,Control_Savings_Exterior,JA$30,FALSE))</f>
        <v>#N/A</v>
      </c>
      <c r="JC130" s="1680">
        <f>IFERROR(IF(CR130="Interior",CONCATENATE(G133," ",FQ130),FQ130),"")</f>
        <v>0</v>
      </c>
      <c r="JD130" s="1670" t="str">
        <f>IFERROR(VLOOKUP(JC130,_Controls_2023,2,FALSE),"")</f>
        <v/>
      </c>
      <c r="JE130" s="1681">
        <f>IFERROR(CHOOSE(JD130-1,IQ130,IR130,IS130,IT130,IU130,IV130,IW130,IX130,IY130,IZ130,JA130),0)</f>
        <v>0</v>
      </c>
      <c r="JG130" s="1680" t="str">
        <f>FE130</f>
        <v xml:space="preserve"> - 0</v>
      </c>
      <c r="JH130" s="1670" t="e">
        <f>$FO130</f>
        <v>#N/A</v>
      </c>
      <c r="JI130" s="1060"/>
      <c r="JJ130" s="1682" t="b">
        <f>IF($JG132=CONCATENATE("Interior - ",JJ$4),TRUE,FALSE)</f>
        <v>0</v>
      </c>
      <c r="JK130" s="1061"/>
      <c r="JL130" s="1682" t="b">
        <f>IF($JG132=CONCATENATE("Interior - ",JL$4),TRUE,FALSE)</f>
        <v>0</v>
      </c>
      <c r="JM130" s="1061"/>
      <c r="JN130" s="1682" t="b">
        <f>IF($JG132=CONCATENATE("Interior - ",JN$4),TRUE,FALSE)</f>
        <v>0</v>
      </c>
      <c r="JO130" s="1061"/>
      <c r="JP130" s="1682" t="b">
        <f>IF(__Retrofit_TI_NC&gt;0,FALSE,IF($JG132=CONCATENATE("Interior - ",JP$4),TRUE,FALSE))</f>
        <v>0</v>
      </c>
      <c r="JQ130" s="1061"/>
      <c r="JR130" s="1682" t="b">
        <f>IF(__Retrofit_TI_NC&gt;0,FALSE,IF($JG132=CONCATENATE("Interior - ",JR$4),TRUE,FALSE))</f>
        <v>0</v>
      </c>
      <c r="JS130" s="1061"/>
      <c r="JT130" s="1670" t="b">
        <f>IF(__Retrofit_TI_NC&gt;0,FALSE,IF($JG132=CONCATENATE("Interior - ",JT$4),TRUE,FALSE))</f>
        <v>0</v>
      </c>
      <c r="JU130" s="1061"/>
      <c r="JV130" s="1670" t="b">
        <f>IF(JC132="AELC on Existing",TRUE,FALSE)</f>
        <v>0</v>
      </c>
      <c r="JX130" s="1670" t="b">
        <f>IF(OR(JG132="Exterior - AELC Occupancy based",JG132="Exterior - AELC Time based"),TRUE,FALSE)</f>
        <v>0</v>
      </c>
      <c r="JZ130" s="1682" t="b">
        <f>IF($JG132=CONCATENATE("Exterior - ",JZ$4),TRUE,FALSE)</f>
        <v>0</v>
      </c>
      <c r="KB130" s="1670" t="b">
        <f>IF(__Retrofit_TI_NC&gt;0,FALSE,IF($JG132=CONCATENATE("Interior - ",KB$4),TRUE,FALSE))</f>
        <v>0</v>
      </c>
    </row>
    <row r="131" spans="1:288" s="78" customFormat="1" ht="14.95" customHeight="1" thickTop="1" thickBot="1">
      <c r="B131" s="1845"/>
      <c r="C131" s="1846"/>
      <c r="D131" s="1847"/>
      <c r="E131" s="1737" t="s">
        <v>297</v>
      </c>
      <c r="F131" s="1738"/>
      <c r="G131" s="1739"/>
      <c r="H131" s="1739"/>
      <c r="I131" s="1739"/>
      <c r="J131" s="1739"/>
      <c r="K131" s="1739"/>
      <c r="L131" s="1739"/>
      <c r="M131" s="461" t="e">
        <f>IF(__Retrofit_TI_NC&lt;&gt;0,IF(VLOOKUP(G132,'Space Table'!$B$3:$L$163,3,FALSE)&gt;0,1,0),IF(__Retrofit_TI_NC=VLOOKUP(G132,'Space Table'!$B$3:$L$163,3,FALSE),1,0))</f>
        <v>#N/A</v>
      </c>
      <c r="N131" s="461" t="str">
        <f>IFERROR(VLOOKUP(G131,_Lookup_Heat_Type_Table_New,2,FALSE),"")</f>
        <v/>
      </c>
      <c r="O131" s="461">
        <f>IF(__Retrofit_TI_NC=1,CONCATENATE("TI ",G131),IF(__Retrofit_TI_NC=2,CONCATENATE("NC ",G131),G131))</f>
        <v>0</v>
      </c>
      <c r="P131" s="1740" t="s">
        <v>435</v>
      </c>
      <c r="Q131" s="1740"/>
      <c r="R131" s="595"/>
      <c r="S131" s="1792"/>
      <c r="T131" s="597"/>
      <c r="U131" s="1765"/>
      <c r="V131" s="1766"/>
      <c r="W131" s="1766"/>
      <c r="X131" s="1766"/>
      <c r="Y131" s="1766"/>
      <c r="Z131" s="1766"/>
      <c r="AA131" s="1766"/>
      <c r="AB131" s="1766"/>
      <c r="AC131" s="1766"/>
      <c r="AD131" s="1767"/>
      <c r="AE131" s="1000"/>
      <c r="AF131" s="597"/>
      <c r="AG131" s="1723"/>
      <c r="AH131" s="1724"/>
      <c r="AI131" s="1724"/>
      <c r="AJ131" s="1724"/>
      <c r="AK131" s="1725"/>
      <c r="AL131" s="996"/>
      <c r="AM131" s="1747"/>
      <c r="AN131" s="1775"/>
      <c r="AO131" s="1777"/>
      <c r="AP131" s="1780"/>
      <c r="AQ131" s="1781"/>
      <c r="AR131" s="1795"/>
      <c r="AS131" s="1795"/>
      <c r="AT131" s="1796"/>
      <c r="AU131" s="1735"/>
      <c r="AV131" s="1752"/>
      <c r="AW131" s="1705"/>
      <c r="AX131" s="467"/>
      <c r="AY131" s="1749"/>
      <c r="AZ131" s="1749"/>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696"/>
      <c r="CQ131" s="1696"/>
      <c r="CR131" s="1809"/>
      <c r="CS131" s="1811"/>
      <c r="CU131" s="1688"/>
      <c r="CV131" s="1703"/>
      <c r="CW131" s="1703"/>
      <c r="CX131" s="1703"/>
      <c r="CY131" s="1815"/>
      <c r="CZ131" s="1711"/>
      <c r="DA131" s="1818"/>
      <c r="DB131" s="1820"/>
      <c r="DC131" s="1820"/>
      <c r="DD131" s="1820"/>
      <c r="DF131" s="1703"/>
      <c r="DG131" s="1831"/>
      <c r="DH131" s="1703"/>
      <c r="DI131" s="1838"/>
      <c r="DJ131" s="1711"/>
      <c r="DK131" s="1712"/>
      <c r="DM131" s="1718"/>
      <c r="DO131" s="1708"/>
      <c r="DQ131" s="1715"/>
      <c r="DR131" s="1720"/>
      <c r="DS131" s="1816"/>
      <c r="DT131" s="1714"/>
      <c r="DU131" s="1715"/>
      <c r="DV131" s="1716"/>
      <c r="DX131" s="1715"/>
      <c r="DY131" s="1720"/>
      <c r="DZ131" s="1715"/>
      <c r="EA131" s="1715"/>
      <c r="EC131" s="1834"/>
      <c r="ED131" s="1834"/>
      <c r="EF131" s="1707"/>
      <c r="EG131" s="1712"/>
      <c r="EH131" s="1818"/>
      <c r="EI131" s="1712"/>
      <c r="EJ131" s="1712"/>
      <c r="EK131" s="1836"/>
      <c r="EL131" s="1836"/>
      <c r="EM131" s="1807"/>
      <c r="EN131" s="1839"/>
      <c r="EO131" s="1839"/>
      <c r="EP131" s="1817"/>
      <c r="EQ131" s="1817"/>
      <c r="ER131" s="1807"/>
      <c r="ES131" s="1807"/>
      <c r="ET131" s="1807"/>
      <c r="EV131" s="1715"/>
      <c r="EX131" s="1805"/>
      <c r="EY131" s="1805"/>
      <c r="EZ131" s="1805"/>
      <c r="FA131" s="1805"/>
      <c r="FB131" s="1805"/>
      <c r="FC131" s="1827"/>
      <c r="FE131" s="1698"/>
      <c r="FG131" s="1816"/>
      <c r="FH131" s="1816"/>
      <c r="FI131" s="133"/>
      <c r="FL131" s="1823"/>
      <c r="FM131" s="1825"/>
      <c r="FN131" s="1698"/>
      <c r="FO131" s="1698"/>
      <c r="FP131" s="1678"/>
      <c r="FQ131" s="1678"/>
      <c r="FS131" s="1687"/>
      <c r="FT131" s="1687"/>
      <c r="FU131" s="1685"/>
      <c r="FV131" s="1687"/>
      <c r="FW131" s="1687"/>
      <c r="FX131" s="1687"/>
      <c r="FY131" s="1697"/>
      <c r="GA131" s="1696"/>
      <c r="GB131" s="1696"/>
      <c r="GC131" s="1696"/>
      <c r="GD131" s="1696"/>
      <c r="GE131" s="1696"/>
      <c r="GF131" s="1696"/>
      <c r="GG131" s="1696"/>
      <c r="GH131" s="1696"/>
      <c r="GI131" s="673"/>
      <c r="GJ131" s="1135"/>
      <c r="GK131" s="1832"/>
      <c r="GM131" s="1693" t="b">
        <f ca="1">IF(AND(GP131=TRUE,GQ131=TRUE),TRUE,FALSE)</f>
        <v>0</v>
      </c>
      <c r="GN131" s="1684" t="b">
        <f>IFERROR(IF(__Retrofit_TI_NC=2,TRUE,IF(AU130="Yes",TRUE,FALSE)),FALSE)</f>
        <v>1</v>
      </c>
      <c r="GP131" s="1684" t="b">
        <f>IFERROR(IF(GP130=1,TRUE,FALSE),FALSE)</f>
        <v>0</v>
      </c>
      <c r="GQ131" s="1684" t="b">
        <f ca="1">IFERROR(IF(GQ130=GQ$14,TRUE,FALSE),FALSE)</f>
        <v>0</v>
      </c>
      <c r="HG131" s="1684" t="b">
        <f>IFERROR(IF(AND(__Retrofit_TI_NC&gt;0,CQ130="Interior"),FALSE,TRUE),FALSE)</f>
        <v>1</v>
      </c>
      <c r="HH131" s="1684" t="b">
        <f>IFERROR(IF(M131=1,TRUE,FALSE),FALSE)</f>
        <v>0</v>
      </c>
      <c r="HI131" s="1684" t="b">
        <f>IFERROR(IF(OR(M132=1,N133="BAM"),TRUE,FALSE),FALSE)</f>
        <v>0</v>
      </c>
      <c r="HJ131" s="1684" t="b">
        <f>IFERROR(IF(__Retrofit_TI_NC&lt;&gt;0,TRUE,IFERROR(IF(VLOOKUP(U131,Fixtures_Existing_List,2,FALSE)&lt;&gt;"",TRUE,FALSE),FALSE)),FALSE)</f>
        <v>0</v>
      </c>
      <c r="HK131" s="1684" t="b">
        <f>IFERROR(IF(VLOOKUP(U132,Fixtures_Proposed_List,2,FALSE)&lt;&gt;"",TRUE,FALSE),FALSE)</f>
        <v>0</v>
      </c>
      <c r="HL131" s="1684" t="b">
        <f>IF(AND(__Retrofit_TI_NC=2,FC130=TRUE),FALSE,TRUE)</f>
        <v>1</v>
      </c>
      <c r="HM131" s="1684" t="b">
        <f>GK130</f>
        <v>1</v>
      </c>
      <c r="HN131" s="1682" t="b">
        <f>IF(ISERROR(MATCH(FE130,_Control_Match[],0))=TRUE,FALSE,TRUE)</f>
        <v>0</v>
      </c>
      <c r="HO131" s="1693" t="b">
        <f>IFERROR(IF(EX130&lt;&gt;EY130,FALSE,TRUE),FALSE)</f>
        <v>1</v>
      </c>
      <c r="HP131" s="1693" t="b">
        <f>IFERROR(IF(EX132&lt;&gt;EY132,FALSE,TRUE),FALSE)</f>
        <v>1</v>
      </c>
      <c r="HQ131" s="1670" t="b">
        <f>IFERROR(IF(CQ130="Exterior",TRUE,IF(AND(OR(FM132=0,FM132=3),JD132&gt;6),FALSE,TRUE)),FALSE)</f>
        <v>0</v>
      </c>
      <c r="HR131" s="1684" t="b">
        <f>IFERROR(IF(AND(FO132=7,FC130=TRUE),FALSE,TRUE),FALSE)</f>
        <v>0</v>
      </c>
      <c r="HS131" s="1684" t="b">
        <f>IFERROR(IF(AND(T132&lt;&gt;AF132,OR(AG132="Interior LLLC", AG132="Interior NLC", AG132="LLLC (outside Daylight)",AG132="LLLC Controls Only"))=TRUE,FALSE,TRUE),FALSE)</f>
        <v>1</v>
      </c>
      <c r="HT131" s="1670" t="b">
        <f>IFERROR(IF(OR(AG132=Lookup!BB$17,AG132=Lookup!BB$18,AG132=Lookup!BB$19)=TRUE,IF(AF132&gt;T132,FALSE,TRUE),TRUE),FALSE)</f>
        <v>1</v>
      </c>
      <c r="HU131" s="1684" t="b">
        <f>IFERROR(IF(__Retrofit_TI_NC=2,IF(EZ132&lt;EZ130,FALSE,TRUE),TRUE),FALSE)</f>
        <v>1</v>
      </c>
      <c r="HV131" s="1684" t="b">
        <f>IF(CQ130="Interior",IL$6,TRUE)</f>
        <v>1</v>
      </c>
      <c r="HW131" s="1684" t="b">
        <f>IF(CQ130="Exterior",IL$8,TRUE)</f>
        <v>1</v>
      </c>
      <c r="HX131" s="1684" t="b">
        <f>IFERROR(IF(__Retrofit_TI_NC&lt;&gt;0,IF(AZ130&lt;AY130,FALSE,TRUE),TRUE),FALSE)</f>
        <v>1</v>
      </c>
      <c r="HY131" s="1684" t="b">
        <f>IFERROR(IF(AND(G131="Exterior",R131&gt;4200),FALSE,TRUE),FALSE)</f>
        <v>1</v>
      </c>
      <c r="HZ131" s="1684" t="b">
        <f>IFERROR(IF(AB133/AB130&lt;HZ$18,FALSE,TRUE),FALSE)</f>
        <v>0</v>
      </c>
      <c r="IB131" s="1691"/>
      <c r="IC131" s="1695"/>
      <c r="ID131" s="1694" t="str">
        <f>VLOOKUP(IB133,_Error_Table,4,FALSE)</f>
        <v>White</v>
      </c>
      <c r="IE131" s="391"/>
      <c r="IF131" s="1688"/>
      <c r="IG131" s="1689"/>
      <c r="IH131" s="1684"/>
      <c r="IK131" s="1689"/>
      <c r="IL131" s="1691"/>
      <c r="IM131" s="1691"/>
      <c r="IN131" s="1691"/>
      <c r="IP131" s="1679"/>
      <c r="IQ131" s="1679"/>
      <c r="IR131" s="1679"/>
      <c r="IS131" s="1679"/>
      <c r="IT131" s="1679"/>
      <c r="IU131" s="1679"/>
      <c r="IV131" s="1679"/>
      <c r="IW131" s="1679"/>
      <c r="IX131" s="1679"/>
      <c r="IY131" s="1679"/>
      <c r="IZ131" s="1679"/>
      <c r="JA131" s="1679"/>
      <c r="JC131" s="1680"/>
      <c r="JD131" s="1670"/>
      <c r="JE131" s="1681"/>
      <c r="JG131" s="1680"/>
      <c r="JH131" s="1670"/>
      <c r="JI131" s="1060"/>
      <c r="JJ131" s="1683"/>
      <c r="JK131" s="1061"/>
      <c r="JL131" s="1683"/>
      <c r="JM131" s="1061"/>
      <c r="JN131" s="1683"/>
      <c r="JO131" s="1061"/>
      <c r="JP131" s="1683"/>
      <c r="JQ131" s="1061"/>
      <c r="JR131" s="1683"/>
      <c r="JS131" s="1061"/>
      <c r="JT131" s="1670"/>
      <c r="JU131" s="1061"/>
      <c r="JV131" s="1670"/>
      <c r="JX131" s="1670"/>
      <c r="JZ131" s="1683"/>
      <c r="KB131" s="1670"/>
    </row>
    <row r="132" spans="1:288" s="78" customFormat="1" ht="14.95" customHeight="1" thickTop="1" thickBot="1">
      <c r="A132" s="78">
        <f>ROW()</f>
        <v>132</v>
      </c>
      <c r="B132" s="1845"/>
      <c r="C132" s="1846"/>
      <c r="D132" s="1847"/>
      <c r="E132" s="1737" t="s">
        <v>298</v>
      </c>
      <c r="F132" s="1738"/>
      <c r="G132" s="1760"/>
      <c r="H132" s="1761"/>
      <c r="I132" s="1761"/>
      <c r="J132" s="1761"/>
      <c r="K132" s="1761"/>
      <c r="L132" s="1762"/>
      <c r="M132" s="461">
        <f>IFERROR(IF(IF(__Retrofit_TI_NC&lt;&gt;0,IF(CQ130="Interior",MATCH(G132,Lookup_Interior_New,0),MATCH(G132,Lookup_Exterior_New,0)),IF(CQ130="Interior",MATCH(G132,Lookup_Interior,0),MATCH(G132,Lookup_Exterior_Areas,0)))&gt;0,1,0),0)</f>
        <v>0</v>
      </c>
      <c r="N132" s="461" t="e">
        <f>IF(__Retrofit_TI_NC=1,
VLOOKUP(G132,'Space Table'!$B$3:$L$163,4,FALSE),
IF(__Retrofit_TI_NC=2,VLOOKUP(G132,'Space Table'!$B$3:$L$163,5,FALSE),VLOOKUP(G132,'Space Table'!$B$3:$L$163,5,FALSE)))</f>
        <v>#N/A</v>
      </c>
      <c r="O132" s="461">
        <f>G132</f>
        <v>0</v>
      </c>
      <c r="P132" s="1738" t="str">
        <f>IFERROR(IF(__Retrofit_TI_NC=1,VLOOKUP(G132,'Space Table'!$B$3:$O$163,13,FALSE),IF(__Retrofit_TI_NC=2,VLOOKUP(G132,'Space Table'!$B$3:$O$163,14,FALSE),"Area (sf):")),"Area (sf):")</f>
        <v>Area (sf):</v>
      </c>
      <c r="Q132" s="1738"/>
      <c r="R132" s="596"/>
      <c r="S132" s="1763" t="s">
        <v>345</v>
      </c>
      <c r="T132" s="594"/>
      <c r="U132" s="1801"/>
      <c r="V132" s="1802"/>
      <c r="W132" s="1802"/>
      <c r="X132" s="1802"/>
      <c r="Y132" s="1802"/>
      <c r="Z132" s="1802"/>
      <c r="AA132" s="1802"/>
      <c r="AB132" s="1802"/>
      <c r="AC132" s="1802"/>
      <c r="AD132" s="1802"/>
      <c r="AE132" s="1803"/>
      <c r="AF132" s="594"/>
      <c r="AG132" s="1787"/>
      <c r="AH132" s="1787"/>
      <c r="AI132" s="1787"/>
      <c r="AJ132" s="1787"/>
      <c r="AK132" s="1787"/>
      <c r="AL132" s="1787"/>
      <c r="AM132" s="1726">
        <f>IFERROR(DI132,"")</f>
        <v>0</v>
      </c>
      <c r="AN132" s="1728" t="str">
        <f>IFERROR(ROUND(AM132*AC133,0),"")</f>
        <v/>
      </c>
      <c r="AO132" s="1730">
        <f>IFERROR(IF(IB130=FALSE,0,AC133-AN132),0)</f>
        <v>0</v>
      </c>
      <c r="AP132" s="1780"/>
      <c r="AQ132" s="1781"/>
      <c r="AR132" s="1795"/>
      <c r="AS132" s="1795"/>
      <c r="AT132" s="1796"/>
      <c r="AU132" s="1735"/>
      <c r="AV132" s="1752"/>
      <c r="AW132" s="1705"/>
      <c r="AX132" s="467"/>
      <c r="AY132" s="1749"/>
      <c r="AZ132" s="1749"/>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696"/>
      <c r="CQ132" s="1696"/>
      <c r="CR132" s="1808" t="str">
        <f>CQ130</f>
        <v/>
      </c>
      <c r="CS132" s="1810" t="str">
        <f>CS130</f>
        <v/>
      </c>
      <c r="CU132" s="1688" t="s">
        <v>345</v>
      </c>
      <c r="CV132" s="1702">
        <f>IF(IB130=TRUE,T132,0)</f>
        <v>0</v>
      </c>
      <c r="CW132" s="1702" t="str">
        <f>IF(IB130=TRUE,U132,"")</f>
        <v/>
      </c>
      <c r="CX132" s="1812">
        <f>IF(IB130=TRUE,U133,0)</f>
        <v>0</v>
      </c>
      <c r="CY132" s="1814">
        <f>IF(IB130=TRUE,AB133,0)</f>
        <v>0</v>
      </c>
      <c r="CZ132" s="1710">
        <f>IF(AND(__Retrofit_TI_NC&gt;0,CR130="interior"),0,IF(IB130=TRUE,AC133,0))</f>
        <v>0</v>
      </c>
      <c r="DA132" s="1818"/>
      <c r="DB132" s="1820"/>
      <c r="DC132" s="1820"/>
      <c r="DD132" s="1820"/>
      <c r="DF132" s="1702">
        <f>IF(IB130=TRUE,AF132,0)</f>
        <v>0</v>
      </c>
      <c r="DG132" s="1830" t="str">
        <f>IF(IB130=TRUE,AG132,"")</f>
        <v/>
      </c>
      <c r="DH132" s="1812">
        <f>AG133</f>
        <v>0</v>
      </c>
      <c r="DI132" s="1837">
        <f>JE132</f>
        <v>0</v>
      </c>
      <c r="DJ132" s="1710">
        <f>IF(AND(__Retrofit_TI_NC&gt;0,CR130="interior"),0,IF(IB130=TRUE,AN132,0))</f>
        <v>0</v>
      </c>
      <c r="DK132" s="1712"/>
      <c r="DN132" s="1717">
        <f>IFERROR(CZ132-DJ132,0)</f>
        <v>0</v>
      </c>
      <c r="DO132" s="1709"/>
      <c r="DQ132" s="1715"/>
      <c r="DR132" s="1719" t="str">
        <f>DQ130</f>
        <v/>
      </c>
      <c r="DS132" s="1816"/>
      <c r="DT132" s="1835" t="str">
        <f>IF(OR(DS130=7,DS130=8,DS130=9),"ALC","")</f>
        <v/>
      </c>
      <c r="DU132" s="1715"/>
      <c r="DV132" s="1716"/>
      <c r="DX132" s="1715"/>
      <c r="DY132" s="1829" t="str">
        <f>DX130</f>
        <v/>
      </c>
      <c r="DZ132" s="1715"/>
      <c r="EA132" s="1715"/>
      <c r="EC132" s="1834"/>
      <c r="ED132" s="1834"/>
      <c r="EF132" s="1707"/>
      <c r="EG132" s="1712"/>
      <c r="EH132" s="1818"/>
      <c r="EI132" s="1712"/>
      <c r="EJ132" s="1712"/>
      <c r="EK132" s="1836"/>
      <c r="EL132" s="1836"/>
      <c r="EM132" s="1807"/>
      <c r="EN132" s="1839"/>
      <c r="EO132" s="1839"/>
      <c r="EP132" s="1817"/>
      <c r="EQ132" s="1817"/>
      <c r="ER132" s="1807"/>
      <c r="ES132" s="1807"/>
      <c r="ET132" s="1807"/>
      <c r="EV132" s="1715"/>
      <c r="EX132" s="1805" t="str">
        <f>IFERROR(VLOOKUP(CS132,'Space Table'!$B$3:$L$163,8,FALSE),"")</f>
        <v/>
      </c>
      <c r="EY132" s="1805" t="str">
        <f>IFERROR(IF(FB132="Yes",VLOOKUP(AG132,Lookup_Control_Type_Table2,4,FALSE),VLOOKUP(AG132,Lookup_Control_Type_Table2,3,FALSE)),"")</f>
        <v/>
      </c>
      <c r="EZ132" s="1805" t="e">
        <f>VLOOKUP(AG132,Lookup!BB$3:BC$20,2,FALSE)</f>
        <v>#N/A</v>
      </c>
      <c r="FA132" s="1805" t="e">
        <f>VLOOKUP(EX130,Lookup_Control_Type_Table,2,FALSE)</f>
        <v>#N/A</v>
      </c>
      <c r="FB132" s="1805" t="e">
        <f>VLOOKUP(CS132,'Space Table'!$B$3:$L$163,7,FALSE)</f>
        <v>#N/A</v>
      </c>
      <c r="FC132" s="1827"/>
      <c r="FE132" s="1698" t="str">
        <f>CONCATENATE(CQ130," - ",AG132)</f>
        <v xml:space="preserve"> - </v>
      </c>
      <c r="FG132" s="1816"/>
      <c r="FH132" s="1816"/>
      <c r="FI132" s="133"/>
      <c r="FL132" s="1822" t="str">
        <f>IF(CQ130="Exterior","Not Daylighted",G133)</f>
        <v>Not Daylighted</v>
      </c>
      <c r="FM132" s="1824">
        <f>VLOOKUP(FL132,_New_Daylight_Table_Codes,2,FALSE)</f>
        <v>0</v>
      </c>
      <c r="FN132" s="1698">
        <f>AG132</f>
        <v>0</v>
      </c>
      <c r="FO132" s="1698" t="e">
        <f>VLOOKUP(FN132,_Control_Table,2,FALSE)</f>
        <v>#N/A</v>
      </c>
      <c r="FP132" s="1678" t="e">
        <f>VLOOKUP(CONCATENATE(FL132," ",FN132),Lookup!AY$102:AZ143,2,FALSE)</f>
        <v>#N/A</v>
      </c>
      <c r="FQ132" s="1698">
        <f>IF(__Retrofit_TI_NC=0,FN132,IF(AND(FT132&gt;0,FN132="Occupancy Sensor"),"Daylight + Occupancy",IF(AND(FT132&gt;0,FO132&lt;4),"Interior Daylight Dimming",FN132)))</f>
        <v>0</v>
      </c>
      <c r="FS132" s="1686">
        <f>IF(CQ130="Interior",VLOOKUP(CS130,Control_Savings_Interior,5,FALSE),0)</f>
        <v>0</v>
      </c>
      <c r="FT132" s="1687">
        <f>IF(CQ132="Exterior",0,IF(FM132=2,0.5,IF(OR(FM132=1,FM132=3),1,0)))</f>
        <v>0</v>
      </c>
      <c r="FU132" s="1685">
        <f>IF(R131&gt;FS$44,(FS132*(FS$44/R131)),FS132)*FT132</f>
        <v>0</v>
      </c>
      <c r="FV132" s="1686">
        <f>DI132</f>
        <v>0</v>
      </c>
      <c r="FW132" s="1686">
        <f>ROUND(FV132+((1-FV132)*FU132),2)</f>
        <v>0</v>
      </c>
      <c r="FX132" s="1686">
        <f>IF(__Retrofit_TI_NC=2,FW132,FV132)</f>
        <v>0</v>
      </c>
      <c r="FY132" s="1697">
        <f>IF(CR132="Interior",VLOOKUP(CS132,Control_Savings_Interior,4,FALSE),0)</f>
        <v>0</v>
      </c>
      <c r="GA132" s="1696"/>
      <c r="GB132" s="1696"/>
      <c r="GC132" s="1696"/>
      <c r="GD132" s="1696"/>
      <c r="GE132" s="1696"/>
      <c r="GF132" s="1696"/>
      <c r="GG132" s="1696"/>
      <c r="GH132" s="1696"/>
      <c r="GI132" s="673" t="b">
        <f>IF(ISNUMBER(SEARCH("TLED",U132)),TRUE,FALSE)</f>
        <v>0</v>
      </c>
      <c r="GJ132" s="1135" t="str">
        <f>IFERROR(VLOOKUP(U132,Fixtures!DM$93:DR$142,6,FALSE),"")</f>
        <v/>
      </c>
      <c r="GK132" s="1832"/>
      <c r="GM132" s="1692"/>
      <c r="GN132" s="1684"/>
      <c r="GP132" s="1684"/>
      <c r="GQ132" s="1684"/>
      <c r="HG132" s="1684"/>
      <c r="HH132" s="1684"/>
      <c r="HI132" s="1684"/>
      <c r="HJ132" s="1684"/>
      <c r="HK132" s="1684"/>
      <c r="HL132" s="1684"/>
      <c r="HM132" s="1684"/>
      <c r="HN132" s="1683"/>
      <c r="HO132" s="1692"/>
      <c r="HP132" s="1692"/>
      <c r="HQ132" s="1670"/>
      <c r="HR132" s="1684"/>
      <c r="HS132" s="1684"/>
      <c r="HT132" s="1670"/>
      <c r="HU132" s="1684"/>
      <c r="HV132" s="1684"/>
      <c r="HW132" s="1684"/>
      <c r="HX132" s="1684"/>
      <c r="HY132" s="1684"/>
      <c r="HZ132" s="1684"/>
      <c r="IB132" s="1692"/>
      <c r="IC132" s="1693" t="b">
        <f>IB130</f>
        <v>0</v>
      </c>
      <c r="ID132" s="1695"/>
      <c r="IE132" s="391"/>
      <c r="IF132" s="1688"/>
      <c r="IG132" s="1689">
        <f ca="1">IF(IF130=TRUE,AC133,0)</f>
        <v>0</v>
      </c>
      <c r="IH132" s="1684"/>
      <c r="IK132" s="1689" t="e">
        <f>ROUND(T132*AB133*N131*R131/1000,0)</f>
        <v>#VALUE!</v>
      </c>
      <c r="IL132" s="1691"/>
      <c r="IM132" s="1693" t="e">
        <f>ROUND(T132*AB133*N131*R131/1000,0)</f>
        <v>#VALUE!</v>
      </c>
      <c r="IN132" s="1691"/>
      <c r="IP132" s="1679"/>
      <c r="IQ132" s="1679" t="e">
        <f t="shared" ref="IQ132:IU132" si="97">IF($CR132="interior",VLOOKUP($CS132,_New_Control_Savings_Interior,IQ$30,FALSE),VLOOKUP($CS132,Control_Savings_Exterior,IQ$30,FALSE))</f>
        <v>#N/A</v>
      </c>
      <c r="IR132" s="1679" t="e">
        <f t="shared" si="97"/>
        <v>#N/A</v>
      </c>
      <c r="IS132" s="1679" t="e">
        <f t="shared" si="97"/>
        <v>#N/A</v>
      </c>
      <c r="IT132" s="1679" t="e">
        <f t="shared" si="97"/>
        <v>#N/A</v>
      </c>
      <c r="IU132" s="1679" t="e">
        <f t="shared" si="97"/>
        <v>#N/A</v>
      </c>
      <c r="IV132" s="1679" t="e">
        <f>IF($CR132="interior",IF(R131&gt;$IP$14,ROUND(($IV$18*($IP$14/R131)),2),$IV$18),VLOOKUP($CS132,Control_Savings_Exterior,IV$30,FALSE))</f>
        <v>#N/A</v>
      </c>
      <c r="IW132" s="1679" t="e">
        <f>IF($CR132="interior",ROUND(((1-IS132)*IV132)+IS132,2),VLOOKUP($CS132,Control_Savings_Exterior,IW$30,FALSE))</f>
        <v>#N/A</v>
      </c>
      <c r="IX132" s="1679" t="e">
        <f>IF($CR132="interior",ROUND(((1-IT132)*IV132)+IT132,2),VLOOKUP($CS132,Control_Savings_Exterior,IX$30,FALSE))</f>
        <v>#N/A</v>
      </c>
      <c r="IY132" s="1679" t="e">
        <f>IF($CR132="interior",IF(R131&gt;$IP$14,ROUND(($IY$18*($IP$14/R131)),2),$IY$18),VLOOKUP($CS132,Control_Savings_Exterior,IY$30,FALSE))</f>
        <v>#N/A</v>
      </c>
      <c r="IZ132" s="1679" t="e">
        <f>IF($CR132="interior",ROUND(((1-IS132)*IY132)+IS132,2),VLOOKUP($CS132,Control_Savings_Exterior,IZ$30,FALSE))</f>
        <v>#N/A</v>
      </c>
      <c r="JA132" s="1679" t="e">
        <f>IF($CR132="interior",ROUND(((1-IT132)*IY132)+IT132,2),VLOOKUP($CS132,Control_Savings_Exterior,JA$30,FALSE))</f>
        <v>#N/A</v>
      </c>
      <c r="JC132" s="1680">
        <f>IFERROR(IF(CR132="Interior",CONCATENATE(G133," ",FQ132),AG132),"")</f>
        <v>0</v>
      </c>
      <c r="JD132" s="1670" t="str">
        <f>IFERROR(VLOOKUP(JC132,_Controls_2023,2,FALSE),"")</f>
        <v/>
      </c>
      <c r="JE132" s="1681">
        <f>IFERROR(CHOOSE(JD132-1,IQ132,IR132,IS132,IT132,IU132,IV132,IW132,IX132,IY132,IZ132,JA132),0)</f>
        <v>0</v>
      </c>
      <c r="JG132" s="1680" t="str">
        <f>FE132</f>
        <v xml:space="preserve"> - </v>
      </c>
      <c r="JH132" s="1670" t="e">
        <f>$FO132</f>
        <v>#N/A</v>
      </c>
      <c r="JI132" s="1060"/>
      <c r="JJ132" s="1670">
        <f>IFERROR(IF($IB130=TRUE,IF(OR(JJ$14="No",JJ130=FALSE,JH132&lt;=JH130,AND(_kWh_Grant=0,GD130=FALSE)),0,IF(JJ$8="Per Line",1,$AF132)),0),0)</f>
        <v>0</v>
      </c>
      <c r="JK132" s="1061"/>
      <c r="JL132" s="1670">
        <f>IFERROR(IF(_kWh_Grant=0,0,IF($IB130=TRUE,IF(OR(JL$14="No",JL130=FALSE,JH132&lt;=JH130),0,IF(JL$8="Per Line",1,$T132)),0)),0)</f>
        <v>0</v>
      </c>
      <c r="JM132" s="1061"/>
      <c r="JN132" s="1670">
        <f>IFERROR(IF(_kWh_Grant=0,0,IF($IB130=TRUE,IF(OR(JN$14="No",JN130=FALSE,JH132&lt;=JH130),0,IF(JN$8="Per Line",1,$AF132)),0)),0)</f>
        <v>0</v>
      </c>
      <c r="JO132" s="1061"/>
      <c r="JP132" s="1670">
        <f>IFERROR(IF(__Retrofit_TI_NC=0,IF(_kWh_Grant=0,0,IF($IB130=TRUE,IF(OR(JP$14="No",JP130=FALSE,$JH132&lt;=$JH130),0,IF(JP$8="Per Line",1,$AF132)),0)),IF($IB130=TRUE,IF(OR(JP$14="No",JP130=FALSE,$JH132&lt;=$JH130),0,IF(JP$8="Per Line",1,$AF132)))),0)</f>
        <v>0</v>
      </c>
      <c r="JQ132" s="1061"/>
      <c r="JR132" s="1670">
        <f>IFERROR(IF(__Retrofit_TI_NC=0,IF(_kWh_Grant=0,0,IF($IB130=TRUE,IF(OR(JR$14="No",JR130=FALSE,$JH132&lt;=$JH130),0,IF(JR$8="Per Line",1,$AF132)),0)),IF($IB130=TRUE,IF(OR(JR$14="No",JR130=FALSE,$JH132&lt;=$JH130),0,IF(JR$8="Per Line",1,$AF132)))),0)</f>
        <v>0</v>
      </c>
      <c r="JS132" s="1061"/>
      <c r="JT132" s="1670">
        <f>IFERROR(IF(__Retrofit_TI_NC=0,IF(_kWh_Grant=0,0,IF($IB130=TRUE,IF(OR(JT$14="No",JT130=FALSE,$JH132&lt;=$JH130),0,IF(JT$8="Per Line",1,$AF132)),0)),IF($IB130=TRUE,IF(OR(JT$14="No",JT130=FALSE,$JH132&lt;=$JH130),0,IF(JT$8="Per Line",1,$AF132)))),0)</f>
        <v>0</v>
      </c>
      <c r="JU132" s="1061"/>
      <c r="JV132" s="1670">
        <f>IFERROR(IF(__Retrofit_TI_NC=0,IF(_kWh_Grant=0,0,IF($IB130=TRUE,IF(OR(JV$14="No",JV130=FALSE,$JH132&lt;=$JH130),0,IF(JV$8="Per Line",1,$AF132)),0)),IF($IB130=TRUE,IF(OR(JV$14="No",JV130=FALSE,$JH132&lt;=$JH130),0,IF(JV$8="Per Line",1,$AF132)))),0)</f>
        <v>0</v>
      </c>
      <c r="JX132" s="1670">
        <f>IFERROR(IF(__Retrofit_TI_NC=0,IF(_kWh_Grant=0,0,IF($IB130=TRUE,IF(OR(JX$14="No",JX130=FALSE,$JH132&lt;=$JH130),0,IF(JX$8="Per Line",1,$AF132)),0)),IF($IB130=TRUE,IF(OR(JX$14="No",JX130=FALSE,$JH132&lt;=$JH130),0,IF(JX$8="Per Line",1,$AF132)))),0)</f>
        <v>0</v>
      </c>
      <c r="JZ132" s="1670">
        <f>IFERROR(IF($IB130=TRUE,IF(OR(JZ$14="No",JZ130=FALSE,$JH132&lt;=$JH130,AND(_kWh_Grant=0,$GD130=FALSE)),0,IF(JZ$8="Per Line",1,$AF132)),0),0)</f>
        <v>0</v>
      </c>
      <c r="KB132" s="1670">
        <f>IFERROR(IF(__Retrofit_TI_NC=0,IF(_kWh_Grant=0,0,IF($IB130=TRUE,IF(OR(KB$14="No",KB130=FALSE,$JH132&lt;=$JH130),0,IF(KB$8="Per Line",1,$AF132)),0)),IF($IB130=TRUE,IF(OR(KB$14="No",KB130=FALSE,$JH132&lt;=$JH130),0,IF(KB$8="Per Line",1,$AF132)))),0)</f>
        <v>0</v>
      </c>
    </row>
    <row r="133" spans="1:288" s="78" customFormat="1" ht="14.95" customHeight="1" thickTop="1" thickBot="1">
      <c r="B133" s="1845"/>
      <c r="C133" s="1846"/>
      <c r="D133" s="1847"/>
      <c r="E133" s="1771" t="s">
        <v>436</v>
      </c>
      <c r="F133" s="1772"/>
      <c r="G133" s="1784" t="s">
        <v>437</v>
      </c>
      <c r="H133" s="1785"/>
      <c r="I133" s="1785"/>
      <c r="J133" s="1785"/>
      <c r="K133" s="1785"/>
      <c r="L133" s="1786"/>
      <c r="M133" s="591">
        <f>IFERROR(VLOOKUP(G133,_Daylight_Table[],2,FALSE),0)</f>
        <v>0</v>
      </c>
      <c r="N133" s="592" t="str">
        <f>IF(AND(__Retrofit_TI_NC&gt;0,CQ130="Interior"),"BAM","")</f>
        <v/>
      </c>
      <c r="O133" s="591" t="e">
        <f>VLOOKUP(G132,'Space Table'!$B$3:$L$163,11,FALSE)</f>
        <v>#N/A</v>
      </c>
      <c r="P133" s="1789"/>
      <c r="Q133" s="1790"/>
      <c r="R133" s="1790"/>
      <c r="S133" s="1788"/>
      <c r="T133" s="593" t="s">
        <v>342</v>
      </c>
      <c r="U133" s="1756" t="str" cm="1">
        <f t="array" aca="1" ref="U133" ca="1">IFERROR(VLOOKUP(INDIRECT("U" &amp; ROW()-1),Fixtures!DM$93:DP$142,4,FALSE),"")</f>
        <v/>
      </c>
      <c r="V133" s="1757"/>
      <c r="W133" s="1757"/>
      <c r="X133" s="1757"/>
      <c r="Y133" s="1757"/>
      <c r="Z133" s="1757"/>
      <c r="AA133" s="1758"/>
      <c r="AB133" s="939" t="str">
        <f>IFERROR(VLOOKUP(U132,Fixtures_Proposed_List,2,FALSE),"")</f>
        <v/>
      </c>
      <c r="AC133" s="933" t="str">
        <f>IFERROR(ROUND(T132*AB133*N131*R131/1000,0),"")</f>
        <v/>
      </c>
      <c r="AD133" s="934" t="str">
        <f>IFERROR(ROUND(T132*AB133/1000,2),"")</f>
        <v/>
      </c>
      <c r="AE133" s="998"/>
      <c r="AF133" s="938" t="s">
        <v>342</v>
      </c>
      <c r="AG133" s="1770"/>
      <c r="AH133" s="1770"/>
      <c r="AI133" s="1770"/>
      <c r="AJ133" s="1770"/>
      <c r="AK133" s="1770"/>
      <c r="AL133" s="1770"/>
      <c r="AM133" s="1727"/>
      <c r="AN133" s="1729"/>
      <c r="AO133" s="1731"/>
      <c r="AP133" s="1782"/>
      <c r="AQ133" s="1783"/>
      <c r="AR133" s="1797"/>
      <c r="AS133" s="1797"/>
      <c r="AT133" s="1798"/>
      <c r="AU133" s="1736"/>
      <c r="AV133" s="1753"/>
      <c r="AW133" s="1706"/>
      <c r="AX133" s="468"/>
      <c r="AY133" s="1750"/>
      <c r="AZ133" s="1750"/>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696"/>
      <c r="CQ133" s="1696"/>
      <c r="CR133" s="1809"/>
      <c r="CS133" s="1811"/>
      <c r="CU133" s="1688"/>
      <c r="CV133" s="1703"/>
      <c r="CW133" s="1703"/>
      <c r="CX133" s="1813"/>
      <c r="CY133" s="1815"/>
      <c r="CZ133" s="1711"/>
      <c r="DA133" s="1815"/>
      <c r="DB133" s="1821"/>
      <c r="DC133" s="1821"/>
      <c r="DD133" s="1821"/>
      <c r="DF133" s="1703"/>
      <c r="DG133" s="1831"/>
      <c r="DH133" s="1813"/>
      <c r="DI133" s="1838"/>
      <c r="DJ133" s="1711"/>
      <c r="DK133" s="1712"/>
      <c r="DN133" s="1718"/>
      <c r="DO133" s="1709"/>
      <c r="DQ133" s="1715"/>
      <c r="DR133" s="1720"/>
      <c r="DS133" s="1703"/>
      <c r="DT133" s="1714"/>
      <c r="DU133" s="1715"/>
      <c r="DV133" s="1716"/>
      <c r="DX133" s="1715"/>
      <c r="DY133" s="1720"/>
      <c r="DZ133" s="1715"/>
      <c r="EA133" s="1715"/>
      <c r="EC133" s="1834"/>
      <c r="ED133" s="1834"/>
      <c r="EF133" s="1707"/>
      <c r="EG133" s="1712"/>
      <c r="EH133" s="1815"/>
      <c r="EI133" s="1712"/>
      <c r="EJ133" s="1712"/>
      <c r="EK133" s="1813"/>
      <c r="EL133" s="1813"/>
      <c r="EM133" s="1807"/>
      <c r="EN133" s="1839"/>
      <c r="EO133" s="1839"/>
      <c r="EP133" s="1817"/>
      <c r="EQ133" s="1817"/>
      <c r="ER133" s="1807"/>
      <c r="ES133" s="1807"/>
      <c r="ET133" s="1807"/>
      <c r="EV133" s="1715"/>
      <c r="EX133" s="1806"/>
      <c r="EY133" s="1806"/>
      <c r="EZ133" s="1806"/>
      <c r="FA133" s="1806"/>
      <c r="FB133" s="1806"/>
      <c r="FC133" s="1828"/>
      <c r="FE133" s="1698"/>
      <c r="FG133" s="1703"/>
      <c r="FH133" s="1703"/>
      <c r="FI133" s="133"/>
      <c r="FL133" s="1823"/>
      <c r="FM133" s="1825"/>
      <c r="FN133" s="1698"/>
      <c r="FO133" s="1698"/>
      <c r="FP133" s="1678"/>
      <c r="FQ133" s="1698"/>
      <c r="FS133" s="1687"/>
      <c r="FT133" s="1687"/>
      <c r="FU133" s="1685"/>
      <c r="FV133" s="1687"/>
      <c r="FW133" s="1687"/>
      <c r="FX133" s="1687"/>
      <c r="FY133" s="1697"/>
      <c r="GA133" s="1696"/>
      <c r="GB133" s="1696"/>
      <c r="GC133" s="1696"/>
      <c r="GD133" s="1696"/>
      <c r="GE133" s="1696"/>
      <c r="GF133" s="1696"/>
      <c r="GG133" s="1696"/>
      <c r="GH133" s="1696"/>
      <c r="GI133" s="673"/>
      <c r="GJ133" s="1135"/>
      <c r="GK133" s="1832"/>
      <c r="GN133" s="674">
        <f>IF(GN131=TRUE,0,GN$16)</f>
        <v>0</v>
      </c>
      <c r="GP133" s="674">
        <f>IF(GP131=TRUE,0,GP$16)</f>
        <v>36</v>
      </c>
      <c r="GQ133" s="674">
        <f ca="1">IF(GQ131=TRUE,0,GQ$16)</f>
        <v>35</v>
      </c>
      <c r="GR133" s="391"/>
      <c r="GS133" s="391"/>
      <c r="GT133" s="391"/>
      <c r="GU133" s="391"/>
      <c r="GV133" s="391"/>
      <c r="HG133" s="674">
        <f>IF(HG131=TRUE,0,HG$16)</f>
        <v>0</v>
      </c>
      <c r="HH133" s="674">
        <f t="shared" ref="HH133:HM133" si="98">IF(HH131=TRUE,0,HH$16)</f>
        <v>19</v>
      </c>
      <c r="HI133" s="674">
        <f t="shared" si="98"/>
        <v>18</v>
      </c>
      <c r="HJ133" s="674">
        <f t="shared" si="98"/>
        <v>17</v>
      </c>
      <c r="HK133" s="674">
        <f t="shared" si="98"/>
        <v>16</v>
      </c>
      <c r="HL133" s="674">
        <f t="shared" si="98"/>
        <v>0</v>
      </c>
      <c r="HM133" s="674">
        <f t="shared" si="98"/>
        <v>0</v>
      </c>
      <c r="HN133" s="674">
        <f>IF(HN131=TRUE,0,HN$16)</f>
        <v>13</v>
      </c>
      <c r="HO133" s="674">
        <f t="shared" ref="HO133:HQ133" si="99">IF(HO131=TRUE,0,HO$16)</f>
        <v>0</v>
      </c>
      <c r="HP133" s="674">
        <f t="shared" si="99"/>
        <v>0</v>
      </c>
      <c r="HQ133" s="674">
        <f t="shared" si="99"/>
        <v>10</v>
      </c>
      <c r="HR133" s="674">
        <f>IF(HR131=TRUE,0,HR$16)</f>
        <v>9</v>
      </c>
      <c r="HS133" s="674">
        <f t="shared" ref="HS133:HW133" si="100">IF(HS131=TRUE,0,HS$16)</f>
        <v>0</v>
      </c>
      <c r="HT133" s="674">
        <f t="shared" si="100"/>
        <v>0</v>
      </c>
      <c r="HU133" s="674">
        <f t="shared" si="100"/>
        <v>0</v>
      </c>
      <c r="HV133" s="674">
        <f t="shared" si="100"/>
        <v>0</v>
      </c>
      <c r="HW133" s="674">
        <f t="shared" si="100"/>
        <v>0</v>
      </c>
      <c r="HX133" s="674">
        <f>IF(HX131=TRUE,0,HX$16)</f>
        <v>0</v>
      </c>
      <c r="HY133" s="674">
        <f>IF(HY131=TRUE,0,HY$16)</f>
        <v>0</v>
      </c>
      <c r="HZ133" s="674">
        <f>IF(HZ131=TRUE,0,HZ$16)</f>
        <v>1</v>
      </c>
      <c r="IB133" s="674">
        <f>IF(GP131=FALSE,GP133,IF(GQ131=FALSE,GQ133,MAX(GN133:HZ133)))</f>
        <v>36</v>
      </c>
      <c r="IC133" s="1692"/>
      <c r="ID133" s="205" t="str">
        <f>VLOOKUP(IB133,_Error_Table,3,FALSE)</f>
        <v xml:space="preserve"> </v>
      </c>
      <c r="IE133" s="205"/>
      <c r="IF133" s="1688"/>
      <c r="IG133" s="1689"/>
      <c r="IH133" s="1684"/>
      <c r="IK133" s="1689"/>
      <c r="IL133" s="1692"/>
      <c r="IM133" s="1692"/>
      <c r="IN133" s="1692"/>
      <c r="IP133" s="1679"/>
      <c r="IQ133" s="1679"/>
      <c r="IR133" s="1679"/>
      <c r="IS133" s="1679"/>
      <c r="IT133" s="1679"/>
      <c r="IU133" s="1679"/>
      <c r="IV133" s="1679"/>
      <c r="IW133" s="1679"/>
      <c r="IX133" s="1679"/>
      <c r="IY133" s="1679"/>
      <c r="IZ133" s="1679"/>
      <c r="JA133" s="1679"/>
      <c r="JC133" s="1680"/>
      <c r="JD133" s="1670"/>
      <c r="JE133" s="1681"/>
      <c r="JG133" s="1680"/>
      <c r="JH133" s="1670"/>
      <c r="JI133" s="1060"/>
      <c r="JJ133" s="1670"/>
      <c r="JK133" s="1061"/>
      <c r="JL133" s="1670"/>
      <c r="JM133" s="1061"/>
      <c r="JN133" s="1670"/>
      <c r="JO133" s="1061"/>
      <c r="JP133" s="1670"/>
      <c r="JQ133" s="1061"/>
      <c r="JR133" s="1670"/>
      <c r="JS133" s="1061"/>
      <c r="JT133" s="1670"/>
      <c r="JU133" s="1061"/>
      <c r="JV133" s="1670"/>
      <c r="JX133" s="1670"/>
      <c r="JZ133" s="1670"/>
      <c r="KB133" s="1670"/>
    </row>
    <row r="134" spans="1:288" s="78" customFormat="1" ht="5.0999999999999996" customHeight="1">
      <c r="B134" s="676"/>
      <c r="C134" s="392"/>
      <c r="D134" s="392"/>
      <c r="E134" s="1733"/>
      <c r="F134" s="1733"/>
      <c r="G134" s="1733"/>
      <c r="H134" s="1733"/>
      <c r="I134" s="1733"/>
      <c r="J134" s="1733"/>
      <c r="K134" s="1733"/>
      <c r="L134" s="1733"/>
      <c r="M134" s="1733"/>
      <c r="N134" s="1733"/>
      <c r="O134" s="1733"/>
      <c r="P134" s="1733"/>
      <c r="Q134" s="1733"/>
      <c r="R134" s="1733"/>
      <c r="S134" s="1733"/>
      <c r="T134" s="1733"/>
      <c r="U134" s="1733"/>
      <c r="V134" s="1733"/>
      <c r="W134" s="1733"/>
      <c r="X134" s="1733"/>
      <c r="Y134" s="1733"/>
      <c r="Z134" s="1733"/>
      <c r="AA134" s="1733"/>
      <c r="AB134" s="1733"/>
      <c r="AC134" s="1733"/>
      <c r="AD134" s="1733"/>
      <c r="AE134" s="1733"/>
      <c r="AF134" s="1733"/>
      <c r="AG134" s="1733"/>
      <c r="AH134" s="1733"/>
      <c r="AI134" s="1733"/>
      <c r="AJ134" s="1733"/>
      <c r="AK134" s="1733"/>
      <c r="AL134" s="1733"/>
      <c r="AM134" s="1733"/>
      <c r="AN134" s="1733"/>
      <c r="AO134" s="1733"/>
      <c r="AP134" s="1733"/>
      <c r="AQ134" s="1733"/>
      <c r="AR134" s="1733"/>
      <c r="AS134" s="1733"/>
      <c r="AT134" s="1733"/>
      <c r="AU134" s="1733"/>
      <c r="AV134" s="1733"/>
      <c r="AW134" s="1733"/>
      <c r="AX134" s="469"/>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663"/>
      <c r="CQ134" s="663"/>
      <c r="CR134" s="438"/>
      <c r="CS134" s="663"/>
      <c r="CV134" s="391"/>
      <c r="CW134" s="391"/>
      <c r="CX134" s="207"/>
      <c r="CY134" s="208"/>
      <c r="CZ134" s="208"/>
      <c r="DA134" s="208"/>
      <c r="DB134" s="209"/>
      <c r="DC134" s="209"/>
      <c r="DD134" s="209"/>
      <c r="DF134" s="664"/>
      <c r="DG134" s="665"/>
      <c r="DH134" s="666"/>
      <c r="DI134" s="667"/>
      <c r="DJ134" s="668"/>
      <c r="DK134" s="668"/>
      <c r="DN134" s="208"/>
      <c r="DO134" s="664"/>
      <c r="DQ134" s="664"/>
      <c r="DR134" s="669"/>
      <c r="DS134" s="391"/>
      <c r="DT134" s="664"/>
      <c r="DU134" s="664"/>
      <c r="DV134" s="664"/>
      <c r="DX134" s="664"/>
      <c r="DY134" s="664"/>
      <c r="DZ134" s="664"/>
      <c r="EA134" s="664"/>
      <c r="EC134" s="670"/>
      <c r="ED134" s="670"/>
      <c r="EF134" s="668"/>
      <c r="EG134" s="668"/>
      <c r="EH134" s="208"/>
      <c r="EI134" s="668"/>
      <c r="EJ134" s="668"/>
      <c r="EK134" s="207"/>
      <c r="EL134" s="207"/>
      <c r="EM134" s="666"/>
      <c r="EN134" s="671"/>
      <c r="EO134" s="671"/>
      <c r="EP134" s="672"/>
      <c r="EQ134" s="672"/>
      <c r="ER134" s="666"/>
      <c r="ES134" s="666"/>
      <c r="ET134" s="666"/>
      <c r="EV134" s="664"/>
      <c r="EX134" s="391"/>
      <c r="EY134" s="391"/>
      <c r="EZ134" s="391"/>
      <c r="FA134" s="391"/>
      <c r="FB134" s="391"/>
      <c r="FC134" s="391"/>
      <c r="FE134" s="569"/>
      <c r="FG134" s="391"/>
      <c r="FH134" s="391"/>
      <c r="FI134" s="391"/>
      <c r="FS134" s="664"/>
      <c r="FT134" s="391"/>
      <c r="FU134" s="391"/>
      <c r="FV134" s="664"/>
      <c r="FW134" s="664"/>
      <c r="GA134" s="663"/>
      <c r="GB134" s="663"/>
      <c r="GC134" s="663"/>
      <c r="GD134" s="663"/>
      <c r="GE134" s="663"/>
      <c r="GF134" s="663"/>
      <c r="GG134" s="663"/>
      <c r="GH134" s="663"/>
      <c r="GI134" s="665"/>
      <c r="GJ134" s="664"/>
      <c r="GK134" s="664"/>
    </row>
    <row r="135" spans="1:288" s="78" customFormat="1" ht="14.95" customHeight="1">
      <c r="B135" s="1845" t="str">
        <f>ID138</f>
        <v xml:space="preserve"> </v>
      </c>
      <c r="C135" s="1846">
        <f>C130+1</f>
        <v>18</v>
      </c>
      <c r="D135" s="1847"/>
      <c r="E135" s="1799" t="s">
        <v>295</v>
      </c>
      <c r="F135" s="1800"/>
      <c r="G135" s="1741"/>
      <c r="H135" s="1742"/>
      <c r="I135" s="1742"/>
      <c r="J135" s="1742"/>
      <c r="K135" s="1742"/>
      <c r="L135" s="1742"/>
      <c r="M135" s="1742"/>
      <c r="N135" s="1742"/>
      <c r="O135" s="1742"/>
      <c r="P135" s="1742"/>
      <c r="Q135" s="1742"/>
      <c r="R135" s="1742"/>
      <c r="S135" s="1791" t="s">
        <v>344</v>
      </c>
      <c r="T135" s="590"/>
      <c r="U135" s="1743"/>
      <c r="V135" s="1744"/>
      <c r="W135" s="1744"/>
      <c r="X135" s="1744"/>
      <c r="Y135" s="1744"/>
      <c r="Z135" s="1744"/>
      <c r="AA135" s="1744"/>
      <c r="AB135" s="961" t="str">
        <f>IFERROR(IF(__Retrofit_TI_NC=0,VLOOKUP(U136,Fixtures_Existing_List,2,FALSE),ROUND(N137*R137/T137,10)),"")</f>
        <v/>
      </c>
      <c r="AC135" s="935" t="str">
        <f>IFERROR(IF(__Retrofit_TI_NC=0,ROUND(T136*AB135*N136*R136/1000,0),IF(CQ135="Interior",N137*R137*R136*N136*_C406_reduction/1000,N137*R137*R136*N136/1000)),"")</f>
        <v/>
      </c>
      <c r="AD135" s="936" t="str">
        <f>IFERROR(IF(C$43=0,ROUND(T136*AB135/1000,2),N137*R137/1000),"")</f>
        <v/>
      </c>
      <c r="AE135" s="997"/>
      <c r="AF135" s="937"/>
      <c r="AG135" s="1745" t="str">
        <f>IF(__Retrofit_TI_NC=0," Control","Select Advanced Control for New System")</f>
        <v xml:space="preserve"> Control</v>
      </c>
      <c r="AH135" s="1745"/>
      <c r="AI135" s="1745"/>
      <c r="AJ135" s="1745"/>
      <c r="AK135" s="1745"/>
      <c r="AL135" s="1745"/>
      <c r="AM135" s="1746">
        <f>IFERROR(DI135,"")</f>
        <v>0</v>
      </c>
      <c r="AN135" s="1774" t="str">
        <f>IFERROR(ROUND(AM135*AC135,0),"")</f>
        <v/>
      </c>
      <c r="AO135" s="1776">
        <f>IFERROR(IF(IB135=FALSE,0,AC135-AN135),0)</f>
        <v>0</v>
      </c>
      <c r="AP135" s="1778">
        <f>AO135-AO137</f>
        <v>0</v>
      </c>
      <c r="AQ135" s="1779"/>
      <c r="AR135" s="1793">
        <f>IFERROR(IF(IB135=FALSE,0,(T137*U138)+(AF137*AG138)),0)</f>
        <v>0</v>
      </c>
      <c r="AS135" s="1793"/>
      <c r="AT135" s="1794"/>
      <c r="AU135" s="1734" t="s">
        <v>237</v>
      </c>
      <c r="AV135" s="1751">
        <f>IF(AU135="Yes",1,0)</f>
        <v>1</v>
      </c>
      <c r="AW135" s="1704" t="str">
        <f>IF(OR(DQ135=4,DQ135=5,DQ135=6,DQ135=12),CONCATENATE("$",IF(GH135=TRUE,Lookup!$K$10,Lookup!$K$2)," /lamp"),CONCATENATE(TEXT(ED135,"$0.00"),"/ kWh"))</f>
        <v>$0.00/ kWh</v>
      </c>
      <c r="AX135" s="467"/>
      <c r="AY135" s="1748">
        <f ca="1">IFERROR(IF(GM136=TRUE,(AB138*T137)/R137,0),"NA")</f>
        <v>0</v>
      </c>
      <c r="AZ135" s="1748"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696" t="str">
        <f>N136</f>
        <v/>
      </c>
      <c r="CQ135" s="1696" t="str">
        <f>IFERROR(VLOOKUP(G136,_Lookup_Heat_Type_Table_New,3,FALSE),"")</f>
        <v/>
      </c>
      <c r="CR135" s="1808" t="str">
        <f>CQ135</f>
        <v/>
      </c>
      <c r="CS135" s="1810" t="str">
        <f>IFERROR(VLOOKUP(G137,'Space Table'!$B$3:$L$163,9,FALSE),"")</f>
        <v/>
      </c>
      <c r="CU135" s="1688" t="s">
        <v>344</v>
      </c>
      <c r="CV135" s="1702">
        <f>IF(IB135=TRUE,T136,0)</f>
        <v>0</v>
      </c>
      <c r="CW135" s="1702" t="str">
        <f>IF(IB135=TRUE,U136,"")</f>
        <v/>
      </c>
      <c r="CX135" s="1702"/>
      <c r="CY135" s="1814">
        <f>IF(IB135=TRUE,AB135,0)</f>
        <v>0</v>
      </c>
      <c r="CZ135" s="1710">
        <f>IF(AND(__Retrofit_TI_NC&gt;0,CR135="interior"),0,IF(IB135=TRUE,AC135,0))</f>
        <v>0</v>
      </c>
      <c r="DA135" s="1814">
        <f>IFERROR(IF(IB135=TRUE,CZ135-CZ137,0),0)</f>
        <v>0</v>
      </c>
      <c r="DB135" s="1819">
        <f>IF(IB135=TRUE,AD135,0)</f>
        <v>0</v>
      </c>
      <c r="DC135" s="1819">
        <f>IF(IB135=TRUE,AD138,0)</f>
        <v>0</v>
      </c>
      <c r="DD135" s="1819">
        <f>IFERROR(DB135-DC135,0)</f>
        <v>0</v>
      </c>
      <c r="DF135" s="1702">
        <f>IF(IB135=TRUE,AF136,0)</f>
        <v>0</v>
      </c>
      <c r="DG135" s="1830">
        <f>IFERROR(IF(__Retrofit_TI_NC=2,IF(CQ135="Exterior",O138,FQ135),FN135),"")</f>
        <v>0</v>
      </c>
      <c r="DH135" s="1702"/>
      <c r="DI135" s="1837">
        <f>JE135</f>
        <v>0</v>
      </c>
      <c r="DJ135" s="1710">
        <f>IF(AND(__Retrofit_TI_NC&gt;0,CR135="interior"),0,IF(IB135=TRUE,AN135,0))</f>
        <v>0</v>
      </c>
      <c r="DK135" s="1712">
        <f>IFERROR(IF(IB135=TRUE,DJ137-DJ135,0),0)</f>
        <v>0</v>
      </c>
      <c r="DM135" s="1717">
        <f>IFERROR(CZ135-DJ135,0)</f>
        <v>0</v>
      </c>
      <c r="DO135" s="1708">
        <f>DM135-DN137</f>
        <v>0</v>
      </c>
      <c r="DQ135" s="1715" t="str">
        <f>IFERROR(IF(AND(OR(GC135=4,GC135=5,GC135=6),OR(GF135=4,GF135=5,GF135=6)),GC135+8,VLOOKUP(CW137,Fixtures!R$31:Y$78,8,FALSE)),"")</f>
        <v/>
      </c>
      <c r="DR135" s="1829" t="str">
        <f>DQ135</f>
        <v/>
      </c>
      <c r="DS135" s="1702" t="str">
        <f>IFERROR(VLOOKUP(DG137,Lookup!BB$3:BC$20,2,FALSE),"")</f>
        <v/>
      </c>
      <c r="DT135" s="1713" t="str">
        <f>IF(OR(DS135=7,DS135=8,DS135=9),"ALC","")</f>
        <v/>
      </c>
      <c r="DU135" s="1715">
        <f>IFERROR(IF(OR(DQ135=4,DQ135=5,DQ135=6,DQ135=12,DQ135=13,DQ135=14),VLOOKUP(CW137,Fixtures!DN$27:EG$77,19,FALSE),1)*CV137,0)</f>
        <v>0</v>
      </c>
      <c r="DV135" s="1716">
        <f>IF(OR(DS135=7,DS135=8,DS135=9),IF(DG135=DG137,0,DF137),0)</f>
        <v>0</v>
      </c>
      <c r="DX135" s="1715" t="str">
        <f>IFERROR(IF(EZ135&lt;EZ137,"Yes","No"),"")</f>
        <v/>
      </c>
      <c r="DY135" s="1829" t="str">
        <f>DX135</f>
        <v/>
      </c>
      <c r="DZ135" s="1715">
        <f>IF(DX135="Yes",DF137,0)</f>
        <v>0</v>
      </c>
      <c r="EA135" s="1715">
        <f>DZ135-DV135</f>
        <v>0</v>
      </c>
      <c r="EC135" s="1834">
        <f>IFERROR(VLOOKUP(DQ135,Lookup!AU$3:AV$16,2,FALSE),0)</f>
        <v>0</v>
      </c>
      <c r="ED135" s="1834">
        <f>IF(IB135=FALSE,0,IF(DX135="Yes",EC135+Lookup!K$6,EC135))</f>
        <v>0</v>
      </c>
      <c r="EF135" s="1707">
        <f>IF(IB135=TRUE,DM135,0)</f>
        <v>0</v>
      </c>
      <c r="EG135" s="1712">
        <f>IF(IB135=TRUE,CZ137,0)</f>
        <v>0</v>
      </c>
      <c r="EH135" s="1814">
        <f>IFERROR(EF135-EG135,0)</f>
        <v>0</v>
      </c>
      <c r="EI135" s="1712">
        <f>IF(IB135=TRUE,DJ137,0)</f>
        <v>0</v>
      </c>
      <c r="EJ135" s="1712">
        <f>IFERROR(EF135-EG135+EI135,0)</f>
        <v>0</v>
      </c>
      <c r="EK135" s="1812">
        <f>IF(IB135=TRUE,CV137*CX137,0)</f>
        <v>0</v>
      </c>
      <c r="EL135" s="1812">
        <f>IF(IB135=TRUE,DF137*DH137,0)</f>
        <v>0</v>
      </c>
      <c r="EM135" s="1807">
        <f>AR135</f>
        <v>0</v>
      </c>
      <c r="EN135" s="1839" t="str">
        <f>IFERROR(IF(IB135=TRUE,VLOOKUP(DQ135,Lookup!AU$3:AW$16,3,FALSE)*DU135,""),0)</f>
        <v/>
      </c>
      <c r="EO135" s="1839">
        <f>IF(IB135=TRUE,DZ135*Lookup!AW$12,0)</f>
        <v>0</v>
      </c>
      <c r="EP135" s="1817">
        <f>IFERROR(IF(IB135=TRUE,EN135/EP$40,0),0)</f>
        <v>0</v>
      </c>
      <c r="EQ135" s="1817">
        <f>IF(IB135=TRUE,EO135/EQ$40,0)</f>
        <v>0</v>
      </c>
      <c r="ER135" s="1807">
        <f>IF(IB135=TRUE,ET$40*EP135,0)</f>
        <v>0</v>
      </c>
      <c r="ES135" s="1807">
        <f>IF(IB135=TRUE,ET$40*EQ135,0)</f>
        <v>0</v>
      </c>
      <c r="ET135" s="1807">
        <f>ER135+ES135</f>
        <v>0</v>
      </c>
      <c r="EV135" s="1715">
        <f>IF(G135="",0,1)</f>
        <v>0</v>
      </c>
      <c r="EX135" s="1804" t="str">
        <f>IFERROR(VLOOKUP(CS137,'Space Table'!$B$3:$L$163,8,FALSE),"")</f>
        <v/>
      </c>
      <c r="EY135" s="1804" t="str">
        <f>IFERROR(IF(FB135="Yes",VLOOKUP(DG135,Lookup_Control_Type_Table2,4,FALSE),VLOOKUP(DG135,Lookup_Control_Type_Table2,3,FALSE)),"")</f>
        <v/>
      </c>
      <c r="EZ135" s="1804" t="e">
        <f>VLOOKUP(DG135,Lookup!BB$3:BC$20,2,FALSE)</f>
        <v>#N/A</v>
      </c>
      <c r="FA135" s="1804" t="e">
        <f>VLOOKUP(EX135,Lookup_Control_Type_Table,2,FALSE)</f>
        <v>#N/A</v>
      </c>
      <c r="FB135" s="1804" t="e">
        <f>VLOOKUP(CS137,'Space Table'!$B$3:$L$163,7,FALSE)</f>
        <v>#N/A</v>
      </c>
      <c r="FC135" s="1826" t="b">
        <f>ISNUMBER(SEARCH("TLED",U137))</f>
        <v>0</v>
      </c>
      <c r="FE135" s="1698" t="str">
        <f>CONCATENATE(CQ135," - ",DG135)</f>
        <v xml:space="preserve"> - 0</v>
      </c>
      <c r="FG135" s="1702" t="str">
        <f>VLOOKUP(CW137,Fixtures!DN$27:EZ$77,38,FALSE)</f>
        <v/>
      </c>
      <c r="FH135" s="1702">
        <f>IFERROR(FG135*EH135,0)</f>
        <v>0</v>
      </c>
      <c r="FI135" s="133"/>
      <c r="FL135" s="1822" t="str">
        <f>IF(CQ135="Exterior","Not Daylighted",G138)</f>
        <v>Not Daylighted</v>
      </c>
      <c r="FM135" s="1824">
        <f>VLOOKUP(FL135,_New_Daylight_Table_Codes,2,FALSE)</f>
        <v>0</v>
      </c>
      <c r="FN135" s="1698">
        <f>IF(__Retrofit_TI_NC&gt;0,VLOOKUP(G137,'Space Table'!$B$3:$L$163,11,FALSE),AG136)</f>
        <v>0</v>
      </c>
      <c r="FO135" s="1698" t="e">
        <f>IF(__Retrofit_TI_NC=2,VLOOKUP(FQ135,_Control_Table,2,FALSE),VLOOKUP(FN135,_Control_Table,2,FALSE))</f>
        <v>#N/A</v>
      </c>
      <c r="FP135" s="1678" t="e">
        <f>VLOOKUP(CONCATENATE(FL135," ",FN135),Lookup!AY$102:AZ145,2,FALSE)</f>
        <v>#N/A</v>
      </c>
      <c r="FQ135" s="1678">
        <f>IF(__Retrofit_TI_NC=0,FN135,IF(AND(FT135&gt;0,FN135="Occupancy Sensor"),"Daylight + Occupancy",IF(AND(FT135&gt;0,VLOOKUP(FN135,_Control_Table,2,FALSE)&lt;4),"Interior Daylight Dimming",FN135)))</f>
        <v>0</v>
      </c>
      <c r="FS135" s="1686">
        <f>IF(CR135="Interior",VLOOKUP(CS135,Control_Savings_Interior,5,FALSE),0)</f>
        <v>0</v>
      </c>
      <c r="FT135" s="1687">
        <f>IF(CQ135="Exterior",0,IF(FM135=2,0.5,IF(OR(FM135=1,FM135=3),1,0)))</f>
        <v>0</v>
      </c>
      <c r="FU135" s="1685">
        <f>IF(R134&gt;FS$44,(FS135*(FS$44/R134)),FS135)*FT135</f>
        <v>0</v>
      </c>
      <c r="FV135" s="1686">
        <f>DI135</f>
        <v>0</v>
      </c>
      <c r="FW135" s="1686">
        <f>ROUND(FV135+((1-FV135)*FU135),2)</f>
        <v>0</v>
      </c>
      <c r="FX135" s="1686">
        <f>IF(__Retrofit_TI_NC=2,FW135,FV135)</f>
        <v>0</v>
      </c>
      <c r="FY135" s="1697"/>
      <c r="GA135" s="1696" t="str">
        <f>IFERROR(VLOOKUP(U136,_Exist_Fixture_Table,3,FALSE),"")</f>
        <v/>
      </c>
      <c r="GB135" s="1696" t="str">
        <f>VLOOKUP(CW135,_Exist_Fixture_Table,4,FALSE)</f>
        <v/>
      </c>
      <c r="GC135" s="1696">
        <f>IFERROR(VLOOKUP(GB135,Lookup!AT$6:AU$8,2,FALSE),0)</f>
        <v>0</v>
      </c>
      <c r="GD135" s="1696" t="b">
        <f>IFERROR(IF(OR(GF135=4,GF135=5,GF135=6),TRUE,FALSE),"")</f>
        <v>0</v>
      </c>
      <c r="GE135" s="1696" t="str">
        <f>IFERROR(VLOOKUP(GF135,GC$6:GD$10,2,FALSE),"")</f>
        <v/>
      </c>
      <c r="GF135" s="1696" t="str">
        <f>VLOOKUP(CW137,Fixtures!R$31:Y$78,8,FALSE)</f>
        <v/>
      </c>
      <c r="GG135" s="1696">
        <f>IF(AND(GA135=TRUE,GD135=TRUE,OR(DQ135=12,DQ135=13,DQ135=14)),GC135+8,0)</f>
        <v>0</v>
      </c>
      <c r="GH135" s="1696" t="b">
        <f>IF(OR(GG135=12,GG135=13,GG135=14),TRUE,FALSE)</f>
        <v>0</v>
      </c>
      <c r="GI135" s="673" t="b">
        <f>IF(ISNUMBER(SEARCH("TLED",U136)),TRUE,FALSE)</f>
        <v>0</v>
      </c>
      <c r="GJ135" s="1135" t="str">
        <f>IFERROR(VLOOKUP(U136,Fixtures!BM$93:BR$142,6,FALSE),"")</f>
        <v/>
      </c>
      <c r="GK135" s="1832" t="b">
        <f>IF(OR(GI135=FALSE,GI137=FALSE),TRUE,IF(GJ135-GJ137&lt;5,FALSE,TRUE))</f>
        <v>1</v>
      </c>
      <c r="GO135" s="674">
        <f>GP135</f>
        <v>0</v>
      </c>
      <c r="GP135" s="674">
        <f>IF(G135="",0,1)</f>
        <v>0</v>
      </c>
      <c r="GQ135" s="674">
        <f ca="1">SUM(GR135:HF135)</f>
        <v>2</v>
      </c>
      <c r="GR135" s="674">
        <f>IF(G136="",0,1)</f>
        <v>0</v>
      </c>
      <c r="GS135" s="674">
        <f>IF(N138="BAM",1,IF(G137="",0,1))</f>
        <v>0</v>
      </c>
      <c r="GT135" s="674">
        <f>IF(N138="BAM",1,IF(R136="",0,1))</f>
        <v>0</v>
      </c>
      <c r="GU135" s="674">
        <f>IF(N138="BAM",1,IF(__Retrofit_TI_NC=0,1,IF(R137="",0,1)))</f>
        <v>1</v>
      </c>
      <c r="GV135" s="674">
        <f>IF(N138="BAM",1,IF(CQ135="Exterior",1,IF(G138="",0,1)))</f>
        <v>1</v>
      </c>
      <c r="GW135" s="674">
        <f>IF(__Retrofit_TI_NC&gt;0,1,IF(T136="",0,1))</f>
        <v>0</v>
      </c>
      <c r="GX135" s="674">
        <f>IF(__Retrofit_TI_NC&gt;0,1,IF(U136="",0,1))</f>
        <v>0</v>
      </c>
      <c r="GY135" s="674">
        <f>IF(N138="BAM",1,IF(T137="",0,1))</f>
        <v>0</v>
      </c>
      <c r="GZ135" s="674">
        <f>IF(N138="BAM",1,IF(U137="",0,1))</f>
        <v>0</v>
      </c>
      <c r="HA135" s="674">
        <f ca="1">IF(N138="BAM",1,IF(__Retrofit_TI_NC&gt;0,1,IF(U138="",0,1)))</f>
        <v>0</v>
      </c>
      <c r="HB135" s="674">
        <f>IF(__Retrofit_TI_NC&lt;&gt;0,1,IF(AF136="",0,1))</f>
        <v>0</v>
      </c>
      <c r="HC135" s="674">
        <f>IF(__Retrofit_TI_NC&lt;&gt;0,1,IF(AG136="",0,1))</f>
        <v>0</v>
      </c>
      <c r="HD135" s="674">
        <f>IF(N138="BAM",1,IF(AF137="",0,1))</f>
        <v>0</v>
      </c>
      <c r="HE135" s="674">
        <f>IF(N138="BAM",1,IF(AG137="",0,1))</f>
        <v>0</v>
      </c>
      <c r="HF135" s="674">
        <f>IF(N138="BAM",1,IF(__Retrofit_TI_NC&gt;0,1,IF(AG138="",0,1)))</f>
        <v>0</v>
      </c>
      <c r="HG135" s="391"/>
      <c r="IA135" s="391"/>
      <c r="IB135" s="1693" t="b">
        <f>IF(OR(IB138=0,IB138=HY$16,IB138=HX$16,IB138=HZ$16),TRUE,FALSE)</f>
        <v>0</v>
      </c>
      <c r="IC135" s="1694" t="b">
        <f>IB135</f>
        <v>0</v>
      </c>
      <c r="ID135" s="391"/>
      <c r="IE135" s="391"/>
      <c r="IF135" s="1688" t="b">
        <f ca="1">IF(MAX(GN138:HU138)&gt;5,FALSE,TRUE)</f>
        <v>0</v>
      </c>
      <c r="IG135" s="1689">
        <f ca="1">IF(IF135=TRUE,AC135,0)</f>
        <v>0</v>
      </c>
      <c r="IH135" s="1689">
        <f ca="1">IG135-IG137</f>
        <v>0</v>
      </c>
      <c r="IK135" s="1689" t="e">
        <f>ROUND(T136*VLOOKUP(U136,Fixtures_Existing_List,2,FALSE)*N136*R136/1000,0)</f>
        <v>#N/A</v>
      </c>
      <c r="IL135" s="1690" t="e">
        <f>IK135-IK137</f>
        <v>#N/A</v>
      </c>
      <c r="IM135" s="1693" t="e">
        <f>ROUND(IF(CQ135="Interior",N137*R137*R136*N136*_C406_reduction/1000,N137*R137*R136*N136/1000),0)</f>
        <v>#N/A</v>
      </c>
      <c r="IN135" s="1693" t="e">
        <f>IM135-IM137</f>
        <v>#N/A</v>
      </c>
      <c r="IP135" s="1679"/>
      <c r="IQ135" s="1679" t="e">
        <f t="shared" ref="IQ135:IU135" si="101">IF($CR135="interior",VLOOKUP($CS135,_New_Control_Savings_Interior,IQ$30,FALSE),VLOOKUP($CS135,Control_Savings_Exterior,IQ$30,FALSE))</f>
        <v>#N/A</v>
      </c>
      <c r="IR135" s="1679" t="e">
        <f t="shared" si="101"/>
        <v>#N/A</v>
      </c>
      <c r="IS135" s="1679" t="e">
        <f t="shared" si="101"/>
        <v>#N/A</v>
      </c>
      <c r="IT135" s="1679" t="e">
        <f t="shared" si="101"/>
        <v>#N/A</v>
      </c>
      <c r="IU135" s="1679" t="e">
        <f t="shared" si="101"/>
        <v>#N/A</v>
      </c>
      <c r="IV135" s="1679" t="e">
        <f>IF($CR135="interior",IF(R136&gt;$IP$14,ROUND(($IV$18*($IP$14/R136)),2),$IV$18),VLOOKUP($CS135,Control_Savings_Exterior,IV$30,FALSE))</f>
        <v>#N/A</v>
      </c>
      <c r="IW135" s="1679" t="e">
        <f>IF($CR135="interior",ROUND(((1-IS135)*IV135)+IS135,2),VLOOKUP($CS135,Control_Savings_Exterior,IW$30,FALSE))</f>
        <v>#N/A</v>
      </c>
      <c r="IX135" s="1679" t="e">
        <f>IF($CR135="interior",ROUND(((1-IT135)*IV135)+IT135,2),VLOOKUP($CS135,Control_Savings_Exterior,IX$30,FALSE))</f>
        <v>#N/A</v>
      </c>
      <c r="IY135" s="1679" t="e">
        <f>IF($CR135="interior",IF(R136&gt;$IP$14,ROUND(($IY$18*($IP$14/R136)),2),$IY$18),VLOOKUP($CS135,Control_Savings_Exterior,IY$30,FALSE))</f>
        <v>#N/A</v>
      </c>
      <c r="IZ135" s="1679" t="e">
        <f>IF($CR135="interior",ROUND(((1-IS135)*IY135)+IS135,2),VLOOKUP($CS135,Control_Savings_Exterior,IZ$30,FALSE))</f>
        <v>#N/A</v>
      </c>
      <c r="JA135" s="1679" t="e">
        <f>IF($CR135="interior",ROUND(((1-IT135)*IY135)+IT135,2),VLOOKUP($CS135,Control_Savings_Exterior,JA$30,FALSE))</f>
        <v>#N/A</v>
      </c>
      <c r="JC135" s="1680">
        <f>IFERROR(IF(CR135="Interior",CONCATENATE(G138," ",FQ135),FQ135),"")</f>
        <v>0</v>
      </c>
      <c r="JD135" s="1670" t="str">
        <f>IFERROR(VLOOKUP(JC135,_Controls_2023,2,FALSE),"")</f>
        <v/>
      </c>
      <c r="JE135" s="1681">
        <f>IFERROR(CHOOSE(JD135-1,IQ135,IR135,IS135,IT135,IU135,IV135,IW135,IX135,IY135,IZ135,JA135),0)</f>
        <v>0</v>
      </c>
      <c r="JG135" s="1680" t="str">
        <f>FE135</f>
        <v xml:space="preserve"> - 0</v>
      </c>
      <c r="JH135" s="1670" t="e">
        <f>$FO135</f>
        <v>#N/A</v>
      </c>
      <c r="JI135" s="1060"/>
      <c r="JJ135" s="1682" t="b">
        <f>IF($JG137=CONCATENATE("Interior - ",JJ$4),TRUE,FALSE)</f>
        <v>0</v>
      </c>
      <c r="JK135" s="1061"/>
      <c r="JL135" s="1682" t="b">
        <f>IF($JG137=CONCATENATE("Interior - ",JL$4),TRUE,FALSE)</f>
        <v>0</v>
      </c>
      <c r="JM135" s="1061"/>
      <c r="JN135" s="1682" t="b">
        <f>IF($JG137=CONCATENATE("Interior - ",JN$4),TRUE,FALSE)</f>
        <v>0</v>
      </c>
      <c r="JO135" s="1061"/>
      <c r="JP135" s="1682" t="b">
        <f>IF(__Retrofit_TI_NC&gt;0,FALSE,IF($JG137=CONCATENATE("Interior - ",JP$4),TRUE,FALSE))</f>
        <v>0</v>
      </c>
      <c r="JQ135" s="1061"/>
      <c r="JR135" s="1682" t="b">
        <f>IF(__Retrofit_TI_NC&gt;0,FALSE,IF($JG137=CONCATENATE("Interior - ",JR$4),TRUE,FALSE))</f>
        <v>0</v>
      </c>
      <c r="JS135" s="1061"/>
      <c r="JT135" s="1670" t="b">
        <f>IF(__Retrofit_TI_NC&gt;0,FALSE,IF($JG137=CONCATENATE("Interior - ",JT$4),TRUE,FALSE))</f>
        <v>0</v>
      </c>
      <c r="JU135" s="1061"/>
      <c r="JV135" s="1670" t="b">
        <f>IF(JC137="AELC on Existing",TRUE,FALSE)</f>
        <v>0</v>
      </c>
      <c r="JX135" s="1670" t="b">
        <f>IF(OR(JG137="Exterior - AELC Occupancy based",JG137="Exterior - AELC Time based"),TRUE,FALSE)</f>
        <v>0</v>
      </c>
      <c r="JZ135" s="1682" t="b">
        <f>IF($JG137=CONCATENATE("Exterior - ",JZ$4),TRUE,FALSE)</f>
        <v>0</v>
      </c>
      <c r="KB135" s="1670" t="b">
        <f>IF(__Retrofit_TI_NC&gt;0,FALSE,IF($JG137=CONCATENATE("Interior - ",KB$4),TRUE,FALSE))</f>
        <v>0</v>
      </c>
    </row>
    <row r="136" spans="1:288" s="78" customFormat="1" ht="14.95" customHeight="1" thickTop="1" thickBot="1">
      <c r="B136" s="1845"/>
      <c r="C136" s="1846"/>
      <c r="D136" s="1847"/>
      <c r="E136" s="1737" t="s">
        <v>297</v>
      </c>
      <c r="F136" s="1738"/>
      <c r="G136" s="1739"/>
      <c r="H136" s="1739"/>
      <c r="I136" s="1739"/>
      <c r="J136" s="1739"/>
      <c r="K136" s="1739"/>
      <c r="L136" s="1739"/>
      <c r="M136" s="461" t="e">
        <f>IF(__Retrofit_TI_NC&lt;&gt;0,IF(VLOOKUP(G137,'Space Table'!$B$3:$L$163,3,FALSE)&gt;0,1,0),IF(__Retrofit_TI_NC=VLOOKUP(G137,'Space Table'!$B$3:$L$163,3,FALSE),1,0))</f>
        <v>#N/A</v>
      </c>
      <c r="N136" s="461" t="str">
        <f>IFERROR(VLOOKUP(G136,_Lookup_Heat_Type_Table_New,2,FALSE),"")</f>
        <v/>
      </c>
      <c r="O136" s="461">
        <f>IF(__Retrofit_TI_NC=1,CONCATENATE("TI ",G136),IF(__Retrofit_TI_NC=2,CONCATENATE("NC ",G136),G136))</f>
        <v>0</v>
      </c>
      <c r="P136" s="1740" t="s">
        <v>435</v>
      </c>
      <c r="Q136" s="1740"/>
      <c r="R136" s="595"/>
      <c r="S136" s="1792"/>
      <c r="T136" s="597"/>
      <c r="U136" s="1765"/>
      <c r="V136" s="1766"/>
      <c r="W136" s="1766"/>
      <c r="X136" s="1766"/>
      <c r="Y136" s="1766"/>
      <c r="Z136" s="1766"/>
      <c r="AA136" s="1766"/>
      <c r="AB136" s="1766"/>
      <c r="AC136" s="1766"/>
      <c r="AD136" s="1767"/>
      <c r="AE136" s="1000"/>
      <c r="AF136" s="597"/>
      <c r="AG136" s="1723"/>
      <c r="AH136" s="1724"/>
      <c r="AI136" s="1724"/>
      <c r="AJ136" s="1724"/>
      <c r="AK136" s="1725"/>
      <c r="AL136" s="996"/>
      <c r="AM136" s="1747"/>
      <c r="AN136" s="1775"/>
      <c r="AO136" s="1777"/>
      <c r="AP136" s="1780"/>
      <c r="AQ136" s="1781"/>
      <c r="AR136" s="1795"/>
      <c r="AS136" s="1795"/>
      <c r="AT136" s="1796"/>
      <c r="AU136" s="1735"/>
      <c r="AV136" s="1752"/>
      <c r="AW136" s="1705"/>
      <c r="AX136" s="467"/>
      <c r="AY136" s="1749"/>
      <c r="AZ136" s="1749"/>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696"/>
      <c r="CQ136" s="1696"/>
      <c r="CR136" s="1809"/>
      <c r="CS136" s="1811"/>
      <c r="CU136" s="1688"/>
      <c r="CV136" s="1703"/>
      <c r="CW136" s="1703"/>
      <c r="CX136" s="1703"/>
      <c r="CY136" s="1815"/>
      <c r="CZ136" s="1711"/>
      <c r="DA136" s="1818"/>
      <c r="DB136" s="1820"/>
      <c r="DC136" s="1820"/>
      <c r="DD136" s="1820"/>
      <c r="DF136" s="1703"/>
      <c r="DG136" s="1831"/>
      <c r="DH136" s="1703"/>
      <c r="DI136" s="1838"/>
      <c r="DJ136" s="1711"/>
      <c r="DK136" s="1712"/>
      <c r="DM136" s="1718"/>
      <c r="DO136" s="1708"/>
      <c r="DQ136" s="1715"/>
      <c r="DR136" s="1720"/>
      <c r="DS136" s="1816"/>
      <c r="DT136" s="1714"/>
      <c r="DU136" s="1715"/>
      <c r="DV136" s="1716"/>
      <c r="DX136" s="1715"/>
      <c r="DY136" s="1720"/>
      <c r="DZ136" s="1715"/>
      <c r="EA136" s="1715"/>
      <c r="EC136" s="1834"/>
      <c r="ED136" s="1834"/>
      <c r="EF136" s="1707"/>
      <c r="EG136" s="1712"/>
      <c r="EH136" s="1818"/>
      <c r="EI136" s="1712"/>
      <c r="EJ136" s="1712"/>
      <c r="EK136" s="1836"/>
      <c r="EL136" s="1836"/>
      <c r="EM136" s="1807"/>
      <c r="EN136" s="1839"/>
      <c r="EO136" s="1839"/>
      <c r="EP136" s="1817"/>
      <c r="EQ136" s="1817"/>
      <c r="ER136" s="1807"/>
      <c r="ES136" s="1807"/>
      <c r="ET136" s="1807"/>
      <c r="EV136" s="1715"/>
      <c r="EX136" s="1805"/>
      <c r="EY136" s="1805"/>
      <c r="EZ136" s="1805"/>
      <c r="FA136" s="1805"/>
      <c r="FB136" s="1805"/>
      <c r="FC136" s="1827"/>
      <c r="FE136" s="1698"/>
      <c r="FG136" s="1816"/>
      <c r="FH136" s="1816"/>
      <c r="FI136" s="133"/>
      <c r="FL136" s="1823"/>
      <c r="FM136" s="1825"/>
      <c r="FN136" s="1698"/>
      <c r="FO136" s="1698"/>
      <c r="FP136" s="1678"/>
      <c r="FQ136" s="1678"/>
      <c r="FS136" s="1687"/>
      <c r="FT136" s="1687"/>
      <c r="FU136" s="1685"/>
      <c r="FV136" s="1687"/>
      <c r="FW136" s="1687"/>
      <c r="FX136" s="1687"/>
      <c r="FY136" s="1697"/>
      <c r="GA136" s="1696"/>
      <c r="GB136" s="1696"/>
      <c r="GC136" s="1696"/>
      <c r="GD136" s="1696"/>
      <c r="GE136" s="1696"/>
      <c r="GF136" s="1696"/>
      <c r="GG136" s="1696"/>
      <c r="GH136" s="1696"/>
      <c r="GI136" s="673"/>
      <c r="GJ136" s="1135"/>
      <c r="GK136" s="1832"/>
      <c r="GM136" s="1693" t="b">
        <f ca="1">IF(AND(GP136=TRUE,GQ136=TRUE),TRUE,FALSE)</f>
        <v>0</v>
      </c>
      <c r="GN136" s="1684" t="b">
        <f>IFERROR(IF(__Retrofit_TI_NC=2,TRUE,IF(AU135="Yes",TRUE,FALSE)),FALSE)</f>
        <v>1</v>
      </c>
      <c r="GP136" s="1684" t="b">
        <f>IFERROR(IF(GP135=1,TRUE,FALSE),FALSE)</f>
        <v>0</v>
      </c>
      <c r="GQ136" s="1684" t="b">
        <f ca="1">IFERROR(IF(GQ135=GQ$14,TRUE,FALSE),FALSE)</f>
        <v>0</v>
      </c>
      <c r="HG136" s="1684" t="b">
        <f>IFERROR(IF(AND(__Retrofit_TI_NC&gt;0,CQ135="Interior"),FALSE,TRUE),FALSE)</f>
        <v>1</v>
      </c>
      <c r="HH136" s="1684" t="b">
        <f>IFERROR(IF(M136=1,TRUE,FALSE),FALSE)</f>
        <v>0</v>
      </c>
      <c r="HI136" s="1684" t="b">
        <f>IFERROR(IF(OR(M137=1,N138="BAM"),TRUE,FALSE),FALSE)</f>
        <v>0</v>
      </c>
      <c r="HJ136" s="1684" t="b">
        <f>IFERROR(IF(__Retrofit_TI_NC&lt;&gt;0,TRUE,IFERROR(IF(VLOOKUP(U136,Fixtures_Existing_List,2,FALSE)&lt;&gt;"",TRUE,FALSE),FALSE)),FALSE)</f>
        <v>0</v>
      </c>
      <c r="HK136" s="1684" t="b">
        <f>IFERROR(IF(VLOOKUP(U137,Fixtures_Proposed_List,2,FALSE)&lt;&gt;"",TRUE,FALSE),FALSE)</f>
        <v>0</v>
      </c>
      <c r="HL136" s="1684" t="b">
        <f>IF(AND(__Retrofit_TI_NC=2,FC135=TRUE),FALSE,TRUE)</f>
        <v>1</v>
      </c>
      <c r="HM136" s="1684" t="b">
        <f>GK135</f>
        <v>1</v>
      </c>
      <c r="HN136" s="1682" t="b">
        <f>IF(ISERROR(MATCH(FE135,_Control_Match[],0))=TRUE,FALSE,TRUE)</f>
        <v>0</v>
      </c>
      <c r="HO136" s="1693" t="b">
        <f>IFERROR(IF(EX135&lt;&gt;EY135,FALSE,TRUE),FALSE)</f>
        <v>1</v>
      </c>
      <c r="HP136" s="1693" t="b">
        <f>IFERROR(IF(EX137&lt;&gt;EY137,FALSE,TRUE),FALSE)</f>
        <v>1</v>
      </c>
      <c r="HQ136" s="1670" t="b">
        <f>IFERROR(IF(CQ135="Exterior",TRUE,IF(AND(OR(FM137=0,FM137=3),JD137&gt;6),FALSE,TRUE)),FALSE)</f>
        <v>0</v>
      </c>
      <c r="HR136" s="1684" t="b">
        <f>IFERROR(IF(AND(FO137=7,FC135=TRUE),FALSE,TRUE),FALSE)</f>
        <v>0</v>
      </c>
      <c r="HS136" s="1684" t="b">
        <f>IFERROR(IF(AND(T137&lt;&gt;AF137,OR(AG137="Interior LLLC", AG137="Interior NLC", AG137="LLLC (outside Daylight)",AG137="LLLC Controls Only"))=TRUE,FALSE,TRUE),FALSE)</f>
        <v>1</v>
      </c>
      <c r="HT136" s="1670" t="b">
        <f>IFERROR(IF(OR(AG137=Lookup!BB$17,AG137=Lookup!BB$18,AG137=Lookup!BB$19)=TRUE,IF(AF137&gt;T137,FALSE,TRUE),TRUE),FALSE)</f>
        <v>1</v>
      </c>
      <c r="HU136" s="1684" t="b">
        <f>IFERROR(IF(__Retrofit_TI_NC=2,IF(EZ137&lt;EZ135,FALSE,TRUE),TRUE),FALSE)</f>
        <v>1</v>
      </c>
      <c r="HV136" s="1684" t="b">
        <f>IF(CQ135="Interior",IL$6,TRUE)</f>
        <v>1</v>
      </c>
      <c r="HW136" s="1684" t="b">
        <f>IF(CQ135="Exterior",IL$8,TRUE)</f>
        <v>1</v>
      </c>
      <c r="HX136" s="1684" t="b">
        <f>IFERROR(IF(__Retrofit_TI_NC&lt;&gt;0,IF(AZ135&lt;AY135,FALSE,TRUE),TRUE),FALSE)</f>
        <v>1</v>
      </c>
      <c r="HY136" s="1684" t="b">
        <f>IFERROR(IF(AND(G136="Exterior",R136&gt;4200),FALSE,TRUE),FALSE)</f>
        <v>1</v>
      </c>
      <c r="HZ136" s="1684" t="b">
        <f>IFERROR(IF(AB138/AB135&lt;HZ$18,FALSE,TRUE),FALSE)</f>
        <v>0</v>
      </c>
      <c r="IB136" s="1691"/>
      <c r="IC136" s="1695"/>
      <c r="ID136" s="1694" t="str">
        <f>VLOOKUP(IB138,_Error_Table,4,FALSE)</f>
        <v>White</v>
      </c>
      <c r="IE136" s="391"/>
      <c r="IF136" s="1688"/>
      <c r="IG136" s="1689"/>
      <c r="IH136" s="1684"/>
      <c r="IK136" s="1689"/>
      <c r="IL136" s="1691"/>
      <c r="IM136" s="1691"/>
      <c r="IN136" s="1691"/>
      <c r="IP136" s="1679"/>
      <c r="IQ136" s="1679"/>
      <c r="IR136" s="1679"/>
      <c r="IS136" s="1679"/>
      <c r="IT136" s="1679"/>
      <c r="IU136" s="1679"/>
      <c r="IV136" s="1679"/>
      <c r="IW136" s="1679"/>
      <c r="IX136" s="1679"/>
      <c r="IY136" s="1679"/>
      <c r="IZ136" s="1679"/>
      <c r="JA136" s="1679"/>
      <c r="JC136" s="1680"/>
      <c r="JD136" s="1670"/>
      <c r="JE136" s="1681"/>
      <c r="JG136" s="1680"/>
      <c r="JH136" s="1670"/>
      <c r="JI136" s="1060"/>
      <c r="JJ136" s="1683"/>
      <c r="JK136" s="1061"/>
      <c r="JL136" s="1683"/>
      <c r="JM136" s="1061"/>
      <c r="JN136" s="1683"/>
      <c r="JO136" s="1061"/>
      <c r="JP136" s="1683"/>
      <c r="JQ136" s="1061"/>
      <c r="JR136" s="1683"/>
      <c r="JS136" s="1061"/>
      <c r="JT136" s="1670"/>
      <c r="JU136" s="1061"/>
      <c r="JV136" s="1670"/>
      <c r="JX136" s="1670"/>
      <c r="JZ136" s="1683"/>
      <c r="KB136" s="1670"/>
    </row>
    <row r="137" spans="1:288" s="78" customFormat="1" ht="14.95" customHeight="1" thickTop="1" thickBot="1">
      <c r="A137" s="78">
        <f>ROW()</f>
        <v>137</v>
      </c>
      <c r="B137" s="1845"/>
      <c r="C137" s="1846"/>
      <c r="D137" s="1847"/>
      <c r="E137" s="1737" t="s">
        <v>298</v>
      </c>
      <c r="F137" s="1738"/>
      <c r="G137" s="1760"/>
      <c r="H137" s="1761"/>
      <c r="I137" s="1761"/>
      <c r="J137" s="1761"/>
      <c r="K137" s="1761"/>
      <c r="L137" s="1762"/>
      <c r="M137" s="461">
        <f>IFERROR(IF(IF(__Retrofit_TI_NC&lt;&gt;0,IF(CQ135="Interior",MATCH(G137,Lookup_Interior_New,0),MATCH(G137,Lookup_Exterior_New,0)),IF(CQ135="Interior",MATCH(G137,Lookup_Interior,0),MATCH(G137,Lookup_Exterior_Areas,0)))&gt;0,1,0),0)</f>
        <v>0</v>
      </c>
      <c r="N137" s="461" t="e">
        <f>IF(__Retrofit_TI_NC=1,
VLOOKUP(G137,'Space Table'!$B$3:$L$163,4,FALSE),
IF(__Retrofit_TI_NC=2,VLOOKUP(G137,'Space Table'!$B$3:$L$163,5,FALSE),VLOOKUP(G137,'Space Table'!$B$3:$L$163,5,FALSE)))</f>
        <v>#N/A</v>
      </c>
      <c r="O137" s="461">
        <f>G137</f>
        <v>0</v>
      </c>
      <c r="P137" s="1738" t="str">
        <f>IFERROR(IF(__Retrofit_TI_NC=1,VLOOKUP(G137,'Space Table'!$B$3:$O$163,13,FALSE),IF(__Retrofit_TI_NC=2,VLOOKUP(G137,'Space Table'!$B$3:$O$163,14,FALSE),"Area (sf):")),"Area (sf):")</f>
        <v>Area (sf):</v>
      </c>
      <c r="Q137" s="1738"/>
      <c r="R137" s="596"/>
      <c r="S137" s="1763" t="s">
        <v>345</v>
      </c>
      <c r="T137" s="594"/>
      <c r="U137" s="1801"/>
      <c r="V137" s="1802"/>
      <c r="W137" s="1802"/>
      <c r="X137" s="1802"/>
      <c r="Y137" s="1802"/>
      <c r="Z137" s="1802"/>
      <c r="AA137" s="1802"/>
      <c r="AB137" s="1802"/>
      <c r="AC137" s="1802"/>
      <c r="AD137" s="1802"/>
      <c r="AE137" s="1803"/>
      <c r="AF137" s="594"/>
      <c r="AG137" s="1787"/>
      <c r="AH137" s="1787"/>
      <c r="AI137" s="1787"/>
      <c r="AJ137" s="1787"/>
      <c r="AK137" s="1787"/>
      <c r="AL137" s="1787"/>
      <c r="AM137" s="1726">
        <f>IFERROR(DI137,"")</f>
        <v>0</v>
      </c>
      <c r="AN137" s="1728" t="str">
        <f>IFERROR(ROUND(AM137*AC138,0),"")</f>
        <v/>
      </c>
      <c r="AO137" s="1730">
        <f>IFERROR(IF(IB135=FALSE,0,AC138-AN137),0)</f>
        <v>0</v>
      </c>
      <c r="AP137" s="1780"/>
      <c r="AQ137" s="1781"/>
      <c r="AR137" s="1795"/>
      <c r="AS137" s="1795"/>
      <c r="AT137" s="1796"/>
      <c r="AU137" s="1735"/>
      <c r="AV137" s="1752"/>
      <c r="AW137" s="1705"/>
      <c r="AX137" s="467"/>
      <c r="AY137" s="1749"/>
      <c r="AZ137" s="1749"/>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696"/>
      <c r="CQ137" s="1696"/>
      <c r="CR137" s="1808" t="str">
        <f>CQ135</f>
        <v/>
      </c>
      <c r="CS137" s="1810" t="str">
        <f>CS135</f>
        <v/>
      </c>
      <c r="CU137" s="1688" t="s">
        <v>345</v>
      </c>
      <c r="CV137" s="1702">
        <f>IF(IB135=TRUE,T137,0)</f>
        <v>0</v>
      </c>
      <c r="CW137" s="1702" t="str">
        <f>IF(IB135=TRUE,U137,"")</f>
        <v/>
      </c>
      <c r="CX137" s="1812">
        <f>IF(IB135=TRUE,U138,0)</f>
        <v>0</v>
      </c>
      <c r="CY137" s="1814">
        <f>IF(IB135=TRUE,AB138,0)</f>
        <v>0</v>
      </c>
      <c r="CZ137" s="1710">
        <f>IF(AND(__Retrofit_TI_NC&gt;0,CR135="interior"),0,IF(IB135=TRUE,AC138,0))</f>
        <v>0</v>
      </c>
      <c r="DA137" s="1818"/>
      <c r="DB137" s="1820"/>
      <c r="DC137" s="1820"/>
      <c r="DD137" s="1820"/>
      <c r="DF137" s="1702">
        <f>IF(IB135=TRUE,AF137,0)</f>
        <v>0</v>
      </c>
      <c r="DG137" s="1830" t="str">
        <f>IF(IB135=TRUE,AG137,"")</f>
        <v/>
      </c>
      <c r="DH137" s="1812">
        <f>AG138</f>
        <v>0</v>
      </c>
      <c r="DI137" s="1837">
        <f>JE137</f>
        <v>0</v>
      </c>
      <c r="DJ137" s="1710">
        <f>IF(AND(__Retrofit_TI_NC&gt;0,CR135="interior"),0,IF(IB135=TRUE,AN137,0))</f>
        <v>0</v>
      </c>
      <c r="DK137" s="1712"/>
      <c r="DN137" s="1717">
        <f>IFERROR(CZ137-DJ137,0)</f>
        <v>0</v>
      </c>
      <c r="DO137" s="1709"/>
      <c r="DQ137" s="1715"/>
      <c r="DR137" s="1719" t="str">
        <f>DQ135</f>
        <v/>
      </c>
      <c r="DS137" s="1816"/>
      <c r="DT137" s="1835" t="str">
        <f>IF(OR(DS135=7,DS135=8,DS135=9),"ALC","")</f>
        <v/>
      </c>
      <c r="DU137" s="1715"/>
      <c r="DV137" s="1716"/>
      <c r="DX137" s="1715"/>
      <c r="DY137" s="1829" t="str">
        <f>DX135</f>
        <v/>
      </c>
      <c r="DZ137" s="1715"/>
      <c r="EA137" s="1715"/>
      <c r="EC137" s="1834"/>
      <c r="ED137" s="1834"/>
      <c r="EF137" s="1707"/>
      <c r="EG137" s="1712"/>
      <c r="EH137" s="1818"/>
      <c r="EI137" s="1712"/>
      <c r="EJ137" s="1712"/>
      <c r="EK137" s="1836"/>
      <c r="EL137" s="1836"/>
      <c r="EM137" s="1807"/>
      <c r="EN137" s="1839"/>
      <c r="EO137" s="1839"/>
      <c r="EP137" s="1817"/>
      <c r="EQ137" s="1817"/>
      <c r="ER137" s="1807"/>
      <c r="ES137" s="1807"/>
      <c r="ET137" s="1807"/>
      <c r="EV137" s="1715"/>
      <c r="EX137" s="1805" t="str">
        <f>IFERROR(VLOOKUP(CS137,'Space Table'!$B$3:$L$163,8,FALSE),"")</f>
        <v/>
      </c>
      <c r="EY137" s="1805" t="str">
        <f>IFERROR(IF(FB137="Yes",VLOOKUP(AG137,Lookup_Control_Type_Table2,4,FALSE),VLOOKUP(AG137,Lookup_Control_Type_Table2,3,FALSE)),"")</f>
        <v/>
      </c>
      <c r="EZ137" s="1805" t="e">
        <f>VLOOKUP(AG137,Lookup!BB$3:BC$20,2,FALSE)</f>
        <v>#N/A</v>
      </c>
      <c r="FA137" s="1805" t="e">
        <f>VLOOKUP(EX135,Lookup_Control_Type_Table,2,FALSE)</f>
        <v>#N/A</v>
      </c>
      <c r="FB137" s="1805" t="e">
        <f>VLOOKUP(CS137,'Space Table'!$B$3:$L$163,7,FALSE)</f>
        <v>#N/A</v>
      </c>
      <c r="FC137" s="1827"/>
      <c r="FE137" s="1698" t="str">
        <f>CONCATENATE(CQ135," - ",AG137)</f>
        <v xml:space="preserve"> - </v>
      </c>
      <c r="FG137" s="1816"/>
      <c r="FH137" s="1816"/>
      <c r="FI137" s="133"/>
      <c r="FL137" s="1822" t="str">
        <f>IF(CQ135="Exterior","Not Daylighted",G138)</f>
        <v>Not Daylighted</v>
      </c>
      <c r="FM137" s="1824">
        <f>VLOOKUP(FL137,_New_Daylight_Table_Codes,2,FALSE)</f>
        <v>0</v>
      </c>
      <c r="FN137" s="1698">
        <f>AG137</f>
        <v>0</v>
      </c>
      <c r="FO137" s="1698" t="e">
        <f>VLOOKUP(FN137,_Control_Table,2,FALSE)</f>
        <v>#N/A</v>
      </c>
      <c r="FP137" s="1678" t="e">
        <f>VLOOKUP(CONCATENATE(FL137," ",FN137),Lookup!AY$102:AZ148,2,FALSE)</f>
        <v>#N/A</v>
      </c>
      <c r="FQ137" s="1698">
        <f>IF(__Retrofit_TI_NC=0,FN137,IF(AND(FT137&gt;0,FN137="Occupancy Sensor"),"Daylight + Occupancy",IF(AND(FT137&gt;0,FO137&lt;4),"Interior Daylight Dimming",FN137)))</f>
        <v>0</v>
      </c>
      <c r="FS137" s="1686">
        <f>IF(CQ135="Interior",VLOOKUP(CS135,Control_Savings_Interior,5,FALSE),0)</f>
        <v>0</v>
      </c>
      <c r="FT137" s="1687">
        <f>IF(CQ137="Exterior",0,IF(FM137=2,0.5,IF(OR(FM137=1,FM137=3),1,0)))</f>
        <v>0</v>
      </c>
      <c r="FU137" s="1685">
        <f>IF(R136&gt;FS$44,(FS137*(FS$44/R136)),FS137)*FT137</f>
        <v>0</v>
      </c>
      <c r="FV137" s="1686">
        <f>DI137</f>
        <v>0</v>
      </c>
      <c r="FW137" s="1686">
        <f>ROUND(FV137+((1-FV137)*FU137),2)</f>
        <v>0</v>
      </c>
      <c r="FX137" s="1686">
        <f>IF(__Retrofit_TI_NC=2,FW137,FV137)</f>
        <v>0</v>
      </c>
      <c r="FY137" s="1697">
        <f>IF(CR137="Interior",VLOOKUP(CS137,Control_Savings_Interior,4,FALSE),0)</f>
        <v>0</v>
      </c>
      <c r="GA137" s="1696"/>
      <c r="GB137" s="1696"/>
      <c r="GC137" s="1696"/>
      <c r="GD137" s="1696"/>
      <c r="GE137" s="1696"/>
      <c r="GF137" s="1696"/>
      <c r="GG137" s="1696"/>
      <c r="GH137" s="1696"/>
      <c r="GI137" s="673" t="b">
        <f>IF(ISNUMBER(SEARCH("TLED",U137)),TRUE,FALSE)</f>
        <v>0</v>
      </c>
      <c r="GJ137" s="1135" t="str">
        <f>IFERROR(VLOOKUP(U137,Fixtures!DM$93:DR$142,6,FALSE),"")</f>
        <v/>
      </c>
      <c r="GK137" s="1832"/>
      <c r="GM137" s="1692"/>
      <c r="GN137" s="1684"/>
      <c r="GP137" s="1684"/>
      <c r="GQ137" s="1684"/>
      <c r="HG137" s="1684"/>
      <c r="HH137" s="1684"/>
      <c r="HI137" s="1684"/>
      <c r="HJ137" s="1684"/>
      <c r="HK137" s="1684"/>
      <c r="HL137" s="1684"/>
      <c r="HM137" s="1684"/>
      <c r="HN137" s="1683"/>
      <c r="HO137" s="1692"/>
      <c r="HP137" s="1692"/>
      <c r="HQ137" s="1670"/>
      <c r="HR137" s="1684"/>
      <c r="HS137" s="1684"/>
      <c r="HT137" s="1670"/>
      <c r="HU137" s="1684"/>
      <c r="HV137" s="1684"/>
      <c r="HW137" s="1684"/>
      <c r="HX137" s="1684"/>
      <c r="HY137" s="1684"/>
      <c r="HZ137" s="1684"/>
      <c r="IB137" s="1692"/>
      <c r="IC137" s="1693" t="b">
        <f>IB135</f>
        <v>0</v>
      </c>
      <c r="ID137" s="1695"/>
      <c r="IE137" s="391"/>
      <c r="IF137" s="1688"/>
      <c r="IG137" s="1689">
        <f ca="1">IF(IF135=TRUE,AC138,0)</f>
        <v>0</v>
      </c>
      <c r="IH137" s="1684"/>
      <c r="IK137" s="1689" t="e">
        <f>ROUND(T137*AB138*N136*R136/1000,0)</f>
        <v>#VALUE!</v>
      </c>
      <c r="IL137" s="1691"/>
      <c r="IM137" s="1693" t="e">
        <f>ROUND(T137*AB138*N136*R136/1000,0)</f>
        <v>#VALUE!</v>
      </c>
      <c r="IN137" s="1691"/>
      <c r="IP137" s="1679"/>
      <c r="IQ137" s="1679" t="e">
        <f t="shared" ref="IQ137:IU137" si="102">IF($CR137="interior",VLOOKUP($CS137,_New_Control_Savings_Interior,IQ$30,FALSE),VLOOKUP($CS137,Control_Savings_Exterior,IQ$30,FALSE))</f>
        <v>#N/A</v>
      </c>
      <c r="IR137" s="1679" t="e">
        <f t="shared" si="102"/>
        <v>#N/A</v>
      </c>
      <c r="IS137" s="1679" t="e">
        <f t="shared" si="102"/>
        <v>#N/A</v>
      </c>
      <c r="IT137" s="1679" t="e">
        <f t="shared" si="102"/>
        <v>#N/A</v>
      </c>
      <c r="IU137" s="1679" t="e">
        <f t="shared" si="102"/>
        <v>#N/A</v>
      </c>
      <c r="IV137" s="1679" t="e">
        <f>IF($CR137="interior",IF(R136&gt;$IP$14,ROUND(($IV$18*($IP$14/R136)),2),$IV$18),VLOOKUP($CS137,Control_Savings_Exterior,IV$30,FALSE))</f>
        <v>#N/A</v>
      </c>
      <c r="IW137" s="1679" t="e">
        <f>IF($CR137="interior",ROUND(((1-IS137)*IV137)+IS137,2),VLOOKUP($CS137,Control_Savings_Exterior,IW$30,FALSE))</f>
        <v>#N/A</v>
      </c>
      <c r="IX137" s="1679" t="e">
        <f>IF($CR137="interior",ROUND(((1-IT137)*IV137)+IT137,2),VLOOKUP($CS137,Control_Savings_Exterior,IX$30,FALSE))</f>
        <v>#N/A</v>
      </c>
      <c r="IY137" s="1679" t="e">
        <f>IF($CR137="interior",IF(R136&gt;$IP$14,ROUND(($IY$18*($IP$14/R136)),2),$IY$18),VLOOKUP($CS137,Control_Savings_Exterior,IY$30,FALSE))</f>
        <v>#N/A</v>
      </c>
      <c r="IZ137" s="1679" t="e">
        <f>IF($CR137="interior",ROUND(((1-IS137)*IY137)+IS137,2),VLOOKUP($CS137,Control_Savings_Exterior,IZ$30,FALSE))</f>
        <v>#N/A</v>
      </c>
      <c r="JA137" s="1679" t="e">
        <f>IF($CR137="interior",ROUND(((1-IT137)*IY137)+IT137,2),VLOOKUP($CS137,Control_Savings_Exterior,JA$30,FALSE))</f>
        <v>#N/A</v>
      </c>
      <c r="JC137" s="1680">
        <f>IFERROR(IF(CR137="Interior",CONCATENATE(G138," ",FQ137),AG137),"")</f>
        <v>0</v>
      </c>
      <c r="JD137" s="1670" t="str">
        <f>IFERROR(VLOOKUP(JC137,_Controls_2023,2,FALSE),"")</f>
        <v/>
      </c>
      <c r="JE137" s="1681">
        <f>IFERROR(CHOOSE(JD137-1,IQ137,IR137,IS137,IT137,IU137,IV137,IW137,IX137,IY137,IZ137,JA137),0)</f>
        <v>0</v>
      </c>
      <c r="JG137" s="1680" t="str">
        <f>FE137</f>
        <v xml:space="preserve"> - </v>
      </c>
      <c r="JH137" s="1670" t="e">
        <f>$FO137</f>
        <v>#N/A</v>
      </c>
      <c r="JI137" s="1060"/>
      <c r="JJ137" s="1670">
        <f>IFERROR(IF($IB135=TRUE,IF(OR(JJ$14="No",JJ135=FALSE,JH137&lt;=JH135,AND(_kWh_Grant=0,GD135=FALSE)),0,IF(JJ$8="Per Line",1,$AF137)),0),0)</f>
        <v>0</v>
      </c>
      <c r="JK137" s="1061"/>
      <c r="JL137" s="1670">
        <f>IFERROR(IF(_kWh_Grant=0,0,IF($IB135=TRUE,IF(OR(JL$14="No",JL135=FALSE,JH137&lt;=JH135),0,IF(JL$8="Per Line",1,$T137)),0)),0)</f>
        <v>0</v>
      </c>
      <c r="JM137" s="1061"/>
      <c r="JN137" s="1670">
        <f>IFERROR(IF(_kWh_Grant=0,0,IF($IB135=TRUE,IF(OR(JN$14="No",JN135=FALSE,JH137&lt;=JH135),0,IF(JN$8="Per Line",1,$AF137)),0)),0)</f>
        <v>0</v>
      </c>
      <c r="JO137" s="1061"/>
      <c r="JP137" s="1670">
        <f>IFERROR(IF(__Retrofit_TI_NC=0,IF(_kWh_Grant=0,0,IF($IB135=TRUE,IF(OR(JP$14="No",JP135=FALSE,$JH137&lt;=$JH135),0,IF(JP$8="Per Line",1,$AF137)),0)),IF($IB135=TRUE,IF(OR(JP$14="No",JP135=FALSE,$JH137&lt;=$JH135),0,IF(JP$8="Per Line",1,$AF137)))),0)</f>
        <v>0</v>
      </c>
      <c r="JQ137" s="1061"/>
      <c r="JR137" s="1670">
        <f>IFERROR(IF(__Retrofit_TI_NC=0,IF(_kWh_Grant=0,0,IF($IB135=TRUE,IF(OR(JR$14="No",JR135=FALSE,$JH137&lt;=$JH135),0,IF(JR$8="Per Line",1,$AF137)),0)),IF($IB135=TRUE,IF(OR(JR$14="No",JR135=FALSE,$JH137&lt;=$JH135),0,IF(JR$8="Per Line",1,$AF137)))),0)</f>
        <v>0</v>
      </c>
      <c r="JS137" s="1061"/>
      <c r="JT137" s="1670">
        <f>IFERROR(IF(__Retrofit_TI_NC=0,IF(_kWh_Grant=0,0,IF($IB135=TRUE,IF(OR(JT$14="No",JT135=FALSE,$JH137&lt;=$JH135),0,IF(JT$8="Per Line",1,$AF137)),0)),IF($IB135=TRUE,IF(OR(JT$14="No",JT135=FALSE,$JH137&lt;=$JH135),0,IF(JT$8="Per Line",1,$AF137)))),0)</f>
        <v>0</v>
      </c>
      <c r="JU137" s="1061"/>
      <c r="JV137" s="1670">
        <f>IFERROR(IF(__Retrofit_TI_NC=0,IF(_kWh_Grant=0,0,IF($IB135=TRUE,IF(OR(JV$14="No",JV135=FALSE,$JH137&lt;=$JH135),0,IF(JV$8="Per Line",1,$AF137)),0)),IF($IB135=TRUE,IF(OR(JV$14="No",JV135=FALSE,$JH137&lt;=$JH135),0,IF(JV$8="Per Line",1,$AF137)))),0)</f>
        <v>0</v>
      </c>
      <c r="JX137" s="1670">
        <f>IFERROR(IF(__Retrofit_TI_NC=0,IF(_kWh_Grant=0,0,IF($IB135=TRUE,IF(OR(JX$14="No",JX135=FALSE,$JH137&lt;=$JH135),0,IF(JX$8="Per Line",1,$AF137)),0)),IF($IB135=TRUE,IF(OR(JX$14="No",JX135=FALSE,$JH137&lt;=$JH135),0,IF(JX$8="Per Line",1,$AF137)))),0)</f>
        <v>0</v>
      </c>
      <c r="JZ137" s="1670">
        <f>IFERROR(IF($IB135=TRUE,IF(OR(JZ$14="No",JZ135=FALSE,$JH137&lt;=$JH135,AND(_kWh_Grant=0,$GD135=FALSE)),0,IF(JZ$8="Per Line",1,$AF137)),0),0)</f>
        <v>0</v>
      </c>
      <c r="KB137" s="1670">
        <f>IFERROR(IF(__Retrofit_TI_NC=0,IF(_kWh_Grant=0,0,IF($IB135=TRUE,IF(OR(KB$14="No",KB135=FALSE,$JH137&lt;=$JH135),0,IF(KB$8="Per Line",1,$AF137)),0)),IF($IB135=TRUE,IF(OR(KB$14="No",KB135=FALSE,$JH137&lt;=$JH135),0,IF(KB$8="Per Line",1,$AF137)))),0)</f>
        <v>0</v>
      </c>
    </row>
    <row r="138" spans="1:288" s="78" customFormat="1" ht="14.95" customHeight="1" thickTop="1" thickBot="1">
      <c r="B138" s="1845"/>
      <c r="C138" s="1846"/>
      <c r="D138" s="1847"/>
      <c r="E138" s="1771" t="s">
        <v>436</v>
      </c>
      <c r="F138" s="1772"/>
      <c r="G138" s="1784" t="s">
        <v>437</v>
      </c>
      <c r="H138" s="1785"/>
      <c r="I138" s="1785"/>
      <c r="J138" s="1785"/>
      <c r="K138" s="1785"/>
      <c r="L138" s="1786"/>
      <c r="M138" s="591">
        <f>IFERROR(VLOOKUP(G138,_Daylight_Table[],2,FALSE),0)</f>
        <v>0</v>
      </c>
      <c r="N138" s="592" t="str">
        <f>IF(AND(__Retrofit_TI_NC&gt;0,CQ135="Interior"),"BAM","")</f>
        <v/>
      </c>
      <c r="O138" s="591" t="e">
        <f>VLOOKUP(G137,'Space Table'!$B$3:$L$163,11,FALSE)</f>
        <v>#N/A</v>
      </c>
      <c r="P138" s="1789"/>
      <c r="Q138" s="1790"/>
      <c r="R138" s="1790"/>
      <c r="S138" s="1788"/>
      <c r="T138" s="593" t="s">
        <v>342</v>
      </c>
      <c r="U138" s="1756" t="str" cm="1">
        <f t="array" aca="1" ref="U138" ca="1">IFERROR(VLOOKUP(INDIRECT("U" &amp; ROW()-1),Fixtures!DM$93:DP$142,4,FALSE),"")</f>
        <v/>
      </c>
      <c r="V138" s="1757"/>
      <c r="W138" s="1757"/>
      <c r="X138" s="1757"/>
      <c r="Y138" s="1757"/>
      <c r="Z138" s="1757"/>
      <c r="AA138" s="1758"/>
      <c r="AB138" s="939" t="str">
        <f>IFERROR(VLOOKUP(U137,Fixtures_Proposed_List,2,FALSE),"")</f>
        <v/>
      </c>
      <c r="AC138" s="933" t="str">
        <f>IFERROR(ROUND(T137*AB138*N136*R136/1000,0),"")</f>
        <v/>
      </c>
      <c r="AD138" s="934" t="str">
        <f>IFERROR(ROUND(T137*AB138/1000,2),"")</f>
        <v/>
      </c>
      <c r="AE138" s="998"/>
      <c r="AF138" s="938" t="s">
        <v>342</v>
      </c>
      <c r="AG138" s="1770"/>
      <c r="AH138" s="1770"/>
      <c r="AI138" s="1770"/>
      <c r="AJ138" s="1770"/>
      <c r="AK138" s="1770"/>
      <c r="AL138" s="1770"/>
      <c r="AM138" s="1727"/>
      <c r="AN138" s="1729"/>
      <c r="AO138" s="1731"/>
      <c r="AP138" s="1782"/>
      <c r="AQ138" s="1783"/>
      <c r="AR138" s="1797"/>
      <c r="AS138" s="1797"/>
      <c r="AT138" s="1798"/>
      <c r="AU138" s="1736"/>
      <c r="AV138" s="1753"/>
      <c r="AW138" s="1706"/>
      <c r="AX138" s="468"/>
      <c r="AY138" s="1750"/>
      <c r="AZ138" s="1750"/>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696"/>
      <c r="CQ138" s="1696"/>
      <c r="CR138" s="1809"/>
      <c r="CS138" s="1811"/>
      <c r="CU138" s="1688"/>
      <c r="CV138" s="1703"/>
      <c r="CW138" s="1703"/>
      <c r="CX138" s="1813"/>
      <c r="CY138" s="1815"/>
      <c r="CZ138" s="1711"/>
      <c r="DA138" s="1815"/>
      <c r="DB138" s="1821"/>
      <c r="DC138" s="1821"/>
      <c r="DD138" s="1821"/>
      <c r="DF138" s="1703"/>
      <c r="DG138" s="1831"/>
      <c r="DH138" s="1813"/>
      <c r="DI138" s="1838"/>
      <c r="DJ138" s="1711"/>
      <c r="DK138" s="1712"/>
      <c r="DN138" s="1718"/>
      <c r="DO138" s="1709"/>
      <c r="DQ138" s="1715"/>
      <c r="DR138" s="1720"/>
      <c r="DS138" s="1703"/>
      <c r="DT138" s="1714"/>
      <c r="DU138" s="1715"/>
      <c r="DV138" s="1716"/>
      <c r="DX138" s="1715"/>
      <c r="DY138" s="1720"/>
      <c r="DZ138" s="1715"/>
      <c r="EA138" s="1715"/>
      <c r="EC138" s="1834"/>
      <c r="ED138" s="1834"/>
      <c r="EF138" s="1707"/>
      <c r="EG138" s="1712"/>
      <c r="EH138" s="1815"/>
      <c r="EI138" s="1712"/>
      <c r="EJ138" s="1712"/>
      <c r="EK138" s="1813"/>
      <c r="EL138" s="1813"/>
      <c r="EM138" s="1807"/>
      <c r="EN138" s="1839"/>
      <c r="EO138" s="1839"/>
      <c r="EP138" s="1817"/>
      <c r="EQ138" s="1817"/>
      <c r="ER138" s="1807"/>
      <c r="ES138" s="1807"/>
      <c r="ET138" s="1807"/>
      <c r="EV138" s="1715"/>
      <c r="EX138" s="1806"/>
      <c r="EY138" s="1806"/>
      <c r="EZ138" s="1806"/>
      <c r="FA138" s="1806"/>
      <c r="FB138" s="1806"/>
      <c r="FC138" s="1828"/>
      <c r="FE138" s="1698"/>
      <c r="FG138" s="1703"/>
      <c r="FH138" s="1703"/>
      <c r="FI138" s="133"/>
      <c r="FL138" s="1823"/>
      <c r="FM138" s="1825"/>
      <c r="FN138" s="1698"/>
      <c r="FO138" s="1698"/>
      <c r="FP138" s="1678"/>
      <c r="FQ138" s="1698"/>
      <c r="FS138" s="1687"/>
      <c r="FT138" s="1687"/>
      <c r="FU138" s="1685"/>
      <c r="FV138" s="1687"/>
      <c r="FW138" s="1687"/>
      <c r="FX138" s="1687"/>
      <c r="FY138" s="1697"/>
      <c r="GA138" s="1696"/>
      <c r="GB138" s="1696"/>
      <c r="GC138" s="1696"/>
      <c r="GD138" s="1696"/>
      <c r="GE138" s="1696"/>
      <c r="GF138" s="1696"/>
      <c r="GG138" s="1696"/>
      <c r="GH138" s="1696"/>
      <c r="GI138" s="673"/>
      <c r="GJ138" s="1135"/>
      <c r="GK138" s="1832"/>
      <c r="GN138" s="674">
        <f>IF(GN136=TRUE,0,GN$16)</f>
        <v>0</v>
      </c>
      <c r="GP138" s="674">
        <f>IF(GP136=TRUE,0,GP$16)</f>
        <v>36</v>
      </c>
      <c r="GQ138" s="674">
        <f ca="1">IF(GQ136=TRUE,0,GQ$16)</f>
        <v>35</v>
      </c>
      <c r="GR138" s="391"/>
      <c r="GS138" s="391"/>
      <c r="GT138" s="391"/>
      <c r="GU138" s="391"/>
      <c r="GV138" s="391"/>
      <c r="HG138" s="674">
        <f>IF(HG136=TRUE,0,HG$16)</f>
        <v>0</v>
      </c>
      <c r="HH138" s="674">
        <f t="shared" ref="HH138:HM138" si="103">IF(HH136=TRUE,0,HH$16)</f>
        <v>19</v>
      </c>
      <c r="HI138" s="674">
        <f t="shared" si="103"/>
        <v>18</v>
      </c>
      <c r="HJ138" s="674">
        <f t="shared" si="103"/>
        <v>17</v>
      </c>
      <c r="HK138" s="674">
        <f t="shared" si="103"/>
        <v>16</v>
      </c>
      <c r="HL138" s="674">
        <f t="shared" si="103"/>
        <v>0</v>
      </c>
      <c r="HM138" s="674">
        <f t="shared" si="103"/>
        <v>0</v>
      </c>
      <c r="HN138" s="674">
        <f>IF(HN136=TRUE,0,HN$16)</f>
        <v>13</v>
      </c>
      <c r="HO138" s="674">
        <f t="shared" ref="HO138:HQ138" si="104">IF(HO136=TRUE,0,HO$16)</f>
        <v>0</v>
      </c>
      <c r="HP138" s="674">
        <f t="shared" si="104"/>
        <v>0</v>
      </c>
      <c r="HQ138" s="674">
        <f t="shared" si="104"/>
        <v>10</v>
      </c>
      <c r="HR138" s="674">
        <f>IF(HR136=TRUE,0,HR$16)</f>
        <v>9</v>
      </c>
      <c r="HS138" s="674">
        <f t="shared" ref="HS138:HW138" si="105">IF(HS136=TRUE,0,HS$16)</f>
        <v>0</v>
      </c>
      <c r="HT138" s="674">
        <f t="shared" si="105"/>
        <v>0</v>
      </c>
      <c r="HU138" s="674">
        <f t="shared" si="105"/>
        <v>0</v>
      </c>
      <c r="HV138" s="674">
        <f t="shared" si="105"/>
        <v>0</v>
      </c>
      <c r="HW138" s="674">
        <f t="shared" si="105"/>
        <v>0</v>
      </c>
      <c r="HX138" s="674">
        <f>IF(HX136=TRUE,0,HX$16)</f>
        <v>0</v>
      </c>
      <c r="HY138" s="674">
        <f>IF(HY136=TRUE,0,HY$16)</f>
        <v>0</v>
      </c>
      <c r="HZ138" s="674">
        <f>IF(HZ136=TRUE,0,HZ$16)</f>
        <v>1</v>
      </c>
      <c r="IB138" s="674">
        <f>IF(GP136=FALSE,GP138,IF(GQ136=FALSE,GQ138,MAX(GN138:HZ138)))</f>
        <v>36</v>
      </c>
      <c r="IC138" s="1692"/>
      <c r="ID138" s="205" t="str">
        <f>VLOOKUP(IB138,_Error_Table,3,FALSE)</f>
        <v xml:space="preserve"> </v>
      </c>
      <c r="IE138" s="205"/>
      <c r="IF138" s="1688"/>
      <c r="IG138" s="1689"/>
      <c r="IH138" s="1684"/>
      <c r="IK138" s="1689"/>
      <c r="IL138" s="1692"/>
      <c r="IM138" s="1692"/>
      <c r="IN138" s="1692"/>
      <c r="IP138" s="1679"/>
      <c r="IQ138" s="1679"/>
      <c r="IR138" s="1679"/>
      <c r="IS138" s="1679"/>
      <c r="IT138" s="1679"/>
      <c r="IU138" s="1679"/>
      <c r="IV138" s="1679"/>
      <c r="IW138" s="1679"/>
      <c r="IX138" s="1679"/>
      <c r="IY138" s="1679"/>
      <c r="IZ138" s="1679"/>
      <c r="JA138" s="1679"/>
      <c r="JC138" s="1680"/>
      <c r="JD138" s="1670"/>
      <c r="JE138" s="1681"/>
      <c r="JG138" s="1680"/>
      <c r="JH138" s="1670"/>
      <c r="JI138" s="1060"/>
      <c r="JJ138" s="1670"/>
      <c r="JK138" s="1061"/>
      <c r="JL138" s="1670"/>
      <c r="JM138" s="1061"/>
      <c r="JN138" s="1670"/>
      <c r="JO138" s="1061"/>
      <c r="JP138" s="1670"/>
      <c r="JQ138" s="1061"/>
      <c r="JR138" s="1670"/>
      <c r="JS138" s="1061"/>
      <c r="JT138" s="1670"/>
      <c r="JU138" s="1061"/>
      <c r="JV138" s="1670"/>
      <c r="JX138" s="1670"/>
      <c r="JZ138" s="1670"/>
      <c r="KB138" s="1670"/>
    </row>
    <row r="139" spans="1:288" s="78" customFormat="1" ht="5.0999999999999996" customHeight="1">
      <c r="B139" s="676"/>
      <c r="C139" s="392"/>
      <c r="D139" s="392"/>
      <c r="E139" s="1733"/>
      <c r="F139" s="1733"/>
      <c r="G139" s="1733"/>
      <c r="H139" s="1733"/>
      <c r="I139" s="1733"/>
      <c r="J139" s="1733"/>
      <c r="K139" s="1733"/>
      <c r="L139" s="1733"/>
      <c r="M139" s="1733"/>
      <c r="N139" s="1733"/>
      <c r="O139" s="1733"/>
      <c r="P139" s="1733"/>
      <c r="Q139" s="1733"/>
      <c r="R139" s="1733"/>
      <c r="S139" s="1733"/>
      <c r="T139" s="1733"/>
      <c r="U139" s="1733"/>
      <c r="V139" s="1733"/>
      <c r="W139" s="1733"/>
      <c r="X139" s="1733"/>
      <c r="Y139" s="1733"/>
      <c r="Z139" s="1733"/>
      <c r="AA139" s="1733"/>
      <c r="AB139" s="1733"/>
      <c r="AC139" s="1733"/>
      <c r="AD139" s="1733"/>
      <c r="AE139" s="1733"/>
      <c r="AF139" s="1733"/>
      <c r="AG139" s="1733"/>
      <c r="AH139" s="1733"/>
      <c r="AI139" s="1733"/>
      <c r="AJ139" s="1733"/>
      <c r="AK139" s="1733"/>
      <c r="AL139" s="1733"/>
      <c r="AM139" s="1733"/>
      <c r="AN139" s="1733"/>
      <c r="AO139" s="1733"/>
      <c r="AP139" s="1733"/>
      <c r="AQ139" s="1733"/>
      <c r="AR139" s="1733"/>
      <c r="AS139" s="1733"/>
      <c r="AT139" s="1733"/>
      <c r="AU139" s="1733"/>
      <c r="AV139" s="1733"/>
      <c r="AW139" s="1733"/>
      <c r="AX139" s="469"/>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663"/>
      <c r="CQ139" s="663"/>
      <c r="CR139" s="438"/>
      <c r="CS139" s="663"/>
      <c r="CV139" s="391"/>
      <c r="CW139" s="391"/>
      <c r="CX139" s="207"/>
      <c r="CY139" s="208"/>
      <c r="CZ139" s="208"/>
      <c r="DA139" s="208"/>
      <c r="DB139" s="209"/>
      <c r="DC139" s="209"/>
      <c r="DD139" s="209"/>
      <c r="DF139" s="664"/>
      <c r="DG139" s="665"/>
      <c r="DH139" s="666"/>
      <c r="DI139" s="667"/>
      <c r="DJ139" s="668"/>
      <c r="DK139" s="668"/>
      <c r="DN139" s="208"/>
      <c r="DO139" s="664"/>
      <c r="DQ139" s="664"/>
      <c r="DR139" s="669"/>
      <c r="DS139" s="391"/>
      <c r="DT139" s="664"/>
      <c r="DU139" s="664"/>
      <c r="DV139" s="664"/>
      <c r="DX139" s="664"/>
      <c r="DY139" s="664"/>
      <c r="DZ139" s="664"/>
      <c r="EA139" s="664"/>
      <c r="EC139" s="670"/>
      <c r="ED139" s="670"/>
      <c r="EF139" s="668"/>
      <c r="EG139" s="668"/>
      <c r="EH139" s="208"/>
      <c r="EI139" s="668"/>
      <c r="EJ139" s="668"/>
      <c r="EK139" s="207"/>
      <c r="EL139" s="207"/>
      <c r="EM139" s="666"/>
      <c r="EN139" s="671"/>
      <c r="EO139" s="671"/>
      <c r="EP139" s="672"/>
      <c r="EQ139" s="672"/>
      <c r="ER139" s="666"/>
      <c r="ES139" s="666"/>
      <c r="ET139" s="666"/>
      <c r="EV139" s="664"/>
      <c r="EX139" s="391"/>
      <c r="EY139" s="391"/>
      <c r="EZ139" s="391"/>
      <c r="FA139" s="391"/>
      <c r="FB139" s="391"/>
      <c r="FC139" s="391"/>
      <c r="FE139" s="569"/>
      <c r="FG139" s="391"/>
      <c r="FH139" s="391"/>
      <c r="FI139" s="391"/>
      <c r="FS139" s="664"/>
      <c r="FT139" s="391"/>
      <c r="FU139" s="391"/>
      <c r="FV139" s="664"/>
      <c r="FW139" s="664"/>
      <c r="GA139" s="663"/>
      <c r="GB139" s="663"/>
      <c r="GC139" s="663"/>
      <c r="GD139" s="663"/>
      <c r="GE139" s="663"/>
      <c r="GF139" s="663"/>
      <c r="GG139" s="663"/>
      <c r="GH139" s="663"/>
      <c r="GI139" s="665"/>
      <c r="GJ139" s="664"/>
      <c r="GK139" s="664"/>
    </row>
    <row r="140" spans="1:288" s="78" customFormat="1" ht="14.95" customHeight="1">
      <c r="B140" s="1845" t="str">
        <f>ID143</f>
        <v xml:space="preserve"> </v>
      </c>
      <c r="C140" s="1846">
        <f>C135+1</f>
        <v>19</v>
      </c>
      <c r="D140" s="1847"/>
      <c r="E140" s="1799" t="s">
        <v>295</v>
      </c>
      <c r="F140" s="1800"/>
      <c r="G140" s="1741"/>
      <c r="H140" s="1742"/>
      <c r="I140" s="1742"/>
      <c r="J140" s="1742"/>
      <c r="K140" s="1742"/>
      <c r="L140" s="1742"/>
      <c r="M140" s="1742"/>
      <c r="N140" s="1742"/>
      <c r="O140" s="1742"/>
      <c r="P140" s="1742"/>
      <c r="Q140" s="1742"/>
      <c r="R140" s="1742"/>
      <c r="S140" s="1791" t="s">
        <v>344</v>
      </c>
      <c r="T140" s="590"/>
      <c r="U140" s="1743"/>
      <c r="V140" s="1744"/>
      <c r="W140" s="1744"/>
      <c r="X140" s="1744"/>
      <c r="Y140" s="1744"/>
      <c r="Z140" s="1744"/>
      <c r="AA140" s="1744"/>
      <c r="AB140" s="961" t="str">
        <f>IFERROR(IF(__Retrofit_TI_NC=0,VLOOKUP(U141,Fixtures_Existing_List,2,FALSE),ROUND(N142*R142/T142,10)),"")</f>
        <v/>
      </c>
      <c r="AC140" s="935" t="str">
        <f>IFERROR(IF(__Retrofit_TI_NC=0,ROUND(T141*AB140*N141*R141/1000,0),IF(CQ140="Interior",N142*R142*R141*N141*_C406_reduction/1000,N142*R142*R141*N141/1000)),"")</f>
        <v/>
      </c>
      <c r="AD140" s="936" t="str">
        <f>IFERROR(IF(C$43=0,ROUND(T141*AB140/1000,2),N142*R142/1000),"")</f>
        <v/>
      </c>
      <c r="AE140" s="997"/>
      <c r="AF140" s="937"/>
      <c r="AG140" s="1745" t="str">
        <f>IF(__Retrofit_TI_NC=0," Control","Select Advanced Control for New System")</f>
        <v xml:space="preserve"> Control</v>
      </c>
      <c r="AH140" s="1745"/>
      <c r="AI140" s="1745"/>
      <c r="AJ140" s="1745"/>
      <c r="AK140" s="1745"/>
      <c r="AL140" s="1745"/>
      <c r="AM140" s="1746">
        <f>IFERROR(DI140,"")</f>
        <v>0</v>
      </c>
      <c r="AN140" s="1774" t="str">
        <f>IFERROR(ROUND(AM140*AC140,0),"")</f>
        <v/>
      </c>
      <c r="AO140" s="1776">
        <f>IFERROR(IF(IB140=FALSE,0,AC140-AN140),0)</f>
        <v>0</v>
      </c>
      <c r="AP140" s="1778">
        <f>AO140-AO142</f>
        <v>0</v>
      </c>
      <c r="AQ140" s="1779"/>
      <c r="AR140" s="1793">
        <f>IFERROR(IF(IB140=FALSE,0,(T142*U143)+(AF142*AG143)),0)</f>
        <v>0</v>
      </c>
      <c r="AS140" s="1793"/>
      <c r="AT140" s="1794"/>
      <c r="AU140" s="1734" t="s">
        <v>237</v>
      </c>
      <c r="AV140" s="1751">
        <f>IF(AU140="Yes",1,0)</f>
        <v>1</v>
      </c>
      <c r="AW140" s="1704" t="str">
        <f>IF(OR(DQ140=4,DQ140=5,DQ140=6,DQ140=12),CONCATENATE("$",IF(GH140=TRUE,Lookup!$K$10,Lookup!$K$2)," /lamp"),CONCATENATE(TEXT(ED140,"$0.00"),"/ kWh"))</f>
        <v>$0.00/ kWh</v>
      </c>
      <c r="AX140" s="467"/>
      <c r="AY140" s="1748">
        <f ca="1">IFERROR(IF(GM141=TRUE,(AB143*T142)/R142,0),"NA")</f>
        <v>0</v>
      </c>
      <c r="AZ140" s="1748"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696" t="str">
        <f>N141</f>
        <v/>
      </c>
      <c r="CQ140" s="1696" t="str">
        <f>IFERROR(VLOOKUP(G141,_Lookup_Heat_Type_Table_New,3,FALSE),"")</f>
        <v/>
      </c>
      <c r="CR140" s="1808" t="str">
        <f>CQ140</f>
        <v/>
      </c>
      <c r="CS140" s="1810" t="str">
        <f>IFERROR(VLOOKUP(G142,'Space Table'!$B$3:$L$163,9,FALSE),"")</f>
        <v/>
      </c>
      <c r="CU140" s="1688" t="s">
        <v>344</v>
      </c>
      <c r="CV140" s="1702">
        <f>IF(IB140=TRUE,T141,0)</f>
        <v>0</v>
      </c>
      <c r="CW140" s="1702" t="str">
        <f>IF(IB140=TRUE,U141,"")</f>
        <v/>
      </c>
      <c r="CX140" s="1702"/>
      <c r="CY140" s="1814">
        <f>IF(IB140=TRUE,AB140,0)</f>
        <v>0</v>
      </c>
      <c r="CZ140" s="1710">
        <f>IF(AND(__Retrofit_TI_NC&gt;0,CR140="interior"),0,IF(IB140=TRUE,AC140,0))</f>
        <v>0</v>
      </c>
      <c r="DA140" s="1814">
        <f>IFERROR(IF(IB140=TRUE,CZ140-CZ142,0),0)</f>
        <v>0</v>
      </c>
      <c r="DB140" s="1819">
        <f>IF(IB140=TRUE,AD140,0)</f>
        <v>0</v>
      </c>
      <c r="DC140" s="1819">
        <f>IF(IB140=TRUE,AD143,0)</f>
        <v>0</v>
      </c>
      <c r="DD140" s="1819">
        <f>IFERROR(DB140-DC140,0)</f>
        <v>0</v>
      </c>
      <c r="DF140" s="1702">
        <f>IF(IB140=TRUE,AF141,0)</f>
        <v>0</v>
      </c>
      <c r="DG140" s="1830">
        <f>IFERROR(IF(__Retrofit_TI_NC=2,IF(CQ140="Exterior",O143,FQ140),FN140),"")</f>
        <v>0</v>
      </c>
      <c r="DH140" s="1702"/>
      <c r="DI140" s="1837">
        <f>JE140</f>
        <v>0</v>
      </c>
      <c r="DJ140" s="1710">
        <f>IF(AND(__Retrofit_TI_NC&gt;0,CR140="interior"),0,IF(IB140=TRUE,AN140,0))</f>
        <v>0</v>
      </c>
      <c r="DK140" s="1712">
        <f>IFERROR(IF(IB140=TRUE,DJ142-DJ140,0),0)</f>
        <v>0</v>
      </c>
      <c r="DM140" s="1717">
        <f>IFERROR(CZ140-DJ140,0)</f>
        <v>0</v>
      </c>
      <c r="DO140" s="1708">
        <f>DM140-DN142</f>
        <v>0</v>
      </c>
      <c r="DQ140" s="1715" t="str">
        <f>IFERROR(IF(AND(OR(GC140=4,GC140=5,GC140=6),OR(GF140=4,GF140=5,GF140=6)),GC140+8,VLOOKUP(CW142,Fixtures!R$31:Y$78,8,FALSE)),"")</f>
        <v/>
      </c>
      <c r="DR140" s="1829" t="str">
        <f>DQ140</f>
        <v/>
      </c>
      <c r="DS140" s="1702" t="str">
        <f>IFERROR(VLOOKUP(DG142,Lookup!BB$3:BC$20,2,FALSE),"")</f>
        <v/>
      </c>
      <c r="DT140" s="1713" t="str">
        <f>IF(OR(DS140=7,DS140=8,DS140=9),"ALC","")</f>
        <v/>
      </c>
      <c r="DU140" s="1715">
        <f>IFERROR(IF(OR(DQ140=4,DQ140=5,DQ140=6,DQ140=12,DQ140=13,DQ140=14),VLOOKUP(CW142,Fixtures!DN$27:EG$77,19,FALSE),1)*CV142,0)</f>
        <v>0</v>
      </c>
      <c r="DV140" s="1716">
        <f>IF(OR(DS140=7,DS140=8,DS140=9),IF(DG140=DG142,0,DF142),0)</f>
        <v>0</v>
      </c>
      <c r="DX140" s="1715" t="str">
        <f>IFERROR(IF(EZ140&lt;EZ142,"Yes","No"),"")</f>
        <v/>
      </c>
      <c r="DY140" s="1829" t="str">
        <f>DX140</f>
        <v/>
      </c>
      <c r="DZ140" s="1715">
        <f>IF(DX140="Yes",DF142,0)</f>
        <v>0</v>
      </c>
      <c r="EA140" s="1715">
        <f>DZ140-DV140</f>
        <v>0</v>
      </c>
      <c r="EC140" s="1834">
        <f>IFERROR(VLOOKUP(DQ140,Lookup!AU$3:AV$16,2,FALSE),0)</f>
        <v>0</v>
      </c>
      <c r="ED140" s="1834">
        <f>IF(IB140=FALSE,0,IF(DX140="Yes",EC140+Lookup!K$6,EC140))</f>
        <v>0</v>
      </c>
      <c r="EF140" s="1707">
        <f>IF(IB140=TRUE,DM140,0)</f>
        <v>0</v>
      </c>
      <c r="EG140" s="1712">
        <f>IF(IB140=TRUE,CZ142,0)</f>
        <v>0</v>
      </c>
      <c r="EH140" s="1814">
        <f>IFERROR(EF140-EG140,0)</f>
        <v>0</v>
      </c>
      <c r="EI140" s="1712">
        <f>IF(IB140=TRUE,DJ142,0)</f>
        <v>0</v>
      </c>
      <c r="EJ140" s="1712">
        <f>IFERROR(EF140-EG140+EI140,0)</f>
        <v>0</v>
      </c>
      <c r="EK140" s="1812">
        <f>IF(IB140=TRUE,CV142*CX142,0)</f>
        <v>0</v>
      </c>
      <c r="EL140" s="1812">
        <f>IF(IB140=TRUE,DF142*DH142,0)</f>
        <v>0</v>
      </c>
      <c r="EM140" s="1807">
        <f>AR140</f>
        <v>0</v>
      </c>
      <c r="EN140" s="1839" t="str">
        <f>IFERROR(IF(IB140=TRUE,VLOOKUP(DQ140,Lookup!AU$3:AW$16,3,FALSE)*DU140,""),0)</f>
        <v/>
      </c>
      <c r="EO140" s="1839">
        <f>IF(IB140=TRUE,DZ140*Lookup!AW$12,0)</f>
        <v>0</v>
      </c>
      <c r="EP140" s="1817">
        <f>IFERROR(IF(IB140=TRUE,EN140/EP$40,0),0)</f>
        <v>0</v>
      </c>
      <c r="EQ140" s="1817">
        <f>IF(IB140=TRUE,EO140/EQ$40,0)</f>
        <v>0</v>
      </c>
      <c r="ER140" s="1807">
        <f>IF(IB140=TRUE,ET$40*EP140,0)</f>
        <v>0</v>
      </c>
      <c r="ES140" s="1807">
        <f>IF(IB140=TRUE,ET$40*EQ140,0)</f>
        <v>0</v>
      </c>
      <c r="ET140" s="1807">
        <f>ER140+ES140</f>
        <v>0</v>
      </c>
      <c r="EV140" s="1715">
        <f>IF(G140="",0,1)</f>
        <v>0</v>
      </c>
      <c r="EX140" s="1804" t="str">
        <f>IFERROR(VLOOKUP(CS142,'Space Table'!$B$3:$L$163,8,FALSE),"")</f>
        <v/>
      </c>
      <c r="EY140" s="1804" t="str">
        <f>IFERROR(IF(FB140="Yes",VLOOKUP(DG140,Lookup_Control_Type_Table2,4,FALSE),VLOOKUP(DG140,Lookup_Control_Type_Table2,3,FALSE)),"")</f>
        <v/>
      </c>
      <c r="EZ140" s="1804" t="e">
        <f>VLOOKUP(DG140,Lookup!BB$3:BC$20,2,FALSE)</f>
        <v>#N/A</v>
      </c>
      <c r="FA140" s="1804" t="e">
        <f>VLOOKUP(EX140,Lookup_Control_Type_Table,2,FALSE)</f>
        <v>#N/A</v>
      </c>
      <c r="FB140" s="1804" t="e">
        <f>VLOOKUP(CS142,'Space Table'!$B$3:$L$163,7,FALSE)</f>
        <v>#N/A</v>
      </c>
      <c r="FC140" s="1826" t="b">
        <f>ISNUMBER(SEARCH("TLED",U142))</f>
        <v>0</v>
      </c>
      <c r="FE140" s="1698" t="str">
        <f>CONCATENATE(CQ140," - ",DG140)</f>
        <v xml:space="preserve"> - 0</v>
      </c>
      <c r="FG140" s="1702" t="str">
        <f>VLOOKUP(CW142,Fixtures!DN$27:EZ$77,38,FALSE)</f>
        <v/>
      </c>
      <c r="FH140" s="1702">
        <f>IFERROR(FG140*EH140,0)</f>
        <v>0</v>
      </c>
      <c r="FI140" s="133"/>
      <c r="FL140" s="1822" t="str">
        <f>IF(CQ140="Exterior","Not Daylighted",G143)</f>
        <v>Not Daylighted</v>
      </c>
      <c r="FM140" s="1824">
        <f>VLOOKUP(FL140,_New_Daylight_Table_Codes,2,FALSE)</f>
        <v>0</v>
      </c>
      <c r="FN140" s="1698">
        <f>IF(__Retrofit_TI_NC&gt;0,VLOOKUP(G142,'Space Table'!$B$3:$L$163,11,FALSE),AG141)</f>
        <v>0</v>
      </c>
      <c r="FO140" s="1698" t="e">
        <f>IF(__Retrofit_TI_NC=2,VLOOKUP(FQ140,_Control_Table,2,FALSE),VLOOKUP(FN140,_Control_Table,2,FALSE))</f>
        <v>#N/A</v>
      </c>
      <c r="FP140" s="1678" t="e">
        <f>VLOOKUP(CONCATENATE(FL140," ",FN140),Lookup!AY$102:AZ150,2,FALSE)</f>
        <v>#N/A</v>
      </c>
      <c r="FQ140" s="1678">
        <f>IF(__Retrofit_TI_NC=0,FN140,IF(AND(FT140&gt;0,FN140="Occupancy Sensor"),"Daylight + Occupancy",IF(AND(FT140&gt;0,VLOOKUP(FN140,_Control_Table,2,FALSE)&lt;4),"Interior Daylight Dimming",FN140)))</f>
        <v>0</v>
      </c>
      <c r="FS140" s="1686">
        <f>IF(CR140="Interior",VLOOKUP(CS140,Control_Savings_Interior,5,FALSE),0)</f>
        <v>0</v>
      </c>
      <c r="FT140" s="1687">
        <f>IF(CQ140="Exterior",0,IF(FM140=2,0.5,IF(OR(FM140=1,FM140=3),1,0)))</f>
        <v>0</v>
      </c>
      <c r="FU140" s="1685">
        <f>IF(R139&gt;FS$44,(FS140*(FS$44/R139)),FS140)*FT140</f>
        <v>0</v>
      </c>
      <c r="FV140" s="1686">
        <f>DI140</f>
        <v>0</v>
      </c>
      <c r="FW140" s="1686">
        <f>ROUND(FV140+((1-FV140)*FU140),2)</f>
        <v>0</v>
      </c>
      <c r="FX140" s="1686">
        <f>IF(__Retrofit_TI_NC=2,FW140,FV140)</f>
        <v>0</v>
      </c>
      <c r="FY140" s="1697"/>
      <c r="GA140" s="1696" t="str">
        <f>IFERROR(VLOOKUP(U141,_Exist_Fixture_Table,3,FALSE),"")</f>
        <v/>
      </c>
      <c r="GB140" s="1696" t="str">
        <f>VLOOKUP(CW140,_Exist_Fixture_Table,4,FALSE)</f>
        <v/>
      </c>
      <c r="GC140" s="1696">
        <f>IFERROR(VLOOKUP(GB140,Lookup!AT$6:AU$8,2,FALSE),0)</f>
        <v>0</v>
      </c>
      <c r="GD140" s="1696" t="b">
        <f>IFERROR(IF(OR(GF140=4,GF140=5,GF140=6),TRUE,FALSE),"")</f>
        <v>0</v>
      </c>
      <c r="GE140" s="1696" t="str">
        <f>IFERROR(VLOOKUP(GF140,GC$6:GD$10,2,FALSE),"")</f>
        <v/>
      </c>
      <c r="GF140" s="1696" t="str">
        <f>VLOOKUP(CW142,Fixtures!R$31:Y$78,8,FALSE)</f>
        <v/>
      </c>
      <c r="GG140" s="1696">
        <f>IF(AND(GA140=TRUE,GD140=TRUE,OR(DQ140=12,DQ140=13,DQ140=14)),GC140+8,0)</f>
        <v>0</v>
      </c>
      <c r="GH140" s="1696" t="b">
        <f>IF(OR(GG140=12,GG140=13,GG140=14),TRUE,FALSE)</f>
        <v>0</v>
      </c>
      <c r="GI140" s="673" t="b">
        <f>IF(ISNUMBER(SEARCH("TLED",U141)),TRUE,FALSE)</f>
        <v>0</v>
      </c>
      <c r="GJ140" s="1135" t="str">
        <f>IFERROR(VLOOKUP(U141,Fixtures!BM$93:BR$142,6,FALSE),"")</f>
        <v/>
      </c>
      <c r="GK140" s="1832" t="b">
        <f>IF(OR(GI140=FALSE,GI142=FALSE),TRUE,IF(GJ140-GJ142&lt;5,FALSE,TRUE))</f>
        <v>1</v>
      </c>
      <c r="GO140" s="674">
        <f>GP140</f>
        <v>0</v>
      </c>
      <c r="GP140" s="674">
        <f>IF(G140="",0,1)</f>
        <v>0</v>
      </c>
      <c r="GQ140" s="674">
        <f ca="1">SUM(GR140:HF140)</f>
        <v>2</v>
      </c>
      <c r="GR140" s="674">
        <f>IF(G141="",0,1)</f>
        <v>0</v>
      </c>
      <c r="GS140" s="674">
        <f>IF(N143="BAM",1,IF(G142="",0,1))</f>
        <v>0</v>
      </c>
      <c r="GT140" s="674">
        <f>IF(N143="BAM",1,IF(R141="",0,1))</f>
        <v>0</v>
      </c>
      <c r="GU140" s="674">
        <f>IF(N143="BAM",1,IF(__Retrofit_TI_NC=0,1,IF(R142="",0,1)))</f>
        <v>1</v>
      </c>
      <c r="GV140" s="674">
        <f>IF(N143="BAM",1,IF(CQ140="Exterior",1,IF(G143="",0,1)))</f>
        <v>1</v>
      </c>
      <c r="GW140" s="674">
        <f>IF(__Retrofit_TI_NC&gt;0,1,IF(T141="",0,1))</f>
        <v>0</v>
      </c>
      <c r="GX140" s="674">
        <f>IF(__Retrofit_TI_NC&gt;0,1,IF(U141="",0,1))</f>
        <v>0</v>
      </c>
      <c r="GY140" s="674">
        <f>IF(N143="BAM",1,IF(T142="",0,1))</f>
        <v>0</v>
      </c>
      <c r="GZ140" s="674">
        <f>IF(N143="BAM",1,IF(U142="",0,1))</f>
        <v>0</v>
      </c>
      <c r="HA140" s="674">
        <f ca="1">IF(N143="BAM",1,IF(__Retrofit_TI_NC&gt;0,1,IF(U143="",0,1)))</f>
        <v>0</v>
      </c>
      <c r="HB140" s="674">
        <f>IF(__Retrofit_TI_NC&lt;&gt;0,1,IF(AF141="",0,1))</f>
        <v>0</v>
      </c>
      <c r="HC140" s="674">
        <f>IF(__Retrofit_TI_NC&lt;&gt;0,1,IF(AG141="",0,1))</f>
        <v>0</v>
      </c>
      <c r="HD140" s="674">
        <f>IF(N143="BAM",1,IF(AF142="",0,1))</f>
        <v>0</v>
      </c>
      <c r="HE140" s="674">
        <f>IF(N143="BAM",1,IF(AG142="",0,1))</f>
        <v>0</v>
      </c>
      <c r="HF140" s="674">
        <f>IF(N143="BAM",1,IF(__Retrofit_TI_NC&gt;0,1,IF(AG143="",0,1)))</f>
        <v>0</v>
      </c>
      <c r="HG140" s="391"/>
      <c r="IA140" s="391"/>
      <c r="IB140" s="1693" t="b">
        <f>IF(OR(IB143=0,IB143=HY$16,IB143=HX$16,IB143=HZ$16),TRUE,FALSE)</f>
        <v>0</v>
      </c>
      <c r="IC140" s="1694" t="b">
        <f>IB140</f>
        <v>0</v>
      </c>
      <c r="ID140" s="391"/>
      <c r="IE140" s="391"/>
      <c r="IF140" s="1688" t="b">
        <f ca="1">IF(MAX(GN143:HU143)&gt;5,FALSE,TRUE)</f>
        <v>0</v>
      </c>
      <c r="IG140" s="1689">
        <f ca="1">IF(IF140=TRUE,AC140,0)</f>
        <v>0</v>
      </c>
      <c r="IH140" s="1689">
        <f ca="1">IG140-IG142</f>
        <v>0</v>
      </c>
      <c r="IK140" s="1689" t="e">
        <f>ROUND(T141*VLOOKUP(U141,Fixtures_Existing_List,2,FALSE)*N141*R141/1000,0)</f>
        <v>#N/A</v>
      </c>
      <c r="IL140" s="1690" t="e">
        <f>IK140-IK142</f>
        <v>#N/A</v>
      </c>
      <c r="IM140" s="1693" t="e">
        <f>ROUND(IF(CQ140="Interior",N142*R142*R141*N141*_C406_reduction/1000,N142*R142*R141*N141/1000),0)</f>
        <v>#N/A</v>
      </c>
      <c r="IN140" s="1693" t="e">
        <f>IM140-IM142</f>
        <v>#N/A</v>
      </c>
      <c r="IP140" s="1679"/>
      <c r="IQ140" s="1679" t="e">
        <f t="shared" ref="IQ140:IU140" si="106">IF($CR140="interior",VLOOKUP($CS140,_New_Control_Savings_Interior,IQ$30,FALSE),VLOOKUP($CS140,Control_Savings_Exterior,IQ$30,FALSE))</f>
        <v>#N/A</v>
      </c>
      <c r="IR140" s="1679" t="e">
        <f t="shared" si="106"/>
        <v>#N/A</v>
      </c>
      <c r="IS140" s="1679" t="e">
        <f t="shared" si="106"/>
        <v>#N/A</v>
      </c>
      <c r="IT140" s="1679" t="e">
        <f t="shared" si="106"/>
        <v>#N/A</v>
      </c>
      <c r="IU140" s="1679" t="e">
        <f t="shared" si="106"/>
        <v>#N/A</v>
      </c>
      <c r="IV140" s="1679" t="e">
        <f>IF($CR140="interior",IF(R141&gt;$IP$14,ROUND(($IV$18*($IP$14/R141)),2),$IV$18),VLOOKUP($CS140,Control_Savings_Exterior,IV$30,FALSE))</f>
        <v>#N/A</v>
      </c>
      <c r="IW140" s="1679" t="e">
        <f>IF($CR140="interior",ROUND(((1-IS140)*IV140)+IS140,2),VLOOKUP($CS140,Control_Savings_Exterior,IW$30,FALSE))</f>
        <v>#N/A</v>
      </c>
      <c r="IX140" s="1679" t="e">
        <f>IF($CR140="interior",ROUND(((1-IT140)*IV140)+IT140,2),VLOOKUP($CS140,Control_Savings_Exterior,IX$30,FALSE))</f>
        <v>#N/A</v>
      </c>
      <c r="IY140" s="1679" t="e">
        <f>IF($CR140="interior",IF(R141&gt;$IP$14,ROUND(($IY$18*($IP$14/R141)),2),$IY$18),VLOOKUP($CS140,Control_Savings_Exterior,IY$30,FALSE))</f>
        <v>#N/A</v>
      </c>
      <c r="IZ140" s="1679" t="e">
        <f>IF($CR140="interior",ROUND(((1-IS140)*IY140)+IS140,2),VLOOKUP($CS140,Control_Savings_Exterior,IZ$30,FALSE))</f>
        <v>#N/A</v>
      </c>
      <c r="JA140" s="1679" t="e">
        <f>IF($CR140="interior",ROUND(((1-IT140)*IY140)+IT140,2),VLOOKUP($CS140,Control_Savings_Exterior,JA$30,FALSE))</f>
        <v>#N/A</v>
      </c>
      <c r="JC140" s="1680">
        <f>IFERROR(IF(CR140="Interior",CONCATENATE(G143," ",FQ140),FQ140),"")</f>
        <v>0</v>
      </c>
      <c r="JD140" s="1670" t="str">
        <f>IFERROR(VLOOKUP(JC140,_Controls_2023,2,FALSE),"")</f>
        <v/>
      </c>
      <c r="JE140" s="1681">
        <f>IFERROR(CHOOSE(JD140-1,IQ140,IR140,IS140,IT140,IU140,IV140,IW140,IX140,IY140,IZ140,JA140),0)</f>
        <v>0</v>
      </c>
      <c r="JG140" s="1680" t="str">
        <f>FE140</f>
        <v xml:space="preserve"> - 0</v>
      </c>
      <c r="JH140" s="1670" t="e">
        <f>$FO140</f>
        <v>#N/A</v>
      </c>
      <c r="JI140" s="1060"/>
      <c r="JJ140" s="1682" t="b">
        <f>IF($JG142=CONCATENATE("Interior - ",JJ$4),TRUE,FALSE)</f>
        <v>0</v>
      </c>
      <c r="JK140" s="1061"/>
      <c r="JL140" s="1682" t="b">
        <f>IF($JG142=CONCATENATE("Interior - ",JL$4),TRUE,FALSE)</f>
        <v>0</v>
      </c>
      <c r="JM140" s="1061"/>
      <c r="JN140" s="1682" t="b">
        <f>IF($JG142=CONCATENATE("Interior - ",JN$4),TRUE,FALSE)</f>
        <v>0</v>
      </c>
      <c r="JO140" s="1061"/>
      <c r="JP140" s="1682" t="b">
        <f>IF(__Retrofit_TI_NC&gt;0,FALSE,IF($JG142=CONCATENATE("Interior - ",JP$4),TRUE,FALSE))</f>
        <v>0</v>
      </c>
      <c r="JQ140" s="1061"/>
      <c r="JR140" s="1682" t="b">
        <f>IF(__Retrofit_TI_NC&gt;0,FALSE,IF($JG142=CONCATENATE("Interior - ",JR$4),TRUE,FALSE))</f>
        <v>0</v>
      </c>
      <c r="JS140" s="1061"/>
      <c r="JT140" s="1670" t="b">
        <f>IF(__Retrofit_TI_NC&gt;0,FALSE,IF($JG142=CONCATENATE("Interior - ",JT$4),TRUE,FALSE))</f>
        <v>0</v>
      </c>
      <c r="JU140" s="1061"/>
      <c r="JV140" s="1670" t="b">
        <f>IF(JC142="AELC on Existing",TRUE,FALSE)</f>
        <v>0</v>
      </c>
      <c r="JX140" s="1670" t="b">
        <f>IF(OR(JG142="Exterior - AELC Occupancy based",JG142="Exterior - AELC Time based"),TRUE,FALSE)</f>
        <v>0</v>
      </c>
      <c r="JZ140" s="1682" t="b">
        <f>IF($JG142=CONCATENATE("Exterior - ",JZ$4),TRUE,FALSE)</f>
        <v>0</v>
      </c>
      <c r="KB140" s="1670" t="b">
        <f>IF(__Retrofit_TI_NC&gt;0,FALSE,IF($JG142=CONCATENATE("Interior - ",KB$4),TRUE,FALSE))</f>
        <v>0</v>
      </c>
    </row>
    <row r="141" spans="1:288" s="78" customFormat="1" ht="14.95" customHeight="1" thickTop="1" thickBot="1">
      <c r="B141" s="1845"/>
      <c r="C141" s="1846"/>
      <c r="D141" s="1847"/>
      <c r="E141" s="1737" t="s">
        <v>297</v>
      </c>
      <c r="F141" s="1738"/>
      <c r="G141" s="1739"/>
      <c r="H141" s="1739"/>
      <c r="I141" s="1739"/>
      <c r="J141" s="1739"/>
      <c r="K141" s="1739"/>
      <c r="L141" s="1739"/>
      <c r="M141" s="461" t="e">
        <f>IF(__Retrofit_TI_NC&lt;&gt;0,IF(VLOOKUP(G142,'Space Table'!$B$3:$L$163,3,FALSE)&gt;0,1,0),IF(__Retrofit_TI_NC=VLOOKUP(G142,'Space Table'!$B$3:$L$163,3,FALSE),1,0))</f>
        <v>#N/A</v>
      </c>
      <c r="N141" s="461" t="str">
        <f>IFERROR(VLOOKUP(G141,_Lookup_Heat_Type_Table_New,2,FALSE),"")</f>
        <v/>
      </c>
      <c r="O141" s="461">
        <f>IF(__Retrofit_TI_NC=1,CONCATENATE("TI ",G141),IF(__Retrofit_TI_NC=2,CONCATENATE("NC ",G141),G141))</f>
        <v>0</v>
      </c>
      <c r="P141" s="1740" t="s">
        <v>435</v>
      </c>
      <c r="Q141" s="1740"/>
      <c r="R141" s="595"/>
      <c r="S141" s="1792"/>
      <c r="T141" s="597"/>
      <c r="U141" s="1765"/>
      <c r="V141" s="1766"/>
      <c r="W141" s="1766"/>
      <c r="X141" s="1766"/>
      <c r="Y141" s="1766"/>
      <c r="Z141" s="1766"/>
      <c r="AA141" s="1766"/>
      <c r="AB141" s="1766"/>
      <c r="AC141" s="1766"/>
      <c r="AD141" s="1767"/>
      <c r="AE141" s="1000"/>
      <c r="AF141" s="597"/>
      <c r="AG141" s="1723"/>
      <c r="AH141" s="1724"/>
      <c r="AI141" s="1724"/>
      <c r="AJ141" s="1724"/>
      <c r="AK141" s="1725"/>
      <c r="AL141" s="996"/>
      <c r="AM141" s="1747"/>
      <c r="AN141" s="1775"/>
      <c r="AO141" s="1777"/>
      <c r="AP141" s="1780"/>
      <c r="AQ141" s="1781"/>
      <c r="AR141" s="1795"/>
      <c r="AS141" s="1795"/>
      <c r="AT141" s="1796"/>
      <c r="AU141" s="1735"/>
      <c r="AV141" s="1752"/>
      <c r="AW141" s="1705"/>
      <c r="AX141" s="467"/>
      <c r="AY141" s="1749"/>
      <c r="AZ141" s="1749"/>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696"/>
      <c r="CQ141" s="1696"/>
      <c r="CR141" s="1809"/>
      <c r="CS141" s="1811"/>
      <c r="CU141" s="1688"/>
      <c r="CV141" s="1703"/>
      <c r="CW141" s="1703"/>
      <c r="CX141" s="1703"/>
      <c r="CY141" s="1815"/>
      <c r="CZ141" s="1711"/>
      <c r="DA141" s="1818"/>
      <c r="DB141" s="1820"/>
      <c r="DC141" s="1820"/>
      <c r="DD141" s="1820"/>
      <c r="DF141" s="1703"/>
      <c r="DG141" s="1831"/>
      <c r="DH141" s="1703"/>
      <c r="DI141" s="1838"/>
      <c r="DJ141" s="1711"/>
      <c r="DK141" s="1712"/>
      <c r="DM141" s="1718"/>
      <c r="DO141" s="1708"/>
      <c r="DQ141" s="1715"/>
      <c r="DR141" s="1720"/>
      <c r="DS141" s="1816"/>
      <c r="DT141" s="1714"/>
      <c r="DU141" s="1715"/>
      <c r="DV141" s="1716"/>
      <c r="DX141" s="1715"/>
      <c r="DY141" s="1720"/>
      <c r="DZ141" s="1715"/>
      <c r="EA141" s="1715"/>
      <c r="EC141" s="1834"/>
      <c r="ED141" s="1834"/>
      <c r="EF141" s="1707"/>
      <c r="EG141" s="1712"/>
      <c r="EH141" s="1818"/>
      <c r="EI141" s="1712"/>
      <c r="EJ141" s="1712"/>
      <c r="EK141" s="1836"/>
      <c r="EL141" s="1836"/>
      <c r="EM141" s="1807"/>
      <c r="EN141" s="1839"/>
      <c r="EO141" s="1839"/>
      <c r="EP141" s="1817"/>
      <c r="EQ141" s="1817"/>
      <c r="ER141" s="1807"/>
      <c r="ES141" s="1807"/>
      <c r="ET141" s="1807"/>
      <c r="EV141" s="1715"/>
      <c r="EX141" s="1805"/>
      <c r="EY141" s="1805"/>
      <c r="EZ141" s="1805"/>
      <c r="FA141" s="1805"/>
      <c r="FB141" s="1805"/>
      <c r="FC141" s="1827"/>
      <c r="FE141" s="1698"/>
      <c r="FG141" s="1816"/>
      <c r="FH141" s="1816"/>
      <c r="FI141" s="133"/>
      <c r="FL141" s="1823"/>
      <c r="FM141" s="1825"/>
      <c r="FN141" s="1698"/>
      <c r="FO141" s="1698"/>
      <c r="FP141" s="1678"/>
      <c r="FQ141" s="1678"/>
      <c r="FS141" s="1687"/>
      <c r="FT141" s="1687"/>
      <c r="FU141" s="1685"/>
      <c r="FV141" s="1687"/>
      <c r="FW141" s="1687"/>
      <c r="FX141" s="1687"/>
      <c r="FY141" s="1697"/>
      <c r="GA141" s="1696"/>
      <c r="GB141" s="1696"/>
      <c r="GC141" s="1696"/>
      <c r="GD141" s="1696"/>
      <c r="GE141" s="1696"/>
      <c r="GF141" s="1696"/>
      <c r="GG141" s="1696"/>
      <c r="GH141" s="1696"/>
      <c r="GI141" s="673"/>
      <c r="GJ141" s="1135"/>
      <c r="GK141" s="1832"/>
      <c r="GM141" s="1693" t="b">
        <f ca="1">IF(AND(GP141=TRUE,GQ141=TRUE),TRUE,FALSE)</f>
        <v>0</v>
      </c>
      <c r="GN141" s="1684" t="b">
        <f>IFERROR(IF(__Retrofit_TI_NC=2,TRUE,IF(AU140="Yes",TRUE,FALSE)),FALSE)</f>
        <v>1</v>
      </c>
      <c r="GP141" s="1684" t="b">
        <f>IFERROR(IF(GP140=1,TRUE,FALSE),FALSE)</f>
        <v>0</v>
      </c>
      <c r="GQ141" s="1684" t="b">
        <f ca="1">IFERROR(IF(GQ140=GQ$14,TRUE,FALSE),FALSE)</f>
        <v>0</v>
      </c>
      <c r="HG141" s="1684" t="b">
        <f>IFERROR(IF(AND(__Retrofit_TI_NC&gt;0,CQ140="Interior"),FALSE,TRUE),FALSE)</f>
        <v>1</v>
      </c>
      <c r="HH141" s="1684" t="b">
        <f>IFERROR(IF(M141=1,TRUE,FALSE),FALSE)</f>
        <v>0</v>
      </c>
      <c r="HI141" s="1684" t="b">
        <f>IFERROR(IF(OR(M142=1,N143="BAM"),TRUE,FALSE),FALSE)</f>
        <v>0</v>
      </c>
      <c r="HJ141" s="1684" t="b">
        <f>IFERROR(IF(__Retrofit_TI_NC&lt;&gt;0,TRUE,IFERROR(IF(VLOOKUP(U141,Fixtures_Existing_List,2,FALSE)&lt;&gt;"",TRUE,FALSE),FALSE)),FALSE)</f>
        <v>0</v>
      </c>
      <c r="HK141" s="1684" t="b">
        <f>IFERROR(IF(VLOOKUP(U142,Fixtures_Proposed_List,2,FALSE)&lt;&gt;"",TRUE,FALSE),FALSE)</f>
        <v>0</v>
      </c>
      <c r="HL141" s="1684" t="b">
        <f>IF(AND(__Retrofit_TI_NC=2,FC140=TRUE),FALSE,TRUE)</f>
        <v>1</v>
      </c>
      <c r="HM141" s="1684" t="b">
        <f>GK140</f>
        <v>1</v>
      </c>
      <c r="HN141" s="1682" t="b">
        <f>IF(ISERROR(MATCH(FE140,_Control_Match[],0))=TRUE,FALSE,TRUE)</f>
        <v>0</v>
      </c>
      <c r="HO141" s="1693" t="b">
        <f>IFERROR(IF(EX140&lt;&gt;EY140,FALSE,TRUE),FALSE)</f>
        <v>1</v>
      </c>
      <c r="HP141" s="1693" t="b">
        <f>IFERROR(IF(EX142&lt;&gt;EY142,FALSE,TRUE),FALSE)</f>
        <v>1</v>
      </c>
      <c r="HQ141" s="1670" t="b">
        <f>IFERROR(IF(CQ140="Exterior",TRUE,IF(AND(OR(FM142=0,FM142=3),JD142&gt;6),FALSE,TRUE)),FALSE)</f>
        <v>0</v>
      </c>
      <c r="HR141" s="1684" t="b">
        <f>IFERROR(IF(AND(FO142=7,FC140=TRUE),FALSE,TRUE),FALSE)</f>
        <v>0</v>
      </c>
      <c r="HS141" s="1684" t="b">
        <f>IFERROR(IF(AND(T142&lt;&gt;AF142,OR(AG142="Interior LLLC", AG142="Interior NLC", AG142="LLLC (outside Daylight)",AG142="LLLC Controls Only"))=TRUE,FALSE,TRUE),FALSE)</f>
        <v>1</v>
      </c>
      <c r="HT141" s="1670" t="b">
        <f>IFERROR(IF(OR(AG142=Lookup!BB$17,AG142=Lookup!BB$18,AG142=Lookup!BB$19)=TRUE,IF(AF142&gt;T142,FALSE,TRUE),TRUE),FALSE)</f>
        <v>1</v>
      </c>
      <c r="HU141" s="1684" t="b">
        <f>IFERROR(IF(__Retrofit_TI_NC=2,IF(EZ142&lt;EZ140,FALSE,TRUE),TRUE),FALSE)</f>
        <v>1</v>
      </c>
      <c r="HV141" s="1684" t="b">
        <f>IF(CQ140="Interior",IL$6,TRUE)</f>
        <v>1</v>
      </c>
      <c r="HW141" s="1684" t="b">
        <f>IF(CQ140="Exterior",IL$8,TRUE)</f>
        <v>1</v>
      </c>
      <c r="HX141" s="1684" t="b">
        <f>IFERROR(IF(__Retrofit_TI_NC&lt;&gt;0,IF(AZ140&lt;AY140,FALSE,TRUE),TRUE),FALSE)</f>
        <v>1</v>
      </c>
      <c r="HY141" s="1684" t="b">
        <f>IFERROR(IF(AND(G141="Exterior",R141&gt;4200),FALSE,TRUE),FALSE)</f>
        <v>1</v>
      </c>
      <c r="HZ141" s="1684" t="b">
        <f>IFERROR(IF(AB143/AB140&lt;HZ$18,FALSE,TRUE),FALSE)</f>
        <v>0</v>
      </c>
      <c r="IB141" s="1691"/>
      <c r="IC141" s="1695"/>
      <c r="ID141" s="1694" t="str">
        <f>VLOOKUP(IB143,_Error_Table,4,FALSE)</f>
        <v>White</v>
      </c>
      <c r="IE141" s="391"/>
      <c r="IF141" s="1688"/>
      <c r="IG141" s="1689"/>
      <c r="IH141" s="1684"/>
      <c r="IK141" s="1689"/>
      <c r="IL141" s="1691"/>
      <c r="IM141" s="1691"/>
      <c r="IN141" s="1691"/>
      <c r="IP141" s="1679"/>
      <c r="IQ141" s="1679"/>
      <c r="IR141" s="1679"/>
      <c r="IS141" s="1679"/>
      <c r="IT141" s="1679"/>
      <c r="IU141" s="1679"/>
      <c r="IV141" s="1679"/>
      <c r="IW141" s="1679"/>
      <c r="IX141" s="1679"/>
      <c r="IY141" s="1679"/>
      <c r="IZ141" s="1679"/>
      <c r="JA141" s="1679"/>
      <c r="JC141" s="1680"/>
      <c r="JD141" s="1670"/>
      <c r="JE141" s="1681"/>
      <c r="JG141" s="1680"/>
      <c r="JH141" s="1670"/>
      <c r="JI141" s="1060"/>
      <c r="JJ141" s="1683"/>
      <c r="JK141" s="1061"/>
      <c r="JL141" s="1683"/>
      <c r="JM141" s="1061"/>
      <c r="JN141" s="1683"/>
      <c r="JO141" s="1061"/>
      <c r="JP141" s="1683"/>
      <c r="JQ141" s="1061"/>
      <c r="JR141" s="1683"/>
      <c r="JS141" s="1061"/>
      <c r="JT141" s="1670"/>
      <c r="JU141" s="1061"/>
      <c r="JV141" s="1670"/>
      <c r="JX141" s="1670"/>
      <c r="JZ141" s="1683"/>
      <c r="KB141" s="1670"/>
    </row>
    <row r="142" spans="1:288" s="78" customFormat="1" ht="14.95" customHeight="1" thickTop="1" thickBot="1">
      <c r="A142" s="78">
        <f>ROW()</f>
        <v>142</v>
      </c>
      <c r="B142" s="1845"/>
      <c r="C142" s="1846"/>
      <c r="D142" s="1847"/>
      <c r="E142" s="1737" t="s">
        <v>298</v>
      </c>
      <c r="F142" s="1738"/>
      <c r="G142" s="1760"/>
      <c r="H142" s="1761"/>
      <c r="I142" s="1761"/>
      <c r="J142" s="1761"/>
      <c r="K142" s="1761"/>
      <c r="L142" s="1762"/>
      <c r="M142" s="461">
        <f>IFERROR(IF(IF(__Retrofit_TI_NC&lt;&gt;0,IF(CQ140="Interior",MATCH(G142,Lookup_Interior_New,0),MATCH(G142,Lookup_Exterior_New,0)),IF(CQ140="Interior",MATCH(G142,Lookup_Interior,0),MATCH(G142,Lookup_Exterior_Areas,0)))&gt;0,1,0),0)</f>
        <v>0</v>
      </c>
      <c r="N142" s="461" t="e">
        <f>IF(__Retrofit_TI_NC=1,
VLOOKUP(G142,'Space Table'!$B$3:$L$163,4,FALSE),
IF(__Retrofit_TI_NC=2,VLOOKUP(G142,'Space Table'!$B$3:$L$163,5,FALSE),VLOOKUP(G142,'Space Table'!$B$3:$L$163,5,FALSE)))</f>
        <v>#N/A</v>
      </c>
      <c r="O142" s="461">
        <f>G142</f>
        <v>0</v>
      </c>
      <c r="P142" s="1738" t="str">
        <f>IFERROR(IF(__Retrofit_TI_NC=1,VLOOKUP(G142,'Space Table'!$B$3:$O$163,13,FALSE),IF(__Retrofit_TI_NC=2,VLOOKUP(G142,'Space Table'!$B$3:$O$163,14,FALSE),"Area (sf):")),"Area (sf):")</f>
        <v>Area (sf):</v>
      </c>
      <c r="Q142" s="1738"/>
      <c r="R142" s="596"/>
      <c r="S142" s="1763" t="s">
        <v>345</v>
      </c>
      <c r="T142" s="594"/>
      <c r="U142" s="1801"/>
      <c r="V142" s="1802"/>
      <c r="W142" s="1802"/>
      <c r="X142" s="1802"/>
      <c r="Y142" s="1802"/>
      <c r="Z142" s="1802"/>
      <c r="AA142" s="1802"/>
      <c r="AB142" s="1802"/>
      <c r="AC142" s="1802"/>
      <c r="AD142" s="1802"/>
      <c r="AE142" s="1803"/>
      <c r="AF142" s="594"/>
      <c r="AG142" s="1787"/>
      <c r="AH142" s="1787"/>
      <c r="AI142" s="1787"/>
      <c r="AJ142" s="1787"/>
      <c r="AK142" s="1787"/>
      <c r="AL142" s="1787"/>
      <c r="AM142" s="1726">
        <f>IFERROR(DI142,"")</f>
        <v>0</v>
      </c>
      <c r="AN142" s="1728" t="str">
        <f>IFERROR(ROUND(AM142*AC143,0),"")</f>
        <v/>
      </c>
      <c r="AO142" s="1730">
        <f>IFERROR(IF(IB140=FALSE,0,AC143-AN142),0)</f>
        <v>0</v>
      </c>
      <c r="AP142" s="1780"/>
      <c r="AQ142" s="1781"/>
      <c r="AR142" s="1795"/>
      <c r="AS142" s="1795"/>
      <c r="AT142" s="1796"/>
      <c r="AU142" s="1735"/>
      <c r="AV142" s="1752"/>
      <c r="AW142" s="1705"/>
      <c r="AX142" s="467"/>
      <c r="AY142" s="1749"/>
      <c r="AZ142" s="1749"/>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696"/>
      <c r="CQ142" s="1696"/>
      <c r="CR142" s="1808" t="str">
        <f>CQ140</f>
        <v/>
      </c>
      <c r="CS142" s="1810" t="str">
        <f>CS140</f>
        <v/>
      </c>
      <c r="CU142" s="1688" t="s">
        <v>345</v>
      </c>
      <c r="CV142" s="1702">
        <f>IF(IB140=TRUE,T142,0)</f>
        <v>0</v>
      </c>
      <c r="CW142" s="1702" t="str">
        <f>IF(IB140=TRUE,U142,"")</f>
        <v/>
      </c>
      <c r="CX142" s="1812">
        <f>IF(IB140=TRUE,U143,0)</f>
        <v>0</v>
      </c>
      <c r="CY142" s="1814">
        <f>IF(IB140=TRUE,AB143,0)</f>
        <v>0</v>
      </c>
      <c r="CZ142" s="1710">
        <f>IF(AND(__Retrofit_TI_NC&gt;0,CR140="interior"),0,IF(IB140=TRUE,AC143,0))</f>
        <v>0</v>
      </c>
      <c r="DA142" s="1818"/>
      <c r="DB142" s="1820"/>
      <c r="DC142" s="1820"/>
      <c r="DD142" s="1820"/>
      <c r="DF142" s="1702">
        <f>IF(IB140=TRUE,AF142,0)</f>
        <v>0</v>
      </c>
      <c r="DG142" s="1830" t="str">
        <f>IF(IB140=TRUE,AG142,"")</f>
        <v/>
      </c>
      <c r="DH142" s="1812">
        <f>AG143</f>
        <v>0</v>
      </c>
      <c r="DI142" s="1837">
        <f>JE142</f>
        <v>0</v>
      </c>
      <c r="DJ142" s="1710">
        <f>IF(AND(__Retrofit_TI_NC&gt;0,CR140="interior"),0,IF(IB140=TRUE,AN142,0))</f>
        <v>0</v>
      </c>
      <c r="DK142" s="1712"/>
      <c r="DN142" s="1717">
        <f>IFERROR(CZ142-DJ142,0)</f>
        <v>0</v>
      </c>
      <c r="DO142" s="1709"/>
      <c r="DQ142" s="1715"/>
      <c r="DR142" s="1719" t="str">
        <f>DQ140</f>
        <v/>
      </c>
      <c r="DS142" s="1816"/>
      <c r="DT142" s="1835" t="str">
        <f>IF(OR(DS140=7,DS140=8,DS140=9),"ALC","")</f>
        <v/>
      </c>
      <c r="DU142" s="1715"/>
      <c r="DV142" s="1716"/>
      <c r="DX142" s="1715"/>
      <c r="DY142" s="1829" t="str">
        <f>DX140</f>
        <v/>
      </c>
      <c r="DZ142" s="1715"/>
      <c r="EA142" s="1715"/>
      <c r="EC142" s="1834"/>
      <c r="ED142" s="1834"/>
      <c r="EF142" s="1707"/>
      <c r="EG142" s="1712"/>
      <c r="EH142" s="1818"/>
      <c r="EI142" s="1712"/>
      <c r="EJ142" s="1712"/>
      <c r="EK142" s="1836"/>
      <c r="EL142" s="1836"/>
      <c r="EM142" s="1807"/>
      <c r="EN142" s="1839"/>
      <c r="EO142" s="1839"/>
      <c r="EP142" s="1817"/>
      <c r="EQ142" s="1817"/>
      <c r="ER142" s="1807"/>
      <c r="ES142" s="1807"/>
      <c r="ET142" s="1807"/>
      <c r="EV142" s="1715"/>
      <c r="EX142" s="1805" t="str">
        <f>IFERROR(VLOOKUP(CS142,'Space Table'!$B$3:$L$163,8,FALSE),"")</f>
        <v/>
      </c>
      <c r="EY142" s="1805" t="str">
        <f>IFERROR(IF(FB142="Yes",VLOOKUP(AG142,Lookup_Control_Type_Table2,4,FALSE),VLOOKUP(AG142,Lookup_Control_Type_Table2,3,FALSE)),"")</f>
        <v/>
      </c>
      <c r="EZ142" s="1805" t="e">
        <f>VLOOKUP(AG142,Lookup!BB$3:BC$20,2,FALSE)</f>
        <v>#N/A</v>
      </c>
      <c r="FA142" s="1805" t="e">
        <f>VLOOKUP(EX140,Lookup_Control_Type_Table,2,FALSE)</f>
        <v>#N/A</v>
      </c>
      <c r="FB142" s="1805" t="e">
        <f>VLOOKUP(CS142,'Space Table'!$B$3:$L$163,7,FALSE)</f>
        <v>#N/A</v>
      </c>
      <c r="FC142" s="1827"/>
      <c r="FE142" s="1698" t="str">
        <f>CONCATENATE(CQ140," - ",AG142)</f>
        <v xml:space="preserve"> - </v>
      </c>
      <c r="FG142" s="1816"/>
      <c r="FH142" s="1816"/>
      <c r="FI142" s="133"/>
      <c r="FL142" s="1822" t="str">
        <f>IF(CQ140="Exterior","Not Daylighted",G143)</f>
        <v>Not Daylighted</v>
      </c>
      <c r="FM142" s="1824">
        <f>VLOOKUP(FL142,_New_Daylight_Table_Codes,2,FALSE)</f>
        <v>0</v>
      </c>
      <c r="FN142" s="1698">
        <f>AG142</f>
        <v>0</v>
      </c>
      <c r="FO142" s="1698" t="e">
        <f>VLOOKUP(FN142,_Control_Table,2,FALSE)</f>
        <v>#N/A</v>
      </c>
      <c r="FP142" s="1678" t="e">
        <f>VLOOKUP(CONCATENATE(FL142," ",FN142),Lookup!AY$102:AZ153,2,FALSE)</f>
        <v>#N/A</v>
      </c>
      <c r="FQ142" s="1698">
        <f>IF(__Retrofit_TI_NC=0,FN142,IF(AND(FT142&gt;0,FN142="Occupancy Sensor"),"Daylight + Occupancy",IF(AND(FT142&gt;0,FO142&lt;4),"Interior Daylight Dimming",FN142)))</f>
        <v>0</v>
      </c>
      <c r="FS142" s="1686">
        <f>IF(CQ140="Interior",VLOOKUP(CS140,Control_Savings_Interior,5,FALSE),0)</f>
        <v>0</v>
      </c>
      <c r="FT142" s="1687">
        <f>IF(CQ142="Exterior",0,IF(FM142=2,0.5,IF(OR(FM142=1,FM142=3),1,0)))</f>
        <v>0</v>
      </c>
      <c r="FU142" s="1685">
        <f>IF(R141&gt;FS$44,(FS142*(FS$44/R141)),FS142)*FT142</f>
        <v>0</v>
      </c>
      <c r="FV142" s="1686">
        <f>DI142</f>
        <v>0</v>
      </c>
      <c r="FW142" s="1686">
        <f>ROUND(FV142+((1-FV142)*FU142),2)</f>
        <v>0</v>
      </c>
      <c r="FX142" s="1686">
        <f>IF(__Retrofit_TI_NC=2,FW142,FV142)</f>
        <v>0</v>
      </c>
      <c r="FY142" s="1697">
        <f>IF(CR142="Interior",VLOOKUP(CS142,Control_Savings_Interior,4,FALSE),0)</f>
        <v>0</v>
      </c>
      <c r="GA142" s="1696"/>
      <c r="GB142" s="1696"/>
      <c r="GC142" s="1696"/>
      <c r="GD142" s="1696"/>
      <c r="GE142" s="1696"/>
      <c r="GF142" s="1696"/>
      <c r="GG142" s="1696"/>
      <c r="GH142" s="1696"/>
      <c r="GI142" s="673" t="b">
        <f>IF(ISNUMBER(SEARCH("TLED",U142)),TRUE,FALSE)</f>
        <v>0</v>
      </c>
      <c r="GJ142" s="1135" t="str">
        <f>IFERROR(VLOOKUP(U142,Fixtures!DM$93:DR$142,6,FALSE),"")</f>
        <v/>
      </c>
      <c r="GK142" s="1832"/>
      <c r="GM142" s="1692"/>
      <c r="GN142" s="1684"/>
      <c r="GP142" s="1684"/>
      <c r="GQ142" s="1684"/>
      <c r="HG142" s="1684"/>
      <c r="HH142" s="1684"/>
      <c r="HI142" s="1684"/>
      <c r="HJ142" s="1684"/>
      <c r="HK142" s="1684"/>
      <c r="HL142" s="1684"/>
      <c r="HM142" s="1684"/>
      <c r="HN142" s="1683"/>
      <c r="HO142" s="1692"/>
      <c r="HP142" s="1692"/>
      <c r="HQ142" s="1670"/>
      <c r="HR142" s="1684"/>
      <c r="HS142" s="1684"/>
      <c r="HT142" s="1670"/>
      <c r="HU142" s="1684"/>
      <c r="HV142" s="1684"/>
      <c r="HW142" s="1684"/>
      <c r="HX142" s="1684"/>
      <c r="HY142" s="1684"/>
      <c r="HZ142" s="1684"/>
      <c r="IB142" s="1692"/>
      <c r="IC142" s="1693" t="b">
        <f>IB140</f>
        <v>0</v>
      </c>
      <c r="ID142" s="1695"/>
      <c r="IE142" s="391"/>
      <c r="IF142" s="1688"/>
      <c r="IG142" s="1689">
        <f ca="1">IF(IF140=TRUE,AC143,0)</f>
        <v>0</v>
      </c>
      <c r="IH142" s="1684"/>
      <c r="IK142" s="1689" t="e">
        <f>ROUND(T142*AB143*N141*R141/1000,0)</f>
        <v>#VALUE!</v>
      </c>
      <c r="IL142" s="1691"/>
      <c r="IM142" s="1693" t="e">
        <f>ROUND(T142*AB143*N141*R141/1000,0)</f>
        <v>#VALUE!</v>
      </c>
      <c r="IN142" s="1691"/>
      <c r="IP142" s="1679"/>
      <c r="IQ142" s="1679" t="e">
        <f t="shared" ref="IQ142:IU142" si="107">IF($CR142="interior",VLOOKUP($CS142,_New_Control_Savings_Interior,IQ$30,FALSE),VLOOKUP($CS142,Control_Savings_Exterior,IQ$30,FALSE))</f>
        <v>#N/A</v>
      </c>
      <c r="IR142" s="1679" t="e">
        <f t="shared" si="107"/>
        <v>#N/A</v>
      </c>
      <c r="IS142" s="1679" t="e">
        <f t="shared" si="107"/>
        <v>#N/A</v>
      </c>
      <c r="IT142" s="1679" t="e">
        <f t="shared" si="107"/>
        <v>#N/A</v>
      </c>
      <c r="IU142" s="1679" t="e">
        <f t="shared" si="107"/>
        <v>#N/A</v>
      </c>
      <c r="IV142" s="1679" t="e">
        <f>IF($CR142="interior",IF(R141&gt;$IP$14,ROUND(($IV$18*($IP$14/R141)),2),$IV$18),VLOOKUP($CS142,Control_Savings_Exterior,IV$30,FALSE))</f>
        <v>#N/A</v>
      </c>
      <c r="IW142" s="1679" t="e">
        <f>IF($CR142="interior",ROUND(((1-IS142)*IV142)+IS142,2),VLOOKUP($CS142,Control_Savings_Exterior,IW$30,FALSE))</f>
        <v>#N/A</v>
      </c>
      <c r="IX142" s="1679" t="e">
        <f>IF($CR142="interior",ROUND(((1-IT142)*IV142)+IT142,2),VLOOKUP($CS142,Control_Savings_Exterior,IX$30,FALSE))</f>
        <v>#N/A</v>
      </c>
      <c r="IY142" s="1679" t="e">
        <f>IF($CR142="interior",IF(R141&gt;$IP$14,ROUND(($IY$18*($IP$14/R141)),2),$IY$18),VLOOKUP($CS142,Control_Savings_Exterior,IY$30,FALSE))</f>
        <v>#N/A</v>
      </c>
      <c r="IZ142" s="1679" t="e">
        <f>IF($CR142="interior",ROUND(((1-IS142)*IY142)+IS142,2),VLOOKUP($CS142,Control_Savings_Exterior,IZ$30,FALSE))</f>
        <v>#N/A</v>
      </c>
      <c r="JA142" s="1679" t="e">
        <f>IF($CR142="interior",ROUND(((1-IT142)*IY142)+IT142,2),VLOOKUP($CS142,Control_Savings_Exterior,JA$30,FALSE))</f>
        <v>#N/A</v>
      </c>
      <c r="JC142" s="1680">
        <f>IFERROR(IF(CR142="Interior",CONCATENATE(G143," ",FQ142),AG142),"")</f>
        <v>0</v>
      </c>
      <c r="JD142" s="1670" t="str">
        <f>IFERROR(VLOOKUP(JC142,_Controls_2023,2,FALSE),"")</f>
        <v/>
      </c>
      <c r="JE142" s="1681">
        <f>IFERROR(CHOOSE(JD142-1,IQ142,IR142,IS142,IT142,IU142,IV142,IW142,IX142,IY142,IZ142,JA142),0)</f>
        <v>0</v>
      </c>
      <c r="JG142" s="1680" t="str">
        <f>FE142</f>
        <v xml:space="preserve"> - </v>
      </c>
      <c r="JH142" s="1670" t="e">
        <f>$FO142</f>
        <v>#N/A</v>
      </c>
      <c r="JI142" s="1060"/>
      <c r="JJ142" s="1670">
        <f>IFERROR(IF($IB140=TRUE,IF(OR(JJ$14="No",JJ140=FALSE,JH142&lt;=JH140,AND(_kWh_Grant=0,GD140=FALSE)),0,IF(JJ$8="Per Line",1,$AF142)),0),0)</f>
        <v>0</v>
      </c>
      <c r="JK142" s="1061"/>
      <c r="JL142" s="1670">
        <f>IFERROR(IF(_kWh_Grant=0,0,IF($IB140=TRUE,IF(OR(JL$14="No",JL140=FALSE,JH142&lt;=JH140),0,IF(JL$8="Per Line",1,$T142)),0)),0)</f>
        <v>0</v>
      </c>
      <c r="JM142" s="1061"/>
      <c r="JN142" s="1670">
        <f>IFERROR(IF(_kWh_Grant=0,0,IF($IB140=TRUE,IF(OR(JN$14="No",JN140=FALSE,JH142&lt;=JH140),0,IF(JN$8="Per Line",1,$AF142)),0)),0)</f>
        <v>0</v>
      </c>
      <c r="JO142" s="1061"/>
      <c r="JP142" s="1670">
        <f>IFERROR(IF(__Retrofit_TI_NC=0,IF(_kWh_Grant=0,0,IF($IB140=TRUE,IF(OR(JP$14="No",JP140=FALSE,$JH142&lt;=$JH140),0,IF(JP$8="Per Line",1,$AF142)),0)),IF($IB140=TRUE,IF(OR(JP$14="No",JP140=FALSE,$JH142&lt;=$JH140),0,IF(JP$8="Per Line",1,$AF142)))),0)</f>
        <v>0</v>
      </c>
      <c r="JQ142" s="1061"/>
      <c r="JR142" s="1670">
        <f>IFERROR(IF(__Retrofit_TI_NC=0,IF(_kWh_Grant=0,0,IF($IB140=TRUE,IF(OR(JR$14="No",JR140=FALSE,$JH142&lt;=$JH140),0,IF(JR$8="Per Line",1,$AF142)),0)),IF($IB140=TRUE,IF(OR(JR$14="No",JR140=FALSE,$JH142&lt;=$JH140),0,IF(JR$8="Per Line",1,$AF142)))),0)</f>
        <v>0</v>
      </c>
      <c r="JS142" s="1061"/>
      <c r="JT142" s="1670">
        <f>IFERROR(IF(__Retrofit_TI_NC=0,IF(_kWh_Grant=0,0,IF($IB140=TRUE,IF(OR(JT$14="No",JT140=FALSE,$JH142&lt;=$JH140),0,IF(JT$8="Per Line",1,$AF142)),0)),IF($IB140=TRUE,IF(OR(JT$14="No",JT140=FALSE,$JH142&lt;=$JH140),0,IF(JT$8="Per Line",1,$AF142)))),0)</f>
        <v>0</v>
      </c>
      <c r="JU142" s="1061"/>
      <c r="JV142" s="1670">
        <f>IFERROR(IF(__Retrofit_TI_NC=0,IF(_kWh_Grant=0,0,IF($IB140=TRUE,IF(OR(JV$14="No",JV140=FALSE,$JH142&lt;=$JH140),0,IF(JV$8="Per Line",1,$AF142)),0)),IF($IB140=TRUE,IF(OR(JV$14="No",JV140=FALSE,$JH142&lt;=$JH140),0,IF(JV$8="Per Line",1,$AF142)))),0)</f>
        <v>0</v>
      </c>
      <c r="JX142" s="1670">
        <f>IFERROR(IF(__Retrofit_TI_NC=0,IF(_kWh_Grant=0,0,IF($IB140=TRUE,IF(OR(JX$14="No",JX140=FALSE,$JH142&lt;=$JH140),0,IF(JX$8="Per Line",1,$AF142)),0)),IF($IB140=TRUE,IF(OR(JX$14="No",JX140=FALSE,$JH142&lt;=$JH140),0,IF(JX$8="Per Line",1,$AF142)))),0)</f>
        <v>0</v>
      </c>
      <c r="JZ142" s="1670">
        <f>IFERROR(IF($IB140=TRUE,IF(OR(JZ$14="No",JZ140=FALSE,$JH142&lt;=$JH140,AND(_kWh_Grant=0,$GD140=FALSE)),0,IF(JZ$8="Per Line",1,$AF142)),0),0)</f>
        <v>0</v>
      </c>
      <c r="KB142" s="1670">
        <f>IFERROR(IF(__Retrofit_TI_NC=0,IF(_kWh_Grant=0,0,IF($IB140=TRUE,IF(OR(KB$14="No",KB140=FALSE,$JH142&lt;=$JH140),0,IF(KB$8="Per Line",1,$AF142)),0)),IF($IB140=TRUE,IF(OR(KB$14="No",KB140=FALSE,$JH142&lt;=$JH140),0,IF(KB$8="Per Line",1,$AF142)))),0)</f>
        <v>0</v>
      </c>
    </row>
    <row r="143" spans="1:288" s="78" customFormat="1" ht="14.95" customHeight="1" thickTop="1" thickBot="1">
      <c r="B143" s="1845"/>
      <c r="C143" s="1846"/>
      <c r="D143" s="1847"/>
      <c r="E143" s="1771" t="s">
        <v>436</v>
      </c>
      <c r="F143" s="1772"/>
      <c r="G143" s="1784" t="s">
        <v>437</v>
      </c>
      <c r="H143" s="1785"/>
      <c r="I143" s="1785"/>
      <c r="J143" s="1785"/>
      <c r="K143" s="1785"/>
      <c r="L143" s="1786"/>
      <c r="M143" s="591">
        <f>IFERROR(VLOOKUP(G143,_Daylight_Table[],2,FALSE),0)</f>
        <v>0</v>
      </c>
      <c r="N143" s="592" t="str">
        <f>IF(AND(__Retrofit_TI_NC&gt;0,CQ140="Interior"),"BAM","")</f>
        <v/>
      </c>
      <c r="O143" s="591" t="e">
        <f>VLOOKUP(G142,'Space Table'!$B$3:$L$163,11,FALSE)</f>
        <v>#N/A</v>
      </c>
      <c r="P143" s="1789"/>
      <c r="Q143" s="1790"/>
      <c r="R143" s="1790"/>
      <c r="S143" s="1788"/>
      <c r="T143" s="593" t="s">
        <v>342</v>
      </c>
      <c r="U143" s="1756" t="str" cm="1">
        <f t="array" aca="1" ref="U143" ca="1">IFERROR(VLOOKUP(INDIRECT("U" &amp; ROW()-1),Fixtures!DM$93:DP$142,4,FALSE),"")</f>
        <v/>
      </c>
      <c r="V143" s="1757"/>
      <c r="W143" s="1757"/>
      <c r="X143" s="1757"/>
      <c r="Y143" s="1757"/>
      <c r="Z143" s="1757"/>
      <c r="AA143" s="1758"/>
      <c r="AB143" s="939" t="str">
        <f>IFERROR(VLOOKUP(U142,Fixtures_Proposed_List,2,FALSE),"")</f>
        <v/>
      </c>
      <c r="AC143" s="933" t="str">
        <f>IFERROR(ROUND(T142*AB143*N141*R141/1000,0),"")</f>
        <v/>
      </c>
      <c r="AD143" s="934" t="str">
        <f>IFERROR(ROUND(T142*AB143/1000,2),"")</f>
        <v/>
      </c>
      <c r="AE143" s="998"/>
      <c r="AF143" s="938" t="s">
        <v>342</v>
      </c>
      <c r="AG143" s="1770"/>
      <c r="AH143" s="1770"/>
      <c r="AI143" s="1770"/>
      <c r="AJ143" s="1770"/>
      <c r="AK143" s="1770"/>
      <c r="AL143" s="1770"/>
      <c r="AM143" s="1727"/>
      <c r="AN143" s="1729"/>
      <c r="AO143" s="1731"/>
      <c r="AP143" s="1782"/>
      <c r="AQ143" s="1783"/>
      <c r="AR143" s="1797"/>
      <c r="AS143" s="1797"/>
      <c r="AT143" s="1798"/>
      <c r="AU143" s="1736"/>
      <c r="AV143" s="1753"/>
      <c r="AW143" s="1706"/>
      <c r="AX143" s="468"/>
      <c r="AY143" s="1750"/>
      <c r="AZ143" s="1750"/>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696"/>
      <c r="CQ143" s="1696"/>
      <c r="CR143" s="1809"/>
      <c r="CS143" s="1811"/>
      <c r="CU143" s="1688"/>
      <c r="CV143" s="1703"/>
      <c r="CW143" s="1703"/>
      <c r="CX143" s="1813"/>
      <c r="CY143" s="1815"/>
      <c r="CZ143" s="1711"/>
      <c r="DA143" s="1815"/>
      <c r="DB143" s="1821"/>
      <c r="DC143" s="1821"/>
      <c r="DD143" s="1821"/>
      <c r="DF143" s="1703"/>
      <c r="DG143" s="1831"/>
      <c r="DH143" s="1813"/>
      <c r="DI143" s="1838"/>
      <c r="DJ143" s="1711"/>
      <c r="DK143" s="1712"/>
      <c r="DN143" s="1718"/>
      <c r="DO143" s="1709"/>
      <c r="DQ143" s="1715"/>
      <c r="DR143" s="1720"/>
      <c r="DS143" s="1703"/>
      <c r="DT143" s="1714"/>
      <c r="DU143" s="1715"/>
      <c r="DV143" s="1716"/>
      <c r="DX143" s="1715"/>
      <c r="DY143" s="1720"/>
      <c r="DZ143" s="1715"/>
      <c r="EA143" s="1715"/>
      <c r="EC143" s="1834"/>
      <c r="ED143" s="1834"/>
      <c r="EF143" s="1707"/>
      <c r="EG143" s="1712"/>
      <c r="EH143" s="1815"/>
      <c r="EI143" s="1712"/>
      <c r="EJ143" s="1712"/>
      <c r="EK143" s="1813"/>
      <c r="EL143" s="1813"/>
      <c r="EM143" s="1807"/>
      <c r="EN143" s="1839"/>
      <c r="EO143" s="1839"/>
      <c r="EP143" s="1817"/>
      <c r="EQ143" s="1817"/>
      <c r="ER143" s="1807"/>
      <c r="ES143" s="1807"/>
      <c r="ET143" s="1807"/>
      <c r="EV143" s="1715"/>
      <c r="EX143" s="1806"/>
      <c r="EY143" s="1806"/>
      <c r="EZ143" s="1806"/>
      <c r="FA143" s="1806"/>
      <c r="FB143" s="1806"/>
      <c r="FC143" s="1828"/>
      <c r="FE143" s="1698"/>
      <c r="FG143" s="1703"/>
      <c r="FH143" s="1703"/>
      <c r="FI143" s="133"/>
      <c r="FL143" s="1823"/>
      <c r="FM143" s="1825"/>
      <c r="FN143" s="1698"/>
      <c r="FO143" s="1698"/>
      <c r="FP143" s="1678"/>
      <c r="FQ143" s="1698"/>
      <c r="FS143" s="1687"/>
      <c r="FT143" s="1687"/>
      <c r="FU143" s="1685"/>
      <c r="FV143" s="1687"/>
      <c r="FW143" s="1687"/>
      <c r="FX143" s="1687"/>
      <c r="FY143" s="1697"/>
      <c r="GA143" s="1696"/>
      <c r="GB143" s="1696"/>
      <c r="GC143" s="1696"/>
      <c r="GD143" s="1696"/>
      <c r="GE143" s="1696"/>
      <c r="GF143" s="1696"/>
      <c r="GG143" s="1696"/>
      <c r="GH143" s="1696"/>
      <c r="GI143" s="673"/>
      <c r="GJ143" s="1135"/>
      <c r="GK143" s="1832"/>
      <c r="GN143" s="674">
        <f>IF(GN141=TRUE,0,GN$16)</f>
        <v>0</v>
      </c>
      <c r="GP143" s="674">
        <f>IF(GP141=TRUE,0,GP$16)</f>
        <v>36</v>
      </c>
      <c r="GQ143" s="674">
        <f ca="1">IF(GQ141=TRUE,0,GQ$16)</f>
        <v>35</v>
      </c>
      <c r="GR143" s="391"/>
      <c r="GS143" s="391"/>
      <c r="GT143" s="391"/>
      <c r="GU143" s="391"/>
      <c r="GV143" s="391"/>
      <c r="HG143" s="674">
        <f>IF(HG141=TRUE,0,HG$16)</f>
        <v>0</v>
      </c>
      <c r="HH143" s="674">
        <f t="shared" ref="HH143:HM143" si="108">IF(HH141=TRUE,0,HH$16)</f>
        <v>19</v>
      </c>
      <c r="HI143" s="674">
        <f t="shared" si="108"/>
        <v>18</v>
      </c>
      <c r="HJ143" s="674">
        <f t="shared" si="108"/>
        <v>17</v>
      </c>
      <c r="HK143" s="674">
        <f t="shared" si="108"/>
        <v>16</v>
      </c>
      <c r="HL143" s="674">
        <f t="shared" si="108"/>
        <v>0</v>
      </c>
      <c r="HM143" s="674">
        <f t="shared" si="108"/>
        <v>0</v>
      </c>
      <c r="HN143" s="674">
        <f>IF(HN141=TRUE,0,HN$16)</f>
        <v>13</v>
      </c>
      <c r="HO143" s="674">
        <f t="shared" ref="HO143:HQ143" si="109">IF(HO141=TRUE,0,HO$16)</f>
        <v>0</v>
      </c>
      <c r="HP143" s="674">
        <f t="shared" si="109"/>
        <v>0</v>
      </c>
      <c r="HQ143" s="674">
        <f t="shared" si="109"/>
        <v>10</v>
      </c>
      <c r="HR143" s="674">
        <f>IF(HR141=TRUE,0,HR$16)</f>
        <v>9</v>
      </c>
      <c r="HS143" s="674">
        <f t="shared" ref="HS143:HW143" si="110">IF(HS141=TRUE,0,HS$16)</f>
        <v>0</v>
      </c>
      <c r="HT143" s="674">
        <f t="shared" si="110"/>
        <v>0</v>
      </c>
      <c r="HU143" s="674">
        <f t="shared" si="110"/>
        <v>0</v>
      </c>
      <c r="HV143" s="674">
        <f t="shared" si="110"/>
        <v>0</v>
      </c>
      <c r="HW143" s="674">
        <f t="shared" si="110"/>
        <v>0</v>
      </c>
      <c r="HX143" s="674">
        <f>IF(HX141=TRUE,0,HX$16)</f>
        <v>0</v>
      </c>
      <c r="HY143" s="674">
        <f>IF(HY141=TRUE,0,HY$16)</f>
        <v>0</v>
      </c>
      <c r="HZ143" s="674">
        <f>IF(HZ141=TRUE,0,HZ$16)</f>
        <v>1</v>
      </c>
      <c r="IB143" s="674">
        <f>IF(GP141=FALSE,GP143,IF(GQ141=FALSE,GQ143,MAX(GN143:HZ143)))</f>
        <v>36</v>
      </c>
      <c r="IC143" s="1692"/>
      <c r="ID143" s="205" t="str">
        <f>VLOOKUP(IB143,_Error_Table,3,FALSE)</f>
        <v xml:space="preserve"> </v>
      </c>
      <c r="IE143" s="205"/>
      <c r="IF143" s="1688"/>
      <c r="IG143" s="1689"/>
      <c r="IH143" s="1684"/>
      <c r="IK143" s="1689"/>
      <c r="IL143" s="1692"/>
      <c r="IM143" s="1692"/>
      <c r="IN143" s="1692"/>
      <c r="IP143" s="1679"/>
      <c r="IQ143" s="1679"/>
      <c r="IR143" s="1679"/>
      <c r="IS143" s="1679"/>
      <c r="IT143" s="1679"/>
      <c r="IU143" s="1679"/>
      <c r="IV143" s="1679"/>
      <c r="IW143" s="1679"/>
      <c r="IX143" s="1679"/>
      <c r="IY143" s="1679"/>
      <c r="IZ143" s="1679"/>
      <c r="JA143" s="1679"/>
      <c r="JC143" s="1680"/>
      <c r="JD143" s="1670"/>
      <c r="JE143" s="1681"/>
      <c r="JG143" s="1680"/>
      <c r="JH143" s="1670"/>
      <c r="JI143" s="1060"/>
      <c r="JJ143" s="1670"/>
      <c r="JK143" s="1061"/>
      <c r="JL143" s="1670"/>
      <c r="JM143" s="1061"/>
      <c r="JN143" s="1670"/>
      <c r="JO143" s="1061"/>
      <c r="JP143" s="1670"/>
      <c r="JQ143" s="1061"/>
      <c r="JR143" s="1670"/>
      <c r="JS143" s="1061"/>
      <c r="JT143" s="1670"/>
      <c r="JU143" s="1061"/>
      <c r="JV143" s="1670"/>
      <c r="JX143" s="1670"/>
      <c r="JZ143" s="1670"/>
      <c r="KB143" s="1670"/>
    </row>
    <row r="144" spans="1:288" s="78" customFormat="1" ht="5.0999999999999996" customHeight="1">
      <c r="B144" s="676"/>
      <c r="C144" s="392"/>
      <c r="D144" s="392"/>
      <c r="E144" s="1733"/>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3"/>
      <c r="AH144" s="1733"/>
      <c r="AI144" s="1733"/>
      <c r="AJ144" s="1733"/>
      <c r="AK144" s="1733"/>
      <c r="AL144" s="1733"/>
      <c r="AM144" s="1733"/>
      <c r="AN144" s="1733"/>
      <c r="AO144" s="1733"/>
      <c r="AP144" s="1733"/>
      <c r="AQ144" s="1733"/>
      <c r="AR144" s="1733"/>
      <c r="AS144" s="1733"/>
      <c r="AT144" s="1733"/>
      <c r="AU144" s="1733"/>
      <c r="AV144" s="1733"/>
      <c r="AW144" s="1733"/>
      <c r="AX144" s="469"/>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663"/>
      <c r="CQ144" s="663"/>
      <c r="CR144" s="438"/>
      <c r="CS144" s="663"/>
      <c r="CV144" s="391"/>
      <c r="CW144" s="391"/>
      <c r="CX144" s="207"/>
      <c r="CY144" s="208"/>
      <c r="CZ144" s="208"/>
      <c r="DA144" s="208"/>
      <c r="DB144" s="209"/>
      <c r="DC144" s="209"/>
      <c r="DD144" s="209"/>
      <c r="DF144" s="664"/>
      <c r="DG144" s="665"/>
      <c r="DH144" s="666"/>
      <c r="DI144" s="667"/>
      <c r="DJ144" s="668"/>
      <c r="DK144" s="668"/>
      <c r="DN144" s="208"/>
      <c r="DO144" s="664"/>
      <c r="DQ144" s="664"/>
      <c r="DR144" s="669"/>
      <c r="DS144" s="391"/>
      <c r="DT144" s="664"/>
      <c r="DU144" s="664"/>
      <c r="DV144" s="664"/>
      <c r="DX144" s="664"/>
      <c r="DY144" s="664"/>
      <c r="DZ144" s="664"/>
      <c r="EA144" s="664"/>
      <c r="EC144" s="670"/>
      <c r="ED144" s="670"/>
      <c r="EF144" s="668"/>
      <c r="EG144" s="668"/>
      <c r="EH144" s="208"/>
      <c r="EI144" s="668"/>
      <c r="EJ144" s="668"/>
      <c r="EK144" s="207"/>
      <c r="EL144" s="207"/>
      <c r="EM144" s="666"/>
      <c r="EN144" s="671"/>
      <c r="EO144" s="671"/>
      <c r="EP144" s="672"/>
      <c r="EQ144" s="672"/>
      <c r="ER144" s="666"/>
      <c r="ES144" s="666"/>
      <c r="ET144" s="666"/>
      <c r="EV144" s="664"/>
      <c r="EX144" s="391"/>
      <c r="EY144" s="391"/>
      <c r="EZ144" s="391"/>
      <c r="FA144" s="391"/>
      <c r="FB144" s="391"/>
      <c r="FC144" s="391"/>
      <c r="FE144" s="569"/>
      <c r="FG144" s="391"/>
      <c r="FH144" s="391"/>
      <c r="FI144" s="391"/>
      <c r="FS144" s="664"/>
      <c r="FT144" s="391"/>
      <c r="FU144" s="391"/>
      <c r="FV144" s="664"/>
      <c r="FW144" s="664"/>
      <c r="GA144" s="663"/>
      <c r="GB144" s="663"/>
      <c r="GC144" s="663"/>
      <c r="GD144" s="663"/>
      <c r="GE144" s="663"/>
      <c r="GF144" s="663"/>
      <c r="GG144" s="663"/>
      <c r="GH144" s="663"/>
      <c r="GI144" s="665"/>
      <c r="GJ144" s="664"/>
      <c r="GK144" s="664"/>
    </row>
    <row r="145" spans="1:288" s="78" customFormat="1" ht="14.95" customHeight="1">
      <c r="B145" s="1845" t="str">
        <f>ID148</f>
        <v xml:space="preserve"> </v>
      </c>
      <c r="C145" s="1846">
        <f>C140+1</f>
        <v>20</v>
      </c>
      <c r="D145" s="1847"/>
      <c r="E145" s="1799" t="s">
        <v>295</v>
      </c>
      <c r="F145" s="1800"/>
      <c r="G145" s="1741"/>
      <c r="H145" s="1742"/>
      <c r="I145" s="1742"/>
      <c r="J145" s="1742"/>
      <c r="K145" s="1742"/>
      <c r="L145" s="1742"/>
      <c r="M145" s="1742"/>
      <c r="N145" s="1742"/>
      <c r="O145" s="1742"/>
      <c r="P145" s="1742"/>
      <c r="Q145" s="1742"/>
      <c r="R145" s="1742"/>
      <c r="S145" s="1791" t="s">
        <v>344</v>
      </c>
      <c r="T145" s="590"/>
      <c r="U145" s="1743"/>
      <c r="V145" s="1744"/>
      <c r="W145" s="1744"/>
      <c r="X145" s="1744"/>
      <c r="Y145" s="1744"/>
      <c r="Z145" s="1744"/>
      <c r="AA145" s="1744"/>
      <c r="AB145" s="961" t="str">
        <f>IFERROR(IF(__Retrofit_TI_NC=0,VLOOKUP(U146,Fixtures_Existing_List,2,FALSE),ROUND(N147*R147/T147,10)),"")</f>
        <v/>
      </c>
      <c r="AC145" s="935" t="str">
        <f>IFERROR(IF(__Retrofit_TI_NC=0,ROUND(T146*AB145*N146*R146/1000,0),IF(CQ145="Interior",N147*R147*R146*N146*_C406_reduction/1000,N147*R147*R146*N146/1000)),"")</f>
        <v/>
      </c>
      <c r="AD145" s="936" t="str">
        <f>IFERROR(IF(C$43=0,ROUND(T146*AB145/1000,2),N147*R147/1000),"")</f>
        <v/>
      </c>
      <c r="AE145" s="997"/>
      <c r="AF145" s="937"/>
      <c r="AG145" s="1745" t="str">
        <f>IF(__Retrofit_TI_NC=0," Control","Select Advanced Control for New System")</f>
        <v xml:space="preserve"> Control</v>
      </c>
      <c r="AH145" s="1745"/>
      <c r="AI145" s="1745"/>
      <c r="AJ145" s="1745"/>
      <c r="AK145" s="1745"/>
      <c r="AL145" s="1745"/>
      <c r="AM145" s="1746">
        <f>IFERROR(DI145,"")</f>
        <v>0</v>
      </c>
      <c r="AN145" s="1774" t="str">
        <f>IFERROR(ROUND(AM145*AC145,0),"")</f>
        <v/>
      </c>
      <c r="AO145" s="1776">
        <f>IFERROR(IF(IB145=FALSE,0,AC145-AN145),0)</f>
        <v>0</v>
      </c>
      <c r="AP145" s="1778">
        <f>AO145-AO147</f>
        <v>0</v>
      </c>
      <c r="AQ145" s="1779"/>
      <c r="AR145" s="1793">
        <f>IFERROR(IF(IB145=FALSE,0,(T147*U148)+(AF147*AG148)),0)</f>
        <v>0</v>
      </c>
      <c r="AS145" s="1793"/>
      <c r="AT145" s="1794"/>
      <c r="AU145" s="1734" t="s">
        <v>237</v>
      </c>
      <c r="AV145" s="1751">
        <f>IF(AU145="Yes",1,0)</f>
        <v>1</v>
      </c>
      <c r="AW145" s="1704" t="str">
        <f>IF(OR(DQ145=4,DQ145=5,DQ145=6,DQ145=12),CONCATENATE("$",IF(GH145=TRUE,Lookup!$K$10,Lookup!$K$2)," /lamp"),CONCATENATE(TEXT(ED145,"$0.00"),"/ kWh"))</f>
        <v>$0.00/ kWh</v>
      </c>
      <c r="AX145" s="467"/>
      <c r="AY145" s="1748">
        <f ca="1">IFERROR(IF(GM146=TRUE,(AB148*T147)/R147,0),"NA")</f>
        <v>0</v>
      </c>
      <c r="AZ145" s="1748"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696" t="str">
        <f>N146</f>
        <v/>
      </c>
      <c r="CQ145" s="1696" t="str">
        <f>IFERROR(VLOOKUP(G146,_Lookup_Heat_Type_Table_New,3,FALSE),"")</f>
        <v/>
      </c>
      <c r="CR145" s="1808" t="str">
        <f>CQ145</f>
        <v/>
      </c>
      <c r="CS145" s="1810" t="str">
        <f>IFERROR(VLOOKUP(G147,'Space Table'!$B$3:$L$163,9,FALSE),"")</f>
        <v/>
      </c>
      <c r="CU145" s="1688" t="s">
        <v>344</v>
      </c>
      <c r="CV145" s="1702">
        <f>IF(IB145=TRUE,T146,0)</f>
        <v>0</v>
      </c>
      <c r="CW145" s="1702" t="str">
        <f>IF(IB145=TRUE,U146,"")</f>
        <v/>
      </c>
      <c r="CX145" s="1702"/>
      <c r="CY145" s="1814">
        <f>IF(IB145=TRUE,AB145,0)</f>
        <v>0</v>
      </c>
      <c r="CZ145" s="1710">
        <f>IF(AND(__Retrofit_TI_NC&gt;0,CR145="interior"),0,IF(IB145=TRUE,AC145,0))</f>
        <v>0</v>
      </c>
      <c r="DA145" s="1814">
        <f>IFERROR(IF(IB145=TRUE,CZ145-CZ147,0),0)</f>
        <v>0</v>
      </c>
      <c r="DB145" s="1819">
        <f>IF(IB145=TRUE,AD145,0)</f>
        <v>0</v>
      </c>
      <c r="DC145" s="1819">
        <f>IF(IB145=TRUE,AD148,0)</f>
        <v>0</v>
      </c>
      <c r="DD145" s="1819">
        <f>IFERROR(DB145-DC145,0)</f>
        <v>0</v>
      </c>
      <c r="DF145" s="1702">
        <f>IF(IB145=TRUE,AF146,0)</f>
        <v>0</v>
      </c>
      <c r="DG145" s="1830">
        <f>IFERROR(IF(__Retrofit_TI_NC=2,IF(CQ145="Exterior",O148,FQ145),FN145),"")</f>
        <v>0</v>
      </c>
      <c r="DH145" s="1702"/>
      <c r="DI145" s="1837">
        <f>JE145</f>
        <v>0</v>
      </c>
      <c r="DJ145" s="1710">
        <f>IF(AND(__Retrofit_TI_NC&gt;0,CR145="interior"),0,IF(IB145=TRUE,AN145,0))</f>
        <v>0</v>
      </c>
      <c r="DK145" s="1712">
        <f>IFERROR(IF(IB145=TRUE,DJ147-DJ145,0),0)</f>
        <v>0</v>
      </c>
      <c r="DM145" s="1717">
        <f>IFERROR(CZ145-DJ145,0)</f>
        <v>0</v>
      </c>
      <c r="DO145" s="1708">
        <f>DM145-DN147</f>
        <v>0</v>
      </c>
      <c r="DQ145" s="1715" t="str">
        <f>IFERROR(IF(AND(OR(GC145=4,GC145=5,GC145=6),OR(GF145=4,GF145=5,GF145=6)),GC145+8,VLOOKUP(CW147,Fixtures!R$31:Y$78,8,FALSE)),"")</f>
        <v/>
      </c>
      <c r="DR145" s="1829" t="str">
        <f>DQ145</f>
        <v/>
      </c>
      <c r="DS145" s="1702" t="str">
        <f>IFERROR(VLOOKUP(DG147,Lookup!BB$3:BC$20,2,FALSE),"")</f>
        <v/>
      </c>
      <c r="DT145" s="1713" t="str">
        <f>IF(OR(DS145=7,DS145=8,DS145=9),"ALC","")</f>
        <v/>
      </c>
      <c r="DU145" s="1715">
        <f>IFERROR(IF(OR(DQ145=4,DQ145=5,DQ145=6,DQ145=12,DQ145=13,DQ145=14),VLOOKUP(CW147,Fixtures!DN$27:EG$77,19,FALSE),1)*CV147,0)</f>
        <v>0</v>
      </c>
      <c r="DV145" s="1716">
        <f>IF(OR(DS145=7,DS145=8,DS145=9),IF(DG145=DG147,0,DF147),0)</f>
        <v>0</v>
      </c>
      <c r="DX145" s="1715" t="str">
        <f>IFERROR(IF(EZ145&lt;EZ147,"Yes","No"),"")</f>
        <v/>
      </c>
      <c r="DY145" s="1829" t="str">
        <f>DX145</f>
        <v/>
      </c>
      <c r="DZ145" s="1715">
        <f>IF(DX145="Yes",DF147,0)</f>
        <v>0</v>
      </c>
      <c r="EA145" s="1715">
        <f>DZ145-DV145</f>
        <v>0</v>
      </c>
      <c r="EC145" s="1834">
        <f>IFERROR(VLOOKUP(DQ145,Lookup!AU$3:AV$16,2,FALSE),0)</f>
        <v>0</v>
      </c>
      <c r="ED145" s="1834">
        <f>IF(IB145=FALSE,0,IF(DX145="Yes",EC145+Lookup!K$6,EC145))</f>
        <v>0</v>
      </c>
      <c r="EF145" s="1707">
        <f>IF(IB145=TRUE,DM145,0)</f>
        <v>0</v>
      </c>
      <c r="EG145" s="1712">
        <f>IF(IB145=TRUE,CZ147,0)</f>
        <v>0</v>
      </c>
      <c r="EH145" s="1814">
        <f>IFERROR(EF145-EG145,0)</f>
        <v>0</v>
      </c>
      <c r="EI145" s="1712">
        <f>IF(IB145=TRUE,DJ147,0)</f>
        <v>0</v>
      </c>
      <c r="EJ145" s="1712">
        <f>IFERROR(EF145-EG145+EI145,0)</f>
        <v>0</v>
      </c>
      <c r="EK145" s="1812">
        <f>IF(IB145=TRUE,CV147*CX147,0)</f>
        <v>0</v>
      </c>
      <c r="EL145" s="1812">
        <f>IF(IB145=TRUE,DF147*DH147,0)</f>
        <v>0</v>
      </c>
      <c r="EM145" s="1807">
        <f>AR145</f>
        <v>0</v>
      </c>
      <c r="EN145" s="1839" t="str">
        <f>IFERROR(IF(IB145=TRUE,VLOOKUP(DQ145,Lookup!AU$3:AW$16,3,FALSE)*DU145,""),0)</f>
        <v/>
      </c>
      <c r="EO145" s="1839">
        <f>IF(IB145=TRUE,DZ145*Lookup!AW$12,0)</f>
        <v>0</v>
      </c>
      <c r="EP145" s="1817">
        <f>IFERROR(IF(IB145=TRUE,EN145/EP$40,0),0)</f>
        <v>0</v>
      </c>
      <c r="EQ145" s="1817">
        <f>IF(IB145=TRUE,EO145/EQ$40,0)</f>
        <v>0</v>
      </c>
      <c r="ER145" s="1807">
        <f>IF(IB145=TRUE,ET$40*EP145,0)</f>
        <v>0</v>
      </c>
      <c r="ES145" s="1807">
        <f>IF(IB145=TRUE,ET$40*EQ145,0)</f>
        <v>0</v>
      </c>
      <c r="ET145" s="1807">
        <f>ER145+ES145</f>
        <v>0</v>
      </c>
      <c r="EV145" s="1715">
        <f>IF(G145="",0,1)</f>
        <v>0</v>
      </c>
      <c r="EX145" s="1804" t="str">
        <f>IFERROR(VLOOKUP(CS147,'Space Table'!$B$3:$L$163,8,FALSE),"")</f>
        <v/>
      </c>
      <c r="EY145" s="1804" t="str">
        <f>IFERROR(IF(FB145="Yes",VLOOKUP(DG145,Lookup_Control_Type_Table2,4,FALSE),VLOOKUP(DG145,Lookup_Control_Type_Table2,3,FALSE)),"")</f>
        <v/>
      </c>
      <c r="EZ145" s="1804" t="e">
        <f>VLOOKUP(DG145,Lookup!BB$3:BC$20,2,FALSE)</f>
        <v>#N/A</v>
      </c>
      <c r="FA145" s="1804" t="e">
        <f>VLOOKUP(EX145,Lookup_Control_Type_Table,2,FALSE)</f>
        <v>#N/A</v>
      </c>
      <c r="FB145" s="1804" t="e">
        <f>VLOOKUP(CS147,'Space Table'!$B$3:$L$163,7,FALSE)</f>
        <v>#N/A</v>
      </c>
      <c r="FC145" s="1826" t="b">
        <f>ISNUMBER(SEARCH("TLED",U147))</f>
        <v>0</v>
      </c>
      <c r="FE145" s="1698" t="str">
        <f>CONCATENATE(CQ145," - ",DG145)</f>
        <v xml:space="preserve"> - 0</v>
      </c>
      <c r="FG145" s="1702" t="str">
        <f>VLOOKUP(CW147,Fixtures!DN$27:EZ$77,38,FALSE)</f>
        <v/>
      </c>
      <c r="FH145" s="1702">
        <f>IFERROR(FG145*EH145,0)</f>
        <v>0</v>
      </c>
      <c r="FI145" s="133"/>
      <c r="FL145" s="1822" t="str">
        <f>IF(CQ145="Exterior","Not Daylighted",G148)</f>
        <v>Not Daylighted</v>
      </c>
      <c r="FM145" s="1824">
        <f>VLOOKUP(FL145,_New_Daylight_Table_Codes,2,FALSE)</f>
        <v>0</v>
      </c>
      <c r="FN145" s="1698">
        <f>IF(__Retrofit_TI_NC&gt;0,VLOOKUP(G147,'Space Table'!$B$3:$L$163,11,FALSE),AG146)</f>
        <v>0</v>
      </c>
      <c r="FO145" s="1698" t="e">
        <f>IF(__Retrofit_TI_NC=2,VLOOKUP(FQ145,_Control_Table,2,FALSE),VLOOKUP(FN145,_Control_Table,2,FALSE))</f>
        <v>#N/A</v>
      </c>
      <c r="FP145" s="1678" t="e">
        <f>VLOOKUP(CONCATENATE(FL145," ",FN145),Lookup!AY$102:AZ155,2,FALSE)</f>
        <v>#N/A</v>
      </c>
      <c r="FQ145" s="1678">
        <f>IF(__Retrofit_TI_NC=0,FN145,IF(AND(FT145&gt;0,FN145="Occupancy Sensor"),"Daylight + Occupancy",IF(AND(FT145&gt;0,VLOOKUP(FN145,_Control_Table,2,FALSE)&lt;4),"Interior Daylight Dimming",FN145)))</f>
        <v>0</v>
      </c>
      <c r="FS145" s="1686">
        <f>IF(CR145="Interior",VLOOKUP(CS145,Control_Savings_Interior,5,FALSE),0)</f>
        <v>0</v>
      </c>
      <c r="FT145" s="1687">
        <f>IF(CQ145="Exterior",0,IF(FM145=2,0.5,IF(OR(FM145=1,FM145=3),1,0)))</f>
        <v>0</v>
      </c>
      <c r="FU145" s="1685">
        <f>IF(R144&gt;FS$44,(FS145*(FS$44/R144)),FS145)*FT145</f>
        <v>0</v>
      </c>
      <c r="FV145" s="1686">
        <f>DI145</f>
        <v>0</v>
      </c>
      <c r="FW145" s="1686">
        <f>ROUND(FV145+((1-FV145)*FU145),2)</f>
        <v>0</v>
      </c>
      <c r="FX145" s="1686">
        <f>IF(__Retrofit_TI_NC=2,FW145,FV145)</f>
        <v>0</v>
      </c>
      <c r="FY145" s="1697"/>
      <c r="GA145" s="1696" t="str">
        <f>IFERROR(VLOOKUP(U146,_Exist_Fixture_Table,3,FALSE),"")</f>
        <v/>
      </c>
      <c r="GB145" s="1696" t="str">
        <f>VLOOKUP(CW145,_Exist_Fixture_Table,4,FALSE)</f>
        <v/>
      </c>
      <c r="GC145" s="1696">
        <f>IFERROR(VLOOKUP(GB145,Lookup!AT$6:AU$8,2,FALSE),0)</f>
        <v>0</v>
      </c>
      <c r="GD145" s="1696" t="b">
        <f>IFERROR(IF(OR(GF145=4,GF145=5,GF145=6),TRUE,FALSE),"")</f>
        <v>0</v>
      </c>
      <c r="GE145" s="1696" t="str">
        <f>IFERROR(VLOOKUP(GF145,GC$6:GD$10,2,FALSE),"")</f>
        <v/>
      </c>
      <c r="GF145" s="1696" t="str">
        <f>VLOOKUP(CW147,Fixtures!R$31:Y$78,8,FALSE)</f>
        <v/>
      </c>
      <c r="GG145" s="1696">
        <f>IF(AND(GA145=TRUE,GD145=TRUE,OR(DQ145=12,DQ145=13,DQ145=14)),GC145+8,0)</f>
        <v>0</v>
      </c>
      <c r="GH145" s="1696" t="b">
        <f>IF(OR(GG145=12,GG145=13,GG145=14),TRUE,FALSE)</f>
        <v>0</v>
      </c>
      <c r="GI145" s="673" t="b">
        <f>IF(ISNUMBER(SEARCH("TLED",U146)),TRUE,FALSE)</f>
        <v>0</v>
      </c>
      <c r="GJ145" s="1135" t="str">
        <f>IFERROR(VLOOKUP(U146,Fixtures!BM$93:BR$142,6,FALSE),"")</f>
        <v/>
      </c>
      <c r="GK145" s="1832" t="b">
        <f>IF(OR(GI145=FALSE,GI147=FALSE),TRUE,IF(GJ145-GJ147&lt;5,FALSE,TRUE))</f>
        <v>1</v>
      </c>
      <c r="GO145" s="674">
        <f>GP145</f>
        <v>0</v>
      </c>
      <c r="GP145" s="674">
        <f>IF(G145="",0,1)</f>
        <v>0</v>
      </c>
      <c r="GQ145" s="674">
        <f ca="1">SUM(GR145:HF145)</f>
        <v>2</v>
      </c>
      <c r="GR145" s="674">
        <f>IF(G146="",0,1)</f>
        <v>0</v>
      </c>
      <c r="GS145" s="674">
        <f>IF(N148="BAM",1,IF(G147="",0,1))</f>
        <v>0</v>
      </c>
      <c r="GT145" s="674">
        <f>IF(N148="BAM",1,IF(R146="",0,1))</f>
        <v>0</v>
      </c>
      <c r="GU145" s="674">
        <f>IF(N148="BAM",1,IF(__Retrofit_TI_NC=0,1,IF(R147="",0,1)))</f>
        <v>1</v>
      </c>
      <c r="GV145" s="674">
        <f>IF(N148="BAM",1,IF(CQ145="Exterior",1,IF(G148="",0,1)))</f>
        <v>1</v>
      </c>
      <c r="GW145" s="674">
        <f>IF(__Retrofit_TI_NC&gt;0,1,IF(T146="",0,1))</f>
        <v>0</v>
      </c>
      <c r="GX145" s="674">
        <f>IF(__Retrofit_TI_NC&gt;0,1,IF(U146="",0,1))</f>
        <v>0</v>
      </c>
      <c r="GY145" s="674">
        <f>IF(N148="BAM",1,IF(T147="",0,1))</f>
        <v>0</v>
      </c>
      <c r="GZ145" s="674">
        <f>IF(N148="BAM",1,IF(U147="",0,1))</f>
        <v>0</v>
      </c>
      <c r="HA145" s="674">
        <f ca="1">IF(N148="BAM",1,IF(__Retrofit_TI_NC&gt;0,1,IF(U148="",0,1)))</f>
        <v>0</v>
      </c>
      <c r="HB145" s="674">
        <f>IF(__Retrofit_TI_NC&lt;&gt;0,1,IF(AF146="",0,1))</f>
        <v>0</v>
      </c>
      <c r="HC145" s="674">
        <f>IF(__Retrofit_TI_NC&lt;&gt;0,1,IF(AG146="",0,1))</f>
        <v>0</v>
      </c>
      <c r="HD145" s="674">
        <f>IF(N148="BAM",1,IF(AF147="",0,1))</f>
        <v>0</v>
      </c>
      <c r="HE145" s="674">
        <f>IF(N148="BAM",1,IF(AG147="",0,1))</f>
        <v>0</v>
      </c>
      <c r="HF145" s="674">
        <f>IF(N148="BAM",1,IF(__Retrofit_TI_NC&gt;0,1,IF(AG148="",0,1)))</f>
        <v>0</v>
      </c>
      <c r="HG145" s="391"/>
      <c r="IA145" s="391"/>
      <c r="IB145" s="1693" t="b">
        <f>IF(OR(IB148=0,IB148=HY$16,IB148=HX$16,IB148=HZ$16),TRUE,FALSE)</f>
        <v>0</v>
      </c>
      <c r="IC145" s="1694" t="b">
        <f>IB145</f>
        <v>0</v>
      </c>
      <c r="ID145" s="391"/>
      <c r="IE145" s="391"/>
      <c r="IF145" s="1688" t="b">
        <f ca="1">IF(MAX(GN148:HU148)&gt;5,FALSE,TRUE)</f>
        <v>0</v>
      </c>
      <c r="IG145" s="1689">
        <f ca="1">IF(IF145=TRUE,AC145,0)</f>
        <v>0</v>
      </c>
      <c r="IH145" s="1689">
        <f ca="1">IG145-IG147</f>
        <v>0</v>
      </c>
      <c r="IK145" s="1689" t="e">
        <f>ROUND(T146*VLOOKUP(U146,Fixtures_Existing_List,2,FALSE)*N146*R146/1000,0)</f>
        <v>#N/A</v>
      </c>
      <c r="IL145" s="1690" t="e">
        <f>IK145-IK147</f>
        <v>#N/A</v>
      </c>
      <c r="IM145" s="1693" t="e">
        <f>ROUND(IF(CQ145="Interior",N147*R147*R146*N146*_C406_reduction/1000,N147*R147*R146*N146/1000),0)</f>
        <v>#N/A</v>
      </c>
      <c r="IN145" s="1693" t="e">
        <f>IM145-IM147</f>
        <v>#N/A</v>
      </c>
      <c r="IP145" s="1679"/>
      <c r="IQ145" s="1679" t="e">
        <f t="shared" ref="IQ145:IU145" si="111">IF($CR145="interior",VLOOKUP($CS145,_New_Control_Savings_Interior,IQ$30,FALSE),VLOOKUP($CS145,Control_Savings_Exterior,IQ$30,FALSE))</f>
        <v>#N/A</v>
      </c>
      <c r="IR145" s="1679" t="e">
        <f t="shared" si="111"/>
        <v>#N/A</v>
      </c>
      <c r="IS145" s="1679" t="e">
        <f t="shared" si="111"/>
        <v>#N/A</v>
      </c>
      <c r="IT145" s="1679" t="e">
        <f t="shared" si="111"/>
        <v>#N/A</v>
      </c>
      <c r="IU145" s="1679" t="e">
        <f t="shared" si="111"/>
        <v>#N/A</v>
      </c>
      <c r="IV145" s="1679" t="e">
        <f>IF($CR145="interior",IF(R146&gt;$IP$14,ROUND(($IV$18*($IP$14/R146)),2),$IV$18),VLOOKUP($CS145,Control_Savings_Exterior,IV$30,FALSE))</f>
        <v>#N/A</v>
      </c>
      <c r="IW145" s="1679" t="e">
        <f>IF($CR145="interior",ROUND(((1-IS145)*IV145)+IS145,2),VLOOKUP($CS145,Control_Savings_Exterior,IW$30,FALSE))</f>
        <v>#N/A</v>
      </c>
      <c r="IX145" s="1679" t="e">
        <f>IF($CR145="interior",ROUND(((1-IT145)*IV145)+IT145,2),VLOOKUP($CS145,Control_Savings_Exterior,IX$30,FALSE))</f>
        <v>#N/A</v>
      </c>
      <c r="IY145" s="1679" t="e">
        <f>IF($CR145="interior",IF(R146&gt;$IP$14,ROUND(($IY$18*($IP$14/R146)),2),$IY$18),VLOOKUP($CS145,Control_Savings_Exterior,IY$30,FALSE))</f>
        <v>#N/A</v>
      </c>
      <c r="IZ145" s="1679" t="e">
        <f>IF($CR145="interior",ROUND(((1-IS145)*IY145)+IS145,2),VLOOKUP($CS145,Control_Savings_Exterior,IZ$30,FALSE))</f>
        <v>#N/A</v>
      </c>
      <c r="JA145" s="1679" t="e">
        <f>IF($CR145="interior",ROUND(((1-IT145)*IY145)+IT145,2),VLOOKUP($CS145,Control_Savings_Exterior,JA$30,FALSE))</f>
        <v>#N/A</v>
      </c>
      <c r="JC145" s="1680">
        <f>IFERROR(IF(CR145="Interior",CONCATENATE(G148," ",FQ145),FQ145),"")</f>
        <v>0</v>
      </c>
      <c r="JD145" s="1670" t="str">
        <f>IFERROR(VLOOKUP(JC145,_Controls_2023,2,FALSE),"")</f>
        <v/>
      </c>
      <c r="JE145" s="1681">
        <f>IFERROR(CHOOSE(JD145-1,IQ145,IR145,IS145,IT145,IU145,IV145,IW145,IX145,IY145,IZ145,JA145),0)</f>
        <v>0</v>
      </c>
      <c r="JG145" s="1680" t="str">
        <f>FE145</f>
        <v xml:space="preserve"> - 0</v>
      </c>
      <c r="JH145" s="1670" t="e">
        <f>$FO145</f>
        <v>#N/A</v>
      </c>
      <c r="JI145" s="1060"/>
      <c r="JJ145" s="1682" t="b">
        <f>IF($JG147=CONCATENATE("Interior - ",JJ$4),TRUE,FALSE)</f>
        <v>0</v>
      </c>
      <c r="JK145" s="1061"/>
      <c r="JL145" s="1682" t="b">
        <f>IF($JG147=CONCATENATE("Interior - ",JL$4),TRUE,FALSE)</f>
        <v>0</v>
      </c>
      <c r="JM145" s="1061"/>
      <c r="JN145" s="1682" t="b">
        <f>IF($JG147=CONCATENATE("Interior - ",JN$4),TRUE,FALSE)</f>
        <v>0</v>
      </c>
      <c r="JO145" s="1061"/>
      <c r="JP145" s="1682" t="b">
        <f>IF(__Retrofit_TI_NC&gt;0,FALSE,IF($JG147=CONCATENATE("Interior - ",JP$4),TRUE,FALSE))</f>
        <v>0</v>
      </c>
      <c r="JQ145" s="1061"/>
      <c r="JR145" s="1682" t="b">
        <f>IF(__Retrofit_TI_NC&gt;0,FALSE,IF($JG147=CONCATENATE("Interior - ",JR$4),TRUE,FALSE))</f>
        <v>0</v>
      </c>
      <c r="JS145" s="1061"/>
      <c r="JT145" s="1670" t="b">
        <f>IF(__Retrofit_TI_NC&gt;0,FALSE,IF($JG147=CONCATENATE("Interior - ",JT$4),TRUE,FALSE))</f>
        <v>0</v>
      </c>
      <c r="JU145" s="1061"/>
      <c r="JV145" s="1670" t="b">
        <f>IF(JC147="AELC on Existing",TRUE,FALSE)</f>
        <v>0</v>
      </c>
      <c r="JX145" s="1670" t="b">
        <f>IF(OR(JG147="Exterior - AELC Occupancy based",JG147="Exterior - AELC Time based"),TRUE,FALSE)</f>
        <v>0</v>
      </c>
      <c r="JZ145" s="1682" t="b">
        <f>IF($JG147=CONCATENATE("Exterior - ",JZ$4),TRUE,FALSE)</f>
        <v>0</v>
      </c>
      <c r="KB145" s="1670" t="b">
        <f>IF(__Retrofit_TI_NC&gt;0,FALSE,IF($JG147=CONCATENATE("Interior - ",KB$4),TRUE,FALSE))</f>
        <v>0</v>
      </c>
    </row>
    <row r="146" spans="1:288" s="78" customFormat="1" ht="14.95" customHeight="1" thickTop="1" thickBot="1">
      <c r="B146" s="1845"/>
      <c r="C146" s="1846"/>
      <c r="D146" s="1847"/>
      <c r="E146" s="1737" t="s">
        <v>297</v>
      </c>
      <c r="F146" s="1738"/>
      <c r="G146" s="1739"/>
      <c r="H146" s="1739"/>
      <c r="I146" s="1739"/>
      <c r="J146" s="1739"/>
      <c r="K146" s="1739"/>
      <c r="L146" s="1739"/>
      <c r="M146" s="461" t="e">
        <f>IF(__Retrofit_TI_NC&lt;&gt;0,IF(VLOOKUP(G147,'Space Table'!$B$3:$L$163,3,FALSE)&gt;0,1,0),IF(__Retrofit_TI_NC=VLOOKUP(G147,'Space Table'!$B$3:$L$163,3,FALSE),1,0))</f>
        <v>#N/A</v>
      </c>
      <c r="N146" s="461" t="str">
        <f>IFERROR(VLOOKUP(G146,_Lookup_Heat_Type_Table_New,2,FALSE),"")</f>
        <v/>
      </c>
      <c r="O146" s="461">
        <f>IF(__Retrofit_TI_NC=1,CONCATENATE("TI ",G146),IF(__Retrofit_TI_NC=2,CONCATENATE("NC ",G146),G146))</f>
        <v>0</v>
      </c>
      <c r="P146" s="1740" t="s">
        <v>435</v>
      </c>
      <c r="Q146" s="1740"/>
      <c r="R146" s="595"/>
      <c r="S146" s="1792"/>
      <c r="T146" s="597"/>
      <c r="U146" s="1765"/>
      <c r="V146" s="1766"/>
      <c r="W146" s="1766"/>
      <c r="X146" s="1766"/>
      <c r="Y146" s="1766"/>
      <c r="Z146" s="1766"/>
      <c r="AA146" s="1766"/>
      <c r="AB146" s="1766"/>
      <c r="AC146" s="1766"/>
      <c r="AD146" s="1767"/>
      <c r="AE146" s="1000"/>
      <c r="AF146" s="597"/>
      <c r="AG146" s="1723"/>
      <c r="AH146" s="1724"/>
      <c r="AI146" s="1724"/>
      <c r="AJ146" s="1724"/>
      <c r="AK146" s="1725"/>
      <c r="AL146" s="996"/>
      <c r="AM146" s="1747"/>
      <c r="AN146" s="1775"/>
      <c r="AO146" s="1777"/>
      <c r="AP146" s="1780"/>
      <c r="AQ146" s="1781"/>
      <c r="AR146" s="1795"/>
      <c r="AS146" s="1795"/>
      <c r="AT146" s="1796"/>
      <c r="AU146" s="1735"/>
      <c r="AV146" s="1752"/>
      <c r="AW146" s="1705"/>
      <c r="AX146" s="467"/>
      <c r="AY146" s="1749"/>
      <c r="AZ146" s="1749"/>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696"/>
      <c r="CQ146" s="1696"/>
      <c r="CR146" s="1809"/>
      <c r="CS146" s="1811"/>
      <c r="CU146" s="1688"/>
      <c r="CV146" s="1703"/>
      <c r="CW146" s="1703"/>
      <c r="CX146" s="1703"/>
      <c r="CY146" s="1815"/>
      <c r="CZ146" s="1711"/>
      <c r="DA146" s="1818"/>
      <c r="DB146" s="1820"/>
      <c r="DC146" s="1820"/>
      <c r="DD146" s="1820"/>
      <c r="DF146" s="1703"/>
      <c r="DG146" s="1831"/>
      <c r="DH146" s="1703"/>
      <c r="DI146" s="1838"/>
      <c r="DJ146" s="1711"/>
      <c r="DK146" s="1712"/>
      <c r="DM146" s="1718"/>
      <c r="DO146" s="1708"/>
      <c r="DQ146" s="1715"/>
      <c r="DR146" s="1720"/>
      <c r="DS146" s="1816"/>
      <c r="DT146" s="1714"/>
      <c r="DU146" s="1715"/>
      <c r="DV146" s="1716"/>
      <c r="DX146" s="1715"/>
      <c r="DY146" s="1720"/>
      <c r="DZ146" s="1715"/>
      <c r="EA146" s="1715"/>
      <c r="EC146" s="1834"/>
      <c r="ED146" s="1834"/>
      <c r="EF146" s="1707"/>
      <c r="EG146" s="1712"/>
      <c r="EH146" s="1818"/>
      <c r="EI146" s="1712"/>
      <c r="EJ146" s="1712"/>
      <c r="EK146" s="1836"/>
      <c r="EL146" s="1836"/>
      <c r="EM146" s="1807"/>
      <c r="EN146" s="1839"/>
      <c r="EO146" s="1839"/>
      <c r="EP146" s="1817"/>
      <c r="EQ146" s="1817"/>
      <c r="ER146" s="1807"/>
      <c r="ES146" s="1807"/>
      <c r="ET146" s="1807"/>
      <c r="EV146" s="1715"/>
      <c r="EX146" s="1805"/>
      <c r="EY146" s="1805"/>
      <c r="EZ146" s="1805"/>
      <c r="FA146" s="1805"/>
      <c r="FB146" s="1805"/>
      <c r="FC146" s="1827"/>
      <c r="FE146" s="1698"/>
      <c r="FG146" s="1816"/>
      <c r="FH146" s="1816"/>
      <c r="FI146" s="133"/>
      <c r="FL146" s="1823"/>
      <c r="FM146" s="1825"/>
      <c r="FN146" s="1698"/>
      <c r="FO146" s="1698"/>
      <c r="FP146" s="1678"/>
      <c r="FQ146" s="1678"/>
      <c r="FS146" s="1687"/>
      <c r="FT146" s="1687"/>
      <c r="FU146" s="1685"/>
      <c r="FV146" s="1687"/>
      <c r="FW146" s="1687"/>
      <c r="FX146" s="1687"/>
      <c r="FY146" s="1697"/>
      <c r="GA146" s="1696"/>
      <c r="GB146" s="1696"/>
      <c r="GC146" s="1696"/>
      <c r="GD146" s="1696"/>
      <c r="GE146" s="1696"/>
      <c r="GF146" s="1696"/>
      <c r="GG146" s="1696"/>
      <c r="GH146" s="1696"/>
      <c r="GI146" s="673"/>
      <c r="GJ146" s="1135"/>
      <c r="GK146" s="1832"/>
      <c r="GM146" s="1693" t="b">
        <f ca="1">IF(AND(GP146=TRUE,GQ146=TRUE),TRUE,FALSE)</f>
        <v>0</v>
      </c>
      <c r="GN146" s="1684" t="b">
        <f>IFERROR(IF(__Retrofit_TI_NC=2,TRUE,IF(AU145="Yes",TRUE,FALSE)),FALSE)</f>
        <v>1</v>
      </c>
      <c r="GP146" s="1684" t="b">
        <f>IFERROR(IF(GP145=1,TRUE,FALSE),FALSE)</f>
        <v>0</v>
      </c>
      <c r="GQ146" s="1684" t="b">
        <f ca="1">IFERROR(IF(GQ145=GQ$14,TRUE,FALSE),FALSE)</f>
        <v>0</v>
      </c>
      <c r="HG146" s="1684" t="b">
        <f>IFERROR(IF(AND(__Retrofit_TI_NC&gt;0,CQ145="Interior"),FALSE,TRUE),FALSE)</f>
        <v>1</v>
      </c>
      <c r="HH146" s="1684" t="b">
        <f>IFERROR(IF(M146=1,TRUE,FALSE),FALSE)</f>
        <v>0</v>
      </c>
      <c r="HI146" s="1684" t="b">
        <f>IFERROR(IF(OR(M147=1,N148="BAM"),TRUE,FALSE),FALSE)</f>
        <v>0</v>
      </c>
      <c r="HJ146" s="1684" t="b">
        <f>IFERROR(IF(__Retrofit_TI_NC&lt;&gt;0,TRUE,IFERROR(IF(VLOOKUP(U146,Fixtures_Existing_List,2,FALSE)&lt;&gt;"",TRUE,FALSE),FALSE)),FALSE)</f>
        <v>0</v>
      </c>
      <c r="HK146" s="1684" t="b">
        <f>IFERROR(IF(VLOOKUP(U147,Fixtures_Proposed_List,2,FALSE)&lt;&gt;"",TRUE,FALSE),FALSE)</f>
        <v>0</v>
      </c>
      <c r="HL146" s="1684" t="b">
        <f>IF(AND(__Retrofit_TI_NC=2,FC145=TRUE),FALSE,TRUE)</f>
        <v>1</v>
      </c>
      <c r="HM146" s="1684" t="b">
        <f>GK145</f>
        <v>1</v>
      </c>
      <c r="HN146" s="1682" t="b">
        <f>IF(ISERROR(MATCH(FE145,_Control_Match[],0))=TRUE,FALSE,TRUE)</f>
        <v>0</v>
      </c>
      <c r="HO146" s="1693" t="b">
        <f>IFERROR(IF(EX145&lt;&gt;EY145,FALSE,TRUE),FALSE)</f>
        <v>1</v>
      </c>
      <c r="HP146" s="1693" t="b">
        <f>IFERROR(IF(EX147&lt;&gt;EY147,FALSE,TRUE),FALSE)</f>
        <v>1</v>
      </c>
      <c r="HQ146" s="1670" t="b">
        <f>IFERROR(IF(CQ145="Exterior",TRUE,IF(AND(OR(FM147=0,FM147=3),JD147&gt;6),FALSE,TRUE)),FALSE)</f>
        <v>0</v>
      </c>
      <c r="HR146" s="1684" t="b">
        <f>IFERROR(IF(AND(FO147=7,FC145=TRUE),FALSE,TRUE),FALSE)</f>
        <v>0</v>
      </c>
      <c r="HS146" s="1684" t="b">
        <f>IFERROR(IF(AND(T147&lt;&gt;AF147,OR(AG147="Interior LLLC", AG147="Interior NLC", AG147="LLLC (outside Daylight)",AG147="LLLC Controls Only"))=TRUE,FALSE,TRUE),FALSE)</f>
        <v>1</v>
      </c>
      <c r="HT146" s="1670" t="b">
        <f>IFERROR(IF(OR(AG147=Lookup!BB$17,AG147=Lookup!BB$18,AG147=Lookup!BB$19)=TRUE,IF(AF147&gt;T147,FALSE,TRUE),TRUE),FALSE)</f>
        <v>1</v>
      </c>
      <c r="HU146" s="1684" t="b">
        <f>IFERROR(IF(__Retrofit_TI_NC=2,IF(EZ147&lt;EZ145,FALSE,TRUE),TRUE),FALSE)</f>
        <v>1</v>
      </c>
      <c r="HV146" s="1684" t="b">
        <f>IF(CQ145="Interior",IL$6,TRUE)</f>
        <v>1</v>
      </c>
      <c r="HW146" s="1684" t="b">
        <f>IF(CQ145="Exterior",IL$8,TRUE)</f>
        <v>1</v>
      </c>
      <c r="HX146" s="1684" t="b">
        <f>IFERROR(IF(__Retrofit_TI_NC&lt;&gt;0,IF(AZ145&lt;AY145,FALSE,TRUE),TRUE),FALSE)</f>
        <v>1</v>
      </c>
      <c r="HY146" s="1684" t="b">
        <f>IFERROR(IF(AND(G146="Exterior",R146&gt;4200),FALSE,TRUE),FALSE)</f>
        <v>1</v>
      </c>
      <c r="HZ146" s="1684" t="b">
        <f>IFERROR(IF(AB148/AB145&lt;HZ$18,FALSE,TRUE),FALSE)</f>
        <v>0</v>
      </c>
      <c r="IB146" s="1691"/>
      <c r="IC146" s="1695"/>
      <c r="ID146" s="1694" t="str">
        <f>VLOOKUP(IB148,_Error_Table,4,FALSE)</f>
        <v>White</v>
      </c>
      <c r="IE146" s="391"/>
      <c r="IF146" s="1688"/>
      <c r="IG146" s="1689"/>
      <c r="IH146" s="1684"/>
      <c r="IK146" s="1689"/>
      <c r="IL146" s="1691"/>
      <c r="IM146" s="1691"/>
      <c r="IN146" s="1691"/>
      <c r="IP146" s="1679"/>
      <c r="IQ146" s="1679"/>
      <c r="IR146" s="1679"/>
      <c r="IS146" s="1679"/>
      <c r="IT146" s="1679"/>
      <c r="IU146" s="1679"/>
      <c r="IV146" s="1679"/>
      <c r="IW146" s="1679"/>
      <c r="IX146" s="1679"/>
      <c r="IY146" s="1679"/>
      <c r="IZ146" s="1679"/>
      <c r="JA146" s="1679"/>
      <c r="JC146" s="1680"/>
      <c r="JD146" s="1670"/>
      <c r="JE146" s="1681"/>
      <c r="JG146" s="1680"/>
      <c r="JH146" s="1670"/>
      <c r="JI146" s="1060"/>
      <c r="JJ146" s="1683"/>
      <c r="JK146" s="1061"/>
      <c r="JL146" s="1683"/>
      <c r="JM146" s="1061"/>
      <c r="JN146" s="1683"/>
      <c r="JO146" s="1061"/>
      <c r="JP146" s="1683"/>
      <c r="JQ146" s="1061"/>
      <c r="JR146" s="1683"/>
      <c r="JS146" s="1061"/>
      <c r="JT146" s="1670"/>
      <c r="JU146" s="1061"/>
      <c r="JV146" s="1670"/>
      <c r="JX146" s="1670"/>
      <c r="JZ146" s="1683"/>
      <c r="KB146" s="1670"/>
    </row>
    <row r="147" spans="1:288" s="78" customFormat="1" ht="14.95" customHeight="1" thickTop="1" thickBot="1">
      <c r="A147" s="78">
        <f>ROW()</f>
        <v>147</v>
      </c>
      <c r="B147" s="1845"/>
      <c r="C147" s="1846"/>
      <c r="D147" s="1847"/>
      <c r="E147" s="1737" t="s">
        <v>298</v>
      </c>
      <c r="F147" s="1738"/>
      <c r="G147" s="1760"/>
      <c r="H147" s="1761"/>
      <c r="I147" s="1761"/>
      <c r="J147" s="1761"/>
      <c r="K147" s="1761"/>
      <c r="L147" s="1762"/>
      <c r="M147" s="461">
        <f>IFERROR(IF(IF(__Retrofit_TI_NC&lt;&gt;0,IF(CQ145="Interior",MATCH(G147,Lookup_Interior_New,0),MATCH(G147,Lookup_Exterior_New,0)),IF(CQ145="Interior",MATCH(G147,Lookup_Interior,0),MATCH(G147,Lookup_Exterior_Areas,0)))&gt;0,1,0),0)</f>
        <v>0</v>
      </c>
      <c r="N147" s="461" t="e">
        <f>IF(__Retrofit_TI_NC=1,
VLOOKUP(G147,'Space Table'!$B$3:$L$163,4,FALSE),
IF(__Retrofit_TI_NC=2,VLOOKUP(G147,'Space Table'!$B$3:$L$163,5,FALSE),VLOOKUP(G147,'Space Table'!$B$3:$L$163,5,FALSE)))</f>
        <v>#N/A</v>
      </c>
      <c r="O147" s="461">
        <f>G147</f>
        <v>0</v>
      </c>
      <c r="P147" s="1738" t="str">
        <f>IFERROR(IF(__Retrofit_TI_NC=1,VLOOKUP(G147,'Space Table'!$B$3:$O$163,13,FALSE),IF(__Retrofit_TI_NC=2,VLOOKUP(G147,'Space Table'!$B$3:$O$163,14,FALSE),"Area (sf):")),"Area (sf):")</f>
        <v>Area (sf):</v>
      </c>
      <c r="Q147" s="1738"/>
      <c r="R147" s="596"/>
      <c r="S147" s="1763" t="s">
        <v>345</v>
      </c>
      <c r="T147" s="594"/>
      <c r="U147" s="1801"/>
      <c r="V147" s="1802"/>
      <c r="W147" s="1802"/>
      <c r="X147" s="1802"/>
      <c r="Y147" s="1802"/>
      <c r="Z147" s="1802"/>
      <c r="AA147" s="1802"/>
      <c r="AB147" s="1802"/>
      <c r="AC147" s="1802"/>
      <c r="AD147" s="1802"/>
      <c r="AE147" s="1803"/>
      <c r="AF147" s="594"/>
      <c r="AG147" s="1787"/>
      <c r="AH147" s="1787"/>
      <c r="AI147" s="1787"/>
      <c r="AJ147" s="1787"/>
      <c r="AK147" s="1787"/>
      <c r="AL147" s="1787"/>
      <c r="AM147" s="1726">
        <f>IFERROR(DI147,"")</f>
        <v>0</v>
      </c>
      <c r="AN147" s="1728" t="str">
        <f>IFERROR(ROUND(AM147*AC148,0),"")</f>
        <v/>
      </c>
      <c r="AO147" s="1730">
        <f>IFERROR(IF(IB145=FALSE,0,AC148-AN147),0)</f>
        <v>0</v>
      </c>
      <c r="AP147" s="1780"/>
      <c r="AQ147" s="1781"/>
      <c r="AR147" s="1795"/>
      <c r="AS147" s="1795"/>
      <c r="AT147" s="1796"/>
      <c r="AU147" s="1735"/>
      <c r="AV147" s="1752"/>
      <c r="AW147" s="1705"/>
      <c r="AX147" s="467"/>
      <c r="AY147" s="1749"/>
      <c r="AZ147" s="1749"/>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696"/>
      <c r="CQ147" s="1696"/>
      <c r="CR147" s="1808" t="str">
        <f>CQ145</f>
        <v/>
      </c>
      <c r="CS147" s="1810" t="str">
        <f>CS145</f>
        <v/>
      </c>
      <c r="CU147" s="1688" t="s">
        <v>345</v>
      </c>
      <c r="CV147" s="1702">
        <f>IF(IB145=TRUE,T147,0)</f>
        <v>0</v>
      </c>
      <c r="CW147" s="1702" t="str">
        <f>IF(IB145=TRUE,U147,"")</f>
        <v/>
      </c>
      <c r="CX147" s="1812">
        <f>IF(IB145=TRUE,U148,0)</f>
        <v>0</v>
      </c>
      <c r="CY147" s="1814">
        <f>IF(IB145=TRUE,AB148,0)</f>
        <v>0</v>
      </c>
      <c r="CZ147" s="1710">
        <f>IF(AND(__Retrofit_TI_NC&gt;0,CR145="interior"),0,IF(IB145=TRUE,AC148,0))</f>
        <v>0</v>
      </c>
      <c r="DA147" s="1818"/>
      <c r="DB147" s="1820"/>
      <c r="DC147" s="1820"/>
      <c r="DD147" s="1820"/>
      <c r="DF147" s="1702">
        <f>IF(IB145=TRUE,AF147,0)</f>
        <v>0</v>
      </c>
      <c r="DG147" s="1830" t="str">
        <f>IF(IB145=TRUE,AG147,"")</f>
        <v/>
      </c>
      <c r="DH147" s="1812">
        <f>AG148</f>
        <v>0</v>
      </c>
      <c r="DI147" s="1837">
        <f>JE147</f>
        <v>0</v>
      </c>
      <c r="DJ147" s="1710">
        <f>IF(AND(__Retrofit_TI_NC&gt;0,CR145="interior"),0,IF(IB145=TRUE,AN147,0))</f>
        <v>0</v>
      </c>
      <c r="DK147" s="1712"/>
      <c r="DN147" s="1717">
        <f>IFERROR(CZ147-DJ147,0)</f>
        <v>0</v>
      </c>
      <c r="DO147" s="1709"/>
      <c r="DQ147" s="1715"/>
      <c r="DR147" s="1719" t="str">
        <f>DQ145</f>
        <v/>
      </c>
      <c r="DS147" s="1816"/>
      <c r="DT147" s="1835" t="str">
        <f>IF(OR(DS145=7,DS145=8,DS145=9),"ALC","")</f>
        <v/>
      </c>
      <c r="DU147" s="1715"/>
      <c r="DV147" s="1716"/>
      <c r="DX147" s="1715"/>
      <c r="DY147" s="1829" t="str">
        <f>DX145</f>
        <v/>
      </c>
      <c r="DZ147" s="1715"/>
      <c r="EA147" s="1715"/>
      <c r="EC147" s="1834"/>
      <c r="ED147" s="1834"/>
      <c r="EF147" s="1707"/>
      <c r="EG147" s="1712"/>
      <c r="EH147" s="1818"/>
      <c r="EI147" s="1712"/>
      <c r="EJ147" s="1712"/>
      <c r="EK147" s="1836"/>
      <c r="EL147" s="1836"/>
      <c r="EM147" s="1807"/>
      <c r="EN147" s="1839"/>
      <c r="EO147" s="1839"/>
      <c r="EP147" s="1817"/>
      <c r="EQ147" s="1817"/>
      <c r="ER147" s="1807"/>
      <c r="ES147" s="1807"/>
      <c r="ET147" s="1807"/>
      <c r="EV147" s="1715"/>
      <c r="EX147" s="1805" t="str">
        <f>IFERROR(VLOOKUP(CS147,'Space Table'!$B$3:$L$163,8,FALSE),"")</f>
        <v/>
      </c>
      <c r="EY147" s="1805" t="str">
        <f>IFERROR(IF(FB147="Yes",VLOOKUP(AG147,Lookup_Control_Type_Table2,4,FALSE),VLOOKUP(AG147,Lookup_Control_Type_Table2,3,FALSE)),"")</f>
        <v/>
      </c>
      <c r="EZ147" s="1805" t="e">
        <f>VLOOKUP(AG147,Lookup!BB$3:BC$20,2,FALSE)</f>
        <v>#N/A</v>
      </c>
      <c r="FA147" s="1805" t="e">
        <f>VLOOKUP(EX145,Lookup_Control_Type_Table,2,FALSE)</f>
        <v>#N/A</v>
      </c>
      <c r="FB147" s="1805" t="e">
        <f>VLOOKUP(CS147,'Space Table'!$B$3:$L$163,7,FALSE)</f>
        <v>#N/A</v>
      </c>
      <c r="FC147" s="1827"/>
      <c r="FE147" s="1698" t="str">
        <f>CONCATENATE(CQ145," - ",AG147)</f>
        <v xml:space="preserve"> - </v>
      </c>
      <c r="FG147" s="1816"/>
      <c r="FH147" s="1816"/>
      <c r="FI147" s="133"/>
      <c r="FL147" s="1822" t="str">
        <f>IF(CQ145="Exterior","Not Daylighted",G148)</f>
        <v>Not Daylighted</v>
      </c>
      <c r="FM147" s="1824">
        <f>VLOOKUP(FL147,_New_Daylight_Table_Codes,2,FALSE)</f>
        <v>0</v>
      </c>
      <c r="FN147" s="1698">
        <f>AG147</f>
        <v>0</v>
      </c>
      <c r="FO147" s="1698" t="e">
        <f>VLOOKUP(FN147,_Control_Table,2,FALSE)</f>
        <v>#N/A</v>
      </c>
      <c r="FP147" s="1678" t="e">
        <f>VLOOKUP(CONCATENATE(FL147," ",FN147),Lookup!AY$102:AZ158,2,FALSE)</f>
        <v>#N/A</v>
      </c>
      <c r="FQ147" s="1698">
        <f>IF(__Retrofit_TI_NC=0,FN147,IF(AND(FT147&gt;0,FN147="Occupancy Sensor"),"Daylight + Occupancy",IF(AND(FT147&gt;0,FO147&lt;4),"Interior Daylight Dimming",FN147)))</f>
        <v>0</v>
      </c>
      <c r="FS147" s="1686">
        <f>IF(CQ145="Interior",VLOOKUP(CS145,Control_Savings_Interior,5,FALSE),0)</f>
        <v>0</v>
      </c>
      <c r="FT147" s="1687">
        <f>IF(CQ147="Exterior",0,IF(FM147=2,0.5,IF(OR(FM147=1,FM147=3),1,0)))</f>
        <v>0</v>
      </c>
      <c r="FU147" s="1685">
        <f>IF(R146&gt;FS$44,(FS147*(FS$44/R146)),FS147)*FT147</f>
        <v>0</v>
      </c>
      <c r="FV147" s="1686">
        <f>DI147</f>
        <v>0</v>
      </c>
      <c r="FW147" s="1686">
        <f>ROUND(FV147+((1-FV147)*FU147),2)</f>
        <v>0</v>
      </c>
      <c r="FX147" s="1686">
        <f>IF(__Retrofit_TI_NC=2,FW147,FV147)</f>
        <v>0</v>
      </c>
      <c r="FY147" s="1697">
        <f>IF(CR147="Interior",VLOOKUP(CS147,Control_Savings_Interior,4,FALSE),0)</f>
        <v>0</v>
      </c>
      <c r="GA147" s="1696"/>
      <c r="GB147" s="1696"/>
      <c r="GC147" s="1696"/>
      <c r="GD147" s="1696"/>
      <c r="GE147" s="1696"/>
      <c r="GF147" s="1696"/>
      <c r="GG147" s="1696"/>
      <c r="GH147" s="1696"/>
      <c r="GI147" s="673" t="b">
        <f>IF(ISNUMBER(SEARCH("TLED",U147)),TRUE,FALSE)</f>
        <v>0</v>
      </c>
      <c r="GJ147" s="1135" t="str">
        <f>IFERROR(VLOOKUP(U147,Fixtures!DM$93:DR$142,6,FALSE),"")</f>
        <v/>
      </c>
      <c r="GK147" s="1832"/>
      <c r="GM147" s="1692"/>
      <c r="GN147" s="1684"/>
      <c r="GP147" s="1684"/>
      <c r="GQ147" s="1684"/>
      <c r="HG147" s="1684"/>
      <c r="HH147" s="1684"/>
      <c r="HI147" s="1684"/>
      <c r="HJ147" s="1684"/>
      <c r="HK147" s="1684"/>
      <c r="HL147" s="1684"/>
      <c r="HM147" s="1684"/>
      <c r="HN147" s="1683"/>
      <c r="HO147" s="1692"/>
      <c r="HP147" s="1692"/>
      <c r="HQ147" s="1670"/>
      <c r="HR147" s="1684"/>
      <c r="HS147" s="1684"/>
      <c r="HT147" s="1670"/>
      <c r="HU147" s="1684"/>
      <c r="HV147" s="1684"/>
      <c r="HW147" s="1684"/>
      <c r="HX147" s="1684"/>
      <c r="HY147" s="1684"/>
      <c r="HZ147" s="1684"/>
      <c r="IB147" s="1692"/>
      <c r="IC147" s="1693" t="b">
        <f>IB145</f>
        <v>0</v>
      </c>
      <c r="ID147" s="1695"/>
      <c r="IE147" s="391"/>
      <c r="IF147" s="1688"/>
      <c r="IG147" s="1689">
        <f ca="1">IF(IF145=TRUE,AC148,0)</f>
        <v>0</v>
      </c>
      <c r="IH147" s="1684"/>
      <c r="IK147" s="1689" t="e">
        <f>ROUND(T147*AB148*N146*R146/1000,0)</f>
        <v>#VALUE!</v>
      </c>
      <c r="IL147" s="1691"/>
      <c r="IM147" s="1693" t="e">
        <f>ROUND(T147*AB148*N146*R146/1000,0)</f>
        <v>#VALUE!</v>
      </c>
      <c r="IN147" s="1691"/>
      <c r="IP147" s="1679"/>
      <c r="IQ147" s="1679" t="e">
        <f t="shared" ref="IQ147:IU147" si="112">IF($CR147="interior",VLOOKUP($CS147,_New_Control_Savings_Interior,IQ$30,FALSE),VLOOKUP($CS147,Control_Savings_Exterior,IQ$30,FALSE))</f>
        <v>#N/A</v>
      </c>
      <c r="IR147" s="1679" t="e">
        <f t="shared" si="112"/>
        <v>#N/A</v>
      </c>
      <c r="IS147" s="1679" t="e">
        <f t="shared" si="112"/>
        <v>#N/A</v>
      </c>
      <c r="IT147" s="1679" t="e">
        <f t="shared" si="112"/>
        <v>#N/A</v>
      </c>
      <c r="IU147" s="1679" t="e">
        <f t="shared" si="112"/>
        <v>#N/A</v>
      </c>
      <c r="IV147" s="1679" t="e">
        <f>IF($CR147="interior",IF(R146&gt;$IP$14,ROUND(($IV$18*($IP$14/R146)),2),$IV$18),VLOOKUP($CS147,Control_Savings_Exterior,IV$30,FALSE))</f>
        <v>#N/A</v>
      </c>
      <c r="IW147" s="1679" t="e">
        <f>IF($CR147="interior",ROUND(((1-IS147)*IV147)+IS147,2),VLOOKUP($CS147,Control_Savings_Exterior,IW$30,FALSE))</f>
        <v>#N/A</v>
      </c>
      <c r="IX147" s="1679" t="e">
        <f>IF($CR147="interior",ROUND(((1-IT147)*IV147)+IT147,2),VLOOKUP($CS147,Control_Savings_Exterior,IX$30,FALSE))</f>
        <v>#N/A</v>
      </c>
      <c r="IY147" s="1679" t="e">
        <f>IF($CR147="interior",IF(R146&gt;$IP$14,ROUND(($IY$18*($IP$14/R146)),2),$IY$18),VLOOKUP($CS147,Control_Savings_Exterior,IY$30,FALSE))</f>
        <v>#N/A</v>
      </c>
      <c r="IZ147" s="1679" t="e">
        <f>IF($CR147="interior",ROUND(((1-IS147)*IY147)+IS147,2),VLOOKUP($CS147,Control_Savings_Exterior,IZ$30,FALSE))</f>
        <v>#N/A</v>
      </c>
      <c r="JA147" s="1679" t="e">
        <f>IF($CR147="interior",ROUND(((1-IT147)*IY147)+IT147,2),VLOOKUP($CS147,Control_Savings_Exterior,JA$30,FALSE))</f>
        <v>#N/A</v>
      </c>
      <c r="JC147" s="1680">
        <f>IFERROR(IF(CR147="Interior",CONCATENATE(G148," ",FQ147),AG147),"")</f>
        <v>0</v>
      </c>
      <c r="JD147" s="1670" t="str">
        <f>IFERROR(VLOOKUP(JC147,_Controls_2023,2,FALSE),"")</f>
        <v/>
      </c>
      <c r="JE147" s="1681">
        <f>IFERROR(CHOOSE(JD147-1,IQ147,IR147,IS147,IT147,IU147,IV147,IW147,IX147,IY147,IZ147,JA147),0)</f>
        <v>0</v>
      </c>
      <c r="JG147" s="1680" t="str">
        <f>FE147</f>
        <v xml:space="preserve"> - </v>
      </c>
      <c r="JH147" s="1670" t="e">
        <f>$FO147</f>
        <v>#N/A</v>
      </c>
      <c r="JI147" s="1060"/>
      <c r="JJ147" s="1670">
        <f>IFERROR(IF($IB145=TRUE,IF(OR(JJ$14="No",JJ145=FALSE,JH147&lt;=JH145,AND(_kWh_Grant=0,GD145=FALSE)),0,IF(JJ$8="Per Line",1,$AF147)),0),0)</f>
        <v>0</v>
      </c>
      <c r="JK147" s="1061"/>
      <c r="JL147" s="1670">
        <f>IFERROR(IF(_kWh_Grant=0,0,IF($IB145=TRUE,IF(OR(JL$14="No",JL145=FALSE,JH147&lt;=JH145),0,IF(JL$8="Per Line",1,$T147)),0)),0)</f>
        <v>0</v>
      </c>
      <c r="JM147" s="1061"/>
      <c r="JN147" s="1670">
        <f>IFERROR(IF(_kWh_Grant=0,0,IF($IB145=TRUE,IF(OR(JN$14="No",JN145=FALSE,JH147&lt;=JH145),0,IF(JN$8="Per Line",1,$AF147)),0)),0)</f>
        <v>0</v>
      </c>
      <c r="JO147" s="1061"/>
      <c r="JP147" s="1670">
        <f>IFERROR(IF(__Retrofit_TI_NC=0,IF(_kWh_Grant=0,0,IF($IB145=TRUE,IF(OR(JP$14="No",JP145=FALSE,$JH147&lt;=$JH145),0,IF(JP$8="Per Line",1,$AF147)),0)),IF($IB145=TRUE,IF(OR(JP$14="No",JP145=FALSE,$JH147&lt;=$JH145),0,IF(JP$8="Per Line",1,$AF147)))),0)</f>
        <v>0</v>
      </c>
      <c r="JQ147" s="1061"/>
      <c r="JR147" s="1670">
        <f>IFERROR(IF(__Retrofit_TI_NC=0,IF(_kWh_Grant=0,0,IF($IB145=TRUE,IF(OR(JR$14="No",JR145=FALSE,$JH147&lt;=$JH145),0,IF(JR$8="Per Line",1,$AF147)),0)),IF($IB145=TRUE,IF(OR(JR$14="No",JR145=FALSE,$JH147&lt;=$JH145),0,IF(JR$8="Per Line",1,$AF147)))),0)</f>
        <v>0</v>
      </c>
      <c r="JS147" s="1061"/>
      <c r="JT147" s="1670">
        <f>IFERROR(IF(__Retrofit_TI_NC=0,IF(_kWh_Grant=0,0,IF($IB145=TRUE,IF(OR(JT$14="No",JT145=FALSE,$JH147&lt;=$JH145),0,IF(JT$8="Per Line",1,$AF147)),0)),IF($IB145=TRUE,IF(OR(JT$14="No",JT145=FALSE,$JH147&lt;=$JH145),0,IF(JT$8="Per Line",1,$AF147)))),0)</f>
        <v>0</v>
      </c>
      <c r="JU147" s="1061"/>
      <c r="JV147" s="1670">
        <f>IFERROR(IF(__Retrofit_TI_NC=0,IF(_kWh_Grant=0,0,IF($IB145=TRUE,IF(OR(JV$14="No",JV145=FALSE,$JH147&lt;=$JH145),0,IF(JV$8="Per Line",1,$AF147)),0)),IF($IB145=TRUE,IF(OR(JV$14="No",JV145=FALSE,$JH147&lt;=$JH145),0,IF(JV$8="Per Line",1,$AF147)))),0)</f>
        <v>0</v>
      </c>
      <c r="JX147" s="1670">
        <f>IFERROR(IF(__Retrofit_TI_NC=0,IF(_kWh_Grant=0,0,IF($IB145=TRUE,IF(OR(JX$14="No",JX145=FALSE,$JH147&lt;=$JH145),0,IF(JX$8="Per Line",1,$AF147)),0)),IF($IB145=TRUE,IF(OR(JX$14="No",JX145=FALSE,$JH147&lt;=$JH145),0,IF(JX$8="Per Line",1,$AF147)))),0)</f>
        <v>0</v>
      </c>
      <c r="JZ147" s="1670">
        <f>IFERROR(IF($IB145=TRUE,IF(OR(JZ$14="No",JZ145=FALSE,$JH147&lt;=$JH145,AND(_kWh_Grant=0,$GD145=FALSE)),0,IF(JZ$8="Per Line",1,$AF147)),0),0)</f>
        <v>0</v>
      </c>
      <c r="KB147" s="1670">
        <f>IFERROR(IF(__Retrofit_TI_NC=0,IF(_kWh_Grant=0,0,IF($IB145=TRUE,IF(OR(KB$14="No",KB145=FALSE,$JH147&lt;=$JH145),0,IF(KB$8="Per Line",1,$AF147)),0)),IF($IB145=TRUE,IF(OR(KB$14="No",KB145=FALSE,$JH147&lt;=$JH145),0,IF(KB$8="Per Line",1,$AF147)))),0)</f>
        <v>0</v>
      </c>
    </row>
    <row r="148" spans="1:288" s="78" customFormat="1" ht="14.95" customHeight="1" thickTop="1" thickBot="1">
      <c r="B148" s="1845"/>
      <c r="C148" s="1846"/>
      <c r="D148" s="1847"/>
      <c r="E148" s="1771" t="s">
        <v>436</v>
      </c>
      <c r="F148" s="1772"/>
      <c r="G148" s="1784" t="s">
        <v>437</v>
      </c>
      <c r="H148" s="1785"/>
      <c r="I148" s="1785"/>
      <c r="J148" s="1785"/>
      <c r="K148" s="1785"/>
      <c r="L148" s="1786"/>
      <c r="M148" s="591">
        <f>IFERROR(VLOOKUP(G148,_Daylight_Table[],2,FALSE),0)</f>
        <v>0</v>
      </c>
      <c r="N148" s="592" t="str">
        <f>IF(AND(__Retrofit_TI_NC&gt;0,CQ145="Interior"),"BAM","")</f>
        <v/>
      </c>
      <c r="O148" s="591" t="e">
        <f>VLOOKUP(G147,'Space Table'!$B$3:$L$163,11,FALSE)</f>
        <v>#N/A</v>
      </c>
      <c r="P148" s="1789"/>
      <c r="Q148" s="1790"/>
      <c r="R148" s="1790"/>
      <c r="S148" s="1788"/>
      <c r="T148" s="593" t="s">
        <v>342</v>
      </c>
      <c r="U148" s="1756" t="str" cm="1">
        <f t="array" aca="1" ref="U148" ca="1">IFERROR(VLOOKUP(INDIRECT("U" &amp; ROW()-1),Fixtures!DM$93:DP$142,4,FALSE),"")</f>
        <v/>
      </c>
      <c r="V148" s="1757"/>
      <c r="W148" s="1757"/>
      <c r="X148" s="1757"/>
      <c r="Y148" s="1757"/>
      <c r="Z148" s="1757"/>
      <c r="AA148" s="1758"/>
      <c r="AB148" s="939" t="str">
        <f>IFERROR(VLOOKUP(U147,Fixtures_Proposed_List,2,FALSE),"")</f>
        <v/>
      </c>
      <c r="AC148" s="933" t="str">
        <f>IFERROR(ROUND(T147*AB148*N146*R146/1000,0),"")</f>
        <v/>
      </c>
      <c r="AD148" s="934" t="str">
        <f>IFERROR(ROUND(T147*AB148/1000,2),"")</f>
        <v/>
      </c>
      <c r="AE148" s="998"/>
      <c r="AF148" s="938" t="s">
        <v>342</v>
      </c>
      <c r="AG148" s="1770"/>
      <c r="AH148" s="1770"/>
      <c r="AI148" s="1770"/>
      <c r="AJ148" s="1770"/>
      <c r="AK148" s="1770"/>
      <c r="AL148" s="1770"/>
      <c r="AM148" s="1727"/>
      <c r="AN148" s="1729"/>
      <c r="AO148" s="1731"/>
      <c r="AP148" s="1782"/>
      <c r="AQ148" s="1783"/>
      <c r="AR148" s="1797"/>
      <c r="AS148" s="1797"/>
      <c r="AT148" s="1798"/>
      <c r="AU148" s="1736"/>
      <c r="AV148" s="1753"/>
      <c r="AW148" s="1706"/>
      <c r="AX148" s="468"/>
      <c r="AY148" s="1750"/>
      <c r="AZ148" s="1750"/>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696"/>
      <c r="CQ148" s="1696"/>
      <c r="CR148" s="1809"/>
      <c r="CS148" s="1811"/>
      <c r="CU148" s="1688"/>
      <c r="CV148" s="1703"/>
      <c r="CW148" s="1703"/>
      <c r="CX148" s="1813"/>
      <c r="CY148" s="1815"/>
      <c r="CZ148" s="1711"/>
      <c r="DA148" s="1815"/>
      <c r="DB148" s="1821"/>
      <c r="DC148" s="1821"/>
      <c r="DD148" s="1821"/>
      <c r="DF148" s="1703"/>
      <c r="DG148" s="1831"/>
      <c r="DH148" s="1813"/>
      <c r="DI148" s="1838"/>
      <c r="DJ148" s="1711"/>
      <c r="DK148" s="1712"/>
      <c r="DN148" s="1718"/>
      <c r="DO148" s="1709"/>
      <c r="DQ148" s="1715"/>
      <c r="DR148" s="1720"/>
      <c r="DS148" s="1703"/>
      <c r="DT148" s="1714"/>
      <c r="DU148" s="1715"/>
      <c r="DV148" s="1716"/>
      <c r="DX148" s="1715"/>
      <c r="DY148" s="1720"/>
      <c r="DZ148" s="1715"/>
      <c r="EA148" s="1715"/>
      <c r="EC148" s="1834"/>
      <c r="ED148" s="1834"/>
      <c r="EF148" s="1707"/>
      <c r="EG148" s="1712"/>
      <c r="EH148" s="1815"/>
      <c r="EI148" s="1712"/>
      <c r="EJ148" s="1712"/>
      <c r="EK148" s="1813"/>
      <c r="EL148" s="1813"/>
      <c r="EM148" s="1807"/>
      <c r="EN148" s="1839"/>
      <c r="EO148" s="1839"/>
      <c r="EP148" s="1817"/>
      <c r="EQ148" s="1817"/>
      <c r="ER148" s="1807"/>
      <c r="ES148" s="1807"/>
      <c r="ET148" s="1807"/>
      <c r="EV148" s="1715"/>
      <c r="EX148" s="1806"/>
      <c r="EY148" s="1806"/>
      <c r="EZ148" s="1806"/>
      <c r="FA148" s="1806"/>
      <c r="FB148" s="1806"/>
      <c r="FC148" s="1828"/>
      <c r="FE148" s="1698"/>
      <c r="FG148" s="1703"/>
      <c r="FH148" s="1703"/>
      <c r="FI148" s="133"/>
      <c r="FL148" s="1823"/>
      <c r="FM148" s="1825"/>
      <c r="FN148" s="1698"/>
      <c r="FO148" s="1698"/>
      <c r="FP148" s="1678"/>
      <c r="FQ148" s="1698"/>
      <c r="FS148" s="1687"/>
      <c r="FT148" s="1687"/>
      <c r="FU148" s="1685"/>
      <c r="FV148" s="1687"/>
      <c r="FW148" s="1687"/>
      <c r="FX148" s="1687"/>
      <c r="FY148" s="1697"/>
      <c r="GA148" s="1696"/>
      <c r="GB148" s="1696"/>
      <c r="GC148" s="1696"/>
      <c r="GD148" s="1696"/>
      <c r="GE148" s="1696"/>
      <c r="GF148" s="1696"/>
      <c r="GG148" s="1696"/>
      <c r="GH148" s="1696"/>
      <c r="GI148" s="673"/>
      <c r="GJ148" s="1135"/>
      <c r="GK148" s="1832"/>
      <c r="GN148" s="674">
        <f>IF(GN146=TRUE,0,GN$16)</f>
        <v>0</v>
      </c>
      <c r="GP148" s="674">
        <f>IF(GP146=TRUE,0,GP$16)</f>
        <v>36</v>
      </c>
      <c r="GQ148" s="674">
        <f ca="1">IF(GQ146=TRUE,0,GQ$16)</f>
        <v>35</v>
      </c>
      <c r="GR148" s="391"/>
      <c r="GS148" s="391"/>
      <c r="GT148" s="391"/>
      <c r="GU148" s="391"/>
      <c r="GV148" s="391"/>
      <c r="HG148" s="674">
        <f>IF(HG146=TRUE,0,HG$16)</f>
        <v>0</v>
      </c>
      <c r="HH148" s="674">
        <f t="shared" ref="HH148:HM148" si="113">IF(HH146=TRUE,0,HH$16)</f>
        <v>19</v>
      </c>
      <c r="HI148" s="674">
        <f t="shared" si="113"/>
        <v>18</v>
      </c>
      <c r="HJ148" s="674">
        <f t="shared" si="113"/>
        <v>17</v>
      </c>
      <c r="HK148" s="674">
        <f t="shared" si="113"/>
        <v>16</v>
      </c>
      <c r="HL148" s="674">
        <f t="shared" si="113"/>
        <v>0</v>
      </c>
      <c r="HM148" s="674">
        <f t="shared" si="113"/>
        <v>0</v>
      </c>
      <c r="HN148" s="674">
        <f>IF(HN146=TRUE,0,HN$16)</f>
        <v>13</v>
      </c>
      <c r="HO148" s="674">
        <f t="shared" ref="HO148:HQ148" si="114">IF(HO146=TRUE,0,HO$16)</f>
        <v>0</v>
      </c>
      <c r="HP148" s="674">
        <f t="shared" si="114"/>
        <v>0</v>
      </c>
      <c r="HQ148" s="674">
        <f t="shared" si="114"/>
        <v>10</v>
      </c>
      <c r="HR148" s="674">
        <f>IF(HR146=TRUE,0,HR$16)</f>
        <v>9</v>
      </c>
      <c r="HS148" s="674">
        <f t="shared" ref="HS148:HW148" si="115">IF(HS146=TRUE,0,HS$16)</f>
        <v>0</v>
      </c>
      <c r="HT148" s="674">
        <f t="shared" si="115"/>
        <v>0</v>
      </c>
      <c r="HU148" s="674">
        <f t="shared" si="115"/>
        <v>0</v>
      </c>
      <c r="HV148" s="674">
        <f t="shared" si="115"/>
        <v>0</v>
      </c>
      <c r="HW148" s="674">
        <f t="shared" si="115"/>
        <v>0</v>
      </c>
      <c r="HX148" s="674">
        <f>IF(HX146=TRUE,0,HX$16)</f>
        <v>0</v>
      </c>
      <c r="HY148" s="674">
        <f>IF(HY146=TRUE,0,HY$16)</f>
        <v>0</v>
      </c>
      <c r="HZ148" s="674">
        <f>IF(HZ146=TRUE,0,HZ$16)</f>
        <v>1</v>
      </c>
      <c r="IB148" s="674">
        <f>IF(GP146=FALSE,GP148,IF(GQ146=FALSE,GQ148,MAX(GN148:HZ148)))</f>
        <v>36</v>
      </c>
      <c r="IC148" s="1692"/>
      <c r="ID148" s="205" t="str">
        <f>VLOOKUP(IB148,_Error_Table,3,FALSE)</f>
        <v xml:space="preserve"> </v>
      </c>
      <c r="IE148" s="205"/>
      <c r="IF148" s="1688"/>
      <c r="IG148" s="1689"/>
      <c r="IH148" s="1684"/>
      <c r="IK148" s="1689"/>
      <c r="IL148" s="1692"/>
      <c r="IM148" s="1692"/>
      <c r="IN148" s="1692"/>
      <c r="IP148" s="1679"/>
      <c r="IQ148" s="1679"/>
      <c r="IR148" s="1679"/>
      <c r="IS148" s="1679"/>
      <c r="IT148" s="1679"/>
      <c r="IU148" s="1679"/>
      <c r="IV148" s="1679"/>
      <c r="IW148" s="1679"/>
      <c r="IX148" s="1679"/>
      <c r="IY148" s="1679"/>
      <c r="IZ148" s="1679"/>
      <c r="JA148" s="1679"/>
      <c r="JC148" s="1680"/>
      <c r="JD148" s="1670"/>
      <c r="JE148" s="1681"/>
      <c r="JG148" s="1680"/>
      <c r="JH148" s="1670"/>
      <c r="JI148" s="1060"/>
      <c r="JJ148" s="1670"/>
      <c r="JK148" s="1061"/>
      <c r="JL148" s="1670"/>
      <c r="JM148" s="1061"/>
      <c r="JN148" s="1670"/>
      <c r="JO148" s="1061"/>
      <c r="JP148" s="1670"/>
      <c r="JQ148" s="1061"/>
      <c r="JR148" s="1670"/>
      <c r="JS148" s="1061"/>
      <c r="JT148" s="1670"/>
      <c r="JU148" s="1061"/>
      <c r="JV148" s="1670"/>
      <c r="JX148" s="1670"/>
      <c r="JZ148" s="1670"/>
      <c r="KB148" s="1670"/>
    </row>
    <row r="149" spans="1:288" s="78" customFormat="1" ht="5.0999999999999996" customHeight="1">
      <c r="B149" s="676"/>
      <c r="C149" s="392"/>
      <c r="D149" s="392"/>
      <c r="E149" s="1733"/>
      <c r="F149" s="1733"/>
      <c r="G149" s="1733"/>
      <c r="H149" s="1733"/>
      <c r="I149" s="1733"/>
      <c r="J149" s="1733"/>
      <c r="K149" s="1733"/>
      <c r="L149" s="1733"/>
      <c r="M149" s="1733"/>
      <c r="N149" s="1733"/>
      <c r="O149" s="1733"/>
      <c r="P149" s="1733"/>
      <c r="Q149" s="1733"/>
      <c r="R149" s="1733"/>
      <c r="S149" s="1733"/>
      <c r="T149" s="1733"/>
      <c r="U149" s="1733"/>
      <c r="V149" s="1733"/>
      <c r="W149" s="1733"/>
      <c r="X149" s="1733"/>
      <c r="Y149" s="1733"/>
      <c r="Z149" s="1733"/>
      <c r="AA149" s="1733"/>
      <c r="AB149" s="1733"/>
      <c r="AC149" s="1733"/>
      <c r="AD149" s="1733"/>
      <c r="AE149" s="1733"/>
      <c r="AF149" s="1733"/>
      <c r="AG149" s="1733"/>
      <c r="AH149" s="1733"/>
      <c r="AI149" s="1733"/>
      <c r="AJ149" s="1733"/>
      <c r="AK149" s="1733"/>
      <c r="AL149" s="1733"/>
      <c r="AM149" s="1733"/>
      <c r="AN149" s="1733"/>
      <c r="AO149" s="1733"/>
      <c r="AP149" s="1733"/>
      <c r="AQ149" s="1733"/>
      <c r="AR149" s="1733"/>
      <c r="AS149" s="1733"/>
      <c r="AT149" s="1733"/>
      <c r="AU149" s="1733"/>
      <c r="AV149" s="1733"/>
      <c r="AW149" s="1733"/>
      <c r="AX149" s="469"/>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663"/>
      <c r="CQ149" s="663"/>
      <c r="CR149" s="438"/>
      <c r="CS149" s="663"/>
      <c r="CV149" s="391"/>
      <c r="CW149" s="391"/>
      <c r="CX149" s="207"/>
      <c r="CY149" s="208"/>
      <c r="CZ149" s="208"/>
      <c r="DA149" s="208"/>
      <c r="DB149" s="209"/>
      <c r="DC149" s="209"/>
      <c r="DD149" s="209"/>
      <c r="DF149" s="664"/>
      <c r="DG149" s="665"/>
      <c r="DH149" s="666"/>
      <c r="DI149" s="667"/>
      <c r="DJ149" s="668"/>
      <c r="DK149" s="668"/>
      <c r="DN149" s="208"/>
      <c r="DO149" s="664"/>
      <c r="DQ149" s="664"/>
      <c r="DR149" s="669"/>
      <c r="DS149" s="391"/>
      <c r="DT149" s="664"/>
      <c r="DU149" s="664"/>
      <c r="DV149" s="664"/>
      <c r="DX149" s="664"/>
      <c r="DY149" s="664"/>
      <c r="DZ149" s="664"/>
      <c r="EA149" s="664"/>
      <c r="EC149" s="670"/>
      <c r="ED149" s="670"/>
      <c r="EF149" s="668"/>
      <c r="EG149" s="668"/>
      <c r="EH149" s="208"/>
      <c r="EI149" s="668"/>
      <c r="EJ149" s="668"/>
      <c r="EK149" s="207"/>
      <c r="EL149" s="207"/>
      <c r="EM149" s="666"/>
      <c r="EN149" s="671"/>
      <c r="EO149" s="671"/>
      <c r="EP149" s="672"/>
      <c r="EQ149" s="672"/>
      <c r="ER149" s="666"/>
      <c r="ES149" s="666"/>
      <c r="ET149" s="666"/>
      <c r="EV149" s="664"/>
      <c r="EX149" s="391"/>
      <c r="EY149" s="391"/>
      <c r="EZ149" s="391"/>
      <c r="FA149" s="391"/>
      <c r="FB149" s="391"/>
      <c r="FC149" s="391"/>
      <c r="FE149" s="569"/>
      <c r="FG149" s="391"/>
      <c r="FH149" s="391"/>
      <c r="FI149" s="391"/>
      <c r="FS149" s="664"/>
      <c r="FT149" s="391"/>
      <c r="FU149" s="391"/>
      <c r="FV149" s="664"/>
      <c r="FW149" s="664"/>
      <c r="GA149" s="663"/>
      <c r="GB149" s="663"/>
      <c r="GC149" s="663"/>
      <c r="GD149" s="663"/>
      <c r="GE149" s="663"/>
      <c r="GF149" s="663"/>
      <c r="GG149" s="663"/>
      <c r="GH149" s="663"/>
      <c r="GI149" s="665"/>
      <c r="GJ149" s="664"/>
      <c r="GK149" s="664"/>
    </row>
    <row r="150" spans="1:288" s="78" customFormat="1" ht="14.95" customHeight="1">
      <c r="B150" s="1845" t="str">
        <f>ID153</f>
        <v xml:space="preserve"> </v>
      </c>
      <c r="C150" s="1846">
        <f>C145+1</f>
        <v>21</v>
      </c>
      <c r="D150" s="1847"/>
      <c r="E150" s="1799" t="s">
        <v>295</v>
      </c>
      <c r="F150" s="1800"/>
      <c r="G150" s="1741"/>
      <c r="H150" s="1742"/>
      <c r="I150" s="1742"/>
      <c r="J150" s="1742"/>
      <c r="K150" s="1742"/>
      <c r="L150" s="1742"/>
      <c r="M150" s="1742"/>
      <c r="N150" s="1742"/>
      <c r="O150" s="1742"/>
      <c r="P150" s="1742"/>
      <c r="Q150" s="1742"/>
      <c r="R150" s="1742"/>
      <c r="S150" s="1791" t="s">
        <v>344</v>
      </c>
      <c r="T150" s="590"/>
      <c r="U150" s="1743"/>
      <c r="V150" s="1744"/>
      <c r="W150" s="1744"/>
      <c r="X150" s="1744"/>
      <c r="Y150" s="1744"/>
      <c r="Z150" s="1744"/>
      <c r="AA150" s="1744"/>
      <c r="AB150" s="961" t="str">
        <f>IFERROR(IF(__Retrofit_TI_NC=0,VLOOKUP(U151,Fixtures_Existing_List,2,FALSE),ROUND(N152*R152/T152,10)),"")</f>
        <v/>
      </c>
      <c r="AC150" s="935" t="str">
        <f>IFERROR(IF(__Retrofit_TI_NC=0,ROUND(T151*AB150*N151*R151/1000,0),IF(CQ150="Interior",N152*R152*R151*N151*_C406_reduction/1000,N152*R152*R151*N151/1000)),"")</f>
        <v/>
      </c>
      <c r="AD150" s="936" t="str">
        <f>IFERROR(IF(C$43=0,ROUND(T151*AB150/1000,2),N152*R152/1000),"")</f>
        <v/>
      </c>
      <c r="AE150" s="997"/>
      <c r="AF150" s="937"/>
      <c r="AG150" s="1745" t="str">
        <f>IF(__Retrofit_TI_NC=0," Control","Select Advanced Control for New System")</f>
        <v xml:space="preserve"> Control</v>
      </c>
      <c r="AH150" s="1745"/>
      <c r="AI150" s="1745"/>
      <c r="AJ150" s="1745"/>
      <c r="AK150" s="1745"/>
      <c r="AL150" s="1745"/>
      <c r="AM150" s="1746">
        <f>IFERROR(DI150,"")</f>
        <v>0</v>
      </c>
      <c r="AN150" s="1774" t="str">
        <f>IFERROR(ROUND(AM150*AC150,0),"")</f>
        <v/>
      </c>
      <c r="AO150" s="1776">
        <f>IFERROR(IF(IB150=FALSE,0,AC150-AN150),0)</f>
        <v>0</v>
      </c>
      <c r="AP150" s="1778">
        <f>AO150-AO152</f>
        <v>0</v>
      </c>
      <c r="AQ150" s="1779"/>
      <c r="AR150" s="1793">
        <f>IFERROR(IF(IB150=FALSE,0,(T152*U153)+(AF152*AG153)),0)</f>
        <v>0</v>
      </c>
      <c r="AS150" s="1793"/>
      <c r="AT150" s="1794"/>
      <c r="AU150" s="1734" t="s">
        <v>237</v>
      </c>
      <c r="AV150" s="1751">
        <f>IF(AU150="Yes",1,0)</f>
        <v>1</v>
      </c>
      <c r="AW150" s="1704" t="str">
        <f>IF(OR(DQ150=4,DQ150=5,DQ150=6,DQ150=12),CONCATENATE("$",IF(GH150=TRUE,Lookup!$K$10,Lookup!$K$2)," /lamp"),CONCATENATE(TEXT(ED150,"$0.00"),"/ kWh"))</f>
        <v>$0.00/ kWh</v>
      </c>
      <c r="AX150" s="467"/>
      <c r="AY150" s="1748">
        <f ca="1">IFERROR(IF(GM151=TRUE,(AB153*T152)/R152,0),"NA")</f>
        <v>0</v>
      </c>
      <c r="AZ150" s="1748"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696" t="str">
        <f>N151</f>
        <v/>
      </c>
      <c r="CQ150" s="1696" t="str">
        <f>IFERROR(VLOOKUP(G151,_Lookup_Heat_Type_Table_New,3,FALSE),"")</f>
        <v/>
      </c>
      <c r="CR150" s="1808" t="str">
        <f>CQ150</f>
        <v/>
      </c>
      <c r="CS150" s="1810" t="str">
        <f>IFERROR(VLOOKUP(G152,'Space Table'!$B$3:$L$163,9,FALSE),"")</f>
        <v/>
      </c>
      <c r="CU150" s="1688" t="s">
        <v>344</v>
      </c>
      <c r="CV150" s="1702">
        <f>IF(IB150=TRUE,T151,0)</f>
        <v>0</v>
      </c>
      <c r="CW150" s="1702" t="str">
        <f>IF(IB150=TRUE,U151,"")</f>
        <v/>
      </c>
      <c r="CX150" s="1702"/>
      <c r="CY150" s="1814">
        <f>IF(IB150=TRUE,AB150,0)</f>
        <v>0</v>
      </c>
      <c r="CZ150" s="1710">
        <f>IF(AND(__Retrofit_TI_NC&gt;0,CR150="interior"),0,IF(IB150=TRUE,AC150,0))</f>
        <v>0</v>
      </c>
      <c r="DA150" s="1814">
        <f>IFERROR(IF(IB150=TRUE,CZ150-CZ152,0),0)</f>
        <v>0</v>
      </c>
      <c r="DB150" s="1819">
        <f>IF(IB150=TRUE,AD150,0)</f>
        <v>0</v>
      </c>
      <c r="DC150" s="1819">
        <f>IF(IB150=TRUE,AD153,0)</f>
        <v>0</v>
      </c>
      <c r="DD150" s="1819">
        <f>IFERROR(DB150-DC150,0)</f>
        <v>0</v>
      </c>
      <c r="DF150" s="1702">
        <f>IF(IB150=TRUE,AF151,0)</f>
        <v>0</v>
      </c>
      <c r="DG150" s="1830">
        <f>IFERROR(IF(__Retrofit_TI_NC=2,IF(CQ150="Exterior",O153,FQ150),FN150),"")</f>
        <v>0</v>
      </c>
      <c r="DH150" s="1702"/>
      <c r="DI150" s="1837">
        <f>JE150</f>
        <v>0</v>
      </c>
      <c r="DJ150" s="1710">
        <f>IF(AND(__Retrofit_TI_NC&gt;0,CR150="interior"),0,IF(IB150=TRUE,AN150,0))</f>
        <v>0</v>
      </c>
      <c r="DK150" s="1712">
        <f>IFERROR(IF(IB150=TRUE,DJ152-DJ150,0),0)</f>
        <v>0</v>
      </c>
      <c r="DM150" s="1717">
        <f>IFERROR(CZ150-DJ150,0)</f>
        <v>0</v>
      </c>
      <c r="DO150" s="1708">
        <f>DM150-DN152</f>
        <v>0</v>
      </c>
      <c r="DQ150" s="1715" t="str">
        <f>IFERROR(IF(AND(OR(GC150=4,GC150=5,GC150=6),OR(GF150=4,GF150=5,GF150=6)),GC150+8,VLOOKUP(CW152,Fixtures!R$31:Y$78,8,FALSE)),"")</f>
        <v/>
      </c>
      <c r="DR150" s="1829" t="str">
        <f>DQ150</f>
        <v/>
      </c>
      <c r="DS150" s="1702" t="str">
        <f>IFERROR(VLOOKUP(DG152,Lookup!BB$3:BC$20,2,FALSE),"")</f>
        <v/>
      </c>
      <c r="DT150" s="1713" t="str">
        <f>IF(OR(DS150=7,DS150=8,DS150=9),"ALC","")</f>
        <v/>
      </c>
      <c r="DU150" s="1715">
        <f>IFERROR(IF(OR(DQ150=4,DQ150=5,DQ150=6,DQ150=12,DQ150=13,DQ150=14),VLOOKUP(CW152,Fixtures!DN$27:EG$77,19,FALSE),1)*CV152,0)</f>
        <v>0</v>
      </c>
      <c r="DV150" s="1716">
        <f>IF(OR(DS150=7,DS150=8,DS150=9),IF(DG150=DG152,0,DF152),0)</f>
        <v>0</v>
      </c>
      <c r="DX150" s="1715" t="str">
        <f>IFERROR(IF(EZ150&lt;EZ152,"Yes","No"),"")</f>
        <v/>
      </c>
      <c r="DY150" s="1829" t="str">
        <f>DX150</f>
        <v/>
      </c>
      <c r="DZ150" s="1715">
        <f>IF(DX150="Yes",DF152,0)</f>
        <v>0</v>
      </c>
      <c r="EA150" s="1715">
        <f>DZ150-DV150</f>
        <v>0</v>
      </c>
      <c r="EC150" s="1834">
        <f>IFERROR(VLOOKUP(DQ150,Lookup!AU$3:AV$16,2,FALSE),0)</f>
        <v>0</v>
      </c>
      <c r="ED150" s="1834">
        <f>IF(IB150=FALSE,0,IF(DX150="Yes",EC150+Lookup!K$6,EC150))</f>
        <v>0</v>
      </c>
      <c r="EF150" s="1707">
        <f>IF(IB150=TRUE,DM150,0)</f>
        <v>0</v>
      </c>
      <c r="EG150" s="1712">
        <f>IF(IB150=TRUE,CZ152,0)</f>
        <v>0</v>
      </c>
      <c r="EH150" s="1814">
        <f>IFERROR(EF150-EG150,0)</f>
        <v>0</v>
      </c>
      <c r="EI150" s="1712">
        <f>IF(IB150=TRUE,DJ152,0)</f>
        <v>0</v>
      </c>
      <c r="EJ150" s="1712">
        <f>IFERROR(EF150-EG150+EI150,0)</f>
        <v>0</v>
      </c>
      <c r="EK150" s="1812">
        <f>IF(IB150=TRUE,CV152*CX152,0)</f>
        <v>0</v>
      </c>
      <c r="EL150" s="1812">
        <f>IF(IB150=TRUE,DF152*DH152,0)</f>
        <v>0</v>
      </c>
      <c r="EM150" s="1807">
        <f>AR150</f>
        <v>0</v>
      </c>
      <c r="EN150" s="1839" t="str">
        <f>IFERROR(IF(IB150=TRUE,VLOOKUP(DQ150,Lookup!AU$3:AW$16,3,FALSE)*DU150,""),0)</f>
        <v/>
      </c>
      <c r="EO150" s="1839">
        <f>IF(IB150=TRUE,DZ150*Lookup!AW$12,0)</f>
        <v>0</v>
      </c>
      <c r="EP150" s="1817">
        <f>IFERROR(IF(IB150=TRUE,EN150/EP$40,0),0)</f>
        <v>0</v>
      </c>
      <c r="EQ150" s="1817">
        <f>IF(IB150=TRUE,EO150/EQ$40,0)</f>
        <v>0</v>
      </c>
      <c r="ER150" s="1807">
        <f>IF(IB150=TRUE,ET$40*EP150,0)</f>
        <v>0</v>
      </c>
      <c r="ES150" s="1807">
        <f>IF(IB150=TRUE,ET$40*EQ150,0)</f>
        <v>0</v>
      </c>
      <c r="ET150" s="1807">
        <f>ER150+ES150</f>
        <v>0</v>
      </c>
      <c r="EV150" s="1715">
        <f>IF(G150="",0,1)</f>
        <v>0</v>
      </c>
      <c r="EX150" s="1804" t="str">
        <f>IFERROR(VLOOKUP(CS152,'Space Table'!$B$3:$L$163,8,FALSE),"")</f>
        <v/>
      </c>
      <c r="EY150" s="1804" t="str">
        <f>IFERROR(IF(FB150="Yes",VLOOKUP(DG150,Lookup_Control_Type_Table2,4,FALSE),VLOOKUP(DG150,Lookup_Control_Type_Table2,3,FALSE)),"")</f>
        <v/>
      </c>
      <c r="EZ150" s="1804" t="e">
        <f>VLOOKUP(DG150,Lookup!BB$3:BC$20,2,FALSE)</f>
        <v>#N/A</v>
      </c>
      <c r="FA150" s="1804" t="e">
        <f>VLOOKUP(EX150,Lookup_Control_Type_Table,2,FALSE)</f>
        <v>#N/A</v>
      </c>
      <c r="FB150" s="1804" t="e">
        <f>VLOOKUP(CS152,'Space Table'!$B$3:$L$163,7,FALSE)</f>
        <v>#N/A</v>
      </c>
      <c r="FC150" s="1826" t="b">
        <f>ISNUMBER(SEARCH("TLED",U152))</f>
        <v>0</v>
      </c>
      <c r="FE150" s="1698" t="str">
        <f>CONCATENATE(CQ150," - ",DG150)</f>
        <v xml:space="preserve"> - 0</v>
      </c>
      <c r="FG150" s="1702" t="str">
        <f>VLOOKUP(CW152,Fixtures!DN$27:EZ$77,38,FALSE)</f>
        <v/>
      </c>
      <c r="FH150" s="1702">
        <f>IFERROR(FG150*EH150,0)</f>
        <v>0</v>
      </c>
      <c r="FI150" s="133"/>
      <c r="FL150" s="1822" t="str">
        <f>IF(CQ150="Exterior","Not Daylighted",G153)</f>
        <v>Not Daylighted</v>
      </c>
      <c r="FM150" s="1824">
        <f>VLOOKUP(FL150,_New_Daylight_Table_Codes,2,FALSE)</f>
        <v>0</v>
      </c>
      <c r="FN150" s="1698">
        <f>IF(__Retrofit_TI_NC&gt;0,VLOOKUP(G152,'Space Table'!$B$3:$L$163,11,FALSE),AG151)</f>
        <v>0</v>
      </c>
      <c r="FO150" s="1698" t="e">
        <f>IF(__Retrofit_TI_NC=2,VLOOKUP(FQ150,_Control_Table,2,FALSE),VLOOKUP(FN150,_Control_Table,2,FALSE))</f>
        <v>#N/A</v>
      </c>
      <c r="FP150" s="1678" t="e">
        <f>VLOOKUP(CONCATENATE(FL150," ",FN150),Lookup!AY$102:AZ160,2,FALSE)</f>
        <v>#N/A</v>
      </c>
      <c r="FQ150" s="1678">
        <f>IF(__Retrofit_TI_NC=0,FN150,IF(AND(FT150&gt;0,FN150="Occupancy Sensor"),"Daylight + Occupancy",IF(AND(FT150&gt;0,VLOOKUP(FN150,_Control_Table,2,FALSE)&lt;4),"Interior Daylight Dimming",FN150)))</f>
        <v>0</v>
      </c>
      <c r="FS150" s="1686">
        <f>IF(CR150="Interior",VLOOKUP(CS150,Control_Savings_Interior,5,FALSE),0)</f>
        <v>0</v>
      </c>
      <c r="FT150" s="1687">
        <f>IF(CQ150="Exterior",0,IF(FM150=2,0.5,IF(OR(FM150=1,FM150=3),1,0)))</f>
        <v>0</v>
      </c>
      <c r="FU150" s="1685">
        <f>IF(R149&gt;FS$44,(FS150*(FS$44/R149)),FS150)*FT150</f>
        <v>0</v>
      </c>
      <c r="FV150" s="1686">
        <f>DI150</f>
        <v>0</v>
      </c>
      <c r="FW150" s="1686">
        <f>ROUND(FV150+((1-FV150)*FU150),2)</f>
        <v>0</v>
      </c>
      <c r="FX150" s="1686">
        <f>IF(__Retrofit_TI_NC=2,FW150,FV150)</f>
        <v>0</v>
      </c>
      <c r="FY150" s="1697"/>
      <c r="GA150" s="1696" t="str">
        <f>IFERROR(VLOOKUP(U151,_Exist_Fixture_Table,3,FALSE),"")</f>
        <v/>
      </c>
      <c r="GB150" s="1696" t="str">
        <f>VLOOKUP(CW150,_Exist_Fixture_Table,4,FALSE)</f>
        <v/>
      </c>
      <c r="GC150" s="1696">
        <f>IFERROR(VLOOKUP(GB150,Lookup!AT$6:AU$8,2,FALSE),0)</f>
        <v>0</v>
      </c>
      <c r="GD150" s="1696" t="b">
        <f>IFERROR(IF(OR(GF150=4,GF150=5,GF150=6),TRUE,FALSE),"")</f>
        <v>0</v>
      </c>
      <c r="GE150" s="1696" t="str">
        <f>IFERROR(VLOOKUP(GF150,GC$6:GD$10,2,FALSE),"")</f>
        <v/>
      </c>
      <c r="GF150" s="1696" t="str">
        <f>VLOOKUP(CW152,Fixtures!R$31:Y$78,8,FALSE)</f>
        <v/>
      </c>
      <c r="GG150" s="1696">
        <f>IF(AND(GA150=TRUE,GD150=TRUE,OR(DQ150=12,DQ150=13,DQ150=14)),GC150+8,0)</f>
        <v>0</v>
      </c>
      <c r="GH150" s="1696" t="b">
        <f>IF(OR(GG150=12,GG150=13,GG150=14),TRUE,FALSE)</f>
        <v>0</v>
      </c>
      <c r="GI150" s="673" t="b">
        <f>IF(ISNUMBER(SEARCH("TLED",U151)),TRUE,FALSE)</f>
        <v>0</v>
      </c>
      <c r="GJ150" s="1135" t="str">
        <f>IFERROR(VLOOKUP(U151,Fixtures!BM$93:BR$142,6,FALSE),"")</f>
        <v/>
      </c>
      <c r="GK150" s="1832" t="b">
        <f>IF(OR(GI150=FALSE,GI152=FALSE),TRUE,IF(GJ150-GJ152&lt;5,FALSE,TRUE))</f>
        <v>1</v>
      </c>
      <c r="GO150" s="674">
        <f>GP150</f>
        <v>0</v>
      </c>
      <c r="GP150" s="674">
        <f>IF(G150="",0,1)</f>
        <v>0</v>
      </c>
      <c r="GQ150" s="674">
        <f ca="1">SUM(GR150:HF150)</f>
        <v>2</v>
      </c>
      <c r="GR150" s="674">
        <f>IF(G151="",0,1)</f>
        <v>0</v>
      </c>
      <c r="GS150" s="674">
        <f>IF(N153="BAM",1,IF(G152="",0,1))</f>
        <v>0</v>
      </c>
      <c r="GT150" s="674">
        <f>IF(N153="BAM",1,IF(R151="",0,1))</f>
        <v>0</v>
      </c>
      <c r="GU150" s="674">
        <f>IF(N153="BAM",1,IF(__Retrofit_TI_NC=0,1,IF(R152="",0,1)))</f>
        <v>1</v>
      </c>
      <c r="GV150" s="674">
        <f>IF(N153="BAM",1,IF(CQ150="Exterior",1,IF(G153="",0,1)))</f>
        <v>1</v>
      </c>
      <c r="GW150" s="674">
        <f>IF(__Retrofit_TI_NC&gt;0,1,IF(T151="",0,1))</f>
        <v>0</v>
      </c>
      <c r="GX150" s="674">
        <f>IF(__Retrofit_TI_NC&gt;0,1,IF(U151="",0,1))</f>
        <v>0</v>
      </c>
      <c r="GY150" s="674">
        <f>IF(N153="BAM",1,IF(T152="",0,1))</f>
        <v>0</v>
      </c>
      <c r="GZ150" s="674">
        <f>IF(N153="BAM",1,IF(U152="",0,1))</f>
        <v>0</v>
      </c>
      <c r="HA150" s="674">
        <f ca="1">IF(N153="BAM",1,IF(__Retrofit_TI_NC&gt;0,1,IF(U153="",0,1)))</f>
        <v>0</v>
      </c>
      <c r="HB150" s="674">
        <f>IF(__Retrofit_TI_NC&lt;&gt;0,1,IF(AF151="",0,1))</f>
        <v>0</v>
      </c>
      <c r="HC150" s="674">
        <f>IF(__Retrofit_TI_NC&lt;&gt;0,1,IF(AG151="",0,1))</f>
        <v>0</v>
      </c>
      <c r="HD150" s="674">
        <f>IF(N153="BAM",1,IF(AF152="",0,1))</f>
        <v>0</v>
      </c>
      <c r="HE150" s="674">
        <f>IF(N153="BAM",1,IF(AG152="",0,1))</f>
        <v>0</v>
      </c>
      <c r="HF150" s="674">
        <f>IF(N153="BAM",1,IF(__Retrofit_TI_NC&gt;0,1,IF(AG153="",0,1)))</f>
        <v>0</v>
      </c>
      <c r="HG150" s="391"/>
      <c r="IA150" s="391"/>
      <c r="IB150" s="1693" t="b">
        <f>IF(OR(IB153=0,IB153=HY$16,IB153=HX$16,IB153=HZ$16),TRUE,FALSE)</f>
        <v>0</v>
      </c>
      <c r="IC150" s="1694" t="b">
        <f>IB150</f>
        <v>0</v>
      </c>
      <c r="ID150" s="391"/>
      <c r="IE150" s="391"/>
      <c r="IF150" s="1688" t="b">
        <f ca="1">IF(MAX(GN153:HU153)&gt;5,FALSE,TRUE)</f>
        <v>0</v>
      </c>
      <c r="IG150" s="1689">
        <f ca="1">IF(IF150=TRUE,AC150,0)</f>
        <v>0</v>
      </c>
      <c r="IH150" s="1689">
        <f ca="1">IG150-IG152</f>
        <v>0</v>
      </c>
      <c r="IK150" s="1689" t="e">
        <f>ROUND(T151*VLOOKUP(U151,Fixtures_Existing_List,2,FALSE)*N151*R151/1000,0)</f>
        <v>#N/A</v>
      </c>
      <c r="IL150" s="1690" t="e">
        <f>IK150-IK152</f>
        <v>#N/A</v>
      </c>
      <c r="IM150" s="1693" t="e">
        <f>ROUND(IF(CQ150="Interior",N152*R152*R151*N151*_C406_reduction/1000,N152*R152*R151*N151/1000),0)</f>
        <v>#N/A</v>
      </c>
      <c r="IN150" s="1693" t="e">
        <f>IM150-IM152</f>
        <v>#N/A</v>
      </c>
      <c r="IP150" s="1679"/>
      <c r="IQ150" s="1679" t="e">
        <f t="shared" ref="IQ150:IU150" si="116">IF($CR150="interior",VLOOKUP($CS150,_New_Control_Savings_Interior,IQ$30,FALSE),VLOOKUP($CS150,Control_Savings_Exterior,IQ$30,FALSE))</f>
        <v>#N/A</v>
      </c>
      <c r="IR150" s="1679" t="e">
        <f t="shared" si="116"/>
        <v>#N/A</v>
      </c>
      <c r="IS150" s="1679" t="e">
        <f t="shared" si="116"/>
        <v>#N/A</v>
      </c>
      <c r="IT150" s="1679" t="e">
        <f t="shared" si="116"/>
        <v>#N/A</v>
      </c>
      <c r="IU150" s="1679" t="e">
        <f t="shared" si="116"/>
        <v>#N/A</v>
      </c>
      <c r="IV150" s="1679" t="e">
        <f>IF($CR150="interior",IF(R151&gt;$IP$14,ROUND(($IV$18*($IP$14/R151)),2),$IV$18),VLOOKUP($CS150,Control_Savings_Exterior,IV$30,FALSE))</f>
        <v>#N/A</v>
      </c>
      <c r="IW150" s="1679" t="e">
        <f>IF($CR150="interior",ROUND(((1-IS150)*IV150)+IS150,2),VLOOKUP($CS150,Control_Savings_Exterior,IW$30,FALSE))</f>
        <v>#N/A</v>
      </c>
      <c r="IX150" s="1679" t="e">
        <f>IF($CR150="interior",ROUND(((1-IT150)*IV150)+IT150,2),VLOOKUP($CS150,Control_Savings_Exterior,IX$30,FALSE))</f>
        <v>#N/A</v>
      </c>
      <c r="IY150" s="1679" t="e">
        <f>IF($CR150="interior",IF(R151&gt;$IP$14,ROUND(($IY$18*($IP$14/R151)),2),$IY$18),VLOOKUP($CS150,Control_Savings_Exterior,IY$30,FALSE))</f>
        <v>#N/A</v>
      </c>
      <c r="IZ150" s="1679" t="e">
        <f>IF($CR150="interior",ROUND(((1-IS150)*IY150)+IS150,2),VLOOKUP($CS150,Control_Savings_Exterior,IZ$30,FALSE))</f>
        <v>#N/A</v>
      </c>
      <c r="JA150" s="1679" t="e">
        <f>IF($CR150="interior",ROUND(((1-IT150)*IY150)+IT150,2),VLOOKUP($CS150,Control_Savings_Exterior,JA$30,FALSE))</f>
        <v>#N/A</v>
      </c>
      <c r="JC150" s="1680">
        <f>IFERROR(IF(CR150="Interior",CONCATENATE(G153," ",FQ150),FQ150),"")</f>
        <v>0</v>
      </c>
      <c r="JD150" s="1670" t="str">
        <f>IFERROR(VLOOKUP(JC150,_Controls_2023,2,FALSE),"")</f>
        <v/>
      </c>
      <c r="JE150" s="1681">
        <f>IFERROR(CHOOSE(JD150-1,IQ150,IR150,IS150,IT150,IU150,IV150,IW150,IX150,IY150,IZ150,JA150),0)</f>
        <v>0</v>
      </c>
      <c r="JG150" s="1680" t="str">
        <f>FE150</f>
        <v xml:space="preserve"> - 0</v>
      </c>
      <c r="JH150" s="1670" t="e">
        <f>$FO150</f>
        <v>#N/A</v>
      </c>
      <c r="JI150" s="1060"/>
      <c r="JJ150" s="1682" t="b">
        <f>IF($JG152=CONCATENATE("Interior - ",JJ$4),TRUE,FALSE)</f>
        <v>0</v>
      </c>
      <c r="JK150" s="1061"/>
      <c r="JL150" s="1682" t="b">
        <f>IF($JG152=CONCATENATE("Interior - ",JL$4),TRUE,FALSE)</f>
        <v>0</v>
      </c>
      <c r="JM150" s="1061"/>
      <c r="JN150" s="1682" t="b">
        <f>IF($JG152=CONCATENATE("Interior - ",JN$4),TRUE,FALSE)</f>
        <v>0</v>
      </c>
      <c r="JO150" s="1061"/>
      <c r="JP150" s="1682" t="b">
        <f>IF(__Retrofit_TI_NC&gt;0,FALSE,IF($JG152=CONCATENATE("Interior - ",JP$4),TRUE,FALSE))</f>
        <v>0</v>
      </c>
      <c r="JQ150" s="1061"/>
      <c r="JR150" s="1682" t="b">
        <f>IF(__Retrofit_TI_NC&gt;0,FALSE,IF($JG152=CONCATENATE("Interior - ",JR$4),TRUE,FALSE))</f>
        <v>0</v>
      </c>
      <c r="JS150" s="1061"/>
      <c r="JT150" s="1670" t="b">
        <f>IF(__Retrofit_TI_NC&gt;0,FALSE,IF($JG152=CONCATENATE("Interior - ",JT$4),TRUE,FALSE))</f>
        <v>0</v>
      </c>
      <c r="JU150" s="1061"/>
      <c r="JV150" s="1670" t="b">
        <f>IF(JC152="AELC on Existing",TRUE,FALSE)</f>
        <v>0</v>
      </c>
      <c r="JX150" s="1670" t="b">
        <f>IF(OR(JG152="Exterior - AELC Occupancy based",JG152="Exterior - AELC Time based"),TRUE,FALSE)</f>
        <v>0</v>
      </c>
      <c r="JZ150" s="1682" t="b">
        <f>IF($JG152=CONCATENATE("Exterior - ",JZ$4),TRUE,FALSE)</f>
        <v>0</v>
      </c>
      <c r="KB150" s="1670" t="b">
        <f>IF(__Retrofit_TI_NC&gt;0,FALSE,IF($JG152=CONCATENATE("Interior - ",KB$4),TRUE,FALSE))</f>
        <v>0</v>
      </c>
    </row>
    <row r="151" spans="1:288" s="78" customFormat="1" ht="14.95" customHeight="1" thickTop="1" thickBot="1">
      <c r="B151" s="1845"/>
      <c r="C151" s="1846"/>
      <c r="D151" s="1847"/>
      <c r="E151" s="1737" t="s">
        <v>297</v>
      </c>
      <c r="F151" s="1738"/>
      <c r="G151" s="1739"/>
      <c r="H151" s="1739"/>
      <c r="I151" s="1739"/>
      <c r="J151" s="1739"/>
      <c r="K151" s="1739"/>
      <c r="L151" s="1739"/>
      <c r="M151" s="461" t="e">
        <f>IF(__Retrofit_TI_NC&lt;&gt;0,IF(VLOOKUP(G152,'Space Table'!$B$3:$L$163,3,FALSE)&gt;0,1,0),IF(__Retrofit_TI_NC=VLOOKUP(G152,'Space Table'!$B$3:$L$163,3,FALSE),1,0))</f>
        <v>#N/A</v>
      </c>
      <c r="N151" s="461" t="str">
        <f>IFERROR(VLOOKUP(G151,_Lookup_Heat_Type_Table_New,2,FALSE),"")</f>
        <v/>
      </c>
      <c r="O151" s="461">
        <f>IF(__Retrofit_TI_NC=1,CONCATENATE("TI ",G151),IF(__Retrofit_TI_NC=2,CONCATENATE("NC ",G151),G151))</f>
        <v>0</v>
      </c>
      <c r="P151" s="1740" t="s">
        <v>435</v>
      </c>
      <c r="Q151" s="1740"/>
      <c r="R151" s="595"/>
      <c r="S151" s="1792"/>
      <c r="T151" s="597"/>
      <c r="U151" s="1765"/>
      <c r="V151" s="1766"/>
      <c r="W151" s="1766"/>
      <c r="X151" s="1766"/>
      <c r="Y151" s="1766"/>
      <c r="Z151" s="1766"/>
      <c r="AA151" s="1766"/>
      <c r="AB151" s="1766"/>
      <c r="AC151" s="1766"/>
      <c r="AD151" s="1767"/>
      <c r="AE151" s="1000"/>
      <c r="AF151" s="597"/>
      <c r="AG151" s="1723"/>
      <c r="AH151" s="1724"/>
      <c r="AI151" s="1724"/>
      <c r="AJ151" s="1724"/>
      <c r="AK151" s="1725"/>
      <c r="AL151" s="996"/>
      <c r="AM151" s="1747"/>
      <c r="AN151" s="1775"/>
      <c r="AO151" s="1777"/>
      <c r="AP151" s="1780"/>
      <c r="AQ151" s="1781"/>
      <c r="AR151" s="1795"/>
      <c r="AS151" s="1795"/>
      <c r="AT151" s="1796"/>
      <c r="AU151" s="1735"/>
      <c r="AV151" s="1752"/>
      <c r="AW151" s="1705"/>
      <c r="AX151" s="467"/>
      <c r="AY151" s="1749"/>
      <c r="AZ151" s="1749"/>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696"/>
      <c r="CQ151" s="1696"/>
      <c r="CR151" s="1809"/>
      <c r="CS151" s="1811"/>
      <c r="CU151" s="1688"/>
      <c r="CV151" s="1703"/>
      <c r="CW151" s="1703"/>
      <c r="CX151" s="1703"/>
      <c r="CY151" s="1815"/>
      <c r="CZ151" s="1711"/>
      <c r="DA151" s="1818"/>
      <c r="DB151" s="1820"/>
      <c r="DC151" s="1820"/>
      <c r="DD151" s="1820"/>
      <c r="DF151" s="1703"/>
      <c r="DG151" s="1831"/>
      <c r="DH151" s="1703"/>
      <c r="DI151" s="1838"/>
      <c r="DJ151" s="1711"/>
      <c r="DK151" s="1712"/>
      <c r="DM151" s="1718"/>
      <c r="DO151" s="1708"/>
      <c r="DQ151" s="1715"/>
      <c r="DR151" s="1720"/>
      <c r="DS151" s="1816"/>
      <c r="DT151" s="1714"/>
      <c r="DU151" s="1715"/>
      <c r="DV151" s="1716"/>
      <c r="DX151" s="1715"/>
      <c r="DY151" s="1720"/>
      <c r="DZ151" s="1715"/>
      <c r="EA151" s="1715"/>
      <c r="EC151" s="1834"/>
      <c r="ED151" s="1834"/>
      <c r="EF151" s="1707"/>
      <c r="EG151" s="1712"/>
      <c r="EH151" s="1818"/>
      <c r="EI151" s="1712"/>
      <c r="EJ151" s="1712"/>
      <c r="EK151" s="1836"/>
      <c r="EL151" s="1836"/>
      <c r="EM151" s="1807"/>
      <c r="EN151" s="1839"/>
      <c r="EO151" s="1839"/>
      <c r="EP151" s="1817"/>
      <c r="EQ151" s="1817"/>
      <c r="ER151" s="1807"/>
      <c r="ES151" s="1807"/>
      <c r="ET151" s="1807"/>
      <c r="EV151" s="1715"/>
      <c r="EX151" s="1805"/>
      <c r="EY151" s="1805"/>
      <c r="EZ151" s="1805"/>
      <c r="FA151" s="1805"/>
      <c r="FB151" s="1805"/>
      <c r="FC151" s="1827"/>
      <c r="FE151" s="1698"/>
      <c r="FG151" s="1816"/>
      <c r="FH151" s="1816"/>
      <c r="FI151" s="133"/>
      <c r="FL151" s="1823"/>
      <c r="FM151" s="1825"/>
      <c r="FN151" s="1698"/>
      <c r="FO151" s="1698"/>
      <c r="FP151" s="1678"/>
      <c r="FQ151" s="1678"/>
      <c r="FS151" s="1687"/>
      <c r="FT151" s="1687"/>
      <c r="FU151" s="1685"/>
      <c r="FV151" s="1687"/>
      <c r="FW151" s="1687"/>
      <c r="FX151" s="1687"/>
      <c r="FY151" s="1697"/>
      <c r="GA151" s="1696"/>
      <c r="GB151" s="1696"/>
      <c r="GC151" s="1696"/>
      <c r="GD151" s="1696"/>
      <c r="GE151" s="1696"/>
      <c r="GF151" s="1696"/>
      <c r="GG151" s="1696"/>
      <c r="GH151" s="1696"/>
      <c r="GI151" s="673"/>
      <c r="GJ151" s="1135"/>
      <c r="GK151" s="1832"/>
      <c r="GM151" s="1693" t="b">
        <f ca="1">IF(AND(GP151=TRUE,GQ151=TRUE),TRUE,FALSE)</f>
        <v>0</v>
      </c>
      <c r="GN151" s="1684" t="b">
        <f>IFERROR(IF(__Retrofit_TI_NC=2,TRUE,IF(AU150="Yes",TRUE,FALSE)),FALSE)</f>
        <v>1</v>
      </c>
      <c r="GP151" s="1684" t="b">
        <f>IFERROR(IF(GP150=1,TRUE,FALSE),FALSE)</f>
        <v>0</v>
      </c>
      <c r="GQ151" s="1684" t="b">
        <f ca="1">IFERROR(IF(GQ150=GQ$14,TRUE,FALSE),FALSE)</f>
        <v>0</v>
      </c>
      <c r="HG151" s="1684" t="b">
        <f>IFERROR(IF(AND(__Retrofit_TI_NC&gt;0,CQ150="Interior"),FALSE,TRUE),FALSE)</f>
        <v>1</v>
      </c>
      <c r="HH151" s="1684" t="b">
        <f>IFERROR(IF(M151=1,TRUE,FALSE),FALSE)</f>
        <v>0</v>
      </c>
      <c r="HI151" s="1684" t="b">
        <f>IFERROR(IF(OR(M152=1,N153="BAM"),TRUE,FALSE),FALSE)</f>
        <v>0</v>
      </c>
      <c r="HJ151" s="1684" t="b">
        <f>IFERROR(IF(__Retrofit_TI_NC&lt;&gt;0,TRUE,IFERROR(IF(VLOOKUP(U151,Fixtures_Existing_List,2,FALSE)&lt;&gt;"",TRUE,FALSE),FALSE)),FALSE)</f>
        <v>0</v>
      </c>
      <c r="HK151" s="1684" t="b">
        <f>IFERROR(IF(VLOOKUP(U152,Fixtures_Proposed_List,2,FALSE)&lt;&gt;"",TRUE,FALSE),FALSE)</f>
        <v>0</v>
      </c>
      <c r="HL151" s="1684" t="b">
        <f>IF(AND(__Retrofit_TI_NC=2,FC150=TRUE),FALSE,TRUE)</f>
        <v>1</v>
      </c>
      <c r="HM151" s="1684" t="b">
        <f>GK150</f>
        <v>1</v>
      </c>
      <c r="HN151" s="1682" t="b">
        <f>IF(ISERROR(MATCH(FE150,_Control_Match[],0))=TRUE,FALSE,TRUE)</f>
        <v>0</v>
      </c>
      <c r="HO151" s="1693" t="b">
        <f>IFERROR(IF(EX150&lt;&gt;EY150,FALSE,TRUE),FALSE)</f>
        <v>1</v>
      </c>
      <c r="HP151" s="1693" t="b">
        <f>IFERROR(IF(EX152&lt;&gt;EY152,FALSE,TRUE),FALSE)</f>
        <v>1</v>
      </c>
      <c r="HQ151" s="1670" t="b">
        <f>IFERROR(IF(CQ150="Exterior",TRUE,IF(AND(OR(FM152=0,FM152=3),JD152&gt;6),FALSE,TRUE)),FALSE)</f>
        <v>0</v>
      </c>
      <c r="HR151" s="1684" t="b">
        <f>IFERROR(IF(AND(FO152=7,FC150=TRUE),FALSE,TRUE),FALSE)</f>
        <v>0</v>
      </c>
      <c r="HS151" s="1684" t="b">
        <f>IFERROR(IF(AND(T152&lt;&gt;AF152,OR(AG152="Interior LLLC", AG152="Interior NLC", AG152="LLLC (outside Daylight)",AG152="LLLC Controls Only"))=TRUE,FALSE,TRUE),FALSE)</f>
        <v>1</v>
      </c>
      <c r="HT151" s="1670" t="b">
        <f>IFERROR(IF(OR(AG152=Lookup!BB$17,AG152=Lookup!BB$18,AG152=Lookup!BB$19)=TRUE,IF(AF152&gt;T152,FALSE,TRUE),TRUE),FALSE)</f>
        <v>1</v>
      </c>
      <c r="HU151" s="1684" t="b">
        <f>IFERROR(IF(__Retrofit_TI_NC=2,IF(EZ152&lt;EZ150,FALSE,TRUE),TRUE),FALSE)</f>
        <v>1</v>
      </c>
      <c r="HV151" s="1684" t="b">
        <f>IF(CQ150="Interior",IL$6,TRUE)</f>
        <v>1</v>
      </c>
      <c r="HW151" s="1684" t="b">
        <f>IF(CQ150="Exterior",IL$8,TRUE)</f>
        <v>1</v>
      </c>
      <c r="HX151" s="1684" t="b">
        <f>IFERROR(IF(__Retrofit_TI_NC&lt;&gt;0,IF(AZ150&lt;AY150,FALSE,TRUE),TRUE),FALSE)</f>
        <v>1</v>
      </c>
      <c r="HY151" s="1684" t="b">
        <f>IFERROR(IF(AND(G151="Exterior",R151&gt;4200),FALSE,TRUE),FALSE)</f>
        <v>1</v>
      </c>
      <c r="HZ151" s="1684" t="b">
        <f>IFERROR(IF(AB153/AB150&lt;HZ$18,FALSE,TRUE),FALSE)</f>
        <v>0</v>
      </c>
      <c r="IB151" s="1691"/>
      <c r="IC151" s="1695"/>
      <c r="ID151" s="1694" t="str">
        <f>VLOOKUP(IB153,_Error_Table,4,FALSE)</f>
        <v>White</v>
      </c>
      <c r="IE151" s="391"/>
      <c r="IF151" s="1688"/>
      <c r="IG151" s="1689"/>
      <c r="IH151" s="1684"/>
      <c r="IK151" s="1689"/>
      <c r="IL151" s="1691"/>
      <c r="IM151" s="1691"/>
      <c r="IN151" s="1691"/>
      <c r="IP151" s="1679"/>
      <c r="IQ151" s="1679"/>
      <c r="IR151" s="1679"/>
      <c r="IS151" s="1679"/>
      <c r="IT151" s="1679"/>
      <c r="IU151" s="1679"/>
      <c r="IV151" s="1679"/>
      <c r="IW151" s="1679"/>
      <c r="IX151" s="1679"/>
      <c r="IY151" s="1679"/>
      <c r="IZ151" s="1679"/>
      <c r="JA151" s="1679"/>
      <c r="JC151" s="1680"/>
      <c r="JD151" s="1670"/>
      <c r="JE151" s="1681"/>
      <c r="JG151" s="1680"/>
      <c r="JH151" s="1670"/>
      <c r="JI151" s="1060"/>
      <c r="JJ151" s="1683"/>
      <c r="JK151" s="1061"/>
      <c r="JL151" s="1683"/>
      <c r="JM151" s="1061"/>
      <c r="JN151" s="1683"/>
      <c r="JO151" s="1061"/>
      <c r="JP151" s="1683"/>
      <c r="JQ151" s="1061"/>
      <c r="JR151" s="1683"/>
      <c r="JS151" s="1061"/>
      <c r="JT151" s="1670"/>
      <c r="JU151" s="1061"/>
      <c r="JV151" s="1670"/>
      <c r="JX151" s="1670"/>
      <c r="JZ151" s="1683"/>
      <c r="KB151" s="1670"/>
    </row>
    <row r="152" spans="1:288" s="78" customFormat="1" ht="14.95" customHeight="1" thickTop="1" thickBot="1">
      <c r="A152" s="78">
        <f>ROW()</f>
        <v>152</v>
      </c>
      <c r="B152" s="1845"/>
      <c r="C152" s="1846"/>
      <c r="D152" s="1847"/>
      <c r="E152" s="1737" t="s">
        <v>298</v>
      </c>
      <c r="F152" s="1738"/>
      <c r="G152" s="1760"/>
      <c r="H152" s="1761"/>
      <c r="I152" s="1761"/>
      <c r="J152" s="1761"/>
      <c r="K152" s="1761"/>
      <c r="L152" s="1762"/>
      <c r="M152" s="461">
        <f>IFERROR(IF(IF(__Retrofit_TI_NC&lt;&gt;0,IF(CQ150="Interior",MATCH(G152,Lookup_Interior_New,0),MATCH(G152,Lookup_Exterior_New,0)),IF(CQ150="Interior",MATCH(G152,Lookup_Interior,0),MATCH(G152,Lookup_Exterior_Areas,0)))&gt;0,1,0),0)</f>
        <v>0</v>
      </c>
      <c r="N152" s="461" t="e">
        <f>IF(__Retrofit_TI_NC=1,
VLOOKUP(G152,'Space Table'!$B$3:$L$163,4,FALSE),
IF(__Retrofit_TI_NC=2,VLOOKUP(G152,'Space Table'!$B$3:$L$163,5,FALSE),VLOOKUP(G152,'Space Table'!$B$3:$L$163,5,FALSE)))</f>
        <v>#N/A</v>
      </c>
      <c r="O152" s="461">
        <f>G152</f>
        <v>0</v>
      </c>
      <c r="P152" s="1738" t="str">
        <f>IFERROR(IF(__Retrofit_TI_NC=1,VLOOKUP(G152,'Space Table'!$B$3:$O$163,13,FALSE),IF(__Retrofit_TI_NC=2,VLOOKUP(G152,'Space Table'!$B$3:$O$163,14,FALSE),"Area (sf):")),"Area (sf):")</f>
        <v>Area (sf):</v>
      </c>
      <c r="Q152" s="1738"/>
      <c r="R152" s="596"/>
      <c r="S152" s="1763" t="s">
        <v>345</v>
      </c>
      <c r="T152" s="594"/>
      <c r="U152" s="1801"/>
      <c r="V152" s="1802"/>
      <c r="W152" s="1802"/>
      <c r="X152" s="1802"/>
      <c r="Y152" s="1802"/>
      <c r="Z152" s="1802"/>
      <c r="AA152" s="1802"/>
      <c r="AB152" s="1802"/>
      <c r="AC152" s="1802"/>
      <c r="AD152" s="1802"/>
      <c r="AE152" s="1803"/>
      <c r="AF152" s="594"/>
      <c r="AG152" s="1787"/>
      <c r="AH152" s="1787"/>
      <c r="AI152" s="1787"/>
      <c r="AJ152" s="1787"/>
      <c r="AK152" s="1787"/>
      <c r="AL152" s="1787"/>
      <c r="AM152" s="1726">
        <f>IFERROR(DI152,"")</f>
        <v>0</v>
      </c>
      <c r="AN152" s="1728" t="str">
        <f>IFERROR(ROUND(AM152*AC153,0),"")</f>
        <v/>
      </c>
      <c r="AO152" s="1730">
        <f>IFERROR(IF(IB150=FALSE,0,AC153-AN152),0)</f>
        <v>0</v>
      </c>
      <c r="AP152" s="1780"/>
      <c r="AQ152" s="1781"/>
      <c r="AR152" s="1795"/>
      <c r="AS152" s="1795"/>
      <c r="AT152" s="1796"/>
      <c r="AU152" s="1735"/>
      <c r="AV152" s="1752"/>
      <c r="AW152" s="1705"/>
      <c r="AX152" s="467"/>
      <c r="AY152" s="1749"/>
      <c r="AZ152" s="1749"/>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696"/>
      <c r="CQ152" s="1696"/>
      <c r="CR152" s="1808" t="str">
        <f>CQ150</f>
        <v/>
      </c>
      <c r="CS152" s="1810" t="str">
        <f>CS150</f>
        <v/>
      </c>
      <c r="CU152" s="1688" t="s">
        <v>345</v>
      </c>
      <c r="CV152" s="1702">
        <f>IF(IB150=TRUE,T152,0)</f>
        <v>0</v>
      </c>
      <c r="CW152" s="1702" t="str">
        <f>IF(IB150=TRUE,U152,"")</f>
        <v/>
      </c>
      <c r="CX152" s="1812">
        <f>IF(IB150=TRUE,U153,0)</f>
        <v>0</v>
      </c>
      <c r="CY152" s="1814">
        <f>IF(IB150=TRUE,AB153,0)</f>
        <v>0</v>
      </c>
      <c r="CZ152" s="1710">
        <f>IF(AND(__Retrofit_TI_NC&gt;0,CR150="interior"),0,IF(IB150=TRUE,AC153,0))</f>
        <v>0</v>
      </c>
      <c r="DA152" s="1818"/>
      <c r="DB152" s="1820"/>
      <c r="DC152" s="1820"/>
      <c r="DD152" s="1820"/>
      <c r="DF152" s="1702">
        <f>IF(IB150=TRUE,AF152,0)</f>
        <v>0</v>
      </c>
      <c r="DG152" s="1830" t="str">
        <f>IF(IB150=TRUE,AG152,"")</f>
        <v/>
      </c>
      <c r="DH152" s="1812">
        <f>AG153</f>
        <v>0</v>
      </c>
      <c r="DI152" s="1837">
        <f>JE152</f>
        <v>0</v>
      </c>
      <c r="DJ152" s="1710">
        <f>IF(AND(__Retrofit_TI_NC&gt;0,CR150="interior"),0,IF(IB150=TRUE,AN152,0))</f>
        <v>0</v>
      </c>
      <c r="DK152" s="1712"/>
      <c r="DN152" s="1717">
        <f>IFERROR(CZ152-DJ152,0)</f>
        <v>0</v>
      </c>
      <c r="DO152" s="1709"/>
      <c r="DQ152" s="1715"/>
      <c r="DR152" s="1719" t="str">
        <f>DQ150</f>
        <v/>
      </c>
      <c r="DS152" s="1816"/>
      <c r="DT152" s="1835" t="str">
        <f>IF(OR(DS150=7,DS150=8,DS150=9),"ALC","")</f>
        <v/>
      </c>
      <c r="DU152" s="1715"/>
      <c r="DV152" s="1716"/>
      <c r="DX152" s="1715"/>
      <c r="DY152" s="1829" t="str">
        <f>DX150</f>
        <v/>
      </c>
      <c r="DZ152" s="1715"/>
      <c r="EA152" s="1715"/>
      <c r="EC152" s="1834"/>
      <c r="ED152" s="1834"/>
      <c r="EF152" s="1707"/>
      <c r="EG152" s="1712"/>
      <c r="EH152" s="1818"/>
      <c r="EI152" s="1712"/>
      <c r="EJ152" s="1712"/>
      <c r="EK152" s="1836"/>
      <c r="EL152" s="1836"/>
      <c r="EM152" s="1807"/>
      <c r="EN152" s="1839"/>
      <c r="EO152" s="1839"/>
      <c r="EP152" s="1817"/>
      <c r="EQ152" s="1817"/>
      <c r="ER152" s="1807"/>
      <c r="ES152" s="1807"/>
      <c r="ET152" s="1807"/>
      <c r="EV152" s="1715"/>
      <c r="EX152" s="1805" t="str">
        <f>IFERROR(VLOOKUP(CS152,'Space Table'!$B$3:$L$163,8,FALSE),"")</f>
        <v/>
      </c>
      <c r="EY152" s="1805" t="str">
        <f>IFERROR(IF(FB152="Yes",VLOOKUP(AG152,Lookup_Control_Type_Table2,4,FALSE),VLOOKUP(AG152,Lookup_Control_Type_Table2,3,FALSE)),"")</f>
        <v/>
      </c>
      <c r="EZ152" s="1805" t="e">
        <f>VLOOKUP(AG152,Lookup!BB$3:BC$20,2,FALSE)</f>
        <v>#N/A</v>
      </c>
      <c r="FA152" s="1805" t="e">
        <f>VLOOKUP(EX150,Lookup_Control_Type_Table,2,FALSE)</f>
        <v>#N/A</v>
      </c>
      <c r="FB152" s="1805" t="e">
        <f>VLOOKUP(CS152,'Space Table'!$B$3:$L$163,7,FALSE)</f>
        <v>#N/A</v>
      </c>
      <c r="FC152" s="1827"/>
      <c r="FE152" s="1698" t="str">
        <f>CONCATENATE(CQ150," - ",AG152)</f>
        <v xml:space="preserve"> - </v>
      </c>
      <c r="FG152" s="1816"/>
      <c r="FH152" s="1816"/>
      <c r="FI152" s="133"/>
      <c r="FL152" s="1822" t="str">
        <f>IF(CQ150="Exterior","Not Daylighted",G153)</f>
        <v>Not Daylighted</v>
      </c>
      <c r="FM152" s="1824">
        <f>VLOOKUP(FL152,_New_Daylight_Table_Codes,2,FALSE)</f>
        <v>0</v>
      </c>
      <c r="FN152" s="1698">
        <f>AG152</f>
        <v>0</v>
      </c>
      <c r="FO152" s="1698" t="e">
        <f>VLOOKUP(FN152,_Control_Table,2,FALSE)</f>
        <v>#N/A</v>
      </c>
      <c r="FP152" s="1678" t="e">
        <f>VLOOKUP(CONCATENATE(FL152," ",FN152),Lookup!AY$102:AZ163,2,FALSE)</f>
        <v>#N/A</v>
      </c>
      <c r="FQ152" s="1698">
        <f>IF(__Retrofit_TI_NC=0,FN152,IF(AND(FT152&gt;0,FN152="Occupancy Sensor"),"Daylight + Occupancy",IF(AND(FT152&gt;0,FO152&lt;4),"Interior Daylight Dimming",FN152)))</f>
        <v>0</v>
      </c>
      <c r="FS152" s="1686">
        <f>IF(CQ150="Interior",VLOOKUP(CS150,Control_Savings_Interior,5,FALSE),0)</f>
        <v>0</v>
      </c>
      <c r="FT152" s="1687">
        <f>IF(CQ152="Exterior",0,IF(FM152=2,0.5,IF(OR(FM152=1,FM152=3),1,0)))</f>
        <v>0</v>
      </c>
      <c r="FU152" s="1685">
        <f>IF(R151&gt;FS$44,(FS152*(FS$44/R151)),FS152)*FT152</f>
        <v>0</v>
      </c>
      <c r="FV152" s="1686">
        <f>DI152</f>
        <v>0</v>
      </c>
      <c r="FW152" s="1686">
        <f>ROUND(FV152+((1-FV152)*FU152),2)</f>
        <v>0</v>
      </c>
      <c r="FX152" s="1686">
        <f>IF(__Retrofit_TI_NC=2,FW152,FV152)</f>
        <v>0</v>
      </c>
      <c r="FY152" s="1697">
        <f>IF(CR152="Interior",VLOOKUP(CS152,Control_Savings_Interior,4,FALSE),0)</f>
        <v>0</v>
      </c>
      <c r="GA152" s="1696"/>
      <c r="GB152" s="1696"/>
      <c r="GC152" s="1696"/>
      <c r="GD152" s="1696"/>
      <c r="GE152" s="1696"/>
      <c r="GF152" s="1696"/>
      <c r="GG152" s="1696"/>
      <c r="GH152" s="1696"/>
      <c r="GI152" s="673" t="b">
        <f>IF(ISNUMBER(SEARCH("TLED",U152)),TRUE,FALSE)</f>
        <v>0</v>
      </c>
      <c r="GJ152" s="1135" t="str">
        <f>IFERROR(VLOOKUP(U152,Fixtures!DM$93:DR$142,6,FALSE),"")</f>
        <v/>
      </c>
      <c r="GK152" s="1832"/>
      <c r="GM152" s="1692"/>
      <c r="GN152" s="1684"/>
      <c r="GP152" s="1684"/>
      <c r="GQ152" s="1684"/>
      <c r="HG152" s="1684"/>
      <c r="HH152" s="1684"/>
      <c r="HI152" s="1684"/>
      <c r="HJ152" s="1684"/>
      <c r="HK152" s="1684"/>
      <c r="HL152" s="1684"/>
      <c r="HM152" s="1684"/>
      <c r="HN152" s="1683"/>
      <c r="HO152" s="1692"/>
      <c r="HP152" s="1692"/>
      <c r="HQ152" s="1670"/>
      <c r="HR152" s="1684"/>
      <c r="HS152" s="1684"/>
      <c r="HT152" s="1670"/>
      <c r="HU152" s="1684"/>
      <c r="HV152" s="1684"/>
      <c r="HW152" s="1684"/>
      <c r="HX152" s="1684"/>
      <c r="HY152" s="1684"/>
      <c r="HZ152" s="1684"/>
      <c r="IB152" s="1692"/>
      <c r="IC152" s="1693" t="b">
        <f>IB150</f>
        <v>0</v>
      </c>
      <c r="ID152" s="1695"/>
      <c r="IE152" s="391"/>
      <c r="IF152" s="1688"/>
      <c r="IG152" s="1689">
        <f ca="1">IF(IF150=TRUE,AC153,0)</f>
        <v>0</v>
      </c>
      <c r="IH152" s="1684"/>
      <c r="IK152" s="1689" t="e">
        <f>ROUND(T152*AB153*N151*R151/1000,0)</f>
        <v>#VALUE!</v>
      </c>
      <c r="IL152" s="1691"/>
      <c r="IM152" s="1693" t="e">
        <f>ROUND(T152*AB153*N151*R151/1000,0)</f>
        <v>#VALUE!</v>
      </c>
      <c r="IN152" s="1691"/>
      <c r="IP152" s="1679"/>
      <c r="IQ152" s="1679" t="e">
        <f t="shared" ref="IQ152:IU152" si="117">IF($CR152="interior",VLOOKUP($CS152,_New_Control_Savings_Interior,IQ$30,FALSE),VLOOKUP($CS152,Control_Savings_Exterior,IQ$30,FALSE))</f>
        <v>#N/A</v>
      </c>
      <c r="IR152" s="1679" t="e">
        <f t="shared" si="117"/>
        <v>#N/A</v>
      </c>
      <c r="IS152" s="1679" t="e">
        <f t="shared" si="117"/>
        <v>#N/A</v>
      </c>
      <c r="IT152" s="1679" t="e">
        <f t="shared" si="117"/>
        <v>#N/A</v>
      </c>
      <c r="IU152" s="1679" t="e">
        <f t="shared" si="117"/>
        <v>#N/A</v>
      </c>
      <c r="IV152" s="1679" t="e">
        <f>IF($CR152="interior",IF(R151&gt;$IP$14,ROUND(($IV$18*($IP$14/R151)),2),$IV$18),VLOOKUP($CS152,Control_Savings_Exterior,IV$30,FALSE))</f>
        <v>#N/A</v>
      </c>
      <c r="IW152" s="1679" t="e">
        <f>IF($CR152="interior",ROUND(((1-IS152)*IV152)+IS152,2),VLOOKUP($CS152,Control_Savings_Exterior,IW$30,FALSE))</f>
        <v>#N/A</v>
      </c>
      <c r="IX152" s="1679" t="e">
        <f>IF($CR152="interior",ROUND(((1-IT152)*IV152)+IT152,2),VLOOKUP($CS152,Control_Savings_Exterior,IX$30,FALSE))</f>
        <v>#N/A</v>
      </c>
      <c r="IY152" s="1679" t="e">
        <f>IF($CR152="interior",IF(R151&gt;$IP$14,ROUND(($IY$18*($IP$14/R151)),2),$IY$18),VLOOKUP($CS152,Control_Savings_Exterior,IY$30,FALSE))</f>
        <v>#N/A</v>
      </c>
      <c r="IZ152" s="1679" t="e">
        <f>IF($CR152="interior",ROUND(((1-IS152)*IY152)+IS152,2),VLOOKUP($CS152,Control_Savings_Exterior,IZ$30,FALSE))</f>
        <v>#N/A</v>
      </c>
      <c r="JA152" s="1679" t="e">
        <f>IF($CR152="interior",ROUND(((1-IT152)*IY152)+IT152,2),VLOOKUP($CS152,Control_Savings_Exterior,JA$30,FALSE))</f>
        <v>#N/A</v>
      </c>
      <c r="JC152" s="1680">
        <f>IFERROR(IF(CR152="Interior",CONCATENATE(G153," ",FQ152),AG152),"")</f>
        <v>0</v>
      </c>
      <c r="JD152" s="1670" t="str">
        <f>IFERROR(VLOOKUP(JC152,_Controls_2023,2,FALSE),"")</f>
        <v/>
      </c>
      <c r="JE152" s="1681">
        <f>IFERROR(CHOOSE(JD152-1,IQ152,IR152,IS152,IT152,IU152,IV152,IW152,IX152,IY152,IZ152,JA152),0)</f>
        <v>0</v>
      </c>
      <c r="JG152" s="1680" t="str">
        <f>FE152</f>
        <v xml:space="preserve"> - </v>
      </c>
      <c r="JH152" s="1670" t="e">
        <f>$FO152</f>
        <v>#N/A</v>
      </c>
      <c r="JI152" s="1060"/>
      <c r="JJ152" s="1670">
        <f>IFERROR(IF($IB150=TRUE,IF(OR(JJ$14="No",JJ150=FALSE,JH152&lt;=JH150,AND(_kWh_Grant=0,GD150=FALSE)),0,IF(JJ$8="Per Line",1,$AF152)),0),0)</f>
        <v>0</v>
      </c>
      <c r="JK152" s="1061"/>
      <c r="JL152" s="1670">
        <f>IFERROR(IF(_kWh_Grant=0,0,IF($IB150=TRUE,IF(OR(JL$14="No",JL150=FALSE,JH152&lt;=JH150),0,IF(JL$8="Per Line",1,$T152)),0)),0)</f>
        <v>0</v>
      </c>
      <c r="JM152" s="1061"/>
      <c r="JN152" s="1670">
        <f>IFERROR(IF(_kWh_Grant=0,0,IF($IB150=TRUE,IF(OR(JN$14="No",JN150=FALSE,JH152&lt;=JH150),0,IF(JN$8="Per Line",1,$AF152)),0)),0)</f>
        <v>0</v>
      </c>
      <c r="JO152" s="1061"/>
      <c r="JP152" s="1670">
        <f>IFERROR(IF(__Retrofit_TI_NC=0,IF(_kWh_Grant=0,0,IF($IB150=TRUE,IF(OR(JP$14="No",JP150=FALSE,$JH152&lt;=$JH150),0,IF(JP$8="Per Line",1,$AF152)),0)),IF($IB150=TRUE,IF(OR(JP$14="No",JP150=FALSE,$JH152&lt;=$JH150),0,IF(JP$8="Per Line",1,$AF152)))),0)</f>
        <v>0</v>
      </c>
      <c r="JQ152" s="1061"/>
      <c r="JR152" s="1670">
        <f>IFERROR(IF(__Retrofit_TI_NC=0,IF(_kWh_Grant=0,0,IF($IB150=TRUE,IF(OR(JR$14="No",JR150=FALSE,$JH152&lt;=$JH150),0,IF(JR$8="Per Line",1,$AF152)),0)),IF($IB150=TRUE,IF(OR(JR$14="No",JR150=FALSE,$JH152&lt;=$JH150),0,IF(JR$8="Per Line",1,$AF152)))),0)</f>
        <v>0</v>
      </c>
      <c r="JS152" s="1061"/>
      <c r="JT152" s="1670">
        <f>IFERROR(IF(__Retrofit_TI_NC=0,IF(_kWh_Grant=0,0,IF($IB150=TRUE,IF(OR(JT$14="No",JT150=FALSE,$JH152&lt;=$JH150),0,IF(JT$8="Per Line",1,$AF152)),0)),IF($IB150=TRUE,IF(OR(JT$14="No",JT150=FALSE,$JH152&lt;=$JH150),0,IF(JT$8="Per Line",1,$AF152)))),0)</f>
        <v>0</v>
      </c>
      <c r="JU152" s="1061"/>
      <c r="JV152" s="1670">
        <f>IFERROR(IF(__Retrofit_TI_NC=0,IF(_kWh_Grant=0,0,IF($IB150=TRUE,IF(OR(JV$14="No",JV150=FALSE,$JH152&lt;=$JH150),0,IF(JV$8="Per Line",1,$AF152)),0)),IF($IB150=TRUE,IF(OR(JV$14="No",JV150=FALSE,$JH152&lt;=$JH150),0,IF(JV$8="Per Line",1,$AF152)))),0)</f>
        <v>0</v>
      </c>
      <c r="JX152" s="1670">
        <f>IFERROR(IF(__Retrofit_TI_NC=0,IF(_kWh_Grant=0,0,IF($IB150=TRUE,IF(OR(JX$14="No",JX150=FALSE,$JH152&lt;=$JH150),0,IF(JX$8="Per Line",1,$AF152)),0)),IF($IB150=TRUE,IF(OR(JX$14="No",JX150=FALSE,$JH152&lt;=$JH150),0,IF(JX$8="Per Line",1,$AF152)))),0)</f>
        <v>0</v>
      </c>
      <c r="JZ152" s="1670">
        <f>IFERROR(IF($IB150=TRUE,IF(OR(JZ$14="No",JZ150=FALSE,$JH152&lt;=$JH150,AND(_kWh_Grant=0,$GD150=FALSE)),0,IF(JZ$8="Per Line",1,$AF152)),0),0)</f>
        <v>0</v>
      </c>
      <c r="KB152" s="1670">
        <f>IFERROR(IF(__Retrofit_TI_NC=0,IF(_kWh_Grant=0,0,IF($IB150=TRUE,IF(OR(KB$14="No",KB150=FALSE,$JH152&lt;=$JH150),0,IF(KB$8="Per Line",1,$AF152)),0)),IF($IB150=TRUE,IF(OR(KB$14="No",KB150=FALSE,$JH152&lt;=$JH150),0,IF(KB$8="Per Line",1,$AF152)))),0)</f>
        <v>0</v>
      </c>
    </row>
    <row r="153" spans="1:288" s="78" customFormat="1" ht="14.95" customHeight="1" thickTop="1" thickBot="1">
      <c r="B153" s="1845"/>
      <c r="C153" s="1846"/>
      <c r="D153" s="1847"/>
      <c r="E153" s="1771" t="s">
        <v>436</v>
      </c>
      <c r="F153" s="1772"/>
      <c r="G153" s="1784" t="s">
        <v>437</v>
      </c>
      <c r="H153" s="1785"/>
      <c r="I153" s="1785"/>
      <c r="J153" s="1785"/>
      <c r="K153" s="1785"/>
      <c r="L153" s="1786"/>
      <c r="M153" s="591">
        <f>IFERROR(VLOOKUP(G153,_Daylight_Table[],2,FALSE),0)</f>
        <v>0</v>
      </c>
      <c r="N153" s="592" t="str">
        <f>IF(AND(__Retrofit_TI_NC&gt;0,CQ150="Interior"),"BAM","")</f>
        <v/>
      </c>
      <c r="O153" s="591" t="e">
        <f>VLOOKUP(G152,'Space Table'!$B$3:$L$163,11,FALSE)</f>
        <v>#N/A</v>
      </c>
      <c r="P153" s="1789"/>
      <c r="Q153" s="1790"/>
      <c r="R153" s="1790"/>
      <c r="S153" s="1788"/>
      <c r="T153" s="593" t="s">
        <v>342</v>
      </c>
      <c r="U153" s="1756" t="str" cm="1">
        <f t="array" aca="1" ref="U153" ca="1">IFERROR(VLOOKUP(INDIRECT("U" &amp; ROW()-1),Fixtures!DM$93:DP$142,4,FALSE),"")</f>
        <v/>
      </c>
      <c r="V153" s="1757"/>
      <c r="W153" s="1757"/>
      <c r="X153" s="1757"/>
      <c r="Y153" s="1757"/>
      <c r="Z153" s="1757"/>
      <c r="AA153" s="1758"/>
      <c r="AB153" s="939" t="str">
        <f>IFERROR(VLOOKUP(U152,Fixtures_Proposed_List,2,FALSE),"")</f>
        <v/>
      </c>
      <c r="AC153" s="933" t="str">
        <f>IFERROR(ROUND(T152*AB153*N151*R151/1000,0),"")</f>
        <v/>
      </c>
      <c r="AD153" s="934" t="str">
        <f>IFERROR(ROUND(T152*AB153/1000,2),"")</f>
        <v/>
      </c>
      <c r="AE153" s="998"/>
      <c r="AF153" s="938" t="s">
        <v>342</v>
      </c>
      <c r="AG153" s="1770"/>
      <c r="AH153" s="1770"/>
      <c r="AI153" s="1770"/>
      <c r="AJ153" s="1770"/>
      <c r="AK153" s="1770"/>
      <c r="AL153" s="1770"/>
      <c r="AM153" s="1727"/>
      <c r="AN153" s="1729"/>
      <c r="AO153" s="1731"/>
      <c r="AP153" s="1782"/>
      <c r="AQ153" s="1783"/>
      <c r="AR153" s="1797"/>
      <c r="AS153" s="1797"/>
      <c r="AT153" s="1798"/>
      <c r="AU153" s="1736"/>
      <c r="AV153" s="1753"/>
      <c r="AW153" s="1706"/>
      <c r="AX153" s="468"/>
      <c r="AY153" s="1750"/>
      <c r="AZ153" s="1750"/>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696"/>
      <c r="CQ153" s="1696"/>
      <c r="CR153" s="1809"/>
      <c r="CS153" s="1811"/>
      <c r="CU153" s="1688"/>
      <c r="CV153" s="1703"/>
      <c r="CW153" s="1703"/>
      <c r="CX153" s="1813"/>
      <c r="CY153" s="1815"/>
      <c r="CZ153" s="1711"/>
      <c r="DA153" s="1815"/>
      <c r="DB153" s="1821"/>
      <c r="DC153" s="1821"/>
      <c r="DD153" s="1821"/>
      <c r="DF153" s="1703"/>
      <c r="DG153" s="1831"/>
      <c r="DH153" s="1813"/>
      <c r="DI153" s="1838"/>
      <c r="DJ153" s="1711"/>
      <c r="DK153" s="1712"/>
      <c r="DN153" s="1718"/>
      <c r="DO153" s="1709"/>
      <c r="DQ153" s="1715"/>
      <c r="DR153" s="1720"/>
      <c r="DS153" s="1703"/>
      <c r="DT153" s="1714"/>
      <c r="DU153" s="1715"/>
      <c r="DV153" s="1716"/>
      <c r="DX153" s="1715"/>
      <c r="DY153" s="1720"/>
      <c r="DZ153" s="1715"/>
      <c r="EA153" s="1715"/>
      <c r="EC153" s="1834"/>
      <c r="ED153" s="1834"/>
      <c r="EF153" s="1707"/>
      <c r="EG153" s="1712"/>
      <c r="EH153" s="1815"/>
      <c r="EI153" s="1712"/>
      <c r="EJ153" s="1712"/>
      <c r="EK153" s="1813"/>
      <c r="EL153" s="1813"/>
      <c r="EM153" s="1807"/>
      <c r="EN153" s="1839"/>
      <c r="EO153" s="1839"/>
      <c r="EP153" s="1817"/>
      <c r="EQ153" s="1817"/>
      <c r="ER153" s="1807"/>
      <c r="ES153" s="1807"/>
      <c r="ET153" s="1807"/>
      <c r="EV153" s="1715"/>
      <c r="EX153" s="1806"/>
      <c r="EY153" s="1806"/>
      <c r="EZ153" s="1806"/>
      <c r="FA153" s="1806"/>
      <c r="FB153" s="1806"/>
      <c r="FC153" s="1828"/>
      <c r="FE153" s="1698"/>
      <c r="FG153" s="1703"/>
      <c r="FH153" s="1703"/>
      <c r="FI153" s="133"/>
      <c r="FL153" s="1823"/>
      <c r="FM153" s="1825"/>
      <c r="FN153" s="1698"/>
      <c r="FO153" s="1698"/>
      <c r="FP153" s="1678"/>
      <c r="FQ153" s="1698"/>
      <c r="FS153" s="1687"/>
      <c r="FT153" s="1687"/>
      <c r="FU153" s="1685"/>
      <c r="FV153" s="1687"/>
      <c r="FW153" s="1687"/>
      <c r="FX153" s="1687"/>
      <c r="FY153" s="1697"/>
      <c r="GA153" s="1696"/>
      <c r="GB153" s="1696"/>
      <c r="GC153" s="1696"/>
      <c r="GD153" s="1696"/>
      <c r="GE153" s="1696"/>
      <c r="GF153" s="1696"/>
      <c r="GG153" s="1696"/>
      <c r="GH153" s="1696"/>
      <c r="GI153" s="673"/>
      <c r="GJ153" s="1135"/>
      <c r="GK153" s="1832"/>
      <c r="GN153" s="674">
        <f>IF(GN151=TRUE,0,GN$16)</f>
        <v>0</v>
      </c>
      <c r="GP153" s="674">
        <f>IF(GP151=TRUE,0,GP$16)</f>
        <v>36</v>
      </c>
      <c r="GQ153" s="674">
        <f ca="1">IF(GQ151=TRUE,0,GQ$16)</f>
        <v>35</v>
      </c>
      <c r="GR153" s="391"/>
      <c r="GS153" s="391"/>
      <c r="GT153" s="391"/>
      <c r="GU153" s="391"/>
      <c r="GV153" s="391"/>
      <c r="HG153" s="674">
        <f>IF(HG151=TRUE,0,HG$16)</f>
        <v>0</v>
      </c>
      <c r="HH153" s="674">
        <f t="shared" ref="HH153:HM153" si="118">IF(HH151=TRUE,0,HH$16)</f>
        <v>19</v>
      </c>
      <c r="HI153" s="674">
        <f t="shared" si="118"/>
        <v>18</v>
      </c>
      <c r="HJ153" s="674">
        <f t="shared" si="118"/>
        <v>17</v>
      </c>
      <c r="HK153" s="674">
        <f t="shared" si="118"/>
        <v>16</v>
      </c>
      <c r="HL153" s="674">
        <f t="shared" si="118"/>
        <v>0</v>
      </c>
      <c r="HM153" s="674">
        <f t="shared" si="118"/>
        <v>0</v>
      </c>
      <c r="HN153" s="674">
        <f>IF(HN151=TRUE,0,HN$16)</f>
        <v>13</v>
      </c>
      <c r="HO153" s="674">
        <f t="shared" ref="HO153:HQ153" si="119">IF(HO151=TRUE,0,HO$16)</f>
        <v>0</v>
      </c>
      <c r="HP153" s="674">
        <f t="shared" si="119"/>
        <v>0</v>
      </c>
      <c r="HQ153" s="674">
        <f t="shared" si="119"/>
        <v>10</v>
      </c>
      <c r="HR153" s="674">
        <f>IF(HR151=TRUE,0,HR$16)</f>
        <v>9</v>
      </c>
      <c r="HS153" s="674">
        <f t="shared" ref="HS153:HW153" si="120">IF(HS151=TRUE,0,HS$16)</f>
        <v>0</v>
      </c>
      <c r="HT153" s="674">
        <f t="shared" si="120"/>
        <v>0</v>
      </c>
      <c r="HU153" s="674">
        <f t="shared" si="120"/>
        <v>0</v>
      </c>
      <c r="HV153" s="674">
        <f t="shared" si="120"/>
        <v>0</v>
      </c>
      <c r="HW153" s="674">
        <f t="shared" si="120"/>
        <v>0</v>
      </c>
      <c r="HX153" s="674">
        <f>IF(HX151=TRUE,0,HX$16)</f>
        <v>0</v>
      </c>
      <c r="HY153" s="674">
        <f>IF(HY151=TRUE,0,HY$16)</f>
        <v>0</v>
      </c>
      <c r="HZ153" s="674">
        <f>IF(HZ151=TRUE,0,HZ$16)</f>
        <v>1</v>
      </c>
      <c r="IB153" s="674">
        <f>IF(GP151=FALSE,GP153,IF(GQ151=FALSE,GQ153,MAX(GN153:HZ153)))</f>
        <v>36</v>
      </c>
      <c r="IC153" s="1692"/>
      <c r="ID153" s="205" t="str">
        <f>VLOOKUP(IB153,_Error_Table,3,FALSE)</f>
        <v xml:space="preserve"> </v>
      </c>
      <c r="IE153" s="205"/>
      <c r="IF153" s="1688"/>
      <c r="IG153" s="1689"/>
      <c r="IH153" s="1684"/>
      <c r="IK153" s="1689"/>
      <c r="IL153" s="1692"/>
      <c r="IM153" s="1692"/>
      <c r="IN153" s="1692"/>
      <c r="IP153" s="1679"/>
      <c r="IQ153" s="1679"/>
      <c r="IR153" s="1679"/>
      <c r="IS153" s="1679"/>
      <c r="IT153" s="1679"/>
      <c r="IU153" s="1679"/>
      <c r="IV153" s="1679"/>
      <c r="IW153" s="1679"/>
      <c r="IX153" s="1679"/>
      <c r="IY153" s="1679"/>
      <c r="IZ153" s="1679"/>
      <c r="JA153" s="1679"/>
      <c r="JC153" s="1680"/>
      <c r="JD153" s="1670"/>
      <c r="JE153" s="1681"/>
      <c r="JG153" s="1680"/>
      <c r="JH153" s="1670"/>
      <c r="JI153" s="1060"/>
      <c r="JJ153" s="1670"/>
      <c r="JK153" s="1061"/>
      <c r="JL153" s="1670"/>
      <c r="JM153" s="1061"/>
      <c r="JN153" s="1670"/>
      <c r="JO153" s="1061"/>
      <c r="JP153" s="1670"/>
      <c r="JQ153" s="1061"/>
      <c r="JR153" s="1670"/>
      <c r="JS153" s="1061"/>
      <c r="JT153" s="1670"/>
      <c r="JU153" s="1061"/>
      <c r="JV153" s="1670"/>
      <c r="JX153" s="1670"/>
      <c r="JZ153" s="1670"/>
      <c r="KB153" s="1670"/>
    </row>
    <row r="154" spans="1:288" s="78" customFormat="1" ht="5.0999999999999996" customHeight="1">
      <c r="B154" s="676"/>
      <c r="C154" s="392"/>
      <c r="D154" s="392"/>
      <c r="E154" s="1733"/>
      <c r="F154" s="1733"/>
      <c r="G154" s="1733"/>
      <c r="H154" s="1733"/>
      <c r="I154" s="1733"/>
      <c r="J154" s="1733"/>
      <c r="K154" s="1733"/>
      <c r="L154" s="1733"/>
      <c r="M154" s="1733"/>
      <c r="N154" s="1733"/>
      <c r="O154" s="1733"/>
      <c r="P154" s="1733"/>
      <c r="Q154" s="1733"/>
      <c r="R154" s="1733"/>
      <c r="S154" s="1733"/>
      <c r="T154" s="1733"/>
      <c r="U154" s="1733"/>
      <c r="V154" s="1733"/>
      <c r="W154" s="1733"/>
      <c r="X154" s="1733"/>
      <c r="Y154" s="1733"/>
      <c r="Z154" s="1733"/>
      <c r="AA154" s="1733"/>
      <c r="AB154" s="1733"/>
      <c r="AC154" s="1733"/>
      <c r="AD154" s="1733"/>
      <c r="AE154" s="1733"/>
      <c r="AF154" s="1733"/>
      <c r="AG154" s="1733"/>
      <c r="AH154" s="1733"/>
      <c r="AI154" s="1733"/>
      <c r="AJ154" s="1733"/>
      <c r="AK154" s="1733"/>
      <c r="AL154" s="1733"/>
      <c r="AM154" s="1733"/>
      <c r="AN154" s="1733"/>
      <c r="AO154" s="1733"/>
      <c r="AP154" s="1733"/>
      <c r="AQ154" s="1733"/>
      <c r="AR154" s="1733"/>
      <c r="AS154" s="1733"/>
      <c r="AT154" s="1733"/>
      <c r="AU154" s="1733"/>
      <c r="AV154" s="1733"/>
      <c r="AW154" s="1733"/>
      <c r="AX154" s="469"/>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663"/>
      <c r="CQ154" s="663"/>
      <c r="CR154" s="438"/>
      <c r="CS154" s="663"/>
      <c r="CV154" s="391"/>
      <c r="CW154" s="391"/>
      <c r="CX154" s="207"/>
      <c r="CY154" s="208"/>
      <c r="CZ154" s="208"/>
      <c r="DA154" s="208"/>
      <c r="DB154" s="209"/>
      <c r="DC154" s="209"/>
      <c r="DD154" s="209"/>
      <c r="DF154" s="664"/>
      <c r="DG154" s="665"/>
      <c r="DH154" s="666"/>
      <c r="DI154" s="667"/>
      <c r="DJ154" s="668"/>
      <c r="DK154" s="668"/>
      <c r="DN154" s="208"/>
      <c r="DO154" s="664"/>
      <c r="DQ154" s="664"/>
      <c r="DR154" s="669"/>
      <c r="DS154" s="391"/>
      <c r="DT154" s="664"/>
      <c r="DU154" s="664"/>
      <c r="DV154" s="664"/>
      <c r="DX154" s="664"/>
      <c r="DY154" s="664"/>
      <c r="DZ154" s="664"/>
      <c r="EA154" s="664"/>
      <c r="EC154" s="670"/>
      <c r="ED154" s="670"/>
      <c r="EF154" s="668"/>
      <c r="EG154" s="668"/>
      <c r="EH154" s="208"/>
      <c r="EI154" s="668"/>
      <c r="EJ154" s="668"/>
      <c r="EK154" s="207"/>
      <c r="EL154" s="207"/>
      <c r="EM154" s="666"/>
      <c r="EN154" s="671"/>
      <c r="EO154" s="671"/>
      <c r="EP154" s="672"/>
      <c r="EQ154" s="672"/>
      <c r="ER154" s="666"/>
      <c r="ES154" s="666"/>
      <c r="ET154" s="666"/>
      <c r="EV154" s="664"/>
      <c r="EX154" s="391"/>
      <c r="EY154" s="391"/>
      <c r="EZ154" s="391"/>
      <c r="FA154" s="391"/>
      <c r="FB154" s="391"/>
      <c r="FC154" s="391"/>
      <c r="FE154" s="569"/>
      <c r="FG154" s="391"/>
      <c r="FH154" s="391"/>
      <c r="FI154" s="391"/>
      <c r="FS154" s="664"/>
      <c r="FT154" s="391"/>
      <c r="FU154" s="391"/>
      <c r="FV154" s="664"/>
      <c r="FW154" s="664"/>
      <c r="GA154" s="663"/>
      <c r="GB154" s="663"/>
      <c r="GC154" s="663"/>
      <c r="GD154" s="663"/>
      <c r="GE154" s="663"/>
      <c r="GF154" s="663"/>
      <c r="GG154" s="663"/>
      <c r="GH154" s="663"/>
      <c r="GI154" s="665"/>
      <c r="GJ154" s="664"/>
      <c r="GK154" s="664"/>
    </row>
    <row r="155" spans="1:288" s="78" customFormat="1" ht="14.95" customHeight="1">
      <c r="B155" s="1845" t="str">
        <f>ID158</f>
        <v xml:space="preserve"> </v>
      </c>
      <c r="C155" s="1846">
        <f>C150+1</f>
        <v>22</v>
      </c>
      <c r="D155" s="1847"/>
      <c r="E155" s="1799" t="s">
        <v>295</v>
      </c>
      <c r="F155" s="1800"/>
      <c r="G155" s="1741"/>
      <c r="H155" s="1742"/>
      <c r="I155" s="1742"/>
      <c r="J155" s="1742"/>
      <c r="K155" s="1742"/>
      <c r="L155" s="1742"/>
      <c r="M155" s="1742"/>
      <c r="N155" s="1742"/>
      <c r="O155" s="1742"/>
      <c r="P155" s="1742"/>
      <c r="Q155" s="1742"/>
      <c r="R155" s="1742"/>
      <c r="S155" s="1791" t="s">
        <v>344</v>
      </c>
      <c r="T155" s="590"/>
      <c r="U155" s="1743"/>
      <c r="V155" s="1744"/>
      <c r="W155" s="1744"/>
      <c r="X155" s="1744"/>
      <c r="Y155" s="1744"/>
      <c r="Z155" s="1744"/>
      <c r="AA155" s="1744"/>
      <c r="AB155" s="961" t="str">
        <f>IFERROR(IF(__Retrofit_TI_NC=0,VLOOKUP(U156,Fixtures_Existing_List,2,FALSE),ROUND(N157*R157/T157,10)),"")</f>
        <v/>
      </c>
      <c r="AC155" s="935" t="str">
        <f>IFERROR(IF(__Retrofit_TI_NC=0,ROUND(T156*AB155*N156*R156/1000,0),IF(CQ155="Interior",N157*R157*R156*N156*_C406_reduction/1000,N157*R157*R156*N156/1000)),"")</f>
        <v/>
      </c>
      <c r="AD155" s="936" t="str">
        <f>IFERROR(IF(C$43=0,ROUND(T156*AB155/1000,2),N157*R157/1000),"")</f>
        <v/>
      </c>
      <c r="AE155" s="997"/>
      <c r="AF155" s="937"/>
      <c r="AG155" s="1745" t="str">
        <f>IF(__Retrofit_TI_NC=0," Control","Select Advanced Control for New System")</f>
        <v xml:space="preserve"> Control</v>
      </c>
      <c r="AH155" s="1745"/>
      <c r="AI155" s="1745"/>
      <c r="AJ155" s="1745"/>
      <c r="AK155" s="1745"/>
      <c r="AL155" s="1745"/>
      <c r="AM155" s="1746">
        <f>IFERROR(DI155,"")</f>
        <v>0</v>
      </c>
      <c r="AN155" s="1774" t="str">
        <f>IFERROR(ROUND(AM155*AC155,0),"")</f>
        <v/>
      </c>
      <c r="AO155" s="1776">
        <f>IFERROR(IF(IB155=FALSE,0,AC155-AN155),0)</f>
        <v>0</v>
      </c>
      <c r="AP155" s="1778">
        <f>AO155-AO157</f>
        <v>0</v>
      </c>
      <c r="AQ155" s="1779"/>
      <c r="AR155" s="1793">
        <f>IFERROR(IF(IB155=FALSE,0,(T157*U158)+(AF157*AG158)),0)</f>
        <v>0</v>
      </c>
      <c r="AS155" s="1793"/>
      <c r="AT155" s="1794"/>
      <c r="AU155" s="1734" t="s">
        <v>237</v>
      </c>
      <c r="AV155" s="1751">
        <f>IF(AU155="Yes",1,0)</f>
        <v>1</v>
      </c>
      <c r="AW155" s="1704" t="str">
        <f>IF(OR(DQ155=4,DQ155=5,DQ155=6,DQ155=12),CONCATENATE("$",IF(GH155=TRUE,Lookup!$K$10,Lookup!$K$2)," /lamp"),CONCATENATE(TEXT(ED155,"$0.00"),"/ kWh"))</f>
        <v>$0.00/ kWh</v>
      </c>
      <c r="AX155" s="467"/>
      <c r="AY155" s="1748">
        <f ca="1">IFERROR(IF(GM156=TRUE,(AB158*T157)/R157,0),"NA")</f>
        <v>0</v>
      </c>
      <c r="AZ155" s="1748"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696" t="str">
        <f>N156</f>
        <v/>
      </c>
      <c r="CQ155" s="1696" t="str">
        <f>IFERROR(VLOOKUP(G156,_Lookup_Heat_Type_Table_New,3,FALSE),"")</f>
        <v/>
      </c>
      <c r="CR155" s="1808" t="str">
        <f>CQ155</f>
        <v/>
      </c>
      <c r="CS155" s="1810" t="str">
        <f>IFERROR(VLOOKUP(G157,'Space Table'!$B$3:$L$163,9,FALSE),"")</f>
        <v/>
      </c>
      <c r="CU155" s="1688" t="s">
        <v>344</v>
      </c>
      <c r="CV155" s="1702">
        <f>IF(IB155=TRUE,T156,0)</f>
        <v>0</v>
      </c>
      <c r="CW155" s="1702" t="str">
        <f>IF(IB155=TRUE,U156,"")</f>
        <v/>
      </c>
      <c r="CX155" s="1702"/>
      <c r="CY155" s="1814">
        <f>IF(IB155=TRUE,AB155,0)</f>
        <v>0</v>
      </c>
      <c r="CZ155" s="1710">
        <f>IF(AND(__Retrofit_TI_NC&gt;0,CR155="interior"),0,IF(IB155=TRUE,AC155,0))</f>
        <v>0</v>
      </c>
      <c r="DA155" s="1814">
        <f>IFERROR(IF(IB155=TRUE,CZ155-CZ157,0),0)</f>
        <v>0</v>
      </c>
      <c r="DB155" s="1819">
        <f>IF(IB155=TRUE,AD155,0)</f>
        <v>0</v>
      </c>
      <c r="DC155" s="1819">
        <f>IF(IB155=TRUE,AD158,0)</f>
        <v>0</v>
      </c>
      <c r="DD155" s="1819">
        <f>IFERROR(DB155-DC155,0)</f>
        <v>0</v>
      </c>
      <c r="DF155" s="1702">
        <f>IF(IB155=TRUE,AF156,0)</f>
        <v>0</v>
      </c>
      <c r="DG155" s="1830">
        <f>IFERROR(IF(__Retrofit_TI_NC=2,IF(CQ155="Exterior",O158,FQ155),FN155),"")</f>
        <v>0</v>
      </c>
      <c r="DH155" s="1702"/>
      <c r="DI155" s="1837">
        <f>JE155</f>
        <v>0</v>
      </c>
      <c r="DJ155" s="1710">
        <f>IF(AND(__Retrofit_TI_NC&gt;0,CR155="interior"),0,IF(IB155=TRUE,AN155,0))</f>
        <v>0</v>
      </c>
      <c r="DK155" s="1712">
        <f>IFERROR(IF(IB155=TRUE,DJ157-DJ155,0),0)</f>
        <v>0</v>
      </c>
      <c r="DM155" s="1717">
        <f>IFERROR(CZ155-DJ155,0)</f>
        <v>0</v>
      </c>
      <c r="DO155" s="1708">
        <f>DM155-DN157</f>
        <v>0</v>
      </c>
      <c r="DQ155" s="1715" t="str">
        <f>IFERROR(IF(AND(OR(GC155=4,GC155=5,GC155=6),OR(GF155=4,GF155=5,GF155=6)),GC155+8,VLOOKUP(CW157,Fixtures!R$31:Y$78,8,FALSE)),"")</f>
        <v/>
      </c>
      <c r="DR155" s="1829" t="str">
        <f>DQ155</f>
        <v/>
      </c>
      <c r="DS155" s="1702" t="str">
        <f>IFERROR(VLOOKUP(DG157,Lookup!BB$3:BC$20,2,FALSE),"")</f>
        <v/>
      </c>
      <c r="DT155" s="1713" t="str">
        <f>IF(OR(DS155=7,DS155=8,DS155=9),"ALC","")</f>
        <v/>
      </c>
      <c r="DU155" s="1715">
        <f>IFERROR(IF(OR(DQ155=4,DQ155=5,DQ155=6,DQ155=12,DQ155=13,DQ155=14),VLOOKUP(CW157,Fixtures!DN$27:EG$77,19,FALSE),1)*CV157,0)</f>
        <v>0</v>
      </c>
      <c r="DV155" s="1716">
        <f>IF(OR(DS155=7,DS155=8,DS155=9),IF(DG155=DG157,0,DF157),0)</f>
        <v>0</v>
      </c>
      <c r="DX155" s="1715" t="str">
        <f>IFERROR(IF(EZ155&lt;EZ157,"Yes","No"),"")</f>
        <v/>
      </c>
      <c r="DY155" s="1829" t="str">
        <f>DX155</f>
        <v/>
      </c>
      <c r="DZ155" s="1715">
        <f>IF(DX155="Yes",DF157,0)</f>
        <v>0</v>
      </c>
      <c r="EA155" s="1715">
        <f>DZ155-DV155</f>
        <v>0</v>
      </c>
      <c r="EC155" s="1834">
        <f>IFERROR(VLOOKUP(DQ155,Lookup!AU$3:AV$16,2,FALSE),0)</f>
        <v>0</v>
      </c>
      <c r="ED155" s="1834">
        <f>IF(IB155=FALSE,0,IF(DX155="Yes",EC155+Lookup!K$6,EC155))</f>
        <v>0</v>
      </c>
      <c r="EF155" s="1707">
        <f>IF(IB155=TRUE,DM155,0)</f>
        <v>0</v>
      </c>
      <c r="EG155" s="1712">
        <f>IF(IB155=TRUE,CZ157,0)</f>
        <v>0</v>
      </c>
      <c r="EH155" s="1814">
        <f>IFERROR(EF155-EG155,0)</f>
        <v>0</v>
      </c>
      <c r="EI155" s="1712">
        <f>IF(IB155=TRUE,DJ157,0)</f>
        <v>0</v>
      </c>
      <c r="EJ155" s="1712">
        <f>IFERROR(EF155-EG155+EI155,0)</f>
        <v>0</v>
      </c>
      <c r="EK155" s="1812">
        <f>IF(IB155=TRUE,CV157*CX157,0)</f>
        <v>0</v>
      </c>
      <c r="EL155" s="1812">
        <f>IF(IB155=TRUE,DF157*DH157,0)</f>
        <v>0</v>
      </c>
      <c r="EM155" s="1807">
        <f>AR155</f>
        <v>0</v>
      </c>
      <c r="EN155" s="1839" t="str">
        <f>IFERROR(IF(IB155=TRUE,VLOOKUP(DQ155,Lookup!AU$3:AW$16,3,FALSE)*DU155,""),0)</f>
        <v/>
      </c>
      <c r="EO155" s="1839">
        <f>IF(IB155=TRUE,DZ155*Lookup!AW$12,0)</f>
        <v>0</v>
      </c>
      <c r="EP155" s="1817">
        <f>IFERROR(IF(IB155=TRUE,EN155/EP$40,0),0)</f>
        <v>0</v>
      </c>
      <c r="EQ155" s="1817">
        <f>IF(IB155=TRUE,EO155/EQ$40,0)</f>
        <v>0</v>
      </c>
      <c r="ER155" s="1807">
        <f>IF(IB155=TRUE,ET$40*EP155,0)</f>
        <v>0</v>
      </c>
      <c r="ES155" s="1807">
        <f>IF(IB155=TRUE,ET$40*EQ155,0)</f>
        <v>0</v>
      </c>
      <c r="ET155" s="1807">
        <f>ER155+ES155</f>
        <v>0</v>
      </c>
      <c r="EV155" s="1715">
        <f>IF(G155="",0,1)</f>
        <v>0</v>
      </c>
      <c r="EX155" s="1804" t="str">
        <f>IFERROR(VLOOKUP(CS157,'Space Table'!$B$3:$L$163,8,FALSE),"")</f>
        <v/>
      </c>
      <c r="EY155" s="1804" t="str">
        <f>IFERROR(IF(FB155="Yes",VLOOKUP(DG155,Lookup_Control_Type_Table2,4,FALSE),VLOOKUP(DG155,Lookup_Control_Type_Table2,3,FALSE)),"")</f>
        <v/>
      </c>
      <c r="EZ155" s="1804" t="e">
        <f>VLOOKUP(DG155,Lookup!BB$3:BC$20,2,FALSE)</f>
        <v>#N/A</v>
      </c>
      <c r="FA155" s="1804" t="e">
        <f>VLOOKUP(EX155,Lookup_Control_Type_Table,2,FALSE)</f>
        <v>#N/A</v>
      </c>
      <c r="FB155" s="1804" t="e">
        <f>VLOOKUP(CS157,'Space Table'!$B$3:$L$163,7,FALSE)</f>
        <v>#N/A</v>
      </c>
      <c r="FC155" s="1826" t="b">
        <f>ISNUMBER(SEARCH("TLED",U157))</f>
        <v>0</v>
      </c>
      <c r="FE155" s="1698" t="str">
        <f>CONCATENATE(CQ155," - ",DG155)</f>
        <v xml:space="preserve"> - 0</v>
      </c>
      <c r="FG155" s="1702" t="str">
        <f>VLOOKUP(CW157,Fixtures!DN$27:EZ$77,38,FALSE)</f>
        <v/>
      </c>
      <c r="FH155" s="1702">
        <f>IFERROR(FG155*EH155,0)</f>
        <v>0</v>
      </c>
      <c r="FI155" s="133"/>
      <c r="FL155" s="1822" t="str">
        <f>IF(CQ155="Exterior","Not Daylighted",G158)</f>
        <v>Not Daylighted</v>
      </c>
      <c r="FM155" s="1824">
        <f>VLOOKUP(FL155,_New_Daylight_Table_Codes,2,FALSE)</f>
        <v>0</v>
      </c>
      <c r="FN155" s="1698">
        <f>IF(__Retrofit_TI_NC&gt;0,VLOOKUP(G157,'Space Table'!$B$3:$L$163,11,FALSE),AG156)</f>
        <v>0</v>
      </c>
      <c r="FO155" s="1698" t="e">
        <f>IF(__Retrofit_TI_NC=2,VLOOKUP(FQ155,_Control_Table,2,FALSE),VLOOKUP(FN155,_Control_Table,2,FALSE))</f>
        <v>#N/A</v>
      </c>
      <c r="FP155" s="1678" t="e">
        <f>VLOOKUP(CONCATENATE(FL155," ",FN155),Lookup!AY$102:AZ165,2,FALSE)</f>
        <v>#N/A</v>
      </c>
      <c r="FQ155" s="1678">
        <f>IF(__Retrofit_TI_NC=0,FN155,IF(AND(FT155&gt;0,FN155="Occupancy Sensor"),"Daylight + Occupancy",IF(AND(FT155&gt;0,VLOOKUP(FN155,_Control_Table,2,FALSE)&lt;4),"Interior Daylight Dimming",FN155)))</f>
        <v>0</v>
      </c>
      <c r="FS155" s="1686">
        <f>IF(CR155="Interior",VLOOKUP(CS155,Control_Savings_Interior,5,FALSE),0)</f>
        <v>0</v>
      </c>
      <c r="FT155" s="1687">
        <f>IF(CQ155="Exterior",0,IF(FM155=2,0.5,IF(OR(FM155=1,FM155=3),1,0)))</f>
        <v>0</v>
      </c>
      <c r="FU155" s="1685">
        <f>IF(R154&gt;FS$44,(FS155*(FS$44/R154)),FS155)*FT155</f>
        <v>0</v>
      </c>
      <c r="FV155" s="1686">
        <f>DI155</f>
        <v>0</v>
      </c>
      <c r="FW155" s="1686">
        <f>ROUND(FV155+((1-FV155)*FU155),2)</f>
        <v>0</v>
      </c>
      <c r="FX155" s="1686">
        <f>IF(__Retrofit_TI_NC=2,FW155,FV155)</f>
        <v>0</v>
      </c>
      <c r="FY155" s="1697"/>
      <c r="GA155" s="1696" t="str">
        <f>IFERROR(VLOOKUP(U156,_Exist_Fixture_Table,3,FALSE),"")</f>
        <v/>
      </c>
      <c r="GB155" s="1696" t="str">
        <f>VLOOKUP(CW155,_Exist_Fixture_Table,4,FALSE)</f>
        <v/>
      </c>
      <c r="GC155" s="1696">
        <f>IFERROR(VLOOKUP(GB155,Lookup!AT$6:AU$8,2,FALSE),0)</f>
        <v>0</v>
      </c>
      <c r="GD155" s="1696" t="b">
        <f>IFERROR(IF(OR(GF155=4,GF155=5,GF155=6),TRUE,FALSE),"")</f>
        <v>0</v>
      </c>
      <c r="GE155" s="1696" t="str">
        <f>IFERROR(VLOOKUP(GF155,GC$6:GD$10,2,FALSE),"")</f>
        <v/>
      </c>
      <c r="GF155" s="1696" t="str">
        <f>VLOOKUP(CW157,Fixtures!R$31:Y$78,8,FALSE)</f>
        <v/>
      </c>
      <c r="GG155" s="1696">
        <f>IF(AND(GA155=TRUE,GD155=TRUE,OR(DQ155=12,DQ155=13,DQ155=14)),GC155+8,0)</f>
        <v>0</v>
      </c>
      <c r="GH155" s="1696" t="b">
        <f>IF(OR(GG155=12,GG155=13,GG155=14),TRUE,FALSE)</f>
        <v>0</v>
      </c>
      <c r="GI155" s="673" t="b">
        <f>IF(ISNUMBER(SEARCH("TLED",U156)),TRUE,FALSE)</f>
        <v>0</v>
      </c>
      <c r="GJ155" s="1135" t="str">
        <f>IFERROR(VLOOKUP(U156,Fixtures!BM$93:BR$142,6,FALSE),"")</f>
        <v/>
      </c>
      <c r="GK155" s="1832" t="b">
        <f>IF(OR(GI155=FALSE,GI157=FALSE),TRUE,IF(GJ155-GJ157&lt;5,FALSE,TRUE))</f>
        <v>1</v>
      </c>
      <c r="GO155" s="674">
        <f>GP155</f>
        <v>0</v>
      </c>
      <c r="GP155" s="674">
        <f>IF(G155="",0,1)</f>
        <v>0</v>
      </c>
      <c r="GQ155" s="674">
        <f ca="1">SUM(GR155:HF155)</f>
        <v>2</v>
      </c>
      <c r="GR155" s="674">
        <f>IF(G156="",0,1)</f>
        <v>0</v>
      </c>
      <c r="GS155" s="674">
        <f>IF(N158="BAM",1,IF(G157="",0,1))</f>
        <v>0</v>
      </c>
      <c r="GT155" s="674">
        <f>IF(N158="BAM",1,IF(R156="",0,1))</f>
        <v>0</v>
      </c>
      <c r="GU155" s="674">
        <f>IF(N158="BAM",1,IF(__Retrofit_TI_NC=0,1,IF(R157="",0,1)))</f>
        <v>1</v>
      </c>
      <c r="GV155" s="674">
        <f>IF(N158="BAM",1,IF(CQ155="Exterior",1,IF(G158="",0,1)))</f>
        <v>1</v>
      </c>
      <c r="GW155" s="674">
        <f>IF(__Retrofit_TI_NC&gt;0,1,IF(T156="",0,1))</f>
        <v>0</v>
      </c>
      <c r="GX155" s="674">
        <f>IF(__Retrofit_TI_NC&gt;0,1,IF(U156="",0,1))</f>
        <v>0</v>
      </c>
      <c r="GY155" s="674">
        <f>IF(N158="BAM",1,IF(T157="",0,1))</f>
        <v>0</v>
      </c>
      <c r="GZ155" s="674">
        <f>IF(N158="BAM",1,IF(U157="",0,1))</f>
        <v>0</v>
      </c>
      <c r="HA155" s="674">
        <f ca="1">IF(N158="BAM",1,IF(__Retrofit_TI_NC&gt;0,1,IF(U158="",0,1)))</f>
        <v>0</v>
      </c>
      <c r="HB155" s="674">
        <f>IF(__Retrofit_TI_NC&lt;&gt;0,1,IF(AF156="",0,1))</f>
        <v>0</v>
      </c>
      <c r="HC155" s="674">
        <f>IF(__Retrofit_TI_NC&lt;&gt;0,1,IF(AG156="",0,1))</f>
        <v>0</v>
      </c>
      <c r="HD155" s="674">
        <f>IF(N158="BAM",1,IF(AF157="",0,1))</f>
        <v>0</v>
      </c>
      <c r="HE155" s="674">
        <f>IF(N158="BAM",1,IF(AG157="",0,1))</f>
        <v>0</v>
      </c>
      <c r="HF155" s="674">
        <f>IF(N158="BAM",1,IF(__Retrofit_TI_NC&gt;0,1,IF(AG158="",0,1)))</f>
        <v>0</v>
      </c>
      <c r="HG155" s="391"/>
      <c r="IA155" s="391"/>
      <c r="IB155" s="1693" t="b">
        <f>IF(OR(IB158=0,IB158=HY$16,IB158=HX$16,IB158=HZ$16),TRUE,FALSE)</f>
        <v>0</v>
      </c>
      <c r="IC155" s="1694" t="b">
        <f>IB155</f>
        <v>0</v>
      </c>
      <c r="ID155" s="391"/>
      <c r="IE155" s="391"/>
      <c r="IF155" s="1688" t="b">
        <f ca="1">IF(MAX(GN158:HU158)&gt;5,FALSE,TRUE)</f>
        <v>0</v>
      </c>
      <c r="IG155" s="1689">
        <f ca="1">IF(IF155=TRUE,AC155,0)</f>
        <v>0</v>
      </c>
      <c r="IH155" s="1689">
        <f ca="1">IG155-IG157</f>
        <v>0</v>
      </c>
      <c r="IK155" s="1689" t="e">
        <f>ROUND(T156*VLOOKUP(U156,Fixtures_Existing_List,2,FALSE)*N156*R156/1000,0)</f>
        <v>#N/A</v>
      </c>
      <c r="IL155" s="1690" t="e">
        <f>IK155-IK157</f>
        <v>#N/A</v>
      </c>
      <c r="IM155" s="1693" t="e">
        <f>ROUND(IF(CQ155="Interior",N157*R157*R156*N156*_C406_reduction/1000,N157*R157*R156*N156/1000),0)</f>
        <v>#N/A</v>
      </c>
      <c r="IN155" s="1693" t="e">
        <f>IM155-IM157</f>
        <v>#N/A</v>
      </c>
      <c r="IP155" s="1679"/>
      <c r="IQ155" s="1679" t="e">
        <f t="shared" ref="IQ155:IU155" si="121">IF($CR155="interior",VLOOKUP($CS155,_New_Control_Savings_Interior,IQ$30,FALSE),VLOOKUP($CS155,Control_Savings_Exterior,IQ$30,FALSE))</f>
        <v>#N/A</v>
      </c>
      <c r="IR155" s="1679" t="e">
        <f t="shared" si="121"/>
        <v>#N/A</v>
      </c>
      <c r="IS155" s="1679" t="e">
        <f t="shared" si="121"/>
        <v>#N/A</v>
      </c>
      <c r="IT155" s="1679" t="e">
        <f t="shared" si="121"/>
        <v>#N/A</v>
      </c>
      <c r="IU155" s="1679" t="e">
        <f t="shared" si="121"/>
        <v>#N/A</v>
      </c>
      <c r="IV155" s="1679" t="e">
        <f>IF($CR155="interior",IF(R156&gt;$IP$14,ROUND(($IV$18*($IP$14/R156)),2),$IV$18),VLOOKUP($CS155,Control_Savings_Exterior,IV$30,FALSE))</f>
        <v>#N/A</v>
      </c>
      <c r="IW155" s="1679" t="e">
        <f>IF($CR155="interior",ROUND(((1-IS155)*IV155)+IS155,2),VLOOKUP($CS155,Control_Savings_Exterior,IW$30,FALSE))</f>
        <v>#N/A</v>
      </c>
      <c r="IX155" s="1679" t="e">
        <f>IF($CR155="interior",ROUND(((1-IT155)*IV155)+IT155,2),VLOOKUP($CS155,Control_Savings_Exterior,IX$30,FALSE))</f>
        <v>#N/A</v>
      </c>
      <c r="IY155" s="1679" t="e">
        <f>IF($CR155="interior",IF(R156&gt;$IP$14,ROUND(($IY$18*($IP$14/R156)),2),$IY$18),VLOOKUP($CS155,Control_Savings_Exterior,IY$30,FALSE))</f>
        <v>#N/A</v>
      </c>
      <c r="IZ155" s="1679" t="e">
        <f>IF($CR155="interior",ROUND(((1-IS155)*IY155)+IS155,2),VLOOKUP($CS155,Control_Savings_Exterior,IZ$30,FALSE))</f>
        <v>#N/A</v>
      </c>
      <c r="JA155" s="1679" t="e">
        <f>IF($CR155="interior",ROUND(((1-IT155)*IY155)+IT155,2),VLOOKUP($CS155,Control_Savings_Exterior,JA$30,FALSE))</f>
        <v>#N/A</v>
      </c>
      <c r="JC155" s="1680">
        <f>IFERROR(IF(CR155="Interior",CONCATENATE(G158," ",FQ155),FQ155),"")</f>
        <v>0</v>
      </c>
      <c r="JD155" s="1670" t="str">
        <f>IFERROR(VLOOKUP(JC155,_Controls_2023,2,FALSE),"")</f>
        <v/>
      </c>
      <c r="JE155" s="1681">
        <f>IFERROR(CHOOSE(JD155-1,IQ155,IR155,IS155,IT155,IU155,IV155,IW155,IX155,IY155,IZ155,JA155),0)</f>
        <v>0</v>
      </c>
      <c r="JG155" s="1680" t="str">
        <f>FE155</f>
        <v xml:space="preserve"> - 0</v>
      </c>
      <c r="JH155" s="1670" t="e">
        <f>$FO155</f>
        <v>#N/A</v>
      </c>
      <c r="JI155" s="1060"/>
      <c r="JJ155" s="1682" t="b">
        <f>IF($JG157=CONCATENATE("Interior - ",JJ$4),TRUE,FALSE)</f>
        <v>0</v>
      </c>
      <c r="JK155" s="1061"/>
      <c r="JL155" s="1682" t="b">
        <f>IF($JG157=CONCATENATE("Interior - ",JL$4),TRUE,FALSE)</f>
        <v>0</v>
      </c>
      <c r="JM155" s="1061"/>
      <c r="JN155" s="1682" t="b">
        <f>IF($JG157=CONCATENATE("Interior - ",JN$4),TRUE,FALSE)</f>
        <v>0</v>
      </c>
      <c r="JO155" s="1061"/>
      <c r="JP155" s="1682" t="b">
        <f>IF(__Retrofit_TI_NC&gt;0,FALSE,IF($JG157=CONCATENATE("Interior - ",JP$4),TRUE,FALSE))</f>
        <v>0</v>
      </c>
      <c r="JQ155" s="1061"/>
      <c r="JR155" s="1682" t="b">
        <f>IF(__Retrofit_TI_NC&gt;0,FALSE,IF($JG157=CONCATENATE("Interior - ",JR$4),TRUE,FALSE))</f>
        <v>0</v>
      </c>
      <c r="JS155" s="1061"/>
      <c r="JT155" s="1670" t="b">
        <f>IF(__Retrofit_TI_NC&gt;0,FALSE,IF($JG157=CONCATENATE("Interior - ",JT$4),TRUE,FALSE))</f>
        <v>0</v>
      </c>
      <c r="JU155" s="1061"/>
      <c r="JV155" s="1670" t="b">
        <f>IF(JC157="AELC on Existing",TRUE,FALSE)</f>
        <v>0</v>
      </c>
      <c r="JX155" s="1670" t="b">
        <f>IF(OR(JG157="Exterior - AELC Occupancy based",JG157="Exterior - AELC Time based"),TRUE,FALSE)</f>
        <v>0</v>
      </c>
      <c r="JZ155" s="1682" t="b">
        <f>IF($JG157=CONCATENATE("Exterior - ",JZ$4),TRUE,FALSE)</f>
        <v>0</v>
      </c>
      <c r="KB155" s="1670" t="b">
        <f>IF(__Retrofit_TI_NC&gt;0,FALSE,IF($JG157=CONCATENATE("Interior - ",KB$4),TRUE,FALSE))</f>
        <v>0</v>
      </c>
    </row>
    <row r="156" spans="1:288" s="78" customFormat="1" ht="14.95" customHeight="1" thickTop="1" thickBot="1">
      <c r="B156" s="1845"/>
      <c r="C156" s="1846"/>
      <c r="D156" s="1847"/>
      <c r="E156" s="1737" t="s">
        <v>297</v>
      </c>
      <c r="F156" s="1738"/>
      <c r="G156" s="1739"/>
      <c r="H156" s="1739"/>
      <c r="I156" s="1739"/>
      <c r="J156" s="1739"/>
      <c r="K156" s="1739"/>
      <c r="L156" s="1739"/>
      <c r="M156" s="461" t="e">
        <f>IF(__Retrofit_TI_NC&lt;&gt;0,IF(VLOOKUP(G157,'Space Table'!$B$3:$L$163,3,FALSE)&gt;0,1,0),IF(__Retrofit_TI_NC=VLOOKUP(G157,'Space Table'!$B$3:$L$163,3,FALSE),1,0))</f>
        <v>#N/A</v>
      </c>
      <c r="N156" s="461" t="str">
        <f>IFERROR(VLOOKUP(G156,_Lookup_Heat_Type_Table_New,2,FALSE),"")</f>
        <v/>
      </c>
      <c r="O156" s="461">
        <f>IF(__Retrofit_TI_NC=1,CONCATENATE("TI ",G156),IF(__Retrofit_TI_NC=2,CONCATENATE("NC ",G156),G156))</f>
        <v>0</v>
      </c>
      <c r="P156" s="1740" t="s">
        <v>435</v>
      </c>
      <c r="Q156" s="1740"/>
      <c r="R156" s="595"/>
      <c r="S156" s="1792"/>
      <c r="T156" s="597"/>
      <c r="U156" s="1765"/>
      <c r="V156" s="1766"/>
      <c r="W156" s="1766"/>
      <c r="X156" s="1766"/>
      <c r="Y156" s="1766"/>
      <c r="Z156" s="1766"/>
      <c r="AA156" s="1766"/>
      <c r="AB156" s="1766"/>
      <c r="AC156" s="1766"/>
      <c r="AD156" s="1767"/>
      <c r="AE156" s="1000"/>
      <c r="AF156" s="597"/>
      <c r="AG156" s="1723"/>
      <c r="AH156" s="1724"/>
      <c r="AI156" s="1724"/>
      <c r="AJ156" s="1724"/>
      <c r="AK156" s="1725"/>
      <c r="AL156" s="996"/>
      <c r="AM156" s="1747"/>
      <c r="AN156" s="1775"/>
      <c r="AO156" s="1777"/>
      <c r="AP156" s="1780"/>
      <c r="AQ156" s="1781"/>
      <c r="AR156" s="1795"/>
      <c r="AS156" s="1795"/>
      <c r="AT156" s="1796"/>
      <c r="AU156" s="1735"/>
      <c r="AV156" s="1752"/>
      <c r="AW156" s="1705"/>
      <c r="AX156" s="467"/>
      <c r="AY156" s="1749"/>
      <c r="AZ156" s="1749"/>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696"/>
      <c r="CQ156" s="1696"/>
      <c r="CR156" s="1809"/>
      <c r="CS156" s="1811"/>
      <c r="CU156" s="1688"/>
      <c r="CV156" s="1703"/>
      <c r="CW156" s="1703"/>
      <c r="CX156" s="1703"/>
      <c r="CY156" s="1815"/>
      <c r="CZ156" s="1711"/>
      <c r="DA156" s="1818"/>
      <c r="DB156" s="1820"/>
      <c r="DC156" s="1820"/>
      <c r="DD156" s="1820"/>
      <c r="DF156" s="1703"/>
      <c r="DG156" s="1831"/>
      <c r="DH156" s="1703"/>
      <c r="DI156" s="1838"/>
      <c r="DJ156" s="1711"/>
      <c r="DK156" s="1712"/>
      <c r="DM156" s="1718"/>
      <c r="DO156" s="1708"/>
      <c r="DQ156" s="1715"/>
      <c r="DR156" s="1720"/>
      <c r="DS156" s="1816"/>
      <c r="DT156" s="1714"/>
      <c r="DU156" s="1715"/>
      <c r="DV156" s="1716"/>
      <c r="DX156" s="1715"/>
      <c r="DY156" s="1720"/>
      <c r="DZ156" s="1715"/>
      <c r="EA156" s="1715"/>
      <c r="EC156" s="1834"/>
      <c r="ED156" s="1834"/>
      <c r="EF156" s="1707"/>
      <c r="EG156" s="1712"/>
      <c r="EH156" s="1818"/>
      <c r="EI156" s="1712"/>
      <c r="EJ156" s="1712"/>
      <c r="EK156" s="1836"/>
      <c r="EL156" s="1836"/>
      <c r="EM156" s="1807"/>
      <c r="EN156" s="1839"/>
      <c r="EO156" s="1839"/>
      <c r="EP156" s="1817"/>
      <c r="EQ156" s="1817"/>
      <c r="ER156" s="1807"/>
      <c r="ES156" s="1807"/>
      <c r="ET156" s="1807"/>
      <c r="EV156" s="1715"/>
      <c r="EX156" s="1805"/>
      <c r="EY156" s="1805"/>
      <c r="EZ156" s="1805"/>
      <c r="FA156" s="1805"/>
      <c r="FB156" s="1805"/>
      <c r="FC156" s="1827"/>
      <c r="FE156" s="1698"/>
      <c r="FG156" s="1816"/>
      <c r="FH156" s="1816"/>
      <c r="FI156" s="133"/>
      <c r="FL156" s="1823"/>
      <c r="FM156" s="1825"/>
      <c r="FN156" s="1698"/>
      <c r="FO156" s="1698"/>
      <c r="FP156" s="1678"/>
      <c r="FQ156" s="1678"/>
      <c r="FS156" s="1687"/>
      <c r="FT156" s="1687"/>
      <c r="FU156" s="1685"/>
      <c r="FV156" s="1687"/>
      <c r="FW156" s="1687"/>
      <c r="FX156" s="1687"/>
      <c r="FY156" s="1697"/>
      <c r="GA156" s="1696"/>
      <c r="GB156" s="1696"/>
      <c r="GC156" s="1696"/>
      <c r="GD156" s="1696"/>
      <c r="GE156" s="1696"/>
      <c r="GF156" s="1696"/>
      <c r="GG156" s="1696"/>
      <c r="GH156" s="1696"/>
      <c r="GI156" s="673"/>
      <c r="GJ156" s="1135"/>
      <c r="GK156" s="1832"/>
      <c r="GM156" s="1693" t="b">
        <f ca="1">IF(AND(GP156=TRUE,GQ156=TRUE),TRUE,FALSE)</f>
        <v>0</v>
      </c>
      <c r="GN156" s="1684" t="b">
        <f>IFERROR(IF(__Retrofit_TI_NC=2,TRUE,IF(AU155="Yes",TRUE,FALSE)),FALSE)</f>
        <v>1</v>
      </c>
      <c r="GP156" s="1684" t="b">
        <f>IFERROR(IF(GP155=1,TRUE,FALSE),FALSE)</f>
        <v>0</v>
      </c>
      <c r="GQ156" s="1684" t="b">
        <f ca="1">IFERROR(IF(GQ155=GQ$14,TRUE,FALSE),FALSE)</f>
        <v>0</v>
      </c>
      <c r="HG156" s="1684" t="b">
        <f>IFERROR(IF(AND(__Retrofit_TI_NC&gt;0,CQ155="Interior"),FALSE,TRUE),FALSE)</f>
        <v>1</v>
      </c>
      <c r="HH156" s="1684" t="b">
        <f>IFERROR(IF(M156=1,TRUE,FALSE),FALSE)</f>
        <v>0</v>
      </c>
      <c r="HI156" s="1684" t="b">
        <f>IFERROR(IF(OR(M157=1,N158="BAM"),TRUE,FALSE),FALSE)</f>
        <v>0</v>
      </c>
      <c r="HJ156" s="1684" t="b">
        <f>IFERROR(IF(__Retrofit_TI_NC&lt;&gt;0,TRUE,IFERROR(IF(VLOOKUP(U156,Fixtures_Existing_List,2,FALSE)&lt;&gt;"",TRUE,FALSE),FALSE)),FALSE)</f>
        <v>0</v>
      </c>
      <c r="HK156" s="1684" t="b">
        <f>IFERROR(IF(VLOOKUP(U157,Fixtures_Proposed_List,2,FALSE)&lt;&gt;"",TRUE,FALSE),FALSE)</f>
        <v>0</v>
      </c>
      <c r="HL156" s="1684" t="b">
        <f>IF(AND(__Retrofit_TI_NC=2,FC155=TRUE),FALSE,TRUE)</f>
        <v>1</v>
      </c>
      <c r="HM156" s="1684" t="b">
        <f>GK155</f>
        <v>1</v>
      </c>
      <c r="HN156" s="1682" t="b">
        <f>IF(ISERROR(MATCH(FE155,_Control_Match[],0))=TRUE,FALSE,TRUE)</f>
        <v>0</v>
      </c>
      <c r="HO156" s="1693" t="b">
        <f>IFERROR(IF(EX155&lt;&gt;EY155,FALSE,TRUE),FALSE)</f>
        <v>1</v>
      </c>
      <c r="HP156" s="1693" t="b">
        <f>IFERROR(IF(EX157&lt;&gt;EY157,FALSE,TRUE),FALSE)</f>
        <v>1</v>
      </c>
      <c r="HQ156" s="1670" t="b">
        <f>IFERROR(IF(CQ155="Exterior",TRUE,IF(AND(OR(FM157=0,FM157=3),JD157&gt;6),FALSE,TRUE)),FALSE)</f>
        <v>0</v>
      </c>
      <c r="HR156" s="1684" t="b">
        <f>IFERROR(IF(AND(FO157=7,FC155=TRUE),FALSE,TRUE),FALSE)</f>
        <v>0</v>
      </c>
      <c r="HS156" s="1684" t="b">
        <f>IFERROR(IF(AND(T157&lt;&gt;AF157,OR(AG157="Interior LLLC", AG157="Interior NLC", AG157="LLLC (outside Daylight)",AG157="LLLC Controls Only"))=TRUE,FALSE,TRUE),FALSE)</f>
        <v>1</v>
      </c>
      <c r="HT156" s="1670" t="b">
        <f>IFERROR(IF(OR(AG157=Lookup!BB$17,AG157=Lookup!BB$18,AG157=Lookup!BB$19)=TRUE,IF(AF157&gt;T157,FALSE,TRUE),TRUE),FALSE)</f>
        <v>1</v>
      </c>
      <c r="HU156" s="1684" t="b">
        <f>IFERROR(IF(__Retrofit_TI_NC=2,IF(EZ157&lt;EZ155,FALSE,TRUE),TRUE),FALSE)</f>
        <v>1</v>
      </c>
      <c r="HV156" s="1684" t="b">
        <f>IF(CQ155="Interior",IL$6,TRUE)</f>
        <v>1</v>
      </c>
      <c r="HW156" s="1684" t="b">
        <f>IF(CQ155="Exterior",IL$8,TRUE)</f>
        <v>1</v>
      </c>
      <c r="HX156" s="1684" t="b">
        <f>IFERROR(IF(__Retrofit_TI_NC&lt;&gt;0,IF(AZ155&lt;AY155,FALSE,TRUE),TRUE),FALSE)</f>
        <v>1</v>
      </c>
      <c r="HY156" s="1684" t="b">
        <f>IFERROR(IF(AND(G156="Exterior",R156&gt;4200),FALSE,TRUE),FALSE)</f>
        <v>1</v>
      </c>
      <c r="HZ156" s="1684" t="b">
        <f>IFERROR(IF(AB158/AB155&lt;HZ$18,FALSE,TRUE),FALSE)</f>
        <v>0</v>
      </c>
      <c r="IB156" s="1691"/>
      <c r="IC156" s="1695"/>
      <c r="ID156" s="1694" t="str">
        <f>VLOOKUP(IB158,_Error_Table,4,FALSE)</f>
        <v>White</v>
      </c>
      <c r="IE156" s="391"/>
      <c r="IF156" s="1688"/>
      <c r="IG156" s="1689"/>
      <c r="IH156" s="1684"/>
      <c r="IK156" s="1689"/>
      <c r="IL156" s="1691"/>
      <c r="IM156" s="1691"/>
      <c r="IN156" s="1691"/>
      <c r="IP156" s="1679"/>
      <c r="IQ156" s="1679"/>
      <c r="IR156" s="1679"/>
      <c r="IS156" s="1679"/>
      <c r="IT156" s="1679"/>
      <c r="IU156" s="1679"/>
      <c r="IV156" s="1679"/>
      <c r="IW156" s="1679"/>
      <c r="IX156" s="1679"/>
      <c r="IY156" s="1679"/>
      <c r="IZ156" s="1679"/>
      <c r="JA156" s="1679"/>
      <c r="JC156" s="1680"/>
      <c r="JD156" s="1670"/>
      <c r="JE156" s="1681"/>
      <c r="JG156" s="1680"/>
      <c r="JH156" s="1670"/>
      <c r="JI156" s="1060"/>
      <c r="JJ156" s="1683"/>
      <c r="JK156" s="1061"/>
      <c r="JL156" s="1683"/>
      <c r="JM156" s="1061"/>
      <c r="JN156" s="1683"/>
      <c r="JO156" s="1061"/>
      <c r="JP156" s="1683"/>
      <c r="JQ156" s="1061"/>
      <c r="JR156" s="1683"/>
      <c r="JS156" s="1061"/>
      <c r="JT156" s="1670"/>
      <c r="JU156" s="1061"/>
      <c r="JV156" s="1670"/>
      <c r="JX156" s="1670"/>
      <c r="JZ156" s="1683"/>
      <c r="KB156" s="1670"/>
    </row>
    <row r="157" spans="1:288" s="78" customFormat="1" ht="14.95" customHeight="1" thickTop="1" thickBot="1">
      <c r="A157" s="78">
        <f>ROW()</f>
        <v>157</v>
      </c>
      <c r="B157" s="1845"/>
      <c r="C157" s="1846"/>
      <c r="D157" s="1847"/>
      <c r="E157" s="1737" t="s">
        <v>298</v>
      </c>
      <c r="F157" s="1738"/>
      <c r="G157" s="1760"/>
      <c r="H157" s="1761"/>
      <c r="I157" s="1761"/>
      <c r="J157" s="1761"/>
      <c r="K157" s="1761"/>
      <c r="L157" s="1762"/>
      <c r="M157" s="461">
        <f>IFERROR(IF(IF(__Retrofit_TI_NC&lt;&gt;0,IF(CQ155="Interior",MATCH(G157,Lookup_Interior_New,0),MATCH(G157,Lookup_Exterior_New,0)),IF(CQ155="Interior",MATCH(G157,Lookup_Interior,0),MATCH(G157,Lookup_Exterior_Areas,0)))&gt;0,1,0),0)</f>
        <v>0</v>
      </c>
      <c r="N157" s="461" t="e">
        <f>IF(__Retrofit_TI_NC=1,
VLOOKUP(G157,'Space Table'!$B$3:$L$163,4,FALSE),
IF(__Retrofit_TI_NC=2,VLOOKUP(G157,'Space Table'!$B$3:$L$163,5,FALSE),VLOOKUP(G157,'Space Table'!$B$3:$L$163,5,FALSE)))</f>
        <v>#N/A</v>
      </c>
      <c r="O157" s="461">
        <f>G157</f>
        <v>0</v>
      </c>
      <c r="P157" s="1738" t="str">
        <f>IFERROR(IF(__Retrofit_TI_NC=1,VLOOKUP(G157,'Space Table'!$B$3:$O$163,13,FALSE),IF(__Retrofit_TI_NC=2,VLOOKUP(G157,'Space Table'!$B$3:$O$163,14,FALSE),"Area (sf):")),"Area (sf):")</f>
        <v>Area (sf):</v>
      </c>
      <c r="Q157" s="1738"/>
      <c r="R157" s="596"/>
      <c r="S157" s="1763" t="s">
        <v>345</v>
      </c>
      <c r="T157" s="594"/>
      <c r="U157" s="1801"/>
      <c r="V157" s="1802"/>
      <c r="W157" s="1802"/>
      <c r="X157" s="1802"/>
      <c r="Y157" s="1802"/>
      <c r="Z157" s="1802"/>
      <c r="AA157" s="1802"/>
      <c r="AB157" s="1802"/>
      <c r="AC157" s="1802"/>
      <c r="AD157" s="1802"/>
      <c r="AE157" s="1803"/>
      <c r="AF157" s="594"/>
      <c r="AG157" s="1787"/>
      <c r="AH157" s="1787"/>
      <c r="AI157" s="1787"/>
      <c r="AJ157" s="1787"/>
      <c r="AK157" s="1787"/>
      <c r="AL157" s="1787"/>
      <c r="AM157" s="1726">
        <f>IFERROR(DI157,"")</f>
        <v>0</v>
      </c>
      <c r="AN157" s="1728" t="str">
        <f>IFERROR(ROUND(AM157*AC158,0),"")</f>
        <v/>
      </c>
      <c r="AO157" s="1730">
        <f>IFERROR(IF(IB155=FALSE,0,AC158-AN157),0)</f>
        <v>0</v>
      </c>
      <c r="AP157" s="1780"/>
      <c r="AQ157" s="1781"/>
      <c r="AR157" s="1795"/>
      <c r="AS157" s="1795"/>
      <c r="AT157" s="1796"/>
      <c r="AU157" s="1735"/>
      <c r="AV157" s="1752"/>
      <c r="AW157" s="1705"/>
      <c r="AX157" s="467"/>
      <c r="AY157" s="1749"/>
      <c r="AZ157" s="1749"/>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696"/>
      <c r="CQ157" s="1696"/>
      <c r="CR157" s="1808" t="str">
        <f>CQ155</f>
        <v/>
      </c>
      <c r="CS157" s="1810" t="str">
        <f>CS155</f>
        <v/>
      </c>
      <c r="CU157" s="1688" t="s">
        <v>345</v>
      </c>
      <c r="CV157" s="1702">
        <f>IF(IB155=TRUE,T157,0)</f>
        <v>0</v>
      </c>
      <c r="CW157" s="1702" t="str">
        <f>IF(IB155=TRUE,U157,"")</f>
        <v/>
      </c>
      <c r="CX157" s="1812">
        <f>IF(IB155=TRUE,U158,0)</f>
        <v>0</v>
      </c>
      <c r="CY157" s="1814">
        <f>IF(IB155=TRUE,AB158,0)</f>
        <v>0</v>
      </c>
      <c r="CZ157" s="1710">
        <f>IF(AND(__Retrofit_TI_NC&gt;0,CR155="interior"),0,IF(IB155=TRUE,AC158,0))</f>
        <v>0</v>
      </c>
      <c r="DA157" s="1818"/>
      <c r="DB157" s="1820"/>
      <c r="DC157" s="1820"/>
      <c r="DD157" s="1820"/>
      <c r="DF157" s="1702">
        <f>IF(IB155=TRUE,AF157,0)</f>
        <v>0</v>
      </c>
      <c r="DG157" s="1830" t="str">
        <f>IF(IB155=TRUE,AG157,"")</f>
        <v/>
      </c>
      <c r="DH157" s="1812">
        <f>AG158</f>
        <v>0</v>
      </c>
      <c r="DI157" s="1837">
        <f>JE157</f>
        <v>0</v>
      </c>
      <c r="DJ157" s="1710">
        <f>IF(AND(__Retrofit_TI_NC&gt;0,CR155="interior"),0,IF(IB155=TRUE,AN157,0))</f>
        <v>0</v>
      </c>
      <c r="DK157" s="1712"/>
      <c r="DN157" s="1717">
        <f>IFERROR(CZ157-DJ157,0)</f>
        <v>0</v>
      </c>
      <c r="DO157" s="1709"/>
      <c r="DQ157" s="1715"/>
      <c r="DR157" s="1719" t="str">
        <f>DQ155</f>
        <v/>
      </c>
      <c r="DS157" s="1816"/>
      <c r="DT157" s="1835" t="str">
        <f>IF(OR(DS155=7,DS155=8,DS155=9),"ALC","")</f>
        <v/>
      </c>
      <c r="DU157" s="1715"/>
      <c r="DV157" s="1716"/>
      <c r="DX157" s="1715"/>
      <c r="DY157" s="1829" t="str">
        <f>DX155</f>
        <v/>
      </c>
      <c r="DZ157" s="1715"/>
      <c r="EA157" s="1715"/>
      <c r="EC157" s="1834"/>
      <c r="ED157" s="1834"/>
      <c r="EF157" s="1707"/>
      <c r="EG157" s="1712"/>
      <c r="EH157" s="1818"/>
      <c r="EI157" s="1712"/>
      <c r="EJ157" s="1712"/>
      <c r="EK157" s="1836"/>
      <c r="EL157" s="1836"/>
      <c r="EM157" s="1807"/>
      <c r="EN157" s="1839"/>
      <c r="EO157" s="1839"/>
      <c r="EP157" s="1817"/>
      <c r="EQ157" s="1817"/>
      <c r="ER157" s="1807"/>
      <c r="ES157" s="1807"/>
      <c r="ET157" s="1807"/>
      <c r="EV157" s="1715"/>
      <c r="EX157" s="1805" t="str">
        <f>IFERROR(VLOOKUP(CS157,'Space Table'!$B$3:$L$163,8,FALSE),"")</f>
        <v/>
      </c>
      <c r="EY157" s="1805" t="str">
        <f>IFERROR(IF(FB157="Yes",VLOOKUP(AG157,Lookup_Control_Type_Table2,4,FALSE),VLOOKUP(AG157,Lookup_Control_Type_Table2,3,FALSE)),"")</f>
        <v/>
      </c>
      <c r="EZ157" s="1805" t="e">
        <f>VLOOKUP(AG157,Lookup!BB$3:BC$20,2,FALSE)</f>
        <v>#N/A</v>
      </c>
      <c r="FA157" s="1805" t="e">
        <f>VLOOKUP(EX155,Lookup_Control_Type_Table,2,FALSE)</f>
        <v>#N/A</v>
      </c>
      <c r="FB157" s="1805" t="e">
        <f>VLOOKUP(CS157,'Space Table'!$B$3:$L$163,7,FALSE)</f>
        <v>#N/A</v>
      </c>
      <c r="FC157" s="1827"/>
      <c r="FE157" s="1698" t="str">
        <f>CONCATENATE(CQ155," - ",AG157)</f>
        <v xml:space="preserve"> - </v>
      </c>
      <c r="FG157" s="1816"/>
      <c r="FH157" s="1816"/>
      <c r="FI157" s="133"/>
      <c r="FL157" s="1822" t="str">
        <f>IF(CQ155="Exterior","Not Daylighted",G158)</f>
        <v>Not Daylighted</v>
      </c>
      <c r="FM157" s="1824">
        <f>VLOOKUP(FL157,_New_Daylight_Table_Codes,2,FALSE)</f>
        <v>0</v>
      </c>
      <c r="FN157" s="1698">
        <f>AG157</f>
        <v>0</v>
      </c>
      <c r="FO157" s="1698" t="e">
        <f>VLOOKUP(FN157,_Control_Table,2,FALSE)</f>
        <v>#N/A</v>
      </c>
      <c r="FP157" s="1678" t="e">
        <f>VLOOKUP(CONCATENATE(FL157," ",FN157),Lookup!AY$102:AZ168,2,FALSE)</f>
        <v>#N/A</v>
      </c>
      <c r="FQ157" s="1698">
        <f>IF(__Retrofit_TI_NC=0,FN157,IF(AND(FT157&gt;0,FN157="Occupancy Sensor"),"Daylight + Occupancy",IF(AND(FT157&gt;0,FO157&lt;4),"Interior Daylight Dimming",FN157)))</f>
        <v>0</v>
      </c>
      <c r="FS157" s="1686">
        <f>IF(CQ155="Interior",VLOOKUP(CS155,Control_Savings_Interior,5,FALSE),0)</f>
        <v>0</v>
      </c>
      <c r="FT157" s="1687">
        <f>IF(CQ157="Exterior",0,IF(FM157=2,0.5,IF(OR(FM157=1,FM157=3),1,0)))</f>
        <v>0</v>
      </c>
      <c r="FU157" s="1685">
        <f>IF(R156&gt;FS$44,(FS157*(FS$44/R156)),FS157)*FT157</f>
        <v>0</v>
      </c>
      <c r="FV157" s="1686">
        <f>DI157</f>
        <v>0</v>
      </c>
      <c r="FW157" s="1686">
        <f>ROUND(FV157+((1-FV157)*FU157),2)</f>
        <v>0</v>
      </c>
      <c r="FX157" s="1686">
        <f>IF(__Retrofit_TI_NC=2,FW157,FV157)</f>
        <v>0</v>
      </c>
      <c r="FY157" s="1697">
        <f>IF(CR157="Interior",VLOOKUP(CS157,Control_Savings_Interior,4,FALSE),0)</f>
        <v>0</v>
      </c>
      <c r="GA157" s="1696"/>
      <c r="GB157" s="1696"/>
      <c r="GC157" s="1696"/>
      <c r="GD157" s="1696"/>
      <c r="GE157" s="1696"/>
      <c r="GF157" s="1696"/>
      <c r="GG157" s="1696"/>
      <c r="GH157" s="1696"/>
      <c r="GI157" s="673" t="b">
        <f>IF(ISNUMBER(SEARCH("TLED",U157)),TRUE,FALSE)</f>
        <v>0</v>
      </c>
      <c r="GJ157" s="1135" t="str">
        <f>IFERROR(VLOOKUP(U157,Fixtures!DM$93:DR$142,6,FALSE),"")</f>
        <v/>
      </c>
      <c r="GK157" s="1832"/>
      <c r="GM157" s="1692"/>
      <c r="GN157" s="1684"/>
      <c r="GP157" s="1684"/>
      <c r="GQ157" s="1684"/>
      <c r="HG157" s="1684"/>
      <c r="HH157" s="1684"/>
      <c r="HI157" s="1684"/>
      <c r="HJ157" s="1684"/>
      <c r="HK157" s="1684"/>
      <c r="HL157" s="1684"/>
      <c r="HM157" s="1684"/>
      <c r="HN157" s="1683"/>
      <c r="HO157" s="1692"/>
      <c r="HP157" s="1692"/>
      <c r="HQ157" s="1670"/>
      <c r="HR157" s="1684"/>
      <c r="HS157" s="1684"/>
      <c r="HT157" s="1670"/>
      <c r="HU157" s="1684"/>
      <c r="HV157" s="1684"/>
      <c r="HW157" s="1684"/>
      <c r="HX157" s="1684"/>
      <c r="HY157" s="1684"/>
      <c r="HZ157" s="1684"/>
      <c r="IB157" s="1692"/>
      <c r="IC157" s="1693" t="b">
        <f>IB155</f>
        <v>0</v>
      </c>
      <c r="ID157" s="1695"/>
      <c r="IE157" s="391"/>
      <c r="IF157" s="1688"/>
      <c r="IG157" s="1689">
        <f ca="1">IF(IF155=TRUE,AC158,0)</f>
        <v>0</v>
      </c>
      <c r="IH157" s="1684"/>
      <c r="IK157" s="1689" t="e">
        <f>ROUND(T157*AB158*N156*R156/1000,0)</f>
        <v>#VALUE!</v>
      </c>
      <c r="IL157" s="1691"/>
      <c r="IM157" s="1693" t="e">
        <f>ROUND(T157*AB158*N156*R156/1000,0)</f>
        <v>#VALUE!</v>
      </c>
      <c r="IN157" s="1691"/>
      <c r="IP157" s="1679"/>
      <c r="IQ157" s="1679" t="e">
        <f t="shared" ref="IQ157:IU157" si="122">IF($CR157="interior",VLOOKUP($CS157,_New_Control_Savings_Interior,IQ$30,FALSE),VLOOKUP($CS157,Control_Savings_Exterior,IQ$30,FALSE))</f>
        <v>#N/A</v>
      </c>
      <c r="IR157" s="1679" t="e">
        <f t="shared" si="122"/>
        <v>#N/A</v>
      </c>
      <c r="IS157" s="1679" t="e">
        <f t="shared" si="122"/>
        <v>#N/A</v>
      </c>
      <c r="IT157" s="1679" t="e">
        <f t="shared" si="122"/>
        <v>#N/A</v>
      </c>
      <c r="IU157" s="1679" t="e">
        <f t="shared" si="122"/>
        <v>#N/A</v>
      </c>
      <c r="IV157" s="1679" t="e">
        <f>IF($CR157="interior",IF(R156&gt;$IP$14,ROUND(($IV$18*($IP$14/R156)),2),$IV$18),VLOOKUP($CS157,Control_Savings_Exterior,IV$30,FALSE))</f>
        <v>#N/A</v>
      </c>
      <c r="IW157" s="1679" t="e">
        <f>IF($CR157="interior",ROUND(((1-IS157)*IV157)+IS157,2),VLOOKUP($CS157,Control_Savings_Exterior,IW$30,FALSE))</f>
        <v>#N/A</v>
      </c>
      <c r="IX157" s="1679" t="e">
        <f>IF($CR157="interior",ROUND(((1-IT157)*IV157)+IT157,2),VLOOKUP($CS157,Control_Savings_Exterior,IX$30,FALSE))</f>
        <v>#N/A</v>
      </c>
      <c r="IY157" s="1679" t="e">
        <f>IF($CR157="interior",IF(R156&gt;$IP$14,ROUND(($IY$18*($IP$14/R156)),2),$IY$18),VLOOKUP($CS157,Control_Savings_Exterior,IY$30,FALSE))</f>
        <v>#N/A</v>
      </c>
      <c r="IZ157" s="1679" t="e">
        <f>IF($CR157="interior",ROUND(((1-IS157)*IY157)+IS157,2),VLOOKUP($CS157,Control_Savings_Exterior,IZ$30,FALSE))</f>
        <v>#N/A</v>
      </c>
      <c r="JA157" s="1679" t="e">
        <f>IF($CR157="interior",ROUND(((1-IT157)*IY157)+IT157,2),VLOOKUP($CS157,Control_Savings_Exterior,JA$30,FALSE))</f>
        <v>#N/A</v>
      </c>
      <c r="JC157" s="1680">
        <f>IFERROR(IF(CR157="Interior",CONCATENATE(G158," ",FQ157),AG157),"")</f>
        <v>0</v>
      </c>
      <c r="JD157" s="1670" t="str">
        <f>IFERROR(VLOOKUP(JC157,_Controls_2023,2,FALSE),"")</f>
        <v/>
      </c>
      <c r="JE157" s="1681">
        <f>IFERROR(CHOOSE(JD157-1,IQ157,IR157,IS157,IT157,IU157,IV157,IW157,IX157,IY157,IZ157,JA157),0)</f>
        <v>0</v>
      </c>
      <c r="JG157" s="1680" t="str">
        <f>FE157</f>
        <v xml:space="preserve"> - </v>
      </c>
      <c r="JH157" s="1670" t="e">
        <f>$FO157</f>
        <v>#N/A</v>
      </c>
      <c r="JI157" s="1060"/>
      <c r="JJ157" s="1670">
        <f>IFERROR(IF($IB155=TRUE,IF(OR(JJ$14="No",JJ155=FALSE,JH157&lt;=JH155,AND(_kWh_Grant=0,GD155=FALSE)),0,IF(JJ$8="Per Line",1,$AF157)),0),0)</f>
        <v>0</v>
      </c>
      <c r="JK157" s="1061"/>
      <c r="JL157" s="1670">
        <f>IFERROR(IF(_kWh_Grant=0,0,IF($IB155=TRUE,IF(OR(JL$14="No",JL155=FALSE,JH157&lt;=JH155),0,IF(JL$8="Per Line",1,$T157)),0)),0)</f>
        <v>0</v>
      </c>
      <c r="JM157" s="1061"/>
      <c r="JN157" s="1670">
        <f>IFERROR(IF(_kWh_Grant=0,0,IF($IB155=TRUE,IF(OR(JN$14="No",JN155=FALSE,JH157&lt;=JH155),0,IF(JN$8="Per Line",1,$AF157)),0)),0)</f>
        <v>0</v>
      </c>
      <c r="JO157" s="1061"/>
      <c r="JP157" s="1670">
        <f>IFERROR(IF(__Retrofit_TI_NC=0,IF(_kWh_Grant=0,0,IF($IB155=TRUE,IF(OR(JP$14="No",JP155=FALSE,$JH157&lt;=$JH155),0,IF(JP$8="Per Line",1,$AF157)),0)),IF($IB155=TRUE,IF(OR(JP$14="No",JP155=FALSE,$JH157&lt;=$JH155),0,IF(JP$8="Per Line",1,$AF157)))),0)</f>
        <v>0</v>
      </c>
      <c r="JQ157" s="1061"/>
      <c r="JR157" s="1670">
        <f>IFERROR(IF(__Retrofit_TI_NC=0,IF(_kWh_Grant=0,0,IF($IB155=TRUE,IF(OR(JR$14="No",JR155=FALSE,$JH157&lt;=$JH155),0,IF(JR$8="Per Line",1,$AF157)),0)),IF($IB155=TRUE,IF(OR(JR$14="No",JR155=FALSE,$JH157&lt;=$JH155),0,IF(JR$8="Per Line",1,$AF157)))),0)</f>
        <v>0</v>
      </c>
      <c r="JS157" s="1061"/>
      <c r="JT157" s="1670">
        <f>IFERROR(IF(__Retrofit_TI_NC=0,IF(_kWh_Grant=0,0,IF($IB155=TRUE,IF(OR(JT$14="No",JT155=FALSE,$JH157&lt;=$JH155),0,IF(JT$8="Per Line",1,$AF157)),0)),IF($IB155=TRUE,IF(OR(JT$14="No",JT155=FALSE,$JH157&lt;=$JH155),0,IF(JT$8="Per Line",1,$AF157)))),0)</f>
        <v>0</v>
      </c>
      <c r="JU157" s="1061"/>
      <c r="JV157" s="1670">
        <f>IFERROR(IF(__Retrofit_TI_NC=0,IF(_kWh_Grant=0,0,IF($IB155=TRUE,IF(OR(JV$14="No",JV155=FALSE,$JH157&lt;=$JH155),0,IF(JV$8="Per Line",1,$AF157)),0)),IF($IB155=TRUE,IF(OR(JV$14="No",JV155=FALSE,$JH157&lt;=$JH155),0,IF(JV$8="Per Line",1,$AF157)))),0)</f>
        <v>0</v>
      </c>
      <c r="JX157" s="1670">
        <f>IFERROR(IF(__Retrofit_TI_NC=0,IF(_kWh_Grant=0,0,IF($IB155=TRUE,IF(OR(JX$14="No",JX155=FALSE,$JH157&lt;=$JH155),0,IF(JX$8="Per Line",1,$AF157)),0)),IF($IB155=TRUE,IF(OR(JX$14="No",JX155=FALSE,$JH157&lt;=$JH155),0,IF(JX$8="Per Line",1,$AF157)))),0)</f>
        <v>0</v>
      </c>
      <c r="JZ157" s="1670">
        <f>IFERROR(IF($IB155=TRUE,IF(OR(JZ$14="No",JZ155=FALSE,$JH157&lt;=$JH155,AND(_kWh_Grant=0,$GD155=FALSE)),0,IF(JZ$8="Per Line",1,$AF157)),0),0)</f>
        <v>0</v>
      </c>
      <c r="KB157" s="1670">
        <f>IFERROR(IF(__Retrofit_TI_NC=0,IF(_kWh_Grant=0,0,IF($IB155=TRUE,IF(OR(KB$14="No",KB155=FALSE,$JH157&lt;=$JH155),0,IF(KB$8="Per Line",1,$AF157)),0)),IF($IB155=TRUE,IF(OR(KB$14="No",KB155=FALSE,$JH157&lt;=$JH155),0,IF(KB$8="Per Line",1,$AF157)))),0)</f>
        <v>0</v>
      </c>
    </row>
    <row r="158" spans="1:288" s="78" customFormat="1" ht="14.95" customHeight="1" thickTop="1" thickBot="1">
      <c r="B158" s="1845"/>
      <c r="C158" s="1846"/>
      <c r="D158" s="1847"/>
      <c r="E158" s="1771" t="s">
        <v>436</v>
      </c>
      <c r="F158" s="1772"/>
      <c r="G158" s="1784" t="s">
        <v>437</v>
      </c>
      <c r="H158" s="1785"/>
      <c r="I158" s="1785"/>
      <c r="J158" s="1785"/>
      <c r="K158" s="1785"/>
      <c r="L158" s="1786"/>
      <c r="M158" s="591">
        <f>IFERROR(VLOOKUP(G158,_Daylight_Table[],2,FALSE),0)</f>
        <v>0</v>
      </c>
      <c r="N158" s="592" t="str">
        <f>IF(AND(__Retrofit_TI_NC&gt;0,CQ155="Interior"),"BAM","")</f>
        <v/>
      </c>
      <c r="O158" s="591" t="e">
        <f>VLOOKUP(G157,'Space Table'!$B$3:$L$163,11,FALSE)</f>
        <v>#N/A</v>
      </c>
      <c r="P158" s="1789"/>
      <c r="Q158" s="1790"/>
      <c r="R158" s="1790"/>
      <c r="S158" s="1788"/>
      <c r="T158" s="593" t="s">
        <v>342</v>
      </c>
      <c r="U158" s="1756" t="str" cm="1">
        <f t="array" aca="1" ref="U158" ca="1">IFERROR(VLOOKUP(INDIRECT("U" &amp; ROW()-1),Fixtures!DM$93:DP$142,4,FALSE),"")</f>
        <v/>
      </c>
      <c r="V158" s="1757"/>
      <c r="W158" s="1757"/>
      <c r="X158" s="1757"/>
      <c r="Y158" s="1757"/>
      <c r="Z158" s="1757"/>
      <c r="AA158" s="1758"/>
      <c r="AB158" s="939" t="str">
        <f>IFERROR(VLOOKUP(U157,Fixtures_Proposed_List,2,FALSE),"")</f>
        <v/>
      </c>
      <c r="AC158" s="933" t="str">
        <f>IFERROR(ROUND(T157*AB158*N156*R156/1000,0),"")</f>
        <v/>
      </c>
      <c r="AD158" s="934" t="str">
        <f>IFERROR(ROUND(T157*AB158/1000,2),"")</f>
        <v/>
      </c>
      <c r="AE158" s="998"/>
      <c r="AF158" s="938" t="s">
        <v>342</v>
      </c>
      <c r="AG158" s="1770"/>
      <c r="AH158" s="1770"/>
      <c r="AI158" s="1770"/>
      <c r="AJ158" s="1770"/>
      <c r="AK158" s="1770"/>
      <c r="AL158" s="1770"/>
      <c r="AM158" s="1727"/>
      <c r="AN158" s="1729"/>
      <c r="AO158" s="1731"/>
      <c r="AP158" s="1782"/>
      <c r="AQ158" s="1783"/>
      <c r="AR158" s="1797"/>
      <c r="AS158" s="1797"/>
      <c r="AT158" s="1798"/>
      <c r="AU158" s="1736"/>
      <c r="AV158" s="1753"/>
      <c r="AW158" s="1706"/>
      <c r="AX158" s="468"/>
      <c r="AY158" s="1750"/>
      <c r="AZ158" s="1750"/>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696"/>
      <c r="CQ158" s="1696"/>
      <c r="CR158" s="1809"/>
      <c r="CS158" s="1811"/>
      <c r="CU158" s="1688"/>
      <c r="CV158" s="1703"/>
      <c r="CW158" s="1703"/>
      <c r="CX158" s="1813"/>
      <c r="CY158" s="1815"/>
      <c r="CZ158" s="1711"/>
      <c r="DA158" s="1815"/>
      <c r="DB158" s="1821"/>
      <c r="DC158" s="1821"/>
      <c r="DD158" s="1821"/>
      <c r="DF158" s="1703"/>
      <c r="DG158" s="1831"/>
      <c r="DH158" s="1813"/>
      <c r="DI158" s="1838"/>
      <c r="DJ158" s="1711"/>
      <c r="DK158" s="1712"/>
      <c r="DN158" s="1718"/>
      <c r="DO158" s="1709"/>
      <c r="DQ158" s="1715"/>
      <c r="DR158" s="1720"/>
      <c r="DS158" s="1703"/>
      <c r="DT158" s="1714"/>
      <c r="DU158" s="1715"/>
      <c r="DV158" s="1716"/>
      <c r="DX158" s="1715"/>
      <c r="DY158" s="1720"/>
      <c r="DZ158" s="1715"/>
      <c r="EA158" s="1715"/>
      <c r="EC158" s="1834"/>
      <c r="ED158" s="1834"/>
      <c r="EF158" s="1707"/>
      <c r="EG158" s="1712"/>
      <c r="EH158" s="1815"/>
      <c r="EI158" s="1712"/>
      <c r="EJ158" s="1712"/>
      <c r="EK158" s="1813"/>
      <c r="EL158" s="1813"/>
      <c r="EM158" s="1807"/>
      <c r="EN158" s="1839"/>
      <c r="EO158" s="1839"/>
      <c r="EP158" s="1817"/>
      <c r="EQ158" s="1817"/>
      <c r="ER158" s="1807"/>
      <c r="ES158" s="1807"/>
      <c r="ET158" s="1807"/>
      <c r="EV158" s="1715"/>
      <c r="EX158" s="1806"/>
      <c r="EY158" s="1806"/>
      <c r="EZ158" s="1806"/>
      <c r="FA158" s="1806"/>
      <c r="FB158" s="1806"/>
      <c r="FC158" s="1828"/>
      <c r="FE158" s="1698"/>
      <c r="FG158" s="1703"/>
      <c r="FH158" s="1703"/>
      <c r="FI158" s="133"/>
      <c r="FL158" s="1823"/>
      <c r="FM158" s="1825"/>
      <c r="FN158" s="1698"/>
      <c r="FO158" s="1698"/>
      <c r="FP158" s="1678"/>
      <c r="FQ158" s="1698"/>
      <c r="FS158" s="1687"/>
      <c r="FT158" s="1687"/>
      <c r="FU158" s="1685"/>
      <c r="FV158" s="1687"/>
      <c r="FW158" s="1687"/>
      <c r="FX158" s="1687"/>
      <c r="FY158" s="1697"/>
      <c r="GA158" s="1696"/>
      <c r="GB158" s="1696"/>
      <c r="GC158" s="1696"/>
      <c r="GD158" s="1696"/>
      <c r="GE158" s="1696"/>
      <c r="GF158" s="1696"/>
      <c r="GG158" s="1696"/>
      <c r="GH158" s="1696"/>
      <c r="GI158" s="673"/>
      <c r="GJ158" s="1135"/>
      <c r="GK158" s="1832"/>
      <c r="GN158" s="674">
        <f>IF(GN156=TRUE,0,GN$16)</f>
        <v>0</v>
      </c>
      <c r="GP158" s="674">
        <f>IF(GP156=TRUE,0,GP$16)</f>
        <v>36</v>
      </c>
      <c r="GQ158" s="674">
        <f ca="1">IF(GQ156=TRUE,0,GQ$16)</f>
        <v>35</v>
      </c>
      <c r="GR158" s="391"/>
      <c r="GS158" s="391"/>
      <c r="GT158" s="391"/>
      <c r="GU158" s="391"/>
      <c r="GV158" s="391"/>
      <c r="HG158" s="674">
        <f>IF(HG156=TRUE,0,HG$16)</f>
        <v>0</v>
      </c>
      <c r="HH158" s="674">
        <f t="shared" ref="HH158:HM158" si="123">IF(HH156=TRUE,0,HH$16)</f>
        <v>19</v>
      </c>
      <c r="HI158" s="674">
        <f t="shared" si="123"/>
        <v>18</v>
      </c>
      <c r="HJ158" s="674">
        <f t="shared" si="123"/>
        <v>17</v>
      </c>
      <c r="HK158" s="674">
        <f t="shared" si="123"/>
        <v>16</v>
      </c>
      <c r="HL158" s="674">
        <f t="shared" si="123"/>
        <v>0</v>
      </c>
      <c r="HM158" s="674">
        <f t="shared" si="123"/>
        <v>0</v>
      </c>
      <c r="HN158" s="674">
        <f>IF(HN156=TRUE,0,HN$16)</f>
        <v>13</v>
      </c>
      <c r="HO158" s="674">
        <f t="shared" ref="HO158:HQ158" si="124">IF(HO156=TRUE,0,HO$16)</f>
        <v>0</v>
      </c>
      <c r="HP158" s="674">
        <f t="shared" si="124"/>
        <v>0</v>
      </c>
      <c r="HQ158" s="674">
        <f t="shared" si="124"/>
        <v>10</v>
      </c>
      <c r="HR158" s="674">
        <f>IF(HR156=TRUE,0,HR$16)</f>
        <v>9</v>
      </c>
      <c r="HS158" s="674">
        <f t="shared" ref="HS158:HW158" si="125">IF(HS156=TRUE,0,HS$16)</f>
        <v>0</v>
      </c>
      <c r="HT158" s="674">
        <f t="shared" si="125"/>
        <v>0</v>
      </c>
      <c r="HU158" s="674">
        <f t="shared" si="125"/>
        <v>0</v>
      </c>
      <c r="HV158" s="674">
        <f t="shared" si="125"/>
        <v>0</v>
      </c>
      <c r="HW158" s="674">
        <f t="shared" si="125"/>
        <v>0</v>
      </c>
      <c r="HX158" s="674">
        <f>IF(HX156=TRUE,0,HX$16)</f>
        <v>0</v>
      </c>
      <c r="HY158" s="674">
        <f>IF(HY156=TRUE,0,HY$16)</f>
        <v>0</v>
      </c>
      <c r="HZ158" s="674">
        <f>IF(HZ156=TRUE,0,HZ$16)</f>
        <v>1</v>
      </c>
      <c r="IB158" s="674">
        <f>IF(GP156=FALSE,GP158,IF(GQ156=FALSE,GQ158,MAX(GN158:HZ158)))</f>
        <v>36</v>
      </c>
      <c r="IC158" s="1692"/>
      <c r="ID158" s="205" t="str">
        <f>VLOOKUP(IB158,_Error_Table,3,FALSE)</f>
        <v xml:space="preserve"> </v>
      </c>
      <c r="IE158" s="205"/>
      <c r="IF158" s="1688"/>
      <c r="IG158" s="1689"/>
      <c r="IH158" s="1684"/>
      <c r="IK158" s="1689"/>
      <c r="IL158" s="1692"/>
      <c r="IM158" s="1692"/>
      <c r="IN158" s="1692"/>
      <c r="IP158" s="1679"/>
      <c r="IQ158" s="1679"/>
      <c r="IR158" s="1679"/>
      <c r="IS158" s="1679"/>
      <c r="IT158" s="1679"/>
      <c r="IU158" s="1679"/>
      <c r="IV158" s="1679"/>
      <c r="IW158" s="1679"/>
      <c r="IX158" s="1679"/>
      <c r="IY158" s="1679"/>
      <c r="IZ158" s="1679"/>
      <c r="JA158" s="1679"/>
      <c r="JC158" s="1680"/>
      <c r="JD158" s="1670"/>
      <c r="JE158" s="1681"/>
      <c r="JG158" s="1680"/>
      <c r="JH158" s="1670"/>
      <c r="JI158" s="1060"/>
      <c r="JJ158" s="1670"/>
      <c r="JK158" s="1061"/>
      <c r="JL158" s="1670"/>
      <c r="JM158" s="1061"/>
      <c r="JN158" s="1670"/>
      <c r="JO158" s="1061"/>
      <c r="JP158" s="1670"/>
      <c r="JQ158" s="1061"/>
      <c r="JR158" s="1670"/>
      <c r="JS158" s="1061"/>
      <c r="JT158" s="1670"/>
      <c r="JU158" s="1061"/>
      <c r="JV158" s="1670"/>
      <c r="JX158" s="1670"/>
      <c r="JZ158" s="1670"/>
      <c r="KB158" s="1670"/>
    </row>
    <row r="159" spans="1:288" s="78" customFormat="1" ht="5.0999999999999996" customHeight="1">
      <c r="B159" s="676"/>
      <c r="C159" s="392"/>
      <c r="D159" s="392"/>
      <c r="E159" s="1733"/>
      <c r="F159" s="1733"/>
      <c r="G159" s="1733"/>
      <c r="H159" s="1733"/>
      <c r="I159" s="1733"/>
      <c r="J159" s="1733"/>
      <c r="K159" s="1733"/>
      <c r="L159" s="1733"/>
      <c r="M159" s="1733"/>
      <c r="N159" s="1733"/>
      <c r="O159" s="1733"/>
      <c r="P159" s="1733"/>
      <c r="Q159" s="1733"/>
      <c r="R159" s="1733"/>
      <c r="S159" s="1733"/>
      <c r="T159" s="1733"/>
      <c r="U159" s="1733"/>
      <c r="V159" s="1733"/>
      <c r="W159" s="1733"/>
      <c r="X159" s="1733"/>
      <c r="Y159" s="1733"/>
      <c r="Z159" s="1733"/>
      <c r="AA159" s="1733"/>
      <c r="AB159" s="1733"/>
      <c r="AC159" s="1733"/>
      <c r="AD159" s="1733"/>
      <c r="AE159" s="1733"/>
      <c r="AF159" s="1733"/>
      <c r="AG159" s="1733"/>
      <c r="AH159" s="1733"/>
      <c r="AI159" s="1733"/>
      <c r="AJ159" s="1733"/>
      <c r="AK159" s="1733"/>
      <c r="AL159" s="1733"/>
      <c r="AM159" s="1733"/>
      <c r="AN159" s="1733"/>
      <c r="AO159" s="1733"/>
      <c r="AP159" s="1733"/>
      <c r="AQ159" s="1733"/>
      <c r="AR159" s="1733"/>
      <c r="AS159" s="1733"/>
      <c r="AT159" s="1733"/>
      <c r="AU159" s="1733"/>
      <c r="AV159" s="1733"/>
      <c r="AW159" s="1733"/>
      <c r="AX159" s="469"/>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663"/>
      <c r="CQ159" s="663"/>
      <c r="CR159" s="438"/>
      <c r="CS159" s="663"/>
      <c r="CV159" s="391"/>
      <c r="CW159" s="391"/>
      <c r="CX159" s="207"/>
      <c r="CY159" s="208"/>
      <c r="CZ159" s="208"/>
      <c r="DA159" s="208"/>
      <c r="DB159" s="209"/>
      <c r="DC159" s="209"/>
      <c r="DD159" s="209"/>
      <c r="DF159" s="664"/>
      <c r="DG159" s="665"/>
      <c r="DH159" s="666"/>
      <c r="DI159" s="667"/>
      <c r="DJ159" s="668"/>
      <c r="DK159" s="668"/>
      <c r="DN159" s="208"/>
      <c r="DO159" s="664"/>
      <c r="DQ159" s="664"/>
      <c r="DR159" s="669"/>
      <c r="DS159" s="391"/>
      <c r="DT159" s="664"/>
      <c r="DU159" s="664"/>
      <c r="DV159" s="664"/>
      <c r="DX159" s="664"/>
      <c r="DY159" s="664"/>
      <c r="DZ159" s="664"/>
      <c r="EA159" s="664"/>
      <c r="EC159" s="670"/>
      <c r="ED159" s="670"/>
      <c r="EF159" s="668"/>
      <c r="EG159" s="668"/>
      <c r="EH159" s="208"/>
      <c r="EI159" s="668"/>
      <c r="EJ159" s="668"/>
      <c r="EK159" s="207"/>
      <c r="EL159" s="207"/>
      <c r="EM159" s="666"/>
      <c r="EN159" s="671"/>
      <c r="EO159" s="671"/>
      <c r="EP159" s="672"/>
      <c r="EQ159" s="672"/>
      <c r="ER159" s="666"/>
      <c r="ES159" s="666"/>
      <c r="ET159" s="666"/>
      <c r="EV159" s="664"/>
      <c r="EX159" s="391"/>
      <c r="EY159" s="391"/>
      <c r="EZ159" s="391"/>
      <c r="FA159" s="391"/>
      <c r="FB159" s="391"/>
      <c r="FC159" s="391"/>
      <c r="FE159" s="569"/>
      <c r="FG159" s="391"/>
      <c r="FH159" s="391"/>
      <c r="FI159" s="391"/>
      <c r="FS159" s="664"/>
      <c r="FT159" s="391"/>
      <c r="FU159" s="391"/>
      <c r="FV159" s="664"/>
      <c r="FW159" s="664"/>
      <c r="GA159" s="663"/>
      <c r="GB159" s="663"/>
      <c r="GC159" s="663"/>
      <c r="GD159" s="663"/>
      <c r="GE159" s="663"/>
      <c r="GF159" s="663"/>
      <c r="GG159" s="663"/>
      <c r="GH159" s="663"/>
      <c r="GI159" s="665"/>
      <c r="GJ159" s="664"/>
      <c r="GK159" s="664"/>
    </row>
    <row r="160" spans="1:288" s="78" customFormat="1" ht="14.95" customHeight="1">
      <c r="B160" s="1845" t="str">
        <f>ID163</f>
        <v xml:space="preserve"> </v>
      </c>
      <c r="C160" s="1846">
        <f>C155+1</f>
        <v>23</v>
      </c>
      <c r="D160" s="1847"/>
      <c r="E160" s="1799" t="s">
        <v>295</v>
      </c>
      <c r="F160" s="1800"/>
      <c r="G160" s="1741"/>
      <c r="H160" s="1742"/>
      <c r="I160" s="1742"/>
      <c r="J160" s="1742"/>
      <c r="K160" s="1742"/>
      <c r="L160" s="1742"/>
      <c r="M160" s="1742"/>
      <c r="N160" s="1742"/>
      <c r="O160" s="1742"/>
      <c r="P160" s="1742"/>
      <c r="Q160" s="1742"/>
      <c r="R160" s="1742"/>
      <c r="S160" s="1791" t="s">
        <v>344</v>
      </c>
      <c r="T160" s="590"/>
      <c r="U160" s="1743"/>
      <c r="V160" s="1744"/>
      <c r="W160" s="1744"/>
      <c r="X160" s="1744"/>
      <c r="Y160" s="1744"/>
      <c r="Z160" s="1744"/>
      <c r="AA160" s="1744"/>
      <c r="AB160" s="961" t="str">
        <f>IFERROR(IF(__Retrofit_TI_NC=0,VLOOKUP(U161,Fixtures_Existing_List,2,FALSE),ROUND(N162*R162/T162,10)),"")</f>
        <v/>
      </c>
      <c r="AC160" s="935" t="str">
        <f>IFERROR(IF(__Retrofit_TI_NC=0,ROUND(T161*AB160*N161*R161/1000,0),IF(CQ160="Interior",N162*R162*R161*N161*_C406_reduction/1000,N162*R162*R161*N161/1000)),"")</f>
        <v/>
      </c>
      <c r="AD160" s="936" t="str">
        <f>IFERROR(IF(C$43=0,ROUND(T161*AB160/1000,2),N162*R162/1000),"")</f>
        <v/>
      </c>
      <c r="AE160" s="997"/>
      <c r="AF160" s="937"/>
      <c r="AG160" s="1745" t="str">
        <f>IF(__Retrofit_TI_NC=0," Control","Select Advanced Control for New System")</f>
        <v xml:space="preserve"> Control</v>
      </c>
      <c r="AH160" s="1745"/>
      <c r="AI160" s="1745"/>
      <c r="AJ160" s="1745"/>
      <c r="AK160" s="1745"/>
      <c r="AL160" s="1745"/>
      <c r="AM160" s="1746">
        <f>IFERROR(DI160,"")</f>
        <v>0</v>
      </c>
      <c r="AN160" s="1774" t="str">
        <f>IFERROR(ROUND(AM160*AC160,0),"")</f>
        <v/>
      </c>
      <c r="AO160" s="1776">
        <f>IFERROR(IF(IB160=FALSE,0,AC160-AN160),0)</f>
        <v>0</v>
      </c>
      <c r="AP160" s="1778">
        <f>AO160-AO162</f>
        <v>0</v>
      </c>
      <c r="AQ160" s="1779"/>
      <c r="AR160" s="1793">
        <f>IFERROR(IF(IB160=FALSE,0,(T162*U163)+(AF162*AG163)),0)</f>
        <v>0</v>
      </c>
      <c r="AS160" s="1793"/>
      <c r="AT160" s="1794"/>
      <c r="AU160" s="1734" t="s">
        <v>237</v>
      </c>
      <c r="AV160" s="1751">
        <f>IF(AU160="Yes",1,0)</f>
        <v>1</v>
      </c>
      <c r="AW160" s="1704" t="str">
        <f>IF(OR(DQ160=4,DQ160=5,DQ160=6,DQ160=12),CONCATENATE("$",IF(GH160=TRUE,Lookup!$K$10,Lookup!$K$2)," /lamp"),CONCATENATE(TEXT(ED160,"$0.00"),"/ kWh"))</f>
        <v>$0.00/ kWh</v>
      </c>
      <c r="AX160" s="467"/>
      <c r="AY160" s="1748">
        <f ca="1">IFERROR(IF(GM161=TRUE,(AB163*T162)/R162,0),"NA")</f>
        <v>0</v>
      </c>
      <c r="AZ160" s="1748"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696" t="str">
        <f>N161</f>
        <v/>
      </c>
      <c r="CQ160" s="1696" t="str">
        <f>IFERROR(VLOOKUP(G161,_Lookup_Heat_Type_Table_New,3,FALSE),"")</f>
        <v/>
      </c>
      <c r="CR160" s="1808" t="str">
        <f>CQ160</f>
        <v/>
      </c>
      <c r="CS160" s="1810" t="str">
        <f>IFERROR(VLOOKUP(G162,'Space Table'!$B$3:$L$163,9,FALSE),"")</f>
        <v/>
      </c>
      <c r="CU160" s="1688" t="s">
        <v>344</v>
      </c>
      <c r="CV160" s="1702">
        <f>IF(IB160=TRUE,T161,0)</f>
        <v>0</v>
      </c>
      <c r="CW160" s="1702" t="str">
        <f>IF(IB160=TRUE,U161,"")</f>
        <v/>
      </c>
      <c r="CX160" s="1702"/>
      <c r="CY160" s="1814">
        <f>IF(IB160=TRUE,AB160,0)</f>
        <v>0</v>
      </c>
      <c r="CZ160" s="1710">
        <f>IF(AND(__Retrofit_TI_NC&gt;0,CR160="interior"),0,IF(IB160=TRUE,AC160,0))</f>
        <v>0</v>
      </c>
      <c r="DA160" s="1814">
        <f>IFERROR(IF(IB160=TRUE,CZ160-CZ162,0),0)</f>
        <v>0</v>
      </c>
      <c r="DB160" s="1819">
        <f>IF(IB160=TRUE,AD160,0)</f>
        <v>0</v>
      </c>
      <c r="DC160" s="1819">
        <f>IF(IB160=TRUE,AD163,0)</f>
        <v>0</v>
      </c>
      <c r="DD160" s="1819">
        <f>IFERROR(DB160-DC160,0)</f>
        <v>0</v>
      </c>
      <c r="DF160" s="1702">
        <f>IF(IB160=TRUE,AF161,0)</f>
        <v>0</v>
      </c>
      <c r="DG160" s="1830">
        <f>IFERROR(IF(__Retrofit_TI_NC=2,IF(CQ160="Exterior",O163,FQ160),FN160),"")</f>
        <v>0</v>
      </c>
      <c r="DH160" s="1702"/>
      <c r="DI160" s="1837">
        <f>JE160</f>
        <v>0</v>
      </c>
      <c r="DJ160" s="1710">
        <f>IF(AND(__Retrofit_TI_NC&gt;0,CR160="interior"),0,IF(IB160=TRUE,AN160,0))</f>
        <v>0</v>
      </c>
      <c r="DK160" s="1712">
        <f>IFERROR(IF(IB160=TRUE,DJ162-DJ160,0),0)</f>
        <v>0</v>
      </c>
      <c r="DM160" s="1717">
        <f>IFERROR(CZ160-DJ160,0)</f>
        <v>0</v>
      </c>
      <c r="DO160" s="1708">
        <f>DM160-DN162</f>
        <v>0</v>
      </c>
      <c r="DQ160" s="1715" t="str">
        <f>IFERROR(IF(AND(OR(GC160=4,GC160=5,GC160=6),OR(GF160=4,GF160=5,GF160=6)),GC160+8,VLOOKUP(CW162,Fixtures!R$31:Y$78,8,FALSE)),"")</f>
        <v/>
      </c>
      <c r="DR160" s="1829" t="str">
        <f>DQ160</f>
        <v/>
      </c>
      <c r="DS160" s="1702" t="str">
        <f>IFERROR(VLOOKUP(DG162,Lookup!BB$3:BC$20,2,FALSE),"")</f>
        <v/>
      </c>
      <c r="DT160" s="1713" t="str">
        <f>IF(OR(DS160=7,DS160=8,DS160=9),"ALC","")</f>
        <v/>
      </c>
      <c r="DU160" s="1715">
        <f>IFERROR(IF(OR(DQ160=4,DQ160=5,DQ160=6,DQ160=12,DQ160=13,DQ160=14),VLOOKUP(CW162,Fixtures!DN$27:EG$77,19,FALSE),1)*CV162,0)</f>
        <v>0</v>
      </c>
      <c r="DV160" s="1716">
        <f>IF(OR(DS160=7,DS160=8,DS160=9),IF(DG160=DG162,0,DF162),0)</f>
        <v>0</v>
      </c>
      <c r="DX160" s="1715" t="str">
        <f>IFERROR(IF(EZ160&lt;EZ162,"Yes","No"),"")</f>
        <v/>
      </c>
      <c r="DY160" s="1829" t="str">
        <f>DX160</f>
        <v/>
      </c>
      <c r="DZ160" s="1715">
        <f>IF(DX160="Yes",DF162,0)</f>
        <v>0</v>
      </c>
      <c r="EA160" s="1715">
        <f>DZ160-DV160</f>
        <v>0</v>
      </c>
      <c r="EC160" s="1834">
        <f>IFERROR(VLOOKUP(DQ160,Lookup!AU$3:AV$16,2,FALSE),0)</f>
        <v>0</v>
      </c>
      <c r="ED160" s="1834">
        <f>IF(IB160=FALSE,0,IF(DX160="Yes",EC160+Lookup!K$6,EC160))</f>
        <v>0</v>
      </c>
      <c r="EF160" s="1707">
        <f>IF(IB160=TRUE,DM160,0)</f>
        <v>0</v>
      </c>
      <c r="EG160" s="1712">
        <f>IF(IB160=TRUE,CZ162,0)</f>
        <v>0</v>
      </c>
      <c r="EH160" s="1814">
        <f>IFERROR(EF160-EG160,0)</f>
        <v>0</v>
      </c>
      <c r="EI160" s="1712">
        <f>IF(IB160=TRUE,DJ162,0)</f>
        <v>0</v>
      </c>
      <c r="EJ160" s="1712">
        <f>IFERROR(EF160-EG160+EI160,0)</f>
        <v>0</v>
      </c>
      <c r="EK160" s="1812">
        <f>IF(IB160=TRUE,CV162*CX162,0)</f>
        <v>0</v>
      </c>
      <c r="EL160" s="1812">
        <f>IF(IB160=TRUE,DF162*DH162,0)</f>
        <v>0</v>
      </c>
      <c r="EM160" s="1807">
        <f>AR160</f>
        <v>0</v>
      </c>
      <c r="EN160" s="1839" t="str">
        <f>IFERROR(IF(IB160=TRUE,VLOOKUP(DQ160,Lookup!AU$3:AW$16,3,FALSE)*DU160,""),0)</f>
        <v/>
      </c>
      <c r="EO160" s="1839">
        <f>IF(IB160=TRUE,DZ160*Lookup!AW$12,0)</f>
        <v>0</v>
      </c>
      <c r="EP160" s="1817">
        <f>IFERROR(IF(IB160=TRUE,EN160/EP$40,0),0)</f>
        <v>0</v>
      </c>
      <c r="EQ160" s="1817">
        <f>IF(IB160=TRUE,EO160/EQ$40,0)</f>
        <v>0</v>
      </c>
      <c r="ER160" s="1807">
        <f>IF(IB160=TRUE,ET$40*EP160,0)</f>
        <v>0</v>
      </c>
      <c r="ES160" s="1807">
        <f>IF(IB160=TRUE,ET$40*EQ160,0)</f>
        <v>0</v>
      </c>
      <c r="ET160" s="1807">
        <f>ER160+ES160</f>
        <v>0</v>
      </c>
      <c r="EV160" s="1715">
        <f>IF(G160="",0,1)</f>
        <v>0</v>
      </c>
      <c r="EX160" s="1804" t="str">
        <f>IFERROR(VLOOKUP(CS162,'Space Table'!$B$3:$L$163,8,FALSE),"")</f>
        <v/>
      </c>
      <c r="EY160" s="1804" t="str">
        <f>IFERROR(IF(FB160="Yes",VLOOKUP(DG160,Lookup_Control_Type_Table2,4,FALSE),VLOOKUP(DG160,Lookup_Control_Type_Table2,3,FALSE)),"")</f>
        <v/>
      </c>
      <c r="EZ160" s="1804" t="e">
        <f>VLOOKUP(DG160,Lookup!BB$3:BC$20,2,FALSE)</f>
        <v>#N/A</v>
      </c>
      <c r="FA160" s="1804" t="e">
        <f>VLOOKUP(EX160,Lookup_Control_Type_Table,2,FALSE)</f>
        <v>#N/A</v>
      </c>
      <c r="FB160" s="1804" t="e">
        <f>VLOOKUP(CS162,'Space Table'!$B$3:$L$163,7,FALSE)</f>
        <v>#N/A</v>
      </c>
      <c r="FC160" s="1826" t="b">
        <f>ISNUMBER(SEARCH("TLED",U162))</f>
        <v>0</v>
      </c>
      <c r="FE160" s="1698" t="str">
        <f>CONCATENATE(CQ160," - ",DG160)</f>
        <v xml:space="preserve"> - 0</v>
      </c>
      <c r="FG160" s="1702" t="str">
        <f>VLOOKUP(CW162,Fixtures!DN$27:EZ$77,38,FALSE)</f>
        <v/>
      </c>
      <c r="FH160" s="1702">
        <f>IFERROR(FG160*EH160,0)</f>
        <v>0</v>
      </c>
      <c r="FI160" s="133"/>
      <c r="FL160" s="1822" t="str">
        <f>IF(CQ160="Exterior","Not Daylighted",G163)</f>
        <v>Not Daylighted</v>
      </c>
      <c r="FM160" s="1824">
        <f>VLOOKUP(FL160,_New_Daylight_Table_Codes,2,FALSE)</f>
        <v>0</v>
      </c>
      <c r="FN160" s="1698">
        <f>IF(__Retrofit_TI_NC&gt;0,VLOOKUP(G162,'Space Table'!$B$3:$L$163,11,FALSE),AG161)</f>
        <v>0</v>
      </c>
      <c r="FO160" s="1698" t="e">
        <f>IF(__Retrofit_TI_NC=2,VLOOKUP(FQ160,_Control_Table,2,FALSE),VLOOKUP(FN160,_Control_Table,2,FALSE))</f>
        <v>#N/A</v>
      </c>
      <c r="FP160" s="1678" t="e">
        <f>VLOOKUP(CONCATENATE(FL160," ",FN160),Lookup!AY$102:AZ170,2,FALSE)</f>
        <v>#N/A</v>
      </c>
      <c r="FQ160" s="1678">
        <f>IF(__Retrofit_TI_NC=0,FN160,IF(AND(FT160&gt;0,FN160="Occupancy Sensor"),"Daylight + Occupancy",IF(AND(FT160&gt;0,VLOOKUP(FN160,_Control_Table,2,FALSE)&lt;4),"Interior Daylight Dimming",FN160)))</f>
        <v>0</v>
      </c>
      <c r="FS160" s="1686">
        <f>IF(CR160="Interior",VLOOKUP(CS160,Control_Savings_Interior,5,FALSE),0)</f>
        <v>0</v>
      </c>
      <c r="FT160" s="1687">
        <f>IF(CQ160="Exterior",0,IF(FM160=2,0.5,IF(OR(FM160=1,FM160=3),1,0)))</f>
        <v>0</v>
      </c>
      <c r="FU160" s="1685">
        <f>IF(R159&gt;FS$44,(FS160*(FS$44/R159)),FS160)*FT160</f>
        <v>0</v>
      </c>
      <c r="FV160" s="1686">
        <f>DI160</f>
        <v>0</v>
      </c>
      <c r="FW160" s="1686">
        <f>ROUND(FV160+((1-FV160)*FU160),2)</f>
        <v>0</v>
      </c>
      <c r="FX160" s="1686">
        <f>IF(__Retrofit_TI_NC=2,FW160,FV160)</f>
        <v>0</v>
      </c>
      <c r="FY160" s="1697"/>
      <c r="GA160" s="1696" t="str">
        <f>IFERROR(VLOOKUP(U161,_Exist_Fixture_Table,3,FALSE),"")</f>
        <v/>
      </c>
      <c r="GB160" s="1696" t="str">
        <f>VLOOKUP(CW160,_Exist_Fixture_Table,4,FALSE)</f>
        <v/>
      </c>
      <c r="GC160" s="1696">
        <f>IFERROR(VLOOKUP(GB160,Lookup!AT$6:AU$8,2,FALSE),0)</f>
        <v>0</v>
      </c>
      <c r="GD160" s="1696" t="b">
        <f>IFERROR(IF(OR(GF160=4,GF160=5,GF160=6),TRUE,FALSE),"")</f>
        <v>0</v>
      </c>
      <c r="GE160" s="1696" t="str">
        <f>IFERROR(VLOOKUP(GF160,GC$6:GD$10,2,FALSE),"")</f>
        <v/>
      </c>
      <c r="GF160" s="1696" t="str">
        <f>VLOOKUP(CW162,Fixtures!R$31:Y$78,8,FALSE)</f>
        <v/>
      </c>
      <c r="GG160" s="1696">
        <f>IF(AND(GA160=TRUE,GD160=TRUE,OR(DQ160=12,DQ160=13,DQ160=14)),GC160+8,0)</f>
        <v>0</v>
      </c>
      <c r="GH160" s="1696" t="b">
        <f>IF(OR(GG160=12,GG160=13,GG160=14),TRUE,FALSE)</f>
        <v>0</v>
      </c>
      <c r="GI160" s="673" t="b">
        <f>IF(ISNUMBER(SEARCH("TLED",U161)),TRUE,FALSE)</f>
        <v>0</v>
      </c>
      <c r="GJ160" s="1135" t="str">
        <f>IFERROR(VLOOKUP(U161,Fixtures!BM$93:BR$142,6,FALSE),"")</f>
        <v/>
      </c>
      <c r="GK160" s="1832" t="b">
        <f>IF(OR(GI160=FALSE,GI162=FALSE),TRUE,IF(GJ160-GJ162&lt;5,FALSE,TRUE))</f>
        <v>1</v>
      </c>
      <c r="GO160" s="674">
        <f>GP160</f>
        <v>0</v>
      </c>
      <c r="GP160" s="674">
        <f>IF(G160="",0,1)</f>
        <v>0</v>
      </c>
      <c r="GQ160" s="674">
        <f ca="1">SUM(GR160:HF160)</f>
        <v>2</v>
      </c>
      <c r="GR160" s="674">
        <f>IF(G161="",0,1)</f>
        <v>0</v>
      </c>
      <c r="GS160" s="674">
        <f>IF(N163="BAM",1,IF(G162="",0,1))</f>
        <v>0</v>
      </c>
      <c r="GT160" s="674">
        <f>IF(N163="BAM",1,IF(R161="",0,1))</f>
        <v>0</v>
      </c>
      <c r="GU160" s="674">
        <f>IF(N163="BAM",1,IF(__Retrofit_TI_NC=0,1,IF(R162="",0,1)))</f>
        <v>1</v>
      </c>
      <c r="GV160" s="674">
        <f>IF(N163="BAM",1,IF(CQ160="Exterior",1,IF(G163="",0,1)))</f>
        <v>1</v>
      </c>
      <c r="GW160" s="674">
        <f>IF(__Retrofit_TI_NC&gt;0,1,IF(T161="",0,1))</f>
        <v>0</v>
      </c>
      <c r="GX160" s="674">
        <f>IF(__Retrofit_TI_NC&gt;0,1,IF(U161="",0,1))</f>
        <v>0</v>
      </c>
      <c r="GY160" s="674">
        <f>IF(N163="BAM",1,IF(T162="",0,1))</f>
        <v>0</v>
      </c>
      <c r="GZ160" s="674">
        <f>IF(N163="BAM",1,IF(U162="",0,1))</f>
        <v>0</v>
      </c>
      <c r="HA160" s="674">
        <f ca="1">IF(N163="BAM",1,IF(__Retrofit_TI_NC&gt;0,1,IF(U163="",0,1)))</f>
        <v>0</v>
      </c>
      <c r="HB160" s="674">
        <f>IF(__Retrofit_TI_NC&lt;&gt;0,1,IF(AF161="",0,1))</f>
        <v>0</v>
      </c>
      <c r="HC160" s="674">
        <f>IF(__Retrofit_TI_NC&lt;&gt;0,1,IF(AG161="",0,1))</f>
        <v>0</v>
      </c>
      <c r="HD160" s="674">
        <f>IF(N163="BAM",1,IF(AF162="",0,1))</f>
        <v>0</v>
      </c>
      <c r="HE160" s="674">
        <f>IF(N163="BAM",1,IF(AG162="",0,1))</f>
        <v>0</v>
      </c>
      <c r="HF160" s="674">
        <f>IF(N163="BAM",1,IF(__Retrofit_TI_NC&gt;0,1,IF(AG163="",0,1)))</f>
        <v>0</v>
      </c>
      <c r="HG160" s="391"/>
      <c r="IA160" s="391"/>
      <c r="IB160" s="1693" t="b">
        <f>IF(OR(IB163=0,IB163=HY$16,IB163=HX$16,IB163=HZ$16),TRUE,FALSE)</f>
        <v>0</v>
      </c>
      <c r="IC160" s="1694" t="b">
        <f>IB160</f>
        <v>0</v>
      </c>
      <c r="ID160" s="391"/>
      <c r="IE160" s="391"/>
      <c r="IF160" s="1688" t="b">
        <f ca="1">IF(MAX(GN163:HU163)&gt;5,FALSE,TRUE)</f>
        <v>0</v>
      </c>
      <c r="IG160" s="1689">
        <f ca="1">IF(IF160=TRUE,AC160,0)</f>
        <v>0</v>
      </c>
      <c r="IH160" s="1689">
        <f ca="1">IG160-IG162</f>
        <v>0</v>
      </c>
      <c r="IK160" s="1689" t="e">
        <f>ROUND(T161*VLOOKUP(U161,Fixtures_Existing_List,2,FALSE)*N161*R161/1000,0)</f>
        <v>#N/A</v>
      </c>
      <c r="IL160" s="1690" t="e">
        <f>IK160-IK162</f>
        <v>#N/A</v>
      </c>
      <c r="IM160" s="1693" t="e">
        <f>ROUND(IF(CQ160="Interior",N162*R162*R161*N161*_C406_reduction/1000,N162*R162*R161*N161/1000),0)</f>
        <v>#N/A</v>
      </c>
      <c r="IN160" s="1693" t="e">
        <f>IM160-IM162</f>
        <v>#N/A</v>
      </c>
      <c r="IP160" s="1679"/>
      <c r="IQ160" s="1679" t="e">
        <f t="shared" ref="IQ160:IU160" si="126">IF($CR160="interior",VLOOKUP($CS160,_New_Control_Savings_Interior,IQ$30,FALSE),VLOOKUP($CS160,Control_Savings_Exterior,IQ$30,FALSE))</f>
        <v>#N/A</v>
      </c>
      <c r="IR160" s="1679" t="e">
        <f t="shared" si="126"/>
        <v>#N/A</v>
      </c>
      <c r="IS160" s="1679" t="e">
        <f t="shared" si="126"/>
        <v>#N/A</v>
      </c>
      <c r="IT160" s="1679" t="e">
        <f t="shared" si="126"/>
        <v>#N/A</v>
      </c>
      <c r="IU160" s="1679" t="e">
        <f t="shared" si="126"/>
        <v>#N/A</v>
      </c>
      <c r="IV160" s="1679" t="e">
        <f>IF($CR160="interior",IF(R161&gt;$IP$14,ROUND(($IV$18*($IP$14/R161)),2),$IV$18),VLOOKUP($CS160,Control_Savings_Exterior,IV$30,FALSE))</f>
        <v>#N/A</v>
      </c>
      <c r="IW160" s="1679" t="e">
        <f>IF($CR160="interior",ROUND(((1-IS160)*IV160)+IS160,2),VLOOKUP($CS160,Control_Savings_Exterior,IW$30,FALSE))</f>
        <v>#N/A</v>
      </c>
      <c r="IX160" s="1679" t="e">
        <f>IF($CR160="interior",ROUND(((1-IT160)*IV160)+IT160,2),VLOOKUP($CS160,Control_Savings_Exterior,IX$30,FALSE))</f>
        <v>#N/A</v>
      </c>
      <c r="IY160" s="1679" t="e">
        <f>IF($CR160="interior",IF(R161&gt;$IP$14,ROUND(($IY$18*($IP$14/R161)),2),$IY$18),VLOOKUP($CS160,Control_Savings_Exterior,IY$30,FALSE))</f>
        <v>#N/A</v>
      </c>
      <c r="IZ160" s="1679" t="e">
        <f>IF($CR160="interior",ROUND(((1-IS160)*IY160)+IS160,2),VLOOKUP($CS160,Control_Savings_Exterior,IZ$30,FALSE))</f>
        <v>#N/A</v>
      </c>
      <c r="JA160" s="1679" t="e">
        <f>IF($CR160="interior",ROUND(((1-IT160)*IY160)+IT160,2),VLOOKUP($CS160,Control_Savings_Exterior,JA$30,FALSE))</f>
        <v>#N/A</v>
      </c>
      <c r="JC160" s="1680">
        <f>IFERROR(IF(CR160="Interior",CONCATENATE(G163," ",FQ160),FQ160),"")</f>
        <v>0</v>
      </c>
      <c r="JD160" s="1670" t="str">
        <f>IFERROR(VLOOKUP(JC160,_Controls_2023,2,FALSE),"")</f>
        <v/>
      </c>
      <c r="JE160" s="1681">
        <f>IFERROR(CHOOSE(JD160-1,IQ160,IR160,IS160,IT160,IU160,IV160,IW160,IX160,IY160,IZ160,JA160),0)</f>
        <v>0</v>
      </c>
      <c r="JG160" s="1680" t="str">
        <f>FE160</f>
        <v xml:space="preserve"> - 0</v>
      </c>
      <c r="JH160" s="1670" t="e">
        <f>$FO160</f>
        <v>#N/A</v>
      </c>
      <c r="JI160" s="1060"/>
      <c r="JJ160" s="1682" t="b">
        <f>IF($JG162=CONCATENATE("Interior - ",JJ$4),TRUE,FALSE)</f>
        <v>0</v>
      </c>
      <c r="JK160" s="1061"/>
      <c r="JL160" s="1682" t="b">
        <f>IF($JG162=CONCATENATE("Interior - ",JL$4),TRUE,FALSE)</f>
        <v>0</v>
      </c>
      <c r="JM160" s="1061"/>
      <c r="JN160" s="1682" t="b">
        <f>IF($JG162=CONCATENATE("Interior - ",JN$4),TRUE,FALSE)</f>
        <v>0</v>
      </c>
      <c r="JO160" s="1061"/>
      <c r="JP160" s="1682" t="b">
        <f>IF(__Retrofit_TI_NC&gt;0,FALSE,IF($JG162=CONCATENATE("Interior - ",JP$4),TRUE,FALSE))</f>
        <v>0</v>
      </c>
      <c r="JQ160" s="1061"/>
      <c r="JR160" s="1682" t="b">
        <f>IF(__Retrofit_TI_NC&gt;0,FALSE,IF($JG162=CONCATENATE("Interior - ",JR$4),TRUE,FALSE))</f>
        <v>0</v>
      </c>
      <c r="JS160" s="1061"/>
      <c r="JT160" s="1670" t="b">
        <f>IF(__Retrofit_TI_NC&gt;0,FALSE,IF($JG162=CONCATENATE("Interior - ",JT$4),TRUE,FALSE))</f>
        <v>0</v>
      </c>
      <c r="JU160" s="1061"/>
      <c r="JV160" s="1670" t="b">
        <f>IF(JC162="AELC on Existing",TRUE,FALSE)</f>
        <v>0</v>
      </c>
      <c r="JX160" s="1670" t="b">
        <f>IF(OR(JG162="Exterior - AELC Occupancy based",JG162="Exterior - AELC Time based"),TRUE,FALSE)</f>
        <v>0</v>
      </c>
      <c r="JZ160" s="1682" t="b">
        <f>IF($JG162=CONCATENATE("Exterior - ",JZ$4),TRUE,FALSE)</f>
        <v>0</v>
      </c>
      <c r="KB160" s="1670" t="b">
        <f>IF(__Retrofit_TI_NC&gt;0,FALSE,IF($JG162=CONCATENATE("Interior - ",KB$4),TRUE,FALSE))</f>
        <v>0</v>
      </c>
    </row>
    <row r="161" spans="1:288" s="78" customFormat="1" ht="14.95" customHeight="1" thickTop="1" thickBot="1">
      <c r="B161" s="1845"/>
      <c r="C161" s="1846"/>
      <c r="D161" s="1847"/>
      <c r="E161" s="1737" t="s">
        <v>297</v>
      </c>
      <c r="F161" s="1738"/>
      <c r="G161" s="1739"/>
      <c r="H161" s="1739"/>
      <c r="I161" s="1739"/>
      <c r="J161" s="1739"/>
      <c r="K161" s="1739"/>
      <c r="L161" s="1739"/>
      <c r="M161" s="461" t="e">
        <f>IF(__Retrofit_TI_NC&lt;&gt;0,IF(VLOOKUP(G162,'Space Table'!$B$3:$L$163,3,FALSE)&gt;0,1,0),IF(__Retrofit_TI_NC=VLOOKUP(G162,'Space Table'!$B$3:$L$163,3,FALSE),1,0))</f>
        <v>#N/A</v>
      </c>
      <c r="N161" s="461" t="str">
        <f>IFERROR(VLOOKUP(G161,_Lookup_Heat_Type_Table_New,2,FALSE),"")</f>
        <v/>
      </c>
      <c r="O161" s="461">
        <f>IF(__Retrofit_TI_NC=1,CONCATENATE("TI ",G161),IF(__Retrofit_TI_NC=2,CONCATENATE("NC ",G161),G161))</f>
        <v>0</v>
      </c>
      <c r="P161" s="1740" t="s">
        <v>435</v>
      </c>
      <c r="Q161" s="1740"/>
      <c r="R161" s="595"/>
      <c r="S161" s="1792"/>
      <c r="T161" s="597"/>
      <c r="U161" s="1765"/>
      <c r="V161" s="1766"/>
      <c r="W161" s="1766"/>
      <c r="X161" s="1766"/>
      <c r="Y161" s="1766"/>
      <c r="Z161" s="1766"/>
      <c r="AA161" s="1766"/>
      <c r="AB161" s="1766"/>
      <c r="AC161" s="1766"/>
      <c r="AD161" s="1767"/>
      <c r="AE161" s="1000"/>
      <c r="AF161" s="597"/>
      <c r="AG161" s="1723"/>
      <c r="AH161" s="1724"/>
      <c r="AI161" s="1724"/>
      <c r="AJ161" s="1724"/>
      <c r="AK161" s="1725"/>
      <c r="AL161" s="996"/>
      <c r="AM161" s="1747"/>
      <c r="AN161" s="1775"/>
      <c r="AO161" s="1777"/>
      <c r="AP161" s="1780"/>
      <c r="AQ161" s="1781"/>
      <c r="AR161" s="1795"/>
      <c r="AS161" s="1795"/>
      <c r="AT161" s="1796"/>
      <c r="AU161" s="1735"/>
      <c r="AV161" s="1752"/>
      <c r="AW161" s="1705"/>
      <c r="AX161" s="467"/>
      <c r="AY161" s="1749"/>
      <c r="AZ161" s="1749"/>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696"/>
      <c r="CQ161" s="1696"/>
      <c r="CR161" s="1809"/>
      <c r="CS161" s="1811"/>
      <c r="CU161" s="1688"/>
      <c r="CV161" s="1703"/>
      <c r="CW161" s="1703"/>
      <c r="CX161" s="1703"/>
      <c r="CY161" s="1815"/>
      <c r="CZ161" s="1711"/>
      <c r="DA161" s="1818"/>
      <c r="DB161" s="1820"/>
      <c r="DC161" s="1820"/>
      <c r="DD161" s="1820"/>
      <c r="DF161" s="1703"/>
      <c r="DG161" s="1831"/>
      <c r="DH161" s="1703"/>
      <c r="DI161" s="1838"/>
      <c r="DJ161" s="1711"/>
      <c r="DK161" s="1712"/>
      <c r="DM161" s="1718"/>
      <c r="DO161" s="1708"/>
      <c r="DQ161" s="1715"/>
      <c r="DR161" s="1720"/>
      <c r="DS161" s="1816"/>
      <c r="DT161" s="1714"/>
      <c r="DU161" s="1715"/>
      <c r="DV161" s="1716"/>
      <c r="DX161" s="1715"/>
      <c r="DY161" s="1720"/>
      <c r="DZ161" s="1715"/>
      <c r="EA161" s="1715"/>
      <c r="EC161" s="1834"/>
      <c r="ED161" s="1834"/>
      <c r="EF161" s="1707"/>
      <c r="EG161" s="1712"/>
      <c r="EH161" s="1818"/>
      <c r="EI161" s="1712"/>
      <c r="EJ161" s="1712"/>
      <c r="EK161" s="1836"/>
      <c r="EL161" s="1836"/>
      <c r="EM161" s="1807"/>
      <c r="EN161" s="1839"/>
      <c r="EO161" s="1839"/>
      <c r="EP161" s="1817"/>
      <c r="EQ161" s="1817"/>
      <c r="ER161" s="1807"/>
      <c r="ES161" s="1807"/>
      <c r="ET161" s="1807"/>
      <c r="EV161" s="1715"/>
      <c r="EX161" s="1805"/>
      <c r="EY161" s="1805"/>
      <c r="EZ161" s="1805"/>
      <c r="FA161" s="1805"/>
      <c r="FB161" s="1805"/>
      <c r="FC161" s="1827"/>
      <c r="FE161" s="1698"/>
      <c r="FG161" s="1816"/>
      <c r="FH161" s="1816"/>
      <c r="FI161" s="133"/>
      <c r="FL161" s="1823"/>
      <c r="FM161" s="1825"/>
      <c r="FN161" s="1698"/>
      <c r="FO161" s="1698"/>
      <c r="FP161" s="1678"/>
      <c r="FQ161" s="1678"/>
      <c r="FS161" s="1687"/>
      <c r="FT161" s="1687"/>
      <c r="FU161" s="1685"/>
      <c r="FV161" s="1687"/>
      <c r="FW161" s="1687"/>
      <c r="FX161" s="1687"/>
      <c r="FY161" s="1697"/>
      <c r="GA161" s="1696"/>
      <c r="GB161" s="1696"/>
      <c r="GC161" s="1696"/>
      <c r="GD161" s="1696"/>
      <c r="GE161" s="1696"/>
      <c r="GF161" s="1696"/>
      <c r="GG161" s="1696"/>
      <c r="GH161" s="1696"/>
      <c r="GI161" s="673"/>
      <c r="GJ161" s="1135"/>
      <c r="GK161" s="1832"/>
      <c r="GM161" s="1693" t="b">
        <f ca="1">IF(AND(GP161=TRUE,GQ161=TRUE),TRUE,FALSE)</f>
        <v>0</v>
      </c>
      <c r="GN161" s="1684" t="b">
        <f>IFERROR(IF(__Retrofit_TI_NC=2,TRUE,IF(AU160="Yes",TRUE,FALSE)),FALSE)</f>
        <v>1</v>
      </c>
      <c r="GP161" s="1684" t="b">
        <f>IFERROR(IF(GP160=1,TRUE,FALSE),FALSE)</f>
        <v>0</v>
      </c>
      <c r="GQ161" s="1684" t="b">
        <f ca="1">IFERROR(IF(GQ160=GQ$14,TRUE,FALSE),FALSE)</f>
        <v>0</v>
      </c>
      <c r="HG161" s="1684" t="b">
        <f>IFERROR(IF(AND(__Retrofit_TI_NC&gt;0,CQ160="Interior"),FALSE,TRUE),FALSE)</f>
        <v>1</v>
      </c>
      <c r="HH161" s="1684" t="b">
        <f>IFERROR(IF(M161=1,TRUE,FALSE),FALSE)</f>
        <v>0</v>
      </c>
      <c r="HI161" s="1684" t="b">
        <f>IFERROR(IF(OR(M162=1,N163="BAM"),TRUE,FALSE),FALSE)</f>
        <v>0</v>
      </c>
      <c r="HJ161" s="1684" t="b">
        <f>IFERROR(IF(__Retrofit_TI_NC&lt;&gt;0,TRUE,IFERROR(IF(VLOOKUP(U161,Fixtures_Existing_List,2,FALSE)&lt;&gt;"",TRUE,FALSE),FALSE)),FALSE)</f>
        <v>0</v>
      </c>
      <c r="HK161" s="1684" t="b">
        <f>IFERROR(IF(VLOOKUP(U162,Fixtures_Proposed_List,2,FALSE)&lt;&gt;"",TRUE,FALSE),FALSE)</f>
        <v>0</v>
      </c>
      <c r="HL161" s="1684" t="b">
        <f>IF(AND(__Retrofit_TI_NC=2,FC160=TRUE),FALSE,TRUE)</f>
        <v>1</v>
      </c>
      <c r="HM161" s="1684" t="b">
        <f>GK160</f>
        <v>1</v>
      </c>
      <c r="HN161" s="1682" t="b">
        <f>IF(ISERROR(MATCH(FE160,_Control_Match[],0))=TRUE,FALSE,TRUE)</f>
        <v>0</v>
      </c>
      <c r="HO161" s="1693" t="b">
        <f>IFERROR(IF(EX160&lt;&gt;EY160,FALSE,TRUE),FALSE)</f>
        <v>1</v>
      </c>
      <c r="HP161" s="1693" t="b">
        <f>IFERROR(IF(EX162&lt;&gt;EY162,FALSE,TRUE),FALSE)</f>
        <v>1</v>
      </c>
      <c r="HQ161" s="1670" t="b">
        <f>IFERROR(IF(CQ160="Exterior",TRUE,IF(AND(OR(FM162=0,FM162=3),JD162&gt;6),FALSE,TRUE)),FALSE)</f>
        <v>0</v>
      </c>
      <c r="HR161" s="1684" t="b">
        <f>IFERROR(IF(AND(FO162=7,FC160=TRUE),FALSE,TRUE),FALSE)</f>
        <v>0</v>
      </c>
      <c r="HS161" s="1684" t="b">
        <f>IFERROR(IF(AND(T162&lt;&gt;AF162,OR(AG162="Interior LLLC", AG162="Interior NLC", AG162="LLLC (outside Daylight)",AG162="LLLC Controls Only"))=TRUE,FALSE,TRUE),FALSE)</f>
        <v>1</v>
      </c>
      <c r="HT161" s="1670" t="b">
        <f>IFERROR(IF(OR(AG162=Lookup!BB$17,AG162=Lookup!BB$18,AG162=Lookup!BB$19)=TRUE,IF(AF162&gt;T162,FALSE,TRUE),TRUE),FALSE)</f>
        <v>1</v>
      </c>
      <c r="HU161" s="1684" t="b">
        <f>IFERROR(IF(__Retrofit_TI_NC=2,IF(EZ162&lt;EZ160,FALSE,TRUE),TRUE),FALSE)</f>
        <v>1</v>
      </c>
      <c r="HV161" s="1684" t="b">
        <f>IF(CQ160="Interior",IL$6,TRUE)</f>
        <v>1</v>
      </c>
      <c r="HW161" s="1684" t="b">
        <f>IF(CQ160="Exterior",IL$8,TRUE)</f>
        <v>1</v>
      </c>
      <c r="HX161" s="1684" t="b">
        <f>IFERROR(IF(__Retrofit_TI_NC&lt;&gt;0,IF(AZ160&lt;AY160,FALSE,TRUE),TRUE),FALSE)</f>
        <v>1</v>
      </c>
      <c r="HY161" s="1684" t="b">
        <f>IFERROR(IF(AND(G161="Exterior",R161&gt;4200),FALSE,TRUE),FALSE)</f>
        <v>1</v>
      </c>
      <c r="HZ161" s="1684" t="b">
        <f>IFERROR(IF(AB163/AB160&lt;HZ$18,FALSE,TRUE),FALSE)</f>
        <v>0</v>
      </c>
      <c r="IB161" s="1691"/>
      <c r="IC161" s="1695"/>
      <c r="ID161" s="1694" t="str">
        <f>VLOOKUP(IB163,_Error_Table,4,FALSE)</f>
        <v>White</v>
      </c>
      <c r="IE161" s="391"/>
      <c r="IF161" s="1688"/>
      <c r="IG161" s="1689"/>
      <c r="IH161" s="1684"/>
      <c r="IK161" s="1689"/>
      <c r="IL161" s="1691"/>
      <c r="IM161" s="1691"/>
      <c r="IN161" s="1691"/>
      <c r="IP161" s="1679"/>
      <c r="IQ161" s="1679"/>
      <c r="IR161" s="1679"/>
      <c r="IS161" s="1679"/>
      <c r="IT161" s="1679"/>
      <c r="IU161" s="1679"/>
      <c r="IV161" s="1679"/>
      <c r="IW161" s="1679"/>
      <c r="IX161" s="1679"/>
      <c r="IY161" s="1679"/>
      <c r="IZ161" s="1679"/>
      <c r="JA161" s="1679"/>
      <c r="JC161" s="1680"/>
      <c r="JD161" s="1670"/>
      <c r="JE161" s="1681"/>
      <c r="JG161" s="1680"/>
      <c r="JH161" s="1670"/>
      <c r="JI161" s="1060"/>
      <c r="JJ161" s="1683"/>
      <c r="JK161" s="1061"/>
      <c r="JL161" s="1683"/>
      <c r="JM161" s="1061"/>
      <c r="JN161" s="1683"/>
      <c r="JO161" s="1061"/>
      <c r="JP161" s="1683"/>
      <c r="JQ161" s="1061"/>
      <c r="JR161" s="1683"/>
      <c r="JS161" s="1061"/>
      <c r="JT161" s="1670"/>
      <c r="JU161" s="1061"/>
      <c r="JV161" s="1670"/>
      <c r="JX161" s="1670"/>
      <c r="JZ161" s="1683"/>
      <c r="KB161" s="1670"/>
    </row>
    <row r="162" spans="1:288" s="78" customFormat="1" ht="14.95" customHeight="1" thickTop="1" thickBot="1">
      <c r="A162" s="78">
        <f>ROW()</f>
        <v>162</v>
      </c>
      <c r="B162" s="1845"/>
      <c r="C162" s="1846"/>
      <c r="D162" s="1847"/>
      <c r="E162" s="1737" t="s">
        <v>298</v>
      </c>
      <c r="F162" s="1738"/>
      <c r="G162" s="1760"/>
      <c r="H162" s="1761"/>
      <c r="I162" s="1761"/>
      <c r="J162" s="1761"/>
      <c r="K162" s="1761"/>
      <c r="L162" s="1762"/>
      <c r="M162" s="461">
        <f>IFERROR(IF(IF(__Retrofit_TI_NC&lt;&gt;0,IF(CQ160="Interior",MATCH(G162,Lookup_Interior_New,0),MATCH(G162,Lookup_Exterior_New,0)),IF(CQ160="Interior",MATCH(G162,Lookup_Interior,0),MATCH(G162,Lookup_Exterior_Areas,0)))&gt;0,1,0),0)</f>
        <v>0</v>
      </c>
      <c r="N162" s="461" t="e">
        <f>IF(__Retrofit_TI_NC=1,
VLOOKUP(G162,'Space Table'!$B$3:$L$163,4,FALSE),
IF(__Retrofit_TI_NC=2,VLOOKUP(G162,'Space Table'!$B$3:$L$163,5,FALSE),VLOOKUP(G162,'Space Table'!$B$3:$L$163,5,FALSE)))</f>
        <v>#N/A</v>
      </c>
      <c r="O162" s="461">
        <f>G162</f>
        <v>0</v>
      </c>
      <c r="P162" s="1738" t="str">
        <f>IFERROR(IF(__Retrofit_TI_NC=1,VLOOKUP(G162,'Space Table'!$B$3:$O$163,13,FALSE),IF(__Retrofit_TI_NC=2,VLOOKUP(G162,'Space Table'!$B$3:$O$163,14,FALSE),"Area (sf):")),"Area (sf):")</f>
        <v>Area (sf):</v>
      </c>
      <c r="Q162" s="1738"/>
      <c r="R162" s="596"/>
      <c r="S162" s="1763" t="s">
        <v>345</v>
      </c>
      <c r="T162" s="594"/>
      <c r="U162" s="1801"/>
      <c r="V162" s="1802"/>
      <c r="W162" s="1802"/>
      <c r="X162" s="1802"/>
      <c r="Y162" s="1802"/>
      <c r="Z162" s="1802"/>
      <c r="AA162" s="1802"/>
      <c r="AB162" s="1802"/>
      <c r="AC162" s="1802"/>
      <c r="AD162" s="1802"/>
      <c r="AE162" s="1803"/>
      <c r="AF162" s="594"/>
      <c r="AG162" s="1787"/>
      <c r="AH162" s="1787"/>
      <c r="AI162" s="1787"/>
      <c r="AJ162" s="1787"/>
      <c r="AK162" s="1787"/>
      <c r="AL162" s="1787"/>
      <c r="AM162" s="1726">
        <f>IFERROR(DI162,"")</f>
        <v>0</v>
      </c>
      <c r="AN162" s="1728" t="str">
        <f>IFERROR(ROUND(AM162*AC163,0),"")</f>
        <v/>
      </c>
      <c r="AO162" s="1730">
        <f>IFERROR(IF(IB160=FALSE,0,AC163-AN162),0)</f>
        <v>0</v>
      </c>
      <c r="AP162" s="1780"/>
      <c r="AQ162" s="1781"/>
      <c r="AR162" s="1795"/>
      <c r="AS162" s="1795"/>
      <c r="AT162" s="1796"/>
      <c r="AU162" s="1735"/>
      <c r="AV162" s="1752"/>
      <c r="AW162" s="1705"/>
      <c r="AX162" s="467"/>
      <c r="AY162" s="1749"/>
      <c r="AZ162" s="1749"/>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696"/>
      <c r="CQ162" s="1696"/>
      <c r="CR162" s="1808" t="str">
        <f>CQ160</f>
        <v/>
      </c>
      <c r="CS162" s="1810" t="str">
        <f>CS160</f>
        <v/>
      </c>
      <c r="CU162" s="1688" t="s">
        <v>345</v>
      </c>
      <c r="CV162" s="1702">
        <f>IF(IB160=TRUE,T162,0)</f>
        <v>0</v>
      </c>
      <c r="CW162" s="1702" t="str">
        <f>IF(IB160=TRUE,U162,"")</f>
        <v/>
      </c>
      <c r="CX162" s="1812">
        <f>IF(IB160=TRUE,U163,0)</f>
        <v>0</v>
      </c>
      <c r="CY162" s="1814">
        <f>IF(IB160=TRUE,AB163,0)</f>
        <v>0</v>
      </c>
      <c r="CZ162" s="1710">
        <f>IF(AND(__Retrofit_TI_NC&gt;0,CR160="interior"),0,IF(IB160=TRUE,AC163,0))</f>
        <v>0</v>
      </c>
      <c r="DA162" s="1818"/>
      <c r="DB162" s="1820"/>
      <c r="DC162" s="1820"/>
      <c r="DD162" s="1820"/>
      <c r="DF162" s="1702">
        <f>IF(IB160=TRUE,AF162,0)</f>
        <v>0</v>
      </c>
      <c r="DG162" s="1830" t="str">
        <f>IF(IB160=TRUE,AG162,"")</f>
        <v/>
      </c>
      <c r="DH162" s="1812">
        <f>AG163</f>
        <v>0</v>
      </c>
      <c r="DI162" s="1837">
        <f>JE162</f>
        <v>0</v>
      </c>
      <c r="DJ162" s="1710">
        <f>IF(AND(__Retrofit_TI_NC&gt;0,CR160="interior"),0,IF(IB160=TRUE,AN162,0))</f>
        <v>0</v>
      </c>
      <c r="DK162" s="1712"/>
      <c r="DN162" s="1717">
        <f>IFERROR(CZ162-DJ162,0)</f>
        <v>0</v>
      </c>
      <c r="DO162" s="1709"/>
      <c r="DQ162" s="1715"/>
      <c r="DR162" s="1719" t="str">
        <f>DQ160</f>
        <v/>
      </c>
      <c r="DS162" s="1816"/>
      <c r="DT162" s="1835" t="str">
        <f>IF(OR(DS160=7,DS160=8,DS160=9),"ALC","")</f>
        <v/>
      </c>
      <c r="DU162" s="1715"/>
      <c r="DV162" s="1716"/>
      <c r="DX162" s="1715"/>
      <c r="DY162" s="1829" t="str">
        <f>DX160</f>
        <v/>
      </c>
      <c r="DZ162" s="1715"/>
      <c r="EA162" s="1715"/>
      <c r="EC162" s="1834"/>
      <c r="ED162" s="1834"/>
      <c r="EF162" s="1707"/>
      <c r="EG162" s="1712"/>
      <c r="EH162" s="1818"/>
      <c r="EI162" s="1712"/>
      <c r="EJ162" s="1712"/>
      <c r="EK162" s="1836"/>
      <c r="EL162" s="1836"/>
      <c r="EM162" s="1807"/>
      <c r="EN162" s="1839"/>
      <c r="EO162" s="1839"/>
      <c r="EP162" s="1817"/>
      <c r="EQ162" s="1817"/>
      <c r="ER162" s="1807"/>
      <c r="ES162" s="1807"/>
      <c r="ET162" s="1807"/>
      <c r="EV162" s="1715"/>
      <c r="EX162" s="1805" t="str">
        <f>IFERROR(VLOOKUP(CS162,'Space Table'!$B$3:$L$163,8,FALSE),"")</f>
        <v/>
      </c>
      <c r="EY162" s="1805" t="str">
        <f>IFERROR(IF(FB162="Yes",VLOOKUP(AG162,Lookup_Control_Type_Table2,4,FALSE),VLOOKUP(AG162,Lookup_Control_Type_Table2,3,FALSE)),"")</f>
        <v/>
      </c>
      <c r="EZ162" s="1805" t="e">
        <f>VLOOKUP(AG162,Lookup!BB$3:BC$20,2,FALSE)</f>
        <v>#N/A</v>
      </c>
      <c r="FA162" s="1805" t="e">
        <f>VLOOKUP(EX160,Lookup_Control_Type_Table,2,FALSE)</f>
        <v>#N/A</v>
      </c>
      <c r="FB162" s="1805" t="e">
        <f>VLOOKUP(CS162,'Space Table'!$B$3:$L$163,7,FALSE)</f>
        <v>#N/A</v>
      </c>
      <c r="FC162" s="1827"/>
      <c r="FE162" s="1698" t="str">
        <f>CONCATENATE(CQ160," - ",AG162)</f>
        <v xml:space="preserve"> - </v>
      </c>
      <c r="FG162" s="1816"/>
      <c r="FH162" s="1816"/>
      <c r="FI162" s="133"/>
      <c r="FL162" s="1822" t="str">
        <f>IF(CQ160="Exterior","Not Daylighted",G163)</f>
        <v>Not Daylighted</v>
      </c>
      <c r="FM162" s="1824">
        <f>VLOOKUP(FL162,_New_Daylight_Table_Codes,2,FALSE)</f>
        <v>0</v>
      </c>
      <c r="FN162" s="1698">
        <f>AG162</f>
        <v>0</v>
      </c>
      <c r="FO162" s="1698" t="e">
        <f>VLOOKUP(FN162,_Control_Table,2,FALSE)</f>
        <v>#N/A</v>
      </c>
      <c r="FP162" s="1678" t="e">
        <f>VLOOKUP(CONCATENATE(FL162," ",FN162),Lookup!AY$102:AZ173,2,FALSE)</f>
        <v>#N/A</v>
      </c>
      <c r="FQ162" s="1698">
        <f>IF(__Retrofit_TI_NC=0,FN162,IF(AND(FT162&gt;0,FN162="Occupancy Sensor"),"Daylight + Occupancy",IF(AND(FT162&gt;0,FO162&lt;4),"Interior Daylight Dimming",FN162)))</f>
        <v>0</v>
      </c>
      <c r="FS162" s="1686">
        <f>IF(CQ160="Interior",VLOOKUP(CS160,Control_Savings_Interior,5,FALSE),0)</f>
        <v>0</v>
      </c>
      <c r="FT162" s="1687">
        <f>IF(CQ162="Exterior",0,IF(FM162=2,0.5,IF(OR(FM162=1,FM162=3),1,0)))</f>
        <v>0</v>
      </c>
      <c r="FU162" s="1685">
        <f>IF(R161&gt;FS$44,(FS162*(FS$44/R161)),FS162)*FT162</f>
        <v>0</v>
      </c>
      <c r="FV162" s="1686">
        <f>DI162</f>
        <v>0</v>
      </c>
      <c r="FW162" s="1686">
        <f>ROUND(FV162+((1-FV162)*FU162),2)</f>
        <v>0</v>
      </c>
      <c r="FX162" s="1686">
        <f>IF(__Retrofit_TI_NC=2,FW162,FV162)</f>
        <v>0</v>
      </c>
      <c r="FY162" s="1697">
        <f>IF(CR162="Interior",VLOOKUP(CS162,Control_Savings_Interior,4,FALSE),0)</f>
        <v>0</v>
      </c>
      <c r="GA162" s="1696"/>
      <c r="GB162" s="1696"/>
      <c r="GC162" s="1696"/>
      <c r="GD162" s="1696"/>
      <c r="GE162" s="1696"/>
      <c r="GF162" s="1696"/>
      <c r="GG162" s="1696"/>
      <c r="GH162" s="1696"/>
      <c r="GI162" s="673" t="b">
        <f>IF(ISNUMBER(SEARCH("TLED",U162)),TRUE,FALSE)</f>
        <v>0</v>
      </c>
      <c r="GJ162" s="1135" t="str">
        <f>IFERROR(VLOOKUP(U162,Fixtures!DM$93:DR$142,6,FALSE),"")</f>
        <v/>
      </c>
      <c r="GK162" s="1832"/>
      <c r="GM162" s="1692"/>
      <c r="GN162" s="1684"/>
      <c r="GP162" s="1684"/>
      <c r="GQ162" s="1684"/>
      <c r="HG162" s="1684"/>
      <c r="HH162" s="1684"/>
      <c r="HI162" s="1684"/>
      <c r="HJ162" s="1684"/>
      <c r="HK162" s="1684"/>
      <c r="HL162" s="1684"/>
      <c r="HM162" s="1684"/>
      <c r="HN162" s="1683"/>
      <c r="HO162" s="1692"/>
      <c r="HP162" s="1692"/>
      <c r="HQ162" s="1670"/>
      <c r="HR162" s="1684"/>
      <c r="HS162" s="1684"/>
      <c r="HT162" s="1670"/>
      <c r="HU162" s="1684"/>
      <c r="HV162" s="1684"/>
      <c r="HW162" s="1684"/>
      <c r="HX162" s="1684"/>
      <c r="HY162" s="1684"/>
      <c r="HZ162" s="1684"/>
      <c r="IB162" s="1692"/>
      <c r="IC162" s="1693" t="b">
        <f>IB160</f>
        <v>0</v>
      </c>
      <c r="ID162" s="1695"/>
      <c r="IE162" s="391"/>
      <c r="IF162" s="1688"/>
      <c r="IG162" s="1689">
        <f ca="1">IF(IF160=TRUE,AC163,0)</f>
        <v>0</v>
      </c>
      <c r="IH162" s="1684"/>
      <c r="IK162" s="1689" t="e">
        <f>ROUND(T162*AB163*N161*R161/1000,0)</f>
        <v>#VALUE!</v>
      </c>
      <c r="IL162" s="1691"/>
      <c r="IM162" s="1693" t="e">
        <f>ROUND(T162*AB163*N161*R161/1000,0)</f>
        <v>#VALUE!</v>
      </c>
      <c r="IN162" s="1691"/>
      <c r="IP162" s="1679"/>
      <c r="IQ162" s="1679" t="e">
        <f t="shared" ref="IQ162:IU162" si="127">IF($CR162="interior",VLOOKUP($CS162,_New_Control_Savings_Interior,IQ$30,FALSE),VLOOKUP($CS162,Control_Savings_Exterior,IQ$30,FALSE))</f>
        <v>#N/A</v>
      </c>
      <c r="IR162" s="1679" t="e">
        <f t="shared" si="127"/>
        <v>#N/A</v>
      </c>
      <c r="IS162" s="1679" t="e">
        <f t="shared" si="127"/>
        <v>#N/A</v>
      </c>
      <c r="IT162" s="1679" t="e">
        <f t="shared" si="127"/>
        <v>#N/A</v>
      </c>
      <c r="IU162" s="1679" t="e">
        <f t="shared" si="127"/>
        <v>#N/A</v>
      </c>
      <c r="IV162" s="1679" t="e">
        <f>IF($CR162="interior",IF(R161&gt;$IP$14,ROUND(($IV$18*($IP$14/R161)),2),$IV$18),VLOOKUP($CS162,Control_Savings_Exterior,IV$30,FALSE))</f>
        <v>#N/A</v>
      </c>
      <c r="IW162" s="1679" t="e">
        <f>IF($CR162="interior",ROUND(((1-IS162)*IV162)+IS162,2),VLOOKUP($CS162,Control_Savings_Exterior,IW$30,FALSE))</f>
        <v>#N/A</v>
      </c>
      <c r="IX162" s="1679" t="e">
        <f>IF($CR162="interior",ROUND(((1-IT162)*IV162)+IT162,2),VLOOKUP($CS162,Control_Savings_Exterior,IX$30,FALSE))</f>
        <v>#N/A</v>
      </c>
      <c r="IY162" s="1679" t="e">
        <f>IF($CR162="interior",IF(R161&gt;$IP$14,ROUND(($IY$18*($IP$14/R161)),2),$IY$18),VLOOKUP($CS162,Control_Savings_Exterior,IY$30,FALSE))</f>
        <v>#N/A</v>
      </c>
      <c r="IZ162" s="1679" t="e">
        <f>IF($CR162="interior",ROUND(((1-IS162)*IY162)+IS162,2),VLOOKUP($CS162,Control_Savings_Exterior,IZ$30,FALSE))</f>
        <v>#N/A</v>
      </c>
      <c r="JA162" s="1679" t="e">
        <f>IF($CR162="interior",ROUND(((1-IT162)*IY162)+IT162,2),VLOOKUP($CS162,Control_Savings_Exterior,JA$30,FALSE))</f>
        <v>#N/A</v>
      </c>
      <c r="JC162" s="1680">
        <f>IFERROR(IF(CR162="Interior",CONCATENATE(G163," ",FQ162),AG162),"")</f>
        <v>0</v>
      </c>
      <c r="JD162" s="1670" t="str">
        <f>IFERROR(VLOOKUP(JC162,_Controls_2023,2,FALSE),"")</f>
        <v/>
      </c>
      <c r="JE162" s="1681">
        <f>IFERROR(CHOOSE(JD162-1,IQ162,IR162,IS162,IT162,IU162,IV162,IW162,IX162,IY162,IZ162,JA162),0)</f>
        <v>0</v>
      </c>
      <c r="JG162" s="1680" t="str">
        <f>FE162</f>
        <v xml:space="preserve"> - </v>
      </c>
      <c r="JH162" s="1670" t="e">
        <f>$FO162</f>
        <v>#N/A</v>
      </c>
      <c r="JI162" s="1060"/>
      <c r="JJ162" s="1670">
        <f>IFERROR(IF($IB160=TRUE,IF(OR(JJ$14="No",JJ160=FALSE,JH162&lt;=JH160,AND(_kWh_Grant=0,GD160=FALSE)),0,IF(JJ$8="Per Line",1,$AF162)),0),0)</f>
        <v>0</v>
      </c>
      <c r="JK162" s="1061"/>
      <c r="JL162" s="1670">
        <f>IFERROR(IF(_kWh_Grant=0,0,IF($IB160=TRUE,IF(OR(JL$14="No",JL160=FALSE,JH162&lt;=JH160),0,IF(JL$8="Per Line",1,$T162)),0)),0)</f>
        <v>0</v>
      </c>
      <c r="JM162" s="1061"/>
      <c r="JN162" s="1670">
        <f>IFERROR(IF(_kWh_Grant=0,0,IF($IB160=TRUE,IF(OR(JN$14="No",JN160=FALSE,JH162&lt;=JH160),0,IF(JN$8="Per Line",1,$AF162)),0)),0)</f>
        <v>0</v>
      </c>
      <c r="JO162" s="1061"/>
      <c r="JP162" s="1670">
        <f>IFERROR(IF(__Retrofit_TI_NC=0,IF(_kWh_Grant=0,0,IF($IB160=TRUE,IF(OR(JP$14="No",JP160=FALSE,$JH162&lt;=$JH160),0,IF(JP$8="Per Line",1,$AF162)),0)),IF($IB160=TRUE,IF(OR(JP$14="No",JP160=FALSE,$JH162&lt;=$JH160),0,IF(JP$8="Per Line",1,$AF162)))),0)</f>
        <v>0</v>
      </c>
      <c r="JQ162" s="1061"/>
      <c r="JR162" s="1670">
        <f>IFERROR(IF(__Retrofit_TI_NC=0,IF(_kWh_Grant=0,0,IF($IB160=TRUE,IF(OR(JR$14="No",JR160=FALSE,$JH162&lt;=$JH160),0,IF(JR$8="Per Line",1,$AF162)),0)),IF($IB160=TRUE,IF(OR(JR$14="No",JR160=FALSE,$JH162&lt;=$JH160),0,IF(JR$8="Per Line",1,$AF162)))),0)</f>
        <v>0</v>
      </c>
      <c r="JS162" s="1061"/>
      <c r="JT162" s="1670">
        <f>IFERROR(IF(__Retrofit_TI_NC=0,IF(_kWh_Grant=0,0,IF($IB160=TRUE,IF(OR(JT$14="No",JT160=FALSE,$JH162&lt;=$JH160),0,IF(JT$8="Per Line",1,$AF162)),0)),IF($IB160=TRUE,IF(OR(JT$14="No",JT160=FALSE,$JH162&lt;=$JH160),0,IF(JT$8="Per Line",1,$AF162)))),0)</f>
        <v>0</v>
      </c>
      <c r="JU162" s="1061"/>
      <c r="JV162" s="1670">
        <f>IFERROR(IF(__Retrofit_TI_NC=0,IF(_kWh_Grant=0,0,IF($IB160=TRUE,IF(OR(JV$14="No",JV160=FALSE,$JH162&lt;=$JH160),0,IF(JV$8="Per Line",1,$AF162)),0)),IF($IB160=TRUE,IF(OR(JV$14="No",JV160=FALSE,$JH162&lt;=$JH160),0,IF(JV$8="Per Line",1,$AF162)))),0)</f>
        <v>0</v>
      </c>
      <c r="JX162" s="1670">
        <f>IFERROR(IF(__Retrofit_TI_NC=0,IF(_kWh_Grant=0,0,IF($IB160=TRUE,IF(OR(JX$14="No",JX160=FALSE,$JH162&lt;=$JH160),0,IF(JX$8="Per Line",1,$AF162)),0)),IF($IB160=TRUE,IF(OR(JX$14="No",JX160=FALSE,$JH162&lt;=$JH160),0,IF(JX$8="Per Line",1,$AF162)))),0)</f>
        <v>0</v>
      </c>
      <c r="JZ162" s="1670">
        <f>IFERROR(IF($IB160=TRUE,IF(OR(JZ$14="No",JZ160=FALSE,$JH162&lt;=$JH160,AND(_kWh_Grant=0,$GD160=FALSE)),0,IF(JZ$8="Per Line",1,$AF162)),0),0)</f>
        <v>0</v>
      </c>
      <c r="KB162" s="1670">
        <f>IFERROR(IF(__Retrofit_TI_NC=0,IF(_kWh_Grant=0,0,IF($IB160=TRUE,IF(OR(KB$14="No",KB160=FALSE,$JH162&lt;=$JH160),0,IF(KB$8="Per Line",1,$AF162)),0)),IF($IB160=TRUE,IF(OR(KB$14="No",KB160=FALSE,$JH162&lt;=$JH160),0,IF(KB$8="Per Line",1,$AF162)))),0)</f>
        <v>0</v>
      </c>
    </row>
    <row r="163" spans="1:288" s="78" customFormat="1" ht="14.95" customHeight="1" thickTop="1" thickBot="1">
      <c r="B163" s="1845"/>
      <c r="C163" s="1846"/>
      <c r="D163" s="1847"/>
      <c r="E163" s="1902" t="s">
        <v>436</v>
      </c>
      <c r="F163" s="1903"/>
      <c r="G163" s="1904" t="s">
        <v>437</v>
      </c>
      <c r="H163" s="1905"/>
      <c r="I163" s="1905"/>
      <c r="J163" s="1905"/>
      <c r="K163" s="1905"/>
      <c r="L163" s="1906"/>
      <c r="M163" s="1145">
        <f>IFERROR(VLOOKUP(G163,_Daylight_Table[],2,FALSE),0)</f>
        <v>0</v>
      </c>
      <c r="N163" s="1146" t="str">
        <f>IF(AND(__Retrofit_TI_NC&gt;0,CQ160="Interior"),"BAM","")</f>
        <v/>
      </c>
      <c r="O163" s="1145" t="e">
        <f>VLOOKUP(G162,'Space Table'!$B$3:$L$163,11,FALSE)</f>
        <v>#N/A</v>
      </c>
      <c r="P163" s="1754"/>
      <c r="Q163" s="1755"/>
      <c r="R163" s="1755"/>
      <c r="S163" s="1764"/>
      <c r="T163" s="1147" t="s">
        <v>342</v>
      </c>
      <c r="U163" s="1756" t="str" cm="1">
        <f t="array" aca="1" ref="U163" ca="1">IFERROR(VLOOKUP(INDIRECT("U" &amp; ROW()-1),Fixtures!DM$93:DP$142,4,FALSE),"")</f>
        <v/>
      </c>
      <c r="V163" s="1757"/>
      <c r="W163" s="1757"/>
      <c r="X163" s="1757"/>
      <c r="Y163" s="1757"/>
      <c r="Z163" s="1757"/>
      <c r="AA163" s="1758"/>
      <c r="AB163" s="939" t="str">
        <f>IFERROR(VLOOKUP(U162,Fixtures_Proposed_List,2,FALSE),"")</f>
        <v/>
      </c>
      <c r="AC163" s="1148" t="str">
        <f>IFERROR(ROUND(T162*AB163*N161*R161/1000,0),"")</f>
        <v/>
      </c>
      <c r="AD163" s="1149" t="str">
        <f>IFERROR(ROUND(T162*AB163/1000,2),"")</f>
        <v/>
      </c>
      <c r="AE163" s="1150"/>
      <c r="AF163" s="1151" t="s">
        <v>342</v>
      </c>
      <c r="AG163" s="1759"/>
      <c r="AH163" s="1759"/>
      <c r="AI163" s="1759"/>
      <c r="AJ163" s="1759"/>
      <c r="AK163" s="1759"/>
      <c r="AL163" s="1759"/>
      <c r="AM163" s="1899"/>
      <c r="AN163" s="1900"/>
      <c r="AO163" s="1901"/>
      <c r="AP163" s="1780"/>
      <c r="AQ163" s="1781"/>
      <c r="AR163" s="1795"/>
      <c r="AS163" s="1795"/>
      <c r="AT163" s="1796"/>
      <c r="AU163" s="1907"/>
      <c r="AV163" s="1752"/>
      <c r="AW163" s="1706"/>
      <c r="AX163" s="468"/>
      <c r="AY163" s="1750"/>
      <c r="AZ163" s="1750"/>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696"/>
      <c r="CQ163" s="1696"/>
      <c r="CR163" s="1809"/>
      <c r="CS163" s="1811"/>
      <c r="CU163" s="1688"/>
      <c r="CV163" s="1703"/>
      <c r="CW163" s="1703"/>
      <c r="CX163" s="1813"/>
      <c r="CY163" s="1815"/>
      <c r="CZ163" s="1711"/>
      <c r="DA163" s="1815"/>
      <c r="DB163" s="1821"/>
      <c r="DC163" s="1821"/>
      <c r="DD163" s="1821"/>
      <c r="DF163" s="1703"/>
      <c r="DG163" s="1831"/>
      <c r="DH163" s="1813"/>
      <c r="DI163" s="1838"/>
      <c r="DJ163" s="1711"/>
      <c r="DK163" s="1712"/>
      <c r="DN163" s="1718"/>
      <c r="DO163" s="1709"/>
      <c r="DQ163" s="1715"/>
      <c r="DR163" s="1720"/>
      <c r="DS163" s="1703"/>
      <c r="DT163" s="1714"/>
      <c r="DU163" s="1715"/>
      <c r="DV163" s="1716"/>
      <c r="DX163" s="1715"/>
      <c r="DY163" s="1720"/>
      <c r="DZ163" s="1715"/>
      <c r="EA163" s="1715"/>
      <c r="EC163" s="1834"/>
      <c r="ED163" s="1834"/>
      <c r="EF163" s="1707"/>
      <c r="EG163" s="1712"/>
      <c r="EH163" s="1815"/>
      <c r="EI163" s="1712"/>
      <c r="EJ163" s="1712"/>
      <c r="EK163" s="1813"/>
      <c r="EL163" s="1813"/>
      <c r="EM163" s="1807"/>
      <c r="EN163" s="1839"/>
      <c r="EO163" s="1839"/>
      <c r="EP163" s="1817"/>
      <c r="EQ163" s="1817"/>
      <c r="ER163" s="1807"/>
      <c r="ES163" s="1807"/>
      <c r="ET163" s="1807"/>
      <c r="EV163" s="1715"/>
      <c r="EX163" s="1806"/>
      <c r="EY163" s="1806"/>
      <c r="EZ163" s="1806"/>
      <c r="FA163" s="1806"/>
      <c r="FB163" s="1806"/>
      <c r="FC163" s="1828"/>
      <c r="FE163" s="1698"/>
      <c r="FG163" s="1703"/>
      <c r="FH163" s="1703"/>
      <c r="FI163" s="133"/>
      <c r="FL163" s="1823"/>
      <c r="FM163" s="1825"/>
      <c r="FN163" s="1698"/>
      <c r="FO163" s="1698"/>
      <c r="FP163" s="1678"/>
      <c r="FQ163" s="1698"/>
      <c r="FS163" s="1687"/>
      <c r="FT163" s="1687"/>
      <c r="FU163" s="1685"/>
      <c r="FV163" s="1687"/>
      <c r="FW163" s="1687"/>
      <c r="FX163" s="1687"/>
      <c r="FY163" s="1697"/>
      <c r="GA163" s="1696"/>
      <c r="GB163" s="1696"/>
      <c r="GC163" s="1696"/>
      <c r="GD163" s="1696"/>
      <c r="GE163" s="1696"/>
      <c r="GF163" s="1696"/>
      <c r="GG163" s="1696"/>
      <c r="GH163" s="1696"/>
      <c r="GI163" s="673"/>
      <c r="GJ163" s="1135"/>
      <c r="GK163" s="1832"/>
      <c r="GN163" s="674">
        <f>IF(GN161=TRUE,0,GN$16)</f>
        <v>0</v>
      </c>
      <c r="GP163" s="674">
        <f>IF(GP161=TRUE,0,GP$16)</f>
        <v>36</v>
      </c>
      <c r="GQ163" s="674">
        <f ca="1">IF(GQ161=TRUE,0,GQ$16)</f>
        <v>35</v>
      </c>
      <c r="GR163" s="391"/>
      <c r="GS163" s="391"/>
      <c r="GT163" s="391"/>
      <c r="GU163" s="391"/>
      <c r="GV163" s="391"/>
      <c r="HG163" s="674">
        <f>IF(HG161=TRUE,0,HG$16)</f>
        <v>0</v>
      </c>
      <c r="HH163" s="674">
        <f t="shared" ref="HH163:HM163" si="128">IF(HH161=TRUE,0,HH$16)</f>
        <v>19</v>
      </c>
      <c r="HI163" s="674">
        <f t="shared" si="128"/>
        <v>18</v>
      </c>
      <c r="HJ163" s="674">
        <f t="shared" si="128"/>
        <v>17</v>
      </c>
      <c r="HK163" s="674">
        <f t="shared" si="128"/>
        <v>16</v>
      </c>
      <c r="HL163" s="674">
        <f t="shared" si="128"/>
        <v>0</v>
      </c>
      <c r="HM163" s="674">
        <f t="shared" si="128"/>
        <v>0</v>
      </c>
      <c r="HN163" s="674">
        <f>IF(HN161=TRUE,0,HN$16)</f>
        <v>13</v>
      </c>
      <c r="HO163" s="674">
        <f t="shared" ref="HO163:HQ163" si="129">IF(HO161=TRUE,0,HO$16)</f>
        <v>0</v>
      </c>
      <c r="HP163" s="674">
        <f t="shared" si="129"/>
        <v>0</v>
      </c>
      <c r="HQ163" s="674">
        <f t="shared" si="129"/>
        <v>10</v>
      </c>
      <c r="HR163" s="674">
        <f>IF(HR161=TRUE,0,HR$16)</f>
        <v>9</v>
      </c>
      <c r="HS163" s="674">
        <f t="shared" ref="HS163:HW163" si="130">IF(HS161=TRUE,0,HS$16)</f>
        <v>0</v>
      </c>
      <c r="HT163" s="674">
        <f t="shared" si="130"/>
        <v>0</v>
      </c>
      <c r="HU163" s="674">
        <f t="shared" si="130"/>
        <v>0</v>
      </c>
      <c r="HV163" s="674">
        <f t="shared" si="130"/>
        <v>0</v>
      </c>
      <c r="HW163" s="674">
        <f t="shared" si="130"/>
        <v>0</v>
      </c>
      <c r="HX163" s="674">
        <f>IF(HX161=TRUE,0,HX$16)</f>
        <v>0</v>
      </c>
      <c r="HY163" s="674">
        <f>IF(HY161=TRUE,0,HY$16)</f>
        <v>0</v>
      </c>
      <c r="HZ163" s="674">
        <f>IF(HZ161=TRUE,0,HZ$16)</f>
        <v>1</v>
      </c>
      <c r="IB163" s="674">
        <f>IF(GP161=FALSE,GP163,IF(GQ161=FALSE,GQ163,MAX(GN163:HZ163)))</f>
        <v>36</v>
      </c>
      <c r="IC163" s="1692"/>
      <c r="ID163" s="205" t="str">
        <f>VLOOKUP(IB163,_Error_Table,3,FALSE)</f>
        <v xml:space="preserve"> </v>
      </c>
      <c r="IE163" s="205"/>
      <c r="IF163" s="1688"/>
      <c r="IG163" s="1689"/>
      <c r="IH163" s="1684"/>
      <c r="IK163" s="1689"/>
      <c r="IL163" s="1692"/>
      <c r="IM163" s="1692"/>
      <c r="IN163" s="1692"/>
      <c r="IP163" s="1679"/>
      <c r="IQ163" s="1679"/>
      <c r="IR163" s="1679"/>
      <c r="IS163" s="1679"/>
      <c r="IT163" s="1679"/>
      <c r="IU163" s="1679"/>
      <c r="IV163" s="1679"/>
      <c r="IW163" s="1679"/>
      <c r="IX163" s="1679"/>
      <c r="IY163" s="1679"/>
      <c r="IZ163" s="1679"/>
      <c r="JA163" s="1679"/>
      <c r="JC163" s="1680"/>
      <c r="JD163" s="1670"/>
      <c r="JE163" s="1681"/>
      <c r="JG163" s="1680"/>
      <c r="JH163" s="1670"/>
      <c r="JI163" s="1060"/>
      <c r="JJ163" s="1670"/>
      <c r="JK163" s="1061"/>
      <c r="JL163" s="1670"/>
      <c r="JM163" s="1061"/>
      <c r="JN163" s="1670"/>
      <c r="JO163" s="1061"/>
      <c r="JP163" s="1670"/>
      <c r="JQ163" s="1061"/>
      <c r="JR163" s="1670"/>
      <c r="JS163" s="1061"/>
      <c r="JT163" s="1670"/>
      <c r="JU163" s="1061"/>
      <c r="JV163" s="1670"/>
      <c r="JX163" s="1670"/>
      <c r="JZ163" s="1670"/>
      <c r="KB163" s="1670"/>
    </row>
    <row r="164" spans="1:288" s="78" customFormat="1" ht="5.0999999999999996" customHeight="1">
      <c r="B164" s="676"/>
      <c r="C164" s="392"/>
      <c r="D164" s="392"/>
      <c r="E164" s="1773"/>
      <c r="F164" s="1773"/>
      <c r="G164" s="1773"/>
      <c r="H164" s="1773"/>
      <c r="I164" s="1773"/>
      <c r="J164" s="1773"/>
      <c r="K164" s="1773"/>
      <c r="L164" s="1773"/>
      <c r="M164" s="1773"/>
      <c r="N164" s="1773"/>
      <c r="O164" s="1773"/>
      <c r="P164" s="1773"/>
      <c r="Q164" s="1773"/>
      <c r="R164" s="1773"/>
      <c r="S164" s="1773"/>
      <c r="T164" s="1773"/>
      <c r="U164" s="1773"/>
      <c r="V164" s="1773"/>
      <c r="W164" s="1773"/>
      <c r="X164" s="1773"/>
      <c r="Y164" s="1773"/>
      <c r="Z164" s="1773"/>
      <c r="AA164" s="1773"/>
      <c r="AB164" s="1773"/>
      <c r="AC164" s="1773"/>
      <c r="AD164" s="1773"/>
      <c r="AE164" s="1773"/>
      <c r="AF164" s="1773"/>
      <c r="AG164" s="1773"/>
      <c r="AH164" s="1773"/>
      <c r="AI164" s="1773"/>
      <c r="AJ164" s="1773"/>
      <c r="AK164" s="1773"/>
      <c r="AL164" s="1773"/>
      <c r="AM164" s="1773"/>
      <c r="AN164" s="1773"/>
      <c r="AO164" s="1773"/>
      <c r="AP164" s="1773"/>
      <c r="AQ164" s="1773"/>
      <c r="AR164" s="1773"/>
      <c r="AS164" s="1773"/>
      <c r="AT164" s="1773"/>
      <c r="AU164" s="1773"/>
      <c r="AV164" s="1773"/>
      <c r="AW164" s="1773"/>
      <c r="AX164" s="469"/>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663"/>
      <c r="CQ164" s="663"/>
      <c r="CR164" s="438"/>
      <c r="CS164" s="663"/>
      <c r="CV164" s="391"/>
      <c r="CW164" s="391"/>
      <c r="CX164" s="207"/>
      <c r="CY164" s="208"/>
      <c r="CZ164" s="208"/>
      <c r="DA164" s="208"/>
      <c r="DB164" s="209"/>
      <c r="DC164" s="209"/>
      <c r="DD164" s="209"/>
      <c r="DF164" s="664"/>
      <c r="DG164" s="665"/>
      <c r="DH164" s="666"/>
      <c r="DI164" s="667"/>
      <c r="DJ164" s="668"/>
      <c r="DK164" s="668"/>
      <c r="DN164" s="208"/>
      <c r="DO164" s="664"/>
      <c r="DQ164" s="664"/>
      <c r="DR164" s="669"/>
      <c r="DS164" s="391"/>
      <c r="DT164" s="664"/>
      <c r="DU164" s="664"/>
      <c r="DV164" s="664"/>
      <c r="DX164" s="664"/>
      <c r="DY164" s="664"/>
      <c r="DZ164" s="664"/>
      <c r="EA164" s="664"/>
      <c r="EC164" s="670"/>
      <c r="ED164" s="670"/>
      <c r="EF164" s="668"/>
      <c r="EG164" s="668"/>
      <c r="EH164" s="208"/>
      <c r="EI164" s="668"/>
      <c r="EJ164" s="668"/>
      <c r="EK164" s="207"/>
      <c r="EL164" s="207"/>
      <c r="EM164" s="666"/>
      <c r="EN164" s="671"/>
      <c r="EO164" s="671"/>
      <c r="EP164" s="672"/>
      <c r="EQ164" s="672"/>
      <c r="ER164" s="666"/>
      <c r="ES164" s="666"/>
      <c r="ET164" s="666"/>
      <c r="EV164" s="664"/>
      <c r="EX164" s="391"/>
      <c r="EY164" s="391"/>
      <c r="EZ164" s="391"/>
      <c r="FA164" s="391"/>
      <c r="FB164" s="391"/>
      <c r="FC164" s="391"/>
      <c r="FE164" s="569"/>
      <c r="FG164" s="391"/>
      <c r="FH164" s="391"/>
      <c r="FI164" s="391"/>
      <c r="FS164" s="664"/>
      <c r="FT164" s="391"/>
      <c r="FU164" s="391"/>
      <c r="FV164" s="664"/>
      <c r="FW164" s="664"/>
      <c r="GA164" s="663"/>
      <c r="GB164" s="663"/>
      <c r="GC164" s="663"/>
      <c r="GD164" s="663"/>
      <c r="GE164" s="663"/>
      <c r="GF164" s="663"/>
      <c r="GG164" s="663"/>
      <c r="GH164" s="663"/>
      <c r="GI164" s="665"/>
      <c r="GJ164" s="664"/>
      <c r="GK164" s="664"/>
    </row>
    <row r="165" spans="1:288" s="78" customFormat="1" ht="14.95" customHeight="1">
      <c r="B165" s="1845" t="str">
        <f>ID168</f>
        <v xml:space="preserve"> </v>
      </c>
      <c r="C165" s="1846">
        <f>C160+1</f>
        <v>24</v>
      </c>
      <c r="D165" s="1847"/>
      <c r="E165" s="1799" t="s">
        <v>295</v>
      </c>
      <c r="F165" s="1800"/>
      <c r="G165" s="1741"/>
      <c r="H165" s="1742"/>
      <c r="I165" s="1742"/>
      <c r="J165" s="1742"/>
      <c r="K165" s="1742"/>
      <c r="L165" s="1742"/>
      <c r="M165" s="1742"/>
      <c r="N165" s="1742"/>
      <c r="O165" s="1742"/>
      <c r="P165" s="1742"/>
      <c r="Q165" s="1742"/>
      <c r="R165" s="1742"/>
      <c r="S165" s="1791" t="s">
        <v>344</v>
      </c>
      <c r="T165" s="590"/>
      <c r="U165" s="1743"/>
      <c r="V165" s="1744"/>
      <c r="W165" s="1744"/>
      <c r="X165" s="1744"/>
      <c r="Y165" s="1744"/>
      <c r="Z165" s="1744"/>
      <c r="AA165" s="1744"/>
      <c r="AB165" s="961" t="str">
        <f>IFERROR(IF(__Retrofit_TI_NC=0,VLOOKUP(U166,Fixtures_Existing_List,2,FALSE),ROUND(N167*R167/T167,10)),"")</f>
        <v/>
      </c>
      <c r="AC165" s="935" t="str">
        <f>IFERROR(IF(__Retrofit_TI_NC=0,ROUND(T166*AB165*N166*R166/1000,0),IF(CQ165="Interior",N167*R167*R166*N166*_C406_reduction/1000,N167*R167*R166*N166/1000)),"")</f>
        <v/>
      </c>
      <c r="AD165" s="936" t="str">
        <f>IFERROR(IF(C$43=0,ROUND(T166*AB165/1000,2),N167*R167/1000),"")</f>
        <v/>
      </c>
      <c r="AE165" s="997"/>
      <c r="AF165" s="937"/>
      <c r="AG165" s="1745" t="str">
        <f>IF(__Retrofit_TI_NC=0," Control","Select Advanced Control for New System")</f>
        <v xml:space="preserve"> Control</v>
      </c>
      <c r="AH165" s="1745"/>
      <c r="AI165" s="1745"/>
      <c r="AJ165" s="1745"/>
      <c r="AK165" s="1745"/>
      <c r="AL165" s="1745"/>
      <c r="AM165" s="1746">
        <f>IFERROR(DI165,"")</f>
        <v>0</v>
      </c>
      <c r="AN165" s="1774" t="str">
        <f>IFERROR(ROUND(AM165*AC165,0),"")</f>
        <v/>
      </c>
      <c r="AO165" s="1776">
        <f>IFERROR(IF(IB165=FALSE,0,AC165-AN165),0)</f>
        <v>0</v>
      </c>
      <c r="AP165" s="1778">
        <f>AO165-AO167</f>
        <v>0</v>
      </c>
      <c r="AQ165" s="1779"/>
      <c r="AR165" s="1793">
        <f>IFERROR(IF(IB165=FALSE,0,(T167*U168)+(AF167*AG168)),0)</f>
        <v>0</v>
      </c>
      <c r="AS165" s="1793"/>
      <c r="AT165" s="1794"/>
      <c r="AU165" s="1734" t="s">
        <v>237</v>
      </c>
      <c r="AV165" s="1751">
        <f>IF(AU165="Yes",1,0)</f>
        <v>1</v>
      </c>
      <c r="AW165" s="1704" t="str">
        <f>IF(OR(DQ165=4,DQ165=5,DQ165=6,DQ165=12),CONCATENATE("$",IF(GH165=TRUE,Lookup!$K$10,Lookup!$K$2)," /lamp"),CONCATENATE(TEXT(ED165,"$0.00"),"/ kWh"))</f>
        <v>$0.00/ kWh</v>
      </c>
      <c r="AX165" s="467"/>
      <c r="AY165" s="1748">
        <f ca="1">IFERROR(IF(GM166=TRUE,(AB168*T167)/R167,0),"NA")</f>
        <v>0</v>
      </c>
      <c r="AZ165" s="1748"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696" t="str">
        <f>N166</f>
        <v/>
      </c>
      <c r="CQ165" s="1696" t="str">
        <f>IFERROR(VLOOKUP(G166,_Lookup_Heat_Type_Table_New,3,FALSE),"")</f>
        <v/>
      </c>
      <c r="CR165" s="1808" t="str">
        <f>CQ165</f>
        <v/>
      </c>
      <c r="CS165" s="1810" t="str">
        <f>IFERROR(VLOOKUP(G167,'Space Table'!$B$3:$L$163,9,FALSE),"")</f>
        <v/>
      </c>
      <c r="CU165" s="1688" t="s">
        <v>344</v>
      </c>
      <c r="CV165" s="1702">
        <f>IF(IB165=TRUE,T166,0)</f>
        <v>0</v>
      </c>
      <c r="CW165" s="1702" t="str">
        <f>IF(IB165=TRUE,U166,"")</f>
        <v/>
      </c>
      <c r="CX165" s="1702"/>
      <c r="CY165" s="1814">
        <f>IF(IB165=TRUE,AB165,0)</f>
        <v>0</v>
      </c>
      <c r="CZ165" s="1710">
        <f>IF(AND(__Retrofit_TI_NC&gt;0,CR165="interior"),0,IF(IB165=TRUE,AC165,0))</f>
        <v>0</v>
      </c>
      <c r="DA165" s="1814">
        <f>IFERROR(IF(IB165=TRUE,CZ165-CZ167,0),0)</f>
        <v>0</v>
      </c>
      <c r="DB165" s="1819">
        <f>IF(IB165=TRUE,AD165,0)</f>
        <v>0</v>
      </c>
      <c r="DC165" s="1819">
        <f>IF(IB165=TRUE,AD168,0)</f>
        <v>0</v>
      </c>
      <c r="DD165" s="1819">
        <f>IFERROR(DB165-DC165,0)</f>
        <v>0</v>
      </c>
      <c r="DF165" s="1702">
        <f>IF(IB165=TRUE,AF166,0)</f>
        <v>0</v>
      </c>
      <c r="DG165" s="1830">
        <f>IFERROR(IF(__Retrofit_TI_NC=2,IF(CQ165="Exterior",O168,FQ165),FN165),"")</f>
        <v>0</v>
      </c>
      <c r="DH165" s="1702"/>
      <c r="DI165" s="1837">
        <f>JE165</f>
        <v>0</v>
      </c>
      <c r="DJ165" s="1710">
        <f>IF(AND(__Retrofit_TI_NC&gt;0,CR165="interior"),0,IF(IB165=TRUE,AN165,0))</f>
        <v>0</v>
      </c>
      <c r="DK165" s="1712">
        <f>IFERROR(IF(IB165=TRUE,DJ167-DJ165,0),0)</f>
        <v>0</v>
      </c>
      <c r="DM165" s="1717">
        <f>IFERROR(CZ165-DJ165,0)</f>
        <v>0</v>
      </c>
      <c r="DO165" s="1708">
        <f>DM165-DN167</f>
        <v>0</v>
      </c>
      <c r="DQ165" s="1715" t="str">
        <f>IFERROR(IF(AND(OR(GC165=4,GC165=5,GC165=6),OR(GF165=4,GF165=5,GF165=6)),GC165+8,VLOOKUP(CW167,Fixtures!R$31:Y$78,8,FALSE)),"")</f>
        <v/>
      </c>
      <c r="DR165" s="1829" t="str">
        <f>DQ165</f>
        <v/>
      </c>
      <c r="DS165" s="1702" t="str">
        <f>IFERROR(VLOOKUP(DG167,Lookup!BB$3:BC$20,2,FALSE),"")</f>
        <v/>
      </c>
      <c r="DT165" s="1713" t="str">
        <f>IF(OR(DS165=7,DS165=8,DS165=9),"ALC","")</f>
        <v/>
      </c>
      <c r="DU165" s="1715">
        <f>IFERROR(IF(OR(DQ165=4,DQ165=5,DQ165=6,DQ165=12,DQ165=13,DQ165=14),VLOOKUP(CW167,Fixtures!DN$27:EG$77,19,FALSE),1)*CV167,0)</f>
        <v>0</v>
      </c>
      <c r="DV165" s="1716">
        <f>IF(OR(DS165=7,DS165=8,DS165=9),IF(DG165=DG167,0,DF167),0)</f>
        <v>0</v>
      </c>
      <c r="DX165" s="1715" t="str">
        <f>IFERROR(IF(EZ165&lt;EZ167,"Yes","No"),"")</f>
        <v/>
      </c>
      <c r="DY165" s="1829" t="str">
        <f>DX165</f>
        <v/>
      </c>
      <c r="DZ165" s="1715">
        <f>IF(DX165="Yes",DF167,0)</f>
        <v>0</v>
      </c>
      <c r="EA165" s="1715">
        <f>DZ165-DV165</f>
        <v>0</v>
      </c>
      <c r="EC165" s="1834">
        <f>IFERROR(VLOOKUP(DQ165,Lookup!AU$3:AV$16,2,FALSE),0)</f>
        <v>0</v>
      </c>
      <c r="ED165" s="1834">
        <f>IF(IB165=FALSE,0,IF(DX165="Yes",EC165+Lookup!K$6,EC165))</f>
        <v>0</v>
      </c>
      <c r="EF165" s="1707">
        <f>IF(IB165=TRUE,DM165,0)</f>
        <v>0</v>
      </c>
      <c r="EG165" s="1712">
        <f>IF(IB165=TRUE,CZ167,0)</f>
        <v>0</v>
      </c>
      <c r="EH165" s="1814">
        <f>IFERROR(EF165-EG165,0)</f>
        <v>0</v>
      </c>
      <c r="EI165" s="1712">
        <f>IF(IB165=TRUE,DJ167,0)</f>
        <v>0</v>
      </c>
      <c r="EJ165" s="1712">
        <f>IFERROR(EF165-EG165+EI165,0)</f>
        <v>0</v>
      </c>
      <c r="EK165" s="1812">
        <f>IF(IB165=TRUE,CV167*CX167,0)</f>
        <v>0</v>
      </c>
      <c r="EL165" s="1812">
        <f>IF(IB165=TRUE,DF167*DH167,0)</f>
        <v>0</v>
      </c>
      <c r="EM165" s="1807">
        <f>AR165</f>
        <v>0</v>
      </c>
      <c r="EN165" s="1839" t="str">
        <f>IFERROR(IF(IB165=TRUE,VLOOKUP(DQ165,Lookup!AU$3:AW$16,3,FALSE)*DU165,""),0)</f>
        <v/>
      </c>
      <c r="EO165" s="1839">
        <f>IF(IB165=TRUE,DZ165*Lookup!AW$12,0)</f>
        <v>0</v>
      </c>
      <c r="EP165" s="1817">
        <f>IFERROR(IF(IB165=TRUE,EN165/EP$40,0),0)</f>
        <v>0</v>
      </c>
      <c r="EQ165" s="1817">
        <f>IF(IB165=TRUE,EO165/EQ$40,0)</f>
        <v>0</v>
      </c>
      <c r="ER165" s="1807">
        <f>IF(IB165=TRUE,ET$40*EP165,0)</f>
        <v>0</v>
      </c>
      <c r="ES165" s="1807">
        <f>IF(IB165=TRUE,ET$40*EQ165,0)</f>
        <v>0</v>
      </c>
      <c r="ET165" s="1807">
        <f>ER165+ES165</f>
        <v>0</v>
      </c>
      <c r="EV165" s="1715">
        <f>IF(G165="",0,1)</f>
        <v>0</v>
      </c>
      <c r="EX165" s="1804" t="str">
        <f>IFERROR(VLOOKUP(CS167,'Space Table'!$B$3:$L$163,8,FALSE),"")</f>
        <v/>
      </c>
      <c r="EY165" s="1804" t="str">
        <f>IFERROR(IF(FB165="Yes",VLOOKUP(DG165,Lookup_Control_Type_Table2,4,FALSE),VLOOKUP(DG165,Lookup_Control_Type_Table2,3,FALSE)),"")</f>
        <v/>
      </c>
      <c r="EZ165" s="1804" t="e">
        <f>VLOOKUP(DG165,Lookup!BB$3:BC$20,2,FALSE)</f>
        <v>#N/A</v>
      </c>
      <c r="FA165" s="1804" t="e">
        <f>VLOOKUP(EX165,Lookup_Control_Type_Table,2,FALSE)</f>
        <v>#N/A</v>
      </c>
      <c r="FB165" s="1804" t="e">
        <f>VLOOKUP(CS167,'Space Table'!$B$3:$L$163,7,FALSE)</f>
        <v>#N/A</v>
      </c>
      <c r="FC165" s="1826" t="b">
        <f>ISNUMBER(SEARCH("TLED",U167))</f>
        <v>0</v>
      </c>
      <c r="FE165" s="1698" t="str">
        <f>CONCATENATE(CQ165," - ",DG165)</f>
        <v xml:space="preserve"> - 0</v>
      </c>
      <c r="FG165" s="1702" t="str">
        <f>VLOOKUP(CW167,Fixtures!DN$27:EZ$77,38,FALSE)</f>
        <v/>
      </c>
      <c r="FH165" s="1702">
        <f>IFERROR(FG165*EH165,0)</f>
        <v>0</v>
      </c>
      <c r="FI165" s="133"/>
      <c r="FL165" s="1822" t="str">
        <f>IF(CQ165="Exterior","Not Daylighted",G168)</f>
        <v>Not Daylighted</v>
      </c>
      <c r="FM165" s="1824">
        <f>VLOOKUP(FL165,_New_Daylight_Table_Codes,2,FALSE)</f>
        <v>0</v>
      </c>
      <c r="FN165" s="1698">
        <f>IF(__Retrofit_TI_NC&gt;0,VLOOKUP(G167,'Space Table'!$B$3:$L$163,11,FALSE),AG166)</f>
        <v>0</v>
      </c>
      <c r="FO165" s="1698" t="e">
        <f>IF(__Retrofit_TI_NC=2,VLOOKUP(FQ165,_Control_Table,2,FALSE),VLOOKUP(FN165,_Control_Table,2,FALSE))</f>
        <v>#N/A</v>
      </c>
      <c r="FP165" s="1678" t="e">
        <f>VLOOKUP(CONCATENATE(FL165," ",FN165),Lookup!AY$102:AZ175,2,FALSE)</f>
        <v>#N/A</v>
      </c>
      <c r="FQ165" s="1678">
        <f>IF(__Retrofit_TI_NC=0,FN165,IF(AND(FT165&gt;0,FN165="Occupancy Sensor"),"Daylight + Occupancy",IF(AND(FT165&gt;0,VLOOKUP(FN165,_Control_Table,2,FALSE)&lt;4),"Interior Daylight Dimming",FN165)))</f>
        <v>0</v>
      </c>
      <c r="FS165" s="1686">
        <f>IF(CR165="Interior",VLOOKUP(CS165,Control_Savings_Interior,5,FALSE),0)</f>
        <v>0</v>
      </c>
      <c r="FT165" s="1687">
        <f>IF(CQ165="Exterior",0,IF(FM165=2,0.5,IF(OR(FM165=1,FM165=3),1,0)))</f>
        <v>0</v>
      </c>
      <c r="FU165" s="1685">
        <f>IF(R164&gt;FS$44,(FS165*(FS$44/R164)),FS165)*FT165</f>
        <v>0</v>
      </c>
      <c r="FV165" s="1686">
        <f>DI165</f>
        <v>0</v>
      </c>
      <c r="FW165" s="1686">
        <f>ROUND(FV165+((1-FV165)*FU165),2)</f>
        <v>0</v>
      </c>
      <c r="FX165" s="1686">
        <f>IF(__Retrofit_TI_NC=2,FW165,FV165)</f>
        <v>0</v>
      </c>
      <c r="FY165" s="1697"/>
      <c r="GA165" s="1696" t="str">
        <f>IFERROR(VLOOKUP(U166,_Exist_Fixture_Table,3,FALSE),"")</f>
        <v/>
      </c>
      <c r="GB165" s="1696" t="str">
        <f>VLOOKUP(CW165,_Exist_Fixture_Table,4,FALSE)</f>
        <v/>
      </c>
      <c r="GC165" s="1696">
        <f>IFERROR(VLOOKUP(GB165,Lookup!AT$6:AU$8,2,FALSE),0)</f>
        <v>0</v>
      </c>
      <c r="GD165" s="1696" t="b">
        <f>IFERROR(IF(OR(GF165=4,GF165=5,GF165=6),TRUE,FALSE),"")</f>
        <v>0</v>
      </c>
      <c r="GE165" s="1696" t="str">
        <f>IFERROR(VLOOKUP(GF165,GC$6:GD$10,2,FALSE),"")</f>
        <v/>
      </c>
      <c r="GF165" s="1696" t="str">
        <f>VLOOKUP(CW167,Fixtures!R$31:Y$78,8,FALSE)</f>
        <v/>
      </c>
      <c r="GG165" s="1696">
        <f>IF(AND(GA165=TRUE,GD165=TRUE,OR(DQ165=12,DQ165=13,DQ165=14)),GC165+8,0)</f>
        <v>0</v>
      </c>
      <c r="GH165" s="1696" t="b">
        <f>IF(OR(GG165=12,GG165=13,GG165=14),TRUE,FALSE)</f>
        <v>0</v>
      </c>
      <c r="GI165" s="673" t="b">
        <f>IF(ISNUMBER(SEARCH("TLED",U166)),TRUE,FALSE)</f>
        <v>0</v>
      </c>
      <c r="GJ165" s="1135" t="str">
        <f>IFERROR(VLOOKUP(U166,Fixtures!BM$93:BR$142,6,FALSE),"")</f>
        <v/>
      </c>
      <c r="GK165" s="1832" t="b">
        <f>IF(OR(GI165=FALSE,GI167=FALSE),TRUE,IF(GJ165-GJ167&lt;5,FALSE,TRUE))</f>
        <v>1</v>
      </c>
      <c r="GO165" s="674">
        <f>GP165</f>
        <v>0</v>
      </c>
      <c r="GP165" s="674">
        <f>IF(G165="",0,1)</f>
        <v>0</v>
      </c>
      <c r="GQ165" s="674">
        <f ca="1">SUM(GR165:HF165)</f>
        <v>2</v>
      </c>
      <c r="GR165" s="674">
        <f>IF(G166="",0,1)</f>
        <v>0</v>
      </c>
      <c r="GS165" s="674">
        <f>IF(N168="BAM",1,IF(G167="",0,1))</f>
        <v>0</v>
      </c>
      <c r="GT165" s="674">
        <f>IF(N168="BAM",1,IF(R166="",0,1))</f>
        <v>0</v>
      </c>
      <c r="GU165" s="674">
        <f>IF(N168="BAM",1,IF(__Retrofit_TI_NC=0,1,IF(R167="",0,1)))</f>
        <v>1</v>
      </c>
      <c r="GV165" s="674">
        <f>IF(N168="BAM",1,IF(CQ165="Exterior",1,IF(G168="",0,1)))</f>
        <v>1</v>
      </c>
      <c r="GW165" s="674">
        <f>IF(__Retrofit_TI_NC&gt;0,1,IF(T166="",0,1))</f>
        <v>0</v>
      </c>
      <c r="GX165" s="674">
        <f>IF(__Retrofit_TI_NC&gt;0,1,IF(U166="",0,1))</f>
        <v>0</v>
      </c>
      <c r="GY165" s="674">
        <f>IF(N168="BAM",1,IF(T167="",0,1))</f>
        <v>0</v>
      </c>
      <c r="GZ165" s="674">
        <f>IF(N168="BAM",1,IF(U167="",0,1))</f>
        <v>0</v>
      </c>
      <c r="HA165" s="674">
        <f ca="1">IF(N168="BAM",1,IF(__Retrofit_TI_NC&gt;0,1,IF(U168="",0,1)))</f>
        <v>0</v>
      </c>
      <c r="HB165" s="674">
        <f>IF(__Retrofit_TI_NC&lt;&gt;0,1,IF(AF166="",0,1))</f>
        <v>0</v>
      </c>
      <c r="HC165" s="674">
        <f>IF(__Retrofit_TI_NC&lt;&gt;0,1,IF(AG166="",0,1))</f>
        <v>0</v>
      </c>
      <c r="HD165" s="674">
        <f>IF(N168="BAM",1,IF(AF167="",0,1))</f>
        <v>0</v>
      </c>
      <c r="HE165" s="674">
        <f>IF(N168="BAM",1,IF(AG167="",0,1))</f>
        <v>0</v>
      </c>
      <c r="HF165" s="674">
        <f>IF(N168="BAM",1,IF(__Retrofit_TI_NC&gt;0,1,IF(AG168="",0,1)))</f>
        <v>0</v>
      </c>
      <c r="HG165" s="391"/>
      <c r="IA165" s="391"/>
      <c r="IB165" s="1693" t="b">
        <f>IF(OR(IB168=0,IB168=HY$16,IB168=HX$16,IB168=HZ$16),TRUE,FALSE)</f>
        <v>0</v>
      </c>
      <c r="IC165" s="1694" t="b">
        <f>IB165</f>
        <v>0</v>
      </c>
      <c r="ID165" s="391"/>
      <c r="IE165" s="391"/>
      <c r="IF165" s="1688" t="b">
        <f ca="1">IF(MAX(GN168:HU168)&gt;5,FALSE,TRUE)</f>
        <v>0</v>
      </c>
      <c r="IG165" s="1689">
        <f ca="1">IF(IF165=TRUE,AC165,0)</f>
        <v>0</v>
      </c>
      <c r="IH165" s="1689">
        <f ca="1">IG165-IG167</f>
        <v>0</v>
      </c>
      <c r="IK165" s="1689" t="e">
        <f>ROUND(T166*VLOOKUP(U166,Fixtures_Existing_List,2,FALSE)*N166*R166/1000,0)</f>
        <v>#N/A</v>
      </c>
      <c r="IL165" s="1690" t="e">
        <f>IK165-IK167</f>
        <v>#N/A</v>
      </c>
      <c r="IM165" s="1693" t="e">
        <f>ROUND(IF(CQ165="Interior",N167*R167*R166*N166*_C406_reduction/1000,N167*R167*R166*N166/1000),0)</f>
        <v>#N/A</v>
      </c>
      <c r="IN165" s="1693" t="e">
        <f>IM165-IM167</f>
        <v>#N/A</v>
      </c>
      <c r="IP165" s="1679"/>
      <c r="IQ165" s="1679" t="e">
        <f t="shared" ref="IQ165:IU165" si="131">IF($CR165="interior",VLOOKUP($CS165,_New_Control_Savings_Interior,IQ$30,FALSE),VLOOKUP($CS165,Control_Savings_Exterior,IQ$30,FALSE))</f>
        <v>#N/A</v>
      </c>
      <c r="IR165" s="1679" t="e">
        <f t="shared" si="131"/>
        <v>#N/A</v>
      </c>
      <c r="IS165" s="1679" t="e">
        <f t="shared" si="131"/>
        <v>#N/A</v>
      </c>
      <c r="IT165" s="1679" t="e">
        <f t="shared" si="131"/>
        <v>#N/A</v>
      </c>
      <c r="IU165" s="1679" t="e">
        <f t="shared" si="131"/>
        <v>#N/A</v>
      </c>
      <c r="IV165" s="1679" t="e">
        <f>IF($CR165="interior",IF(R166&gt;$IP$14,ROUND(($IV$18*($IP$14/R166)),2),$IV$18),VLOOKUP($CS165,Control_Savings_Exterior,IV$30,FALSE))</f>
        <v>#N/A</v>
      </c>
      <c r="IW165" s="1679" t="e">
        <f>IF($CR165="interior",ROUND(((1-IS165)*IV165)+IS165,2),VLOOKUP($CS165,Control_Savings_Exterior,IW$30,FALSE))</f>
        <v>#N/A</v>
      </c>
      <c r="IX165" s="1679" t="e">
        <f>IF($CR165="interior",ROUND(((1-IT165)*IV165)+IT165,2),VLOOKUP($CS165,Control_Savings_Exterior,IX$30,FALSE))</f>
        <v>#N/A</v>
      </c>
      <c r="IY165" s="1679" t="e">
        <f>IF($CR165="interior",IF(R166&gt;$IP$14,ROUND(($IY$18*($IP$14/R166)),2),$IY$18),VLOOKUP($CS165,Control_Savings_Exterior,IY$30,FALSE))</f>
        <v>#N/A</v>
      </c>
      <c r="IZ165" s="1679" t="e">
        <f>IF($CR165="interior",ROUND(((1-IS165)*IY165)+IS165,2),VLOOKUP($CS165,Control_Savings_Exterior,IZ$30,FALSE))</f>
        <v>#N/A</v>
      </c>
      <c r="JA165" s="1679" t="e">
        <f>IF($CR165="interior",ROUND(((1-IT165)*IY165)+IT165,2),VLOOKUP($CS165,Control_Savings_Exterior,JA$30,FALSE))</f>
        <v>#N/A</v>
      </c>
      <c r="JC165" s="1680">
        <f>IFERROR(IF(CR165="Interior",CONCATENATE(G168," ",FQ165),FQ165),"")</f>
        <v>0</v>
      </c>
      <c r="JD165" s="1670" t="str">
        <f>IFERROR(VLOOKUP(JC165,_Controls_2023,2,FALSE),"")</f>
        <v/>
      </c>
      <c r="JE165" s="1681">
        <f>IFERROR(CHOOSE(JD165-1,IQ165,IR165,IS165,IT165,IU165,IV165,IW165,IX165,IY165,IZ165,JA165),0)</f>
        <v>0</v>
      </c>
      <c r="JG165" s="1680" t="str">
        <f>FE165</f>
        <v xml:space="preserve"> - 0</v>
      </c>
      <c r="JH165" s="1670" t="e">
        <f>$FO165</f>
        <v>#N/A</v>
      </c>
      <c r="JI165" s="1060"/>
      <c r="JJ165" s="1682" t="b">
        <f>IF($JG167=CONCATENATE("Interior - ",JJ$4),TRUE,FALSE)</f>
        <v>0</v>
      </c>
      <c r="JK165" s="1061"/>
      <c r="JL165" s="1682" t="b">
        <f>IF($JG167=CONCATENATE("Interior - ",JL$4),TRUE,FALSE)</f>
        <v>0</v>
      </c>
      <c r="JM165" s="1061"/>
      <c r="JN165" s="1682" t="b">
        <f>IF($JG167=CONCATENATE("Interior - ",JN$4),TRUE,FALSE)</f>
        <v>0</v>
      </c>
      <c r="JO165" s="1061"/>
      <c r="JP165" s="1682" t="b">
        <f>IF(__Retrofit_TI_NC&gt;0,FALSE,IF($JG167=CONCATENATE("Interior - ",JP$4),TRUE,FALSE))</f>
        <v>0</v>
      </c>
      <c r="JQ165" s="1061"/>
      <c r="JR165" s="1682" t="b">
        <f>IF(__Retrofit_TI_NC&gt;0,FALSE,IF($JG167=CONCATENATE("Interior - ",JR$4),TRUE,FALSE))</f>
        <v>0</v>
      </c>
      <c r="JS165" s="1061"/>
      <c r="JT165" s="1670" t="b">
        <f>IF(__Retrofit_TI_NC&gt;0,FALSE,IF($JG167=CONCATENATE("Interior - ",JT$4),TRUE,FALSE))</f>
        <v>0</v>
      </c>
      <c r="JU165" s="1061"/>
      <c r="JV165" s="1670" t="b">
        <f>IF(JC167="AELC on Existing",TRUE,FALSE)</f>
        <v>0</v>
      </c>
      <c r="JX165" s="1670" t="b">
        <f>IF(OR(JG167="Exterior - AELC Occupancy based",JG167="Exterior - AELC Time based"),TRUE,FALSE)</f>
        <v>0</v>
      </c>
      <c r="JZ165" s="1682" t="b">
        <f>IF($JG167=CONCATENATE("Exterior - ",JZ$4),TRUE,FALSE)</f>
        <v>0</v>
      </c>
      <c r="KB165" s="1670" t="b">
        <f>IF(__Retrofit_TI_NC&gt;0,FALSE,IF($JG167=CONCATENATE("Interior - ",KB$4),TRUE,FALSE))</f>
        <v>0</v>
      </c>
    </row>
    <row r="166" spans="1:288" s="78" customFormat="1" ht="14.95" customHeight="1" thickTop="1" thickBot="1">
      <c r="B166" s="1845"/>
      <c r="C166" s="1846"/>
      <c r="D166" s="1847"/>
      <c r="E166" s="1737" t="s">
        <v>297</v>
      </c>
      <c r="F166" s="1738"/>
      <c r="G166" s="1739"/>
      <c r="H166" s="1739"/>
      <c r="I166" s="1739"/>
      <c r="J166" s="1739"/>
      <c r="K166" s="1739"/>
      <c r="L166" s="1739"/>
      <c r="M166" s="461" t="e">
        <f>IF(__Retrofit_TI_NC&lt;&gt;0,IF(VLOOKUP(G167,'Space Table'!$B$3:$L$163,3,FALSE)&gt;0,1,0),IF(__Retrofit_TI_NC=VLOOKUP(G167,'Space Table'!$B$3:$L$163,3,FALSE),1,0))</f>
        <v>#N/A</v>
      </c>
      <c r="N166" s="461" t="str">
        <f>IFERROR(VLOOKUP(G166,_Lookup_Heat_Type_Table_New,2,FALSE),"")</f>
        <v/>
      </c>
      <c r="O166" s="461">
        <f>IF(__Retrofit_TI_NC=1,CONCATENATE("TI ",G166),IF(__Retrofit_TI_NC=2,CONCATENATE("NC ",G166),G166))</f>
        <v>0</v>
      </c>
      <c r="P166" s="1740" t="s">
        <v>435</v>
      </c>
      <c r="Q166" s="1740"/>
      <c r="R166" s="595"/>
      <c r="S166" s="1792"/>
      <c r="T166" s="597"/>
      <c r="U166" s="1765"/>
      <c r="V166" s="1766"/>
      <c r="W166" s="1766"/>
      <c r="X166" s="1766"/>
      <c r="Y166" s="1766"/>
      <c r="Z166" s="1766"/>
      <c r="AA166" s="1766"/>
      <c r="AB166" s="1766"/>
      <c r="AC166" s="1766"/>
      <c r="AD166" s="1767"/>
      <c r="AE166" s="1000"/>
      <c r="AF166" s="597"/>
      <c r="AG166" s="1723"/>
      <c r="AH166" s="1724"/>
      <c r="AI166" s="1724"/>
      <c r="AJ166" s="1724"/>
      <c r="AK166" s="1725"/>
      <c r="AL166" s="996"/>
      <c r="AM166" s="1747"/>
      <c r="AN166" s="1775"/>
      <c r="AO166" s="1777"/>
      <c r="AP166" s="1780"/>
      <c r="AQ166" s="1781"/>
      <c r="AR166" s="1795"/>
      <c r="AS166" s="1795"/>
      <c r="AT166" s="1796"/>
      <c r="AU166" s="1735"/>
      <c r="AV166" s="1752"/>
      <c r="AW166" s="1705"/>
      <c r="AX166" s="467"/>
      <c r="AY166" s="1749"/>
      <c r="AZ166" s="1749"/>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696"/>
      <c r="CQ166" s="1696"/>
      <c r="CR166" s="1809"/>
      <c r="CS166" s="1811"/>
      <c r="CU166" s="1688"/>
      <c r="CV166" s="1703"/>
      <c r="CW166" s="1703"/>
      <c r="CX166" s="1703"/>
      <c r="CY166" s="1815"/>
      <c r="CZ166" s="1711"/>
      <c r="DA166" s="1818"/>
      <c r="DB166" s="1820"/>
      <c r="DC166" s="1820"/>
      <c r="DD166" s="1820"/>
      <c r="DF166" s="1703"/>
      <c r="DG166" s="1831"/>
      <c r="DH166" s="1703"/>
      <c r="DI166" s="1838"/>
      <c r="DJ166" s="1711"/>
      <c r="DK166" s="1712"/>
      <c r="DM166" s="1718"/>
      <c r="DO166" s="1708"/>
      <c r="DQ166" s="1715"/>
      <c r="DR166" s="1720"/>
      <c r="DS166" s="1816"/>
      <c r="DT166" s="1714"/>
      <c r="DU166" s="1715"/>
      <c r="DV166" s="1716"/>
      <c r="DX166" s="1715"/>
      <c r="DY166" s="1720"/>
      <c r="DZ166" s="1715"/>
      <c r="EA166" s="1715"/>
      <c r="EC166" s="1834"/>
      <c r="ED166" s="1834"/>
      <c r="EF166" s="1707"/>
      <c r="EG166" s="1712"/>
      <c r="EH166" s="1818"/>
      <c r="EI166" s="1712"/>
      <c r="EJ166" s="1712"/>
      <c r="EK166" s="1836"/>
      <c r="EL166" s="1836"/>
      <c r="EM166" s="1807"/>
      <c r="EN166" s="1839"/>
      <c r="EO166" s="1839"/>
      <c r="EP166" s="1817"/>
      <c r="EQ166" s="1817"/>
      <c r="ER166" s="1807"/>
      <c r="ES166" s="1807"/>
      <c r="ET166" s="1807"/>
      <c r="EV166" s="1715"/>
      <c r="EX166" s="1805"/>
      <c r="EY166" s="1805"/>
      <c r="EZ166" s="1805"/>
      <c r="FA166" s="1805"/>
      <c r="FB166" s="1805"/>
      <c r="FC166" s="1827"/>
      <c r="FE166" s="1698"/>
      <c r="FG166" s="1816"/>
      <c r="FH166" s="1816"/>
      <c r="FI166" s="133"/>
      <c r="FL166" s="1823"/>
      <c r="FM166" s="1825"/>
      <c r="FN166" s="1698"/>
      <c r="FO166" s="1698"/>
      <c r="FP166" s="1678"/>
      <c r="FQ166" s="1678"/>
      <c r="FS166" s="1687"/>
      <c r="FT166" s="1687"/>
      <c r="FU166" s="1685"/>
      <c r="FV166" s="1687"/>
      <c r="FW166" s="1687"/>
      <c r="FX166" s="1687"/>
      <c r="FY166" s="1697"/>
      <c r="GA166" s="1696"/>
      <c r="GB166" s="1696"/>
      <c r="GC166" s="1696"/>
      <c r="GD166" s="1696"/>
      <c r="GE166" s="1696"/>
      <c r="GF166" s="1696"/>
      <c r="GG166" s="1696"/>
      <c r="GH166" s="1696"/>
      <c r="GI166" s="673"/>
      <c r="GJ166" s="1135"/>
      <c r="GK166" s="1832"/>
      <c r="GM166" s="1693" t="b">
        <f ca="1">IF(AND(GP166=TRUE,GQ166=TRUE),TRUE,FALSE)</f>
        <v>0</v>
      </c>
      <c r="GN166" s="1684" t="b">
        <f>IFERROR(IF(__Retrofit_TI_NC=2,TRUE,IF(AU165="Yes",TRUE,FALSE)),FALSE)</f>
        <v>1</v>
      </c>
      <c r="GP166" s="1684" t="b">
        <f>IFERROR(IF(GP165=1,TRUE,FALSE),FALSE)</f>
        <v>0</v>
      </c>
      <c r="GQ166" s="1684" t="b">
        <f ca="1">IFERROR(IF(GQ165=GQ$14,TRUE,FALSE),FALSE)</f>
        <v>0</v>
      </c>
      <c r="HG166" s="1684" t="b">
        <f>IFERROR(IF(AND(__Retrofit_TI_NC&gt;0,CQ165="Interior"),FALSE,TRUE),FALSE)</f>
        <v>1</v>
      </c>
      <c r="HH166" s="1684" t="b">
        <f>IFERROR(IF(M166=1,TRUE,FALSE),FALSE)</f>
        <v>0</v>
      </c>
      <c r="HI166" s="1684" t="b">
        <f>IFERROR(IF(OR(M167=1,N168="BAM"),TRUE,FALSE),FALSE)</f>
        <v>0</v>
      </c>
      <c r="HJ166" s="1684" t="b">
        <f>IFERROR(IF(__Retrofit_TI_NC&lt;&gt;0,TRUE,IFERROR(IF(VLOOKUP(U166,Fixtures_Existing_List,2,FALSE)&lt;&gt;"",TRUE,FALSE),FALSE)),FALSE)</f>
        <v>0</v>
      </c>
      <c r="HK166" s="1684" t="b">
        <f>IFERROR(IF(VLOOKUP(U167,Fixtures_Proposed_List,2,FALSE)&lt;&gt;"",TRUE,FALSE),FALSE)</f>
        <v>0</v>
      </c>
      <c r="HL166" s="1684" t="b">
        <f>IF(AND(__Retrofit_TI_NC=2,FC165=TRUE),FALSE,TRUE)</f>
        <v>1</v>
      </c>
      <c r="HM166" s="1684" t="b">
        <f>GK165</f>
        <v>1</v>
      </c>
      <c r="HN166" s="1682" t="b">
        <f>IF(ISERROR(MATCH(FE165,_Control_Match[],0))=TRUE,FALSE,TRUE)</f>
        <v>0</v>
      </c>
      <c r="HO166" s="1693" t="b">
        <f>IFERROR(IF(EX165&lt;&gt;EY165,FALSE,TRUE),FALSE)</f>
        <v>1</v>
      </c>
      <c r="HP166" s="1693" t="b">
        <f>IFERROR(IF(EX167&lt;&gt;EY167,FALSE,TRUE),FALSE)</f>
        <v>1</v>
      </c>
      <c r="HQ166" s="1670" t="b">
        <f>IFERROR(IF(CQ165="Exterior",TRUE,IF(AND(OR(FM167=0,FM167=3),JD167&gt;6),FALSE,TRUE)),FALSE)</f>
        <v>0</v>
      </c>
      <c r="HR166" s="1684" t="b">
        <f>IFERROR(IF(AND(FO167=7,FC165=TRUE),FALSE,TRUE),FALSE)</f>
        <v>0</v>
      </c>
      <c r="HS166" s="1684" t="b">
        <f>IFERROR(IF(AND(T167&lt;&gt;AF167,OR(AG167="Interior LLLC", AG167="Interior NLC", AG167="LLLC (outside Daylight)",AG167="LLLC Controls Only"))=TRUE,FALSE,TRUE),FALSE)</f>
        <v>1</v>
      </c>
      <c r="HT166" s="1670" t="b">
        <f>IFERROR(IF(OR(AG167=Lookup!BB$17,AG167=Lookup!BB$18,AG167=Lookup!BB$19)=TRUE,IF(AF167&gt;T167,FALSE,TRUE),TRUE),FALSE)</f>
        <v>1</v>
      </c>
      <c r="HU166" s="1684" t="b">
        <f>IFERROR(IF(__Retrofit_TI_NC=2,IF(EZ167&lt;EZ165,FALSE,TRUE),TRUE),FALSE)</f>
        <v>1</v>
      </c>
      <c r="HV166" s="1684" t="b">
        <f>IF(CQ165="Interior",IL$6,TRUE)</f>
        <v>1</v>
      </c>
      <c r="HW166" s="1684" t="b">
        <f>IF(CQ165="Exterior",IL$8,TRUE)</f>
        <v>1</v>
      </c>
      <c r="HX166" s="1684" t="b">
        <f>IFERROR(IF(__Retrofit_TI_NC&lt;&gt;0,IF(AZ165&lt;AY165,FALSE,TRUE),TRUE),FALSE)</f>
        <v>1</v>
      </c>
      <c r="HY166" s="1684" t="b">
        <f>IFERROR(IF(AND(G166="Exterior",R166&gt;4200),FALSE,TRUE),FALSE)</f>
        <v>1</v>
      </c>
      <c r="HZ166" s="1684" t="b">
        <f>IFERROR(IF(AB168/AB165&lt;HZ$18,FALSE,TRUE),FALSE)</f>
        <v>0</v>
      </c>
      <c r="IB166" s="1691"/>
      <c r="IC166" s="1695"/>
      <c r="ID166" s="1694" t="str">
        <f>VLOOKUP(IB168,_Error_Table,4,FALSE)</f>
        <v>White</v>
      </c>
      <c r="IE166" s="391"/>
      <c r="IF166" s="1688"/>
      <c r="IG166" s="1689"/>
      <c r="IH166" s="1684"/>
      <c r="IK166" s="1689"/>
      <c r="IL166" s="1691"/>
      <c r="IM166" s="1691"/>
      <c r="IN166" s="1691"/>
      <c r="IP166" s="1679"/>
      <c r="IQ166" s="1679"/>
      <c r="IR166" s="1679"/>
      <c r="IS166" s="1679"/>
      <c r="IT166" s="1679"/>
      <c r="IU166" s="1679"/>
      <c r="IV166" s="1679"/>
      <c r="IW166" s="1679"/>
      <c r="IX166" s="1679"/>
      <c r="IY166" s="1679"/>
      <c r="IZ166" s="1679"/>
      <c r="JA166" s="1679"/>
      <c r="JC166" s="1680"/>
      <c r="JD166" s="1670"/>
      <c r="JE166" s="1681"/>
      <c r="JG166" s="1680"/>
      <c r="JH166" s="1670"/>
      <c r="JI166" s="1060"/>
      <c r="JJ166" s="1683"/>
      <c r="JK166" s="1061"/>
      <c r="JL166" s="1683"/>
      <c r="JM166" s="1061"/>
      <c r="JN166" s="1683"/>
      <c r="JO166" s="1061"/>
      <c r="JP166" s="1683"/>
      <c r="JQ166" s="1061"/>
      <c r="JR166" s="1683"/>
      <c r="JS166" s="1061"/>
      <c r="JT166" s="1670"/>
      <c r="JU166" s="1061"/>
      <c r="JV166" s="1670"/>
      <c r="JX166" s="1670"/>
      <c r="JZ166" s="1683"/>
      <c r="KB166" s="1670"/>
    </row>
    <row r="167" spans="1:288" s="78" customFormat="1" ht="14.95" customHeight="1" thickTop="1" thickBot="1">
      <c r="A167" s="78">
        <f>ROW()</f>
        <v>167</v>
      </c>
      <c r="B167" s="1845"/>
      <c r="C167" s="1846"/>
      <c r="D167" s="1847"/>
      <c r="E167" s="1737" t="s">
        <v>298</v>
      </c>
      <c r="F167" s="1738"/>
      <c r="G167" s="1760"/>
      <c r="H167" s="1761"/>
      <c r="I167" s="1761"/>
      <c r="J167" s="1761"/>
      <c r="K167" s="1761"/>
      <c r="L167" s="1762"/>
      <c r="M167" s="461">
        <f>IFERROR(IF(IF(__Retrofit_TI_NC&lt;&gt;0,IF(CQ165="Interior",MATCH(G167,Lookup_Interior_New,0),MATCH(G167,Lookup_Exterior_New,0)),IF(CQ165="Interior",MATCH(G167,Lookup_Interior,0),MATCH(G167,Lookup_Exterior_Areas,0)))&gt;0,1,0),0)</f>
        <v>0</v>
      </c>
      <c r="N167" s="461" t="e">
        <f>IF(__Retrofit_TI_NC=1,
VLOOKUP(G167,'Space Table'!$B$3:$L$163,4,FALSE),
IF(__Retrofit_TI_NC=2,VLOOKUP(G167,'Space Table'!$B$3:$L$163,5,FALSE),VLOOKUP(G167,'Space Table'!$B$3:$L$163,5,FALSE)))</f>
        <v>#N/A</v>
      </c>
      <c r="O167" s="461">
        <f>G167</f>
        <v>0</v>
      </c>
      <c r="P167" s="1738" t="str">
        <f>IFERROR(IF(__Retrofit_TI_NC=1,VLOOKUP(G167,'Space Table'!$B$3:$O$163,13,FALSE),IF(__Retrofit_TI_NC=2,VLOOKUP(G167,'Space Table'!$B$3:$O$163,14,FALSE),"Area (sf):")),"Area (sf):")</f>
        <v>Area (sf):</v>
      </c>
      <c r="Q167" s="1738"/>
      <c r="R167" s="596"/>
      <c r="S167" s="1763" t="s">
        <v>345</v>
      </c>
      <c r="T167" s="594"/>
      <c r="U167" s="1801"/>
      <c r="V167" s="1802"/>
      <c r="W167" s="1802"/>
      <c r="X167" s="1802"/>
      <c r="Y167" s="1802"/>
      <c r="Z167" s="1802"/>
      <c r="AA167" s="1802"/>
      <c r="AB167" s="1802"/>
      <c r="AC167" s="1802"/>
      <c r="AD167" s="1802"/>
      <c r="AE167" s="1803"/>
      <c r="AF167" s="594"/>
      <c r="AG167" s="1787"/>
      <c r="AH167" s="1787"/>
      <c r="AI167" s="1787"/>
      <c r="AJ167" s="1787"/>
      <c r="AK167" s="1787"/>
      <c r="AL167" s="1787"/>
      <c r="AM167" s="1726">
        <f>IFERROR(DI167,"")</f>
        <v>0</v>
      </c>
      <c r="AN167" s="1728" t="str">
        <f>IFERROR(ROUND(AM167*AC168,0),"")</f>
        <v/>
      </c>
      <c r="AO167" s="1730">
        <f>IFERROR(IF(IB165=FALSE,0,AC168-AN167),0)</f>
        <v>0</v>
      </c>
      <c r="AP167" s="1780"/>
      <c r="AQ167" s="1781"/>
      <c r="AR167" s="1795"/>
      <c r="AS167" s="1795"/>
      <c r="AT167" s="1796"/>
      <c r="AU167" s="1735"/>
      <c r="AV167" s="1752"/>
      <c r="AW167" s="1705"/>
      <c r="AX167" s="467"/>
      <c r="AY167" s="1749"/>
      <c r="AZ167" s="1749"/>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696"/>
      <c r="CQ167" s="1696"/>
      <c r="CR167" s="1808" t="str">
        <f>CQ165</f>
        <v/>
      </c>
      <c r="CS167" s="1810" t="str">
        <f>CS165</f>
        <v/>
      </c>
      <c r="CU167" s="1688" t="s">
        <v>345</v>
      </c>
      <c r="CV167" s="1702">
        <f>IF(IB165=TRUE,T167,0)</f>
        <v>0</v>
      </c>
      <c r="CW167" s="1702" t="str">
        <f>IF(IB165=TRUE,U167,"")</f>
        <v/>
      </c>
      <c r="CX167" s="1812">
        <f>IF(IB165=TRUE,U168,0)</f>
        <v>0</v>
      </c>
      <c r="CY167" s="1814">
        <f>IF(IB165=TRUE,AB168,0)</f>
        <v>0</v>
      </c>
      <c r="CZ167" s="1710">
        <f>IF(AND(__Retrofit_TI_NC&gt;0,CR165="interior"),0,IF(IB165=TRUE,AC168,0))</f>
        <v>0</v>
      </c>
      <c r="DA167" s="1818"/>
      <c r="DB167" s="1820"/>
      <c r="DC167" s="1820"/>
      <c r="DD167" s="1820"/>
      <c r="DF167" s="1702">
        <f>IF(IB165=TRUE,AF167,0)</f>
        <v>0</v>
      </c>
      <c r="DG167" s="1830" t="str">
        <f>IF(IB165=TRUE,AG167,"")</f>
        <v/>
      </c>
      <c r="DH167" s="1812">
        <f>AG168</f>
        <v>0</v>
      </c>
      <c r="DI167" s="1837">
        <f>JE167</f>
        <v>0</v>
      </c>
      <c r="DJ167" s="1710">
        <f>IF(AND(__Retrofit_TI_NC&gt;0,CR165="interior"),0,IF(IB165=TRUE,AN167,0))</f>
        <v>0</v>
      </c>
      <c r="DK167" s="1712"/>
      <c r="DN167" s="1717">
        <f>IFERROR(CZ167-DJ167,0)</f>
        <v>0</v>
      </c>
      <c r="DO167" s="1709"/>
      <c r="DQ167" s="1715"/>
      <c r="DR167" s="1719" t="str">
        <f>DQ165</f>
        <v/>
      </c>
      <c r="DS167" s="1816"/>
      <c r="DT167" s="1835" t="str">
        <f>IF(OR(DS165=7,DS165=8,DS165=9),"ALC","")</f>
        <v/>
      </c>
      <c r="DU167" s="1715"/>
      <c r="DV167" s="1716"/>
      <c r="DX167" s="1715"/>
      <c r="DY167" s="1829" t="str">
        <f>DX165</f>
        <v/>
      </c>
      <c r="DZ167" s="1715"/>
      <c r="EA167" s="1715"/>
      <c r="EC167" s="1834"/>
      <c r="ED167" s="1834"/>
      <c r="EF167" s="1707"/>
      <c r="EG167" s="1712"/>
      <c r="EH167" s="1818"/>
      <c r="EI167" s="1712"/>
      <c r="EJ167" s="1712"/>
      <c r="EK167" s="1836"/>
      <c r="EL167" s="1836"/>
      <c r="EM167" s="1807"/>
      <c r="EN167" s="1839"/>
      <c r="EO167" s="1839"/>
      <c r="EP167" s="1817"/>
      <c r="EQ167" s="1817"/>
      <c r="ER167" s="1807"/>
      <c r="ES167" s="1807"/>
      <c r="ET167" s="1807"/>
      <c r="EV167" s="1715"/>
      <c r="EX167" s="1805" t="str">
        <f>IFERROR(VLOOKUP(CS167,'Space Table'!$B$3:$L$163,8,FALSE),"")</f>
        <v/>
      </c>
      <c r="EY167" s="1805" t="str">
        <f>IFERROR(IF(FB167="Yes",VLOOKUP(AG167,Lookup_Control_Type_Table2,4,FALSE),VLOOKUP(AG167,Lookup_Control_Type_Table2,3,FALSE)),"")</f>
        <v/>
      </c>
      <c r="EZ167" s="1805" t="e">
        <f>VLOOKUP(AG167,Lookup!BB$3:BC$20,2,FALSE)</f>
        <v>#N/A</v>
      </c>
      <c r="FA167" s="1805" t="e">
        <f>VLOOKUP(EX165,Lookup_Control_Type_Table,2,FALSE)</f>
        <v>#N/A</v>
      </c>
      <c r="FB167" s="1805" t="e">
        <f>VLOOKUP(CS167,'Space Table'!$B$3:$L$163,7,FALSE)</f>
        <v>#N/A</v>
      </c>
      <c r="FC167" s="1827"/>
      <c r="FE167" s="1698" t="str">
        <f>CONCATENATE(CQ165," - ",AG167)</f>
        <v xml:space="preserve"> - </v>
      </c>
      <c r="FG167" s="1816"/>
      <c r="FH167" s="1816"/>
      <c r="FI167" s="133"/>
      <c r="FL167" s="1822" t="str">
        <f>IF(CQ165="Exterior","Not Daylighted",G168)</f>
        <v>Not Daylighted</v>
      </c>
      <c r="FM167" s="1824">
        <f>VLOOKUP(FL167,_New_Daylight_Table_Codes,2,FALSE)</f>
        <v>0</v>
      </c>
      <c r="FN167" s="1698">
        <f>AG167</f>
        <v>0</v>
      </c>
      <c r="FO167" s="1698" t="e">
        <f>VLOOKUP(FN167,_Control_Table,2,FALSE)</f>
        <v>#N/A</v>
      </c>
      <c r="FP167" s="1678" t="e">
        <f>VLOOKUP(CONCATENATE(FL167," ",FN167),Lookup!AY$102:AZ178,2,FALSE)</f>
        <v>#N/A</v>
      </c>
      <c r="FQ167" s="1698">
        <f>IF(__Retrofit_TI_NC=0,FN167,IF(AND(FT167&gt;0,FN167="Occupancy Sensor"),"Daylight + Occupancy",IF(AND(FT167&gt;0,FO167&lt;4),"Interior Daylight Dimming",FN167)))</f>
        <v>0</v>
      </c>
      <c r="FS167" s="1686">
        <f>IF(CQ165="Interior",VLOOKUP(CS165,Control_Savings_Interior,5,FALSE),0)</f>
        <v>0</v>
      </c>
      <c r="FT167" s="1687">
        <f>IF(CQ167="Exterior",0,IF(FM167=2,0.5,IF(OR(FM167=1,FM167=3),1,0)))</f>
        <v>0</v>
      </c>
      <c r="FU167" s="1685">
        <f>IF(R166&gt;FS$44,(FS167*(FS$44/R166)),FS167)*FT167</f>
        <v>0</v>
      </c>
      <c r="FV167" s="1686">
        <f>DI167</f>
        <v>0</v>
      </c>
      <c r="FW167" s="1686">
        <f>ROUND(FV167+((1-FV167)*FU167),2)</f>
        <v>0</v>
      </c>
      <c r="FX167" s="1686">
        <f>IF(__Retrofit_TI_NC=2,FW167,FV167)</f>
        <v>0</v>
      </c>
      <c r="FY167" s="1697">
        <f>IF(CR167="Interior",VLOOKUP(CS167,Control_Savings_Interior,4,FALSE),0)</f>
        <v>0</v>
      </c>
      <c r="GA167" s="1696"/>
      <c r="GB167" s="1696"/>
      <c r="GC167" s="1696"/>
      <c r="GD167" s="1696"/>
      <c r="GE167" s="1696"/>
      <c r="GF167" s="1696"/>
      <c r="GG167" s="1696"/>
      <c r="GH167" s="1696"/>
      <c r="GI167" s="673" t="b">
        <f>IF(ISNUMBER(SEARCH("TLED",U167)),TRUE,FALSE)</f>
        <v>0</v>
      </c>
      <c r="GJ167" s="1135" t="str">
        <f>IFERROR(VLOOKUP(U167,Fixtures!DM$93:DR$142,6,FALSE),"")</f>
        <v/>
      </c>
      <c r="GK167" s="1832"/>
      <c r="GM167" s="1692"/>
      <c r="GN167" s="1684"/>
      <c r="GP167" s="1684"/>
      <c r="GQ167" s="1684"/>
      <c r="HG167" s="1684"/>
      <c r="HH167" s="1684"/>
      <c r="HI167" s="1684"/>
      <c r="HJ167" s="1684"/>
      <c r="HK167" s="1684"/>
      <c r="HL167" s="1684"/>
      <c r="HM167" s="1684"/>
      <c r="HN167" s="1683"/>
      <c r="HO167" s="1692"/>
      <c r="HP167" s="1692"/>
      <c r="HQ167" s="1670"/>
      <c r="HR167" s="1684"/>
      <c r="HS167" s="1684"/>
      <c r="HT167" s="1670"/>
      <c r="HU167" s="1684"/>
      <c r="HV167" s="1684"/>
      <c r="HW167" s="1684"/>
      <c r="HX167" s="1684"/>
      <c r="HY167" s="1684"/>
      <c r="HZ167" s="1684"/>
      <c r="IB167" s="1692"/>
      <c r="IC167" s="1693" t="b">
        <f>IB165</f>
        <v>0</v>
      </c>
      <c r="ID167" s="1695"/>
      <c r="IE167" s="391"/>
      <c r="IF167" s="1688"/>
      <c r="IG167" s="1689">
        <f ca="1">IF(IF165=TRUE,AC168,0)</f>
        <v>0</v>
      </c>
      <c r="IH167" s="1684"/>
      <c r="IK167" s="1689" t="e">
        <f>ROUND(T167*AB168*N166*R166/1000,0)</f>
        <v>#VALUE!</v>
      </c>
      <c r="IL167" s="1691"/>
      <c r="IM167" s="1693" t="e">
        <f>ROUND(T167*AB168*N166*R166/1000,0)</f>
        <v>#VALUE!</v>
      </c>
      <c r="IN167" s="1691"/>
      <c r="IP167" s="1679"/>
      <c r="IQ167" s="1679" t="e">
        <f t="shared" ref="IQ167:IU167" si="132">IF($CR167="interior",VLOOKUP($CS167,_New_Control_Savings_Interior,IQ$30,FALSE),VLOOKUP($CS167,Control_Savings_Exterior,IQ$30,FALSE))</f>
        <v>#N/A</v>
      </c>
      <c r="IR167" s="1679" t="e">
        <f t="shared" si="132"/>
        <v>#N/A</v>
      </c>
      <c r="IS167" s="1679" t="e">
        <f t="shared" si="132"/>
        <v>#N/A</v>
      </c>
      <c r="IT167" s="1679" t="e">
        <f t="shared" si="132"/>
        <v>#N/A</v>
      </c>
      <c r="IU167" s="1679" t="e">
        <f t="shared" si="132"/>
        <v>#N/A</v>
      </c>
      <c r="IV167" s="1679" t="e">
        <f>IF($CR167="interior",IF(R166&gt;$IP$14,ROUND(($IV$18*($IP$14/R166)),2),$IV$18),VLOOKUP($CS167,Control_Savings_Exterior,IV$30,FALSE))</f>
        <v>#N/A</v>
      </c>
      <c r="IW167" s="1679" t="e">
        <f>IF($CR167="interior",ROUND(((1-IS167)*IV167)+IS167,2),VLOOKUP($CS167,Control_Savings_Exterior,IW$30,FALSE))</f>
        <v>#N/A</v>
      </c>
      <c r="IX167" s="1679" t="e">
        <f>IF($CR167="interior",ROUND(((1-IT167)*IV167)+IT167,2),VLOOKUP($CS167,Control_Savings_Exterior,IX$30,FALSE))</f>
        <v>#N/A</v>
      </c>
      <c r="IY167" s="1679" t="e">
        <f>IF($CR167="interior",IF(R166&gt;$IP$14,ROUND(($IY$18*($IP$14/R166)),2),$IY$18),VLOOKUP($CS167,Control_Savings_Exterior,IY$30,FALSE))</f>
        <v>#N/A</v>
      </c>
      <c r="IZ167" s="1679" t="e">
        <f>IF($CR167="interior",ROUND(((1-IS167)*IY167)+IS167,2),VLOOKUP($CS167,Control_Savings_Exterior,IZ$30,FALSE))</f>
        <v>#N/A</v>
      </c>
      <c r="JA167" s="1679" t="e">
        <f>IF($CR167="interior",ROUND(((1-IT167)*IY167)+IT167,2),VLOOKUP($CS167,Control_Savings_Exterior,JA$30,FALSE))</f>
        <v>#N/A</v>
      </c>
      <c r="JC167" s="1680">
        <f>IFERROR(IF(CR167="Interior",CONCATENATE(G168," ",FQ167),AG167),"")</f>
        <v>0</v>
      </c>
      <c r="JD167" s="1670" t="str">
        <f>IFERROR(VLOOKUP(JC167,_Controls_2023,2,FALSE),"")</f>
        <v/>
      </c>
      <c r="JE167" s="1681">
        <f>IFERROR(CHOOSE(JD167-1,IQ167,IR167,IS167,IT167,IU167,IV167,IW167,IX167,IY167,IZ167,JA167),0)</f>
        <v>0</v>
      </c>
      <c r="JG167" s="1680" t="str">
        <f>FE167</f>
        <v xml:space="preserve"> - </v>
      </c>
      <c r="JH167" s="1670" t="e">
        <f>$FO167</f>
        <v>#N/A</v>
      </c>
      <c r="JI167" s="1060"/>
      <c r="JJ167" s="1670">
        <f>IFERROR(IF($IB165=TRUE,IF(OR(JJ$14="No",JJ165=FALSE,JH167&lt;=JH165,AND(_kWh_Grant=0,GD165=FALSE)),0,IF(JJ$8="Per Line",1,$AF167)),0),0)</f>
        <v>0</v>
      </c>
      <c r="JK167" s="1061"/>
      <c r="JL167" s="1670">
        <f>IFERROR(IF(_kWh_Grant=0,0,IF($IB165=TRUE,IF(OR(JL$14="No",JL165=FALSE,JH167&lt;=JH165),0,IF(JL$8="Per Line",1,$T167)),0)),0)</f>
        <v>0</v>
      </c>
      <c r="JM167" s="1061"/>
      <c r="JN167" s="1670">
        <f>IFERROR(IF(_kWh_Grant=0,0,IF($IB165=TRUE,IF(OR(JN$14="No",JN165=FALSE,JH167&lt;=JH165),0,IF(JN$8="Per Line",1,$AF167)),0)),0)</f>
        <v>0</v>
      </c>
      <c r="JO167" s="1061"/>
      <c r="JP167" s="1670">
        <f>IFERROR(IF(__Retrofit_TI_NC=0,IF(_kWh_Grant=0,0,IF($IB165=TRUE,IF(OR(JP$14="No",JP165=FALSE,$JH167&lt;=$JH165),0,IF(JP$8="Per Line",1,$AF167)),0)),IF($IB165=TRUE,IF(OR(JP$14="No",JP165=FALSE,$JH167&lt;=$JH165),0,IF(JP$8="Per Line",1,$AF167)))),0)</f>
        <v>0</v>
      </c>
      <c r="JQ167" s="1061"/>
      <c r="JR167" s="1670">
        <f>IFERROR(IF(__Retrofit_TI_NC=0,IF(_kWh_Grant=0,0,IF($IB165=TRUE,IF(OR(JR$14="No",JR165=FALSE,$JH167&lt;=$JH165),0,IF(JR$8="Per Line",1,$AF167)),0)),IF($IB165=TRUE,IF(OR(JR$14="No",JR165=FALSE,$JH167&lt;=$JH165),0,IF(JR$8="Per Line",1,$AF167)))),0)</f>
        <v>0</v>
      </c>
      <c r="JS167" s="1061"/>
      <c r="JT167" s="1670">
        <f>IFERROR(IF(__Retrofit_TI_NC=0,IF(_kWh_Grant=0,0,IF($IB165=TRUE,IF(OR(JT$14="No",JT165=FALSE,$JH167&lt;=$JH165),0,IF(JT$8="Per Line",1,$AF167)),0)),IF($IB165=TRUE,IF(OR(JT$14="No",JT165=FALSE,$JH167&lt;=$JH165),0,IF(JT$8="Per Line",1,$AF167)))),0)</f>
        <v>0</v>
      </c>
      <c r="JU167" s="1061"/>
      <c r="JV167" s="1670">
        <f>IFERROR(IF(__Retrofit_TI_NC=0,IF(_kWh_Grant=0,0,IF($IB165=TRUE,IF(OR(JV$14="No",JV165=FALSE,$JH167&lt;=$JH165),0,IF(JV$8="Per Line",1,$AF167)),0)),IF($IB165=TRUE,IF(OR(JV$14="No",JV165=FALSE,$JH167&lt;=$JH165),0,IF(JV$8="Per Line",1,$AF167)))),0)</f>
        <v>0</v>
      </c>
      <c r="JX167" s="1670">
        <f>IFERROR(IF(__Retrofit_TI_NC=0,IF(_kWh_Grant=0,0,IF($IB165=TRUE,IF(OR(JX$14="No",JX165=FALSE,$JH167&lt;=$JH165),0,IF(JX$8="Per Line",1,$AF167)),0)),IF($IB165=TRUE,IF(OR(JX$14="No",JX165=FALSE,$JH167&lt;=$JH165),0,IF(JX$8="Per Line",1,$AF167)))),0)</f>
        <v>0</v>
      </c>
      <c r="JZ167" s="1670">
        <f>IFERROR(IF($IB165=TRUE,IF(OR(JZ$14="No",JZ165=FALSE,$JH167&lt;=$JH165,AND(_kWh_Grant=0,$GD165=FALSE)),0,IF(JZ$8="Per Line",1,$AF167)),0),0)</f>
        <v>0</v>
      </c>
      <c r="KB167" s="1670">
        <f>IFERROR(IF(__Retrofit_TI_NC=0,IF(_kWh_Grant=0,0,IF($IB165=TRUE,IF(OR(KB$14="No",KB165=FALSE,$JH167&lt;=$JH165),0,IF(KB$8="Per Line",1,$AF167)),0)),IF($IB165=TRUE,IF(OR(KB$14="No",KB165=FALSE,$JH167&lt;=$JH165),0,IF(KB$8="Per Line",1,$AF167)))),0)</f>
        <v>0</v>
      </c>
    </row>
    <row r="168" spans="1:288" s="78" customFormat="1" ht="14.95" customHeight="1" thickTop="1" thickBot="1">
      <c r="B168" s="1845"/>
      <c r="C168" s="1846"/>
      <c r="D168" s="1847"/>
      <c r="E168" s="1771" t="s">
        <v>436</v>
      </c>
      <c r="F168" s="1772"/>
      <c r="G168" s="1784" t="s">
        <v>437</v>
      </c>
      <c r="H168" s="1785"/>
      <c r="I168" s="1785"/>
      <c r="J168" s="1785"/>
      <c r="K168" s="1785"/>
      <c r="L168" s="1786"/>
      <c r="M168" s="591">
        <f>IFERROR(VLOOKUP(G168,_Daylight_Table[],2,FALSE),0)</f>
        <v>0</v>
      </c>
      <c r="N168" s="592" t="str">
        <f>IF(AND(__Retrofit_TI_NC&gt;0,CQ165="Interior"),"BAM","")</f>
        <v/>
      </c>
      <c r="O168" s="591" t="e">
        <f>VLOOKUP(G167,'Space Table'!$B$3:$L$163,11,FALSE)</f>
        <v>#N/A</v>
      </c>
      <c r="P168" s="1789"/>
      <c r="Q168" s="1790"/>
      <c r="R168" s="1790"/>
      <c r="S168" s="1788"/>
      <c r="T168" s="593" t="s">
        <v>342</v>
      </c>
      <c r="U168" s="1756" t="str" cm="1">
        <f t="array" aca="1" ref="U168" ca="1">IFERROR(VLOOKUP(INDIRECT("U" &amp; ROW()-1),Fixtures!DM$93:DP$142,4,FALSE),"")</f>
        <v/>
      </c>
      <c r="V168" s="1757"/>
      <c r="W168" s="1757"/>
      <c r="X168" s="1757"/>
      <c r="Y168" s="1757"/>
      <c r="Z168" s="1757"/>
      <c r="AA168" s="1758"/>
      <c r="AB168" s="939" t="str">
        <f>IFERROR(VLOOKUP(U167,Fixtures_Proposed_List,2,FALSE),"")</f>
        <v/>
      </c>
      <c r="AC168" s="933" t="str">
        <f>IFERROR(ROUND(T167*AB168*N166*R166/1000,0),"")</f>
        <v/>
      </c>
      <c r="AD168" s="934" t="str">
        <f>IFERROR(ROUND(T167*AB168/1000,2),"")</f>
        <v/>
      </c>
      <c r="AE168" s="998"/>
      <c r="AF168" s="938" t="s">
        <v>342</v>
      </c>
      <c r="AG168" s="1770"/>
      <c r="AH168" s="1770"/>
      <c r="AI168" s="1770"/>
      <c r="AJ168" s="1770"/>
      <c r="AK168" s="1770"/>
      <c r="AL168" s="1770"/>
      <c r="AM168" s="1727"/>
      <c r="AN168" s="1729"/>
      <c r="AO168" s="1731"/>
      <c r="AP168" s="1782"/>
      <c r="AQ168" s="1783"/>
      <c r="AR168" s="1797"/>
      <c r="AS168" s="1797"/>
      <c r="AT168" s="1798"/>
      <c r="AU168" s="1736"/>
      <c r="AV168" s="1753"/>
      <c r="AW168" s="1706"/>
      <c r="AX168" s="468"/>
      <c r="AY168" s="1750"/>
      <c r="AZ168" s="1750"/>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696"/>
      <c r="CQ168" s="1696"/>
      <c r="CR168" s="1809"/>
      <c r="CS168" s="1811"/>
      <c r="CU168" s="1688"/>
      <c r="CV168" s="1703"/>
      <c r="CW168" s="1703"/>
      <c r="CX168" s="1813"/>
      <c r="CY168" s="1815"/>
      <c r="CZ168" s="1711"/>
      <c r="DA168" s="1815"/>
      <c r="DB168" s="1821"/>
      <c r="DC168" s="1821"/>
      <c r="DD168" s="1821"/>
      <c r="DF168" s="1703"/>
      <c r="DG168" s="1831"/>
      <c r="DH168" s="1813"/>
      <c r="DI168" s="1838"/>
      <c r="DJ168" s="1711"/>
      <c r="DK168" s="1712"/>
      <c r="DN168" s="1718"/>
      <c r="DO168" s="1709"/>
      <c r="DQ168" s="1715"/>
      <c r="DR168" s="1720"/>
      <c r="DS168" s="1703"/>
      <c r="DT168" s="1714"/>
      <c r="DU168" s="1715"/>
      <c r="DV168" s="1716"/>
      <c r="DX168" s="1715"/>
      <c r="DY168" s="1720"/>
      <c r="DZ168" s="1715"/>
      <c r="EA168" s="1715"/>
      <c r="EC168" s="1834"/>
      <c r="ED168" s="1834"/>
      <c r="EF168" s="1707"/>
      <c r="EG168" s="1712"/>
      <c r="EH168" s="1815"/>
      <c r="EI168" s="1712"/>
      <c r="EJ168" s="1712"/>
      <c r="EK168" s="1813"/>
      <c r="EL168" s="1813"/>
      <c r="EM168" s="1807"/>
      <c r="EN168" s="1839"/>
      <c r="EO168" s="1839"/>
      <c r="EP168" s="1817"/>
      <c r="EQ168" s="1817"/>
      <c r="ER168" s="1807"/>
      <c r="ES168" s="1807"/>
      <c r="ET168" s="1807"/>
      <c r="EV168" s="1715"/>
      <c r="EX168" s="1806"/>
      <c r="EY168" s="1806"/>
      <c r="EZ168" s="1806"/>
      <c r="FA168" s="1806"/>
      <c r="FB168" s="1806"/>
      <c r="FC168" s="1828"/>
      <c r="FE168" s="1698"/>
      <c r="FG168" s="1703"/>
      <c r="FH168" s="1703"/>
      <c r="FI168" s="133"/>
      <c r="FL168" s="1823"/>
      <c r="FM168" s="1825"/>
      <c r="FN168" s="1698"/>
      <c r="FO168" s="1698"/>
      <c r="FP168" s="1678"/>
      <c r="FQ168" s="1698"/>
      <c r="FS168" s="1687"/>
      <c r="FT168" s="1687"/>
      <c r="FU168" s="1685"/>
      <c r="FV168" s="1687"/>
      <c r="FW168" s="1687"/>
      <c r="FX168" s="1687"/>
      <c r="FY168" s="1697"/>
      <c r="GA168" s="1696"/>
      <c r="GB168" s="1696"/>
      <c r="GC168" s="1696"/>
      <c r="GD168" s="1696"/>
      <c r="GE168" s="1696"/>
      <c r="GF168" s="1696"/>
      <c r="GG168" s="1696"/>
      <c r="GH168" s="1696"/>
      <c r="GI168" s="673"/>
      <c r="GJ168" s="1135"/>
      <c r="GK168" s="1832"/>
      <c r="GN168" s="674">
        <f>IF(GN166=TRUE,0,GN$16)</f>
        <v>0</v>
      </c>
      <c r="GP168" s="674">
        <f>IF(GP166=TRUE,0,GP$16)</f>
        <v>36</v>
      </c>
      <c r="GQ168" s="674">
        <f ca="1">IF(GQ166=TRUE,0,GQ$16)</f>
        <v>35</v>
      </c>
      <c r="GR168" s="391"/>
      <c r="GS168" s="391"/>
      <c r="GT168" s="391"/>
      <c r="GU168" s="391"/>
      <c r="GV168" s="391"/>
      <c r="HG168" s="674">
        <f>IF(HG166=TRUE,0,HG$16)</f>
        <v>0</v>
      </c>
      <c r="HH168" s="674">
        <f t="shared" ref="HH168:HM168" si="133">IF(HH166=TRUE,0,HH$16)</f>
        <v>19</v>
      </c>
      <c r="HI168" s="674">
        <f t="shared" si="133"/>
        <v>18</v>
      </c>
      <c r="HJ168" s="674">
        <f t="shared" si="133"/>
        <v>17</v>
      </c>
      <c r="HK168" s="674">
        <f t="shared" si="133"/>
        <v>16</v>
      </c>
      <c r="HL168" s="674">
        <f t="shared" si="133"/>
        <v>0</v>
      </c>
      <c r="HM168" s="674">
        <f t="shared" si="133"/>
        <v>0</v>
      </c>
      <c r="HN168" s="674">
        <f>IF(HN166=TRUE,0,HN$16)</f>
        <v>13</v>
      </c>
      <c r="HO168" s="674">
        <f t="shared" ref="HO168:HQ168" si="134">IF(HO166=TRUE,0,HO$16)</f>
        <v>0</v>
      </c>
      <c r="HP168" s="674">
        <f t="shared" si="134"/>
        <v>0</v>
      </c>
      <c r="HQ168" s="674">
        <f t="shared" si="134"/>
        <v>10</v>
      </c>
      <c r="HR168" s="674">
        <f>IF(HR166=TRUE,0,HR$16)</f>
        <v>9</v>
      </c>
      <c r="HS168" s="674">
        <f t="shared" ref="HS168:HW168" si="135">IF(HS166=TRUE,0,HS$16)</f>
        <v>0</v>
      </c>
      <c r="HT168" s="674">
        <f t="shared" si="135"/>
        <v>0</v>
      </c>
      <c r="HU168" s="674">
        <f t="shared" si="135"/>
        <v>0</v>
      </c>
      <c r="HV168" s="674">
        <f t="shared" si="135"/>
        <v>0</v>
      </c>
      <c r="HW168" s="674">
        <f t="shared" si="135"/>
        <v>0</v>
      </c>
      <c r="HX168" s="674">
        <f>IF(HX166=TRUE,0,HX$16)</f>
        <v>0</v>
      </c>
      <c r="HY168" s="674">
        <f>IF(HY166=TRUE,0,HY$16)</f>
        <v>0</v>
      </c>
      <c r="HZ168" s="674">
        <f>IF(HZ166=TRUE,0,HZ$16)</f>
        <v>1</v>
      </c>
      <c r="IB168" s="674">
        <f>IF(GP166=FALSE,GP168,IF(GQ166=FALSE,GQ168,MAX(GN168:HZ168)))</f>
        <v>36</v>
      </c>
      <c r="IC168" s="1692"/>
      <c r="ID168" s="205" t="str">
        <f>VLOOKUP(IB168,_Error_Table,3,FALSE)</f>
        <v xml:space="preserve"> </v>
      </c>
      <c r="IE168" s="205"/>
      <c r="IF168" s="1688"/>
      <c r="IG168" s="1689"/>
      <c r="IH168" s="1684"/>
      <c r="IK168" s="1689"/>
      <c r="IL168" s="1692"/>
      <c r="IM168" s="1692"/>
      <c r="IN168" s="1692"/>
      <c r="IP168" s="1679"/>
      <c r="IQ168" s="1679"/>
      <c r="IR168" s="1679"/>
      <c r="IS168" s="1679"/>
      <c r="IT168" s="1679"/>
      <c r="IU168" s="1679"/>
      <c r="IV168" s="1679"/>
      <c r="IW168" s="1679"/>
      <c r="IX168" s="1679"/>
      <c r="IY168" s="1679"/>
      <c r="IZ168" s="1679"/>
      <c r="JA168" s="1679"/>
      <c r="JC168" s="1680"/>
      <c r="JD168" s="1670"/>
      <c r="JE168" s="1681"/>
      <c r="JG168" s="1680"/>
      <c r="JH168" s="1670"/>
      <c r="JI168" s="1060"/>
      <c r="JJ168" s="1670"/>
      <c r="JK168" s="1061"/>
      <c r="JL168" s="1670"/>
      <c r="JM168" s="1061"/>
      <c r="JN168" s="1670"/>
      <c r="JO168" s="1061"/>
      <c r="JP168" s="1670"/>
      <c r="JQ168" s="1061"/>
      <c r="JR168" s="1670"/>
      <c r="JS168" s="1061"/>
      <c r="JT168" s="1670"/>
      <c r="JU168" s="1061"/>
      <c r="JV168" s="1670"/>
      <c r="JX168" s="1670"/>
      <c r="JZ168" s="1670"/>
      <c r="KB168" s="1670"/>
    </row>
    <row r="169" spans="1:288" s="78" customFormat="1" ht="5.0999999999999996" customHeight="1">
      <c r="B169" s="676"/>
      <c r="C169" s="392"/>
      <c r="D169" s="392"/>
      <c r="E169" s="1733"/>
      <c r="F169" s="1733"/>
      <c r="G169" s="1733"/>
      <c r="H169" s="1733"/>
      <c r="I169" s="1733"/>
      <c r="J169" s="1733"/>
      <c r="K169" s="1733"/>
      <c r="L169" s="1733"/>
      <c r="M169" s="1733"/>
      <c r="N169" s="1733"/>
      <c r="O169" s="1733"/>
      <c r="P169" s="1733"/>
      <c r="Q169" s="1733"/>
      <c r="R169" s="1733"/>
      <c r="S169" s="1733"/>
      <c r="T169" s="1733"/>
      <c r="U169" s="1733"/>
      <c r="V169" s="1733"/>
      <c r="W169" s="1733"/>
      <c r="X169" s="1733"/>
      <c r="Y169" s="1733"/>
      <c r="Z169" s="1733"/>
      <c r="AA169" s="1733"/>
      <c r="AB169" s="1733"/>
      <c r="AC169" s="1733"/>
      <c r="AD169" s="1733"/>
      <c r="AE169" s="1733"/>
      <c r="AF169" s="1733"/>
      <c r="AG169" s="1733"/>
      <c r="AH169" s="1733"/>
      <c r="AI169" s="1733"/>
      <c r="AJ169" s="1733"/>
      <c r="AK169" s="1733"/>
      <c r="AL169" s="1733"/>
      <c r="AM169" s="1733"/>
      <c r="AN169" s="1733"/>
      <c r="AO169" s="1733"/>
      <c r="AP169" s="1733"/>
      <c r="AQ169" s="1733"/>
      <c r="AR169" s="1733"/>
      <c r="AS169" s="1733"/>
      <c r="AT169" s="1733"/>
      <c r="AU169" s="1733"/>
      <c r="AV169" s="1733"/>
      <c r="AW169" s="1733"/>
      <c r="AX169" s="469"/>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663"/>
      <c r="CQ169" s="663"/>
      <c r="CR169" s="438"/>
      <c r="CS169" s="663"/>
      <c r="CV169" s="391"/>
      <c r="CW169" s="391"/>
      <c r="CX169" s="207"/>
      <c r="CY169" s="208"/>
      <c r="CZ169" s="208"/>
      <c r="DA169" s="208"/>
      <c r="DB169" s="209"/>
      <c r="DC169" s="209"/>
      <c r="DD169" s="209"/>
      <c r="DF169" s="664"/>
      <c r="DG169" s="665"/>
      <c r="DH169" s="666"/>
      <c r="DI169" s="667"/>
      <c r="DJ169" s="668"/>
      <c r="DK169" s="668"/>
      <c r="DN169" s="208"/>
      <c r="DO169" s="664"/>
      <c r="DQ169" s="664"/>
      <c r="DR169" s="669"/>
      <c r="DS169" s="391"/>
      <c r="DT169" s="664"/>
      <c r="DU169" s="664"/>
      <c r="DV169" s="664"/>
      <c r="DX169" s="664"/>
      <c r="DY169" s="664"/>
      <c r="DZ169" s="664"/>
      <c r="EA169" s="664"/>
      <c r="EC169" s="670"/>
      <c r="ED169" s="670"/>
      <c r="EF169" s="668"/>
      <c r="EG169" s="668"/>
      <c r="EH169" s="208"/>
      <c r="EI169" s="668"/>
      <c r="EJ169" s="668"/>
      <c r="EK169" s="207"/>
      <c r="EL169" s="207"/>
      <c r="EM169" s="666"/>
      <c r="EN169" s="671"/>
      <c r="EO169" s="671"/>
      <c r="EP169" s="672"/>
      <c r="EQ169" s="672"/>
      <c r="ER169" s="666"/>
      <c r="ES169" s="666"/>
      <c r="ET169" s="666"/>
      <c r="EV169" s="664"/>
      <c r="EX169" s="391"/>
      <c r="EY169" s="391"/>
      <c r="EZ169" s="391"/>
      <c r="FA169" s="391"/>
      <c r="FB169" s="391"/>
      <c r="FC169" s="391"/>
      <c r="FE169" s="569"/>
      <c r="FG169" s="391"/>
      <c r="FH169" s="391"/>
      <c r="FI169" s="391"/>
      <c r="FS169" s="664"/>
      <c r="FT169" s="391"/>
      <c r="FU169" s="391"/>
      <c r="FV169" s="664"/>
      <c r="FW169" s="664"/>
      <c r="GA169" s="663"/>
      <c r="GB169" s="663"/>
      <c r="GC169" s="663"/>
      <c r="GD169" s="663"/>
      <c r="GE169" s="663"/>
      <c r="GF169" s="663"/>
      <c r="GG169" s="663"/>
      <c r="GH169" s="663"/>
      <c r="GI169" s="665"/>
      <c r="GJ169" s="664"/>
      <c r="GK169" s="664"/>
    </row>
    <row r="170" spans="1:288">
      <c r="DX170" s="669"/>
      <c r="DY170" s="669"/>
      <c r="DZ170" s="669"/>
      <c r="EA170" s="669"/>
      <c r="EB170" s="669"/>
      <c r="EC170" s="669"/>
      <c r="ED170" s="669"/>
      <c r="EE170" s="669"/>
      <c r="EF170" s="677" t="s">
        <v>344</v>
      </c>
      <c r="EG170" s="677" t="s">
        <v>345</v>
      </c>
      <c r="EH170" s="677" t="s">
        <v>234</v>
      </c>
      <c r="EI170" s="677" t="s">
        <v>347</v>
      </c>
      <c r="EJ170" s="677" t="s">
        <v>348</v>
      </c>
      <c r="EK170" s="677"/>
      <c r="EL170" s="677"/>
      <c r="EM170" s="677" t="s">
        <v>349</v>
      </c>
      <c r="EN170" s="677" t="s">
        <v>234</v>
      </c>
      <c r="EO170" s="677" t="s">
        <v>347</v>
      </c>
      <c r="EP170" s="677" t="s">
        <v>234</v>
      </c>
      <c r="EQ170" s="677" t="s">
        <v>347</v>
      </c>
      <c r="ER170" s="677" t="s">
        <v>234</v>
      </c>
      <c r="ES170" s="677" t="s">
        <v>347</v>
      </c>
      <c r="ET170" s="677"/>
      <c r="EV170" s="38">
        <f>ROW()</f>
        <v>170</v>
      </c>
    </row>
    <row r="171" spans="1:288" s="78" customFormat="1" ht="20.05" customHeight="1">
      <c r="B171" s="211"/>
      <c r="C171" s="392"/>
      <c r="D171" s="392"/>
      <c r="E171" s="211"/>
      <c r="F171" s="211"/>
      <c r="G171" s="211"/>
      <c r="H171" s="211"/>
      <c r="I171" s="438"/>
      <c r="J171" s="438"/>
      <c r="K171" s="438"/>
      <c r="L171" s="438"/>
      <c r="M171" s="438"/>
      <c r="N171" s="438"/>
      <c r="O171" s="438"/>
      <c r="P171" s="438"/>
      <c r="Q171" s="438"/>
      <c r="R171" s="391"/>
      <c r="S171" s="206"/>
      <c r="T171" s="391"/>
      <c r="U171" s="205"/>
      <c r="V171" s="205"/>
      <c r="W171" s="205"/>
      <c r="X171" s="205"/>
      <c r="Y171" s="205"/>
      <c r="Z171" s="205"/>
      <c r="AA171" s="207"/>
      <c r="AB171" s="391"/>
      <c r="AC171" s="208"/>
      <c r="AD171" s="209"/>
      <c r="AE171" s="209"/>
      <c r="AF171" s="391"/>
      <c r="AG171" s="205"/>
      <c r="AH171" s="205"/>
      <c r="AI171" s="205"/>
      <c r="AJ171" s="205"/>
      <c r="AK171" s="205"/>
      <c r="AL171" s="207"/>
      <c r="AM171" s="210"/>
      <c r="AN171" s="208"/>
      <c r="AO171" s="208"/>
      <c r="AP171" s="1768" t="s">
        <v>407</v>
      </c>
      <c r="AQ171" s="1769"/>
      <c r="AR171" s="1867" t="s">
        <v>433</v>
      </c>
      <c r="AS171" s="1867"/>
      <c r="AT171" s="1867" t="s">
        <v>257</v>
      </c>
      <c r="AU171" s="1867"/>
      <c r="AV171" s="1867"/>
      <c r="AW171" s="1867"/>
      <c r="AX171" s="4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101" t="s">
        <v>354</v>
      </c>
      <c r="CQ171" s="101" t="s">
        <v>355</v>
      </c>
      <c r="CR171" s="101"/>
      <c r="CS171" s="101" t="s">
        <v>356</v>
      </c>
      <c r="CT171" s="38"/>
      <c r="CU171" s="38"/>
      <c r="CV171" s="37" t="s">
        <v>341</v>
      </c>
      <c r="CW171" s="38"/>
      <c r="CX171" s="101" t="s">
        <v>342</v>
      </c>
      <c r="CY171" s="38"/>
      <c r="CZ171" s="38"/>
      <c r="DA171" s="101" t="s">
        <v>343</v>
      </c>
      <c r="DB171" s="101" t="s">
        <v>344</v>
      </c>
      <c r="DC171" s="101" t="s">
        <v>345</v>
      </c>
      <c r="DD171" s="101" t="s">
        <v>346</v>
      </c>
      <c r="DE171" s="391"/>
      <c r="DF171" s="37" t="s">
        <v>357</v>
      </c>
      <c r="DG171" s="38"/>
      <c r="DH171" s="101" t="s">
        <v>342</v>
      </c>
      <c r="DI171" s="37"/>
      <c r="DJ171" s="101" t="s">
        <v>343</v>
      </c>
      <c r="DK171" s="101" t="s">
        <v>343</v>
      </c>
      <c r="DL171" s="38"/>
      <c r="DM171" s="101" t="s">
        <v>430</v>
      </c>
      <c r="DN171" s="101" t="s">
        <v>430</v>
      </c>
      <c r="DO171" s="101" t="s">
        <v>286</v>
      </c>
      <c r="DP171" s="38"/>
      <c r="DQ171" s="1732" t="s">
        <v>234</v>
      </c>
      <c r="DR171" s="1732"/>
      <c r="DS171" s="101" t="s">
        <v>347</v>
      </c>
      <c r="DT171" s="101"/>
      <c r="DU171" s="101" t="s">
        <v>358</v>
      </c>
      <c r="DV171" s="101" t="s">
        <v>358</v>
      </c>
      <c r="DW171" s="38"/>
      <c r="DX171" s="1732" t="s">
        <v>347</v>
      </c>
      <c r="DY171" s="1732"/>
      <c r="DZ171" s="101" t="s">
        <v>358</v>
      </c>
      <c r="EA171" s="101" t="s">
        <v>359</v>
      </c>
      <c r="EB171" s="38"/>
      <c r="EC171" s="101" t="s">
        <v>360</v>
      </c>
      <c r="ED171" s="101" t="s">
        <v>361</v>
      </c>
      <c r="EE171" s="391"/>
      <c r="EF171" s="609" t="s">
        <v>234</v>
      </c>
      <c r="EG171" s="609" t="s">
        <v>234</v>
      </c>
      <c r="EH171" s="609" t="s">
        <v>362</v>
      </c>
      <c r="EI171" s="609" t="s">
        <v>362</v>
      </c>
      <c r="EJ171" s="609" t="s">
        <v>362</v>
      </c>
      <c r="EK171" s="609" t="s">
        <v>234</v>
      </c>
      <c r="EL171" s="609" t="s">
        <v>347</v>
      </c>
      <c r="EM171" s="609" t="s">
        <v>347</v>
      </c>
      <c r="EN171" s="609" t="s">
        <v>363</v>
      </c>
      <c r="EO171" s="609" t="s">
        <v>363</v>
      </c>
      <c r="EP171" s="609" t="s">
        <v>363</v>
      </c>
      <c r="EQ171" s="609" t="s">
        <v>363</v>
      </c>
      <c r="ER171" s="609" t="s">
        <v>363</v>
      </c>
      <c r="ES171" s="609" t="s">
        <v>363</v>
      </c>
      <c r="ET171" s="609" t="s">
        <v>363</v>
      </c>
      <c r="EU171" s="391"/>
      <c r="EV171" s="391"/>
      <c r="EX171" s="391"/>
      <c r="EY171" s="391"/>
      <c r="EZ171" s="391"/>
      <c r="FA171" s="391"/>
      <c r="FB171" s="391"/>
      <c r="FC171" s="391"/>
      <c r="FG171" s="391"/>
      <c r="FH171" s="391"/>
      <c r="FI171" s="391"/>
      <c r="FL171" s="101" t="s">
        <v>364</v>
      </c>
      <c r="FM171" s="101" t="s">
        <v>365</v>
      </c>
      <c r="FN171" s="101" t="s">
        <v>366</v>
      </c>
      <c r="FO171" s="101" t="s">
        <v>367</v>
      </c>
      <c r="FP171" s="101"/>
      <c r="FQ171" s="38"/>
      <c r="FR171" s="38" t="s">
        <v>368</v>
      </c>
      <c r="FS171" s="101">
        <v>3200</v>
      </c>
      <c r="FT171" s="101" t="s">
        <v>369</v>
      </c>
      <c r="FU171" s="101" t="s">
        <v>370</v>
      </c>
      <c r="FV171" s="101" t="s">
        <v>371</v>
      </c>
      <c r="FW171" s="101" t="s">
        <v>370</v>
      </c>
      <c r="FX171" s="38"/>
      <c r="FY171" s="38"/>
    </row>
    <row r="172" spans="1:288" s="78" customFormat="1" ht="20.05" customHeight="1">
      <c r="B172" s="211"/>
      <c r="C172" s="585">
        <f>1+C94</f>
        <v>3</v>
      </c>
      <c r="D172" s="392"/>
      <c r="E172" s="205" t="str">
        <f>CONCATENATE(AH$20," - page ",C172)</f>
        <v xml:space="preserve"> - page 3</v>
      </c>
      <c r="F172" s="211"/>
      <c r="G172" s="211"/>
      <c r="H172" s="211"/>
      <c r="I172" s="438"/>
      <c r="J172" s="438"/>
      <c r="K172" s="438"/>
      <c r="L172" s="438"/>
      <c r="M172" s="438"/>
      <c r="N172" s="438"/>
      <c r="O172" s="438"/>
      <c r="P172" s="438"/>
      <c r="Q172" s="438"/>
      <c r="R172" s="391"/>
      <c r="S172" s="206"/>
      <c r="T172" s="391"/>
      <c r="U172" s="205"/>
      <c r="V172" s="205"/>
      <c r="W172" s="205"/>
      <c r="X172" s="205"/>
      <c r="Y172" s="205"/>
      <c r="Z172" s="205"/>
      <c r="AA172" s="207"/>
      <c r="AB172" s="599" t="s">
        <v>194</v>
      </c>
      <c r="AC172" s="599" t="s">
        <v>343</v>
      </c>
      <c r="AD172" s="599" t="s">
        <v>383</v>
      </c>
      <c r="AE172" s="999"/>
      <c r="AF172" s="391"/>
      <c r="AG172" s="205"/>
      <c r="AH172" s="205"/>
      <c r="AI172" s="205"/>
      <c r="AJ172" s="205"/>
      <c r="AK172" s="205"/>
      <c r="AL172" s="207"/>
      <c r="AM172" s="600" t="s">
        <v>286</v>
      </c>
      <c r="AN172" s="600" t="s">
        <v>407</v>
      </c>
      <c r="AO172" s="601" t="s">
        <v>432</v>
      </c>
      <c r="AP172" s="1840">
        <f>BA$4</f>
        <v>0</v>
      </c>
      <c r="AQ172" s="1841"/>
      <c r="AR172" s="1842">
        <f>BA$6</f>
        <v>0</v>
      </c>
      <c r="AS172" s="1843"/>
      <c r="AT172" s="1844"/>
      <c r="AU172" s="1898" t="str">
        <f>BA$2</f>
        <v>Rate Sch?</v>
      </c>
      <c r="AV172" s="1898"/>
      <c r="AW172" s="1684"/>
      <c r="AX172" s="391"/>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101" t="s">
        <v>381</v>
      </c>
      <c r="CQ172" s="101" t="s">
        <v>333</v>
      </c>
      <c r="CR172" s="101"/>
      <c r="CS172" s="101" t="s">
        <v>221</v>
      </c>
      <c r="CT172" s="38"/>
      <c r="CU172" s="38"/>
      <c r="CV172" s="101" t="s">
        <v>239</v>
      </c>
      <c r="CW172" s="101" t="s">
        <v>234</v>
      </c>
      <c r="CX172" s="101" t="s">
        <v>382</v>
      </c>
      <c r="CY172" s="101" t="s">
        <v>194</v>
      </c>
      <c r="CZ172" s="101" t="s">
        <v>343</v>
      </c>
      <c r="DA172" s="101" t="s">
        <v>346</v>
      </c>
      <c r="DB172" s="101" t="s">
        <v>383</v>
      </c>
      <c r="DC172" s="101" t="s">
        <v>383</v>
      </c>
      <c r="DD172" s="101" t="s">
        <v>383</v>
      </c>
      <c r="DE172" s="391"/>
      <c r="DF172" s="101" t="s">
        <v>239</v>
      </c>
      <c r="DG172" s="37" t="s">
        <v>347</v>
      </c>
      <c r="DH172" s="101" t="s">
        <v>382</v>
      </c>
      <c r="DI172" s="101" t="s">
        <v>384</v>
      </c>
      <c r="DJ172" s="101" t="s">
        <v>346</v>
      </c>
      <c r="DK172" s="101" t="s">
        <v>346</v>
      </c>
      <c r="DL172" s="38"/>
      <c r="DM172" s="101" t="s">
        <v>432</v>
      </c>
      <c r="DN172" s="101" t="s">
        <v>345</v>
      </c>
      <c r="DO172" s="38"/>
      <c r="DP172" s="38"/>
      <c r="DQ172" s="1833" t="s">
        <v>221</v>
      </c>
      <c r="DR172" s="1833"/>
      <c r="DS172" s="101" t="s">
        <v>221</v>
      </c>
      <c r="DT172" s="101"/>
      <c r="DU172" s="101" t="s">
        <v>234</v>
      </c>
      <c r="DV172" s="101" t="s">
        <v>385</v>
      </c>
      <c r="DW172" s="38"/>
      <c r="DX172" s="1833" t="s">
        <v>386</v>
      </c>
      <c r="DY172" s="1833"/>
      <c r="DZ172" s="101" t="s">
        <v>387</v>
      </c>
      <c r="EA172" s="101" t="s">
        <v>385</v>
      </c>
      <c r="EB172" s="38"/>
      <c r="EC172" s="101" t="s">
        <v>257</v>
      </c>
      <c r="ED172" s="101" t="s">
        <v>257</v>
      </c>
      <c r="EE172" s="391"/>
      <c r="EF172" s="609" t="s">
        <v>343</v>
      </c>
      <c r="EG172" s="609" t="s">
        <v>343</v>
      </c>
      <c r="EH172" s="609" t="s">
        <v>343</v>
      </c>
      <c r="EI172" s="609" t="s">
        <v>343</v>
      </c>
      <c r="EJ172" s="609" t="s">
        <v>343</v>
      </c>
      <c r="EK172" s="609" t="s">
        <v>342</v>
      </c>
      <c r="EL172" s="609" t="s">
        <v>342</v>
      </c>
      <c r="EM172" s="609" t="s">
        <v>342</v>
      </c>
      <c r="EN172" s="609" t="s">
        <v>388</v>
      </c>
      <c r="EO172" s="609" t="s">
        <v>388</v>
      </c>
      <c r="EP172" s="609" t="s">
        <v>389</v>
      </c>
      <c r="EQ172" s="609" t="s">
        <v>389</v>
      </c>
      <c r="ER172" s="609" t="s">
        <v>342</v>
      </c>
      <c r="ES172" s="609" t="s">
        <v>342</v>
      </c>
      <c r="ET172" s="609" t="s">
        <v>342</v>
      </c>
      <c r="EU172" s="391"/>
      <c r="EV172" s="391">
        <f>SUM(EV173:EV246)</f>
        <v>0</v>
      </c>
      <c r="EX172" s="391"/>
      <c r="EY172" s="391"/>
      <c r="EZ172" s="391"/>
      <c r="FA172" s="391"/>
      <c r="FB172" s="85" t="s">
        <v>385</v>
      </c>
      <c r="FC172" s="85" t="s">
        <v>218</v>
      </c>
      <c r="FG172" s="391"/>
      <c r="FH172" s="391"/>
      <c r="FI172" s="391"/>
      <c r="FL172" s="38"/>
      <c r="FM172" s="101" t="s">
        <v>328</v>
      </c>
      <c r="FN172" s="38"/>
      <c r="FO172" s="38"/>
      <c r="FP172" s="38"/>
      <c r="FQ172" s="38"/>
      <c r="FR172" s="38" t="s">
        <v>286</v>
      </c>
      <c r="FS172" s="101" t="s">
        <v>369</v>
      </c>
      <c r="FT172" s="101" t="s">
        <v>391</v>
      </c>
      <c r="FU172" s="101" t="s">
        <v>369</v>
      </c>
      <c r="FV172" s="101" t="s">
        <v>347</v>
      </c>
      <c r="FW172" s="37" t="s">
        <v>392</v>
      </c>
      <c r="FX172" s="38"/>
      <c r="FY172" s="101" t="s">
        <v>393</v>
      </c>
    </row>
    <row r="173" spans="1:288" s="78" customFormat="1" ht="14.95" customHeight="1">
      <c r="B173" s="1845" t="str">
        <f>ID176</f>
        <v xml:space="preserve"> </v>
      </c>
      <c r="C173" s="1846">
        <f>C165+1</f>
        <v>25</v>
      </c>
      <c r="D173" s="1847"/>
      <c r="E173" s="1799" t="s">
        <v>295</v>
      </c>
      <c r="F173" s="1800"/>
      <c r="G173" s="1741"/>
      <c r="H173" s="1742"/>
      <c r="I173" s="1742"/>
      <c r="J173" s="1742"/>
      <c r="K173" s="1742"/>
      <c r="L173" s="1742"/>
      <c r="M173" s="1742"/>
      <c r="N173" s="1742"/>
      <c r="O173" s="1742"/>
      <c r="P173" s="1742"/>
      <c r="Q173" s="1742"/>
      <c r="R173" s="1742"/>
      <c r="S173" s="1791" t="s">
        <v>344</v>
      </c>
      <c r="T173" s="590"/>
      <c r="U173" s="1743"/>
      <c r="V173" s="1744"/>
      <c r="W173" s="1744"/>
      <c r="X173" s="1744"/>
      <c r="Y173" s="1744"/>
      <c r="Z173" s="1744"/>
      <c r="AA173" s="1744"/>
      <c r="AB173" s="961" t="str">
        <f>IFERROR(IF(__Retrofit_TI_NC=0,VLOOKUP(U174,Fixtures_Existing_List,2,FALSE),ROUND(N175*R175/T175,10)),"")</f>
        <v/>
      </c>
      <c r="AC173" s="935" t="str">
        <f>IFERROR(IF(__Retrofit_TI_NC=0,ROUND(T174*AB173*N174*R174/1000,0),IF(CQ173="Interior",N175*R175*R174*N174*_C406_reduction/1000,N175*R175*R174*N174/1000)),"")</f>
        <v/>
      </c>
      <c r="AD173" s="936" t="str">
        <f>IFERROR(IF(C$43=0,ROUND(T174*AB173/1000,2),N175*R175/1000),"")</f>
        <v/>
      </c>
      <c r="AE173" s="997"/>
      <c r="AF173" s="937"/>
      <c r="AG173" s="1745" t="str">
        <f>IF(__Retrofit_TI_NC=0," Control","Select Advanced Control for New System")</f>
        <v xml:space="preserve"> Control</v>
      </c>
      <c r="AH173" s="1745"/>
      <c r="AI173" s="1745"/>
      <c r="AJ173" s="1745"/>
      <c r="AK173" s="1745"/>
      <c r="AL173" s="1745"/>
      <c r="AM173" s="1746">
        <f>IFERROR(DI173,"")</f>
        <v>0</v>
      </c>
      <c r="AN173" s="1774" t="str">
        <f>IFERROR(ROUND(AM173*AC173,0),"")</f>
        <v/>
      </c>
      <c r="AO173" s="1776">
        <f>IFERROR(IF(IB173=FALSE,0,AC173-AN173),0)</f>
        <v>0</v>
      </c>
      <c r="AP173" s="1778">
        <f>AO173-AO175</f>
        <v>0</v>
      </c>
      <c r="AQ173" s="1779"/>
      <c r="AR173" s="1793">
        <f>IFERROR(IF(IB173=FALSE,0,(T175*U176)+(AF175*AG176)),0)</f>
        <v>0</v>
      </c>
      <c r="AS173" s="1793"/>
      <c r="AT173" s="1794"/>
      <c r="AU173" s="1734" t="s">
        <v>237</v>
      </c>
      <c r="AV173" s="1751">
        <f>IF(AU173="Yes",1,0)</f>
        <v>1</v>
      </c>
      <c r="AW173" s="1704" t="str">
        <f>IF(OR(DQ173=4,DQ173=5,DQ173=6,DQ173=12),CONCATENATE("$",IF(GH173=TRUE,Lookup!$K$10,Lookup!$K$2)," /lamp"),CONCATENATE(TEXT(ED173,"$0.00"),"/ kWh"))</f>
        <v>$0.00/ kWh</v>
      </c>
      <c r="AX173" s="467"/>
      <c r="AY173" s="1748">
        <f ca="1">IFERROR(IF(GM174=TRUE,(AB176*T175)/R175,0),"NA")</f>
        <v>0</v>
      </c>
      <c r="AZ173" s="1748"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696" t="str">
        <f>N174</f>
        <v/>
      </c>
      <c r="CQ173" s="1696" t="str">
        <f>IFERROR(VLOOKUP(G174,_Lookup_Heat_Type_Table_New,3,FALSE),"")</f>
        <v/>
      </c>
      <c r="CR173" s="1808" t="str">
        <f>CQ173</f>
        <v/>
      </c>
      <c r="CS173" s="1810" t="str">
        <f>IFERROR(VLOOKUP(G175,'Space Table'!$B$3:$L$163,9,FALSE),"")</f>
        <v/>
      </c>
      <c r="CU173" s="1688" t="s">
        <v>344</v>
      </c>
      <c r="CV173" s="1702">
        <f>IF(IB173=TRUE,T174,0)</f>
        <v>0</v>
      </c>
      <c r="CW173" s="1702" t="str">
        <f>IF(IB173=TRUE,U174,"")</f>
        <v/>
      </c>
      <c r="CX173" s="1702"/>
      <c r="CY173" s="1814">
        <f>IF(IB173=TRUE,AB173,0)</f>
        <v>0</v>
      </c>
      <c r="CZ173" s="1710">
        <f>IF(AND(__Retrofit_TI_NC&gt;0,CR173="interior"),0,IF(IB173=TRUE,AC173,0))</f>
        <v>0</v>
      </c>
      <c r="DA173" s="1814">
        <f>IFERROR(IF(IB173=TRUE,CZ173-CZ175,0),0)</f>
        <v>0</v>
      </c>
      <c r="DB173" s="1819">
        <f>IF(IB173=TRUE,AD173,0)</f>
        <v>0</v>
      </c>
      <c r="DC173" s="1819">
        <f>IF(IB173=TRUE,AD176,0)</f>
        <v>0</v>
      </c>
      <c r="DD173" s="1819">
        <f>IFERROR(DB173-DC173,0)</f>
        <v>0</v>
      </c>
      <c r="DF173" s="1702">
        <f>IF(IB173=TRUE,AF174,0)</f>
        <v>0</v>
      </c>
      <c r="DG173" s="1830">
        <f>IFERROR(IF(__Retrofit_TI_NC=2,IF(CQ173="Exterior",O176,FQ173),FN173),"")</f>
        <v>0</v>
      </c>
      <c r="DH173" s="1702"/>
      <c r="DI173" s="1837">
        <f>JE173</f>
        <v>0</v>
      </c>
      <c r="DJ173" s="1710">
        <f>IF(AND(__Retrofit_TI_NC&gt;0,CR173="interior"),0,IF(IB173=TRUE,AN173,0))</f>
        <v>0</v>
      </c>
      <c r="DK173" s="1712">
        <f>IFERROR(IF(IB173=TRUE,DJ175-DJ173,0),0)</f>
        <v>0</v>
      </c>
      <c r="DM173" s="1717">
        <f>IFERROR(CZ173-DJ173,0)</f>
        <v>0</v>
      </c>
      <c r="DO173" s="1708">
        <f>DM173-DN175</f>
        <v>0</v>
      </c>
      <c r="DQ173" s="1715" t="str">
        <f>IFERROR(IF(AND(OR(GC173=4,GC173=5,GC173=6),OR(GF173=4,GF173=5,GF173=6)),GC173+8,VLOOKUP(CW175,Fixtures!R$31:Y$78,8,FALSE)),"")</f>
        <v/>
      </c>
      <c r="DR173" s="1829" t="str">
        <f>DQ173</f>
        <v/>
      </c>
      <c r="DS173" s="1702" t="str">
        <f>IFERROR(VLOOKUP(DG175,Lookup!BB$3:BC$20,2,FALSE),"")</f>
        <v/>
      </c>
      <c r="DT173" s="1713" t="str">
        <f>IF(OR(DS173=7,DS173=8,DS173=9),"ALC","")</f>
        <v/>
      </c>
      <c r="DU173" s="1715">
        <f>IFERROR(IF(OR(DQ173=4,DQ173=5,DQ173=6,DQ173=12,DQ173=13,DQ173=14),VLOOKUP(CW175,Fixtures!DN$27:EG$77,19,FALSE),1)*CV175,0)</f>
        <v>0</v>
      </c>
      <c r="DV173" s="1716">
        <f>IF(OR(DS173=7,DS173=8,DS173=9),IF(DG173=DG175,0,DF175),0)</f>
        <v>0</v>
      </c>
      <c r="DX173" s="1715" t="str">
        <f>IFERROR(IF(EZ173&lt;EZ175,"Yes","No"),"")</f>
        <v/>
      </c>
      <c r="DY173" s="1829" t="str">
        <f>DX173</f>
        <v/>
      </c>
      <c r="DZ173" s="1715">
        <f>IF(DX173="Yes",DF175,0)</f>
        <v>0</v>
      </c>
      <c r="EA173" s="1715">
        <f>DZ173-DV173</f>
        <v>0</v>
      </c>
      <c r="EC173" s="1834">
        <f>IFERROR(VLOOKUP(DQ173,Lookup!AU$3:AV$16,2,FALSE),0)</f>
        <v>0</v>
      </c>
      <c r="ED173" s="1834">
        <f>IF(IB173=FALSE,0,IF(DX173="Yes",EC173+Lookup!K$6,EC173))</f>
        <v>0</v>
      </c>
      <c r="EF173" s="1707">
        <f>IF(IB173=TRUE,DM173,0)</f>
        <v>0</v>
      </c>
      <c r="EG173" s="1712">
        <f>IF(IB173=TRUE,CZ175,0)</f>
        <v>0</v>
      </c>
      <c r="EH173" s="1814">
        <f>IFERROR(EF173-EG173,0)</f>
        <v>0</v>
      </c>
      <c r="EI173" s="1712">
        <f>IF(IB173=TRUE,DJ175,0)</f>
        <v>0</v>
      </c>
      <c r="EJ173" s="1712">
        <f>IFERROR(EF173-EG173+EI173,0)</f>
        <v>0</v>
      </c>
      <c r="EK173" s="1812">
        <f>IF(IB173=TRUE,CV175*CX175,0)</f>
        <v>0</v>
      </c>
      <c r="EL173" s="1812">
        <f>IF(IB173=TRUE,DF175*DH175,0)</f>
        <v>0</v>
      </c>
      <c r="EM173" s="1807">
        <f>AR173</f>
        <v>0</v>
      </c>
      <c r="EN173" s="1839" t="str">
        <f>IFERROR(IF(IB173=TRUE,VLOOKUP(DQ173,Lookup!AU$3:AW$16,3,FALSE)*DU173,""),0)</f>
        <v/>
      </c>
      <c r="EO173" s="1839">
        <f>IF(IB173=TRUE,DZ173*Lookup!AW$12,0)</f>
        <v>0</v>
      </c>
      <c r="EP173" s="1817">
        <f>IFERROR(IF(IB173=TRUE,EN173/EP$40,0),0)</f>
        <v>0</v>
      </c>
      <c r="EQ173" s="1817">
        <f>IF(IB173=TRUE,EO173/EQ$40,0)</f>
        <v>0</v>
      </c>
      <c r="ER173" s="1807">
        <f>IF(IB173=TRUE,ET$40*EP173,0)</f>
        <v>0</v>
      </c>
      <c r="ES173" s="1807">
        <f>IF(IB173=TRUE,ET$40*EQ173,0)</f>
        <v>0</v>
      </c>
      <c r="ET173" s="1807">
        <f>ER173+ES173</f>
        <v>0</v>
      </c>
      <c r="EV173" s="1715">
        <f>IF(G173="",0,1)</f>
        <v>0</v>
      </c>
      <c r="EX173" s="1804" t="str">
        <f>IFERROR(VLOOKUP(CS175,'Space Table'!$B$3:$L$163,8,FALSE),"")</f>
        <v/>
      </c>
      <c r="EY173" s="1804" t="str">
        <f>IFERROR(IF(FB173="Yes",VLOOKUP(DG173,Lookup_Control_Type_Table2,4,FALSE),VLOOKUP(DG173,Lookup_Control_Type_Table2,3,FALSE)),"")</f>
        <v/>
      </c>
      <c r="EZ173" s="1804" t="e">
        <f>VLOOKUP(DG173,Lookup!BB$3:BC$20,2,FALSE)</f>
        <v>#N/A</v>
      </c>
      <c r="FA173" s="1804" t="e">
        <f>VLOOKUP(EX173,Lookup_Control_Type_Table,2,FALSE)</f>
        <v>#N/A</v>
      </c>
      <c r="FB173" s="1804" t="e">
        <f>VLOOKUP(CS175,'Space Table'!$B$3:$L$163,7,FALSE)</f>
        <v>#N/A</v>
      </c>
      <c r="FC173" s="1826" t="b">
        <f>ISNUMBER(SEARCH("TLED",U175))</f>
        <v>0</v>
      </c>
      <c r="FE173" s="1698" t="str">
        <f>CONCATENATE(CQ173," - ",DG173)</f>
        <v xml:space="preserve"> - 0</v>
      </c>
      <c r="FG173" s="1702" t="str">
        <f>VLOOKUP(CW175,Fixtures!DN$27:EZ$77,38,FALSE)</f>
        <v/>
      </c>
      <c r="FH173" s="1702">
        <f>IFERROR(FG173*EH173,0)</f>
        <v>0</v>
      </c>
      <c r="FI173" s="133"/>
      <c r="FL173" s="1822" t="str">
        <f>IF(CQ173="Exterior","Not Daylighted",G176)</f>
        <v>Not Daylighted</v>
      </c>
      <c r="FM173" s="1824">
        <f>VLOOKUP(FL173,_New_Daylight_Table_Codes,2,FALSE)</f>
        <v>0</v>
      </c>
      <c r="FN173" s="1698">
        <f>IF(__Retrofit_TI_NC&gt;0,VLOOKUP(G175,'Space Table'!$B$3:$L$163,11,FALSE),AG174)</f>
        <v>0</v>
      </c>
      <c r="FO173" s="1698" t="e">
        <f>IF(__Retrofit_TI_NC=2,VLOOKUP(FQ173,_Control_Table,2,FALSE),VLOOKUP(FN173,_Control_Table,2,FALSE))</f>
        <v>#N/A</v>
      </c>
      <c r="FP173" s="1678" t="e">
        <f>VLOOKUP(CONCATENATE(FL173," ",FN173),Lookup!AY$102:AZ183,2,FALSE)</f>
        <v>#N/A</v>
      </c>
      <c r="FQ173" s="1678">
        <f>IF(__Retrofit_TI_NC=0,FN173,IF(AND(FT173&gt;0,FN173="Occupancy Sensor"),"Daylight + Occupancy",IF(AND(FT173&gt;0,VLOOKUP(FN173,_Control_Table,2,FALSE)&lt;4),"Interior Daylight Dimming",FN173)))</f>
        <v>0</v>
      </c>
      <c r="FS173" s="1686">
        <f>IF(CR173="Interior",VLOOKUP(CS173,Control_Savings_Interior,5,FALSE),0)</f>
        <v>0</v>
      </c>
      <c r="FT173" s="1687">
        <f>IF(CQ173="Exterior",0,IF(FM173=2,0.5,IF(OR(FM173=1,FM173=3),1,0)))</f>
        <v>0</v>
      </c>
      <c r="FU173" s="1685">
        <f>IF(R172&gt;FS$44,(FS173*(FS$44/R172)),FS173)*FT173</f>
        <v>0</v>
      </c>
      <c r="FV173" s="1686">
        <f>DI173</f>
        <v>0</v>
      </c>
      <c r="FW173" s="1686">
        <f>ROUND(FV173+((1-FV173)*FU173),2)</f>
        <v>0</v>
      </c>
      <c r="FX173" s="1686">
        <f>IF(__Retrofit_TI_NC=2,FW173,FV173)</f>
        <v>0</v>
      </c>
      <c r="FY173" s="1697"/>
      <c r="GA173" s="1696" t="str">
        <f>IFERROR(VLOOKUP(U174,_Exist_Fixture_Table,3,FALSE),"")</f>
        <v/>
      </c>
      <c r="GB173" s="1696" t="str">
        <f>VLOOKUP(CW173,_Exist_Fixture_Table,4,FALSE)</f>
        <v/>
      </c>
      <c r="GC173" s="1696">
        <f>IFERROR(VLOOKUP(GB173,Lookup!AT$6:AU$8,2,FALSE),0)</f>
        <v>0</v>
      </c>
      <c r="GD173" s="1696" t="b">
        <f>IFERROR(IF(OR(GF173=4,GF173=5,GF173=6),TRUE,FALSE),"")</f>
        <v>0</v>
      </c>
      <c r="GE173" s="1696" t="str">
        <f>IFERROR(VLOOKUP(GF173,GC$6:GD$10,2,FALSE),"")</f>
        <v/>
      </c>
      <c r="GF173" s="1696" t="str">
        <f>VLOOKUP(CW175,Fixtures!R$31:Y$78,8,FALSE)</f>
        <v/>
      </c>
      <c r="GG173" s="1696">
        <f>IF(AND(GA173=TRUE,GD173=TRUE,OR(DQ173=12,DQ173=13,DQ173=14)),GC173+8,0)</f>
        <v>0</v>
      </c>
      <c r="GH173" s="1696" t="b">
        <f>IF(OR(GG173=12,GG173=13,GG173=14),TRUE,FALSE)</f>
        <v>0</v>
      </c>
      <c r="GI173" s="673" t="b">
        <f>IF(ISNUMBER(SEARCH("TLED",U174)),TRUE,FALSE)</f>
        <v>0</v>
      </c>
      <c r="GJ173" s="1135" t="str">
        <f>IFERROR(VLOOKUP(U174,Fixtures!BM$93:BR$142,6,FALSE),"")</f>
        <v/>
      </c>
      <c r="GK173" s="1832" t="b">
        <f>IF(OR(GI173=FALSE,GI175=FALSE),TRUE,IF(GJ173-GJ175&lt;5,FALSE,TRUE))</f>
        <v>1</v>
      </c>
      <c r="GO173" s="674">
        <f>GP173</f>
        <v>0</v>
      </c>
      <c r="GP173" s="674">
        <f>IF(G173="",0,1)</f>
        <v>0</v>
      </c>
      <c r="GQ173" s="674">
        <f ca="1">SUM(GR173:HF173)</f>
        <v>2</v>
      </c>
      <c r="GR173" s="674">
        <f>IF(G174="",0,1)</f>
        <v>0</v>
      </c>
      <c r="GS173" s="674">
        <f>IF(N176="BAM",1,IF(G175="",0,1))</f>
        <v>0</v>
      </c>
      <c r="GT173" s="674">
        <f>IF(N176="BAM",1,IF(R174="",0,1))</f>
        <v>0</v>
      </c>
      <c r="GU173" s="674">
        <f>IF(N176="BAM",1,IF(__Retrofit_TI_NC=0,1,IF(R175="",0,1)))</f>
        <v>1</v>
      </c>
      <c r="GV173" s="674">
        <f>IF(N176="BAM",1,IF(CQ173="Exterior",1,IF(G176="",0,1)))</f>
        <v>1</v>
      </c>
      <c r="GW173" s="674">
        <f>IF(__Retrofit_TI_NC&gt;0,1,IF(T174="",0,1))</f>
        <v>0</v>
      </c>
      <c r="GX173" s="674">
        <f>IF(__Retrofit_TI_NC&gt;0,1,IF(U174="",0,1))</f>
        <v>0</v>
      </c>
      <c r="GY173" s="674">
        <f>IF(N176="BAM",1,IF(T175="",0,1))</f>
        <v>0</v>
      </c>
      <c r="GZ173" s="674">
        <f>IF(N176="BAM",1,IF(U175="",0,1))</f>
        <v>0</v>
      </c>
      <c r="HA173" s="674">
        <f ca="1">IF(N176="BAM",1,IF(__Retrofit_TI_NC&gt;0,1,IF(U176="",0,1)))</f>
        <v>0</v>
      </c>
      <c r="HB173" s="674">
        <f>IF(__Retrofit_TI_NC&lt;&gt;0,1,IF(AF174="",0,1))</f>
        <v>0</v>
      </c>
      <c r="HC173" s="674">
        <f>IF(__Retrofit_TI_NC&lt;&gt;0,1,IF(AG174="",0,1))</f>
        <v>0</v>
      </c>
      <c r="HD173" s="674">
        <f>IF(N176="BAM",1,IF(AF175="",0,1))</f>
        <v>0</v>
      </c>
      <c r="HE173" s="674">
        <f>IF(N176="BAM",1,IF(AG175="",0,1))</f>
        <v>0</v>
      </c>
      <c r="HF173" s="674">
        <f>IF(N176="BAM",1,IF(__Retrofit_TI_NC&gt;0,1,IF(AG176="",0,1)))</f>
        <v>0</v>
      </c>
      <c r="HG173" s="391"/>
      <c r="IA173" s="391"/>
      <c r="IB173" s="1693" t="b">
        <f>IF(OR(IB176=0,IB176=HY$16,IB176=HX$16,IB176=HZ$16),TRUE,FALSE)</f>
        <v>0</v>
      </c>
      <c r="IC173" s="1694" t="b">
        <f>IB173</f>
        <v>0</v>
      </c>
      <c r="ID173" s="391"/>
      <c r="IE173" s="391"/>
      <c r="IF173" s="1688" t="b">
        <f ca="1">IF(MAX(GN176:HU176)&gt;5,FALSE,TRUE)</f>
        <v>0</v>
      </c>
      <c r="IG173" s="1689">
        <f ca="1">IF(IF173=TRUE,AC173,0)</f>
        <v>0</v>
      </c>
      <c r="IH173" s="1689">
        <f ca="1">IG173-IG175</f>
        <v>0</v>
      </c>
      <c r="IK173" s="1689" t="e">
        <f>ROUND(T174*VLOOKUP(U174,Fixtures_Existing_List,2,FALSE)*N174*R174/1000,0)</f>
        <v>#N/A</v>
      </c>
      <c r="IL173" s="1690" t="e">
        <f>IK173-IK175</f>
        <v>#N/A</v>
      </c>
      <c r="IM173" s="1693" t="e">
        <f>ROUND(IF(CQ173="Interior",N175*R175*R174*N174*_C406_reduction/1000,N175*R175*R174*N174/1000),0)</f>
        <v>#N/A</v>
      </c>
      <c r="IN173" s="1693" t="e">
        <f>IM173-IM175</f>
        <v>#N/A</v>
      </c>
      <c r="IP173" s="1679"/>
      <c r="IQ173" s="1679" t="e">
        <f t="shared" ref="IQ173:IU173" si="136">IF($CR173="interior",VLOOKUP($CS173,_New_Control_Savings_Interior,IQ$30,FALSE),VLOOKUP($CS173,Control_Savings_Exterior,IQ$30,FALSE))</f>
        <v>#N/A</v>
      </c>
      <c r="IR173" s="1679" t="e">
        <f t="shared" si="136"/>
        <v>#N/A</v>
      </c>
      <c r="IS173" s="1679" t="e">
        <f t="shared" si="136"/>
        <v>#N/A</v>
      </c>
      <c r="IT173" s="1679" t="e">
        <f t="shared" si="136"/>
        <v>#N/A</v>
      </c>
      <c r="IU173" s="1679" t="e">
        <f t="shared" si="136"/>
        <v>#N/A</v>
      </c>
      <c r="IV173" s="1679" t="e">
        <f>IF($CR173="interior",IF(R174&gt;$IP$14,ROUND(($IV$18*($IP$14/R174)),2),$IV$18),VLOOKUP($CS173,Control_Savings_Exterior,IV$30,FALSE))</f>
        <v>#N/A</v>
      </c>
      <c r="IW173" s="1679" t="e">
        <f>IF($CR173="interior",ROUND(((1-IS173)*IV173)+IS173,2),VLOOKUP($CS173,Control_Savings_Exterior,IW$30,FALSE))</f>
        <v>#N/A</v>
      </c>
      <c r="IX173" s="1679" t="e">
        <f>IF($CR173="interior",ROUND(((1-IT173)*IV173)+IT173,2),VLOOKUP($CS173,Control_Savings_Exterior,IX$30,FALSE))</f>
        <v>#N/A</v>
      </c>
      <c r="IY173" s="1679" t="e">
        <f>IF($CR173="interior",IF(R174&gt;$IP$14,ROUND(($IY$18*($IP$14/R174)),2),$IY$18),VLOOKUP($CS173,Control_Savings_Exterior,IY$30,FALSE))</f>
        <v>#N/A</v>
      </c>
      <c r="IZ173" s="1679" t="e">
        <f>IF($CR173="interior",ROUND(((1-IS173)*IY173)+IS173,2),VLOOKUP($CS173,Control_Savings_Exterior,IZ$30,FALSE))</f>
        <v>#N/A</v>
      </c>
      <c r="JA173" s="1679" t="e">
        <f>IF($CR173="interior",ROUND(((1-IT173)*IY173)+IT173,2),VLOOKUP($CS173,Control_Savings_Exterior,JA$30,FALSE))</f>
        <v>#N/A</v>
      </c>
      <c r="JC173" s="1680">
        <f>IFERROR(IF(CR173="Interior",CONCATENATE(G176," ",FQ173),FQ173),"")</f>
        <v>0</v>
      </c>
      <c r="JD173" s="1670" t="str">
        <f>IFERROR(VLOOKUP(JC173,_Controls_2023,2,FALSE),"")</f>
        <v/>
      </c>
      <c r="JE173" s="1681">
        <f>IFERROR(CHOOSE(JD173-1,IQ173,IR173,IS173,IT173,IU173,IV173,IW173,IX173,IY173,IZ173,JA173),0)</f>
        <v>0</v>
      </c>
      <c r="JG173" s="1680" t="str">
        <f>FE173</f>
        <v xml:space="preserve"> - 0</v>
      </c>
      <c r="JH173" s="1670" t="e">
        <f>$FO173</f>
        <v>#N/A</v>
      </c>
      <c r="JI173" s="1060"/>
      <c r="JJ173" s="1682" t="b">
        <f>IF($JG175=CONCATENATE("Interior - ",JJ$4),TRUE,FALSE)</f>
        <v>0</v>
      </c>
      <c r="JK173" s="1061"/>
      <c r="JL173" s="1682" t="b">
        <f>IF($JG175=CONCATENATE("Interior - ",JL$4),TRUE,FALSE)</f>
        <v>0</v>
      </c>
      <c r="JM173" s="1061"/>
      <c r="JN173" s="1682" t="b">
        <f>IF($JG175=CONCATENATE("Interior - ",JN$4),TRUE,FALSE)</f>
        <v>0</v>
      </c>
      <c r="JO173" s="1061"/>
      <c r="JP173" s="1682" t="b">
        <f>IF(__Retrofit_TI_NC&gt;0,FALSE,IF($JG175=CONCATENATE("Interior - ",JP$4),TRUE,FALSE))</f>
        <v>0</v>
      </c>
      <c r="JQ173" s="1061"/>
      <c r="JR173" s="1682" t="b">
        <f>IF(__Retrofit_TI_NC&gt;0,FALSE,IF($JG175=CONCATENATE("Interior - ",JR$4),TRUE,FALSE))</f>
        <v>0</v>
      </c>
      <c r="JS173" s="1061"/>
      <c r="JT173" s="1670" t="b">
        <f>IF(__Retrofit_TI_NC&gt;0,FALSE,IF($JG175=CONCATENATE("Interior - ",JT$4),TRUE,FALSE))</f>
        <v>0</v>
      </c>
      <c r="JU173" s="1061"/>
      <c r="JV173" s="1670" t="b">
        <f>IF(JC175="AELC on Existing",TRUE,FALSE)</f>
        <v>0</v>
      </c>
      <c r="JX173" s="1670" t="b">
        <f>IF(OR(JG175="Exterior - AELC Occupancy based",JG175="Exterior - AELC Time based"),TRUE,FALSE)</f>
        <v>0</v>
      </c>
      <c r="JZ173" s="1682" t="b">
        <f>IF($JG175=CONCATENATE("Exterior - ",JZ$4),TRUE,FALSE)</f>
        <v>0</v>
      </c>
      <c r="KB173" s="1670" t="b">
        <f>IF(__Retrofit_TI_NC&gt;0,FALSE,IF($JG175=CONCATENATE("Interior - ",KB$4),TRUE,FALSE))</f>
        <v>0</v>
      </c>
    </row>
    <row r="174" spans="1:288" s="78" customFormat="1" ht="14.95" customHeight="1" thickTop="1" thickBot="1">
      <c r="B174" s="1845"/>
      <c r="C174" s="1846"/>
      <c r="D174" s="1847"/>
      <c r="E174" s="1737" t="s">
        <v>297</v>
      </c>
      <c r="F174" s="1738"/>
      <c r="G174" s="1739"/>
      <c r="H174" s="1739"/>
      <c r="I174" s="1739"/>
      <c r="J174" s="1739"/>
      <c r="K174" s="1739"/>
      <c r="L174" s="1739"/>
      <c r="M174" s="461" t="e">
        <f>IF(__Retrofit_TI_NC&lt;&gt;0,IF(VLOOKUP(G175,'Space Table'!$B$3:$L$163,3,FALSE)&gt;0,1,0),IF(__Retrofit_TI_NC=VLOOKUP(G175,'Space Table'!$B$3:$L$163,3,FALSE),1,0))</f>
        <v>#N/A</v>
      </c>
      <c r="N174" s="461" t="str">
        <f>IFERROR(VLOOKUP(G174,_Lookup_Heat_Type_Table_New,2,FALSE),"")</f>
        <v/>
      </c>
      <c r="O174" s="461">
        <f>IF(__Retrofit_TI_NC=1,CONCATENATE("TI ",G174),IF(__Retrofit_TI_NC=2,CONCATENATE("NC ",G174),G174))</f>
        <v>0</v>
      </c>
      <c r="P174" s="1740" t="s">
        <v>435</v>
      </c>
      <c r="Q174" s="1740"/>
      <c r="R174" s="595"/>
      <c r="S174" s="1792"/>
      <c r="T174" s="597"/>
      <c r="U174" s="1765"/>
      <c r="V174" s="1766"/>
      <c r="W174" s="1766"/>
      <c r="X174" s="1766"/>
      <c r="Y174" s="1766"/>
      <c r="Z174" s="1766"/>
      <c r="AA174" s="1766"/>
      <c r="AB174" s="1766"/>
      <c r="AC174" s="1766"/>
      <c r="AD174" s="1767"/>
      <c r="AE174" s="1000"/>
      <c r="AF174" s="597"/>
      <c r="AG174" s="1723"/>
      <c r="AH174" s="1724"/>
      <c r="AI174" s="1724"/>
      <c r="AJ174" s="1724"/>
      <c r="AK174" s="1725"/>
      <c r="AL174" s="996"/>
      <c r="AM174" s="1747"/>
      <c r="AN174" s="1775"/>
      <c r="AO174" s="1777"/>
      <c r="AP174" s="1780"/>
      <c r="AQ174" s="1781"/>
      <c r="AR174" s="1795"/>
      <c r="AS174" s="1795"/>
      <c r="AT174" s="1796"/>
      <c r="AU174" s="1735"/>
      <c r="AV174" s="1752"/>
      <c r="AW174" s="1705"/>
      <c r="AX174" s="467"/>
      <c r="AY174" s="1749"/>
      <c r="AZ174" s="1749"/>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696"/>
      <c r="CQ174" s="1696"/>
      <c r="CR174" s="1809"/>
      <c r="CS174" s="1811"/>
      <c r="CU174" s="1688"/>
      <c r="CV174" s="1703"/>
      <c r="CW174" s="1703"/>
      <c r="CX174" s="1703"/>
      <c r="CY174" s="1815"/>
      <c r="CZ174" s="1711"/>
      <c r="DA174" s="1818"/>
      <c r="DB174" s="1820"/>
      <c r="DC174" s="1820"/>
      <c r="DD174" s="1820"/>
      <c r="DF174" s="1703"/>
      <c r="DG174" s="1831"/>
      <c r="DH174" s="1703"/>
      <c r="DI174" s="1838"/>
      <c r="DJ174" s="1711"/>
      <c r="DK174" s="1712"/>
      <c r="DM174" s="1718"/>
      <c r="DO174" s="1708"/>
      <c r="DQ174" s="1715"/>
      <c r="DR174" s="1720"/>
      <c r="DS174" s="1816"/>
      <c r="DT174" s="1714"/>
      <c r="DU174" s="1715"/>
      <c r="DV174" s="1716"/>
      <c r="DX174" s="1715"/>
      <c r="DY174" s="1720"/>
      <c r="DZ174" s="1715"/>
      <c r="EA174" s="1715"/>
      <c r="EC174" s="1834"/>
      <c r="ED174" s="1834"/>
      <c r="EF174" s="1707"/>
      <c r="EG174" s="1712"/>
      <c r="EH174" s="1818"/>
      <c r="EI174" s="1712"/>
      <c r="EJ174" s="1712"/>
      <c r="EK174" s="1836"/>
      <c r="EL174" s="1836"/>
      <c r="EM174" s="1807"/>
      <c r="EN174" s="1839"/>
      <c r="EO174" s="1839"/>
      <c r="EP174" s="1817"/>
      <c r="EQ174" s="1817"/>
      <c r="ER174" s="1807"/>
      <c r="ES174" s="1807"/>
      <c r="ET174" s="1807"/>
      <c r="EV174" s="1715"/>
      <c r="EX174" s="1805"/>
      <c r="EY174" s="1805"/>
      <c r="EZ174" s="1805"/>
      <c r="FA174" s="1805"/>
      <c r="FB174" s="1805"/>
      <c r="FC174" s="1827"/>
      <c r="FE174" s="1698"/>
      <c r="FG174" s="1816"/>
      <c r="FH174" s="1816"/>
      <c r="FI174" s="133"/>
      <c r="FL174" s="1823"/>
      <c r="FM174" s="1825"/>
      <c r="FN174" s="1698"/>
      <c r="FO174" s="1698"/>
      <c r="FP174" s="1678"/>
      <c r="FQ174" s="1678"/>
      <c r="FS174" s="1687"/>
      <c r="FT174" s="1687"/>
      <c r="FU174" s="1685"/>
      <c r="FV174" s="1687"/>
      <c r="FW174" s="1687"/>
      <c r="FX174" s="1687"/>
      <c r="FY174" s="1697"/>
      <c r="GA174" s="1696"/>
      <c r="GB174" s="1696"/>
      <c r="GC174" s="1696"/>
      <c r="GD174" s="1696"/>
      <c r="GE174" s="1696"/>
      <c r="GF174" s="1696"/>
      <c r="GG174" s="1696"/>
      <c r="GH174" s="1696"/>
      <c r="GI174" s="673"/>
      <c r="GJ174" s="1135"/>
      <c r="GK174" s="1832"/>
      <c r="GM174" s="1693" t="b">
        <f ca="1">IF(AND(GP174=TRUE,GQ174=TRUE),TRUE,FALSE)</f>
        <v>0</v>
      </c>
      <c r="GN174" s="1684" t="b">
        <f>IFERROR(IF(__Retrofit_TI_NC=2,TRUE,IF(AU173="Yes",TRUE,FALSE)),FALSE)</f>
        <v>1</v>
      </c>
      <c r="GP174" s="1684" t="b">
        <f>IFERROR(IF(GP173=1,TRUE,FALSE),FALSE)</f>
        <v>0</v>
      </c>
      <c r="GQ174" s="1684" t="b">
        <f ca="1">IFERROR(IF(GQ173=GQ$14,TRUE,FALSE),FALSE)</f>
        <v>0</v>
      </c>
      <c r="HG174" s="1684" t="b">
        <f>IFERROR(IF(AND(__Retrofit_TI_NC&gt;0,CQ173="Interior"),FALSE,TRUE),FALSE)</f>
        <v>1</v>
      </c>
      <c r="HH174" s="1684" t="b">
        <f>IFERROR(IF(M174=1,TRUE,FALSE),FALSE)</f>
        <v>0</v>
      </c>
      <c r="HI174" s="1684" t="b">
        <f>IFERROR(IF(OR(M175=1,N176="BAM"),TRUE,FALSE),FALSE)</f>
        <v>0</v>
      </c>
      <c r="HJ174" s="1684" t="b">
        <f>IFERROR(IF(__Retrofit_TI_NC&lt;&gt;0,TRUE,IFERROR(IF(VLOOKUP(U174,Fixtures_Existing_List,2,FALSE)&lt;&gt;"",TRUE,FALSE),FALSE)),FALSE)</f>
        <v>0</v>
      </c>
      <c r="HK174" s="1684" t="b">
        <f>IFERROR(IF(VLOOKUP(U175,Fixtures_Proposed_List,2,FALSE)&lt;&gt;"",TRUE,FALSE),FALSE)</f>
        <v>0</v>
      </c>
      <c r="HL174" s="1684" t="b">
        <f>IF(AND(__Retrofit_TI_NC=2,FC173=TRUE),FALSE,TRUE)</f>
        <v>1</v>
      </c>
      <c r="HM174" s="1684" t="b">
        <f>GK173</f>
        <v>1</v>
      </c>
      <c r="HN174" s="1682" t="b">
        <f>IF(ISERROR(MATCH(FE173,_Control_Match[],0))=TRUE,FALSE,TRUE)</f>
        <v>0</v>
      </c>
      <c r="HO174" s="1693" t="b">
        <f>IFERROR(IF(EX173&lt;&gt;EY173,FALSE,TRUE),FALSE)</f>
        <v>1</v>
      </c>
      <c r="HP174" s="1693" t="b">
        <f>IFERROR(IF(EX175&lt;&gt;EY175,FALSE,TRUE),FALSE)</f>
        <v>1</v>
      </c>
      <c r="HQ174" s="1670" t="b">
        <f>IFERROR(IF(CQ173="Exterior",TRUE,IF(AND(OR(FM175=0,FM175=3),JD175&gt;6),FALSE,TRUE)),FALSE)</f>
        <v>0</v>
      </c>
      <c r="HR174" s="1684" t="b">
        <f>IFERROR(IF(AND(FO175=7,FC173=TRUE),FALSE,TRUE),FALSE)</f>
        <v>0</v>
      </c>
      <c r="HS174" s="1684" t="b">
        <f>IFERROR(IF(AND(T175&lt;&gt;AF175,OR(AG175="Interior LLLC", AG175="Interior NLC", AG175="LLLC (outside Daylight)",AG175="LLLC Controls Only"))=TRUE,FALSE,TRUE),FALSE)</f>
        <v>1</v>
      </c>
      <c r="HT174" s="1670" t="b">
        <f>IFERROR(IF(OR(AG175=Lookup!BB$17,AG175=Lookup!BB$18,AG175=Lookup!BB$19)=TRUE,IF(AF175&gt;T175,FALSE,TRUE),TRUE),FALSE)</f>
        <v>1</v>
      </c>
      <c r="HU174" s="1684" t="b">
        <f>IFERROR(IF(__Retrofit_TI_NC=2,IF(EZ175&lt;EZ173,FALSE,TRUE),TRUE),FALSE)</f>
        <v>1</v>
      </c>
      <c r="HV174" s="1684" t="b">
        <f>IF(CQ173="Interior",IL$6,TRUE)</f>
        <v>1</v>
      </c>
      <c r="HW174" s="1684" t="b">
        <f>IF(CQ173="Exterior",IL$8,TRUE)</f>
        <v>1</v>
      </c>
      <c r="HX174" s="1684" t="b">
        <f>IFERROR(IF(__Retrofit_TI_NC&lt;&gt;0,IF(AZ173&lt;AY173,FALSE,TRUE),TRUE),FALSE)</f>
        <v>1</v>
      </c>
      <c r="HY174" s="1684" t="b">
        <f>IFERROR(IF(AND(G174="Exterior",R174&gt;4200),FALSE,TRUE),FALSE)</f>
        <v>1</v>
      </c>
      <c r="HZ174" s="1684" t="b">
        <f>IFERROR(IF(AB176/AB173&lt;HZ$18,FALSE,TRUE),FALSE)</f>
        <v>0</v>
      </c>
      <c r="IB174" s="1691"/>
      <c r="IC174" s="1695"/>
      <c r="ID174" s="1694" t="str">
        <f>VLOOKUP(IB176,_Error_Table,4,FALSE)</f>
        <v>White</v>
      </c>
      <c r="IE174" s="391"/>
      <c r="IF174" s="1688"/>
      <c r="IG174" s="1689"/>
      <c r="IH174" s="1684"/>
      <c r="IK174" s="1689"/>
      <c r="IL174" s="1691"/>
      <c r="IM174" s="1691"/>
      <c r="IN174" s="1691"/>
      <c r="IP174" s="1679"/>
      <c r="IQ174" s="1679"/>
      <c r="IR174" s="1679"/>
      <c r="IS174" s="1679"/>
      <c r="IT174" s="1679"/>
      <c r="IU174" s="1679"/>
      <c r="IV174" s="1679"/>
      <c r="IW174" s="1679"/>
      <c r="IX174" s="1679"/>
      <c r="IY174" s="1679"/>
      <c r="IZ174" s="1679"/>
      <c r="JA174" s="1679"/>
      <c r="JC174" s="1680"/>
      <c r="JD174" s="1670"/>
      <c r="JE174" s="1681"/>
      <c r="JG174" s="1680"/>
      <c r="JH174" s="1670"/>
      <c r="JI174" s="1060"/>
      <c r="JJ174" s="1683"/>
      <c r="JK174" s="1061"/>
      <c r="JL174" s="1683"/>
      <c r="JM174" s="1061"/>
      <c r="JN174" s="1683"/>
      <c r="JO174" s="1061"/>
      <c r="JP174" s="1683"/>
      <c r="JQ174" s="1061"/>
      <c r="JR174" s="1683"/>
      <c r="JS174" s="1061"/>
      <c r="JT174" s="1670"/>
      <c r="JU174" s="1061"/>
      <c r="JV174" s="1670"/>
      <c r="JX174" s="1670"/>
      <c r="JZ174" s="1683"/>
      <c r="KB174" s="1670"/>
    </row>
    <row r="175" spans="1:288" s="78" customFormat="1" ht="14.95" customHeight="1" thickTop="1" thickBot="1">
      <c r="A175" s="78">
        <f>ROW()</f>
        <v>175</v>
      </c>
      <c r="B175" s="1845"/>
      <c r="C175" s="1846"/>
      <c r="D175" s="1847"/>
      <c r="E175" s="1737" t="s">
        <v>298</v>
      </c>
      <c r="F175" s="1738"/>
      <c r="G175" s="1760"/>
      <c r="H175" s="1761"/>
      <c r="I175" s="1761"/>
      <c r="J175" s="1761"/>
      <c r="K175" s="1761"/>
      <c r="L175" s="1762"/>
      <c r="M175" s="461">
        <f>IFERROR(IF(IF(__Retrofit_TI_NC&lt;&gt;0,IF(CQ173="Interior",MATCH(G175,Lookup_Interior_New,0),MATCH(G175,Lookup_Exterior_New,0)),IF(CQ173="Interior",MATCH(G175,Lookup_Interior,0),MATCH(G175,Lookup_Exterior_Areas,0)))&gt;0,1,0),0)</f>
        <v>0</v>
      </c>
      <c r="N175" s="461" t="e">
        <f>IF(__Retrofit_TI_NC=1,
VLOOKUP(G175,'Space Table'!$B$3:$L$163,4,FALSE),
IF(__Retrofit_TI_NC=2,VLOOKUP(G175,'Space Table'!$B$3:$L$163,5,FALSE),VLOOKUP(G175,'Space Table'!$B$3:$L$163,5,FALSE)))</f>
        <v>#N/A</v>
      </c>
      <c r="O175" s="461">
        <f>G175</f>
        <v>0</v>
      </c>
      <c r="P175" s="1738" t="str">
        <f>IFERROR(IF(__Retrofit_TI_NC=1,VLOOKUP(G175,'Space Table'!$B$3:$O$163,13,FALSE),IF(__Retrofit_TI_NC=2,VLOOKUP(G175,'Space Table'!$B$3:$O$163,14,FALSE),"Area (sf):")),"Area (sf):")</f>
        <v>Area (sf):</v>
      </c>
      <c r="Q175" s="1738"/>
      <c r="R175" s="596"/>
      <c r="S175" s="1763" t="s">
        <v>345</v>
      </c>
      <c r="T175" s="594"/>
      <c r="U175" s="1801"/>
      <c r="V175" s="1802"/>
      <c r="W175" s="1802"/>
      <c r="X175" s="1802"/>
      <c r="Y175" s="1802"/>
      <c r="Z175" s="1802"/>
      <c r="AA175" s="1802"/>
      <c r="AB175" s="1802"/>
      <c r="AC175" s="1802"/>
      <c r="AD175" s="1802"/>
      <c r="AE175" s="1803"/>
      <c r="AF175" s="594"/>
      <c r="AG175" s="1787"/>
      <c r="AH175" s="1787"/>
      <c r="AI175" s="1787"/>
      <c r="AJ175" s="1787"/>
      <c r="AK175" s="1787"/>
      <c r="AL175" s="1787"/>
      <c r="AM175" s="1726">
        <f>IFERROR(DI175,"")</f>
        <v>0</v>
      </c>
      <c r="AN175" s="1728" t="str">
        <f>IFERROR(ROUND(AM175*AC176,0),"")</f>
        <v/>
      </c>
      <c r="AO175" s="1730">
        <f>IFERROR(IF(IB173=FALSE,0,AC176-AN175),0)</f>
        <v>0</v>
      </c>
      <c r="AP175" s="1780"/>
      <c r="AQ175" s="1781"/>
      <c r="AR175" s="1795"/>
      <c r="AS175" s="1795"/>
      <c r="AT175" s="1796"/>
      <c r="AU175" s="1735"/>
      <c r="AV175" s="1752"/>
      <c r="AW175" s="1705"/>
      <c r="AX175" s="467"/>
      <c r="AY175" s="1749"/>
      <c r="AZ175" s="1749"/>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696"/>
      <c r="CQ175" s="1696"/>
      <c r="CR175" s="1808" t="str">
        <f>CQ173</f>
        <v/>
      </c>
      <c r="CS175" s="1810" t="str">
        <f>CS173</f>
        <v/>
      </c>
      <c r="CU175" s="1688" t="s">
        <v>345</v>
      </c>
      <c r="CV175" s="1702">
        <f>IF(IB173=TRUE,T175,0)</f>
        <v>0</v>
      </c>
      <c r="CW175" s="1702" t="str">
        <f>IF(IB173=TRUE,U175,"")</f>
        <v/>
      </c>
      <c r="CX175" s="1812">
        <f>IF(IB173=TRUE,U176,0)</f>
        <v>0</v>
      </c>
      <c r="CY175" s="1814">
        <f>IF(IB173=TRUE,AB176,0)</f>
        <v>0</v>
      </c>
      <c r="CZ175" s="1710">
        <f>IF(AND(__Retrofit_TI_NC&gt;0,CR173="interior"),0,IF(IB173=TRUE,AC176,0))</f>
        <v>0</v>
      </c>
      <c r="DA175" s="1818"/>
      <c r="DB175" s="1820"/>
      <c r="DC175" s="1820"/>
      <c r="DD175" s="1820"/>
      <c r="DF175" s="1702">
        <f>IF(IB173=TRUE,AF175,0)</f>
        <v>0</v>
      </c>
      <c r="DG175" s="1830" t="str">
        <f>IF(IB173=TRUE,AG175,"")</f>
        <v/>
      </c>
      <c r="DH175" s="1812">
        <f>AG176</f>
        <v>0</v>
      </c>
      <c r="DI175" s="1837">
        <f>JE175</f>
        <v>0</v>
      </c>
      <c r="DJ175" s="1710">
        <f>IF(AND(__Retrofit_TI_NC&gt;0,CR173="interior"),0,IF(IB173=TRUE,AN175,0))</f>
        <v>0</v>
      </c>
      <c r="DK175" s="1712"/>
      <c r="DN175" s="1717">
        <f>IFERROR(CZ175-DJ175,0)</f>
        <v>0</v>
      </c>
      <c r="DO175" s="1709"/>
      <c r="DQ175" s="1715"/>
      <c r="DR175" s="1719" t="str">
        <f>DQ173</f>
        <v/>
      </c>
      <c r="DS175" s="1816"/>
      <c r="DT175" s="1835" t="str">
        <f>IF(OR(DS173=7,DS173=8,DS173=9),"ALC","")</f>
        <v/>
      </c>
      <c r="DU175" s="1715"/>
      <c r="DV175" s="1716"/>
      <c r="DX175" s="1715"/>
      <c r="DY175" s="1829" t="str">
        <f>DX173</f>
        <v/>
      </c>
      <c r="DZ175" s="1715"/>
      <c r="EA175" s="1715"/>
      <c r="EC175" s="1834"/>
      <c r="ED175" s="1834"/>
      <c r="EF175" s="1707"/>
      <c r="EG175" s="1712"/>
      <c r="EH175" s="1818"/>
      <c r="EI175" s="1712"/>
      <c r="EJ175" s="1712"/>
      <c r="EK175" s="1836"/>
      <c r="EL175" s="1836"/>
      <c r="EM175" s="1807"/>
      <c r="EN175" s="1839"/>
      <c r="EO175" s="1839"/>
      <c r="EP175" s="1817"/>
      <c r="EQ175" s="1817"/>
      <c r="ER175" s="1807"/>
      <c r="ES175" s="1807"/>
      <c r="ET175" s="1807"/>
      <c r="EV175" s="1715"/>
      <c r="EX175" s="1805" t="str">
        <f>IFERROR(VLOOKUP(CS175,'Space Table'!$B$3:$L$163,8,FALSE),"")</f>
        <v/>
      </c>
      <c r="EY175" s="1805" t="str">
        <f>IFERROR(IF(FB175="Yes",VLOOKUP(AG175,Lookup_Control_Type_Table2,4,FALSE),VLOOKUP(AG175,Lookup_Control_Type_Table2,3,FALSE)),"")</f>
        <v/>
      </c>
      <c r="EZ175" s="1805" t="e">
        <f>VLOOKUP(AG175,Lookup!BB$3:BC$20,2,FALSE)</f>
        <v>#N/A</v>
      </c>
      <c r="FA175" s="1805" t="e">
        <f>VLOOKUP(EX173,Lookup_Control_Type_Table,2,FALSE)</f>
        <v>#N/A</v>
      </c>
      <c r="FB175" s="1805" t="e">
        <f>VLOOKUP(CS175,'Space Table'!$B$3:$L$163,7,FALSE)</f>
        <v>#N/A</v>
      </c>
      <c r="FC175" s="1827"/>
      <c r="FE175" s="1698" t="str">
        <f>CONCATENATE(CQ173," - ",AG175)</f>
        <v xml:space="preserve"> - </v>
      </c>
      <c r="FG175" s="1816"/>
      <c r="FH175" s="1816"/>
      <c r="FI175" s="133"/>
      <c r="FL175" s="1822" t="str">
        <f>IF(CQ173="Exterior","Not Daylighted",G176)</f>
        <v>Not Daylighted</v>
      </c>
      <c r="FM175" s="1824">
        <f>VLOOKUP(FL175,_New_Daylight_Table_Codes,2,FALSE)</f>
        <v>0</v>
      </c>
      <c r="FN175" s="1698">
        <f>AG175</f>
        <v>0</v>
      </c>
      <c r="FO175" s="1698" t="e">
        <f>VLOOKUP(FN175,_Control_Table,2,FALSE)</f>
        <v>#N/A</v>
      </c>
      <c r="FP175" s="1678" t="e">
        <f>VLOOKUP(CONCATENATE(FL175," ",FN175),Lookup!AY$102:AZ186,2,FALSE)</f>
        <v>#N/A</v>
      </c>
      <c r="FQ175" s="1698">
        <f>IF(__Retrofit_TI_NC=0,FN175,IF(AND(FT175&gt;0,FN175="Occupancy Sensor"),"Daylight + Occupancy",IF(AND(FT175&gt;0,FO175&lt;4),"Interior Daylight Dimming",FN175)))</f>
        <v>0</v>
      </c>
      <c r="FS175" s="1686">
        <f>IF(CQ173="Interior",VLOOKUP(CS173,Control_Savings_Interior,5,FALSE),0)</f>
        <v>0</v>
      </c>
      <c r="FT175" s="1687">
        <f>IF(CQ175="Exterior",0,IF(FM175=2,0.5,IF(OR(FM175=1,FM175=3),1,0)))</f>
        <v>0</v>
      </c>
      <c r="FU175" s="1685">
        <f>IF(R174&gt;FS$44,(FS175*(FS$44/R174)),FS175)*FT175</f>
        <v>0</v>
      </c>
      <c r="FV175" s="1686">
        <f>DI175</f>
        <v>0</v>
      </c>
      <c r="FW175" s="1686">
        <f>ROUND(FV175+((1-FV175)*FU175),2)</f>
        <v>0</v>
      </c>
      <c r="FX175" s="1686">
        <f>IF(__Retrofit_TI_NC=2,FW175,FV175)</f>
        <v>0</v>
      </c>
      <c r="FY175" s="1697">
        <f>IF(CR175="Interior",VLOOKUP(CS175,Control_Savings_Interior,4,FALSE),0)</f>
        <v>0</v>
      </c>
      <c r="GA175" s="1696"/>
      <c r="GB175" s="1696"/>
      <c r="GC175" s="1696"/>
      <c r="GD175" s="1696"/>
      <c r="GE175" s="1696"/>
      <c r="GF175" s="1696"/>
      <c r="GG175" s="1696"/>
      <c r="GH175" s="1696"/>
      <c r="GI175" s="673" t="b">
        <f>IF(ISNUMBER(SEARCH("TLED",U175)),TRUE,FALSE)</f>
        <v>0</v>
      </c>
      <c r="GJ175" s="1135" t="str">
        <f>IFERROR(VLOOKUP(U175,Fixtures!DM$93:DR$142,6,FALSE),"")</f>
        <v/>
      </c>
      <c r="GK175" s="1832"/>
      <c r="GM175" s="1692"/>
      <c r="GN175" s="1684"/>
      <c r="GP175" s="1684"/>
      <c r="GQ175" s="1684"/>
      <c r="HG175" s="1684"/>
      <c r="HH175" s="1684"/>
      <c r="HI175" s="1684"/>
      <c r="HJ175" s="1684"/>
      <c r="HK175" s="1684"/>
      <c r="HL175" s="1684"/>
      <c r="HM175" s="1684"/>
      <c r="HN175" s="1683"/>
      <c r="HO175" s="1692"/>
      <c r="HP175" s="1692"/>
      <c r="HQ175" s="1670"/>
      <c r="HR175" s="1684"/>
      <c r="HS175" s="1684"/>
      <c r="HT175" s="1670"/>
      <c r="HU175" s="1684"/>
      <c r="HV175" s="1684"/>
      <c r="HW175" s="1684"/>
      <c r="HX175" s="1684"/>
      <c r="HY175" s="1684"/>
      <c r="HZ175" s="1684"/>
      <c r="IB175" s="1692"/>
      <c r="IC175" s="1693" t="b">
        <f>IB173</f>
        <v>0</v>
      </c>
      <c r="ID175" s="1695"/>
      <c r="IE175" s="391"/>
      <c r="IF175" s="1688"/>
      <c r="IG175" s="1689">
        <f ca="1">IF(IF173=TRUE,AC176,0)</f>
        <v>0</v>
      </c>
      <c r="IH175" s="1684"/>
      <c r="IK175" s="1689" t="e">
        <f>ROUND(T175*AB176*N174*R174/1000,0)</f>
        <v>#VALUE!</v>
      </c>
      <c r="IL175" s="1691"/>
      <c r="IM175" s="1693" t="e">
        <f>ROUND(T175*AB176*N174*R174/1000,0)</f>
        <v>#VALUE!</v>
      </c>
      <c r="IN175" s="1691"/>
      <c r="IP175" s="1679"/>
      <c r="IQ175" s="1679" t="e">
        <f t="shared" ref="IQ175:IU175" si="137">IF($CR175="interior",VLOOKUP($CS175,_New_Control_Savings_Interior,IQ$30,FALSE),VLOOKUP($CS175,Control_Savings_Exterior,IQ$30,FALSE))</f>
        <v>#N/A</v>
      </c>
      <c r="IR175" s="1679" t="e">
        <f t="shared" si="137"/>
        <v>#N/A</v>
      </c>
      <c r="IS175" s="1679" t="e">
        <f t="shared" si="137"/>
        <v>#N/A</v>
      </c>
      <c r="IT175" s="1679" t="e">
        <f t="shared" si="137"/>
        <v>#N/A</v>
      </c>
      <c r="IU175" s="1679" t="e">
        <f t="shared" si="137"/>
        <v>#N/A</v>
      </c>
      <c r="IV175" s="1679" t="e">
        <f>IF($CR175="interior",IF(R174&gt;$IP$14,ROUND(($IV$18*($IP$14/R174)),2),$IV$18),VLOOKUP($CS175,Control_Savings_Exterior,IV$30,FALSE))</f>
        <v>#N/A</v>
      </c>
      <c r="IW175" s="1679" t="e">
        <f>IF($CR175="interior",ROUND(((1-IS175)*IV175)+IS175,2),VLOOKUP($CS175,Control_Savings_Exterior,IW$30,FALSE))</f>
        <v>#N/A</v>
      </c>
      <c r="IX175" s="1679" t="e">
        <f>IF($CR175="interior",ROUND(((1-IT175)*IV175)+IT175,2),VLOOKUP($CS175,Control_Savings_Exterior,IX$30,FALSE))</f>
        <v>#N/A</v>
      </c>
      <c r="IY175" s="1679" t="e">
        <f>IF($CR175="interior",IF(R174&gt;$IP$14,ROUND(($IY$18*($IP$14/R174)),2),$IY$18),VLOOKUP($CS175,Control_Savings_Exterior,IY$30,FALSE))</f>
        <v>#N/A</v>
      </c>
      <c r="IZ175" s="1679" t="e">
        <f>IF($CR175="interior",ROUND(((1-IS175)*IY175)+IS175,2),VLOOKUP($CS175,Control_Savings_Exterior,IZ$30,FALSE))</f>
        <v>#N/A</v>
      </c>
      <c r="JA175" s="1679" t="e">
        <f>IF($CR175="interior",ROUND(((1-IT175)*IY175)+IT175,2),VLOOKUP($CS175,Control_Savings_Exterior,JA$30,FALSE))</f>
        <v>#N/A</v>
      </c>
      <c r="JC175" s="1680">
        <f>IFERROR(IF(CR175="Interior",CONCATENATE(G176," ",FQ175),AG175),"")</f>
        <v>0</v>
      </c>
      <c r="JD175" s="1670" t="str">
        <f>IFERROR(VLOOKUP(JC175,_Controls_2023,2,FALSE),"")</f>
        <v/>
      </c>
      <c r="JE175" s="1681">
        <f>IFERROR(CHOOSE(JD175-1,IQ175,IR175,IS175,IT175,IU175,IV175,IW175,IX175,IY175,IZ175,JA175),0)</f>
        <v>0</v>
      </c>
      <c r="JG175" s="1680" t="str">
        <f>FE175</f>
        <v xml:space="preserve"> - </v>
      </c>
      <c r="JH175" s="1670" t="e">
        <f>$FO175</f>
        <v>#N/A</v>
      </c>
      <c r="JI175" s="1060"/>
      <c r="JJ175" s="1670">
        <f>IFERROR(IF($IB173=TRUE,IF(OR(JJ$14="No",JJ173=FALSE,JH175&lt;=JH173,AND(_kWh_Grant=0,GD173=FALSE)),0,IF(JJ$8="Per Line",1,$AF175)),0),0)</f>
        <v>0</v>
      </c>
      <c r="JK175" s="1061"/>
      <c r="JL175" s="1670">
        <f>IFERROR(IF(_kWh_Grant=0,0,IF($IB173=TRUE,IF(OR(JL$14="No",JL173=FALSE,JH175&lt;=JH173),0,IF(JL$8="Per Line",1,$T175)),0)),0)</f>
        <v>0</v>
      </c>
      <c r="JM175" s="1061"/>
      <c r="JN175" s="1670">
        <f>IFERROR(IF(_kWh_Grant=0,0,IF($IB173=TRUE,IF(OR(JN$14="No",JN173=FALSE,JH175&lt;=JH173),0,IF(JN$8="Per Line",1,$AF175)),0)),0)</f>
        <v>0</v>
      </c>
      <c r="JO175" s="1061"/>
      <c r="JP175" s="1670">
        <f>IFERROR(IF(__Retrofit_TI_NC=0,IF(_kWh_Grant=0,0,IF($IB173=TRUE,IF(OR(JP$14="No",JP173=FALSE,$JH175&lt;=$JH173),0,IF(JP$8="Per Line",1,$AF175)),0)),IF($IB173=TRUE,IF(OR(JP$14="No",JP173=FALSE,$JH175&lt;=$JH173),0,IF(JP$8="Per Line",1,$AF175)))),0)</f>
        <v>0</v>
      </c>
      <c r="JQ175" s="1061"/>
      <c r="JR175" s="1670">
        <f>IFERROR(IF(__Retrofit_TI_NC=0,IF(_kWh_Grant=0,0,IF($IB173=TRUE,IF(OR(JR$14="No",JR173=FALSE,$JH175&lt;=$JH173),0,IF(JR$8="Per Line",1,$AF175)),0)),IF($IB173=TRUE,IF(OR(JR$14="No",JR173=FALSE,$JH175&lt;=$JH173),0,IF(JR$8="Per Line",1,$AF175)))),0)</f>
        <v>0</v>
      </c>
      <c r="JS175" s="1061"/>
      <c r="JT175" s="1670">
        <f>IFERROR(IF(__Retrofit_TI_NC=0,IF(_kWh_Grant=0,0,IF($IB173=TRUE,IF(OR(JT$14="No",JT173=FALSE,$JH175&lt;=$JH173),0,IF(JT$8="Per Line",1,$AF175)),0)),IF($IB173=TRUE,IF(OR(JT$14="No",JT173=FALSE,$JH175&lt;=$JH173),0,IF(JT$8="Per Line",1,$AF175)))),0)</f>
        <v>0</v>
      </c>
      <c r="JU175" s="1061"/>
      <c r="JV175" s="1670">
        <f>IFERROR(IF(__Retrofit_TI_NC=0,IF(_kWh_Grant=0,0,IF($IB173=TRUE,IF(OR(JV$14="No",JV173=FALSE,$JH175&lt;=$JH173),0,IF(JV$8="Per Line",1,$AF175)),0)),IF($IB173=TRUE,IF(OR(JV$14="No",JV173=FALSE,$JH175&lt;=$JH173),0,IF(JV$8="Per Line",1,$AF175)))),0)</f>
        <v>0</v>
      </c>
      <c r="JX175" s="1670">
        <f>IFERROR(IF(__Retrofit_TI_NC=0,IF(_kWh_Grant=0,0,IF($IB173=TRUE,IF(OR(JX$14="No",JX173=FALSE,$JH175&lt;=$JH173),0,IF(JX$8="Per Line",1,$AF175)),0)),IF($IB173=TRUE,IF(OR(JX$14="No",JX173=FALSE,$JH175&lt;=$JH173),0,IF(JX$8="Per Line",1,$AF175)))),0)</f>
        <v>0</v>
      </c>
      <c r="JZ175" s="1670">
        <f>IFERROR(IF($IB173=TRUE,IF(OR(JZ$14="No",JZ173=FALSE,$JH175&lt;=$JH173,AND(_kWh_Grant=0,$GD173=FALSE)),0,IF(JZ$8="Per Line",1,$AF175)),0),0)</f>
        <v>0</v>
      </c>
      <c r="KB175" s="1670">
        <f>IFERROR(IF(__Retrofit_TI_NC=0,IF(_kWh_Grant=0,0,IF($IB173=TRUE,IF(OR(KB$14="No",KB173=FALSE,$JH175&lt;=$JH173),0,IF(KB$8="Per Line",1,$AF175)),0)),IF($IB173=TRUE,IF(OR(KB$14="No",KB173=FALSE,$JH175&lt;=$JH173),0,IF(KB$8="Per Line",1,$AF175)))),0)</f>
        <v>0</v>
      </c>
    </row>
    <row r="176" spans="1:288" s="78" customFormat="1" ht="14.95" customHeight="1" thickTop="1" thickBot="1">
      <c r="B176" s="1845"/>
      <c r="C176" s="1846"/>
      <c r="D176" s="1847"/>
      <c r="E176" s="1771" t="s">
        <v>436</v>
      </c>
      <c r="F176" s="1772"/>
      <c r="G176" s="1784" t="s">
        <v>437</v>
      </c>
      <c r="H176" s="1785"/>
      <c r="I176" s="1785"/>
      <c r="J176" s="1785"/>
      <c r="K176" s="1785"/>
      <c r="L176" s="1786"/>
      <c r="M176" s="591">
        <f>IFERROR(VLOOKUP(G176,_Daylight_Table[],2,FALSE),0)</f>
        <v>0</v>
      </c>
      <c r="N176" s="592" t="str">
        <f>IF(AND(__Retrofit_TI_NC&gt;0,CQ173="Interior"),"BAM","")</f>
        <v/>
      </c>
      <c r="O176" s="591" t="e">
        <f>VLOOKUP(G175,'Space Table'!$B$3:$L$163,11,FALSE)</f>
        <v>#N/A</v>
      </c>
      <c r="P176" s="1789"/>
      <c r="Q176" s="1790"/>
      <c r="R176" s="1790"/>
      <c r="S176" s="1788"/>
      <c r="T176" s="593" t="s">
        <v>342</v>
      </c>
      <c r="U176" s="1756" t="str" cm="1">
        <f t="array" aca="1" ref="U176" ca="1">IFERROR(VLOOKUP(INDIRECT("U" &amp; ROW()-1),Fixtures!DM$93:DP$142,4,FALSE),"")</f>
        <v/>
      </c>
      <c r="V176" s="1757"/>
      <c r="W176" s="1757"/>
      <c r="X176" s="1757"/>
      <c r="Y176" s="1757"/>
      <c r="Z176" s="1757"/>
      <c r="AA176" s="1758"/>
      <c r="AB176" s="939" t="str">
        <f>IFERROR(VLOOKUP(U175,Fixtures_Proposed_List,2,FALSE),"")</f>
        <v/>
      </c>
      <c r="AC176" s="933" t="str">
        <f>IFERROR(ROUND(T175*AB176*N174*R174/1000,0),"")</f>
        <v/>
      </c>
      <c r="AD176" s="934" t="str">
        <f>IFERROR(ROUND(T175*AB176/1000,2),"")</f>
        <v/>
      </c>
      <c r="AE176" s="998"/>
      <c r="AF176" s="938" t="s">
        <v>342</v>
      </c>
      <c r="AG176" s="1770"/>
      <c r="AH176" s="1770"/>
      <c r="AI176" s="1770"/>
      <c r="AJ176" s="1770"/>
      <c r="AK176" s="1770"/>
      <c r="AL176" s="1770"/>
      <c r="AM176" s="1727"/>
      <c r="AN176" s="1729"/>
      <c r="AO176" s="1731"/>
      <c r="AP176" s="1782"/>
      <c r="AQ176" s="1783"/>
      <c r="AR176" s="1797"/>
      <c r="AS176" s="1797"/>
      <c r="AT176" s="1798"/>
      <c r="AU176" s="1736"/>
      <c r="AV176" s="1753"/>
      <c r="AW176" s="1706"/>
      <c r="AX176" s="468"/>
      <c r="AY176" s="1750"/>
      <c r="AZ176" s="1750"/>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696"/>
      <c r="CQ176" s="1696"/>
      <c r="CR176" s="1809"/>
      <c r="CS176" s="1811"/>
      <c r="CU176" s="1688"/>
      <c r="CV176" s="1703"/>
      <c r="CW176" s="1703"/>
      <c r="CX176" s="1813"/>
      <c r="CY176" s="1815"/>
      <c r="CZ176" s="1711"/>
      <c r="DA176" s="1815"/>
      <c r="DB176" s="1821"/>
      <c r="DC176" s="1821"/>
      <c r="DD176" s="1821"/>
      <c r="DF176" s="1703"/>
      <c r="DG176" s="1831"/>
      <c r="DH176" s="1813"/>
      <c r="DI176" s="1838"/>
      <c r="DJ176" s="1711"/>
      <c r="DK176" s="1712"/>
      <c r="DN176" s="1718"/>
      <c r="DO176" s="1709"/>
      <c r="DQ176" s="1715"/>
      <c r="DR176" s="1720"/>
      <c r="DS176" s="1703"/>
      <c r="DT176" s="1714"/>
      <c r="DU176" s="1715"/>
      <c r="DV176" s="1716"/>
      <c r="DX176" s="1715"/>
      <c r="DY176" s="1720"/>
      <c r="DZ176" s="1715"/>
      <c r="EA176" s="1715"/>
      <c r="EC176" s="1834"/>
      <c r="ED176" s="1834"/>
      <c r="EF176" s="1707"/>
      <c r="EG176" s="1712"/>
      <c r="EH176" s="1815"/>
      <c r="EI176" s="1712"/>
      <c r="EJ176" s="1712"/>
      <c r="EK176" s="1813"/>
      <c r="EL176" s="1813"/>
      <c r="EM176" s="1807"/>
      <c r="EN176" s="1839"/>
      <c r="EO176" s="1839"/>
      <c r="EP176" s="1817"/>
      <c r="EQ176" s="1817"/>
      <c r="ER176" s="1807"/>
      <c r="ES176" s="1807"/>
      <c r="ET176" s="1807"/>
      <c r="EV176" s="1715"/>
      <c r="EX176" s="1806"/>
      <c r="EY176" s="1806"/>
      <c r="EZ176" s="1806"/>
      <c r="FA176" s="1806"/>
      <c r="FB176" s="1806"/>
      <c r="FC176" s="1828"/>
      <c r="FE176" s="1698"/>
      <c r="FG176" s="1703"/>
      <c r="FH176" s="1703"/>
      <c r="FI176" s="133"/>
      <c r="FL176" s="1823"/>
      <c r="FM176" s="1825"/>
      <c r="FN176" s="1698"/>
      <c r="FO176" s="1698"/>
      <c r="FP176" s="1678"/>
      <c r="FQ176" s="1698"/>
      <c r="FS176" s="1687"/>
      <c r="FT176" s="1687"/>
      <c r="FU176" s="1685"/>
      <c r="FV176" s="1687"/>
      <c r="FW176" s="1687"/>
      <c r="FX176" s="1687"/>
      <c r="FY176" s="1697"/>
      <c r="GA176" s="1696"/>
      <c r="GB176" s="1696"/>
      <c r="GC176" s="1696"/>
      <c r="GD176" s="1696"/>
      <c r="GE176" s="1696"/>
      <c r="GF176" s="1696"/>
      <c r="GG176" s="1696"/>
      <c r="GH176" s="1696"/>
      <c r="GI176" s="673"/>
      <c r="GJ176" s="1135"/>
      <c r="GK176" s="1832"/>
      <c r="GN176" s="674">
        <f>IF(GN174=TRUE,0,GN$16)</f>
        <v>0</v>
      </c>
      <c r="GP176" s="674">
        <f>IF(GP174=TRUE,0,GP$16)</f>
        <v>36</v>
      </c>
      <c r="GQ176" s="674">
        <f ca="1">IF(GQ174=TRUE,0,GQ$16)</f>
        <v>35</v>
      </c>
      <c r="GR176" s="391"/>
      <c r="GS176" s="391"/>
      <c r="GT176" s="391"/>
      <c r="GU176" s="391"/>
      <c r="GV176" s="391"/>
      <c r="HG176" s="674">
        <f>IF(HG174=TRUE,0,HG$16)</f>
        <v>0</v>
      </c>
      <c r="HH176" s="674">
        <f t="shared" ref="HH176:HM176" si="138">IF(HH174=TRUE,0,HH$16)</f>
        <v>19</v>
      </c>
      <c r="HI176" s="674">
        <f t="shared" si="138"/>
        <v>18</v>
      </c>
      <c r="HJ176" s="674">
        <f t="shared" si="138"/>
        <v>17</v>
      </c>
      <c r="HK176" s="674">
        <f t="shared" si="138"/>
        <v>16</v>
      </c>
      <c r="HL176" s="674">
        <f t="shared" si="138"/>
        <v>0</v>
      </c>
      <c r="HM176" s="674">
        <f t="shared" si="138"/>
        <v>0</v>
      </c>
      <c r="HN176" s="674">
        <f>IF(HN174=TRUE,0,HN$16)</f>
        <v>13</v>
      </c>
      <c r="HO176" s="674">
        <f t="shared" ref="HO176:HQ176" si="139">IF(HO174=TRUE,0,HO$16)</f>
        <v>0</v>
      </c>
      <c r="HP176" s="674">
        <f t="shared" si="139"/>
        <v>0</v>
      </c>
      <c r="HQ176" s="674">
        <f t="shared" si="139"/>
        <v>10</v>
      </c>
      <c r="HR176" s="674">
        <f>IF(HR174=TRUE,0,HR$16)</f>
        <v>9</v>
      </c>
      <c r="HS176" s="674">
        <f t="shared" ref="HS176:HW176" si="140">IF(HS174=TRUE,0,HS$16)</f>
        <v>0</v>
      </c>
      <c r="HT176" s="674">
        <f t="shared" si="140"/>
        <v>0</v>
      </c>
      <c r="HU176" s="674">
        <f t="shared" si="140"/>
        <v>0</v>
      </c>
      <c r="HV176" s="674">
        <f t="shared" si="140"/>
        <v>0</v>
      </c>
      <c r="HW176" s="674">
        <f t="shared" si="140"/>
        <v>0</v>
      </c>
      <c r="HX176" s="674">
        <f>IF(HX174=TRUE,0,HX$16)</f>
        <v>0</v>
      </c>
      <c r="HY176" s="674">
        <f>IF(HY174=TRUE,0,HY$16)</f>
        <v>0</v>
      </c>
      <c r="HZ176" s="674">
        <f>IF(HZ174=TRUE,0,HZ$16)</f>
        <v>1</v>
      </c>
      <c r="IB176" s="674">
        <f>IF(GP174=FALSE,GP176,IF(GQ174=FALSE,GQ176,MAX(GN176:HZ176)))</f>
        <v>36</v>
      </c>
      <c r="IC176" s="1692"/>
      <c r="ID176" s="205" t="str">
        <f>VLOOKUP(IB176,_Error_Table,3,FALSE)</f>
        <v xml:space="preserve"> </v>
      </c>
      <c r="IE176" s="205"/>
      <c r="IF176" s="1688"/>
      <c r="IG176" s="1689"/>
      <c r="IH176" s="1684"/>
      <c r="IK176" s="1689"/>
      <c r="IL176" s="1692"/>
      <c r="IM176" s="1692"/>
      <c r="IN176" s="1692"/>
      <c r="IP176" s="1679"/>
      <c r="IQ176" s="1679"/>
      <c r="IR176" s="1679"/>
      <c r="IS176" s="1679"/>
      <c r="IT176" s="1679"/>
      <c r="IU176" s="1679"/>
      <c r="IV176" s="1679"/>
      <c r="IW176" s="1679"/>
      <c r="IX176" s="1679"/>
      <c r="IY176" s="1679"/>
      <c r="IZ176" s="1679"/>
      <c r="JA176" s="1679"/>
      <c r="JC176" s="1680"/>
      <c r="JD176" s="1670"/>
      <c r="JE176" s="1681"/>
      <c r="JG176" s="1680"/>
      <c r="JH176" s="1670"/>
      <c r="JI176" s="1060"/>
      <c r="JJ176" s="1670"/>
      <c r="JK176" s="1061"/>
      <c r="JL176" s="1670"/>
      <c r="JM176" s="1061"/>
      <c r="JN176" s="1670"/>
      <c r="JO176" s="1061"/>
      <c r="JP176" s="1670"/>
      <c r="JQ176" s="1061"/>
      <c r="JR176" s="1670"/>
      <c r="JS176" s="1061"/>
      <c r="JT176" s="1670"/>
      <c r="JU176" s="1061"/>
      <c r="JV176" s="1670"/>
      <c r="JX176" s="1670"/>
      <c r="JZ176" s="1670"/>
      <c r="KB176" s="1670"/>
    </row>
    <row r="177" spans="1:288" s="78" customFormat="1" ht="4.95" customHeight="1">
      <c r="B177" s="676"/>
      <c r="C177" s="392"/>
      <c r="D177" s="392"/>
      <c r="E177" s="1733"/>
      <c r="F177" s="1733"/>
      <c r="G177" s="1733"/>
      <c r="H177" s="1733"/>
      <c r="I177" s="1733"/>
      <c r="J177" s="1733"/>
      <c r="K177" s="1733"/>
      <c r="L177" s="1733"/>
      <c r="M177" s="1733"/>
      <c r="N177" s="1733"/>
      <c r="O177" s="1733"/>
      <c r="P177" s="1733"/>
      <c r="Q177" s="1733"/>
      <c r="R177" s="1733"/>
      <c r="S177" s="1733"/>
      <c r="T177" s="1733"/>
      <c r="U177" s="1733"/>
      <c r="V177" s="1733"/>
      <c r="W177" s="1733"/>
      <c r="X177" s="1733"/>
      <c r="Y177" s="1733"/>
      <c r="Z177" s="1733"/>
      <c r="AA177" s="1733"/>
      <c r="AB177" s="1733"/>
      <c r="AC177" s="1733"/>
      <c r="AD177" s="1733"/>
      <c r="AE177" s="1733"/>
      <c r="AF177" s="1733"/>
      <c r="AG177" s="1733"/>
      <c r="AH177" s="1733"/>
      <c r="AI177" s="1733"/>
      <c r="AJ177" s="1733"/>
      <c r="AK177" s="1733"/>
      <c r="AL177" s="1733"/>
      <c r="AM177" s="1733"/>
      <c r="AN177" s="1733"/>
      <c r="AO177" s="1733"/>
      <c r="AP177" s="1733"/>
      <c r="AQ177" s="1733"/>
      <c r="AR177" s="1733"/>
      <c r="AS177" s="1733"/>
      <c r="AT177" s="1733"/>
      <c r="AU177" s="1733"/>
      <c r="AV177" s="1733"/>
      <c r="AW177" s="1733"/>
      <c r="AX177" s="469"/>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663"/>
      <c r="CQ177" s="663"/>
      <c r="CR177" s="438"/>
      <c r="CS177" s="663"/>
      <c r="CV177" s="391"/>
      <c r="CW177" s="391"/>
      <c r="CX177" s="207"/>
      <c r="CY177" s="208"/>
      <c r="CZ177" s="208"/>
      <c r="DA177" s="208"/>
      <c r="DB177" s="209"/>
      <c r="DC177" s="209"/>
      <c r="DD177" s="209"/>
      <c r="DF177" s="664"/>
      <c r="DG177" s="665"/>
      <c r="DH177" s="666"/>
      <c r="DI177" s="667"/>
      <c r="DJ177" s="668"/>
      <c r="DK177" s="668"/>
      <c r="DN177" s="208"/>
      <c r="DO177" s="664"/>
      <c r="DQ177" s="664"/>
      <c r="DR177" s="669"/>
      <c r="DS177" s="391"/>
      <c r="DT177" s="664"/>
      <c r="DU177" s="664"/>
      <c r="DV177" s="664"/>
      <c r="DX177" s="664"/>
      <c r="DY177" s="664"/>
      <c r="DZ177" s="664"/>
      <c r="EA177" s="664"/>
      <c r="EC177" s="670"/>
      <c r="ED177" s="670"/>
      <c r="EF177" s="668"/>
      <c r="EG177" s="668"/>
      <c r="EH177" s="208"/>
      <c r="EI177" s="668"/>
      <c r="EJ177" s="668"/>
      <c r="EK177" s="207"/>
      <c r="EL177" s="207"/>
      <c r="EM177" s="666"/>
      <c r="EN177" s="671"/>
      <c r="EO177" s="671"/>
      <c r="EP177" s="672"/>
      <c r="EQ177" s="672"/>
      <c r="ER177" s="666"/>
      <c r="ES177" s="666"/>
      <c r="ET177" s="666"/>
      <c r="EV177" s="664"/>
      <c r="EX177" s="391"/>
      <c r="EY177" s="391"/>
      <c r="EZ177" s="391"/>
      <c r="FA177" s="391"/>
      <c r="FB177" s="391"/>
      <c r="FC177" s="391"/>
      <c r="FE177" s="569"/>
      <c r="FG177" s="391"/>
      <c r="FH177" s="391"/>
      <c r="FI177" s="391"/>
      <c r="FS177" s="664"/>
      <c r="FT177" s="391"/>
      <c r="FU177" s="391"/>
      <c r="FV177" s="664"/>
      <c r="FW177" s="664"/>
      <c r="GA177" s="663"/>
      <c r="GB177" s="663"/>
      <c r="GC177" s="663"/>
      <c r="GD177" s="663"/>
      <c r="GE177" s="663"/>
      <c r="GF177" s="663"/>
      <c r="GG177" s="663"/>
      <c r="GH177" s="663"/>
      <c r="GI177" s="665"/>
      <c r="GJ177" s="664"/>
      <c r="GK177" s="664"/>
    </row>
    <row r="178" spans="1:288" s="78" customFormat="1" ht="14.95" customHeight="1">
      <c r="B178" s="1845" t="str">
        <f>ID181</f>
        <v xml:space="preserve"> </v>
      </c>
      <c r="C178" s="1846">
        <f>C173+1</f>
        <v>26</v>
      </c>
      <c r="D178" s="1847"/>
      <c r="E178" s="1799" t="s">
        <v>295</v>
      </c>
      <c r="F178" s="1800"/>
      <c r="G178" s="1741"/>
      <c r="H178" s="1742"/>
      <c r="I178" s="1742"/>
      <c r="J178" s="1742"/>
      <c r="K178" s="1742"/>
      <c r="L178" s="1742"/>
      <c r="M178" s="1742"/>
      <c r="N178" s="1742"/>
      <c r="O178" s="1742"/>
      <c r="P178" s="1742"/>
      <c r="Q178" s="1742"/>
      <c r="R178" s="1742"/>
      <c r="S178" s="1791" t="s">
        <v>344</v>
      </c>
      <c r="T178" s="590"/>
      <c r="U178" s="1743"/>
      <c r="V178" s="1744"/>
      <c r="W178" s="1744"/>
      <c r="X178" s="1744"/>
      <c r="Y178" s="1744"/>
      <c r="Z178" s="1744"/>
      <c r="AA178" s="1744"/>
      <c r="AB178" s="961" t="str">
        <f>IFERROR(IF(__Retrofit_TI_NC=0,VLOOKUP(U179,Fixtures_Existing_List,2,FALSE),ROUND(N180*R180/T180,10)),"")</f>
        <v/>
      </c>
      <c r="AC178" s="935" t="str">
        <f>IFERROR(IF(__Retrofit_TI_NC=0,ROUND(T179*AB178*N179*R179/1000,0),IF(CQ178="Interior",N180*R180*R179*N179*_C406_reduction/1000,N180*R180*R179*N179/1000)),"")</f>
        <v/>
      </c>
      <c r="AD178" s="936" t="str">
        <f>IFERROR(IF(C$43=0,ROUND(T179*AB178/1000,2),N180*R180/1000),"")</f>
        <v/>
      </c>
      <c r="AE178" s="997"/>
      <c r="AF178" s="937"/>
      <c r="AG178" s="1745" t="str">
        <f>IF(__Retrofit_TI_NC=0," Control","Select Advanced Control for New System")</f>
        <v xml:space="preserve"> Control</v>
      </c>
      <c r="AH178" s="1745"/>
      <c r="AI178" s="1745"/>
      <c r="AJ178" s="1745"/>
      <c r="AK178" s="1745"/>
      <c r="AL178" s="1745"/>
      <c r="AM178" s="1746">
        <f>IFERROR(DI178,"")</f>
        <v>0</v>
      </c>
      <c r="AN178" s="1774" t="str">
        <f>IFERROR(ROUND(AM178*AC178,0),"")</f>
        <v/>
      </c>
      <c r="AO178" s="1776">
        <f>IFERROR(IF(IB178=FALSE,0,AC178-AN178),0)</f>
        <v>0</v>
      </c>
      <c r="AP178" s="1778">
        <f>AO178-AO180</f>
        <v>0</v>
      </c>
      <c r="AQ178" s="1779"/>
      <c r="AR178" s="1793">
        <f>IFERROR(IF(IB178=FALSE,0,(T180*U181)+(AF180*AG181)),0)</f>
        <v>0</v>
      </c>
      <c r="AS178" s="1793"/>
      <c r="AT178" s="1794"/>
      <c r="AU178" s="1734" t="s">
        <v>237</v>
      </c>
      <c r="AV178" s="1751">
        <f>IF(AU178="Yes",1,0)</f>
        <v>1</v>
      </c>
      <c r="AW178" s="1704" t="str">
        <f>IF(OR(DQ178=4,DQ178=5,DQ178=6,DQ178=12),CONCATENATE("$",IF(GH178=TRUE,Lookup!$K$10,Lookup!$K$2)," /lamp"),CONCATENATE(TEXT(ED178,"$0.00"),"/ kWh"))</f>
        <v>$0.00/ kWh</v>
      </c>
      <c r="AX178" s="467"/>
      <c r="AY178" s="1748">
        <f ca="1">IFERROR(IF(GM179=TRUE,(AB181*T180)/R180,0),"NA")</f>
        <v>0</v>
      </c>
      <c r="AZ178" s="1748"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696" t="str">
        <f>N179</f>
        <v/>
      </c>
      <c r="CQ178" s="1696" t="str">
        <f>IFERROR(VLOOKUP(G179,_Lookup_Heat_Type_Table_New,3,FALSE),"")</f>
        <v/>
      </c>
      <c r="CR178" s="1808" t="str">
        <f>CQ178</f>
        <v/>
      </c>
      <c r="CS178" s="1810" t="str">
        <f>IFERROR(VLOOKUP(G180,'Space Table'!$B$3:$L$163,9,FALSE),"")</f>
        <v/>
      </c>
      <c r="CU178" s="1688" t="s">
        <v>344</v>
      </c>
      <c r="CV178" s="1702">
        <f>IF(IB178=TRUE,T179,0)</f>
        <v>0</v>
      </c>
      <c r="CW178" s="1702" t="str">
        <f>IF(IB178=TRUE,U179,"")</f>
        <v/>
      </c>
      <c r="CX178" s="1702"/>
      <c r="CY178" s="1814">
        <f>IF(IB178=TRUE,AB178,0)</f>
        <v>0</v>
      </c>
      <c r="CZ178" s="1710">
        <f>IF(AND(__Retrofit_TI_NC&gt;0,CR178="interior"),0,IF(IB178=TRUE,AC178,0))</f>
        <v>0</v>
      </c>
      <c r="DA178" s="1814">
        <f>IFERROR(IF(IB178=TRUE,CZ178-CZ180,0),0)</f>
        <v>0</v>
      </c>
      <c r="DB178" s="1819">
        <f>IF(IB178=TRUE,AD178,0)</f>
        <v>0</v>
      </c>
      <c r="DC178" s="1819">
        <f>IF(IB178=TRUE,AD181,0)</f>
        <v>0</v>
      </c>
      <c r="DD178" s="1819">
        <f>IFERROR(DB178-DC178,0)</f>
        <v>0</v>
      </c>
      <c r="DF178" s="1702">
        <f>IF(IB178=TRUE,AF179,0)</f>
        <v>0</v>
      </c>
      <c r="DG178" s="1830">
        <f>IFERROR(IF(__Retrofit_TI_NC=2,IF(CQ178="Exterior",O181,FQ178),FN178),"")</f>
        <v>0</v>
      </c>
      <c r="DH178" s="1702"/>
      <c r="DI178" s="1837">
        <f>JE178</f>
        <v>0</v>
      </c>
      <c r="DJ178" s="1710">
        <f>IF(AND(__Retrofit_TI_NC&gt;0,CR178="interior"),0,IF(IB178=TRUE,AN178,0))</f>
        <v>0</v>
      </c>
      <c r="DK178" s="1712">
        <f>IFERROR(IF(IB178=TRUE,DJ180-DJ178,0),0)</f>
        <v>0</v>
      </c>
      <c r="DM178" s="1717">
        <f>IFERROR(CZ178-DJ178,0)</f>
        <v>0</v>
      </c>
      <c r="DO178" s="1708">
        <f>DM178-DN180</f>
        <v>0</v>
      </c>
      <c r="DQ178" s="1715" t="str">
        <f>IFERROR(IF(AND(OR(GC178=4,GC178=5,GC178=6),OR(GF178=4,GF178=5,GF178=6)),GC178+8,VLOOKUP(CW180,Fixtures!R$31:Y$78,8,FALSE)),"")</f>
        <v/>
      </c>
      <c r="DR178" s="1829" t="str">
        <f>DQ178</f>
        <v/>
      </c>
      <c r="DS178" s="1702" t="str">
        <f>IFERROR(VLOOKUP(DG180,Lookup!BB$3:BC$20,2,FALSE),"")</f>
        <v/>
      </c>
      <c r="DT178" s="1713" t="str">
        <f>IF(OR(DS178=7,DS178=8,DS178=9),"ALC","")</f>
        <v/>
      </c>
      <c r="DU178" s="1715">
        <f>IFERROR(IF(OR(DQ178=4,DQ178=5,DQ178=6,DQ178=12,DQ178=13,DQ178=14),VLOOKUP(CW180,Fixtures!DN$27:EG$77,19,FALSE),1)*CV180,0)</f>
        <v>0</v>
      </c>
      <c r="DV178" s="1716">
        <f>IF(OR(DS178=7,DS178=8,DS178=9),IF(DG178=DG180,0,DF180),0)</f>
        <v>0</v>
      </c>
      <c r="DX178" s="1715" t="str">
        <f>IFERROR(IF(EZ178&lt;EZ180,"Yes","No"),"")</f>
        <v/>
      </c>
      <c r="DY178" s="1829" t="str">
        <f>DX178</f>
        <v/>
      </c>
      <c r="DZ178" s="1715">
        <f>IF(DX178="Yes",DF180,0)</f>
        <v>0</v>
      </c>
      <c r="EA178" s="1715">
        <f>DZ178-DV178</f>
        <v>0</v>
      </c>
      <c r="EC178" s="1834">
        <f>IFERROR(VLOOKUP(DQ178,Lookup!AU$3:AV$16,2,FALSE),0)</f>
        <v>0</v>
      </c>
      <c r="ED178" s="1834">
        <f>IF(IB178=FALSE,0,IF(DX178="Yes",EC178+Lookup!K$6,EC178))</f>
        <v>0</v>
      </c>
      <c r="EF178" s="1707">
        <f>IF(IB178=TRUE,DM178,0)</f>
        <v>0</v>
      </c>
      <c r="EG178" s="1712">
        <f>IF(IB178=TRUE,CZ180,0)</f>
        <v>0</v>
      </c>
      <c r="EH178" s="1814">
        <f>IFERROR(EF178-EG178,0)</f>
        <v>0</v>
      </c>
      <c r="EI178" s="1712">
        <f>IF(IB178=TRUE,DJ180,0)</f>
        <v>0</v>
      </c>
      <c r="EJ178" s="1712">
        <f>IFERROR(EF178-EG178+EI178,0)</f>
        <v>0</v>
      </c>
      <c r="EK178" s="1812">
        <f>IF(IB178=TRUE,CV180*CX180,0)</f>
        <v>0</v>
      </c>
      <c r="EL178" s="1812">
        <f>IF(IB178=TRUE,DF180*DH180,0)</f>
        <v>0</v>
      </c>
      <c r="EM178" s="1807">
        <f>AR178</f>
        <v>0</v>
      </c>
      <c r="EN178" s="1839" t="str">
        <f>IFERROR(IF(IB178=TRUE,VLOOKUP(DQ178,Lookup!AU$3:AW$16,3,FALSE)*DU178,""),0)</f>
        <v/>
      </c>
      <c r="EO178" s="1839">
        <f>IF(IB178=TRUE,DZ178*Lookup!AW$12,0)</f>
        <v>0</v>
      </c>
      <c r="EP178" s="1817">
        <f>IFERROR(IF(IB178=TRUE,EN178/EP$40,0),0)</f>
        <v>0</v>
      </c>
      <c r="EQ178" s="1817">
        <f>IF(IB178=TRUE,EO178/EQ$40,0)</f>
        <v>0</v>
      </c>
      <c r="ER178" s="1807">
        <f>IF(IB178=TRUE,ET$40*EP178,0)</f>
        <v>0</v>
      </c>
      <c r="ES178" s="1807">
        <f>IF(IB178=TRUE,ET$40*EQ178,0)</f>
        <v>0</v>
      </c>
      <c r="ET178" s="1807">
        <f>ER178+ES178</f>
        <v>0</v>
      </c>
      <c r="EV178" s="1715">
        <f>IF(G178="",0,1)</f>
        <v>0</v>
      </c>
      <c r="EX178" s="1804" t="str">
        <f>IFERROR(VLOOKUP(CS180,'Space Table'!$B$3:$L$163,8,FALSE),"")</f>
        <v/>
      </c>
      <c r="EY178" s="1804" t="str">
        <f>IFERROR(IF(FB178="Yes",VLOOKUP(DG178,Lookup_Control_Type_Table2,4,FALSE),VLOOKUP(DG178,Lookup_Control_Type_Table2,3,FALSE)),"")</f>
        <v/>
      </c>
      <c r="EZ178" s="1804" t="e">
        <f>VLOOKUP(DG178,Lookup!BB$3:BC$20,2,FALSE)</f>
        <v>#N/A</v>
      </c>
      <c r="FA178" s="1804" t="e">
        <f>VLOOKUP(EX178,Lookup_Control_Type_Table,2,FALSE)</f>
        <v>#N/A</v>
      </c>
      <c r="FB178" s="1804" t="e">
        <f>VLOOKUP(CS180,'Space Table'!$B$3:$L$163,7,FALSE)</f>
        <v>#N/A</v>
      </c>
      <c r="FC178" s="1826" t="b">
        <f>ISNUMBER(SEARCH("TLED",U180))</f>
        <v>0</v>
      </c>
      <c r="FE178" s="1698" t="str">
        <f>CONCATENATE(CQ178," - ",DG178)</f>
        <v xml:space="preserve"> - 0</v>
      </c>
      <c r="FG178" s="1702" t="str">
        <f>VLOOKUP(CW180,Fixtures!DN$27:EZ$77,38,FALSE)</f>
        <v/>
      </c>
      <c r="FH178" s="1702">
        <f>IFERROR(FG178*EH178,0)</f>
        <v>0</v>
      </c>
      <c r="FI178" s="133"/>
      <c r="FL178" s="1822" t="str">
        <f>IF(CQ178="Exterior","Not Daylighted",G181)</f>
        <v>Not Daylighted</v>
      </c>
      <c r="FM178" s="1824">
        <f>VLOOKUP(FL178,_New_Daylight_Table_Codes,2,FALSE)</f>
        <v>0</v>
      </c>
      <c r="FN178" s="1698">
        <f>IF(__Retrofit_TI_NC&gt;0,VLOOKUP(G180,'Space Table'!$B$3:$L$163,11,FALSE),AG179)</f>
        <v>0</v>
      </c>
      <c r="FO178" s="1698" t="e">
        <f>IF(__Retrofit_TI_NC=2,VLOOKUP(FQ178,_Control_Table,2,FALSE),VLOOKUP(FN178,_Control_Table,2,FALSE))</f>
        <v>#N/A</v>
      </c>
      <c r="FP178" s="1678" t="e">
        <f>VLOOKUP(CONCATENATE(FL178," ",FN178),Lookup!AY$102:AZ188,2,FALSE)</f>
        <v>#N/A</v>
      </c>
      <c r="FQ178" s="1678">
        <f>IF(__Retrofit_TI_NC=0,FN178,IF(AND(FT178&gt;0,FN178="Occupancy Sensor"),"Daylight + Occupancy",IF(AND(FT178&gt;0,VLOOKUP(FN178,_Control_Table,2,FALSE)&lt;4),"Interior Daylight Dimming",FN178)))</f>
        <v>0</v>
      </c>
      <c r="FS178" s="1686">
        <f>IF(CR178="Interior",VLOOKUP(CS178,Control_Savings_Interior,5,FALSE),0)</f>
        <v>0</v>
      </c>
      <c r="FT178" s="1687">
        <f>IF(CQ178="Exterior",0,IF(FM178=2,0.5,IF(OR(FM178=1,FM178=3),1,0)))</f>
        <v>0</v>
      </c>
      <c r="FU178" s="1685">
        <f>IF(R177&gt;FS$44,(FS178*(FS$44/R177)),FS178)*FT178</f>
        <v>0</v>
      </c>
      <c r="FV178" s="1686">
        <f>DI178</f>
        <v>0</v>
      </c>
      <c r="FW178" s="1686">
        <f>ROUND(FV178+((1-FV178)*FU178),2)</f>
        <v>0</v>
      </c>
      <c r="FX178" s="1686">
        <f>IF(__Retrofit_TI_NC=2,FW178,FV178)</f>
        <v>0</v>
      </c>
      <c r="FY178" s="1697"/>
      <c r="GA178" s="1696" t="str">
        <f>IFERROR(VLOOKUP(U179,_Exist_Fixture_Table,3,FALSE),"")</f>
        <v/>
      </c>
      <c r="GB178" s="1696" t="str">
        <f>VLOOKUP(CW178,_Exist_Fixture_Table,4,FALSE)</f>
        <v/>
      </c>
      <c r="GC178" s="1696">
        <f>IFERROR(VLOOKUP(GB178,Lookup!AT$6:AU$8,2,FALSE),0)</f>
        <v>0</v>
      </c>
      <c r="GD178" s="1696" t="b">
        <f>IFERROR(IF(OR(GF178=4,GF178=5,GF178=6),TRUE,FALSE),"")</f>
        <v>0</v>
      </c>
      <c r="GE178" s="1696" t="str">
        <f>IFERROR(VLOOKUP(GF178,GC$6:GD$10,2,FALSE),"")</f>
        <v/>
      </c>
      <c r="GF178" s="1696" t="str">
        <f>VLOOKUP(CW180,Fixtures!R$31:Y$78,8,FALSE)</f>
        <v/>
      </c>
      <c r="GG178" s="1696">
        <f>IF(AND(GA178=TRUE,GD178=TRUE,OR(DQ178=12,DQ178=13,DQ178=14)),GC178+8,0)</f>
        <v>0</v>
      </c>
      <c r="GH178" s="1696" t="b">
        <f>IF(OR(GG178=12,GG178=13,GG178=14),TRUE,FALSE)</f>
        <v>0</v>
      </c>
      <c r="GI178" s="673" t="b">
        <f>IF(ISNUMBER(SEARCH("TLED",U179)),TRUE,FALSE)</f>
        <v>0</v>
      </c>
      <c r="GJ178" s="1135" t="str">
        <f>IFERROR(VLOOKUP(U179,Fixtures!BM$93:BR$142,6,FALSE),"")</f>
        <v/>
      </c>
      <c r="GK178" s="1832" t="b">
        <f>IF(OR(GI178=FALSE,GI180=FALSE),TRUE,IF(GJ178-GJ180&lt;5,FALSE,TRUE))</f>
        <v>1</v>
      </c>
      <c r="GO178" s="674">
        <f>GP178</f>
        <v>0</v>
      </c>
      <c r="GP178" s="674">
        <f>IF(G178="",0,1)</f>
        <v>0</v>
      </c>
      <c r="GQ178" s="674">
        <f ca="1">SUM(GR178:HF178)</f>
        <v>2</v>
      </c>
      <c r="GR178" s="674">
        <f>IF(G179="",0,1)</f>
        <v>0</v>
      </c>
      <c r="GS178" s="674">
        <f>IF(N181="BAM",1,IF(G180="",0,1))</f>
        <v>0</v>
      </c>
      <c r="GT178" s="674">
        <f>IF(N181="BAM",1,IF(R179="",0,1))</f>
        <v>0</v>
      </c>
      <c r="GU178" s="674">
        <f>IF(N181="BAM",1,IF(__Retrofit_TI_NC=0,1,IF(R180="",0,1)))</f>
        <v>1</v>
      </c>
      <c r="GV178" s="674">
        <f>IF(N181="BAM",1,IF(CQ178="Exterior",1,IF(G181="",0,1)))</f>
        <v>1</v>
      </c>
      <c r="GW178" s="674">
        <f>IF(__Retrofit_TI_NC&gt;0,1,IF(T179="",0,1))</f>
        <v>0</v>
      </c>
      <c r="GX178" s="674">
        <f>IF(__Retrofit_TI_NC&gt;0,1,IF(U179="",0,1))</f>
        <v>0</v>
      </c>
      <c r="GY178" s="674">
        <f>IF(N181="BAM",1,IF(T180="",0,1))</f>
        <v>0</v>
      </c>
      <c r="GZ178" s="674">
        <f>IF(N181="BAM",1,IF(U180="",0,1))</f>
        <v>0</v>
      </c>
      <c r="HA178" s="674">
        <f ca="1">IF(N181="BAM",1,IF(__Retrofit_TI_NC&gt;0,1,IF(U181="",0,1)))</f>
        <v>0</v>
      </c>
      <c r="HB178" s="674">
        <f>IF(__Retrofit_TI_NC&lt;&gt;0,1,IF(AF179="",0,1))</f>
        <v>0</v>
      </c>
      <c r="HC178" s="674">
        <f>IF(__Retrofit_TI_NC&lt;&gt;0,1,IF(AG179="",0,1))</f>
        <v>0</v>
      </c>
      <c r="HD178" s="674">
        <f>IF(N181="BAM",1,IF(AF180="",0,1))</f>
        <v>0</v>
      </c>
      <c r="HE178" s="674">
        <f>IF(N181="BAM",1,IF(AG180="",0,1))</f>
        <v>0</v>
      </c>
      <c r="HF178" s="674">
        <f>IF(N181="BAM",1,IF(__Retrofit_TI_NC&gt;0,1,IF(AG181="",0,1)))</f>
        <v>0</v>
      </c>
      <c r="HG178" s="391"/>
      <c r="IA178" s="391"/>
      <c r="IB178" s="1693" t="b">
        <f>IF(OR(IB181=0,IB181=HY$16,IB181=HX$16,IB181=HZ$16),TRUE,FALSE)</f>
        <v>0</v>
      </c>
      <c r="IC178" s="1694" t="b">
        <f>IB178</f>
        <v>0</v>
      </c>
      <c r="ID178" s="391"/>
      <c r="IE178" s="391"/>
      <c r="IF178" s="1688" t="b">
        <f ca="1">IF(MAX(GN181:HU181)&gt;5,FALSE,TRUE)</f>
        <v>0</v>
      </c>
      <c r="IG178" s="1689">
        <f ca="1">IF(IF178=TRUE,AC178,0)</f>
        <v>0</v>
      </c>
      <c r="IH178" s="1689">
        <f ca="1">IG178-IG180</f>
        <v>0</v>
      </c>
      <c r="IK178" s="1689" t="e">
        <f>ROUND(T179*VLOOKUP(U179,Fixtures_Existing_List,2,FALSE)*N179*R179/1000,0)</f>
        <v>#N/A</v>
      </c>
      <c r="IL178" s="1690" t="e">
        <f>IK178-IK180</f>
        <v>#N/A</v>
      </c>
      <c r="IM178" s="1693" t="e">
        <f>ROUND(IF(CQ178="Interior",N180*R180*R179*N179*_C406_reduction/1000,N180*R180*R179*N179/1000),0)</f>
        <v>#N/A</v>
      </c>
      <c r="IN178" s="1693" t="e">
        <f>IM178-IM180</f>
        <v>#N/A</v>
      </c>
      <c r="IP178" s="1679"/>
      <c r="IQ178" s="1679" t="e">
        <f t="shared" ref="IQ178:IU178" si="141">IF($CR178="interior",VLOOKUP($CS178,_New_Control_Savings_Interior,IQ$30,FALSE),VLOOKUP($CS178,Control_Savings_Exterior,IQ$30,FALSE))</f>
        <v>#N/A</v>
      </c>
      <c r="IR178" s="1679" t="e">
        <f t="shared" si="141"/>
        <v>#N/A</v>
      </c>
      <c r="IS178" s="1679" t="e">
        <f t="shared" si="141"/>
        <v>#N/A</v>
      </c>
      <c r="IT178" s="1679" t="e">
        <f t="shared" si="141"/>
        <v>#N/A</v>
      </c>
      <c r="IU178" s="1679" t="e">
        <f t="shared" si="141"/>
        <v>#N/A</v>
      </c>
      <c r="IV178" s="1679" t="e">
        <f>IF($CR178="interior",IF(R179&gt;$IP$14,ROUND(($IV$18*($IP$14/R179)),2),$IV$18),VLOOKUP($CS178,Control_Savings_Exterior,IV$30,FALSE))</f>
        <v>#N/A</v>
      </c>
      <c r="IW178" s="1679" t="e">
        <f>IF($CR178="interior",ROUND(((1-IS178)*IV178)+IS178,2),VLOOKUP($CS178,Control_Savings_Exterior,IW$30,FALSE))</f>
        <v>#N/A</v>
      </c>
      <c r="IX178" s="1679" t="e">
        <f>IF($CR178="interior",ROUND(((1-IT178)*IV178)+IT178,2),VLOOKUP($CS178,Control_Savings_Exterior,IX$30,FALSE))</f>
        <v>#N/A</v>
      </c>
      <c r="IY178" s="1679" t="e">
        <f>IF($CR178="interior",IF(R179&gt;$IP$14,ROUND(($IY$18*($IP$14/R179)),2),$IY$18),VLOOKUP($CS178,Control_Savings_Exterior,IY$30,FALSE))</f>
        <v>#N/A</v>
      </c>
      <c r="IZ178" s="1679" t="e">
        <f>IF($CR178="interior",ROUND(((1-IS178)*IY178)+IS178,2),VLOOKUP($CS178,Control_Savings_Exterior,IZ$30,FALSE))</f>
        <v>#N/A</v>
      </c>
      <c r="JA178" s="1679" t="e">
        <f>IF($CR178="interior",ROUND(((1-IT178)*IY178)+IT178,2),VLOOKUP($CS178,Control_Savings_Exterior,JA$30,FALSE))</f>
        <v>#N/A</v>
      </c>
      <c r="JC178" s="1680">
        <f>IFERROR(IF(CR178="Interior",CONCATENATE(G181," ",FQ178),FQ178),"")</f>
        <v>0</v>
      </c>
      <c r="JD178" s="1670" t="str">
        <f>IFERROR(VLOOKUP(JC178,_Controls_2023,2,FALSE),"")</f>
        <v/>
      </c>
      <c r="JE178" s="1681">
        <f>IFERROR(CHOOSE(JD178-1,IQ178,IR178,IS178,IT178,IU178,IV178,IW178,IX178,IY178,IZ178,JA178),0)</f>
        <v>0</v>
      </c>
      <c r="JG178" s="1680" t="str">
        <f>FE178</f>
        <v xml:space="preserve"> - 0</v>
      </c>
      <c r="JH178" s="1670" t="e">
        <f>$FO178</f>
        <v>#N/A</v>
      </c>
      <c r="JI178" s="1060"/>
      <c r="JJ178" s="1682" t="b">
        <f>IF($JG180=CONCATENATE("Interior - ",JJ$4),TRUE,FALSE)</f>
        <v>0</v>
      </c>
      <c r="JK178" s="1061"/>
      <c r="JL178" s="1682" t="b">
        <f>IF($JG180=CONCATENATE("Interior - ",JL$4),TRUE,FALSE)</f>
        <v>0</v>
      </c>
      <c r="JM178" s="1061"/>
      <c r="JN178" s="1682" t="b">
        <f>IF($JG180=CONCATENATE("Interior - ",JN$4),TRUE,FALSE)</f>
        <v>0</v>
      </c>
      <c r="JO178" s="1061"/>
      <c r="JP178" s="1682" t="b">
        <f>IF(__Retrofit_TI_NC&gt;0,FALSE,IF($JG180=CONCATENATE("Interior - ",JP$4),TRUE,FALSE))</f>
        <v>0</v>
      </c>
      <c r="JQ178" s="1061"/>
      <c r="JR178" s="1682" t="b">
        <f>IF(__Retrofit_TI_NC&gt;0,FALSE,IF($JG180=CONCATENATE("Interior - ",JR$4),TRUE,FALSE))</f>
        <v>0</v>
      </c>
      <c r="JS178" s="1061"/>
      <c r="JT178" s="1670" t="b">
        <f>IF(__Retrofit_TI_NC&gt;0,FALSE,IF($JG180=CONCATENATE("Interior - ",JT$4),TRUE,FALSE))</f>
        <v>0</v>
      </c>
      <c r="JU178" s="1061"/>
      <c r="JV178" s="1670" t="b">
        <f>IF(JC180="AELC on Existing",TRUE,FALSE)</f>
        <v>0</v>
      </c>
      <c r="JX178" s="1670" t="b">
        <f>IF(OR(JG180="Exterior - AELC Occupancy based",JG180="Exterior - AELC Time based"),TRUE,FALSE)</f>
        <v>0</v>
      </c>
      <c r="JZ178" s="1682" t="b">
        <f>IF($JG180=CONCATENATE("Exterior - ",JZ$4),TRUE,FALSE)</f>
        <v>0</v>
      </c>
      <c r="KB178" s="1670" t="b">
        <f>IF(__Retrofit_TI_NC&gt;0,FALSE,IF($JG180=CONCATENATE("Interior - ",KB$4),TRUE,FALSE))</f>
        <v>0</v>
      </c>
    </row>
    <row r="179" spans="1:288" s="78" customFormat="1" ht="14.95" customHeight="1" thickTop="1" thickBot="1">
      <c r="B179" s="1845"/>
      <c r="C179" s="1846"/>
      <c r="D179" s="1847"/>
      <c r="E179" s="1737" t="s">
        <v>297</v>
      </c>
      <c r="F179" s="1738"/>
      <c r="G179" s="1739"/>
      <c r="H179" s="1739"/>
      <c r="I179" s="1739"/>
      <c r="J179" s="1739"/>
      <c r="K179" s="1739"/>
      <c r="L179" s="1739"/>
      <c r="M179" s="461" t="e">
        <f>IF(__Retrofit_TI_NC&lt;&gt;0,IF(VLOOKUP(G180,'Space Table'!$B$3:$L$163,3,FALSE)&gt;0,1,0),IF(__Retrofit_TI_NC=VLOOKUP(G180,'Space Table'!$B$3:$L$163,3,FALSE),1,0))</f>
        <v>#N/A</v>
      </c>
      <c r="N179" s="461" t="str">
        <f>IFERROR(VLOOKUP(G179,_Lookup_Heat_Type_Table_New,2,FALSE),"")</f>
        <v/>
      </c>
      <c r="O179" s="461">
        <f>IF(__Retrofit_TI_NC=1,CONCATENATE("TI ",G179),IF(__Retrofit_TI_NC=2,CONCATENATE("NC ",G179),G179))</f>
        <v>0</v>
      </c>
      <c r="P179" s="1740" t="s">
        <v>435</v>
      </c>
      <c r="Q179" s="1740"/>
      <c r="R179" s="595"/>
      <c r="S179" s="1792"/>
      <c r="T179" s="597"/>
      <c r="U179" s="1765"/>
      <c r="V179" s="1766"/>
      <c r="W179" s="1766"/>
      <c r="X179" s="1766"/>
      <c r="Y179" s="1766"/>
      <c r="Z179" s="1766"/>
      <c r="AA179" s="1766"/>
      <c r="AB179" s="1766"/>
      <c r="AC179" s="1766"/>
      <c r="AD179" s="1767"/>
      <c r="AE179" s="1000"/>
      <c r="AF179" s="597"/>
      <c r="AG179" s="1723"/>
      <c r="AH179" s="1724"/>
      <c r="AI179" s="1724"/>
      <c r="AJ179" s="1724"/>
      <c r="AK179" s="1725"/>
      <c r="AL179" s="996"/>
      <c r="AM179" s="1747"/>
      <c r="AN179" s="1775"/>
      <c r="AO179" s="1777"/>
      <c r="AP179" s="1780"/>
      <c r="AQ179" s="1781"/>
      <c r="AR179" s="1795"/>
      <c r="AS179" s="1795"/>
      <c r="AT179" s="1796"/>
      <c r="AU179" s="1735"/>
      <c r="AV179" s="1752"/>
      <c r="AW179" s="1705"/>
      <c r="AX179" s="467"/>
      <c r="AY179" s="1749"/>
      <c r="AZ179" s="1749"/>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696"/>
      <c r="CQ179" s="1696"/>
      <c r="CR179" s="1809"/>
      <c r="CS179" s="1811"/>
      <c r="CU179" s="1688"/>
      <c r="CV179" s="1703"/>
      <c r="CW179" s="1703"/>
      <c r="CX179" s="1703"/>
      <c r="CY179" s="1815"/>
      <c r="CZ179" s="1711"/>
      <c r="DA179" s="1818"/>
      <c r="DB179" s="1820"/>
      <c r="DC179" s="1820"/>
      <c r="DD179" s="1820"/>
      <c r="DF179" s="1703"/>
      <c r="DG179" s="1831"/>
      <c r="DH179" s="1703"/>
      <c r="DI179" s="1838"/>
      <c r="DJ179" s="1711"/>
      <c r="DK179" s="1712"/>
      <c r="DM179" s="1718"/>
      <c r="DO179" s="1708"/>
      <c r="DQ179" s="1715"/>
      <c r="DR179" s="1720"/>
      <c r="DS179" s="1816"/>
      <c r="DT179" s="1714"/>
      <c r="DU179" s="1715"/>
      <c r="DV179" s="1716"/>
      <c r="DX179" s="1715"/>
      <c r="DY179" s="1720"/>
      <c r="DZ179" s="1715"/>
      <c r="EA179" s="1715"/>
      <c r="EC179" s="1834"/>
      <c r="ED179" s="1834"/>
      <c r="EF179" s="1707"/>
      <c r="EG179" s="1712"/>
      <c r="EH179" s="1818"/>
      <c r="EI179" s="1712"/>
      <c r="EJ179" s="1712"/>
      <c r="EK179" s="1836"/>
      <c r="EL179" s="1836"/>
      <c r="EM179" s="1807"/>
      <c r="EN179" s="1839"/>
      <c r="EO179" s="1839"/>
      <c r="EP179" s="1817"/>
      <c r="EQ179" s="1817"/>
      <c r="ER179" s="1807"/>
      <c r="ES179" s="1807"/>
      <c r="ET179" s="1807"/>
      <c r="EV179" s="1715"/>
      <c r="EX179" s="1805"/>
      <c r="EY179" s="1805"/>
      <c r="EZ179" s="1805"/>
      <c r="FA179" s="1805"/>
      <c r="FB179" s="1805"/>
      <c r="FC179" s="1827"/>
      <c r="FE179" s="1698"/>
      <c r="FG179" s="1816"/>
      <c r="FH179" s="1816"/>
      <c r="FI179" s="133"/>
      <c r="FL179" s="1823"/>
      <c r="FM179" s="1825"/>
      <c r="FN179" s="1698"/>
      <c r="FO179" s="1698"/>
      <c r="FP179" s="1678"/>
      <c r="FQ179" s="1678"/>
      <c r="FS179" s="1687"/>
      <c r="FT179" s="1687"/>
      <c r="FU179" s="1685"/>
      <c r="FV179" s="1687"/>
      <c r="FW179" s="1687"/>
      <c r="FX179" s="1687"/>
      <c r="FY179" s="1697"/>
      <c r="GA179" s="1696"/>
      <c r="GB179" s="1696"/>
      <c r="GC179" s="1696"/>
      <c r="GD179" s="1696"/>
      <c r="GE179" s="1696"/>
      <c r="GF179" s="1696"/>
      <c r="GG179" s="1696"/>
      <c r="GH179" s="1696"/>
      <c r="GI179" s="673"/>
      <c r="GJ179" s="1135"/>
      <c r="GK179" s="1832"/>
      <c r="GM179" s="1693" t="b">
        <f ca="1">IF(AND(GP179=TRUE,GQ179=TRUE),TRUE,FALSE)</f>
        <v>0</v>
      </c>
      <c r="GN179" s="1684" t="b">
        <f>IFERROR(IF(__Retrofit_TI_NC=2,TRUE,IF(AU178="Yes",TRUE,FALSE)),FALSE)</f>
        <v>1</v>
      </c>
      <c r="GP179" s="1684" t="b">
        <f>IFERROR(IF(GP178=1,TRUE,FALSE),FALSE)</f>
        <v>0</v>
      </c>
      <c r="GQ179" s="1684" t="b">
        <f ca="1">IFERROR(IF(GQ178=GQ$14,TRUE,FALSE),FALSE)</f>
        <v>0</v>
      </c>
      <c r="HG179" s="1684" t="b">
        <f>IFERROR(IF(AND(__Retrofit_TI_NC&gt;0,CQ178="Interior"),FALSE,TRUE),FALSE)</f>
        <v>1</v>
      </c>
      <c r="HH179" s="1684" t="b">
        <f>IFERROR(IF(M179=1,TRUE,FALSE),FALSE)</f>
        <v>0</v>
      </c>
      <c r="HI179" s="1684" t="b">
        <f>IFERROR(IF(OR(M180=1,N181="BAM"),TRUE,FALSE),FALSE)</f>
        <v>0</v>
      </c>
      <c r="HJ179" s="1684" t="b">
        <f>IFERROR(IF(__Retrofit_TI_NC&lt;&gt;0,TRUE,IFERROR(IF(VLOOKUP(U179,Fixtures_Existing_List,2,FALSE)&lt;&gt;"",TRUE,FALSE),FALSE)),FALSE)</f>
        <v>0</v>
      </c>
      <c r="HK179" s="1684" t="b">
        <f>IFERROR(IF(VLOOKUP(U180,Fixtures_Proposed_List,2,FALSE)&lt;&gt;"",TRUE,FALSE),FALSE)</f>
        <v>0</v>
      </c>
      <c r="HL179" s="1684" t="b">
        <f>IF(AND(__Retrofit_TI_NC=2,FC178=TRUE),FALSE,TRUE)</f>
        <v>1</v>
      </c>
      <c r="HM179" s="1684" t="b">
        <f>GK178</f>
        <v>1</v>
      </c>
      <c r="HN179" s="1682" t="b">
        <f>IF(ISERROR(MATCH(FE178,_Control_Match[],0))=TRUE,FALSE,TRUE)</f>
        <v>0</v>
      </c>
      <c r="HO179" s="1693" t="b">
        <f>IFERROR(IF(EX178&lt;&gt;EY178,FALSE,TRUE),FALSE)</f>
        <v>1</v>
      </c>
      <c r="HP179" s="1693" t="b">
        <f>IFERROR(IF(EX180&lt;&gt;EY180,FALSE,TRUE),FALSE)</f>
        <v>1</v>
      </c>
      <c r="HQ179" s="1670" t="b">
        <f>IFERROR(IF(CQ178="Exterior",TRUE,IF(AND(OR(FM180=0,FM180=3),JD180&gt;6),FALSE,TRUE)),FALSE)</f>
        <v>0</v>
      </c>
      <c r="HR179" s="1684" t="b">
        <f>IFERROR(IF(AND(FO180=7,FC178=TRUE),FALSE,TRUE),FALSE)</f>
        <v>0</v>
      </c>
      <c r="HS179" s="1684" t="b">
        <f>IFERROR(IF(AND(T180&lt;&gt;AF180,OR(AG180="Interior LLLC", AG180="Interior NLC", AG180="LLLC (outside Daylight)",AG180="LLLC Controls Only"))=TRUE,FALSE,TRUE),FALSE)</f>
        <v>1</v>
      </c>
      <c r="HT179" s="1670" t="b">
        <f>IFERROR(IF(OR(AG180=Lookup!BB$17,AG180=Lookup!BB$18,AG180=Lookup!BB$19)=TRUE,IF(AF180&gt;T180,FALSE,TRUE),TRUE),FALSE)</f>
        <v>1</v>
      </c>
      <c r="HU179" s="1684" t="b">
        <f>IFERROR(IF(__Retrofit_TI_NC=2,IF(EZ180&lt;EZ178,FALSE,TRUE),TRUE),FALSE)</f>
        <v>1</v>
      </c>
      <c r="HV179" s="1684" t="b">
        <f>IF(CQ178="Interior",IL$6,TRUE)</f>
        <v>1</v>
      </c>
      <c r="HW179" s="1684" t="b">
        <f>IF(CQ178="Exterior",IL$8,TRUE)</f>
        <v>1</v>
      </c>
      <c r="HX179" s="1684" t="b">
        <f>IFERROR(IF(__Retrofit_TI_NC&lt;&gt;0,IF(AZ178&lt;AY178,FALSE,TRUE),TRUE),FALSE)</f>
        <v>1</v>
      </c>
      <c r="HY179" s="1684" t="b">
        <f>IFERROR(IF(AND(G179="Exterior",R179&gt;4200),FALSE,TRUE),FALSE)</f>
        <v>1</v>
      </c>
      <c r="HZ179" s="1684" t="b">
        <f>IFERROR(IF(AB181/AB178&lt;HZ$18,FALSE,TRUE),FALSE)</f>
        <v>0</v>
      </c>
      <c r="IB179" s="1691"/>
      <c r="IC179" s="1695"/>
      <c r="ID179" s="1694" t="str">
        <f>VLOOKUP(IB181,_Error_Table,4,FALSE)</f>
        <v>White</v>
      </c>
      <c r="IE179" s="391"/>
      <c r="IF179" s="1688"/>
      <c r="IG179" s="1689"/>
      <c r="IH179" s="1684"/>
      <c r="IK179" s="1689"/>
      <c r="IL179" s="1691"/>
      <c r="IM179" s="1691"/>
      <c r="IN179" s="1691"/>
      <c r="IP179" s="1679"/>
      <c r="IQ179" s="1679"/>
      <c r="IR179" s="1679"/>
      <c r="IS179" s="1679"/>
      <c r="IT179" s="1679"/>
      <c r="IU179" s="1679"/>
      <c r="IV179" s="1679"/>
      <c r="IW179" s="1679"/>
      <c r="IX179" s="1679"/>
      <c r="IY179" s="1679"/>
      <c r="IZ179" s="1679"/>
      <c r="JA179" s="1679"/>
      <c r="JC179" s="1680"/>
      <c r="JD179" s="1670"/>
      <c r="JE179" s="1681"/>
      <c r="JG179" s="1680"/>
      <c r="JH179" s="1670"/>
      <c r="JI179" s="1060"/>
      <c r="JJ179" s="1683"/>
      <c r="JK179" s="1061"/>
      <c r="JL179" s="1683"/>
      <c r="JM179" s="1061"/>
      <c r="JN179" s="1683"/>
      <c r="JO179" s="1061"/>
      <c r="JP179" s="1683"/>
      <c r="JQ179" s="1061"/>
      <c r="JR179" s="1683"/>
      <c r="JS179" s="1061"/>
      <c r="JT179" s="1670"/>
      <c r="JU179" s="1061"/>
      <c r="JV179" s="1670"/>
      <c r="JX179" s="1670"/>
      <c r="JZ179" s="1683"/>
      <c r="KB179" s="1670"/>
    </row>
    <row r="180" spans="1:288" s="78" customFormat="1" ht="14.95" customHeight="1" thickTop="1" thickBot="1">
      <c r="A180" s="78">
        <f>ROW()</f>
        <v>180</v>
      </c>
      <c r="B180" s="1845"/>
      <c r="C180" s="1846"/>
      <c r="D180" s="1847"/>
      <c r="E180" s="1737" t="s">
        <v>298</v>
      </c>
      <c r="F180" s="1738"/>
      <c r="G180" s="1760"/>
      <c r="H180" s="1761"/>
      <c r="I180" s="1761"/>
      <c r="J180" s="1761"/>
      <c r="K180" s="1761"/>
      <c r="L180" s="1762"/>
      <c r="M180" s="461">
        <f>IFERROR(IF(IF(__Retrofit_TI_NC&lt;&gt;0,IF(CQ178="Interior",MATCH(G180,Lookup_Interior_New,0),MATCH(G180,Lookup_Exterior_New,0)),IF(CQ178="Interior",MATCH(G180,Lookup_Interior,0),MATCH(G180,Lookup_Exterior_Areas,0)))&gt;0,1,0),0)</f>
        <v>0</v>
      </c>
      <c r="N180" s="461" t="e">
        <f>IF(__Retrofit_TI_NC=1,
VLOOKUP(G180,'Space Table'!$B$3:$L$163,4,FALSE),
IF(__Retrofit_TI_NC=2,VLOOKUP(G180,'Space Table'!$B$3:$L$163,5,FALSE),VLOOKUP(G180,'Space Table'!$B$3:$L$163,5,FALSE)))</f>
        <v>#N/A</v>
      </c>
      <c r="O180" s="461">
        <f>G180</f>
        <v>0</v>
      </c>
      <c r="P180" s="1738" t="str">
        <f>IFERROR(IF(__Retrofit_TI_NC=1,VLOOKUP(G180,'Space Table'!$B$3:$O$163,13,FALSE),IF(__Retrofit_TI_NC=2,VLOOKUP(G180,'Space Table'!$B$3:$O$163,14,FALSE),"Area (sf):")),"Area (sf):")</f>
        <v>Area (sf):</v>
      </c>
      <c r="Q180" s="1738"/>
      <c r="R180" s="596"/>
      <c r="S180" s="1763" t="s">
        <v>345</v>
      </c>
      <c r="T180" s="594"/>
      <c r="U180" s="1801"/>
      <c r="V180" s="1802"/>
      <c r="W180" s="1802"/>
      <c r="X180" s="1802"/>
      <c r="Y180" s="1802"/>
      <c r="Z180" s="1802"/>
      <c r="AA180" s="1802"/>
      <c r="AB180" s="1802"/>
      <c r="AC180" s="1802"/>
      <c r="AD180" s="1802"/>
      <c r="AE180" s="1803"/>
      <c r="AF180" s="594"/>
      <c r="AG180" s="1787"/>
      <c r="AH180" s="1787"/>
      <c r="AI180" s="1787"/>
      <c r="AJ180" s="1787"/>
      <c r="AK180" s="1787"/>
      <c r="AL180" s="1787"/>
      <c r="AM180" s="1726">
        <f>IFERROR(DI180,"")</f>
        <v>0</v>
      </c>
      <c r="AN180" s="1728" t="str">
        <f>IFERROR(ROUND(AM180*AC181,0),"")</f>
        <v/>
      </c>
      <c r="AO180" s="1730">
        <f>IFERROR(IF(IB178=FALSE,0,AC181-AN180),0)</f>
        <v>0</v>
      </c>
      <c r="AP180" s="1780"/>
      <c r="AQ180" s="1781"/>
      <c r="AR180" s="1795"/>
      <c r="AS180" s="1795"/>
      <c r="AT180" s="1796"/>
      <c r="AU180" s="1735"/>
      <c r="AV180" s="1752"/>
      <c r="AW180" s="1705"/>
      <c r="AX180" s="467"/>
      <c r="AY180" s="1749"/>
      <c r="AZ180" s="1749"/>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696"/>
      <c r="CQ180" s="1696"/>
      <c r="CR180" s="1808" t="str">
        <f>CQ178</f>
        <v/>
      </c>
      <c r="CS180" s="1810" t="str">
        <f>CS178</f>
        <v/>
      </c>
      <c r="CU180" s="1688" t="s">
        <v>345</v>
      </c>
      <c r="CV180" s="1702">
        <f>IF(IB178=TRUE,T180,0)</f>
        <v>0</v>
      </c>
      <c r="CW180" s="1702" t="str">
        <f>IF(IB178=TRUE,U180,"")</f>
        <v/>
      </c>
      <c r="CX180" s="1812">
        <f>IF(IB178=TRUE,U181,0)</f>
        <v>0</v>
      </c>
      <c r="CY180" s="1814">
        <f>IF(IB178=TRUE,AB181,0)</f>
        <v>0</v>
      </c>
      <c r="CZ180" s="1710">
        <f>IF(AND(__Retrofit_TI_NC&gt;0,CR178="interior"),0,IF(IB178=TRUE,AC181,0))</f>
        <v>0</v>
      </c>
      <c r="DA180" s="1818"/>
      <c r="DB180" s="1820"/>
      <c r="DC180" s="1820"/>
      <c r="DD180" s="1820"/>
      <c r="DF180" s="1702">
        <f>IF(IB178=TRUE,AF180,0)</f>
        <v>0</v>
      </c>
      <c r="DG180" s="1830" t="str">
        <f>IF(IB178=TRUE,AG180,"")</f>
        <v/>
      </c>
      <c r="DH180" s="1812">
        <f>AG181</f>
        <v>0</v>
      </c>
      <c r="DI180" s="1837">
        <f>JE180</f>
        <v>0</v>
      </c>
      <c r="DJ180" s="1710">
        <f>IF(AND(__Retrofit_TI_NC&gt;0,CR178="interior"),0,IF(IB178=TRUE,AN180,0))</f>
        <v>0</v>
      </c>
      <c r="DK180" s="1712"/>
      <c r="DN180" s="1717">
        <f>IFERROR(CZ180-DJ180,0)</f>
        <v>0</v>
      </c>
      <c r="DO180" s="1709"/>
      <c r="DQ180" s="1715"/>
      <c r="DR180" s="1719" t="str">
        <f>DQ178</f>
        <v/>
      </c>
      <c r="DS180" s="1816"/>
      <c r="DT180" s="1835" t="str">
        <f>IF(OR(DS178=7,DS178=8,DS178=9),"ALC","")</f>
        <v/>
      </c>
      <c r="DU180" s="1715"/>
      <c r="DV180" s="1716"/>
      <c r="DX180" s="1715"/>
      <c r="DY180" s="1829" t="str">
        <f>DX178</f>
        <v/>
      </c>
      <c r="DZ180" s="1715"/>
      <c r="EA180" s="1715"/>
      <c r="EC180" s="1834"/>
      <c r="ED180" s="1834"/>
      <c r="EF180" s="1707"/>
      <c r="EG180" s="1712"/>
      <c r="EH180" s="1818"/>
      <c r="EI180" s="1712"/>
      <c r="EJ180" s="1712"/>
      <c r="EK180" s="1836"/>
      <c r="EL180" s="1836"/>
      <c r="EM180" s="1807"/>
      <c r="EN180" s="1839"/>
      <c r="EO180" s="1839"/>
      <c r="EP180" s="1817"/>
      <c r="EQ180" s="1817"/>
      <c r="ER180" s="1807"/>
      <c r="ES180" s="1807"/>
      <c r="ET180" s="1807"/>
      <c r="EV180" s="1715"/>
      <c r="EX180" s="1805" t="str">
        <f>IFERROR(VLOOKUP(CS180,'Space Table'!$B$3:$L$163,8,FALSE),"")</f>
        <v/>
      </c>
      <c r="EY180" s="1805" t="str">
        <f>IFERROR(IF(FB180="Yes",VLOOKUP(AG180,Lookup_Control_Type_Table2,4,FALSE),VLOOKUP(AG180,Lookup_Control_Type_Table2,3,FALSE)),"")</f>
        <v/>
      </c>
      <c r="EZ180" s="1805" t="e">
        <f>VLOOKUP(AG180,Lookup!BB$3:BC$20,2,FALSE)</f>
        <v>#N/A</v>
      </c>
      <c r="FA180" s="1805" t="e">
        <f>VLOOKUP(EX178,Lookup_Control_Type_Table,2,FALSE)</f>
        <v>#N/A</v>
      </c>
      <c r="FB180" s="1805" t="e">
        <f>VLOOKUP(CS180,'Space Table'!$B$3:$L$163,7,FALSE)</f>
        <v>#N/A</v>
      </c>
      <c r="FC180" s="1827"/>
      <c r="FE180" s="1698" t="str">
        <f>CONCATENATE(CQ178," - ",AG180)</f>
        <v xml:space="preserve"> - </v>
      </c>
      <c r="FG180" s="1816"/>
      <c r="FH180" s="1816"/>
      <c r="FI180" s="133"/>
      <c r="FL180" s="1822" t="str">
        <f>IF(CQ178="Exterior","Not Daylighted",G181)</f>
        <v>Not Daylighted</v>
      </c>
      <c r="FM180" s="1824">
        <f>VLOOKUP(FL180,_New_Daylight_Table_Codes,2,FALSE)</f>
        <v>0</v>
      </c>
      <c r="FN180" s="1698">
        <f>AG180</f>
        <v>0</v>
      </c>
      <c r="FO180" s="1698" t="e">
        <f>VLOOKUP(FN180,_Control_Table,2,FALSE)</f>
        <v>#N/A</v>
      </c>
      <c r="FP180" s="1678" t="e">
        <f>VLOOKUP(CONCATENATE(FL180," ",FN180),Lookup!AY$102:AZ191,2,FALSE)</f>
        <v>#N/A</v>
      </c>
      <c r="FQ180" s="1698">
        <f>IF(__Retrofit_TI_NC=0,FN180,IF(AND(FT180&gt;0,FN180="Occupancy Sensor"),"Daylight + Occupancy",IF(AND(FT180&gt;0,FO180&lt;4),"Interior Daylight Dimming",FN180)))</f>
        <v>0</v>
      </c>
      <c r="FS180" s="1686">
        <f>IF(CQ178="Interior",VLOOKUP(CS178,Control_Savings_Interior,5,FALSE),0)</f>
        <v>0</v>
      </c>
      <c r="FT180" s="1687">
        <f>IF(CQ180="Exterior",0,IF(FM180=2,0.5,IF(OR(FM180=1,FM180=3),1,0)))</f>
        <v>0</v>
      </c>
      <c r="FU180" s="1685">
        <f>IF(R179&gt;FS$44,(FS180*(FS$44/R179)),FS180)*FT180</f>
        <v>0</v>
      </c>
      <c r="FV180" s="1686">
        <f>DI180</f>
        <v>0</v>
      </c>
      <c r="FW180" s="1686">
        <f>ROUND(FV180+((1-FV180)*FU180),2)</f>
        <v>0</v>
      </c>
      <c r="FX180" s="1686">
        <f>IF(__Retrofit_TI_NC=2,FW180,FV180)</f>
        <v>0</v>
      </c>
      <c r="FY180" s="1697">
        <f>IF(CR180="Interior",VLOOKUP(CS180,Control_Savings_Interior,4,FALSE),0)</f>
        <v>0</v>
      </c>
      <c r="GA180" s="1696"/>
      <c r="GB180" s="1696"/>
      <c r="GC180" s="1696"/>
      <c r="GD180" s="1696"/>
      <c r="GE180" s="1696"/>
      <c r="GF180" s="1696"/>
      <c r="GG180" s="1696"/>
      <c r="GH180" s="1696"/>
      <c r="GI180" s="673" t="b">
        <f>IF(ISNUMBER(SEARCH("TLED",U180)),TRUE,FALSE)</f>
        <v>0</v>
      </c>
      <c r="GJ180" s="1135" t="str">
        <f>IFERROR(VLOOKUP(U180,Fixtures!DM$93:DR$142,6,FALSE),"")</f>
        <v/>
      </c>
      <c r="GK180" s="1832"/>
      <c r="GM180" s="1692"/>
      <c r="GN180" s="1684"/>
      <c r="GP180" s="1684"/>
      <c r="GQ180" s="1684"/>
      <c r="HG180" s="1684"/>
      <c r="HH180" s="1684"/>
      <c r="HI180" s="1684"/>
      <c r="HJ180" s="1684"/>
      <c r="HK180" s="1684"/>
      <c r="HL180" s="1684"/>
      <c r="HM180" s="1684"/>
      <c r="HN180" s="1683"/>
      <c r="HO180" s="1692"/>
      <c r="HP180" s="1692"/>
      <c r="HQ180" s="1670"/>
      <c r="HR180" s="1684"/>
      <c r="HS180" s="1684"/>
      <c r="HT180" s="1670"/>
      <c r="HU180" s="1684"/>
      <c r="HV180" s="1684"/>
      <c r="HW180" s="1684"/>
      <c r="HX180" s="1684"/>
      <c r="HY180" s="1684"/>
      <c r="HZ180" s="1684"/>
      <c r="IB180" s="1692"/>
      <c r="IC180" s="1693" t="b">
        <f>IB178</f>
        <v>0</v>
      </c>
      <c r="ID180" s="1695"/>
      <c r="IE180" s="391"/>
      <c r="IF180" s="1688"/>
      <c r="IG180" s="1689">
        <f ca="1">IF(IF178=TRUE,AC181,0)</f>
        <v>0</v>
      </c>
      <c r="IH180" s="1684"/>
      <c r="IK180" s="1689" t="e">
        <f>ROUND(T180*AB181*N179*R179/1000,0)</f>
        <v>#VALUE!</v>
      </c>
      <c r="IL180" s="1691"/>
      <c r="IM180" s="1693" t="e">
        <f>ROUND(T180*AB181*N179*R179/1000,0)</f>
        <v>#VALUE!</v>
      </c>
      <c r="IN180" s="1691"/>
      <c r="IP180" s="1679"/>
      <c r="IQ180" s="1679" t="e">
        <f t="shared" ref="IQ180:IU180" si="142">IF($CR180="interior",VLOOKUP($CS180,_New_Control_Savings_Interior,IQ$30,FALSE),VLOOKUP($CS180,Control_Savings_Exterior,IQ$30,FALSE))</f>
        <v>#N/A</v>
      </c>
      <c r="IR180" s="1679" t="e">
        <f t="shared" si="142"/>
        <v>#N/A</v>
      </c>
      <c r="IS180" s="1679" t="e">
        <f t="shared" si="142"/>
        <v>#N/A</v>
      </c>
      <c r="IT180" s="1679" t="e">
        <f t="shared" si="142"/>
        <v>#N/A</v>
      </c>
      <c r="IU180" s="1679" t="e">
        <f t="shared" si="142"/>
        <v>#N/A</v>
      </c>
      <c r="IV180" s="1679" t="e">
        <f>IF($CR180="interior",IF(R179&gt;$IP$14,ROUND(($IV$18*($IP$14/R179)),2),$IV$18),VLOOKUP($CS180,Control_Savings_Exterior,IV$30,FALSE))</f>
        <v>#N/A</v>
      </c>
      <c r="IW180" s="1679" t="e">
        <f>IF($CR180="interior",ROUND(((1-IS180)*IV180)+IS180,2),VLOOKUP($CS180,Control_Savings_Exterior,IW$30,FALSE))</f>
        <v>#N/A</v>
      </c>
      <c r="IX180" s="1679" t="e">
        <f>IF($CR180="interior",ROUND(((1-IT180)*IV180)+IT180,2),VLOOKUP($CS180,Control_Savings_Exterior,IX$30,FALSE))</f>
        <v>#N/A</v>
      </c>
      <c r="IY180" s="1679" t="e">
        <f>IF($CR180="interior",IF(R179&gt;$IP$14,ROUND(($IY$18*($IP$14/R179)),2),$IY$18),VLOOKUP($CS180,Control_Savings_Exterior,IY$30,FALSE))</f>
        <v>#N/A</v>
      </c>
      <c r="IZ180" s="1679" t="e">
        <f>IF($CR180="interior",ROUND(((1-IS180)*IY180)+IS180,2),VLOOKUP($CS180,Control_Savings_Exterior,IZ$30,FALSE))</f>
        <v>#N/A</v>
      </c>
      <c r="JA180" s="1679" t="e">
        <f>IF($CR180="interior",ROUND(((1-IT180)*IY180)+IT180,2),VLOOKUP($CS180,Control_Savings_Exterior,JA$30,FALSE))</f>
        <v>#N/A</v>
      </c>
      <c r="JC180" s="1680">
        <f>IFERROR(IF(CR180="Interior",CONCATENATE(G181," ",FQ180),AG180),"")</f>
        <v>0</v>
      </c>
      <c r="JD180" s="1670" t="str">
        <f>IFERROR(VLOOKUP(JC180,_Controls_2023,2,FALSE),"")</f>
        <v/>
      </c>
      <c r="JE180" s="1681">
        <f>IFERROR(CHOOSE(JD180-1,IQ180,IR180,IS180,IT180,IU180,IV180,IW180,IX180,IY180,IZ180,JA180),0)</f>
        <v>0</v>
      </c>
      <c r="JG180" s="1680" t="str">
        <f>FE180</f>
        <v xml:space="preserve"> - </v>
      </c>
      <c r="JH180" s="1670" t="e">
        <f>$FO180</f>
        <v>#N/A</v>
      </c>
      <c r="JI180" s="1060"/>
      <c r="JJ180" s="1670">
        <f>IFERROR(IF($IB178=TRUE,IF(OR(JJ$14="No",JJ178=FALSE,JH180&lt;=JH178,AND(_kWh_Grant=0,GD178=FALSE)),0,IF(JJ$8="Per Line",1,$AF180)),0),0)</f>
        <v>0</v>
      </c>
      <c r="JK180" s="1061"/>
      <c r="JL180" s="1670">
        <f>IFERROR(IF(_kWh_Grant=0,0,IF($IB178=TRUE,IF(OR(JL$14="No",JL178=FALSE,JH180&lt;=JH178),0,IF(JL$8="Per Line",1,$T180)),0)),0)</f>
        <v>0</v>
      </c>
      <c r="JM180" s="1061"/>
      <c r="JN180" s="1670">
        <f>IFERROR(IF(_kWh_Grant=0,0,IF($IB178=TRUE,IF(OR(JN$14="No",JN178=FALSE,JH180&lt;=JH178),0,IF(JN$8="Per Line",1,$AF180)),0)),0)</f>
        <v>0</v>
      </c>
      <c r="JO180" s="1061"/>
      <c r="JP180" s="1670">
        <f>IFERROR(IF(__Retrofit_TI_NC=0,IF(_kWh_Grant=0,0,IF($IB178=TRUE,IF(OR(JP$14="No",JP178=FALSE,$JH180&lt;=$JH178),0,IF(JP$8="Per Line",1,$AF180)),0)),IF($IB178=TRUE,IF(OR(JP$14="No",JP178=FALSE,$JH180&lt;=$JH178),0,IF(JP$8="Per Line",1,$AF180)))),0)</f>
        <v>0</v>
      </c>
      <c r="JQ180" s="1061"/>
      <c r="JR180" s="1670">
        <f>IFERROR(IF(__Retrofit_TI_NC=0,IF(_kWh_Grant=0,0,IF($IB178=TRUE,IF(OR(JR$14="No",JR178=FALSE,$JH180&lt;=$JH178),0,IF(JR$8="Per Line",1,$AF180)),0)),IF($IB178=TRUE,IF(OR(JR$14="No",JR178=FALSE,$JH180&lt;=$JH178),0,IF(JR$8="Per Line",1,$AF180)))),0)</f>
        <v>0</v>
      </c>
      <c r="JS180" s="1061"/>
      <c r="JT180" s="1670">
        <f>IFERROR(IF(__Retrofit_TI_NC=0,IF(_kWh_Grant=0,0,IF($IB178=TRUE,IF(OR(JT$14="No",JT178=FALSE,$JH180&lt;=$JH178),0,IF(JT$8="Per Line",1,$AF180)),0)),IF($IB178=TRUE,IF(OR(JT$14="No",JT178=FALSE,$JH180&lt;=$JH178),0,IF(JT$8="Per Line",1,$AF180)))),0)</f>
        <v>0</v>
      </c>
      <c r="JU180" s="1061"/>
      <c r="JV180" s="1670">
        <f>IFERROR(IF(__Retrofit_TI_NC=0,IF(_kWh_Grant=0,0,IF($IB178=TRUE,IF(OR(JV$14="No",JV178=FALSE,$JH180&lt;=$JH178),0,IF(JV$8="Per Line",1,$AF180)),0)),IF($IB178=TRUE,IF(OR(JV$14="No",JV178=FALSE,$JH180&lt;=$JH178),0,IF(JV$8="Per Line",1,$AF180)))),0)</f>
        <v>0</v>
      </c>
      <c r="JX180" s="1670">
        <f>IFERROR(IF(__Retrofit_TI_NC=0,IF(_kWh_Grant=0,0,IF($IB178=TRUE,IF(OR(JX$14="No",JX178=FALSE,$JH180&lt;=$JH178),0,IF(JX$8="Per Line",1,$AF180)),0)),IF($IB178=TRUE,IF(OR(JX$14="No",JX178=FALSE,$JH180&lt;=$JH178),0,IF(JX$8="Per Line",1,$AF180)))),0)</f>
        <v>0</v>
      </c>
      <c r="JZ180" s="1670">
        <f>IFERROR(IF($IB178=TRUE,IF(OR(JZ$14="No",JZ178=FALSE,$JH180&lt;=$JH178,AND(_kWh_Grant=0,$GD178=FALSE)),0,IF(JZ$8="Per Line",1,$AF180)),0),0)</f>
        <v>0</v>
      </c>
      <c r="KB180" s="1670">
        <f>IFERROR(IF(__Retrofit_TI_NC=0,IF(_kWh_Grant=0,0,IF($IB178=TRUE,IF(OR(KB$14="No",KB178=FALSE,$JH180&lt;=$JH178),0,IF(KB$8="Per Line",1,$AF180)),0)),IF($IB178=TRUE,IF(OR(KB$14="No",KB178=FALSE,$JH180&lt;=$JH178),0,IF(KB$8="Per Line",1,$AF180)))),0)</f>
        <v>0</v>
      </c>
    </row>
    <row r="181" spans="1:288" s="78" customFormat="1" ht="14.95" customHeight="1" thickTop="1" thickBot="1">
      <c r="B181" s="1845"/>
      <c r="C181" s="1846"/>
      <c r="D181" s="1847"/>
      <c r="E181" s="1771" t="s">
        <v>436</v>
      </c>
      <c r="F181" s="1772"/>
      <c r="G181" s="1784" t="s">
        <v>437</v>
      </c>
      <c r="H181" s="1785"/>
      <c r="I181" s="1785"/>
      <c r="J181" s="1785"/>
      <c r="K181" s="1785"/>
      <c r="L181" s="1786"/>
      <c r="M181" s="591">
        <f>IFERROR(VLOOKUP(G181,_Daylight_Table[],2,FALSE),0)</f>
        <v>0</v>
      </c>
      <c r="N181" s="592" t="str">
        <f>IF(AND(__Retrofit_TI_NC&gt;0,CQ178="Interior"),"BAM","")</f>
        <v/>
      </c>
      <c r="O181" s="591" t="e">
        <f>VLOOKUP(G180,'Space Table'!$B$3:$L$163,11,FALSE)</f>
        <v>#N/A</v>
      </c>
      <c r="P181" s="1789"/>
      <c r="Q181" s="1790"/>
      <c r="R181" s="1790"/>
      <c r="S181" s="1788"/>
      <c r="T181" s="593" t="s">
        <v>342</v>
      </c>
      <c r="U181" s="1756" t="str" cm="1">
        <f t="array" aca="1" ref="U181" ca="1">IFERROR(VLOOKUP(INDIRECT("U" &amp; ROW()-1),Fixtures!DM$93:DP$142,4,FALSE),"")</f>
        <v/>
      </c>
      <c r="V181" s="1757"/>
      <c r="W181" s="1757"/>
      <c r="X181" s="1757"/>
      <c r="Y181" s="1757"/>
      <c r="Z181" s="1757"/>
      <c r="AA181" s="1758"/>
      <c r="AB181" s="939" t="str">
        <f>IFERROR(VLOOKUP(U180,Fixtures_Proposed_List,2,FALSE),"")</f>
        <v/>
      </c>
      <c r="AC181" s="933" t="str">
        <f>IFERROR(ROUND(T180*AB181*N179*R179/1000,0),"")</f>
        <v/>
      </c>
      <c r="AD181" s="934" t="str">
        <f>IFERROR(ROUND(T180*AB181/1000,2),"")</f>
        <v/>
      </c>
      <c r="AE181" s="998"/>
      <c r="AF181" s="938" t="s">
        <v>342</v>
      </c>
      <c r="AG181" s="1770"/>
      <c r="AH181" s="1770"/>
      <c r="AI181" s="1770"/>
      <c r="AJ181" s="1770"/>
      <c r="AK181" s="1770"/>
      <c r="AL181" s="1770"/>
      <c r="AM181" s="1727"/>
      <c r="AN181" s="1729"/>
      <c r="AO181" s="1731"/>
      <c r="AP181" s="1782"/>
      <c r="AQ181" s="1783"/>
      <c r="AR181" s="1797"/>
      <c r="AS181" s="1797"/>
      <c r="AT181" s="1798"/>
      <c r="AU181" s="1736"/>
      <c r="AV181" s="1753"/>
      <c r="AW181" s="1706"/>
      <c r="AX181" s="468"/>
      <c r="AY181" s="1750"/>
      <c r="AZ181" s="1750"/>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696"/>
      <c r="CQ181" s="1696"/>
      <c r="CR181" s="1809"/>
      <c r="CS181" s="1811"/>
      <c r="CU181" s="1688"/>
      <c r="CV181" s="1703"/>
      <c r="CW181" s="1703"/>
      <c r="CX181" s="1813"/>
      <c r="CY181" s="1815"/>
      <c r="CZ181" s="1711"/>
      <c r="DA181" s="1815"/>
      <c r="DB181" s="1821"/>
      <c r="DC181" s="1821"/>
      <c r="DD181" s="1821"/>
      <c r="DF181" s="1703"/>
      <c r="DG181" s="1831"/>
      <c r="DH181" s="1813"/>
      <c r="DI181" s="1838"/>
      <c r="DJ181" s="1711"/>
      <c r="DK181" s="1712"/>
      <c r="DN181" s="1718"/>
      <c r="DO181" s="1709"/>
      <c r="DQ181" s="1715"/>
      <c r="DR181" s="1720"/>
      <c r="DS181" s="1703"/>
      <c r="DT181" s="1714"/>
      <c r="DU181" s="1715"/>
      <c r="DV181" s="1716"/>
      <c r="DX181" s="1715"/>
      <c r="DY181" s="1720"/>
      <c r="DZ181" s="1715"/>
      <c r="EA181" s="1715"/>
      <c r="EC181" s="1834"/>
      <c r="ED181" s="1834"/>
      <c r="EF181" s="1707"/>
      <c r="EG181" s="1712"/>
      <c r="EH181" s="1815"/>
      <c r="EI181" s="1712"/>
      <c r="EJ181" s="1712"/>
      <c r="EK181" s="1813"/>
      <c r="EL181" s="1813"/>
      <c r="EM181" s="1807"/>
      <c r="EN181" s="1839"/>
      <c r="EO181" s="1839"/>
      <c r="EP181" s="1817"/>
      <c r="EQ181" s="1817"/>
      <c r="ER181" s="1807"/>
      <c r="ES181" s="1807"/>
      <c r="ET181" s="1807"/>
      <c r="EV181" s="1715"/>
      <c r="EX181" s="1806"/>
      <c r="EY181" s="1806"/>
      <c r="EZ181" s="1806"/>
      <c r="FA181" s="1806"/>
      <c r="FB181" s="1806"/>
      <c r="FC181" s="1828"/>
      <c r="FE181" s="1698"/>
      <c r="FG181" s="1703"/>
      <c r="FH181" s="1703"/>
      <c r="FI181" s="133"/>
      <c r="FL181" s="1823"/>
      <c r="FM181" s="1825"/>
      <c r="FN181" s="1698"/>
      <c r="FO181" s="1698"/>
      <c r="FP181" s="1678"/>
      <c r="FQ181" s="1698"/>
      <c r="FS181" s="1687"/>
      <c r="FT181" s="1687"/>
      <c r="FU181" s="1685"/>
      <c r="FV181" s="1687"/>
      <c r="FW181" s="1687"/>
      <c r="FX181" s="1687"/>
      <c r="FY181" s="1697"/>
      <c r="GA181" s="1696"/>
      <c r="GB181" s="1696"/>
      <c r="GC181" s="1696"/>
      <c r="GD181" s="1696"/>
      <c r="GE181" s="1696"/>
      <c r="GF181" s="1696"/>
      <c r="GG181" s="1696"/>
      <c r="GH181" s="1696"/>
      <c r="GI181" s="673"/>
      <c r="GJ181" s="1135"/>
      <c r="GK181" s="1832"/>
      <c r="GN181" s="674">
        <f>IF(GN179=TRUE,0,GN$16)</f>
        <v>0</v>
      </c>
      <c r="GP181" s="674">
        <f>IF(GP179=TRUE,0,GP$16)</f>
        <v>36</v>
      </c>
      <c r="GQ181" s="674">
        <f ca="1">IF(GQ179=TRUE,0,GQ$16)</f>
        <v>35</v>
      </c>
      <c r="GR181" s="391"/>
      <c r="GS181" s="391"/>
      <c r="GT181" s="391"/>
      <c r="GU181" s="391"/>
      <c r="GV181" s="391"/>
      <c r="HG181" s="674">
        <f>IF(HG179=TRUE,0,HG$16)</f>
        <v>0</v>
      </c>
      <c r="HH181" s="674">
        <f t="shared" ref="HH181:HM181" si="143">IF(HH179=TRUE,0,HH$16)</f>
        <v>19</v>
      </c>
      <c r="HI181" s="674">
        <f t="shared" si="143"/>
        <v>18</v>
      </c>
      <c r="HJ181" s="674">
        <f t="shared" si="143"/>
        <v>17</v>
      </c>
      <c r="HK181" s="674">
        <f t="shared" si="143"/>
        <v>16</v>
      </c>
      <c r="HL181" s="674">
        <f t="shared" si="143"/>
        <v>0</v>
      </c>
      <c r="HM181" s="674">
        <f t="shared" si="143"/>
        <v>0</v>
      </c>
      <c r="HN181" s="674">
        <f>IF(HN179=TRUE,0,HN$16)</f>
        <v>13</v>
      </c>
      <c r="HO181" s="674">
        <f t="shared" ref="HO181:HQ181" si="144">IF(HO179=TRUE,0,HO$16)</f>
        <v>0</v>
      </c>
      <c r="HP181" s="674">
        <f t="shared" si="144"/>
        <v>0</v>
      </c>
      <c r="HQ181" s="674">
        <f t="shared" si="144"/>
        <v>10</v>
      </c>
      <c r="HR181" s="674">
        <f>IF(HR179=TRUE,0,HR$16)</f>
        <v>9</v>
      </c>
      <c r="HS181" s="674">
        <f t="shared" ref="HS181:HW181" si="145">IF(HS179=TRUE,0,HS$16)</f>
        <v>0</v>
      </c>
      <c r="HT181" s="674">
        <f t="shared" si="145"/>
        <v>0</v>
      </c>
      <c r="HU181" s="674">
        <f t="shared" si="145"/>
        <v>0</v>
      </c>
      <c r="HV181" s="674">
        <f t="shared" si="145"/>
        <v>0</v>
      </c>
      <c r="HW181" s="674">
        <f t="shared" si="145"/>
        <v>0</v>
      </c>
      <c r="HX181" s="674">
        <f>IF(HX179=TRUE,0,HX$16)</f>
        <v>0</v>
      </c>
      <c r="HY181" s="674">
        <f>IF(HY179=TRUE,0,HY$16)</f>
        <v>0</v>
      </c>
      <c r="HZ181" s="674">
        <f>IF(HZ179=TRUE,0,HZ$16)</f>
        <v>1</v>
      </c>
      <c r="IB181" s="674">
        <f>IF(GP179=FALSE,GP181,IF(GQ179=FALSE,GQ181,MAX(GN181:HZ181)))</f>
        <v>36</v>
      </c>
      <c r="IC181" s="1692"/>
      <c r="ID181" s="205" t="str">
        <f>VLOOKUP(IB181,_Error_Table,3,FALSE)</f>
        <v xml:space="preserve"> </v>
      </c>
      <c r="IE181" s="205"/>
      <c r="IF181" s="1688"/>
      <c r="IG181" s="1689"/>
      <c r="IH181" s="1684"/>
      <c r="IK181" s="1689"/>
      <c r="IL181" s="1692"/>
      <c r="IM181" s="1692"/>
      <c r="IN181" s="1692"/>
      <c r="IP181" s="1679"/>
      <c r="IQ181" s="1679"/>
      <c r="IR181" s="1679"/>
      <c r="IS181" s="1679"/>
      <c r="IT181" s="1679"/>
      <c r="IU181" s="1679"/>
      <c r="IV181" s="1679"/>
      <c r="IW181" s="1679"/>
      <c r="IX181" s="1679"/>
      <c r="IY181" s="1679"/>
      <c r="IZ181" s="1679"/>
      <c r="JA181" s="1679"/>
      <c r="JC181" s="1680"/>
      <c r="JD181" s="1670"/>
      <c r="JE181" s="1681"/>
      <c r="JG181" s="1680"/>
      <c r="JH181" s="1670"/>
      <c r="JI181" s="1060"/>
      <c r="JJ181" s="1670"/>
      <c r="JK181" s="1061"/>
      <c r="JL181" s="1670"/>
      <c r="JM181" s="1061"/>
      <c r="JN181" s="1670"/>
      <c r="JO181" s="1061"/>
      <c r="JP181" s="1670"/>
      <c r="JQ181" s="1061"/>
      <c r="JR181" s="1670"/>
      <c r="JS181" s="1061"/>
      <c r="JT181" s="1670"/>
      <c r="JU181" s="1061"/>
      <c r="JV181" s="1670"/>
      <c r="JX181" s="1670"/>
      <c r="JZ181" s="1670"/>
      <c r="KB181" s="1670"/>
    </row>
    <row r="182" spans="1:288" s="78" customFormat="1" ht="5.0999999999999996" customHeight="1">
      <c r="B182" s="676"/>
      <c r="C182" s="392"/>
      <c r="D182" s="392"/>
      <c r="E182" s="1733"/>
      <c r="F182" s="1733"/>
      <c r="G182" s="1733"/>
      <c r="H182" s="1733"/>
      <c r="I182" s="1733"/>
      <c r="J182" s="1733"/>
      <c r="K182" s="1733"/>
      <c r="L182" s="1733"/>
      <c r="M182" s="1733"/>
      <c r="N182" s="1733"/>
      <c r="O182" s="1733"/>
      <c r="P182" s="1733"/>
      <c r="Q182" s="1733"/>
      <c r="R182" s="1733"/>
      <c r="S182" s="1733"/>
      <c r="T182" s="1733"/>
      <c r="U182" s="1733"/>
      <c r="V182" s="1733"/>
      <c r="W182" s="1733"/>
      <c r="X182" s="1733"/>
      <c r="Y182" s="1733"/>
      <c r="Z182" s="1733"/>
      <c r="AA182" s="1733"/>
      <c r="AB182" s="1733"/>
      <c r="AC182" s="1733"/>
      <c r="AD182" s="1733"/>
      <c r="AE182" s="1733"/>
      <c r="AF182" s="1733"/>
      <c r="AG182" s="1733"/>
      <c r="AH182" s="1733"/>
      <c r="AI182" s="1733"/>
      <c r="AJ182" s="1733"/>
      <c r="AK182" s="1733"/>
      <c r="AL182" s="1733"/>
      <c r="AM182" s="1733"/>
      <c r="AN182" s="1733"/>
      <c r="AO182" s="1733"/>
      <c r="AP182" s="1733"/>
      <c r="AQ182" s="1733"/>
      <c r="AR182" s="1733"/>
      <c r="AS182" s="1733"/>
      <c r="AT182" s="1733"/>
      <c r="AU182" s="1733"/>
      <c r="AV182" s="1733"/>
      <c r="AW182" s="1733"/>
      <c r="AX182" s="469"/>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663"/>
      <c r="CQ182" s="663"/>
      <c r="CR182" s="438"/>
      <c r="CS182" s="663"/>
      <c r="CV182" s="391"/>
      <c r="CW182" s="391"/>
      <c r="CX182" s="207"/>
      <c r="CY182" s="208"/>
      <c r="CZ182" s="208"/>
      <c r="DA182" s="208"/>
      <c r="DB182" s="209"/>
      <c r="DC182" s="209"/>
      <c r="DD182" s="209"/>
      <c r="DF182" s="664"/>
      <c r="DG182" s="665"/>
      <c r="DH182" s="666"/>
      <c r="DI182" s="667"/>
      <c r="DJ182" s="668"/>
      <c r="DK182" s="668"/>
      <c r="DN182" s="208"/>
      <c r="DO182" s="664"/>
      <c r="DQ182" s="664"/>
      <c r="DR182" s="669"/>
      <c r="DS182" s="391"/>
      <c r="DT182" s="664"/>
      <c r="DU182" s="664"/>
      <c r="DV182" s="664"/>
      <c r="DX182" s="664"/>
      <c r="DY182" s="664"/>
      <c r="DZ182" s="664"/>
      <c r="EA182" s="664"/>
      <c r="EC182" s="670"/>
      <c r="ED182" s="670"/>
      <c r="EF182" s="668"/>
      <c r="EG182" s="668"/>
      <c r="EH182" s="208"/>
      <c r="EI182" s="668"/>
      <c r="EJ182" s="668"/>
      <c r="EK182" s="207"/>
      <c r="EL182" s="207"/>
      <c r="EM182" s="666"/>
      <c r="EN182" s="671"/>
      <c r="EO182" s="671"/>
      <c r="EP182" s="672"/>
      <c r="EQ182" s="672"/>
      <c r="ER182" s="666"/>
      <c r="ES182" s="666"/>
      <c r="ET182" s="666"/>
      <c r="EV182" s="664"/>
      <c r="EX182" s="391"/>
      <c r="EY182" s="391"/>
      <c r="EZ182" s="391"/>
      <c r="FA182" s="391"/>
      <c r="FB182" s="391"/>
      <c r="FC182" s="391"/>
      <c r="FE182" s="569"/>
      <c r="FG182" s="391"/>
      <c r="FH182" s="391"/>
      <c r="FI182" s="391"/>
      <c r="FS182" s="664"/>
      <c r="FT182" s="391"/>
      <c r="FU182" s="391"/>
      <c r="FV182" s="664"/>
      <c r="FW182" s="664"/>
      <c r="GA182" s="663"/>
      <c r="GB182" s="663"/>
      <c r="GC182" s="663"/>
      <c r="GD182" s="663"/>
      <c r="GE182" s="663"/>
      <c r="GF182" s="663"/>
      <c r="GG182" s="663"/>
      <c r="GH182" s="663"/>
      <c r="GI182" s="665"/>
      <c r="GJ182" s="664"/>
      <c r="GK182" s="664"/>
    </row>
    <row r="183" spans="1:288" s="78" customFormat="1" ht="14.95" customHeight="1">
      <c r="B183" s="1845" t="str">
        <f>ID186</f>
        <v xml:space="preserve"> </v>
      </c>
      <c r="C183" s="1846">
        <f>C178+1</f>
        <v>27</v>
      </c>
      <c r="D183" s="1847"/>
      <c r="E183" s="1799" t="s">
        <v>295</v>
      </c>
      <c r="F183" s="1800"/>
      <c r="G183" s="1741"/>
      <c r="H183" s="1742"/>
      <c r="I183" s="1742"/>
      <c r="J183" s="1742"/>
      <c r="K183" s="1742"/>
      <c r="L183" s="1742"/>
      <c r="M183" s="1742"/>
      <c r="N183" s="1742"/>
      <c r="O183" s="1742"/>
      <c r="P183" s="1742"/>
      <c r="Q183" s="1742"/>
      <c r="R183" s="1742"/>
      <c r="S183" s="1791" t="s">
        <v>344</v>
      </c>
      <c r="T183" s="590"/>
      <c r="U183" s="1743"/>
      <c r="V183" s="1744"/>
      <c r="W183" s="1744"/>
      <c r="X183" s="1744"/>
      <c r="Y183" s="1744"/>
      <c r="Z183" s="1744"/>
      <c r="AA183" s="1744"/>
      <c r="AB183" s="961" t="str">
        <f>IFERROR(IF(__Retrofit_TI_NC=0,VLOOKUP(U184,Fixtures_Existing_List,2,FALSE),ROUND(N185*R185/T185,10)),"")</f>
        <v/>
      </c>
      <c r="AC183" s="935" t="str">
        <f>IFERROR(IF(__Retrofit_TI_NC=0,ROUND(T184*AB183*N184*R184/1000,0),IF(CQ183="Interior",N185*R185*R184*N184*_C406_reduction/1000,N185*R185*R184*N184/1000)),"")</f>
        <v/>
      </c>
      <c r="AD183" s="936" t="str">
        <f>IFERROR(IF(C$43=0,ROUND(T184*AB183/1000,2),N185*R185/1000),"")</f>
        <v/>
      </c>
      <c r="AE183" s="997"/>
      <c r="AF183" s="937"/>
      <c r="AG183" s="1745" t="str">
        <f>IF(__Retrofit_TI_NC=0," Control","Select Advanced Control for New System")</f>
        <v xml:space="preserve"> Control</v>
      </c>
      <c r="AH183" s="1745"/>
      <c r="AI183" s="1745"/>
      <c r="AJ183" s="1745"/>
      <c r="AK183" s="1745"/>
      <c r="AL183" s="1745"/>
      <c r="AM183" s="1746">
        <f>IFERROR(DI183,"")</f>
        <v>0</v>
      </c>
      <c r="AN183" s="1774" t="str">
        <f>IFERROR(ROUND(AM183*AC183,0),"")</f>
        <v/>
      </c>
      <c r="AO183" s="1776">
        <f>IFERROR(IF(IB183=FALSE,0,AC183-AN183),0)</f>
        <v>0</v>
      </c>
      <c r="AP183" s="1778">
        <f>AO183-AO185</f>
        <v>0</v>
      </c>
      <c r="AQ183" s="1779"/>
      <c r="AR183" s="1793">
        <f>IFERROR(IF(IB183=FALSE,0,(T185*U186)+(AF185*AG186)),0)</f>
        <v>0</v>
      </c>
      <c r="AS183" s="1793"/>
      <c r="AT183" s="1794"/>
      <c r="AU183" s="1734" t="s">
        <v>237</v>
      </c>
      <c r="AV183" s="1751">
        <f>IF(AU183="Yes",1,0)</f>
        <v>1</v>
      </c>
      <c r="AW183" s="1704" t="str">
        <f>IF(OR(DQ183=4,DQ183=5,DQ183=6,DQ183=12),CONCATENATE("$",IF(GH183=TRUE,Lookup!$K$10,Lookup!$K$2)," /lamp"),CONCATENATE(TEXT(ED183,"$0.00"),"/ kWh"))</f>
        <v>$0.00/ kWh</v>
      </c>
      <c r="AX183" s="467"/>
      <c r="AY183" s="1748">
        <f ca="1">IFERROR(IF(GM184=TRUE,(AB186*T185)/R185,0),"NA")</f>
        <v>0</v>
      </c>
      <c r="AZ183" s="1748"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696" t="str">
        <f>N184</f>
        <v/>
      </c>
      <c r="CQ183" s="1696" t="str">
        <f>IFERROR(VLOOKUP(G184,_Lookup_Heat_Type_Table_New,3,FALSE),"")</f>
        <v/>
      </c>
      <c r="CR183" s="1808" t="str">
        <f>CQ183</f>
        <v/>
      </c>
      <c r="CS183" s="1810" t="str">
        <f>IFERROR(VLOOKUP(G185,'Space Table'!$B$3:$L$163,9,FALSE),"")</f>
        <v/>
      </c>
      <c r="CU183" s="1688" t="s">
        <v>344</v>
      </c>
      <c r="CV183" s="1702">
        <f>IF(IB183=TRUE,T184,0)</f>
        <v>0</v>
      </c>
      <c r="CW183" s="1702" t="str">
        <f>IF(IB183=TRUE,U184,"")</f>
        <v/>
      </c>
      <c r="CX183" s="1702"/>
      <c r="CY183" s="1814">
        <f>IF(IB183=TRUE,AB183,0)</f>
        <v>0</v>
      </c>
      <c r="CZ183" s="1710">
        <f>IF(AND(__Retrofit_TI_NC&gt;0,CR183="interior"),0,IF(IB183=TRUE,AC183,0))</f>
        <v>0</v>
      </c>
      <c r="DA183" s="1814">
        <f>IFERROR(IF(IB183=TRUE,CZ183-CZ185,0),0)</f>
        <v>0</v>
      </c>
      <c r="DB183" s="1819">
        <f>IF(IB183=TRUE,AD183,0)</f>
        <v>0</v>
      </c>
      <c r="DC183" s="1819">
        <f>IF(IB183=TRUE,AD186,0)</f>
        <v>0</v>
      </c>
      <c r="DD183" s="1819">
        <f>IFERROR(DB183-DC183,0)</f>
        <v>0</v>
      </c>
      <c r="DF183" s="1702">
        <f>IF(IB183=TRUE,AF184,0)</f>
        <v>0</v>
      </c>
      <c r="DG183" s="1830">
        <f>IFERROR(IF(__Retrofit_TI_NC=2,IF(CQ183="Exterior",O186,FQ183),FN183),"")</f>
        <v>0</v>
      </c>
      <c r="DH183" s="1702"/>
      <c r="DI183" s="1837">
        <f>JE183</f>
        <v>0</v>
      </c>
      <c r="DJ183" s="1710">
        <f>IF(AND(__Retrofit_TI_NC&gt;0,CR183="interior"),0,IF(IB183=TRUE,AN183,0))</f>
        <v>0</v>
      </c>
      <c r="DK183" s="1712">
        <f>IFERROR(IF(IB183=TRUE,DJ185-DJ183,0),0)</f>
        <v>0</v>
      </c>
      <c r="DM183" s="1717">
        <f>IFERROR(CZ183-DJ183,0)</f>
        <v>0</v>
      </c>
      <c r="DO183" s="1708">
        <f>DM183-DN185</f>
        <v>0</v>
      </c>
      <c r="DQ183" s="1715" t="str">
        <f>IFERROR(IF(AND(OR(GC183=4,GC183=5,GC183=6),OR(GF183=4,GF183=5,GF183=6)),GC183+8,VLOOKUP(CW185,Fixtures!R$31:Y$78,8,FALSE)),"")</f>
        <v/>
      </c>
      <c r="DR183" s="1829" t="str">
        <f>DQ183</f>
        <v/>
      </c>
      <c r="DS183" s="1702" t="str">
        <f>IFERROR(VLOOKUP(DG185,Lookup!BB$3:BC$20,2,FALSE),"")</f>
        <v/>
      </c>
      <c r="DT183" s="1713" t="str">
        <f>IF(OR(DS183=7,DS183=8,DS183=9),"ALC","")</f>
        <v/>
      </c>
      <c r="DU183" s="1715">
        <f>IFERROR(IF(OR(DQ183=4,DQ183=5,DQ183=6,DQ183=12,DQ183=13,DQ183=14),VLOOKUP(CW185,Fixtures!DN$27:EG$77,19,FALSE),1)*CV185,0)</f>
        <v>0</v>
      </c>
      <c r="DV183" s="1716">
        <f>IF(OR(DS183=7,DS183=8,DS183=9),IF(DG183=DG185,0,DF185),0)</f>
        <v>0</v>
      </c>
      <c r="DX183" s="1715" t="str">
        <f>IFERROR(IF(EZ183&lt;EZ185,"Yes","No"),"")</f>
        <v/>
      </c>
      <c r="DY183" s="1829" t="str">
        <f>DX183</f>
        <v/>
      </c>
      <c r="DZ183" s="1715">
        <f>IF(DX183="Yes",DF185,0)</f>
        <v>0</v>
      </c>
      <c r="EA183" s="1715">
        <f>DZ183-DV183</f>
        <v>0</v>
      </c>
      <c r="EC183" s="1834">
        <f>IFERROR(VLOOKUP(DQ183,Lookup!AU$3:AV$16,2,FALSE),0)</f>
        <v>0</v>
      </c>
      <c r="ED183" s="1834">
        <f>IF(IB183=FALSE,0,IF(DX183="Yes",EC183+Lookup!K$6,EC183))</f>
        <v>0</v>
      </c>
      <c r="EF183" s="1707">
        <f>IF(IB183=TRUE,DM183,0)</f>
        <v>0</v>
      </c>
      <c r="EG183" s="1712">
        <f>IF(IB183=TRUE,CZ185,0)</f>
        <v>0</v>
      </c>
      <c r="EH183" s="1814">
        <f>IFERROR(EF183-EG183,0)</f>
        <v>0</v>
      </c>
      <c r="EI183" s="1712">
        <f>IF(IB183=TRUE,DJ185,0)</f>
        <v>0</v>
      </c>
      <c r="EJ183" s="1712">
        <f>IFERROR(EF183-EG183+EI183,0)</f>
        <v>0</v>
      </c>
      <c r="EK183" s="1812">
        <f>IF(IB183=TRUE,CV185*CX185,0)</f>
        <v>0</v>
      </c>
      <c r="EL183" s="1812">
        <f>IF(IB183=TRUE,DF185*DH185,0)</f>
        <v>0</v>
      </c>
      <c r="EM183" s="1807">
        <f>AR183</f>
        <v>0</v>
      </c>
      <c r="EN183" s="1839" t="str">
        <f>IFERROR(IF(IB183=TRUE,VLOOKUP(DQ183,Lookup!AU$3:AW$16,3,FALSE)*DU183,""),0)</f>
        <v/>
      </c>
      <c r="EO183" s="1839">
        <f>IF(IB183=TRUE,DZ183*Lookup!AW$12,0)</f>
        <v>0</v>
      </c>
      <c r="EP183" s="1817">
        <f>IFERROR(IF(IB183=TRUE,EN183/EP$40,0),0)</f>
        <v>0</v>
      </c>
      <c r="EQ183" s="1817">
        <f>IF(IB183=TRUE,EO183/EQ$40,0)</f>
        <v>0</v>
      </c>
      <c r="ER183" s="1807">
        <f>IF(IB183=TRUE,ET$40*EP183,0)</f>
        <v>0</v>
      </c>
      <c r="ES183" s="1807">
        <f>IF(IB183=TRUE,ET$40*EQ183,0)</f>
        <v>0</v>
      </c>
      <c r="ET183" s="1807">
        <f>ER183+ES183</f>
        <v>0</v>
      </c>
      <c r="EV183" s="1715">
        <f>IF(G183="",0,1)</f>
        <v>0</v>
      </c>
      <c r="EX183" s="1804" t="str">
        <f>IFERROR(VLOOKUP(CS185,'Space Table'!$B$3:$L$163,8,FALSE),"")</f>
        <v/>
      </c>
      <c r="EY183" s="1804" t="str">
        <f>IFERROR(IF(FB183="Yes",VLOOKUP(DG183,Lookup_Control_Type_Table2,4,FALSE),VLOOKUP(DG183,Lookup_Control_Type_Table2,3,FALSE)),"")</f>
        <v/>
      </c>
      <c r="EZ183" s="1804" t="e">
        <f>VLOOKUP(DG183,Lookup!BB$3:BC$20,2,FALSE)</f>
        <v>#N/A</v>
      </c>
      <c r="FA183" s="1804" t="e">
        <f>VLOOKUP(EX183,Lookup_Control_Type_Table,2,FALSE)</f>
        <v>#N/A</v>
      </c>
      <c r="FB183" s="1804" t="e">
        <f>VLOOKUP(CS185,'Space Table'!$B$3:$L$163,7,FALSE)</f>
        <v>#N/A</v>
      </c>
      <c r="FC183" s="1826" t="b">
        <f>ISNUMBER(SEARCH("TLED",U185))</f>
        <v>0</v>
      </c>
      <c r="FE183" s="1698" t="str">
        <f>CONCATENATE(CQ183," - ",DG183)</f>
        <v xml:space="preserve"> - 0</v>
      </c>
      <c r="FG183" s="1702" t="str">
        <f>VLOOKUP(CW185,Fixtures!DN$27:EZ$77,38,FALSE)</f>
        <v/>
      </c>
      <c r="FH183" s="1702">
        <f>IFERROR(FG183*EH183,0)</f>
        <v>0</v>
      </c>
      <c r="FI183" s="133"/>
      <c r="FL183" s="1822" t="str">
        <f>IF(CQ183="Exterior","Not Daylighted",G186)</f>
        <v>Not Daylighted</v>
      </c>
      <c r="FM183" s="1824">
        <f>VLOOKUP(FL183,_New_Daylight_Table_Codes,2,FALSE)</f>
        <v>0</v>
      </c>
      <c r="FN183" s="1698">
        <f>IF(__Retrofit_TI_NC&gt;0,VLOOKUP(G185,'Space Table'!$B$3:$L$163,11,FALSE),AG184)</f>
        <v>0</v>
      </c>
      <c r="FO183" s="1698" t="e">
        <f>IF(__Retrofit_TI_NC=2,VLOOKUP(FQ183,_Control_Table,2,FALSE),VLOOKUP(FN183,_Control_Table,2,FALSE))</f>
        <v>#N/A</v>
      </c>
      <c r="FP183" s="1678" t="e">
        <f>VLOOKUP(CONCATENATE(FL183," ",FN183),Lookup!AY$102:AZ193,2,FALSE)</f>
        <v>#N/A</v>
      </c>
      <c r="FQ183" s="1678">
        <f>IF(__Retrofit_TI_NC=0,FN183,IF(AND(FT183&gt;0,FN183="Occupancy Sensor"),"Daylight + Occupancy",IF(AND(FT183&gt;0,VLOOKUP(FN183,_Control_Table,2,FALSE)&lt;4),"Interior Daylight Dimming",FN183)))</f>
        <v>0</v>
      </c>
      <c r="FS183" s="1686">
        <f>IF(CR183="Interior",VLOOKUP(CS183,Control_Savings_Interior,5,FALSE),0)</f>
        <v>0</v>
      </c>
      <c r="FT183" s="1687">
        <f>IF(CQ183="Exterior",0,IF(FM183=2,0.5,IF(OR(FM183=1,FM183=3),1,0)))</f>
        <v>0</v>
      </c>
      <c r="FU183" s="1685">
        <f>IF(R182&gt;FS$44,(FS183*(FS$44/R182)),FS183)*FT183</f>
        <v>0</v>
      </c>
      <c r="FV183" s="1686">
        <f>DI183</f>
        <v>0</v>
      </c>
      <c r="FW183" s="1686">
        <f>ROUND(FV183+((1-FV183)*FU183),2)</f>
        <v>0</v>
      </c>
      <c r="FX183" s="1686">
        <f>IF(__Retrofit_TI_NC=2,FW183,FV183)</f>
        <v>0</v>
      </c>
      <c r="FY183" s="1697"/>
      <c r="GA183" s="1696" t="str">
        <f>IFERROR(VLOOKUP(U184,_Exist_Fixture_Table,3,FALSE),"")</f>
        <v/>
      </c>
      <c r="GB183" s="1696" t="str">
        <f>VLOOKUP(CW183,_Exist_Fixture_Table,4,FALSE)</f>
        <v/>
      </c>
      <c r="GC183" s="1696">
        <f>IFERROR(VLOOKUP(GB183,Lookup!AT$6:AU$8,2,FALSE),0)</f>
        <v>0</v>
      </c>
      <c r="GD183" s="1696" t="b">
        <f>IFERROR(IF(OR(GF183=4,GF183=5,GF183=6),TRUE,FALSE),"")</f>
        <v>0</v>
      </c>
      <c r="GE183" s="1696" t="str">
        <f>IFERROR(VLOOKUP(GF183,GC$6:GD$10,2,FALSE),"")</f>
        <v/>
      </c>
      <c r="GF183" s="1696" t="str">
        <f>VLOOKUP(CW185,Fixtures!R$31:Y$78,8,FALSE)</f>
        <v/>
      </c>
      <c r="GG183" s="1696">
        <f>IF(AND(GA183=TRUE,GD183=TRUE,OR(DQ183=12,DQ183=13,DQ183=14)),GC183+8,0)</f>
        <v>0</v>
      </c>
      <c r="GH183" s="1696" t="b">
        <f>IF(OR(GG183=12,GG183=13,GG183=14),TRUE,FALSE)</f>
        <v>0</v>
      </c>
      <c r="GI183" s="673" t="b">
        <f>IF(ISNUMBER(SEARCH("TLED",U184)),TRUE,FALSE)</f>
        <v>0</v>
      </c>
      <c r="GJ183" s="1135" t="str">
        <f>IFERROR(VLOOKUP(U184,Fixtures!BM$93:BR$142,6,FALSE),"")</f>
        <v/>
      </c>
      <c r="GK183" s="1832" t="b">
        <f>IF(OR(GI183=FALSE,GI185=FALSE),TRUE,IF(GJ183-GJ185&lt;5,FALSE,TRUE))</f>
        <v>1</v>
      </c>
      <c r="GO183" s="674">
        <f>GP183</f>
        <v>0</v>
      </c>
      <c r="GP183" s="674">
        <f>IF(G183="",0,1)</f>
        <v>0</v>
      </c>
      <c r="GQ183" s="674">
        <f ca="1">SUM(GR183:HF183)</f>
        <v>2</v>
      </c>
      <c r="GR183" s="674">
        <f>IF(G184="",0,1)</f>
        <v>0</v>
      </c>
      <c r="GS183" s="674">
        <f>IF(N186="BAM",1,IF(G185="",0,1))</f>
        <v>0</v>
      </c>
      <c r="GT183" s="674">
        <f>IF(N186="BAM",1,IF(R184="",0,1))</f>
        <v>0</v>
      </c>
      <c r="GU183" s="674">
        <f>IF(N186="BAM",1,IF(__Retrofit_TI_NC=0,1,IF(R185="",0,1)))</f>
        <v>1</v>
      </c>
      <c r="GV183" s="674">
        <f>IF(N186="BAM",1,IF(CQ183="Exterior",1,IF(G186="",0,1)))</f>
        <v>1</v>
      </c>
      <c r="GW183" s="674">
        <f>IF(__Retrofit_TI_NC&gt;0,1,IF(T184="",0,1))</f>
        <v>0</v>
      </c>
      <c r="GX183" s="674">
        <f>IF(__Retrofit_TI_NC&gt;0,1,IF(U184="",0,1))</f>
        <v>0</v>
      </c>
      <c r="GY183" s="674">
        <f>IF(N186="BAM",1,IF(T185="",0,1))</f>
        <v>0</v>
      </c>
      <c r="GZ183" s="674">
        <f>IF(N186="BAM",1,IF(U185="",0,1))</f>
        <v>0</v>
      </c>
      <c r="HA183" s="674">
        <f ca="1">IF(N186="BAM",1,IF(__Retrofit_TI_NC&gt;0,1,IF(U186="",0,1)))</f>
        <v>0</v>
      </c>
      <c r="HB183" s="674">
        <f>IF(__Retrofit_TI_NC&lt;&gt;0,1,IF(AF184="",0,1))</f>
        <v>0</v>
      </c>
      <c r="HC183" s="674">
        <f>IF(__Retrofit_TI_NC&lt;&gt;0,1,IF(AG184="",0,1))</f>
        <v>0</v>
      </c>
      <c r="HD183" s="674">
        <f>IF(N186="BAM",1,IF(AF185="",0,1))</f>
        <v>0</v>
      </c>
      <c r="HE183" s="674">
        <f>IF(N186="BAM",1,IF(AG185="",0,1))</f>
        <v>0</v>
      </c>
      <c r="HF183" s="674">
        <f>IF(N186="BAM",1,IF(__Retrofit_TI_NC&gt;0,1,IF(AG186="",0,1)))</f>
        <v>0</v>
      </c>
      <c r="HG183" s="391"/>
      <c r="IA183" s="391"/>
      <c r="IB183" s="1693" t="b">
        <f>IF(OR(IB186=0,IB186=HY$16,IB186=HX$16,IB186=HZ$16),TRUE,FALSE)</f>
        <v>0</v>
      </c>
      <c r="IC183" s="1694" t="b">
        <f>IB183</f>
        <v>0</v>
      </c>
      <c r="ID183" s="391"/>
      <c r="IE183" s="391"/>
      <c r="IF183" s="1688" t="b">
        <f ca="1">IF(MAX(GN186:HU186)&gt;5,FALSE,TRUE)</f>
        <v>0</v>
      </c>
      <c r="IG183" s="1689">
        <f ca="1">IF(IF183=TRUE,AC183,0)</f>
        <v>0</v>
      </c>
      <c r="IH183" s="1689">
        <f ca="1">IG183-IG185</f>
        <v>0</v>
      </c>
      <c r="IK183" s="1689" t="e">
        <f>ROUND(T184*VLOOKUP(U184,Fixtures_Existing_List,2,FALSE)*N184*R184/1000,0)</f>
        <v>#N/A</v>
      </c>
      <c r="IL183" s="1690" t="e">
        <f>IK183-IK185</f>
        <v>#N/A</v>
      </c>
      <c r="IM183" s="1693" t="e">
        <f>ROUND(IF(CQ183="Interior",N185*R185*R184*N184*_C406_reduction/1000,N185*R185*R184*N184/1000),0)</f>
        <v>#N/A</v>
      </c>
      <c r="IN183" s="1693" t="e">
        <f>IM183-IM185</f>
        <v>#N/A</v>
      </c>
      <c r="IP183" s="1679"/>
      <c r="IQ183" s="1679" t="e">
        <f t="shared" ref="IQ183:IU183" si="146">IF($CR183="interior",VLOOKUP($CS183,_New_Control_Savings_Interior,IQ$30,FALSE),VLOOKUP($CS183,Control_Savings_Exterior,IQ$30,FALSE))</f>
        <v>#N/A</v>
      </c>
      <c r="IR183" s="1679" t="e">
        <f t="shared" si="146"/>
        <v>#N/A</v>
      </c>
      <c r="IS183" s="1679" t="e">
        <f t="shared" si="146"/>
        <v>#N/A</v>
      </c>
      <c r="IT183" s="1679" t="e">
        <f t="shared" si="146"/>
        <v>#N/A</v>
      </c>
      <c r="IU183" s="1679" t="e">
        <f t="shared" si="146"/>
        <v>#N/A</v>
      </c>
      <c r="IV183" s="1679" t="e">
        <f>IF($CR183="interior",IF(R184&gt;$IP$14,ROUND(($IV$18*($IP$14/R184)),2),$IV$18),VLOOKUP($CS183,Control_Savings_Exterior,IV$30,FALSE))</f>
        <v>#N/A</v>
      </c>
      <c r="IW183" s="1679" t="e">
        <f>IF($CR183="interior",ROUND(((1-IS183)*IV183)+IS183,2),VLOOKUP($CS183,Control_Savings_Exterior,IW$30,FALSE))</f>
        <v>#N/A</v>
      </c>
      <c r="IX183" s="1679" t="e">
        <f>IF($CR183="interior",ROUND(((1-IT183)*IV183)+IT183,2),VLOOKUP($CS183,Control_Savings_Exterior,IX$30,FALSE))</f>
        <v>#N/A</v>
      </c>
      <c r="IY183" s="1679" t="e">
        <f>IF($CR183="interior",IF(R184&gt;$IP$14,ROUND(($IY$18*($IP$14/R184)),2),$IY$18),VLOOKUP($CS183,Control_Savings_Exterior,IY$30,FALSE))</f>
        <v>#N/A</v>
      </c>
      <c r="IZ183" s="1679" t="e">
        <f>IF($CR183="interior",ROUND(((1-IS183)*IY183)+IS183,2),VLOOKUP($CS183,Control_Savings_Exterior,IZ$30,FALSE))</f>
        <v>#N/A</v>
      </c>
      <c r="JA183" s="1679" t="e">
        <f>IF($CR183="interior",ROUND(((1-IT183)*IY183)+IT183,2),VLOOKUP($CS183,Control_Savings_Exterior,JA$30,FALSE))</f>
        <v>#N/A</v>
      </c>
      <c r="JC183" s="1680">
        <f>IFERROR(IF(CR183="Interior",CONCATENATE(G186," ",FQ183),FQ183),"")</f>
        <v>0</v>
      </c>
      <c r="JD183" s="1670" t="str">
        <f>IFERROR(VLOOKUP(JC183,_Controls_2023,2,FALSE),"")</f>
        <v/>
      </c>
      <c r="JE183" s="1681">
        <f>IFERROR(CHOOSE(JD183-1,IQ183,IR183,IS183,IT183,IU183,IV183,IW183,IX183,IY183,IZ183,JA183),0)</f>
        <v>0</v>
      </c>
      <c r="JG183" s="1680" t="str">
        <f>FE183</f>
        <v xml:space="preserve"> - 0</v>
      </c>
      <c r="JH183" s="1670" t="e">
        <f>$FO183</f>
        <v>#N/A</v>
      </c>
      <c r="JI183" s="1060"/>
      <c r="JJ183" s="1682" t="b">
        <f>IF($JG185=CONCATENATE("Interior - ",JJ$4),TRUE,FALSE)</f>
        <v>0</v>
      </c>
      <c r="JK183" s="1061"/>
      <c r="JL183" s="1682" t="b">
        <f>IF($JG185=CONCATENATE("Interior - ",JL$4),TRUE,FALSE)</f>
        <v>0</v>
      </c>
      <c r="JM183" s="1061"/>
      <c r="JN183" s="1682" t="b">
        <f>IF($JG185=CONCATENATE("Interior - ",JN$4),TRUE,FALSE)</f>
        <v>0</v>
      </c>
      <c r="JO183" s="1061"/>
      <c r="JP183" s="1682" t="b">
        <f>IF(__Retrofit_TI_NC&gt;0,FALSE,IF($JG185=CONCATENATE("Interior - ",JP$4),TRUE,FALSE))</f>
        <v>0</v>
      </c>
      <c r="JQ183" s="1061"/>
      <c r="JR183" s="1682" t="b">
        <f>IF(__Retrofit_TI_NC&gt;0,FALSE,IF($JG185=CONCATENATE("Interior - ",JR$4),TRUE,FALSE))</f>
        <v>0</v>
      </c>
      <c r="JS183" s="1061"/>
      <c r="JT183" s="1670" t="b">
        <f>IF(__Retrofit_TI_NC&gt;0,FALSE,IF($JG185=CONCATENATE("Interior - ",JT$4),TRUE,FALSE))</f>
        <v>0</v>
      </c>
      <c r="JU183" s="1061"/>
      <c r="JV183" s="1670" t="b">
        <f>IF(JC185="AELC on Existing",TRUE,FALSE)</f>
        <v>0</v>
      </c>
      <c r="JX183" s="1670" t="b">
        <f>IF(OR(JG185="Exterior - AELC Occupancy based",JG185="Exterior - AELC Time based"),TRUE,FALSE)</f>
        <v>0</v>
      </c>
      <c r="JZ183" s="1682" t="b">
        <f>IF($JG185=CONCATENATE("Exterior - ",JZ$4),TRUE,FALSE)</f>
        <v>0</v>
      </c>
      <c r="KB183" s="1670" t="b">
        <f>IF(__Retrofit_TI_NC&gt;0,FALSE,IF($JG185=CONCATENATE("Interior - ",KB$4),TRUE,FALSE))</f>
        <v>0</v>
      </c>
    </row>
    <row r="184" spans="1:288" s="78" customFormat="1" ht="14.95" customHeight="1" thickTop="1" thickBot="1">
      <c r="B184" s="1845"/>
      <c r="C184" s="1846"/>
      <c r="D184" s="1847"/>
      <c r="E184" s="1737" t="s">
        <v>297</v>
      </c>
      <c r="F184" s="1738"/>
      <c r="G184" s="1739"/>
      <c r="H184" s="1739"/>
      <c r="I184" s="1739"/>
      <c r="J184" s="1739"/>
      <c r="K184" s="1739"/>
      <c r="L184" s="1739"/>
      <c r="M184" s="461" t="e">
        <f>IF(__Retrofit_TI_NC&lt;&gt;0,IF(VLOOKUP(G185,'Space Table'!$B$3:$L$163,3,FALSE)&gt;0,1,0),IF(__Retrofit_TI_NC=VLOOKUP(G185,'Space Table'!$B$3:$L$163,3,FALSE),1,0))</f>
        <v>#N/A</v>
      </c>
      <c r="N184" s="461" t="str">
        <f>IFERROR(VLOOKUP(G184,_Lookup_Heat_Type_Table_New,2,FALSE),"")</f>
        <v/>
      </c>
      <c r="O184" s="461">
        <f>IF(__Retrofit_TI_NC=1,CONCATENATE("TI ",G184),IF(__Retrofit_TI_NC=2,CONCATENATE("NC ",G184),G184))</f>
        <v>0</v>
      </c>
      <c r="P184" s="1740" t="s">
        <v>435</v>
      </c>
      <c r="Q184" s="1740"/>
      <c r="R184" s="595"/>
      <c r="S184" s="1792"/>
      <c r="T184" s="597"/>
      <c r="U184" s="1765"/>
      <c r="V184" s="1766"/>
      <c r="W184" s="1766"/>
      <c r="X184" s="1766"/>
      <c r="Y184" s="1766"/>
      <c r="Z184" s="1766"/>
      <c r="AA184" s="1766"/>
      <c r="AB184" s="1766"/>
      <c r="AC184" s="1766"/>
      <c r="AD184" s="1767"/>
      <c r="AE184" s="1000"/>
      <c r="AF184" s="597"/>
      <c r="AG184" s="1723"/>
      <c r="AH184" s="1724"/>
      <c r="AI184" s="1724"/>
      <c r="AJ184" s="1724"/>
      <c r="AK184" s="1725"/>
      <c r="AL184" s="996"/>
      <c r="AM184" s="1747"/>
      <c r="AN184" s="1775"/>
      <c r="AO184" s="1777"/>
      <c r="AP184" s="1780"/>
      <c r="AQ184" s="1781"/>
      <c r="AR184" s="1795"/>
      <c r="AS184" s="1795"/>
      <c r="AT184" s="1796"/>
      <c r="AU184" s="1735"/>
      <c r="AV184" s="1752"/>
      <c r="AW184" s="1705"/>
      <c r="AX184" s="467"/>
      <c r="AY184" s="1749"/>
      <c r="AZ184" s="1749"/>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696"/>
      <c r="CQ184" s="1696"/>
      <c r="CR184" s="1809"/>
      <c r="CS184" s="1811"/>
      <c r="CU184" s="1688"/>
      <c r="CV184" s="1703"/>
      <c r="CW184" s="1703"/>
      <c r="CX184" s="1703"/>
      <c r="CY184" s="1815"/>
      <c r="CZ184" s="1711"/>
      <c r="DA184" s="1818"/>
      <c r="DB184" s="1820"/>
      <c r="DC184" s="1820"/>
      <c r="DD184" s="1820"/>
      <c r="DF184" s="1703"/>
      <c r="DG184" s="1831"/>
      <c r="DH184" s="1703"/>
      <c r="DI184" s="1838"/>
      <c r="DJ184" s="1711"/>
      <c r="DK184" s="1712"/>
      <c r="DM184" s="1718"/>
      <c r="DO184" s="1708"/>
      <c r="DQ184" s="1715"/>
      <c r="DR184" s="1720"/>
      <c r="DS184" s="1816"/>
      <c r="DT184" s="1714"/>
      <c r="DU184" s="1715"/>
      <c r="DV184" s="1716"/>
      <c r="DX184" s="1715"/>
      <c r="DY184" s="1720"/>
      <c r="DZ184" s="1715"/>
      <c r="EA184" s="1715"/>
      <c r="EC184" s="1834"/>
      <c r="ED184" s="1834"/>
      <c r="EF184" s="1707"/>
      <c r="EG184" s="1712"/>
      <c r="EH184" s="1818"/>
      <c r="EI184" s="1712"/>
      <c r="EJ184" s="1712"/>
      <c r="EK184" s="1836"/>
      <c r="EL184" s="1836"/>
      <c r="EM184" s="1807"/>
      <c r="EN184" s="1839"/>
      <c r="EO184" s="1839"/>
      <c r="EP184" s="1817"/>
      <c r="EQ184" s="1817"/>
      <c r="ER184" s="1807"/>
      <c r="ES184" s="1807"/>
      <c r="ET184" s="1807"/>
      <c r="EV184" s="1715"/>
      <c r="EX184" s="1805"/>
      <c r="EY184" s="1805"/>
      <c r="EZ184" s="1805"/>
      <c r="FA184" s="1805"/>
      <c r="FB184" s="1805"/>
      <c r="FC184" s="1827"/>
      <c r="FE184" s="1698"/>
      <c r="FG184" s="1816"/>
      <c r="FH184" s="1816"/>
      <c r="FI184" s="133"/>
      <c r="FL184" s="1823"/>
      <c r="FM184" s="1825"/>
      <c r="FN184" s="1698"/>
      <c r="FO184" s="1698"/>
      <c r="FP184" s="1678"/>
      <c r="FQ184" s="1678"/>
      <c r="FS184" s="1687"/>
      <c r="FT184" s="1687"/>
      <c r="FU184" s="1685"/>
      <c r="FV184" s="1687"/>
      <c r="FW184" s="1687"/>
      <c r="FX184" s="1687"/>
      <c r="FY184" s="1697"/>
      <c r="GA184" s="1696"/>
      <c r="GB184" s="1696"/>
      <c r="GC184" s="1696"/>
      <c r="GD184" s="1696"/>
      <c r="GE184" s="1696"/>
      <c r="GF184" s="1696"/>
      <c r="GG184" s="1696"/>
      <c r="GH184" s="1696"/>
      <c r="GI184" s="673"/>
      <c r="GJ184" s="1135"/>
      <c r="GK184" s="1832"/>
      <c r="GM184" s="1693" t="b">
        <f ca="1">IF(AND(GP184=TRUE,GQ184=TRUE),TRUE,FALSE)</f>
        <v>0</v>
      </c>
      <c r="GN184" s="1684" t="b">
        <f>IFERROR(IF(__Retrofit_TI_NC=2,TRUE,IF(AU183="Yes",TRUE,FALSE)),FALSE)</f>
        <v>1</v>
      </c>
      <c r="GP184" s="1684" t="b">
        <f>IFERROR(IF(GP183=1,TRUE,FALSE),FALSE)</f>
        <v>0</v>
      </c>
      <c r="GQ184" s="1684" t="b">
        <f ca="1">IFERROR(IF(GQ183=GQ$14,TRUE,FALSE),FALSE)</f>
        <v>0</v>
      </c>
      <c r="HG184" s="1684" t="b">
        <f>IFERROR(IF(AND(__Retrofit_TI_NC&gt;0,CQ183="Interior"),FALSE,TRUE),FALSE)</f>
        <v>1</v>
      </c>
      <c r="HH184" s="1684" t="b">
        <f>IFERROR(IF(M184=1,TRUE,FALSE),FALSE)</f>
        <v>0</v>
      </c>
      <c r="HI184" s="1684" t="b">
        <f>IFERROR(IF(OR(M185=1,N186="BAM"),TRUE,FALSE),FALSE)</f>
        <v>0</v>
      </c>
      <c r="HJ184" s="1684" t="b">
        <f>IFERROR(IF(__Retrofit_TI_NC&lt;&gt;0,TRUE,IFERROR(IF(VLOOKUP(U184,Fixtures_Existing_List,2,FALSE)&lt;&gt;"",TRUE,FALSE),FALSE)),FALSE)</f>
        <v>0</v>
      </c>
      <c r="HK184" s="1684" t="b">
        <f>IFERROR(IF(VLOOKUP(U185,Fixtures_Proposed_List,2,FALSE)&lt;&gt;"",TRUE,FALSE),FALSE)</f>
        <v>0</v>
      </c>
      <c r="HL184" s="1684" t="b">
        <f>IF(AND(__Retrofit_TI_NC=2,FC183=TRUE),FALSE,TRUE)</f>
        <v>1</v>
      </c>
      <c r="HM184" s="1684" t="b">
        <f>GK183</f>
        <v>1</v>
      </c>
      <c r="HN184" s="1682" t="b">
        <f>IF(ISERROR(MATCH(FE183,_Control_Match[],0))=TRUE,FALSE,TRUE)</f>
        <v>0</v>
      </c>
      <c r="HO184" s="1693" t="b">
        <f>IFERROR(IF(EX183&lt;&gt;EY183,FALSE,TRUE),FALSE)</f>
        <v>1</v>
      </c>
      <c r="HP184" s="1693" t="b">
        <f>IFERROR(IF(EX185&lt;&gt;EY185,FALSE,TRUE),FALSE)</f>
        <v>1</v>
      </c>
      <c r="HQ184" s="1670" t="b">
        <f>IFERROR(IF(CQ183="Exterior",TRUE,IF(AND(OR(FM185=0,FM185=3),JD185&gt;6),FALSE,TRUE)),FALSE)</f>
        <v>0</v>
      </c>
      <c r="HR184" s="1684" t="b">
        <f>IFERROR(IF(AND(FO185=7,FC183=TRUE),FALSE,TRUE),FALSE)</f>
        <v>0</v>
      </c>
      <c r="HS184" s="1684" t="b">
        <f>IFERROR(IF(AND(T185&lt;&gt;AF185,OR(AG185="Interior LLLC", AG185="Interior NLC", AG185="LLLC (outside Daylight)",AG185="LLLC Controls Only"))=TRUE,FALSE,TRUE),FALSE)</f>
        <v>1</v>
      </c>
      <c r="HT184" s="1670" t="b">
        <f>IFERROR(IF(OR(AG185=Lookup!BB$17,AG185=Lookup!BB$18,AG185=Lookup!BB$19)=TRUE,IF(AF185&gt;T185,FALSE,TRUE),TRUE),FALSE)</f>
        <v>1</v>
      </c>
      <c r="HU184" s="1684" t="b">
        <f>IFERROR(IF(__Retrofit_TI_NC=2,IF(EZ185&lt;EZ183,FALSE,TRUE),TRUE),FALSE)</f>
        <v>1</v>
      </c>
      <c r="HV184" s="1684" t="b">
        <f>IF(CQ183="Interior",IL$6,TRUE)</f>
        <v>1</v>
      </c>
      <c r="HW184" s="1684" t="b">
        <f>IF(CQ183="Exterior",IL$8,TRUE)</f>
        <v>1</v>
      </c>
      <c r="HX184" s="1684" t="b">
        <f>IFERROR(IF(__Retrofit_TI_NC&lt;&gt;0,IF(AZ183&lt;AY183,FALSE,TRUE),TRUE),FALSE)</f>
        <v>1</v>
      </c>
      <c r="HY184" s="1684" t="b">
        <f>IFERROR(IF(AND(G184="Exterior",R184&gt;4200),FALSE,TRUE),FALSE)</f>
        <v>1</v>
      </c>
      <c r="HZ184" s="1684" t="b">
        <f>IFERROR(IF(AB186/AB183&lt;HZ$18,FALSE,TRUE),FALSE)</f>
        <v>0</v>
      </c>
      <c r="IB184" s="1691"/>
      <c r="IC184" s="1695"/>
      <c r="ID184" s="1694" t="str">
        <f>VLOOKUP(IB186,_Error_Table,4,FALSE)</f>
        <v>White</v>
      </c>
      <c r="IE184" s="391"/>
      <c r="IF184" s="1688"/>
      <c r="IG184" s="1689"/>
      <c r="IH184" s="1684"/>
      <c r="IK184" s="1689"/>
      <c r="IL184" s="1691"/>
      <c r="IM184" s="1691"/>
      <c r="IN184" s="1691"/>
      <c r="IP184" s="1679"/>
      <c r="IQ184" s="1679"/>
      <c r="IR184" s="1679"/>
      <c r="IS184" s="1679"/>
      <c r="IT184" s="1679"/>
      <c r="IU184" s="1679"/>
      <c r="IV184" s="1679"/>
      <c r="IW184" s="1679"/>
      <c r="IX184" s="1679"/>
      <c r="IY184" s="1679"/>
      <c r="IZ184" s="1679"/>
      <c r="JA184" s="1679"/>
      <c r="JC184" s="1680"/>
      <c r="JD184" s="1670"/>
      <c r="JE184" s="1681"/>
      <c r="JG184" s="1680"/>
      <c r="JH184" s="1670"/>
      <c r="JI184" s="1060"/>
      <c r="JJ184" s="1683"/>
      <c r="JK184" s="1061"/>
      <c r="JL184" s="1683"/>
      <c r="JM184" s="1061"/>
      <c r="JN184" s="1683"/>
      <c r="JO184" s="1061"/>
      <c r="JP184" s="1683"/>
      <c r="JQ184" s="1061"/>
      <c r="JR184" s="1683"/>
      <c r="JS184" s="1061"/>
      <c r="JT184" s="1670"/>
      <c r="JU184" s="1061"/>
      <c r="JV184" s="1670"/>
      <c r="JX184" s="1670"/>
      <c r="JZ184" s="1683"/>
      <c r="KB184" s="1670"/>
    </row>
    <row r="185" spans="1:288" s="78" customFormat="1" ht="14.95" customHeight="1" thickTop="1" thickBot="1">
      <c r="A185" s="78">
        <f>ROW()</f>
        <v>185</v>
      </c>
      <c r="B185" s="1845"/>
      <c r="C185" s="1846"/>
      <c r="D185" s="1847"/>
      <c r="E185" s="1737" t="s">
        <v>298</v>
      </c>
      <c r="F185" s="1738"/>
      <c r="G185" s="1760"/>
      <c r="H185" s="1761"/>
      <c r="I185" s="1761"/>
      <c r="J185" s="1761"/>
      <c r="K185" s="1761"/>
      <c r="L185" s="1762"/>
      <c r="M185" s="461">
        <f>IFERROR(IF(IF(__Retrofit_TI_NC&lt;&gt;0,IF(CQ183="Interior",MATCH(G185,Lookup_Interior_New,0),MATCH(G185,Lookup_Exterior_New,0)),IF(CQ183="Interior",MATCH(G185,Lookup_Interior,0),MATCH(G185,Lookup_Exterior_Areas,0)))&gt;0,1,0),0)</f>
        <v>0</v>
      </c>
      <c r="N185" s="461" t="e">
        <f>IF(__Retrofit_TI_NC=1,
VLOOKUP(G185,'Space Table'!$B$3:$L$163,4,FALSE),
IF(__Retrofit_TI_NC=2,VLOOKUP(G185,'Space Table'!$B$3:$L$163,5,FALSE),VLOOKUP(G185,'Space Table'!$B$3:$L$163,5,FALSE)))</f>
        <v>#N/A</v>
      </c>
      <c r="O185" s="461">
        <f>G185</f>
        <v>0</v>
      </c>
      <c r="P185" s="1738" t="str">
        <f>IFERROR(IF(__Retrofit_TI_NC=1,VLOOKUP(G185,'Space Table'!$B$3:$O$163,13,FALSE),IF(__Retrofit_TI_NC=2,VLOOKUP(G185,'Space Table'!$B$3:$O$163,14,FALSE),"Area (sf):")),"Area (sf):")</f>
        <v>Area (sf):</v>
      </c>
      <c r="Q185" s="1738"/>
      <c r="R185" s="596"/>
      <c r="S185" s="1763" t="s">
        <v>345</v>
      </c>
      <c r="T185" s="594"/>
      <c r="U185" s="1801"/>
      <c r="V185" s="1802"/>
      <c r="W185" s="1802"/>
      <c r="X185" s="1802"/>
      <c r="Y185" s="1802"/>
      <c r="Z185" s="1802"/>
      <c r="AA185" s="1802"/>
      <c r="AB185" s="1802"/>
      <c r="AC185" s="1802"/>
      <c r="AD185" s="1802"/>
      <c r="AE185" s="1803"/>
      <c r="AF185" s="594"/>
      <c r="AG185" s="1787"/>
      <c r="AH185" s="1787"/>
      <c r="AI185" s="1787"/>
      <c r="AJ185" s="1787"/>
      <c r="AK185" s="1787"/>
      <c r="AL185" s="1787"/>
      <c r="AM185" s="1726">
        <f>IFERROR(DI185,"")</f>
        <v>0</v>
      </c>
      <c r="AN185" s="1728" t="str">
        <f>IFERROR(ROUND(AM185*AC186,0),"")</f>
        <v/>
      </c>
      <c r="AO185" s="1730">
        <f>IFERROR(IF(IB183=FALSE,0,AC186-AN185),0)</f>
        <v>0</v>
      </c>
      <c r="AP185" s="1780"/>
      <c r="AQ185" s="1781"/>
      <c r="AR185" s="1795"/>
      <c r="AS185" s="1795"/>
      <c r="AT185" s="1796"/>
      <c r="AU185" s="1735"/>
      <c r="AV185" s="1752"/>
      <c r="AW185" s="1705"/>
      <c r="AX185" s="467"/>
      <c r="AY185" s="1749"/>
      <c r="AZ185" s="1749"/>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696"/>
      <c r="CQ185" s="1696"/>
      <c r="CR185" s="1808" t="str">
        <f>CQ183</f>
        <v/>
      </c>
      <c r="CS185" s="1810" t="str">
        <f>CS183</f>
        <v/>
      </c>
      <c r="CU185" s="1688" t="s">
        <v>345</v>
      </c>
      <c r="CV185" s="1702">
        <f>IF(IB183=TRUE,T185,0)</f>
        <v>0</v>
      </c>
      <c r="CW185" s="1702" t="str">
        <f>IF(IB183=TRUE,U185,"")</f>
        <v/>
      </c>
      <c r="CX185" s="1812">
        <f>IF(IB183=TRUE,U186,0)</f>
        <v>0</v>
      </c>
      <c r="CY185" s="1814">
        <f>IF(IB183=TRUE,AB186,0)</f>
        <v>0</v>
      </c>
      <c r="CZ185" s="1710">
        <f>IF(AND(__Retrofit_TI_NC&gt;0,CR183="interior"),0,IF(IB183=TRUE,AC186,0))</f>
        <v>0</v>
      </c>
      <c r="DA185" s="1818"/>
      <c r="DB185" s="1820"/>
      <c r="DC185" s="1820"/>
      <c r="DD185" s="1820"/>
      <c r="DF185" s="1702">
        <f>IF(IB183=TRUE,AF185,0)</f>
        <v>0</v>
      </c>
      <c r="DG185" s="1830" t="str">
        <f>IF(IB183=TRUE,AG185,"")</f>
        <v/>
      </c>
      <c r="DH185" s="1812">
        <f>AG186</f>
        <v>0</v>
      </c>
      <c r="DI185" s="1837">
        <f>JE185</f>
        <v>0</v>
      </c>
      <c r="DJ185" s="1710">
        <f>IF(AND(__Retrofit_TI_NC&gt;0,CR183="interior"),0,IF(IB183=TRUE,AN185,0))</f>
        <v>0</v>
      </c>
      <c r="DK185" s="1712"/>
      <c r="DN185" s="1717">
        <f>IFERROR(CZ185-DJ185,0)</f>
        <v>0</v>
      </c>
      <c r="DO185" s="1709"/>
      <c r="DQ185" s="1715"/>
      <c r="DR185" s="1719" t="str">
        <f>DQ183</f>
        <v/>
      </c>
      <c r="DS185" s="1816"/>
      <c r="DT185" s="1835" t="str">
        <f>IF(OR(DS183=7,DS183=8,DS183=9),"ALC","")</f>
        <v/>
      </c>
      <c r="DU185" s="1715"/>
      <c r="DV185" s="1716"/>
      <c r="DX185" s="1715"/>
      <c r="DY185" s="1829" t="str">
        <f>DX183</f>
        <v/>
      </c>
      <c r="DZ185" s="1715"/>
      <c r="EA185" s="1715"/>
      <c r="EC185" s="1834"/>
      <c r="ED185" s="1834"/>
      <c r="EF185" s="1707"/>
      <c r="EG185" s="1712"/>
      <c r="EH185" s="1818"/>
      <c r="EI185" s="1712"/>
      <c r="EJ185" s="1712"/>
      <c r="EK185" s="1836"/>
      <c r="EL185" s="1836"/>
      <c r="EM185" s="1807"/>
      <c r="EN185" s="1839"/>
      <c r="EO185" s="1839"/>
      <c r="EP185" s="1817"/>
      <c r="EQ185" s="1817"/>
      <c r="ER185" s="1807"/>
      <c r="ES185" s="1807"/>
      <c r="ET185" s="1807"/>
      <c r="EV185" s="1715"/>
      <c r="EX185" s="1805" t="str">
        <f>IFERROR(VLOOKUP(CS185,'Space Table'!$B$3:$L$163,8,FALSE),"")</f>
        <v/>
      </c>
      <c r="EY185" s="1805" t="str">
        <f>IFERROR(IF(FB185="Yes",VLOOKUP(AG185,Lookup_Control_Type_Table2,4,FALSE),VLOOKUP(AG185,Lookup_Control_Type_Table2,3,FALSE)),"")</f>
        <v/>
      </c>
      <c r="EZ185" s="1805" t="e">
        <f>VLOOKUP(AG185,Lookup!BB$3:BC$20,2,FALSE)</f>
        <v>#N/A</v>
      </c>
      <c r="FA185" s="1805" t="e">
        <f>VLOOKUP(EX183,Lookup_Control_Type_Table,2,FALSE)</f>
        <v>#N/A</v>
      </c>
      <c r="FB185" s="1805" t="e">
        <f>VLOOKUP(CS185,'Space Table'!$B$3:$L$163,7,FALSE)</f>
        <v>#N/A</v>
      </c>
      <c r="FC185" s="1827"/>
      <c r="FE185" s="1698" t="str">
        <f>CONCATENATE(CQ183," - ",AG185)</f>
        <v xml:space="preserve"> - </v>
      </c>
      <c r="FG185" s="1816"/>
      <c r="FH185" s="1816"/>
      <c r="FI185" s="133"/>
      <c r="FL185" s="1822" t="str">
        <f>IF(CQ183="Exterior","Not Daylighted",G186)</f>
        <v>Not Daylighted</v>
      </c>
      <c r="FM185" s="1824">
        <f>VLOOKUP(FL185,_New_Daylight_Table_Codes,2,FALSE)</f>
        <v>0</v>
      </c>
      <c r="FN185" s="1698">
        <f>AG185</f>
        <v>0</v>
      </c>
      <c r="FO185" s="1698" t="e">
        <f>VLOOKUP(FN185,_Control_Table,2,FALSE)</f>
        <v>#N/A</v>
      </c>
      <c r="FP185" s="1678" t="e">
        <f>VLOOKUP(CONCATENATE(FL185," ",FN185),Lookup!AY$102:AZ196,2,FALSE)</f>
        <v>#N/A</v>
      </c>
      <c r="FQ185" s="1698">
        <f>IF(__Retrofit_TI_NC=0,FN185,IF(AND(FT185&gt;0,FN185="Occupancy Sensor"),"Daylight + Occupancy",IF(AND(FT185&gt;0,FO185&lt;4),"Interior Daylight Dimming",FN185)))</f>
        <v>0</v>
      </c>
      <c r="FS185" s="1686">
        <f>IF(CQ183="Interior",VLOOKUP(CS183,Control_Savings_Interior,5,FALSE),0)</f>
        <v>0</v>
      </c>
      <c r="FT185" s="1687">
        <f>IF(CQ185="Exterior",0,IF(FM185=2,0.5,IF(OR(FM185=1,FM185=3),1,0)))</f>
        <v>0</v>
      </c>
      <c r="FU185" s="1685">
        <f>IF(R184&gt;FS$44,(FS185*(FS$44/R184)),FS185)*FT185</f>
        <v>0</v>
      </c>
      <c r="FV185" s="1686">
        <f>DI185</f>
        <v>0</v>
      </c>
      <c r="FW185" s="1686">
        <f>ROUND(FV185+((1-FV185)*FU185),2)</f>
        <v>0</v>
      </c>
      <c r="FX185" s="1686">
        <f>IF(__Retrofit_TI_NC=2,FW185,FV185)</f>
        <v>0</v>
      </c>
      <c r="FY185" s="1697">
        <f>IF(CR185="Interior",VLOOKUP(CS185,Control_Savings_Interior,4,FALSE),0)</f>
        <v>0</v>
      </c>
      <c r="GA185" s="1696"/>
      <c r="GB185" s="1696"/>
      <c r="GC185" s="1696"/>
      <c r="GD185" s="1696"/>
      <c r="GE185" s="1696"/>
      <c r="GF185" s="1696"/>
      <c r="GG185" s="1696"/>
      <c r="GH185" s="1696"/>
      <c r="GI185" s="673" t="b">
        <f>IF(ISNUMBER(SEARCH("TLED",U185)),TRUE,FALSE)</f>
        <v>0</v>
      </c>
      <c r="GJ185" s="1135" t="str">
        <f>IFERROR(VLOOKUP(U185,Fixtures!DM$93:DR$142,6,FALSE),"")</f>
        <v/>
      </c>
      <c r="GK185" s="1832"/>
      <c r="GM185" s="1692"/>
      <c r="GN185" s="1684"/>
      <c r="GP185" s="1684"/>
      <c r="GQ185" s="1684"/>
      <c r="HG185" s="1684"/>
      <c r="HH185" s="1684"/>
      <c r="HI185" s="1684"/>
      <c r="HJ185" s="1684"/>
      <c r="HK185" s="1684"/>
      <c r="HL185" s="1684"/>
      <c r="HM185" s="1684"/>
      <c r="HN185" s="1683"/>
      <c r="HO185" s="1692"/>
      <c r="HP185" s="1692"/>
      <c r="HQ185" s="1670"/>
      <c r="HR185" s="1684"/>
      <c r="HS185" s="1684"/>
      <c r="HT185" s="1670"/>
      <c r="HU185" s="1684"/>
      <c r="HV185" s="1684"/>
      <c r="HW185" s="1684"/>
      <c r="HX185" s="1684"/>
      <c r="HY185" s="1684"/>
      <c r="HZ185" s="1684"/>
      <c r="IB185" s="1692"/>
      <c r="IC185" s="1693" t="b">
        <f>IB183</f>
        <v>0</v>
      </c>
      <c r="ID185" s="1695"/>
      <c r="IE185" s="391"/>
      <c r="IF185" s="1688"/>
      <c r="IG185" s="1689">
        <f ca="1">IF(IF183=TRUE,AC186,0)</f>
        <v>0</v>
      </c>
      <c r="IH185" s="1684"/>
      <c r="IK185" s="1689" t="e">
        <f>ROUND(T185*AB186*N184*R184/1000,0)</f>
        <v>#VALUE!</v>
      </c>
      <c r="IL185" s="1691"/>
      <c r="IM185" s="1693" t="e">
        <f>ROUND(T185*AB186*N184*R184/1000,0)</f>
        <v>#VALUE!</v>
      </c>
      <c r="IN185" s="1691"/>
      <c r="IP185" s="1679"/>
      <c r="IQ185" s="1679" t="e">
        <f t="shared" ref="IQ185:IU185" si="147">IF($CR185="interior",VLOOKUP($CS185,_New_Control_Savings_Interior,IQ$30,FALSE),VLOOKUP($CS185,Control_Savings_Exterior,IQ$30,FALSE))</f>
        <v>#N/A</v>
      </c>
      <c r="IR185" s="1679" t="e">
        <f t="shared" si="147"/>
        <v>#N/A</v>
      </c>
      <c r="IS185" s="1679" t="e">
        <f t="shared" si="147"/>
        <v>#N/A</v>
      </c>
      <c r="IT185" s="1679" t="e">
        <f t="shared" si="147"/>
        <v>#N/A</v>
      </c>
      <c r="IU185" s="1679" t="e">
        <f t="shared" si="147"/>
        <v>#N/A</v>
      </c>
      <c r="IV185" s="1679" t="e">
        <f>IF($CR185="interior",IF(R184&gt;$IP$14,ROUND(($IV$18*($IP$14/R184)),2),$IV$18),VLOOKUP($CS185,Control_Savings_Exterior,IV$30,FALSE))</f>
        <v>#N/A</v>
      </c>
      <c r="IW185" s="1679" t="e">
        <f>IF($CR185="interior",ROUND(((1-IS185)*IV185)+IS185,2),VLOOKUP($CS185,Control_Savings_Exterior,IW$30,FALSE))</f>
        <v>#N/A</v>
      </c>
      <c r="IX185" s="1679" t="e">
        <f>IF($CR185="interior",ROUND(((1-IT185)*IV185)+IT185,2),VLOOKUP($CS185,Control_Savings_Exterior,IX$30,FALSE))</f>
        <v>#N/A</v>
      </c>
      <c r="IY185" s="1679" t="e">
        <f>IF($CR185="interior",IF(R184&gt;$IP$14,ROUND(($IY$18*($IP$14/R184)),2),$IY$18),VLOOKUP($CS185,Control_Savings_Exterior,IY$30,FALSE))</f>
        <v>#N/A</v>
      </c>
      <c r="IZ185" s="1679" t="e">
        <f>IF($CR185="interior",ROUND(((1-IS185)*IY185)+IS185,2),VLOOKUP($CS185,Control_Savings_Exterior,IZ$30,FALSE))</f>
        <v>#N/A</v>
      </c>
      <c r="JA185" s="1679" t="e">
        <f>IF($CR185="interior",ROUND(((1-IT185)*IY185)+IT185,2),VLOOKUP($CS185,Control_Savings_Exterior,JA$30,FALSE))</f>
        <v>#N/A</v>
      </c>
      <c r="JC185" s="1680">
        <f>IFERROR(IF(CR185="Interior",CONCATENATE(G186," ",FQ185),AG185),"")</f>
        <v>0</v>
      </c>
      <c r="JD185" s="1670" t="str">
        <f>IFERROR(VLOOKUP(JC185,_Controls_2023,2,FALSE),"")</f>
        <v/>
      </c>
      <c r="JE185" s="1681">
        <f>IFERROR(CHOOSE(JD185-1,IQ185,IR185,IS185,IT185,IU185,IV185,IW185,IX185,IY185,IZ185,JA185),0)</f>
        <v>0</v>
      </c>
      <c r="JG185" s="1680" t="str">
        <f>FE185</f>
        <v xml:space="preserve"> - </v>
      </c>
      <c r="JH185" s="1670" t="e">
        <f>$FO185</f>
        <v>#N/A</v>
      </c>
      <c r="JI185" s="1060"/>
      <c r="JJ185" s="1670">
        <f>IFERROR(IF($IB183=TRUE,IF(OR(JJ$14="No",JJ183=FALSE,JH185&lt;=JH183,AND(_kWh_Grant=0,GD183=FALSE)),0,IF(JJ$8="Per Line",1,$AF185)),0),0)</f>
        <v>0</v>
      </c>
      <c r="JK185" s="1061"/>
      <c r="JL185" s="1670">
        <f>IFERROR(IF(_kWh_Grant=0,0,IF($IB183=TRUE,IF(OR(JL$14="No",JL183=FALSE,JH185&lt;=JH183),0,IF(JL$8="Per Line",1,$T185)),0)),0)</f>
        <v>0</v>
      </c>
      <c r="JM185" s="1061"/>
      <c r="JN185" s="1670">
        <f>IFERROR(IF(_kWh_Grant=0,0,IF($IB183=TRUE,IF(OR(JN$14="No",JN183=FALSE,JH185&lt;=JH183),0,IF(JN$8="Per Line",1,$AF185)),0)),0)</f>
        <v>0</v>
      </c>
      <c r="JO185" s="1061"/>
      <c r="JP185" s="1670">
        <f>IFERROR(IF(__Retrofit_TI_NC=0,IF(_kWh_Grant=0,0,IF($IB183=TRUE,IF(OR(JP$14="No",JP183=FALSE,$JH185&lt;=$JH183),0,IF(JP$8="Per Line",1,$AF185)),0)),IF($IB183=TRUE,IF(OR(JP$14="No",JP183=FALSE,$JH185&lt;=$JH183),0,IF(JP$8="Per Line",1,$AF185)))),0)</f>
        <v>0</v>
      </c>
      <c r="JQ185" s="1061"/>
      <c r="JR185" s="1670">
        <f>IFERROR(IF(__Retrofit_TI_NC=0,IF(_kWh_Grant=0,0,IF($IB183=TRUE,IF(OR(JR$14="No",JR183=FALSE,$JH185&lt;=$JH183),0,IF(JR$8="Per Line",1,$AF185)),0)),IF($IB183=TRUE,IF(OR(JR$14="No",JR183=FALSE,$JH185&lt;=$JH183),0,IF(JR$8="Per Line",1,$AF185)))),0)</f>
        <v>0</v>
      </c>
      <c r="JS185" s="1061"/>
      <c r="JT185" s="1670">
        <f>IFERROR(IF(__Retrofit_TI_NC=0,IF(_kWh_Grant=0,0,IF($IB183=TRUE,IF(OR(JT$14="No",JT183=FALSE,$JH185&lt;=$JH183),0,IF(JT$8="Per Line",1,$AF185)),0)),IF($IB183=TRUE,IF(OR(JT$14="No",JT183=FALSE,$JH185&lt;=$JH183),0,IF(JT$8="Per Line",1,$AF185)))),0)</f>
        <v>0</v>
      </c>
      <c r="JU185" s="1061"/>
      <c r="JV185" s="1670">
        <f>IFERROR(IF(__Retrofit_TI_NC=0,IF(_kWh_Grant=0,0,IF($IB183=TRUE,IF(OR(JV$14="No",JV183=FALSE,$JH185&lt;=$JH183),0,IF(JV$8="Per Line",1,$AF185)),0)),IF($IB183=TRUE,IF(OR(JV$14="No",JV183=FALSE,$JH185&lt;=$JH183),0,IF(JV$8="Per Line",1,$AF185)))),0)</f>
        <v>0</v>
      </c>
      <c r="JX185" s="1670">
        <f>IFERROR(IF(__Retrofit_TI_NC=0,IF(_kWh_Grant=0,0,IF($IB183=TRUE,IF(OR(JX$14="No",JX183=FALSE,$JH185&lt;=$JH183),0,IF(JX$8="Per Line",1,$AF185)),0)),IF($IB183=TRUE,IF(OR(JX$14="No",JX183=FALSE,$JH185&lt;=$JH183),0,IF(JX$8="Per Line",1,$AF185)))),0)</f>
        <v>0</v>
      </c>
      <c r="JZ185" s="1670">
        <f>IFERROR(IF($IB183=TRUE,IF(OR(JZ$14="No",JZ183=FALSE,$JH185&lt;=$JH183,AND(_kWh_Grant=0,$GD183=FALSE)),0,IF(JZ$8="Per Line",1,$AF185)),0),0)</f>
        <v>0</v>
      </c>
      <c r="KB185" s="1670">
        <f>IFERROR(IF(__Retrofit_TI_NC=0,IF(_kWh_Grant=0,0,IF($IB183=TRUE,IF(OR(KB$14="No",KB183=FALSE,$JH185&lt;=$JH183),0,IF(KB$8="Per Line",1,$AF185)),0)),IF($IB183=TRUE,IF(OR(KB$14="No",KB183=FALSE,$JH185&lt;=$JH183),0,IF(KB$8="Per Line",1,$AF185)))),0)</f>
        <v>0</v>
      </c>
    </row>
    <row r="186" spans="1:288" s="78" customFormat="1" ht="14.95" customHeight="1" thickTop="1" thickBot="1">
      <c r="B186" s="1845"/>
      <c r="C186" s="1846"/>
      <c r="D186" s="1847"/>
      <c r="E186" s="1771" t="s">
        <v>436</v>
      </c>
      <c r="F186" s="1772"/>
      <c r="G186" s="1784" t="s">
        <v>437</v>
      </c>
      <c r="H186" s="1785"/>
      <c r="I186" s="1785"/>
      <c r="J186" s="1785"/>
      <c r="K186" s="1785"/>
      <c r="L186" s="1786"/>
      <c r="M186" s="591">
        <f>IFERROR(VLOOKUP(G186,_Daylight_Table[],2,FALSE),0)</f>
        <v>0</v>
      </c>
      <c r="N186" s="592" t="str">
        <f>IF(AND(__Retrofit_TI_NC&gt;0,CQ183="Interior"),"BAM","")</f>
        <v/>
      </c>
      <c r="O186" s="591" t="e">
        <f>VLOOKUP(G185,'Space Table'!$B$3:$L$163,11,FALSE)</f>
        <v>#N/A</v>
      </c>
      <c r="P186" s="1789"/>
      <c r="Q186" s="1790"/>
      <c r="R186" s="1790"/>
      <c r="S186" s="1788"/>
      <c r="T186" s="593" t="s">
        <v>342</v>
      </c>
      <c r="U186" s="1756" t="str" cm="1">
        <f t="array" aca="1" ref="U186" ca="1">IFERROR(VLOOKUP(INDIRECT("U" &amp; ROW()-1),Fixtures!DM$93:DP$142,4,FALSE),"")</f>
        <v/>
      </c>
      <c r="V186" s="1757"/>
      <c r="W186" s="1757"/>
      <c r="X186" s="1757"/>
      <c r="Y186" s="1757"/>
      <c r="Z186" s="1757"/>
      <c r="AA186" s="1758"/>
      <c r="AB186" s="939" t="str">
        <f>IFERROR(VLOOKUP(U185,Fixtures_Proposed_List,2,FALSE),"")</f>
        <v/>
      </c>
      <c r="AC186" s="933" t="str">
        <f>IFERROR(ROUND(T185*AB186*N184*R184/1000,0),"")</f>
        <v/>
      </c>
      <c r="AD186" s="934" t="str">
        <f>IFERROR(ROUND(T185*AB186/1000,2),"")</f>
        <v/>
      </c>
      <c r="AE186" s="998"/>
      <c r="AF186" s="938" t="s">
        <v>342</v>
      </c>
      <c r="AG186" s="1770"/>
      <c r="AH186" s="1770"/>
      <c r="AI186" s="1770"/>
      <c r="AJ186" s="1770"/>
      <c r="AK186" s="1770"/>
      <c r="AL186" s="1770"/>
      <c r="AM186" s="1727"/>
      <c r="AN186" s="1729"/>
      <c r="AO186" s="1731"/>
      <c r="AP186" s="1782"/>
      <c r="AQ186" s="1783"/>
      <c r="AR186" s="1797"/>
      <c r="AS186" s="1797"/>
      <c r="AT186" s="1798"/>
      <c r="AU186" s="1736"/>
      <c r="AV186" s="1753"/>
      <c r="AW186" s="1706"/>
      <c r="AX186" s="468"/>
      <c r="AY186" s="1750"/>
      <c r="AZ186" s="1750"/>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696"/>
      <c r="CQ186" s="1696"/>
      <c r="CR186" s="1809"/>
      <c r="CS186" s="1811"/>
      <c r="CU186" s="1688"/>
      <c r="CV186" s="1703"/>
      <c r="CW186" s="1703"/>
      <c r="CX186" s="1813"/>
      <c r="CY186" s="1815"/>
      <c r="CZ186" s="1711"/>
      <c r="DA186" s="1815"/>
      <c r="DB186" s="1821"/>
      <c r="DC186" s="1821"/>
      <c r="DD186" s="1821"/>
      <c r="DF186" s="1703"/>
      <c r="DG186" s="1831"/>
      <c r="DH186" s="1813"/>
      <c r="DI186" s="1838"/>
      <c r="DJ186" s="1711"/>
      <c r="DK186" s="1712"/>
      <c r="DN186" s="1718"/>
      <c r="DO186" s="1709"/>
      <c r="DQ186" s="1715"/>
      <c r="DR186" s="1720"/>
      <c r="DS186" s="1703"/>
      <c r="DT186" s="1714"/>
      <c r="DU186" s="1715"/>
      <c r="DV186" s="1716"/>
      <c r="DX186" s="1715"/>
      <c r="DY186" s="1720"/>
      <c r="DZ186" s="1715"/>
      <c r="EA186" s="1715"/>
      <c r="EC186" s="1834"/>
      <c r="ED186" s="1834"/>
      <c r="EF186" s="1707"/>
      <c r="EG186" s="1712"/>
      <c r="EH186" s="1815"/>
      <c r="EI186" s="1712"/>
      <c r="EJ186" s="1712"/>
      <c r="EK186" s="1813"/>
      <c r="EL186" s="1813"/>
      <c r="EM186" s="1807"/>
      <c r="EN186" s="1839"/>
      <c r="EO186" s="1839"/>
      <c r="EP186" s="1817"/>
      <c r="EQ186" s="1817"/>
      <c r="ER186" s="1807"/>
      <c r="ES186" s="1807"/>
      <c r="ET186" s="1807"/>
      <c r="EV186" s="1715"/>
      <c r="EX186" s="1806"/>
      <c r="EY186" s="1806"/>
      <c r="EZ186" s="1806"/>
      <c r="FA186" s="1806"/>
      <c r="FB186" s="1806"/>
      <c r="FC186" s="1828"/>
      <c r="FE186" s="1698"/>
      <c r="FG186" s="1703"/>
      <c r="FH186" s="1703"/>
      <c r="FI186" s="133"/>
      <c r="FL186" s="1823"/>
      <c r="FM186" s="1825"/>
      <c r="FN186" s="1698"/>
      <c r="FO186" s="1698"/>
      <c r="FP186" s="1678"/>
      <c r="FQ186" s="1698"/>
      <c r="FS186" s="1687"/>
      <c r="FT186" s="1687"/>
      <c r="FU186" s="1685"/>
      <c r="FV186" s="1687"/>
      <c r="FW186" s="1687"/>
      <c r="FX186" s="1687"/>
      <c r="FY186" s="1697"/>
      <c r="GA186" s="1696"/>
      <c r="GB186" s="1696"/>
      <c r="GC186" s="1696"/>
      <c r="GD186" s="1696"/>
      <c r="GE186" s="1696"/>
      <c r="GF186" s="1696"/>
      <c r="GG186" s="1696"/>
      <c r="GH186" s="1696"/>
      <c r="GI186" s="673"/>
      <c r="GJ186" s="1135"/>
      <c r="GK186" s="1832"/>
      <c r="GN186" s="674">
        <f>IF(GN184=TRUE,0,GN$16)</f>
        <v>0</v>
      </c>
      <c r="GP186" s="674">
        <f>IF(GP184=TRUE,0,GP$16)</f>
        <v>36</v>
      </c>
      <c r="GQ186" s="674">
        <f ca="1">IF(GQ184=TRUE,0,GQ$16)</f>
        <v>35</v>
      </c>
      <c r="GR186" s="391"/>
      <c r="GS186" s="391"/>
      <c r="GT186" s="391"/>
      <c r="GU186" s="391"/>
      <c r="GV186" s="391"/>
      <c r="HG186" s="674">
        <f>IF(HG184=TRUE,0,HG$16)</f>
        <v>0</v>
      </c>
      <c r="HH186" s="674">
        <f t="shared" ref="HH186:HM186" si="148">IF(HH184=TRUE,0,HH$16)</f>
        <v>19</v>
      </c>
      <c r="HI186" s="674">
        <f t="shared" si="148"/>
        <v>18</v>
      </c>
      <c r="HJ186" s="674">
        <f t="shared" si="148"/>
        <v>17</v>
      </c>
      <c r="HK186" s="674">
        <f t="shared" si="148"/>
        <v>16</v>
      </c>
      <c r="HL186" s="674">
        <f t="shared" si="148"/>
        <v>0</v>
      </c>
      <c r="HM186" s="674">
        <f t="shared" si="148"/>
        <v>0</v>
      </c>
      <c r="HN186" s="674">
        <f>IF(HN184=TRUE,0,HN$16)</f>
        <v>13</v>
      </c>
      <c r="HO186" s="674">
        <f t="shared" ref="HO186:HQ186" si="149">IF(HO184=TRUE,0,HO$16)</f>
        <v>0</v>
      </c>
      <c r="HP186" s="674">
        <f t="shared" si="149"/>
        <v>0</v>
      </c>
      <c r="HQ186" s="674">
        <f t="shared" si="149"/>
        <v>10</v>
      </c>
      <c r="HR186" s="674">
        <f>IF(HR184=TRUE,0,HR$16)</f>
        <v>9</v>
      </c>
      <c r="HS186" s="674">
        <f t="shared" ref="HS186:HW186" si="150">IF(HS184=TRUE,0,HS$16)</f>
        <v>0</v>
      </c>
      <c r="HT186" s="674">
        <f t="shared" si="150"/>
        <v>0</v>
      </c>
      <c r="HU186" s="674">
        <f t="shared" si="150"/>
        <v>0</v>
      </c>
      <c r="HV186" s="674">
        <f t="shared" si="150"/>
        <v>0</v>
      </c>
      <c r="HW186" s="674">
        <f t="shared" si="150"/>
        <v>0</v>
      </c>
      <c r="HX186" s="674">
        <f>IF(HX184=TRUE,0,HX$16)</f>
        <v>0</v>
      </c>
      <c r="HY186" s="674">
        <f>IF(HY184=TRUE,0,HY$16)</f>
        <v>0</v>
      </c>
      <c r="HZ186" s="674">
        <f>IF(HZ184=TRUE,0,HZ$16)</f>
        <v>1</v>
      </c>
      <c r="IB186" s="674">
        <f>IF(GP184=FALSE,GP186,IF(GQ184=FALSE,GQ186,MAX(GN186:HZ186)))</f>
        <v>36</v>
      </c>
      <c r="IC186" s="1692"/>
      <c r="ID186" s="205" t="str">
        <f>VLOOKUP(IB186,_Error_Table,3,FALSE)</f>
        <v xml:space="preserve"> </v>
      </c>
      <c r="IE186" s="205"/>
      <c r="IF186" s="1688"/>
      <c r="IG186" s="1689"/>
      <c r="IH186" s="1684"/>
      <c r="IK186" s="1689"/>
      <c r="IL186" s="1692"/>
      <c r="IM186" s="1692"/>
      <c r="IN186" s="1692"/>
      <c r="IP186" s="1679"/>
      <c r="IQ186" s="1679"/>
      <c r="IR186" s="1679"/>
      <c r="IS186" s="1679"/>
      <c r="IT186" s="1679"/>
      <c r="IU186" s="1679"/>
      <c r="IV186" s="1679"/>
      <c r="IW186" s="1679"/>
      <c r="IX186" s="1679"/>
      <c r="IY186" s="1679"/>
      <c r="IZ186" s="1679"/>
      <c r="JA186" s="1679"/>
      <c r="JC186" s="1680"/>
      <c r="JD186" s="1670"/>
      <c r="JE186" s="1681"/>
      <c r="JG186" s="1680"/>
      <c r="JH186" s="1670"/>
      <c r="JI186" s="1060"/>
      <c r="JJ186" s="1670"/>
      <c r="JK186" s="1061"/>
      <c r="JL186" s="1670"/>
      <c r="JM186" s="1061"/>
      <c r="JN186" s="1670"/>
      <c r="JO186" s="1061"/>
      <c r="JP186" s="1670"/>
      <c r="JQ186" s="1061"/>
      <c r="JR186" s="1670"/>
      <c r="JS186" s="1061"/>
      <c r="JT186" s="1670"/>
      <c r="JU186" s="1061"/>
      <c r="JV186" s="1670"/>
      <c r="JX186" s="1670"/>
      <c r="JZ186" s="1670"/>
      <c r="KB186" s="1670"/>
    </row>
    <row r="187" spans="1:288" s="78" customFormat="1" ht="5.0999999999999996" customHeight="1">
      <c r="B187" s="676"/>
      <c r="C187" s="392"/>
      <c r="D187" s="392"/>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1733"/>
      <c r="AA187" s="1733"/>
      <c r="AB187" s="1733"/>
      <c r="AC187" s="1733"/>
      <c r="AD187" s="1733"/>
      <c r="AE187" s="1733"/>
      <c r="AF187" s="1733"/>
      <c r="AG187" s="1733"/>
      <c r="AH187" s="1733"/>
      <c r="AI187" s="1733"/>
      <c r="AJ187" s="1733"/>
      <c r="AK187" s="1733"/>
      <c r="AL187" s="1733"/>
      <c r="AM187" s="1733"/>
      <c r="AN187" s="1733"/>
      <c r="AO187" s="1733"/>
      <c r="AP187" s="1733"/>
      <c r="AQ187" s="1733"/>
      <c r="AR187" s="1733"/>
      <c r="AS187" s="1733"/>
      <c r="AT187" s="1733"/>
      <c r="AU187" s="1733"/>
      <c r="AV187" s="1733"/>
      <c r="AW187" s="1733"/>
      <c r="AX187" s="469"/>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663"/>
      <c r="CQ187" s="663"/>
      <c r="CR187" s="438"/>
      <c r="CS187" s="663"/>
      <c r="CV187" s="391"/>
      <c r="CW187" s="391"/>
      <c r="CX187" s="207"/>
      <c r="CY187" s="208"/>
      <c r="CZ187" s="208"/>
      <c r="DA187" s="208"/>
      <c r="DB187" s="209"/>
      <c r="DC187" s="209"/>
      <c r="DD187" s="209"/>
      <c r="DF187" s="664"/>
      <c r="DG187" s="665"/>
      <c r="DH187" s="666"/>
      <c r="DI187" s="667"/>
      <c r="DJ187" s="668"/>
      <c r="DK187" s="668"/>
      <c r="DN187" s="208"/>
      <c r="DO187" s="664"/>
      <c r="DQ187" s="664"/>
      <c r="DR187" s="669"/>
      <c r="DS187" s="391"/>
      <c r="DT187" s="664"/>
      <c r="DU187" s="664"/>
      <c r="DV187" s="664"/>
      <c r="DX187" s="664"/>
      <c r="DY187" s="664"/>
      <c r="DZ187" s="664"/>
      <c r="EA187" s="664"/>
      <c r="EC187" s="670"/>
      <c r="ED187" s="670"/>
      <c r="EF187" s="668"/>
      <c r="EG187" s="668"/>
      <c r="EH187" s="208"/>
      <c r="EI187" s="668"/>
      <c r="EJ187" s="668"/>
      <c r="EK187" s="207"/>
      <c r="EL187" s="207"/>
      <c r="EM187" s="666"/>
      <c r="EN187" s="671"/>
      <c r="EO187" s="671"/>
      <c r="EP187" s="672"/>
      <c r="EQ187" s="672"/>
      <c r="ER187" s="666"/>
      <c r="ES187" s="666"/>
      <c r="ET187" s="666"/>
      <c r="EV187" s="664"/>
      <c r="EX187" s="391"/>
      <c r="EY187" s="391"/>
      <c r="EZ187" s="391"/>
      <c r="FA187" s="391"/>
      <c r="FB187" s="391"/>
      <c r="FC187" s="391"/>
      <c r="FE187" s="569"/>
      <c r="FG187" s="391"/>
      <c r="FH187" s="391"/>
      <c r="FI187" s="391"/>
      <c r="FS187" s="664"/>
      <c r="FT187" s="391"/>
      <c r="FU187" s="391"/>
      <c r="FV187" s="664"/>
      <c r="FW187" s="664"/>
      <c r="GA187" s="663"/>
      <c r="GB187" s="663"/>
      <c r="GC187" s="663"/>
      <c r="GD187" s="663"/>
      <c r="GE187" s="663"/>
      <c r="GF187" s="663"/>
      <c r="GG187" s="663"/>
      <c r="GH187" s="663"/>
      <c r="GI187" s="665"/>
      <c r="GJ187" s="664"/>
      <c r="GK187" s="664"/>
    </row>
    <row r="188" spans="1:288" s="78" customFormat="1" ht="14.95" customHeight="1">
      <c r="B188" s="1845" t="str">
        <f>ID191</f>
        <v xml:space="preserve"> </v>
      </c>
      <c r="C188" s="1846">
        <f>C183+1</f>
        <v>28</v>
      </c>
      <c r="D188" s="1847"/>
      <c r="E188" s="1799" t="s">
        <v>295</v>
      </c>
      <c r="F188" s="1800"/>
      <c r="G188" s="1741"/>
      <c r="H188" s="1742"/>
      <c r="I188" s="1742"/>
      <c r="J188" s="1742"/>
      <c r="K188" s="1742"/>
      <c r="L188" s="1742"/>
      <c r="M188" s="1742"/>
      <c r="N188" s="1742"/>
      <c r="O188" s="1742"/>
      <c r="P188" s="1742"/>
      <c r="Q188" s="1742"/>
      <c r="R188" s="1742"/>
      <c r="S188" s="1791" t="s">
        <v>344</v>
      </c>
      <c r="T188" s="590"/>
      <c r="U188" s="1743"/>
      <c r="V188" s="1744"/>
      <c r="W188" s="1744"/>
      <c r="X188" s="1744"/>
      <c r="Y188" s="1744"/>
      <c r="Z188" s="1744"/>
      <c r="AA188" s="1744"/>
      <c r="AB188" s="961" t="str">
        <f>IFERROR(IF(__Retrofit_TI_NC=0,VLOOKUP(U189,Fixtures_Existing_List,2,FALSE),ROUND(N190*R190/T190,10)),"")</f>
        <v/>
      </c>
      <c r="AC188" s="935" t="str">
        <f>IFERROR(IF(__Retrofit_TI_NC=0,ROUND(T189*AB188*N189*R189/1000,0),IF(CQ188="Interior",N190*R190*R189*N189*_C406_reduction/1000,N190*R190*R189*N189/1000)),"")</f>
        <v/>
      </c>
      <c r="AD188" s="936" t="str">
        <f>IFERROR(IF(C$43=0,ROUND(T189*AB188/1000,2),N190*R190/1000),"")</f>
        <v/>
      </c>
      <c r="AE188" s="997"/>
      <c r="AF188" s="937"/>
      <c r="AG188" s="1745" t="str">
        <f>IF(__Retrofit_TI_NC=0," Control","Select Advanced Control for New System")</f>
        <v xml:space="preserve"> Control</v>
      </c>
      <c r="AH188" s="1745"/>
      <c r="AI188" s="1745"/>
      <c r="AJ188" s="1745"/>
      <c r="AK188" s="1745"/>
      <c r="AL188" s="1745"/>
      <c r="AM188" s="1746">
        <f>IFERROR(DI188,"")</f>
        <v>0</v>
      </c>
      <c r="AN188" s="1774" t="str">
        <f>IFERROR(ROUND(AM188*AC188,0),"")</f>
        <v/>
      </c>
      <c r="AO188" s="1776">
        <f>IFERROR(IF(IB188=FALSE,0,AC188-AN188),0)</f>
        <v>0</v>
      </c>
      <c r="AP188" s="1778">
        <f>AO188-AO190</f>
        <v>0</v>
      </c>
      <c r="AQ188" s="1779"/>
      <c r="AR188" s="1793">
        <f>IFERROR(IF(IB188=FALSE,0,(T190*U191)+(AF190*AG191)),0)</f>
        <v>0</v>
      </c>
      <c r="AS188" s="1793"/>
      <c r="AT188" s="1794"/>
      <c r="AU188" s="1734" t="s">
        <v>237</v>
      </c>
      <c r="AV188" s="1751">
        <f>IF(AU188="Yes",1,0)</f>
        <v>1</v>
      </c>
      <c r="AW188" s="1704" t="str">
        <f>IF(OR(DQ188=4,DQ188=5,DQ188=6,DQ188=12),CONCATENATE("$",IF(GH188=TRUE,Lookup!$K$10,Lookup!$K$2)," /lamp"),CONCATENATE(TEXT(ED188,"$0.00"),"/ kWh"))</f>
        <v>$0.00/ kWh</v>
      </c>
      <c r="AX188" s="467"/>
      <c r="AY188" s="1748">
        <f ca="1">IFERROR(IF(GM189=TRUE,(AB191*T190)/R190,0),"NA")</f>
        <v>0</v>
      </c>
      <c r="AZ188" s="1748"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696" t="str">
        <f>N189</f>
        <v/>
      </c>
      <c r="CQ188" s="1696" t="str">
        <f>IFERROR(VLOOKUP(G189,_Lookup_Heat_Type_Table_New,3,FALSE),"")</f>
        <v/>
      </c>
      <c r="CR188" s="1808" t="str">
        <f>CQ188</f>
        <v/>
      </c>
      <c r="CS188" s="1810" t="str">
        <f>IFERROR(VLOOKUP(G190,'Space Table'!$B$3:$L$163,9,FALSE),"")</f>
        <v/>
      </c>
      <c r="CU188" s="1688" t="s">
        <v>344</v>
      </c>
      <c r="CV188" s="1702">
        <f>IF(IB188=TRUE,T189,0)</f>
        <v>0</v>
      </c>
      <c r="CW188" s="1702" t="str">
        <f>IF(IB188=TRUE,U189,"")</f>
        <v/>
      </c>
      <c r="CX188" s="1702"/>
      <c r="CY188" s="1814">
        <f>IF(IB188=TRUE,AB188,0)</f>
        <v>0</v>
      </c>
      <c r="CZ188" s="1710">
        <f>IF(AND(__Retrofit_TI_NC&gt;0,CR188="interior"),0,IF(IB188=TRUE,AC188,0))</f>
        <v>0</v>
      </c>
      <c r="DA188" s="1814">
        <f>IFERROR(IF(IB188=TRUE,CZ188-CZ190,0),0)</f>
        <v>0</v>
      </c>
      <c r="DB188" s="1819">
        <f>IF(IB188=TRUE,AD188,0)</f>
        <v>0</v>
      </c>
      <c r="DC188" s="1819">
        <f>IF(IB188=TRUE,AD191,0)</f>
        <v>0</v>
      </c>
      <c r="DD188" s="1819">
        <f>IFERROR(DB188-DC188,0)</f>
        <v>0</v>
      </c>
      <c r="DF188" s="1702">
        <f>IF(IB188=TRUE,AF189,0)</f>
        <v>0</v>
      </c>
      <c r="DG188" s="1830">
        <f>IFERROR(IF(__Retrofit_TI_NC=2,IF(CQ188="Exterior",O191,FQ188),FN188),"")</f>
        <v>0</v>
      </c>
      <c r="DH188" s="1702"/>
      <c r="DI188" s="1837">
        <f>JE188</f>
        <v>0</v>
      </c>
      <c r="DJ188" s="1710">
        <f>IF(AND(__Retrofit_TI_NC&gt;0,CR188="interior"),0,IF(IB188=TRUE,AN188,0))</f>
        <v>0</v>
      </c>
      <c r="DK188" s="1712">
        <f>IFERROR(IF(IB188=TRUE,DJ190-DJ188,0),0)</f>
        <v>0</v>
      </c>
      <c r="DM188" s="1717">
        <f>IFERROR(CZ188-DJ188,0)</f>
        <v>0</v>
      </c>
      <c r="DO188" s="1708">
        <f>DM188-DN190</f>
        <v>0</v>
      </c>
      <c r="DQ188" s="1715" t="str">
        <f>IFERROR(IF(AND(OR(GC188=4,GC188=5,GC188=6),OR(GF188=4,GF188=5,GF188=6)),GC188+8,VLOOKUP(CW190,Fixtures!R$31:Y$78,8,FALSE)),"")</f>
        <v/>
      </c>
      <c r="DR188" s="1829" t="str">
        <f>DQ188</f>
        <v/>
      </c>
      <c r="DS188" s="1702" t="str">
        <f>IFERROR(VLOOKUP(DG190,Lookup!BB$3:BC$20,2,FALSE),"")</f>
        <v/>
      </c>
      <c r="DT188" s="1713" t="str">
        <f>IF(OR(DS188=7,DS188=8,DS188=9),"ALC","")</f>
        <v/>
      </c>
      <c r="DU188" s="1715">
        <f>IFERROR(IF(OR(DQ188=4,DQ188=5,DQ188=6,DQ188=12,DQ188=13,DQ188=14),VLOOKUP(CW190,Fixtures!DN$27:EG$77,19,FALSE),1)*CV190,0)</f>
        <v>0</v>
      </c>
      <c r="DV188" s="1716">
        <f>IF(OR(DS188=7,DS188=8,DS188=9),IF(DG188=DG190,0,DF190),0)</f>
        <v>0</v>
      </c>
      <c r="DX188" s="1715" t="str">
        <f>IFERROR(IF(EZ188&lt;EZ190,"Yes","No"),"")</f>
        <v/>
      </c>
      <c r="DY188" s="1829" t="str">
        <f>DX188</f>
        <v/>
      </c>
      <c r="DZ188" s="1715">
        <f>IF(DX188="Yes",DF190,0)</f>
        <v>0</v>
      </c>
      <c r="EA188" s="1715">
        <f>DZ188-DV188</f>
        <v>0</v>
      </c>
      <c r="EC188" s="1834">
        <f>IFERROR(VLOOKUP(DQ188,Lookup!AU$3:AV$16,2,FALSE),0)</f>
        <v>0</v>
      </c>
      <c r="ED188" s="1834">
        <f>IF(IB188=FALSE,0,IF(DX188="Yes",EC188+Lookup!K$6,EC188))</f>
        <v>0</v>
      </c>
      <c r="EF188" s="1707">
        <f>IF(IB188=TRUE,DM188,0)</f>
        <v>0</v>
      </c>
      <c r="EG188" s="1712">
        <f>IF(IB188=TRUE,CZ190,0)</f>
        <v>0</v>
      </c>
      <c r="EH188" s="1814">
        <f>IFERROR(EF188-EG188,0)</f>
        <v>0</v>
      </c>
      <c r="EI188" s="1712">
        <f>IF(IB188=TRUE,DJ190,0)</f>
        <v>0</v>
      </c>
      <c r="EJ188" s="1712">
        <f>IFERROR(EF188-EG188+EI188,0)</f>
        <v>0</v>
      </c>
      <c r="EK188" s="1812">
        <f>IF(IB188=TRUE,CV190*CX190,0)</f>
        <v>0</v>
      </c>
      <c r="EL188" s="1812">
        <f>IF(IB188=TRUE,DF190*DH190,0)</f>
        <v>0</v>
      </c>
      <c r="EM188" s="1807">
        <f>AR188</f>
        <v>0</v>
      </c>
      <c r="EN188" s="1839" t="str">
        <f>IFERROR(IF(IB188=TRUE,VLOOKUP(DQ188,Lookup!AU$3:AW$16,3,FALSE)*DU188,""),0)</f>
        <v/>
      </c>
      <c r="EO188" s="1839">
        <f>IF(IB188=TRUE,DZ188*Lookup!AW$12,0)</f>
        <v>0</v>
      </c>
      <c r="EP188" s="1817">
        <f>IFERROR(IF(IB188=TRUE,EN188/EP$40,0),0)</f>
        <v>0</v>
      </c>
      <c r="EQ188" s="1817">
        <f>IF(IB188=TRUE,EO188/EQ$40,0)</f>
        <v>0</v>
      </c>
      <c r="ER188" s="1807">
        <f>IF(IB188=TRUE,ET$40*EP188,0)</f>
        <v>0</v>
      </c>
      <c r="ES188" s="1807">
        <f>IF(IB188=TRUE,ET$40*EQ188,0)</f>
        <v>0</v>
      </c>
      <c r="ET188" s="1807">
        <f>ER188+ES188</f>
        <v>0</v>
      </c>
      <c r="EV188" s="1715">
        <f>IF(G188="",0,1)</f>
        <v>0</v>
      </c>
      <c r="EX188" s="1804" t="str">
        <f>IFERROR(VLOOKUP(CS190,'Space Table'!$B$3:$L$163,8,FALSE),"")</f>
        <v/>
      </c>
      <c r="EY188" s="1804" t="str">
        <f>IFERROR(IF(FB188="Yes",VLOOKUP(DG188,Lookup_Control_Type_Table2,4,FALSE),VLOOKUP(DG188,Lookup_Control_Type_Table2,3,FALSE)),"")</f>
        <v/>
      </c>
      <c r="EZ188" s="1804" t="e">
        <f>VLOOKUP(DG188,Lookup!BB$3:BC$20,2,FALSE)</f>
        <v>#N/A</v>
      </c>
      <c r="FA188" s="1804" t="e">
        <f>VLOOKUP(EX188,Lookup_Control_Type_Table,2,FALSE)</f>
        <v>#N/A</v>
      </c>
      <c r="FB188" s="1804" t="e">
        <f>VLOOKUP(CS190,'Space Table'!$B$3:$L$163,7,FALSE)</f>
        <v>#N/A</v>
      </c>
      <c r="FC188" s="1826" t="b">
        <f>ISNUMBER(SEARCH("TLED",U190))</f>
        <v>0</v>
      </c>
      <c r="FE188" s="1698" t="str">
        <f>CONCATENATE(CQ188," - ",DG188)</f>
        <v xml:space="preserve"> - 0</v>
      </c>
      <c r="FG188" s="1702" t="str">
        <f>VLOOKUP(CW190,Fixtures!DN$27:EZ$77,38,FALSE)</f>
        <v/>
      </c>
      <c r="FH188" s="1702">
        <f>IFERROR(FG188*EH188,0)</f>
        <v>0</v>
      </c>
      <c r="FI188" s="133"/>
      <c r="FL188" s="1822" t="str">
        <f>IF(CQ188="Exterior","Not Daylighted",G191)</f>
        <v>Not Daylighted</v>
      </c>
      <c r="FM188" s="1824">
        <f>VLOOKUP(FL188,_New_Daylight_Table_Codes,2,FALSE)</f>
        <v>0</v>
      </c>
      <c r="FN188" s="1698">
        <f>IF(__Retrofit_TI_NC&gt;0,VLOOKUP(G190,'Space Table'!$B$3:$L$163,11,FALSE),AG189)</f>
        <v>0</v>
      </c>
      <c r="FO188" s="1698" t="e">
        <f>IF(__Retrofit_TI_NC=2,VLOOKUP(FQ188,_Control_Table,2,FALSE),VLOOKUP(FN188,_Control_Table,2,FALSE))</f>
        <v>#N/A</v>
      </c>
      <c r="FP188" s="1678" t="e">
        <f>VLOOKUP(CONCATENATE(FL188," ",FN188),Lookup!AY$102:AZ198,2,FALSE)</f>
        <v>#N/A</v>
      </c>
      <c r="FQ188" s="1678">
        <f>IF(__Retrofit_TI_NC=0,FN188,IF(AND(FT188&gt;0,FN188="Occupancy Sensor"),"Daylight + Occupancy",IF(AND(FT188&gt;0,VLOOKUP(FN188,_Control_Table,2,FALSE)&lt;4),"Interior Daylight Dimming",FN188)))</f>
        <v>0</v>
      </c>
      <c r="FS188" s="1686">
        <f>IF(CR188="Interior",VLOOKUP(CS188,Control_Savings_Interior,5,FALSE),0)</f>
        <v>0</v>
      </c>
      <c r="FT188" s="1687">
        <f>IF(CQ188="Exterior",0,IF(FM188=2,0.5,IF(OR(FM188=1,FM188=3),1,0)))</f>
        <v>0</v>
      </c>
      <c r="FU188" s="1685">
        <f>IF(R187&gt;FS$44,(FS188*(FS$44/R187)),FS188)*FT188</f>
        <v>0</v>
      </c>
      <c r="FV188" s="1686">
        <f>DI188</f>
        <v>0</v>
      </c>
      <c r="FW188" s="1686">
        <f>ROUND(FV188+((1-FV188)*FU188),2)</f>
        <v>0</v>
      </c>
      <c r="FX188" s="1686">
        <f>IF(__Retrofit_TI_NC=2,FW188,FV188)</f>
        <v>0</v>
      </c>
      <c r="FY188" s="1697"/>
      <c r="GA188" s="1696" t="str">
        <f>IFERROR(VLOOKUP(U189,_Exist_Fixture_Table,3,FALSE),"")</f>
        <v/>
      </c>
      <c r="GB188" s="1696" t="str">
        <f>VLOOKUP(CW188,_Exist_Fixture_Table,4,FALSE)</f>
        <v/>
      </c>
      <c r="GC188" s="1696">
        <f>IFERROR(VLOOKUP(GB188,Lookup!AT$6:AU$8,2,FALSE),0)</f>
        <v>0</v>
      </c>
      <c r="GD188" s="1696" t="b">
        <f>IFERROR(IF(OR(GF188=4,GF188=5,GF188=6),TRUE,FALSE),"")</f>
        <v>0</v>
      </c>
      <c r="GE188" s="1696" t="str">
        <f>IFERROR(VLOOKUP(GF188,GC$6:GD$10,2,FALSE),"")</f>
        <v/>
      </c>
      <c r="GF188" s="1696" t="str">
        <f>VLOOKUP(CW190,Fixtures!R$31:Y$78,8,FALSE)</f>
        <v/>
      </c>
      <c r="GG188" s="1696">
        <f>IF(AND(GA188=TRUE,GD188=TRUE,OR(DQ188=12,DQ188=13,DQ188=14)),GC188+8,0)</f>
        <v>0</v>
      </c>
      <c r="GH188" s="1696" t="b">
        <f>IF(OR(GG188=12,GG188=13,GG188=14),TRUE,FALSE)</f>
        <v>0</v>
      </c>
      <c r="GI188" s="673" t="b">
        <f>IF(ISNUMBER(SEARCH("TLED",U189)),TRUE,FALSE)</f>
        <v>0</v>
      </c>
      <c r="GJ188" s="1135" t="str">
        <f>IFERROR(VLOOKUP(U189,Fixtures!BM$93:BR$142,6,FALSE),"")</f>
        <v/>
      </c>
      <c r="GK188" s="1832" t="b">
        <f>IF(OR(GI188=FALSE,GI190=FALSE),TRUE,IF(GJ188-GJ190&lt;5,FALSE,TRUE))</f>
        <v>1</v>
      </c>
      <c r="GO188" s="674">
        <f>GP188</f>
        <v>0</v>
      </c>
      <c r="GP188" s="674">
        <f>IF(G188="",0,1)</f>
        <v>0</v>
      </c>
      <c r="GQ188" s="674">
        <f ca="1">SUM(GR188:HF188)</f>
        <v>2</v>
      </c>
      <c r="GR188" s="674">
        <f>IF(G189="",0,1)</f>
        <v>0</v>
      </c>
      <c r="GS188" s="674">
        <f>IF(N191="BAM",1,IF(G190="",0,1))</f>
        <v>0</v>
      </c>
      <c r="GT188" s="674">
        <f>IF(N191="BAM",1,IF(R189="",0,1))</f>
        <v>0</v>
      </c>
      <c r="GU188" s="674">
        <f>IF(N191="BAM",1,IF(__Retrofit_TI_NC=0,1,IF(R190="",0,1)))</f>
        <v>1</v>
      </c>
      <c r="GV188" s="674">
        <f>IF(N191="BAM",1,IF(CQ188="Exterior",1,IF(G191="",0,1)))</f>
        <v>1</v>
      </c>
      <c r="GW188" s="674">
        <f>IF(__Retrofit_TI_NC&gt;0,1,IF(T189="",0,1))</f>
        <v>0</v>
      </c>
      <c r="GX188" s="674">
        <f>IF(__Retrofit_TI_NC&gt;0,1,IF(U189="",0,1))</f>
        <v>0</v>
      </c>
      <c r="GY188" s="674">
        <f>IF(N191="BAM",1,IF(T190="",0,1))</f>
        <v>0</v>
      </c>
      <c r="GZ188" s="674">
        <f>IF(N191="BAM",1,IF(U190="",0,1))</f>
        <v>0</v>
      </c>
      <c r="HA188" s="674">
        <f ca="1">IF(N191="BAM",1,IF(__Retrofit_TI_NC&gt;0,1,IF(U191="",0,1)))</f>
        <v>0</v>
      </c>
      <c r="HB188" s="674">
        <f>IF(__Retrofit_TI_NC&lt;&gt;0,1,IF(AF189="",0,1))</f>
        <v>0</v>
      </c>
      <c r="HC188" s="674">
        <f>IF(__Retrofit_TI_NC&lt;&gt;0,1,IF(AG189="",0,1))</f>
        <v>0</v>
      </c>
      <c r="HD188" s="674">
        <f>IF(N191="BAM",1,IF(AF190="",0,1))</f>
        <v>0</v>
      </c>
      <c r="HE188" s="674">
        <f>IF(N191="BAM",1,IF(AG190="",0,1))</f>
        <v>0</v>
      </c>
      <c r="HF188" s="674">
        <f>IF(N191="BAM",1,IF(__Retrofit_TI_NC&gt;0,1,IF(AG191="",0,1)))</f>
        <v>0</v>
      </c>
      <c r="HG188" s="391"/>
      <c r="IA188" s="391"/>
      <c r="IB188" s="1693" t="b">
        <f>IF(OR(IB191=0,IB191=HY$16,IB191=HX$16,IB191=HZ$16),TRUE,FALSE)</f>
        <v>0</v>
      </c>
      <c r="IC188" s="1694" t="b">
        <f>IB188</f>
        <v>0</v>
      </c>
      <c r="ID188" s="391"/>
      <c r="IE188" s="391"/>
      <c r="IF188" s="1688" t="b">
        <f ca="1">IF(MAX(GN191:HU191)&gt;5,FALSE,TRUE)</f>
        <v>0</v>
      </c>
      <c r="IG188" s="1689">
        <f ca="1">IF(IF188=TRUE,AC188,0)</f>
        <v>0</v>
      </c>
      <c r="IH188" s="1689">
        <f ca="1">IG188-IG190</f>
        <v>0</v>
      </c>
      <c r="IK188" s="1689" t="e">
        <f>ROUND(T189*VLOOKUP(U189,Fixtures_Existing_List,2,FALSE)*N189*R189/1000,0)</f>
        <v>#N/A</v>
      </c>
      <c r="IL188" s="1690" t="e">
        <f>IK188-IK190</f>
        <v>#N/A</v>
      </c>
      <c r="IM188" s="1693" t="e">
        <f>ROUND(IF(CQ188="Interior",N190*R190*R189*N189*_C406_reduction/1000,N190*R190*R189*N189/1000),0)</f>
        <v>#N/A</v>
      </c>
      <c r="IN188" s="1693" t="e">
        <f>IM188-IM190</f>
        <v>#N/A</v>
      </c>
      <c r="IP188" s="1679"/>
      <c r="IQ188" s="1679" t="e">
        <f t="shared" ref="IQ188:IU188" si="151">IF($CR188="interior",VLOOKUP($CS188,_New_Control_Savings_Interior,IQ$30,FALSE),VLOOKUP($CS188,Control_Savings_Exterior,IQ$30,FALSE))</f>
        <v>#N/A</v>
      </c>
      <c r="IR188" s="1679" t="e">
        <f t="shared" si="151"/>
        <v>#N/A</v>
      </c>
      <c r="IS188" s="1679" t="e">
        <f t="shared" si="151"/>
        <v>#N/A</v>
      </c>
      <c r="IT188" s="1679" t="e">
        <f t="shared" si="151"/>
        <v>#N/A</v>
      </c>
      <c r="IU188" s="1679" t="e">
        <f t="shared" si="151"/>
        <v>#N/A</v>
      </c>
      <c r="IV188" s="1679" t="e">
        <f>IF($CR188="interior",IF(R189&gt;$IP$14,ROUND(($IV$18*($IP$14/R189)),2),$IV$18),VLOOKUP($CS188,Control_Savings_Exterior,IV$30,FALSE))</f>
        <v>#N/A</v>
      </c>
      <c r="IW188" s="1679" t="e">
        <f>IF($CR188="interior",ROUND(((1-IS188)*IV188)+IS188,2),VLOOKUP($CS188,Control_Savings_Exterior,IW$30,FALSE))</f>
        <v>#N/A</v>
      </c>
      <c r="IX188" s="1679" t="e">
        <f>IF($CR188="interior",ROUND(((1-IT188)*IV188)+IT188,2),VLOOKUP($CS188,Control_Savings_Exterior,IX$30,FALSE))</f>
        <v>#N/A</v>
      </c>
      <c r="IY188" s="1679" t="e">
        <f>IF($CR188="interior",IF(R189&gt;$IP$14,ROUND(($IY$18*($IP$14/R189)),2),$IY$18),VLOOKUP($CS188,Control_Savings_Exterior,IY$30,FALSE))</f>
        <v>#N/A</v>
      </c>
      <c r="IZ188" s="1679" t="e">
        <f>IF($CR188="interior",ROUND(((1-IS188)*IY188)+IS188,2),VLOOKUP($CS188,Control_Savings_Exterior,IZ$30,FALSE))</f>
        <v>#N/A</v>
      </c>
      <c r="JA188" s="1679" t="e">
        <f>IF($CR188="interior",ROUND(((1-IT188)*IY188)+IT188,2),VLOOKUP($CS188,Control_Savings_Exterior,JA$30,FALSE))</f>
        <v>#N/A</v>
      </c>
      <c r="JC188" s="1680">
        <f>IFERROR(IF(CR188="Interior",CONCATENATE(G191," ",FQ188),FQ188),"")</f>
        <v>0</v>
      </c>
      <c r="JD188" s="1670" t="str">
        <f>IFERROR(VLOOKUP(JC188,_Controls_2023,2,FALSE),"")</f>
        <v/>
      </c>
      <c r="JE188" s="1681">
        <f>IFERROR(CHOOSE(JD188-1,IQ188,IR188,IS188,IT188,IU188,IV188,IW188,IX188,IY188,IZ188,JA188),0)</f>
        <v>0</v>
      </c>
      <c r="JG188" s="1680" t="str">
        <f>FE188</f>
        <v xml:space="preserve"> - 0</v>
      </c>
      <c r="JH188" s="1670" t="e">
        <f>$FO188</f>
        <v>#N/A</v>
      </c>
      <c r="JI188" s="1060"/>
      <c r="JJ188" s="1682" t="b">
        <f>IF($JG190=CONCATENATE("Interior - ",JJ$4),TRUE,FALSE)</f>
        <v>0</v>
      </c>
      <c r="JK188" s="1061"/>
      <c r="JL188" s="1682" t="b">
        <f>IF($JG190=CONCATENATE("Interior - ",JL$4),TRUE,FALSE)</f>
        <v>0</v>
      </c>
      <c r="JM188" s="1061"/>
      <c r="JN188" s="1682" t="b">
        <f>IF($JG190=CONCATENATE("Interior - ",JN$4),TRUE,FALSE)</f>
        <v>0</v>
      </c>
      <c r="JO188" s="1061"/>
      <c r="JP188" s="1682" t="b">
        <f>IF(__Retrofit_TI_NC&gt;0,FALSE,IF($JG190=CONCATENATE("Interior - ",JP$4),TRUE,FALSE))</f>
        <v>0</v>
      </c>
      <c r="JQ188" s="1061"/>
      <c r="JR188" s="1682" t="b">
        <f>IF(__Retrofit_TI_NC&gt;0,FALSE,IF($JG190=CONCATENATE("Interior - ",JR$4),TRUE,FALSE))</f>
        <v>0</v>
      </c>
      <c r="JS188" s="1061"/>
      <c r="JT188" s="1670" t="b">
        <f>IF(__Retrofit_TI_NC&gt;0,FALSE,IF($JG190=CONCATENATE("Interior - ",JT$4),TRUE,FALSE))</f>
        <v>0</v>
      </c>
      <c r="JU188" s="1061"/>
      <c r="JV188" s="1670" t="b">
        <f>IF(JC190="AELC on Existing",TRUE,FALSE)</f>
        <v>0</v>
      </c>
      <c r="JX188" s="1670" t="b">
        <f>IF(OR(JG190="Exterior - AELC Occupancy based",JG190="Exterior - AELC Time based"),TRUE,FALSE)</f>
        <v>0</v>
      </c>
      <c r="JZ188" s="1682" t="b">
        <f>IF($JG190=CONCATENATE("Exterior - ",JZ$4),TRUE,FALSE)</f>
        <v>0</v>
      </c>
      <c r="KB188" s="1670" t="b">
        <f>IF(__Retrofit_TI_NC&gt;0,FALSE,IF($JG190=CONCATENATE("Interior - ",KB$4),TRUE,FALSE))</f>
        <v>0</v>
      </c>
    </row>
    <row r="189" spans="1:288" s="78" customFormat="1" ht="14.95" customHeight="1" thickTop="1" thickBot="1">
      <c r="B189" s="1845"/>
      <c r="C189" s="1846"/>
      <c r="D189" s="1847"/>
      <c r="E189" s="1737" t="s">
        <v>297</v>
      </c>
      <c r="F189" s="1738"/>
      <c r="G189" s="1739"/>
      <c r="H189" s="1739"/>
      <c r="I189" s="1739"/>
      <c r="J189" s="1739"/>
      <c r="K189" s="1739"/>
      <c r="L189" s="1739"/>
      <c r="M189" s="461" t="e">
        <f>IF(__Retrofit_TI_NC&lt;&gt;0,IF(VLOOKUP(G190,'Space Table'!$B$3:$L$163,3,FALSE)&gt;0,1,0),IF(__Retrofit_TI_NC=VLOOKUP(G190,'Space Table'!$B$3:$L$163,3,FALSE),1,0))</f>
        <v>#N/A</v>
      </c>
      <c r="N189" s="461" t="str">
        <f>IFERROR(VLOOKUP(G189,_Lookup_Heat_Type_Table_New,2,FALSE),"")</f>
        <v/>
      </c>
      <c r="O189" s="461">
        <f>IF(__Retrofit_TI_NC=1,CONCATENATE("TI ",G189),IF(__Retrofit_TI_NC=2,CONCATENATE("NC ",G189),G189))</f>
        <v>0</v>
      </c>
      <c r="P189" s="1740" t="s">
        <v>435</v>
      </c>
      <c r="Q189" s="1740"/>
      <c r="R189" s="595"/>
      <c r="S189" s="1792"/>
      <c r="T189" s="597"/>
      <c r="U189" s="1765"/>
      <c r="V189" s="1766"/>
      <c r="W189" s="1766"/>
      <c r="X189" s="1766"/>
      <c r="Y189" s="1766"/>
      <c r="Z189" s="1766"/>
      <c r="AA189" s="1766"/>
      <c r="AB189" s="1766"/>
      <c r="AC189" s="1766"/>
      <c r="AD189" s="1767"/>
      <c r="AE189" s="1000"/>
      <c r="AF189" s="597"/>
      <c r="AG189" s="1723"/>
      <c r="AH189" s="1724"/>
      <c r="AI189" s="1724"/>
      <c r="AJ189" s="1724"/>
      <c r="AK189" s="1725"/>
      <c r="AL189" s="996"/>
      <c r="AM189" s="1747"/>
      <c r="AN189" s="1775"/>
      <c r="AO189" s="1777"/>
      <c r="AP189" s="1780"/>
      <c r="AQ189" s="1781"/>
      <c r="AR189" s="1795"/>
      <c r="AS189" s="1795"/>
      <c r="AT189" s="1796"/>
      <c r="AU189" s="1735"/>
      <c r="AV189" s="1752"/>
      <c r="AW189" s="1705"/>
      <c r="AX189" s="467"/>
      <c r="AY189" s="1749"/>
      <c r="AZ189" s="1749"/>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696"/>
      <c r="CQ189" s="1696"/>
      <c r="CR189" s="1809"/>
      <c r="CS189" s="1811"/>
      <c r="CU189" s="1688"/>
      <c r="CV189" s="1703"/>
      <c r="CW189" s="1703"/>
      <c r="CX189" s="1703"/>
      <c r="CY189" s="1815"/>
      <c r="CZ189" s="1711"/>
      <c r="DA189" s="1818"/>
      <c r="DB189" s="1820"/>
      <c r="DC189" s="1820"/>
      <c r="DD189" s="1820"/>
      <c r="DF189" s="1703"/>
      <c r="DG189" s="1831"/>
      <c r="DH189" s="1703"/>
      <c r="DI189" s="1838"/>
      <c r="DJ189" s="1711"/>
      <c r="DK189" s="1712"/>
      <c r="DM189" s="1718"/>
      <c r="DO189" s="1708"/>
      <c r="DQ189" s="1715"/>
      <c r="DR189" s="1720"/>
      <c r="DS189" s="1816"/>
      <c r="DT189" s="1714"/>
      <c r="DU189" s="1715"/>
      <c r="DV189" s="1716"/>
      <c r="DX189" s="1715"/>
      <c r="DY189" s="1720"/>
      <c r="DZ189" s="1715"/>
      <c r="EA189" s="1715"/>
      <c r="EC189" s="1834"/>
      <c r="ED189" s="1834"/>
      <c r="EF189" s="1707"/>
      <c r="EG189" s="1712"/>
      <c r="EH189" s="1818"/>
      <c r="EI189" s="1712"/>
      <c r="EJ189" s="1712"/>
      <c r="EK189" s="1836"/>
      <c r="EL189" s="1836"/>
      <c r="EM189" s="1807"/>
      <c r="EN189" s="1839"/>
      <c r="EO189" s="1839"/>
      <c r="EP189" s="1817"/>
      <c r="EQ189" s="1817"/>
      <c r="ER189" s="1807"/>
      <c r="ES189" s="1807"/>
      <c r="ET189" s="1807"/>
      <c r="EV189" s="1715"/>
      <c r="EX189" s="1805"/>
      <c r="EY189" s="1805"/>
      <c r="EZ189" s="1805"/>
      <c r="FA189" s="1805"/>
      <c r="FB189" s="1805"/>
      <c r="FC189" s="1827"/>
      <c r="FE189" s="1698"/>
      <c r="FG189" s="1816"/>
      <c r="FH189" s="1816"/>
      <c r="FI189" s="133"/>
      <c r="FL189" s="1823"/>
      <c r="FM189" s="1825"/>
      <c r="FN189" s="1698"/>
      <c r="FO189" s="1698"/>
      <c r="FP189" s="1678"/>
      <c r="FQ189" s="1678"/>
      <c r="FS189" s="1687"/>
      <c r="FT189" s="1687"/>
      <c r="FU189" s="1685"/>
      <c r="FV189" s="1687"/>
      <c r="FW189" s="1687"/>
      <c r="FX189" s="1687"/>
      <c r="FY189" s="1697"/>
      <c r="GA189" s="1696"/>
      <c r="GB189" s="1696"/>
      <c r="GC189" s="1696"/>
      <c r="GD189" s="1696"/>
      <c r="GE189" s="1696"/>
      <c r="GF189" s="1696"/>
      <c r="GG189" s="1696"/>
      <c r="GH189" s="1696"/>
      <c r="GI189" s="673"/>
      <c r="GJ189" s="1135"/>
      <c r="GK189" s="1832"/>
      <c r="GM189" s="1693" t="b">
        <f ca="1">IF(AND(GP189=TRUE,GQ189=TRUE),TRUE,FALSE)</f>
        <v>0</v>
      </c>
      <c r="GN189" s="1684" t="b">
        <f>IFERROR(IF(__Retrofit_TI_NC=2,TRUE,IF(AU188="Yes",TRUE,FALSE)),FALSE)</f>
        <v>1</v>
      </c>
      <c r="GP189" s="1684" t="b">
        <f>IFERROR(IF(GP188=1,TRUE,FALSE),FALSE)</f>
        <v>0</v>
      </c>
      <c r="GQ189" s="1684" t="b">
        <f ca="1">IFERROR(IF(GQ188=GQ$14,TRUE,FALSE),FALSE)</f>
        <v>0</v>
      </c>
      <c r="HG189" s="1684" t="b">
        <f>IFERROR(IF(AND(__Retrofit_TI_NC&gt;0,CQ188="Interior"),FALSE,TRUE),FALSE)</f>
        <v>1</v>
      </c>
      <c r="HH189" s="1684" t="b">
        <f>IFERROR(IF(M189=1,TRUE,FALSE),FALSE)</f>
        <v>0</v>
      </c>
      <c r="HI189" s="1684" t="b">
        <f>IFERROR(IF(OR(M190=1,N191="BAM"),TRUE,FALSE),FALSE)</f>
        <v>0</v>
      </c>
      <c r="HJ189" s="1684" t="b">
        <f>IFERROR(IF(__Retrofit_TI_NC&lt;&gt;0,TRUE,IFERROR(IF(VLOOKUP(U189,Fixtures_Existing_List,2,FALSE)&lt;&gt;"",TRUE,FALSE),FALSE)),FALSE)</f>
        <v>0</v>
      </c>
      <c r="HK189" s="1684" t="b">
        <f>IFERROR(IF(VLOOKUP(U190,Fixtures_Proposed_List,2,FALSE)&lt;&gt;"",TRUE,FALSE),FALSE)</f>
        <v>0</v>
      </c>
      <c r="HL189" s="1684" t="b">
        <f>IF(AND(__Retrofit_TI_NC=2,FC188=TRUE),FALSE,TRUE)</f>
        <v>1</v>
      </c>
      <c r="HM189" s="1684" t="b">
        <f>GK188</f>
        <v>1</v>
      </c>
      <c r="HN189" s="1682" t="b">
        <f>IF(ISERROR(MATCH(FE188,_Control_Match[],0))=TRUE,FALSE,TRUE)</f>
        <v>0</v>
      </c>
      <c r="HO189" s="1693" t="b">
        <f>IFERROR(IF(EX188&lt;&gt;EY188,FALSE,TRUE),FALSE)</f>
        <v>1</v>
      </c>
      <c r="HP189" s="1693" t="b">
        <f>IFERROR(IF(EX190&lt;&gt;EY190,FALSE,TRUE),FALSE)</f>
        <v>1</v>
      </c>
      <c r="HQ189" s="1670" t="b">
        <f>IFERROR(IF(CQ188="Exterior",TRUE,IF(AND(OR(FM190=0,FM190=3),JD190&gt;6),FALSE,TRUE)),FALSE)</f>
        <v>0</v>
      </c>
      <c r="HR189" s="1684" t="b">
        <f>IFERROR(IF(AND(FO190=7,FC188=TRUE),FALSE,TRUE),FALSE)</f>
        <v>0</v>
      </c>
      <c r="HS189" s="1684" t="b">
        <f>IFERROR(IF(AND(T190&lt;&gt;AF190,OR(AG190="Interior LLLC", AG190="Interior NLC", AG190="LLLC (outside Daylight)",AG190="LLLC Controls Only"))=TRUE,FALSE,TRUE),FALSE)</f>
        <v>1</v>
      </c>
      <c r="HT189" s="1670" t="b">
        <f>IFERROR(IF(OR(AG190=Lookup!BB$17,AG190=Lookup!BB$18,AG190=Lookup!BB$19)=TRUE,IF(AF190&gt;T190,FALSE,TRUE),TRUE),FALSE)</f>
        <v>1</v>
      </c>
      <c r="HU189" s="1684" t="b">
        <f>IFERROR(IF(__Retrofit_TI_NC=2,IF(EZ190&lt;EZ188,FALSE,TRUE),TRUE),FALSE)</f>
        <v>1</v>
      </c>
      <c r="HV189" s="1684" t="b">
        <f>IF(CQ188="Interior",IL$6,TRUE)</f>
        <v>1</v>
      </c>
      <c r="HW189" s="1684" t="b">
        <f>IF(CQ188="Exterior",IL$8,TRUE)</f>
        <v>1</v>
      </c>
      <c r="HX189" s="1684" t="b">
        <f>IFERROR(IF(__Retrofit_TI_NC&lt;&gt;0,IF(AZ188&lt;AY188,FALSE,TRUE),TRUE),FALSE)</f>
        <v>1</v>
      </c>
      <c r="HY189" s="1684" t="b">
        <f>IFERROR(IF(AND(G189="Exterior",R189&gt;4200),FALSE,TRUE),FALSE)</f>
        <v>1</v>
      </c>
      <c r="HZ189" s="1684" t="b">
        <f>IFERROR(IF(AB191/AB188&lt;HZ$18,FALSE,TRUE),FALSE)</f>
        <v>0</v>
      </c>
      <c r="IB189" s="1691"/>
      <c r="IC189" s="1695"/>
      <c r="ID189" s="1694" t="str">
        <f>VLOOKUP(IB191,_Error_Table,4,FALSE)</f>
        <v>White</v>
      </c>
      <c r="IE189" s="391"/>
      <c r="IF189" s="1688"/>
      <c r="IG189" s="1689"/>
      <c r="IH189" s="1684"/>
      <c r="IK189" s="1689"/>
      <c r="IL189" s="1691"/>
      <c r="IM189" s="1691"/>
      <c r="IN189" s="1691"/>
      <c r="IP189" s="1679"/>
      <c r="IQ189" s="1679"/>
      <c r="IR189" s="1679"/>
      <c r="IS189" s="1679"/>
      <c r="IT189" s="1679"/>
      <c r="IU189" s="1679"/>
      <c r="IV189" s="1679"/>
      <c r="IW189" s="1679"/>
      <c r="IX189" s="1679"/>
      <c r="IY189" s="1679"/>
      <c r="IZ189" s="1679"/>
      <c r="JA189" s="1679"/>
      <c r="JC189" s="1680"/>
      <c r="JD189" s="1670"/>
      <c r="JE189" s="1681"/>
      <c r="JG189" s="1680"/>
      <c r="JH189" s="1670"/>
      <c r="JI189" s="1060"/>
      <c r="JJ189" s="1683"/>
      <c r="JK189" s="1061"/>
      <c r="JL189" s="1683"/>
      <c r="JM189" s="1061"/>
      <c r="JN189" s="1683"/>
      <c r="JO189" s="1061"/>
      <c r="JP189" s="1683"/>
      <c r="JQ189" s="1061"/>
      <c r="JR189" s="1683"/>
      <c r="JS189" s="1061"/>
      <c r="JT189" s="1670"/>
      <c r="JU189" s="1061"/>
      <c r="JV189" s="1670"/>
      <c r="JX189" s="1670"/>
      <c r="JZ189" s="1683"/>
      <c r="KB189" s="1670"/>
    </row>
    <row r="190" spans="1:288" s="78" customFormat="1" ht="14.95" customHeight="1" thickTop="1" thickBot="1">
      <c r="A190" s="78">
        <f>ROW()</f>
        <v>190</v>
      </c>
      <c r="B190" s="1845"/>
      <c r="C190" s="1846"/>
      <c r="D190" s="1847"/>
      <c r="E190" s="1737" t="s">
        <v>298</v>
      </c>
      <c r="F190" s="1738"/>
      <c r="G190" s="1760"/>
      <c r="H190" s="1761"/>
      <c r="I190" s="1761"/>
      <c r="J190" s="1761"/>
      <c r="K190" s="1761"/>
      <c r="L190" s="1762"/>
      <c r="M190" s="461">
        <f>IFERROR(IF(IF(__Retrofit_TI_NC&lt;&gt;0,IF(CQ188="Interior",MATCH(G190,Lookup_Interior_New,0),MATCH(G190,Lookup_Exterior_New,0)),IF(CQ188="Interior",MATCH(G190,Lookup_Interior,0),MATCH(G190,Lookup_Exterior_Areas,0)))&gt;0,1,0),0)</f>
        <v>0</v>
      </c>
      <c r="N190" s="461" t="e">
        <f>IF(__Retrofit_TI_NC=1,
VLOOKUP(G190,'Space Table'!$B$3:$L$163,4,FALSE),
IF(__Retrofit_TI_NC=2,VLOOKUP(G190,'Space Table'!$B$3:$L$163,5,FALSE),VLOOKUP(G190,'Space Table'!$B$3:$L$163,5,FALSE)))</f>
        <v>#N/A</v>
      </c>
      <c r="O190" s="461">
        <f>G190</f>
        <v>0</v>
      </c>
      <c r="P190" s="1738" t="str">
        <f>IFERROR(IF(__Retrofit_TI_NC=1,VLOOKUP(G190,'Space Table'!$B$3:$O$163,13,FALSE),IF(__Retrofit_TI_NC=2,VLOOKUP(G190,'Space Table'!$B$3:$O$163,14,FALSE),"Area (sf):")),"Area (sf):")</f>
        <v>Area (sf):</v>
      </c>
      <c r="Q190" s="1738"/>
      <c r="R190" s="596"/>
      <c r="S190" s="1763" t="s">
        <v>345</v>
      </c>
      <c r="T190" s="594"/>
      <c r="U190" s="1801"/>
      <c r="V190" s="1802"/>
      <c r="W190" s="1802"/>
      <c r="X190" s="1802"/>
      <c r="Y190" s="1802"/>
      <c r="Z190" s="1802"/>
      <c r="AA190" s="1802"/>
      <c r="AB190" s="1802"/>
      <c r="AC190" s="1802"/>
      <c r="AD190" s="1802"/>
      <c r="AE190" s="1803"/>
      <c r="AF190" s="594"/>
      <c r="AG190" s="1787"/>
      <c r="AH190" s="1787"/>
      <c r="AI190" s="1787"/>
      <c r="AJ190" s="1787"/>
      <c r="AK190" s="1787"/>
      <c r="AL190" s="1787"/>
      <c r="AM190" s="1726">
        <f>IFERROR(DI190,"")</f>
        <v>0</v>
      </c>
      <c r="AN190" s="1728" t="str">
        <f>IFERROR(ROUND(AM190*AC191,0),"")</f>
        <v/>
      </c>
      <c r="AO190" s="1730">
        <f>IFERROR(IF(IB188=FALSE,0,AC191-AN190),0)</f>
        <v>0</v>
      </c>
      <c r="AP190" s="1780"/>
      <c r="AQ190" s="1781"/>
      <c r="AR190" s="1795"/>
      <c r="AS190" s="1795"/>
      <c r="AT190" s="1796"/>
      <c r="AU190" s="1735"/>
      <c r="AV190" s="1752"/>
      <c r="AW190" s="1705"/>
      <c r="AX190" s="467"/>
      <c r="AY190" s="1749"/>
      <c r="AZ190" s="1749"/>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696"/>
      <c r="CQ190" s="1696"/>
      <c r="CR190" s="1808" t="str">
        <f>CQ188</f>
        <v/>
      </c>
      <c r="CS190" s="1810" t="str">
        <f>CS188</f>
        <v/>
      </c>
      <c r="CU190" s="1688" t="s">
        <v>345</v>
      </c>
      <c r="CV190" s="1702">
        <f>IF(IB188=TRUE,T190,0)</f>
        <v>0</v>
      </c>
      <c r="CW190" s="1702" t="str">
        <f>IF(IB188=TRUE,U190,"")</f>
        <v/>
      </c>
      <c r="CX190" s="1812">
        <f>IF(IB188=TRUE,U191,0)</f>
        <v>0</v>
      </c>
      <c r="CY190" s="1814">
        <f>IF(IB188=TRUE,AB191,0)</f>
        <v>0</v>
      </c>
      <c r="CZ190" s="1710">
        <f>IF(AND(__Retrofit_TI_NC&gt;0,CR188="interior"),0,IF(IB188=TRUE,AC191,0))</f>
        <v>0</v>
      </c>
      <c r="DA190" s="1818"/>
      <c r="DB190" s="1820"/>
      <c r="DC190" s="1820"/>
      <c r="DD190" s="1820"/>
      <c r="DF190" s="1702">
        <f>IF(IB188=TRUE,AF190,0)</f>
        <v>0</v>
      </c>
      <c r="DG190" s="1830" t="str">
        <f>IF(IB188=TRUE,AG190,"")</f>
        <v/>
      </c>
      <c r="DH190" s="1812">
        <f>AG191</f>
        <v>0</v>
      </c>
      <c r="DI190" s="1837">
        <f>JE190</f>
        <v>0</v>
      </c>
      <c r="DJ190" s="1710">
        <f>IF(AND(__Retrofit_TI_NC&gt;0,CR188="interior"),0,IF(IB188=TRUE,AN190,0))</f>
        <v>0</v>
      </c>
      <c r="DK190" s="1712"/>
      <c r="DN190" s="1717">
        <f>IFERROR(CZ190-DJ190,0)</f>
        <v>0</v>
      </c>
      <c r="DO190" s="1709"/>
      <c r="DQ190" s="1715"/>
      <c r="DR190" s="1719" t="str">
        <f>DQ188</f>
        <v/>
      </c>
      <c r="DS190" s="1816"/>
      <c r="DT190" s="1835" t="str">
        <f>IF(OR(DS188=7,DS188=8,DS188=9),"ALC","")</f>
        <v/>
      </c>
      <c r="DU190" s="1715"/>
      <c r="DV190" s="1716"/>
      <c r="DX190" s="1715"/>
      <c r="DY190" s="1829" t="str">
        <f>DX188</f>
        <v/>
      </c>
      <c r="DZ190" s="1715"/>
      <c r="EA190" s="1715"/>
      <c r="EC190" s="1834"/>
      <c r="ED190" s="1834"/>
      <c r="EF190" s="1707"/>
      <c r="EG190" s="1712"/>
      <c r="EH190" s="1818"/>
      <c r="EI190" s="1712"/>
      <c r="EJ190" s="1712"/>
      <c r="EK190" s="1836"/>
      <c r="EL190" s="1836"/>
      <c r="EM190" s="1807"/>
      <c r="EN190" s="1839"/>
      <c r="EO190" s="1839"/>
      <c r="EP190" s="1817"/>
      <c r="EQ190" s="1817"/>
      <c r="ER190" s="1807"/>
      <c r="ES190" s="1807"/>
      <c r="ET190" s="1807"/>
      <c r="EV190" s="1715"/>
      <c r="EX190" s="1805" t="str">
        <f>IFERROR(VLOOKUP(CS190,'Space Table'!$B$3:$L$163,8,FALSE),"")</f>
        <v/>
      </c>
      <c r="EY190" s="1805" t="str">
        <f>IFERROR(IF(FB190="Yes",VLOOKUP(AG190,Lookup_Control_Type_Table2,4,FALSE),VLOOKUP(AG190,Lookup_Control_Type_Table2,3,FALSE)),"")</f>
        <v/>
      </c>
      <c r="EZ190" s="1805" t="e">
        <f>VLOOKUP(AG190,Lookup!BB$3:BC$20,2,FALSE)</f>
        <v>#N/A</v>
      </c>
      <c r="FA190" s="1805" t="e">
        <f>VLOOKUP(EX188,Lookup_Control_Type_Table,2,FALSE)</f>
        <v>#N/A</v>
      </c>
      <c r="FB190" s="1805" t="e">
        <f>VLOOKUP(CS190,'Space Table'!$B$3:$L$163,7,FALSE)</f>
        <v>#N/A</v>
      </c>
      <c r="FC190" s="1827"/>
      <c r="FE190" s="1698" t="str">
        <f>CONCATENATE(CQ188," - ",AG190)</f>
        <v xml:space="preserve"> - </v>
      </c>
      <c r="FG190" s="1816"/>
      <c r="FH190" s="1816"/>
      <c r="FI190" s="133"/>
      <c r="FL190" s="1822" t="str">
        <f>IF(CQ188="Exterior","Not Daylighted",G191)</f>
        <v>Not Daylighted</v>
      </c>
      <c r="FM190" s="1824">
        <f>VLOOKUP(FL190,_New_Daylight_Table_Codes,2,FALSE)</f>
        <v>0</v>
      </c>
      <c r="FN190" s="1698">
        <f>AG190</f>
        <v>0</v>
      </c>
      <c r="FO190" s="1698" t="e">
        <f>VLOOKUP(FN190,_Control_Table,2,FALSE)</f>
        <v>#N/A</v>
      </c>
      <c r="FP190" s="1678" t="e">
        <f>VLOOKUP(CONCATENATE(FL190," ",FN190),Lookup!AY$102:AZ201,2,FALSE)</f>
        <v>#N/A</v>
      </c>
      <c r="FQ190" s="1698">
        <f>IF(__Retrofit_TI_NC=0,FN190,IF(AND(FT190&gt;0,FN190="Occupancy Sensor"),"Daylight + Occupancy",IF(AND(FT190&gt;0,FO190&lt;4),"Interior Daylight Dimming",FN190)))</f>
        <v>0</v>
      </c>
      <c r="FS190" s="1686">
        <f>IF(CQ188="Interior",VLOOKUP(CS188,Control_Savings_Interior,5,FALSE),0)</f>
        <v>0</v>
      </c>
      <c r="FT190" s="1687">
        <f>IF(CQ190="Exterior",0,IF(FM190=2,0.5,IF(OR(FM190=1,FM190=3),1,0)))</f>
        <v>0</v>
      </c>
      <c r="FU190" s="1685">
        <f>IF(R189&gt;FS$44,(FS190*(FS$44/R189)),FS190)*FT190</f>
        <v>0</v>
      </c>
      <c r="FV190" s="1686">
        <f>DI190</f>
        <v>0</v>
      </c>
      <c r="FW190" s="1686">
        <f>ROUND(FV190+((1-FV190)*FU190),2)</f>
        <v>0</v>
      </c>
      <c r="FX190" s="1686">
        <f>IF(__Retrofit_TI_NC=2,FW190,FV190)</f>
        <v>0</v>
      </c>
      <c r="FY190" s="1697">
        <f>IF(CR190="Interior",VLOOKUP(CS190,Control_Savings_Interior,4,FALSE),0)</f>
        <v>0</v>
      </c>
      <c r="GA190" s="1696"/>
      <c r="GB190" s="1696"/>
      <c r="GC190" s="1696"/>
      <c r="GD190" s="1696"/>
      <c r="GE190" s="1696"/>
      <c r="GF190" s="1696"/>
      <c r="GG190" s="1696"/>
      <c r="GH190" s="1696"/>
      <c r="GI190" s="673" t="b">
        <f>IF(ISNUMBER(SEARCH("TLED",U190)),TRUE,FALSE)</f>
        <v>0</v>
      </c>
      <c r="GJ190" s="1135" t="str">
        <f>IFERROR(VLOOKUP(U190,Fixtures!DM$93:DR$142,6,FALSE),"")</f>
        <v/>
      </c>
      <c r="GK190" s="1832"/>
      <c r="GM190" s="1692"/>
      <c r="GN190" s="1684"/>
      <c r="GP190" s="1684"/>
      <c r="GQ190" s="1684"/>
      <c r="HG190" s="1684"/>
      <c r="HH190" s="1684"/>
      <c r="HI190" s="1684"/>
      <c r="HJ190" s="1684"/>
      <c r="HK190" s="1684"/>
      <c r="HL190" s="1684"/>
      <c r="HM190" s="1684"/>
      <c r="HN190" s="1683"/>
      <c r="HO190" s="1692"/>
      <c r="HP190" s="1692"/>
      <c r="HQ190" s="1670"/>
      <c r="HR190" s="1684"/>
      <c r="HS190" s="1684"/>
      <c r="HT190" s="1670"/>
      <c r="HU190" s="1684"/>
      <c r="HV190" s="1684"/>
      <c r="HW190" s="1684"/>
      <c r="HX190" s="1684"/>
      <c r="HY190" s="1684"/>
      <c r="HZ190" s="1684"/>
      <c r="IB190" s="1692"/>
      <c r="IC190" s="1693" t="b">
        <f>IB188</f>
        <v>0</v>
      </c>
      <c r="ID190" s="1695"/>
      <c r="IE190" s="391"/>
      <c r="IF190" s="1688"/>
      <c r="IG190" s="1689">
        <f ca="1">IF(IF188=TRUE,AC191,0)</f>
        <v>0</v>
      </c>
      <c r="IH190" s="1684"/>
      <c r="IK190" s="1689" t="e">
        <f>ROUND(T190*AB191*N189*R189/1000,0)</f>
        <v>#VALUE!</v>
      </c>
      <c r="IL190" s="1691"/>
      <c r="IM190" s="1693" t="e">
        <f>ROUND(T190*AB191*N189*R189/1000,0)</f>
        <v>#VALUE!</v>
      </c>
      <c r="IN190" s="1691"/>
      <c r="IP190" s="1679"/>
      <c r="IQ190" s="1679" t="e">
        <f t="shared" ref="IQ190:IU190" si="152">IF($CR190="interior",VLOOKUP($CS190,_New_Control_Savings_Interior,IQ$30,FALSE),VLOOKUP($CS190,Control_Savings_Exterior,IQ$30,FALSE))</f>
        <v>#N/A</v>
      </c>
      <c r="IR190" s="1679" t="e">
        <f t="shared" si="152"/>
        <v>#N/A</v>
      </c>
      <c r="IS190" s="1679" t="e">
        <f t="shared" si="152"/>
        <v>#N/A</v>
      </c>
      <c r="IT190" s="1679" t="e">
        <f t="shared" si="152"/>
        <v>#N/A</v>
      </c>
      <c r="IU190" s="1679" t="e">
        <f t="shared" si="152"/>
        <v>#N/A</v>
      </c>
      <c r="IV190" s="1679" t="e">
        <f>IF($CR190="interior",IF(R189&gt;$IP$14,ROUND(($IV$18*($IP$14/R189)),2),$IV$18),VLOOKUP($CS190,Control_Savings_Exterior,IV$30,FALSE))</f>
        <v>#N/A</v>
      </c>
      <c r="IW190" s="1679" t="e">
        <f>IF($CR190="interior",ROUND(((1-IS190)*IV190)+IS190,2),VLOOKUP($CS190,Control_Savings_Exterior,IW$30,FALSE))</f>
        <v>#N/A</v>
      </c>
      <c r="IX190" s="1679" t="e">
        <f>IF($CR190="interior",ROUND(((1-IT190)*IV190)+IT190,2),VLOOKUP($CS190,Control_Savings_Exterior,IX$30,FALSE))</f>
        <v>#N/A</v>
      </c>
      <c r="IY190" s="1679" t="e">
        <f>IF($CR190="interior",IF(R189&gt;$IP$14,ROUND(($IY$18*($IP$14/R189)),2),$IY$18),VLOOKUP($CS190,Control_Savings_Exterior,IY$30,FALSE))</f>
        <v>#N/A</v>
      </c>
      <c r="IZ190" s="1679" t="e">
        <f>IF($CR190="interior",ROUND(((1-IS190)*IY190)+IS190,2),VLOOKUP($CS190,Control_Savings_Exterior,IZ$30,FALSE))</f>
        <v>#N/A</v>
      </c>
      <c r="JA190" s="1679" t="e">
        <f>IF($CR190="interior",ROUND(((1-IT190)*IY190)+IT190,2),VLOOKUP($CS190,Control_Savings_Exterior,JA$30,FALSE))</f>
        <v>#N/A</v>
      </c>
      <c r="JC190" s="1680">
        <f>IFERROR(IF(CR190="Interior",CONCATENATE(G191," ",FQ190),AG190),"")</f>
        <v>0</v>
      </c>
      <c r="JD190" s="1670" t="str">
        <f>IFERROR(VLOOKUP(JC190,_Controls_2023,2,FALSE),"")</f>
        <v/>
      </c>
      <c r="JE190" s="1681">
        <f>IFERROR(CHOOSE(JD190-1,IQ190,IR190,IS190,IT190,IU190,IV190,IW190,IX190,IY190,IZ190,JA190),0)</f>
        <v>0</v>
      </c>
      <c r="JG190" s="1680" t="str">
        <f>FE190</f>
        <v xml:space="preserve"> - </v>
      </c>
      <c r="JH190" s="1670" t="e">
        <f>$FO190</f>
        <v>#N/A</v>
      </c>
      <c r="JI190" s="1060"/>
      <c r="JJ190" s="1670">
        <f>IFERROR(IF($IB188=TRUE,IF(OR(JJ$14="No",JJ188=FALSE,JH190&lt;=JH188,AND(_kWh_Grant=0,GD188=FALSE)),0,IF(JJ$8="Per Line",1,$AF190)),0),0)</f>
        <v>0</v>
      </c>
      <c r="JK190" s="1061"/>
      <c r="JL190" s="1670">
        <f>IFERROR(IF(_kWh_Grant=0,0,IF($IB188=TRUE,IF(OR(JL$14="No",JL188=FALSE,JH190&lt;=JH188),0,IF(JL$8="Per Line",1,$T190)),0)),0)</f>
        <v>0</v>
      </c>
      <c r="JM190" s="1061"/>
      <c r="JN190" s="1670">
        <f>IFERROR(IF(_kWh_Grant=0,0,IF($IB188=TRUE,IF(OR(JN$14="No",JN188=FALSE,JH190&lt;=JH188),0,IF(JN$8="Per Line",1,$AF190)),0)),0)</f>
        <v>0</v>
      </c>
      <c r="JO190" s="1061"/>
      <c r="JP190" s="1670">
        <f>IFERROR(IF(__Retrofit_TI_NC=0,IF(_kWh_Grant=0,0,IF($IB188=TRUE,IF(OR(JP$14="No",JP188=FALSE,$JH190&lt;=$JH188),0,IF(JP$8="Per Line",1,$AF190)),0)),IF($IB188=TRUE,IF(OR(JP$14="No",JP188=FALSE,$JH190&lt;=$JH188),0,IF(JP$8="Per Line",1,$AF190)))),0)</f>
        <v>0</v>
      </c>
      <c r="JQ190" s="1061"/>
      <c r="JR190" s="1670">
        <f>IFERROR(IF(__Retrofit_TI_NC=0,IF(_kWh_Grant=0,0,IF($IB188=TRUE,IF(OR(JR$14="No",JR188=FALSE,$JH190&lt;=$JH188),0,IF(JR$8="Per Line",1,$AF190)),0)),IF($IB188=TRUE,IF(OR(JR$14="No",JR188=FALSE,$JH190&lt;=$JH188),0,IF(JR$8="Per Line",1,$AF190)))),0)</f>
        <v>0</v>
      </c>
      <c r="JS190" s="1061"/>
      <c r="JT190" s="1670">
        <f>IFERROR(IF(__Retrofit_TI_NC=0,IF(_kWh_Grant=0,0,IF($IB188=TRUE,IF(OR(JT$14="No",JT188=FALSE,$JH190&lt;=$JH188),0,IF(JT$8="Per Line",1,$AF190)),0)),IF($IB188=TRUE,IF(OR(JT$14="No",JT188=FALSE,$JH190&lt;=$JH188),0,IF(JT$8="Per Line",1,$AF190)))),0)</f>
        <v>0</v>
      </c>
      <c r="JU190" s="1061"/>
      <c r="JV190" s="1670">
        <f>IFERROR(IF(__Retrofit_TI_NC=0,IF(_kWh_Grant=0,0,IF($IB188=TRUE,IF(OR(JV$14="No",JV188=FALSE,$JH190&lt;=$JH188),0,IF(JV$8="Per Line",1,$AF190)),0)),IF($IB188=TRUE,IF(OR(JV$14="No",JV188=FALSE,$JH190&lt;=$JH188),0,IF(JV$8="Per Line",1,$AF190)))),0)</f>
        <v>0</v>
      </c>
      <c r="JX190" s="1670">
        <f>IFERROR(IF(__Retrofit_TI_NC=0,IF(_kWh_Grant=0,0,IF($IB188=TRUE,IF(OR(JX$14="No",JX188=FALSE,$JH190&lt;=$JH188),0,IF(JX$8="Per Line",1,$AF190)),0)),IF($IB188=TRUE,IF(OR(JX$14="No",JX188=FALSE,$JH190&lt;=$JH188),0,IF(JX$8="Per Line",1,$AF190)))),0)</f>
        <v>0</v>
      </c>
      <c r="JZ190" s="1670">
        <f>IFERROR(IF($IB188=TRUE,IF(OR(JZ$14="No",JZ188=FALSE,$JH190&lt;=$JH188,AND(_kWh_Grant=0,$GD188=FALSE)),0,IF(JZ$8="Per Line",1,$AF190)),0),0)</f>
        <v>0</v>
      </c>
      <c r="KB190" s="1670">
        <f>IFERROR(IF(__Retrofit_TI_NC=0,IF(_kWh_Grant=0,0,IF($IB188=TRUE,IF(OR(KB$14="No",KB188=FALSE,$JH190&lt;=$JH188),0,IF(KB$8="Per Line",1,$AF190)),0)),IF($IB188=TRUE,IF(OR(KB$14="No",KB188=FALSE,$JH190&lt;=$JH188),0,IF(KB$8="Per Line",1,$AF190)))),0)</f>
        <v>0</v>
      </c>
    </row>
    <row r="191" spans="1:288" s="78" customFormat="1" ht="14.95" customHeight="1" thickTop="1" thickBot="1">
      <c r="B191" s="1845"/>
      <c r="C191" s="1846"/>
      <c r="D191" s="1847"/>
      <c r="E191" s="1771" t="s">
        <v>436</v>
      </c>
      <c r="F191" s="1772"/>
      <c r="G191" s="1784" t="s">
        <v>437</v>
      </c>
      <c r="H191" s="1785"/>
      <c r="I191" s="1785"/>
      <c r="J191" s="1785"/>
      <c r="K191" s="1785"/>
      <c r="L191" s="1786"/>
      <c r="M191" s="591">
        <f>IFERROR(VLOOKUP(G191,_Daylight_Table[],2,FALSE),0)</f>
        <v>0</v>
      </c>
      <c r="N191" s="592" t="str">
        <f>IF(AND(__Retrofit_TI_NC&gt;0,CQ188="Interior"),"BAM","")</f>
        <v/>
      </c>
      <c r="O191" s="591" t="e">
        <f>VLOOKUP(G190,'Space Table'!$B$3:$L$163,11,FALSE)</f>
        <v>#N/A</v>
      </c>
      <c r="P191" s="1789"/>
      <c r="Q191" s="1790"/>
      <c r="R191" s="1790"/>
      <c r="S191" s="1788"/>
      <c r="T191" s="593" t="s">
        <v>342</v>
      </c>
      <c r="U191" s="1756" t="str" cm="1">
        <f t="array" aca="1" ref="U191" ca="1">IFERROR(VLOOKUP(INDIRECT("U" &amp; ROW()-1),Fixtures!DM$93:DP$142,4,FALSE),"")</f>
        <v/>
      </c>
      <c r="V191" s="1757"/>
      <c r="W191" s="1757"/>
      <c r="X191" s="1757"/>
      <c r="Y191" s="1757"/>
      <c r="Z191" s="1757"/>
      <c r="AA191" s="1758"/>
      <c r="AB191" s="939" t="str">
        <f>IFERROR(VLOOKUP(U190,Fixtures_Proposed_List,2,FALSE),"")</f>
        <v/>
      </c>
      <c r="AC191" s="933" t="str">
        <f>IFERROR(ROUND(T190*AB191*N189*R189/1000,0),"")</f>
        <v/>
      </c>
      <c r="AD191" s="934" t="str">
        <f>IFERROR(ROUND(T190*AB191/1000,2),"")</f>
        <v/>
      </c>
      <c r="AE191" s="998"/>
      <c r="AF191" s="938" t="s">
        <v>342</v>
      </c>
      <c r="AG191" s="1770"/>
      <c r="AH191" s="1770"/>
      <c r="AI191" s="1770"/>
      <c r="AJ191" s="1770"/>
      <c r="AK191" s="1770"/>
      <c r="AL191" s="1770"/>
      <c r="AM191" s="1727"/>
      <c r="AN191" s="1729"/>
      <c r="AO191" s="1731"/>
      <c r="AP191" s="1782"/>
      <c r="AQ191" s="1783"/>
      <c r="AR191" s="1797"/>
      <c r="AS191" s="1797"/>
      <c r="AT191" s="1798"/>
      <c r="AU191" s="1736"/>
      <c r="AV191" s="1753"/>
      <c r="AW191" s="1706"/>
      <c r="AX191" s="468"/>
      <c r="AY191" s="1750"/>
      <c r="AZ191" s="1750"/>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696"/>
      <c r="CQ191" s="1696"/>
      <c r="CR191" s="1809"/>
      <c r="CS191" s="1811"/>
      <c r="CU191" s="1688"/>
      <c r="CV191" s="1703"/>
      <c r="CW191" s="1703"/>
      <c r="CX191" s="1813"/>
      <c r="CY191" s="1815"/>
      <c r="CZ191" s="1711"/>
      <c r="DA191" s="1815"/>
      <c r="DB191" s="1821"/>
      <c r="DC191" s="1821"/>
      <c r="DD191" s="1821"/>
      <c r="DF191" s="1703"/>
      <c r="DG191" s="1831"/>
      <c r="DH191" s="1813"/>
      <c r="DI191" s="1838"/>
      <c r="DJ191" s="1711"/>
      <c r="DK191" s="1712"/>
      <c r="DN191" s="1718"/>
      <c r="DO191" s="1709"/>
      <c r="DQ191" s="1715"/>
      <c r="DR191" s="1720"/>
      <c r="DS191" s="1703"/>
      <c r="DT191" s="1714"/>
      <c r="DU191" s="1715"/>
      <c r="DV191" s="1716"/>
      <c r="DX191" s="1715"/>
      <c r="DY191" s="1720"/>
      <c r="DZ191" s="1715"/>
      <c r="EA191" s="1715"/>
      <c r="EC191" s="1834"/>
      <c r="ED191" s="1834"/>
      <c r="EF191" s="1707"/>
      <c r="EG191" s="1712"/>
      <c r="EH191" s="1815"/>
      <c r="EI191" s="1712"/>
      <c r="EJ191" s="1712"/>
      <c r="EK191" s="1813"/>
      <c r="EL191" s="1813"/>
      <c r="EM191" s="1807"/>
      <c r="EN191" s="1839"/>
      <c r="EO191" s="1839"/>
      <c r="EP191" s="1817"/>
      <c r="EQ191" s="1817"/>
      <c r="ER191" s="1807"/>
      <c r="ES191" s="1807"/>
      <c r="ET191" s="1807"/>
      <c r="EV191" s="1715"/>
      <c r="EX191" s="1806"/>
      <c r="EY191" s="1806"/>
      <c r="EZ191" s="1806"/>
      <c r="FA191" s="1806"/>
      <c r="FB191" s="1806"/>
      <c r="FC191" s="1828"/>
      <c r="FE191" s="1698"/>
      <c r="FG191" s="1703"/>
      <c r="FH191" s="1703"/>
      <c r="FI191" s="133"/>
      <c r="FL191" s="1823"/>
      <c r="FM191" s="1825"/>
      <c r="FN191" s="1698"/>
      <c r="FO191" s="1698"/>
      <c r="FP191" s="1678"/>
      <c r="FQ191" s="1698"/>
      <c r="FS191" s="1687"/>
      <c r="FT191" s="1687"/>
      <c r="FU191" s="1685"/>
      <c r="FV191" s="1687"/>
      <c r="FW191" s="1687"/>
      <c r="FX191" s="1687"/>
      <c r="FY191" s="1697"/>
      <c r="GA191" s="1696"/>
      <c r="GB191" s="1696"/>
      <c r="GC191" s="1696"/>
      <c r="GD191" s="1696"/>
      <c r="GE191" s="1696"/>
      <c r="GF191" s="1696"/>
      <c r="GG191" s="1696"/>
      <c r="GH191" s="1696"/>
      <c r="GI191" s="673"/>
      <c r="GJ191" s="1135"/>
      <c r="GK191" s="1832"/>
      <c r="GN191" s="674">
        <f>IF(GN189=TRUE,0,GN$16)</f>
        <v>0</v>
      </c>
      <c r="GP191" s="674">
        <f>IF(GP189=TRUE,0,GP$16)</f>
        <v>36</v>
      </c>
      <c r="GQ191" s="674">
        <f ca="1">IF(GQ189=TRUE,0,GQ$16)</f>
        <v>35</v>
      </c>
      <c r="GR191" s="391"/>
      <c r="GS191" s="391"/>
      <c r="GT191" s="391"/>
      <c r="GU191" s="391"/>
      <c r="GV191" s="391"/>
      <c r="HG191" s="674">
        <f>IF(HG189=TRUE,0,HG$16)</f>
        <v>0</v>
      </c>
      <c r="HH191" s="674">
        <f t="shared" ref="HH191:HM191" si="153">IF(HH189=TRUE,0,HH$16)</f>
        <v>19</v>
      </c>
      <c r="HI191" s="674">
        <f t="shared" si="153"/>
        <v>18</v>
      </c>
      <c r="HJ191" s="674">
        <f t="shared" si="153"/>
        <v>17</v>
      </c>
      <c r="HK191" s="674">
        <f t="shared" si="153"/>
        <v>16</v>
      </c>
      <c r="HL191" s="674">
        <f t="shared" si="153"/>
        <v>0</v>
      </c>
      <c r="HM191" s="674">
        <f t="shared" si="153"/>
        <v>0</v>
      </c>
      <c r="HN191" s="674">
        <f>IF(HN189=TRUE,0,HN$16)</f>
        <v>13</v>
      </c>
      <c r="HO191" s="674">
        <f t="shared" ref="HO191:HQ191" si="154">IF(HO189=TRUE,0,HO$16)</f>
        <v>0</v>
      </c>
      <c r="HP191" s="674">
        <f t="shared" si="154"/>
        <v>0</v>
      </c>
      <c r="HQ191" s="674">
        <f t="shared" si="154"/>
        <v>10</v>
      </c>
      <c r="HR191" s="674">
        <f>IF(HR189=TRUE,0,HR$16)</f>
        <v>9</v>
      </c>
      <c r="HS191" s="674">
        <f t="shared" ref="HS191:HW191" si="155">IF(HS189=TRUE,0,HS$16)</f>
        <v>0</v>
      </c>
      <c r="HT191" s="674">
        <f t="shared" si="155"/>
        <v>0</v>
      </c>
      <c r="HU191" s="674">
        <f t="shared" si="155"/>
        <v>0</v>
      </c>
      <c r="HV191" s="674">
        <f t="shared" si="155"/>
        <v>0</v>
      </c>
      <c r="HW191" s="674">
        <f t="shared" si="155"/>
        <v>0</v>
      </c>
      <c r="HX191" s="674">
        <f>IF(HX189=TRUE,0,HX$16)</f>
        <v>0</v>
      </c>
      <c r="HY191" s="674">
        <f>IF(HY189=TRUE,0,HY$16)</f>
        <v>0</v>
      </c>
      <c r="HZ191" s="674">
        <f>IF(HZ189=TRUE,0,HZ$16)</f>
        <v>1</v>
      </c>
      <c r="IB191" s="674">
        <f>IF(GP189=FALSE,GP191,IF(GQ189=FALSE,GQ191,MAX(GN191:HZ191)))</f>
        <v>36</v>
      </c>
      <c r="IC191" s="1692"/>
      <c r="ID191" s="205" t="str">
        <f>VLOOKUP(IB191,_Error_Table,3,FALSE)</f>
        <v xml:space="preserve"> </v>
      </c>
      <c r="IE191" s="205"/>
      <c r="IF191" s="1688"/>
      <c r="IG191" s="1689"/>
      <c r="IH191" s="1684"/>
      <c r="IK191" s="1689"/>
      <c r="IL191" s="1692"/>
      <c r="IM191" s="1692"/>
      <c r="IN191" s="1692"/>
      <c r="IP191" s="1679"/>
      <c r="IQ191" s="1679"/>
      <c r="IR191" s="1679"/>
      <c r="IS191" s="1679"/>
      <c r="IT191" s="1679"/>
      <c r="IU191" s="1679"/>
      <c r="IV191" s="1679"/>
      <c r="IW191" s="1679"/>
      <c r="IX191" s="1679"/>
      <c r="IY191" s="1679"/>
      <c r="IZ191" s="1679"/>
      <c r="JA191" s="1679"/>
      <c r="JC191" s="1680"/>
      <c r="JD191" s="1670"/>
      <c r="JE191" s="1681"/>
      <c r="JG191" s="1680"/>
      <c r="JH191" s="1670"/>
      <c r="JI191" s="1060"/>
      <c r="JJ191" s="1670"/>
      <c r="JK191" s="1061"/>
      <c r="JL191" s="1670"/>
      <c r="JM191" s="1061"/>
      <c r="JN191" s="1670"/>
      <c r="JO191" s="1061"/>
      <c r="JP191" s="1670"/>
      <c r="JQ191" s="1061"/>
      <c r="JR191" s="1670"/>
      <c r="JS191" s="1061"/>
      <c r="JT191" s="1670"/>
      <c r="JU191" s="1061"/>
      <c r="JV191" s="1670"/>
      <c r="JX191" s="1670"/>
      <c r="JZ191" s="1670"/>
      <c r="KB191" s="1670"/>
    </row>
    <row r="192" spans="1:288" s="78" customFormat="1" ht="5.0999999999999996" customHeight="1">
      <c r="B192" s="676"/>
      <c r="C192" s="392"/>
      <c r="D192" s="392"/>
      <c r="E192" s="1733"/>
      <c r="F192" s="1733"/>
      <c r="G192" s="1733"/>
      <c r="H192" s="1733"/>
      <c r="I192" s="1733"/>
      <c r="J192" s="1733"/>
      <c r="K192" s="1733"/>
      <c r="L192" s="1733"/>
      <c r="M192" s="1733"/>
      <c r="N192" s="1733"/>
      <c r="O192" s="1733"/>
      <c r="P192" s="1733"/>
      <c r="Q192" s="1733"/>
      <c r="R192" s="1733"/>
      <c r="S192" s="1733"/>
      <c r="T192" s="1733"/>
      <c r="U192" s="1733"/>
      <c r="V192" s="1733"/>
      <c r="W192" s="1733"/>
      <c r="X192" s="1733"/>
      <c r="Y192" s="1733"/>
      <c r="Z192" s="1733"/>
      <c r="AA192" s="1733"/>
      <c r="AB192" s="1733"/>
      <c r="AC192" s="1733"/>
      <c r="AD192" s="1733"/>
      <c r="AE192" s="1733"/>
      <c r="AF192" s="1733"/>
      <c r="AG192" s="1733"/>
      <c r="AH192" s="1733"/>
      <c r="AI192" s="1733"/>
      <c r="AJ192" s="1733"/>
      <c r="AK192" s="1733"/>
      <c r="AL192" s="1733"/>
      <c r="AM192" s="1733"/>
      <c r="AN192" s="1733"/>
      <c r="AO192" s="1733"/>
      <c r="AP192" s="1733"/>
      <c r="AQ192" s="1733"/>
      <c r="AR192" s="1733"/>
      <c r="AS192" s="1733"/>
      <c r="AT192" s="1733"/>
      <c r="AU192" s="1733"/>
      <c r="AV192" s="1733"/>
      <c r="AW192" s="1733"/>
      <c r="AX192" s="469"/>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663"/>
      <c r="CQ192" s="663"/>
      <c r="CR192" s="438"/>
      <c r="CS192" s="663"/>
      <c r="CV192" s="391"/>
      <c r="CW192" s="391"/>
      <c r="CX192" s="207"/>
      <c r="CY192" s="208"/>
      <c r="CZ192" s="208"/>
      <c r="DA192" s="208"/>
      <c r="DB192" s="209"/>
      <c r="DC192" s="209"/>
      <c r="DD192" s="209"/>
      <c r="DF192" s="664"/>
      <c r="DG192" s="665"/>
      <c r="DH192" s="666"/>
      <c r="DI192" s="667"/>
      <c r="DJ192" s="668"/>
      <c r="DK192" s="668"/>
      <c r="DN192" s="208"/>
      <c r="DO192" s="664"/>
      <c r="DQ192" s="664"/>
      <c r="DR192" s="669"/>
      <c r="DS192" s="391"/>
      <c r="DT192" s="664"/>
      <c r="DU192" s="664"/>
      <c r="DV192" s="664"/>
      <c r="DX192" s="664"/>
      <c r="DY192" s="664"/>
      <c r="DZ192" s="664"/>
      <c r="EA192" s="664"/>
      <c r="EC192" s="670"/>
      <c r="ED192" s="670"/>
      <c r="EF192" s="668"/>
      <c r="EG192" s="668"/>
      <c r="EH192" s="208"/>
      <c r="EI192" s="668"/>
      <c r="EJ192" s="668"/>
      <c r="EK192" s="207"/>
      <c r="EL192" s="207"/>
      <c r="EM192" s="666"/>
      <c r="EN192" s="671"/>
      <c r="EO192" s="671"/>
      <c r="EP192" s="672"/>
      <c r="EQ192" s="672"/>
      <c r="ER192" s="666"/>
      <c r="ES192" s="666"/>
      <c r="ET192" s="666"/>
      <c r="EV192" s="664"/>
      <c r="EX192" s="391"/>
      <c r="EY192" s="391"/>
      <c r="EZ192" s="391"/>
      <c r="FA192" s="391"/>
      <c r="FB192" s="391"/>
      <c r="FC192" s="391"/>
      <c r="FE192" s="569"/>
      <c r="FG192" s="391"/>
      <c r="FH192" s="391"/>
      <c r="FI192" s="391"/>
      <c r="FS192" s="664"/>
      <c r="FT192" s="391"/>
      <c r="FU192" s="391"/>
      <c r="FV192" s="664"/>
      <c r="FW192" s="664"/>
      <c r="GA192" s="663"/>
      <c r="GB192" s="663"/>
      <c r="GC192" s="663"/>
      <c r="GD192" s="663"/>
      <c r="GE192" s="663"/>
      <c r="GF192" s="663"/>
      <c r="GG192" s="663"/>
      <c r="GH192" s="663"/>
      <c r="GI192" s="665"/>
      <c r="GJ192" s="664"/>
      <c r="GK192" s="664"/>
    </row>
    <row r="193" spans="1:288" s="78" customFormat="1" ht="14.95" customHeight="1">
      <c r="B193" s="1845" t="str">
        <f>ID196</f>
        <v xml:space="preserve"> </v>
      </c>
      <c r="C193" s="1846">
        <f>C188+1</f>
        <v>29</v>
      </c>
      <c r="D193" s="1847"/>
      <c r="E193" s="1799" t="s">
        <v>295</v>
      </c>
      <c r="F193" s="1800"/>
      <c r="G193" s="1741"/>
      <c r="H193" s="1742"/>
      <c r="I193" s="1742"/>
      <c r="J193" s="1742"/>
      <c r="K193" s="1742"/>
      <c r="L193" s="1742"/>
      <c r="M193" s="1742"/>
      <c r="N193" s="1742"/>
      <c r="O193" s="1742"/>
      <c r="P193" s="1742"/>
      <c r="Q193" s="1742"/>
      <c r="R193" s="1742"/>
      <c r="S193" s="1791" t="s">
        <v>344</v>
      </c>
      <c r="T193" s="590"/>
      <c r="U193" s="1743"/>
      <c r="V193" s="1744"/>
      <c r="W193" s="1744"/>
      <c r="X193" s="1744"/>
      <c r="Y193" s="1744"/>
      <c r="Z193" s="1744"/>
      <c r="AA193" s="1744"/>
      <c r="AB193" s="961" t="str">
        <f>IFERROR(IF(__Retrofit_TI_NC=0,VLOOKUP(U194,Fixtures_Existing_List,2,FALSE),ROUND(N195*R195/T195,10)),"")</f>
        <v/>
      </c>
      <c r="AC193" s="935" t="str">
        <f>IFERROR(IF(__Retrofit_TI_NC=0,ROUND(T194*AB193*N194*R194/1000,0),IF(CQ193="Interior",N195*R195*R194*N194*_C406_reduction/1000,N195*R195*R194*N194/1000)),"")</f>
        <v/>
      </c>
      <c r="AD193" s="936" t="str">
        <f>IFERROR(IF(C$43=0,ROUND(T194*AB193/1000,2),N195*R195/1000),"")</f>
        <v/>
      </c>
      <c r="AE193" s="997"/>
      <c r="AF193" s="937"/>
      <c r="AG193" s="1745" t="str">
        <f>IF(__Retrofit_TI_NC=0," Control","Select Advanced Control for New System")</f>
        <v xml:space="preserve"> Control</v>
      </c>
      <c r="AH193" s="1745"/>
      <c r="AI193" s="1745"/>
      <c r="AJ193" s="1745"/>
      <c r="AK193" s="1745"/>
      <c r="AL193" s="1745"/>
      <c r="AM193" s="1746">
        <f>IFERROR(DI193,"")</f>
        <v>0</v>
      </c>
      <c r="AN193" s="1774" t="str">
        <f>IFERROR(ROUND(AM193*AC193,0),"")</f>
        <v/>
      </c>
      <c r="AO193" s="1776">
        <f>IFERROR(IF(IB193=FALSE,0,AC193-AN193),0)</f>
        <v>0</v>
      </c>
      <c r="AP193" s="1778">
        <f>AO193-AO195</f>
        <v>0</v>
      </c>
      <c r="AQ193" s="1779"/>
      <c r="AR193" s="1793">
        <f>IFERROR(IF(IB193=FALSE,0,(T195*U196)+(AF195*AG196)),0)</f>
        <v>0</v>
      </c>
      <c r="AS193" s="1793"/>
      <c r="AT193" s="1794"/>
      <c r="AU193" s="1734" t="s">
        <v>237</v>
      </c>
      <c r="AV193" s="1751">
        <f>IF(AU193="Yes",1,0)</f>
        <v>1</v>
      </c>
      <c r="AW193" s="1704" t="str">
        <f>IF(OR(DQ193=4,DQ193=5,DQ193=6,DQ193=12),CONCATENATE("$",IF(GH193=TRUE,Lookup!$K$10,Lookup!$K$2)," /lamp"),CONCATENATE(TEXT(ED193,"$0.00"),"/ kWh"))</f>
        <v>$0.00/ kWh</v>
      </c>
      <c r="AX193" s="467"/>
      <c r="AY193" s="1748">
        <f ca="1">IFERROR(IF(GM194=TRUE,(AB196*T195)/R195,0),"NA")</f>
        <v>0</v>
      </c>
      <c r="AZ193" s="1748"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696" t="str">
        <f>N194</f>
        <v/>
      </c>
      <c r="CQ193" s="1696" t="str">
        <f>IFERROR(VLOOKUP(G194,_Lookup_Heat_Type_Table_New,3,FALSE),"")</f>
        <v/>
      </c>
      <c r="CR193" s="1808" t="str">
        <f>CQ193</f>
        <v/>
      </c>
      <c r="CS193" s="1810" t="str">
        <f>IFERROR(VLOOKUP(G195,'Space Table'!$B$3:$L$163,9,FALSE),"")</f>
        <v/>
      </c>
      <c r="CU193" s="1688" t="s">
        <v>344</v>
      </c>
      <c r="CV193" s="1702">
        <f>IF(IB193=TRUE,T194,0)</f>
        <v>0</v>
      </c>
      <c r="CW193" s="1702" t="str">
        <f>IF(IB193=TRUE,U194,"")</f>
        <v/>
      </c>
      <c r="CX193" s="1702"/>
      <c r="CY193" s="1814">
        <f>IF(IB193=TRUE,AB193,0)</f>
        <v>0</v>
      </c>
      <c r="CZ193" s="1710">
        <f>IF(AND(__Retrofit_TI_NC&gt;0,CR193="interior"),0,IF(IB193=TRUE,AC193,0))</f>
        <v>0</v>
      </c>
      <c r="DA193" s="1814">
        <f>IFERROR(IF(IB193=TRUE,CZ193-CZ195,0),0)</f>
        <v>0</v>
      </c>
      <c r="DB193" s="1819">
        <f>IF(IB193=TRUE,AD193,0)</f>
        <v>0</v>
      </c>
      <c r="DC193" s="1819">
        <f>IF(IB193=TRUE,AD196,0)</f>
        <v>0</v>
      </c>
      <c r="DD193" s="1819">
        <f>IFERROR(DB193-DC193,0)</f>
        <v>0</v>
      </c>
      <c r="DF193" s="1702">
        <f>IF(IB193=TRUE,AF194,0)</f>
        <v>0</v>
      </c>
      <c r="DG193" s="1830">
        <f>IFERROR(IF(__Retrofit_TI_NC=2,IF(CQ193="Exterior",O196,FQ193),FN193),"")</f>
        <v>0</v>
      </c>
      <c r="DH193" s="1702"/>
      <c r="DI193" s="1837">
        <f>JE193</f>
        <v>0</v>
      </c>
      <c r="DJ193" s="1710">
        <f>IF(AND(__Retrofit_TI_NC&gt;0,CR193="interior"),0,IF(IB193=TRUE,AN193,0))</f>
        <v>0</v>
      </c>
      <c r="DK193" s="1712">
        <f>IFERROR(IF(IB193=TRUE,DJ195-DJ193,0),0)</f>
        <v>0</v>
      </c>
      <c r="DM193" s="1717">
        <f>IFERROR(CZ193-DJ193,0)</f>
        <v>0</v>
      </c>
      <c r="DO193" s="1708">
        <f>DM193-DN195</f>
        <v>0</v>
      </c>
      <c r="DQ193" s="1715" t="str">
        <f>IFERROR(IF(AND(OR(GC193=4,GC193=5,GC193=6),OR(GF193=4,GF193=5,GF193=6)),GC193+8,VLOOKUP(CW195,Fixtures!R$31:Y$78,8,FALSE)),"")</f>
        <v/>
      </c>
      <c r="DR193" s="1829" t="str">
        <f>DQ193</f>
        <v/>
      </c>
      <c r="DS193" s="1702" t="str">
        <f>IFERROR(VLOOKUP(DG195,Lookup!BB$3:BC$20,2,FALSE),"")</f>
        <v/>
      </c>
      <c r="DT193" s="1713" t="str">
        <f>IF(OR(DS193=7,DS193=8,DS193=9),"ALC","")</f>
        <v/>
      </c>
      <c r="DU193" s="1715">
        <f>IFERROR(IF(OR(DQ193=4,DQ193=5,DQ193=6,DQ193=12,DQ193=13,DQ193=14),VLOOKUP(CW195,Fixtures!DN$27:EG$77,19,FALSE),1)*CV195,0)</f>
        <v>0</v>
      </c>
      <c r="DV193" s="1716">
        <f>IF(OR(DS193=7,DS193=8,DS193=9),IF(DG193=DG195,0,DF195),0)</f>
        <v>0</v>
      </c>
      <c r="DX193" s="1715" t="str">
        <f>IFERROR(IF(EZ193&lt;EZ195,"Yes","No"),"")</f>
        <v/>
      </c>
      <c r="DY193" s="1829" t="str">
        <f>DX193</f>
        <v/>
      </c>
      <c r="DZ193" s="1715">
        <f>IF(DX193="Yes",DF195,0)</f>
        <v>0</v>
      </c>
      <c r="EA193" s="1715">
        <f>DZ193-DV193</f>
        <v>0</v>
      </c>
      <c r="EC193" s="1834">
        <f>IFERROR(VLOOKUP(DQ193,Lookup!AU$3:AV$16,2,FALSE),0)</f>
        <v>0</v>
      </c>
      <c r="ED193" s="1834">
        <f>IF(IB193=FALSE,0,IF(DX193="Yes",EC193+Lookup!K$6,EC193))</f>
        <v>0</v>
      </c>
      <c r="EF193" s="1707">
        <f>IF(IB193=TRUE,DM193,0)</f>
        <v>0</v>
      </c>
      <c r="EG193" s="1712">
        <f>IF(IB193=TRUE,CZ195,0)</f>
        <v>0</v>
      </c>
      <c r="EH193" s="1814">
        <f>IFERROR(EF193-EG193,0)</f>
        <v>0</v>
      </c>
      <c r="EI193" s="1712">
        <f>IF(IB193=TRUE,DJ195,0)</f>
        <v>0</v>
      </c>
      <c r="EJ193" s="1712">
        <f>IFERROR(EF193-EG193+EI193,0)</f>
        <v>0</v>
      </c>
      <c r="EK193" s="1812">
        <f>IF(IB193=TRUE,CV195*CX195,0)</f>
        <v>0</v>
      </c>
      <c r="EL193" s="1812">
        <f>IF(IB193=TRUE,DF195*DH195,0)</f>
        <v>0</v>
      </c>
      <c r="EM193" s="1807">
        <f>AR193</f>
        <v>0</v>
      </c>
      <c r="EN193" s="1839" t="str">
        <f>IFERROR(IF(IB193=TRUE,VLOOKUP(DQ193,Lookup!AU$3:AW$16,3,FALSE)*DU193,""),0)</f>
        <v/>
      </c>
      <c r="EO193" s="1839">
        <f>IF(IB193=TRUE,DZ193*Lookup!AW$12,0)</f>
        <v>0</v>
      </c>
      <c r="EP193" s="1817">
        <f>IFERROR(IF(IB193=TRUE,EN193/EP$40,0),0)</f>
        <v>0</v>
      </c>
      <c r="EQ193" s="1817">
        <f>IF(IB193=TRUE,EO193/EQ$40,0)</f>
        <v>0</v>
      </c>
      <c r="ER193" s="1807">
        <f>IF(IB193=TRUE,ET$40*EP193,0)</f>
        <v>0</v>
      </c>
      <c r="ES193" s="1807">
        <f>IF(IB193=TRUE,ET$40*EQ193,0)</f>
        <v>0</v>
      </c>
      <c r="ET193" s="1807">
        <f>ER193+ES193</f>
        <v>0</v>
      </c>
      <c r="EV193" s="1715">
        <f>IF(G193="",0,1)</f>
        <v>0</v>
      </c>
      <c r="EX193" s="1804" t="str">
        <f>IFERROR(VLOOKUP(CS195,'Space Table'!$B$3:$L$163,8,FALSE),"")</f>
        <v/>
      </c>
      <c r="EY193" s="1804" t="str">
        <f>IFERROR(IF(FB193="Yes",VLOOKUP(DG193,Lookup_Control_Type_Table2,4,FALSE),VLOOKUP(DG193,Lookup_Control_Type_Table2,3,FALSE)),"")</f>
        <v/>
      </c>
      <c r="EZ193" s="1804" t="e">
        <f>VLOOKUP(DG193,Lookup!BB$3:BC$20,2,FALSE)</f>
        <v>#N/A</v>
      </c>
      <c r="FA193" s="1804" t="e">
        <f>VLOOKUP(EX193,Lookup_Control_Type_Table,2,FALSE)</f>
        <v>#N/A</v>
      </c>
      <c r="FB193" s="1804" t="e">
        <f>VLOOKUP(CS195,'Space Table'!$B$3:$L$163,7,FALSE)</f>
        <v>#N/A</v>
      </c>
      <c r="FC193" s="1826" t="b">
        <f>ISNUMBER(SEARCH("TLED",U195))</f>
        <v>0</v>
      </c>
      <c r="FE193" s="1698" t="str">
        <f>CONCATENATE(CQ193," - ",DG193)</f>
        <v xml:space="preserve"> - 0</v>
      </c>
      <c r="FG193" s="1702" t="str">
        <f>VLOOKUP(CW195,Fixtures!DN$27:EZ$77,38,FALSE)</f>
        <v/>
      </c>
      <c r="FH193" s="1702">
        <f>IFERROR(FG193*EH193,0)</f>
        <v>0</v>
      </c>
      <c r="FI193" s="133"/>
      <c r="FL193" s="1822" t="str">
        <f>IF(CQ193="Exterior","Not Daylighted",G196)</f>
        <v>Not Daylighted</v>
      </c>
      <c r="FM193" s="1824">
        <f>VLOOKUP(FL193,_New_Daylight_Table_Codes,2,FALSE)</f>
        <v>0</v>
      </c>
      <c r="FN193" s="1698">
        <f>IF(__Retrofit_TI_NC&gt;0,VLOOKUP(G195,'Space Table'!$B$3:$L$163,11,FALSE),AG194)</f>
        <v>0</v>
      </c>
      <c r="FO193" s="1698" t="e">
        <f>IF(__Retrofit_TI_NC=2,VLOOKUP(FQ193,_Control_Table,2,FALSE),VLOOKUP(FN193,_Control_Table,2,FALSE))</f>
        <v>#N/A</v>
      </c>
      <c r="FP193" s="1678" t="e">
        <f>VLOOKUP(CONCATENATE(FL193," ",FN193),Lookup!AY$102:AZ203,2,FALSE)</f>
        <v>#N/A</v>
      </c>
      <c r="FQ193" s="1678">
        <f>IF(__Retrofit_TI_NC=0,FN193,IF(AND(FT193&gt;0,FN193="Occupancy Sensor"),"Daylight + Occupancy",IF(AND(FT193&gt;0,VLOOKUP(FN193,_Control_Table,2,FALSE)&lt;4),"Interior Daylight Dimming",FN193)))</f>
        <v>0</v>
      </c>
      <c r="FS193" s="1686">
        <f>IF(CR193="Interior",VLOOKUP(CS193,Control_Savings_Interior,5,FALSE),0)</f>
        <v>0</v>
      </c>
      <c r="FT193" s="1687">
        <f>IF(CQ193="Exterior",0,IF(FM193=2,0.5,IF(OR(FM193=1,FM193=3),1,0)))</f>
        <v>0</v>
      </c>
      <c r="FU193" s="1685">
        <f>IF(R192&gt;FS$44,(FS193*(FS$44/R192)),FS193)*FT193</f>
        <v>0</v>
      </c>
      <c r="FV193" s="1686">
        <f>DI193</f>
        <v>0</v>
      </c>
      <c r="FW193" s="1686">
        <f>ROUND(FV193+((1-FV193)*FU193),2)</f>
        <v>0</v>
      </c>
      <c r="FX193" s="1686">
        <f>IF(__Retrofit_TI_NC=2,FW193,FV193)</f>
        <v>0</v>
      </c>
      <c r="FY193" s="1697"/>
      <c r="GA193" s="1696" t="str">
        <f>IFERROR(VLOOKUP(U194,_Exist_Fixture_Table,3,FALSE),"")</f>
        <v/>
      </c>
      <c r="GB193" s="1696" t="str">
        <f>VLOOKUP(CW193,_Exist_Fixture_Table,4,FALSE)</f>
        <v/>
      </c>
      <c r="GC193" s="1696">
        <f>IFERROR(VLOOKUP(GB193,Lookup!AT$6:AU$8,2,FALSE),0)</f>
        <v>0</v>
      </c>
      <c r="GD193" s="1696" t="b">
        <f>IFERROR(IF(OR(GF193=4,GF193=5,GF193=6),TRUE,FALSE),"")</f>
        <v>0</v>
      </c>
      <c r="GE193" s="1696" t="str">
        <f>IFERROR(VLOOKUP(GF193,GC$6:GD$10,2,FALSE),"")</f>
        <v/>
      </c>
      <c r="GF193" s="1696" t="str">
        <f>VLOOKUP(CW195,Fixtures!R$31:Y$78,8,FALSE)</f>
        <v/>
      </c>
      <c r="GG193" s="1696">
        <f>IF(AND(GA193=TRUE,GD193=TRUE,OR(DQ193=12,DQ193=13,DQ193=14)),GC193+8,0)</f>
        <v>0</v>
      </c>
      <c r="GH193" s="1696" t="b">
        <f>IF(OR(GG193=12,GG193=13,GG193=14),TRUE,FALSE)</f>
        <v>0</v>
      </c>
      <c r="GI193" s="673" t="b">
        <f>IF(ISNUMBER(SEARCH("TLED",U194)),TRUE,FALSE)</f>
        <v>0</v>
      </c>
      <c r="GJ193" s="1135" t="str">
        <f>IFERROR(VLOOKUP(U194,Fixtures!BM$93:BR$142,6,FALSE),"")</f>
        <v/>
      </c>
      <c r="GK193" s="1832" t="b">
        <f>IF(OR(GI193=FALSE,GI195=FALSE),TRUE,IF(GJ193-GJ195&lt;5,FALSE,TRUE))</f>
        <v>1</v>
      </c>
      <c r="GO193" s="674">
        <f>GP193</f>
        <v>0</v>
      </c>
      <c r="GP193" s="674">
        <f>IF(G193="",0,1)</f>
        <v>0</v>
      </c>
      <c r="GQ193" s="674">
        <f ca="1">SUM(GR193:HF193)</f>
        <v>2</v>
      </c>
      <c r="GR193" s="674">
        <f>IF(G194="",0,1)</f>
        <v>0</v>
      </c>
      <c r="GS193" s="674">
        <f>IF(N196="BAM",1,IF(G195="",0,1))</f>
        <v>0</v>
      </c>
      <c r="GT193" s="674">
        <f>IF(N196="BAM",1,IF(R194="",0,1))</f>
        <v>0</v>
      </c>
      <c r="GU193" s="674">
        <f>IF(N196="BAM",1,IF(__Retrofit_TI_NC=0,1,IF(R195="",0,1)))</f>
        <v>1</v>
      </c>
      <c r="GV193" s="674">
        <f>IF(N196="BAM",1,IF(CQ193="Exterior",1,IF(G196="",0,1)))</f>
        <v>1</v>
      </c>
      <c r="GW193" s="674">
        <f>IF(__Retrofit_TI_NC&gt;0,1,IF(T194="",0,1))</f>
        <v>0</v>
      </c>
      <c r="GX193" s="674">
        <f>IF(__Retrofit_TI_NC&gt;0,1,IF(U194="",0,1))</f>
        <v>0</v>
      </c>
      <c r="GY193" s="674">
        <f>IF(N196="BAM",1,IF(T195="",0,1))</f>
        <v>0</v>
      </c>
      <c r="GZ193" s="674">
        <f>IF(N196="BAM",1,IF(U195="",0,1))</f>
        <v>0</v>
      </c>
      <c r="HA193" s="674">
        <f ca="1">IF(N196="BAM",1,IF(__Retrofit_TI_NC&gt;0,1,IF(U196="",0,1)))</f>
        <v>0</v>
      </c>
      <c r="HB193" s="674">
        <f>IF(__Retrofit_TI_NC&lt;&gt;0,1,IF(AF194="",0,1))</f>
        <v>0</v>
      </c>
      <c r="HC193" s="674">
        <f>IF(__Retrofit_TI_NC&lt;&gt;0,1,IF(AG194="",0,1))</f>
        <v>0</v>
      </c>
      <c r="HD193" s="674">
        <f>IF(N196="BAM",1,IF(AF195="",0,1))</f>
        <v>0</v>
      </c>
      <c r="HE193" s="674">
        <f>IF(N196="BAM",1,IF(AG195="",0,1))</f>
        <v>0</v>
      </c>
      <c r="HF193" s="674">
        <f>IF(N196="BAM",1,IF(__Retrofit_TI_NC&gt;0,1,IF(AG196="",0,1)))</f>
        <v>0</v>
      </c>
      <c r="HG193" s="391"/>
      <c r="IA193" s="391"/>
      <c r="IB193" s="1693" t="b">
        <f>IF(OR(IB196=0,IB196=HY$16,IB196=HX$16,IB196=HZ$16),TRUE,FALSE)</f>
        <v>0</v>
      </c>
      <c r="IC193" s="1694" t="b">
        <f>IB193</f>
        <v>0</v>
      </c>
      <c r="ID193" s="391"/>
      <c r="IE193" s="391"/>
      <c r="IF193" s="1688" t="b">
        <f ca="1">IF(MAX(GN196:HU196)&gt;5,FALSE,TRUE)</f>
        <v>0</v>
      </c>
      <c r="IG193" s="1689">
        <f ca="1">IF(IF193=TRUE,AC193,0)</f>
        <v>0</v>
      </c>
      <c r="IH193" s="1689">
        <f ca="1">IG193-IG195</f>
        <v>0</v>
      </c>
      <c r="IK193" s="1689" t="e">
        <f>ROUND(T194*VLOOKUP(U194,Fixtures_Existing_List,2,FALSE)*N194*R194/1000,0)</f>
        <v>#N/A</v>
      </c>
      <c r="IL193" s="1690" t="e">
        <f>IK193-IK195</f>
        <v>#N/A</v>
      </c>
      <c r="IM193" s="1693" t="e">
        <f>ROUND(IF(CQ193="Interior",N195*R195*R194*N194*_C406_reduction/1000,N195*R195*R194*N194/1000),0)</f>
        <v>#N/A</v>
      </c>
      <c r="IN193" s="1693" t="e">
        <f>IM193-IM195</f>
        <v>#N/A</v>
      </c>
      <c r="IP193" s="1679"/>
      <c r="IQ193" s="1679" t="e">
        <f t="shared" ref="IQ193:IU193" si="156">IF($CR193="interior",VLOOKUP($CS193,_New_Control_Savings_Interior,IQ$30,FALSE),VLOOKUP($CS193,Control_Savings_Exterior,IQ$30,FALSE))</f>
        <v>#N/A</v>
      </c>
      <c r="IR193" s="1679" t="e">
        <f t="shared" si="156"/>
        <v>#N/A</v>
      </c>
      <c r="IS193" s="1679" t="e">
        <f t="shared" si="156"/>
        <v>#N/A</v>
      </c>
      <c r="IT193" s="1679" t="e">
        <f t="shared" si="156"/>
        <v>#N/A</v>
      </c>
      <c r="IU193" s="1679" t="e">
        <f t="shared" si="156"/>
        <v>#N/A</v>
      </c>
      <c r="IV193" s="1679" t="e">
        <f>IF($CR193="interior",IF(R194&gt;$IP$14,ROUND(($IV$18*($IP$14/R194)),2),$IV$18),VLOOKUP($CS193,Control_Savings_Exterior,IV$30,FALSE))</f>
        <v>#N/A</v>
      </c>
      <c r="IW193" s="1679" t="e">
        <f>IF($CR193="interior",ROUND(((1-IS193)*IV193)+IS193,2),VLOOKUP($CS193,Control_Savings_Exterior,IW$30,FALSE))</f>
        <v>#N/A</v>
      </c>
      <c r="IX193" s="1679" t="e">
        <f>IF($CR193="interior",ROUND(((1-IT193)*IV193)+IT193,2),VLOOKUP($CS193,Control_Savings_Exterior,IX$30,FALSE))</f>
        <v>#N/A</v>
      </c>
      <c r="IY193" s="1679" t="e">
        <f>IF($CR193="interior",IF(R194&gt;$IP$14,ROUND(($IY$18*($IP$14/R194)),2),$IY$18),VLOOKUP($CS193,Control_Savings_Exterior,IY$30,FALSE))</f>
        <v>#N/A</v>
      </c>
      <c r="IZ193" s="1679" t="e">
        <f>IF($CR193="interior",ROUND(((1-IS193)*IY193)+IS193,2),VLOOKUP($CS193,Control_Savings_Exterior,IZ$30,FALSE))</f>
        <v>#N/A</v>
      </c>
      <c r="JA193" s="1679" t="e">
        <f>IF($CR193="interior",ROUND(((1-IT193)*IY193)+IT193,2),VLOOKUP($CS193,Control_Savings_Exterior,JA$30,FALSE))</f>
        <v>#N/A</v>
      </c>
      <c r="JC193" s="1680">
        <f>IFERROR(IF(CR193="Interior",CONCATENATE(G196," ",FQ193),FQ193),"")</f>
        <v>0</v>
      </c>
      <c r="JD193" s="1670" t="str">
        <f>IFERROR(VLOOKUP(JC193,_Controls_2023,2,FALSE),"")</f>
        <v/>
      </c>
      <c r="JE193" s="1681">
        <f>IFERROR(CHOOSE(JD193-1,IQ193,IR193,IS193,IT193,IU193,IV193,IW193,IX193,IY193,IZ193,JA193),0)</f>
        <v>0</v>
      </c>
      <c r="JG193" s="1680" t="str">
        <f>FE193</f>
        <v xml:space="preserve"> - 0</v>
      </c>
      <c r="JH193" s="1670" t="e">
        <f>$FO193</f>
        <v>#N/A</v>
      </c>
      <c r="JI193" s="1060"/>
      <c r="JJ193" s="1682" t="b">
        <f>IF($JG195=CONCATENATE("Interior - ",JJ$4),TRUE,FALSE)</f>
        <v>0</v>
      </c>
      <c r="JK193" s="1061"/>
      <c r="JL193" s="1682" t="b">
        <f>IF($JG195=CONCATENATE("Interior - ",JL$4),TRUE,FALSE)</f>
        <v>0</v>
      </c>
      <c r="JM193" s="1061"/>
      <c r="JN193" s="1682" t="b">
        <f>IF($JG195=CONCATENATE("Interior - ",JN$4),TRUE,FALSE)</f>
        <v>0</v>
      </c>
      <c r="JO193" s="1061"/>
      <c r="JP193" s="1682" t="b">
        <f>IF(__Retrofit_TI_NC&gt;0,FALSE,IF($JG195=CONCATENATE("Interior - ",JP$4),TRUE,FALSE))</f>
        <v>0</v>
      </c>
      <c r="JQ193" s="1061"/>
      <c r="JR193" s="1682" t="b">
        <f>IF(__Retrofit_TI_NC&gt;0,FALSE,IF($JG195=CONCATENATE("Interior - ",JR$4),TRUE,FALSE))</f>
        <v>0</v>
      </c>
      <c r="JS193" s="1061"/>
      <c r="JT193" s="1670" t="b">
        <f>IF(__Retrofit_TI_NC&gt;0,FALSE,IF($JG195=CONCATENATE("Interior - ",JT$4),TRUE,FALSE))</f>
        <v>0</v>
      </c>
      <c r="JU193" s="1061"/>
      <c r="JV193" s="1670" t="b">
        <f>IF(JC195="AELC on Existing",TRUE,FALSE)</f>
        <v>0</v>
      </c>
      <c r="JX193" s="1670" t="b">
        <f>IF(OR(JG195="Exterior - AELC Occupancy based",JG195="Exterior - AELC Time based"),TRUE,FALSE)</f>
        <v>0</v>
      </c>
      <c r="JZ193" s="1682" t="b">
        <f>IF($JG195=CONCATENATE("Exterior - ",JZ$4),TRUE,FALSE)</f>
        <v>0</v>
      </c>
      <c r="KB193" s="1670" t="b">
        <f>IF(__Retrofit_TI_NC&gt;0,FALSE,IF($JG195=CONCATENATE("Interior - ",KB$4),TRUE,FALSE))</f>
        <v>0</v>
      </c>
    </row>
    <row r="194" spans="1:288" s="78" customFormat="1" ht="14.95" customHeight="1" thickTop="1" thickBot="1">
      <c r="B194" s="1845"/>
      <c r="C194" s="1846"/>
      <c r="D194" s="1847"/>
      <c r="E194" s="1737" t="s">
        <v>297</v>
      </c>
      <c r="F194" s="1738"/>
      <c r="G194" s="1739"/>
      <c r="H194" s="1739"/>
      <c r="I194" s="1739"/>
      <c r="J194" s="1739"/>
      <c r="K194" s="1739"/>
      <c r="L194" s="1739"/>
      <c r="M194" s="461" t="e">
        <f>IF(__Retrofit_TI_NC&lt;&gt;0,IF(VLOOKUP(G195,'Space Table'!$B$3:$L$163,3,FALSE)&gt;0,1,0),IF(__Retrofit_TI_NC=VLOOKUP(G195,'Space Table'!$B$3:$L$163,3,FALSE),1,0))</f>
        <v>#N/A</v>
      </c>
      <c r="N194" s="461" t="str">
        <f>IFERROR(VLOOKUP(G194,_Lookup_Heat_Type_Table_New,2,FALSE),"")</f>
        <v/>
      </c>
      <c r="O194" s="461">
        <f>IF(__Retrofit_TI_NC=1,CONCATENATE("TI ",G194),IF(__Retrofit_TI_NC=2,CONCATENATE("NC ",G194),G194))</f>
        <v>0</v>
      </c>
      <c r="P194" s="1740" t="s">
        <v>435</v>
      </c>
      <c r="Q194" s="1740"/>
      <c r="R194" s="595"/>
      <c r="S194" s="1792"/>
      <c r="T194" s="597"/>
      <c r="U194" s="1765"/>
      <c r="V194" s="1766"/>
      <c r="W194" s="1766"/>
      <c r="X194" s="1766"/>
      <c r="Y194" s="1766"/>
      <c r="Z194" s="1766"/>
      <c r="AA194" s="1766"/>
      <c r="AB194" s="1766"/>
      <c r="AC194" s="1766"/>
      <c r="AD194" s="1767"/>
      <c r="AE194" s="1000"/>
      <c r="AF194" s="597"/>
      <c r="AG194" s="1723"/>
      <c r="AH194" s="1724"/>
      <c r="AI194" s="1724"/>
      <c r="AJ194" s="1724"/>
      <c r="AK194" s="1725"/>
      <c r="AL194" s="996"/>
      <c r="AM194" s="1747"/>
      <c r="AN194" s="1775"/>
      <c r="AO194" s="1777"/>
      <c r="AP194" s="1780"/>
      <c r="AQ194" s="1781"/>
      <c r="AR194" s="1795"/>
      <c r="AS194" s="1795"/>
      <c r="AT194" s="1796"/>
      <c r="AU194" s="1735"/>
      <c r="AV194" s="1752"/>
      <c r="AW194" s="1705"/>
      <c r="AX194" s="467"/>
      <c r="AY194" s="1749"/>
      <c r="AZ194" s="1749"/>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696"/>
      <c r="CQ194" s="1696"/>
      <c r="CR194" s="1809"/>
      <c r="CS194" s="1811"/>
      <c r="CU194" s="1688"/>
      <c r="CV194" s="1703"/>
      <c r="CW194" s="1703"/>
      <c r="CX194" s="1703"/>
      <c r="CY194" s="1815"/>
      <c r="CZ194" s="1711"/>
      <c r="DA194" s="1818"/>
      <c r="DB194" s="1820"/>
      <c r="DC194" s="1820"/>
      <c r="DD194" s="1820"/>
      <c r="DF194" s="1703"/>
      <c r="DG194" s="1831"/>
      <c r="DH194" s="1703"/>
      <c r="DI194" s="1838"/>
      <c r="DJ194" s="1711"/>
      <c r="DK194" s="1712"/>
      <c r="DM194" s="1718"/>
      <c r="DO194" s="1708"/>
      <c r="DQ194" s="1715"/>
      <c r="DR194" s="1720"/>
      <c r="DS194" s="1816"/>
      <c r="DT194" s="1714"/>
      <c r="DU194" s="1715"/>
      <c r="DV194" s="1716"/>
      <c r="DX194" s="1715"/>
      <c r="DY194" s="1720"/>
      <c r="DZ194" s="1715"/>
      <c r="EA194" s="1715"/>
      <c r="EC194" s="1834"/>
      <c r="ED194" s="1834"/>
      <c r="EF194" s="1707"/>
      <c r="EG194" s="1712"/>
      <c r="EH194" s="1818"/>
      <c r="EI194" s="1712"/>
      <c r="EJ194" s="1712"/>
      <c r="EK194" s="1836"/>
      <c r="EL194" s="1836"/>
      <c r="EM194" s="1807"/>
      <c r="EN194" s="1839"/>
      <c r="EO194" s="1839"/>
      <c r="EP194" s="1817"/>
      <c r="EQ194" s="1817"/>
      <c r="ER194" s="1807"/>
      <c r="ES194" s="1807"/>
      <c r="ET194" s="1807"/>
      <c r="EV194" s="1715"/>
      <c r="EX194" s="1805"/>
      <c r="EY194" s="1805"/>
      <c r="EZ194" s="1805"/>
      <c r="FA194" s="1805"/>
      <c r="FB194" s="1805"/>
      <c r="FC194" s="1827"/>
      <c r="FE194" s="1698"/>
      <c r="FG194" s="1816"/>
      <c r="FH194" s="1816"/>
      <c r="FI194" s="133"/>
      <c r="FL194" s="1823"/>
      <c r="FM194" s="1825"/>
      <c r="FN194" s="1698"/>
      <c r="FO194" s="1698"/>
      <c r="FP194" s="1678"/>
      <c r="FQ194" s="1678"/>
      <c r="FS194" s="1687"/>
      <c r="FT194" s="1687"/>
      <c r="FU194" s="1685"/>
      <c r="FV194" s="1687"/>
      <c r="FW194" s="1687"/>
      <c r="FX194" s="1687"/>
      <c r="FY194" s="1697"/>
      <c r="GA194" s="1696"/>
      <c r="GB194" s="1696"/>
      <c r="GC194" s="1696"/>
      <c r="GD194" s="1696"/>
      <c r="GE194" s="1696"/>
      <c r="GF194" s="1696"/>
      <c r="GG194" s="1696"/>
      <c r="GH194" s="1696"/>
      <c r="GI194" s="673"/>
      <c r="GJ194" s="1135"/>
      <c r="GK194" s="1832"/>
      <c r="GM194" s="1693" t="b">
        <f ca="1">IF(AND(GP194=TRUE,GQ194=TRUE),TRUE,FALSE)</f>
        <v>0</v>
      </c>
      <c r="GN194" s="1684" t="b">
        <f>IFERROR(IF(__Retrofit_TI_NC=2,TRUE,IF(AU193="Yes",TRUE,FALSE)),FALSE)</f>
        <v>1</v>
      </c>
      <c r="GP194" s="1684" t="b">
        <f>IFERROR(IF(GP193=1,TRUE,FALSE),FALSE)</f>
        <v>0</v>
      </c>
      <c r="GQ194" s="1684" t="b">
        <f ca="1">IFERROR(IF(GQ193=GQ$14,TRUE,FALSE),FALSE)</f>
        <v>0</v>
      </c>
      <c r="HG194" s="1684" t="b">
        <f>IFERROR(IF(AND(__Retrofit_TI_NC&gt;0,CQ193="Interior"),FALSE,TRUE),FALSE)</f>
        <v>1</v>
      </c>
      <c r="HH194" s="1684" t="b">
        <f>IFERROR(IF(M194=1,TRUE,FALSE),FALSE)</f>
        <v>0</v>
      </c>
      <c r="HI194" s="1684" t="b">
        <f>IFERROR(IF(OR(M195=1,N196="BAM"),TRUE,FALSE),FALSE)</f>
        <v>0</v>
      </c>
      <c r="HJ194" s="1684" t="b">
        <f>IFERROR(IF(__Retrofit_TI_NC&lt;&gt;0,TRUE,IFERROR(IF(VLOOKUP(U194,Fixtures_Existing_List,2,FALSE)&lt;&gt;"",TRUE,FALSE),FALSE)),FALSE)</f>
        <v>0</v>
      </c>
      <c r="HK194" s="1684" t="b">
        <f>IFERROR(IF(VLOOKUP(U195,Fixtures_Proposed_List,2,FALSE)&lt;&gt;"",TRUE,FALSE),FALSE)</f>
        <v>0</v>
      </c>
      <c r="HL194" s="1684" t="b">
        <f>IF(AND(__Retrofit_TI_NC=2,FC193=TRUE),FALSE,TRUE)</f>
        <v>1</v>
      </c>
      <c r="HM194" s="1684" t="b">
        <f>GK193</f>
        <v>1</v>
      </c>
      <c r="HN194" s="1682" t="b">
        <f>IF(ISERROR(MATCH(FE193,_Control_Match[],0))=TRUE,FALSE,TRUE)</f>
        <v>0</v>
      </c>
      <c r="HO194" s="1693" t="b">
        <f>IFERROR(IF(EX193&lt;&gt;EY193,FALSE,TRUE),FALSE)</f>
        <v>1</v>
      </c>
      <c r="HP194" s="1693" t="b">
        <f>IFERROR(IF(EX195&lt;&gt;EY195,FALSE,TRUE),FALSE)</f>
        <v>1</v>
      </c>
      <c r="HQ194" s="1670" t="b">
        <f>IFERROR(IF(CQ193="Exterior",TRUE,IF(AND(OR(FM195=0,FM195=3),JD195&gt;6),FALSE,TRUE)),FALSE)</f>
        <v>0</v>
      </c>
      <c r="HR194" s="1684" t="b">
        <f>IFERROR(IF(AND(FO195=7,FC193=TRUE),FALSE,TRUE),FALSE)</f>
        <v>0</v>
      </c>
      <c r="HS194" s="1684" t="b">
        <f>IFERROR(IF(AND(T195&lt;&gt;AF195,OR(AG195="Interior LLLC", AG195="Interior NLC", AG195="LLLC (outside Daylight)",AG195="LLLC Controls Only"))=TRUE,FALSE,TRUE),FALSE)</f>
        <v>1</v>
      </c>
      <c r="HT194" s="1670" t="b">
        <f>IFERROR(IF(OR(AG195=Lookup!BB$17,AG195=Lookup!BB$18,AG195=Lookup!BB$19)=TRUE,IF(AF195&gt;T195,FALSE,TRUE),TRUE),FALSE)</f>
        <v>1</v>
      </c>
      <c r="HU194" s="1684" t="b">
        <f>IFERROR(IF(__Retrofit_TI_NC=2,IF(EZ195&lt;EZ193,FALSE,TRUE),TRUE),FALSE)</f>
        <v>1</v>
      </c>
      <c r="HV194" s="1684" t="b">
        <f>IF(CQ193="Interior",IL$6,TRUE)</f>
        <v>1</v>
      </c>
      <c r="HW194" s="1684" t="b">
        <f>IF(CQ193="Exterior",IL$8,TRUE)</f>
        <v>1</v>
      </c>
      <c r="HX194" s="1684" t="b">
        <f>IFERROR(IF(__Retrofit_TI_NC&lt;&gt;0,IF(AZ193&lt;AY193,FALSE,TRUE),TRUE),FALSE)</f>
        <v>1</v>
      </c>
      <c r="HY194" s="1684" t="b">
        <f>IFERROR(IF(AND(G194="Exterior",R194&gt;4200),FALSE,TRUE),FALSE)</f>
        <v>1</v>
      </c>
      <c r="HZ194" s="1684" t="b">
        <f>IFERROR(IF(AB196/AB193&lt;HZ$18,FALSE,TRUE),FALSE)</f>
        <v>0</v>
      </c>
      <c r="IB194" s="1691"/>
      <c r="IC194" s="1695"/>
      <c r="ID194" s="1694" t="str">
        <f>VLOOKUP(IB196,_Error_Table,4,FALSE)</f>
        <v>White</v>
      </c>
      <c r="IE194" s="391"/>
      <c r="IF194" s="1688"/>
      <c r="IG194" s="1689"/>
      <c r="IH194" s="1684"/>
      <c r="IK194" s="1689"/>
      <c r="IL194" s="1691"/>
      <c r="IM194" s="1691"/>
      <c r="IN194" s="1691"/>
      <c r="IP194" s="1679"/>
      <c r="IQ194" s="1679"/>
      <c r="IR194" s="1679"/>
      <c r="IS194" s="1679"/>
      <c r="IT194" s="1679"/>
      <c r="IU194" s="1679"/>
      <c r="IV194" s="1679"/>
      <c r="IW194" s="1679"/>
      <c r="IX194" s="1679"/>
      <c r="IY194" s="1679"/>
      <c r="IZ194" s="1679"/>
      <c r="JA194" s="1679"/>
      <c r="JC194" s="1680"/>
      <c r="JD194" s="1670"/>
      <c r="JE194" s="1681"/>
      <c r="JG194" s="1680"/>
      <c r="JH194" s="1670"/>
      <c r="JI194" s="1060"/>
      <c r="JJ194" s="1683"/>
      <c r="JK194" s="1061"/>
      <c r="JL194" s="1683"/>
      <c r="JM194" s="1061"/>
      <c r="JN194" s="1683"/>
      <c r="JO194" s="1061"/>
      <c r="JP194" s="1683"/>
      <c r="JQ194" s="1061"/>
      <c r="JR194" s="1683"/>
      <c r="JS194" s="1061"/>
      <c r="JT194" s="1670"/>
      <c r="JU194" s="1061"/>
      <c r="JV194" s="1670"/>
      <c r="JX194" s="1670"/>
      <c r="JZ194" s="1683"/>
      <c r="KB194" s="1670"/>
    </row>
    <row r="195" spans="1:288" s="78" customFormat="1" ht="14.95" customHeight="1" thickTop="1" thickBot="1">
      <c r="A195" s="78">
        <f>ROW()</f>
        <v>195</v>
      </c>
      <c r="B195" s="1845"/>
      <c r="C195" s="1846"/>
      <c r="D195" s="1847"/>
      <c r="E195" s="1737" t="s">
        <v>298</v>
      </c>
      <c r="F195" s="1738"/>
      <c r="G195" s="1760"/>
      <c r="H195" s="1761"/>
      <c r="I195" s="1761"/>
      <c r="J195" s="1761"/>
      <c r="K195" s="1761"/>
      <c r="L195" s="1762"/>
      <c r="M195" s="461">
        <f>IFERROR(IF(IF(__Retrofit_TI_NC&lt;&gt;0,IF(CQ193="Interior",MATCH(G195,Lookup_Interior_New,0),MATCH(G195,Lookup_Exterior_New,0)),IF(CQ193="Interior",MATCH(G195,Lookup_Interior,0),MATCH(G195,Lookup_Exterior_Areas,0)))&gt;0,1,0),0)</f>
        <v>0</v>
      </c>
      <c r="N195" s="461" t="e">
        <f>IF(__Retrofit_TI_NC=1,
VLOOKUP(G195,'Space Table'!$B$3:$L$163,4,FALSE),
IF(__Retrofit_TI_NC=2,VLOOKUP(G195,'Space Table'!$B$3:$L$163,5,FALSE),VLOOKUP(G195,'Space Table'!$B$3:$L$163,5,FALSE)))</f>
        <v>#N/A</v>
      </c>
      <c r="O195" s="461">
        <f>G195</f>
        <v>0</v>
      </c>
      <c r="P195" s="1738" t="str">
        <f>IFERROR(IF(__Retrofit_TI_NC=1,VLOOKUP(G195,'Space Table'!$B$3:$O$163,13,FALSE),IF(__Retrofit_TI_NC=2,VLOOKUP(G195,'Space Table'!$B$3:$O$163,14,FALSE),"Area (sf):")),"Area (sf):")</f>
        <v>Area (sf):</v>
      </c>
      <c r="Q195" s="1738"/>
      <c r="R195" s="596"/>
      <c r="S195" s="1763" t="s">
        <v>345</v>
      </c>
      <c r="T195" s="594"/>
      <c r="U195" s="1801"/>
      <c r="V195" s="1802"/>
      <c r="W195" s="1802"/>
      <c r="X195" s="1802"/>
      <c r="Y195" s="1802"/>
      <c r="Z195" s="1802"/>
      <c r="AA195" s="1802"/>
      <c r="AB195" s="1802"/>
      <c r="AC195" s="1802"/>
      <c r="AD195" s="1802"/>
      <c r="AE195" s="1803"/>
      <c r="AF195" s="594"/>
      <c r="AG195" s="1787"/>
      <c r="AH195" s="1787"/>
      <c r="AI195" s="1787"/>
      <c r="AJ195" s="1787"/>
      <c r="AK195" s="1787"/>
      <c r="AL195" s="1787"/>
      <c r="AM195" s="1726">
        <f>IFERROR(DI195,"")</f>
        <v>0</v>
      </c>
      <c r="AN195" s="1728" t="str">
        <f>IFERROR(ROUND(AM195*AC196,0),"")</f>
        <v/>
      </c>
      <c r="AO195" s="1730">
        <f>IFERROR(IF(IB193=FALSE,0,AC196-AN195),0)</f>
        <v>0</v>
      </c>
      <c r="AP195" s="1780"/>
      <c r="AQ195" s="1781"/>
      <c r="AR195" s="1795"/>
      <c r="AS195" s="1795"/>
      <c r="AT195" s="1796"/>
      <c r="AU195" s="1735"/>
      <c r="AV195" s="1752"/>
      <c r="AW195" s="1705"/>
      <c r="AX195" s="467"/>
      <c r="AY195" s="1749"/>
      <c r="AZ195" s="1749"/>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696"/>
      <c r="CQ195" s="1696"/>
      <c r="CR195" s="1808" t="str">
        <f>CQ193</f>
        <v/>
      </c>
      <c r="CS195" s="1810" t="str">
        <f>CS193</f>
        <v/>
      </c>
      <c r="CU195" s="1688" t="s">
        <v>345</v>
      </c>
      <c r="CV195" s="1702">
        <f>IF(IB193=TRUE,T195,0)</f>
        <v>0</v>
      </c>
      <c r="CW195" s="1702" t="str">
        <f>IF(IB193=TRUE,U195,"")</f>
        <v/>
      </c>
      <c r="CX195" s="1812">
        <f>IF(IB193=TRUE,U196,0)</f>
        <v>0</v>
      </c>
      <c r="CY195" s="1814">
        <f>IF(IB193=TRUE,AB196,0)</f>
        <v>0</v>
      </c>
      <c r="CZ195" s="1710">
        <f>IF(AND(__Retrofit_TI_NC&gt;0,CR193="interior"),0,IF(IB193=TRUE,AC196,0))</f>
        <v>0</v>
      </c>
      <c r="DA195" s="1818"/>
      <c r="DB195" s="1820"/>
      <c r="DC195" s="1820"/>
      <c r="DD195" s="1820"/>
      <c r="DF195" s="1702">
        <f>IF(IB193=TRUE,AF195,0)</f>
        <v>0</v>
      </c>
      <c r="DG195" s="1830" t="str">
        <f>IF(IB193=TRUE,AG195,"")</f>
        <v/>
      </c>
      <c r="DH195" s="1812">
        <f>AG196</f>
        <v>0</v>
      </c>
      <c r="DI195" s="1837">
        <f>JE195</f>
        <v>0</v>
      </c>
      <c r="DJ195" s="1710">
        <f>IF(AND(__Retrofit_TI_NC&gt;0,CR193="interior"),0,IF(IB193=TRUE,AN195,0))</f>
        <v>0</v>
      </c>
      <c r="DK195" s="1712"/>
      <c r="DN195" s="1717">
        <f>IFERROR(CZ195-DJ195,0)</f>
        <v>0</v>
      </c>
      <c r="DO195" s="1709"/>
      <c r="DQ195" s="1715"/>
      <c r="DR195" s="1719" t="str">
        <f>DQ193</f>
        <v/>
      </c>
      <c r="DS195" s="1816"/>
      <c r="DT195" s="1835" t="str">
        <f>IF(OR(DS193=7,DS193=8,DS193=9),"ALC","")</f>
        <v/>
      </c>
      <c r="DU195" s="1715"/>
      <c r="DV195" s="1716"/>
      <c r="DX195" s="1715"/>
      <c r="DY195" s="1829" t="str">
        <f>DX193</f>
        <v/>
      </c>
      <c r="DZ195" s="1715"/>
      <c r="EA195" s="1715"/>
      <c r="EC195" s="1834"/>
      <c r="ED195" s="1834"/>
      <c r="EF195" s="1707"/>
      <c r="EG195" s="1712"/>
      <c r="EH195" s="1818"/>
      <c r="EI195" s="1712"/>
      <c r="EJ195" s="1712"/>
      <c r="EK195" s="1836"/>
      <c r="EL195" s="1836"/>
      <c r="EM195" s="1807"/>
      <c r="EN195" s="1839"/>
      <c r="EO195" s="1839"/>
      <c r="EP195" s="1817"/>
      <c r="EQ195" s="1817"/>
      <c r="ER195" s="1807"/>
      <c r="ES195" s="1807"/>
      <c r="ET195" s="1807"/>
      <c r="EV195" s="1715"/>
      <c r="EX195" s="1805" t="str">
        <f>IFERROR(VLOOKUP(CS195,'Space Table'!$B$3:$L$163,8,FALSE),"")</f>
        <v/>
      </c>
      <c r="EY195" s="1805" t="str">
        <f>IFERROR(IF(FB195="Yes",VLOOKUP(AG195,Lookup_Control_Type_Table2,4,FALSE),VLOOKUP(AG195,Lookup_Control_Type_Table2,3,FALSE)),"")</f>
        <v/>
      </c>
      <c r="EZ195" s="1805" t="e">
        <f>VLOOKUP(AG195,Lookup!BB$3:BC$20,2,FALSE)</f>
        <v>#N/A</v>
      </c>
      <c r="FA195" s="1805" t="e">
        <f>VLOOKUP(EX193,Lookup_Control_Type_Table,2,FALSE)</f>
        <v>#N/A</v>
      </c>
      <c r="FB195" s="1805" t="e">
        <f>VLOOKUP(CS195,'Space Table'!$B$3:$L$163,7,FALSE)</f>
        <v>#N/A</v>
      </c>
      <c r="FC195" s="1827"/>
      <c r="FE195" s="1698" t="str">
        <f>CONCATENATE(CQ193," - ",AG195)</f>
        <v xml:space="preserve"> - </v>
      </c>
      <c r="FG195" s="1816"/>
      <c r="FH195" s="1816"/>
      <c r="FI195" s="133"/>
      <c r="FL195" s="1822" t="str">
        <f>IF(CQ193="Exterior","Not Daylighted",G196)</f>
        <v>Not Daylighted</v>
      </c>
      <c r="FM195" s="1824">
        <f>VLOOKUP(FL195,_New_Daylight_Table_Codes,2,FALSE)</f>
        <v>0</v>
      </c>
      <c r="FN195" s="1698">
        <f>AG195</f>
        <v>0</v>
      </c>
      <c r="FO195" s="1698" t="e">
        <f>VLOOKUP(FN195,_Control_Table,2,FALSE)</f>
        <v>#N/A</v>
      </c>
      <c r="FP195" s="1678" t="e">
        <f>VLOOKUP(CONCATENATE(FL195," ",FN195),Lookup!AY$102:AZ206,2,FALSE)</f>
        <v>#N/A</v>
      </c>
      <c r="FQ195" s="1698">
        <f>IF(__Retrofit_TI_NC=0,FN195,IF(AND(FT195&gt;0,FN195="Occupancy Sensor"),"Daylight + Occupancy",IF(AND(FT195&gt;0,FO195&lt;4),"Interior Daylight Dimming",FN195)))</f>
        <v>0</v>
      </c>
      <c r="FS195" s="1686">
        <f>IF(CQ193="Interior",VLOOKUP(CS193,Control_Savings_Interior,5,FALSE),0)</f>
        <v>0</v>
      </c>
      <c r="FT195" s="1687">
        <f>IF(CQ195="Exterior",0,IF(FM195=2,0.5,IF(OR(FM195=1,FM195=3),1,0)))</f>
        <v>0</v>
      </c>
      <c r="FU195" s="1685">
        <f>IF(R194&gt;FS$44,(FS195*(FS$44/R194)),FS195)*FT195</f>
        <v>0</v>
      </c>
      <c r="FV195" s="1686">
        <f>DI195</f>
        <v>0</v>
      </c>
      <c r="FW195" s="1686">
        <f>ROUND(FV195+((1-FV195)*FU195),2)</f>
        <v>0</v>
      </c>
      <c r="FX195" s="1686">
        <f>IF(__Retrofit_TI_NC=2,FW195,FV195)</f>
        <v>0</v>
      </c>
      <c r="FY195" s="1697">
        <f>IF(CR195="Interior",VLOOKUP(CS195,Control_Savings_Interior,4,FALSE),0)</f>
        <v>0</v>
      </c>
      <c r="GA195" s="1696"/>
      <c r="GB195" s="1696"/>
      <c r="GC195" s="1696"/>
      <c r="GD195" s="1696"/>
      <c r="GE195" s="1696"/>
      <c r="GF195" s="1696"/>
      <c r="GG195" s="1696"/>
      <c r="GH195" s="1696"/>
      <c r="GI195" s="673" t="b">
        <f>IF(ISNUMBER(SEARCH("TLED",U195)),TRUE,FALSE)</f>
        <v>0</v>
      </c>
      <c r="GJ195" s="1135" t="str">
        <f>IFERROR(VLOOKUP(U195,Fixtures!DM$93:DR$142,6,FALSE),"")</f>
        <v/>
      </c>
      <c r="GK195" s="1832"/>
      <c r="GM195" s="1692"/>
      <c r="GN195" s="1684"/>
      <c r="GP195" s="1684"/>
      <c r="GQ195" s="1684"/>
      <c r="HG195" s="1684"/>
      <c r="HH195" s="1684"/>
      <c r="HI195" s="1684"/>
      <c r="HJ195" s="1684"/>
      <c r="HK195" s="1684"/>
      <c r="HL195" s="1684"/>
      <c r="HM195" s="1684"/>
      <c r="HN195" s="1683"/>
      <c r="HO195" s="1692"/>
      <c r="HP195" s="1692"/>
      <c r="HQ195" s="1670"/>
      <c r="HR195" s="1684"/>
      <c r="HS195" s="1684"/>
      <c r="HT195" s="1670"/>
      <c r="HU195" s="1684"/>
      <c r="HV195" s="1684"/>
      <c r="HW195" s="1684"/>
      <c r="HX195" s="1684"/>
      <c r="HY195" s="1684"/>
      <c r="HZ195" s="1684"/>
      <c r="IB195" s="1692"/>
      <c r="IC195" s="1693" t="b">
        <f>IB193</f>
        <v>0</v>
      </c>
      <c r="ID195" s="1695"/>
      <c r="IE195" s="391"/>
      <c r="IF195" s="1688"/>
      <c r="IG195" s="1689">
        <f ca="1">IF(IF193=TRUE,AC196,0)</f>
        <v>0</v>
      </c>
      <c r="IH195" s="1684"/>
      <c r="IK195" s="1689" t="e">
        <f>ROUND(T195*AB196*N194*R194/1000,0)</f>
        <v>#VALUE!</v>
      </c>
      <c r="IL195" s="1691"/>
      <c r="IM195" s="1693" t="e">
        <f>ROUND(T195*AB196*N194*R194/1000,0)</f>
        <v>#VALUE!</v>
      </c>
      <c r="IN195" s="1691"/>
      <c r="IP195" s="1679"/>
      <c r="IQ195" s="1679" t="e">
        <f t="shared" ref="IQ195:IU195" si="157">IF($CR195="interior",VLOOKUP($CS195,_New_Control_Savings_Interior,IQ$30,FALSE),VLOOKUP($CS195,Control_Savings_Exterior,IQ$30,FALSE))</f>
        <v>#N/A</v>
      </c>
      <c r="IR195" s="1679" t="e">
        <f t="shared" si="157"/>
        <v>#N/A</v>
      </c>
      <c r="IS195" s="1679" t="e">
        <f t="shared" si="157"/>
        <v>#N/A</v>
      </c>
      <c r="IT195" s="1679" t="e">
        <f t="shared" si="157"/>
        <v>#N/A</v>
      </c>
      <c r="IU195" s="1679" t="e">
        <f t="shared" si="157"/>
        <v>#N/A</v>
      </c>
      <c r="IV195" s="1679" t="e">
        <f>IF($CR195="interior",IF(R194&gt;$IP$14,ROUND(($IV$18*($IP$14/R194)),2),$IV$18),VLOOKUP($CS195,Control_Savings_Exterior,IV$30,FALSE))</f>
        <v>#N/A</v>
      </c>
      <c r="IW195" s="1679" t="e">
        <f>IF($CR195="interior",ROUND(((1-IS195)*IV195)+IS195,2),VLOOKUP($CS195,Control_Savings_Exterior,IW$30,FALSE))</f>
        <v>#N/A</v>
      </c>
      <c r="IX195" s="1679" t="e">
        <f>IF($CR195="interior",ROUND(((1-IT195)*IV195)+IT195,2),VLOOKUP($CS195,Control_Savings_Exterior,IX$30,FALSE))</f>
        <v>#N/A</v>
      </c>
      <c r="IY195" s="1679" t="e">
        <f>IF($CR195="interior",IF(R194&gt;$IP$14,ROUND(($IY$18*($IP$14/R194)),2),$IY$18),VLOOKUP($CS195,Control_Savings_Exterior,IY$30,FALSE))</f>
        <v>#N/A</v>
      </c>
      <c r="IZ195" s="1679" t="e">
        <f>IF($CR195="interior",ROUND(((1-IS195)*IY195)+IS195,2),VLOOKUP($CS195,Control_Savings_Exterior,IZ$30,FALSE))</f>
        <v>#N/A</v>
      </c>
      <c r="JA195" s="1679" t="e">
        <f>IF($CR195="interior",ROUND(((1-IT195)*IY195)+IT195,2),VLOOKUP($CS195,Control_Savings_Exterior,JA$30,FALSE))</f>
        <v>#N/A</v>
      </c>
      <c r="JC195" s="1680">
        <f>IFERROR(IF(CR195="Interior",CONCATENATE(G196," ",FQ195),AG195),"")</f>
        <v>0</v>
      </c>
      <c r="JD195" s="1670" t="str">
        <f>IFERROR(VLOOKUP(JC195,_Controls_2023,2,FALSE),"")</f>
        <v/>
      </c>
      <c r="JE195" s="1681">
        <f>IFERROR(CHOOSE(JD195-1,IQ195,IR195,IS195,IT195,IU195,IV195,IW195,IX195,IY195,IZ195,JA195),0)</f>
        <v>0</v>
      </c>
      <c r="JG195" s="1680" t="str">
        <f>FE195</f>
        <v xml:space="preserve"> - </v>
      </c>
      <c r="JH195" s="1670" t="e">
        <f>$FO195</f>
        <v>#N/A</v>
      </c>
      <c r="JI195" s="1060"/>
      <c r="JJ195" s="1670">
        <f>IFERROR(IF($IB193=TRUE,IF(OR(JJ$14="No",JJ193=FALSE,JH195&lt;=JH193,AND(_kWh_Grant=0,GD193=FALSE)),0,IF(JJ$8="Per Line",1,$AF195)),0),0)</f>
        <v>0</v>
      </c>
      <c r="JK195" s="1061"/>
      <c r="JL195" s="1670">
        <f>IFERROR(IF(_kWh_Grant=0,0,IF($IB193=TRUE,IF(OR(JL$14="No",JL193=FALSE,JH195&lt;=JH193),0,IF(JL$8="Per Line",1,$T195)),0)),0)</f>
        <v>0</v>
      </c>
      <c r="JM195" s="1061"/>
      <c r="JN195" s="1670">
        <f>IFERROR(IF(_kWh_Grant=0,0,IF($IB193=TRUE,IF(OR(JN$14="No",JN193=FALSE,JH195&lt;=JH193),0,IF(JN$8="Per Line",1,$AF195)),0)),0)</f>
        <v>0</v>
      </c>
      <c r="JO195" s="1061"/>
      <c r="JP195" s="1670">
        <f>IFERROR(IF(__Retrofit_TI_NC=0,IF(_kWh_Grant=0,0,IF($IB193=TRUE,IF(OR(JP$14="No",JP193=FALSE,$JH195&lt;=$JH193),0,IF(JP$8="Per Line",1,$AF195)),0)),IF($IB193=TRUE,IF(OR(JP$14="No",JP193=FALSE,$JH195&lt;=$JH193),0,IF(JP$8="Per Line",1,$AF195)))),0)</f>
        <v>0</v>
      </c>
      <c r="JQ195" s="1061"/>
      <c r="JR195" s="1670">
        <f>IFERROR(IF(__Retrofit_TI_NC=0,IF(_kWh_Grant=0,0,IF($IB193=TRUE,IF(OR(JR$14="No",JR193=FALSE,$JH195&lt;=$JH193),0,IF(JR$8="Per Line",1,$AF195)),0)),IF($IB193=TRUE,IF(OR(JR$14="No",JR193=FALSE,$JH195&lt;=$JH193),0,IF(JR$8="Per Line",1,$AF195)))),0)</f>
        <v>0</v>
      </c>
      <c r="JS195" s="1061"/>
      <c r="JT195" s="1670">
        <f>IFERROR(IF(__Retrofit_TI_NC=0,IF(_kWh_Grant=0,0,IF($IB193=TRUE,IF(OR(JT$14="No",JT193=FALSE,$JH195&lt;=$JH193),0,IF(JT$8="Per Line",1,$AF195)),0)),IF($IB193=TRUE,IF(OR(JT$14="No",JT193=FALSE,$JH195&lt;=$JH193),0,IF(JT$8="Per Line",1,$AF195)))),0)</f>
        <v>0</v>
      </c>
      <c r="JU195" s="1061"/>
      <c r="JV195" s="1670">
        <f>IFERROR(IF(__Retrofit_TI_NC=0,IF(_kWh_Grant=0,0,IF($IB193=TRUE,IF(OR(JV$14="No",JV193=FALSE,$JH195&lt;=$JH193),0,IF(JV$8="Per Line",1,$AF195)),0)),IF($IB193=TRUE,IF(OR(JV$14="No",JV193=FALSE,$JH195&lt;=$JH193),0,IF(JV$8="Per Line",1,$AF195)))),0)</f>
        <v>0</v>
      </c>
      <c r="JX195" s="1670">
        <f>IFERROR(IF(__Retrofit_TI_NC=0,IF(_kWh_Grant=0,0,IF($IB193=TRUE,IF(OR(JX$14="No",JX193=FALSE,$JH195&lt;=$JH193),0,IF(JX$8="Per Line",1,$AF195)),0)),IF($IB193=TRUE,IF(OR(JX$14="No",JX193=FALSE,$JH195&lt;=$JH193),0,IF(JX$8="Per Line",1,$AF195)))),0)</f>
        <v>0</v>
      </c>
      <c r="JZ195" s="1670">
        <f>IFERROR(IF($IB193=TRUE,IF(OR(JZ$14="No",JZ193=FALSE,$JH195&lt;=$JH193,AND(_kWh_Grant=0,$GD193=FALSE)),0,IF(JZ$8="Per Line",1,$AF195)),0),0)</f>
        <v>0</v>
      </c>
      <c r="KB195" s="1670">
        <f>IFERROR(IF(__Retrofit_TI_NC=0,IF(_kWh_Grant=0,0,IF($IB193=TRUE,IF(OR(KB$14="No",KB193=FALSE,$JH195&lt;=$JH193),0,IF(KB$8="Per Line",1,$AF195)),0)),IF($IB193=TRUE,IF(OR(KB$14="No",KB193=FALSE,$JH195&lt;=$JH193),0,IF(KB$8="Per Line",1,$AF195)))),0)</f>
        <v>0</v>
      </c>
    </row>
    <row r="196" spans="1:288" s="78" customFormat="1" ht="14.95" customHeight="1" thickTop="1" thickBot="1">
      <c r="B196" s="1845"/>
      <c r="C196" s="1846"/>
      <c r="D196" s="1847"/>
      <c r="E196" s="1771" t="s">
        <v>436</v>
      </c>
      <c r="F196" s="1772"/>
      <c r="G196" s="1784" t="s">
        <v>437</v>
      </c>
      <c r="H196" s="1785"/>
      <c r="I196" s="1785"/>
      <c r="J196" s="1785"/>
      <c r="K196" s="1785"/>
      <c r="L196" s="1786"/>
      <c r="M196" s="591">
        <f>IFERROR(VLOOKUP(G196,_Daylight_Table[],2,FALSE),0)</f>
        <v>0</v>
      </c>
      <c r="N196" s="592" t="str">
        <f>IF(AND(__Retrofit_TI_NC&gt;0,CQ193="Interior"),"BAM","")</f>
        <v/>
      </c>
      <c r="O196" s="591" t="e">
        <f>VLOOKUP(G195,'Space Table'!$B$3:$L$163,11,FALSE)</f>
        <v>#N/A</v>
      </c>
      <c r="P196" s="1789"/>
      <c r="Q196" s="1790"/>
      <c r="R196" s="1790"/>
      <c r="S196" s="1788"/>
      <c r="T196" s="593" t="s">
        <v>342</v>
      </c>
      <c r="U196" s="1756" t="str" cm="1">
        <f t="array" aca="1" ref="U196" ca="1">IFERROR(VLOOKUP(INDIRECT("U" &amp; ROW()-1),Fixtures!DM$93:DP$142,4,FALSE),"")</f>
        <v/>
      </c>
      <c r="V196" s="1757"/>
      <c r="W196" s="1757"/>
      <c r="X196" s="1757"/>
      <c r="Y196" s="1757"/>
      <c r="Z196" s="1757"/>
      <c r="AA196" s="1758"/>
      <c r="AB196" s="939" t="str">
        <f>IFERROR(VLOOKUP(U195,Fixtures_Proposed_List,2,FALSE),"")</f>
        <v/>
      </c>
      <c r="AC196" s="933" t="str">
        <f>IFERROR(ROUND(T195*AB196*N194*R194/1000,0),"")</f>
        <v/>
      </c>
      <c r="AD196" s="934" t="str">
        <f>IFERROR(ROUND(T195*AB196/1000,2),"")</f>
        <v/>
      </c>
      <c r="AE196" s="998"/>
      <c r="AF196" s="938" t="s">
        <v>342</v>
      </c>
      <c r="AG196" s="1770"/>
      <c r="AH196" s="1770"/>
      <c r="AI196" s="1770"/>
      <c r="AJ196" s="1770"/>
      <c r="AK196" s="1770"/>
      <c r="AL196" s="1770"/>
      <c r="AM196" s="1727"/>
      <c r="AN196" s="1729"/>
      <c r="AO196" s="1731"/>
      <c r="AP196" s="1782"/>
      <c r="AQ196" s="1783"/>
      <c r="AR196" s="1797"/>
      <c r="AS196" s="1797"/>
      <c r="AT196" s="1798"/>
      <c r="AU196" s="1736"/>
      <c r="AV196" s="1753"/>
      <c r="AW196" s="1706"/>
      <c r="AX196" s="468"/>
      <c r="AY196" s="1750"/>
      <c r="AZ196" s="1750"/>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696"/>
      <c r="CQ196" s="1696"/>
      <c r="CR196" s="1809"/>
      <c r="CS196" s="1811"/>
      <c r="CU196" s="1688"/>
      <c r="CV196" s="1703"/>
      <c r="CW196" s="1703"/>
      <c r="CX196" s="1813"/>
      <c r="CY196" s="1815"/>
      <c r="CZ196" s="1711"/>
      <c r="DA196" s="1815"/>
      <c r="DB196" s="1821"/>
      <c r="DC196" s="1821"/>
      <c r="DD196" s="1821"/>
      <c r="DF196" s="1703"/>
      <c r="DG196" s="1831"/>
      <c r="DH196" s="1813"/>
      <c r="DI196" s="1838"/>
      <c r="DJ196" s="1711"/>
      <c r="DK196" s="1712"/>
      <c r="DN196" s="1718"/>
      <c r="DO196" s="1709"/>
      <c r="DQ196" s="1715"/>
      <c r="DR196" s="1720"/>
      <c r="DS196" s="1703"/>
      <c r="DT196" s="1714"/>
      <c r="DU196" s="1715"/>
      <c r="DV196" s="1716"/>
      <c r="DX196" s="1715"/>
      <c r="DY196" s="1720"/>
      <c r="DZ196" s="1715"/>
      <c r="EA196" s="1715"/>
      <c r="EC196" s="1834"/>
      <c r="ED196" s="1834"/>
      <c r="EF196" s="1707"/>
      <c r="EG196" s="1712"/>
      <c r="EH196" s="1815"/>
      <c r="EI196" s="1712"/>
      <c r="EJ196" s="1712"/>
      <c r="EK196" s="1813"/>
      <c r="EL196" s="1813"/>
      <c r="EM196" s="1807"/>
      <c r="EN196" s="1839"/>
      <c r="EO196" s="1839"/>
      <c r="EP196" s="1817"/>
      <c r="EQ196" s="1817"/>
      <c r="ER196" s="1807"/>
      <c r="ES196" s="1807"/>
      <c r="ET196" s="1807"/>
      <c r="EV196" s="1715"/>
      <c r="EX196" s="1806"/>
      <c r="EY196" s="1806"/>
      <c r="EZ196" s="1806"/>
      <c r="FA196" s="1806"/>
      <c r="FB196" s="1806"/>
      <c r="FC196" s="1828"/>
      <c r="FE196" s="1698"/>
      <c r="FG196" s="1703"/>
      <c r="FH196" s="1703"/>
      <c r="FI196" s="133"/>
      <c r="FL196" s="1823"/>
      <c r="FM196" s="1825"/>
      <c r="FN196" s="1698"/>
      <c r="FO196" s="1698"/>
      <c r="FP196" s="1678"/>
      <c r="FQ196" s="1698"/>
      <c r="FS196" s="1687"/>
      <c r="FT196" s="1687"/>
      <c r="FU196" s="1685"/>
      <c r="FV196" s="1687"/>
      <c r="FW196" s="1687"/>
      <c r="FX196" s="1687"/>
      <c r="FY196" s="1697"/>
      <c r="GA196" s="1696"/>
      <c r="GB196" s="1696"/>
      <c r="GC196" s="1696"/>
      <c r="GD196" s="1696"/>
      <c r="GE196" s="1696"/>
      <c r="GF196" s="1696"/>
      <c r="GG196" s="1696"/>
      <c r="GH196" s="1696"/>
      <c r="GI196" s="673"/>
      <c r="GJ196" s="1135"/>
      <c r="GK196" s="1832"/>
      <c r="GN196" s="674">
        <f>IF(GN194=TRUE,0,GN$16)</f>
        <v>0</v>
      </c>
      <c r="GP196" s="674">
        <f>IF(GP194=TRUE,0,GP$16)</f>
        <v>36</v>
      </c>
      <c r="GQ196" s="674">
        <f ca="1">IF(GQ194=TRUE,0,GQ$16)</f>
        <v>35</v>
      </c>
      <c r="GR196" s="391"/>
      <c r="GS196" s="391"/>
      <c r="GT196" s="391"/>
      <c r="GU196" s="391"/>
      <c r="GV196" s="391"/>
      <c r="HG196" s="674">
        <f>IF(HG194=TRUE,0,HG$16)</f>
        <v>0</v>
      </c>
      <c r="HH196" s="674">
        <f t="shared" ref="HH196:HM196" si="158">IF(HH194=TRUE,0,HH$16)</f>
        <v>19</v>
      </c>
      <c r="HI196" s="674">
        <f t="shared" si="158"/>
        <v>18</v>
      </c>
      <c r="HJ196" s="674">
        <f t="shared" si="158"/>
        <v>17</v>
      </c>
      <c r="HK196" s="674">
        <f t="shared" si="158"/>
        <v>16</v>
      </c>
      <c r="HL196" s="674">
        <f t="shared" si="158"/>
        <v>0</v>
      </c>
      <c r="HM196" s="674">
        <f t="shared" si="158"/>
        <v>0</v>
      </c>
      <c r="HN196" s="674">
        <f>IF(HN194=TRUE,0,HN$16)</f>
        <v>13</v>
      </c>
      <c r="HO196" s="674">
        <f t="shared" ref="HO196:HQ196" si="159">IF(HO194=TRUE,0,HO$16)</f>
        <v>0</v>
      </c>
      <c r="HP196" s="674">
        <f t="shared" si="159"/>
        <v>0</v>
      </c>
      <c r="HQ196" s="674">
        <f t="shared" si="159"/>
        <v>10</v>
      </c>
      <c r="HR196" s="674">
        <f>IF(HR194=TRUE,0,HR$16)</f>
        <v>9</v>
      </c>
      <c r="HS196" s="674">
        <f t="shared" ref="HS196:HW196" si="160">IF(HS194=TRUE,0,HS$16)</f>
        <v>0</v>
      </c>
      <c r="HT196" s="674">
        <f t="shared" si="160"/>
        <v>0</v>
      </c>
      <c r="HU196" s="674">
        <f t="shared" si="160"/>
        <v>0</v>
      </c>
      <c r="HV196" s="674">
        <f t="shared" si="160"/>
        <v>0</v>
      </c>
      <c r="HW196" s="674">
        <f t="shared" si="160"/>
        <v>0</v>
      </c>
      <c r="HX196" s="674">
        <f>IF(HX194=TRUE,0,HX$16)</f>
        <v>0</v>
      </c>
      <c r="HY196" s="674">
        <f>IF(HY194=TRUE,0,HY$16)</f>
        <v>0</v>
      </c>
      <c r="HZ196" s="674">
        <f>IF(HZ194=TRUE,0,HZ$16)</f>
        <v>1</v>
      </c>
      <c r="IB196" s="674">
        <f>IF(GP194=FALSE,GP196,IF(GQ194=FALSE,GQ196,MAX(GN196:HZ196)))</f>
        <v>36</v>
      </c>
      <c r="IC196" s="1692"/>
      <c r="ID196" s="205" t="str">
        <f>VLOOKUP(IB196,_Error_Table,3,FALSE)</f>
        <v xml:space="preserve"> </v>
      </c>
      <c r="IE196" s="205"/>
      <c r="IF196" s="1688"/>
      <c r="IG196" s="1689"/>
      <c r="IH196" s="1684"/>
      <c r="IK196" s="1689"/>
      <c r="IL196" s="1692"/>
      <c r="IM196" s="1692"/>
      <c r="IN196" s="1692"/>
      <c r="IP196" s="1679"/>
      <c r="IQ196" s="1679"/>
      <c r="IR196" s="1679"/>
      <c r="IS196" s="1679"/>
      <c r="IT196" s="1679"/>
      <c r="IU196" s="1679"/>
      <c r="IV196" s="1679"/>
      <c r="IW196" s="1679"/>
      <c r="IX196" s="1679"/>
      <c r="IY196" s="1679"/>
      <c r="IZ196" s="1679"/>
      <c r="JA196" s="1679"/>
      <c r="JC196" s="1680"/>
      <c r="JD196" s="1670"/>
      <c r="JE196" s="1681"/>
      <c r="JG196" s="1680"/>
      <c r="JH196" s="1670"/>
      <c r="JI196" s="1060"/>
      <c r="JJ196" s="1670"/>
      <c r="JK196" s="1061"/>
      <c r="JL196" s="1670"/>
      <c r="JM196" s="1061"/>
      <c r="JN196" s="1670"/>
      <c r="JO196" s="1061"/>
      <c r="JP196" s="1670"/>
      <c r="JQ196" s="1061"/>
      <c r="JR196" s="1670"/>
      <c r="JS196" s="1061"/>
      <c r="JT196" s="1670"/>
      <c r="JU196" s="1061"/>
      <c r="JV196" s="1670"/>
      <c r="JX196" s="1670"/>
      <c r="JZ196" s="1670"/>
      <c r="KB196" s="1670"/>
    </row>
    <row r="197" spans="1:288" s="78" customFormat="1" ht="5.0999999999999996" customHeight="1">
      <c r="B197" s="676"/>
      <c r="C197" s="392"/>
      <c r="D197" s="392"/>
      <c r="E197" s="1733"/>
      <c r="F197" s="1733"/>
      <c r="G197" s="1733"/>
      <c r="H197" s="1733"/>
      <c r="I197" s="1733"/>
      <c r="J197" s="1733"/>
      <c r="K197" s="1733"/>
      <c r="L197" s="1733"/>
      <c r="M197" s="1733"/>
      <c r="N197" s="1733"/>
      <c r="O197" s="1733"/>
      <c r="P197" s="1733"/>
      <c r="Q197" s="1733"/>
      <c r="R197" s="1733"/>
      <c r="S197" s="1733"/>
      <c r="T197" s="1733"/>
      <c r="U197" s="1733"/>
      <c r="V197" s="1733"/>
      <c r="W197" s="1733"/>
      <c r="X197" s="1733"/>
      <c r="Y197" s="1733"/>
      <c r="Z197" s="1733"/>
      <c r="AA197" s="1733"/>
      <c r="AB197" s="1733"/>
      <c r="AC197" s="1733"/>
      <c r="AD197" s="1733"/>
      <c r="AE197" s="1733"/>
      <c r="AF197" s="1733"/>
      <c r="AG197" s="1733"/>
      <c r="AH197" s="1733"/>
      <c r="AI197" s="1733"/>
      <c r="AJ197" s="1733"/>
      <c r="AK197" s="1733"/>
      <c r="AL197" s="1733"/>
      <c r="AM197" s="1733"/>
      <c r="AN197" s="1733"/>
      <c r="AO197" s="1733"/>
      <c r="AP197" s="1733"/>
      <c r="AQ197" s="1733"/>
      <c r="AR197" s="1733"/>
      <c r="AS197" s="1733"/>
      <c r="AT197" s="1733"/>
      <c r="AU197" s="1733"/>
      <c r="AV197" s="1733"/>
      <c r="AW197" s="1733"/>
      <c r="AX197" s="469"/>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663"/>
      <c r="CQ197" s="663"/>
      <c r="CR197" s="438"/>
      <c r="CS197" s="663"/>
      <c r="CV197" s="391"/>
      <c r="CW197" s="391"/>
      <c r="CX197" s="207"/>
      <c r="CY197" s="208"/>
      <c r="CZ197" s="208"/>
      <c r="DA197" s="208"/>
      <c r="DB197" s="209"/>
      <c r="DC197" s="209"/>
      <c r="DD197" s="209"/>
      <c r="DF197" s="664"/>
      <c r="DG197" s="665"/>
      <c r="DH197" s="666"/>
      <c r="DI197" s="667"/>
      <c r="DJ197" s="668"/>
      <c r="DK197" s="668"/>
      <c r="DN197" s="208"/>
      <c r="DO197" s="664"/>
      <c r="DQ197" s="664"/>
      <c r="DR197" s="669"/>
      <c r="DS197" s="391"/>
      <c r="DT197" s="664"/>
      <c r="DU197" s="664"/>
      <c r="DV197" s="664"/>
      <c r="DX197" s="664"/>
      <c r="DY197" s="664"/>
      <c r="DZ197" s="664"/>
      <c r="EA197" s="664"/>
      <c r="EC197" s="670"/>
      <c r="ED197" s="670"/>
      <c r="EF197" s="668"/>
      <c r="EG197" s="668"/>
      <c r="EH197" s="208"/>
      <c r="EI197" s="668"/>
      <c r="EJ197" s="668"/>
      <c r="EK197" s="207"/>
      <c r="EL197" s="207"/>
      <c r="EM197" s="666"/>
      <c r="EN197" s="671"/>
      <c r="EO197" s="671"/>
      <c r="EP197" s="672"/>
      <c r="EQ197" s="672"/>
      <c r="ER197" s="666"/>
      <c r="ES197" s="666"/>
      <c r="ET197" s="666"/>
      <c r="EV197" s="664"/>
      <c r="EX197" s="391"/>
      <c r="EY197" s="391"/>
      <c r="EZ197" s="391"/>
      <c r="FA197" s="391"/>
      <c r="FB197" s="391"/>
      <c r="FC197" s="391"/>
      <c r="FE197" s="569"/>
      <c r="FG197" s="391"/>
      <c r="FH197" s="391"/>
      <c r="FI197" s="391"/>
      <c r="FS197" s="664"/>
      <c r="FT197" s="391"/>
      <c r="FU197" s="391"/>
      <c r="FV197" s="664"/>
      <c r="FW197" s="664"/>
      <c r="GA197" s="663"/>
      <c r="GB197" s="663"/>
      <c r="GC197" s="663"/>
      <c r="GD197" s="663"/>
      <c r="GE197" s="663"/>
      <c r="GF197" s="663"/>
      <c r="GG197" s="663"/>
      <c r="GH197" s="663"/>
      <c r="GI197" s="665"/>
      <c r="GJ197" s="664"/>
      <c r="GK197" s="664"/>
    </row>
    <row r="198" spans="1:288" s="78" customFormat="1" ht="14.95" customHeight="1">
      <c r="B198" s="1845" t="str">
        <f>ID201</f>
        <v xml:space="preserve"> </v>
      </c>
      <c r="C198" s="1846">
        <f>C193+1</f>
        <v>30</v>
      </c>
      <c r="D198" s="1847"/>
      <c r="E198" s="1799" t="s">
        <v>295</v>
      </c>
      <c r="F198" s="1800"/>
      <c r="G198" s="1741"/>
      <c r="H198" s="1742"/>
      <c r="I198" s="1742"/>
      <c r="J198" s="1742"/>
      <c r="K198" s="1742"/>
      <c r="L198" s="1742"/>
      <c r="M198" s="1742"/>
      <c r="N198" s="1742"/>
      <c r="O198" s="1742"/>
      <c r="P198" s="1742"/>
      <c r="Q198" s="1742"/>
      <c r="R198" s="1742"/>
      <c r="S198" s="1791" t="s">
        <v>344</v>
      </c>
      <c r="T198" s="590"/>
      <c r="U198" s="1743"/>
      <c r="V198" s="1744"/>
      <c r="W198" s="1744"/>
      <c r="X198" s="1744"/>
      <c r="Y198" s="1744"/>
      <c r="Z198" s="1744"/>
      <c r="AA198" s="1744"/>
      <c r="AB198" s="961" t="str">
        <f>IFERROR(IF(__Retrofit_TI_NC=0,VLOOKUP(U199,Fixtures_Existing_List,2,FALSE),ROUND(N200*R200/T200,10)),"")</f>
        <v/>
      </c>
      <c r="AC198" s="935" t="str">
        <f>IFERROR(IF(__Retrofit_TI_NC=0,ROUND(T199*AB198*N199*R199/1000,0),IF(CQ198="Interior",N200*R200*R199*N199*_C406_reduction/1000,N200*R200*R199*N199/1000)),"")</f>
        <v/>
      </c>
      <c r="AD198" s="936" t="str">
        <f>IFERROR(IF(C$43=0,ROUND(T199*AB198/1000,2),N200*R200/1000),"")</f>
        <v/>
      </c>
      <c r="AE198" s="997"/>
      <c r="AF198" s="937"/>
      <c r="AG198" s="1745" t="str">
        <f>IF(__Retrofit_TI_NC=0," Control","Select Advanced Control for New System")</f>
        <v xml:space="preserve"> Control</v>
      </c>
      <c r="AH198" s="1745"/>
      <c r="AI198" s="1745"/>
      <c r="AJ198" s="1745"/>
      <c r="AK198" s="1745"/>
      <c r="AL198" s="1745"/>
      <c r="AM198" s="1746">
        <f>IFERROR(DI198,"")</f>
        <v>0</v>
      </c>
      <c r="AN198" s="1774" t="str">
        <f>IFERROR(ROUND(AM198*AC198,0),"")</f>
        <v/>
      </c>
      <c r="AO198" s="1776">
        <f>IFERROR(IF(IB198=FALSE,0,AC198-AN198),0)</f>
        <v>0</v>
      </c>
      <c r="AP198" s="1778">
        <f>AO198-AO200</f>
        <v>0</v>
      </c>
      <c r="AQ198" s="1779"/>
      <c r="AR198" s="1793">
        <f>IFERROR(IF(IB198=FALSE,0,(T200*U201)+(AF200*AG201)),0)</f>
        <v>0</v>
      </c>
      <c r="AS198" s="1793"/>
      <c r="AT198" s="1794"/>
      <c r="AU198" s="1734" t="s">
        <v>237</v>
      </c>
      <c r="AV198" s="1751">
        <f>IF(AU198="Yes",1,0)</f>
        <v>1</v>
      </c>
      <c r="AW198" s="1704" t="str">
        <f>IF(OR(DQ198=4,DQ198=5,DQ198=6,DQ198=12),CONCATENATE("$",IF(GH198=TRUE,Lookup!$K$10,Lookup!$K$2)," /lamp"),CONCATENATE(TEXT(ED198,"$0.00"),"/ kWh"))</f>
        <v>$0.00/ kWh</v>
      </c>
      <c r="AX198" s="467"/>
      <c r="AY198" s="1748">
        <f ca="1">IFERROR(IF(GM199=TRUE,(AB201*T200)/R200,0),"NA")</f>
        <v>0</v>
      </c>
      <c r="AZ198" s="1748"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696" t="str">
        <f>N199</f>
        <v/>
      </c>
      <c r="CQ198" s="1696" t="str">
        <f>IFERROR(VLOOKUP(G199,_Lookup_Heat_Type_Table_New,3,FALSE),"")</f>
        <v/>
      </c>
      <c r="CR198" s="1808" t="str">
        <f>CQ198</f>
        <v/>
      </c>
      <c r="CS198" s="1810" t="str">
        <f>IFERROR(VLOOKUP(G200,'Space Table'!$B$3:$L$163,9,FALSE),"")</f>
        <v/>
      </c>
      <c r="CU198" s="1688" t="s">
        <v>344</v>
      </c>
      <c r="CV198" s="1702">
        <f>IF(IB198=TRUE,T199,0)</f>
        <v>0</v>
      </c>
      <c r="CW198" s="1702" t="str">
        <f>IF(IB198=TRUE,U199,"")</f>
        <v/>
      </c>
      <c r="CX198" s="1702"/>
      <c r="CY198" s="1814">
        <f>IF(IB198=TRUE,AB198,0)</f>
        <v>0</v>
      </c>
      <c r="CZ198" s="1710">
        <f>IF(AND(__Retrofit_TI_NC&gt;0,CR198="interior"),0,IF(IB198=TRUE,AC198,0))</f>
        <v>0</v>
      </c>
      <c r="DA198" s="1814">
        <f>IFERROR(IF(IB198=TRUE,CZ198-CZ200,0),0)</f>
        <v>0</v>
      </c>
      <c r="DB198" s="1819">
        <f>IF(IB198=TRUE,AD198,0)</f>
        <v>0</v>
      </c>
      <c r="DC198" s="1819">
        <f>IF(IB198=TRUE,AD201,0)</f>
        <v>0</v>
      </c>
      <c r="DD198" s="1819">
        <f>IFERROR(DB198-DC198,0)</f>
        <v>0</v>
      </c>
      <c r="DF198" s="1702">
        <f>IF(IB198=TRUE,AF199,0)</f>
        <v>0</v>
      </c>
      <c r="DG198" s="1830">
        <f>IFERROR(IF(__Retrofit_TI_NC=2,IF(CQ198="Exterior",O201,FQ198),FN198),"")</f>
        <v>0</v>
      </c>
      <c r="DH198" s="1702"/>
      <c r="DI198" s="1837">
        <f>JE198</f>
        <v>0</v>
      </c>
      <c r="DJ198" s="1710">
        <f>IF(AND(__Retrofit_TI_NC&gt;0,CR198="interior"),0,IF(IB198=TRUE,AN198,0))</f>
        <v>0</v>
      </c>
      <c r="DK198" s="1712">
        <f>IFERROR(IF(IB198=TRUE,DJ200-DJ198,0),0)</f>
        <v>0</v>
      </c>
      <c r="DM198" s="1717">
        <f>IFERROR(CZ198-DJ198,0)</f>
        <v>0</v>
      </c>
      <c r="DO198" s="1708">
        <f>DM198-DN200</f>
        <v>0</v>
      </c>
      <c r="DQ198" s="1715" t="str">
        <f>IFERROR(IF(AND(OR(GC198=4,GC198=5,GC198=6),OR(GF198=4,GF198=5,GF198=6)),GC198+8,VLOOKUP(CW200,Fixtures!R$31:Y$78,8,FALSE)),"")</f>
        <v/>
      </c>
      <c r="DR198" s="1829" t="str">
        <f>DQ198</f>
        <v/>
      </c>
      <c r="DS198" s="1702" t="str">
        <f>IFERROR(VLOOKUP(DG200,Lookup!BB$3:BC$20,2,FALSE),"")</f>
        <v/>
      </c>
      <c r="DT198" s="1713" t="str">
        <f>IF(OR(DS198=7,DS198=8,DS198=9),"ALC","")</f>
        <v/>
      </c>
      <c r="DU198" s="1715">
        <f>IFERROR(IF(OR(DQ198=4,DQ198=5,DQ198=6,DQ198=12,DQ198=13,DQ198=14),VLOOKUP(CW200,Fixtures!DN$27:EG$77,19,FALSE),1)*CV200,0)</f>
        <v>0</v>
      </c>
      <c r="DV198" s="1716">
        <f>IF(OR(DS198=7,DS198=8,DS198=9),IF(DG198=DG200,0,DF200),0)</f>
        <v>0</v>
      </c>
      <c r="DX198" s="1715" t="str">
        <f>IFERROR(IF(EZ198&lt;EZ200,"Yes","No"),"")</f>
        <v/>
      </c>
      <c r="DY198" s="1829" t="str">
        <f>DX198</f>
        <v/>
      </c>
      <c r="DZ198" s="1715">
        <f>IF(DX198="Yes",DF200,0)</f>
        <v>0</v>
      </c>
      <c r="EA198" s="1715">
        <f>DZ198-DV198</f>
        <v>0</v>
      </c>
      <c r="EC198" s="1834">
        <f>IFERROR(VLOOKUP(DQ198,Lookup!AU$3:AV$16,2,FALSE),0)</f>
        <v>0</v>
      </c>
      <c r="ED198" s="1834">
        <f>IF(IB198=FALSE,0,IF(DX198="Yes",EC198+Lookup!K$6,EC198))</f>
        <v>0</v>
      </c>
      <c r="EF198" s="1707">
        <f>IF(IB198=TRUE,DM198,0)</f>
        <v>0</v>
      </c>
      <c r="EG198" s="1712">
        <f>IF(IB198=TRUE,CZ200,0)</f>
        <v>0</v>
      </c>
      <c r="EH198" s="1814">
        <f>IFERROR(EF198-EG198,0)</f>
        <v>0</v>
      </c>
      <c r="EI198" s="1712">
        <f>IF(IB198=TRUE,DJ200,0)</f>
        <v>0</v>
      </c>
      <c r="EJ198" s="1712">
        <f>IFERROR(EF198-EG198+EI198,0)</f>
        <v>0</v>
      </c>
      <c r="EK198" s="1812">
        <f>IF(IB198=TRUE,CV200*CX200,0)</f>
        <v>0</v>
      </c>
      <c r="EL198" s="1812">
        <f>IF(IB198=TRUE,DF200*DH200,0)</f>
        <v>0</v>
      </c>
      <c r="EM198" s="1807">
        <f>AR198</f>
        <v>0</v>
      </c>
      <c r="EN198" s="1839" t="str">
        <f>IFERROR(IF(IB198=TRUE,VLOOKUP(DQ198,Lookup!AU$3:AW$16,3,FALSE)*DU198,""),0)</f>
        <v/>
      </c>
      <c r="EO198" s="1839">
        <f>IF(IB198=TRUE,DZ198*Lookup!AW$12,0)</f>
        <v>0</v>
      </c>
      <c r="EP198" s="1817">
        <f>IFERROR(IF(IB198=TRUE,EN198/EP$40,0),0)</f>
        <v>0</v>
      </c>
      <c r="EQ198" s="1817">
        <f>IF(IB198=TRUE,EO198/EQ$40,0)</f>
        <v>0</v>
      </c>
      <c r="ER198" s="1807">
        <f>IF(IB198=TRUE,ET$40*EP198,0)</f>
        <v>0</v>
      </c>
      <c r="ES198" s="1807">
        <f>IF(IB198=TRUE,ET$40*EQ198,0)</f>
        <v>0</v>
      </c>
      <c r="ET198" s="1807">
        <f>ER198+ES198</f>
        <v>0</v>
      </c>
      <c r="EV198" s="1715">
        <f>IF(G198="",0,1)</f>
        <v>0</v>
      </c>
      <c r="EX198" s="1804" t="str">
        <f>IFERROR(VLOOKUP(CS200,'Space Table'!$B$3:$L$163,8,FALSE),"")</f>
        <v/>
      </c>
      <c r="EY198" s="1804" t="str">
        <f>IFERROR(IF(FB198="Yes",VLOOKUP(DG198,Lookup_Control_Type_Table2,4,FALSE),VLOOKUP(DG198,Lookup_Control_Type_Table2,3,FALSE)),"")</f>
        <v/>
      </c>
      <c r="EZ198" s="1804" t="e">
        <f>VLOOKUP(DG198,Lookup!BB$3:BC$20,2,FALSE)</f>
        <v>#N/A</v>
      </c>
      <c r="FA198" s="1804" t="e">
        <f>VLOOKUP(EX198,Lookup_Control_Type_Table,2,FALSE)</f>
        <v>#N/A</v>
      </c>
      <c r="FB198" s="1804" t="e">
        <f>VLOOKUP(CS200,'Space Table'!$B$3:$L$163,7,FALSE)</f>
        <v>#N/A</v>
      </c>
      <c r="FC198" s="1826" t="b">
        <f>ISNUMBER(SEARCH("TLED",U200))</f>
        <v>0</v>
      </c>
      <c r="FE198" s="1698" t="str">
        <f>CONCATENATE(CQ198," - ",DG198)</f>
        <v xml:space="preserve"> - 0</v>
      </c>
      <c r="FG198" s="1702" t="str">
        <f>VLOOKUP(CW200,Fixtures!DN$27:EZ$77,38,FALSE)</f>
        <v/>
      </c>
      <c r="FH198" s="1702">
        <f>IFERROR(FG198*EH198,0)</f>
        <v>0</v>
      </c>
      <c r="FI198" s="133"/>
      <c r="FL198" s="1822" t="str">
        <f>IF(CQ198="Exterior","Not Daylighted",G201)</f>
        <v>Not Daylighted</v>
      </c>
      <c r="FM198" s="1824">
        <f>VLOOKUP(FL198,_New_Daylight_Table_Codes,2,FALSE)</f>
        <v>0</v>
      </c>
      <c r="FN198" s="1698">
        <f>IF(__Retrofit_TI_NC&gt;0,VLOOKUP(G200,'Space Table'!$B$3:$L$163,11,FALSE),AG199)</f>
        <v>0</v>
      </c>
      <c r="FO198" s="1698" t="e">
        <f>IF(__Retrofit_TI_NC=2,VLOOKUP(FQ198,_Control_Table,2,FALSE),VLOOKUP(FN198,_Control_Table,2,FALSE))</f>
        <v>#N/A</v>
      </c>
      <c r="FP198" s="1678" t="e">
        <f>VLOOKUP(CONCATENATE(FL198," ",FN198),Lookup!AY$102:AZ208,2,FALSE)</f>
        <v>#N/A</v>
      </c>
      <c r="FQ198" s="1678">
        <f>IF(__Retrofit_TI_NC=0,FN198,IF(AND(FT198&gt;0,FN198="Occupancy Sensor"),"Daylight + Occupancy",IF(AND(FT198&gt;0,VLOOKUP(FN198,_Control_Table,2,FALSE)&lt;4),"Interior Daylight Dimming",FN198)))</f>
        <v>0</v>
      </c>
      <c r="FS198" s="1686">
        <f>IF(CR198="Interior",VLOOKUP(CS198,Control_Savings_Interior,5,FALSE),0)</f>
        <v>0</v>
      </c>
      <c r="FT198" s="1687">
        <f>IF(CQ198="Exterior",0,IF(FM198=2,0.5,IF(OR(FM198=1,FM198=3),1,0)))</f>
        <v>0</v>
      </c>
      <c r="FU198" s="1685">
        <f>IF(R197&gt;FS$44,(FS198*(FS$44/R197)),FS198)*FT198</f>
        <v>0</v>
      </c>
      <c r="FV198" s="1686">
        <f>DI198</f>
        <v>0</v>
      </c>
      <c r="FW198" s="1686">
        <f>ROUND(FV198+((1-FV198)*FU198),2)</f>
        <v>0</v>
      </c>
      <c r="FX198" s="1686">
        <f>IF(__Retrofit_TI_NC=2,FW198,FV198)</f>
        <v>0</v>
      </c>
      <c r="FY198" s="1697"/>
      <c r="GA198" s="1696" t="str">
        <f>IFERROR(VLOOKUP(U199,_Exist_Fixture_Table,3,FALSE),"")</f>
        <v/>
      </c>
      <c r="GB198" s="1696" t="str">
        <f>VLOOKUP(CW198,_Exist_Fixture_Table,4,FALSE)</f>
        <v/>
      </c>
      <c r="GC198" s="1696">
        <f>IFERROR(VLOOKUP(GB198,Lookup!AT$6:AU$8,2,FALSE),0)</f>
        <v>0</v>
      </c>
      <c r="GD198" s="1696" t="b">
        <f>IFERROR(IF(OR(GF198=4,GF198=5,GF198=6),TRUE,FALSE),"")</f>
        <v>0</v>
      </c>
      <c r="GE198" s="1696" t="str">
        <f>IFERROR(VLOOKUP(GF198,GC$6:GD$10,2,FALSE),"")</f>
        <v/>
      </c>
      <c r="GF198" s="1696" t="str">
        <f>VLOOKUP(CW200,Fixtures!R$31:Y$78,8,FALSE)</f>
        <v/>
      </c>
      <c r="GG198" s="1696">
        <f>IF(AND(GA198=TRUE,GD198=TRUE,OR(DQ198=12,DQ198=13,DQ198=14)),GC198+8,0)</f>
        <v>0</v>
      </c>
      <c r="GH198" s="1696" t="b">
        <f>IF(OR(GG198=12,GG198=13,GG198=14),TRUE,FALSE)</f>
        <v>0</v>
      </c>
      <c r="GI198" s="673" t="b">
        <f>IF(ISNUMBER(SEARCH("TLED",U199)),TRUE,FALSE)</f>
        <v>0</v>
      </c>
      <c r="GJ198" s="1135" t="str">
        <f>IFERROR(VLOOKUP(U199,Fixtures!BM$93:BR$142,6,FALSE),"")</f>
        <v/>
      </c>
      <c r="GK198" s="1832" t="b">
        <f>IF(OR(GI198=FALSE,GI200=FALSE),TRUE,IF(GJ198-GJ200&lt;5,FALSE,TRUE))</f>
        <v>1</v>
      </c>
      <c r="GO198" s="674">
        <f>GP198</f>
        <v>0</v>
      </c>
      <c r="GP198" s="674">
        <f>IF(G198="",0,1)</f>
        <v>0</v>
      </c>
      <c r="GQ198" s="674">
        <f ca="1">SUM(GR198:HF198)</f>
        <v>2</v>
      </c>
      <c r="GR198" s="674">
        <f>IF(G199="",0,1)</f>
        <v>0</v>
      </c>
      <c r="GS198" s="674">
        <f>IF(N201="BAM",1,IF(G200="",0,1))</f>
        <v>0</v>
      </c>
      <c r="GT198" s="674">
        <f>IF(N201="BAM",1,IF(R199="",0,1))</f>
        <v>0</v>
      </c>
      <c r="GU198" s="674">
        <f>IF(N201="BAM",1,IF(__Retrofit_TI_NC=0,1,IF(R200="",0,1)))</f>
        <v>1</v>
      </c>
      <c r="GV198" s="674">
        <f>IF(N201="BAM",1,IF(CQ198="Exterior",1,IF(G201="",0,1)))</f>
        <v>1</v>
      </c>
      <c r="GW198" s="674">
        <f>IF(__Retrofit_TI_NC&gt;0,1,IF(T199="",0,1))</f>
        <v>0</v>
      </c>
      <c r="GX198" s="674">
        <f>IF(__Retrofit_TI_NC&gt;0,1,IF(U199="",0,1))</f>
        <v>0</v>
      </c>
      <c r="GY198" s="674">
        <f>IF(N201="BAM",1,IF(T200="",0,1))</f>
        <v>0</v>
      </c>
      <c r="GZ198" s="674">
        <f>IF(N201="BAM",1,IF(U200="",0,1))</f>
        <v>0</v>
      </c>
      <c r="HA198" s="674">
        <f ca="1">IF(N201="BAM",1,IF(__Retrofit_TI_NC&gt;0,1,IF(U201="",0,1)))</f>
        <v>0</v>
      </c>
      <c r="HB198" s="674">
        <f>IF(__Retrofit_TI_NC&lt;&gt;0,1,IF(AF199="",0,1))</f>
        <v>0</v>
      </c>
      <c r="HC198" s="674">
        <f>IF(__Retrofit_TI_NC&lt;&gt;0,1,IF(AG199="",0,1))</f>
        <v>0</v>
      </c>
      <c r="HD198" s="674">
        <f>IF(N201="BAM",1,IF(AF200="",0,1))</f>
        <v>0</v>
      </c>
      <c r="HE198" s="674">
        <f>IF(N201="BAM",1,IF(AG200="",0,1))</f>
        <v>0</v>
      </c>
      <c r="HF198" s="674">
        <f>IF(N201="BAM",1,IF(__Retrofit_TI_NC&gt;0,1,IF(AG201="",0,1)))</f>
        <v>0</v>
      </c>
      <c r="HG198" s="391"/>
      <c r="IA198" s="391"/>
      <c r="IB198" s="1693" t="b">
        <f>IF(OR(IB201=0,IB201=HY$16,IB201=HX$16,IB201=HZ$16),TRUE,FALSE)</f>
        <v>0</v>
      </c>
      <c r="IC198" s="1694" t="b">
        <f>IB198</f>
        <v>0</v>
      </c>
      <c r="ID198" s="391"/>
      <c r="IE198" s="391"/>
      <c r="IF198" s="1688" t="b">
        <f ca="1">IF(MAX(GN201:HU201)&gt;5,FALSE,TRUE)</f>
        <v>0</v>
      </c>
      <c r="IG198" s="1689">
        <f ca="1">IF(IF198=TRUE,AC198,0)</f>
        <v>0</v>
      </c>
      <c r="IH198" s="1689">
        <f ca="1">IG198-IG200</f>
        <v>0</v>
      </c>
      <c r="IK198" s="1689" t="e">
        <f>ROUND(T199*VLOOKUP(U199,Fixtures_Existing_List,2,FALSE)*N199*R199/1000,0)</f>
        <v>#N/A</v>
      </c>
      <c r="IL198" s="1690" t="e">
        <f>IK198-IK200</f>
        <v>#N/A</v>
      </c>
      <c r="IM198" s="1693" t="e">
        <f>ROUND(IF(CQ198="Interior",N200*R200*R199*N199*_C406_reduction/1000,N200*R200*R199*N199/1000),0)</f>
        <v>#N/A</v>
      </c>
      <c r="IN198" s="1693" t="e">
        <f>IM198-IM200</f>
        <v>#N/A</v>
      </c>
      <c r="IP198" s="1679"/>
      <c r="IQ198" s="1679" t="e">
        <f t="shared" ref="IQ198:IU198" si="161">IF($CR198="interior",VLOOKUP($CS198,_New_Control_Savings_Interior,IQ$30,FALSE),VLOOKUP($CS198,Control_Savings_Exterior,IQ$30,FALSE))</f>
        <v>#N/A</v>
      </c>
      <c r="IR198" s="1679" t="e">
        <f t="shared" si="161"/>
        <v>#N/A</v>
      </c>
      <c r="IS198" s="1679" t="e">
        <f t="shared" si="161"/>
        <v>#N/A</v>
      </c>
      <c r="IT198" s="1679" t="e">
        <f t="shared" si="161"/>
        <v>#N/A</v>
      </c>
      <c r="IU198" s="1679" t="e">
        <f t="shared" si="161"/>
        <v>#N/A</v>
      </c>
      <c r="IV198" s="1679" t="e">
        <f>IF($CR198="interior",IF(R199&gt;$IP$14,ROUND(($IV$18*($IP$14/R199)),2),$IV$18),VLOOKUP($CS198,Control_Savings_Exterior,IV$30,FALSE))</f>
        <v>#N/A</v>
      </c>
      <c r="IW198" s="1679" t="e">
        <f>IF($CR198="interior",ROUND(((1-IS198)*IV198)+IS198,2),VLOOKUP($CS198,Control_Savings_Exterior,IW$30,FALSE))</f>
        <v>#N/A</v>
      </c>
      <c r="IX198" s="1679" t="e">
        <f>IF($CR198="interior",ROUND(((1-IT198)*IV198)+IT198,2),VLOOKUP($CS198,Control_Savings_Exterior,IX$30,FALSE))</f>
        <v>#N/A</v>
      </c>
      <c r="IY198" s="1679" t="e">
        <f>IF($CR198="interior",IF(R199&gt;$IP$14,ROUND(($IY$18*($IP$14/R199)),2),$IY$18),VLOOKUP($CS198,Control_Savings_Exterior,IY$30,FALSE))</f>
        <v>#N/A</v>
      </c>
      <c r="IZ198" s="1679" t="e">
        <f>IF($CR198="interior",ROUND(((1-IS198)*IY198)+IS198,2),VLOOKUP($CS198,Control_Savings_Exterior,IZ$30,FALSE))</f>
        <v>#N/A</v>
      </c>
      <c r="JA198" s="1679" t="e">
        <f>IF($CR198="interior",ROUND(((1-IT198)*IY198)+IT198,2),VLOOKUP($CS198,Control_Savings_Exterior,JA$30,FALSE))</f>
        <v>#N/A</v>
      </c>
      <c r="JC198" s="1680">
        <f>IFERROR(IF(CR198="Interior",CONCATENATE(G201," ",FQ198),FQ198),"")</f>
        <v>0</v>
      </c>
      <c r="JD198" s="1670" t="str">
        <f>IFERROR(VLOOKUP(JC198,_Controls_2023,2,FALSE),"")</f>
        <v/>
      </c>
      <c r="JE198" s="1681">
        <f>IFERROR(CHOOSE(JD198-1,IQ198,IR198,IS198,IT198,IU198,IV198,IW198,IX198,IY198,IZ198,JA198),0)</f>
        <v>0</v>
      </c>
      <c r="JG198" s="1680" t="str">
        <f>FE198</f>
        <v xml:space="preserve"> - 0</v>
      </c>
      <c r="JH198" s="1670" t="e">
        <f>$FO198</f>
        <v>#N/A</v>
      </c>
      <c r="JI198" s="1060"/>
      <c r="JJ198" s="1682" t="b">
        <f>IF($JG200=CONCATENATE("Interior - ",JJ$4),TRUE,FALSE)</f>
        <v>0</v>
      </c>
      <c r="JK198" s="1061"/>
      <c r="JL198" s="1682" t="b">
        <f>IF($JG200=CONCATENATE("Interior - ",JL$4),TRUE,FALSE)</f>
        <v>0</v>
      </c>
      <c r="JM198" s="1061"/>
      <c r="JN198" s="1682" t="b">
        <f>IF($JG200=CONCATENATE("Interior - ",JN$4),TRUE,FALSE)</f>
        <v>0</v>
      </c>
      <c r="JO198" s="1061"/>
      <c r="JP198" s="1682" t="b">
        <f>IF(__Retrofit_TI_NC&gt;0,FALSE,IF($JG200=CONCATENATE("Interior - ",JP$4),TRUE,FALSE))</f>
        <v>0</v>
      </c>
      <c r="JQ198" s="1061"/>
      <c r="JR198" s="1682" t="b">
        <f>IF(__Retrofit_TI_NC&gt;0,FALSE,IF($JG200=CONCATENATE("Interior - ",JR$4),TRUE,FALSE))</f>
        <v>0</v>
      </c>
      <c r="JS198" s="1061"/>
      <c r="JT198" s="1670" t="b">
        <f>IF(__Retrofit_TI_NC&gt;0,FALSE,IF($JG200=CONCATENATE("Interior - ",JT$4),TRUE,FALSE))</f>
        <v>0</v>
      </c>
      <c r="JU198" s="1061"/>
      <c r="JV198" s="1670" t="b">
        <f>IF(JC200="AELC on Existing",TRUE,FALSE)</f>
        <v>0</v>
      </c>
      <c r="JX198" s="1670" t="b">
        <f>IF(OR(JG200="Exterior - AELC Occupancy based",JG200="Exterior - AELC Time based"),TRUE,FALSE)</f>
        <v>0</v>
      </c>
      <c r="JZ198" s="1682" t="b">
        <f>IF($JG200=CONCATENATE("Exterior - ",JZ$4),TRUE,FALSE)</f>
        <v>0</v>
      </c>
      <c r="KB198" s="1670" t="b">
        <f>IF(__Retrofit_TI_NC&gt;0,FALSE,IF($JG200=CONCATENATE("Interior - ",KB$4),TRUE,FALSE))</f>
        <v>0</v>
      </c>
    </row>
    <row r="199" spans="1:288" s="78" customFormat="1" ht="14.95" customHeight="1" thickTop="1" thickBot="1">
      <c r="B199" s="1845"/>
      <c r="C199" s="1846"/>
      <c r="D199" s="1847"/>
      <c r="E199" s="1737" t="s">
        <v>297</v>
      </c>
      <c r="F199" s="1738"/>
      <c r="G199" s="1739"/>
      <c r="H199" s="1739"/>
      <c r="I199" s="1739"/>
      <c r="J199" s="1739"/>
      <c r="K199" s="1739"/>
      <c r="L199" s="1739"/>
      <c r="M199" s="461" t="e">
        <f>IF(__Retrofit_TI_NC&lt;&gt;0,IF(VLOOKUP(G200,'Space Table'!$B$3:$L$163,3,FALSE)&gt;0,1,0),IF(__Retrofit_TI_NC=VLOOKUP(G200,'Space Table'!$B$3:$L$163,3,FALSE),1,0))</f>
        <v>#N/A</v>
      </c>
      <c r="N199" s="461" t="str">
        <f>IFERROR(VLOOKUP(G199,_Lookup_Heat_Type_Table_New,2,FALSE),"")</f>
        <v/>
      </c>
      <c r="O199" s="461">
        <f>IF(__Retrofit_TI_NC=1,CONCATENATE("TI ",G199),IF(__Retrofit_TI_NC=2,CONCATENATE("NC ",G199),G199))</f>
        <v>0</v>
      </c>
      <c r="P199" s="1740" t="s">
        <v>435</v>
      </c>
      <c r="Q199" s="1740"/>
      <c r="R199" s="595"/>
      <c r="S199" s="1792"/>
      <c r="T199" s="597"/>
      <c r="U199" s="1765"/>
      <c r="V199" s="1766"/>
      <c r="W199" s="1766"/>
      <c r="X199" s="1766"/>
      <c r="Y199" s="1766"/>
      <c r="Z199" s="1766"/>
      <c r="AA199" s="1766"/>
      <c r="AB199" s="1766"/>
      <c r="AC199" s="1766"/>
      <c r="AD199" s="1767"/>
      <c r="AE199" s="1000"/>
      <c r="AF199" s="597"/>
      <c r="AG199" s="1723"/>
      <c r="AH199" s="1724"/>
      <c r="AI199" s="1724"/>
      <c r="AJ199" s="1724"/>
      <c r="AK199" s="1725"/>
      <c r="AL199" s="996"/>
      <c r="AM199" s="1747"/>
      <c r="AN199" s="1775"/>
      <c r="AO199" s="1777"/>
      <c r="AP199" s="1780"/>
      <c r="AQ199" s="1781"/>
      <c r="AR199" s="1795"/>
      <c r="AS199" s="1795"/>
      <c r="AT199" s="1796"/>
      <c r="AU199" s="1735"/>
      <c r="AV199" s="1752"/>
      <c r="AW199" s="1705"/>
      <c r="AX199" s="467"/>
      <c r="AY199" s="1749"/>
      <c r="AZ199" s="1749"/>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696"/>
      <c r="CQ199" s="1696"/>
      <c r="CR199" s="1809"/>
      <c r="CS199" s="1811"/>
      <c r="CU199" s="1688"/>
      <c r="CV199" s="1703"/>
      <c r="CW199" s="1703"/>
      <c r="CX199" s="1703"/>
      <c r="CY199" s="1815"/>
      <c r="CZ199" s="1711"/>
      <c r="DA199" s="1818"/>
      <c r="DB199" s="1820"/>
      <c r="DC199" s="1820"/>
      <c r="DD199" s="1820"/>
      <c r="DF199" s="1703"/>
      <c r="DG199" s="1831"/>
      <c r="DH199" s="1703"/>
      <c r="DI199" s="1838"/>
      <c r="DJ199" s="1711"/>
      <c r="DK199" s="1712"/>
      <c r="DM199" s="1718"/>
      <c r="DO199" s="1708"/>
      <c r="DQ199" s="1715"/>
      <c r="DR199" s="1720"/>
      <c r="DS199" s="1816"/>
      <c r="DT199" s="1714"/>
      <c r="DU199" s="1715"/>
      <c r="DV199" s="1716"/>
      <c r="DX199" s="1715"/>
      <c r="DY199" s="1720"/>
      <c r="DZ199" s="1715"/>
      <c r="EA199" s="1715"/>
      <c r="EC199" s="1834"/>
      <c r="ED199" s="1834"/>
      <c r="EF199" s="1707"/>
      <c r="EG199" s="1712"/>
      <c r="EH199" s="1818"/>
      <c r="EI199" s="1712"/>
      <c r="EJ199" s="1712"/>
      <c r="EK199" s="1836"/>
      <c r="EL199" s="1836"/>
      <c r="EM199" s="1807"/>
      <c r="EN199" s="1839"/>
      <c r="EO199" s="1839"/>
      <c r="EP199" s="1817"/>
      <c r="EQ199" s="1817"/>
      <c r="ER199" s="1807"/>
      <c r="ES199" s="1807"/>
      <c r="ET199" s="1807"/>
      <c r="EV199" s="1715"/>
      <c r="EX199" s="1805"/>
      <c r="EY199" s="1805"/>
      <c r="EZ199" s="1805"/>
      <c r="FA199" s="1805"/>
      <c r="FB199" s="1805"/>
      <c r="FC199" s="1827"/>
      <c r="FE199" s="1698"/>
      <c r="FG199" s="1816"/>
      <c r="FH199" s="1816"/>
      <c r="FI199" s="133"/>
      <c r="FL199" s="1823"/>
      <c r="FM199" s="1825"/>
      <c r="FN199" s="1698"/>
      <c r="FO199" s="1698"/>
      <c r="FP199" s="1678"/>
      <c r="FQ199" s="1678"/>
      <c r="FS199" s="1687"/>
      <c r="FT199" s="1687"/>
      <c r="FU199" s="1685"/>
      <c r="FV199" s="1687"/>
      <c r="FW199" s="1687"/>
      <c r="FX199" s="1687"/>
      <c r="FY199" s="1697"/>
      <c r="GA199" s="1696"/>
      <c r="GB199" s="1696"/>
      <c r="GC199" s="1696"/>
      <c r="GD199" s="1696"/>
      <c r="GE199" s="1696"/>
      <c r="GF199" s="1696"/>
      <c r="GG199" s="1696"/>
      <c r="GH199" s="1696"/>
      <c r="GI199" s="673"/>
      <c r="GJ199" s="1135"/>
      <c r="GK199" s="1832"/>
      <c r="GM199" s="1693" t="b">
        <f ca="1">IF(AND(GP199=TRUE,GQ199=TRUE),TRUE,FALSE)</f>
        <v>0</v>
      </c>
      <c r="GN199" s="1684" t="b">
        <f>IFERROR(IF(__Retrofit_TI_NC=2,TRUE,IF(AU198="Yes",TRUE,FALSE)),FALSE)</f>
        <v>1</v>
      </c>
      <c r="GP199" s="1684" t="b">
        <f>IFERROR(IF(GP198=1,TRUE,FALSE),FALSE)</f>
        <v>0</v>
      </c>
      <c r="GQ199" s="1684" t="b">
        <f ca="1">IFERROR(IF(GQ198=GQ$14,TRUE,FALSE),FALSE)</f>
        <v>0</v>
      </c>
      <c r="HG199" s="1684" t="b">
        <f>IFERROR(IF(AND(__Retrofit_TI_NC&gt;0,CQ198="Interior"),FALSE,TRUE),FALSE)</f>
        <v>1</v>
      </c>
      <c r="HH199" s="1684" t="b">
        <f>IFERROR(IF(M199=1,TRUE,FALSE),FALSE)</f>
        <v>0</v>
      </c>
      <c r="HI199" s="1684" t="b">
        <f>IFERROR(IF(OR(M200=1,N201="BAM"),TRUE,FALSE),FALSE)</f>
        <v>0</v>
      </c>
      <c r="HJ199" s="1684" t="b">
        <f>IFERROR(IF(__Retrofit_TI_NC&lt;&gt;0,TRUE,IFERROR(IF(VLOOKUP(U199,Fixtures_Existing_List,2,FALSE)&lt;&gt;"",TRUE,FALSE),FALSE)),FALSE)</f>
        <v>0</v>
      </c>
      <c r="HK199" s="1684" t="b">
        <f>IFERROR(IF(VLOOKUP(U200,Fixtures_Proposed_List,2,FALSE)&lt;&gt;"",TRUE,FALSE),FALSE)</f>
        <v>0</v>
      </c>
      <c r="HL199" s="1684" t="b">
        <f>IF(AND(__Retrofit_TI_NC=2,FC198=TRUE),FALSE,TRUE)</f>
        <v>1</v>
      </c>
      <c r="HM199" s="1684" t="b">
        <f>GK198</f>
        <v>1</v>
      </c>
      <c r="HN199" s="1682" t="b">
        <f>IF(ISERROR(MATCH(FE198,_Control_Match[],0))=TRUE,FALSE,TRUE)</f>
        <v>0</v>
      </c>
      <c r="HO199" s="1693" t="b">
        <f>IFERROR(IF(EX198&lt;&gt;EY198,FALSE,TRUE),FALSE)</f>
        <v>1</v>
      </c>
      <c r="HP199" s="1693" t="b">
        <f>IFERROR(IF(EX200&lt;&gt;EY200,FALSE,TRUE),FALSE)</f>
        <v>1</v>
      </c>
      <c r="HQ199" s="1670" t="b">
        <f>IFERROR(IF(CQ198="Exterior",TRUE,IF(AND(OR(FM200=0,FM200=3),JD200&gt;6),FALSE,TRUE)),FALSE)</f>
        <v>0</v>
      </c>
      <c r="HR199" s="1684" t="b">
        <f>IFERROR(IF(AND(FO200=7,FC198=TRUE),FALSE,TRUE),FALSE)</f>
        <v>0</v>
      </c>
      <c r="HS199" s="1684" t="b">
        <f>IFERROR(IF(AND(T200&lt;&gt;AF200,OR(AG200="Interior LLLC", AG200="Interior NLC", AG200="LLLC (outside Daylight)",AG200="LLLC Controls Only"))=TRUE,FALSE,TRUE),FALSE)</f>
        <v>1</v>
      </c>
      <c r="HT199" s="1670" t="b">
        <f>IFERROR(IF(OR(AG200=Lookup!BB$17,AG200=Lookup!BB$18,AG200=Lookup!BB$19)=TRUE,IF(AF200&gt;T200,FALSE,TRUE),TRUE),FALSE)</f>
        <v>1</v>
      </c>
      <c r="HU199" s="1684" t="b">
        <f>IFERROR(IF(__Retrofit_TI_NC=2,IF(EZ200&lt;EZ198,FALSE,TRUE),TRUE),FALSE)</f>
        <v>1</v>
      </c>
      <c r="HV199" s="1684" t="b">
        <f>IF(CQ198="Interior",IL$6,TRUE)</f>
        <v>1</v>
      </c>
      <c r="HW199" s="1684" t="b">
        <f>IF(CQ198="Exterior",IL$8,TRUE)</f>
        <v>1</v>
      </c>
      <c r="HX199" s="1684" t="b">
        <f>IFERROR(IF(__Retrofit_TI_NC&lt;&gt;0,IF(AZ198&lt;AY198,FALSE,TRUE),TRUE),FALSE)</f>
        <v>1</v>
      </c>
      <c r="HY199" s="1684" t="b">
        <f>IFERROR(IF(AND(G199="Exterior",R199&gt;4200),FALSE,TRUE),FALSE)</f>
        <v>1</v>
      </c>
      <c r="HZ199" s="1684" t="b">
        <f>IFERROR(IF(AB201/AB198&lt;HZ$18,FALSE,TRUE),FALSE)</f>
        <v>0</v>
      </c>
      <c r="IB199" s="1691"/>
      <c r="IC199" s="1695"/>
      <c r="ID199" s="1694" t="str">
        <f>VLOOKUP(IB201,_Error_Table,4,FALSE)</f>
        <v>White</v>
      </c>
      <c r="IE199" s="391"/>
      <c r="IF199" s="1688"/>
      <c r="IG199" s="1689"/>
      <c r="IH199" s="1684"/>
      <c r="IK199" s="1689"/>
      <c r="IL199" s="1691"/>
      <c r="IM199" s="1691"/>
      <c r="IN199" s="1691"/>
      <c r="IP199" s="1679"/>
      <c r="IQ199" s="1679"/>
      <c r="IR199" s="1679"/>
      <c r="IS199" s="1679"/>
      <c r="IT199" s="1679"/>
      <c r="IU199" s="1679"/>
      <c r="IV199" s="1679"/>
      <c r="IW199" s="1679"/>
      <c r="IX199" s="1679"/>
      <c r="IY199" s="1679"/>
      <c r="IZ199" s="1679"/>
      <c r="JA199" s="1679"/>
      <c r="JC199" s="1680"/>
      <c r="JD199" s="1670"/>
      <c r="JE199" s="1681"/>
      <c r="JG199" s="1680"/>
      <c r="JH199" s="1670"/>
      <c r="JI199" s="1060"/>
      <c r="JJ199" s="1683"/>
      <c r="JK199" s="1061"/>
      <c r="JL199" s="1683"/>
      <c r="JM199" s="1061"/>
      <c r="JN199" s="1683"/>
      <c r="JO199" s="1061"/>
      <c r="JP199" s="1683"/>
      <c r="JQ199" s="1061"/>
      <c r="JR199" s="1683"/>
      <c r="JS199" s="1061"/>
      <c r="JT199" s="1670"/>
      <c r="JU199" s="1061"/>
      <c r="JV199" s="1670"/>
      <c r="JX199" s="1670"/>
      <c r="JZ199" s="1683"/>
      <c r="KB199" s="1670"/>
    </row>
    <row r="200" spans="1:288" s="78" customFormat="1" ht="14.95" customHeight="1" thickTop="1" thickBot="1">
      <c r="A200" s="78">
        <f>ROW()</f>
        <v>200</v>
      </c>
      <c r="B200" s="1845"/>
      <c r="C200" s="1846"/>
      <c r="D200" s="1847"/>
      <c r="E200" s="1737" t="s">
        <v>298</v>
      </c>
      <c r="F200" s="1738"/>
      <c r="G200" s="1760"/>
      <c r="H200" s="1761"/>
      <c r="I200" s="1761"/>
      <c r="J200" s="1761"/>
      <c r="K200" s="1761"/>
      <c r="L200" s="1762"/>
      <c r="M200" s="461">
        <f>IFERROR(IF(IF(__Retrofit_TI_NC&lt;&gt;0,IF(CQ198="Interior",MATCH(G200,Lookup_Interior_New,0),MATCH(G200,Lookup_Exterior_New,0)),IF(CQ198="Interior",MATCH(G200,Lookup_Interior,0),MATCH(G200,Lookup_Exterior_Areas,0)))&gt;0,1,0),0)</f>
        <v>0</v>
      </c>
      <c r="N200" s="461" t="e">
        <f>IF(__Retrofit_TI_NC=1,
VLOOKUP(G200,'Space Table'!$B$3:$L$163,4,FALSE),
IF(__Retrofit_TI_NC=2,VLOOKUP(G200,'Space Table'!$B$3:$L$163,5,FALSE),VLOOKUP(G200,'Space Table'!$B$3:$L$163,5,FALSE)))</f>
        <v>#N/A</v>
      </c>
      <c r="O200" s="461">
        <f>G200</f>
        <v>0</v>
      </c>
      <c r="P200" s="1738" t="str">
        <f>IFERROR(IF(__Retrofit_TI_NC=1,VLOOKUP(G200,'Space Table'!$B$3:$O$163,13,FALSE),IF(__Retrofit_TI_NC=2,VLOOKUP(G200,'Space Table'!$B$3:$O$163,14,FALSE),"Area (sf):")),"Area (sf):")</f>
        <v>Area (sf):</v>
      </c>
      <c r="Q200" s="1738"/>
      <c r="R200" s="596"/>
      <c r="S200" s="1763" t="s">
        <v>345</v>
      </c>
      <c r="T200" s="594"/>
      <c r="U200" s="1801"/>
      <c r="V200" s="1802"/>
      <c r="W200" s="1802"/>
      <c r="X200" s="1802"/>
      <c r="Y200" s="1802"/>
      <c r="Z200" s="1802"/>
      <c r="AA200" s="1802"/>
      <c r="AB200" s="1802"/>
      <c r="AC200" s="1802"/>
      <c r="AD200" s="1802"/>
      <c r="AE200" s="1803"/>
      <c r="AF200" s="594"/>
      <c r="AG200" s="1787"/>
      <c r="AH200" s="1787"/>
      <c r="AI200" s="1787"/>
      <c r="AJ200" s="1787"/>
      <c r="AK200" s="1787"/>
      <c r="AL200" s="1787"/>
      <c r="AM200" s="1726">
        <f>IFERROR(DI200,"")</f>
        <v>0</v>
      </c>
      <c r="AN200" s="1728" t="str">
        <f>IFERROR(ROUND(AM200*AC201,0),"")</f>
        <v/>
      </c>
      <c r="AO200" s="1730">
        <f>IFERROR(IF(IB198=FALSE,0,AC201-AN200),0)</f>
        <v>0</v>
      </c>
      <c r="AP200" s="1780"/>
      <c r="AQ200" s="1781"/>
      <c r="AR200" s="1795"/>
      <c r="AS200" s="1795"/>
      <c r="AT200" s="1796"/>
      <c r="AU200" s="1735"/>
      <c r="AV200" s="1752"/>
      <c r="AW200" s="1705"/>
      <c r="AX200" s="467"/>
      <c r="AY200" s="1749"/>
      <c r="AZ200" s="1749"/>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696"/>
      <c r="CQ200" s="1696"/>
      <c r="CR200" s="1808" t="str">
        <f>CQ198</f>
        <v/>
      </c>
      <c r="CS200" s="1810" t="str">
        <f>CS198</f>
        <v/>
      </c>
      <c r="CU200" s="1688" t="s">
        <v>345</v>
      </c>
      <c r="CV200" s="1702">
        <f>IF(IB198=TRUE,T200,0)</f>
        <v>0</v>
      </c>
      <c r="CW200" s="1702" t="str">
        <f>IF(IB198=TRUE,U200,"")</f>
        <v/>
      </c>
      <c r="CX200" s="1812">
        <f>IF(IB198=TRUE,U201,0)</f>
        <v>0</v>
      </c>
      <c r="CY200" s="1814">
        <f>IF(IB198=TRUE,AB201,0)</f>
        <v>0</v>
      </c>
      <c r="CZ200" s="1710">
        <f>IF(AND(__Retrofit_TI_NC&gt;0,CR198="interior"),0,IF(IB198=TRUE,AC201,0))</f>
        <v>0</v>
      </c>
      <c r="DA200" s="1818"/>
      <c r="DB200" s="1820"/>
      <c r="DC200" s="1820"/>
      <c r="DD200" s="1820"/>
      <c r="DF200" s="1702">
        <f>IF(IB198=TRUE,AF200,0)</f>
        <v>0</v>
      </c>
      <c r="DG200" s="1830" t="str">
        <f>IF(IB198=TRUE,AG200,"")</f>
        <v/>
      </c>
      <c r="DH200" s="1812">
        <f>AG201</f>
        <v>0</v>
      </c>
      <c r="DI200" s="1837">
        <f>JE200</f>
        <v>0</v>
      </c>
      <c r="DJ200" s="1710">
        <f>IF(AND(__Retrofit_TI_NC&gt;0,CR198="interior"),0,IF(IB198=TRUE,AN200,0))</f>
        <v>0</v>
      </c>
      <c r="DK200" s="1712"/>
      <c r="DN200" s="1717">
        <f>IFERROR(CZ200-DJ200,0)</f>
        <v>0</v>
      </c>
      <c r="DO200" s="1709"/>
      <c r="DQ200" s="1715"/>
      <c r="DR200" s="1719" t="str">
        <f>DQ198</f>
        <v/>
      </c>
      <c r="DS200" s="1816"/>
      <c r="DT200" s="1835" t="str">
        <f>IF(OR(DS198=7,DS198=8,DS198=9),"ALC","")</f>
        <v/>
      </c>
      <c r="DU200" s="1715"/>
      <c r="DV200" s="1716"/>
      <c r="DX200" s="1715"/>
      <c r="DY200" s="1829" t="str">
        <f>DX198</f>
        <v/>
      </c>
      <c r="DZ200" s="1715"/>
      <c r="EA200" s="1715"/>
      <c r="EC200" s="1834"/>
      <c r="ED200" s="1834"/>
      <c r="EF200" s="1707"/>
      <c r="EG200" s="1712"/>
      <c r="EH200" s="1818"/>
      <c r="EI200" s="1712"/>
      <c r="EJ200" s="1712"/>
      <c r="EK200" s="1836"/>
      <c r="EL200" s="1836"/>
      <c r="EM200" s="1807"/>
      <c r="EN200" s="1839"/>
      <c r="EO200" s="1839"/>
      <c r="EP200" s="1817"/>
      <c r="EQ200" s="1817"/>
      <c r="ER200" s="1807"/>
      <c r="ES200" s="1807"/>
      <c r="ET200" s="1807"/>
      <c r="EV200" s="1715"/>
      <c r="EX200" s="1805" t="str">
        <f>IFERROR(VLOOKUP(CS200,'Space Table'!$B$3:$L$163,8,FALSE),"")</f>
        <v/>
      </c>
      <c r="EY200" s="1805" t="str">
        <f>IFERROR(IF(FB200="Yes",VLOOKUP(AG200,Lookup_Control_Type_Table2,4,FALSE),VLOOKUP(AG200,Lookup_Control_Type_Table2,3,FALSE)),"")</f>
        <v/>
      </c>
      <c r="EZ200" s="1805" t="e">
        <f>VLOOKUP(AG200,Lookup!BB$3:BC$20,2,FALSE)</f>
        <v>#N/A</v>
      </c>
      <c r="FA200" s="1805" t="e">
        <f>VLOOKUP(EX198,Lookup_Control_Type_Table,2,FALSE)</f>
        <v>#N/A</v>
      </c>
      <c r="FB200" s="1805" t="e">
        <f>VLOOKUP(CS200,'Space Table'!$B$3:$L$163,7,FALSE)</f>
        <v>#N/A</v>
      </c>
      <c r="FC200" s="1827"/>
      <c r="FE200" s="1698" t="str">
        <f>CONCATENATE(CQ198," - ",AG200)</f>
        <v xml:space="preserve"> - </v>
      </c>
      <c r="FG200" s="1816"/>
      <c r="FH200" s="1816"/>
      <c r="FI200" s="133"/>
      <c r="FL200" s="1822" t="str">
        <f>IF(CQ198="Exterior","Not Daylighted",G201)</f>
        <v>Not Daylighted</v>
      </c>
      <c r="FM200" s="1824">
        <f>VLOOKUP(FL200,_New_Daylight_Table_Codes,2,FALSE)</f>
        <v>0</v>
      </c>
      <c r="FN200" s="1698">
        <f>AG200</f>
        <v>0</v>
      </c>
      <c r="FO200" s="1698" t="e">
        <f>VLOOKUP(FN200,_Control_Table,2,FALSE)</f>
        <v>#N/A</v>
      </c>
      <c r="FP200" s="1678" t="e">
        <f>VLOOKUP(CONCATENATE(FL200," ",FN200),Lookup!AY$102:AZ211,2,FALSE)</f>
        <v>#N/A</v>
      </c>
      <c r="FQ200" s="1698">
        <f>IF(__Retrofit_TI_NC=0,FN200,IF(AND(FT200&gt;0,FN200="Occupancy Sensor"),"Daylight + Occupancy",IF(AND(FT200&gt;0,FO200&lt;4),"Interior Daylight Dimming",FN200)))</f>
        <v>0</v>
      </c>
      <c r="FS200" s="1686">
        <f>IF(CQ198="Interior",VLOOKUP(CS198,Control_Savings_Interior,5,FALSE),0)</f>
        <v>0</v>
      </c>
      <c r="FT200" s="1687">
        <f>IF(CQ200="Exterior",0,IF(FM200=2,0.5,IF(OR(FM200=1,FM200=3),1,0)))</f>
        <v>0</v>
      </c>
      <c r="FU200" s="1685">
        <f>IF(R199&gt;FS$44,(FS200*(FS$44/R199)),FS200)*FT200</f>
        <v>0</v>
      </c>
      <c r="FV200" s="1686">
        <f>DI200</f>
        <v>0</v>
      </c>
      <c r="FW200" s="1686">
        <f>ROUND(FV200+((1-FV200)*FU200),2)</f>
        <v>0</v>
      </c>
      <c r="FX200" s="1686">
        <f>IF(__Retrofit_TI_NC=2,FW200,FV200)</f>
        <v>0</v>
      </c>
      <c r="FY200" s="1697">
        <f>IF(CR200="Interior",VLOOKUP(CS200,Control_Savings_Interior,4,FALSE),0)</f>
        <v>0</v>
      </c>
      <c r="GA200" s="1696"/>
      <c r="GB200" s="1696"/>
      <c r="GC200" s="1696"/>
      <c r="GD200" s="1696"/>
      <c r="GE200" s="1696"/>
      <c r="GF200" s="1696"/>
      <c r="GG200" s="1696"/>
      <c r="GH200" s="1696"/>
      <c r="GI200" s="673" t="b">
        <f>IF(ISNUMBER(SEARCH("TLED",U200)),TRUE,FALSE)</f>
        <v>0</v>
      </c>
      <c r="GJ200" s="1135" t="str">
        <f>IFERROR(VLOOKUP(U200,Fixtures!DM$93:DR$142,6,FALSE),"")</f>
        <v/>
      </c>
      <c r="GK200" s="1832"/>
      <c r="GM200" s="1692"/>
      <c r="GN200" s="1684"/>
      <c r="GP200" s="1684"/>
      <c r="GQ200" s="1684"/>
      <c r="HG200" s="1684"/>
      <c r="HH200" s="1684"/>
      <c r="HI200" s="1684"/>
      <c r="HJ200" s="1684"/>
      <c r="HK200" s="1684"/>
      <c r="HL200" s="1684"/>
      <c r="HM200" s="1684"/>
      <c r="HN200" s="1683"/>
      <c r="HO200" s="1692"/>
      <c r="HP200" s="1692"/>
      <c r="HQ200" s="1670"/>
      <c r="HR200" s="1684"/>
      <c r="HS200" s="1684"/>
      <c r="HT200" s="1670"/>
      <c r="HU200" s="1684"/>
      <c r="HV200" s="1684"/>
      <c r="HW200" s="1684"/>
      <c r="HX200" s="1684"/>
      <c r="HY200" s="1684"/>
      <c r="HZ200" s="1684"/>
      <c r="IB200" s="1692"/>
      <c r="IC200" s="1693" t="b">
        <f>IB198</f>
        <v>0</v>
      </c>
      <c r="ID200" s="1695"/>
      <c r="IE200" s="391"/>
      <c r="IF200" s="1688"/>
      <c r="IG200" s="1689">
        <f ca="1">IF(IF198=TRUE,AC201,0)</f>
        <v>0</v>
      </c>
      <c r="IH200" s="1684"/>
      <c r="IK200" s="1689" t="e">
        <f>ROUND(T200*AB201*N199*R199/1000,0)</f>
        <v>#VALUE!</v>
      </c>
      <c r="IL200" s="1691"/>
      <c r="IM200" s="1693" t="e">
        <f>ROUND(T200*AB201*N199*R199/1000,0)</f>
        <v>#VALUE!</v>
      </c>
      <c r="IN200" s="1691"/>
      <c r="IP200" s="1679"/>
      <c r="IQ200" s="1679" t="e">
        <f t="shared" ref="IQ200:IU200" si="162">IF($CR200="interior",VLOOKUP($CS200,_New_Control_Savings_Interior,IQ$30,FALSE),VLOOKUP($CS200,Control_Savings_Exterior,IQ$30,FALSE))</f>
        <v>#N/A</v>
      </c>
      <c r="IR200" s="1679" t="e">
        <f t="shared" si="162"/>
        <v>#N/A</v>
      </c>
      <c r="IS200" s="1679" t="e">
        <f t="shared" si="162"/>
        <v>#N/A</v>
      </c>
      <c r="IT200" s="1679" t="e">
        <f t="shared" si="162"/>
        <v>#N/A</v>
      </c>
      <c r="IU200" s="1679" t="e">
        <f t="shared" si="162"/>
        <v>#N/A</v>
      </c>
      <c r="IV200" s="1679" t="e">
        <f>IF($CR200="interior",IF(R199&gt;$IP$14,ROUND(($IV$18*($IP$14/R199)),2),$IV$18),VLOOKUP($CS200,Control_Savings_Exterior,IV$30,FALSE))</f>
        <v>#N/A</v>
      </c>
      <c r="IW200" s="1679" t="e">
        <f>IF($CR200="interior",ROUND(((1-IS200)*IV200)+IS200,2),VLOOKUP($CS200,Control_Savings_Exterior,IW$30,FALSE))</f>
        <v>#N/A</v>
      </c>
      <c r="IX200" s="1679" t="e">
        <f>IF($CR200="interior",ROUND(((1-IT200)*IV200)+IT200,2),VLOOKUP($CS200,Control_Savings_Exterior,IX$30,FALSE))</f>
        <v>#N/A</v>
      </c>
      <c r="IY200" s="1679" t="e">
        <f>IF($CR200="interior",IF(R199&gt;$IP$14,ROUND(($IY$18*($IP$14/R199)),2),$IY$18),VLOOKUP($CS200,Control_Savings_Exterior,IY$30,FALSE))</f>
        <v>#N/A</v>
      </c>
      <c r="IZ200" s="1679" t="e">
        <f>IF($CR200="interior",ROUND(((1-IS200)*IY200)+IS200,2),VLOOKUP($CS200,Control_Savings_Exterior,IZ$30,FALSE))</f>
        <v>#N/A</v>
      </c>
      <c r="JA200" s="1679" t="e">
        <f>IF($CR200="interior",ROUND(((1-IT200)*IY200)+IT200,2),VLOOKUP($CS200,Control_Savings_Exterior,JA$30,FALSE))</f>
        <v>#N/A</v>
      </c>
      <c r="JC200" s="1680">
        <f>IFERROR(IF(CR200="Interior",CONCATENATE(G201," ",FQ200),AG200),"")</f>
        <v>0</v>
      </c>
      <c r="JD200" s="1670" t="str">
        <f>IFERROR(VLOOKUP(JC200,_Controls_2023,2,FALSE),"")</f>
        <v/>
      </c>
      <c r="JE200" s="1681">
        <f>IFERROR(CHOOSE(JD200-1,IQ200,IR200,IS200,IT200,IU200,IV200,IW200,IX200,IY200,IZ200,JA200),0)</f>
        <v>0</v>
      </c>
      <c r="JG200" s="1680" t="str">
        <f>FE200</f>
        <v xml:space="preserve"> - </v>
      </c>
      <c r="JH200" s="1670" t="e">
        <f>$FO200</f>
        <v>#N/A</v>
      </c>
      <c r="JI200" s="1060"/>
      <c r="JJ200" s="1670">
        <f>IFERROR(IF($IB198=TRUE,IF(OR(JJ$14="No",JJ198=FALSE,JH200&lt;=JH198,AND(_kWh_Grant=0,GD198=FALSE)),0,IF(JJ$8="Per Line",1,$AF200)),0),0)</f>
        <v>0</v>
      </c>
      <c r="JK200" s="1061"/>
      <c r="JL200" s="1670">
        <f>IFERROR(IF(_kWh_Grant=0,0,IF($IB198=TRUE,IF(OR(JL$14="No",JL198=FALSE,JH200&lt;=JH198),0,IF(JL$8="Per Line",1,$T200)),0)),0)</f>
        <v>0</v>
      </c>
      <c r="JM200" s="1061"/>
      <c r="JN200" s="1670">
        <f>IFERROR(IF(_kWh_Grant=0,0,IF($IB198=TRUE,IF(OR(JN$14="No",JN198=FALSE,JH200&lt;=JH198),0,IF(JN$8="Per Line",1,$AF200)),0)),0)</f>
        <v>0</v>
      </c>
      <c r="JO200" s="1061"/>
      <c r="JP200" s="1670">
        <f>IFERROR(IF(__Retrofit_TI_NC=0,IF(_kWh_Grant=0,0,IF($IB198=TRUE,IF(OR(JP$14="No",JP198=FALSE,$JH200&lt;=$JH198),0,IF(JP$8="Per Line",1,$AF200)),0)),IF($IB198=TRUE,IF(OR(JP$14="No",JP198=FALSE,$JH200&lt;=$JH198),0,IF(JP$8="Per Line",1,$AF200)))),0)</f>
        <v>0</v>
      </c>
      <c r="JQ200" s="1061"/>
      <c r="JR200" s="1670">
        <f>IFERROR(IF(__Retrofit_TI_NC=0,IF(_kWh_Grant=0,0,IF($IB198=TRUE,IF(OR(JR$14="No",JR198=FALSE,$JH200&lt;=$JH198),0,IF(JR$8="Per Line",1,$AF200)),0)),IF($IB198=TRUE,IF(OR(JR$14="No",JR198=FALSE,$JH200&lt;=$JH198),0,IF(JR$8="Per Line",1,$AF200)))),0)</f>
        <v>0</v>
      </c>
      <c r="JS200" s="1061"/>
      <c r="JT200" s="1670">
        <f>IFERROR(IF(__Retrofit_TI_NC=0,IF(_kWh_Grant=0,0,IF($IB198=TRUE,IF(OR(JT$14="No",JT198=FALSE,$JH200&lt;=$JH198),0,IF(JT$8="Per Line",1,$AF200)),0)),IF($IB198=TRUE,IF(OR(JT$14="No",JT198=FALSE,$JH200&lt;=$JH198),0,IF(JT$8="Per Line",1,$AF200)))),0)</f>
        <v>0</v>
      </c>
      <c r="JU200" s="1061"/>
      <c r="JV200" s="1670">
        <f>IFERROR(IF(__Retrofit_TI_NC=0,IF(_kWh_Grant=0,0,IF($IB198=TRUE,IF(OR(JV$14="No",JV198=FALSE,$JH200&lt;=$JH198),0,IF(JV$8="Per Line",1,$AF200)),0)),IF($IB198=TRUE,IF(OR(JV$14="No",JV198=FALSE,$JH200&lt;=$JH198),0,IF(JV$8="Per Line",1,$AF200)))),0)</f>
        <v>0</v>
      </c>
      <c r="JX200" s="1670">
        <f>IFERROR(IF(__Retrofit_TI_NC=0,IF(_kWh_Grant=0,0,IF($IB198=TRUE,IF(OR(JX$14="No",JX198=FALSE,$JH200&lt;=$JH198),0,IF(JX$8="Per Line",1,$AF200)),0)),IF($IB198=TRUE,IF(OR(JX$14="No",JX198=FALSE,$JH200&lt;=$JH198),0,IF(JX$8="Per Line",1,$AF200)))),0)</f>
        <v>0</v>
      </c>
      <c r="JZ200" s="1670">
        <f>IFERROR(IF($IB198=TRUE,IF(OR(JZ$14="No",JZ198=FALSE,$JH200&lt;=$JH198,AND(_kWh_Grant=0,$GD198=FALSE)),0,IF(JZ$8="Per Line",1,$AF200)),0),0)</f>
        <v>0</v>
      </c>
      <c r="KB200" s="1670">
        <f>IFERROR(IF(__Retrofit_TI_NC=0,IF(_kWh_Grant=0,0,IF($IB198=TRUE,IF(OR(KB$14="No",KB198=FALSE,$JH200&lt;=$JH198),0,IF(KB$8="Per Line",1,$AF200)),0)),IF($IB198=TRUE,IF(OR(KB$14="No",KB198=FALSE,$JH200&lt;=$JH198),0,IF(KB$8="Per Line",1,$AF200)))),0)</f>
        <v>0</v>
      </c>
    </row>
    <row r="201" spans="1:288" s="78" customFormat="1" ht="14.95" customHeight="1" thickTop="1" thickBot="1">
      <c r="B201" s="1845"/>
      <c r="C201" s="1846"/>
      <c r="D201" s="1847"/>
      <c r="E201" s="1771" t="s">
        <v>436</v>
      </c>
      <c r="F201" s="1772"/>
      <c r="G201" s="1784" t="s">
        <v>437</v>
      </c>
      <c r="H201" s="1785"/>
      <c r="I201" s="1785"/>
      <c r="J201" s="1785"/>
      <c r="K201" s="1785"/>
      <c r="L201" s="1786"/>
      <c r="M201" s="591">
        <f>IFERROR(VLOOKUP(G201,_Daylight_Table[],2,FALSE),0)</f>
        <v>0</v>
      </c>
      <c r="N201" s="592" t="str">
        <f>IF(AND(__Retrofit_TI_NC&gt;0,CQ198="Interior"),"BAM","")</f>
        <v/>
      </c>
      <c r="O201" s="591" t="e">
        <f>VLOOKUP(G200,'Space Table'!$B$3:$L$163,11,FALSE)</f>
        <v>#N/A</v>
      </c>
      <c r="P201" s="1789"/>
      <c r="Q201" s="1790"/>
      <c r="R201" s="1790"/>
      <c r="S201" s="1788"/>
      <c r="T201" s="593" t="s">
        <v>342</v>
      </c>
      <c r="U201" s="1756" t="str" cm="1">
        <f t="array" aca="1" ref="U201" ca="1">IFERROR(VLOOKUP(INDIRECT("U" &amp; ROW()-1),Fixtures!DM$93:DP$142,4,FALSE),"")</f>
        <v/>
      </c>
      <c r="V201" s="1757"/>
      <c r="W201" s="1757"/>
      <c r="X201" s="1757"/>
      <c r="Y201" s="1757"/>
      <c r="Z201" s="1757"/>
      <c r="AA201" s="1758"/>
      <c r="AB201" s="939" t="str">
        <f>IFERROR(VLOOKUP(U200,Fixtures_Proposed_List,2,FALSE),"")</f>
        <v/>
      </c>
      <c r="AC201" s="933" t="str">
        <f>IFERROR(ROUND(T200*AB201*N199*R199/1000,0),"")</f>
        <v/>
      </c>
      <c r="AD201" s="934" t="str">
        <f>IFERROR(ROUND(T200*AB201/1000,2),"")</f>
        <v/>
      </c>
      <c r="AE201" s="998"/>
      <c r="AF201" s="938" t="s">
        <v>342</v>
      </c>
      <c r="AG201" s="1770"/>
      <c r="AH201" s="1770"/>
      <c r="AI201" s="1770"/>
      <c r="AJ201" s="1770"/>
      <c r="AK201" s="1770"/>
      <c r="AL201" s="1770"/>
      <c r="AM201" s="1727"/>
      <c r="AN201" s="1729"/>
      <c r="AO201" s="1731"/>
      <c r="AP201" s="1782"/>
      <c r="AQ201" s="1783"/>
      <c r="AR201" s="1797"/>
      <c r="AS201" s="1797"/>
      <c r="AT201" s="1798"/>
      <c r="AU201" s="1736"/>
      <c r="AV201" s="1753"/>
      <c r="AW201" s="1706"/>
      <c r="AX201" s="468"/>
      <c r="AY201" s="1750"/>
      <c r="AZ201" s="1750"/>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696"/>
      <c r="CQ201" s="1696"/>
      <c r="CR201" s="1809"/>
      <c r="CS201" s="1811"/>
      <c r="CU201" s="1688"/>
      <c r="CV201" s="1703"/>
      <c r="CW201" s="1703"/>
      <c r="CX201" s="1813"/>
      <c r="CY201" s="1815"/>
      <c r="CZ201" s="1711"/>
      <c r="DA201" s="1815"/>
      <c r="DB201" s="1821"/>
      <c r="DC201" s="1821"/>
      <c r="DD201" s="1821"/>
      <c r="DF201" s="1703"/>
      <c r="DG201" s="1831"/>
      <c r="DH201" s="1813"/>
      <c r="DI201" s="1838"/>
      <c r="DJ201" s="1711"/>
      <c r="DK201" s="1712"/>
      <c r="DN201" s="1718"/>
      <c r="DO201" s="1709"/>
      <c r="DQ201" s="1715"/>
      <c r="DR201" s="1720"/>
      <c r="DS201" s="1703"/>
      <c r="DT201" s="1714"/>
      <c r="DU201" s="1715"/>
      <c r="DV201" s="1716"/>
      <c r="DX201" s="1715"/>
      <c r="DY201" s="1720"/>
      <c r="DZ201" s="1715"/>
      <c r="EA201" s="1715"/>
      <c r="EC201" s="1834"/>
      <c r="ED201" s="1834"/>
      <c r="EF201" s="1707"/>
      <c r="EG201" s="1712"/>
      <c r="EH201" s="1815"/>
      <c r="EI201" s="1712"/>
      <c r="EJ201" s="1712"/>
      <c r="EK201" s="1813"/>
      <c r="EL201" s="1813"/>
      <c r="EM201" s="1807"/>
      <c r="EN201" s="1839"/>
      <c r="EO201" s="1839"/>
      <c r="EP201" s="1817"/>
      <c r="EQ201" s="1817"/>
      <c r="ER201" s="1807"/>
      <c r="ES201" s="1807"/>
      <c r="ET201" s="1807"/>
      <c r="EV201" s="1715"/>
      <c r="EX201" s="1806"/>
      <c r="EY201" s="1806"/>
      <c r="EZ201" s="1806"/>
      <c r="FA201" s="1806"/>
      <c r="FB201" s="1806"/>
      <c r="FC201" s="1828"/>
      <c r="FE201" s="1698"/>
      <c r="FG201" s="1703"/>
      <c r="FH201" s="1703"/>
      <c r="FI201" s="133"/>
      <c r="FL201" s="1823"/>
      <c r="FM201" s="1825"/>
      <c r="FN201" s="1698"/>
      <c r="FO201" s="1698"/>
      <c r="FP201" s="1678"/>
      <c r="FQ201" s="1698"/>
      <c r="FS201" s="1687"/>
      <c r="FT201" s="1687"/>
      <c r="FU201" s="1685"/>
      <c r="FV201" s="1687"/>
      <c r="FW201" s="1687"/>
      <c r="FX201" s="1687"/>
      <c r="FY201" s="1697"/>
      <c r="GA201" s="1696"/>
      <c r="GB201" s="1696"/>
      <c r="GC201" s="1696"/>
      <c r="GD201" s="1696"/>
      <c r="GE201" s="1696"/>
      <c r="GF201" s="1696"/>
      <c r="GG201" s="1696"/>
      <c r="GH201" s="1696"/>
      <c r="GI201" s="673"/>
      <c r="GJ201" s="1135"/>
      <c r="GK201" s="1832"/>
      <c r="GN201" s="674">
        <f>IF(GN199=TRUE,0,GN$16)</f>
        <v>0</v>
      </c>
      <c r="GP201" s="674">
        <f>IF(GP199=TRUE,0,GP$16)</f>
        <v>36</v>
      </c>
      <c r="GQ201" s="674">
        <f ca="1">IF(GQ199=TRUE,0,GQ$16)</f>
        <v>35</v>
      </c>
      <c r="GR201" s="391"/>
      <c r="GS201" s="391"/>
      <c r="GT201" s="391"/>
      <c r="GU201" s="391"/>
      <c r="GV201" s="391"/>
      <c r="HG201" s="674">
        <f>IF(HG199=TRUE,0,HG$16)</f>
        <v>0</v>
      </c>
      <c r="HH201" s="674">
        <f t="shared" ref="HH201:HM201" si="163">IF(HH199=TRUE,0,HH$16)</f>
        <v>19</v>
      </c>
      <c r="HI201" s="674">
        <f t="shared" si="163"/>
        <v>18</v>
      </c>
      <c r="HJ201" s="674">
        <f t="shared" si="163"/>
        <v>17</v>
      </c>
      <c r="HK201" s="674">
        <f t="shared" si="163"/>
        <v>16</v>
      </c>
      <c r="HL201" s="674">
        <f t="shared" si="163"/>
        <v>0</v>
      </c>
      <c r="HM201" s="674">
        <f t="shared" si="163"/>
        <v>0</v>
      </c>
      <c r="HN201" s="674">
        <f>IF(HN199=TRUE,0,HN$16)</f>
        <v>13</v>
      </c>
      <c r="HO201" s="674">
        <f t="shared" ref="HO201:HQ201" si="164">IF(HO199=TRUE,0,HO$16)</f>
        <v>0</v>
      </c>
      <c r="HP201" s="674">
        <f t="shared" si="164"/>
        <v>0</v>
      </c>
      <c r="HQ201" s="674">
        <f t="shared" si="164"/>
        <v>10</v>
      </c>
      <c r="HR201" s="674">
        <f>IF(HR199=TRUE,0,HR$16)</f>
        <v>9</v>
      </c>
      <c r="HS201" s="674">
        <f t="shared" ref="HS201:HW201" si="165">IF(HS199=TRUE,0,HS$16)</f>
        <v>0</v>
      </c>
      <c r="HT201" s="674">
        <f t="shared" si="165"/>
        <v>0</v>
      </c>
      <c r="HU201" s="674">
        <f t="shared" si="165"/>
        <v>0</v>
      </c>
      <c r="HV201" s="674">
        <f t="shared" si="165"/>
        <v>0</v>
      </c>
      <c r="HW201" s="674">
        <f t="shared" si="165"/>
        <v>0</v>
      </c>
      <c r="HX201" s="674">
        <f>IF(HX199=TRUE,0,HX$16)</f>
        <v>0</v>
      </c>
      <c r="HY201" s="674">
        <f>IF(HY199=TRUE,0,HY$16)</f>
        <v>0</v>
      </c>
      <c r="HZ201" s="674">
        <f>IF(HZ199=TRUE,0,HZ$16)</f>
        <v>1</v>
      </c>
      <c r="IB201" s="674">
        <f>IF(GP199=FALSE,GP201,IF(GQ199=FALSE,GQ201,MAX(GN201:HZ201)))</f>
        <v>36</v>
      </c>
      <c r="IC201" s="1692"/>
      <c r="ID201" s="205" t="str">
        <f>VLOOKUP(IB201,_Error_Table,3,FALSE)</f>
        <v xml:space="preserve"> </v>
      </c>
      <c r="IE201" s="205"/>
      <c r="IF201" s="1688"/>
      <c r="IG201" s="1689"/>
      <c r="IH201" s="1684"/>
      <c r="IK201" s="1689"/>
      <c r="IL201" s="1692"/>
      <c r="IM201" s="1692"/>
      <c r="IN201" s="1692"/>
      <c r="IP201" s="1679"/>
      <c r="IQ201" s="1679"/>
      <c r="IR201" s="1679"/>
      <c r="IS201" s="1679"/>
      <c r="IT201" s="1679"/>
      <c r="IU201" s="1679"/>
      <c r="IV201" s="1679"/>
      <c r="IW201" s="1679"/>
      <c r="IX201" s="1679"/>
      <c r="IY201" s="1679"/>
      <c r="IZ201" s="1679"/>
      <c r="JA201" s="1679"/>
      <c r="JC201" s="1680"/>
      <c r="JD201" s="1670"/>
      <c r="JE201" s="1681"/>
      <c r="JG201" s="1680"/>
      <c r="JH201" s="1670"/>
      <c r="JI201" s="1060"/>
      <c r="JJ201" s="1670"/>
      <c r="JK201" s="1061"/>
      <c r="JL201" s="1670"/>
      <c r="JM201" s="1061"/>
      <c r="JN201" s="1670"/>
      <c r="JO201" s="1061"/>
      <c r="JP201" s="1670"/>
      <c r="JQ201" s="1061"/>
      <c r="JR201" s="1670"/>
      <c r="JS201" s="1061"/>
      <c r="JT201" s="1670"/>
      <c r="JU201" s="1061"/>
      <c r="JV201" s="1670"/>
      <c r="JX201" s="1670"/>
      <c r="JZ201" s="1670"/>
      <c r="KB201" s="1670"/>
    </row>
    <row r="202" spans="1:288" s="78" customFormat="1" ht="5.0999999999999996" customHeight="1">
      <c r="B202" s="676"/>
      <c r="C202" s="392"/>
      <c r="D202" s="392"/>
      <c r="E202" s="1733"/>
      <c r="F202" s="1733"/>
      <c r="G202" s="1733"/>
      <c r="H202" s="1733"/>
      <c r="I202" s="1733"/>
      <c r="J202" s="1733"/>
      <c r="K202" s="1733"/>
      <c r="L202" s="1733"/>
      <c r="M202" s="1733"/>
      <c r="N202" s="1733"/>
      <c r="O202" s="1733"/>
      <c r="P202" s="1733"/>
      <c r="Q202" s="1733"/>
      <c r="R202" s="1733"/>
      <c r="S202" s="1733"/>
      <c r="T202" s="1733"/>
      <c r="U202" s="1733"/>
      <c r="V202" s="1733"/>
      <c r="W202" s="1733"/>
      <c r="X202" s="1733"/>
      <c r="Y202" s="1733"/>
      <c r="Z202" s="1733"/>
      <c r="AA202" s="1733"/>
      <c r="AB202" s="1733"/>
      <c r="AC202" s="1733"/>
      <c r="AD202" s="1733"/>
      <c r="AE202" s="1733"/>
      <c r="AF202" s="1733"/>
      <c r="AG202" s="1733"/>
      <c r="AH202" s="1733"/>
      <c r="AI202" s="1733"/>
      <c r="AJ202" s="1733"/>
      <c r="AK202" s="1733"/>
      <c r="AL202" s="1733"/>
      <c r="AM202" s="1733"/>
      <c r="AN202" s="1733"/>
      <c r="AO202" s="1733"/>
      <c r="AP202" s="1733"/>
      <c r="AQ202" s="1733"/>
      <c r="AR202" s="1733"/>
      <c r="AS202" s="1733"/>
      <c r="AT202" s="1733"/>
      <c r="AU202" s="1733"/>
      <c r="AV202" s="1733"/>
      <c r="AW202" s="1733"/>
      <c r="AX202" s="469"/>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663"/>
      <c r="CQ202" s="663"/>
      <c r="CR202" s="438"/>
      <c r="CS202" s="663"/>
      <c r="CV202" s="391"/>
      <c r="CW202" s="391"/>
      <c r="CX202" s="207"/>
      <c r="CY202" s="208"/>
      <c r="CZ202" s="208"/>
      <c r="DA202" s="208"/>
      <c r="DB202" s="209"/>
      <c r="DC202" s="209"/>
      <c r="DD202" s="209"/>
      <c r="DF202" s="664"/>
      <c r="DG202" s="665"/>
      <c r="DH202" s="666"/>
      <c r="DI202" s="667"/>
      <c r="DJ202" s="668"/>
      <c r="DK202" s="668"/>
      <c r="DN202" s="208"/>
      <c r="DO202" s="664"/>
      <c r="DQ202" s="664"/>
      <c r="DR202" s="669"/>
      <c r="DS202" s="391"/>
      <c r="DT202" s="664"/>
      <c r="DU202" s="664"/>
      <c r="DV202" s="664"/>
      <c r="DX202" s="664"/>
      <c r="DY202" s="664"/>
      <c r="DZ202" s="664"/>
      <c r="EA202" s="664"/>
      <c r="EC202" s="670"/>
      <c r="ED202" s="670"/>
      <c r="EF202" s="668"/>
      <c r="EG202" s="668"/>
      <c r="EH202" s="208"/>
      <c r="EI202" s="668"/>
      <c r="EJ202" s="668"/>
      <c r="EK202" s="207"/>
      <c r="EL202" s="207"/>
      <c r="EM202" s="666"/>
      <c r="EN202" s="671"/>
      <c r="EO202" s="671"/>
      <c r="EP202" s="672"/>
      <c r="EQ202" s="672"/>
      <c r="ER202" s="666"/>
      <c r="ES202" s="666"/>
      <c r="ET202" s="666"/>
      <c r="EV202" s="664"/>
      <c r="EX202" s="391"/>
      <c r="EY202" s="391"/>
      <c r="EZ202" s="391"/>
      <c r="FA202" s="391"/>
      <c r="FB202" s="391"/>
      <c r="FC202" s="391"/>
      <c r="FE202" s="569"/>
      <c r="FG202" s="391"/>
      <c r="FH202" s="391"/>
      <c r="FI202" s="391"/>
      <c r="FS202" s="664"/>
      <c r="FT202" s="391"/>
      <c r="FU202" s="391"/>
      <c r="FV202" s="664"/>
      <c r="FW202" s="664"/>
      <c r="GA202" s="663"/>
      <c r="GB202" s="663"/>
      <c r="GC202" s="663"/>
      <c r="GD202" s="663"/>
      <c r="GE202" s="663"/>
      <c r="GF202" s="663"/>
      <c r="GG202" s="663"/>
      <c r="GH202" s="663"/>
      <c r="GI202" s="665"/>
      <c r="GJ202" s="664"/>
      <c r="GK202" s="664"/>
    </row>
    <row r="203" spans="1:288" s="78" customFormat="1" ht="14.95" customHeight="1">
      <c r="B203" s="1845" t="str">
        <f>ID206</f>
        <v xml:space="preserve"> </v>
      </c>
      <c r="C203" s="1846">
        <f>C198+1</f>
        <v>31</v>
      </c>
      <c r="D203" s="1847"/>
      <c r="E203" s="1799" t="s">
        <v>295</v>
      </c>
      <c r="F203" s="1800"/>
      <c r="G203" s="1741"/>
      <c r="H203" s="1742"/>
      <c r="I203" s="1742"/>
      <c r="J203" s="1742"/>
      <c r="K203" s="1742"/>
      <c r="L203" s="1742"/>
      <c r="M203" s="1742"/>
      <c r="N203" s="1742"/>
      <c r="O203" s="1742"/>
      <c r="P203" s="1742"/>
      <c r="Q203" s="1742"/>
      <c r="R203" s="1742"/>
      <c r="S203" s="1791" t="s">
        <v>344</v>
      </c>
      <c r="T203" s="590"/>
      <c r="U203" s="1743"/>
      <c r="V203" s="1744"/>
      <c r="W203" s="1744"/>
      <c r="X203" s="1744"/>
      <c r="Y203" s="1744"/>
      <c r="Z203" s="1744"/>
      <c r="AA203" s="1744"/>
      <c r="AB203" s="961" t="str">
        <f>IFERROR(IF(__Retrofit_TI_NC=0,VLOOKUP(U204,Fixtures_Existing_List,2,FALSE),ROUND(N205*R205/T205,10)),"")</f>
        <v/>
      </c>
      <c r="AC203" s="935" t="str">
        <f>IFERROR(IF(__Retrofit_TI_NC=0,ROUND(T204*AB203*N204*R204/1000,0),IF(CQ203="Interior",N205*R205*R204*N204*_C406_reduction/1000,N205*R205*R204*N204/1000)),"")</f>
        <v/>
      </c>
      <c r="AD203" s="936" t="str">
        <f>IFERROR(IF(C$43=0,ROUND(T204*AB203/1000,2),N205*R205/1000),"")</f>
        <v/>
      </c>
      <c r="AE203" s="997"/>
      <c r="AF203" s="937"/>
      <c r="AG203" s="1745" t="str">
        <f>IF(__Retrofit_TI_NC=0," Control","Select Advanced Control for New System")</f>
        <v xml:space="preserve"> Control</v>
      </c>
      <c r="AH203" s="1745"/>
      <c r="AI203" s="1745"/>
      <c r="AJ203" s="1745"/>
      <c r="AK203" s="1745"/>
      <c r="AL203" s="1745"/>
      <c r="AM203" s="1746">
        <f>IFERROR(DI203,"")</f>
        <v>0</v>
      </c>
      <c r="AN203" s="1774" t="str">
        <f>IFERROR(ROUND(AM203*AC203,0),"")</f>
        <v/>
      </c>
      <c r="AO203" s="1776">
        <f>IFERROR(IF(IB203=FALSE,0,AC203-AN203),0)</f>
        <v>0</v>
      </c>
      <c r="AP203" s="1778">
        <f>AO203-AO205</f>
        <v>0</v>
      </c>
      <c r="AQ203" s="1779"/>
      <c r="AR203" s="1793">
        <f>IFERROR(IF(IB203=FALSE,0,(T205*U206)+(AF205*AG206)),0)</f>
        <v>0</v>
      </c>
      <c r="AS203" s="1793"/>
      <c r="AT203" s="1794"/>
      <c r="AU203" s="1734" t="s">
        <v>237</v>
      </c>
      <c r="AV203" s="1751">
        <f>IF(AU203="Yes",1,0)</f>
        <v>1</v>
      </c>
      <c r="AW203" s="1704" t="str">
        <f>IF(OR(DQ203=4,DQ203=5,DQ203=6,DQ203=12),CONCATENATE("$",IF(GH203=TRUE,Lookup!$K$10,Lookup!$K$2)," /lamp"),CONCATENATE(TEXT(ED203,"$0.00"),"/ kWh"))</f>
        <v>$0.00/ kWh</v>
      </c>
      <c r="AX203" s="467"/>
      <c r="AY203" s="1748">
        <f ca="1">IFERROR(IF(GM204=TRUE,(AB206*T205)/R205,0),"NA")</f>
        <v>0</v>
      </c>
      <c r="AZ203" s="1748"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696" t="str">
        <f>N204</f>
        <v/>
      </c>
      <c r="CQ203" s="1696" t="str">
        <f>IFERROR(VLOOKUP(G204,_Lookup_Heat_Type_Table_New,3,FALSE),"")</f>
        <v/>
      </c>
      <c r="CR203" s="1808" t="str">
        <f>CQ203</f>
        <v/>
      </c>
      <c r="CS203" s="1810" t="str">
        <f>IFERROR(VLOOKUP(G205,'Space Table'!$B$3:$L$163,9,FALSE),"")</f>
        <v/>
      </c>
      <c r="CU203" s="1688" t="s">
        <v>344</v>
      </c>
      <c r="CV203" s="1702">
        <f>IF(IB203=TRUE,T204,0)</f>
        <v>0</v>
      </c>
      <c r="CW203" s="1702" t="str">
        <f>IF(IB203=TRUE,U204,"")</f>
        <v/>
      </c>
      <c r="CX203" s="1702"/>
      <c r="CY203" s="1814">
        <f>IF(IB203=TRUE,AB203,0)</f>
        <v>0</v>
      </c>
      <c r="CZ203" s="1710">
        <f>IF(AND(__Retrofit_TI_NC&gt;0,CR203="interior"),0,IF(IB203=TRUE,AC203,0))</f>
        <v>0</v>
      </c>
      <c r="DA203" s="1814">
        <f>IFERROR(IF(IB203=TRUE,CZ203-CZ205,0),0)</f>
        <v>0</v>
      </c>
      <c r="DB203" s="1819">
        <f>IF(IB203=TRUE,AD203,0)</f>
        <v>0</v>
      </c>
      <c r="DC203" s="1819">
        <f>IF(IB203=TRUE,AD206,0)</f>
        <v>0</v>
      </c>
      <c r="DD203" s="1819">
        <f>IFERROR(DB203-DC203,0)</f>
        <v>0</v>
      </c>
      <c r="DF203" s="1702">
        <f>IF(IB203=TRUE,AF204,0)</f>
        <v>0</v>
      </c>
      <c r="DG203" s="1830">
        <f>IFERROR(IF(__Retrofit_TI_NC=2,IF(CQ203="Exterior",O206,FQ203),FN203),"")</f>
        <v>0</v>
      </c>
      <c r="DH203" s="1702"/>
      <c r="DI203" s="1837">
        <f>JE203</f>
        <v>0</v>
      </c>
      <c r="DJ203" s="1710">
        <f>IF(AND(__Retrofit_TI_NC&gt;0,CR203="interior"),0,IF(IB203=TRUE,AN203,0))</f>
        <v>0</v>
      </c>
      <c r="DK203" s="1712">
        <f>IFERROR(IF(IB203=TRUE,DJ205-DJ203,0),0)</f>
        <v>0</v>
      </c>
      <c r="DM203" s="1717">
        <f>IFERROR(CZ203-DJ203,0)</f>
        <v>0</v>
      </c>
      <c r="DO203" s="1708">
        <f>DM203-DN205</f>
        <v>0</v>
      </c>
      <c r="DQ203" s="1715" t="str">
        <f>IFERROR(IF(AND(OR(GC203=4,GC203=5,GC203=6),OR(GF203=4,GF203=5,GF203=6)),GC203+8,VLOOKUP(CW205,Fixtures!R$31:Y$78,8,FALSE)),"")</f>
        <v/>
      </c>
      <c r="DR203" s="1829" t="str">
        <f>DQ203</f>
        <v/>
      </c>
      <c r="DS203" s="1702" t="str">
        <f>IFERROR(VLOOKUP(DG205,Lookup!BB$3:BC$20,2,FALSE),"")</f>
        <v/>
      </c>
      <c r="DT203" s="1713" t="str">
        <f>IF(OR(DS203=7,DS203=8,DS203=9),"ALC","")</f>
        <v/>
      </c>
      <c r="DU203" s="1715">
        <f>IFERROR(IF(OR(DQ203=4,DQ203=5,DQ203=6,DQ203=12,DQ203=13,DQ203=14),VLOOKUP(CW205,Fixtures!DN$27:EG$77,19,FALSE),1)*CV205,0)</f>
        <v>0</v>
      </c>
      <c r="DV203" s="1716">
        <f>IF(OR(DS203=7,DS203=8,DS203=9),IF(DG203=DG205,0,DF205),0)</f>
        <v>0</v>
      </c>
      <c r="DX203" s="1715" t="str">
        <f>IFERROR(IF(EZ203&lt;EZ205,"Yes","No"),"")</f>
        <v/>
      </c>
      <c r="DY203" s="1829" t="str">
        <f>DX203</f>
        <v/>
      </c>
      <c r="DZ203" s="1715">
        <f>IF(DX203="Yes",DF205,0)</f>
        <v>0</v>
      </c>
      <c r="EA203" s="1715">
        <f>DZ203-DV203</f>
        <v>0</v>
      </c>
      <c r="EC203" s="1834">
        <f>IFERROR(VLOOKUP(DQ203,Lookup!AU$3:AV$16,2,FALSE),0)</f>
        <v>0</v>
      </c>
      <c r="ED203" s="1834">
        <f>IF(IB203=FALSE,0,IF(DX203="Yes",EC203+Lookup!K$6,EC203))</f>
        <v>0</v>
      </c>
      <c r="EF203" s="1707">
        <f>IF(IB203=TRUE,DM203,0)</f>
        <v>0</v>
      </c>
      <c r="EG203" s="1712">
        <f>IF(IB203=TRUE,CZ205,0)</f>
        <v>0</v>
      </c>
      <c r="EH203" s="1814">
        <f>IFERROR(EF203-EG203,0)</f>
        <v>0</v>
      </c>
      <c r="EI203" s="1712">
        <f>IF(IB203=TRUE,DJ205,0)</f>
        <v>0</v>
      </c>
      <c r="EJ203" s="1712">
        <f>IFERROR(EF203-EG203+EI203,0)</f>
        <v>0</v>
      </c>
      <c r="EK203" s="1812">
        <f>IF(IB203=TRUE,CV205*CX205,0)</f>
        <v>0</v>
      </c>
      <c r="EL203" s="1812">
        <f>IF(IB203=TRUE,DF205*DH205,0)</f>
        <v>0</v>
      </c>
      <c r="EM203" s="1807">
        <f>AR203</f>
        <v>0</v>
      </c>
      <c r="EN203" s="1839" t="str">
        <f>IFERROR(IF(IB203=TRUE,VLOOKUP(DQ203,Lookup!AU$3:AW$16,3,FALSE)*DU203,""),0)</f>
        <v/>
      </c>
      <c r="EO203" s="1839">
        <f>IF(IB203=TRUE,DZ203*Lookup!AW$12,0)</f>
        <v>0</v>
      </c>
      <c r="EP203" s="1817">
        <f>IFERROR(IF(IB203=TRUE,EN203/EP$40,0),0)</f>
        <v>0</v>
      </c>
      <c r="EQ203" s="1817">
        <f>IF(IB203=TRUE,EO203/EQ$40,0)</f>
        <v>0</v>
      </c>
      <c r="ER203" s="1807">
        <f>IF(IB203=TRUE,ET$40*EP203,0)</f>
        <v>0</v>
      </c>
      <c r="ES203" s="1807">
        <f>IF(IB203=TRUE,ET$40*EQ203,0)</f>
        <v>0</v>
      </c>
      <c r="ET203" s="1807">
        <f>ER203+ES203</f>
        <v>0</v>
      </c>
      <c r="EV203" s="1715">
        <f>IF(G203="",0,1)</f>
        <v>0</v>
      </c>
      <c r="EX203" s="1804" t="str">
        <f>IFERROR(VLOOKUP(CS205,'Space Table'!$B$3:$L$163,8,FALSE),"")</f>
        <v/>
      </c>
      <c r="EY203" s="1804" t="str">
        <f>IFERROR(IF(FB203="Yes",VLOOKUP(DG203,Lookup_Control_Type_Table2,4,FALSE),VLOOKUP(DG203,Lookup_Control_Type_Table2,3,FALSE)),"")</f>
        <v/>
      </c>
      <c r="EZ203" s="1804" t="e">
        <f>VLOOKUP(DG203,Lookup!BB$3:BC$20,2,FALSE)</f>
        <v>#N/A</v>
      </c>
      <c r="FA203" s="1804" t="e">
        <f>VLOOKUP(EX203,Lookup_Control_Type_Table,2,FALSE)</f>
        <v>#N/A</v>
      </c>
      <c r="FB203" s="1804" t="e">
        <f>VLOOKUP(CS205,'Space Table'!$B$3:$L$163,7,FALSE)</f>
        <v>#N/A</v>
      </c>
      <c r="FC203" s="1826" t="b">
        <f>ISNUMBER(SEARCH("TLED",U205))</f>
        <v>0</v>
      </c>
      <c r="FE203" s="1698" t="str">
        <f>CONCATENATE(CQ203," - ",DG203)</f>
        <v xml:space="preserve"> - 0</v>
      </c>
      <c r="FG203" s="1702" t="str">
        <f>VLOOKUP(CW205,Fixtures!DN$27:EZ$77,38,FALSE)</f>
        <v/>
      </c>
      <c r="FH203" s="1702">
        <f>IFERROR(FG203*EH203,0)</f>
        <v>0</v>
      </c>
      <c r="FI203" s="133"/>
      <c r="FL203" s="1822" t="str">
        <f>IF(CQ203="Exterior","Not Daylighted",G206)</f>
        <v>Not Daylighted</v>
      </c>
      <c r="FM203" s="1824">
        <f>VLOOKUP(FL203,_New_Daylight_Table_Codes,2,FALSE)</f>
        <v>0</v>
      </c>
      <c r="FN203" s="1698">
        <f>IF(__Retrofit_TI_NC&gt;0,VLOOKUP(G205,'Space Table'!$B$3:$L$163,11,FALSE),AG204)</f>
        <v>0</v>
      </c>
      <c r="FO203" s="1698" t="e">
        <f>IF(__Retrofit_TI_NC=2,VLOOKUP(FQ203,_Control_Table,2,FALSE),VLOOKUP(FN203,_Control_Table,2,FALSE))</f>
        <v>#N/A</v>
      </c>
      <c r="FP203" s="1678" t="e">
        <f>VLOOKUP(CONCATENATE(FL203," ",FN203),Lookup!AY$102:AZ213,2,FALSE)</f>
        <v>#N/A</v>
      </c>
      <c r="FQ203" s="1678">
        <f>IF(__Retrofit_TI_NC=0,FN203,IF(AND(FT203&gt;0,FN203="Occupancy Sensor"),"Daylight + Occupancy",IF(AND(FT203&gt;0,VLOOKUP(FN203,_Control_Table,2,FALSE)&lt;4),"Interior Daylight Dimming",FN203)))</f>
        <v>0</v>
      </c>
      <c r="FS203" s="1686">
        <f>IF(CR203="Interior",VLOOKUP(CS203,Control_Savings_Interior,5,FALSE),0)</f>
        <v>0</v>
      </c>
      <c r="FT203" s="1687">
        <f>IF(CQ203="Exterior",0,IF(FM203=2,0.5,IF(OR(FM203=1,FM203=3),1,0)))</f>
        <v>0</v>
      </c>
      <c r="FU203" s="1685">
        <f>IF(R202&gt;FS$44,(FS203*(FS$44/R202)),FS203)*FT203</f>
        <v>0</v>
      </c>
      <c r="FV203" s="1686">
        <f>DI203</f>
        <v>0</v>
      </c>
      <c r="FW203" s="1686">
        <f>ROUND(FV203+((1-FV203)*FU203),2)</f>
        <v>0</v>
      </c>
      <c r="FX203" s="1686">
        <f>IF(__Retrofit_TI_NC=2,FW203,FV203)</f>
        <v>0</v>
      </c>
      <c r="FY203" s="1697"/>
      <c r="GA203" s="1696" t="str">
        <f>IFERROR(VLOOKUP(U204,_Exist_Fixture_Table,3,FALSE),"")</f>
        <v/>
      </c>
      <c r="GB203" s="1696" t="str">
        <f>VLOOKUP(CW203,_Exist_Fixture_Table,4,FALSE)</f>
        <v/>
      </c>
      <c r="GC203" s="1696">
        <f>IFERROR(VLOOKUP(GB203,Lookup!AT$6:AU$8,2,FALSE),0)</f>
        <v>0</v>
      </c>
      <c r="GD203" s="1696" t="b">
        <f>IFERROR(IF(OR(GF203=4,GF203=5,GF203=6),TRUE,FALSE),"")</f>
        <v>0</v>
      </c>
      <c r="GE203" s="1696" t="str">
        <f>IFERROR(VLOOKUP(GF203,GC$6:GD$10,2,FALSE),"")</f>
        <v/>
      </c>
      <c r="GF203" s="1696" t="str">
        <f>VLOOKUP(CW205,Fixtures!R$31:Y$78,8,FALSE)</f>
        <v/>
      </c>
      <c r="GG203" s="1696">
        <f>IF(AND(GA203=TRUE,GD203=TRUE,OR(DQ203=12,DQ203=13,DQ203=14)),GC203+8,0)</f>
        <v>0</v>
      </c>
      <c r="GH203" s="1696" t="b">
        <f>IF(OR(GG203=12,GG203=13,GG203=14),TRUE,FALSE)</f>
        <v>0</v>
      </c>
      <c r="GI203" s="673" t="b">
        <f>IF(ISNUMBER(SEARCH("TLED",U204)),TRUE,FALSE)</f>
        <v>0</v>
      </c>
      <c r="GJ203" s="1135" t="str">
        <f>IFERROR(VLOOKUP(U204,Fixtures!BM$93:BR$142,6,FALSE),"")</f>
        <v/>
      </c>
      <c r="GK203" s="1832" t="b">
        <f>IF(OR(GI203=FALSE,GI205=FALSE),TRUE,IF(GJ203-GJ205&lt;5,FALSE,TRUE))</f>
        <v>1</v>
      </c>
      <c r="GO203" s="674">
        <f>GP203</f>
        <v>0</v>
      </c>
      <c r="GP203" s="674">
        <f>IF(G203="",0,1)</f>
        <v>0</v>
      </c>
      <c r="GQ203" s="674">
        <f ca="1">SUM(GR203:HF203)</f>
        <v>2</v>
      </c>
      <c r="GR203" s="674">
        <f>IF(G204="",0,1)</f>
        <v>0</v>
      </c>
      <c r="GS203" s="674">
        <f>IF(N206="BAM",1,IF(G205="",0,1))</f>
        <v>0</v>
      </c>
      <c r="GT203" s="674">
        <f>IF(N206="BAM",1,IF(R204="",0,1))</f>
        <v>0</v>
      </c>
      <c r="GU203" s="674">
        <f>IF(N206="BAM",1,IF(__Retrofit_TI_NC=0,1,IF(R205="",0,1)))</f>
        <v>1</v>
      </c>
      <c r="GV203" s="674">
        <f>IF(N206="BAM",1,IF(CQ203="Exterior",1,IF(G206="",0,1)))</f>
        <v>1</v>
      </c>
      <c r="GW203" s="674">
        <f>IF(__Retrofit_TI_NC&gt;0,1,IF(T204="",0,1))</f>
        <v>0</v>
      </c>
      <c r="GX203" s="674">
        <f>IF(__Retrofit_TI_NC&gt;0,1,IF(U204="",0,1))</f>
        <v>0</v>
      </c>
      <c r="GY203" s="674">
        <f>IF(N206="BAM",1,IF(T205="",0,1))</f>
        <v>0</v>
      </c>
      <c r="GZ203" s="674">
        <f>IF(N206="BAM",1,IF(U205="",0,1))</f>
        <v>0</v>
      </c>
      <c r="HA203" s="674">
        <f ca="1">IF(N206="BAM",1,IF(__Retrofit_TI_NC&gt;0,1,IF(U206="",0,1)))</f>
        <v>0</v>
      </c>
      <c r="HB203" s="674">
        <f>IF(__Retrofit_TI_NC&lt;&gt;0,1,IF(AF204="",0,1))</f>
        <v>0</v>
      </c>
      <c r="HC203" s="674">
        <f>IF(__Retrofit_TI_NC&lt;&gt;0,1,IF(AG204="",0,1))</f>
        <v>0</v>
      </c>
      <c r="HD203" s="674">
        <f>IF(N206="BAM",1,IF(AF205="",0,1))</f>
        <v>0</v>
      </c>
      <c r="HE203" s="674">
        <f>IF(N206="BAM",1,IF(AG205="",0,1))</f>
        <v>0</v>
      </c>
      <c r="HF203" s="674">
        <f>IF(N206="BAM",1,IF(__Retrofit_TI_NC&gt;0,1,IF(AG206="",0,1)))</f>
        <v>0</v>
      </c>
      <c r="HG203" s="391"/>
      <c r="IA203" s="391"/>
      <c r="IB203" s="1693" t="b">
        <f>IF(OR(IB206=0,IB206=HY$16,IB206=HX$16,IB206=HZ$16),TRUE,FALSE)</f>
        <v>0</v>
      </c>
      <c r="IC203" s="1694" t="b">
        <f>IB203</f>
        <v>0</v>
      </c>
      <c r="ID203" s="391"/>
      <c r="IE203" s="391"/>
      <c r="IF203" s="1688" t="b">
        <f ca="1">IF(MAX(GN206:HU206)&gt;5,FALSE,TRUE)</f>
        <v>0</v>
      </c>
      <c r="IG203" s="1689">
        <f ca="1">IF(IF203=TRUE,AC203,0)</f>
        <v>0</v>
      </c>
      <c r="IH203" s="1689">
        <f ca="1">IG203-IG205</f>
        <v>0</v>
      </c>
      <c r="IK203" s="1689" t="e">
        <f>ROUND(T204*VLOOKUP(U204,Fixtures_Existing_List,2,FALSE)*N204*R204/1000,0)</f>
        <v>#N/A</v>
      </c>
      <c r="IL203" s="1690" t="e">
        <f>IK203-IK205</f>
        <v>#N/A</v>
      </c>
      <c r="IM203" s="1693" t="e">
        <f>ROUND(IF(CQ203="Interior",N205*R205*R204*N204*_C406_reduction/1000,N205*R205*R204*N204/1000),0)</f>
        <v>#N/A</v>
      </c>
      <c r="IN203" s="1693" t="e">
        <f>IM203-IM205</f>
        <v>#N/A</v>
      </c>
      <c r="IP203" s="1679"/>
      <c r="IQ203" s="1679" t="e">
        <f t="shared" ref="IQ203:IU203" si="166">IF($CR203="interior",VLOOKUP($CS203,_New_Control_Savings_Interior,IQ$30,FALSE),VLOOKUP($CS203,Control_Savings_Exterior,IQ$30,FALSE))</f>
        <v>#N/A</v>
      </c>
      <c r="IR203" s="1679" t="e">
        <f t="shared" si="166"/>
        <v>#N/A</v>
      </c>
      <c r="IS203" s="1679" t="e">
        <f t="shared" si="166"/>
        <v>#N/A</v>
      </c>
      <c r="IT203" s="1679" t="e">
        <f t="shared" si="166"/>
        <v>#N/A</v>
      </c>
      <c r="IU203" s="1679" t="e">
        <f t="shared" si="166"/>
        <v>#N/A</v>
      </c>
      <c r="IV203" s="1679" t="e">
        <f>IF($CR203="interior",IF(R204&gt;$IP$14,ROUND(($IV$18*($IP$14/R204)),2),$IV$18),VLOOKUP($CS203,Control_Savings_Exterior,IV$30,FALSE))</f>
        <v>#N/A</v>
      </c>
      <c r="IW203" s="1679" t="e">
        <f>IF($CR203="interior",ROUND(((1-IS203)*IV203)+IS203,2),VLOOKUP($CS203,Control_Savings_Exterior,IW$30,FALSE))</f>
        <v>#N/A</v>
      </c>
      <c r="IX203" s="1679" t="e">
        <f>IF($CR203="interior",ROUND(((1-IT203)*IV203)+IT203,2),VLOOKUP($CS203,Control_Savings_Exterior,IX$30,FALSE))</f>
        <v>#N/A</v>
      </c>
      <c r="IY203" s="1679" t="e">
        <f>IF($CR203="interior",IF(R204&gt;$IP$14,ROUND(($IY$18*($IP$14/R204)),2),$IY$18),VLOOKUP($CS203,Control_Savings_Exterior,IY$30,FALSE))</f>
        <v>#N/A</v>
      </c>
      <c r="IZ203" s="1679" t="e">
        <f>IF($CR203="interior",ROUND(((1-IS203)*IY203)+IS203,2),VLOOKUP($CS203,Control_Savings_Exterior,IZ$30,FALSE))</f>
        <v>#N/A</v>
      </c>
      <c r="JA203" s="1679" t="e">
        <f>IF($CR203="interior",ROUND(((1-IT203)*IY203)+IT203,2),VLOOKUP($CS203,Control_Savings_Exterior,JA$30,FALSE))</f>
        <v>#N/A</v>
      </c>
      <c r="JC203" s="1680">
        <f>IFERROR(IF(CR203="Interior",CONCATENATE(G206," ",FQ203),FQ203),"")</f>
        <v>0</v>
      </c>
      <c r="JD203" s="1670" t="str">
        <f>IFERROR(VLOOKUP(JC203,_Controls_2023,2,FALSE),"")</f>
        <v/>
      </c>
      <c r="JE203" s="1681">
        <f>IFERROR(CHOOSE(JD203-1,IQ203,IR203,IS203,IT203,IU203,IV203,IW203,IX203,IY203,IZ203,JA203),0)</f>
        <v>0</v>
      </c>
      <c r="JG203" s="1680" t="str">
        <f>FE203</f>
        <v xml:space="preserve"> - 0</v>
      </c>
      <c r="JH203" s="1670" t="e">
        <f>$FO203</f>
        <v>#N/A</v>
      </c>
      <c r="JI203" s="1060"/>
      <c r="JJ203" s="1682" t="b">
        <f>IF($JG205=CONCATENATE("Interior - ",JJ$4),TRUE,FALSE)</f>
        <v>0</v>
      </c>
      <c r="JK203" s="1061"/>
      <c r="JL203" s="1682" t="b">
        <f>IF($JG205=CONCATENATE("Interior - ",JL$4),TRUE,FALSE)</f>
        <v>0</v>
      </c>
      <c r="JM203" s="1061"/>
      <c r="JN203" s="1682" t="b">
        <f>IF($JG205=CONCATENATE("Interior - ",JN$4),TRUE,FALSE)</f>
        <v>0</v>
      </c>
      <c r="JO203" s="1061"/>
      <c r="JP203" s="1682" t="b">
        <f>IF(__Retrofit_TI_NC&gt;0,FALSE,IF($JG205=CONCATENATE("Interior - ",JP$4),TRUE,FALSE))</f>
        <v>0</v>
      </c>
      <c r="JQ203" s="1061"/>
      <c r="JR203" s="1682" t="b">
        <f>IF(__Retrofit_TI_NC&gt;0,FALSE,IF($JG205=CONCATENATE("Interior - ",JR$4),TRUE,FALSE))</f>
        <v>0</v>
      </c>
      <c r="JS203" s="1061"/>
      <c r="JT203" s="1670" t="b">
        <f>IF(__Retrofit_TI_NC&gt;0,FALSE,IF($JG205=CONCATENATE("Interior - ",JT$4),TRUE,FALSE))</f>
        <v>0</v>
      </c>
      <c r="JU203" s="1061"/>
      <c r="JV203" s="1670" t="b">
        <f>IF(JC205="AELC on Existing",TRUE,FALSE)</f>
        <v>0</v>
      </c>
      <c r="JX203" s="1670" t="b">
        <f>IF(OR(JG205="Exterior - AELC Occupancy based",JG205="Exterior - AELC Time based"),TRUE,FALSE)</f>
        <v>0</v>
      </c>
      <c r="JZ203" s="1682" t="b">
        <f>IF($JG205=CONCATENATE("Exterior - ",JZ$4),TRUE,FALSE)</f>
        <v>0</v>
      </c>
      <c r="KB203" s="1670" t="b">
        <f>IF(__Retrofit_TI_NC&gt;0,FALSE,IF($JG205=CONCATENATE("Interior - ",KB$4),TRUE,FALSE))</f>
        <v>0</v>
      </c>
    </row>
    <row r="204" spans="1:288" s="78" customFormat="1" ht="14.95" customHeight="1" thickTop="1" thickBot="1">
      <c r="B204" s="1845"/>
      <c r="C204" s="1846"/>
      <c r="D204" s="1847"/>
      <c r="E204" s="1737" t="s">
        <v>297</v>
      </c>
      <c r="F204" s="1738"/>
      <c r="G204" s="1739"/>
      <c r="H204" s="1739"/>
      <c r="I204" s="1739"/>
      <c r="J204" s="1739"/>
      <c r="K204" s="1739"/>
      <c r="L204" s="1739"/>
      <c r="M204" s="461" t="e">
        <f>IF(__Retrofit_TI_NC&lt;&gt;0,IF(VLOOKUP(G205,'Space Table'!$B$3:$L$163,3,FALSE)&gt;0,1,0),IF(__Retrofit_TI_NC=VLOOKUP(G205,'Space Table'!$B$3:$L$163,3,FALSE),1,0))</f>
        <v>#N/A</v>
      </c>
      <c r="N204" s="461" t="str">
        <f>IFERROR(VLOOKUP(G204,_Lookup_Heat_Type_Table_New,2,FALSE),"")</f>
        <v/>
      </c>
      <c r="O204" s="461">
        <f>IF(__Retrofit_TI_NC=1,CONCATENATE("TI ",G204),IF(__Retrofit_TI_NC=2,CONCATENATE("NC ",G204),G204))</f>
        <v>0</v>
      </c>
      <c r="P204" s="1740" t="s">
        <v>435</v>
      </c>
      <c r="Q204" s="1740"/>
      <c r="R204" s="595"/>
      <c r="S204" s="1792"/>
      <c r="T204" s="597"/>
      <c r="U204" s="1765"/>
      <c r="V204" s="1766"/>
      <c r="W204" s="1766"/>
      <c r="X204" s="1766"/>
      <c r="Y204" s="1766"/>
      <c r="Z204" s="1766"/>
      <c r="AA204" s="1766"/>
      <c r="AB204" s="1766"/>
      <c r="AC204" s="1766"/>
      <c r="AD204" s="1767"/>
      <c r="AE204" s="1000"/>
      <c r="AF204" s="597"/>
      <c r="AG204" s="1723"/>
      <c r="AH204" s="1724"/>
      <c r="AI204" s="1724"/>
      <c r="AJ204" s="1724"/>
      <c r="AK204" s="1725"/>
      <c r="AL204" s="996"/>
      <c r="AM204" s="1747"/>
      <c r="AN204" s="1775"/>
      <c r="AO204" s="1777"/>
      <c r="AP204" s="1780"/>
      <c r="AQ204" s="1781"/>
      <c r="AR204" s="1795"/>
      <c r="AS204" s="1795"/>
      <c r="AT204" s="1796"/>
      <c r="AU204" s="1735"/>
      <c r="AV204" s="1752"/>
      <c r="AW204" s="1705"/>
      <c r="AX204" s="467"/>
      <c r="AY204" s="1749"/>
      <c r="AZ204" s="1749"/>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696"/>
      <c r="CQ204" s="1696"/>
      <c r="CR204" s="1809"/>
      <c r="CS204" s="1811"/>
      <c r="CU204" s="1688"/>
      <c r="CV204" s="1703"/>
      <c r="CW204" s="1703"/>
      <c r="CX204" s="1703"/>
      <c r="CY204" s="1815"/>
      <c r="CZ204" s="1711"/>
      <c r="DA204" s="1818"/>
      <c r="DB204" s="1820"/>
      <c r="DC204" s="1820"/>
      <c r="DD204" s="1820"/>
      <c r="DF204" s="1703"/>
      <c r="DG204" s="1831"/>
      <c r="DH204" s="1703"/>
      <c r="DI204" s="1838"/>
      <c r="DJ204" s="1711"/>
      <c r="DK204" s="1712"/>
      <c r="DM204" s="1718"/>
      <c r="DO204" s="1708"/>
      <c r="DQ204" s="1715"/>
      <c r="DR204" s="1720"/>
      <c r="DS204" s="1816"/>
      <c r="DT204" s="1714"/>
      <c r="DU204" s="1715"/>
      <c r="DV204" s="1716"/>
      <c r="DX204" s="1715"/>
      <c r="DY204" s="1720"/>
      <c r="DZ204" s="1715"/>
      <c r="EA204" s="1715"/>
      <c r="EC204" s="1834"/>
      <c r="ED204" s="1834"/>
      <c r="EF204" s="1707"/>
      <c r="EG204" s="1712"/>
      <c r="EH204" s="1818"/>
      <c r="EI204" s="1712"/>
      <c r="EJ204" s="1712"/>
      <c r="EK204" s="1836"/>
      <c r="EL204" s="1836"/>
      <c r="EM204" s="1807"/>
      <c r="EN204" s="1839"/>
      <c r="EO204" s="1839"/>
      <c r="EP204" s="1817"/>
      <c r="EQ204" s="1817"/>
      <c r="ER204" s="1807"/>
      <c r="ES204" s="1807"/>
      <c r="ET204" s="1807"/>
      <c r="EV204" s="1715"/>
      <c r="EX204" s="1805"/>
      <c r="EY204" s="1805"/>
      <c r="EZ204" s="1805"/>
      <c r="FA204" s="1805"/>
      <c r="FB204" s="1805"/>
      <c r="FC204" s="1827"/>
      <c r="FE204" s="1698"/>
      <c r="FG204" s="1816"/>
      <c r="FH204" s="1816"/>
      <c r="FI204" s="133"/>
      <c r="FL204" s="1823"/>
      <c r="FM204" s="1825"/>
      <c r="FN204" s="1698"/>
      <c r="FO204" s="1698"/>
      <c r="FP204" s="1678"/>
      <c r="FQ204" s="1678"/>
      <c r="FS204" s="1687"/>
      <c r="FT204" s="1687"/>
      <c r="FU204" s="1685"/>
      <c r="FV204" s="1687"/>
      <c r="FW204" s="1687"/>
      <c r="FX204" s="1687"/>
      <c r="FY204" s="1697"/>
      <c r="GA204" s="1696"/>
      <c r="GB204" s="1696"/>
      <c r="GC204" s="1696"/>
      <c r="GD204" s="1696"/>
      <c r="GE204" s="1696"/>
      <c r="GF204" s="1696"/>
      <c r="GG204" s="1696"/>
      <c r="GH204" s="1696"/>
      <c r="GI204" s="673"/>
      <c r="GJ204" s="1135"/>
      <c r="GK204" s="1832"/>
      <c r="GM204" s="1693" t="b">
        <f ca="1">IF(AND(GP204=TRUE,GQ204=TRUE),TRUE,FALSE)</f>
        <v>0</v>
      </c>
      <c r="GN204" s="1684" t="b">
        <f>IFERROR(IF(__Retrofit_TI_NC=2,TRUE,IF(AU203="Yes",TRUE,FALSE)),FALSE)</f>
        <v>1</v>
      </c>
      <c r="GP204" s="1684" t="b">
        <f>IFERROR(IF(GP203=1,TRUE,FALSE),FALSE)</f>
        <v>0</v>
      </c>
      <c r="GQ204" s="1684" t="b">
        <f ca="1">IFERROR(IF(GQ203=GQ$14,TRUE,FALSE),FALSE)</f>
        <v>0</v>
      </c>
      <c r="HG204" s="1684" t="b">
        <f>IFERROR(IF(AND(__Retrofit_TI_NC&gt;0,CQ203="Interior"),FALSE,TRUE),FALSE)</f>
        <v>1</v>
      </c>
      <c r="HH204" s="1684" t="b">
        <f>IFERROR(IF(M204=1,TRUE,FALSE),FALSE)</f>
        <v>0</v>
      </c>
      <c r="HI204" s="1684" t="b">
        <f>IFERROR(IF(OR(M205=1,N206="BAM"),TRUE,FALSE),FALSE)</f>
        <v>0</v>
      </c>
      <c r="HJ204" s="1684" t="b">
        <f>IFERROR(IF(__Retrofit_TI_NC&lt;&gt;0,TRUE,IFERROR(IF(VLOOKUP(U204,Fixtures_Existing_List,2,FALSE)&lt;&gt;"",TRUE,FALSE),FALSE)),FALSE)</f>
        <v>0</v>
      </c>
      <c r="HK204" s="1684" t="b">
        <f>IFERROR(IF(VLOOKUP(U205,Fixtures_Proposed_List,2,FALSE)&lt;&gt;"",TRUE,FALSE),FALSE)</f>
        <v>0</v>
      </c>
      <c r="HL204" s="1684" t="b">
        <f>IF(AND(__Retrofit_TI_NC=2,FC203=TRUE),FALSE,TRUE)</f>
        <v>1</v>
      </c>
      <c r="HM204" s="1684" t="b">
        <f>GK203</f>
        <v>1</v>
      </c>
      <c r="HN204" s="1682" t="b">
        <f>IF(ISERROR(MATCH(FE203,_Control_Match[],0))=TRUE,FALSE,TRUE)</f>
        <v>0</v>
      </c>
      <c r="HO204" s="1693" t="b">
        <f>IFERROR(IF(EX203&lt;&gt;EY203,FALSE,TRUE),FALSE)</f>
        <v>1</v>
      </c>
      <c r="HP204" s="1693" t="b">
        <f>IFERROR(IF(EX205&lt;&gt;EY205,FALSE,TRUE),FALSE)</f>
        <v>1</v>
      </c>
      <c r="HQ204" s="1670" t="b">
        <f>IFERROR(IF(CQ203="Exterior",TRUE,IF(AND(OR(FM205=0,FM205=3),JD205&gt;6),FALSE,TRUE)),FALSE)</f>
        <v>0</v>
      </c>
      <c r="HR204" s="1684" t="b">
        <f>IFERROR(IF(AND(FO205=7,FC203=TRUE),FALSE,TRUE),FALSE)</f>
        <v>0</v>
      </c>
      <c r="HS204" s="1684" t="b">
        <f>IFERROR(IF(AND(T205&lt;&gt;AF205,OR(AG205="Interior LLLC", AG205="Interior NLC", AG205="LLLC (outside Daylight)",AG205="LLLC Controls Only"))=TRUE,FALSE,TRUE),FALSE)</f>
        <v>1</v>
      </c>
      <c r="HT204" s="1670" t="b">
        <f>IFERROR(IF(OR(AG205=Lookup!BB$17,AG205=Lookup!BB$18,AG205=Lookup!BB$19)=TRUE,IF(AF205&gt;T205,FALSE,TRUE),TRUE),FALSE)</f>
        <v>1</v>
      </c>
      <c r="HU204" s="1684" t="b">
        <f>IFERROR(IF(__Retrofit_TI_NC=2,IF(EZ205&lt;EZ203,FALSE,TRUE),TRUE),FALSE)</f>
        <v>1</v>
      </c>
      <c r="HV204" s="1684" t="b">
        <f>IF(CQ203="Interior",IL$6,TRUE)</f>
        <v>1</v>
      </c>
      <c r="HW204" s="1684" t="b">
        <f>IF(CQ203="Exterior",IL$8,TRUE)</f>
        <v>1</v>
      </c>
      <c r="HX204" s="1684" t="b">
        <f>IFERROR(IF(__Retrofit_TI_NC&lt;&gt;0,IF(AZ203&lt;AY203,FALSE,TRUE),TRUE),FALSE)</f>
        <v>1</v>
      </c>
      <c r="HY204" s="1684" t="b">
        <f>IFERROR(IF(AND(G204="Exterior",R204&gt;4200),FALSE,TRUE),FALSE)</f>
        <v>1</v>
      </c>
      <c r="HZ204" s="1684" t="b">
        <f>IFERROR(IF(AB206/AB203&lt;HZ$18,FALSE,TRUE),FALSE)</f>
        <v>0</v>
      </c>
      <c r="IB204" s="1691"/>
      <c r="IC204" s="1695"/>
      <c r="ID204" s="1694" t="str">
        <f>VLOOKUP(IB206,_Error_Table,4,FALSE)</f>
        <v>White</v>
      </c>
      <c r="IE204" s="391"/>
      <c r="IF204" s="1688"/>
      <c r="IG204" s="1689"/>
      <c r="IH204" s="1684"/>
      <c r="IK204" s="1689"/>
      <c r="IL204" s="1691"/>
      <c r="IM204" s="1691"/>
      <c r="IN204" s="1691"/>
      <c r="IP204" s="1679"/>
      <c r="IQ204" s="1679"/>
      <c r="IR204" s="1679"/>
      <c r="IS204" s="1679"/>
      <c r="IT204" s="1679"/>
      <c r="IU204" s="1679"/>
      <c r="IV204" s="1679"/>
      <c r="IW204" s="1679"/>
      <c r="IX204" s="1679"/>
      <c r="IY204" s="1679"/>
      <c r="IZ204" s="1679"/>
      <c r="JA204" s="1679"/>
      <c r="JC204" s="1680"/>
      <c r="JD204" s="1670"/>
      <c r="JE204" s="1681"/>
      <c r="JG204" s="1680"/>
      <c r="JH204" s="1670"/>
      <c r="JI204" s="1060"/>
      <c r="JJ204" s="1683"/>
      <c r="JK204" s="1061"/>
      <c r="JL204" s="1683"/>
      <c r="JM204" s="1061"/>
      <c r="JN204" s="1683"/>
      <c r="JO204" s="1061"/>
      <c r="JP204" s="1683"/>
      <c r="JQ204" s="1061"/>
      <c r="JR204" s="1683"/>
      <c r="JS204" s="1061"/>
      <c r="JT204" s="1670"/>
      <c r="JU204" s="1061"/>
      <c r="JV204" s="1670"/>
      <c r="JX204" s="1670"/>
      <c r="JZ204" s="1683"/>
      <c r="KB204" s="1670"/>
    </row>
    <row r="205" spans="1:288" s="78" customFormat="1" ht="14.95" customHeight="1" thickTop="1" thickBot="1">
      <c r="A205" s="78">
        <f>ROW()</f>
        <v>205</v>
      </c>
      <c r="B205" s="1845"/>
      <c r="C205" s="1846"/>
      <c r="D205" s="1847"/>
      <c r="E205" s="1737" t="s">
        <v>298</v>
      </c>
      <c r="F205" s="1738"/>
      <c r="G205" s="1760"/>
      <c r="H205" s="1761"/>
      <c r="I205" s="1761"/>
      <c r="J205" s="1761"/>
      <c r="K205" s="1761"/>
      <c r="L205" s="1762"/>
      <c r="M205" s="461">
        <f>IFERROR(IF(IF(__Retrofit_TI_NC&lt;&gt;0,IF(CQ203="Interior",MATCH(G205,Lookup_Interior_New,0),MATCH(G205,Lookup_Exterior_New,0)),IF(CQ203="Interior",MATCH(G205,Lookup_Interior,0),MATCH(G205,Lookup_Exterior_Areas,0)))&gt;0,1,0),0)</f>
        <v>0</v>
      </c>
      <c r="N205" s="461" t="e">
        <f>IF(__Retrofit_TI_NC=1,
VLOOKUP(G205,'Space Table'!$B$3:$L$163,4,FALSE),
IF(__Retrofit_TI_NC=2,VLOOKUP(G205,'Space Table'!$B$3:$L$163,5,FALSE),VLOOKUP(G205,'Space Table'!$B$3:$L$163,5,FALSE)))</f>
        <v>#N/A</v>
      </c>
      <c r="O205" s="461">
        <f>G205</f>
        <v>0</v>
      </c>
      <c r="P205" s="1738" t="str">
        <f>IFERROR(IF(__Retrofit_TI_NC=1,VLOOKUP(G205,'Space Table'!$B$3:$O$163,13,FALSE),IF(__Retrofit_TI_NC=2,VLOOKUP(G205,'Space Table'!$B$3:$O$163,14,FALSE),"Area (sf):")),"Area (sf):")</f>
        <v>Area (sf):</v>
      </c>
      <c r="Q205" s="1738"/>
      <c r="R205" s="596"/>
      <c r="S205" s="1763" t="s">
        <v>345</v>
      </c>
      <c r="T205" s="594"/>
      <c r="U205" s="1801"/>
      <c r="V205" s="1802"/>
      <c r="W205" s="1802"/>
      <c r="X205" s="1802"/>
      <c r="Y205" s="1802"/>
      <c r="Z205" s="1802"/>
      <c r="AA205" s="1802"/>
      <c r="AB205" s="1802"/>
      <c r="AC205" s="1802"/>
      <c r="AD205" s="1802"/>
      <c r="AE205" s="1803"/>
      <c r="AF205" s="594"/>
      <c r="AG205" s="1787"/>
      <c r="AH205" s="1787"/>
      <c r="AI205" s="1787"/>
      <c r="AJ205" s="1787"/>
      <c r="AK205" s="1787"/>
      <c r="AL205" s="1787"/>
      <c r="AM205" s="1726">
        <f>IFERROR(DI205,"")</f>
        <v>0</v>
      </c>
      <c r="AN205" s="1728" t="str">
        <f>IFERROR(ROUND(AM205*AC206,0),"")</f>
        <v/>
      </c>
      <c r="AO205" s="1730">
        <f>IFERROR(IF(IB203=FALSE,0,AC206-AN205),0)</f>
        <v>0</v>
      </c>
      <c r="AP205" s="1780"/>
      <c r="AQ205" s="1781"/>
      <c r="AR205" s="1795"/>
      <c r="AS205" s="1795"/>
      <c r="AT205" s="1796"/>
      <c r="AU205" s="1735"/>
      <c r="AV205" s="1752"/>
      <c r="AW205" s="1705"/>
      <c r="AX205" s="467"/>
      <c r="AY205" s="1749"/>
      <c r="AZ205" s="1749"/>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696"/>
      <c r="CQ205" s="1696"/>
      <c r="CR205" s="1808" t="str">
        <f>CQ203</f>
        <v/>
      </c>
      <c r="CS205" s="1810" t="str">
        <f>CS203</f>
        <v/>
      </c>
      <c r="CU205" s="1688" t="s">
        <v>345</v>
      </c>
      <c r="CV205" s="1702">
        <f>IF(IB203=TRUE,T205,0)</f>
        <v>0</v>
      </c>
      <c r="CW205" s="1702" t="str">
        <f>IF(IB203=TRUE,U205,"")</f>
        <v/>
      </c>
      <c r="CX205" s="1812">
        <f>IF(IB203=TRUE,U206,0)</f>
        <v>0</v>
      </c>
      <c r="CY205" s="1814">
        <f>IF(IB203=TRUE,AB206,0)</f>
        <v>0</v>
      </c>
      <c r="CZ205" s="1710">
        <f>IF(AND(__Retrofit_TI_NC&gt;0,CR203="interior"),0,IF(IB203=TRUE,AC206,0))</f>
        <v>0</v>
      </c>
      <c r="DA205" s="1818"/>
      <c r="DB205" s="1820"/>
      <c r="DC205" s="1820"/>
      <c r="DD205" s="1820"/>
      <c r="DF205" s="1702">
        <f>IF(IB203=TRUE,AF205,0)</f>
        <v>0</v>
      </c>
      <c r="DG205" s="1830" t="str">
        <f>IF(IB203=TRUE,AG205,"")</f>
        <v/>
      </c>
      <c r="DH205" s="1812">
        <f>AG206</f>
        <v>0</v>
      </c>
      <c r="DI205" s="1837">
        <f>JE205</f>
        <v>0</v>
      </c>
      <c r="DJ205" s="1710">
        <f>IF(AND(__Retrofit_TI_NC&gt;0,CR203="interior"),0,IF(IB203=TRUE,AN205,0))</f>
        <v>0</v>
      </c>
      <c r="DK205" s="1712"/>
      <c r="DN205" s="1717">
        <f>IFERROR(CZ205-DJ205,0)</f>
        <v>0</v>
      </c>
      <c r="DO205" s="1709"/>
      <c r="DQ205" s="1715"/>
      <c r="DR205" s="1719" t="str">
        <f>DQ203</f>
        <v/>
      </c>
      <c r="DS205" s="1816"/>
      <c r="DT205" s="1835" t="str">
        <f>IF(OR(DS203=7,DS203=8,DS203=9),"ALC","")</f>
        <v/>
      </c>
      <c r="DU205" s="1715"/>
      <c r="DV205" s="1716"/>
      <c r="DX205" s="1715"/>
      <c r="DY205" s="1829" t="str">
        <f>DX203</f>
        <v/>
      </c>
      <c r="DZ205" s="1715"/>
      <c r="EA205" s="1715"/>
      <c r="EC205" s="1834"/>
      <c r="ED205" s="1834"/>
      <c r="EF205" s="1707"/>
      <c r="EG205" s="1712"/>
      <c r="EH205" s="1818"/>
      <c r="EI205" s="1712"/>
      <c r="EJ205" s="1712"/>
      <c r="EK205" s="1836"/>
      <c r="EL205" s="1836"/>
      <c r="EM205" s="1807"/>
      <c r="EN205" s="1839"/>
      <c r="EO205" s="1839"/>
      <c r="EP205" s="1817"/>
      <c r="EQ205" s="1817"/>
      <c r="ER205" s="1807"/>
      <c r="ES205" s="1807"/>
      <c r="ET205" s="1807"/>
      <c r="EV205" s="1715"/>
      <c r="EX205" s="1805" t="str">
        <f>IFERROR(VLOOKUP(CS205,'Space Table'!$B$3:$L$163,8,FALSE),"")</f>
        <v/>
      </c>
      <c r="EY205" s="1805" t="str">
        <f>IFERROR(IF(FB205="Yes",VLOOKUP(AG205,Lookup_Control_Type_Table2,4,FALSE),VLOOKUP(AG205,Lookup_Control_Type_Table2,3,FALSE)),"")</f>
        <v/>
      </c>
      <c r="EZ205" s="1805" t="e">
        <f>VLOOKUP(AG205,Lookup!BB$3:BC$20,2,FALSE)</f>
        <v>#N/A</v>
      </c>
      <c r="FA205" s="1805" t="e">
        <f>VLOOKUP(EX203,Lookup_Control_Type_Table,2,FALSE)</f>
        <v>#N/A</v>
      </c>
      <c r="FB205" s="1805" t="e">
        <f>VLOOKUP(CS205,'Space Table'!$B$3:$L$163,7,FALSE)</f>
        <v>#N/A</v>
      </c>
      <c r="FC205" s="1827"/>
      <c r="FE205" s="1698" t="str">
        <f>CONCATENATE(CQ203," - ",AG205)</f>
        <v xml:space="preserve"> - </v>
      </c>
      <c r="FG205" s="1816"/>
      <c r="FH205" s="1816"/>
      <c r="FI205" s="133"/>
      <c r="FL205" s="1822" t="str">
        <f>IF(CQ203="Exterior","Not Daylighted",G206)</f>
        <v>Not Daylighted</v>
      </c>
      <c r="FM205" s="1824">
        <f>VLOOKUP(FL205,_New_Daylight_Table_Codes,2,FALSE)</f>
        <v>0</v>
      </c>
      <c r="FN205" s="1698">
        <f>AG205</f>
        <v>0</v>
      </c>
      <c r="FO205" s="1698" t="e">
        <f>VLOOKUP(FN205,_Control_Table,2,FALSE)</f>
        <v>#N/A</v>
      </c>
      <c r="FP205" s="1678" t="e">
        <f>VLOOKUP(CONCATENATE(FL205," ",FN205),Lookup!AY$102:AZ216,2,FALSE)</f>
        <v>#N/A</v>
      </c>
      <c r="FQ205" s="1698">
        <f>IF(__Retrofit_TI_NC=0,FN205,IF(AND(FT205&gt;0,FN205="Occupancy Sensor"),"Daylight + Occupancy",IF(AND(FT205&gt;0,FO205&lt;4),"Interior Daylight Dimming",FN205)))</f>
        <v>0</v>
      </c>
      <c r="FS205" s="1686">
        <f>IF(CQ203="Interior",VLOOKUP(CS203,Control_Savings_Interior,5,FALSE),0)</f>
        <v>0</v>
      </c>
      <c r="FT205" s="1687">
        <f>IF(CQ205="Exterior",0,IF(FM205=2,0.5,IF(OR(FM205=1,FM205=3),1,0)))</f>
        <v>0</v>
      </c>
      <c r="FU205" s="1685">
        <f>IF(R204&gt;FS$44,(FS205*(FS$44/R204)),FS205)*FT205</f>
        <v>0</v>
      </c>
      <c r="FV205" s="1686">
        <f>DI205</f>
        <v>0</v>
      </c>
      <c r="FW205" s="1686">
        <f>ROUND(FV205+((1-FV205)*FU205),2)</f>
        <v>0</v>
      </c>
      <c r="FX205" s="1686">
        <f>IF(__Retrofit_TI_NC=2,FW205,FV205)</f>
        <v>0</v>
      </c>
      <c r="FY205" s="1697">
        <f>IF(CR205="Interior",VLOOKUP(CS205,Control_Savings_Interior,4,FALSE),0)</f>
        <v>0</v>
      </c>
      <c r="GA205" s="1696"/>
      <c r="GB205" s="1696"/>
      <c r="GC205" s="1696"/>
      <c r="GD205" s="1696"/>
      <c r="GE205" s="1696"/>
      <c r="GF205" s="1696"/>
      <c r="GG205" s="1696"/>
      <c r="GH205" s="1696"/>
      <c r="GI205" s="673" t="b">
        <f>IF(ISNUMBER(SEARCH("TLED",U205)),TRUE,FALSE)</f>
        <v>0</v>
      </c>
      <c r="GJ205" s="1135" t="str">
        <f>IFERROR(VLOOKUP(U205,Fixtures!DM$93:DR$142,6,FALSE),"")</f>
        <v/>
      </c>
      <c r="GK205" s="1832"/>
      <c r="GM205" s="1692"/>
      <c r="GN205" s="1684"/>
      <c r="GP205" s="1684"/>
      <c r="GQ205" s="1684"/>
      <c r="HG205" s="1684"/>
      <c r="HH205" s="1684"/>
      <c r="HI205" s="1684"/>
      <c r="HJ205" s="1684"/>
      <c r="HK205" s="1684"/>
      <c r="HL205" s="1684"/>
      <c r="HM205" s="1684"/>
      <c r="HN205" s="1683"/>
      <c r="HO205" s="1692"/>
      <c r="HP205" s="1692"/>
      <c r="HQ205" s="1670"/>
      <c r="HR205" s="1684"/>
      <c r="HS205" s="1684"/>
      <c r="HT205" s="1670"/>
      <c r="HU205" s="1684"/>
      <c r="HV205" s="1684"/>
      <c r="HW205" s="1684"/>
      <c r="HX205" s="1684"/>
      <c r="HY205" s="1684"/>
      <c r="HZ205" s="1684"/>
      <c r="IB205" s="1692"/>
      <c r="IC205" s="1693" t="b">
        <f>IB203</f>
        <v>0</v>
      </c>
      <c r="ID205" s="1695"/>
      <c r="IE205" s="391"/>
      <c r="IF205" s="1688"/>
      <c r="IG205" s="1689">
        <f ca="1">IF(IF203=TRUE,AC206,0)</f>
        <v>0</v>
      </c>
      <c r="IH205" s="1684"/>
      <c r="IK205" s="1689" t="e">
        <f>ROUND(T205*AB206*N204*R204/1000,0)</f>
        <v>#VALUE!</v>
      </c>
      <c r="IL205" s="1691"/>
      <c r="IM205" s="1693" t="e">
        <f>ROUND(T205*AB206*N204*R204/1000,0)</f>
        <v>#VALUE!</v>
      </c>
      <c r="IN205" s="1691"/>
      <c r="IP205" s="1679"/>
      <c r="IQ205" s="1679" t="e">
        <f t="shared" ref="IQ205:IU205" si="167">IF($CR205="interior",VLOOKUP($CS205,_New_Control_Savings_Interior,IQ$30,FALSE),VLOOKUP($CS205,Control_Savings_Exterior,IQ$30,FALSE))</f>
        <v>#N/A</v>
      </c>
      <c r="IR205" s="1679" t="e">
        <f t="shared" si="167"/>
        <v>#N/A</v>
      </c>
      <c r="IS205" s="1679" t="e">
        <f t="shared" si="167"/>
        <v>#N/A</v>
      </c>
      <c r="IT205" s="1679" t="e">
        <f t="shared" si="167"/>
        <v>#N/A</v>
      </c>
      <c r="IU205" s="1679" t="e">
        <f t="shared" si="167"/>
        <v>#N/A</v>
      </c>
      <c r="IV205" s="1679" t="e">
        <f>IF($CR205="interior",IF(R204&gt;$IP$14,ROUND(($IV$18*($IP$14/R204)),2),$IV$18),VLOOKUP($CS205,Control_Savings_Exterior,IV$30,FALSE))</f>
        <v>#N/A</v>
      </c>
      <c r="IW205" s="1679" t="e">
        <f>IF($CR205="interior",ROUND(((1-IS205)*IV205)+IS205,2),VLOOKUP($CS205,Control_Savings_Exterior,IW$30,FALSE))</f>
        <v>#N/A</v>
      </c>
      <c r="IX205" s="1679" t="e">
        <f>IF($CR205="interior",ROUND(((1-IT205)*IV205)+IT205,2),VLOOKUP($CS205,Control_Savings_Exterior,IX$30,FALSE))</f>
        <v>#N/A</v>
      </c>
      <c r="IY205" s="1679" t="e">
        <f>IF($CR205="interior",IF(R204&gt;$IP$14,ROUND(($IY$18*($IP$14/R204)),2),$IY$18),VLOOKUP($CS205,Control_Savings_Exterior,IY$30,FALSE))</f>
        <v>#N/A</v>
      </c>
      <c r="IZ205" s="1679" t="e">
        <f>IF($CR205="interior",ROUND(((1-IS205)*IY205)+IS205,2),VLOOKUP($CS205,Control_Savings_Exterior,IZ$30,FALSE))</f>
        <v>#N/A</v>
      </c>
      <c r="JA205" s="1679" t="e">
        <f>IF($CR205="interior",ROUND(((1-IT205)*IY205)+IT205,2),VLOOKUP($CS205,Control_Savings_Exterior,JA$30,FALSE))</f>
        <v>#N/A</v>
      </c>
      <c r="JC205" s="1680">
        <f>IFERROR(IF(CR205="Interior",CONCATENATE(G206," ",FQ205),AG205),"")</f>
        <v>0</v>
      </c>
      <c r="JD205" s="1670" t="str">
        <f>IFERROR(VLOOKUP(JC205,_Controls_2023,2,FALSE),"")</f>
        <v/>
      </c>
      <c r="JE205" s="1681">
        <f>IFERROR(CHOOSE(JD205-1,IQ205,IR205,IS205,IT205,IU205,IV205,IW205,IX205,IY205,IZ205,JA205),0)</f>
        <v>0</v>
      </c>
      <c r="JG205" s="1680" t="str">
        <f>FE205</f>
        <v xml:space="preserve"> - </v>
      </c>
      <c r="JH205" s="1670" t="e">
        <f>$FO205</f>
        <v>#N/A</v>
      </c>
      <c r="JI205" s="1060"/>
      <c r="JJ205" s="1670">
        <f>IFERROR(IF($IB203=TRUE,IF(OR(JJ$14="No",JJ203=FALSE,JH205&lt;=JH203,AND(_kWh_Grant=0,GD203=FALSE)),0,IF(JJ$8="Per Line",1,$AF205)),0),0)</f>
        <v>0</v>
      </c>
      <c r="JK205" s="1061"/>
      <c r="JL205" s="1670">
        <f>IFERROR(IF(_kWh_Grant=0,0,IF($IB203=TRUE,IF(OR(JL$14="No",JL203=FALSE,JH205&lt;=JH203),0,IF(JL$8="Per Line",1,$T205)),0)),0)</f>
        <v>0</v>
      </c>
      <c r="JM205" s="1061"/>
      <c r="JN205" s="1670">
        <f>IFERROR(IF(_kWh_Grant=0,0,IF($IB203=TRUE,IF(OR(JN$14="No",JN203=FALSE,JH205&lt;=JH203),0,IF(JN$8="Per Line",1,$AF205)),0)),0)</f>
        <v>0</v>
      </c>
      <c r="JO205" s="1061"/>
      <c r="JP205" s="1670">
        <f>IFERROR(IF(__Retrofit_TI_NC=0,IF(_kWh_Grant=0,0,IF($IB203=TRUE,IF(OR(JP$14="No",JP203=FALSE,$JH205&lt;=$JH203),0,IF(JP$8="Per Line",1,$AF205)),0)),IF($IB203=TRUE,IF(OR(JP$14="No",JP203=FALSE,$JH205&lt;=$JH203),0,IF(JP$8="Per Line",1,$AF205)))),0)</f>
        <v>0</v>
      </c>
      <c r="JQ205" s="1061"/>
      <c r="JR205" s="1670">
        <f>IFERROR(IF(__Retrofit_TI_NC=0,IF(_kWh_Grant=0,0,IF($IB203=TRUE,IF(OR(JR$14="No",JR203=FALSE,$JH205&lt;=$JH203),0,IF(JR$8="Per Line",1,$AF205)),0)),IF($IB203=TRUE,IF(OR(JR$14="No",JR203=FALSE,$JH205&lt;=$JH203),0,IF(JR$8="Per Line",1,$AF205)))),0)</f>
        <v>0</v>
      </c>
      <c r="JS205" s="1061"/>
      <c r="JT205" s="1670">
        <f>IFERROR(IF(__Retrofit_TI_NC=0,IF(_kWh_Grant=0,0,IF($IB203=TRUE,IF(OR(JT$14="No",JT203=FALSE,$JH205&lt;=$JH203),0,IF(JT$8="Per Line",1,$AF205)),0)),IF($IB203=TRUE,IF(OR(JT$14="No",JT203=FALSE,$JH205&lt;=$JH203),0,IF(JT$8="Per Line",1,$AF205)))),0)</f>
        <v>0</v>
      </c>
      <c r="JU205" s="1061"/>
      <c r="JV205" s="1670">
        <f>IFERROR(IF(__Retrofit_TI_NC=0,IF(_kWh_Grant=0,0,IF($IB203=TRUE,IF(OR(JV$14="No",JV203=FALSE,$JH205&lt;=$JH203),0,IF(JV$8="Per Line",1,$AF205)),0)),IF($IB203=TRUE,IF(OR(JV$14="No",JV203=FALSE,$JH205&lt;=$JH203),0,IF(JV$8="Per Line",1,$AF205)))),0)</f>
        <v>0</v>
      </c>
      <c r="JX205" s="1670">
        <f>IFERROR(IF(__Retrofit_TI_NC=0,IF(_kWh_Grant=0,0,IF($IB203=TRUE,IF(OR(JX$14="No",JX203=FALSE,$JH205&lt;=$JH203),0,IF(JX$8="Per Line",1,$AF205)),0)),IF($IB203=TRUE,IF(OR(JX$14="No",JX203=FALSE,$JH205&lt;=$JH203),0,IF(JX$8="Per Line",1,$AF205)))),0)</f>
        <v>0</v>
      </c>
      <c r="JZ205" s="1670">
        <f>IFERROR(IF($IB203=TRUE,IF(OR(JZ$14="No",JZ203=FALSE,$JH205&lt;=$JH203,AND(_kWh_Grant=0,$GD203=FALSE)),0,IF(JZ$8="Per Line",1,$AF205)),0),0)</f>
        <v>0</v>
      </c>
      <c r="KB205" s="1670">
        <f>IFERROR(IF(__Retrofit_TI_NC=0,IF(_kWh_Grant=0,0,IF($IB203=TRUE,IF(OR(KB$14="No",KB203=FALSE,$JH205&lt;=$JH203),0,IF(KB$8="Per Line",1,$AF205)),0)),IF($IB203=TRUE,IF(OR(KB$14="No",KB203=FALSE,$JH205&lt;=$JH203),0,IF(KB$8="Per Line",1,$AF205)))),0)</f>
        <v>0</v>
      </c>
    </row>
    <row r="206" spans="1:288" s="78" customFormat="1" ht="14.95" customHeight="1" thickTop="1" thickBot="1">
      <c r="B206" s="1845"/>
      <c r="C206" s="1846"/>
      <c r="D206" s="1847"/>
      <c r="E206" s="1771" t="s">
        <v>436</v>
      </c>
      <c r="F206" s="1772"/>
      <c r="G206" s="1784" t="s">
        <v>437</v>
      </c>
      <c r="H206" s="1785"/>
      <c r="I206" s="1785"/>
      <c r="J206" s="1785"/>
      <c r="K206" s="1785"/>
      <c r="L206" s="1786"/>
      <c r="M206" s="591">
        <f>IFERROR(VLOOKUP(G206,_Daylight_Table[],2,FALSE),0)</f>
        <v>0</v>
      </c>
      <c r="N206" s="592" t="str">
        <f>IF(AND(__Retrofit_TI_NC&gt;0,CQ203="Interior"),"BAM","")</f>
        <v/>
      </c>
      <c r="O206" s="591" t="e">
        <f>VLOOKUP(G205,'Space Table'!$B$3:$L$163,11,FALSE)</f>
        <v>#N/A</v>
      </c>
      <c r="P206" s="1789"/>
      <c r="Q206" s="1790"/>
      <c r="R206" s="1790"/>
      <c r="S206" s="1788"/>
      <c r="T206" s="593" t="s">
        <v>342</v>
      </c>
      <c r="U206" s="1756" t="str" cm="1">
        <f t="array" aca="1" ref="U206" ca="1">IFERROR(VLOOKUP(INDIRECT("U" &amp; ROW()-1),Fixtures!DM$93:DP$142,4,FALSE),"")</f>
        <v/>
      </c>
      <c r="V206" s="1757"/>
      <c r="W206" s="1757"/>
      <c r="X206" s="1757"/>
      <c r="Y206" s="1757"/>
      <c r="Z206" s="1757"/>
      <c r="AA206" s="1758"/>
      <c r="AB206" s="939" t="str">
        <f>IFERROR(VLOOKUP(U205,Fixtures_Proposed_List,2,FALSE),"")</f>
        <v/>
      </c>
      <c r="AC206" s="933" t="str">
        <f>IFERROR(ROUND(T205*AB206*N204*R204/1000,0),"")</f>
        <v/>
      </c>
      <c r="AD206" s="934" t="str">
        <f>IFERROR(ROUND(T205*AB206/1000,2),"")</f>
        <v/>
      </c>
      <c r="AE206" s="998"/>
      <c r="AF206" s="938" t="s">
        <v>342</v>
      </c>
      <c r="AG206" s="1770"/>
      <c r="AH206" s="1770"/>
      <c r="AI206" s="1770"/>
      <c r="AJ206" s="1770"/>
      <c r="AK206" s="1770"/>
      <c r="AL206" s="1770"/>
      <c r="AM206" s="1727"/>
      <c r="AN206" s="1729"/>
      <c r="AO206" s="1731"/>
      <c r="AP206" s="1782"/>
      <c r="AQ206" s="1783"/>
      <c r="AR206" s="1797"/>
      <c r="AS206" s="1797"/>
      <c r="AT206" s="1798"/>
      <c r="AU206" s="1736"/>
      <c r="AV206" s="1753"/>
      <c r="AW206" s="1706"/>
      <c r="AX206" s="468"/>
      <c r="AY206" s="1750"/>
      <c r="AZ206" s="1750"/>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696"/>
      <c r="CQ206" s="1696"/>
      <c r="CR206" s="1809"/>
      <c r="CS206" s="1811"/>
      <c r="CU206" s="1688"/>
      <c r="CV206" s="1703"/>
      <c r="CW206" s="1703"/>
      <c r="CX206" s="1813"/>
      <c r="CY206" s="1815"/>
      <c r="CZ206" s="1711"/>
      <c r="DA206" s="1815"/>
      <c r="DB206" s="1821"/>
      <c r="DC206" s="1821"/>
      <c r="DD206" s="1821"/>
      <c r="DF206" s="1703"/>
      <c r="DG206" s="1831"/>
      <c r="DH206" s="1813"/>
      <c r="DI206" s="1838"/>
      <c r="DJ206" s="1711"/>
      <c r="DK206" s="1712"/>
      <c r="DN206" s="1718"/>
      <c r="DO206" s="1709"/>
      <c r="DQ206" s="1715"/>
      <c r="DR206" s="1720"/>
      <c r="DS206" s="1703"/>
      <c r="DT206" s="1714"/>
      <c r="DU206" s="1715"/>
      <c r="DV206" s="1716"/>
      <c r="DX206" s="1715"/>
      <c r="DY206" s="1720"/>
      <c r="DZ206" s="1715"/>
      <c r="EA206" s="1715"/>
      <c r="EC206" s="1834"/>
      <c r="ED206" s="1834"/>
      <c r="EF206" s="1707"/>
      <c r="EG206" s="1712"/>
      <c r="EH206" s="1815"/>
      <c r="EI206" s="1712"/>
      <c r="EJ206" s="1712"/>
      <c r="EK206" s="1813"/>
      <c r="EL206" s="1813"/>
      <c r="EM206" s="1807"/>
      <c r="EN206" s="1839"/>
      <c r="EO206" s="1839"/>
      <c r="EP206" s="1817"/>
      <c r="EQ206" s="1817"/>
      <c r="ER206" s="1807"/>
      <c r="ES206" s="1807"/>
      <c r="ET206" s="1807"/>
      <c r="EV206" s="1715"/>
      <c r="EX206" s="1806"/>
      <c r="EY206" s="1806"/>
      <c r="EZ206" s="1806"/>
      <c r="FA206" s="1806"/>
      <c r="FB206" s="1806"/>
      <c r="FC206" s="1828"/>
      <c r="FE206" s="1698"/>
      <c r="FG206" s="1703"/>
      <c r="FH206" s="1703"/>
      <c r="FI206" s="133"/>
      <c r="FL206" s="1823"/>
      <c r="FM206" s="1825"/>
      <c r="FN206" s="1698"/>
      <c r="FO206" s="1698"/>
      <c r="FP206" s="1678"/>
      <c r="FQ206" s="1698"/>
      <c r="FS206" s="1687"/>
      <c r="FT206" s="1687"/>
      <c r="FU206" s="1685"/>
      <c r="FV206" s="1687"/>
      <c r="FW206" s="1687"/>
      <c r="FX206" s="1687"/>
      <c r="FY206" s="1697"/>
      <c r="GA206" s="1696"/>
      <c r="GB206" s="1696"/>
      <c r="GC206" s="1696"/>
      <c r="GD206" s="1696"/>
      <c r="GE206" s="1696"/>
      <c r="GF206" s="1696"/>
      <c r="GG206" s="1696"/>
      <c r="GH206" s="1696"/>
      <c r="GI206" s="673"/>
      <c r="GJ206" s="1135"/>
      <c r="GK206" s="1832"/>
      <c r="GN206" s="674">
        <f>IF(GN204=TRUE,0,GN$16)</f>
        <v>0</v>
      </c>
      <c r="GP206" s="674">
        <f>IF(GP204=TRUE,0,GP$16)</f>
        <v>36</v>
      </c>
      <c r="GQ206" s="674">
        <f ca="1">IF(GQ204=TRUE,0,GQ$16)</f>
        <v>35</v>
      </c>
      <c r="GR206" s="391"/>
      <c r="GS206" s="391"/>
      <c r="GT206" s="391"/>
      <c r="GU206" s="391"/>
      <c r="GV206" s="391"/>
      <c r="HG206" s="674">
        <f>IF(HG204=TRUE,0,HG$16)</f>
        <v>0</v>
      </c>
      <c r="HH206" s="674">
        <f t="shared" ref="HH206:HM206" si="168">IF(HH204=TRUE,0,HH$16)</f>
        <v>19</v>
      </c>
      <c r="HI206" s="674">
        <f t="shared" si="168"/>
        <v>18</v>
      </c>
      <c r="HJ206" s="674">
        <f t="shared" si="168"/>
        <v>17</v>
      </c>
      <c r="HK206" s="674">
        <f t="shared" si="168"/>
        <v>16</v>
      </c>
      <c r="HL206" s="674">
        <f t="shared" si="168"/>
        <v>0</v>
      </c>
      <c r="HM206" s="674">
        <f t="shared" si="168"/>
        <v>0</v>
      </c>
      <c r="HN206" s="674">
        <f>IF(HN204=TRUE,0,HN$16)</f>
        <v>13</v>
      </c>
      <c r="HO206" s="674">
        <f t="shared" ref="HO206:HQ206" si="169">IF(HO204=TRUE,0,HO$16)</f>
        <v>0</v>
      </c>
      <c r="HP206" s="674">
        <f t="shared" si="169"/>
        <v>0</v>
      </c>
      <c r="HQ206" s="674">
        <f t="shared" si="169"/>
        <v>10</v>
      </c>
      <c r="HR206" s="674">
        <f>IF(HR204=TRUE,0,HR$16)</f>
        <v>9</v>
      </c>
      <c r="HS206" s="674">
        <f t="shared" ref="HS206:HW206" si="170">IF(HS204=TRUE,0,HS$16)</f>
        <v>0</v>
      </c>
      <c r="HT206" s="674">
        <f t="shared" si="170"/>
        <v>0</v>
      </c>
      <c r="HU206" s="674">
        <f t="shared" si="170"/>
        <v>0</v>
      </c>
      <c r="HV206" s="674">
        <f t="shared" si="170"/>
        <v>0</v>
      </c>
      <c r="HW206" s="674">
        <f t="shared" si="170"/>
        <v>0</v>
      </c>
      <c r="HX206" s="674">
        <f>IF(HX204=TRUE,0,HX$16)</f>
        <v>0</v>
      </c>
      <c r="HY206" s="674">
        <f>IF(HY204=TRUE,0,HY$16)</f>
        <v>0</v>
      </c>
      <c r="HZ206" s="674">
        <f>IF(HZ204=TRUE,0,HZ$16)</f>
        <v>1</v>
      </c>
      <c r="IB206" s="674">
        <f>IF(GP204=FALSE,GP206,IF(GQ204=FALSE,GQ206,MAX(GN206:HZ206)))</f>
        <v>36</v>
      </c>
      <c r="IC206" s="1692"/>
      <c r="ID206" s="205" t="str">
        <f>VLOOKUP(IB206,_Error_Table,3,FALSE)</f>
        <v xml:space="preserve"> </v>
      </c>
      <c r="IE206" s="205"/>
      <c r="IF206" s="1688"/>
      <c r="IG206" s="1689"/>
      <c r="IH206" s="1684"/>
      <c r="IK206" s="1689"/>
      <c r="IL206" s="1692"/>
      <c r="IM206" s="1692"/>
      <c r="IN206" s="1692"/>
      <c r="IP206" s="1679"/>
      <c r="IQ206" s="1679"/>
      <c r="IR206" s="1679"/>
      <c r="IS206" s="1679"/>
      <c r="IT206" s="1679"/>
      <c r="IU206" s="1679"/>
      <c r="IV206" s="1679"/>
      <c r="IW206" s="1679"/>
      <c r="IX206" s="1679"/>
      <c r="IY206" s="1679"/>
      <c r="IZ206" s="1679"/>
      <c r="JA206" s="1679"/>
      <c r="JC206" s="1680"/>
      <c r="JD206" s="1670"/>
      <c r="JE206" s="1681"/>
      <c r="JG206" s="1680"/>
      <c r="JH206" s="1670"/>
      <c r="JI206" s="1060"/>
      <c r="JJ206" s="1670"/>
      <c r="JK206" s="1061"/>
      <c r="JL206" s="1670"/>
      <c r="JM206" s="1061"/>
      <c r="JN206" s="1670"/>
      <c r="JO206" s="1061"/>
      <c r="JP206" s="1670"/>
      <c r="JQ206" s="1061"/>
      <c r="JR206" s="1670"/>
      <c r="JS206" s="1061"/>
      <c r="JT206" s="1670"/>
      <c r="JU206" s="1061"/>
      <c r="JV206" s="1670"/>
      <c r="JX206" s="1670"/>
      <c r="JZ206" s="1670"/>
      <c r="KB206" s="1670"/>
    </row>
    <row r="207" spans="1:288" s="78" customFormat="1" ht="5.0999999999999996" customHeight="1">
      <c r="B207" s="676"/>
      <c r="C207" s="392"/>
      <c r="D207" s="392"/>
      <c r="E207" s="1733"/>
      <c r="F207" s="1733"/>
      <c r="G207" s="1733"/>
      <c r="H207" s="1733"/>
      <c r="I207" s="1733"/>
      <c r="J207" s="1733"/>
      <c r="K207" s="1733"/>
      <c r="L207" s="1733"/>
      <c r="M207" s="1733"/>
      <c r="N207" s="1733"/>
      <c r="O207" s="1733"/>
      <c r="P207" s="1733"/>
      <c r="Q207" s="1733"/>
      <c r="R207" s="1733"/>
      <c r="S207" s="1733"/>
      <c r="T207" s="1733"/>
      <c r="U207" s="1733"/>
      <c r="V207" s="1733"/>
      <c r="W207" s="1733"/>
      <c r="X207" s="1733"/>
      <c r="Y207" s="1733"/>
      <c r="Z207" s="1733"/>
      <c r="AA207" s="1733"/>
      <c r="AB207" s="1733"/>
      <c r="AC207" s="1733"/>
      <c r="AD207" s="1733"/>
      <c r="AE207" s="1733"/>
      <c r="AF207" s="1733"/>
      <c r="AG207" s="1733"/>
      <c r="AH207" s="1733"/>
      <c r="AI207" s="1733"/>
      <c r="AJ207" s="1733"/>
      <c r="AK207" s="1733"/>
      <c r="AL207" s="1733"/>
      <c r="AM207" s="1733"/>
      <c r="AN207" s="1733"/>
      <c r="AO207" s="1733"/>
      <c r="AP207" s="1733"/>
      <c r="AQ207" s="1733"/>
      <c r="AR207" s="1733"/>
      <c r="AS207" s="1733"/>
      <c r="AT207" s="1733"/>
      <c r="AU207" s="1733"/>
      <c r="AV207" s="1733"/>
      <c r="AW207" s="1733"/>
      <c r="AX207" s="469"/>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663"/>
      <c r="CQ207" s="663"/>
      <c r="CR207" s="438"/>
      <c r="CS207" s="663"/>
      <c r="CV207" s="391"/>
      <c r="CW207" s="391"/>
      <c r="CX207" s="207"/>
      <c r="CY207" s="208"/>
      <c r="CZ207" s="208"/>
      <c r="DA207" s="208"/>
      <c r="DB207" s="209"/>
      <c r="DC207" s="209"/>
      <c r="DD207" s="209"/>
      <c r="DF207" s="664"/>
      <c r="DG207" s="665"/>
      <c r="DH207" s="666"/>
      <c r="DI207" s="667"/>
      <c r="DJ207" s="668"/>
      <c r="DK207" s="668"/>
      <c r="DN207" s="208"/>
      <c r="DO207" s="664"/>
      <c r="DQ207" s="664"/>
      <c r="DR207" s="669"/>
      <c r="DS207" s="391"/>
      <c r="DT207" s="664"/>
      <c r="DU207" s="664"/>
      <c r="DV207" s="664"/>
      <c r="DX207" s="664"/>
      <c r="DY207" s="664"/>
      <c r="DZ207" s="664"/>
      <c r="EA207" s="664"/>
      <c r="EC207" s="670"/>
      <c r="ED207" s="670"/>
      <c r="EF207" s="668"/>
      <c r="EG207" s="668"/>
      <c r="EH207" s="208"/>
      <c r="EI207" s="668"/>
      <c r="EJ207" s="668"/>
      <c r="EK207" s="207"/>
      <c r="EL207" s="207"/>
      <c r="EM207" s="666"/>
      <c r="EN207" s="671"/>
      <c r="EO207" s="671"/>
      <c r="EP207" s="672"/>
      <c r="EQ207" s="672"/>
      <c r="ER207" s="666"/>
      <c r="ES207" s="666"/>
      <c r="ET207" s="666"/>
      <c r="EV207" s="664"/>
      <c r="EX207" s="391"/>
      <c r="EY207" s="391"/>
      <c r="EZ207" s="391"/>
      <c r="FA207" s="391"/>
      <c r="FB207" s="391"/>
      <c r="FC207" s="391"/>
      <c r="FE207" s="569"/>
      <c r="FG207" s="391"/>
      <c r="FH207" s="391"/>
      <c r="FI207" s="391"/>
      <c r="FS207" s="664"/>
      <c r="FT207" s="391"/>
      <c r="FU207" s="391"/>
      <c r="FV207" s="664"/>
      <c r="FW207" s="664"/>
      <c r="GA207" s="663"/>
      <c r="GB207" s="663"/>
      <c r="GC207" s="663"/>
      <c r="GD207" s="663"/>
      <c r="GE207" s="663"/>
      <c r="GF207" s="663"/>
      <c r="GG207" s="663"/>
      <c r="GH207" s="663"/>
      <c r="GI207" s="665"/>
      <c r="GJ207" s="664"/>
      <c r="GK207" s="664"/>
    </row>
    <row r="208" spans="1:288" s="78" customFormat="1" ht="14.95" customHeight="1">
      <c r="B208" s="1845" t="str">
        <f>ID211</f>
        <v xml:space="preserve"> </v>
      </c>
      <c r="C208" s="1846">
        <f>C203+1</f>
        <v>32</v>
      </c>
      <c r="D208" s="1847"/>
      <c r="E208" s="1799" t="s">
        <v>295</v>
      </c>
      <c r="F208" s="1800"/>
      <c r="G208" s="1741"/>
      <c r="H208" s="1742"/>
      <c r="I208" s="1742"/>
      <c r="J208" s="1742"/>
      <c r="K208" s="1742"/>
      <c r="L208" s="1742"/>
      <c r="M208" s="1742"/>
      <c r="N208" s="1742"/>
      <c r="O208" s="1742"/>
      <c r="P208" s="1742"/>
      <c r="Q208" s="1742"/>
      <c r="R208" s="1742"/>
      <c r="S208" s="1791" t="s">
        <v>344</v>
      </c>
      <c r="T208" s="590"/>
      <c r="U208" s="1743"/>
      <c r="V208" s="1744"/>
      <c r="W208" s="1744"/>
      <c r="X208" s="1744"/>
      <c r="Y208" s="1744"/>
      <c r="Z208" s="1744"/>
      <c r="AA208" s="1744"/>
      <c r="AB208" s="961" t="str">
        <f>IFERROR(IF(__Retrofit_TI_NC=0,VLOOKUP(U209,Fixtures_Existing_List,2,FALSE),ROUND(N210*R210/T210,10)),"")</f>
        <v/>
      </c>
      <c r="AC208" s="935" t="str">
        <f>IFERROR(IF(__Retrofit_TI_NC=0,ROUND(T209*AB208*N209*R209/1000,0),IF(CQ208="Interior",N210*R210*R209*N209*_C406_reduction/1000,N210*R210*R209*N209/1000)),"")</f>
        <v/>
      </c>
      <c r="AD208" s="936" t="str">
        <f>IFERROR(IF(C$43=0,ROUND(T209*AB208/1000,2),N210*R210/1000),"")</f>
        <v/>
      </c>
      <c r="AE208" s="997"/>
      <c r="AF208" s="937"/>
      <c r="AG208" s="1745" t="str">
        <f>IF(__Retrofit_TI_NC=0," Control","Select Advanced Control for New System")</f>
        <v xml:space="preserve"> Control</v>
      </c>
      <c r="AH208" s="1745"/>
      <c r="AI208" s="1745"/>
      <c r="AJ208" s="1745"/>
      <c r="AK208" s="1745"/>
      <c r="AL208" s="1745"/>
      <c r="AM208" s="1746">
        <f>IFERROR(DI208,"")</f>
        <v>0</v>
      </c>
      <c r="AN208" s="1774" t="str">
        <f>IFERROR(ROUND(AM208*AC208,0),"")</f>
        <v/>
      </c>
      <c r="AO208" s="1776">
        <f>IFERROR(IF(IB208=FALSE,0,AC208-AN208),0)</f>
        <v>0</v>
      </c>
      <c r="AP208" s="1778">
        <f>AO208-AO210</f>
        <v>0</v>
      </c>
      <c r="AQ208" s="1779"/>
      <c r="AR208" s="1793">
        <f>IFERROR(IF(IB208=FALSE,0,(T210*U211)+(AF210*AG211)),0)</f>
        <v>0</v>
      </c>
      <c r="AS208" s="1793"/>
      <c r="AT208" s="1794"/>
      <c r="AU208" s="1734" t="s">
        <v>237</v>
      </c>
      <c r="AV208" s="1751">
        <f>IF(AU208="Yes",1,0)</f>
        <v>1</v>
      </c>
      <c r="AW208" s="1704" t="str">
        <f>IF(OR(DQ208=4,DQ208=5,DQ208=6,DQ208=12),CONCATENATE("$",IF(GH208=TRUE,Lookup!$K$10,Lookup!$K$2)," /lamp"),CONCATENATE(TEXT(ED208,"$0.00"),"/ kWh"))</f>
        <v>$0.00/ kWh</v>
      </c>
      <c r="AX208" s="467"/>
      <c r="AY208" s="1748">
        <f ca="1">IFERROR(IF(GM209=TRUE,(AB211*T210)/R210,0),"NA")</f>
        <v>0</v>
      </c>
      <c r="AZ208" s="1748"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696" t="str">
        <f>N209</f>
        <v/>
      </c>
      <c r="CQ208" s="1696" t="str">
        <f>IFERROR(VLOOKUP(G209,_Lookup_Heat_Type_Table_New,3,FALSE),"")</f>
        <v/>
      </c>
      <c r="CR208" s="1808" t="str">
        <f>CQ208</f>
        <v/>
      </c>
      <c r="CS208" s="1810" t="str">
        <f>IFERROR(VLOOKUP(G210,'Space Table'!$B$3:$L$163,9,FALSE),"")</f>
        <v/>
      </c>
      <c r="CU208" s="1688" t="s">
        <v>344</v>
      </c>
      <c r="CV208" s="1702">
        <f>IF(IB208=TRUE,T209,0)</f>
        <v>0</v>
      </c>
      <c r="CW208" s="1702" t="str">
        <f>IF(IB208=TRUE,U209,"")</f>
        <v/>
      </c>
      <c r="CX208" s="1702"/>
      <c r="CY208" s="1814">
        <f>IF(IB208=TRUE,AB208,0)</f>
        <v>0</v>
      </c>
      <c r="CZ208" s="1710">
        <f>IF(AND(__Retrofit_TI_NC&gt;0,CR208="interior"),0,IF(IB208=TRUE,AC208,0))</f>
        <v>0</v>
      </c>
      <c r="DA208" s="1814">
        <f>IFERROR(IF(IB208=TRUE,CZ208-CZ210,0),0)</f>
        <v>0</v>
      </c>
      <c r="DB208" s="1819">
        <f>IF(IB208=TRUE,AD208,0)</f>
        <v>0</v>
      </c>
      <c r="DC208" s="1819">
        <f>IF(IB208=TRUE,AD211,0)</f>
        <v>0</v>
      </c>
      <c r="DD208" s="1819">
        <f>IFERROR(DB208-DC208,0)</f>
        <v>0</v>
      </c>
      <c r="DF208" s="1702">
        <f>IF(IB208=TRUE,AF209,0)</f>
        <v>0</v>
      </c>
      <c r="DG208" s="1830">
        <f>IFERROR(IF(__Retrofit_TI_NC=2,IF(CQ208="Exterior",O211,FQ208),FN208),"")</f>
        <v>0</v>
      </c>
      <c r="DH208" s="1702"/>
      <c r="DI208" s="1837">
        <f>JE208</f>
        <v>0</v>
      </c>
      <c r="DJ208" s="1710">
        <f>IF(AND(__Retrofit_TI_NC&gt;0,CR208="interior"),0,IF(IB208=TRUE,AN208,0))</f>
        <v>0</v>
      </c>
      <c r="DK208" s="1712">
        <f>IFERROR(IF(IB208=TRUE,DJ210-DJ208,0),0)</f>
        <v>0</v>
      </c>
      <c r="DM208" s="1717">
        <f>IFERROR(CZ208-DJ208,0)</f>
        <v>0</v>
      </c>
      <c r="DO208" s="1708">
        <f>DM208-DN210</f>
        <v>0</v>
      </c>
      <c r="DQ208" s="1715" t="str">
        <f>IFERROR(IF(AND(OR(GC208=4,GC208=5,GC208=6),OR(GF208=4,GF208=5,GF208=6)),GC208+8,VLOOKUP(CW210,Fixtures!R$31:Y$78,8,FALSE)),"")</f>
        <v/>
      </c>
      <c r="DR208" s="1829" t="str">
        <f>DQ208</f>
        <v/>
      </c>
      <c r="DS208" s="1702" t="str">
        <f>IFERROR(VLOOKUP(DG210,Lookup!BB$3:BC$20,2,FALSE),"")</f>
        <v/>
      </c>
      <c r="DT208" s="1713" t="str">
        <f>IF(OR(DS208=7,DS208=8,DS208=9),"ALC","")</f>
        <v/>
      </c>
      <c r="DU208" s="1715">
        <f>IFERROR(IF(OR(DQ208=4,DQ208=5,DQ208=6,DQ208=12,DQ208=13,DQ208=14),VLOOKUP(CW210,Fixtures!DN$27:EG$77,19,FALSE),1)*CV210,0)</f>
        <v>0</v>
      </c>
      <c r="DV208" s="1716">
        <f>IF(OR(DS208=7,DS208=8,DS208=9),IF(DG208=DG210,0,DF210),0)</f>
        <v>0</v>
      </c>
      <c r="DX208" s="1715" t="str">
        <f>IFERROR(IF(EZ208&lt;EZ210,"Yes","No"),"")</f>
        <v/>
      </c>
      <c r="DY208" s="1829" t="str">
        <f>DX208</f>
        <v/>
      </c>
      <c r="DZ208" s="1715">
        <f>IF(DX208="Yes",DF210,0)</f>
        <v>0</v>
      </c>
      <c r="EA208" s="1715">
        <f>DZ208-DV208</f>
        <v>0</v>
      </c>
      <c r="EC208" s="1834">
        <f>IFERROR(VLOOKUP(DQ208,Lookup!AU$3:AV$16,2,FALSE),0)</f>
        <v>0</v>
      </c>
      <c r="ED208" s="1834">
        <f>IF(IB208=FALSE,0,IF(DX208="Yes",EC208+Lookup!K$6,EC208))</f>
        <v>0</v>
      </c>
      <c r="EF208" s="1707">
        <f>IF(IB208=TRUE,DM208,0)</f>
        <v>0</v>
      </c>
      <c r="EG208" s="1712">
        <f>IF(IB208=TRUE,CZ210,0)</f>
        <v>0</v>
      </c>
      <c r="EH208" s="1814">
        <f>IFERROR(EF208-EG208,0)</f>
        <v>0</v>
      </c>
      <c r="EI208" s="1712">
        <f>IF(IB208=TRUE,DJ210,0)</f>
        <v>0</v>
      </c>
      <c r="EJ208" s="1712">
        <f>IFERROR(EF208-EG208+EI208,0)</f>
        <v>0</v>
      </c>
      <c r="EK208" s="1812">
        <f>IF(IB208=TRUE,CV210*CX210,0)</f>
        <v>0</v>
      </c>
      <c r="EL208" s="1812">
        <f>IF(IB208=TRUE,DF210*DH210,0)</f>
        <v>0</v>
      </c>
      <c r="EM208" s="1807">
        <f>AR208</f>
        <v>0</v>
      </c>
      <c r="EN208" s="1839" t="str">
        <f>IFERROR(IF(IB208=TRUE,VLOOKUP(DQ208,Lookup!AU$3:AW$16,3,FALSE)*DU208,""),0)</f>
        <v/>
      </c>
      <c r="EO208" s="1839">
        <f>IF(IB208=TRUE,DZ208*Lookup!AW$12,0)</f>
        <v>0</v>
      </c>
      <c r="EP208" s="1817">
        <f>IFERROR(IF(IB208=TRUE,EN208/EP$40,0),0)</f>
        <v>0</v>
      </c>
      <c r="EQ208" s="1817">
        <f>IF(IB208=TRUE,EO208/EQ$40,0)</f>
        <v>0</v>
      </c>
      <c r="ER208" s="1807">
        <f>IF(IB208=TRUE,ET$40*EP208,0)</f>
        <v>0</v>
      </c>
      <c r="ES208" s="1807">
        <f>IF(IB208=TRUE,ET$40*EQ208,0)</f>
        <v>0</v>
      </c>
      <c r="ET208" s="1807">
        <f>ER208+ES208</f>
        <v>0</v>
      </c>
      <c r="EV208" s="1715">
        <f>IF(G208="",0,1)</f>
        <v>0</v>
      </c>
      <c r="EX208" s="1804" t="str">
        <f>IFERROR(VLOOKUP(CS210,'Space Table'!$B$3:$L$163,8,FALSE),"")</f>
        <v/>
      </c>
      <c r="EY208" s="1804" t="str">
        <f>IFERROR(IF(FB208="Yes",VLOOKUP(DG208,Lookup_Control_Type_Table2,4,FALSE),VLOOKUP(DG208,Lookup_Control_Type_Table2,3,FALSE)),"")</f>
        <v/>
      </c>
      <c r="EZ208" s="1804" t="e">
        <f>VLOOKUP(DG208,Lookup!BB$3:BC$20,2,FALSE)</f>
        <v>#N/A</v>
      </c>
      <c r="FA208" s="1804" t="e">
        <f>VLOOKUP(EX208,Lookup_Control_Type_Table,2,FALSE)</f>
        <v>#N/A</v>
      </c>
      <c r="FB208" s="1804" t="e">
        <f>VLOOKUP(CS210,'Space Table'!$B$3:$L$163,7,FALSE)</f>
        <v>#N/A</v>
      </c>
      <c r="FC208" s="1826" t="b">
        <f>ISNUMBER(SEARCH("TLED",U210))</f>
        <v>0</v>
      </c>
      <c r="FE208" s="1698" t="str">
        <f>CONCATENATE(CQ208," - ",DG208)</f>
        <v xml:space="preserve"> - 0</v>
      </c>
      <c r="FG208" s="1702" t="str">
        <f>VLOOKUP(CW210,Fixtures!DN$27:EZ$77,38,FALSE)</f>
        <v/>
      </c>
      <c r="FH208" s="1702">
        <f>IFERROR(FG208*EH208,0)</f>
        <v>0</v>
      </c>
      <c r="FI208" s="133"/>
      <c r="FL208" s="1822" t="str">
        <f>IF(CQ208="Exterior","Not Daylighted",G211)</f>
        <v>Not Daylighted</v>
      </c>
      <c r="FM208" s="1824">
        <f>VLOOKUP(FL208,_New_Daylight_Table_Codes,2,FALSE)</f>
        <v>0</v>
      </c>
      <c r="FN208" s="1698">
        <f>IF(__Retrofit_TI_NC&gt;0,VLOOKUP(G210,'Space Table'!$B$3:$L$163,11,FALSE),AG209)</f>
        <v>0</v>
      </c>
      <c r="FO208" s="1698" t="e">
        <f>IF(__Retrofit_TI_NC=2,VLOOKUP(FQ208,_Control_Table,2,FALSE),VLOOKUP(FN208,_Control_Table,2,FALSE))</f>
        <v>#N/A</v>
      </c>
      <c r="FP208" s="1678" t="e">
        <f>VLOOKUP(CONCATENATE(FL208," ",FN208),Lookup!AY$102:AZ218,2,FALSE)</f>
        <v>#N/A</v>
      </c>
      <c r="FQ208" s="1678">
        <f>IF(__Retrofit_TI_NC=0,FN208,IF(AND(FT208&gt;0,FN208="Occupancy Sensor"),"Daylight + Occupancy",IF(AND(FT208&gt;0,VLOOKUP(FN208,_Control_Table,2,FALSE)&lt;4),"Interior Daylight Dimming",FN208)))</f>
        <v>0</v>
      </c>
      <c r="FS208" s="1686">
        <f>IF(CR208="Interior",VLOOKUP(CS208,Control_Savings_Interior,5,FALSE),0)</f>
        <v>0</v>
      </c>
      <c r="FT208" s="1687">
        <f>IF(CQ208="Exterior",0,IF(FM208=2,0.5,IF(OR(FM208=1,FM208=3),1,0)))</f>
        <v>0</v>
      </c>
      <c r="FU208" s="1685">
        <f>IF(R207&gt;FS$44,(FS208*(FS$44/R207)),FS208)*FT208</f>
        <v>0</v>
      </c>
      <c r="FV208" s="1686">
        <f>DI208</f>
        <v>0</v>
      </c>
      <c r="FW208" s="1686">
        <f>ROUND(FV208+((1-FV208)*FU208),2)</f>
        <v>0</v>
      </c>
      <c r="FX208" s="1686">
        <f>IF(__Retrofit_TI_NC=2,FW208,FV208)</f>
        <v>0</v>
      </c>
      <c r="FY208" s="1697"/>
      <c r="GA208" s="1696" t="str">
        <f>IFERROR(VLOOKUP(U209,_Exist_Fixture_Table,3,FALSE),"")</f>
        <v/>
      </c>
      <c r="GB208" s="1696" t="str">
        <f>VLOOKUP(CW208,_Exist_Fixture_Table,4,FALSE)</f>
        <v/>
      </c>
      <c r="GC208" s="1696">
        <f>IFERROR(VLOOKUP(GB208,Lookup!AT$6:AU$8,2,FALSE),0)</f>
        <v>0</v>
      </c>
      <c r="GD208" s="1696" t="b">
        <f>IFERROR(IF(OR(GF208=4,GF208=5,GF208=6),TRUE,FALSE),"")</f>
        <v>0</v>
      </c>
      <c r="GE208" s="1696" t="str">
        <f>IFERROR(VLOOKUP(GF208,GC$6:GD$10,2,FALSE),"")</f>
        <v/>
      </c>
      <c r="GF208" s="1696" t="str">
        <f>VLOOKUP(CW210,Fixtures!R$31:Y$78,8,FALSE)</f>
        <v/>
      </c>
      <c r="GG208" s="1696">
        <f>IF(AND(GA208=TRUE,GD208=TRUE,OR(DQ208=12,DQ208=13,DQ208=14)),GC208+8,0)</f>
        <v>0</v>
      </c>
      <c r="GH208" s="1696" t="b">
        <f>IF(OR(GG208=12,GG208=13,GG208=14),TRUE,FALSE)</f>
        <v>0</v>
      </c>
      <c r="GI208" s="673" t="b">
        <f>IF(ISNUMBER(SEARCH("TLED",U209)),TRUE,FALSE)</f>
        <v>0</v>
      </c>
      <c r="GJ208" s="1135" t="str">
        <f>IFERROR(VLOOKUP(U209,Fixtures!BM$93:BR$142,6,FALSE),"")</f>
        <v/>
      </c>
      <c r="GK208" s="1832" t="b">
        <f>IF(OR(GI208=FALSE,GI210=FALSE),TRUE,IF(GJ208-GJ210&lt;5,FALSE,TRUE))</f>
        <v>1</v>
      </c>
      <c r="GO208" s="674">
        <f>GP208</f>
        <v>0</v>
      </c>
      <c r="GP208" s="674">
        <f>IF(G208="",0,1)</f>
        <v>0</v>
      </c>
      <c r="GQ208" s="674">
        <f ca="1">SUM(GR208:HF208)</f>
        <v>2</v>
      </c>
      <c r="GR208" s="674">
        <f>IF(G209="",0,1)</f>
        <v>0</v>
      </c>
      <c r="GS208" s="674">
        <f>IF(N211="BAM",1,IF(G210="",0,1))</f>
        <v>0</v>
      </c>
      <c r="GT208" s="674">
        <f>IF(N211="BAM",1,IF(R209="",0,1))</f>
        <v>0</v>
      </c>
      <c r="GU208" s="674">
        <f>IF(N211="BAM",1,IF(__Retrofit_TI_NC=0,1,IF(R210="",0,1)))</f>
        <v>1</v>
      </c>
      <c r="GV208" s="674">
        <f>IF(N211="BAM",1,IF(CQ208="Exterior",1,IF(G211="",0,1)))</f>
        <v>1</v>
      </c>
      <c r="GW208" s="674">
        <f>IF(__Retrofit_TI_NC&gt;0,1,IF(T209="",0,1))</f>
        <v>0</v>
      </c>
      <c r="GX208" s="674">
        <f>IF(__Retrofit_TI_NC&gt;0,1,IF(U209="",0,1))</f>
        <v>0</v>
      </c>
      <c r="GY208" s="674">
        <f>IF(N211="BAM",1,IF(T210="",0,1))</f>
        <v>0</v>
      </c>
      <c r="GZ208" s="674">
        <f>IF(N211="BAM",1,IF(U210="",0,1))</f>
        <v>0</v>
      </c>
      <c r="HA208" s="674">
        <f ca="1">IF(N211="BAM",1,IF(__Retrofit_TI_NC&gt;0,1,IF(U211="",0,1)))</f>
        <v>0</v>
      </c>
      <c r="HB208" s="674">
        <f>IF(__Retrofit_TI_NC&lt;&gt;0,1,IF(AF209="",0,1))</f>
        <v>0</v>
      </c>
      <c r="HC208" s="674">
        <f>IF(__Retrofit_TI_NC&lt;&gt;0,1,IF(AG209="",0,1))</f>
        <v>0</v>
      </c>
      <c r="HD208" s="674">
        <f>IF(N211="BAM",1,IF(AF210="",0,1))</f>
        <v>0</v>
      </c>
      <c r="HE208" s="674">
        <f>IF(N211="BAM",1,IF(AG210="",0,1))</f>
        <v>0</v>
      </c>
      <c r="HF208" s="674">
        <f>IF(N211="BAM",1,IF(__Retrofit_TI_NC&gt;0,1,IF(AG211="",0,1)))</f>
        <v>0</v>
      </c>
      <c r="HG208" s="391"/>
      <c r="IA208" s="391"/>
      <c r="IB208" s="1693" t="b">
        <f>IF(OR(IB211=0,IB211=HY$16,IB211=HX$16,IB211=HZ$16),TRUE,FALSE)</f>
        <v>0</v>
      </c>
      <c r="IC208" s="1694" t="b">
        <f>IB208</f>
        <v>0</v>
      </c>
      <c r="ID208" s="391"/>
      <c r="IE208" s="391"/>
      <c r="IF208" s="1688" t="b">
        <f ca="1">IF(MAX(GN211:HU211)&gt;5,FALSE,TRUE)</f>
        <v>0</v>
      </c>
      <c r="IG208" s="1689">
        <f ca="1">IF(IF208=TRUE,AC208,0)</f>
        <v>0</v>
      </c>
      <c r="IH208" s="1689">
        <f ca="1">IG208-IG210</f>
        <v>0</v>
      </c>
      <c r="IK208" s="1689" t="e">
        <f>ROUND(T209*VLOOKUP(U209,Fixtures_Existing_List,2,FALSE)*N209*R209/1000,0)</f>
        <v>#N/A</v>
      </c>
      <c r="IL208" s="1690" t="e">
        <f>IK208-IK210</f>
        <v>#N/A</v>
      </c>
      <c r="IM208" s="1693" t="e">
        <f>ROUND(IF(CQ208="Interior",N210*R210*R209*N209*_C406_reduction/1000,N210*R210*R209*N209/1000),0)</f>
        <v>#N/A</v>
      </c>
      <c r="IN208" s="1693" t="e">
        <f>IM208-IM210</f>
        <v>#N/A</v>
      </c>
      <c r="IP208" s="1679"/>
      <c r="IQ208" s="1679" t="e">
        <f t="shared" ref="IQ208:IU208" si="171">IF($CR208="interior",VLOOKUP($CS208,_New_Control_Savings_Interior,IQ$30,FALSE),VLOOKUP($CS208,Control_Savings_Exterior,IQ$30,FALSE))</f>
        <v>#N/A</v>
      </c>
      <c r="IR208" s="1679" t="e">
        <f t="shared" si="171"/>
        <v>#N/A</v>
      </c>
      <c r="IS208" s="1679" t="e">
        <f t="shared" si="171"/>
        <v>#N/A</v>
      </c>
      <c r="IT208" s="1679" t="e">
        <f t="shared" si="171"/>
        <v>#N/A</v>
      </c>
      <c r="IU208" s="1679" t="e">
        <f t="shared" si="171"/>
        <v>#N/A</v>
      </c>
      <c r="IV208" s="1679" t="e">
        <f>IF($CR208="interior",IF(R209&gt;$IP$14,ROUND(($IV$18*($IP$14/R209)),2),$IV$18),VLOOKUP($CS208,Control_Savings_Exterior,IV$30,FALSE))</f>
        <v>#N/A</v>
      </c>
      <c r="IW208" s="1679" t="e">
        <f>IF($CR208="interior",ROUND(((1-IS208)*IV208)+IS208,2),VLOOKUP($CS208,Control_Savings_Exterior,IW$30,FALSE))</f>
        <v>#N/A</v>
      </c>
      <c r="IX208" s="1679" t="e">
        <f>IF($CR208="interior",ROUND(((1-IT208)*IV208)+IT208,2),VLOOKUP($CS208,Control_Savings_Exterior,IX$30,FALSE))</f>
        <v>#N/A</v>
      </c>
      <c r="IY208" s="1679" t="e">
        <f>IF($CR208="interior",IF(R209&gt;$IP$14,ROUND(($IY$18*($IP$14/R209)),2),$IY$18),VLOOKUP($CS208,Control_Savings_Exterior,IY$30,FALSE))</f>
        <v>#N/A</v>
      </c>
      <c r="IZ208" s="1679" t="e">
        <f>IF($CR208="interior",ROUND(((1-IS208)*IY208)+IS208,2),VLOOKUP($CS208,Control_Savings_Exterior,IZ$30,FALSE))</f>
        <v>#N/A</v>
      </c>
      <c r="JA208" s="1679" t="e">
        <f>IF($CR208="interior",ROUND(((1-IT208)*IY208)+IT208,2),VLOOKUP($CS208,Control_Savings_Exterior,JA$30,FALSE))</f>
        <v>#N/A</v>
      </c>
      <c r="JC208" s="1680">
        <f>IFERROR(IF(CR208="Interior",CONCATENATE(G211," ",FQ208),FQ208),"")</f>
        <v>0</v>
      </c>
      <c r="JD208" s="1670" t="str">
        <f>IFERROR(VLOOKUP(JC208,_Controls_2023,2,FALSE),"")</f>
        <v/>
      </c>
      <c r="JE208" s="1681">
        <f>IFERROR(CHOOSE(JD208-1,IQ208,IR208,IS208,IT208,IU208,IV208,IW208,IX208,IY208,IZ208,JA208),0)</f>
        <v>0</v>
      </c>
      <c r="JG208" s="1680" t="str">
        <f>FE208</f>
        <v xml:space="preserve"> - 0</v>
      </c>
      <c r="JH208" s="1670" t="e">
        <f>$FO208</f>
        <v>#N/A</v>
      </c>
      <c r="JI208" s="1060"/>
      <c r="JJ208" s="1682" t="b">
        <f>IF($JG210=CONCATENATE("Interior - ",JJ$4),TRUE,FALSE)</f>
        <v>0</v>
      </c>
      <c r="JK208" s="1061"/>
      <c r="JL208" s="1682" t="b">
        <f>IF($JG210=CONCATENATE("Interior - ",JL$4),TRUE,FALSE)</f>
        <v>0</v>
      </c>
      <c r="JM208" s="1061"/>
      <c r="JN208" s="1682" t="b">
        <f>IF($JG210=CONCATENATE("Interior - ",JN$4),TRUE,FALSE)</f>
        <v>0</v>
      </c>
      <c r="JO208" s="1061"/>
      <c r="JP208" s="1682" t="b">
        <f>IF(__Retrofit_TI_NC&gt;0,FALSE,IF($JG210=CONCATENATE("Interior - ",JP$4),TRUE,FALSE))</f>
        <v>0</v>
      </c>
      <c r="JQ208" s="1061"/>
      <c r="JR208" s="1682" t="b">
        <f>IF(__Retrofit_TI_NC&gt;0,FALSE,IF($JG210=CONCATENATE("Interior - ",JR$4),TRUE,FALSE))</f>
        <v>0</v>
      </c>
      <c r="JS208" s="1061"/>
      <c r="JT208" s="1670" t="b">
        <f>IF(__Retrofit_TI_NC&gt;0,FALSE,IF($JG210=CONCATENATE("Interior - ",JT$4),TRUE,FALSE))</f>
        <v>0</v>
      </c>
      <c r="JU208" s="1061"/>
      <c r="JV208" s="1670" t="b">
        <f>IF(JC210="AELC on Existing",TRUE,FALSE)</f>
        <v>0</v>
      </c>
      <c r="JX208" s="1670" t="b">
        <f>IF(OR(JG210="Exterior - AELC Occupancy based",JG210="Exterior - AELC Time based"),TRUE,FALSE)</f>
        <v>0</v>
      </c>
      <c r="JZ208" s="1682" t="b">
        <f>IF($JG210=CONCATENATE("Exterior - ",JZ$4),TRUE,FALSE)</f>
        <v>0</v>
      </c>
      <c r="KB208" s="1670" t="b">
        <f>IF(__Retrofit_TI_NC&gt;0,FALSE,IF($JG210=CONCATENATE("Interior - ",KB$4),TRUE,FALSE))</f>
        <v>0</v>
      </c>
    </row>
    <row r="209" spans="1:288" s="78" customFormat="1" ht="14.95" customHeight="1" thickTop="1" thickBot="1">
      <c r="B209" s="1845"/>
      <c r="C209" s="1846"/>
      <c r="D209" s="1847"/>
      <c r="E209" s="1737" t="s">
        <v>297</v>
      </c>
      <c r="F209" s="1738"/>
      <c r="G209" s="1739"/>
      <c r="H209" s="1739"/>
      <c r="I209" s="1739"/>
      <c r="J209" s="1739"/>
      <c r="K209" s="1739"/>
      <c r="L209" s="1739"/>
      <c r="M209" s="461" t="e">
        <f>IF(__Retrofit_TI_NC&lt;&gt;0,IF(VLOOKUP(G210,'Space Table'!$B$3:$L$163,3,FALSE)&gt;0,1,0),IF(__Retrofit_TI_NC=VLOOKUP(G210,'Space Table'!$B$3:$L$163,3,FALSE),1,0))</f>
        <v>#N/A</v>
      </c>
      <c r="N209" s="461" t="str">
        <f>IFERROR(VLOOKUP(G209,_Lookup_Heat_Type_Table_New,2,FALSE),"")</f>
        <v/>
      </c>
      <c r="O209" s="461">
        <f>IF(__Retrofit_TI_NC=1,CONCATENATE("TI ",G209),IF(__Retrofit_TI_NC=2,CONCATENATE("NC ",G209),G209))</f>
        <v>0</v>
      </c>
      <c r="P209" s="1740" t="s">
        <v>435</v>
      </c>
      <c r="Q209" s="1740"/>
      <c r="R209" s="595"/>
      <c r="S209" s="1792"/>
      <c r="T209" s="597"/>
      <c r="U209" s="1765"/>
      <c r="V209" s="1766"/>
      <c r="W209" s="1766"/>
      <c r="X209" s="1766"/>
      <c r="Y209" s="1766"/>
      <c r="Z209" s="1766"/>
      <c r="AA209" s="1766"/>
      <c r="AB209" s="1766"/>
      <c r="AC209" s="1766"/>
      <c r="AD209" s="1767"/>
      <c r="AE209" s="1000"/>
      <c r="AF209" s="597"/>
      <c r="AG209" s="1723"/>
      <c r="AH209" s="1724"/>
      <c r="AI209" s="1724"/>
      <c r="AJ209" s="1724"/>
      <c r="AK209" s="1725"/>
      <c r="AL209" s="996"/>
      <c r="AM209" s="1747"/>
      <c r="AN209" s="1775"/>
      <c r="AO209" s="1777"/>
      <c r="AP209" s="1780"/>
      <c r="AQ209" s="1781"/>
      <c r="AR209" s="1795"/>
      <c r="AS209" s="1795"/>
      <c r="AT209" s="1796"/>
      <c r="AU209" s="1735"/>
      <c r="AV209" s="1752"/>
      <c r="AW209" s="1705"/>
      <c r="AX209" s="467"/>
      <c r="AY209" s="1749"/>
      <c r="AZ209" s="1749"/>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696"/>
      <c r="CQ209" s="1696"/>
      <c r="CR209" s="1809"/>
      <c r="CS209" s="1811"/>
      <c r="CU209" s="1688"/>
      <c r="CV209" s="1703"/>
      <c r="CW209" s="1703"/>
      <c r="CX209" s="1703"/>
      <c r="CY209" s="1815"/>
      <c r="CZ209" s="1711"/>
      <c r="DA209" s="1818"/>
      <c r="DB209" s="1820"/>
      <c r="DC209" s="1820"/>
      <c r="DD209" s="1820"/>
      <c r="DF209" s="1703"/>
      <c r="DG209" s="1831"/>
      <c r="DH209" s="1703"/>
      <c r="DI209" s="1838"/>
      <c r="DJ209" s="1711"/>
      <c r="DK209" s="1712"/>
      <c r="DM209" s="1718"/>
      <c r="DO209" s="1708"/>
      <c r="DQ209" s="1715"/>
      <c r="DR209" s="1720"/>
      <c r="DS209" s="1816"/>
      <c r="DT209" s="1714"/>
      <c r="DU209" s="1715"/>
      <c r="DV209" s="1716"/>
      <c r="DX209" s="1715"/>
      <c r="DY209" s="1720"/>
      <c r="DZ209" s="1715"/>
      <c r="EA209" s="1715"/>
      <c r="EC209" s="1834"/>
      <c r="ED209" s="1834"/>
      <c r="EF209" s="1707"/>
      <c r="EG209" s="1712"/>
      <c r="EH209" s="1818"/>
      <c r="EI209" s="1712"/>
      <c r="EJ209" s="1712"/>
      <c r="EK209" s="1836"/>
      <c r="EL209" s="1836"/>
      <c r="EM209" s="1807"/>
      <c r="EN209" s="1839"/>
      <c r="EO209" s="1839"/>
      <c r="EP209" s="1817"/>
      <c r="EQ209" s="1817"/>
      <c r="ER209" s="1807"/>
      <c r="ES209" s="1807"/>
      <c r="ET209" s="1807"/>
      <c r="EV209" s="1715"/>
      <c r="EX209" s="1805"/>
      <c r="EY209" s="1805"/>
      <c r="EZ209" s="1805"/>
      <c r="FA209" s="1805"/>
      <c r="FB209" s="1805"/>
      <c r="FC209" s="1827"/>
      <c r="FE209" s="1698"/>
      <c r="FG209" s="1816"/>
      <c r="FH209" s="1816"/>
      <c r="FI209" s="133"/>
      <c r="FL209" s="1823"/>
      <c r="FM209" s="1825"/>
      <c r="FN209" s="1698"/>
      <c r="FO209" s="1698"/>
      <c r="FP209" s="1678"/>
      <c r="FQ209" s="1678"/>
      <c r="FS209" s="1687"/>
      <c r="FT209" s="1687"/>
      <c r="FU209" s="1685"/>
      <c r="FV209" s="1687"/>
      <c r="FW209" s="1687"/>
      <c r="FX209" s="1687"/>
      <c r="FY209" s="1697"/>
      <c r="GA209" s="1696"/>
      <c r="GB209" s="1696"/>
      <c r="GC209" s="1696"/>
      <c r="GD209" s="1696"/>
      <c r="GE209" s="1696"/>
      <c r="GF209" s="1696"/>
      <c r="GG209" s="1696"/>
      <c r="GH209" s="1696"/>
      <c r="GI209" s="673"/>
      <c r="GJ209" s="1135"/>
      <c r="GK209" s="1832"/>
      <c r="GM209" s="1693" t="b">
        <f ca="1">IF(AND(GP209=TRUE,GQ209=TRUE),TRUE,FALSE)</f>
        <v>0</v>
      </c>
      <c r="GN209" s="1684" t="b">
        <f>IFERROR(IF(__Retrofit_TI_NC=2,TRUE,IF(AU208="Yes",TRUE,FALSE)),FALSE)</f>
        <v>1</v>
      </c>
      <c r="GP209" s="1684" t="b">
        <f>IFERROR(IF(GP208=1,TRUE,FALSE),FALSE)</f>
        <v>0</v>
      </c>
      <c r="GQ209" s="1684" t="b">
        <f ca="1">IFERROR(IF(GQ208=GQ$14,TRUE,FALSE),FALSE)</f>
        <v>0</v>
      </c>
      <c r="HG209" s="1684" t="b">
        <f>IFERROR(IF(AND(__Retrofit_TI_NC&gt;0,CQ208="Interior"),FALSE,TRUE),FALSE)</f>
        <v>1</v>
      </c>
      <c r="HH209" s="1684" t="b">
        <f>IFERROR(IF(M209=1,TRUE,FALSE),FALSE)</f>
        <v>0</v>
      </c>
      <c r="HI209" s="1684" t="b">
        <f>IFERROR(IF(OR(M210=1,N211="BAM"),TRUE,FALSE),FALSE)</f>
        <v>0</v>
      </c>
      <c r="HJ209" s="1684" t="b">
        <f>IFERROR(IF(__Retrofit_TI_NC&lt;&gt;0,TRUE,IFERROR(IF(VLOOKUP(U209,Fixtures_Existing_List,2,FALSE)&lt;&gt;"",TRUE,FALSE),FALSE)),FALSE)</f>
        <v>0</v>
      </c>
      <c r="HK209" s="1684" t="b">
        <f>IFERROR(IF(VLOOKUP(U210,Fixtures_Proposed_List,2,FALSE)&lt;&gt;"",TRUE,FALSE),FALSE)</f>
        <v>0</v>
      </c>
      <c r="HL209" s="1684" t="b">
        <f>IF(AND(__Retrofit_TI_NC=2,FC208=TRUE),FALSE,TRUE)</f>
        <v>1</v>
      </c>
      <c r="HM209" s="1684" t="b">
        <f>GK208</f>
        <v>1</v>
      </c>
      <c r="HN209" s="1682" t="b">
        <f>IF(ISERROR(MATCH(FE208,_Control_Match[],0))=TRUE,FALSE,TRUE)</f>
        <v>0</v>
      </c>
      <c r="HO209" s="1693" t="b">
        <f>IFERROR(IF(EX208&lt;&gt;EY208,FALSE,TRUE),FALSE)</f>
        <v>1</v>
      </c>
      <c r="HP209" s="1693" t="b">
        <f>IFERROR(IF(EX210&lt;&gt;EY210,FALSE,TRUE),FALSE)</f>
        <v>1</v>
      </c>
      <c r="HQ209" s="1670" t="b">
        <f>IFERROR(IF(CQ208="Exterior",TRUE,IF(AND(OR(FM210=0,FM210=3),JD210&gt;6),FALSE,TRUE)),FALSE)</f>
        <v>0</v>
      </c>
      <c r="HR209" s="1684" t="b">
        <f>IFERROR(IF(AND(FO210=7,FC208=TRUE),FALSE,TRUE),FALSE)</f>
        <v>0</v>
      </c>
      <c r="HS209" s="1684" t="b">
        <f>IFERROR(IF(AND(T210&lt;&gt;AF210,OR(AG210="Interior LLLC", AG210="Interior NLC", AG210="LLLC (outside Daylight)",AG210="LLLC Controls Only"))=TRUE,FALSE,TRUE),FALSE)</f>
        <v>1</v>
      </c>
      <c r="HT209" s="1670" t="b">
        <f>IFERROR(IF(OR(AG210=Lookup!BB$17,AG210=Lookup!BB$18,AG210=Lookup!BB$19)=TRUE,IF(AF210&gt;T210,FALSE,TRUE),TRUE),FALSE)</f>
        <v>1</v>
      </c>
      <c r="HU209" s="1684" t="b">
        <f>IFERROR(IF(__Retrofit_TI_NC=2,IF(EZ210&lt;EZ208,FALSE,TRUE),TRUE),FALSE)</f>
        <v>1</v>
      </c>
      <c r="HV209" s="1684" t="b">
        <f>IF(CQ208="Interior",IL$6,TRUE)</f>
        <v>1</v>
      </c>
      <c r="HW209" s="1684" t="b">
        <f>IF(CQ208="Exterior",IL$8,TRUE)</f>
        <v>1</v>
      </c>
      <c r="HX209" s="1684" t="b">
        <f>IFERROR(IF(__Retrofit_TI_NC&lt;&gt;0,IF(AZ208&lt;AY208,FALSE,TRUE),TRUE),FALSE)</f>
        <v>1</v>
      </c>
      <c r="HY209" s="1684" t="b">
        <f>IFERROR(IF(AND(G209="Exterior",R209&gt;4200),FALSE,TRUE),FALSE)</f>
        <v>1</v>
      </c>
      <c r="HZ209" s="1684" t="b">
        <f>IFERROR(IF(AB211/AB208&lt;HZ$18,FALSE,TRUE),FALSE)</f>
        <v>0</v>
      </c>
      <c r="IB209" s="1691"/>
      <c r="IC209" s="1695"/>
      <c r="ID209" s="1694" t="str">
        <f>VLOOKUP(IB211,_Error_Table,4,FALSE)</f>
        <v>White</v>
      </c>
      <c r="IE209" s="391"/>
      <c r="IF209" s="1688"/>
      <c r="IG209" s="1689"/>
      <c r="IH209" s="1684"/>
      <c r="IK209" s="1689"/>
      <c r="IL209" s="1691"/>
      <c r="IM209" s="1691"/>
      <c r="IN209" s="1691"/>
      <c r="IP209" s="1679"/>
      <c r="IQ209" s="1679"/>
      <c r="IR209" s="1679"/>
      <c r="IS209" s="1679"/>
      <c r="IT209" s="1679"/>
      <c r="IU209" s="1679"/>
      <c r="IV209" s="1679"/>
      <c r="IW209" s="1679"/>
      <c r="IX209" s="1679"/>
      <c r="IY209" s="1679"/>
      <c r="IZ209" s="1679"/>
      <c r="JA209" s="1679"/>
      <c r="JC209" s="1680"/>
      <c r="JD209" s="1670"/>
      <c r="JE209" s="1681"/>
      <c r="JG209" s="1680"/>
      <c r="JH209" s="1670"/>
      <c r="JI209" s="1060"/>
      <c r="JJ209" s="1683"/>
      <c r="JK209" s="1061"/>
      <c r="JL209" s="1683"/>
      <c r="JM209" s="1061"/>
      <c r="JN209" s="1683"/>
      <c r="JO209" s="1061"/>
      <c r="JP209" s="1683"/>
      <c r="JQ209" s="1061"/>
      <c r="JR209" s="1683"/>
      <c r="JS209" s="1061"/>
      <c r="JT209" s="1670"/>
      <c r="JU209" s="1061"/>
      <c r="JV209" s="1670"/>
      <c r="JX209" s="1670"/>
      <c r="JZ209" s="1683"/>
      <c r="KB209" s="1670"/>
    </row>
    <row r="210" spans="1:288" s="78" customFormat="1" ht="14.95" customHeight="1" thickTop="1" thickBot="1">
      <c r="A210" s="78">
        <f>ROW()</f>
        <v>210</v>
      </c>
      <c r="B210" s="1845"/>
      <c r="C210" s="1846"/>
      <c r="D210" s="1847"/>
      <c r="E210" s="1737" t="s">
        <v>298</v>
      </c>
      <c r="F210" s="1738"/>
      <c r="G210" s="1760"/>
      <c r="H210" s="1761"/>
      <c r="I210" s="1761"/>
      <c r="J210" s="1761"/>
      <c r="K210" s="1761"/>
      <c r="L210" s="1762"/>
      <c r="M210" s="461">
        <f>IFERROR(IF(IF(__Retrofit_TI_NC&lt;&gt;0,IF(CQ208="Interior",MATCH(G210,Lookup_Interior_New,0),MATCH(G210,Lookup_Exterior_New,0)),IF(CQ208="Interior",MATCH(G210,Lookup_Interior,0),MATCH(G210,Lookup_Exterior_Areas,0)))&gt;0,1,0),0)</f>
        <v>0</v>
      </c>
      <c r="N210" s="461" t="e">
        <f>IF(__Retrofit_TI_NC=1,
VLOOKUP(G210,'Space Table'!$B$3:$L$163,4,FALSE),
IF(__Retrofit_TI_NC=2,VLOOKUP(G210,'Space Table'!$B$3:$L$163,5,FALSE),VLOOKUP(G210,'Space Table'!$B$3:$L$163,5,FALSE)))</f>
        <v>#N/A</v>
      </c>
      <c r="O210" s="461">
        <f>G210</f>
        <v>0</v>
      </c>
      <c r="P210" s="1738" t="str">
        <f>IFERROR(IF(__Retrofit_TI_NC=1,VLOOKUP(G210,'Space Table'!$B$3:$O$163,13,FALSE),IF(__Retrofit_TI_NC=2,VLOOKUP(G210,'Space Table'!$B$3:$O$163,14,FALSE),"Area (sf):")),"Area (sf):")</f>
        <v>Area (sf):</v>
      </c>
      <c r="Q210" s="1738"/>
      <c r="R210" s="596"/>
      <c r="S210" s="1763" t="s">
        <v>345</v>
      </c>
      <c r="T210" s="594"/>
      <c r="U210" s="1801"/>
      <c r="V210" s="1802"/>
      <c r="W210" s="1802"/>
      <c r="X210" s="1802"/>
      <c r="Y210" s="1802"/>
      <c r="Z210" s="1802"/>
      <c r="AA210" s="1802"/>
      <c r="AB210" s="1802"/>
      <c r="AC210" s="1802"/>
      <c r="AD210" s="1802"/>
      <c r="AE210" s="1803"/>
      <c r="AF210" s="594"/>
      <c r="AG210" s="1787"/>
      <c r="AH210" s="1787"/>
      <c r="AI210" s="1787"/>
      <c r="AJ210" s="1787"/>
      <c r="AK210" s="1787"/>
      <c r="AL210" s="1787"/>
      <c r="AM210" s="1726">
        <f>IFERROR(DI210,"")</f>
        <v>0</v>
      </c>
      <c r="AN210" s="1728" t="str">
        <f>IFERROR(ROUND(AM210*AC211,0),"")</f>
        <v/>
      </c>
      <c r="AO210" s="1730">
        <f>IFERROR(IF(IB208=FALSE,0,AC211-AN210),0)</f>
        <v>0</v>
      </c>
      <c r="AP210" s="1780"/>
      <c r="AQ210" s="1781"/>
      <c r="AR210" s="1795"/>
      <c r="AS210" s="1795"/>
      <c r="AT210" s="1796"/>
      <c r="AU210" s="1735"/>
      <c r="AV210" s="1752"/>
      <c r="AW210" s="1705"/>
      <c r="AX210" s="467"/>
      <c r="AY210" s="1749"/>
      <c r="AZ210" s="1749"/>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696"/>
      <c r="CQ210" s="1696"/>
      <c r="CR210" s="1808" t="str">
        <f>CQ208</f>
        <v/>
      </c>
      <c r="CS210" s="1810" t="str">
        <f>CS208</f>
        <v/>
      </c>
      <c r="CU210" s="1688" t="s">
        <v>345</v>
      </c>
      <c r="CV210" s="1702">
        <f>IF(IB208=TRUE,T210,0)</f>
        <v>0</v>
      </c>
      <c r="CW210" s="1702" t="str">
        <f>IF(IB208=TRUE,U210,"")</f>
        <v/>
      </c>
      <c r="CX210" s="1812">
        <f>IF(IB208=TRUE,U211,0)</f>
        <v>0</v>
      </c>
      <c r="CY210" s="1814">
        <f>IF(IB208=TRUE,AB211,0)</f>
        <v>0</v>
      </c>
      <c r="CZ210" s="1710">
        <f>IF(AND(__Retrofit_TI_NC&gt;0,CR208="interior"),0,IF(IB208=TRUE,AC211,0))</f>
        <v>0</v>
      </c>
      <c r="DA210" s="1818"/>
      <c r="DB210" s="1820"/>
      <c r="DC210" s="1820"/>
      <c r="DD210" s="1820"/>
      <c r="DF210" s="1702">
        <f>IF(IB208=TRUE,AF210,0)</f>
        <v>0</v>
      </c>
      <c r="DG210" s="1830" t="str">
        <f>IF(IB208=TRUE,AG210,"")</f>
        <v/>
      </c>
      <c r="DH210" s="1812">
        <f>AG211</f>
        <v>0</v>
      </c>
      <c r="DI210" s="1837">
        <f>JE210</f>
        <v>0</v>
      </c>
      <c r="DJ210" s="1710">
        <f>IF(AND(__Retrofit_TI_NC&gt;0,CR208="interior"),0,IF(IB208=TRUE,AN210,0))</f>
        <v>0</v>
      </c>
      <c r="DK210" s="1712"/>
      <c r="DN210" s="1717">
        <f>IFERROR(CZ210-DJ210,0)</f>
        <v>0</v>
      </c>
      <c r="DO210" s="1709"/>
      <c r="DQ210" s="1715"/>
      <c r="DR210" s="1719" t="str">
        <f>DQ208</f>
        <v/>
      </c>
      <c r="DS210" s="1816"/>
      <c r="DT210" s="1835" t="str">
        <f>IF(OR(DS208=7,DS208=8,DS208=9),"ALC","")</f>
        <v/>
      </c>
      <c r="DU210" s="1715"/>
      <c r="DV210" s="1716"/>
      <c r="DX210" s="1715"/>
      <c r="DY210" s="1829" t="str">
        <f>DX208</f>
        <v/>
      </c>
      <c r="DZ210" s="1715"/>
      <c r="EA210" s="1715"/>
      <c r="EC210" s="1834"/>
      <c r="ED210" s="1834"/>
      <c r="EF210" s="1707"/>
      <c r="EG210" s="1712"/>
      <c r="EH210" s="1818"/>
      <c r="EI210" s="1712"/>
      <c r="EJ210" s="1712"/>
      <c r="EK210" s="1836"/>
      <c r="EL210" s="1836"/>
      <c r="EM210" s="1807"/>
      <c r="EN210" s="1839"/>
      <c r="EO210" s="1839"/>
      <c r="EP210" s="1817"/>
      <c r="EQ210" s="1817"/>
      <c r="ER210" s="1807"/>
      <c r="ES210" s="1807"/>
      <c r="ET210" s="1807"/>
      <c r="EV210" s="1715"/>
      <c r="EX210" s="1805" t="str">
        <f>IFERROR(VLOOKUP(CS210,'Space Table'!$B$3:$L$163,8,FALSE),"")</f>
        <v/>
      </c>
      <c r="EY210" s="1805" t="str">
        <f>IFERROR(IF(FB210="Yes",VLOOKUP(AG210,Lookup_Control_Type_Table2,4,FALSE),VLOOKUP(AG210,Lookup_Control_Type_Table2,3,FALSE)),"")</f>
        <v/>
      </c>
      <c r="EZ210" s="1805" t="e">
        <f>VLOOKUP(AG210,Lookup!BB$3:BC$20,2,FALSE)</f>
        <v>#N/A</v>
      </c>
      <c r="FA210" s="1805" t="e">
        <f>VLOOKUP(EX208,Lookup_Control_Type_Table,2,FALSE)</f>
        <v>#N/A</v>
      </c>
      <c r="FB210" s="1805" t="e">
        <f>VLOOKUP(CS210,'Space Table'!$B$3:$L$163,7,FALSE)</f>
        <v>#N/A</v>
      </c>
      <c r="FC210" s="1827"/>
      <c r="FE210" s="1698" t="str">
        <f>CONCATENATE(CQ208," - ",AG210)</f>
        <v xml:space="preserve"> - </v>
      </c>
      <c r="FG210" s="1816"/>
      <c r="FH210" s="1816"/>
      <c r="FI210" s="133"/>
      <c r="FL210" s="1822" t="str">
        <f>IF(CQ208="Exterior","Not Daylighted",G211)</f>
        <v>Not Daylighted</v>
      </c>
      <c r="FM210" s="1824">
        <f>VLOOKUP(FL210,_New_Daylight_Table_Codes,2,FALSE)</f>
        <v>0</v>
      </c>
      <c r="FN210" s="1698">
        <f>AG210</f>
        <v>0</v>
      </c>
      <c r="FO210" s="1698" t="e">
        <f>VLOOKUP(FN210,_Control_Table,2,FALSE)</f>
        <v>#N/A</v>
      </c>
      <c r="FP210" s="1678" t="e">
        <f>VLOOKUP(CONCATENATE(FL210," ",FN210),Lookup!AY$102:AZ221,2,FALSE)</f>
        <v>#N/A</v>
      </c>
      <c r="FQ210" s="1698">
        <f>IF(__Retrofit_TI_NC=0,FN210,IF(AND(FT210&gt;0,FN210="Occupancy Sensor"),"Daylight + Occupancy",IF(AND(FT210&gt;0,FO210&lt;4),"Interior Daylight Dimming",FN210)))</f>
        <v>0</v>
      </c>
      <c r="FS210" s="1686">
        <f>IF(CQ208="Interior",VLOOKUP(CS208,Control_Savings_Interior,5,FALSE),0)</f>
        <v>0</v>
      </c>
      <c r="FT210" s="1687">
        <f>IF(CQ210="Exterior",0,IF(FM210=2,0.5,IF(OR(FM210=1,FM210=3),1,0)))</f>
        <v>0</v>
      </c>
      <c r="FU210" s="1685">
        <f>IF(R209&gt;FS$44,(FS210*(FS$44/R209)),FS210)*FT210</f>
        <v>0</v>
      </c>
      <c r="FV210" s="1686">
        <f>DI210</f>
        <v>0</v>
      </c>
      <c r="FW210" s="1686">
        <f>ROUND(FV210+((1-FV210)*FU210),2)</f>
        <v>0</v>
      </c>
      <c r="FX210" s="1686">
        <f>IF(__Retrofit_TI_NC=2,FW210,FV210)</f>
        <v>0</v>
      </c>
      <c r="FY210" s="1697">
        <f>IF(CR210="Interior",VLOOKUP(CS210,Control_Savings_Interior,4,FALSE),0)</f>
        <v>0</v>
      </c>
      <c r="GA210" s="1696"/>
      <c r="GB210" s="1696"/>
      <c r="GC210" s="1696"/>
      <c r="GD210" s="1696"/>
      <c r="GE210" s="1696"/>
      <c r="GF210" s="1696"/>
      <c r="GG210" s="1696"/>
      <c r="GH210" s="1696"/>
      <c r="GI210" s="673" t="b">
        <f>IF(ISNUMBER(SEARCH("TLED",U210)),TRUE,FALSE)</f>
        <v>0</v>
      </c>
      <c r="GJ210" s="1135" t="str">
        <f>IFERROR(VLOOKUP(U210,Fixtures!DM$93:DR$142,6,FALSE),"")</f>
        <v/>
      </c>
      <c r="GK210" s="1832"/>
      <c r="GM210" s="1692"/>
      <c r="GN210" s="1684"/>
      <c r="GP210" s="1684"/>
      <c r="GQ210" s="1684"/>
      <c r="HG210" s="1684"/>
      <c r="HH210" s="1684"/>
      <c r="HI210" s="1684"/>
      <c r="HJ210" s="1684"/>
      <c r="HK210" s="1684"/>
      <c r="HL210" s="1684"/>
      <c r="HM210" s="1684"/>
      <c r="HN210" s="1683"/>
      <c r="HO210" s="1692"/>
      <c r="HP210" s="1692"/>
      <c r="HQ210" s="1670"/>
      <c r="HR210" s="1684"/>
      <c r="HS210" s="1684"/>
      <c r="HT210" s="1670"/>
      <c r="HU210" s="1684"/>
      <c r="HV210" s="1684"/>
      <c r="HW210" s="1684"/>
      <c r="HX210" s="1684"/>
      <c r="HY210" s="1684"/>
      <c r="HZ210" s="1684"/>
      <c r="IB210" s="1692"/>
      <c r="IC210" s="1693" t="b">
        <f>IB208</f>
        <v>0</v>
      </c>
      <c r="ID210" s="1695"/>
      <c r="IE210" s="391"/>
      <c r="IF210" s="1688"/>
      <c r="IG210" s="1689">
        <f ca="1">IF(IF208=TRUE,AC211,0)</f>
        <v>0</v>
      </c>
      <c r="IH210" s="1684"/>
      <c r="IK210" s="1689" t="e">
        <f>ROUND(T210*AB211*N209*R209/1000,0)</f>
        <v>#VALUE!</v>
      </c>
      <c r="IL210" s="1691"/>
      <c r="IM210" s="1693" t="e">
        <f>ROUND(T210*AB211*N209*R209/1000,0)</f>
        <v>#VALUE!</v>
      </c>
      <c r="IN210" s="1691"/>
      <c r="IP210" s="1679"/>
      <c r="IQ210" s="1679" t="e">
        <f t="shared" ref="IQ210:IU210" si="172">IF($CR210="interior",VLOOKUP($CS210,_New_Control_Savings_Interior,IQ$30,FALSE),VLOOKUP($CS210,Control_Savings_Exterior,IQ$30,FALSE))</f>
        <v>#N/A</v>
      </c>
      <c r="IR210" s="1679" t="e">
        <f t="shared" si="172"/>
        <v>#N/A</v>
      </c>
      <c r="IS210" s="1679" t="e">
        <f t="shared" si="172"/>
        <v>#N/A</v>
      </c>
      <c r="IT210" s="1679" t="e">
        <f t="shared" si="172"/>
        <v>#N/A</v>
      </c>
      <c r="IU210" s="1679" t="e">
        <f t="shared" si="172"/>
        <v>#N/A</v>
      </c>
      <c r="IV210" s="1679" t="e">
        <f>IF($CR210="interior",IF(R209&gt;$IP$14,ROUND(($IV$18*($IP$14/R209)),2),$IV$18),VLOOKUP($CS210,Control_Savings_Exterior,IV$30,FALSE))</f>
        <v>#N/A</v>
      </c>
      <c r="IW210" s="1679" t="e">
        <f>IF($CR210="interior",ROUND(((1-IS210)*IV210)+IS210,2),VLOOKUP($CS210,Control_Savings_Exterior,IW$30,FALSE))</f>
        <v>#N/A</v>
      </c>
      <c r="IX210" s="1679" t="e">
        <f>IF($CR210="interior",ROUND(((1-IT210)*IV210)+IT210,2),VLOOKUP($CS210,Control_Savings_Exterior,IX$30,FALSE))</f>
        <v>#N/A</v>
      </c>
      <c r="IY210" s="1679" t="e">
        <f>IF($CR210="interior",IF(R209&gt;$IP$14,ROUND(($IY$18*($IP$14/R209)),2),$IY$18),VLOOKUP($CS210,Control_Savings_Exterior,IY$30,FALSE))</f>
        <v>#N/A</v>
      </c>
      <c r="IZ210" s="1679" t="e">
        <f>IF($CR210="interior",ROUND(((1-IS210)*IY210)+IS210,2),VLOOKUP($CS210,Control_Savings_Exterior,IZ$30,FALSE))</f>
        <v>#N/A</v>
      </c>
      <c r="JA210" s="1679" t="e">
        <f>IF($CR210="interior",ROUND(((1-IT210)*IY210)+IT210,2),VLOOKUP($CS210,Control_Savings_Exterior,JA$30,FALSE))</f>
        <v>#N/A</v>
      </c>
      <c r="JC210" s="1680">
        <f>IFERROR(IF(CR210="Interior",CONCATENATE(G211," ",FQ210),AG210),"")</f>
        <v>0</v>
      </c>
      <c r="JD210" s="1670" t="str">
        <f>IFERROR(VLOOKUP(JC210,_Controls_2023,2,FALSE),"")</f>
        <v/>
      </c>
      <c r="JE210" s="1681">
        <f>IFERROR(CHOOSE(JD210-1,IQ210,IR210,IS210,IT210,IU210,IV210,IW210,IX210,IY210,IZ210,JA210),0)</f>
        <v>0</v>
      </c>
      <c r="JG210" s="1680" t="str">
        <f>FE210</f>
        <v xml:space="preserve"> - </v>
      </c>
      <c r="JH210" s="1670" t="e">
        <f>$FO210</f>
        <v>#N/A</v>
      </c>
      <c r="JI210" s="1060"/>
      <c r="JJ210" s="1670">
        <f>IFERROR(IF($IB208=TRUE,IF(OR(JJ$14="No",JJ208=FALSE,JH210&lt;=JH208,AND(_kWh_Grant=0,GD208=FALSE)),0,IF(JJ$8="Per Line",1,$AF210)),0),0)</f>
        <v>0</v>
      </c>
      <c r="JK210" s="1061"/>
      <c r="JL210" s="1670">
        <f>IFERROR(IF(_kWh_Grant=0,0,IF($IB208=TRUE,IF(OR(JL$14="No",JL208=FALSE,JH210&lt;=JH208),0,IF(JL$8="Per Line",1,$T210)),0)),0)</f>
        <v>0</v>
      </c>
      <c r="JM210" s="1061"/>
      <c r="JN210" s="1670">
        <f>IFERROR(IF(_kWh_Grant=0,0,IF($IB208=TRUE,IF(OR(JN$14="No",JN208=FALSE,JH210&lt;=JH208),0,IF(JN$8="Per Line",1,$AF210)),0)),0)</f>
        <v>0</v>
      </c>
      <c r="JO210" s="1061"/>
      <c r="JP210" s="1670">
        <f>IFERROR(IF(__Retrofit_TI_NC=0,IF(_kWh_Grant=0,0,IF($IB208=TRUE,IF(OR(JP$14="No",JP208=FALSE,$JH210&lt;=$JH208),0,IF(JP$8="Per Line",1,$AF210)),0)),IF($IB208=TRUE,IF(OR(JP$14="No",JP208=FALSE,$JH210&lt;=$JH208),0,IF(JP$8="Per Line",1,$AF210)))),0)</f>
        <v>0</v>
      </c>
      <c r="JQ210" s="1061"/>
      <c r="JR210" s="1670">
        <f>IFERROR(IF(__Retrofit_TI_NC=0,IF(_kWh_Grant=0,0,IF($IB208=TRUE,IF(OR(JR$14="No",JR208=FALSE,$JH210&lt;=$JH208),0,IF(JR$8="Per Line",1,$AF210)),0)),IF($IB208=TRUE,IF(OR(JR$14="No",JR208=FALSE,$JH210&lt;=$JH208),0,IF(JR$8="Per Line",1,$AF210)))),0)</f>
        <v>0</v>
      </c>
      <c r="JS210" s="1061"/>
      <c r="JT210" s="1670">
        <f>IFERROR(IF(__Retrofit_TI_NC=0,IF(_kWh_Grant=0,0,IF($IB208=TRUE,IF(OR(JT$14="No",JT208=FALSE,$JH210&lt;=$JH208),0,IF(JT$8="Per Line",1,$AF210)),0)),IF($IB208=TRUE,IF(OR(JT$14="No",JT208=FALSE,$JH210&lt;=$JH208),0,IF(JT$8="Per Line",1,$AF210)))),0)</f>
        <v>0</v>
      </c>
      <c r="JU210" s="1061"/>
      <c r="JV210" s="1670">
        <f>IFERROR(IF(__Retrofit_TI_NC=0,IF(_kWh_Grant=0,0,IF($IB208=TRUE,IF(OR(JV$14="No",JV208=FALSE,$JH210&lt;=$JH208),0,IF(JV$8="Per Line",1,$AF210)),0)),IF($IB208=TRUE,IF(OR(JV$14="No",JV208=FALSE,$JH210&lt;=$JH208),0,IF(JV$8="Per Line",1,$AF210)))),0)</f>
        <v>0</v>
      </c>
      <c r="JX210" s="1670">
        <f>IFERROR(IF(__Retrofit_TI_NC=0,IF(_kWh_Grant=0,0,IF($IB208=TRUE,IF(OR(JX$14="No",JX208=FALSE,$JH210&lt;=$JH208),0,IF(JX$8="Per Line",1,$AF210)),0)),IF($IB208=TRUE,IF(OR(JX$14="No",JX208=FALSE,$JH210&lt;=$JH208),0,IF(JX$8="Per Line",1,$AF210)))),0)</f>
        <v>0</v>
      </c>
      <c r="JZ210" s="1670">
        <f>IFERROR(IF($IB208=TRUE,IF(OR(JZ$14="No",JZ208=FALSE,$JH210&lt;=$JH208,AND(_kWh_Grant=0,$GD208=FALSE)),0,IF(JZ$8="Per Line",1,$AF210)),0),0)</f>
        <v>0</v>
      </c>
      <c r="KB210" s="1670">
        <f>IFERROR(IF(__Retrofit_TI_NC=0,IF(_kWh_Grant=0,0,IF($IB208=TRUE,IF(OR(KB$14="No",KB208=FALSE,$JH210&lt;=$JH208),0,IF(KB$8="Per Line",1,$AF210)),0)),IF($IB208=TRUE,IF(OR(KB$14="No",KB208=FALSE,$JH210&lt;=$JH208),0,IF(KB$8="Per Line",1,$AF210)))),0)</f>
        <v>0</v>
      </c>
    </row>
    <row r="211" spans="1:288" s="78" customFormat="1" ht="14.95" customHeight="1" thickTop="1" thickBot="1">
      <c r="B211" s="1845"/>
      <c r="C211" s="1846"/>
      <c r="D211" s="1847"/>
      <c r="E211" s="1771" t="s">
        <v>436</v>
      </c>
      <c r="F211" s="1772"/>
      <c r="G211" s="1784" t="s">
        <v>437</v>
      </c>
      <c r="H211" s="1785"/>
      <c r="I211" s="1785"/>
      <c r="J211" s="1785"/>
      <c r="K211" s="1785"/>
      <c r="L211" s="1786"/>
      <c r="M211" s="591">
        <f>IFERROR(VLOOKUP(G211,_Daylight_Table[],2,FALSE),0)</f>
        <v>0</v>
      </c>
      <c r="N211" s="592" t="str">
        <f>IF(AND(__Retrofit_TI_NC&gt;0,CQ208="Interior"),"BAM","")</f>
        <v/>
      </c>
      <c r="O211" s="591" t="e">
        <f>VLOOKUP(G210,'Space Table'!$B$3:$L$163,11,FALSE)</f>
        <v>#N/A</v>
      </c>
      <c r="P211" s="1789"/>
      <c r="Q211" s="1790"/>
      <c r="R211" s="1790"/>
      <c r="S211" s="1788"/>
      <c r="T211" s="593" t="s">
        <v>342</v>
      </c>
      <c r="U211" s="1756" t="str" cm="1">
        <f t="array" aca="1" ref="U211" ca="1">IFERROR(VLOOKUP(INDIRECT("U" &amp; ROW()-1),Fixtures!DM$93:DP$142,4,FALSE),"")</f>
        <v/>
      </c>
      <c r="V211" s="1757"/>
      <c r="W211" s="1757"/>
      <c r="X211" s="1757"/>
      <c r="Y211" s="1757"/>
      <c r="Z211" s="1757"/>
      <c r="AA211" s="1758"/>
      <c r="AB211" s="939" t="str">
        <f>IFERROR(VLOOKUP(U210,Fixtures_Proposed_List,2,FALSE),"")</f>
        <v/>
      </c>
      <c r="AC211" s="933" t="str">
        <f>IFERROR(ROUND(T210*AB211*N209*R209/1000,0),"")</f>
        <v/>
      </c>
      <c r="AD211" s="934" t="str">
        <f>IFERROR(ROUND(T210*AB211/1000,2),"")</f>
        <v/>
      </c>
      <c r="AE211" s="998"/>
      <c r="AF211" s="938" t="s">
        <v>342</v>
      </c>
      <c r="AG211" s="1770"/>
      <c r="AH211" s="1770"/>
      <c r="AI211" s="1770"/>
      <c r="AJ211" s="1770"/>
      <c r="AK211" s="1770"/>
      <c r="AL211" s="1770"/>
      <c r="AM211" s="1727"/>
      <c r="AN211" s="1729"/>
      <c r="AO211" s="1731"/>
      <c r="AP211" s="1782"/>
      <c r="AQ211" s="1783"/>
      <c r="AR211" s="1797"/>
      <c r="AS211" s="1797"/>
      <c r="AT211" s="1798"/>
      <c r="AU211" s="1736"/>
      <c r="AV211" s="1753"/>
      <c r="AW211" s="1706"/>
      <c r="AX211" s="468"/>
      <c r="AY211" s="1750"/>
      <c r="AZ211" s="1750"/>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696"/>
      <c r="CQ211" s="1696"/>
      <c r="CR211" s="1809"/>
      <c r="CS211" s="1811"/>
      <c r="CU211" s="1688"/>
      <c r="CV211" s="1703"/>
      <c r="CW211" s="1703"/>
      <c r="CX211" s="1813"/>
      <c r="CY211" s="1815"/>
      <c r="CZ211" s="1711"/>
      <c r="DA211" s="1815"/>
      <c r="DB211" s="1821"/>
      <c r="DC211" s="1821"/>
      <c r="DD211" s="1821"/>
      <c r="DF211" s="1703"/>
      <c r="DG211" s="1831"/>
      <c r="DH211" s="1813"/>
      <c r="DI211" s="1838"/>
      <c r="DJ211" s="1711"/>
      <c r="DK211" s="1712"/>
      <c r="DN211" s="1718"/>
      <c r="DO211" s="1709"/>
      <c r="DQ211" s="1715"/>
      <c r="DR211" s="1720"/>
      <c r="DS211" s="1703"/>
      <c r="DT211" s="1714"/>
      <c r="DU211" s="1715"/>
      <c r="DV211" s="1716"/>
      <c r="DX211" s="1715"/>
      <c r="DY211" s="1720"/>
      <c r="DZ211" s="1715"/>
      <c r="EA211" s="1715"/>
      <c r="EC211" s="1834"/>
      <c r="ED211" s="1834"/>
      <c r="EF211" s="1707"/>
      <c r="EG211" s="1712"/>
      <c r="EH211" s="1815"/>
      <c r="EI211" s="1712"/>
      <c r="EJ211" s="1712"/>
      <c r="EK211" s="1813"/>
      <c r="EL211" s="1813"/>
      <c r="EM211" s="1807"/>
      <c r="EN211" s="1839"/>
      <c r="EO211" s="1839"/>
      <c r="EP211" s="1817"/>
      <c r="EQ211" s="1817"/>
      <c r="ER211" s="1807"/>
      <c r="ES211" s="1807"/>
      <c r="ET211" s="1807"/>
      <c r="EV211" s="1715"/>
      <c r="EX211" s="1806"/>
      <c r="EY211" s="1806"/>
      <c r="EZ211" s="1806"/>
      <c r="FA211" s="1806"/>
      <c r="FB211" s="1806"/>
      <c r="FC211" s="1828"/>
      <c r="FE211" s="1698"/>
      <c r="FG211" s="1703"/>
      <c r="FH211" s="1703"/>
      <c r="FI211" s="133"/>
      <c r="FL211" s="1823"/>
      <c r="FM211" s="1825"/>
      <c r="FN211" s="1698"/>
      <c r="FO211" s="1698"/>
      <c r="FP211" s="1678"/>
      <c r="FQ211" s="1698"/>
      <c r="FS211" s="1687"/>
      <c r="FT211" s="1687"/>
      <c r="FU211" s="1685"/>
      <c r="FV211" s="1687"/>
      <c r="FW211" s="1687"/>
      <c r="FX211" s="1687"/>
      <c r="FY211" s="1697"/>
      <c r="GA211" s="1696"/>
      <c r="GB211" s="1696"/>
      <c r="GC211" s="1696"/>
      <c r="GD211" s="1696"/>
      <c r="GE211" s="1696"/>
      <c r="GF211" s="1696"/>
      <c r="GG211" s="1696"/>
      <c r="GH211" s="1696"/>
      <c r="GI211" s="673"/>
      <c r="GJ211" s="1135"/>
      <c r="GK211" s="1832"/>
      <c r="GN211" s="674">
        <f>IF(GN209=TRUE,0,GN$16)</f>
        <v>0</v>
      </c>
      <c r="GP211" s="674">
        <f>IF(GP209=TRUE,0,GP$16)</f>
        <v>36</v>
      </c>
      <c r="GQ211" s="674">
        <f ca="1">IF(GQ209=TRUE,0,GQ$16)</f>
        <v>35</v>
      </c>
      <c r="GR211" s="391"/>
      <c r="GS211" s="391"/>
      <c r="GT211" s="391"/>
      <c r="GU211" s="391"/>
      <c r="GV211" s="391"/>
      <c r="HG211" s="674">
        <f>IF(HG209=TRUE,0,HG$16)</f>
        <v>0</v>
      </c>
      <c r="HH211" s="674">
        <f t="shared" ref="HH211:HM211" si="173">IF(HH209=TRUE,0,HH$16)</f>
        <v>19</v>
      </c>
      <c r="HI211" s="674">
        <f t="shared" si="173"/>
        <v>18</v>
      </c>
      <c r="HJ211" s="674">
        <f t="shared" si="173"/>
        <v>17</v>
      </c>
      <c r="HK211" s="674">
        <f t="shared" si="173"/>
        <v>16</v>
      </c>
      <c r="HL211" s="674">
        <f t="shared" si="173"/>
        <v>0</v>
      </c>
      <c r="HM211" s="674">
        <f t="shared" si="173"/>
        <v>0</v>
      </c>
      <c r="HN211" s="674">
        <f>IF(HN209=TRUE,0,HN$16)</f>
        <v>13</v>
      </c>
      <c r="HO211" s="674">
        <f t="shared" ref="HO211:HQ211" si="174">IF(HO209=TRUE,0,HO$16)</f>
        <v>0</v>
      </c>
      <c r="HP211" s="674">
        <f t="shared" si="174"/>
        <v>0</v>
      </c>
      <c r="HQ211" s="674">
        <f t="shared" si="174"/>
        <v>10</v>
      </c>
      <c r="HR211" s="674">
        <f>IF(HR209=TRUE,0,HR$16)</f>
        <v>9</v>
      </c>
      <c r="HS211" s="674">
        <f t="shared" ref="HS211:HW211" si="175">IF(HS209=TRUE,0,HS$16)</f>
        <v>0</v>
      </c>
      <c r="HT211" s="674">
        <f t="shared" si="175"/>
        <v>0</v>
      </c>
      <c r="HU211" s="674">
        <f t="shared" si="175"/>
        <v>0</v>
      </c>
      <c r="HV211" s="674">
        <f t="shared" si="175"/>
        <v>0</v>
      </c>
      <c r="HW211" s="674">
        <f t="shared" si="175"/>
        <v>0</v>
      </c>
      <c r="HX211" s="674">
        <f>IF(HX209=TRUE,0,HX$16)</f>
        <v>0</v>
      </c>
      <c r="HY211" s="674">
        <f>IF(HY209=TRUE,0,HY$16)</f>
        <v>0</v>
      </c>
      <c r="HZ211" s="674">
        <f>IF(HZ209=TRUE,0,HZ$16)</f>
        <v>1</v>
      </c>
      <c r="IB211" s="674">
        <f>IF(GP209=FALSE,GP211,IF(GQ209=FALSE,GQ211,MAX(GN211:HZ211)))</f>
        <v>36</v>
      </c>
      <c r="IC211" s="1692"/>
      <c r="ID211" s="205" t="str">
        <f>VLOOKUP(IB211,_Error_Table,3,FALSE)</f>
        <v xml:space="preserve"> </v>
      </c>
      <c r="IE211" s="205"/>
      <c r="IF211" s="1688"/>
      <c r="IG211" s="1689"/>
      <c r="IH211" s="1684"/>
      <c r="IK211" s="1689"/>
      <c r="IL211" s="1692"/>
      <c r="IM211" s="1692"/>
      <c r="IN211" s="1692"/>
      <c r="IP211" s="1679"/>
      <c r="IQ211" s="1679"/>
      <c r="IR211" s="1679"/>
      <c r="IS211" s="1679"/>
      <c r="IT211" s="1679"/>
      <c r="IU211" s="1679"/>
      <c r="IV211" s="1679"/>
      <c r="IW211" s="1679"/>
      <c r="IX211" s="1679"/>
      <c r="IY211" s="1679"/>
      <c r="IZ211" s="1679"/>
      <c r="JA211" s="1679"/>
      <c r="JC211" s="1680"/>
      <c r="JD211" s="1670"/>
      <c r="JE211" s="1681"/>
      <c r="JG211" s="1680"/>
      <c r="JH211" s="1670"/>
      <c r="JI211" s="1060"/>
      <c r="JJ211" s="1670"/>
      <c r="JK211" s="1061"/>
      <c r="JL211" s="1670"/>
      <c r="JM211" s="1061"/>
      <c r="JN211" s="1670"/>
      <c r="JO211" s="1061"/>
      <c r="JP211" s="1670"/>
      <c r="JQ211" s="1061"/>
      <c r="JR211" s="1670"/>
      <c r="JS211" s="1061"/>
      <c r="JT211" s="1670"/>
      <c r="JU211" s="1061"/>
      <c r="JV211" s="1670"/>
      <c r="JX211" s="1670"/>
      <c r="JZ211" s="1670"/>
      <c r="KB211" s="1670"/>
    </row>
    <row r="212" spans="1:288" s="78" customFormat="1" ht="5.0999999999999996" customHeight="1">
      <c r="B212" s="676"/>
      <c r="C212" s="392"/>
      <c r="D212" s="392"/>
      <c r="E212" s="1733"/>
      <c r="F212" s="1733"/>
      <c r="G212" s="1733"/>
      <c r="H212" s="1733"/>
      <c r="I212" s="1733"/>
      <c r="J212" s="1733"/>
      <c r="K212" s="1733"/>
      <c r="L212" s="1733"/>
      <c r="M212" s="1733"/>
      <c r="N212" s="1733"/>
      <c r="O212" s="1733"/>
      <c r="P212" s="1733"/>
      <c r="Q212" s="1733"/>
      <c r="R212" s="1733"/>
      <c r="S212" s="1733"/>
      <c r="T212" s="1733"/>
      <c r="U212" s="1733"/>
      <c r="V212" s="1733"/>
      <c r="W212" s="1733"/>
      <c r="X212" s="1733"/>
      <c r="Y212" s="1733"/>
      <c r="Z212" s="1733"/>
      <c r="AA212" s="1733"/>
      <c r="AB212" s="1733"/>
      <c r="AC212" s="1733"/>
      <c r="AD212" s="1733"/>
      <c r="AE212" s="1733"/>
      <c r="AF212" s="1733"/>
      <c r="AG212" s="1733"/>
      <c r="AH212" s="1733"/>
      <c r="AI212" s="1733"/>
      <c r="AJ212" s="1733"/>
      <c r="AK212" s="1733"/>
      <c r="AL212" s="1733"/>
      <c r="AM212" s="1733"/>
      <c r="AN212" s="1733"/>
      <c r="AO212" s="1733"/>
      <c r="AP212" s="1733"/>
      <c r="AQ212" s="1733"/>
      <c r="AR212" s="1733"/>
      <c r="AS212" s="1733"/>
      <c r="AT212" s="1733"/>
      <c r="AU212" s="1733"/>
      <c r="AV212" s="1733"/>
      <c r="AW212" s="1733"/>
      <c r="AX212" s="469"/>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663"/>
      <c r="CQ212" s="663"/>
      <c r="CR212" s="438"/>
      <c r="CS212" s="663"/>
      <c r="CV212" s="391"/>
      <c r="CW212" s="391"/>
      <c r="CX212" s="207"/>
      <c r="CY212" s="208"/>
      <c r="CZ212" s="208"/>
      <c r="DA212" s="208"/>
      <c r="DB212" s="209"/>
      <c r="DC212" s="209"/>
      <c r="DD212" s="209"/>
      <c r="DF212" s="664"/>
      <c r="DG212" s="665"/>
      <c r="DH212" s="666"/>
      <c r="DI212" s="667"/>
      <c r="DJ212" s="668"/>
      <c r="DK212" s="668"/>
      <c r="DN212" s="208"/>
      <c r="DO212" s="664"/>
      <c r="DQ212" s="664"/>
      <c r="DR212" s="669"/>
      <c r="DS212" s="391"/>
      <c r="DT212" s="664"/>
      <c r="DU212" s="664"/>
      <c r="DV212" s="664"/>
      <c r="DX212" s="664"/>
      <c r="DY212" s="664"/>
      <c r="DZ212" s="664"/>
      <c r="EA212" s="664"/>
      <c r="EC212" s="670"/>
      <c r="ED212" s="670"/>
      <c r="EF212" s="668"/>
      <c r="EG212" s="668"/>
      <c r="EH212" s="208"/>
      <c r="EI212" s="668"/>
      <c r="EJ212" s="668"/>
      <c r="EK212" s="207"/>
      <c r="EL212" s="207"/>
      <c r="EM212" s="666"/>
      <c r="EN212" s="671"/>
      <c r="EO212" s="671"/>
      <c r="EP212" s="672"/>
      <c r="EQ212" s="672"/>
      <c r="ER212" s="666"/>
      <c r="ES212" s="666"/>
      <c r="ET212" s="666"/>
      <c r="EV212" s="664"/>
      <c r="EX212" s="391"/>
      <c r="EY212" s="391"/>
      <c r="EZ212" s="391"/>
      <c r="FA212" s="391"/>
      <c r="FB212" s="391"/>
      <c r="FC212" s="391"/>
      <c r="FE212" s="569"/>
      <c r="FG212" s="391"/>
      <c r="FH212" s="391"/>
      <c r="FI212" s="391"/>
      <c r="FS212" s="664"/>
      <c r="FT212" s="391"/>
      <c r="FU212" s="391"/>
      <c r="FV212" s="664"/>
      <c r="FW212" s="664"/>
      <c r="GA212" s="663"/>
      <c r="GB212" s="663"/>
      <c r="GC212" s="663"/>
      <c r="GD212" s="663"/>
      <c r="GE212" s="663"/>
      <c r="GF212" s="663"/>
      <c r="GG212" s="663"/>
      <c r="GH212" s="663"/>
      <c r="GI212" s="665"/>
      <c r="GJ212" s="664"/>
      <c r="GK212" s="664"/>
    </row>
    <row r="213" spans="1:288" s="78" customFormat="1" ht="14.95" customHeight="1">
      <c r="B213" s="1845" t="str">
        <f>ID216</f>
        <v xml:space="preserve"> </v>
      </c>
      <c r="C213" s="1846">
        <f>C208+1</f>
        <v>33</v>
      </c>
      <c r="D213" s="1847"/>
      <c r="E213" s="1799" t="s">
        <v>295</v>
      </c>
      <c r="F213" s="1800"/>
      <c r="G213" s="1741"/>
      <c r="H213" s="1742"/>
      <c r="I213" s="1742"/>
      <c r="J213" s="1742"/>
      <c r="K213" s="1742"/>
      <c r="L213" s="1742"/>
      <c r="M213" s="1742"/>
      <c r="N213" s="1742"/>
      <c r="O213" s="1742"/>
      <c r="P213" s="1742"/>
      <c r="Q213" s="1742"/>
      <c r="R213" s="1742"/>
      <c r="S213" s="1791" t="s">
        <v>344</v>
      </c>
      <c r="T213" s="590"/>
      <c r="U213" s="1743"/>
      <c r="V213" s="1744"/>
      <c r="W213" s="1744"/>
      <c r="X213" s="1744"/>
      <c r="Y213" s="1744"/>
      <c r="Z213" s="1744"/>
      <c r="AA213" s="1744"/>
      <c r="AB213" s="961" t="str">
        <f>IFERROR(IF(__Retrofit_TI_NC=0,VLOOKUP(U214,Fixtures_Existing_List,2,FALSE),ROUND(N215*R215/T215,10)),"")</f>
        <v/>
      </c>
      <c r="AC213" s="935" t="str">
        <f>IFERROR(IF(__Retrofit_TI_NC=0,ROUND(T214*AB213*N214*R214/1000,0),IF(CQ213="Interior",N215*R215*R214*N214*_C406_reduction/1000,N215*R215*R214*N214/1000)),"")</f>
        <v/>
      </c>
      <c r="AD213" s="936" t="str">
        <f>IFERROR(IF(C$43=0,ROUND(T214*AB213/1000,2),N215*R215/1000),"")</f>
        <v/>
      </c>
      <c r="AE213" s="997"/>
      <c r="AF213" s="937"/>
      <c r="AG213" s="1745" t="str">
        <f>IF(__Retrofit_TI_NC=0," Control","Select Advanced Control for New System")</f>
        <v xml:space="preserve"> Control</v>
      </c>
      <c r="AH213" s="1745"/>
      <c r="AI213" s="1745"/>
      <c r="AJ213" s="1745"/>
      <c r="AK213" s="1745"/>
      <c r="AL213" s="1745"/>
      <c r="AM213" s="1746">
        <f>IFERROR(DI213,"")</f>
        <v>0</v>
      </c>
      <c r="AN213" s="1774" t="str">
        <f>IFERROR(ROUND(AM213*AC213,0),"")</f>
        <v/>
      </c>
      <c r="AO213" s="1776">
        <f>IFERROR(IF(IB213=FALSE,0,AC213-AN213),0)</f>
        <v>0</v>
      </c>
      <c r="AP213" s="1778">
        <f>AO213-AO215</f>
        <v>0</v>
      </c>
      <c r="AQ213" s="1779"/>
      <c r="AR213" s="1793">
        <f>IFERROR(IF(IB213=FALSE,0,(T215*U216)+(AF215*AG216)),0)</f>
        <v>0</v>
      </c>
      <c r="AS213" s="1793"/>
      <c r="AT213" s="1794"/>
      <c r="AU213" s="1734" t="s">
        <v>237</v>
      </c>
      <c r="AV213" s="1751">
        <f>IF(AU213="Yes",1,0)</f>
        <v>1</v>
      </c>
      <c r="AW213" s="1704" t="str">
        <f>IF(OR(DQ213=4,DQ213=5,DQ213=6,DQ213=12),CONCATENATE("$",IF(GH213=TRUE,Lookup!$K$10,Lookup!$K$2)," /lamp"),CONCATENATE(TEXT(ED213,"$0.00"),"/ kWh"))</f>
        <v>$0.00/ kWh</v>
      </c>
      <c r="AX213" s="467"/>
      <c r="AY213" s="1748">
        <f ca="1">IFERROR(IF(GM214=TRUE,(AB216*T215)/R215,0),"NA")</f>
        <v>0</v>
      </c>
      <c r="AZ213" s="1748"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696" t="str">
        <f>N214</f>
        <v/>
      </c>
      <c r="CQ213" s="1696" t="str">
        <f>IFERROR(VLOOKUP(G214,_Lookup_Heat_Type_Table_New,3,FALSE),"")</f>
        <v/>
      </c>
      <c r="CR213" s="1808" t="str">
        <f>CQ213</f>
        <v/>
      </c>
      <c r="CS213" s="1810" t="str">
        <f>IFERROR(VLOOKUP(G215,'Space Table'!$B$3:$L$163,9,FALSE),"")</f>
        <v/>
      </c>
      <c r="CU213" s="1688" t="s">
        <v>344</v>
      </c>
      <c r="CV213" s="1702">
        <f>IF(IB213=TRUE,T214,0)</f>
        <v>0</v>
      </c>
      <c r="CW213" s="1702" t="str">
        <f>IF(IB213=TRUE,U214,"")</f>
        <v/>
      </c>
      <c r="CX213" s="1702"/>
      <c r="CY213" s="1814">
        <f>IF(IB213=TRUE,AB213,0)</f>
        <v>0</v>
      </c>
      <c r="CZ213" s="1710">
        <f>IF(AND(__Retrofit_TI_NC&gt;0,CR213="interior"),0,IF(IB213=TRUE,AC213,0))</f>
        <v>0</v>
      </c>
      <c r="DA213" s="1814">
        <f>IFERROR(IF(IB213=TRUE,CZ213-CZ215,0),0)</f>
        <v>0</v>
      </c>
      <c r="DB213" s="1819">
        <f>IF(IB213=TRUE,AD213,0)</f>
        <v>0</v>
      </c>
      <c r="DC213" s="1819">
        <f>IF(IB213=TRUE,AD216,0)</f>
        <v>0</v>
      </c>
      <c r="DD213" s="1819">
        <f>IFERROR(DB213-DC213,0)</f>
        <v>0</v>
      </c>
      <c r="DF213" s="1702">
        <f>IF(IB213=TRUE,AF214,0)</f>
        <v>0</v>
      </c>
      <c r="DG213" s="1830">
        <f>IFERROR(IF(__Retrofit_TI_NC=2,IF(CQ213="Exterior",O216,FQ213),FN213),"")</f>
        <v>0</v>
      </c>
      <c r="DH213" s="1702"/>
      <c r="DI213" s="1837">
        <f>JE213</f>
        <v>0</v>
      </c>
      <c r="DJ213" s="1710">
        <f>IF(AND(__Retrofit_TI_NC&gt;0,CR213="interior"),0,IF(IB213=TRUE,AN213,0))</f>
        <v>0</v>
      </c>
      <c r="DK213" s="1712">
        <f>IFERROR(IF(IB213=TRUE,DJ215-DJ213,0),0)</f>
        <v>0</v>
      </c>
      <c r="DM213" s="1717">
        <f>IFERROR(CZ213-DJ213,0)</f>
        <v>0</v>
      </c>
      <c r="DO213" s="1708">
        <f>DM213-DN215</f>
        <v>0</v>
      </c>
      <c r="DQ213" s="1715" t="str">
        <f>IFERROR(IF(AND(OR(GC213=4,GC213=5,GC213=6),OR(GF213=4,GF213=5,GF213=6)),GC213+8,VLOOKUP(CW215,Fixtures!R$31:Y$78,8,FALSE)),"")</f>
        <v/>
      </c>
      <c r="DR213" s="1829" t="str">
        <f>DQ213</f>
        <v/>
      </c>
      <c r="DS213" s="1702" t="str">
        <f>IFERROR(VLOOKUP(DG215,Lookup!BB$3:BC$20,2,FALSE),"")</f>
        <v/>
      </c>
      <c r="DT213" s="1713" t="str">
        <f>IF(OR(DS213=7,DS213=8,DS213=9),"ALC","")</f>
        <v/>
      </c>
      <c r="DU213" s="1715">
        <f>IFERROR(IF(OR(DQ213=4,DQ213=5,DQ213=6,DQ213=12,DQ213=13,DQ213=14),VLOOKUP(CW215,Fixtures!DN$27:EG$77,19,FALSE),1)*CV215,0)</f>
        <v>0</v>
      </c>
      <c r="DV213" s="1716">
        <f>IF(OR(DS213=7,DS213=8,DS213=9),IF(DG213=DG215,0,DF215),0)</f>
        <v>0</v>
      </c>
      <c r="DX213" s="1715" t="str">
        <f>IFERROR(IF(EZ213&lt;EZ215,"Yes","No"),"")</f>
        <v/>
      </c>
      <c r="DY213" s="1829" t="str">
        <f>DX213</f>
        <v/>
      </c>
      <c r="DZ213" s="1715">
        <f>IF(DX213="Yes",DF215,0)</f>
        <v>0</v>
      </c>
      <c r="EA213" s="1715">
        <f>DZ213-DV213</f>
        <v>0</v>
      </c>
      <c r="EC213" s="1834">
        <f>IFERROR(VLOOKUP(DQ213,Lookup!AU$3:AV$16,2,FALSE),0)</f>
        <v>0</v>
      </c>
      <c r="ED213" s="1834">
        <f>IF(IB213=FALSE,0,IF(DX213="Yes",EC213+Lookup!K$6,EC213))</f>
        <v>0</v>
      </c>
      <c r="EF213" s="1707">
        <f>IF(IB213=TRUE,DM213,0)</f>
        <v>0</v>
      </c>
      <c r="EG213" s="1712">
        <f>IF(IB213=TRUE,CZ215,0)</f>
        <v>0</v>
      </c>
      <c r="EH213" s="1814">
        <f>IFERROR(EF213-EG213,0)</f>
        <v>0</v>
      </c>
      <c r="EI213" s="1712">
        <f>IF(IB213=TRUE,DJ215,0)</f>
        <v>0</v>
      </c>
      <c r="EJ213" s="1712">
        <f>IFERROR(EF213-EG213+EI213,0)</f>
        <v>0</v>
      </c>
      <c r="EK213" s="1812">
        <f>IF(IB213=TRUE,CV215*CX215,0)</f>
        <v>0</v>
      </c>
      <c r="EL213" s="1812">
        <f>IF(IB213=TRUE,DF215*DH215,0)</f>
        <v>0</v>
      </c>
      <c r="EM213" s="1807">
        <f>AR213</f>
        <v>0</v>
      </c>
      <c r="EN213" s="1839" t="str">
        <f>IFERROR(IF(IB213=TRUE,VLOOKUP(DQ213,Lookup!AU$3:AW$16,3,FALSE)*DU213,""),0)</f>
        <v/>
      </c>
      <c r="EO213" s="1839">
        <f>IF(IB213=TRUE,DZ213*Lookup!AW$12,0)</f>
        <v>0</v>
      </c>
      <c r="EP213" s="1817">
        <f>IFERROR(IF(IB213=TRUE,EN213/EP$40,0),0)</f>
        <v>0</v>
      </c>
      <c r="EQ213" s="1817">
        <f>IF(IB213=TRUE,EO213/EQ$40,0)</f>
        <v>0</v>
      </c>
      <c r="ER213" s="1807">
        <f>IF(IB213=TRUE,ET$40*EP213,0)</f>
        <v>0</v>
      </c>
      <c r="ES213" s="1807">
        <f>IF(IB213=TRUE,ET$40*EQ213,0)</f>
        <v>0</v>
      </c>
      <c r="ET213" s="1807">
        <f>ER213+ES213</f>
        <v>0</v>
      </c>
      <c r="EV213" s="1715">
        <f>IF(G213="",0,1)</f>
        <v>0</v>
      </c>
      <c r="EX213" s="1804" t="str">
        <f>IFERROR(VLOOKUP(CS215,'Space Table'!$B$3:$L$163,8,FALSE),"")</f>
        <v/>
      </c>
      <c r="EY213" s="1804" t="str">
        <f>IFERROR(IF(FB213="Yes",VLOOKUP(DG213,Lookup_Control_Type_Table2,4,FALSE),VLOOKUP(DG213,Lookup_Control_Type_Table2,3,FALSE)),"")</f>
        <v/>
      </c>
      <c r="EZ213" s="1804" t="e">
        <f>VLOOKUP(DG213,Lookup!BB$3:BC$20,2,FALSE)</f>
        <v>#N/A</v>
      </c>
      <c r="FA213" s="1804" t="e">
        <f>VLOOKUP(EX213,Lookup_Control_Type_Table,2,FALSE)</f>
        <v>#N/A</v>
      </c>
      <c r="FB213" s="1804" t="e">
        <f>VLOOKUP(CS215,'Space Table'!$B$3:$L$163,7,FALSE)</f>
        <v>#N/A</v>
      </c>
      <c r="FC213" s="1826" t="b">
        <f>ISNUMBER(SEARCH("TLED",U215))</f>
        <v>0</v>
      </c>
      <c r="FE213" s="1698" t="str">
        <f>CONCATENATE(CQ213," - ",DG213)</f>
        <v xml:space="preserve"> - 0</v>
      </c>
      <c r="FG213" s="1702" t="str">
        <f>VLOOKUP(CW215,Fixtures!DN$27:EZ$77,38,FALSE)</f>
        <v/>
      </c>
      <c r="FH213" s="1702">
        <f>IFERROR(FG213*EH213,0)</f>
        <v>0</v>
      </c>
      <c r="FI213" s="133"/>
      <c r="FL213" s="1822" t="str">
        <f>IF(CQ213="Exterior","Not Daylighted",G216)</f>
        <v>Not Daylighted</v>
      </c>
      <c r="FM213" s="1824">
        <f>VLOOKUP(FL213,_New_Daylight_Table_Codes,2,FALSE)</f>
        <v>0</v>
      </c>
      <c r="FN213" s="1698">
        <f>IF(__Retrofit_TI_NC&gt;0,VLOOKUP(G215,'Space Table'!$B$3:$L$163,11,FALSE),AG214)</f>
        <v>0</v>
      </c>
      <c r="FO213" s="1698" t="e">
        <f>IF(__Retrofit_TI_NC=2,VLOOKUP(FQ213,_Control_Table,2,FALSE),VLOOKUP(FN213,_Control_Table,2,FALSE))</f>
        <v>#N/A</v>
      </c>
      <c r="FP213" s="1678" t="e">
        <f>VLOOKUP(CONCATENATE(FL213," ",FN213),Lookup!AY$102:AZ223,2,FALSE)</f>
        <v>#N/A</v>
      </c>
      <c r="FQ213" s="1678">
        <f>IF(__Retrofit_TI_NC=0,FN213,IF(AND(FT213&gt;0,FN213="Occupancy Sensor"),"Daylight + Occupancy",IF(AND(FT213&gt;0,VLOOKUP(FN213,_Control_Table,2,FALSE)&lt;4),"Interior Daylight Dimming",FN213)))</f>
        <v>0</v>
      </c>
      <c r="FS213" s="1686">
        <f>IF(CR213="Interior",VLOOKUP(CS213,Control_Savings_Interior,5,FALSE),0)</f>
        <v>0</v>
      </c>
      <c r="FT213" s="1687">
        <f>IF(CQ213="Exterior",0,IF(FM213=2,0.5,IF(OR(FM213=1,FM213=3),1,0)))</f>
        <v>0</v>
      </c>
      <c r="FU213" s="1685">
        <f>IF(R212&gt;FS$44,(FS213*(FS$44/R212)),FS213)*FT213</f>
        <v>0</v>
      </c>
      <c r="FV213" s="1686">
        <f>DI213</f>
        <v>0</v>
      </c>
      <c r="FW213" s="1686">
        <f>ROUND(FV213+((1-FV213)*FU213),2)</f>
        <v>0</v>
      </c>
      <c r="FX213" s="1686">
        <f>IF(__Retrofit_TI_NC=2,FW213,FV213)</f>
        <v>0</v>
      </c>
      <c r="FY213" s="1697"/>
      <c r="GA213" s="1696" t="str">
        <f>IFERROR(VLOOKUP(U214,_Exist_Fixture_Table,3,FALSE),"")</f>
        <v/>
      </c>
      <c r="GB213" s="1696" t="str">
        <f>VLOOKUP(CW213,_Exist_Fixture_Table,4,FALSE)</f>
        <v/>
      </c>
      <c r="GC213" s="1696">
        <f>IFERROR(VLOOKUP(GB213,Lookup!AT$6:AU$8,2,FALSE),0)</f>
        <v>0</v>
      </c>
      <c r="GD213" s="1696" t="b">
        <f>IFERROR(IF(OR(GF213=4,GF213=5,GF213=6),TRUE,FALSE),"")</f>
        <v>0</v>
      </c>
      <c r="GE213" s="1696" t="str">
        <f>IFERROR(VLOOKUP(GF213,GC$6:GD$10,2,FALSE),"")</f>
        <v/>
      </c>
      <c r="GF213" s="1696" t="str">
        <f>VLOOKUP(CW215,Fixtures!R$31:Y$78,8,FALSE)</f>
        <v/>
      </c>
      <c r="GG213" s="1696">
        <f>IF(AND(GA213=TRUE,GD213=TRUE,OR(DQ213=12,DQ213=13,DQ213=14)),GC213+8,0)</f>
        <v>0</v>
      </c>
      <c r="GH213" s="1696" t="b">
        <f>IF(OR(GG213=12,GG213=13,GG213=14),TRUE,FALSE)</f>
        <v>0</v>
      </c>
      <c r="GI213" s="673" t="b">
        <f>IF(ISNUMBER(SEARCH("TLED",U214)),TRUE,FALSE)</f>
        <v>0</v>
      </c>
      <c r="GJ213" s="1135" t="str">
        <f>IFERROR(VLOOKUP(U214,Fixtures!BM$93:BR$142,6,FALSE),"")</f>
        <v/>
      </c>
      <c r="GK213" s="1832" t="b">
        <f>IF(OR(GI213=FALSE,GI215=FALSE),TRUE,IF(GJ213-GJ215&lt;5,FALSE,TRUE))</f>
        <v>1</v>
      </c>
      <c r="GO213" s="674">
        <f>GP213</f>
        <v>0</v>
      </c>
      <c r="GP213" s="674">
        <f>IF(G213="",0,1)</f>
        <v>0</v>
      </c>
      <c r="GQ213" s="674">
        <f ca="1">SUM(GR213:HF213)</f>
        <v>2</v>
      </c>
      <c r="GR213" s="674">
        <f>IF(G214="",0,1)</f>
        <v>0</v>
      </c>
      <c r="GS213" s="674">
        <f>IF(N216="BAM",1,IF(G215="",0,1))</f>
        <v>0</v>
      </c>
      <c r="GT213" s="674">
        <f>IF(N216="BAM",1,IF(R214="",0,1))</f>
        <v>0</v>
      </c>
      <c r="GU213" s="674">
        <f>IF(N216="BAM",1,IF(__Retrofit_TI_NC=0,1,IF(R215="",0,1)))</f>
        <v>1</v>
      </c>
      <c r="GV213" s="674">
        <f>IF(N216="BAM",1,IF(CQ213="Exterior",1,IF(G216="",0,1)))</f>
        <v>1</v>
      </c>
      <c r="GW213" s="674">
        <f>IF(__Retrofit_TI_NC&gt;0,1,IF(T214="",0,1))</f>
        <v>0</v>
      </c>
      <c r="GX213" s="674">
        <f>IF(__Retrofit_TI_NC&gt;0,1,IF(U214="",0,1))</f>
        <v>0</v>
      </c>
      <c r="GY213" s="674">
        <f>IF(N216="BAM",1,IF(T215="",0,1))</f>
        <v>0</v>
      </c>
      <c r="GZ213" s="674">
        <f>IF(N216="BAM",1,IF(U215="",0,1))</f>
        <v>0</v>
      </c>
      <c r="HA213" s="674">
        <f ca="1">IF(N216="BAM",1,IF(__Retrofit_TI_NC&gt;0,1,IF(U216="",0,1)))</f>
        <v>0</v>
      </c>
      <c r="HB213" s="674">
        <f>IF(__Retrofit_TI_NC&lt;&gt;0,1,IF(AF214="",0,1))</f>
        <v>0</v>
      </c>
      <c r="HC213" s="674">
        <f>IF(__Retrofit_TI_NC&lt;&gt;0,1,IF(AG214="",0,1))</f>
        <v>0</v>
      </c>
      <c r="HD213" s="674">
        <f>IF(N216="BAM",1,IF(AF215="",0,1))</f>
        <v>0</v>
      </c>
      <c r="HE213" s="674">
        <f>IF(N216="BAM",1,IF(AG215="",0,1))</f>
        <v>0</v>
      </c>
      <c r="HF213" s="674">
        <f>IF(N216="BAM",1,IF(__Retrofit_TI_NC&gt;0,1,IF(AG216="",0,1)))</f>
        <v>0</v>
      </c>
      <c r="HG213" s="391"/>
      <c r="IA213" s="391"/>
      <c r="IB213" s="1693" t="b">
        <f>IF(OR(IB216=0,IB216=HY$16,IB216=HX$16,IB216=HZ$16),TRUE,FALSE)</f>
        <v>0</v>
      </c>
      <c r="IC213" s="1694" t="b">
        <f>IB213</f>
        <v>0</v>
      </c>
      <c r="ID213" s="391"/>
      <c r="IE213" s="391"/>
      <c r="IF213" s="1688" t="b">
        <f ca="1">IF(MAX(GN216:HU216)&gt;5,FALSE,TRUE)</f>
        <v>0</v>
      </c>
      <c r="IG213" s="1689">
        <f ca="1">IF(IF213=TRUE,AC213,0)</f>
        <v>0</v>
      </c>
      <c r="IH213" s="1689">
        <f ca="1">IG213-IG215</f>
        <v>0</v>
      </c>
      <c r="IK213" s="1689" t="e">
        <f>ROUND(T214*VLOOKUP(U214,Fixtures_Existing_List,2,FALSE)*N214*R214/1000,0)</f>
        <v>#N/A</v>
      </c>
      <c r="IL213" s="1690" t="e">
        <f>IK213-IK215</f>
        <v>#N/A</v>
      </c>
      <c r="IM213" s="1693" t="e">
        <f>ROUND(IF(CQ213="Interior",N215*R215*R214*N214*_C406_reduction/1000,N215*R215*R214*N214/1000),0)</f>
        <v>#N/A</v>
      </c>
      <c r="IN213" s="1693" t="e">
        <f>IM213-IM215</f>
        <v>#N/A</v>
      </c>
      <c r="IP213" s="1679"/>
      <c r="IQ213" s="1679" t="e">
        <f t="shared" ref="IQ213:IU213" si="176">IF($CR213="interior",VLOOKUP($CS213,_New_Control_Savings_Interior,IQ$30,FALSE),VLOOKUP($CS213,Control_Savings_Exterior,IQ$30,FALSE))</f>
        <v>#N/A</v>
      </c>
      <c r="IR213" s="1679" t="e">
        <f t="shared" si="176"/>
        <v>#N/A</v>
      </c>
      <c r="IS213" s="1679" t="e">
        <f t="shared" si="176"/>
        <v>#N/A</v>
      </c>
      <c r="IT213" s="1679" t="e">
        <f t="shared" si="176"/>
        <v>#N/A</v>
      </c>
      <c r="IU213" s="1679" t="e">
        <f t="shared" si="176"/>
        <v>#N/A</v>
      </c>
      <c r="IV213" s="1679" t="e">
        <f>IF($CR213="interior",IF(R214&gt;$IP$14,ROUND(($IV$18*($IP$14/R214)),2),$IV$18),VLOOKUP($CS213,Control_Savings_Exterior,IV$30,FALSE))</f>
        <v>#N/A</v>
      </c>
      <c r="IW213" s="1679" t="e">
        <f>IF($CR213="interior",ROUND(((1-IS213)*IV213)+IS213,2),VLOOKUP($CS213,Control_Savings_Exterior,IW$30,FALSE))</f>
        <v>#N/A</v>
      </c>
      <c r="IX213" s="1679" t="e">
        <f>IF($CR213="interior",ROUND(((1-IT213)*IV213)+IT213,2),VLOOKUP($CS213,Control_Savings_Exterior,IX$30,FALSE))</f>
        <v>#N/A</v>
      </c>
      <c r="IY213" s="1679" t="e">
        <f>IF($CR213="interior",IF(R214&gt;$IP$14,ROUND(($IY$18*($IP$14/R214)),2),$IY$18),VLOOKUP($CS213,Control_Savings_Exterior,IY$30,FALSE))</f>
        <v>#N/A</v>
      </c>
      <c r="IZ213" s="1679" t="e">
        <f>IF($CR213="interior",ROUND(((1-IS213)*IY213)+IS213,2),VLOOKUP($CS213,Control_Savings_Exterior,IZ$30,FALSE))</f>
        <v>#N/A</v>
      </c>
      <c r="JA213" s="1679" t="e">
        <f>IF($CR213="interior",ROUND(((1-IT213)*IY213)+IT213,2),VLOOKUP($CS213,Control_Savings_Exterior,JA$30,FALSE))</f>
        <v>#N/A</v>
      </c>
      <c r="JC213" s="1680">
        <f>IFERROR(IF(CR213="Interior",CONCATENATE(G216," ",FQ213),FQ213),"")</f>
        <v>0</v>
      </c>
      <c r="JD213" s="1670" t="str">
        <f>IFERROR(VLOOKUP(JC213,_Controls_2023,2,FALSE),"")</f>
        <v/>
      </c>
      <c r="JE213" s="1681">
        <f>IFERROR(CHOOSE(JD213-1,IQ213,IR213,IS213,IT213,IU213,IV213,IW213,IX213,IY213,IZ213,JA213),0)</f>
        <v>0</v>
      </c>
      <c r="JG213" s="1680" t="str">
        <f>FE213</f>
        <v xml:space="preserve"> - 0</v>
      </c>
      <c r="JH213" s="1670" t="e">
        <f>$FO213</f>
        <v>#N/A</v>
      </c>
      <c r="JI213" s="1060"/>
      <c r="JJ213" s="1682" t="b">
        <f>IF($JG215=CONCATENATE("Interior - ",JJ$4),TRUE,FALSE)</f>
        <v>0</v>
      </c>
      <c r="JK213" s="1061"/>
      <c r="JL213" s="1682" t="b">
        <f>IF($JG215=CONCATENATE("Interior - ",JL$4),TRUE,FALSE)</f>
        <v>0</v>
      </c>
      <c r="JM213" s="1061"/>
      <c r="JN213" s="1682" t="b">
        <f>IF($JG215=CONCATENATE("Interior - ",JN$4),TRUE,FALSE)</f>
        <v>0</v>
      </c>
      <c r="JO213" s="1061"/>
      <c r="JP213" s="1682" t="b">
        <f>IF(__Retrofit_TI_NC&gt;0,FALSE,IF($JG215=CONCATENATE("Interior - ",JP$4),TRUE,FALSE))</f>
        <v>0</v>
      </c>
      <c r="JQ213" s="1061"/>
      <c r="JR213" s="1682" t="b">
        <f>IF(__Retrofit_TI_NC&gt;0,FALSE,IF($JG215=CONCATENATE("Interior - ",JR$4),TRUE,FALSE))</f>
        <v>0</v>
      </c>
      <c r="JS213" s="1061"/>
      <c r="JT213" s="1670" t="b">
        <f>IF(__Retrofit_TI_NC&gt;0,FALSE,IF($JG215=CONCATENATE("Interior - ",JT$4),TRUE,FALSE))</f>
        <v>0</v>
      </c>
      <c r="JU213" s="1061"/>
      <c r="JV213" s="1670" t="b">
        <f>IF(JC215="AELC on Existing",TRUE,FALSE)</f>
        <v>0</v>
      </c>
      <c r="JX213" s="1670" t="b">
        <f>IF(OR(JG215="Exterior - AELC Occupancy based",JG215="Exterior - AELC Time based"),TRUE,FALSE)</f>
        <v>0</v>
      </c>
      <c r="JZ213" s="1682" t="b">
        <f>IF($JG215=CONCATENATE("Exterior - ",JZ$4),TRUE,FALSE)</f>
        <v>0</v>
      </c>
      <c r="KB213" s="1670" t="b">
        <f>IF(__Retrofit_TI_NC&gt;0,FALSE,IF($JG215=CONCATENATE("Interior - ",KB$4),TRUE,FALSE))</f>
        <v>0</v>
      </c>
    </row>
    <row r="214" spans="1:288" s="78" customFormat="1" ht="14.95" customHeight="1" thickTop="1" thickBot="1">
      <c r="B214" s="1845"/>
      <c r="C214" s="1846"/>
      <c r="D214" s="1847"/>
      <c r="E214" s="1737" t="s">
        <v>297</v>
      </c>
      <c r="F214" s="1738"/>
      <c r="G214" s="1739"/>
      <c r="H214" s="1739"/>
      <c r="I214" s="1739"/>
      <c r="J214" s="1739"/>
      <c r="K214" s="1739"/>
      <c r="L214" s="1739"/>
      <c r="M214" s="461" t="e">
        <f>IF(__Retrofit_TI_NC&lt;&gt;0,IF(VLOOKUP(G215,'Space Table'!$B$3:$L$163,3,FALSE)&gt;0,1,0),IF(__Retrofit_TI_NC=VLOOKUP(G215,'Space Table'!$B$3:$L$163,3,FALSE),1,0))</f>
        <v>#N/A</v>
      </c>
      <c r="N214" s="461" t="str">
        <f>IFERROR(VLOOKUP(G214,_Lookup_Heat_Type_Table_New,2,FALSE),"")</f>
        <v/>
      </c>
      <c r="O214" s="461">
        <f>IF(__Retrofit_TI_NC=1,CONCATENATE("TI ",G214),IF(__Retrofit_TI_NC=2,CONCATENATE("NC ",G214),G214))</f>
        <v>0</v>
      </c>
      <c r="P214" s="1740" t="s">
        <v>435</v>
      </c>
      <c r="Q214" s="1740"/>
      <c r="R214" s="595"/>
      <c r="S214" s="1792"/>
      <c r="T214" s="597"/>
      <c r="U214" s="1765"/>
      <c r="V214" s="1766"/>
      <c r="W214" s="1766"/>
      <c r="X214" s="1766"/>
      <c r="Y214" s="1766"/>
      <c r="Z214" s="1766"/>
      <c r="AA214" s="1766"/>
      <c r="AB214" s="1766"/>
      <c r="AC214" s="1766"/>
      <c r="AD214" s="1767"/>
      <c r="AE214" s="1000"/>
      <c r="AF214" s="597"/>
      <c r="AG214" s="1723"/>
      <c r="AH214" s="1724"/>
      <c r="AI214" s="1724"/>
      <c r="AJ214" s="1724"/>
      <c r="AK214" s="1725"/>
      <c r="AL214" s="996"/>
      <c r="AM214" s="1747"/>
      <c r="AN214" s="1775"/>
      <c r="AO214" s="1777"/>
      <c r="AP214" s="1780"/>
      <c r="AQ214" s="1781"/>
      <c r="AR214" s="1795"/>
      <c r="AS214" s="1795"/>
      <c r="AT214" s="1796"/>
      <c r="AU214" s="1735"/>
      <c r="AV214" s="1752"/>
      <c r="AW214" s="1705"/>
      <c r="AX214" s="467"/>
      <c r="AY214" s="1749"/>
      <c r="AZ214" s="1749"/>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696"/>
      <c r="CQ214" s="1696"/>
      <c r="CR214" s="1809"/>
      <c r="CS214" s="1811"/>
      <c r="CU214" s="1688"/>
      <c r="CV214" s="1703"/>
      <c r="CW214" s="1703"/>
      <c r="CX214" s="1703"/>
      <c r="CY214" s="1815"/>
      <c r="CZ214" s="1711"/>
      <c r="DA214" s="1818"/>
      <c r="DB214" s="1820"/>
      <c r="DC214" s="1820"/>
      <c r="DD214" s="1820"/>
      <c r="DF214" s="1703"/>
      <c r="DG214" s="1831"/>
      <c r="DH214" s="1703"/>
      <c r="DI214" s="1838"/>
      <c r="DJ214" s="1711"/>
      <c r="DK214" s="1712"/>
      <c r="DM214" s="1718"/>
      <c r="DO214" s="1708"/>
      <c r="DQ214" s="1715"/>
      <c r="DR214" s="1720"/>
      <c r="DS214" s="1816"/>
      <c r="DT214" s="1714"/>
      <c r="DU214" s="1715"/>
      <c r="DV214" s="1716"/>
      <c r="DX214" s="1715"/>
      <c r="DY214" s="1720"/>
      <c r="DZ214" s="1715"/>
      <c r="EA214" s="1715"/>
      <c r="EC214" s="1834"/>
      <c r="ED214" s="1834"/>
      <c r="EF214" s="1707"/>
      <c r="EG214" s="1712"/>
      <c r="EH214" s="1818"/>
      <c r="EI214" s="1712"/>
      <c r="EJ214" s="1712"/>
      <c r="EK214" s="1836"/>
      <c r="EL214" s="1836"/>
      <c r="EM214" s="1807"/>
      <c r="EN214" s="1839"/>
      <c r="EO214" s="1839"/>
      <c r="EP214" s="1817"/>
      <c r="EQ214" s="1817"/>
      <c r="ER214" s="1807"/>
      <c r="ES214" s="1807"/>
      <c r="ET214" s="1807"/>
      <c r="EV214" s="1715"/>
      <c r="EX214" s="1805"/>
      <c r="EY214" s="1805"/>
      <c r="EZ214" s="1805"/>
      <c r="FA214" s="1805"/>
      <c r="FB214" s="1805"/>
      <c r="FC214" s="1827"/>
      <c r="FE214" s="1698"/>
      <c r="FG214" s="1816"/>
      <c r="FH214" s="1816"/>
      <c r="FI214" s="133"/>
      <c r="FL214" s="1823"/>
      <c r="FM214" s="1825"/>
      <c r="FN214" s="1698"/>
      <c r="FO214" s="1698"/>
      <c r="FP214" s="1678"/>
      <c r="FQ214" s="1678"/>
      <c r="FS214" s="1687"/>
      <c r="FT214" s="1687"/>
      <c r="FU214" s="1685"/>
      <c r="FV214" s="1687"/>
      <c r="FW214" s="1687"/>
      <c r="FX214" s="1687"/>
      <c r="FY214" s="1697"/>
      <c r="GA214" s="1696"/>
      <c r="GB214" s="1696"/>
      <c r="GC214" s="1696"/>
      <c r="GD214" s="1696"/>
      <c r="GE214" s="1696"/>
      <c r="GF214" s="1696"/>
      <c r="GG214" s="1696"/>
      <c r="GH214" s="1696"/>
      <c r="GI214" s="673"/>
      <c r="GJ214" s="1135"/>
      <c r="GK214" s="1832"/>
      <c r="GM214" s="1693" t="b">
        <f ca="1">IF(AND(GP214=TRUE,GQ214=TRUE),TRUE,FALSE)</f>
        <v>0</v>
      </c>
      <c r="GN214" s="1684" t="b">
        <f>IFERROR(IF(__Retrofit_TI_NC=2,TRUE,IF(AU213="Yes",TRUE,FALSE)),FALSE)</f>
        <v>1</v>
      </c>
      <c r="GP214" s="1684" t="b">
        <f>IFERROR(IF(GP213=1,TRUE,FALSE),FALSE)</f>
        <v>0</v>
      </c>
      <c r="GQ214" s="1684" t="b">
        <f ca="1">IFERROR(IF(GQ213=GQ$14,TRUE,FALSE),FALSE)</f>
        <v>0</v>
      </c>
      <c r="HG214" s="1684" t="b">
        <f>IFERROR(IF(AND(__Retrofit_TI_NC&gt;0,CQ213="Interior"),FALSE,TRUE),FALSE)</f>
        <v>1</v>
      </c>
      <c r="HH214" s="1684" t="b">
        <f>IFERROR(IF(M214=1,TRUE,FALSE),FALSE)</f>
        <v>0</v>
      </c>
      <c r="HI214" s="1684" t="b">
        <f>IFERROR(IF(OR(M215=1,N216="BAM"),TRUE,FALSE),FALSE)</f>
        <v>0</v>
      </c>
      <c r="HJ214" s="1684" t="b">
        <f>IFERROR(IF(__Retrofit_TI_NC&lt;&gt;0,TRUE,IFERROR(IF(VLOOKUP(U214,Fixtures_Existing_List,2,FALSE)&lt;&gt;"",TRUE,FALSE),FALSE)),FALSE)</f>
        <v>0</v>
      </c>
      <c r="HK214" s="1684" t="b">
        <f>IFERROR(IF(VLOOKUP(U215,Fixtures_Proposed_List,2,FALSE)&lt;&gt;"",TRUE,FALSE),FALSE)</f>
        <v>0</v>
      </c>
      <c r="HL214" s="1684" t="b">
        <f>IF(AND(__Retrofit_TI_NC=2,FC213=TRUE),FALSE,TRUE)</f>
        <v>1</v>
      </c>
      <c r="HM214" s="1684" t="b">
        <f>GK213</f>
        <v>1</v>
      </c>
      <c r="HN214" s="1682" t="b">
        <f>IF(ISERROR(MATCH(FE213,_Control_Match[],0))=TRUE,FALSE,TRUE)</f>
        <v>0</v>
      </c>
      <c r="HO214" s="1693" t="b">
        <f>IFERROR(IF(EX213&lt;&gt;EY213,FALSE,TRUE),FALSE)</f>
        <v>1</v>
      </c>
      <c r="HP214" s="1693" t="b">
        <f>IFERROR(IF(EX215&lt;&gt;EY215,FALSE,TRUE),FALSE)</f>
        <v>1</v>
      </c>
      <c r="HQ214" s="1670" t="b">
        <f>IFERROR(IF(CQ213="Exterior",TRUE,IF(AND(OR(FM215=0,FM215=3),JD215&gt;6),FALSE,TRUE)),FALSE)</f>
        <v>0</v>
      </c>
      <c r="HR214" s="1684" t="b">
        <f>IFERROR(IF(AND(FO215=7,FC213=TRUE),FALSE,TRUE),FALSE)</f>
        <v>0</v>
      </c>
      <c r="HS214" s="1684" t="b">
        <f>IFERROR(IF(AND(T215&lt;&gt;AF215,OR(AG215="Interior LLLC", AG215="Interior NLC", AG215="LLLC (outside Daylight)",AG215="LLLC Controls Only"))=TRUE,FALSE,TRUE),FALSE)</f>
        <v>1</v>
      </c>
      <c r="HT214" s="1670" t="b">
        <f>IFERROR(IF(OR(AG215=Lookup!BB$17,AG215=Lookup!BB$18,AG215=Lookup!BB$19)=TRUE,IF(AF215&gt;T215,FALSE,TRUE),TRUE),FALSE)</f>
        <v>1</v>
      </c>
      <c r="HU214" s="1684" t="b">
        <f>IFERROR(IF(__Retrofit_TI_NC=2,IF(EZ215&lt;EZ213,FALSE,TRUE),TRUE),FALSE)</f>
        <v>1</v>
      </c>
      <c r="HV214" s="1684" t="b">
        <f>IF(CQ213="Interior",IL$6,TRUE)</f>
        <v>1</v>
      </c>
      <c r="HW214" s="1684" t="b">
        <f>IF(CQ213="Exterior",IL$8,TRUE)</f>
        <v>1</v>
      </c>
      <c r="HX214" s="1684" t="b">
        <f>IFERROR(IF(__Retrofit_TI_NC&lt;&gt;0,IF(AZ213&lt;AY213,FALSE,TRUE),TRUE),FALSE)</f>
        <v>1</v>
      </c>
      <c r="HY214" s="1684" t="b">
        <f>IFERROR(IF(AND(G214="Exterior",R214&gt;4200),FALSE,TRUE),FALSE)</f>
        <v>1</v>
      </c>
      <c r="HZ214" s="1684" t="b">
        <f>IFERROR(IF(AB216/AB213&lt;HZ$18,FALSE,TRUE),FALSE)</f>
        <v>0</v>
      </c>
      <c r="IB214" s="1691"/>
      <c r="IC214" s="1695"/>
      <c r="ID214" s="1694" t="str">
        <f>VLOOKUP(IB216,_Error_Table,4,FALSE)</f>
        <v>White</v>
      </c>
      <c r="IE214" s="391"/>
      <c r="IF214" s="1688"/>
      <c r="IG214" s="1689"/>
      <c r="IH214" s="1684"/>
      <c r="IK214" s="1689"/>
      <c r="IL214" s="1691"/>
      <c r="IM214" s="1691"/>
      <c r="IN214" s="1691"/>
      <c r="IP214" s="1679"/>
      <c r="IQ214" s="1679"/>
      <c r="IR214" s="1679"/>
      <c r="IS214" s="1679"/>
      <c r="IT214" s="1679"/>
      <c r="IU214" s="1679"/>
      <c r="IV214" s="1679"/>
      <c r="IW214" s="1679"/>
      <c r="IX214" s="1679"/>
      <c r="IY214" s="1679"/>
      <c r="IZ214" s="1679"/>
      <c r="JA214" s="1679"/>
      <c r="JC214" s="1680"/>
      <c r="JD214" s="1670"/>
      <c r="JE214" s="1681"/>
      <c r="JG214" s="1680"/>
      <c r="JH214" s="1670"/>
      <c r="JI214" s="1060"/>
      <c r="JJ214" s="1683"/>
      <c r="JK214" s="1061"/>
      <c r="JL214" s="1683"/>
      <c r="JM214" s="1061"/>
      <c r="JN214" s="1683"/>
      <c r="JO214" s="1061"/>
      <c r="JP214" s="1683"/>
      <c r="JQ214" s="1061"/>
      <c r="JR214" s="1683"/>
      <c r="JS214" s="1061"/>
      <c r="JT214" s="1670"/>
      <c r="JU214" s="1061"/>
      <c r="JV214" s="1670"/>
      <c r="JX214" s="1670"/>
      <c r="JZ214" s="1683"/>
      <c r="KB214" s="1670"/>
    </row>
    <row r="215" spans="1:288" s="78" customFormat="1" ht="14.95" customHeight="1" thickTop="1" thickBot="1">
      <c r="A215" s="78">
        <f>ROW()</f>
        <v>215</v>
      </c>
      <c r="B215" s="1845"/>
      <c r="C215" s="1846"/>
      <c r="D215" s="1847"/>
      <c r="E215" s="1737" t="s">
        <v>298</v>
      </c>
      <c r="F215" s="1738"/>
      <c r="G215" s="1760"/>
      <c r="H215" s="1761"/>
      <c r="I215" s="1761"/>
      <c r="J215" s="1761"/>
      <c r="K215" s="1761"/>
      <c r="L215" s="1762"/>
      <c r="M215" s="461">
        <f>IFERROR(IF(IF(__Retrofit_TI_NC&lt;&gt;0,IF(CQ213="Interior",MATCH(G215,Lookup_Interior_New,0),MATCH(G215,Lookup_Exterior_New,0)),IF(CQ213="Interior",MATCH(G215,Lookup_Interior,0),MATCH(G215,Lookup_Exterior_Areas,0)))&gt;0,1,0),0)</f>
        <v>0</v>
      </c>
      <c r="N215" s="461" t="e">
        <f>IF(__Retrofit_TI_NC=1,
VLOOKUP(G215,'Space Table'!$B$3:$L$163,4,FALSE),
IF(__Retrofit_TI_NC=2,VLOOKUP(G215,'Space Table'!$B$3:$L$163,5,FALSE),VLOOKUP(G215,'Space Table'!$B$3:$L$163,5,FALSE)))</f>
        <v>#N/A</v>
      </c>
      <c r="O215" s="461">
        <f>G215</f>
        <v>0</v>
      </c>
      <c r="P215" s="1738" t="str">
        <f>IFERROR(IF(__Retrofit_TI_NC=1,VLOOKUP(G215,'Space Table'!$B$3:$O$163,13,FALSE),IF(__Retrofit_TI_NC=2,VLOOKUP(G215,'Space Table'!$B$3:$O$163,14,FALSE),"Area (sf):")),"Area (sf):")</f>
        <v>Area (sf):</v>
      </c>
      <c r="Q215" s="1738"/>
      <c r="R215" s="596"/>
      <c r="S215" s="1763" t="s">
        <v>345</v>
      </c>
      <c r="T215" s="594"/>
      <c r="U215" s="1801"/>
      <c r="V215" s="1802"/>
      <c r="W215" s="1802"/>
      <c r="X215" s="1802"/>
      <c r="Y215" s="1802"/>
      <c r="Z215" s="1802"/>
      <c r="AA215" s="1802"/>
      <c r="AB215" s="1802"/>
      <c r="AC215" s="1802"/>
      <c r="AD215" s="1802"/>
      <c r="AE215" s="1803"/>
      <c r="AF215" s="594"/>
      <c r="AG215" s="1787"/>
      <c r="AH215" s="1787"/>
      <c r="AI215" s="1787"/>
      <c r="AJ215" s="1787"/>
      <c r="AK215" s="1787"/>
      <c r="AL215" s="1787"/>
      <c r="AM215" s="1726">
        <f>IFERROR(DI215,"")</f>
        <v>0</v>
      </c>
      <c r="AN215" s="1728" t="str">
        <f>IFERROR(ROUND(AM215*AC216,0),"")</f>
        <v/>
      </c>
      <c r="AO215" s="1730">
        <f>IFERROR(IF(IB213=FALSE,0,AC216-AN215),0)</f>
        <v>0</v>
      </c>
      <c r="AP215" s="1780"/>
      <c r="AQ215" s="1781"/>
      <c r="AR215" s="1795"/>
      <c r="AS215" s="1795"/>
      <c r="AT215" s="1796"/>
      <c r="AU215" s="1735"/>
      <c r="AV215" s="1752"/>
      <c r="AW215" s="1705"/>
      <c r="AX215" s="467"/>
      <c r="AY215" s="1749"/>
      <c r="AZ215" s="1749"/>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696"/>
      <c r="CQ215" s="1696"/>
      <c r="CR215" s="1808" t="str">
        <f>CQ213</f>
        <v/>
      </c>
      <c r="CS215" s="1810" t="str">
        <f>CS213</f>
        <v/>
      </c>
      <c r="CU215" s="1688" t="s">
        <v>345</v>
      </c>
      <c r="CV215" s="1702">
        <f>IF(IB213=TRUE,T215,0)</f>
        <v>0</v>
      </c>
      <c r="CW215" s="1702" t="str">
        <f>IF(IB213=TRUE,U215,"")</f>
        <v/>
      </c>
      <c r="CX215" s="1812">
        <f>IF(IB213=TRUE,U216,0)</f>
        <v>0</v>
      </c>
      <c r="CY215" s="1814">
        <f>IF(IB213=TRUE,AB216,0)</f>
        <v>0</v>
      </c>
      <c r="CZ215" s="1710">
        <f>IF(AND(__Retrofit_TI_NC&gt;0,CR213="interior"),0,IF(IB213=TRUE,AC216,0))</f>
        <v>0</v>
      </c>
      <c r="DA215" s="1818"/>
      <c r="DB215" s="1820"/>
      <c r="DC215" s="1820"/>
      <c r="DD215" s="1820"/>
      <c r="DF215" s="1702">
        <f>IF(IB213=TRUE,AF215,0)</f>
        <v>0</v>
      </c>
      <c r="DG215" s="1830" t="str">
        <f>IF(IB213=TRUE,AG215,"")</f>
        <v/>
      </c>
      <c r="DH215" s="1812">
        <f>AG216</f>
        <v>0</v>
      </c>
      <c r="DI215" s="1837">
        <f>JE215</f>
        <v>0</v>
      </c>
      <c r="DJ215" s="1710">
        <f>IF(AND(__Retrofit_TI_NC&gt;0,CR213="interior"),0,IF(IB213=TRUE,AN215,0))</f>
        <v>0</v>
      </c>
      <c r="DK215" s="1712"/>
      <c r="DN215" s="1717">
        <f>IFERROR(CZ215-DJ215,0)</f>
        <v>0</v>
      </c>
      <c r="DO215" s="1709"/>
      <c r="DQ215" s="1715"/>
      <c r="DR215" s="1719" t="str">
        <f>DQ213</f>
        <v/>
      </c>
      <c r="DS215" s="1816"/>
      <c r="DT215" s="1835" t="str">
        <f>IF(OR(DS213=7,DS213=8,DS213=9),"ALC","")</f>
        <v/>
      </c>
      <c r="DU215" s="1715"/>
      <c r="DV215" s="1716"/>
      <c r="DX215" s="1715"/>
      <c r="DY215" s="1829" t="str">
        <f>DX213</f>
        <v/>
      </c>
      <c r="DZ215" s="1715"/>
      <c r="EA215" s="1715"/>
      <c r="EC215" s="1834"/>
      <c r="ED215" s="1834"/>
      <c r="EF215" s="1707"/>
      <c r="EG215" s="1712"/>
      <c r="EH215" s="1818"/>
      <c r="EI215" s="1712"/>
      <c r="EJ215" s="1712"/>
      <c r="EK215" s="1836"/>
      <c r="EL215" s="1836"/>
      <c r="EM215" s="1807"/>
      <c r="EN215" s="1839"/>
      <c r="EO215" s="1839"/>
      <c r="EP215" s="1817"/>
      <c r="EQ215" s="1817"/>
      <c r="ER215" s="1807"/>
      <c r="ES215" s="1807"/>
      <c r="ET215" s="1807"/>
      <c r="EV215" s="1715"/>
      <c r="EX215" s="1805" t="str">
        <f>IFERROR(VLOOKUP(CS215,'Space Table'!$B$3:$L$163,8,FALSE),"")</f>
        <v/>
      </c>
      <c r="EY215" s="1805" t="str">
        <f>IFERROR(IF(FB215="Yes",VLOOKUP(AG215,Lookup_Control_Type_Table2,4,FALSE),VLOOKUP(AG215,Lookup_Control_Type_Table2,3,FALSE)),"")</f>
        <v/>
      </c>
      <c r="EZ215" s="1805" t="e">
        <f>VLOOKUP(AG215,Lookup!BB$3:BC$20,2,FALSE)</f>
        <v>#N/A</v>
      </c>
      <c r="FA215" s="1805" t="e">
        <f>VLOOKUP(EX213,Lookup_Control_Type_Table,2,FALSE)</f>
        <v>#N/A</v>
      </c>
      <c r="FB215" s="1805" t="e">
        <f>VLOOKUP(CS215,'Space Table'!$B$3:$L$163,7,FALSE)</f>
        <v>#N/A</v>
      </c>
      <c r="FC215" s="1827"/>
      <c r="FE215" s="1698" t="str">
        <f>CONCATENATE(CQ213," - ",AG215)</f>
        <v xml:space="preserve"> - </v>
      </c>
      <c r="FG215" s="1816"/>
      <c r="FH215" s="1816"/>
      <c r="FI215" s="133"/>
      <c r="FL215" s="1822" t="str">
        <f>IF(CQ213="Exterior","Not Daylighted",G216)</f>
        <v>Not Daylighted</v>
      </c>
      <c r="FM215" s="1824">
        <f>VLOOKUP(FL215,_New_Daylight_Table_Codes,2,FALSE)</f>
        <v>0</v>
      </c>
      <c r="FN215" s="1698">
        <f>AG215</f>
        <v>0</v>
      </c>
      <c r="FO215" s="1698" t="e">
        <f>VLOOKUP(FN215,_Control_Table,2,FALSE)</f>
        <v>#N/A</v>
      </c>
      <c r="FP215" s="1678" t="e">
        <f>VLOOKUP(CONCATENATE(FL215," ",FN215),Lookup!AY$102:AZ226,2,FALSE)</f>
        <v>#N/A</v>
      </c>
      <c r="FQ215" s="1698">
        <f>IF(__Retrofit_TI_NC=0,FN215,IF(AND(FT215&gt;0,FN215="Occupancy Sensor"),"Daylight + Occupancy",IF(AND(FT215&gt;0,FO215&lt;4),"Interior Daylight Dimming",FN215)))</f>
        <v>0</v>
      </c>
      <c r="FS215" s="1686">
        <f>IF(CQ213="Interior",VLOOKUP(CS213,Control_Savings_Interior,5,FALSE),0)</f>
        <v>0</v>
      </c>
      <c r="FT215" s="1687">
        <f>IF(CQ215="Exterior",0,IF(FM215=2,0.5,IF(OR(FM215=1,FM215=3),1,0)))</f>
        <v>0</v>
      </c>
      <c r="FU215" s="1685">
        <f>IF(R214&gt;FS$44,(FS215*(FS$44/R214)),FS215)*FT215</f>
        <v>0</v>
      </c>
      <c r="FV215" s="1686">
        <f>DI215</f>
        <v>0</v>
      </c>
      <c r="FW215" s="1686">
        <f>ROUND(FV215+((1-FV215)*FU215),2)</f>
        <v>0</v>
      </c>
      <c r="FX215" s="1686">
        <f>IF(__Retrofit_TI_NC=2,FW215,FV215)</f>
        <v>0</v>
      </c>
      <c r="FY215" s="1697">
        <f>IF(CR215="Interior",VLOOKUP(CS215,Control_Savings_Interior,4,FALSE),0)</f>
        <v>0</v>
      </c>
      <c r="GA215" s="1696"/>
      <c r="GB215" s="1696"/>
      <c r="GC215" s="1696"/>
      <c r="GD215" s="1696"/>
      <c r="GE215" s="1696"/>
      <c r="GF215" s="1696"/>
      <c r="GG215" s="1696"/>
      <c r="GH215" s="1696"/>
      <c r="GI215" s="673" t="b">
        <f>IF(ISNUMBER(SEARCH("TLED",U215)),TRUE,FALSE)</f>
        <v>0</v>
      </c>
      <c r="GJ215" s="1135" t="str">
        <f>IFERROR(VLOOKUP(U215,Fixtures!DM$93:DR$142,6,FALSE),"")</f>
        <v/>
      </c>
      <c r="GK215" s="1832"/>
      <c r="GM215" s="1692"/>
      <c r="GN215" s="1684"/>
      <c r="GP215" s="1684"/>
      <c r="GQ215" s="1684"/>
      <c r="HG215" s="1684"/>
      <c r="HH215" s="1684"/>
      <c r="HI215" s="1684"/>
      <c r="HJ215" s="1684"/>
      <c r="HK215" s="1684"/>
      <c r="HL215" s="1684"/>
      <c r="HM215" s="1684"/>
      <c r="HN215" s="1683"/>
      <c r="HO215" s="1692"/>
      <c r="HP215" s="1692"/>
      <c r="HQ215" s="1670"/>
      <c r="HR215" s="1684"/>
      <c r="HS215" s="1684"/>
      <c r="HT215" s="1670"/>
      <c r="HU215" s="1684"/>
      <c r="HV215" s="1684"/>
      <c r="HW215" s="1684"/>
      <c r="HX215" s="1684"/>
      <c r="HY215" s="1684"/>
      <c r="HZ215" s="1684"/>
      <c r="IB215" s="1692"/>
      <c r="IC215" s="1693" t="b">
        <f>IB213</f>
        <v>0</v>
      </c>
      <c r="ID215" s="1695"/>
      <c r="IE215" s="391"/>
      <c r="IF215" s="1688"/>
      <c r="IG215" s="1689">
        <f ca="1">IF(IF213=TRUE,AC216,0)</f>
        <v>0</v>
      </c>
      <c r="IH215" s="1684"/>
      <c r="IK215" s="1689" t="e">
        <f>ROUND(T215*AB216*N214*R214/1000,0)</f>
        <v>#VALUE!</v>
      </c>
      <c r="IL215" s="1691"/>
      <c r="IM215" s="1693" t="e">
        <f>ROUND(T215*AB216*N214*R214/1000,0)</f>
        <v>#VALUE!</v>
      </c>
      <c r="IN215" s="1691"/>
      <c r="IP215" s="1679"/>
      <c r="IQ215" s="1679" t="e">
        <f t="shared" ref="IQ215:IU215" si="177">IF($CR215="interior",VLOOKUP($CS215,_New_Control_Savings_Interior,IQ$30,FALSE),VLOOKUP($CS215,Control_Savings_Exterior,IQ$30,FALSE))</f>
        <v>#N/A</v>
      </c>
      <c r="IR215" s="1679" t="e">
        <f t="shared" si="177"/>
        <v>#N/A</v>
      </c>
      <c r="IS215" s="1679" t="e">
        <f t="shared" si="177"/>
        <v>#N/A</v>
      </c>
      <c r="IT215" s="1679" t="e">
        <f t="shared" si="177"/>
        <v>#N/A</v>
      </c>
      <c r="IU215" s="1679" t="e">
        <f t="shared" si="177"/>
        <v>#N/A</v>
      </c>
      <c r="IV215" s="1679" t="e">
        <f>IF($CR215="interior",IF(R214&gt;$IP$14,ROUND(($IV$18*($IP$14/R214)),2),$IV$18),VLOOKUP($CS215,Control_Savings_Exterior,IV$30,FALSE))</f>
        <v>#N/A</v>
      </c>
      <c r="IW215" s="1679" t="e">
        <f>IF($CR215="interior",ROUND(((1-IS215)*IV215)+IS215,2),VLOOKUP($CS215,Control_Savings_Exterior,IW$30,FALSE))</f>
        <v>#N/A</v>
      </c>
      <c r="IX215" s="1679" t="e">
        <f>IF($CR215="interior",ROUND(((1-IT215)*IV215)+IT215,2),VLOOKUP($CS215,Control_Savings_Exterior,IX$30,FALSE))</f>
        <v>#N/A</v>
      </c>
      <c r="IY215" s="1679" t="e">
        <f>IF($CR215="interior",IF(R214&gt;$IP$14,ROUND(($IY$18*($IP$14/R214)),2),$IY$18),VLOOKUP($CS215,Control_Savings_Exterior,IY$30,FALSE))</f>
        <v>#N/A</v>
      </c>
      <c r="IZ215" s="1679" t="e">
        <f>IF($CR215="interior",ROUND(((1-IS215)*IY215)+IS215,2),VLOOKUP($CS215,Control_Savings_Exterior,IZ$30,FALSE))</f>
        <v>#N/A</v>
      </c>
      <c r="JA215" s="1679" t="e">
        <f>IF($CR215="interior",ROUND(((1-IT215)*IY215)+IT215,2),VLOOKUP($CS215,Control_Savings_Exterior,JA$30,FALSE))</f>
        <v>#N/A</v>
      </c>
      <c r="JC215" s="1680">
        <f>IFERROR(IF(CR215="Interior",CONCATENATE(G216," ",FQ215),AG215),"")</f>
        <v>0</v>
      </c>
      <c r="JD215" s="1670" t="str">
        <f>IFERROR(VLOOKUP(JC215,_Controls_2023,2,FALSE),"")</f>
        <v/>
      </c>
      <c r="JE215" s="1681">
        <f>IFERROR(CHOOSE(JD215-1,IQ215,IR215,IS215,IT215,IU215,IV215,IW215,IX215,IY215,IZ215,JA215),0)</f>
        <v>0</v>
      </c>
      <c r="JG215" s="1680" t="str">
        <f>FE215</f>
        <v xml:space="preserve"> - </v>
      </c>
      <c r="JH215" s="1670" t="e">
        <f>$FO215</f>
        <v>#N/A</v>
      </c>
      <c r="JI215" s="1060"/>
      <c r="JJ215" s="1670">
        <f>IFERROR(IF($IB213=TRUE,IF(OR(JJ$14="No",JJ213=FALSE,JH215&lt;=JH213,AND(_kWh_Grant=0,GD213=FALSE)),0,IF(JJ$8="Per Line",1,$AF215)),0),0)</f>
        <v>0</v>
      </c>
      <c r="JK215" s="1061"/>
      <c r="JL215" s="1670">
        <f>IFERROR(IF(_kWh_Grant=0,0,IF($IB213=TRUE,IF(OR(JL$14="No",JL213=FALSE,JH215&lt;=JH213),0,IF(JL$8="Per Line",1,$T215)),0)),0)</f>
        <v>0</v>
      </c>
      <c r="JM215" s="1061"/>
      <c r="JN215" s="1670">
        <f>IFERROR(IF(_kWh_Grant=0,0,IF($IB213=TRUE,IF(OR(JN$14="No",JN213=FALSE,JH215&lt;=JH213),0,IF(JN$8="Per Line",1,$AF215)),0)),0)</f>
        <v>0</v>
      </c>
      <c r="JO215" s="1061"/>
      <c r="JP215" s="1670">
        <f>IFERROR(IF(__Retrofit_TI_NC=0,IF(_kWh_Grant=0,0,IF($IB213=TRUE,IF(OR(JP$14="No",JP213=FALSE,$JH215&lt;=$JH213),0,IF(JP$8="Per Line",1,$AF215)),0)),IF($IB213=TRUE,IF(OR(JP$14="No",JP213=FALSE,$JH215&lt;=$JH213),0,IF(JP$8="Per Line",1,$AF215)))),0)</f>
        <v>0</v>
      </c>
      <c r="JQ215" s="1061"/>
      <c r="JR215" s="1670">
        <f>IFERROR(IF(__Retrofit_TI_NC=0,IF(_kWh_Grant=0,0,IF($IB213=TRUE,IF(OR(JR$14="No",JR213=FALSE,$JH215&lt;=$JH213),0,IF(JR$8="Per Line",1,$AF215)),0)),IF($IB213=TRUE,IF(OR(JR$14="No",JR213=FALSE,$JH215&lt;=$JH213),0,IF(JR$8="Per Line",1,$AF215)))),0)</f>
        <v>0</v>
      </c>
      <c r="JS215" s="1061"/>
      <c r="JT215" s="1670">
        <f>IFERROR(IF(__Retrofit_TI_NC=0,IF(_kWh_Grant=0,0,IF($IB213=TRUE,IF(OR(JT$14="No",JT213=FALSE,$JH215&lt;=$JH213),0,IF(JT$8="Per Line",1,$AF215)),0)),IF($IB213=TRUE,IF(OR(JT$14="No",JT213=FALSE,$JH215&lt;=$JH213),0,IF(JT$8="Per Line",1,$AF215)))),0)</f>
        <v>0</v>
      </c>
      <c r="JU215" s="1061"/>
      <c r="JV215" s="1670">
        <f>IFERROR(IF(__Retrofit_TI_NC=0,IF(_kWh_Grant=0,0,IF($IB213=TRUE,IF(OR(JV$14="No",JV213=FALSE,$JH215&lt;=$JH213),0,IF(JV$8="Per Line",1,$AF215)),0)),IF($IB213=TRUE,IF(OR(JV$14="No",JV213=FALSE,$JH215&lt;=$JH213),0,IF(JV$8="Per Line",1,$AF215)))),0)</f>
        <v>0</v>
      </c>
      <c r="JX215" s="1670">
        <f>IFERROR(IF(__Retrofit_TI_NC=0,IF(_kWh_Grant=0,0,IF($IB213=TRUE,IF(OR(JX$14="No",JX213=FALSE,$JH215&lt;=$JH213),0,IF(JX$8="Per Line",1,$AF215)),0)),IF($IB213=TRUE,IF(OR(JX$14="No",JX213=FALSE,$JH215&lt;=$JH213),0,IF(JX$8="Per Line",1,$AF215)))),0)</f>
        <v>0</v>
      </c>
      <c r="JZ215" s="1670">
        <f>IFERROR(IF($IB213=TRUE,IF(OR(JZ$14="No",JZ213=FALSE,$JH215&lt;=$JH213,AND(_kWh_Grant=0,$GD213=FALSE)),0,IF(JZ$8="Per Line",1,$AF215)),0),0)</f>
        <v>0</v>
      </c>
      <c r="KB215" s="1670">
        <f>IFERROR(IF(__Retrofit_TI_NC=0,IF(_kWh_Grant=0,0,IF($IB213=TRUE,IF(OR(KB$14="No",KB213=FALSE,$JH215&lt;=$JH213),0,IF(KB$8="Per Line",1,$AF215)),0)),IF($IB213=TRUE,IF(OR(KB$14="No",KB213=FALSE,$JH215&lt;=$JH213),0,IF(KB$8="Per Line",1,$AF215)))),0)</f>
        <v>0</v>
      </c>
    </row>
    <row r="216" spans="1:288" s="78" customFormat="1" ht="14.95" customHeight="1" thickTop="1" thickBot="1">
      <c r="B216" s="1845"/>
      <c r="C216" s="1846"/>
      <c r="D216" s="1847"/>
      <c r="E216" s="1771" t="s">
        <v>436</v>
      </c>
      <c r="F216" s="1772"/>
      <c r="G216" s="1784" t="s">
        <v>437</v>
      </c>
      <c r="H216" s="1785"/>
      <c r="I216" s="1785"/>
      <c r="J216" s="1785"/>
      <c r="K216" s="1785"/>
      <c r="L216" s="1786"/>
      <c r="M216" s="591">
        <f>IFERROR(VLOOKUP(G216,_Daylight_Table[],2,FALSE),0)</f>
        <v>0</v>
      </c>
      <c r="N216" s="592" t="str">
        <f>IF(AND(__Retrofit_TI_NC&gt;0,CQ213="Interior"),"BAM","")</f>
        <v/>
      </c>
      <c r="O216" s="591" t="e">
        <f>VLOOKUP(G215,'Space Table'!$B$3:$L$163,11,FALSE)</f>
        <v>#N/A</v>
      </c>
      <c r="P216" s="1789"/>
      <c r="Q216" s="1790"/>
      <c r="R216" s="1790"/>
      <c r="S216" s="1788"/>
      <c r="T216" s="593" t="s">
        <v>342</v>
      </c>
      <c r="U216" s="1756" t="str" cm="1">
        <f t="array" aca="1" ref="U216" ca="1">IFERROR(VLOOKUP(INDIRECT("U" &amp; ROW()-1),Fixtures!DM$93:DP$142,4,FALSE),"")</f>
        <v/>
      </c>
      <c r="V216" s="1757"/>
      <c r="W216" s="1757"/>
      <c r="X216" s="1757"/>
      <c r="Y216" s="1757"/>
      <c r="Z216" s="1757"/>
      <c r="AA216" s="1758"/>
      <c r="AB216" s="939" t="str">
        <f>IFERROR(VLOOKUP(U215,Fixtures_Proposed_List,2,FALSE),"")</f>
        <v/>
      </c>
      <c r="AC216" s="933" t="str">
        <f>IFERROR(ROUND(T215*AB216*N214*R214/1000,0),"")</f>
        <v/>
      </c>
      <c r="AD216" s="934" t="str">
        <f>IFERROR(ROUND(T215*AB216/1000,2),"")</f>
        <v/>
      </c>
      <c r="AE216" s="998"/>
      <c r="AF216" s="938" t="s">
        <v>342</v>
      </c>
      <c r="AG216" s="1770"/>
      <c r="AH216" s="1770"/>
      <c r="AI216" s="1770"/>
      <c r="AJ216" s="1770"/>
      <c r="AK216" s="1770"/>
      <c r="AL216" s="1770"/>
      <c r="AM216" s="1727"/>
      <c r="AN216" s="1729"/>
      <c r="AO216" s="1731"/>
      <c r="AP216" s="1782"/>
      <c r="AQ216" s="1783"/>
      <c r="AR216" s="1797"/>
      <c r="AS216" s="1797"/>
      <c r="AT216" s="1798"/>
      <c r="AU216" s="1736"/>
      <c r="AV216" s="1753"/>
      <c r="AW216" s="1706"/>
      <c r="AX216" s="468"/>
      <c r="AY216" s="1750"/>
      <c r="AZ216" s="1750"/>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696"/>
      <c r="CQ216" s="1696"/>
      <c r="CR216" s="1809"/>
      <c r="CS216" s="1811"/>
      <c r="CU216" s="1688"/>
      <c r="CV216" s="1703"/>
      <c r="CW216" s="1703"/>
      <c r="CX216" s="1813"/>
      <c r="CY216" s="1815"/>
      <c r="CZ216" s="1711"/>
      <c r="DA216" s="1815"/>
      <c r="DB216" s="1821"/>
      <c r="DC216" s="1821"/>
      <c r="DD216" s="1821"/>
      <c r="DF216" s="1703"/>
      <c r="DG216" s="1831"/>
      <c r="DH216" s="1813"/>
      <c r="DI216" s="1838"/>
      <c r="DJ216" s="1711"/>
      <c r="DK216" s="1712"/>
      <c r="DN216" s="1718"/>
      <c r="DO216" s="1709"/>
      <c r="DQ216" s="1715"/>
      <c r="DR216" s="1720"/>
      <c r="DS216" s="1703"/>
      <c r="DT216" s="1714"/>
      <c r="DU216" s="1715"/>
      <c r="DV216" s="1716"/>
      <c r="DX216" s="1715"/>
      <c r="DY216" s="1720"/>
      <c r="DZ216" s="1715"/>
      <c r="EA216" s="1715"/>
      <c r="EC216" s="1834"/>
      <c r="ED216" s="1834"/>
      <c r="EF216" s="1707"/>
      <c r="EG216" s="1712"/>
      <c r="EH216" s="1815"/>
      <c r="EI216" s="1712"/>
      <c r="EJ216" s="1712"/>
      <c r="EK216" s="1813"/>
      <c r="EL216" s="1813"/>
      <c r="EM216" s="1807"/>
      <c r="EN216" s="1839"/>
      <c r="EO216" s="1839"/>
      <c r="EP216" s="1817"/>
      <c r="EQ216" s="1817"/>
      <c r="ER216" s="1807"/>
      <c r="ES216" s="1807"/>
      <c r="ET216" s="1807"/>
      <c r="EV216" s="1715"/>
      <c r="EX216" s="1806"/>
      <c r="EY216" s="1806"/>
      <c r="EZ216" s="1806"/>
      <c r="FA216" s="1806"/>
      <c r="FB216" s="1806"/>
      <c r="FC216" s="1828"/>
      <c r="FE216" s="1698"/>
      <c r="FG216" s="1703"/>
      <c r="FH216" s="1703"/>
      <c r="FI216" s="133"/>
      <c r="FL216" s="1823"/>
      <c r="FM216" s="1825"/>
      <c r="FN216" s="1698"/>
      <c r="FO216" s="1698"/>
      <c r="FP216" s="1678"/>
      <c r="FQ216" s="1698"/>
      <c r="FS216" s="1687"/>
      <c r="FT216" s="1687"/>
      <c r="FU216" s="1685"/>
      <c r="FV216" s="1687"/>
      <c r="FW216" s="1687"/>
      <c r="FX216" s="1687"/>
      <c r="FY216" s="1697"/>
      <c r="GA216" s="1696"/>
      <c r="GB216" s="1696"/>
      <c r="GC216" s="1696"/>
      <c r="GD216" s="1696"/>
      <c r="GE216" s="1696"/>
      <c r="GF216" s="1696"/>
      <c r="GG216" s="1696"/>
      <c r="GH216" s="1696"/>
      <c r="GI216" s="673"/>
      <c r="GJ216" s="1135"/>
      <c r="GK216" s="1832"/>
      <c r="GN216" s="674">
        <f>IF(GN214=TRUE,0,GN$16)</f>
        <v>0</v>
      </c>
      <c r="GP216" s="674">
        <f>IF(GP214=TRUE,0,GP$16)</f>
        <v>36</v>
      </c>
      <c r="GQ216" s="674">
        <f ca="1">IF(GQ214=TRUE,0,GQ$16)</f>
        <v>35</v>
      </c>
      <c r="GR216" s="391"/>
      <c r="GS216" s="391"/>
      <c r="GT216" s="391"/>
      <c r="GU216" s="391"/>
      <c r="GV216" s="391"/>
      <c r="HG216" s="674">
        <f>IF(HG214=TRUE,0,HG$16)</f>
        <v>0</v>
      </c>
      <c r="HH216" s="674">
        <f t="shared" ref="HH216:HM216" si="178">IF(HH214=TRUE,0,HH$16)</f>
        <v>19</v>
      </c>
      <c r="HI216" s="674">
        <f t="shared" si="178"/>
        <v>18</v>
      </c>
      <c r="HJ216" s="674">
        <f t="shared" si="178"/>
        <v>17</v>
      </c>
      <c r="HK216" s="674">
        <f t="shared" si="178"/>
        <v>16</v>
      </c>
      <c r="HL216" s="674">
        <f t="shared" si="178"/>
        <v>0</v>
      </c>
      <c r="HM216" s="674">
        <f t="shared" si="178"/>
        <v>0</v>
      </c>
      <c r="HN216" s="674">
        <f>IF(HN214=TRUE,0,HN$16)</f>
        <v>13</v>
      </c>
      <c r="HO216" s="674">
        <f t="shared" ref="HO216:HQ216" si="179">IF(HO214=TRUE,0,HO$16)</f>
        <v>0</v>
      </c>
      <c r="HP216" s="674">
        <f t="shared" si="179"/>
        <v>0</v>
      </c>
      <c r="HQ216" s="674">
        <f t="shared" si="179"/>
        <v>10</v>
      </c>
      <c r="HR216" s="674">
        <f>IF(HR214=TRUE,0,HR$16)</f>
        <v>9</v>
      </c>
      <c r="HS216" s="674">
        <f t="shared" ref="HS216:HW216" si="180">IF(HS214=TRUE,0,HS$16)</f>
        <v>0</v>
      </c>
      <c r="HT216" s="674">
        <f t="shared" si="180"/>
        <v>0</v>
      </c>
      <c r="HU216" s="674">
        <f t="shared" si="180"/>
        <v>0</v>
      </c>
      <c r="HV216" s="674">
        <f t="shared" si="180"/>
        <v>0</v>
      </c>
      <c r="HW216" s="674">
        <f t="shared" si="180"/>
        <v>0</v>
      </c>
      <c r="HX216" s="674">
        <f>IF(HX214=TRUE,0,HX$16)</f>
        <v>0</v>
      </c>
      <c r="HY216" s="674">
        <f>IF(HY214=TRUE,0,HY$16)</f>
        <v>0</v>
      </c>
      <c r="HZ216" s="674">
        <f>IF(HZ214=TRUE,0,HZ$16)</f>
        <v>1</v>
      </c>
      <c r="IB216" s="674">
        <f>IF(GP214=FALSE,GP216,IF(GQ214=FALSE,GQ216,MAX(GN216:HZ216)))</f>
        <v>36</v>
      </c>
      <c r="IC216" s="1692"/>
      <c r="ID216" s="205" t="str">
        <f>VLOOKUP(IB216,_Error_Table,3,FALSE)</f>
        <v xml:space="preserve"> </v>
      </c>
      <c r="IE216" s="205"/>
      <c r="IF216" s="1688"/>
      <c r="IG216" s="1689"/>
      <c r="IH216" s="1684"/>
      <c r="IK216" s="1689"/>
      <c r="IL216" s="1692"/>
      <c r="IM216" s="1692"/>
      <c r="IN216" s="1692"/>
      <c r="IP216" s="1679"/>
      <c r="IQ216" s="1679"/>
      <c r="IR216" s="1679"/>
      <c r="IS216" s="1679"/>
      <c r="IT216" s="1679"/>
      <c r="IU216" s="1679"/>
      <c r="IV216" s="1679"/>
      <c r="IW216" s="1679"/>
      <c r="IX216" s="1679"/>
      <c r="IY216" s="1679"/>
      <c r="IZ216" s="1679"/>
      <c r="JA216" s="1679"/>
      <c r="JC216" s="1680"/>
      <c r="JD216" s="1670"/>
      <c r="JE216" s="1681"/>
      <c r="JG216" s="1680"/>
      <c r="JH216" s="1670"/>
      <c r="JI216" s="1060"/>
      <c r="JJ216" s="1670"/>
      <c r="JK216" s="1061"/>
      <c r="JL216" s="1670"/>
      <c r="JM216" s="1061"/>
      <c r="JN216" s="1670"/>
      <c r="JO216" s="1061"/>
      <c r="JP216" s="1670"/>
      <c r="JQ216" s="1061"/>
      <c r="JR216" s="1670"/>
      <c r="JS216" s="1061"/>
      <c r="JT216" s="1670"/>
      <c r="JU216" s="1061"/>
      <c r="JV216" s="1670"/>
      <c r="JX216" s="1670"/>
      <c r="JZ216" s="1670"/>
      <c r="KB216" s="1670"/>
    </row>
    <row r="217" spans="1:288" s="78" customFormat="1" ht="5.0999999999999996" customHeight="1">
      <c r="B217" s="676"/>
      <c r="C217" s="392"/>
      <c r="D217" s="392"/>
      <c r="E217" s="1733"/>
      <c r="F217" s="1733"/>
      <c r="G217" s="1733"/>
      <c r="H217" s="1733"/>
      <c r="I217" s="1733"/>
      <c r="J217" s="1733"/>
      <c r="K217" s="1733"/>
      <c r="L217" s="1733"/>
      <c r="M217" s="1733"/>
      <c r="N217" s="1733"/>
      <c r="O217" s="1733"/>
      <c r="P217" s="1733"/>
      <c r="Q217" s="1733"/>
      <c r="R217" s="1733"/>
      <c r="S217" s="1733"/>
      <c r="T217" s="1733"/>
      <c r="U217" s="1733"/>
      <c r="V217" s="1733"/>
      <c r="W217" s="1733"/>
      <c r="X217" s="1733"/>
      <c r="Y217" s="1733"/>
      <c r="Z217" s="1733"/>
      <c r="AA217" s="1733"/>
      <c r="AB217" s="1733"/>
      <c r="AC217" s="1733"/>
      <c r="AD217" s="1733"/>
      <c r="AE217" s="1733"/>
      <c r="AF217" s="1733"/>
      <c r="AG217" s="1733"/>
      <c r="AH217" s="1733"/>
      <c r="AI217" s="1733"/>
      <c r="AJ217" s="1733"/>
      <c r="AK217" s="1733"/>
      <c r="AL217" s="1733"/>
      <c r="AM217" s="1733"/>
      <c r="AN217" s="1733"/>
      <c r="AO217" s="1733"/>
      <c r="AP217" s="1733"/>
      <c r="AQ217" s="1733"/>
      <c r="AR217" s="1733"/>
      <c r="AS217" s="1733"/>
      <c r="AT217" s="1733"/>
      <c r="AU217" s="1733"/>
      <c r="AV217" s="1733"/>
      <c r="AW217" s="1733"/>
      <c r="AX217" s="469"/>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663"/>
      <c r="CQ217" s="663"/>
      <c r="CR217" s="438"/>
      <c r="CS217" s="663"/>
      <c r="CV217" s="391"/>
      <c r="CW217" s="391"/>
      <c r="CX217" s="207"/>
      <c r="CY217" s="208"/>
      <c r="CZ217" s="208"/>
      <c r="DA217" s="208"/>
      <c r="DB217" s="209"/>
      <c r="DC217" s="209"/>
      <c r="DD217" s="209"/>
      <c r="DF217" s="664"/>
      <c r="DG217" s="665"/>
      <c r="DH217" s="666"/>
      <c r="DI217" s="667"/>
      <c r="DJ217" s="668"/>
      <c r="DK217" s="668"/>
      <c r="DN217" s="208"/>
      <c r="DO217" s="664"/>
      <c r="DQ217" s="664"/>
      <c r="DR217" s="669"/>
      <c r="DS217" s="391"/>
      <c r="DT217" s="664"/>
      <c r="DU217" s="664"/>
      <c r="DV217" s="664"/>
      <c r="DX217" s="664"/>
      <c r="DY217" s="664"/>
      <c r="DZ217" s="664"/>
      <c r="EA217" s="664"/>
      <c r="EC217" s="670"/>
      <c r="ED217" s="670"/>
      <c r="EF217" s="668"/>
      <c r="EG217" s="668"/>
      <c r="EH217" s="208"/>
      <c r="EI217" s="668"/>
      <c r="EJ217" s="668"/>
      <c r="EK217" s="207"/>
      <c r="EL217" s="207"/>
      <c r="EM217" s="666"/>
      <c r="EN217" s="671"/>
      <c r="EO217" s="671"/>
      <c r="EP217" s="672"/>
      <c r="EQ217" s="672"/>
      <c r="ER217" s="666"/>
      <c r="ES217" s="666"/>
      <c r="ET217" s="666"/>
      <c r="EV217" s="664"/>
      <c r="EX217" s="391"/>
      <c r="EY217" s="391"/>
      <c r="EZ217" s="391"/>
      <c r="FA217" s="391"/>
      <c r="FB217" s="391"/>
      <c r="FC217" s="391"/>
      <c r="FE217" s="569"/>
      <c r="FG217" s="391"/>
      <c r="FH217" s="391"/>
      <c r="FI217" s="391"/>
      <c r="FS217" s="664"/>
      <c r="FT217" s="391"/>
      <c r="FU217" s="391"/>
      <c r="FV217" s="664"/>
      <c r="FW217" s="664"/>
      <c r="GA217" s="663"/>
      <c r="GB217" s="663"/>
      <c r="GC217" s="663"/>
      <c r="GD217" s="663"/>
      <c r="GE217" s="663"/>
      <c r="GF217" s="663"/>
      <c r="GG217" s="663"/>
      <c r="GH217" s="663"/>
      <c r="GI217" s="665"/>
      <c r="GJ217" s="664"/>
      <c r="GK217" s="664"/>
    </row>
    <row r="218" spans="1:288" s="78" customFormat="1" ht="14.95" customHeight="1">
      <c r="B218" s="1845" t="str">
        <f>ID221</f>
        <v xml:space="preserve"> </v>
      </c>
      <c r="C218" s="1846">
        <f>C213+1</f>
        <v>34</v>
      </c>
      <c r="D218" s="1847"/>
      <c r="E218" s="1799" t="s">
        <v>295</v>
      </c>
      <c r="F218" s="1800"/>
      <c r="G218" s="1741"/>
      <c r="H218" s="1742"/>
      <c r="I218" s="1742"/>
      <c r="J218" s="1742"/>
      <c r="K218" s="1742"/>
      <c r="L218" s="1742"/>
      <c r="M218" s="1742"/>
      <c r="N218" s="1742"/>
      <c r="O218" s="1742"/>
      <c r="P218" s="1742"/>
      <c r="Q218" s="1742"/>
      <c r="R218" s="1742"/>
      <c r="S218" s="1791" t="s">
        <v>344</v>
      </c>
      <c r="T218" s="590"/>
      <c r="U218" s="1743"/>
      <c r="V218" s="1744"/>
      <c r="W218" s="1744"/>
      <c r="X218" s="1744"/>
      <c r="Y218" s="1744"/>
      <c r="Z218" s="1744"/>
      <c r="AA218" s="1744"/>
      <c r="AB218" s="961" t="str">
        <f>IFERROR(IF(__Retrofit_TI_NC=0,VLOOKUP(U219,Fixtures_Existing_List,2,FALSE),ROUND(N220*R220/T220,10)),"")</f>
        <v/>
      </c>
      <c r="AC218" s="935" t="str">
        <f>IFERROR(IF(__Retrofit_TI_NC=0,ROUND(T219*AB218*N219*R219/1000,0),IF(CQ218="Interior",N220*R220*R219*N219*_C406_reduction/1000,N220*R220*R219*N219/1000)),"")</f>
        <v/>
      </c>
      <c r="AD218" s="936" t="str">
        <f>IFERROR(IF(C$43=0,ROUND(T219*AB218/1000,2),N220*R220/1000),"")</f>
        <v/>
      </c>
      <c r="AE218" s="997"/>
      <c r="AF218" s="937"/>
      <c r="AG218" s="1745" t="str">
        <f>IF(__Retrofit_TI_NC=0," Control","Select Advanced Control for New System")</f>
        <v xml:space="preserve"> Control</v>
      </c>
      <c r="AH218" s="1745"/>
      <c r="AI218" s="1745"/>
      <c r="AJ218" s="1745"/>
      <c r="AK218" s="1745"/>
      <c r="AL218" s="1745"/>
      <c r="AM218" s="1746">
        <f>IFERROR(DI218,"")</f>
        <v>0</v>
      </c>
      <c r="AN218" s="1774" t="str">
        <f>IFERROR(ROUND(AM218*AC218,0),"")</f>
        <v/>
      </c>
      <c r="AO218" s="1776">
        <f>IFERROR(IF(IB218=FALSE,0,AC218-AN218),0)</f>
        <v>0</v>
      </c>
      <c r="AP218" s="1778">
        <f>AO218-AO220</f>
        <v>0</v>
      </c>
      <c r="AQ218" s="1779"/>
      <c r="AR218" s="1793">
        <f>IFERROR(IF(IB218=FALSE,0,(T220*U221)+(AF220*AG221)),0)</f>
        <v>0</v>
      </c>
      <c r="AS218" s="1793"/>
      <c r="AT218" s="1794"/>
      <c r="AU218" s="1734" t="s">
        <v>237</v>
      </c>
      <c r="AV218" s="1751">
        <f>IF(AU218="Yes",1,0)</f>
        <v>1</v>
      </c>
      <c r="AW218" s="1704" t="str">
        <f>IF(OR(DQ218=4,DQ218=5,DQ218=6,DQ218=12),CONCATENATE("$",IF(GH218=TRUE,Lookup!$K$10,Lookup!$K$2)," /lamp"),CONCATENATE(TEXT(ED218,"$0.00"),"/ kWh"))</f>
        <v>$0.00/ kWh</v>
      </c>
      <c r="AX218" s="467"/>
      <c r="AY218" s="1748">
        <f ca="1">IFERROR(IF(GM219=TRUE,(AB221*T220)/R220,0),"NA")</f>
        <v>0</v>
      </c>
      <c r="AZ218" s="1748"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696" t="str">
        <f>N219</f>
        <v/>
      </c>
      <c r="CQ218" s="1696" t="str">
        <f>IFERROR(VLOOKUP(G219,_Lookup_Heat_Type_Table_New,3,FALSE),"")</f>
        <v/>
      </c>
      <c r="CR218" s="1808" t="str">
        <f>CQ218</f>
        <v/>
      </c>
      <c r="CS218" s="1810" t="str">
        <f>IFERROR(VLOOKUP(G220,'Space Table'!$B$3:$L$163,9,FALSE),"")</f>
        <v/>
      </c>
      <c r="CU218" s="1688" t="s">
        <v>344</v>
      </c>
      <c r="CV218" s="1702">
        <f>IF(IB218=TRUE,T219,0)</f>
        <v>0</v>
      </c>
      <c r="CW218" s="1702" t="str">
        <f>IF(IB218=TRUE,U219,"")</f>
        <v/>
      </c>
      <c r="CX218" s="1702"/>
      <c r="CY218" s="1814">
        <f>IF(IB218=TRUE,AB218,0)</f>
        <v>0</v>
      </c>
      <c r="CZ218" s="1710">
        <f>IF(AND(__Retrofit_TI_NC&gt;0,CR218="interior"),0,IF(IB218=TRUE,AC218,0))</f>
        <v>0</v>
      </c>
      <c r="DA218" s="1814">
        <f>IFERROR(IF(IB218=TRUE,CZ218-CZ220,0),0)</f>
        <v>0</v>
      </c>
      <c r="DB218" s="1819">
        <f>IF(IB218=TRUE,AD218,0)</f>
        <v>0</v>
      </c>
      <c r="DC218" s="1819">
        <f>IF(IB218=TRUE,AD221,0)</f>
        <v>0</v>
      </c>
      <c r="DD218" s="1819">
        <f>IFERROR(DB218-DC218,0)</f>
        <v>0</v>
      </c>
      <c r="DF218" s="1702">
        <f>IF(IB218=TRUE,AF219,0)</f>
        <v>0</v>
      </c>
      <c r="DG218" s="1830">
        <f>IFERROR(IF(__Retrofit_TI_NC=2,IF(CQ218="Exterior",O221,FQ218),FN218),"")</f>
        <v>0</v>
      </c>
      <c r="DH218" s="1702"/>
      <c r="DI218" s="1837">
        <f>JE218</f>
        <v>0</v>
      </c>
      <c r="DJ218" s="1710">
        <f>IF(AND(__Retrofit_TI_NC&gt;0,CR218="interior"),0,IF(IB218=TRUE,AN218,0))</f>
        <v>0</v>
      </c>
      <c r="DK218" s="1712">
        <f>IFERROR(IF(IB218=TRUE,DJ220-DJ218,0),0)</f>
        <v>0</v>
      </c>
      <c r="DM218" s="1717">
        <f>IFERROR(CZ218-DJ218,0)</f>
        <v>0</v>
      </c>
      <c r="DO218" s="1708">
        <f>DM218-DN220</f>
        <v>0</v>
      </c>
      <c r="DQ218" s="1715" t="str">
        <f>IFERROR(IF(AND(OR(GC218=4,GC218=5,GC218=6),OR(GF218=4,GF218=5,GF218=6)),GC218+8,VLOOKUP(CW220,Fixtures!R$31:Y$78,8,FALSE)),"")</f>
        <v/>
      </c>
      <c r="DR218" s="1829" t="str">
        <f>DQ218</f>
        <v/>
      </c>
      <c r="DS218" s="1702" t="str">
        <f>IFERROR(VLOOKUP(DG220,Lookup!BB$3:BC$20,2,FALSE),"")</f>
        <v/>
      </c>
      <c r="DT218" s="1713" t="str">
        <f>IF(OR(DS218=7,DS218=8,DS218=9),"ALC","")</f>
        <v/>
      </c>
      <c r="DU218" s="1715">
        <f>IFERROR(IF(OR(DQ218=4,DQ218=5,DQ218=6,DQ218=12,DQ218=13,DQ218=14),VLOOKUP(CW220,Fixtures!DN$27:EG$77,19,FALSE),1)*CV220,0)</f>
        <v>0</v>
      </c>
      <c r="DV218" s="1716">
        <f>IF(OR(DS218=7,DS218=8,DS218=9),IF(DG218=DG220,0,DF220),0)</f>
        <v>0</v>
      </c>
      <c r="DX218" s="1715" t="str">
        <f>IFERROR(IF(EZ218&lt;EZ220,"Yes","No"),"")</f>
        <v/>
      </c>
      <c r="DY218" s="1829" t="str">
        <f>DX218</f>
        <v/>
      </c>
      <c r="DZ218" s="1715">
        <f>IF(DX218="Yes",DF220,0)</f>
        <v>0</v>
      </c>
      <c r="EA218" s="1715">
        <f>DZ218-DV218</f>
        <v>0</v>
      </c>
      <c r="EC218" s="1834">
        <f>IFERROR(VLOOKUP(DQ218,Lookup!AU$3:AV$16,2,FALSE),0)</f>
        <v>0</v>
      </c>
      <c r="ED218" s="1834">
        <f>IF(IB218=FALSE,0,IF(DX218="Yes",EC218+Lookup!K$6,EC218))</f>
        <v>0</v>
      </c>
      <c r="EF218" s="1707">
        <f>IF(IB218=TRUE,DM218,0)</f>
        <v>0</v>
      </c>
      <c r="EG218" s="1712">
        <f>IF(IB218=TRUE,CZ220,0)</f>
        <v>0</v>
      </c>
      <c r="EH218" s="1814">
        <f>IFERROR(EF218-EG218,0)</f>
        <v>0</v>
      </c>
      <c r="EI218" s="1712">
        <f>IF(IB218=TRUE,DJ220,0)</f>
        <v>0</v>
      </c>
      <c r="EJ218" s="1712">
        <f>IFERROR(EF218-EG218+EI218,0)</f>
        <v>0</v>
      </c>
      <c r="EK218" s="1812">
        <f>IF(IB218=TRUE,CV220*CX220,0)</f>
        <v>0</v>
      </c>
      <c r="EL218" s="1812">
        <f>IF(IB218=TRUE,DF220*DH220,0)</f>
        <v>0</v>
      </c>
      <c r="EM218" s="1807">
        <f>AR218</f>
        <v>0</v>
      </c>
      <c r="EN218" s="1839" t="str">
        <f>IFERROR(IF(IB218=TRUE,VLOOKUP(DQ218,Lookup!AU$3:AW$16,3,FALSE)*DU218,""),0)</f>
        <v/>
      </c>
      <c r="EO218" s="1839">
        <f>IF(IB218=TRUE,DZ218*Lookup!AW$12,0)</f>
        <v>0</v>
      </c>
      <c r="EP218" s="1817">
        <f>IFERROR(IF(IB218=TRUE,EN218/EP$40,0),0)</f>
        <v>0</v>
      </c>
      <c r="EQ218" s="1817">
        <f>IF(IB218=TRUE,EO218/EQ$40,0)</f>
        <v>0</v>
      </c>
      <c r="ER218" s="1807">
        <f>IF(IB218=TRUE,ET$40*EP218,0)</f>
        <v>0</v>
      </c>
      <c r="ES218" s="1807">
        <f>IF(IB218=TRUE,ET$40*EQ218,0)</f>
        <v>0</v>
      </c>
      <c r="ET218" s="1807">
        <f>ER218+ES218</f>
        <v>0</v>
      </c>
      <c r="EV218" s="1715">
        <f>IF(G218="",0,1)</f>
        <v>0</v>
      </c>
      <c r="EX218" s="1804" t="str">
        <f>IFERROR(VLOOKUP(CS220,'Space Table'!$B$3:$L$163,8,FALSE),"")</f>
        <v/>
      </c>
      <c r="EY218" s="1804" t="str">
        <f>IFERROR(IF(FB218="Yes",VLOOKUP(DG218,Lookup_Control_Type_Table2,4,FALSE),VLOOKUP(DG218,Lookup_Control_Type_Table2,3,FALSE)),"")</f>
        <v/>
      </c>
      <c r="EZ218" s="1804" t="e">
        <f>VLOOKUP(DG218,Lookup!BB$3:BC$20,2,FALSE)</f>
        <v>#N/A</v>
      </c>
      <c r="FA218" s="1804" t="e">
        <f>VLOOKUP(EX218,Lookup_Control_Type_Table,2,FALSE)</f>
        <v>#N/A</v>
      </c>
      <c r="FB218" s="1804" t="e">
        <f>VLOOKUP(CS220,'Space Table'!$B$3:$L$163,7,FALSE)</f>
        <v>#N/A</v>
      </c>
      <c r="FC218" s="1826" t="b">
        <f>ISNUMBER(SEARCH("TLED",U220))</f>
        <v>0</v>
      </c>
      <c r="FE218" s="1698" t="str">
        <f>CONCATENATE(CQ218," - ",DG218)</f>
        <v xml:space="preserve"> - 0</v>
      </c>
      <c r="FG218" s="1702" t="str">
        <f>VLOOKUP(CW220,Fixtures!DN$27:EZ$77,38,FALSE)</f>
        <v/>
      </c>
      <c r="FH218" s="1702">
        <f>IFERROR(FG218*EH218,0)</f>
        <v>0</v>
      </c>
      <c r="FI218" s="133"/>
      <c r="FL218" s="1822" t="str">
        <f>IF(CQ218="Exterior","Not Daylighted",G221)</f>
        <v>Not Daylighted</v>
      </c>
      <c r="FM218" s="1824">
        <f>VLOOKUP(FL218,_New_Daylight_Table_Codes,2,FALSE)</f>
        <v>0</v>
      </c>
      <c r="FN218" s="1698">
        <f>IF(__Retrofit_TI_NC&gt;0,VLOOKUP(G220,'Space Table'!$B$3:$L$163,11,FALSE),AG219)</f>
        <v>0</v>
      </c>
      <c r="FO218" s="1698" t="e">
        <f>IF(__Retrofit_TI_NC=2,VLOOKUP(FQ218,_Control_Table,2,FALSE),VLOOKUP(FN218,_Control_Table,2,FALSE))</f>
        <v>#N/A</v>
      </c>
      <c r="FP218" s="1678" t="e">
        <f>VLOOKUP(CONCATENATE(FL218," ",FN218),Lookup!AY$102:AZ228,2,FALSE)</f>
        <v>#N/A</v>
      </c>
      <c r="FQ218" s="1678">
        <f>IF(__Retrofit_TI_NC=0,FN218,IF(AND(FT218&gt;0,FN218="Occupancy Sensor"),"Daylight + Occupancy",IF(AND(FT218&gt;0,VLOOKUP(FN218,_Control_Table,2,FALSE)&lt;4),"Interior Daylight Dimming",FN218)))</f>
        <v>0</v>
      </c>
      <c r="FS218" s="1686">
        <f>IF(CR218="Interior",VLOOKUP(CS218,Control_Savings_Interior,5,FALSE),0)</f>
        <v>0</v>
      </c>
      <c r="FT218" s="1687">
        <f>IF(CQ218="Exterior",0,IF(FM218=2,0.5,IF(OR(FM218=1,FM218=3),1,0)))</f>
        <v>0</v>
      </c>
      <c r="FU218" s="1685">
        <f>IF(R217&gt;FS$44,(FS218*(FS$44/R217)),FS218)*FT218</f>
        <v>0</v>
      </c>
      <c r="FV218" s="1686">
        <f>DI218</f>
        <v>0</v>
      </c>
      <c r="FW218" s="1686">
        <f>ROUND(FV218+((1-FV218)*FU218),2)</f>
        <v>0</v>
      </c>
      <c r="FX218" s="1686">
        <f>IF(__Retrofit_TI_NC=2,FW218,FV218)</f>
        <v>0</v>
      </c>
      <c r="FY218" s="1697"/>
      <c r="GA218" s="1696" t="str">
        <f>IFERROR(VLOOKUP(U219,_Exist_Fixture_Table,3,FALSE),"")</f>
        <v/>
      </c>
      <c r="GB218" s="1696" t="str">
        <f>VLOOKUP(CW218,_Exist_Fixture_Table,4,FALSE)</f>
        <v/>
      </c>
      <c r="GC218" s="1696">
        <f>IFERROR(VLOOKUP(GB218,Lookup!AT$6:AU$8,2,FALSE),0)</f>
        <v>0</v>
      </c>
      <c r="GD218" s="1696" t="b">
        <f>IFERROR(IF(OR(GF218=4,GF218=5,GF218=6),TRUE,FALSE),"")</f>
        <v>0</v>
      </c>
      <c r="GE218" s="1696" t="str">
        <f>IFERROR(VLOOKUP(GF218,GC$6:GD$10,2,FALSE),"")</f>
        <v/>
      </c>
      <c r="GF218" s="1696" t="str">
        <f>VLOOKUP(CW220,Fixtures!R$31:Y$78,8,FALSE)</f>
        <v/>
      </c>
      <c r="GG218" s="1696">
        <f>IF(AND(GA218=TRUE,GD218=TRUE,OR(DQ218=12,DQ218=13,DQ218=14)),GC218+8,0)</f>
        <v>0</v>
      </c>
      <c r="GH218" s="1696" t="b">
        <f>IF(OR(GG218=12,GG218=13,GG218=14),TRUE,FALSE)</f>
        <v>0</v>
      </c>
      <c r="GI218" s="673" t="b">
        <f>IF(ISNUMBER(SEARCH("TLED",U219)),TRUE,FALSE)</f>
        <v>0</v>
      </c>
      <c r="GJ218" s="1135" t="str">
        <f>IFERROR(VLOOKUP(U219,Fixtures!BM$93:BR$142,6,FALSE),"")</f>
        <v/>
      </c>
      <c r="GK218" s="1832" t="b">
        <f>IF(OR(GI218=FALSE,GI220=FALSE),TRUE,IF(GJ218-GJ220&lt;5,FALSE,TRUE))</f>
        <v>1</v>
      </c>
      <c r="GO218" s="674">
        <f>GP218</f>
        <v>0</v>
      </c>
      <c r="GP218" s="674">
        <f>IF(G218="",0,1)</f>
        <v>0</v>
      </c>
      <c r="GQ218" s="674">
        <f ca="1">SUM(GR218:HF218)</f>
        <v>2</v>
      </c>
      <c r="GR218" s="674">
        <f>IF(G219="",0,1)</f>
        <v>0</v>
      </c>
      <c r="GS218" s="674">
        <f>IF(N221="BAM",1,IF(G220="",0,1))</f>
        <v>0</v>
      </c>
      <c r="GT218" s="674">
        <f>IF(N221="BAM",1,IF(R219="",0,1))</f>
        <v>0</v>
      </c>
      <c r="GU218" s="674">
        <f>IF(N221="BAM",1,IF(__Retrofit_TI_NC=0,1,IF(R220="",0,1)))</f>
        <v>1</v>
      </c>
      <c r="GV218" s="674">
        <f>IF(N221="BAM",1,IF(CQ218="Exterior",1,IF(G221="",0,1)))</f>
        <v>1</v>
      </c>
      <c r="GW218" s="674">
        <f>IF(__Retrofit_TI_NC&gt;0,1,IF(T219="",0,1))</f>
        <v>0</v>
      </c>
      <c r="GX218" s="674">
        <f>IF(__Retrofit_TI_NC&gt;0,1,IF(U219="",0,1))</f>
        <v>0</v>
      </c>
      <c r="GY218" s="674">
        <f>IF(N221="BAM",1,IF(T220="",0,1))</f>
        <v>0</v>
      </c>
      <c r="GZ218" s="674">
        <f>IF(N221="BAM",1,IF(U220="",0,1))</f>
        <v>0</v>
      </c>
      <c r="HA218" s="674">
        <f ca="1">IF(N221="BAM",1,IF(__Retrofit_TI_NC&gt;0,1,IF(U221="",0,1)))</f>
        <v>0</v>
      </c>
      <c r="HB218" s="674">
        <f>IF(__Retrofit_TI_NC&lt;&gt;0,1,IF(AF219="",0,1))</f>
        <v>0</v>
      </c>
      <c r="HC218" s="674">
        <f>IF(__Retrofit_TI_NC&lt;&gt;0,1,IF(AG219="",0,1))</f>
        <v>0</v>
      </c>
      <c r="HD218" s="674">
        <f>IF(N221="BAM",1,IF(AF220="",0,1))</f>
        <v>0</v>
      </c>
      <c r="HE218" s="674">
        <f>IF(N221="BAM",1,IF(AG220="",0,1))</f>
        <v>0</v>
      </c>
      <c r="HF218" s="674">
        <f>IF(N221="BAM",1,IF(__Retrofit_TI_NC&gt;0,1,IF(AG221="",0,1)))</f>
        <v>0</v>
      </c>
      <c r="HG218" s="391"/>
      <c r="IA218" s="391"/>
      <c r="IB218" s="1693" t="b">
        <f>IF(OR(IB221=0,IB221=HY$16,IB221=HX$16,IB221=HZ$16),TRUE,FALSE)</f>
        <v>0</v>
      </c>
      <c r="IC218" s="1694" t="b">
        <f>IB218</f>
        <v>0</v>
      </c>
      <c r="ID218" s="391"/>
      <c r="IE218" s="391"/>
      <c r="IF218" s="1688" t="b">
        <f ca="1">IF(MAX(GN221:HU221)&gt;5,FALSE,TRUE)</f>
        <v>0</v>
      </c>
      <c r="IG218" s="1689">
        <f ca="1">IF(IF218=TRUE,AC218,0)</f>
        <v>0</v>
      </c>
      <c r="IH218" s="1689">
        <f ca="1">IG218-IG220</f>
        <v>0</v>
      </c>
      <c r="IK218" s="1689" t="e">
        <f>ROUND(T219*VLOOKUP(U219,Fixtures_Existing_List,2,FALSE)*N219*R219/1000,0)</f>
        <v>#N/A</v>
      </c>
      <c r="IL218" s="1690" t="e">
        <f>IK218-IK220</f>
        <v>#N/A</v>
      </c>
      <c r="IM218" s="1693" t="e">
        <f>ROUND(IF(CQ218="Interior",N220*R220*R219*N219*_C406_reduction/1000,N220*R220*R219*N219/1000),0)</f>
        <v>#N/A</v>
      </c>
      <c r="IN218" s="1693" t="e">
        <f>IM218-IM220</f>
        <v>#N/A</v>
      </c>
      <c r="IP218" s="1679"/>
      <c r="IQ218" s="1679" t="e">
        <f t="shared" ref="IQ218:IU218" si="181">IF($CR218="interior",VLOOKUP($CS218,_New_Control_Savings_Interior,IQ$30,FALSE),VLOOKUP($CS218,Control_Savings_Exterior,IQ$30,FALSE))</f>
        <v>#N/A</v>
      </c>
      <c r="IR218" s="1679" t="e">
        <f t="shared" si="181"/>
        <v>#N/A</v>
      </c>
      <c r="IS218" s="1679" t="e">
        <f t="shared" si="181"/>
        <v>#N/A</v>
      </c>
      <c r="IT218" s="1679" t="e">
        <f t="shared" si="181"/>
        <v>#N/A</v>
      </c>
      <c r="IU218" s="1679" t="e">
        <f t="shared" si="181"/>
        <v>#N/A</v>
      </c>
      <c r="IV218" s="1679" t="e">
        <f>IF($CR218="interior",IF(R219&gt;$IP$14,ROUND(($IV$18*($IP$14/R219)),2),$IV$18),VLOOKUP($CS218,Control_Savings_Exterior,IV$30,FALSE))</f>
        <v>#N/A</v>
      </c>
      <c r="IW218" s="1679" t="e">
        <f>IF($CR218="interior",ROUND(((1-IS218)*IV218)+IS218,2),VLOOKUP($CS218,Control_Savings_Exterior,IW$30,FALSE))</f>
        <v>#N/A</v>
      </c>
      <c r="IX218" s="1679" t="e">
        <f>IF($CR218="interior",ROUND(((1-IT218)*IV218)+IT218,2),VLOOKUP($CS218,Control_Savings_Exterior,IX$30,FALSE))</f>
        <v>#N/A</v>
      </c>
      <c r="IY218" s="1679" t="e">
        <f>IF($CR218="interior",IF(R219&gt;$IP$14,ROUND(($IY$18*($IP$14/R219)),2),$IY$18),VLOOKUP($CS218,Control_Savings_Exterior,IY$30,FALSE))</f>
        <v>#N/A</v>
      </c>
      <c r="IZ218" s="1679" t="e">
        <f>IF($CR218="interior",ROUND(((1-IS218)*IY218)+IS218,2),VLOOKUP($CS218,Control_Savings_Exterior,IZ$30,FALSE))</f>
        <v>#N/A</v>
      </c>
      <c r="JA218" s="1679" t="e">
        <f>IF($CR218="interior",ROUND(((1-IT218)*IY218)+IT218,2),VLOOKUP($CS218,Control_Savings_Exterior,JA$30,FALSE))</f>
        <v>#N/A</v>
      </c>
      <c r="JC218" s="1680">
        <f>IFERROR(IF(CR218="Interior",CONCATENATE(G221," ",FQ218),FQ218),"")</f>
        <v>0</v>
      </c>
      <c r="JD218" s="1670" t="str">
        <f>IFERROR(VLOOKUP(JC218,_Controls_2023,2,FALSE),"")</f>
        <v/>
      </c>
      <c r="JE218" s="1681">
        <f>IFERROR(CHOOSE(JD218-1,IQ218,IR218,IS218,IT218,IU218,IV218,IW218,IX218,IY218,IZ218,JA218),0)</f>
        <v>0</v>
      </c>
      <c r="JG218" s="1680" t="str">
        <f>FE218</f>
        <v xml:space="preserve"> - 0</v>
      </c>
      <c r="JH218" s="1670" t="e">
        <f>$FO218</f>
        <v>#N/A</v>
      </c>
      <c r="JI218" s="1060"/>
      <c r="JJ218" s="1682" t="b">
        <f>IF($JG220=CONCATENATE("Interior - ",JJ$4),TRUE,FALSE)</f>
        <v>0</v>
      </c>
      <c r="JK218" s="1061"/>
      <c r="JL218" s="1682" t="b">
        <f>IF($JG220=CONCATENATE("Interior - ",JL$4),TRUE,FALSE)</f>
        <v>0</v>
      </c>
      <c r="JM218" s="1061"/>
      <c r="JN218" s="1682" t="b">
        <f>IF($JG220=CONCATENATE("Interior - ",JN$4),TRUE,FALSE)</f>
        <v>0</v>
      </c>
      <c r="JO218" s="1061"/>
      <c r="JP218" s="1682" t="b">
        <f>IF(__Retrofit_TI_NC&gt;0,FALSE,IF($JG220=CONCATENATE("Interior - ",JP$4),TRUE,FALSE))</f>
        <v>0</v>
      </c>
      <c r="JQ218" s="1061"/>
      <c r="JR218" s="1682" t="b">
        <f>IF(__Retrofit_TI_NC&gt;0,FALSE,IF($JG220=CONCATENATE("Interior - ",JR$4),TRUE,FALSE))</f>
        <v>0</v>
      </c>
      <c r="JS218" s="1061"/>
      <c r="JT218" s="1670" t="b">
        <f>IF(__Retrofit_TI_NC&gt;0,FALSE,IF($JG220=CONCATENATE("Interior - ",JT$4),TRUE,FALSE))</f>
        <v>0</v>
      </c>
      <c r="JU218" s="1061"/>
      <c r="JV218" s="1670" t="b">
        <f>IF(JC220="AELC on Existing",TRUE,FALSE)</f>
        <v>0</v>
      </c>
      <c r="JX218" s="1670" t="b">
        <f>IF(OR(JG220="Exterior - AELC Occupancy based",JG220="Exterior - AELC Time based"),TRUE,FALSE)</f>
        <v>0</v>
      </c>
      <c r="JZ218" s="1682" t="b">
        <f>IF($JG220=CONCATENATE("Exterior - ",JZ$4),TRUE,FALSE)</f>
        <v>0</v>
      </c>
      <c r="KB218" s="1670" t="b">
        <f>IF(__Retrofit_TI_NC&gt;0,FALSE,IF($JG220=CONCATENATE("Interior - ",KB$4),TRUE,FALSE))</f>
        <v>0</v>
      </c>
    </row>
    <row r="219" spans="1:288" s="78" customFormat="1" ht="14.95" customHeight="1" thickTop="1" thickBot="1">
      <c r="B219" s="1845"/>
      <c r="C219" s="1846"/>
      <c r="D219" s="1847"/>
      <c r="E219" s="1737" t="s">
        <v>297</v>
      </c>
      <c r="F219" s="1738"/>
      <c r="G219" s="1739"/>
      <c r="H219" s="1739"/>
      <c r="I219" s="1739"/>
      <c r="J219" s="1739"/>
      <c r="K219" s="1739"/>
      <c r="L219" s="1739"/>
      <c r="M219" s="461" t="e">
        <f>IF(__Retrofit_TI_NC&lt;&gt;0,IF(VLOOKUP(G220,'Space Table'!$B$3:$L$163,3,FALSE)&gt;0,1,0),IF(__Retrofit_TI_NC=VLOOKUP(G220,'Space Table'!$B$3:$L$163,3,FALSE),1,0))</f>
        <v>#N/A</v>
      </c>
      <c r="N219" s="461" t="str">
        <f>IFERROR(VLOOKUP(G219,_Lookup_Heat_Type_Table_New,2,FALSE),"")</f>
        <v/>
      </c>
      <c r="O219" s="461">
        <f>IF(__Retrofit_TI_NC=1,CONCATENATE("TI ",G219),IF(__Retrofit_TI_NC=2,CONCATENATE("NC ",G219),G219))</f>
        <v>0</v>
      </c>
      <c r="P219" s="1740" t="s">
        <v>435</v>
      </c>
      <c r="Q219" s="1740"/>
      <c r="R219" s="595"/>
      <c r="S219" s="1792"/>
      <c r="T219" s="597"/>
      <c r="U219" s="1765"/>
      <c r="V219" s="1766"/>
      <c r="W219" s="1766"/>
      <c r="X219" s="1766"/>
      <c r="Y219" s="1766"/>
      <c r="Z219" s="1766"/>
      <c r="AA219" s="1766"/>
      <c r="AB219" s="1766"/>
      <c r="AC219" s="1766"/>
      <c r="AD219" s="1767"/>
      <c r="AE219" s="1000"/>
      <c r="AF219" s="597"/>
      <c r="AG219" s="1723"/>
      <c r="AH219" s="1724"/>
      <c r="AI219" s="1724"/>
      <c r="AJ219" s="1724"/>
      <c r="AK219" s="1725"/>
      <c r="AL219" s="996"/>
      <c r="AM219" s="1747"/>
      <c r="AN219" s="1775"/>
      <c r="AO219" s="1777"/>
      <c r="AP219" s="1780"/>
      <c r="AQ219" s="1781"/>
      <c r="AR219" s="1795"/>
      <c r="AS219" s="1795"/>
      <c r="AT219" s="1796"/>
      <c r="AU219" s="1735"/>
      <c r="AV219" s="1752"/>
      <c r="AW219" s="1705"/>
      <c r="AX219" s="467"/>
      <c r="AY219" s="1749"/>
      <c r="AZ219" s="1749"/>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696"/>
      <c r="CQ219" s="1696"/>
      <c r="CR219" s="1809"/>
      <c r="CS219" s="1811"/>
      <c r="CU219" s="1688"/>
      <c r="CV219" s="1703"/>
      <c r="CW219" s="1703"/>
      <c r="CX219" s="1703"/>
      <c r="CY219" s="1815"/>
      <c r="CZ219" s="1711"/>
      <c r="DA219" s="1818"/>
      <c r="DB219" s="1820"/>
      <c r="DC219" s="1820"/>
      <c r="DD219" s="1820"/>
      <c r="DF219" s="1703"/>
      <c r="DG219" s="1831"/>
      <c r="DH219" s="1703"/>
      <c r="DI219" s="1838"/>
      <c r="DJ219" s="1711"/>
      <c r="DK219" s="1712"/>
      <c r="DM219" s="1718"/>
      <c r="DO219" s="1708"/>
      <c r="DQ219" s="1715"/>
      <c r="DR219" s="1720"/>
      <c r="DS219" s="1816"/>
      <c r="DT219" s="1714"/>
      <c r="DU219" s="1715"/>
      <c r="DV219" s="1716"/>
      <c r="DX219" s="1715"/>
      <c r="DY219" s="1720"/>
      <c r="DZ219" s="1715"/>
      <c r="EA219" s="1715"/>
      <c r="EC219" s="1834"/>
      <c r="ED219" s="1834"/>
      <c r="EF219" s="1707"/>
      <c r="EG219" s="1712"/>
      <c r="EH219" s="1818"/>
      <c r="EI219" s="1712"/>
      <c r="EJ219" s="1712"/>
      <c r="EK219" s="1836"/>
      <c r="EL219" s="1836"/>
      <c r="EM219" s="1807"/>
      <c r="EN219" s="1839"/>
      <c r="EO219" s="1839"/>
      <c r="EP219" s="1817"/>
      <c r="EQ219" s="1817"/>
      <c r="ER219" s="1807"/>
      <c r="ES219" s="1807"/>
      <c r="ET219" s="1807"/>
      <c r="EV219" s="1715"/>
      <c r="EX219" s="1805"/>
      <c r="EY219" s="1805"/>
      <c r="EZ219" s="1805"/>
      <c r="FA219" s="1805"/>
      <c r="FB219" s="1805"/>
      <c r="FC219" s="1827"/>
      <c r="FE219" s="1698"/>
      <c r="FG219" s="1816"/>
      <c r="FH219" s="1816"/>
      <c r="FI219" s="133"/>
      <c r="FL219" s="1823"/>
      <c r="FM219" s="1825"/>
      <c r="FN219" s="1698"/>
      <c r="FO219" s="1698"/>
      <c r="FP219" s="1678"/>
      <c r="FQ219" s="1678"/>
      <c r="FS219" s="1687"/>
      <c r="FT219" s="1687"/>
      <c r="FU219" s="1685"/>
      <c r="FV219" s="1687"/>
      <c r="FW219" s="1687"/>
      <c r="FX219" s="1687"/>
      <c r="FY219" s="1697"/>
      <c r="GA219" s="1696"/>
      <c r="GB219" s="1696"/>
      <c r="GC219" s="1696"/>
      <c r="GD219" s="1696"/>
      <c r="GE219" s="1696"/>
      <c r="GF219" s="1696"/>
      <c r="GG219" s="1696"/>
      <c r="GH219" s="1696"/>
      <c r="GI219" s="673"/>
      <c r="GJ219" s="1135"/>
      <c r="GK219" s="1832"/>
      <c r="GM219" s="1693" t="b">
        <f ca="1">IF(AND(GP219=TRUE,GQ219=TRUE),TRUE,FALSE)</f>
        <v>0</v>
      </c>
      <c r="GN219" s="1684" t="b">
        <f>IFERROR(IF(__Retrofit_TI_NC=2,TRUE,IF(AU218="Yes",TRUE,FALSE)),FALSE)</f>
        <v>1</v>
      </c>
      <c r="GP219" s="1684" t="b">
        <f>IFERROR(IF(GP218=1,TRUE,FALSE),FALSE)</f>
        <v>0</v>
      </c>
      <c r="GQ219" s="1684" t="b">
        <f ca="1">IFERROR(IF(GQ218=GQ$14,TRUE,FALSE),FALSE)</f>
        <v>0</v>
      </c>
      <c r="HG219" s="1684" t="b">
        <f>IFERROR(IF(AND(__Retrofit_TI_NC&gt;0,CQ218="Interior"),FALSE,TRUE),FALSE)</f>
        <v>1</v>
      </c>
      <c r="HH219" s="1684" t="b">
        <f>IFERROR(IF(M219=1,TRUE,FALSE),FALSE)</f>
        <v>0</v>
      </c>
      <c r="HI219" s="1684" t="b">
        <f>IFERROR(IF(OR(M220=1,N221="BAM"),TRUE,FALSE),FALSE)</f>
        <v>0</v>
      </c>
      <c r="HJ219" s="1684" t="b">
        <f>IFERROR(IF(__Retrofit_TI_NC&lt;&gt;0,TRUE,IFERROR(IF(VLOOKUP(U219,Fixtures_Existing_List,2,FALSE)&lt;&gt;"",TRUE,FALSE),FALSE)),FALSE)</f>
        <v>0</v>
      </c>
      <c r="HK219" s="1684" t="b">
        <f>IFERROR(IF(VLOOKUP(U220,Fixtures_Proposed_List,2,FALSE)&lt;&gt;"",TRUE,FALSE),FALSE)</f>
        <v>0</v>
      </c>
      <c r="HL219" s="1684" t="b">
        <f>IF(AND(__Retrofit_TI_NC=2,FC218=TRUE),FALSE,TRUE)</f>
        <v>1</v>
      </c>
      <c r="HM219" s="1684" t="b">
        <f>GK218</f>
        <v>1</v>
      </c>
      <c r="HN219" s="1682" t="b">
        <f>IF(ISERROR(MATCH(FE218,_Control_Match[],0))=TRUE,FALSE,TRUE)</f>
        <v>0</v>
      </c>
      <c r="HO219" s="1693" t="b">
        <f>IFERROR(IF(EX218&lt;&gt;EY218,FALSE,TRUE),FALSE)</f>
        <v>1</v>
      </c>
      <c r="HP219" s="1693" t="b">
        <f>IFERROR(IF(EX220&lt;&gt;EY220,FALSE,TRUE),FALSE)</f>
        <v>1</v>
      </c>
      <c r="HQ219" s="1670" t="b">
        <f>IFERROR(IF(CQ218="Exterior",TRUE,IF(AND(OR(FM220=0,FM220=3),JD220&gt;6),FALSE,TRUE)),FALSE)</f>
        <v>0</v>
      </c>
      <c r="HR219" s="1684" t="b">
        <f>IFERROR(IF(AND(FO220=7,FC218=TRUE),FALSE,TRUE),FALSE)</f>
        <v>0</v>
      </c>
      <c r="HS219" s="1684" t="b">
        <f>IFERROR(IF(AND(T220&lt;&gt;AF220,OR(AG220="Interior LLLC", AG220="Interior NLC", AG220="LLLC (outside Daylight)",AG220="LLLC Controls Only"))=TRUE,FALSE,TRUE),FALSE)</f>
        <v>1</v>
      </c>
      <c r="HT219" s="1670" t="b">
        <f>IFERROR(IF(OR(AG220=Lookup!BB$17,AG220=Lookup!BB$18,AG220=Lookup!BB$19)=TRUE,IF(AF220&gt;T220,FALSE,TRUE),TRUE),FALSE)</f>
        <v>1</v>
      </c>
      <c r="HU219" s="1684" t="b">
        <f>IFERROR(IF(__Retrofit_TI_NC=2,IF(EZ220&lt;EZ218,FALSE,TRUE),TRUE),FALSE)</f>
        <v>1</v>
      </c>
      <c r="HV219" s="1684" t="b">
        <f>IF(CQ218="Interior",IL$6,TRUE)</f>
        <v>1</v>
      </c>
      <c r="HW219" s="1684" t="b">
        <f>IF(CQ218="Exterior",IL$8,TRUE)</f>
        <v>1</v>
      </c>
      <c r="HX219" s="1684" t="b">
        <f>IFERROR(IF(__Retrofit_TI_NC&lt;&gt;0,IF(AZ218&lt;AY218,FALSE,TRUE),TRUE),FALSE)</f>
        <v>1</v>
      </c>
      <c r="HY219" s="1684" t="b">
        <f>IFERROR(IF(AND(G219="Exterior",R219&gt;4200),FALSE,TRUE),FALSE)</f>
        <v>1</v>
      </c>
      <c r="HZ219" s="1684" t="b">
        <f>IFERROR(IF(AB221/AB218&lt;HZ$18,FALSE,TRUE),FALSE)</f>
        <v>0</v>
      </c>
      <c r="IB219" s="1691"/>
      <c r="IC219" s="1695"/>
      <c r="ID219" s="1694" t="str">
        <f>VLOOKUP(IB221,_Error_Table,4,FALSE)</f>
        <v>White</v>
      </c>
      <c r="IE219" s="391"/>
      <c r="IF219" s="1688"/>
      <c r="IG219" s="1689"/>
      <c r="IH219" s="1684"/>
      <c r="IK219" s="1689"/>
      <c r="IL219" s="1691"/>
      <c r="IM219" s="1691"/>
      <c r="IN219" s="1691"/>
      <c r="IP219" s="1679"/>
      <c r="IQ219" s="1679"/>
      <c r="IR219" s="1679"/>
      <c r="IS219" s="1679"/>
      <c r="IT219" s="1679"/>
      <c r="IU219" s="1679"/>
      <c r="IV219" s="1679"/>
      <c r="IW219" s="1679"/>
      <c r="IX219" s="1679"/>
      <c r="IY219" s="1679"/>
      <c r="IZ219" s="1679"/>
      <c r="JA219" s="1679"/>
      <c r="JC219" s="1680"/>
      <c r="JD219" s="1670"/>
      <c r="JE219" s="1681"/>
      <c r="JG219" s="1680"/>
      <c r="JH219" s="1670"/>
      <c r="JI219" s="1060"/>
      <c r="JJ219" s="1683"/>
      <c r="JK219" s="1061"/>
      <c r="JL219" s="1683"/>
      <c r="JM219" s="1061"/>
      <c r="JN219" s="1683"/>
      <c r="JO219" s="1061"/>
      <c r="JP219" s="1683"/>
      <c r="JQ219" s="1061"/>
      <c r="JR219" s="1683"/>
      <c r="JS219" s="1061"/>
      <c r="JT219" s="1670"/>
      <c r="JU219" s="1061"/>
      <c r="JV219" s="1670"/>
      <c r="JX219" s="1670"/>
      <c r="JZ219" s="1683"/>
      <c r="KB219" s="1670"/>
    </row>
    <row r="220" spans="1:288" s="78" customFormat="1" ht="14.95" customHeight="1" thickTop="1" thickBot="1">
      <c r="A220" s="78">
        <f>ROW()</f>
        <v>220</v>
      </c>
      <c r="B220" s="1845"/>
      <c r="C220" s="1846"/>
      <c r="D220" s="1847"/>
      <c r="E220" s="1737" t="s">
        <v>298</v>
      </c>
      <c r="F220" s="1738"/>
      <c r="G220" s="1760"/>
      <c r="H220" s="1761"/>
      <c r="I220" s="1761"/>
      <c r="J220" s="1761"/>
      <c r="K220" s="1761"/>
      <c r="L220" s="1762"/>
      <c r="M220" s="461">
        <f>IFERROR(IF(IF(__Retrofit_TI_NC&lt;&gt;0,IF(CQ218="Interior",MATCH(G220,Lookup_Interior_New,0),MATCH(G220,Lookup_Exterior_New,0)),IF(CQ218="Interior",MATCH(G220,Lookup_Interior,0),MATCH(G220,Lookup_Exterior_Areas,0)))&gt;0,1,0),0)</f>
        <v>0</v>
      </c>
      <c r="N220" s="461" t="e">
        <f>IF(__Retrofit_TI_NC=1,
VLOOKUP(G220,'Space Table'!$B$3:$L$163,4,FALSE),
IF(__Retrofit_TI_NC=2,VLOOKUP(G220,'Space Table'!$B$3:$L$163,5,FALSE),VLOOKUP(G220,'Space Table'!$B$3:$L$163,5,FALSE)))</f>
        <v>#N/A</v>
      </c>
      <c r="O220" s="461">
        <f>G220</f>
        <v>0</v>
      </c>
      <c r="P220" s="1738" t="str">
        <f>IFERROR(IF(__Retrofit_TI_NC=1,VLOOKUP(G220,'Space Table'!$B$3:$O$163,13,FALSE),IF(__Retrofit_TI_NC=2,VLOOKUP(G220,'Space Table'!$B$3:$O$163,14,FALSE),"Area (sf):")),"Area (sf):")</f>
        <v>Area (sf):</v>
      </c>
      <c r="Q220" s="1738"/>
      <c r="R220" s="596"/>
      <c r="S220" s="1763" t="s">
        <v>345</v>
      </c>
      <c r="T220" s="594"/>
      <c r="U220" s="1801"/>
      <c r="V220" s="1802"/>
      <c r="W220" s="1802"/>
      <c r="X220" s="1802"/>
      <c r="Y220" s="1802"/>
      <c r="Z220" s="1802"/>
      <c r="AA220" s="1802"/>
      <c r="AB220" s="1802"/>
      <c r="AC220" s="1802"/>
      <c r="AD220" s="1802"/>
      <c r="AE220" s="1803"/>
      <c r="AF220" s="594"/>
      <c r="AG220" s="1787"/>
      <c r="AH220" s="1787"/>
      <c r="AI220" s="1787"/>
      <c r="AJ220" s="1787"/>
      <c r="AK220" s="1787"/>
      <c r="AL220" s="1787"/>
      <c r="AM220" s="1726">
        <f>IFERROR(DI220,"")</f>
        <v>0</v>
      </c>
      <c r="AN220" s="1728" t="str">
        <f>IFERROR(ROUND(AM220*AC221,0),"")</f>
        <v/>
      </c>
      <c r="AO220" s="1730">
        <f>IFERROR(IF(IB218=FALSE,0,AC221-AN220),0)</f>
        <v>0</v>
      </c>
      <c r="AP220" s="1780"/>
      <c r="AQ220" s="1781"/>
      <c r="AR220" s="1795"/>
      <c r="AS220" s="1795"/>
      <c r="AT220" s="1796"/>
      <c r="AU220" s="1735"/>
      <c r="AV220" s="1752"/>
      <c r="AW220" s="1705"/>
      <c r="AX220" s="467"/>
      <c r="AY220" s="1749"/>
      <c r="AZ220" s="1749"/>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696"/>
      <c r="CQ220" s="1696"/>
      <c r="CR220" s="1808" t="str">
        <f>CQ218</f>
        <v/>
      </c>
      <c r="CS220" s="1810" t="str">
        <f>CS218</f>
        <v/>
      </c>
      <c r="CU220" s="1688" t="s">
        <v>345</v>
      </c>
      <c r="CV220" s="1702">
        <f>IF(IB218=TRUE,T220,0)</f>
        <v>0</v>
      </c>
      <c r="CW220" s="1702" t="str">
        <f>IF(IB218=TRUE,U220,"")</f>
        <v/>
      </c>
      <c r="CX220" s="1812">
        <f>IF(IB218=TRUE,U221,0)</f>
        <v>0</v>
      </c>
      <c r="CY220" s="1814">
        <f>IF(IB218=TRUE,AB221,0)</f>
        <v>0</v>
      </c>
      <c r="CZ220" s="1710">
        <f>IF(AND(__Retrofit_TI_NC&gt;0,CR218="interior"),0,IF(IB218=TRUE,AC221,0))</f>
        <v>0</v>
      </c>
      <c r="DA220" s="1818"/>
      <c r="DB220" s="1820"/>
      <c r="DC220" s="1820"/>
      <c r="DD220" s="1820"/>
      <c r="DF220" s="1702">
        <f>IF(IB218=TRUE,AF220,0)</f>
        <v>0</v>
      </c>
      <c r="DG220" s="1830" t="str">
        <f>IF(IB218=TRUE,AG220,"")</f>
        <v/>
      </c>
      <c r="DH220" s="1812">
        <f>AG221</f>
        <v>0</v>
      </c>
      <c r="DI220" s="1837">
        <f>JE220</f>
        <v>0</v>
      </c>
      <c r="DJ220" s="1710">
        <f>IF(AND(__Retrofit_TI_NC&gt;0,CR218="interior"),0,IF(IB218=TRUE,AN220,0))</f>
        <v>0</v>
      </c>
      <c r="DK220" s="1712"/>
      <c r="DN220" s="1717">
        <f>IFERROR(CZ220-DJ220,0)</f>
        <v>0</v>
      </c>
      <c r="DO220" s="1709"/>
      <c r="DQ220" s="1715"/>
      <c r="DR220" s="1719" t="str">
        <f>DQ218</f>
        <v/>
      </c>
      <c r="DS220" s="1816"/>
      <c r="DT220" s="1835" t="str">
        <f>IF(OR(DS218=7,DS218=8,DS218=9),"ALC","")</f>
        <v/>
      </c>
      <c r="DU220" s="1715"/>
      <c r="DV220" s="1716"/>
      <c r="DX220" s="1715"/>
      <c r="DY220" s="1829" t="str">
        <f>DX218</f>
        <v/>
      </c>
      <c r="DZ220" s="1715"/>
      <c r="EA220" s="1715"/>
      <c r="EC220" s="1834"/>
      <c r="ED220" s="1834"/>
      <c r="EF220" s="1707"/>
      <c r="EG220" s="1712"/>
      <c r="EH220" s="1818"/>
      <c r="EI220" s="1712"/>
      <c r="EJ220" s="1712"/>
      <c r="EK220" s="1836"/>
      <c r="EL220" s="1836"/>
      <c r="EM220" s="1807"/>
      <c r="EN220" s="1839"/>
      <c r="EO220" s="1839"/>
      <c r="EP220" s="1817"/>
      <c r="EQ220" s="1817"/>
      <c r="ER220" s="1807"/>
      <c r="ES220" s="1807"/>
      <c r="ET220" s="1807"/>
      <c r="EV220" s="1715"/>
      <c r="EX220" s="1805" t="str">
        <f>IFERROR(VLOOKUP(CS220,'Space Table'!$B$3:$L$163,8,FALSE),"")</f>
        <v/>
      </c>
      <c r="EY220" s="1805" t="str">
        <f>IFERROR(IF(FB220="Yes",VLOOKUP(AG220,Lookup_Control_Type_Table2,4,FALSE),VLOOKUP(AG220,Lookup_Control_Type_Table2,3,FALSE)),"")</f>
        <v/>
      </c>
      <c r="EZ220" s="1805" t="e">
        <f>VLOOKUP(AG220,Lookup!BB$3:BC$20,2,FALSE)</f>
        <v>#N/A</v>
      </c>
      <c r="FA220" s="1805" t="e">
        <f>VLOOKUP(EX218,Lookup_Control_Type_Table,2,FALSE)</f>
        <v>#N/A</v>
      </c>
      <c r="FB220" s="1805" t="e">
        <f>VLOOKUP(CS220,'Space Table'!$B$3:$L$163,7,FALSE)</f>
        <v>#N/A</v>
      </c>
      <c r="FC220" s="1827"/>
      <c r="FE220" s="1698" t="str">
        <f>CONCATENATE(CQ218," - ",AG220)</f>
        <v xml:space="preserve"> - </v>
      </c>
      <c r="FG220" s="1816"/>
      <c r="FH220" s="1816"/>
      <c r="FI220" s="133"/>
      <c r="FL220" s="1822" t="str">
        <f>IF(CQ218="Exterior","Not Daylighted",G221)</f>
        <v>Not Daylighted</v>
      </c>
      <c r="FM220" s="1824">
        <f>VLOOKUP(FL220,_New_Daylight_Table_Codes,2,FALSE)</f>
        <v>0</v>
      </c>
      <c r="FN220" s="1698">
        <f>AG220</f>
        <v>0</v>
      </c>
      <c r="FO220" s="1698" t="e">
        <f>VLOOKUP(FN220,_Control_Table,2,FALSE)</f>
        <v>#N/A</v>
      </c>
      <c r="FP220" s="1678" t="e">
        <f>VLOOKUP(CONCATENATE(FL220," ",FN220),Lookup!AY$102:AZ231,2,FALSE)</f>
        <v>#N/A</v>
      </c>
      <c r="FQ220" s="1698">
        <f>IF(__Retrofit_TI_NC=0,FN220,IF(AND(FT220&gt;0,FN220="Occupancy Sensor"),"Daylight + Occupancy",IF(AND(FT220&gt;0,FO220&lt;4),"Interior Daylight Dimming",FN220)))</f>
        <v>0</v>
      </c>
      <c r="FS220" s="1686">
        <f>IF(CQ218="Interior",VLOOKUP(CS218,Control_Savings_Interior,5,FALSE),0)</f>
        <v>0</v>
      </c>
      <c r="FT220" s="1687">
        <f>IF(CQ220="Exterior",0,IF(FM220=2,0.5,IF(OR(FM220=1,FM220=3),1,0)))</f>
        <v>0</v>
      </c>
      <c r="FU220" s="1685">
        <f>IF(R219&gt;FS$44,(FS220*(FS$44/R219)),FS220)*FT220</f>
        <v>0</v>
      </c>
      <c r="FV220" s="1686">
        <f>DI220</f>
        <v>0</v>
      </c>
      <c r="FW220" s="1686">
        <f>ROUND(FV220+((1-FV220)*FU220),2)</f>
        <v>0</v>
      </c>
      <c r="FX220" s="1686">
        <f>IF(__Retrofit_TI_NC=2,FW220,FV220)</f>
        <v>0</v>
      </c>
      <c r="FY220" s="1697">
        <f>IF(CR220="Interior",VLOOKUP(CS220,Control_Savings_Interior,4,FALSE),0)</f>
        <v>0</v>
      </c>
      <c r="GA220" s="1696"/>
      <c r="GB220" s="1696"/>
      <c r="GC220" s="1696"/>
      <c r="GD220" s="1696"/>
      <c r="GE220" s="1696"/>
      <c r="GF220" s="1696"/>
      <c r="GG220" s="1696"/>
      <c r="GH220" s="1696"/>
      <c r="GI220" s="673" t="b">
        <f>IF(ISNUMBER(SEARCH("TLED",U220)),TRUE,FALSE)</f>
        <v>0</v>
      </c>
      <c r="GJ220" s="1135" t="str">
        <f>IFERROR(VLOOKUP(U220,Fixtures!DM$93:DR$142,6,FALSE),"")</f>
        <v/>
      </c>
      <c r="GK220" s="1832"/>
      <c r="GM220" s="1692"/>
      <c r="GN220" s="1684"/>
      <c r="GP220" s="1684"/>
      <c r="GQ220" s="1684"/>
      <c r="HG220" s="1684"/>
      <c r="HH220" s="1684"/>
      <c r="HI220" s="1684"/>
      <c r="HJ220" s="1684"/>
      <c r="HK220" s="1684"/>
      <c r="HL220" s="1684"/>
      <c r="HM220" s="1684"/>
      <c r="HN220" s="1683"/>
      <c r="HO220" s="1692"/>
      <c r="HP220" s="1692"/>
      <c r="HQ220" s="1670"/>
      <c r="HR220" s="1684"/>
      <c r="HS220" s="1684"/>
      <c r="HT220" s="1670"/>
      <c r="HU220" s="1684"/>
      <c r="HV220" s="1684"/>
      <c r="HW220" s="1684"/>
      <c r="HX220" s="1684"/>
      <c r="HY220" s="1684"/>
      <c r="HZ220" s="1684"/>
      <c r="IB220" s="1692"/>
      <c r="IC220" s="1693" t="b">
        <f>IB218</f>
        <v>0</v>
      </c>
      <c r="ID220" s="1695"/>
      <c r="IE220" s="391"/>
      <c r="IF220" s="1688"/>
      <c r="IG220" s="1689">
        <f ca="1">IF(IF218=TRUE,AC221,0)</f>
        <v>0</v>
      </c>
      <c r="IH220" s="1684"/>
      <c r="IK220" s="1689" t="e">
        <f>ROUND(T220*AB221*N219*R219/1000,0)</f>
        <v>#VALUE!</v>
      </c>
      <c r="IL220" s="1691"/>
      <c r="IM220" s="1693" t="e">
        <f>ROUND(T220*AB221*N219*R219/1000,0)</f>
        <v>#VALUE!</v>
      </c>
      <c r="IN220" s="1691"/>
      <c r="IP220" s="1679"/>
      <c r="IQ220" s="1679" t="e">
        <f t="shared" ref="IQ220:IU220" si="182">IF($CR220="interior",VLOOKUP($CS220,_New_Control_Savings_Interior,IQ$30,FALSE),VLOOKUP($CS220,Control_Savings_Exterior,IQ$30,FALSE))</f>
        <v>#N/A</v>
      </c>
      <c r="IR220" s="1679" t="e">
        <f t="shared" si="182"/>
        <v>#N/A</v>
      </c>
      <c r="IS220" s="1679" t="e">
        <f t="shared" si="182"/>
        <v>#N/A</v>
      </c>
      <c r="IT220" s="1679" t="e">
        <f t="shared" si="182"/>
        <v>#N/A</v>
      </c>
      <c r="IU220" s="1679" t="e">
        <f t="shared" si="182"/>
        <v>#N/A</v>
      </c>
      <c r="IV220" s="1679" t="e">
        <f>IF($CR220="interior",IF(R219&gt;$IP$14,ROUND(($IV$18*($IP$14/R219)),2),$IV$18),VLOOKUP($CS220,Control_Savings_Exterior,IV$30,FALSE))</f>
        <v>#N/A</v>
      </c>
      <c r="IW220" s="1679" t="e">
        <f>IF($CR220="interior",ROUND(((1-IS220)*IV220)+IS220,2),VLOOKUP($CS220,Control_Savings_Exterior,IW$30,FALSE))</f>
        <v>#N/A</v>
      </c>
      <c r="IX220" s="1679" t="e">
        <f>IF($CR220="interior",ROUND(((1-IT220)*IV220)+IT220,2),VLOOKUP($CS220,Control_Savings_Exterior,IX$30,FALSE))</f>
        <v>#N/A</v>
      </c>
      <c r="IY220" s="1679" t="e">
        <f>IF($CR220="interior",IF(R219&gt;$IP$14,ROUND(($IY$18*($IP$14/R219)),2),$IY$18),VLOOKUP($CS220,Control_Savings_Exterior,IY$30,FALSE))</f>
        <v>#N/A</v>
      </c>
      <c r="IZ220" s="1679" t="e">
        <f>IF($CR220="interior",ROUND(((1-IS220)*IY220)+IS220,2),VLOOKUP($CS220,Control_Savings_Exterior,IZ$30,FALSE))</f>
        <v>#N/A</v>
      </c>
      <c r="JA220" s="1679" t="e">
        <f>IF($CR220="interior",ROUND(((1-IT220)*IY220)+IT220,2),VLOOKUP($CS220,Control_Savings_Exterior,JA$30,FALSE))</f>
        <v>#N/A</v>
      </c>
      <c r="JC220" s="1680">
        <f>IFERROR(IF(CR220="Interior",CONCATENATE(G221," ",FQ220),AG220),"")</f>
        <v>0</v>
      </c>
      <c r="JD220" s="1670" t="str">
        <f>IFERROR(VLOOKUP(JC220,_Controls_2023,2,FALSE),"")</f>
        <v/>
      </c>
      <c r="JE220" s="1681">
        <f>IFERROR(CHOOSE(JD220-1,IQ220,IR220,IS220,IT220,IU220,IV220,IW220,IX220,IY220,IZ220,JA220),0)</f>
        <v>0</v>
      </c>
      <c r="JG220" s="1680" t="str">
        <f>FE220</f>
        <v xml:space="preserve"> - </v>
      </c>
      <c r="JH220" s="1670" t="e">
        <f>$FO220</f>
        <v>#N/A</v>
      </c>
      <c r="JI220" s="1060"/>
      <c r="JJ220" s="1670">
        <f>IFERROR(IF($IB218=TRUE,IF(OR(JJ$14="No",JJ218=FALSE,JH220&lt;=JH218,AND(_kWh_Grant=0,GD218=FALSE)),0,IF(JJ$8="Per Line",1,$AF220)),0),0)</f>
        <v>0</v>
      </c>
      <c r="JK220" s="1061"/>
      <c r="JL220" s="1670">
        <f>IFERROR(IF(_kWh_Grant=0,0,IF($IB218=TRUE,IF(OR(JL$14="No",JL218=FALSE,JH220&lt;=JH218),0,IF(JL$8="Per Line",1,$T220)),0)),0)</f>
        <v>0</v>
      </c>
      <c r="JM220" s="1061"/>
      <c r="JN220" s="1670">
        <f>IFERROR(IF(_kWh_Grant=0,0,IF($IB218=TRUE,IF(OR(JN$14="No",JN218=FALSE,JH220&lt;=JH218),0,IF(JN$8="Per Line",1,$AF220)),0)),0)</f>
        <v>0</v>
      </c>
      <c r="JO220" s="1061"/>
      <c r="JP220" s="1670">
        <f>IFERROR(IF(__Retrofit_TI_NC=0,IF(_kWh_Grant=0,0,IF($IB218=TRUE,IF(OR(JP$14="No",JP218=FALSE,$JH220&lt;=$JH218),0,IF(JP$8="Per Line",1,$AF220)),0)),IF($IB218=TRUE,IF(OR(JP$14="No",JP218=FALSE,$JH220&lt;=$JH218),0,IF(JP$8="Per Line",1,$AF220)))),0)</f>
        <v>0</v>
      </c>
      <c r="JQ220" s="1061"/>
      <c r="JR220" s="1670">
        <f>IFERROR(IF(__Retrofit_TI_NC=0,IF(_kWh_Grant=0,0,IF($IB218=TRUE,IF(OR(JR$14="No",JR218=FALSE,$JH220&lt;=$JH218),0,IF(JR$8="Per Line",1,$AF220)),0)),IF($IB218=TRUE,IF(OR(JR$14="No",JR218=FALSE,$JH220&lt;=$JH218),0,IF(JR$8="Per Line",1,$AF220)))),0)</f>
        <v>0</v>
      </c>
      <c r="JS220" s="1061"/>
      <c r="JT220" s="1670">
        <f>IFERROR(IF(__Retrofit_TI_NC=0,IF(_kWh_Grant=0,0,IF($IB218=TRUE,IF(OR(JT$14="No",JT218=FALSE,$JH220&lt;=$JH218),0,IF(JT$8="Per Line",1,$AF220)),0)),IF($IB218=TRUE,IF(OR(JT$14="No",JT218=FALSE,$JH220&lt;=$JH218),0,IF(JT$8="Per Line",1,$AF220)))),0)</f>
        <v>0</v>
      </c>
      <c r="JU220" s="1061"/>
      <c r="JV220" s="1670">
        <f>IFERROR(IF(__Retrofit_TI_NC=0,IF(_kWh_Grant=0,0,IF($IB218=TRUE,IF(OR(JV$14="No",JV218=FALSE,$JH220&lt;=$JH218),0,IF(JV$8="Per Line",1,$AF220)),0)),IF($IB218=TRUE,IF(OR(JV$14="No",JV218=FALSE,$JH220&lt;=$JH218),0,IF(JV$8="Per Line",1,$AF220)))),0)</f>
        <v>0</v>
      </c>
      <c r="JX220" s="1670">
        <f>IFERROR(IF(__Retrofit_TI_NC=0,IF(_kWh_Grant=0,0,IF($IB218=TRUE,IF(OR(JX$14="No",JX218=FALSE,$JH220&lt;=$JH218),0,IF(JX$8="Per Line",1,$AF220)),0)),IF($IB218=TRUE,IF(OR(JX$14="No",JX218=FALSE,$JH220&lt;=$JH218),0,IF(JX$8="Per Line",1,$AF220)))),0)</f>
        <v>0</v>
      </c>
      <c r="JZ220" s="1670">
        <f>IFERROR(IF($IB218=TRUE,IF(OR(JZ$14="No",JZ218=FALSE,$JH220&lt;=$JH218,AND(_kWh_Grant=0,$GD218=FALSE)),0,IF(JZ$8="Per Line",1,$AF220)),0),0)</f>
        <v>0</v>
      </c>
      <c r="KB220" s="1670">
        <f>IFERROR(IF(__Retrofit_TI_NC=0,IF(_kWh_Grant=0,0,IF($IB218=TRUE,IF(OR(KB$14="No",KB218=FALSE,$JH220&lt;=$JH218),0,IF(KB$8="Per Line",1,$AF220)),0)),IF($IB218=TRUE,IF(OR(KB$14="No",KB218=FALSE,$JH220&lt;=$JH218),0,IF(KB$8="Per Line",1,$AF220)))),0)</f>
        <v>0</v>
      </c>
    </row>
    <row r="221" spans="1:288" s="78" customFormat="1" ht="14.95" customHeight="1" thickTop="1" thickBot="1">
      <c r="B221" s="1845"/>
      <c r="C221" s="1846"/>
      <c r="D221" s="1847"/>
      <c r="E221" s="1771" t="s">
        <v>436</v>
      </c>
      <c r="F221" s="1772"/>
      <c r="G221" s="1784" t="s">
        <v>437</v>
      </c>
      <c r="H221" s="1785"/>
      <c r="I221" s="1785"/>
      <c r="J221" s="1785"/>
      <c r="K221" s="1785"/>
      <c r="L221" s="1786"/>
      <c r="M221" s="591">
        <f>IFERROR(VLOOKUP(G221,_Daylight_Table[],2,FALSE),0)</f>
        <v>0</v>
      </c>
      <c r="N221" s="592" t="str">
        <f>IF(AND(__Retrofit_TI_NC&gt;0,CQ218="Interior"),"BAM","")</f>
        <v/>
      </c>
      <c r="O221" s="591" t="e">
        <f>VLOOKUP(G220,'Space Table'!$B$3:$L$163,11,FALSE)</f>
        <v>#N/A</v>
      </c>
      <c r="P221" s="1789"/>
      <c r="Q221" s="1790"/>
      <c r="R221" s="1790"/>
      <c r="S221" s="1788"/>
      <c r="T221" s="593" t="s">
        <v>342</v>
      </c>
      <c r="U221" s="1756" t="str" cm="1">
        <f t="array" aca="1" ref="U221" ca="1">IFERROR(VLOOKUP(INDIRECT("U" &amp; ROW()-1),Fixtures!DM$93:DP$142,4,FALSE),"")</f>
        <v/>
      </c>
      <c r="V221" s="1757"/>
      <c r="W221" s="1757"/>
      <c r="X221" s="1757"/>
      <c r="Y221" s="1757"/>
      <c r="Z221" s="1757"/>
      <c r="AA221" s="1758"/>
      <c r="AB221" s="939" t="str">
        <f>IFERROR(VLOOKUP(U220,Fixtures_Proposed_List,2,FALSE),"")</f>
        <v/>
      </c>
      <c r="AC221" s="933" t="str">
        <f>IFERROR(ROUND(T220*AB221*N219*R219/1000,0),"")</f>
        <v/>
      </c>
      <c r="AD221" s="934" t="str">
        <f>IFERROR(ROUND(T220*AB221/1000,2),"")</f>
        <v/>
      </c>
      <c r="AE221" s="998"/>
      <c r="AF221" s="938" t="s">
        <v>342</v>
      </c>
      <c r="AG221" s="1770"/>
      <c r="AH221" s="1770"/>
      <c r="AI221" s="1770"/>
      <c r="AJ221" s="1770"/>
      <c r="AK221" s="1770"/>
      <c r="AL221" s="1770"/>
      <c r="AM221" s="1727"/>
      <c r="AN221" s="1729"/>
      <c r="AO221" s="1731"/>
      <c r="AP221" s="1782"/>
      <c r="AQ221" s="1783"/>
      <c r="AR221" s="1797"/>
      <c r="AS221" s="1797"/>
      <c r="AT221" s="1798"/>
      <c r="AU221" s="1736"/>
      <c r="AV221" s="1753"/>
      <c r="AW221" s="1706"/>
      <c r="AX221" s="468"/>
      <c r="AY221" s="1750"/>
      <c r="AZ221" s="1750"/>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696"/>
      <c r="CQ221" s="1696"/>
      <c r="CR221" s="1809"/>
      <c r="CS221" s="1811"/>
      <c r="CU221" s="1688"/>
      <c r="CV221" s="1703"/>
      <c r="CW221" s="1703"/>
      <c r="CX221" s="1813"/>
      <c r="CY221" s="1815"/>
      <c r="CZ221" s="1711"/>
      <c r="DA221" s="1815"/>
      <c r="DB221" s="1821"/>
      <c r="DC221" s="1821"/>
      <c r="DD221" s="1821"/>
      <c r="DF221" s="1703"/>
      <c r="DG221" s="1831"/>
      <c r="DH221" s="1813"/>
      <c r="DI221" s="1838"/>
      <c r="DJ221" s="1711"/>
      <c r="DK221" s="1712"/>
      <c r="DN221" s="1718"/>
      <c r="DO221" s="1709"/>
      <c r="DQ221" s="1715"/>
      <c r="DR221" s="1720"/>
      <c r="DS221" s="1703"/>
      <c r="DT221" s="1714"/>
      <c r="DU221" s="1715"/>
      <c r="DV221" s="1716"/>
      <c r="DX221" s="1715"/>
      <c r="DY221" s="1720"/>
      <c r="DZ221" s="1715"/>
      <c r="EA221" s="1715"/>
      <c r="EC221" s="1834"/>
      <c r="ED221" s="1834"/>
      <c r="EF221" s="1707"/>
      <c r="EG221" s="1712"/>
      <c r="EH221" s="1815"/>
      <c r="EI221" s="1712"/>
      <c r="EJ221" s="1712"/>
      <c r="EK221" s="1813"/>
      <c r="EL221" s="1813"/>
      <c r="EM221" s="1807"/>
      <c r="EN221" s="1839"/>
      <c r="EO221" s="1839"/>
      <c r="EP221" s="1817"/>
      <c r="EQ221" s="1817"/>
      <c r="ER221" s="1807"/>
      <c r="ES221" s="1807"/>
      <c r="ET221" s="1807"/>
      <c r="EV221" s="1715"/>
      <c r="EX221" s="1806"/>
      <c r="EY221" s="1806"/>
      <c r="EZ221" s="1806"/>
      <c r="FA221" s="1806"/>
      <c r="FB221" s="1806"/>
      <c r="FC221" s="1828"/>
      <c r="FE221" s="1698"/>
      <c r="FG221" s="1703"/>
      <c r="FH221" s="1703"/>
      <c r="FI221" s="133"/>
      <c r="FL221" s="1823"/>
      <c r="FM221" s="1825"/>
      <c r="FN221" s="1698"/>
      <c r="FO221" s="1698"/>
      <c r="FP221" s="1678"/>
      <c r="FQ221" s="1698"/>
      <c r="FS221" s="1687"/>
      <c r="FT221" s="1687"/>
      <c r="FU221" s="1685"/>
      <c r="FV221" s="1687"/>
      <c r="FW221" s="1687"/>
      <c r="FX221" s="1687"/>
      <c r="FY221" s="1697"/>
      <c r="GA221" s="1696"/>
      <c r="GB221" s="1696"/>
      <c r="GC221" s="1696"/>
      <c r="GD221" s="1696"/>
      <c r="GE221" s="1696"/>
      <c r="GF221" s="1696"/>
      <c r="GG221" s="1696"/>
      <c r="GH221" s="1696"/>
      <c r="GI221" s="673"/>
      <c r="GJ221" s="1135"/>
      <c r="GK221" s="1832"/>
      <c r="GN221" s="674">
        <f>IF(GN219=TRUE,0,GN$16)</f>
        <v>0</v>
      </c>
      <c r="GP221" s="674">
        <f>IF(GP219=TRUE,0,GP$16)</f>
        <v>36</v>
      </c>
      <c r="GQ221" s="674">
        <f ca="1">IF(GQ219=TRUE,0,GQ$16)</f>
        <v>35</v>
      </c>
      <c r="GR221" s="391"/>
      <c r="GS221" s="391"/>
      <c r="GT221" s="391"/>
      <c r="GU221" s="391"/>
      <c r="GV221" s="391"/>
      <c r="HG221" s="674">
        <f>IF(HG219=TRUE,0,HG$16)</f>
        <v>0</v>
      </c>
      <c r="HH221" s="674">
        <f t="shared" ref="HH221:HM221" si="183">IF(HH219=TRUE,0,HH$16)</f>
        <v>19</v>
      </c>
      <c r="HI221" s="674">
        <f t="shared" si="183"/>
        <v>18</v>
      </c>
      <c r="HJ221" s="674">
        <f t="shared" si="183"/>
        <v>17</v>
      </c>
      <c r="HK221" s="674">
        <f t="shared" si="183"/>
        <v>16</v>
      </c>
      <c r="HL221" s="674">
        <f t="shared" si="183"/>
        <v>0</v>
      </c>
      <c r="HM221" s="674">
        <f t="shared" si="183"/>
        <v>0</v>
      </c>
      <c r="HN221" s="674">
        <f>IF(HN219=TRUE,0,HN$16)</f>
        <v>13</v>
      </c>
      <c r="HO221" s="674">
        <f t="shared" ref="HO221:HQ221" si="184">IF(HO219=TRUE,0,HO$16)</f>
        <v>0</v>
      </c>
      <c r="HP221" s="674">
        <f t="shared" si="184"/>
        <v>0</v>
      </c>
      <c r="HQ221" s="674">
        <f t="shared" si="184"/>
        <v>10</v>
      </c>
      <c r="HR221" s="674">
        <f>IF(HR219=TRUE,0,HR$16)</f>
        <v>9</v>
      </c>
      <c r="HS221" s="674">
        <f t="shared" ref="HS221:HW221" si="185">IF(HS219=TRUE,0,HS$16)</f>
        <v>0</v>
      </c>
      <c r="HT221" s="674">
        <f t="shared" si="185"/>
        <v>0</v>
      </c>
      <c r="HU221" s="674">
        <f t="shared" si="185"/>
        <v>0</v>
      </c>
      <c r="HV221" s="674">
        <f t="shared" si="185"/>
        <v>0</v>
      </c>
      <c r="HW221" s="674">
        <f t="shared" si="185"/>
        <v>0</v>
      </c>
      <c r="HX221" s="674">
        <f>IF(HX219=TRUE,0,HX$16)</f>
        <v>0</v>
      </c>
      <c r="HY221" s="674">
        <f>IF(HY219=TRUE,0,HY$16)</f>
        <v>0</v>
      </c>
      <c r="HZ221" s="674">
        <f>IF(HZ219=TRUE,0,HZ$16)</f>
        <v>1</v>
      </c>
      <c r="IB221" s="674">
        <f>IF(GP219=FALSE,GP221,IF(GQ219=FALSE,GQ221,MAX(GN221:HZ221)))</f>
        <v>36</v>
      </c>
      <c r="IC221" s="1692"/>
      <c r="ID221" s="205" t="str">
        <f>VLOOKUP(IB221,_Error_Table,3,FALSE)</f>
        <v xml:space="preserve"> </v>
      </c>
      <c r="IE221" s="205"/>
      <c r="IF221" s="1688"/>
      <c r="IG221" s="1689"/>
      <c r="IH221" s="1684"/>
      <c r="IK221" s="1689"/>
      <c r="IL221" s="1692"/>
      <c r="IM221" s="1692"/>
      <c r="IN221" s="1692"/>
      <c r="IP221" s="1679"/>
      <c r="IQ221" s="1679"/>
      <c r="IR221" s="1679"/>
      <c r="IS221" s="1679"/>
      <c r="IT221" s="1679"/>
      <c r="IU221" s="1679"/>
      <c r="IV221" s="1679"/>
      <c r="IW221" s="1679"/>
      <c r="IX221" s="1679"/>
      <c r="IY221" s="1679"/>
      <c r="IZ221" s="1679"/>
      <c r="JA221" s="1679"/>
      <c r="JC221" s="1680"/>
      <c r="JD221" s="1670"/>
      <c r="JE221" s="1681"/>
      <c r="JG221" s="1680"/>
      <c r="JH221" s="1670"/>
      <c r="JI221" s="1060"/>
      <c r="JJ221" s="1670"/>
      <c r="JK221" s="1061"/>
      <c r="JL221" s="1670"/>
      <c r="JM221" s="1061"/>
      <c r="JN221" s="1670"/>
      <c r="JO221" s="1061"/>
      <c r="JP221" s="1670"/>
      <c r="JQ221" s="1061"/>
      <c r="JR221" s="1670"/>
      <c r="JS221" s="1061"/>
      <c r="JT221" s="1670"/>
      <c r="JU221" s="1061"/>
      <c r="JV221" s="1670"/>
      <c r="JX221" s="1670"/>
      <c r="JZ221" s="1670"/>
      <c r="KB221" s="1670"/>
    </row>
    <row r="222" spans="1:288" s="78" customFormat="1" ht="5.0999999999999996" customHeight="1">
      <c r="B222" s="676"/>
      <c r="C222" s="392"/>
      <c r="D222" s="392"/>
      <c r="E222" s="1733"/>
      <c r="F222" s="1733"/>
      <c r="G222" s="1733"/>
      <c r="H222" s="1733"/>
      <c r="I222" s="1733"/>
      <c r="J222" s="1733"/>
      <c r="K222" s="1733"/>
      <c r="L222" s="1733"/>
      <c r="M222" s="1733"/>
      <c r="N222" s="1733"/>
      <c r="O222" s="1733"/>
      <c r="P222" s="1733"/>
      <c r="Q222" s="1733"/>
      <c r="R222" s="1733"/>
      <c r="S222" s="1733"/>
      <c r="T222" s="1733"/>
      <c r="U222" s="1733"/>
      <c r="V222" s="1733"/>
      <c r="W222" s="1733"/>
      <c r="X222" s="1733"/>
      <c r="Y222" s="1733"/>
      <c r="Z222" s="1733"/>
      <c r="AA222" s="1733"/>
      <c r="AB222" s="1733"/>
      <c r="AC222" s="1733"/>
      <c r="AD222" s="1733"/>
      <c r="AE222" s="1733"/>
      <c r="AF222" s="1733"/>
      <c r="AG222" s="1733"/>
      <c r="AH222" s="1733"/>
      <c r="AI222" s="1733"/>
      <c r="AJ222" s="1733"/>
      <c r="AK222" s="1733"/>
      <c r="AL222" s="1733"/>
      <c r="AM222" s="1733"/>
      <c r="AN222" s="1733"/>
      <c r="AO222" s="1733"/>
      <c r="AP222" s="1733"/>
      <c r="AQ222" s="1733"/>
      <c r="AR222" s="1733"/>
      <c r="AS222" s="1733"/>
      <c r="AT222" s="1733"/>
      <c r="AU222" s="1733"/>
      <c r="AV222" s="1733"/>
      <c r="AW222" s="1733"/>
      <c r="AX222" s="469"/>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663"/>
      <c r="CQ222" s="663"/>
      <c r="CR222" s="438"/>
      <c r="CS222" s="663"/>
      <c r="CV222" s="391"/>
      <c r="CW222" s="391"/>
      <c r="CX222" s="207"/>
      <c r="CY222" s="208"/>
      <c r="CZ222" s="208"/>
      <c r="DA222" s="208"/>
      <c r="DB222" s="209"/>
      <c r="DC222" s="209"/>
      <c r="DD222" s="209"/>
      <c r="DF222" s="664"/>
      <c r="DG222" s="665"/>
      <c r="DH222" s="666"/>
      <c r="DI222" s="667"/>
      <c r="DJ222" s="668"/>
      <c r="DK222" s="668"/>
      <c r="DN222" s="208"/>
      <c r="DO222" s="664"/>
      <c r="DQ222" s="664"/>
      <c r="DR222" s="669"/>
      <c r="DS222" s="391"/>
      <c r="DT222" s="664"/>
      <c r="DU222" s="664"/>
      <c r="DV222" s="664"/>
      <c r="DX222" s="664"/>
      <c r="DY222" s="664"/>
      <c r="DZ222" s="664"/>
      <c r="EA222" s="664"/>
      <c r="EC222" s="670"/>
      <c r="ED222" s="670"/>
      <c r="EF222" s="668"/>
      <c r="EG222" s="668"/>
      <c r="EH222" s="208"/>
      <c r="EI222" s="668"/>
      <c r="EJ222" s="668"/>
      <c r="EK222" s="207"/>
      <c r="EL222" s="207"/>
      <c r="EM222" s="666"/>
      <c r="EN222" s="671"/>
      <c r="EO222" s="671"/>
      <c r="EP222" s="672"/>
      <c r="EQ222" s="672"/>
      <c r="ER222" s="666"/>
      <c r="ES222" s="666"/>
      <c r="ET222" s="666"/>
      <c r="EV222" s="664"/>
      <c r="EX222" s="391"/>
      <c r="EY222" s="391"/>
      <c r="EZ222" s="391"/>
      <c r="FA222" s="391"/>
      <c r="FB222" s="391"/>
      <c r="FC222" s="391"/>
      <c r="FE222" s="569"/>
      <c r="FG222" s="391"/>
      <c r="FH222" s="391"/>
      <c r="FI222" s="391"/>
      <c r="FS222" s="664"/>
      <c r="FT222" s="391"/>
      <c r="FU222" s="391"/>
      <c r="FV222" s="664"/>
      <c r="FW222" s="664"/>
      <c r="GA222" s="663"/>
      <c r="GB222" s="663"/>
      <c r="GC222" s="663"/>
      <c r="GD222" s="663"/>
      <c r="GE222" s="663"/>
      <c r="GF222" s="663"/>
      <c r="GG222" s="663"/>
      <c r="GH222" s="663"/>
      <c r="GI222" s="665"/>
      <c r="GJ222" s="664"/>
      <c r="GK222" s="664"/>
    </row>
    <row r="223" spans="1:288" s="78" customFormat="1" ht="14.95" customHeight="1">
      <c r="B223" s="1845" t="str">
        <f>ID226</f>
        <v xml:space="preserve"> </v>
      </c>
      <c r="C223" s="1846">
        <f>C218+1</f>
        <v>35</v>
      </c>
      <c r="D223" s="1847"/>
      <c r="E223" s="1799" t="s">
        <v>295</v>
      </c>
      <c r="F223" s="1800"/>
      <c r="G223" s="1741"/>
      <c r="H223" s="1742"/>
      <c r="I223" s="1742"/>
      <c r="J223" s="1742"/>
      <c r="K223" s="1742"/>
      <c r="L223" s="1742"/>
      <c r="M223" s="1742"/>
      <c r="N223" s="1742"/>
      <c r="O223" s="1742"/>
      <c r="P223" s="1742"/>
      <c r="Q223" s="1742"/>
      <c r="R223" s="1742"/>
      <c r="S223" s="1791" t="s">
        <v>344</v>
      </c>
      <c r="T223" s="590"/>
      <c r="U223" s="1743"/>
      <c r="V223" s="1744"/>
      <c r="W223" s="1744"/>
      <c r="X223" s="1744"/>
      <c r="Y223" s="1744"/>
      <c r="Z223" s="1744"/>
      <c r="AA223" s="1744"/>
      <c r="AB223" s="961" t="str">
        <f>IFERROR(IF(__Retrofit_TI_NC=0,VLOOKUP(U224,Fixtures_Existing_List,2,FALSE),ROUND(N225*R225/T225,10)),"")</f>
        <v/>
      </c>
      <c r="AC223" s="935" t="str">
        <f>IFERROR(IF(__Retrofit_TI_NC=0,ROUND(T224*AB223*N224*R224/1000,0),IF(CQ223="Interior",N225*R225*R224*N224*_C406_reduction/1000,N225*R225*R224*N224/1000)),"")</f>
        <v/>
      </c>
      <c r="AD223" s="936" t="str">
        <f>IFERROR(IF(C$43=0,ROUND(T224*AB223/1000,2),N225*R225/1000),"")</f>
        <v/>
      </c>
      <c r="AE223" s="997"/>
      <c r="AF223" s="937"/>
      <c r="AG223" s="1745" t="str">
        <f>IF(__Retrofit_TI_NC=0," Control","Select Advanced Control for New System")</f>
        <v xml:space="preserve"> Control</v>
      </c>
      <c r="AH223" s="1745"/>
      <c r="AI223" s="1745"/>
      <c r="AJ223" s="1745"/>
      <c r="AK223" s="1745"/>
      <c r="AL223" s="1745"/>
      <c r="AM223" s="1746">
        <f>IFERROR(DI223,"")</f>
        <v>0</v>
      </c>
      <c r="AN223" s="1774" t="str">
        <f>IFERROR(ROUND(AM223*AC223,0),"")</f>
        <v/>
      </c>
      <c r="AO223" s="1776">
        <f>IFERROR(IF(IB223=FALSE,0,AC223-AN223),0)</f>
        <v>0</v>
      </c>
      <c r="AP223" s="1778">
        <f>AO223-AO225</f>
        <v>0</v>
      </c>
      <c r="AQ223" s="1779"/>
      <c r="AR223" s="1793">
        <f>IFERROR(IF(IB223=FALSE,0,(T225*U226)+(AF225*AG226)),0)</f>
        <v>0</v>
      </c>
      <c r="AS223" s="1793"/>
      <c r="AT223" s="1794"/>
      <c r="AU223" s="1734" t="s">
        <v>237</v>
      </c>
      <c r="AV223" s="1751">
        <f>IF(AU223="Yes",1,0)</f>
        <v>1</v>
      </c>
      <c r="AW223" s="1704" t="str">
        <f>IF(OR(DQ223=4,DQ223=5,DQ223=6,DQ223=12),CONCATENATE("$",IF(GH223=TRUE,Lookup!$K$10,Lookup!$K$2)," /lamp"),CONCATENATE(TEXT(ED223,"$0.00"),"/ kWh"))</f>
        <v>$0.00/ kWh</v>
      </c>
      <c r="AX223" s="467"/>
      <c r="AY223" s="1748">
        <f ca="1">IFERROR(IF(GM224=TRUE,(AB226*T225)/R225,0),"NA")</f>
        <v>0</v>
      </c>
      <c r="AZ223" s="1748"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696" t="str">
        <f>N224</f>
        <v/>
      </c>
      <c r="CQ223" s="1696" t="str">
        <f>IFERROR(VLOOKUP(G224,_Lookup_Heat_Type_Table_New,3,FALSE),"")</f>
        <v/>
      </c>
      <c r="CR223" s="1808" t="str">
        <f>CQ223</f>
        <v/>
      </c>
      <c r="CS223" s="1810" t="str">
        <f>IFERROR(VLOOKUP(G225,'Space Table'!$B$3:$L$163,9,FALSE),"")</f>
        <v/>
      </c>
      <c r="CU223" s="1688" t="s">
        <v>344</v>
      </c>
      <c r="CV223" s="1702">
        <f>IF(IB223=TRUE,T224,0)</f>
        <v>0</v>
      </c>
      <c r="CW223" s="1702" t="str">
        <f>IF(IB223=TRUE,U224,"")</f>
        <v/>
      </c>
      <c r="CX223" s="1702"/>
      <c r="CY223" s="1814">
        <f>IF(IB223=TRUE,AB223,0)</f>
        <v>0</v>
      </c>
      <c r="CZ223" s="1710">
        <f>IF(AND(__Retrofit_TI_NC&gt;0,CR223="interior"),0,IF(IB223=TRUE,AC223,0))</f>
        <v>0</v>
      </c>
      <c r="DA223" s="1814">
        <f>IFERROR(IF(IB223=TRUE,CZ223-CZ225,0),0)</f>
        <v>0</v>
      </c>
      <c r="DB223" s="1819">
        <f>IF(IB223=TRUE,AD223,0)</f>
        <v>0</v>
      </c>
      <c r="DC223" s="1819">
        <f>IF(IB223=TRUE,AD226,0)</f>
        <v>0</v>
      </c>
      <c r="DD223" s="1819">
        <f>IFERROR(DB223-DC223,0)</f>
        <v>0</v>
      </c>
      <c r="DF223" s="1702">
        <f>IF(IB223=TRUE,AF224,0)</f>
        <v>0</v>
      </c>
      <c r="DG223" s="1830">
        <f>IFERROR(IF(__Retrofit_TI_NC=2,IF(CQ223="Exterior",O226,FQ223),FN223),"")</f>
        <v>0</v>
      </c>
      <c r="DH223" s="1702"/>
      <c r="DI223" s="1837">
        <f>JE223</f>
        <v>0</v>
      </c>
      <c r="DJ223" s="1710">
        <f>IF(AND(__Retrofit_TI_NC&gt;0,CR223="interior"),0,IF(IB223=TRUE,AN223,0))</f>
        <v>0</v>
      </c>
      <c r="DK223" s="1712">
        <f>IFERROR(IF(IB223=TRUE,DJ225-DJ223,0),0)</f>
        <v>0</v>
      </c>
      <c r="DM223" s="1717">
        <f>IFERROR(CZ223-DJ223,0)</f>
        <v>0</v>
      </c>
      <c r="DO223" s="1708">
        <f>DM223-DN225</f>
        <v>0</v>
      </c>
      <c r="DQ223" s="1715" t="str">
        <f>IFERROR(IF(AND(OR(GC223=4,GC223=5,GC223=6),OR(GF223=4,GF223=5,GF223=6)),GC223+8,VLOOKUP(CW225,Fixtures!R$31:Y$78,8,FALSE)),"")</f>
        <v/>
      </c>
      <c r="DR223" s="1829" t="str">
        <f>DQ223</f>
        <v/>
      </c>
      <c r="DS223" s="1702" t="str">
        <f>IFERROR(VLOOKUP(DG225,Lookup!BB$3:BC$20,2,FALSE),"")</f>
        <v/>
      </c>
      <c r="DT223" s="1713" t="str">
        <f>IF(OR(DS223=7,DS223=8,DS223=9),"ALC","")</f>
        <v/>
      </c>
      <c r="DU223" s="1715">
        <f>IFERROR(IF(OR(DQ223=4,DQ223=5,DQ223=6,DQ223=12,DQ223=13,DQ223=14),VLOOKUP(CW225,Fixtures!DN$27:EG$77,19,FALSE),1)*CV225,0)</f>
        <v>0</v>
      </c>
      <c r="DV223" s="1716">
        <f>IF(OR(DS223=7,DS223=8,DS223=9),IF(DG223=DG225,0,DF225),0)</f>
        <v>0</v>
      </c>
      <c r="DX223" s="1715" t="str">
        <f>IFERROR(IF(EZ223&lt;EZ225,"Yes","No"),"")</f>
        <v/>
      </c>
      <c r="DY223" s="1829" t="str">
        <f>DX223</f>
        <v/>
      </c>
      <c r="DZ223" s="1715">
        <f>IF(DX223="Yes",DF225,0)</f>
        <v>0</v>
      </c>
      <c r="EA223" s="1715">
        <f>DZ223-DV223</f>
        <v>0</v>
      </c>
      <c r="EC223" s="1834">
        <f>IFERROR(VLOOKUP(DQ223,Lookup!AU$3:AV$16,2,FALSE),0)</f>
        <v>0</v>
      </c>
      <c r="ED223" s="1834">
        <f>IF(IB223=FALSE,0,IF(DX223="Yes",EC223+Lookup!K$6,EC223))</f>
        <v>0</v>
      </c>
      <c r="EF223" s="1707">
        <f>IF(IB223=TRUE,DM223,0)</f>
        <v>0</v>
      </c>
      <c r="EG223" s="1712">
        <f>IF(IB223=TRUE,CZ225,0)</f>
        <v>0</v>
      </c>
      <c r="EH223" s="1814">
        <f>IFERROR(EF223-EG223,0)</f>
        <v>0</v>
      </c>
      <c r="EI223" s="1712">
        <f>IF(IB223=TRUE,DJ225,0)</f>
        <v>0</v>
      </c>
      <c r="EJ223" s="1712">
        <f>IFERROR(EF223-EG223+EI223,0)</f>
        <v>0</v>
      </c>
      <c r="EK223" s="1812">
        <f>IF(IB223=TRUE,CV225*CX225,0)</f>
        <v>0</v>
      </c>
      <c r="EL223" s="1812">
        <f>IF(IB223=TRUE,DF225*DH225,0)</f>
        <v>0</v>
      </c>
      <c r="EM223" s="1807">
        <f>AR223</f>
        <v>0</v>
      </c>
      <c r="EN223" s="1839" t="str">
        <f>IFERROR(IF(IB223=TRUE,VLOOKUP(DQ223,Lookup!AU$3:AW$16,3,FALSE)*DU223,""),0)</f>
        <v/>
      </c>
      <c r="EO223" s="1839">
        <f>IF(IB223=TRUE,DZ223*Lookup!AW$12,0)</f>
        <v>0</v>
      </c>
      <c r="EP223" s="1817">
        <f>IFERROR(IF(IB223=TRUE,EN223/EP$40,0),0)</f>
        <v>0</v>
      </c>
      <c r="EQ223" s="1817">
        <f>IF(IB223=TRUE,EO223/EQ$40,0)</f>
        <v>0</v>
      </c>
      <c r="ER223" s="1807">
        <f>IF(IB223=TRUE,ET$40*EP223,0)</f>
        <v>0</v>
      </c>
      <c r="ES223" s="1807">
        <f>IF(IB223=TRUE,ET$40*EQ223,0)</f>
        <v>0</v>
      </c>
      <c r="ET223" s="1807">
        <f>ER223+ES223</f>
        <v>0</v>
      </c>
      <c r="EV223" s="1715">
        <f>IF(G223="",0,1)</f>
        <v>0</v>
      </c>
      <c r="EX223" s="1804" t="str">
        <f>IFERROR(VLOOKUP(CS225,'Space Table'!$B$3:$L$163,8,FALSE),"")</f>
        <v/>
      </c>
      <c r="EY223" s="1804" t="str">
        <f>IFERROR(IF(FB223="Yes",VLOOKUP(DG223,Lookup_Control_Type_Table2,4,FALSE),VLOOKUP(DG223,Lookup_Control_Type_Table2,3,FALSE)),"")</f>
        <v/>
      </c>
      <c r="EZ223" s="1804" t="e">
        <f>VLOOKUP(DG223,Lookup!BB$3:BC$20,2,FALSE)</f>
        <v>#N/A</v>
      </c>
      <c r="FA223" s="1804" t="e">
        <f>VLOOKUP(EX223,Lookup_Control_Type_Table,2,FALSE)</f>
        <v>#N/A</v>
      </c>
      <c r="FB223" s="1804" t="e">
        <f>VLOOKUP(CS225,'Space Table'!$B$3:$L$163,7,FALSE)</f>
        <v>#N/A</v>
      </c>
      <c r="FC223" s="1826" t="b">
        <f>ISNUMBER(SEARCH("TLED",U225))</f>
        <v>0</v>
      </c>
      <c r="FE223" s="1698" t="str">
        <f>CONCATENATE(CQ223," - ",DG223)</f>
        <v xml:space="preserve"> - 0</v>
      </c>
      <c r="FG223" s="1702" t="str">
        <f>VLOOKUP(CW225,Fixtures!DN$27:EZ$77,38,FALSE)</f>
        <v/>
      </c>
      <c r="FH223" s="1702">
        <f>IFERROR(FG223*EH223,0)</f>
        <v>0</v>
      </c>
      <c r="FI223" s="133"/>
      <c r="FL223" s="1822" t="str">
        <f>IF(CQ223="Exterior","Not Daylighted",G226)</f>
        <v>Not Daylighted</v>
      </c>
      <c r="FM223" s="1824">
        <f>VLOOKUP(FL223,_New_Daylight_Table_Codes,2,FALSE)</f>
        <v>0</v>
      </c>
      <c r="FN223" s="1698">
        <f>IF(__Retrofit_TI_NC&gt;0,VLOOKUP(G225,'Space Table'!$B$3:$L$163,11,FALSE),AG224)</f>
        <v>0</v>
      </c>
      <c r="FO223" s="1698" t="e">
        <f>IF(__Retrofit_TI_NC=2,VLOOKUP(FQ223,_Control_Table,2,FALSE),VLOOKUP(FN223,_Control_Table,2,FALSE))</f>
        <v>#N/A</v>
      </c>
      <c r="FP223" s="1678" t="e">
        <f>VLOOKUP(CONCATENATE(FL223," ",FN223),Lookup!AY$102:AZ233,2,FALSE)</f>
        <v>#N/A</v>
      </c>
      <c r="FQ223" s="1678">
        <f>IF(__Retrofit_TI_NC=0,FN223,IF(AND(FT223&gt;0,FN223="Occupancy Sensor"),"Daylight + Occupancy",IF(AND(FT223&gt;0,VLOOKUP(FN223,_Control_Table,2,FALSE)&lt;4),"Interior Daylight Dimming",FN223)))</f>
        <v>0</v>
      </c>
      <c r="FS223" s="1686">
        <f>IF(CR223="Interior",VLOOKUP(CS223,Control_Savings_Interior,5,FALSE),0)</f>
        <v>0</v>
      </c>
      <c r="FT223" s="1687">
        <f>IF(CQ223="Exterior",0,IF(FM223=2,0.5,IF(OR(FM223=1,FM223=3),1,0)))</f>
        <v>0</v>
      </c>
      <c r="FU223" s="1685">
        <f>IF(R222&gt;FS$44,(FS223*(FS$44/R222)),FS223)*FT223</f>
        <v>0</v>
      </c>
      <c r="FV223" s="1686">
        <f>DI223</f>
        <v>0</v>
      </c>
      <c r="FW223" s="1686">
        <f>ROUND(FV223+((1-FV223)*FU223),2)</f>
        <v>0</v>
      </c>
      <c r="FX223" s="1686">
        <f>IF(__Retrofit_TI_NC=2,FW223,FV223)</f>
        <v>0</v>
      </c>
      <c r="FY223" s="1697"/>
      <c r="GA223" s="1696" t="str">
        <f>IFERROR(VLOOKUP(U224,_Exist_Fixture_Table,3,FALSE),"")</f>
        <v/>
      </c>
      <c r="GB223" s="1696" t="str">
        <f>VLOOKUP(CW223,_Exist_Fixture_Table,4,FALSE)</f>
        <v/>
      </c>
      <c r="GC223" s="1696">
        <f>IFERROR(VLOOKUP(GB223,Lookup!AT$6:AU$8,2,FALSE),0)</f>
        <v>0</v>
      </c>
      <c r="GD223" s="1696" t="b">
        <f>IFERROR(IF(OR(GF223=4,GF223=5,GF223=6),TRUE,FALSE),"")</f>
        <v>0</v>
      </c>
      <c r="GE223" s="1696" t="str">
        <f>IFERROR(VLOOKUP(GF223,GC$6:GD$10,2,FALSE),"")</f>
        <v/>
      </c>
      <c r="GF223" s="1696" t="str">
        <f>VLOOKUP(CW225,Fixtures!R$31:Y$78,8,FALSE)</f>
        <v/>
      </c>
      <c r="GG223" s="1696">
        <f>IF(AND(GA223=TRUE,GD223=TRUE,OR(DQ223=12,DQ223=13,DQ223=14)),GC223+8,0)</f>
        <v>0</v>
      </c>
      <c r="GH223" s="1696" t="b">
        <f>IF(OR(GG223=12,GG223=13,GG223=14),TRUE,FALSE)</f>
        <v>0</v>
      </c>
      <c r="GI223" s="673" t="b">
        <f>IF(ISNUMBER(SEARCH("TLED",U224)),TRUE,FALSE)</f>
        <v>0</v>
      </c>
      <c r="GJ223" s="1135" t="str">
        <f>IFERROR(VLOOKUP(U224,Fixtures!BM$93:BR$142,6,FALSE),"")</f>
        <v/>
      </c>
      <c r="GK223" s="1832" t="b">
        <f>IF(OR(GI223=FALSE,GI225=FALSE),TRUE,IF(GJ223-GJ225&lt;5,FALSE,TRUE))</f>
        <v>1</v>
      </c>
      <c r="GO223" s="674">
        <f>GP223</f>
        <v>0</v>
      </c>
      <c r="GP223" s="674">
        <f>IF(G223="",0,1)</f>
        <v>0</v>
      </c>
      <c r="GQ223" s="674">
        <f ca="1">SUM(GR223:HF223)</f>
        <v>2</v>
      </c>
      <c r="GR223" s="674">
        <f>IF(G224="",0,1)</f>
        <v>0</v>
      </c>
      <c r="GS223" s="674">
        <f>IF(N226="BAM",1,IF(G225="",0,1))</f>
        <v>0</v>
      </c>
      <c r="GT223" s="674">
        <f>IF(N226="BAM",1,IF(R224="",0,1))</f>
        <v>0</v>
      </c>
      <c r="GU223" s="674">
        <f>IF(N226="BAM",1,IF(__Retrofit_TI_NC=0,1,IF(R225="",0,1)))</f>
        <v>1</v>
      </c>
      <c r="GV223" s="674">
        <f>IF(N226="BAM",1,IF(CQ223="Exterior",1,IF(G226="",0,1)))</f>
        <v>1</v>
      </c>
      <c r="GW223" s="674">
        <f>IF(__Retrofit_TI_NC&gt;0,1,IF(T224="",0,1))</f>
        <v>0</v>
      </c>
      <c r="GX223" s="674">
        <f>IF(__Retrofit_TI_NC&gt;0,1,IF(U224="",0,1))</f>
        <v>0</v>
      </c>
      <c r="GY223" s="674">
        <f>IF(N226="BAM",1,IF(T225="",0,1))</f>
        <v>0</v>
      </c>
      <c r="GZ223" s="674">
        <f>IF(N226="BAM",1,IF(U225="",0,1))</f>
        <v>0</v>
      </c>
      <c r="HA223" s="674">
        <f ca="1">IF(N226="BAM",1,IF(__Retrofit_TI_NC&gt;0,1,IF(U226="",0,1)))</f>
        <v>0</v>
      </c>
      <c r="HB223" s="674">
        <f>IF(__Retrofit_TI_NC&lt;&gt;0,1,IF(AF224="",0,1))</f>
        <v>0</v>
      </c>
      <c r="HC223" s="674">
        <f>IF(__Retrofit_TI_NC&lt;&gt;0,1,IF(AG224="",0,1))</f>
        <v>0</v>
      </c>
      <c r="HD223" s="674">
        <f>IF(N226="BAM",1,IF(AF225="",0,1))</f>
        <v>0</v>
      </c>
      <c r="HE223" s="674">
        <f>IF(N226="BAM",1,IF(AG225="",0,1))</f>
        <v>0</v>
      </c>
      <c r="HF223" s="674">
        <f>IF(N226="BAM",1,IF(__Retrofit_TI_NC&gt;0,1,IF(AG226="",0,1)))</f>
        <v>0</v>
      </c>
      <c r="HG223" s="391"/>
      <c r="IA223" s="391"/>
      <c r="IB223" s="1693" t="b">
        <f>IF(OR(IB226=0,IB226=HY$16,IB226=HX$16,IB226=HZ$16),TRUE,FALSE)</f>
        <v>0</v>
      </c>
      <c r="IC223" s="1694" t="b">
        <f>IB223</f>
        <v>0</v>
      </c>
      <c r="ID223" s="391"/>
      <c r="IE223" s="391"/>
      <c r="IF223" s="1688" t="b">
        <f ca="1">IF(MAX(GN226:HU226)&gt;5,FALSE,TRUE)</f>
        <v>0</v>
      </c>
      <c r="IG223" s="1689">
        <f ca="1">IF(IF223=TRUE,AC223,0)</f>
        <v>0</v>
      </c>
      <c r="IH223" s="1689">
        <f ca="1">IG223-IG225</f>
        <v>0</v>
      </c>
      <c r="IK223" s="1689" t="e">
        <f>ROUND(T224*VLOOKUP(U224,Fixtures_Existing_List,2,FALSE)*N224*R224/1000,0)</f>
        <v>#N/A</v>
      </c>
      <c r="IL223" s="1690" t="e">
        <f>IK223-IK225</f>
        <v>#N/A</v>
      </c>
      <c r="IM223" s="1693" t="e">
        <f>ROUND(IF(CQ223="Interior",N225*R225*R224*N224*_C406_reduction/1000,N225*R225*R224*N224/1000),0)</f>
        <v>#N/A</v>
      </c>
      <c r="IN223" s="1693" t="e">
        <f>IM223-IM225</f>
        <v>#N/A</v>
      </c>
      <c r="IP223" s="1679"/>
      <c r="IQ223" s="1679" t="e">
        <f t="shared" ref="IQ223:IU223" si="186">IF($CR223="interior",VLOOKUP($CS223,_New_Control_Savings_Interior,IQ$30,FALSE),VLOOKUP($CS223,Control_Savings_Exterior,IQ$30,FALSE))</f>
        <v>#N/A</v>
      </c>
      <c r="IR223" s="1679" t="e">
        <f t="shared" si="186"/>
        <v>#N/A</v>
      </c>
      <c r="IS223" s="1679" t="e">
        <f t="shared" si="186"/>
        <v>#N/A</v>
      </c>
      <c r="IT223" s="1679" t="e">
        <f t="shared" si="186"/>
        <v>#N/A</v>
      </c>
      <c r="IU223" s="1679" t="e">
        <f t="shared" si="186"/>
        <v>#N/A</v>
      </c>
      <c r="IV223" s="1679" t="e">
        <f>IF($CR223="interior",IF(R224&gt;$IP$14,ROUND(($IV$18*($IP$14/R224)),2),$IV$18),VLOOKUP($CS223,Control_Savings_Exterior,IV$30,FALSE))</f>
        <v>#N/A</v>
      </c>
      <c r="IW223" s="1679" t="e">
        <f>IF($CR223="interior",ROUND(((1-IS223)*IV223)+IS223,2),VLOOKUP($CS223,Control_Savings_Exterior,IW$30,FALSE))</f>
        <v>#N/A</v>
      </c>
      <c r="IX223" s="1679" t="e">
        <f>IF($CR223="interior",ROUND(((1-IT223)*IV223)+IT223,2),VLOOKUP($CS223,Control_Savings_Exterior,IX$30,FALSE))</f>
        <v>#N/A</v>
      </c>
      <c r="IY223" s="1679" t="e">
        <f>IF($CR223="interior",IF(R224&gt;$IP$14,ROUND(($IY$18*($IP$14/R224)),2),$IY$18),VLOOKUP($CS223,Control_Savings_Exterior,IY$30,FALSE))</f>
        <v>#N/A</v>
      </c>
      <c r="IZ223" s="1679" t="e">
        <f>IF($CR223="interior",ROUND(((1-IS223)*IY223)+IS223,2),VLOOKUP($CS223,Control_Savings_Exterior,IZ$30,FALSE))</f>
        <v>#N/A</v>
      </c>
      <c r="JA223" s="1679" t="e">
        <f>IF($CR223="interior",ROUND(((1-IT223)*IY223)+IT223,2),VLOOKUP($CS223,Control_Savings_Exterior,JA$30,FALSE))</f>
        <v>#N/A</v>
      </c>
      <c r="JC223" s="1680">
        <f>IFERROR(IF(CR223="Interior",CONCATENATE(G226," ",FQ223),FQ223),"")</f>
        <v>0</v>
      </c>
      <c r="JD223" s="1670" t="str">
        <f>IFERROR(VLOOKUP(JC223,_Controls_2023,2,FALSE),"")</f>
        <v/>
      </c>
      <c r="JE223" s="1681">
        <f>IFERROR(CHOOSE(JD223-1,IQ223,IR223,IS223,IT223,IU223,IV223,IW223,IX223,IY223,IZ223,JA223),0)</f>
        <v>0</v>
      </c>
      <c r="JG223" s="1680" t="str">
        <f>FE223</f>
        <v xml:space="preserve"> - 0</v>
      </c>
      <c r="JH223" s="1670" t="e">
        <f>$FO223</f>
        <v>#N/A</v>
      </c>
      <c r="JI223" s="1060"/>
      <c r="JJ223" s="1682" t="b">
        <f>IF($JG225=CONCATENATE("Interior - ",JJ$4),TRUE,FALSE)</f>
        <v>0</v>
      </c>
      <c r="JK223" s="1061"/>
      <c r="JL223" s="1682" t="b">
        <f>IF($JG225=CONCATENATE("Interior - ",JL$4),TRUE,FALSE)</f>
        <v>0</v>
      </c>
      <c r="JM223" s="1061"/>
      <c r="JN223" s="1682" t="b">
        <f>IF($JG225=CONCATENATE("Interior - ",JN$4),TRUE,FALSE)</f>
        <v>0</v>
      </c>
      <c r="JO223" s="1061"/>
      <c r="JP223" s="1682" t="b">
        <f>IF(__Retrofit_TI_NC&gt;0,FALSE,IF($JG225=CONCATENATE("Interior - ",JP$4),TRUE,FALSE))</f>
        <v>0</v>
      </c>
      <c r="JQ223" s="1061"/>
      <c r="JR223" s="1682" t="b">
        <f>IF(__Retrofit_TI_NC&gt;0,FALSE,IF($JG225=CONCATENATE("Interior - ",JR$4),TRUE,FALSE))</f>
        <v>0</v>
      </c>
      <c r="JS223" s="1061"/>
      <c r="JT223" s="1670" t="b">
        <f>IF(__Retrofit_TI_NC&gt;0,FALSE,IF($JG225=CONCATENATE("Interior - ",JT$4),TRUE,FALSE))</f>
        <v>0</v>
      </c>
      <c r="JU223" s="1061"/>
      <c r="JV223" s="1670" t="b">
        <f>IF(JC225="AELC on Existing",TRUE,FALSE)</f>
        <v>0</v>
      </c>
      <c r="JX223" s="1670" t="b">
        <f>IF(OR(JG225="Exterior - AELC Occupancy based",JG225="Exterior - AELC Time based"),TRUE,FALSE)</f>
        <v>0</v>
      </c>
      <c r="JZ223" s="1682" t="b">
        <f>IF($JG225=CONCATENATE("Exterior - ",JZ$4),TRUE,FALSE)</f>
        <v>0</v>
      </c>
      <c r="KB223" s="1670" t="b">
        <f>IF(__Retrofit_TI_NC&gt;0,FALSE,IF($JG225=CONCATENATE("Interior - ",KB$4),TRUE,FALSE))</f>
        <v>0</v>
      </c>
    </row>
    <row r="224" spans="1:288" s="78" customFormat="1" ht="14.95" customHeight="1" thickTop="1" thickBot="1">
      <c r="B224" s="1845"/>
      <c r="C224" s="1846"/>
      <c r="D224" s="1847"/>
      <c r="E224" s="1737" t="s">
        <v>297</v>
      </c>
      <c r="F224" s="1738"/>
      <c r="G224" s="1739"/>
      <c r="H224" s="1739"/>
      <c r="I224" s="1739"/>
      <c r="J224" s="1739"/>
      <c r="K224" s="1739"/>
      <c r="L224" s="1739"/>
      <c r="M224" s="461" t="e">
        <f>IF(__Retrofit_TI_NC&lt;&gt;0,IF(VLOOKUP(G225,'Space Table'!$B$3:$L$163,3,FALSE)&gt;0,1,0),IF(__Retrofit_TI_NC=VLOOKUP(G225,'Space Table'!$B$3:$L$163,3,FALSE),1,0))</f>
        <v>#N/A</v>
      </c>
      <c r="N224" s="461" t="str">
        <f>IFERROR(VLOOKUP(G224,_Lookup_Heat_Type_Table_New,2,FALSE),"")</f>
        <v/>
      </c>
      <c r="O224" s="461">
        <f>IF(__Retrofit_TI_NC=1,CONCATENATE("TI ",G224),IF(__Retrofit_TI_NC=2,CONCATENATE("NC ",G224),G224))</f>
        <v>0</v>
      </c>
      <c r="P224" s="1740" t="s">
        <v>435</v>
      </c>
      <c r="Q224" s="1740"/>
      <c r="R224" s="595"/>
      <c r="S224" s="1792"/>
      <c r="T224" s="597"/>
      <c r="U224" s="1765"/>
      <c r="V224" s="1766"/>
      <c r="W224" s="1766"/>
      <c r="X224" s="1766"/>
      <c r="Y224" s="1766"/>
      <c r="Z224" s="1766"/>
      <c r="AA224" s="1766"/>
      <c r="AB224" s="1766"/>
      <c r="AC224" s="1766"/>
      <c r="AD224" s="1767"/>
      <c r="AE224" s="1000"/>
      <c r="AF224" s="597"/>
      <c r="AG224" s="1723"/>
      <c r="AH224" s="1724"/>
      <c r="AI224" s="1724"/>
      <c r="AJ224" s="1724"/>
      <c r="AK224" s="1725"/>
      <c r="AL224" s="996"/>
      <c r="AM224" s="1747"/>
      <c r="AN224" s="1775"/>
      <c r="AO224" s="1777"/>
      <c r="AP224" s="1780"/>
      <c r="AQ224" s="1781"/>
      <c r="AR224" s="1795"/>
      <c r="AS224" s="1795"/>
      <c r="AT224" s="1796"/>
      <c r="AU224" s="1735"/>
      <c r="AV224" s="1752"/>
      <c r="AW224" s="1705"/>
      <c r="AX224" s="467"/>
      <c r="AY224" s="1749"/>
      <c r="AZ224" s="1749"/>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696"/>
      <c r="CQ224" s="1696"/>
      <c r="CR224" s="1809"/>
      <c r="CS224" s="1811"/>
      <c r="CU224" s="1688"/>
      <c r="CV224" s="1703"/>
      <c r="CW224" s="1703"/>
      <c r="CX224" s="1703"/>
      <c r="CY224" s="1815"/>
      <c r="CZ224" s="1711"/>
      <c r="DA224" s="1818"/>
      <c r="DB224" s="1820"/>
      <c r="DC224" s="1820"/>
      <c r="DD224" s="1820"/>
      <c r="DF224" s="1703"/>
      <c r="DG224" s="1831"/>
      <c r="DH224" s="1703"/>
      <c r="DI224" s="1838"/>
      <c r="DJ224" s="1711"/>
      <c r="DK224" s="1712"/>
      <c r="DM224" s="1718"/>
      <c r="DO224" s="1708"/>
      <c r="DQ224" s="1715"/>
      <c r="DR224" s="1720"/>
      <c r="DS224" s="1816"/>
      <c r="DT224" s="1714"/>
      <c r="DU224" s="1715"/>
      <c r="DV224" s="1716"/>
      <c r="DX224" s="1715"/>
      <c r="DY224" s="1720"/>
      <c r="DZ224" s="1715"/>
      <c r="EA224" s="1715"/>
      <c r="EC224" s="1834"/>
      <c r="ED224" s="1834"/>
      <c r="EF224" s="1707"/>
      <c r="EG224" s="1712"/>
      <c r="EH224" s="1818"/>
      <c r="EI224" s="1712"/>
      <c r="EJ224" s="1712"/>
      <c r="EK224" s="1836"/>
      <c r="EL224" s="1836"/>
      <c r="EM224" s="1807"/>
      <c r="EN224" s="1839"/>
      <c r="EO224" s="1839"/>
      <c r="EP224" s="1817"/>
      <c r="EQ224" s="1817"/>
      <c r="ER224" s="1807"/>
      <c r="ES224" s="1807"/>
      <c r="ET224" s="1807"/>
      <c r="EV224" s="1715"/>
      <c r="EX224" s="1805"/>
      <c r="EY224" s="1805"/>
      <c r="EZ224" s="1805"/>
      <c r="FA224" s="1805"/>
      <c r="FB224" s="1805"/>
      <c r="FC224" s="1827"/>
      <c r="FE224" s="1698"/>
      <c r="FG224" s="1816"/>
      <c r="FH224" s="1816"/>
      <c r="FI224" s="133"/>
      <c r="FL224" s="1823"/>
      <c r="FM224" s="1825"/>
      <c r="FN224" s="1698"/>
      <c r="FO224" s="1698"/>
      <c r="FP224" s="1678"/>
      <c r="FQ224" s="1678"/>
      <c r="FS224" s="1687"/>
      <c r="FT224" s="1687"/>
      <c r="FU224" s="1685"/>
      <c r="FV224" s="1687"/>
      <c r="FW224" s="1687"/>
      <c r="FX224" s="1687"/>
      <c r="FY224" s="1697"/>
      <c r="GA224" s="1696"/>
      <c r="GB224" s="1696"/>
      <c r="GC224" s="1696"/>
      <c r="GD224" s="1696"/>
      <c r="GE224" s="1696"/>
      <c r="GF224" s="1696"/>
      <c r="GG224" s="1696"/>
      <c r="GH224" s="1696"/>
      <c r="GI224" s="673"/>
      <c r="GJ224" s="1135"/>
      <c r="GK224" s="1832"/>
      <c r="GM224" s="1693" t="b">
        <f ca="1">IF(AND(GP224=TRUE,GQ224=TRUE),TRUE,FALSE)</f>
        <v>0</v>
      </c>
      <c r="GN224" s="1684" t="b">
        <f>IFERROR(IF(__Retrofit_TI_NC=2,TRUE,IF(AU223="Yes",TRUE,FALSE)),FALSE)</f>
        <v>1</v>
      </c>
      <c r="GP224" s="1684" t="b">
        <f>IFERROR(IF(GP223=1,TRUE,FALSE),FALSE)</f>
        <v>0</v>
      </c>
      <c r="GQ224" s="1684" t="b">
        <f ca="1">IFERROR(IF(GQ223=GQ$14,TRUE,FALSE),FALSE)</f>
        <v>0</v>
      </c>
      <c r="HG224" s="1684" t="b">
        <f>IFERROR(IF(AND(__Retrofit_TI_NC&gt;0,CQ223="Interior"),FALSE,TRUE),FALSE)</f>
        <v>1</v>
      </c>
      <c r="HH224" s="1684" t="b">
        <f>IFERROR(IF(M224=1,TRUE,FALSE),FALSE)</f>
        <v>0</v>
      </c>
      <c r="HI224" s="1684" t="b">
        <f>IFERROR(IF(OR(M225=1,N226="BAM"),TRUE,FALSE),FALSE)</f>
        <v>0</v>
      </c>
      <c r="HJ224" s="1684" t="b">
        <f>IFERROR(IF(__Retrofit_TI_NC&lt;&gt;0,TRUE,IFERROR(IF(VLOOKUP(U224,Fixtures_Existing_List,2,FALSE)&lt;&gt;"",TRUE,FALSE),FALSE)),FALSE)</f>
        <v>0</v>
      </c>
      <c r="HK224" s="1684" t="b">
        <f>IFERROR(IF(VLOOKUP(U225,Fixtures_Proposed_List,2,FALSE)&lt;&gt;"",TRUE,FALSE),FALSE)</f>
        <v>0</v>
      </c>
      <c r="HL224" s="1684" t="b">
        <f>IF(AND(__Retrofit_TI_NC=2,FC223=TRUE),FALSE,TRUE)</f>
        <v>1</v>
      </c>
      <c r="HM224" s="1684" t="b">
        <f>GK223</f>
        <v>1</v>
      </c>
      <c r="HN224" s="1682" t="b">
        <f>IF(ISERROR(MATCH(FE223,_Control_Match[],0))=TRUE,FALSE,TRUE)</f>
        <v>0</v>
      </c>
      <c r="HO224" s="1693" t="b">
        <f>IFERROR(IF(EX223&lt;&gt;EY223,FALSE,TRUE),FALSE)</f>
        <v>1</v>
      </c>
      <c r="HP224" s="1693" t="b">
        <f>IFERROR(IF(EX225&lt;&gt;EY225,FALSE,TRUE),FALSE)</f>
        <v>1</v>
      </c>
      <c r="HQ224" s="1670" t="b">
        <f>IFERROR(IF(CQ223="Exterior",TRUE,IF(AND(OR(FM225=0,FM225=3),JD225&gt;6),FALSE,TRUE)),FALSE)</f>
        <v>0</v>
      </c>
      <c r="HR224" s="1684" t="b">
        <f>IFERROR(IF(AND(FO225=7,FC223=TRUE),FALSE,TRUE),FALSE)</f>
        <v>0</v>
      </c>
      <c r="HS224" s="1684" t="b">
        <f>IFERROR(IF(AND(T225&lt;&gt;AF225,OR(AG225="Interior LLLC", AG225="Interior NLC", AG225="LLLC (outside Daylight)",AG225="LLLC Controls Only"))=TRUE,FALSE,TRUE),FALSE)</f>
        <v>1</v>
      </c>
      <c r="HT224" s="1670" t="b">
        <f>IFERROR(IF(OR(AG225=Lookup!BB$17,AG225=Lookup!BB$18,AG225=Lookup!BB$19)=TRUE,IF(AF225&gt;T225,FALSE,TRUE),TRUE),FALSE)</f>
        <v>1</v>
      </c>
      <c r="HU224" s="1684" t="b">
        <f>IFERROR(IF(__Retrofit_TI_NC=2,IF(EZ225&lt;EZ223,FALSE,TRUE),TRUE),FALSE)</f>
        <v>1</v>
      </c>
      <c r="HV224" s="1684" t="b">
        <f>IF(CQ223="Interior",IL$6,TRUE)</f>
        <v>1</v>
      </c>
      <c r="HW224" s="1684" t="b">
        <f>IF(CQ223="Exterior",IL$8,TRUE)</f>
        <v>1</v>
      </c>
      <c r="HX224" s="1684" t="b">
        <f>IFERROR(IF(__Retrofit_TI_NC&lt;&gt;0,IF(AZ223&lt;AY223,FALSE,TRUE),TRUE),FALSE)</f>
        <v>1</v>
      </c>
      <c r="HY224" s="1684" t="b">
        <f>IFERROR(IF(AND(G224="Exterior",R224&gt;4200),FALSE,TRUE),FALSE)</f>
        <v>1</v>
      </c>
      <c r="HZ224" s="1684" t="b">
        <f>IFERROR(IF(AB226/AB223&lt;HZ$18,FALSE,TRUE),FALSE)</f>
        <v>0</v>
      </c>
      <c r="IB224" s="1691"/>
      <c r="IC224" s="1695"/>
      <c r="ID224" s="1694" t="str">
        <f>VLOOKUP(IB226,_Error_Table,4,FALSE)</f>
        <v>White</v>
      </c>
      <c r="IE224" s="391"/>
      <c r="IF224" s="1688"/>
      <c r="IG224" s="1689"/>
      <c r="IH224" s="1684"/>
      <c r="IK224" s="1689"/>
      <c r="IL224" s="1691"/>
      <c r="IM224" s="1691"/>
      <c r="IN224" s="1691"/>
      <c r="IP224" s="1679"/>
      <c r="IQ224" s="1679"/>
      <c r="IR224" s="1679"/>
      <c r="IS224" s="1679"/>
      <c r="IT224" s="1679"/>
      <c r="IU224" s="1679"/>
      <c r="IV224" s="1679"/>
      <c r="IW224" s="1679"/>
      <c r="IX224" s="1679"/>
      <c r="IY224" s="1679"/>
      <c r="IZ224" s="1679"/>
      <c r="JA224" s="1679"/>
      <c r="JC224" s="1680"/>
      <c r="JD224" s="1670"/>
      <c r="JE224" s="1681"/>
      <c r="JG224" s="1680"/>
      <c r="JH224" s="1670"/>
      <c r="JI224" s="1060"/>
      <c r="JJ224" s="1683"/>
      <c r="JK224" s="1061"/>
      <c r="JL224" s="1683"/>
      <c r="JM224" s="1061"/>
      <c r="JN224" s="1683"/>
      <c r="JO224" s="1061"/>
      <c r="JP224" s="1683"/>
      <c r="JQ224" s="1061"/>
      <c r="JR224" s="1683"/>
      <c r="JS224" s="1061"/>
      <c r="JT224" s="1670"/>
      <c r="JU224" s="1061"/>
      <c r="JV224" s="1670"/>
      <c r="JX224" s="1670"/>
      <c r="JZ224" s="1683"/>
      <c r="KB224" s="1670"/>
    </row>
    <row r="225" spans="1:288" s="78" customFormat="1" ht="14.95" customHeight="1" thickTop="1" thickBot="1">
      <c r="A225" s="78">
        <f>ROW()</f>
        <v>225</v>
      </c>
      <c r="B225" s="1845"/>
      <c r="C225" s="1846"/>
      <c r="D225" s="1847"/>
      <c r="E225" s="1737" t="s">
        <v>298</v>
      </c>
      <c r="F225" s="1738"/>
      <c r="G225" s="1760"/>
      <c r="H225" s="1761"/>
      <c r="I225" s="1761"/>
      <c r="J225" s="1761"/>
      <c r="K225" s="1761"/>
      <c r="L225" s="1762"/>
      <c r="M225" s="461">
        <f>IFERROR(IF(IF(__Retrofit_TI_NC&lt;&gt;0,IF(CQ223="Interior",MATCH(G225,Lookup_Interior_New,0),MATCH(G225,Lookup_Exterior_New,0)),IF(CQ223="Interior",MATCH(G225,Lookup_Interior,0),MATCH(G225,Lookup_Exterior_Areas,0)))&gt;0,1,0),0)</f>
        <v>0</v>
      </c>
      <c r="N225" s="461" t="e">
        <f>IF(__Retrofit_TI_NC=1,
VLOOKUP(G225,'Space Table'!$B$3:$L$163,4,FALSE),
IF(__Retrofit_TI_NC=2,VLOOKUP(G225,'Space Table'!$B$3:$L$163,5,FALSE),VLOOKUP(G225,'Space Table'!$B$3:$L$163,5,FALSE)))</f>
        <v>#N/A</v>
      </c>
      <c r="O225" s="461">
        <f>G225</f>
        <v>0</v>
      </c>
      <c r="P225" s="1738" t="str">
        <f>IFERROR(IF(__Retrofit_TI_NC=1,VLOOKUP(G225,'Space Table'!$B$3:$O$163,13,FALSE),IF(__Retrofit_TI_NC=2,VLOOKUP(G225,'Space Table'!$B$3:$O$163,14,FALSE),"Area (sf):")),"Area (sf):")</f>
        <v>Area (sf):</v>
      </c>
      <c r="Q225" s="1738"/>
      <c r="R225" s="596"/>
      <c r="S225" s="1763" t="s">
        <v>345</v>
      </c>
      <c r="T225" s="594"/>
      <c r="U225" s="1801"/>
      <c r="V225" s="1802"/>
      <c r="W225" s="1802"/>
      <c r="X225" s="1802"/>
      <c r="Y225" s="1802"/>
      <c r="Z225" s="1802"/>
      <c r="AA225" s="1802"/>
      <c r="AB225" s="1802"/>
      <c r="AC225" s="1802"/>
      <c r="AD225" s="1802"/>
      <c r="AE225" s="1803"/>
      <c r="AF225" s="594"/>
      <c r="AG225" s="1787"/>
      <c r="AH225" s="1787"/>
      <c r="AI225" s="1787"/>
      <c r="AJ225" s="1787"/>
      <c r="AK225" s="1787"/>
      <c r="AL225" s="1787"/>
      <c r="AM225" s="1726">
        <f>IFERROR(DI225,"")</f>
        <v>0</v>
      </c>
      <c r="AN225" s="1728" t="str">
        <f>IFERROR(ROUND(AM225*AC226,0),"")</f>
        <v/>
      </c>
      <c r="AO225" s="1730">
        <f>IFERROR(IF(IB223=FALSE,0,AC226-AN225),0)</f>
        <v>0</v>
      </c>
      <c r="AP225" s="1780"/>
      <c r="AQ225" s="1781"/>
      <c r="AR225" s="1795"/>
      <c r="AS225" s="1795"/>
      <c r="AT225" s="1796"/>
      <c r="AU225" s="1735"/>
      <c r="AV225" s="1752"/>
      <c r="AW225" s="1705"/>
      <c r="AX225" s="467"/>
      <c r="AY225" s="1749"/>
      <c r="AZ225" s="1749"/>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696"/>
      <c r="CQ225" s="1696"/>
      <c r="CR225" s="1808" t="str">
        <f>CQ223</f>
        <v/>
      </c>
      <c r="CS225" s="1810" t="str">
        <f>CS223</f>
        <v/>
      </c>
      <c r="CU225" s="1688" t="s">
        <v>345</v>
      </c>
      <c r="CV225" s="1702">
        <f>IF(IB223=TRUE,T225,0)</f>
        <v>0</v>
      </c>
      <c r="CW225" s="1702" t="str">
        <f>IF(IB223=TRUE,U225,"")</f>
        <v/>
      </c>
      <c r="CX225" s="1812">
        <f>IF(IB223=TRUE,U226,0)</f>
        <v>0</v>
      </c>
      <c r="CY225" s="1814">
        <f>IF(IB223=TRUE,AB226,0)</f>
        <v>0</v>
      </c>
      <c r="CZ225" s="1710">
        <f>IF(AND(__Retrofit_TI_NC&gt;0,CR223="interior"),0,IF(IB223=TRUE,AC226,0))</f>
        <v>0</v>
      </c>
      <c r="DA225" s="1818"/>
      <c r="DB225" s="1820"/>
      <c r="DC225" s="1820"/>
      <c r="DD225" s="1820"/>
      <c r="DF225" s="1702">
        <f>IF(IB223=TRUE,AF225,0)</f>
        <v>0</v>
      </c>
      <c r="DG225" s="1830" t="str">
        <f>IF(IB223=TRUE,AG225,"")</f>
        <v/>
      </c>
      <c r="DH225" s="1812">
        <f>AG226</f>
        <v>0</v>
      </c>
      <c r="DI225" s="1837">
        <f>JE225</f>
        <v>0</v>
      </c>
      <c r="DJ225" s="1710">
        <f>IF(AND(__Retrofit_TI_NC&gt;0,CR223="interior"),0,IF(IB223=TRUE,AN225,0))</f>
        <v>0</v>
      </c>
      <c r="DK225" s="1712"/>
      <c r="DN225" s="1717">
        <f>IFERROR(CZ225-DJ225,0)</f>
        <v>0</v>
      </c>
      <c r="DO225" s="1709"/>
      <c r="DQ225" s="1715"/>
      <c r="DR225" s="1719" t="str">
        <f>DQ223</f>
        <v/>
      </c>
      <c r="DS225" s="1816"/>
      <c r="DT225" s="1835" t="str">
        <f>IF(OR(DS223=7,DS223=8,DS223=9),"ALC","")</f>
        <v/>
      </c>
      <c r="DU225" s="1715"/>
      <c r="DV225" s="1716"/>
      <c r="DX225" s="1715"/>
      <c r="DY225" s="1829" t="str">
        <f>DX223</f>
        <v/>
      </c>
      <c r="DZ225" s="1715"/>
      <c r="EA225" s="1715"/>
      <c r="EC225" s="1834"/>
      <c r="ED225" s="1834"/>
      <c r="EF225" s="1707"/>
      <c r="EG225" s="1712"/>
      <c r="EH225" s="1818"/>
      <c r="EI225" s="1712"/>
      <c r="EJ225" s="1712"/>
      <c r="EK225" s="1836"/>
      <c r="EL225" s="1836"/>
      <c r="EM225" s="1807"/>
      <c r="EN225" s="1839"/>
      <c r="EO225" s="1839"/>
      <c r="EP225" s="1817"/>
      <c r="EQ225" s="1817"/>
      <c r="ER225" s="1807"/>
      <c r="ES225" s="1807"/>
      <c r="ET225" s="1807"/>
      <c r="EV225" s="1715"/>
      <c r="EX225" s="1805" t="str">
        <f>IFERROR(VLOOKUP(CS225,'Space Table'!$B$3:$L$163,8,FALSE),"")</f>
        <v/>
      </c>
      <c r="EY225" s="1805" t="str">
        <f>IFERROR(IF(FB225="Yes",VLOOKUP(AG225,Lookup_Control_Type_Table2,4,FALSE),VLOOKUP(AG225,Lookup_Control_Type_Table2,3,FALSE)),"")</f>
        <v/>
      </c>
      <c r="EZ225" s="1805" t="e">
        <f>VLOOKUP(AG225,Lookup!BB$3:BC$20,2,FALSE)</f>
        <v>#N/A</v>
      </c>
      <c r="FA225" s="1805" t="e">
        <f>VLOOKUP(EX223,Lookup_Control_Type_Table,2,FALSE)</f>
        <v>#N/A</v>
      </c>
      <c r="FB225" s="1805" t="e">
        <f>VLOOKUP(CS225,'Space Table'!$B$3:$L$163,7,FALSE)</f>
        <v>#N/A</v>
      </c>
      <c r="FC225" s="1827"/>
      <c r="FE225" s="1698" t="str">
        <f>CONCATENATE(CQ223," - ",AG225)</f>
        <v xml:space="preserve"> - </v>
      </c>
      <c r="FG225" s="1816"/>
      <c r="FH225" s="1816"/>
      <c r="FI225" s="133"/>
      <c r="FL225" s="1822" t="str">
        <f>IF(CQ223="Exterior","Not Daylighted",G226)</f>
        <v>Not Daylighted</v>
      </c>
      <c r="FM225" s="1824">
        <f>VLOOKUP(FL225,_New_Daylight_Table_Codes,2,FALSE)</f>
        <v>0</v>
      </c>
      <c r="FN225" s="1698">
        <f>AG225</f>
        <v>0</v>
      </c>
      <c r="FO225" s="1698" t="e">
        <f>VLOOKUP(FN225,_Control_Table,2,FALSE)</f>
        <v>#N/A</v>
      </c>
      <c r="FP225" s="1678" t="e">
        <f>VLOOKUP(CONCATENATE(FL225," ",FN225),Lookup!AY$102:AZ236,2,FALSE)</f>
        <v>#N/A</v>
      </c>
      <c r="FQ225" s="1698">
        <f>IF(__Retrofit_TI_NC=0,FN225,IF(AND(FT225&gt;0,FN225="Occupancy Sensor"),"Daylight + Occupancy",IF(AND(FT225&gt;0,FO225&lt;4),"Interior Daylight Dimming",FN225)))</f>
        <v>0</v>
      </c>
      <c r="FS225" s="1686">
        <f>IF(CQ223="Interior",VLOOKUP(CS223,Control_Savings_Interior,5,FALSE),0)</f>
        <v>0</v>
      </c>
      <c r="FT225" s="1687">
        <f>IF(CQ225="Exterior",0,IF(FM225=2,0.5,IF(OR(FM225=1,FM225=3),1,0)))</f>
        <v>0</v>
      </c>
      <c r="FU225" s="1685">
        <f>IF(R224&gt;FS$44,(FS225*(FS$44/R224)),FS225)*FT225</f>
        <v>0</v>
      </c>
      <c r="FV225" s="1686">
        <f>DI225</f>
        <v>0</v>
      </c>
      <c r="FW225" s="1686">
        <f>ROUND(FV225+((1-FV225)*FU225),2)</f>
        <v>0</v>
      </c>
      <c r="FX225" s="1686">
        <f>IF(__Retrofit_TI_NC=2,FW225,FV225)</f>
        <v>0</v>
      </c>
      <c r="FY225" s="1697">
        <f>IF(CR225="Interior",VLOOKUP(CS225,Control_Savings_Interior,4,FALSE),0)</f>
        <v>0</v>
      </c>
      <c r="GA225" s="1696"/>
      <c r="GB225" s="1696"/>
      <c r="GC225" s="1696"/>
      <c r="GD225" s="1696"/>
      <c r="GE225" s="1696"/>
      <c r="GF225" s="1696"/>
      <c r="GG225" s="1696"/>
      <c r="GH225" s="1696"/>
      <c r="GI225" s="673" t="b">
        <f>IF(ISNUMBER(SEARCH("TLED",U225)),TRUE,FALSE)</f>
        <v>0</v>
      </c>
      <c r="GJ225" s="1135" t="str">
        <f>IFERROR(VLOOKUP(U225,Fixtures!DM$93:DR$142,6,FALSE),"")</f>
        <v/>
      </c>
      <c r="GK225" s="1832"/>
      <c r="GM225" s="1692"/>
      <c r="GN225" s="1684"/>
      <c r="GP225" s="1684"/>
      <c r="GQ225" s="1684"/>
      <c r="HG225" s="1684"/>
      <c r="HH225" s="1684"/>
      <c r="HI225" s="1684"/>
      <c r="HJ225" s="1684"/>
      <c r="HK225" s="1684"/>
      <c r="HL225" s="1684"/>
      <c r="HM225" s="1684"/>
      <c r="HN225" s="1683"/>
      <c r="HO225" s="1692"/>
      <c r="HP225" s="1692"/>
      <c r="HQ225" s="1670"/>
      <c r="HR225" s="1684"/>
      <c r="HS225" s="1684"/>
      <c r="HT225" s="1670"/>
      <c r="HU225" s="1684"/>
      <c r="HV225" s="1684"/>
      <c r="HW225" s="1684"/>
      <c r="HX225" s="1684"/>
      <c r="HY225" s="1684"/>
      <c r="HZ225" s="1684"/>
      <c r="IB225" s="1692"/>
      <c r="IC225" s="1693" t="b">
        <f>IB223</f>
        <v>0</v>
      </c>
      <c r="ID225" s="1695"/>
      <c r="IE225" s="391"/>
      <c r="IF225" s="1688"/>
      <c r="IG225" s="1689">
        <f ca="1">IF(IF223=TRUE,AC226,0)</f>
        <v>0</v>
      </c>
      <c r="IH225" s="1684"/>
      <c r="IK225" s="1689" t="e">
        <f>ROUND(T225*AB226*N224*R224/1000,0)</f>
        <v>#VALUE!</v>
      </c>
      <c r="IL225" s="1691"/>
      <c r="IM225" s="1693" t="e">
        <f>ROUND(T225*AB226*N224*R224/1000,0)</f>
        <v>#VALUE!</v>
      </c>
      <c r="IN225" s="1691"/>
      <c r="IP225" s="1679"/>
      <c r="IQ225" s="1679" t="e">
        <f t="shared" ref="IQ225:IU225" si="187">IF($CR225="interior",VLOOKUP($CS225,_New_Control_Savings_Interior,IQ$30,FALSE),VLOOKUP($CS225,Control_Savings_Exterior,IQ$30,FALSE))</f>
        <v>#N/A</v>
      </c>
      <c r="IR225" s="1679" t="e">
        <f t="shared" si="187"/>
        <v>#N/A</v>
      </c>
      <c r="IS225" s="1679" t="e">
        <f t="shared" si="187"/>
        <v>#N/A</v>
      </c>
      <c r="IT225" s="1679" t="e">
        <f t="shared" si="187"/>
        <v>#N/A</v>
      </c>
      <c r="IU225" s="1679" t="e">
        <f t="shared" si="187"/>
        <v>#N/A</v>
      </c>
      <c r="IV225" s="1679" t="e">
        <f>IF($CR225="interior",IF(R224&gt;$IP$14,ROUND(($IV$18*($IP$14/R224)),2),$IV$18),VLOOKUP($CS225,Control_Savings_Exterior,IV$30,FALSE))</f>
        <v>#N/A</v>
      </c>
      <c r="IW225" s="1679" t="e">
        <f>IF($CR225="interior",ROUND(((1-IS225)*IV225)+IS225,2),VLOOKUP($CS225,Control_Savings_Exterior,IW$30,FALSE))</f>
        <v>#N/A</v>
      </c>
      <c r="IX225" s="1679" t="e">
        <f>IF($CR225="interior",ROUND(((1-IT225)*IV225)+IT225,2),VLOOKUP($CS225,Control_Savings_Exterior,IX$30,FALSE))</f>
        <v>#N/A</v>
      </c>
      <c r="IY225" s="1679" t="e">
        <f>IF($CR225="interior",IF(R224&gt;$IP$14,ROUND(($IY$18*($IP$14/R224)),2),$IY$18),VLOOKUP($CS225,Control_Savings_Exterior,IY$30,FALSE))</f>
        <v>#N/A</v>
      </c>
      <c r="IZ225" s="1679" t="e">
        <f>IF($CR225="interior",ROUND(((1-IS225)*IY225)+IS225,2),VLOOKUP($CS225,Control_Savings_Exterior,IZ$30,FALSE))</f>
        <v>#N/A</v>
      </c>
      <c r="JA225" s="1679" t="e">
        <f>IF($CR225="interior",ROUND(((1-IT225)*IY225)+IT225,2),VLOOKUP($CS225,Control_Savings_Exterior,JA$30,FALSE))</f>
        <v>#N/A</v>
      </c>
      <c r="JC225" s="1680">
        <f>IFERROR(IF(CR225="Interior",CONCATENATE(G226," ",FQ225),AG225),"")</f>
        <v>0</v>
      </c>
      <c r="JD225" s="1670" t="str">
        <f>IFERROR(VLOOKUP(JC225,_Controls_2023,2,FALSE),"")</f>
        <v/>
      </c>
      <c r="JE225" s="1681">
        <f>IFERROR(CHOOSE(JD225-1,IQ225,IR225,IS225,IT225,IU225,IV225,IW225,IX225,IY225,IZ225,JA225),0)</f>
        <v>0</v>
      </c>
      <c r="JG225" s="1680" t="str">
        <f>FE225</f>
        <v xml:space="preserve"> - </v>
      </c>
      <c r="JH225" s="1670" t="e">
        <f>$FO225</f>
        <v>#N/A</v>
      </c>
      <c r="JI225" s="1060"/>
      <c r="JJ225" s="1670">
        <f>IFERROR(IF($IB223=TRUE,IF(OR(JJ$14="No",JJ223=FALSE,JH225&lt;=JH223,AND(_kWh_Grant=0,GD223=FALSE)),0,IF(JJ$8="Per Line",1,$AF225)),0),0)</f>
        <v>0</v>
      </c>
      <c r="JK225" s="1061"/>
      <c r="JL225" s="1670">
        <f>IFERROR(IF(_kWh_Grant=0,0,IF($IB223=TRUE,IF(OR(JL$14="No",JL223=FALSE,JH225&lt;=JH223),0,IF(JL$8="Per Line",1,$T225)),0)),0)</f>
        <v>0</v>
      </c>
      <c r="JM225" s="1061"/>
      <c r="JN225" s="1670">
        <f>IFERROR(IF(_kWh_Grant=0,0,IF($IB223=TRUE,IF(OR(JN$14="No",JN223=FALSE,JH225&lt;=JH223),0,IF(JN$8="Per Line",1,$AF225)),0)),0)</f>
        <v>0</v>
      </c>
      <c r="JO225" s="1061"/>
      <c r="JP225" s="1670">
        <f>IFERROR(IF(__Retrofit_TI_NC=0,IF(_kWh_Grant=0,0,IF($IB223=TRUE,IF(OR(JP$14="No",JP223=FALSE,$JH225&lt;=$JH223),0,IF(JP$8="Per Line",1,$AF225)),0)),IF($IB223=TRUE,IF(OR(JP$14="No",JP223=FALSE,$JH225&lt;=$JH223),0,IF(JP$8="Per Line",1,$AF225)))),0)</f>
        <v>0</v>
      </c>
      <c r="JQ225" s="1061"/>
      <c r="JR225" s="1670">
        <f>IFERROR(IF(__Retrofit_TI_NC=0,IF(_kWh_Grant=0,0,IF($IB223=TRUE,IF(OR(JR$14="No",JR223=FALSE,$JH225&lt;=$JH223),0,IF(JR$8="Per Line",1,$AF225)),0)),IF($IB223=TRUE,IF(OR(JR$14="No",JR223=FALSE,$JH225&lt;=$JH223),0,IF(JR$8="Per Line",1,$AF225)))),0)</f>
        <v>0</v>
      </c>
      <c r="JS225" s="1061"/>
      <c r="JT225" s="1670">
        <f>IFERROR(IF(__Retrofit_TI_NC=0,IF(_kWh_Grant=0,0,IF($IB223=TRUE,IF(OR(JT$14="No",JT223=FALSE,$JH225&lt;=$JH223),0,IF(JT$8="Per Line",1,$AF225)),0)),IF($IB223=TRUE,IF(OR(JT$14="No",JT223=FALSE,$JH225&lt;=$JH223),0,IF(JT$8="Per Line",1,$AF225)))),0)</f>
        <v>0</v>
      </c>
      <c r="JU225" s="1061"/>
      <c r="JV225" s="1670">
        <f>IFERROR(IF(__Retrofit_TI_NC=0,IF(_kWh_Grant=0,0,IF($IB223=TRUE,IF(OR(JV$14="No",JV223=FALSE,$JH225&lt;=$JH223),0,IF(JV$8="Per Line",1,$AF225)),0)),IF($IB223=TRUE,IF(OR(JV$14="No",JV223=FALSE,$JH225&lt;=$JH223),0,IF(JV$8="Per Line",1,$AF225)))),0)</f>
        <v>0</v>
      </c>
      <c r="JX225" s="1670">
        <f>IFERROR(IF(__Retrofit_TI_NC=0,IF(_kWh_Grant=0,0,IF($IB223=TRUE,IF(OR(JX$14="No",JX223=FALSE,$JH225&lt;=$JH223),0,IF(JX$8="Per Line",1,$AF225)),0)),IF($IB223=TRUE,IF(OR(JX$14="No",JX223=FALSE,$JH225&lt;=$JH223),0,IF(JX$8="Per Line",1,$AF225)))),0)</f>
        <v>0</v>
      </c>
      <c r="JZ225" s="1670">
        <f>IFERROR(IF($IB223=TRUE,IF(OR(JZ$14="No",JZ223=FALSE,$JH225&lt;=$JH223,AND(_kWh_Grant=0,$GD223=FALSE)),0,IF(JZ$8="Per Line",1,$AF225)),0),0)</f>
        <v>0</v>
      </c>
      <c r="KB225" s="1670">
        <f>IFERROR(IF(__Retrofit_TI_NC=0,IF(_kWh_Grant=0,0,IF($IB223=TRUE,IF(OR(KB$14="No",KB223=FALSE,$JH225&lt;=$JH223),0,IF(KB$8="Per Line",1,$AF225)),0)),IF($IB223=TRUE,IF(OR(KB$14="No",KB223=FALSE,$JH225&lt;=$JH223),0,IF(KB$8="Per Line",1,$AF225)))),0)</f>
        <v>0</v>
      </c>
    </row>
    <row r="226" spans="1:288" s="78" customFormat="1" ht="14.95" customHeight="1" thickTop="1" thickBot="1">
      <c r="B226" s="1845"/>
      <c r="C226" s="1846"/>
      <c r="D226" s="1847"/>
      <c r="E226" s="1771" t="s">
        <v>436</v>
      </c>
      <c r="F226" s="1772"/>
      <c r="G226" s="1784" t="s">
        <v>437</v>
      </c>
      <c r="H226" s="1785"/>
      <c r="I226" s="1785"/>
      <c r="J226" s="1785"/>
      <c r="K226" s="1785"/>
      <c r="L226" s="1786"/>
      <c r="M226" s="591">
        <f>IFERROR(VLOOKUP(G226,_Daylight_Table[],2,FALSE),0)</f>
        <v>0</v>
      </c>
      <c r="N226" s="592" t="str">
        <f>IF(AND(__Retrofit_TI_NC&gt;0,CQ223="Interior"),"BAM","")</f>
        <v/>
      </c>
      <c r="O226" s="591" t="e">
        <f>VLOOKUP(G225,'Space Table'!$B$3:$L$163,11,FALSE)</f>
        <v>#N/A</v>
      </c>
      <c r="P226" s="1789"/>
      <c r="Q226" s="1790"/>
      <c r="R226" s="1790"/>
      <c r="S226" s="1788"/>
      <c r="T226" s="593" t="s">
        <v>342</v>
      </c>
      <c r="U226" s="1756" t="str" cm="1">
        <f t="array" aca="1" ref="U226" ca="1">IFERROR(VLOOKUP(INDIRECT("U" &amp; ROW()-1),Fixtures!DM$93:DP$142,4,FALSE),"")</f>
        <v/>
      </c>
      <c r="V226" s="1757"/>
      <c r="W226" s="1757"/>
      <c r="X226" s="1757"/>
      <c r="Y226" s="1757"/>
      <c r="Z226" s="1757"/>
      <c r="AA226" s="1758"/>
      <c r="AB226" s="939" t="str">
        <f>IFERROR(VLOOKUP(U225,Fixtures_Proposed_List,2,FALSE),"")</f>
        <v/>
      </c>
      <c r="AC226" s="933" t="str">
        <f>IFERROR(ROUND(T225*AB226*N224*R224/1000,0),"")</f>
        <v/>
      </c>
      <c r="AD226" s="934" t="str">
        <f>IFERROR(ROUND(T225*AB226/1000,2),"")</f>
        <v/>
      </c>
      <c r="AE226" s="998"/>
      <c r="AF226" s="938" t="s">
        <v>342</v>
      </c>
      <c r="AG226" s="1770"/>
      <c r="AH226" s="1770"/>
      <c r="AI226" s="1770"/>
      <c r="AJ226" s="1770"/>
      <c r="AK226" s="1770"/>
      <c r="AL226" s="1770"/>
      <c r="AM226" s="1727"/>
      <c r="AN226" s="1729"/>
      <c r="AO226" s="1731"/>
      <c r="AP226" s="1782"/>
      <c r="AQ226" s="1783"/>
      <c r="AR226" s="1797"/>
      <c r="AS226" s="1797"/>
      <c r="AT226" s="1798"/>
      <c r="AU226" s="1736"/>
      <c r="AV226" s="1753"/>
      <c r="AW226" s="1706"/>
      <c r="AX226" s="468"/>
      <c r="AY226" s="1750"/>
      <c r="AZ226" s="1750"/>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696"/>
      <c r="CQ226" s="1696"/>
      <c r="CR226" s="1809"/>
      <c r="CS226" s="1811"/>
      <c r="CU226" s="1688"/>
      <c r="CV226" s="1703"/>
      <c r="CW226" s="1703"/>
      <c r="CX226" s="1813"/>
      <c r="CY226" s="1815"/>
      <c r="CZ226" s="1711"/>
      <c r="DA226" s="1815"/>
      <c r="DB226" s="1821"/>
      <c r="DC226" s="1821"/>
      <c r="DD226" s="1821"/>
      <c r="DF226" s="1703"/>
      <c r="DG226" s="1831"/>
      <c r="DH226" s="1813"/>
      <c r="DI226" s="1838"/>
      <c r="DJ226" s="1711"/>
      <c r="DK226" s="1712"/>
      <c r="DN226" s="1718"/>
      <c r="DO226" s="1709"/>
      <c r="DQ226" s="1715"/>
      <c r="DR226" s="1720"/>
      <c r="DS226" s="1703"/>
      <c r="DT226" s="1714"/>
      <c r="DU226" s="1715"/>
      <c r="DV226" s="1716"/>
      <c r="DX226" s="1715"/>
      <c r="DY226" s="1720"/>
      <c r="DZ226" s="1715"/>
      <c r="EA226" s="1715"/>
      <c r="EC226" s="1834"/>
      <c r="ED226" s="1834"/>
      <c r="EF226" s="1707"/>
      <c r="EG226" s="1712"/>
      <c r="EH226" s="1815"/>
      <c r="EI226" s="1712"/>
      <c r="EJ226" s="1712"/>
      <c r="EK226" s="1813"/>
      <c r="EL226" s="1813"/>
      <c r="EM226" s="1807"/>
      <c r="EN226" s="1839"/>
      <c r="EO226" s="1839"/>
      <c r="EP226" s="1817"/>
      <c r="EQ226" s="1817"/>
      <c r="ER226" s="1807"/>
      <c r="ES226" s="1807"/>
      <c r="ET226" s="1807"/>
      <c r="EV226" s="1715"/>
      <c r="EX226" s="1806"/>
      <c r="EY226" s="1806"/>
      <c r="EZ226" s="1806"/>
      <c r="FA226" s="1806"/>
      <c r="FB226" s="1806"/>
      <c r="FC226" s="1828"/>
      <c r="FE226" s="1698"/>
      <c r="FG226" s="1703"/>
      <c r="FH226" s="1703"/>
      <c r="FI226" s="133"/>
      <c r="FL226" s="1823"/>
      <c r="FM226" s="1825"/>
      <c r="FN226" s="1698"/>
      <c r="FO226" s="1698"/>
      <c r="FP226" s="1678"/>
      <c r="FQ226" s="1698"/>
      <c r="FS226" s="1687"/>
      <c r="FT226" s="1687"/>
      <c r="FU226" s="1685"/>
      <c r="FV226" s="1687"/>
      <c r="FW226" s="1687"/>
      <c r="FX226" s="1687"/>
      <c r="FY226" s="1697"/>
      <c r="GA226" s="1696"/>
      <c r="GB226" s="1696"/>
      <c r="GC226" s="1696"/>
      <c r="GD226" s="1696"/>
      <c r="GE226" s="1696"/>
      <c r="GF226" s="1696"/>
      <c r="GG226" s="1696"/>
      <c r="GH226" s="1696"/>
      <c r="GI226" s="673"/>
      <c r="GJ226" s="1135"/>
      <c r="GK226" s="1832"/>
      <c r="GN226" s="674">
        <f>IF(GN224=TRUE,0,GN$16)</f>
        <v>0</v>
      </c>
      <c r="GP226" s="674">
        <f>IF(GP224=TRUE,0,GP$16)</f>
        <v>36</v>
      </c>
      <c r="GQ226" s="674">
        <f ca="1">IF(GQ224=TRUE,0,GQ$16)</f>
        <v>35</v>
      </c>
      <c r="GR226" s="391"/>
      <c r="GS226" s="391"/>
      <c r="GT226" s="391"/>
      <c r="GU226" s="391"/>
      <c r="GV226" s="391"/>
      <c r="HG226" s="674">
        <f>IF(HG224=TRUE,0,HG$16)</f>
        <v>0</v>
      </c>
      <c r="HH226" s="674">
        <f t="shared" ref="HH226:HM226" si="188">IF(HH224=TRUE,0,HH$16)</f>
        <v>19</v>
      </c>
      <c r="HI226" s="674">
        <f t="shared" si="188"/>
        <v>18</v>
      </c>
      <c r="HJ226" s="674">
        <f t="shared" si="188"/>
        <v>17</v>
      </c>
      <c r="HK226" s="674">
        <f t="shared" si="188"/>
        <v>16</v>
      </c>
      <c r="HL226" s="674">
        <f t="shared" si="188"/>
        <v>0</v>
      </c>
      <c r="HM226" s="674">
        <f t="shared" si="188"/>
        <v>0</v>
      </c>
      <c r="HN226" s="674">
        <f>IF(HN224=TRUE,0,HN$16)</f>
        <v>13</v>
      </c>
      <c r="HO226" s="674">
        <f t="shared" ref="HO226:HQ226" si="189">IF(HO224=TRUE,0,HO$16)</f>
        <v>0</v>
      </c>
      <c r="HP226" s="674">
        <f t="shared" si="189"/>
        <v>0</v>
      </c>
      <c r="HQ226" s="674">
        <f t="shared" si="189"/>
        <v>10</v>
      </c>
      <c r="HR226" s="674">
        <f>IF(HR224=TRUE,0,HR$16)</f>
        <v>9</v>
      </c>
      <c r="HS226" s="674">
        <f t="shared" ref="HS226:HW226" si="190">IF(HS224=TRUE,0,HS$16)</f>
        <v>0</v>
      </c>
      <c r="HT226" s="674">
        <f t="shared" si="190"/>
        <v>0</v>
      </c>
      <c r="HU226" s="674">
        <f t="shared" si="190"/>
        <v>0</v>
      </c>
      <c r="HV226" s="674">
        <f t="shared" si="190"/>
        <v>0</v>
      </c>
      <c r="HW226" s="674">
        <f t="shared" si="190"/>
        <v>0</v>
      </c>
      <c r="HX226" s="674">
        <f>IF(HX224=TRUE,0,HX$16)</f>
        <v>0</v>
      </c>
      <c r="HY226" s="674">
        <f>IF(HY224=TRUE,0,HY$16)</f>
        <v>0</v>
      </c>
      <c r="HZ226" s="674">
        <f>IF(HZ224=TRUE,0,HZ$16)</f>
        <v>1</v>
      </c>
      <c r="IB226" s="674">
        <f>IF(GP224=FALSE,GP226,IF(GQ224=FALSE,GQ226,MAX(GN226:HZ226)))</f>
        <v>36</v>
      </c>
      <c r="IC226" s="1692"/>
      <c r="ID226" s="205" t="str">
        <f>VLOOKUP(IB226,_Error_Table,3,FALSE)</f>
        <v xml:space="preserve"> </v>
      </c>
      <c r="IE226" s="205"/>
      <c r="IF226" s="1688"/>
      <c r="IG226" s="1689"/>
      <c r="IH226" s="1684"/>
      <c r="IK226" s="1689"/>
      <c r="IL226" s="1692"/>
      <c r="IM226" s="1692"/>
      <c r="IN226" s="1692"/>
      <c r="IP226" s="1679"/>
      <c r="IQ226" s="1679"/>
      <c r="IR226" s="1679"/>
      <c r="IS226" s="1679"/>
      <c r="IT226" s="1679"/>
      <c r="IU226" s="1679"/>
      <c r="IV226" s="1679"/>
      <c r="IW226" s="1679"/>
      <c r="IX226" s="1679"/>
      <c r="IY226" s="1679"/>
      <c r="IZ226" s="1679"/>
      <c r="JA226" s="1679"/>
      <c r="JC226" s="1680"/>
      <c r="JD226" s="1670"/>
      <c r="JE226" s="1681"/>
      <c r="JG226" s="1680"/>
      <c r="JH226" s="1670"/>
      <c r="JI226" s="1060"/>
      <c r="JJ226" s="1670"/>
      <c r="JK226" s="1061"/>
      <c r="JL226" s="1670"/>
      <c r="JM226" s="1061"/>
      <c r="JN226" s="1670"/>
      <c r="JO226" s="1061"/>
      <c r="JP226" s="1670"/>
      <c r="JQ226" s="1061"/>
      <c r="JR226" s="1670"/>
      <c r="JS226" s="1061"/>
      <c r="JT226" s="1670"/>
      <c r="JU226" s="1061"/>
      <c r="JV226" s="1670"/>
      <c r="JX226" s="1670"/>
      <c r="JZ226" s="1670"/>
      <c r="KB226" s="1670"/>
    </row>
    <row r="227" spans="1:288" s="78" customFormat="1" ht="5.0999999999999996" customHeight="1">
      <c r="B227" s="676"/>
      <c r="C227" s="392"/>
      <c r="D227" s="392"/>
      <c r="E227" s="1733"/>
      <c r="F227" s="1733"/>
      <c r="G227" s="1733"/>
      <c r="H227" s="1733"/>
      <c r="I227" s="1733"/>
      <c r="J227" s="1733"/>
      <c r="K227" s="1733"/>
      <c r="L227" s="1733"/>
      <c r="M227" s="1733"/>
      <c r="N227" s="1733"/>
      <c r="O227" s="1733"/>
      <c r="P227" s="1733"/>
      <c r="Q227" s="1733"/>
      <c r="R227" s="1733"/>
      <c r="S227" s="1733"/>
      <c r="T227" s="1733"/>
      <c r="U227" s="1733"/>
      <c r="V227" s="1733"/>
      <c r="W227" s="1733"/>
      <c r="X227" s="1733"/>
      <c r="Y227" s="1733"/>
      <c r="Z227" s="1733"/>
      <c r="AA227" s="1733"/>
      <c r="AB227" s="1733"/>
      <c r="AC227" s="1733"/>
      <c r="AD227" s="1733"/>
      <c r="AE227" s="1733"/>
      <c r="AF227" s="1733"/>
      <c r="AG227" s="1733"/>
      <c r="AH227" s="1733"/>
      <c r="AI227" s="1733"/>
      <c r="AJ227" s="1733"/>
      <c r="AK227" s="1733"/>
      <c r="AL227" s="1733"/>
      <c r="AM227" s="1733"/>
      <c r="AN227" s="1733"/>
      <c r="AO227" s="1733"/>
      <c r="AP227" s="1733"/>
      <c r="AQ227" s="1733"/>
      <c r="AR227" s="1733"/>
      <c r="AS227" s="1733"/>
      <c r="AT227" s="1733"/>
      <c r="AU227" s="1733"/>
      <c r="AV227" s="1733"/>
      <c r="AW227" s="1733"/>
      <c r="AX227" s="469"/>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663"/>
      <c r="CQ227" s="663"/>
      <c r="CR227" s="438"/>
      <c r="CS227" s="663"/>
      <c r="CV227" s="391"/>
      <c r="CW227" s="391"/>
      <c r="CX227" s="207"/>
      <c r="CY227" s="208"/>
      <c r="CZ227" s="208"/>
      <c r="DA227" s="208"/>
      <c r="DB227" s="209"/>
      <c r="DC227" s="209"/>
      <c r="DD227" s="209"/>
      <c r="DF227" s="664"/>
      <c r="DG227" s="665"/>
      <c r="DH227" s="666"/>
      <c r="DI227" s="667"/>
      <c r="DJ227" s="668"/>
      <c r="DK227" s="668"/>
      <c r="DN227" s="208"/>
      <c r="DO227" s="664"/>
      <c r="DQ227" s="664"/>
      <c r="DR227" s="669"/>
      <c r="DS227" s="391"/>
      <c r="DT227" s="664"/>
      <c r="DU227" s="664"/>
      <c r="DV227" s="664"/>
      <c r="DX227" s="664"/>
      <c r="DY227" s="664"/>
      <c r="DZ227" s="664"/>
      <c r="EA227" s="664"/>
      <c r="EC227" s="670"/>
      <c r="ED227" s="670"/>
      <c r="EF227" s="668"/>
      <c r="EG227" s="668"/>
      <c r="EH227" s="208"/>
      <c r="EI227" s="668"/>
      <c r="EJ227" s="668"/>
      <c r="EK227" s="207"/>
      <c r="EL227" s="207"/>
      <c r="EM227" s="666"/>
      <c r="EN227" s="671"/>
      <c r="EO227" s="671"/>
      <c r="EP227" s="672"/>
      <c r="EQ227" s="672"/>
      <c r="ER227" s="666"/>
      <c r="ES227" s="666"/>
      <c r="ET227" s="666"/>
      <c r="EV227" s="664"/>
      <c r="EX227" s="391"/>
      <c r="EY227" s="391"/>
      <c r="EZ227" s="391"/>
      <c r="FA227" s="391"/>
      <c r="FB227" s="391"/>
      <c r="FC227" s="391"/>
      <c r="FE227" s="569"/>
      <c r="FG227" s="391"/>
      <c r="FH227" s="391"/>
      <c r="FI227" s="391"/>
      <c r="FS227" s="664"/>
      <c r="FT227" s="391"/>
      <c r="FU227" s="391"/>
      <c r="FV227" s="664"/>
      <c r="FW227" s="664"/>
      <c r="GA227" s="663"/>
      <c r="GB227" s="663"/>
      <c r="GC227" s="663"/>
      <c r="GD227" s="663"/>
      <c r="GE227" s="663"/>
      <c r="GF227" s="663"/>
      <c r="GG227" s="663"/>
      <c r="GH227" s="663"/>
      <c r="GI227" s="665"/>
      <c r="GJ227" s="664"/>
      <c r="GK227" s="664"/>
    </row>
    <row r="228" spans="1:288" s="78" customFormat="1" ht="14.95" customHeight="1">
      <c r="B228" s="1845" t="str">
        <f>ID231</f>
        <v xml:space="preserve"> </v>
      </c>
      <c r="C228" s="1846">
        <f>C223+1</f>
        <v>36</v>
      </c>
      <c r="D228" s="1847"/>
      <c r="E228" s="1799" t="s">
        <v>295</v>
      </c>
      <c r="F228" s="1800"/>
      <c r="G228" s="1741"/>
      <c r="H228" s="1742"/>
      <c r="I228" s="1742"/>
      <c r="J228" s="1742"/>
      <c r="K228" s="1742"/>
      <c r="L228" s="1742"/>
      <c r="M228" s="1742"/>
      <c r="N228" s="1742"/>
      <c r="O228" s="1742"/>
      <c r="P228" s="1742"/>
      <c r="Q228" s="1742"/>
      <c r="R228" s="1742"/>
      <c r="S228" s="1791" t="s">
        <v>344</v>
      </c>
      <c r="T228" s="590"/>
      <c r="U228" s="1743"/>
      <c r="V228" s="1744"/>
      <c r="W228" s="1744"/>
      <c r="X228" s="1744"/>
      <c r="Y228" s="1744"/>
      <c r="Z228" s="1744"/>
      <c r="AA228" s="1744"/>
      <c r="AB228" s="961" t="str">
        <f>IFERROR(IF(__Retrofit_TI_NC=0,VLOOKUP(U229,Fixtures_Existing_List,2,FALSE),ROUND(N230*R230/T230,10)),"")</f>
        <v/>
      </c>
      <c r="AC228" s="935" t="str">
        <f>IFERROR(IF(__Retrofit_TI_NC=0,ROUND(T229*AB228*N229*R229/1000,0),IF(CQ228="Interior",N230*R230*R229*N229*_C406_reduction/1000,N230*R230*R229*N229/1000)),"")</f>
        <v/>
      </c>
      <c r="AD228" s="936" t="str">
        <f>IFERROR(IF(C$43=0,ROUND(T229*AB228/1000,2),N230*R230/1000),"")</f>
        <v/>
      </c>
      <c r="AE228" s="997"/>
      <c r="AF228" s="937"/>
      <c r="AG228" s="1745" t="str">
        <f>IF(__Retrofit_TI_NC=0," Control","Select Advanced Control for New System")</f>
        <v xml:space="preserve"> Control</v>
      </c>
      <c r="AH228" s="1745"/>
      <c r="AI228" s="1745"/>
      <c r="AJ228" s="1745"/>
      <c r="AK228" s="1745"/>
      <c r="AL228" s="1745"/>
      <c r="AM228" s="1746">
        <f>IFERROR(DI228,"")</f>
        <v>0</v>
      </c>
      <c r="AN228" s="1774" t="str">
        <f>IFERROR(ROUND(AM228*AC228,0),"")</f>
        <v/>
      </c>
      <c r="AO228" s="1776">
        <f>IFERROR(IF(IB228=FALSE,0,AC228-AN228),0)</f>
        <v>0</v>
      </c>
      <c r="AP228" s="1778">
        <f>AO228-AO230</f>
        <v>0</v>
      </c>
      <c r="AQ228" s="1779"/>
      <c r="AR228" s="1793">
        <f>IFERROR(IF(IB228=FALSE,0,(T230*U231)+(AF230*AG231)),0)</f>
        <v>0</v>
      </c>
      <c r="AS228" s="1793"/>
      <c r="AT228" s="1794"/>
      <c r="AU228" s="1734" t="s">
        <v>237</v>
      </c>
      <c r="AV228" s="1751">
        <f>IF(AU228="Yes",1,0)</f>
        <v>1</v>
      </c>
      <c r="AW228" s="1704" t="str">
        <f>IF(OR(DQ228=4,DQ228=5,DQ228=6,DQ228=12),CONCATENATE("$",IF(GH228=TRUE,Lookup!$K$10,Lookup!$K$2)," /lamp"),CONCATENATE(TEXT(ED228,"$0.00"),"/ kWh"))</f>
        <v>$0.00/ kWh</v>
      </c>
      <c r="AX228" s="467"/>
      <c r="AY228" s="1748">
        <f ca="1">IFERROR(IF(GM229=TRUE,(AB231*T230)/R230,0),"NA")</f>
        <v>0</v>
      </c>
      <c r="AZ228" s="1748"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696" t="str">
        <f>N229</f>
        <v/>
      </c>
      <c r="CQ228" s="1696" t="str">
        <f>IFERROR(VLOOKUP(G229,_Lookup_Heat_Type_Table_New,3,FALSE),"")</f>
        <v/>
      </c>
      <c r="CR228" s="1808" t="str">
        <f>CQ228</f>
        <v/>
      </c>
      <c r="CS228" s="1810" t="str">
        <f>IFERROR(VLOOKUP(G230,'Space Table'!$B$3:$L$163,9,FALSE),"")</f>
        <v/>
      </c>
      <c r="CU228" s="1688" t="s">
        <v>344</v>
      </c>
      <c r="CV228" s="1702">
        <f>IF(IB228=TRUE,T229,0)</f>
        <v>0</v>
      </c>
      <c r="CW228" s="1702" t="str">
        <f>IF(IB228=TRUE,U229,"")</f>
        <v/>
      </c>
      <c r="CX228" s="1702"/>
      <c r="CY228" s="1814">
        <f>IF(IB228=TRUE,AB228,0)</f>
        <v>0</v>
      </c>
      <c r="CZ228" s="1710">
        <f>IF(AND(__Retrofit_TI_NC&gt;0,CR228="interior"),0,IF(IB228=TRUE,AC228,0))</f>
        <v>0</v>
      </c>
      <c r="DA228" s="1814">
        <f>IFERROR(IF(IB228=TRUE,CZ228-CZ230,0),0)</f>
        <v>0</v>
      </c>
      <c r="DB228" s="1819">
        <f>IF(IB228=TRUE,AD228,0)</f>
        <v>0</v>
      </c>
      <c r="DC228" s="1819">
        <f>IF(IB228=TRUE,AD231,0)</f>
        <v>0</v>
      </c>
      <c r="DD228" s="1819">
        <f>IFERROR(DB228-DC228,0)</f>
        <v>0</v>
      </c>
      <c r="DF228" s="1702">
        <f>IF(IB228=TRUE,AF229,0)</f>
        <v>0</v>
      </c>
      <c r="DG228" s="1830">
        <f>IFERROR(IF(__Retrofit_TI_NC=2,IF(CQ228="Exterior",O231,FQ228),FN228),"")</f>
        <v>0</v>
      </c>
      <c r="DH228" s="1702"/>
      <c r="DI228" s="1837">
        <f>JE228</f>
        <v>0</v>
      </c>
      <c r="DJ228" s="1710">
        <f>IF(AND(__Retrofit_TI_NC&gt;0,CR228="interior"),0,IF(IB228=TRUE,AN228,0))</f>
        <v>0</v>
      </c>
      <c r="DK228" s="1712">
        <f>IFERROR(IF(IB228=TRUE,DJ230-DJ228,0),0)</f>
        <v>0</v>
      </c>
      <c r="DM228" s="1717">
        <f>IFERROR(CZ228-DJ228,0)</f>
        <v>0</v>
      </c>
      <c r="DO228" s="1708">
        <f>DM228-DN230</f>
        <v>0</v>
      </c>
      <c r="DQ228" s="1715" t="str">
        <f>IFERROR(IF(AND(OR(GC228=4,GC228=5,GC228=6),OR(GF228=4,GF228=5,GF228=6)),GC228+8,VLOOKUP(CW230,Fixtures!R$31:Y$78,8,FALSE)),"")</f>
        <v/>
      </c>
      <c r="DR228" s="1829" t="str">
        <f>DQ228</f>
        <v/>
      </c>
      <c r="DS228" s="1702" t="str">
        <f>IFERROR(VLOOKUP(DG230,Lookup!BB$3:BC$20,2,FALSE),"")</f>
        <v/>
      </c>
      <c r="DT228" s="1713" t="str">
        <f>IF(OR(DS228=7,DS228=8,DS228=9),"ALC","")</f>
        <v/>
      </c>
      <c r="DU228" s="1715">
        <f>IFERROR(IF(OR(DQ228=4,DQ228=5,DQ228=6,DQ228=12,DQ228=13,DQ228=14),VLOOKUP(CW230,Fixtures!DN$27:EG$77,19,FALSE),1)*CV230,0)</f>
        <v>0</v>
      </c>
      <c r="DV228" s="1716">
        <f>IF(OR(DS228=7,DS228=8,DS228=9),IF(DG228=DG230,0,DF230),0)</f>
        <v>0</v>
      </c>
      <c r="DX228" s="1715" t="str">
        <f>IFERROR(IF(EZ228&lt;EZ230,"Yes","No"),"")</f>
        <v/>
      </c>
      <c r="DY228" s="1829" t="str">
        <f>DX228</f>
        <v/>
      </c>
      <c r="DZ228" s="1715">
        <f>IF(DX228="Yes",DF230,0)</f>
        <v>0</v>
      </c>
      <c r="EA228" s="1715">
        <f>DZ228-DV228</f>
        <v>0</v>
      </c>
      <c r="EC228" s="1834">
        <f>IFERROR(VLOOKUP(DQ228,Lookup!AU$3:AV$16,2,FALSE),0)</f>
        <v>0</v>
      </c>
      <c r="ED228" s="1834">
        <f>IF(IB228=FALSE,0,IF(DX228="Yes",EC228+Lookup!K$6,EC228))</f>
        <v>0</v>
      </c>
      <c r="EF228" s="1707">
        <f>IF(IB228=TRUE,DM228,0)</f>
        <v>0</v>
      </c>
      <c r="EG228" s="1712">
        <f>IF(IB228=TRUE,CZ230,0)</f>
        <v>0</v>
      </c>
      <c r="EH228" s="1814">
        <f>IFERROR(EF228-EG228,0)</f>
        <v>0</v>
      </c>
      <c r="EI228" s="1712">
        <f>IF(IB228=TRUE,DJ230,0)</f>
        <v>0</v>
      </c>
      <c r="EJ228" s="1712">
        <f>IFERROR(EF228-EG228+EI228,0)</f>
        <v>0</v>
      </c>
      <c r="EK228" s="1812">
        <f>IF(IB228=TRUE,CV230*CX230,0)</f>
        <v>0</v>
      </c>
      <c r="EL228" s="1812">
        <f>IF(IB228=TRUE,DF230*DH230,0)</f>
        <v>0</v>
      </c>
      <c r="EM228" s="1807">
        <f>AR228</f>
        <v>0</v>
      </c>
      <c r="EN228" s="1839" t="str">
        <f>IFERROR(IF(IB228=TRUE,VLOOKUP(DQ228,Lookup!AU$3:AW$16,3,FALSE)*DU228,""),0)</f>
        <v/>
      </c>
      <c r="EO228" s="1839">
        <f>IF(IB228=TRUE,DZ228*Lookup!AW$12,0)</f>
        <v>0</v>
      </c>
      <c r="EP228" s="1817">
        <f>IFERROR(IF(IB228=TRUE,EN228/EP$40,0),0)</f>
        <v>0</v>
      </c>
      <c r="EQ228" s="1817">
        <f>IF(IB228=TRUE,EO228/EQ$40,0)</f>
        <v>0</v>
      </c>
      <c r="ER228" s="1807">
        <f>IF(IB228=TRUE,ET$40*EP228,0)</f>
        <v>0</v>
      </c>
      <c r="ES228" s="1807">
        <f>IF(IB228=TRUE,ET$40*EQ228,0)</f>
        <v>0</v>
      </c>
      <c r="ET228" s="1807">
        <f>ER228+ES228</f>
        <v>0</v>
      </c>
      <c r="EV228" s="1715">
        <f>IF(G228="",0,1)</f>
        <v>0</v>
      </c>
      <c r="EX228" s="1804" t="str">
        <f>IFERROR(VLOOKUP(CS230,'Space Table'!$B$3:$L$163,8,FALSE),"")</f>
        <v/>
      </c>
      <c r="EY228" s="1804" t="str">
        <f>IFERROR(IF(FB228="Yes",VLOOKUP(DG228,Lookup_Control_Type_Table2,4,FALSE),VLOOKUP(DG228,Lookup_Control_Type_Table2,3,FALSE)),"")</f>
        <v/>
      </c>
      <c r="EZ228" s="1804" t="e">
        <f>VLOOKUP(DG228,Lookup!BB$3:BC$20,2,FALSE)</f>
        <v>#N/A</v>
      </c>
      <c r="FA228" s="1804" t="e">
        <f>VLOOKUP(EX228,Lookup_Control_Type_Table,2,FALSE)</f>
        <v>#N/A</v>
      </c>
      <c r="FB228" s="1804" t="e">
        <f>VLOOKUP(CS230,'Space Table'!$B$3:$L$163,7,FALSE)</f>
        <v>#N/A</v>
      </c>
      <c r="FC228" s="1826" t="b">
        <f>ISNUMBER(SEARCH("TLED",U230))</f>
        <v>0</v>
      </c>
      <c r="FE228" s="1698" t="str">
        <f>CONCATENATE(CQ228," - ",DG228)</f>
        <v xml:space="preserve"> - 0</v>
      </c>
      <c r="FG228" s="1702" t="str">
        <f>VLOOKUP(CW230,Fixtures!DN$27:EZ$77,38,FALSE)</f>
        <v/>
      </c>
      <c r="FH228" s="1702">
        <f>IFERROR(FG228*EH228,0)</f>
        <v>0</v>
      </c>
      <c r="FI228" s="133"/>
      <c r="FL228" s="1822" t="str">
        <f>IF(CQ228="Exterior","Not Daylighted",G231)</f>
        <v>Not Daylighted</v>
      </c>
      <c r="FM228" s="1824">
        <f>VLOOKUP(FL228,_New_Daylight_Table_Codes,2,FALSE)</f>
        <v>0</v>
      </c>
      <c r="FN228" s="1698">
        <f>IF(__Retrofit_TI_NC&gt;0,VLOOKUP(G230,'Space Table'!$B$3:$L$163,11,FALSE),AG229)</f>
        <v>0</v>
      </c>
      <c r="FO228" s="1698" t="e">
        <f>IF(__Retrofit_TI_NC=2,VLOOKUP(FQ228,_Control_Table,2,FALSE),VLOOKUP(FN228,_Control_Table,2,FALSE))</f>
        <v>#N/A</v>
      </c>
      <c r="FP228" s="1678" t="e">
        <f>VLOOKUP(CONCATENATE(FL228," ",FN228),Lookup!AY$102:AZ238,2,FALSE)</f>
        <v>#N/A</v>
      </c>
      <c r="FQ228" s="1678">
        <f>IF(__Retrofit_TI_NC=0,FN228,IF(AND(FT228&gt;0,FN228="Occupancy Sensor"),"Daylight + Occupancy",IF(AND(FT228&gt;0,VLOOKUP(FN228,_Control_Table,2,FALSE)&lt;4),"Interior Daylight Dimming",FN228)))</f>
        <v>0</v>
      </c>
      <c r="FS228" s="1686">
        <f>IF(CR228="Interior",VLOOKUP(CS228,Control_Savings_Interior,5,FALSE),0)</f>
        <v>0</v>
      </c>
      <c r="FT228" s="1687">
        <f>IF(CQ228="Exterior",0,IF(FM228=2,0.5,IF(OR(FM228=1,FM228=3),1,0)))</f>
        <v>0</v>
      </c>
      <c r="FU228" s="1685">
        <f>IF(R227&gt;FS$44,(FS228*(FS$44/R227)),FS228)*FT228</f>
        <v>0</v>
      </c>
      <c r="FV228" s="1686">
        <f>DI228</f>
        <v>0</v>
      </c>
      <c r="FW228" s="1686">
        <f>ROUND(FV228+((1-FV228)*FU228),2)</f>
        <v>0</v>
      </c>
      <c r="FX228" s="1686">
        <f>IF(__Retrofit_TI_NC=2,FW228,FV228)</f>
        <v>0</v>
      </c>
      <c r="FY228" s="1697"/>
      <c r="GA228" s="1696" t="str">
        <f>IFERROR(VLOOKUP(U229,_Exist_Fixture_Table,3,FALSE),"")</f>
        <v/>
      </c>
      <c r="GB228" s="1696" t="str">
        <f>VLOOKUP(CW228,_Exist_Fixture_Table,4,FALSE)</f>
        <v/>
      </c>
      <c r="GC228" s="1696">
        <f>IFERROR(VLOOKUP(GB228,Lookup!AT$6:AU$8,2,FALSE),0)</f>
        <v>0</v>
      </c>
      <c r="GD228" s="1696" t="b">
        <f>IFERROR(IF(OR(GF228=4,GF228=5,GF228=6),TRUE,FALSE),"")</f>
        <v>0</v>
      </c>
      <c r="GE228" s="1696" t="str">
        <f>IFERROR(VLOOKUP(GF228,GC$6:GD$10,2,FALSE),"")</f>
        <v/>
      </c>
      <c r="GF228" s="1696" t="str">
        <f>VLOOKUP(CW230,Fixtures!R$31:Y$78,8,FALSE)</f>
        <v/>
      </c>
      <c r="GG228" s="1696">
        <f>IF(AND(GA228=TRUE,GD228=TRUE,OR(DQ228=12,DQ228=13,DQ228=14)),GC228+8,0)</f>
        <v>0</v>
      </c>
      <c r="GH228" s="1696" t="b">
        <f>IF(OR(GG228=12,GG228=13,GG228=14),TRUE,FALSE)</f>
        <v>0</v>
      </c>
      <c r="GI228" s="673" t="b">
        <f>IF(ISNUMBER(SEARCH("TLED",U229)),TRUE,FALSE)</f>
        <v>0</v>
      </c>
      <c r="GJ228" s="1135" t="str">
        <f>IFERROR(VLOOKUP(U229,Fixtures!BM$93:BR$142,6,FALSE),"")</f>
        <v/>
      </c>
      <c r="GK228" s="1832" t="b">
        <f>IF(OR(GI228=FALSE,GI230=FALSE),TRUE,IF(GJ228-GJ230&lt;5,FALSE,TRUE))</f>
        <v>1</v>
      </c>
      <c r="GO228" s="674">
        <f>GP228</f>
        <v>0</v>
      </c>
      <c r="GP228" s="674">
        <f>IF(G228="",0,1)</f>
        <v>0</v>
      </c>
      <c r="GQ228" s="674">
        <f ca="1">SUM(GR228:HF228)</f>
        <v>2</v>
      </c>
      <c r="GR228" s="674">
        <f>IF(G229="",0,1)</f>
        <v>0</v>
      </c>
      <c r="GS228" s="674">
        <f>IF(N231="BAM",1,IF(G230="",0,1))</f>
        <v>0</v>
      </c>
      <c r="GT228" s="674">
        <f>IF(N231="BAM",1,IF(R229="",0,1))</f>
        <v>0</v>
      </c>
      <c r="GU228" s="674">
        <f>IF(N231="BAM",1,IF(__Retrofit_TI_NC=0,1,IF(R230="",0,1)))</f>
        <v>1</v>
      </c>
      <c r="GV228" s="674">
        <f>IF(N231="BAM",1,IF(CQ228="Exterior",1,IF(G231="",0,1)))</f>
        <v>1</v>
      </c>
      <c r="GW228" s="674">
        <f>IF(__Retrofit_TI_NC&gt;0,1,IF(T229="",0,1))</f>
        <v>0</v>
      </c>
      <c r="GX228" s="674">
        <f>IF(__Retrofit_TI_NC&gt;0,1,IF(U229="",0,1))</f>
        <v>0</v>
      </c>
      <c r="GY228" s="674">
        <f>IF(N231="BAM",1,IF(T230="",0,1))</f>
        <v>0</v>
      </c>
      <c r="GZ228" s="674">
        <f>IF(N231="BAM",1,IF(U230="",0,1))</f>
        <v>0</v>
      </c>
      <c r="HA228" s="674">
        <f ca="1">IF(N231="BAM",1,IF(__Retrofit_TI_NC&gt;0,1,IF(U231="",0,1)))</f>
        <v>0</v>
      </c>
      <c r="HB228" s="674">
        <f>IF(__Retrofit_TI_NC&lt;&gt;0,1,IF(AF229="",0,1))</f>
        <v>0</v>
      </c>
      <c r="HC228" s="674">
        <f>IF(__Retrofit_TI_NC&lt;&gt;0,1,IF(AG229="",0,1))</f>
        <v>0</v>
      </c>
      <c r="HD228" s="674">
        <f>IF(N231="BAM",1,IF(AF230="",0,1))</f>
        <v>0</v>
      </c>
      <c r="HE228" s="674">
        <f>IF(N231="BAM",1,IF(AG230="",0,1))</f>
        <v>0</v>
      </c>
      <c r="HF228" s="674">
        <f>IF(N231="BAM",1,IF(__Retrofit_TI_NC&gt;0,1,IF(AG231="",0,1)))</f>
        <v>0</v>
      </c>
      <c r="HG228" s="391"/>
      <c r="IA228" s="391"/>
      <c r="IB228" s="1693" t="b">
        <f>IF(OR(IB231=0,IB231=HY$16,IB231=HX$16,IB231=HZ$16),TRUE,FALSE)</f>
        <v>0</v>
      </c>
      <c r="IC228" s="1694" t="b">
        <f>IB228</f>
        <v>0</v>
      </c>
      <c r="ID228" s="391"/>
      <c r="IE228" s="391"/>
      <c r="IF228" s="1688" t="b">
        <f ca="1">IF(MAX(GN231:HU231)&gt;5,FALSE,TRUE)</f>
        <v>0</v>
      </c>
      <c r="IG228" s="1689">
        <f ca="1">IF(IF228=TRUE,AC228,0)</f>
        <v>0</v>
      </c>
      <c r="IH228" s="1689">
        <f ca="1">IG228-IG230</f>
        <v>0</v>
      </c>
      <c r="IK228" s="1689" t="e">
        <f>ROUND(T229*VLOOKUP(U229,Fixtures_Existing_List,2,FALSE)*N229*R229/1000,0)</f>
        <v>#N/A</v>
      </c>
      <c r="IL228" s="1690" t="e">
        <f>IK228-IK230</f>
        <v>#N/A</v>
      </c>
      <c r="IM228" s="1693" t="e">
        <f>ROUND(IF(CQ228="Interior",N230*R230*R229*N229*_C406_reduction/1000,N230*R230*R229*N229/1000),0)</f>
        <v>#N/A</v>
      </c>
      <c r="IN228" s="1693" t="e">
        <f>IM228-IM230</f>
        <v>#N/A</v>
      </c>
      <c r="IP228" s="1679"/>
      <c r="IQ228" s="1679" t="e">
        <f t="shared" ref="IQ228:IU228" si="191">IF($CR228="interior",VLOOKUP($CS228,_New_Control_Savings_Interior,IQ$30,FALSE),VLOOKUP($CS228,Control_Savings_Exterior,IQ$30,FALSE))</f>
        <v>#N/A</v>
      </c>
      <c r="IR228" s="1679" t="e">
        <f t="shared" si="191"/>
        <v>#N/A</v>
      </c>
      <c r="IS228" s="1679" t="e">
        <f t="shared" si="191"/>
        <v>#N/A</v>
      </c>
      <c r="IT228" s="1679" t="e">
        <f t="shared" si="191"/>
        <v>#N/A</v>
      </c>
      <c r="IU228" s="1679" t="e">
        <f t="shared" si="191"/>
        <v>#N/A</v>
      </c>
      <c r="IV228" s="1679" t="e">
        <f>IF($CR228="interior",IF(R229&gt;$IP$14,ROUND(($IV$18*($IP$14/R229)),2),$IV$18),VLOOKUP($CS228,Control_Savings_Exterior,IV$30,FALSE))</f>
        <v>#N/A</v>
      </c>
      <c r="IW228" s="1679" t="e">
        <f>IF($CR228="interior",ROUND(((1-IS228)*IV228)+IS228,2),VLOOKUP($CS228,Control_Savings_Exterior,IW$30,FALSE))</f>
        <v>#N/A</v>
      </c>
      <c r="IX228" s="1679" t="e">
        <f>IF($CR228="interior",ROUND(((1-IT228)*IV228)+IT228,2),VLOOKUP($CS228,Control_Savings_Exterior,IX$30,FALSE))</f>
        <v>#N/A</v>
      </c>
      <c r="IY228" s="1679" t="e">
        <f>IF($CR228="interior",IF(R229&gt;$IP$14,ROUND(($IY$18*($IP$14/R229)),2),$IY$18),VLOOKUP($CS228,Control_Savings_Exterior,IY$30,FALSE))</f>
        <v>#N/A</v>
      </c>
      <c r="IZ228" s="1679" t="e">
        <f>IF($CR228="interior",ROUND(((1-IS228)*IY228)+IS228,2),VLOOKUP($CS228,Control_Savings_Exterior,IZ$30,FALSE))</f>
        <v>#N/A</v>
      </c>
      <c r="JA228" s="1679" t="e">
        <f>IF($CR228="interior",ROUND(((1-IT228)*IY228)+IT228,2),VLOOKUP($CS228,Control_Savings_Exterior,JA$30,FALSE))</f>
        <v>#N/A</v>
      </c>
      <c r="JC228" s="1680">
        <f>IFERROR(IF(CR228="Interior",CONCATENATE(G231," ",FQ228),FQ228),"")</f>
        <v>0</v>
      </c>
      <c r="JD228" s="1670" t="str">
        <f>IFERROR(VLOOKUP(JC228,_Controls_2023,2,FALSE),"")</f>
        <v/>
      </c>
      <c r="JE228" s="1681">
        <f>IFERROR(CHOOSE(JD228-1,IQ228,IR228,IS228,IT228,IU228,IV228,IW228,IX228,IY228,IZ228,JA228),0)</f>
        <v>0</v>
      </c>
      <c r="JG228" s="1680" t="str">
        <f>FE228</f>
        <v xml:space="preserve"> - 0</v>
      </c>
      <c r="JH228" s="1670" t="e">
        <f>$FO228</f>
        <v>#N/A</v>
      </c>
      <c r="JI228" s="1060"/>
      <c r="JJ228" s="1682" t="b">
        <f>IF($JG230=CONCATENATE("Interior - ",JJ$4),TRUE,FALSE)</f>
        <v>0</v>
      </c>
      <c r="JK228" s="1061"/>
      <c r="JL228" s="1682" t="b">
        <f>IF($JG230=CONCATENATE("Interior - ",JL$4),TRUE,FALSE)</f>
        <v>0</v>
      </c>
      <c r="JM228" s="1061"/>
      <c r="JN228" s="1682" t="b">
        <f>IF($JG230=CONCATENATE("Interior - ",JN$4),TRUE,FALSE)</f>
        <v>0</v>
      </c>
      <c r="JO228" s="1061"/>
      <c r="JP228" s="1682" t="b">
        <f>IF(__Retrofit_TI_NC&gt;0,FALSE,IF($JG230=CONCATENATE("Interior - ",JP$4),TRUE,FALSE))</f>
        <v>0</v>
      </c>
      <c r="JQ228" s="1061"/>
      <c r="JR228" s="1682" t="b">
        <f>IF(__Retrofit_TI_NC&gt;0,FALSE,IF($JG230=CONCATENATE("Interior - ",JR$4),TRUE,FALSE))</f>
        <v>0</v>
      </c>
      <c r="JS228" s="1061"/>
      <c r="JT228" s="1670" t="b">
        <f>IF(__Retrofit_TI_NC&gt;0,FALSE,IF($JG230=CONCATENATE("Interior - ",JT$4),TRUE,FALSE))</f>
        <v>0</v>
      </c>
      <c r="JU228" s="1061"/>
      <c r="JV228" s="1670" t="b">
        <f>IF(JC230="AELC on Existing",TRUE,FALSE)</f>
        <v>0</v>
      </c>
      <c r="JX228" s="1670" t="b">
        <f>IF(OR(JG230="Exterior - AELC Occupancy based",JG230="Exterior - AELC Time based"),TRUE,FALSE)</f>
        <v>0</v>
      </c>
      <c r="JZ228" s="1682" t="b">
        <f>IF($JG230=CONCATENATE("Exterior - ",JZ$4),TRUE,FALSE)</f>
        <v>0</v>
      </c>
      <c r="KB228" s="1670" t="b">
        <f>IF(__Retrofit_TI_NC&gt;0,FALSE,IF($JG230=CONCATENATE("Interior - ",KB$4),TRUE,FALSE))</f>
        <v>0</v>
      </c>
    </row>
    <row r="229" spans="1:288" s="78" customFormat="1" ht="14.95" customHeight="1" thickTop="1" thickBot="1">
      <c r="B229" s="1845"/>
      <c r="C229" s="1846"/>
      <c r="D229" s="1847"/>
      <c r="E229" s="1737" t="s">
        <v>297</v>
      </c>
      <c r="F229" s="1738"/>
      <c r="G229" s="1739"/>
      <c r="H229" s="1739"/>
      <c r="I229" s="1739"/>
      <c r="J229" s="1739"/>
      <c r="K229" s="1739"/>
      <c r="L229" s="1739"/>
      <c r="M229" s="461" t="e">
        <f>IF(__Retrofit_TI_NC&lt;&gt;0,IF(VLOOKUP(G230,'Space Table'!$B$3:$L$163,3,FALSE)&gt;0,1,0),IF(__Retrofit_TI_NC=VLOOKUP(G230,'Space Table'!$B$3:$L$163,3,FALSE),1,0))</f>
        <v>#N/A</v>
      </c>
      <c r="N229" s="461" t="str">
        <f>IFERROR(VLOOKUP(G229,_Lookup_Heat_Type_Table_New,2,FALSE),"")</f>
        <v/>
      </c>
      <c r="O229" s="461">
        <f>IF(__Retrofit_TI_NC=1,CONCATENATE("TI ",G229),IF(__Retrofit_TI_NC=2,CONCATENATE("NC ",G229),G229))</f>
        <v>0</v>
      </c>
      <c r="P229" s="1740" t="s">
        <v>435</v>
      </c>
      <c r="Q229" s="1740"/>
      <c r="R229" s="595"/>
      <c r="S229" s="1792"/>
      <c r="T229" s="597"/>
      <c r="U229" s="1765"/>
      <c r="V229" s="1766"/>
      <c r="W229" s="1766"/>
      <c r="X229" s="1766"/>
      <c r="Y229" s="1766"/>
      <c r="Z229" s="1766"/>
      <c r="AA229" s="1766"/>
      <c r="AB229" s="1766"/>
      <c r="AC229" s="1766"/>
      <c r="AD229" s="1767"/>
      <c r="AE229" s="1000"/>
      <c r="AF229" s="597"/>
      <c r="AG229" s="1723"/>
      <c r="AH229" s="1724"/>
      <c r="AI229" s="1724"/>
      <c r="AJ229" s="1724"/>
      <c r="AK229" s="1725"/>
      <c r="AL229" s="996"/>
      <c r="AM229" s="1747"/>
      <c r="AN229" s="1775"/>
      <c r="AO229" s="1777"/>
      <c r="AP229" s="1780"/>
      <c r="AQ229" s="1781"/>
      <c r="AR229" s="1795"/>
      <c r="AS229" s="1795"/>
      <c r="AT229" s="1796"/>
      <c r="AU229" s="1735"/>
      <c r="AV229" s="1752"/>
      <c r="AW229" s="1705"/>
      <c r="AX229" s="467"/>
      <c r="AY229" s="1749"/>
      <c r="AZ229" s="1749"/>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696"/>
      <c r="CQ229" s="1696"/>
      <c r="CR229" s="1809"/>
      <c r="CS229" s="1811"/>
      <c r="CU229" s="1688"/>
      <c r="CV229" s="1703"/>
      <c r="CW229" s="1703"/>
      <c r="CX229" s="1703"/>
      <c r="CY229" s="1815"/>
      <c r="CZ229" s="1711"/>
      <c r="DA229" s="1818"/>
      <c r="DB229" s="1820"/>
      <c r="DC229" s="1820"/>
      <c r="DD229" s="1820"/>
      <c r="DF229" s="1703"/>
      <c r="DG229" s="1831"/>
      <c r="DH229" s="1703"/>
      <c r="DI229" s="1838"/>
      <c r="DJ229" s="1711"/>
      <c r="DK229" s="1712"/>
      <c r="DM229" s="1718"/>
      <c r="DO229" s="1708"/>
      <c r="DQ229" s="1715"/>
      <c r="DR229" s="1720"/>
      <c r="DS229" s="1816"/>
      <c r="DT229" s="1714"/>
      <c r="DU229" s="1715"/>
      <c r="DV229" s="1716"/>
      <c r="DX229" s="1715"/>
      <c r="DY229" s="1720"/>
      <c r="DZ229" s="1715"/>
      <c r="EA229" s="1715"/>
      <c r="EC229" s="1834"/>
      <c r="ED229" s="1834"/>
      <c r="EF229" s="1707"/>
      <c r="EG229" s="1712"/>
      <c r="EH229" s="1818"/>
      <c r="EI229" s="1712"/>
      <c r="EJ229" s="1712"/>
      <c r="EK229" s="1836"/>
      <c r="EL229" s="1836"/>
      <c r="EM229" s="1807"/>
      <c r="EN229" s="1839"/>
      <c r="EO229" s="1839"/>
      <c r="EP229" s="1817"/>
      <c r="EQ229" s="1817"/>
      <c r="ER229" s="1807"/>
      <c r="ES229" s="1807"/>
      <c r="ET229" s="1807"/>
      <c r="EV229" s="1715"/>
      <c r="EX229" s="1805"/>
      <c r="EY229" s="1805"/>
      <c r="EZ229" s="1805"/>
      <c r="FA229" s="1805"/>
      <c r="FB229" s="1805"/>
      <c r="FC229" s="1827"/>
      <c r="FE229" s="1698"/>
      <c r="FG229" s="1816"/>
      <c r="FH229" s="1816"/>
      <c r="FI229" s="133"/>
      <c r="FL229" s="1823"/>
      <c r="FM229" s="1825"/>
      <c r="FN229" s="1698"/>
      <c r="FO229" s="1698"/>
      <c r="FP229" s="1678"/>
      <c r="FQ229" s="1678"/>
      <c r="FS229" s="1687"/>
      <c r="FT229" s="1687"/>
      <c r="FU229" s="1685"/>
      <c r="FV229" s="1687"/>
      <c r="FW229" s="1687"/>
      <c r="FX229" s="1687"/>
      <c r="FY229" s="1697"/>
      <c r="GA229" s="1696"/>
      <c r="GB229" s="1696"/>
      <c r="GC229" s="1696"/>
      <c r="GD229" s="1696"/>
      <c r="GE229" s="1696"/>
      <c r="GF229" s="1696"/>
      <c r="GG229" s="1696"/>
      <c r="GH229" s="1696"/>
      <c r="GI229" s="673"/>
      <c r="GJ229" s="1135"/>
      <c r="GK229" s="1832"/>
      <c r="GM229" s="1693" t="b">
        <f ca="1">IF(AND(GP229=TRUE,GQ229=TRUE),TRUE,FALSE)</f>
        <v>0</v>
      </c>
      <c r="GN229" s="1684" t="b">
        <f>IFERROR(IF(__Retrofit_TI_NC=2,TRUE,IF(AU228="Yes",TRUE,FALSE)),FALSE)</f>
        <v>1</v>
      </c>
      <c r="GP229" s="1684" t="b">
        <f>IFERROR(IF(GP228=1,TRUE,FALSE),FALSE)</f>
        <v>0</v>
      </c>
      <c r="GQ229" s="1684" t="b">
        <f ca="1">IFERROR(IF(GQ228=GQ$14,TRUE,FALSE),FALSE)</f>
        <v>0</v>
      </c>
      <c r="HG229" s="1684" t="b">
        <f>IFERROR(IF(AND(__Retrofit_TI_NC&gt;0,CQ228="Interior"),FALSE,TRUE),FALSE)</f>
        <v>1</v>
      </c>
      <c r="HH229" s="1684" t="b">
        <f>IFERROR(IF(M229=1,TRUE,FALSE),FALSE)</f>
        <v>0</v>
      </c>
      <c r="HI229" s="1684" t="b">
        <f>IFERROR(IF(OR(M230=1,N231="BAM"),TRUE,FALSE),FALSE)</f>
        <v>0</v>
      </c>
      <c r="HJ229" s="1684" t="b">
        <f>IFERROR(IF(__Retrofit_TI_NC&lt;&gt;0,TRUE,IFERROR(IF(VLOOKUP(U229,Fixtures_Existing_List,2,FALSE)&lt;&gt;"",TRUE,FALSE),FALSE)),FALSE)</f>
        <v>0</v>
      </c>
      <c r="HK229" s="1684" t="b">
        <f>IFERROR(IF(VLOOKUP(U230,Fixtures_Proposed_List,2,FALSE)&lt;&gt;"",TRUE,FALSE),FALSE)</f>
        <v>0</v>
      </c>
      <c r="HL229" s="1684" t="b">
        <f>IF(AND(__Retrofit_TI_NC=2,FC228=TRUE),FALSE,TRUE)</f>
        <v>1</v>
      </c>
      <c r="HM229" s="1684" t="b">
        <f>GK228</f>
        <v>1</v>
      </c>
      <c r="HN229" s="1682" t="b">
        <f>IF(ISERROR(MATCH(FE228,_Control_Match[],0))=TRUE,FALSE,TRUE)</f>
        <v>0</v>
      </c>
      <c r="HO229" s="1693" t="b">
        <f>IFERROR(IF(EX228&lt;&gt;EY228,FALSE,TRUE),FALSE)</f>
        <v>1</v>
      </c>
      <c r="HP229" s="1693" t="b">
        <f>IFERROR(IF(EX230&lt;&gt;EY230,FALSE,TRUE),FALSE)</f>
        <v>1</v>
      </c>
      <c r="HQ229" s="1670" t="b">
        <f>IFERROR(IF(CQ228="Exterior",TRUE,IF(AND(OR(FM230=0,FM230=3),JD230&gt;6),FALSE,TRUE)),FALSE)</f>
        <v>0</v>
      </c>
      <c r="HR229" s="1684" t="b">
        <f>IFERROR(IF(AND(FO230=7,FC228=TRUE),FALSE,TRUE),FALSE)</f>
        <v>0</v>
      </c>
      <c r="HS229" s="1684" t="b">
        <f>IFERROR(IF(AND(T230&lt;&gt;AF230,OR(AG230="Interior LLLC", AG230="Interior NLC", AG230="LLLC (outside Daylight)",AG230="LLLC Controls Only"))=TRUE,FALSE,TRUE),FALSE)</f>
        <v>1</v>
      </c>
      <c r="HT229" s="1670" t="b">
        <f>IFERROR(IF(OR(AG230=Lookup!BB$17,AG230=Lookup!BB$18,AG230=Lookup!BB$19)=TRUE,IF(AF230&gt;T230,FALSE,TRUE),TRUE),FALSE)</f>
        <v>1</v>
      </c>
      <c r="HU229" s="1684" t="b">
        <f>IFERROR(IF(__Retrofit_TI_NC=2,IF(EZ230&lt;EZ228,FALSE,TRUE),TRUE),FALSE)</f>
        <v>1</v>
      </c>
      <c r="HV229" s="1684" t="b">
        <f>IF(CQ228="Interior",IL$6,TRUE)</f>
        <v>1</v>
      </c>
      <c r="HW229" s="1684" t="b">
        <f>IF(CQ228="Exterior",IL$8,TRUE)</f>
        <v>1</v>
      </c>
      <c r="HX229" s="1684" t="b">
        <f>IFERROR(IF(__Retrofit_TI_NC&lt;&gt;0,IF(AZ228&lt;AY228,FALSE,TRUE),TRUE),FALSE)</f>
        <v>1</v>
      </c>
      <c r="HY229" s="1684" t="b">
        <f>IFERROR(IF(AND(G229="Exterior",R229&gt;4200),FALSE,TRUE),FALSE)</f>
        <v>1</v>
      </c>
      <c r="HZ229" s="1684" t="b">
        <f>IFERROR(IF(AB231/AB228&lt;HZ$18,FALSE,TRUE),FALSE)</f>
        <v>0</v>
      </c>
      <c r="IB229" s="1691"/>
      <c r="IC229" s="1695"/>
      <c r="ID229" s="1694" t="str">
        <f>VLOOKUP(IB231,_Error_Table,4,FALSE)</f>
        <v>White</v>
      </c>
      <c r="IE229" s="391"/>
      <c r="IF229" s="1688"/>
      <c r="IG229" s="1689"/>
      <c r="IH229" s="1684"/>
      <c r="IK229" s="1689"/>
      <c r="IL229" s="1691"/>
      <c r="IM229" s="1691"/>
      <c r="IN229" s="1691"/>
      <c r="IP229" s="1679"/>
      <c r="IQ229" s="1679"/>
      <c r="IR229" s="1679"/>
      <c r="IS229" s="1679"/>
      <c r="IT229" s="1679"/>
      <c r="IU229" s="1679"/>
      <c r="IV229" s="1679"/>
      <c r="IW229" s="1679"/>
      <c r="IX229" s="1679"/>
      <c r="IY229" s="1679"/>
      <c r="IZ229" s="1679"/>
      <c r="JA229" s="1679"/>
      <c r="JC229" s="1680"/>
      <c r="JD229" s="1670"/>
      <c r="JE229" s="1681"/>
      <c r="JG229" s="1680"/>
      <c r="JH229" s="1670"/>
      <c r="JI229" s="1060"/>
      <c r="JJ229" s="1683"/>
      <c r="JK229" s="1061"/>
      <c r="JL229" s="1683"/>
      <c r="JM229" s="1061"/>
      <c r="JN229" s="1683"/>
      <c r="JO229" s="1061"/>
      <c r="JP229" s="1683"/>
      <c r="JQ229" s="1061"/>
      <c r="JR229" s="1683"/>
      <c r="JS229" s="1061"/>
      <c r="JT229" s="1670"/>
      <c r="JU229" s="1061"/>
      <c r="JV229" s="1670"/>
      <c r="JX229" s="1670"/>
      <c r="JZ229" s="1683"/>
      <c r="KB229" s="1670"/>
    </row>
    <row r="230" spans="1:288" s="78" customFormat="1" ht="14.95" customHeight="1" thickTop="1" thickBot="1">
      <c r="A230" s="78">
        <f>ROW()</f>
        <v>230</v>
      </c>
      <c r="B230" s="1845"/>
      <c r="C230" s="1846"/>
      <c r="D230" s="1847"/>
      <c r="E230" s="1737" t="s">
        <v>298</v>
      </c>
      <c r="F230" s="1738"/>
      <c r="G230" s="1760"/>
      <c r="H230" s="1761"/>
      <c r="I230" s="1761"/>
      <c r="J230" s="1761"/>
      <c r="K230" s="1761"/>
      <c r="L230" s="1762"/>
      <c r="M230" s="461">
        <f>IFERROR(IF(IF(__Retrofit_TI_NC&lt;&gt;0,IF(CQ228="Interior",MATCH(G230,Lookup_Interior_New,0),MATCH(G230,Lookup_Exterior_New,0)),IF(CQ228="Interior",MATCH(G230,Lookup_Interior,0),MATCH(G230,Lookup_Exterior_Areas,0)))&gt;0,1,0),0)</f>
        <v>0</v>
      </c>
      <c r="N230" s="461" t="e">
        <f>IF(__Retrofit_TI_NC=1,
VLOOKUP(G230,'Space Table'!$B$3:$L$163,4,FALSE),
IF(__Retrofit_TI_NC=2,VLOOKUP(G230,'Space Table'!$B$3:$L$163,5,FALSE),VLOOKUP(G230,'Space Table'!$B$3:$L$163,5,FALSE)))</f>
        <v>#N/A</v>
      </c>
      <c r="O230" s="461">
        <f>G230</f>
        <v>0</v>
      </c>
      <c r="P230" s="1738" t="str">
        <f>IFERROR(IF(__Retrofit_TI_NC=1,VLOOKUP(G230,'Space Table'!$B$3:$O$163,13,FALSE),IF(__Retrofit_TI_NC=2,VLOOKUP(G230,'Space Table'!$B$3:$O$163,14,FALSE),"Area (sf):")),"Area (sf):")</f>
        <v>Area (sf):</v>
      </c>
      <c r="Q230" s="1738"/>
      <c r="R230" s="596"/>
      <c r="S230" s="1763" t="s">
        <v>345</v>
      </c>
      <c r="T230" s="594"/>
      <c r="U230" s="1801"/>
      <c r="V230" s="1802"/>
      <c r="W230" s="1802"/>
      <c r="X230" s="1802"/>
      <c r="Y230" s="1802"/>
      <c r="Z230" s="1802"/>
      <c r="AA230" s="1802"/>
      <c r="AB230" s="1802"/>
      <c r="AC230" s="1802"/>
      <c r="AD230" s="1802"/>
      <c r="AE230" s="1803"/>
      <c r="AF230" s="594"/>
      <c r="AG230" s="1787"/>
      <c r="AH230" s="1787"/>
      <c r="AI230" s="1787"/>
      <c r="AJ230" s="1787"/>
      <c r="AK230" s="1787"/>
      <c r="AL230" s="1787"/>
      <c r="AM230" s="1726">
        <f>IFERROR(DI230,"")</f>
        <v>0</v>
      </c>
      <c r="AN230" s="1728" t="str">
        <f>IFERROR(ROUND(AM230*AC231,0),"")</f>
        <v/>
      </c>
      <c r="AO230" s="1730">
        <f>IFERROR(IF(IB228=FALSE,0,AC231-AN230),0)</f>
        <v>0</v>
      </c>
      <c r="AP230" s="1780"/>
      <c r="AQ230" s="1781"/>
      <c r="AR230" s="1795"/>
      <c r="AS230" s="1795"/>
      <c r="AT230" s="1796"/>
      <c r="AU230" s="1735"/>
      <c r="AV230" s="1752"/>
      <c r="AW230" s="1705"/>
      <c r="AX230" s="467"/>
      <c r="AY230" s="1749"/>
      <c r="AZ230" s="1749"/>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696"/>
      <c r="CQ230" s="1696"/>
      <c r="CR230" s="1808" t="str">
        <f>CQ228</f>
        <v/>
      </c>
      <c r="CS230" s="1810" t="str">
        <f>CS228</f>
        <v/>
      </c>
      <c r="CU230" s="1688" t="s">
        <v>345</v>
      </c>
      <c r="CV230" s="1702">
        <f>IF(IB228=TRUE,T230,0)</f>
        <v>0</v>
      </c>
      <c r="CW230" s="1702" t="str">
        <f>IF(IB228=TRUE,U230,"")</f>
        <v/>
      </c>
      <c r="CX230" s="1812">
        <f>IF(IB228=TRUE,U231,0)</f>
        <v>0</v>
      </c>
      <c r="CY230" s="1814">
        <f>IF(IB228=TRUE,AB231,0)</f>
        <v>0</v>
      </c>
      <c r="CZ230" s="1710">
        <f>IF(AND(__Retrofit_TI_NC&gt;0,CR228="interior"),0,IF(IB228=TRUE,AC231,0))</f>
        <v>0</v>
      </c>
      <c r="DA230" s="1818"/>
      <c r="DB230" s="1820"/>
      <c r="DC230" s="1820"/>
      <c r="DD230" s="1820"/>
      <c r="DF230" s="1702">
        <f>IF(IB228=TRUE,AF230,0)</f>
        <v>0</v>
      </c>
      <c r="DG230" s="1830" t="str">
        <f>IF(IB228=TRUE,AG230,"")</f>
        <v/>
      </c>
      <c r="DH230" s="1812">
        <f>AG231</f>
        <v>0</v>
      </c>
      <c r="DI230" s="1837">
        <f>JE230</f>
        <v>0</v>
      </c>
      <c r="DJ230" s="1710">
        <f>IF(AND(__Retrofit_TI_NC&gt;0,CR228="interior"),0,IF(IB228=TRUE,AN230,0))</f>
        <v>0</v>
      </c>
      <c r="DK230" s="1712"/>
      <c r="DN230" s="1717">
        <f>IFERROR(CZ230-DJ230,0)</f>
        <v>0</v>
      </c>
      <c r="DO230" s="1709"/>
      <c r="DQ230" s="1715"/>
      <c r="DR230" s="1719" t="str">
        <f>DQ228</f>
        <v/>
      </c>
      <c r="DS230" s="1816"/>
      <c r="DT230" s="1835" t="str">
        <f>IF(OR(DS228=7,DS228=8,DS228=9),"ALC","")</f>
        <v/>
      </c>
      <c r="DU230" s="1715"/>
      <c r="DV230" s="1716"/>
      <c r="DX230" s="1715"/>
      <c r="DY230" s="1829" t="str">
        <f>DX228</f>
        <v/>
      </c>
      <c r="DZ230" s="1715"/>
      <c r="EA230" s="1715"/>
      <c r="EC230" s="1834"/>
      <c r="ED230" s="1834"/>
      <c r="EF230" s="1707"/>
      <c r="EG230" s="1712"/>
      <c r="EH230" s="1818"/>
      <c r="EI230" s="1712"/>
      <c r="EJ230" s="1712"/>
      <c r="EK230" s="1836"/>
      <c r="EL230" s="1836"/>
      <c r="EM230" s="1807"/>
      <c r="EN230" s="1839"/>
      <c r="EO230" s="1839"/>
      <c r="EP230" s="1817"/>
      <c r="EQ230" s="1817"/>
      <c r="ER230" s="1807"/>
      <c r="ES230" s="1807"/>
      <c r="ET230" s="1807"/>
      <c r="EV230" s="1715"/>
      <c r="EX230" s="1805" t="str">
        <f>IFERROR(VLOOKUP(CS230,'Space Table'!$B$3:$L$163,8,FALSE),"")</f>
        <v/>
      </c>
      <c r="EY230" s="1805" t="str">
        <f>IFERROR(IF(FB230="Yes",VLOOKUP(AG230,Lookup_Control_Type_Table2,4,FALSE),VLOOKUP(AG230,Lookup_Control_Type_Table2,3,FALSE)),"")</f>
        <v/>
      </c>
      <c r="EZ230" s="1805" t="e">
        <f>VLOOKUP(AG230,Lookup!BB$3:BC$20,2,FALSE)</f>
        <v>#N/A</v>
      </c>
      <c r="FA230" s="1805" t="e">
        <f>VLOOKUP(EX228,Lookup_Control_Type_Table,2,FALSE)</f>
        <v>#N/A</v>
      </c>
      <c r="FB230" s="1805" t="e">
        <f>VLOOKUP(CS230,'Space Table'!$B$3:$L$163,7,FALSE)</f>
        <v>#N/A</v>
      </c>
      <c r="FC230" s="1827"/>
      <c r="FE230" s="1698" t="str">
        <f>CONCATENATE(CQ228," - ",AG230)</f>
        <v xml:space="preserve"> - </v>
      </c>
      <c r="FG230" s="1816"/>
      <c r="FH230" s="1816"/>
      <c r="FI230" s="133"/>
      <c r="FL230" s="1822" t="str">
        <f>IF(CQ228="Exterior","Not Daylighted",G231)</f>
        <v>Not Daylighted</v>
      </c>
      <c r="FM230" s="1824">
        <f>VLOOKUP(FL230,_New_Daylight_Table_Codes,2,FALSE)</f>
        <v>0</v>
      </c>
      <c r="FN230" s="1698">
        <f>AG230</f>
        <v>0</v>
      </c>
      <c r="FO230" s="1698" t="e">
        <f>VLOOKUP(FN230,_Control_Table,2,FALSE)</f>
        <v>#N/A</v>
      </c>
      <c r="FP230" s="1678" t="e">
        <f>VLOOKUP(CONCATENATE(FL230," ",FN230),Lookup!AY$102:AZ241,2,FALSE)</f>
        <v>#N/A</v>
      </c>
      <c r="FQ230" s="1698">
        <f>IF(__Retrofit_TI_NC=0,FN230,IF(AND(FT230&gt;0,FN230="Occupancy Sensor"),"Daylight + Occupancy",IF(AND(FT230&gt;0,FO230&lt;4),"Interior Daylight Dimming",FN230)))</f>
        <v>0</v>
      </c>
      <c r="FS230" s="1686">
        <f>IF(CQ228="Interior",VLOOKUP(CS228,Control_Savings_Interior,5,FALSE),0)</f>
        <v>0</v>
      </c>
      <c r="FT230" s="1687">
        <f>IF(CQ230="Exterior",0,IF(FM230=2,0.5,IF(OR(FM230=1,FM230=3),1,0)))</f>
        <v>0</v>
      </c>
      <c r="FU230" s="1685">
        <f>IF(R229&gt;FS$44,(FS230*(FS$44/R229)),FS230)*FT230</f>
        <v>0</v>
      </c>
      <c r="FV230" s="1686">
        <f>DI230</f>
        <v>0</v>
      </c>
      <c r="FW230" s="1686">
        <f>ROUND(FV230+((1-FV230)*FU230),2)</f>
        <v>0</v>
      </c>
      <c r="FX230" s="1686">
        <f>IF(__Retrofit_TI_NC=2,FW230,FV230)</f>
        <v>0</v>
      </c>
      <c r="FY230" s="1697">
        <f>IF(CR230="Interior",VLOOKUP(CS230,Control_Savings_Interior,4,FALSE),0)</f>
        <v>0</v>
      </c>
      <c r="GA230" s="1696"/>
      <c r="GB230" s="1696"/>
      <c r="GC230" s="1696"/>
      <c r="GD230" s="1696"/>
      <c r="GE230" s="1696"/>
      <c r="GF230" s="1696"/>
      <c r="GG230" s="1696"/>
      <c r="GH230" s="1696"/>
      <c r="GI230" s="673" t="b">
        <f>IF(ISNUMBER(SEARCH("TLED",U230)),TRUE,FALSE)</f>
        <v>0</v>
      </c>
      <c r="GJ230" s="1135" t="str">
        <f>IFERROR(VLOOKUP(U230,Fixtures!DM$93:DR$142,6,FALSE),"")</f>
        <v/>
      </c>
      <c r="GK230" s="1832"/>
      <c r="GM230" s="1692"/>
      <c r="GN230" s="1684"/>
      <c r="GP230" s="1684"/>
      <c r="GQ230" s="1684"/>
      <c r="HG230" s="1684"/>
      <c r="HH230" s="1684"/>
      <c r="HI230" s="1684"/>
      <c r="HJ230" s="1684"/>
      <c r="HK230" s="1684"/>
      <c r="HL230" s="1684"/>
      <c r="HM230" s="1684"/>
      <c r="HN230" s="1683"/>
      <c r="HO230" s="1692"/>
      <c r="HP230" s="1692"/>
      <c r="HQ230" s="1670"/>
      <c r="HR230" s="1684"/>
      <c r="HS230" s="1684"/>
      <c r="HT230" s="1670"/>
      <c r="HU230" s="1684"/>
      <c r="HV230" s="1684"/>
      <c r="HW230" s="1684"/>
      <c r="HX230" s="1684"/>
      <c r="HY230" s="1684"/>
      <c r="HZ230" s="1684"/>
      <c r="IB230" s="1692"/>
      <c r="IC230" s="1693" t="b">
        <f>IB228</f>
        <v>0</v>
      </c>
      <c r="ID230" s="1695"/>
      <c r="IE230" s="391"/>
      <c r="IF230" s="1688"/>
      <c r="IG230" s="1689">
        <f ca="1">IF(IF228=TRUE,AC231,0)</f>
        <v>0</v>
      </c>
      <c r="IH230" s="1684"/>
      <c r="IK230" s="1689" t="e">
        <f>ROUND(T230*AB231*N229*R229/1000,0)</f>
        <v>#VALUE!</v>
      </c>
      <c r="IL230" s="1691"/>
      <c r="IM230" s="1693" t="e">
        <f>ROUND(T230*AB231*N229*R229/1000,0)</f>
        <v>#VALUE!</v>
      </c>
      <c r="IN230" s="1691"/>
      <c r="IP230" s="1679"/>
      <c r="IQ230" s="1679" t="e">
        <f t="shared" ref="IQ230:IU230" si="192">IF($CR230="interior",VLOOKUP($CS230,_New_Control_Savings_Interior,IQ$30,FALSE),VLOOKUP($CS230,Control_Savings_Exterior,IQ$30,FALSE))</f>
        <v>#N/A</v>
      </c>
      <c r="IR230" s="1679" t="e">
        <f t="shared" si="192"/>
        <v>#N/A</v>
      </c>
      <c r="IS230" s="1679" t="e">
        <f t="shared" si="192"/>
        <v>#N/A</v>
      </c>
      <c r="IT230" s="1679" t="e">
        <f t="shared" si="192"/>
        <v>#N/A</v>
      </c>
      <c r="IU230" s="1679" t="e">
        <f t="shared" si="192"/>
        <v>#N/A</v>
      </c>
      <c r="IV230" s="1679" t="e">
        <f>IF($CR230="interior",IF(R229&gt;$IP$14,ROUND(($IV$18*($IP$14/R229)),2),$IV$18),VLOOKUP($CS230,Control_Savings_Exterior,IV$30,FALSE))</f>
        <v>#N/A</v>
      </c>
      <c r="IW230" s="1679" t="e">
        <f>IF($CR230="interior",ROUND(((1-IS230)*IV230)+IS230,2),VLOOKUP($CS230,Control_Savings_Exterior,IW$30,FALSE))</f>
        <v>#N/A</v>
      </c>
      <c r="IX230" s="1679" t="e">
        <f>IF($CR230="interior",ROUND(((1-IT230)*IV230)+IT230,2),VLOOKUP($CS230,Control_Savings_Exterior,IX$30,FALSE))</f>
        <v>#N/A</v>
      </c>
      <c r="IY230" s="1679" t="e">
        <f>IF($CR230="interior",IF(R229&gt;$IP$14,ROUND(($IY$18*($IP$14/R229)),2),$IY$18),VLOOKUP($CS230,Control_Savings_Exterior,IY$30,FALSE))</f>
        <v>#N/A</v>
      </c>
      <c r="IZ230" s="1679" t="e">
        <f>IF($CR230="interior",ROUND(((1-IS230)*IY230)+IS230,2),VLOOKUP($CS230,Control_Savings_Exterior,IZ$30,FALSE))</f>
        <v>#N/A</v>
      </c>
      <c r="JA230" s="1679" t="e">
        <f>IF($CR230="interior",ROUND(((1-IT230)*IY230)+IT230,2),VLOOKUP($CS230,Control_Savings_Exterior,JA$30,FALSE))</f>
        <v>#N/A</v>
      </c>
      <c r="JC230" s="1680">
        <f>IFERROR(IF(CR230="Interior",CONCATENATE(G231," ",FQ230),AG230),"")</f>
        <v>0</v>
      </c>
      <c r="JD230" s="1670" t="str">
        <f>IFERROR(VLOOKUP(JC230,_Controls_2023,2,FALSE),"")</f>
        <v/>
      </c>
      <c r="JE230" s="1681">
        <f>IFERROR(CHOOSE(JD230-1,IQ230,IR230,IS230,IT230,IU230,IV230,IW230,IX230,IY230,IZ230,JA230),0)</f>
        <v>0</v>
      </c>
      <c r="JG230" s="1680" t="str">
        <f>FE230</f>
        <v xml:space="preserve"> - </v>
      </c>
      <c r="JH230" s="1670" t="e">
        <f>$FO230</f>
        <v>#N/A</v>
      </c>
      <c r="JI230" s="1060"/>
      <c r="JJ230" s="1670">
        <f>IFERROR(IF($IB228=TRUE,IF(OR(JJ$14="No",JJ228=FALSE,JH230&lt;=JH228,AND(_kWh_Grant=0,GD228=FALSE)),0,IF(JJ$8="Per Line",1,$AF230)),0),0)</f>
        <v>0</v>
      </c>
      <c r="JK230" s="1061"/>
      <c r="JL230" s="1670">
        <f>IFERROR(IF(_kWh_Grant=0,0,IF($IB228=TRUE,IF(OR(JL$14="No",JL228=FALSE,JH230&lt;=JH228),0,IF(JL$8="Per Line",1,$T230)),0)),0)</f>
        <v>0</v>
      </c>
      <c r="JM230" s="1061"/>
      <c r="JN230" s="1670">
        <f>IFERROR(IF(_kWh_Grant=0,0,IF($IB228=TRUE,IF(OR(JN$14="No",JN228=FALSE,JH230&lt;=JH228),0,IF(JN$8="Per Line",1,$AF230)),0)),0)</f>
        <v>0</v>
      </c>
      <c r="JO230" s="1061"/>
      <c r="JP230" s="1670">
        <f>IFERROR(IF(__Retrofit_TI_NC=0,IF(_kWh_Grant=0,0,IF($IB228=TRUE,IF(OR(JP$14="No",JP228=FALSE,$JH230&lt;=$JH228),0,IF(JP$8="Per Line",1,$AF230)),0)),IF($IB228=TRUE,IF(OR(JP$14="No",JP228=FALSE,$JH230&lt;=$JH228),0,IF(JP$8="Per Line",1,$AF230)))),0)</f>
        <v>0</v>
      </c>
      <c r="JQ230" s="1061"/>
      <c r="JR230" s="1670">
        <f>IFERROR(IF(__Retrofit_TI_NC=0,IF(_kWh_Grant=0,0,IF($IB228=TRUE,IF(OR(JR$14="No",JR228=FALSE,$JH230&lt;=$JH228),0,IF(JR$8="Per Line",1,$AF230)),0)),IF($IB228=TRUE,IF(OR(JR$14="No",JR228=FALSE,$JH230&lt;=$JH228),0,IF(JR$8="Per Line",1,$AF230)))),0)</f>
        <v>0</v>
      </c>
      <c r="JS230" s="1061"/>
      <c r="JT230" s="1670">
        <f>IFERROR(IF(__Retrofit_TI_NC=0,IF(_kWh_Grant=0,0,IF($IB228=TRUE,IF(OR(JT$14="No",JT228=FALSE,$JH230&lt;=$JH228),0,IF(JT$8="Per Line",1,$AF230)),0)),IF($IB228=TRUE,IF(OR(JT$14="No",JT228=FALSE,$JH230&lt;=$JH228),0,IF(JT$8="Per Line",1,$AF230)))),0)</f>
        <v>0</v>
      </c>
      <c r="JU230" s="1061"/>
      <c r="JV230" s="1670">
        <f>IFERROR(IF(__Retrofit_TI_NC=0,IF(_kWh_Grant=0,0,IF($IB228=TRUE,IF(OR(JV$14="No",JV228=FALSE,$JH230&lt;=$JH228),0,IF(JV$8="Per Line",1,$AF230)),0)),IF($IB228=TRUE,IF(OR(JV$14="No",JV228=FALSE,$JH230&lt;=$JH228),0,IF(JV$8="Per Line",1,$AF230)))),0)</f>
        <v>0</v>
      </c>
      <c r="JX230" s="1670">
        <f>IFERROR(IF(__Retrofit_TI_NC=0,IF(_kWh_Grant=0,0,IF($IB228=TRUE,IF(OR(JX$14="No",JX228=FALSE,$JH230&lt;=$JH228),0,IF(JX$8="Per Line",1,$AF230)),0)),IF($IB228=TRUE,IF(OR(JX$14="No",JX228=FALSE,$JH230&lt;=$JH228),0,IF(JX$8="Per Line",1,$AF230)))),0)</f>
        <v>0</v>
      </c>
      <c r="JZ230" s="1670">
        <f>IFERROR(IF($IB228=TRUE,IF(OR(JZ$14="No",JZ228=FALSE,$JH230&lt;=$JH228,AND(_kWh_Grant=0,$GD228=FALSE)),0,IF(JZ$8="Per Line",1,$AF230)),0),0)</f>
        <v>0</v>
      </c>
      <c r="KB230" s="1670">
        <f>IFERROR(IF(__Retrofit_TI_NC=0,IF(_kWh_Grant=0,0,IF($IB228=TRUE,IF(OR(KB$14="No",KB228=FALSE,$JH230&lt;=$JH228),0,IF(KB$8="Per Line",1,$AF230)),0)),IF($IB228=TRUE,IF(OR(KB$14="No",KB228=FALSE,$JH230&lt;=$JH228),0,IF(KB$8="Per Line",1,$AF230)))),0)</f>
        <v>0</v>
      </c>
    </row>
    <row r="231" spans="1:288" s="78" customFormat="1" ht="14.95" customHeight="1" thickTop="1" thickBot="1">
      <c r="B231" s="1845"/>
      <c r="C231" s="1846"/>
      <c r="D231" s="1847"/>
      <c r="E231" s="1771" t="s">
        <v>436</v>
      </c>
      <c r="F231" s="1772"/>
      <c r="G231" s="1784" t="s">
        <v>437</v>
      </c>
      <c r="H231" s="1785"/>
      <c r="I231" s="1785"/>
      <c r="J231" s="1785"/>
      <c r="K231" s="1785"/>
      <c r="L231" s="1786"/>
      <c r="M231" s="591">
        <f>IFERROR(VLOOKUP(G231,_Daylight_Table[],2,FALSE),0)</f>
        <v>0</v>
      </c>
      <c r="N231" s="592" t="str">
        <f>IF(AND(__Retrofit_TI_NC&gt;0,CQ228="Interior"),"BAM","")</f>
        <v/>
      </c>
      <c r="O231" s="591" t="e">
        <f>VLOOKUP(G230,'Space Table'!$B$3:$L$163,11,FALSE)</f>
        <v>#N/A</v>
      </c>
      <c r="P231" s="1789"/>
      <c r="Q231" s="1790"/>
      <c r="R231" s="1790"/>
      <c r="S231" s="1788"/>
      <c r="T231" s="593" t="s">
        <v>342</v>
      </c>
      <c r="U231" s="1756" t="str" cm="1">
        <f t="array" aca="1" ref="U231" ca="1">IFERROR(VLOOKUP(INDIRECT("U" &amp; ROW()-1),Fixtures!DM$93:DP$142,4,FALSE),"")</f>
        <v/>
      </c>
      <c r="V231" s="1757"/>
      <c r="W231" s="1757"/>
      <c r="X231" s="1757"/>
      <c r="Y231" s="1757"/>
      <c r="Z231" s="1757"/>
      <c r="AA231" s="1758"/>
      <c r="AB231" s="939" t="str">
        <f>IFERROR(VLOOKUP(U230,Fixtures_Proposed_List,2,FALSE),"")</f>
        <v/>
      </c>
      <c r="AC231" s="933" t="str">
        <f>IFERROR(ROUND(T230*AB231*N229*R229/1000,0),"")</f>
        <v/>
      </c>
      <c r="AD231" s="934" t="str">
        <f>IFERROR(ROUND(T230*AB231/1000,2),"")</f>
        <v/>
      </c>
      <c r="AE231" s="998"/>
      <c r="AF231" s="938" t="s">
        <v>342</v>
      </c>
      <c r="AG231" s="1770"/>
      <c r="AH231" s="1770"/>
      <c r="AI231" s="1770"/>
      <c r="AJ231" s="1770"/>
      <c r="AK231" s="1770"/>
      <c r="AL231" s="1770"/>
      <c r="AM231" s="1727"/>
      <c r="AN231" s="1729"/>
      <c r="AO231" s="1731"/>
      <c r="AP231" s="1782"/>
      <c r="AQ231" s="1783"/>
      <c r="AR231" s="1797"/>
      <c r="AS231" s="1797"/>
      <c r="AT231" s="1798"/>
      <c r="AU231" s="1736"/>
      <c r="AV231" s="1753"/>
      <c r="AW231" s="1706"/>
      <c r="AX231" s="468"/>
      <c r="AY231" s="1750"/>
      <c r="AZ231" s="1750"/>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696"/>
      <c r="CQ231" s="1696"/>
      <c r="CR231" s="1809"/>
      <c r="CS231" s="1811"/>
      <c r="CU231" s="1688"/>
      <c r="CV231" s="1703"/>
      <c r="CW231" s="1703"/>
      <c r="CX231" s="1813"/>
      <c r="CY231" s="1815"/>
      <c r="CZ231" s="1711"/>
      <c r="DA231" s="1815"/>
      <c r="DB231" s="1821"/>
      <c r="DC231" s="1821"/>
      <c r="DD231" s="1821"/>
      <c r="DF231" s="1703"/>
      <c r="DG231" s="1831"/>
      <c r="DH231" s="1813"/>
      <c r="DI231" s="1838"/>
      <c r="DJ231" s="1711"/>
      <c r="DK231" s="1712"/>
      <c r="DN231" s="1718"/>
      <c r="DO231" s="1709"/>
      <c r="DQ231" s="1715"/>
      <c r="DR231" s="1720"/>
      <c r="DS231" s="1703"/>
      <c r="DT231" s="1714"/>
      <c r="DU231" s="1715"/>
      <c r="DV231" s="1716"/>
      <c r="DX231" s="1715"/>
      <c r="DY231" s="1720"/>
      <c r="DZ231" s="1715"/>
      <c r="EA231" s="1715"/>
      <c r="EC231" s="1834"/>
      <c r="ED231" s="1834"/>
      <c r="EF231" s="1707"/>
      <c r="EG231" s="1712"/>
      <c r="EH231" s="1815"/>
      <c r="EI231" s="1712"/>
      <c r="EJ231" s="1712"/>
      <c r="EK231" s="1813"/>
      <c r="EL231" s="1813"/>
      <c r="EM231" s="1807"/>
      <c r="EN231" s="1839"/>
      <c r="EO231" s="1839"/>
      <c r="EP231" s="1817"/>
      <c r="EQ231" s="1817"/>
      <c r="ER231" s="1807"/>
      <c r="ES231" s="1807"/>
      <c r="ET231" s="1807"/>
      <c r="EV231" s="1715"/>
      <c r="EX231" s="1806"/>
      <c r="EY231" s="1806"/>
      <c r="EZ231" s="1806"/>
      <c r="FA231" s="1806"/>
      <c r="FB231" s="1806"/>
      <c r="FC231" s="1828"/>
      <c r="FE231" s="1698"/>
      <c r="FG231" s="1703"/>
      <c r="FH231" s="1703"/>
      <c r="FI231" s="133"/>
      <c r="FL231" s="1823"/>
      <c r="FM231" s="1825"/>
      <c r="FN231" s="1698"/>
      <c r="FO231" s="1698"/>
      <c r="FP231" s="1678"/>
      <c r="FQ231" s="1698"/>
      <c r="FS231" s="1687"/>
      <c r="FT231" s="1687"/>
      <c r="FU231" s="1685"/>
      <c r="FV231" s="1687"/>
      <c r="FW231" s="1687"/>
      <c r="FX231" s="1687"/>
      <c r="FY231" s="1697"/>
      <c r="GA231" s="1696"/>
      <c r="GB231" s="1696"/>
      <c r="GC231" s="1696"/>
      <c r="GD231" s="1696"/>
      <c r="GE231" s="1696"/>
      <c r="GF231" s="1696"/>
      <c r="GG231" s="1696"/>
      <c r="GH231" s="1696"/>
      <c r="GI231" s="673"/>
      <c r="GJ231" s="1135"/>
      <c r="GK231" s="1832"/>
      <c r="GN231" s="674">
        <f>IF(GN229=TRUE,0,GN$16)</f>
        <v>0</v>
      </c>
      <c r="GP231" s="674">
        <f>IF(GP229=TRUE,0,GP$16)</f>
        <v>36</v>
      </c>
      <c r="GQ231" s="674">
        <f ca="1">IF(GQ229=TRUE,0,GQ$16)</f>
        <v>35</v>
      </c>
      <c r="GR231" s="391"/>
      <c r="GS231" s="391"/>
      <c r="GT231" s="391"/>
      <c r="GU231" s="391"/>
      <c r="GV231" s="391"/>
      <c r="HG231" s="674">
        <f>IF(HG229=TRUE,0,HG$16)</f>
        <v>0</v>
      </c>
      <c r="HH231" s="674">
        <f t="shared" ref="HH231:HM231" si="193">IF(HH229=TRUE,0,HH$16)</f>
        <v>19</v>
      </c>
      <c r="HI231" s="674">
        <f t="shared" si="193"/>
        <v>18</v>
      </c>
      <c r="HJ231" s="674">
        <f t="shared" si="193"/>
        <v>17</v>
      </c>
      <c r="HK231" s="674">
        <f t="shared" si="193"/>
        <v>16</v>
      </c>
      <c r="HL231" s="674">
        <f t="shared" si="193"/>
        <v>0</v>
      </c>
      <c r="HM231" s="674">
        <f t="shared" si="193"/>
        <v>0</v>
      </c>
      <c r="HN231" s="674">
        <f>IF(HN229=TRUE,0,HN$16)</f>
        <v>13</v>
      </c>
      <c r="HO231" s="674">
        <f t="shared" ref="HO231:HQ231" si="194">IF(HO229=TRUE,0,HO$16)</f>
        <v>0</v>
      </c>
      <c r="HP231" s="674">
        <f t="shared" si="194"/>
        <v>0</v>
      </c>
      <c r="HQ231" s="674">
        <f t="shared" si="194"/>
        <v>10</v>
      </c>
      <c r="HR231" s="674">
        <f>IF(HR229=TRUE,0,HR$16)</f>
        <v>9</v>
      </c>
      <c r="HS231" s="674">
        <f t="shared" ref="HS231:HW231" si="195">IF(HS229=TRUE,0,HS$16)</f>
        <v>0</v>
      </c>
      <c r="HT231" s="674">
        <f t="shared" si="195"/>
        <v>0</v>
      </c>
      <c r="HU231" s="674">
        <f t="shared" si="195"/>
        <v>0</v>
      </c>
      <c r="HV231" s="674">
        <f t="shared" si="195"/>
        <v>0</v>
      </c>
      <c r="HW231" s="674">
        <f t="shared" si="195"/>
        <v>0</v>
      </c>
      <c r="HX231" s="674">
        <f>IF(HX229=TRUE,0,HX$16)</f>
        <v>0</v>
      </c>
      <c r="HY231" s="674">
        <f>IF(HY229=TRUE,0,HY$16)</f>
        <v>0</v>
      </c>
      <c r="HZ231" s="674">
        <f>IF(HZ229=TRUE,0,HZ$16)</f>
        <v>1</v>
      </c>
      <c r="IB231" s="674">
        <f>IF(GP229=FALSE,GP231,IF(GQ229=FALSE,GQ231,MAX(GN231:HZ231)))</f>
        <v>36</v>
      </c>
      <c r="IC231" s="1692"/>
      <c r="ID231" s="205" t="str">
        <f>VLOOKUP(IB231,_Error_Table,3,FALSE)</f>
        <v xml:space="preserve"> </v>
      </c>
      <c r="IE231" s="205"/>
      <c r="IF231" s="1688"/>
      <c r="IG231" s="1689"/>
      <c r="IH231" s="1684"/>
      <c r="IK231" s="1689"/>
      <c r="IL231" s="1692"/>
      <c r="IM231" s="1692"/>
      <c r="IN231" s="1692"/>
      <c r="IP231" s="1679"/>
      <c r="IQ231" s="1679"/>
      <c r="IR231" s="1679"/>
      <c r="IS231" s="1679"/>
      <c r="IT231" s="1679"/>
      <c r="IU231" s="1679"/>
      <c r="IV231" s="1679"/>
      <c r="IW231" s="1679"/>
      <c r="IX231" s="1679"/>
      <c r="IY231" s="1679"/>
      <c r="IZ231" s="1679"/>
      <c r="JA231" s="1679"/>
      <c r="JC231" s="1680"/>
      <c r="JD231" s="1670"/>
      <c r="JE231" s="1681"/>
      <c r="JG231" s="1680"/>
      <c r="JH231" s="1670"/>
      <c r="JI231" s="1060"/>
      <c r="JJ231" s="1670"/>
      <c r="JK231" s="1061"/>
      <c r="JL231" s="1670"/>
      <c r="JM231" s="1061"/>
      <c r="JN231" s="1670"/>
      <c r="JO231" s="1061"/>
      <c r="JP231" s="1670"/>
      <c r="JQ231" s="1061"/>
      <c r="JR231" s="1670"/>
      <c r="JS231" s="1061"/>
      <c r="JT231" s="1670"/>
      <c r="JU231" s="1061"/>
      <c r="JV231" s="1670"/>
      <c r="JX231" s="1670"/>
      <c r="JZ231" s="1670"/>
      <c r="KB231" s="1670"/>
    </row>
    <row r="232" spans="1:288" s="78" customFormat="1" ht="5.0999999999999996" customHeight="1">
      <c r="B232" s="676"/>
      <c r="C232" s="392"/>
      <c r="D232" s="392"/>
      <c r="E232" s="1733"/>
      <c r="F232" s="1733"/>
      <c r="G232" s="1733"/>
      <c r="H232" s="1733"/>
      <c r="I232" s="1733"/>
      <c r="J232" s="1733"/>
      <c r="K232" s="1733"/>
      <c r="L232" s="1733"/>
      <c r="M232" s="1733"/>
      <c r="N232" s="1733"/>
      <c r="O232" s="1733"/>
      <c r="P232" s="1733"/>
      <c r="Q232" s="1733"/>
      <c r="R232" s="1733"/>
      <c r="S232" s="1733"/>
      <c r="T232" s="1733"/>
      <c r="U232" s="1733"/>
      <c r="V232" s="1733"/>
      <c r="W232" s="1733"/>
      <c r="X232" s="1733"/>
      <c r="Y232" s="1733"/>
      <c r="Z232" s="1733"/>
      <c r="AA232" s="1733"/>
      <c r="AB232" s="1733"/>
      <c r="AC232" s="1733"/>
      <c r="AD232" s="1733"/>
      <c r="AE232" s="1733"/>
      <c r="AF232" s="1733"/>
      <c r="AG232" s="1733"/>
      <c r="AH232" s="1733"/>
      <c r="AI232" s="1733"/>
      <c r="AJ232" s="1733"/>
      <c r="AK232" s="1733"/>
      <c r="AL232" s="1733"/>
      <c r="AM232" s="1733"/>
      <c r="AN232" s="1733"/>
      <c r="AO232" s="1733"/>
      <c r="AP232" s="1733"/>
      <c r="AQ232" s="1733"/>
      <c r="AR232" s="1733"/>
      <c r="AS232" s="1733"/>
      <c r="AT232" s="1733"/>
      <c r="AU232" s="1733"/>
      <c r="AV232" s="1733"/>
      <c r="AW232" s="1733"/>
      <c r="AX232" s="469"/>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663"/>
      <c r="CQ232" s="663"/>
      <c r="CR232" s="438"/>
      <c r="CS232" s="663"/>
      <c r="CV232" s="391"/>
      <c r="CW232" s="391"/>
      <c r="CX232" s="207"/>
      <c r="CY232" s="208"/>
      <c r="CZ232" s="208"/>
      <c r="DA232" s="208"/>
      <c r="DB232" s="209"/>
      <c r="DC232" s="209"/>
      <c r="DD232" s="209"/>
      <c r="DF232" s="664"/>
      <c r="DG232" s="665"/>
      <c r="DH232" s="666"/>
      <c r="DI232" s="667"/>
      <c r="DJ232" s="668"/>
      <c r="DK232" s="668"/>
      <c r="DN232" s="208"/>
      <c r="DO232" s="664"/>
      <c r="DQ232" s="664"/>
      <c r="DR232" s="669"/>
      <c r="DS232" s="391"/>
      <c r="DT232" s="664"/>
      <c r="DU232" s="664"/>
      <c r="DV232" s="664"/>
      <c r="DX232" s="664"/>
      <c r="DY232" s="664"/>
      <c r="DZ232" s="664"/>
      <c r="EA232" s="664"/>
      <c r="EC232" s="670"/>
      <c r="ED232" s="670"/>
      <c r="EF232" s="668"/>
      <c r="EG232" s="668"/>
      <c r="EH232" s="208"/>
      <c r="EI232" s="668"/>
      <c r="EJ232" s="668"/>
      <c r="EK232" s="207"/>
      <c r="EL232" s="207"/>
      <c r="EM232" s="666"/>
      <c r="EN232" s="671"/>
      <c r="EO232" s="671"/>
      <c r="EP232" s="672"/>
      <c r="EQ232" s="672"/>
      <c r="ER232" s="666"/>
      <c r="ES232" s="666"/>
      <c r="ET232" s="666"/>
      <c r="EV232" s="664"/>
      <c r="EX232" s="391"/>
      <c r="EY232" s="391"/>
      <c r="EZ232" s="391"/>
      <c r="FA232" s="391"/>
      <c r="FB232" s="391"/>
      <c r="FC232" s="391"/>
      <c r="FE232" s="569"/>
      <c r="FG232" s="391"/>
      <c r="FH232" s="391"/>
      <c r="FI232" s="391"/>
      <c r="FS232" s="664"/>
      <c r="FT232" s="391"/>
      <c r="FU232" s="391"/>
      <c r="FV232" s="664"/>
      <c r="FW232" s="664"/>
      <c r="GA232" s="663"/>
      <c r="GB232" s="663"/>
      <c r="GC232" s="663"/>
      <c r="GD232" s="663"/>
      <c r="GE232" s="663"/>
      <c r="GF232" s="663"/>
      <c r="GG232" s="663"/>
      <c r="GH232" s="663"/>
      <c r="GI232" s="665"/>
      <c r="GJ232" s="664"/>
      <c r="GK232" s="664"/>
    </row>
    <row r="233" spans="1:288" s="78" customFormat="1" ht="14.95" customHeight="1">
      <c r="B233" s="1845" t="str">
        <f>ID236</f>
        <v xml:space="preserve"> </v>
      </c>
      <c r="C233" s="1846">
        <f>C228+1</f>
        <v>37</v>
      </c>
      <c r="D233" s="1847"/>
      <c r="E233" s="1799" t="s">
        <v>295</v>
      </c>
      <c r="F233" s="1800"/>
      <c r="G233" s="1741"/>
      <c r="H233" s="1742"/>
      <c r="I233" s="1742"/>
      <c r="J233" s="1742"/>
      <c r="K233" s="1742"/>
      <c r="L233" s="1742"/>
      <c r="M233" s="1742"/>
      <c r="N233" s="1742"/>
      <c r="O233" s="1742"/>
      <c r="P233" s="1742"/>
      <c r="Q233" s="1742"/>
      <c r="R233" s="1742"/>
      <c r="S233" s="1791" t="s">
        <v>344</v>
      </c>
      <c r="T233" s="590"/>
      <c r="U233" s="1743"/>
      <c r="V233" s="1744"/>
      <c r="W233" s="1744"/>
      <c r="X233" s="1744"/>
      <c r="Y233" s="1744"/>
      <c r="Z233" s="1744"/>
      <c r="AA233" s="1744"/>
      <c r="AB233" s="961" t="str">
        <f>IFERROR(IF(__Retrofit_TI_NC=0,VLOOKUP(U234,Fixtures_Existing_List,2,FALSE),ROUND(N235*R235/T235,10)),"")</f>
        <v/>
      </c>
      <c r="AC233" s="935" t="str">
        <f>IFERROR(IF(__Retrofit_TI_NC=0,ROUND(T234*AB233*N234*R234/1000,0),IF(CQ233="Interior",N235*R235*R234*N234*_C406_reduction/1000,N235*R235*R234*N234/1000)),"")</f>
        <v/>
      </c>
      <c r="AD233" s="936" t="str">
        <f>IFERROR(IF(C$43=0,ROUND(T234*AB233/1000,2),N235*R235/1000),"")</f>
        <v/>
      </c>
      <c r="AE233" s="997"/>
      <c r="AF233" s="937"/>
      <c r="AG233" s="1745" t="str">
        <f>IF(__Retrofit_TI_NC=0," Control","Select Advanced Control for New System")</f>
        <v xml:space="preserve"> Control</v>
      </c>
      <c r="AH233" s="1745"/>
      <c r="AI233" s="1745"/>
      <c r="AJ233" s="1745"/>
      <c r="AK233" s="1745"/>
      <c r="AL233" s="1745"/>
      <c r="AM233" s="1746">
        <f>IFERROR(DI233,"")</f>
        <v>0</v>
      </c>
      <c r="AN233" s="1774" t="str">
        <f>IFERROR(ROUND(AM233*AC233,0),"")</f>
        <v/>
      </c>
      <c r="AO233" s="1776">
        <f>IFERROR(IF(IB233=FALSE,0,AC233-AN233),0)</f>
        <v>0</v>
      </c>
      <c r="AP233" s="1778">
        <f>AO233-AO235</f>
        <v>0</v>
      </c>
      <c r="AQ233" s="1779"/>
      <c r="AR233" s="1793">
        <f>IFERROR(IF(IB233=FALSE,0,(T235*U236)+(AF235*AG236)),0)</f>
        <v>0</v>
      </c>
      <c r="AS233" s="1793"/>
      <c r="AT233" s="1794"/>
      <c r="AU233" s="1734" t="s">
        <v>237</v>
      </c>
      <c r="AV233" s="1751">
        <f>IF(AU233="Yes",1,0)</f>
        <v>1</v>
      </c>
      <c r="AW233" s="1704" t="str">
        <f>IF(OR(DQ233=4,DQ233=5,DQ233=6,DQ233=12),CONCATENATE("$",IF(GH233=TRUE,Lookup!$K$10,Lookup!$K$2)," /lamp"),CONCATENATE(TEXT(ED233,"$0.00"),"/ kWh"))</f>
        <v>$0.00/ kWh</v>
      </c>
      <c r="AX233" s="467"/>
      <c r="AY233" s="1748">
        <f ca="1">IFERROR(IF(GM234=TRUE,(AB236*T235)/R235,0),"NA")</f>
        <v>0</v>
      </c>
      <c r="AZ233" s="1748"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696" t="str">
        <f>N234</f>
        <v/>
      </c>
      <c r="CQ233" s="1696" t="str">
        <f>IFERROR(VLOOKUP(G234,_Lookup_Heat_Type_Table_New,3,FALSE),"")</f>
        <v/>
      </c>
      <c r="CR233" s="1808" t="str">
        <f>CQ233</f>
        <v/>
      </c>
      <c r="CS233" s="1810" t="str">
        <f>IFERROR(VLOOKUP(G235,'Space Table'!$B$3:$L$163,9,FALSE),"")</f>
        <v/>
      </c>
      <c r="CU233" s="1688" t="s">
        <v>344</v>
      </c>
      <c r="CV233" s="1702">
        <f>IF(IB233=TRUE,T234,0)</f>
        <v>0</v>
      </c>
      <c r="CW233" s="1702" t="str">
        <f>IF(IB233=TRUE,U234,"")</f>
        <v/>
      </c>
      <c r="CX233" s="1702"/>
      <c r="CY233" s="1814">
        <f>IF(IB233=TRUE,AB233,0)</f>
        <v>0</v>
      </c>
      <c r="CZ233" s="1710">
        <f>IF(AND(__Retrofit_TI_NC&gt;0,CR233="interior"),0,IF(IB233=TRUE,AC233,0))</f>
        <v>0</v>
      </c>
      <c r="DA233" s="1814">
        <f>IFERROR(IF(IB233=TRUE,CZ233-CZ235,0),0)</f>
        <v>0</v>
      </c>
      <c r="DB233" s="1819">
        <f>IF(IB233=TRUE,AD233,0)</f>
        <v>0</v>
      </c>
      <c r="DC233" s="1819">
        <f>IF(IB233=TRUE,AD236,0)</f>
        <v>0</v>
      </c>
      <c r="DD233" s="1819">
        <f>IFERROR(DB233-DC233,0)</f>
        <v>0</v>
      </c>
      <c r="DF233" s="1702">
        <f>IF(IB233=TRUE,AF234,0)</f>
        <v>0</v>
      </c>
      <c r="DG233" s="1830">
        <f>IFERROR(IF(__Retrofit_TI_NC=2,IF(CQ233="Exterior",O236,FQ233),FN233),"")</f>
        <v>0</v>
      </c>
      <c r="DH233" s="1702"/>
      <c r="DI233" s="1837">
        <f>JE233</f>
        <v>0</v>
      </c>
      <c r="DJ233" s="1710">
        <f>IF(AND(__Retrofit_TI_NC&gt;0,CR233="interior"),0,IF(IB233=TRUE,AN233,0))</f>
        <v>0</v>
      </c>
      <c r="DK233" s="1712">
        <f>IFERROR(IF(IB233=TRUE,DJ235-DJ233,0),0)</f>
        <v>0</v>
      </c>
      <c r="DM233" s="1717">
        <f>IFERROR(CZ233-DJ233,0)</f>
        <v>0</v>
      </c>
      <c r="DO233" s="1708">
        <f>DM233-DN235</f>
        <v>0</v>
      </c>
      <c r="DQ233" s="1715" t="str">
        <f>IFERROR(IF(AND(OR(GC233=4,GC233=5,GC233=6),OR(GF233=4,GF233=5,GF233=6)),GC233+8,VLOOKUP(CW235,Fixtures!R$31:Y$78,8,FALSE)),"")</f>
        <v/>
      </c>
      <c r="DR233" s="1829" t="str">
        <f>DQ233</f>
        <v/>
      </c>
      <c r="DS233" s="1702" t="str">
        <f>IFERROR(VLOOKUP(DG235,Lookup!BB$3:BC$20,2,FALSE),"")</f>
        <v/>
      </c>
      <c r="DT233" s="1713" t="str">
        <f>IF(OR(DS233=7,DS233=8,DS233=9),"ALC","")</f>
        <v/>
      </c>
      <c r="DU233" s="1715">
        <f>IFERROR(IF(OR(DQ233=4,DQ233=5,DQ233=6,DQ233=12,DQ233=13,DQ233=14),VLOOKUP(CW235,Fixtures!DN$27:EG$77,19,FALSE),1)*CV235,0)</f>
        <v>0</v>
      </c>
      <c r="DV233" s="1716">
        <f>IF(OR(DS233=7,DS233=8,DS233=9),IF(DG233=DG235,0,DF235),0)</f>
        <v>0</v>
      </c>
      <c r="DX233" s="1715" t="str">
        <f>IFERROR(IF(EZ233&lt;EZ235,"Yes","No"),"")</f>
        <v/>
      </c>
      <c r="DY233" s="1829" t="str">
        <f>DX233</f>
        <v/>
      </c>
      <c r="DZ233" s="1715">
        <f>IF(DX233="Yes",DF235,0)</f>
        <v>0</v>
      </c>
      <c r="EA233" s="1715">
        <f>DZ233-DV233</f>
        <v>0</v>
      </c>
      <c r="EC233" s="1834">
        <f>IFERROR(VLOOKUP(DQ233,Lookup!AU$3:AV$16,2,FALSE),0)</f>
        <v>0</v>
      </c>
      <c r="ED233" s="1834">
        <f>IF(IB233=FALSE,0,IF(DX233="Yes",EC233+Lookup!K$6,EC233))</f>
        <v>0</v>
      </c>
      <c r="EF233" s="1707">
        <f>IF(IB233=TRUE,DM233,0)</f>
        <v>0</v>
      </c>
      <c r="EG233" s="1712">
        <f>IF(IB233=TRUE,CZ235,0)</f>
        <v>0</v>
      </c>
      <c r="EH233" s="1814">
        <f>IFERROR(EF233-EG233,0)</f>
        <v>0</v>
      </c>
      <c r="EI233" s="1712">
        <f>IF(IB233=TRUE,DJ235,0)</f>
        <v>0</v>
      </c>
      <c r="EJ233" s="1712">
        <f>IFERROR(EF233-EG233+EI233,0)</f>
        <v>0</v>
      </c>
      <c r="EK233" s="1812">
        <f>IF(IB233=TRUE,CV235*CX235,0)</f>
        <v>0</v>
      </c>
      <c r="EL233" s="1812">
        <f>IF(IB233=TRUE,DF235*DH235,0)</f>
        <v>0</v>
      </c>
      <c r="EM233" s="1807">
        <f>AR233</f>
        <v>0</v>
      </c>
      <c r="EN233" s="1839" t="str">
        <f>IFERROR(IF(IB233=TRUE,VLOOKUP(DQ233,Lookup!AU$3:AW$16,3,FALSE)*DU233,""),0)</f>
        <v/>
      </c>
      <c r="EO233" s="1839">
        <f>IF(IB233=TRUE,DZ233*Lookup!AW$12,0)</f>
        <v>0</v>
      </c>
      <c r="EP233" s="1817">
        <f>IFERROR(IF(IB233=TRUE,EN233/EP$40,0),0)</f>
        <v>0</v>
      </c>
      <c r="EQ233" s="1817">
        <f>IF(IB233=TRUE,EO233/EQ$40,0)</f>
        <v>0</v>
      </c>
      <c r="ER233" s="1807">
        <f>IF(IB233=TRUE,ET$40*EP233,0)</f>
        <v>0</v>
      </c>
      <c r="ES233" s="1807">
        <f>IF(IB233=TRUE,ET$40*EQ233,0)</f>
        <v>0</v>
      </c>
      <c r="ET233" s="1807">
        <f>ER233+ES233</f>
        <v>0</v>
      </c>
      <c r="EV233" s="1715">
        <f>IF(G233="",0,1)</f>
        <v>0</v>
      </c>
      <c r="EX233" s="1804" t="str">
        <f>IFERROR(VLOOKUP(CS235,'Space Table'!$B$3:$L$163,8,FALSE),"")</f>
        <v/>
      </c>
      <c r="EY233" s="1804" t="str">
        <f>IFERROR(IF(FB233="Yes",VLOOKUP(DG233,Lookup_Control_Type_Table2,4,FALSE),VLOOKUP(DG233,Lookup_Control_Type_Table2,3,FALSE)),"")</f>
        <v/>
      </c>
      <c r="EZ233" s="1804" t="e">
        <f>VLOOKUP(DG233,Lookup!BB$3:BC$20,2,FALSE)</f>
        <v>#N/A</v>
      </c>
      <c r="FA233" s="1804" t="e">
        <f>VLOOKUP(EX233,Lookup_Control_Type_Table,2,FALSE)</f>
        <v>#N/A</v>
      </c>
      <c r="FB233" s="1804" t="e">
        <f>VLOOKUP(CS235,'Space Table'!$B$3:$L$163,7,FALSE)</f>
        <v>#N/A</v>
      </c>
      <c r="FC233" s="1826" t="b">
        <f>ISNUMBER(SEARCH("TLED",U235))</f>
        <v>0</v>
      </c>
      <c r="FE233" s="1698" t="str">
        <f>CONCATENATE(CQ233," - ",DG233)</f>
        <v xml:space="preserve"> - 0</v>
      </c>
      <c r="FG233" s="1702" t="str">
        <f>VLOOKUP(CW235,Fixtures!DN$27:EZ$77,38,FALSE)</f>
        <v/>
      </c>
      <c r="FH233" s="1702">
        <f>IFERROR(FG233*EH233,0)</f>
        <v>0</v>
      </c>
      <c r="FI233" s="133"/>
      <c r="FL233" s="1822" t="str">
        <f>IF(CQ233="Exterior","Not Daylighted",G236)</f>
        <v>Not Daylighted</v>
      </c>
      <c r="FM233" s="1824">
        <f>VLOOKUP(FL233,_New_Daylight_Table_Codes,2,FALSE)</f>
        <v>0</v>
      </c>
      <c r="FN233" s="1698">
        <f>IF(__Retrofit_TI_NC&gt;0,VLOOKUP(G235,'Space Table'!$B$3:$L$163,11,FALSE),AG234)</f>
        <v>0</v>
      </c>
      <c r="FO233" s="1698" t="e">
        <f>IF(__Retrofit_TI_NC=2,VLOOKUP(FQ233,_Control_Table,2,FALSE),VLOOKUP(FN233,_Control_Table,2,FALSE))</f>
        <v>#N/A</v>
      </c>
      <c r="FP233" s="1678" t="e">
        <f>VLOOKUP(CONCATENATE(FL233," ",FN233),Lookup!AY$102:AZ243,2,FALSE)</f>
        <v>#N/A</v>
      </c>
      <c r="FQ233" s="1678">
        <f>IF(__Retrofit_TI_NC=0,FN233,IF(AND(FT233&gt;0,FN233="Occupancy Sensor"),"Daylight + Occupancy",IF(AND(FT233&gt;0,VLOOKUP(FN233,_Control_Table,2,FALSE)&lt;4),"Interior Daylight Dimming",FN233)))</f>
        <v>0</v>
      </c>
      <c r="FS233" s="1686">
        <f>IF(CR233="Interior",VLOOKUP(CS233,Control_Savings_Interior,5,FALSE),0)</f>
        <v>0</v>
      </c>
      <c r="FT233" s="1687">
        <f>IF(CQ233="Exterior",0,IF(FM233=2,0.5,IF(OR(FM233=1,FM233=3),1,0)))</f>
        <v>0</v>
      </c>
      <c r="FU233" s="1685">
        <f>IF(R232&gt;FS$44,(FS233*(FS$44/R232)),FS233)*FT233</f>
        <v>0</v>
      </c>
      <c r="FV233" s="1686">
        <f>DI233</f>
        <v>0</v>
      </c>
      <c r="FW233" s="1686">
        <f>ROUND(FV233+((1-FV233)*FU233),2)</f>
        <v>0</v>
      </c>
      <c r="FX233" s="1686">
        <f>IF(__Retrofit_TI_NC=2,FW233,FV233)</f>
        <v>0</v>
      </c>
      <c r="FY233" s="1697"/>
      <c r="GA233" s="1696" t="str">
        <f>IFERROR(VLOOKUP(U234,_Exist_Fixture_Table,3,FALSE),"")</f>
        <v/>
      </c>
      <c r="GB233" s="1696" t="str">
        <f>VLOOKUP(CW233,_Exist_Fixture_Table,4,FALSE)</f>
        <v/>
      </c>
      <c r="GC233" s="1696">
        <f>IFERROR(VLOOKUP(GB233,Lookup!AT$6:AU$8,2,FALSE),0)</f>
        <v>0</v>
      </c>
      <c r="GD233" s="1696" t="b">
        <f>IFERROR(IF(OR(GF233=4,GF233=5,GF233=6),TRUE,FALSE),"")</f>
        <v>0</v>
      </c>
      <c r="GE233" s="1696" t="str">
        <f>IFERROR(VLOOKUP(GF233,GC$6:GD$10,2,FALSE),"")</f>
        <v/>
      </c>
      <c r="GF233" s="1696" t="str">
        <f>VLOOKUP(CW235,Fixtures!R$31:Y$78,8,FALSE)</f>
        <v/>
      </c>
      <c r="GG233" s="1696">
        <f>IF(AND(GA233=TRUE,GD233=TRUE,OR(DQ233=12,DQ233=13,DQ233=14)),GC233+8,0)</f>
        <v>0</v>
      </c>
      <c r="GH233" s="1696" t="b">
        <f>IF(OR(GG233=12,GG233=13,GG233=14),TRUE,FALSE)</f>
        <v>0</v>
      </c>
      <c r="GI233" s="673" t="b">
        <f>IF(ISNUMBER(SEARCH("TLED",U234)),TRUE,FALSE)</f>
        <v>0</v>
      </c>
      <c r="GJ233" s="1135" t="str">
        <f>IFERROR(VLOOKUP(U234,Fixtures!BM$93:BR$142,6,FALSE),"")</f>
        <v/>
      </c>
      <c r="GK233" s="1832" t="b">
        <f>IF(OR(GI233=FALSE,GI235=FALSE),TRUE,IF(GJ233-GJ235&lt;5,FALSE,TRUE))</f>
        <v>1</v>
      </c>
      <c r="GO233" s="674">
        <f>GP233</f>
        <v>0</v>
      </c>
      <c r="GP233" s="674">
        <f>IF(G233="",0,1)</f>
        <v>0</v>
      </c>
      <c r="GQ233" s="674">
        <f ca="1">SUM(GR233:HF233)</f>
        <v>2</v>
      </c>
      <c r="GR233" s="674">
        <f>IF(G234="",0,1)</f>
        <v>0</v>
      </c>
      <c r="GS233" s="674">
        <f>IF(N236="BAM",1,IF(G235="",0,1))</f>
        <v>0</v>
      </c>
      <c r="GT233" s="674">
        <f>IF(N236="BAM",1,IF(R234="",0,1))</f>
        <v>0</v>
      </c>
      <c r="GU233" s="674">
        <f>IF(N236="BAM",1,IF(__Retrofit_TI_NC=0,1,IF(R235="",0,1)))</f>
        <v>1</v>
      </c>
      <c r="GV233" s="674">
        <f>IF(N236="BAM",1,IF(CQ233="Exterior",1,IF(G236="",0,1)))</f>
        <v>1</v>
      </c>
      <c r="GW233" s="674">
        <f>IF(__Retrofit_TI_NC&gt;0,1,IF(T234="",0,1))</f>
        <v>0</v>
      </c>
      <c r="GX233" s="674">
        <f>IF(__Retrofit_TI_NC&gt;0,1,IF(U234="",0,1))</f>
        <v>0</v>
      </c>
      <c r="GY233" s="674">
        <f>IF(N236="BAM",1,IF(T235="",0,1))</f>
        <v>0</v>
      </c>
      <c r="GZ233" s="674">
        <f>IF(N236="BAM",1,IF(U235="",0,1))</f>
        <v>0</v>
      </c>
      <c r="HA233" s="674">
        <f ca="1">IF(N236="BAM",1,IF(__Retrofit_TI_NC&gt;0,1,IF(U236="",0,1)))</f>
        <v>0</v>
      </c>
      <c r="HB233" s="674">
        <f>IF(__Retrofit_TI_NC&lt;&gt;0,1,IF(AF234="",0,1))</f>
        <v>0</v>
      </c>
      <c r="HC233" s="674">
        <f>IF(__Retrofit_TI_NC&lt;&gt;0,1,IF(AG234="",0,1))</f>
        <v>0</v>
      </c>
      <c r="HD233" s="674">
        <f>IF(N236="BAM",1,IF(AF235="",0,1))</f>
        <v>0</v>
      </c>
      <c r="HE233" s="674">
        <f>IF(N236="BAM",1,IF(AG235="",0,1))</f>
        <v>0</v>
      </c>
      <c r="HF233" s="674">
        <f>IF(N236="BAM",1,IF(__Retrofit_TI_NC&gt;0,1,IF(AG236="",0,1)))</f>
        <v>0</v>
      </c>
      <c r="HG233" s="391"/>
      <c r="IA233" s="391"/>
      <c r="IB233" s="1693" t="b">
        <f>IF(OR(IB236=0,IB236=HY$16,IB236=HX$16,IB236=HZ$16),TRUE,FALSE)</f>
        <v>0</v>
      </c>
      <c r="IC233" s="1694" t="b">
        <f>IB233</f>
        <v>0</v>
      </c>
      <c r="ID233" s="391"/>
      <c r="IE233" s="391"/>
      <c r="IF233" s="1688" t="b">
        <f ca="1">IF(MAX(GN236:HU236)&gt;5,FALSE,TRUE)</f>
        <v>0</v>
      </c>
      <c r="IG233" s="1689">
        <f ca="1">IF(IF233=TRUE,AC233,0)</f>
        <v>0</v>
      </c>
      <c r="IH233" s="1689">
        <f ca="1">IG233-IG235</f>
        <v>0</v>
      </c>
      <c r="IK233" s="1689" t="e">
        <f>ROUND(T234*VLOOKUP(U234,Fixtures_Existing_List,2,FALSE)*N234*R234/1000,0)</f>
        <v>#N/A</v>
      </c>
      <c r="IL233" s="1690" t="e">
        <f>IK233-IK235</f>
        <v>#N/A</v>
      </c>
      <c r="IM233" s="1693" t="e">
        <f>ROUND(IF(CQ233="Interior",N235*R235*R234*N234*_C406_reduction/1000,N235*R235*R234*N234/1000),0)</f>
        <v>#N/A</v>
      </c>
      <c r="IN233" s="1693" t="e">
        <f>IM233-IM235</f>
        <v>#N/A</v>
      </c>
      <c r="IP233" s="1679"/>
      <c r="IQ233" s="1679" t="e">
        <f t="shared" ref="IQ233:IU233" si="196">IF($CR233="interior",VLOOKUP($CS233,_New_Control_Savings_Interior,IQ$30,FALSE),VLOOKUP($CS233,Control_Savings_Exterior,IQ$30,FALSE))</f>
        <v>#N/A</v>
      </c>
      <c r="IR233" s="1679" t="e">
        <f t="shared" si="196"/>
        <v>#N/A</v>
      </c>
      <c r="IS233" s="1679" t="e">
        <f t="shared" si="196"/>
        <v>#N/A</v>
      </c>
      <c r="IT233" s="1679" t="e">
        <f t="shared" si="196"/>
        <v>#N/A</v>
      </c>
      <c r="IU233" s="1679" t="e">
        <f t="shared" si="196"/>
        <v>#N/A</v>
      </c>
      <c r="IV233" s="1679" t="e">
        <f>IF($CR233="interior",IF(R234&gt;$IP$14,ROUND(($IV$18*($IP$14/R234)),2),$IV$18),VLOOKUP($CS233,Control_Savings_Exterior,IV$30,FALSE))</f>
        <v>#N/A</v>
      </c>
      <c r="IW233" s="1679" t="e">
        <f>IF($CR233="interior",ROUND(((1-IS233)*IV233)+IS233,2),VLOOKUP($CS233,Control_Savings_Exterior,IW$30,FALSE))</f>
        <v>#N/A</v>
      </c>
      <c r="IX233" s="1679" t="e">
        <f>IF($CR233="interior",ROUND(((1-IT233)*IV233)+IT233,2),VLOOKUP($CS233,Control_Savings_Exterior,IX$30,FALSE))</f>
        <v>#N/A</v>
      </c>
      <c r="IY233" s="1679" t="e">
        <f>IF($CR233="interior",IF(R234&gt;$IP$14,ROUND(($IY$18*($IP$14/R234)),2),$IY$18),VLOOKUP($CS233,Control_Savings_Exterior,IY$30,FALSE))</f>
        <v>#N/A</v>
      </c>
      <c r="IZ233" s="1679" t="e">
        <f>IF($CR233="interior",ROUND(((1-IS233)*IY233)+IS233,2),VLOOKUP($CS233,Control_Savings_Exterior,IZ$30,FALSE))</f>
        <v>#N/A</v>
      </c>
      <c r="JA233" s="1679" t="e">
        <f>IF($CR233="interior",ROUND(((1-IT233)*IY233)+IT233,2),VLOOKUP($CS233,Control_Savings_Exterior,JA$30,FALSE))</f>
        <v>#N/A</v>
      </c>
      <c r="JC233" s="1680">
        <f>IFERROR(IF(CR233="Interior",CONCATENATE(G236," ",FQ233),FQ233),"")</f>
        <v>0</v>
      </c>
      <c r="JD233" s="1670" t="str">
        <f>IFERROR(VLOOKUP(JC233,_Controls_2023,2,FALSE),"")</f>
        <v/>
      </c>
      <c r="JE233" s="1681">
        <f>IFERROR(CHOOSE(JD233-1,IQ233,IR233,IS233,IT233,IU233,IV233,IW233,IX233,IY233,IZ233,JA233),0)</f>
        <v>0</v>
      </c>
      <c r="JG233" s="1680" t="str">
        <f>FE233</f>
        <v xml:space="preserve"> - 0</v>
      </c>
      <c r="JH233" s="1670" t="e">
        <f>$FO233</f>
        <v>#N/A</v>
      </c>
      <c r="JI233" s="1060"/>
      <c r="JJ233" s="1682" t="b">
        <f>IF($JG235=CONCATENATE("Interior - ",JJ$4),TRUE,FALSE)</f>
        <v>0</v>
      </c>
      <c r="JK233" s="1061"/>
      <c r="JL233" s="1682" t="b">
        <f>IF($JG235=CONCATENATE("Interior - ",JL$4),TRUE,FALSE)</f>
        <v>0</v>
      </c>
      <c r="JM233" s="1061"/>
      <c r="JN233" s="1682" t="b">
        <f>IF($JG235=CONCATENATE("Interior - ",JN$4),TRUE,FALSE)</f>
        <v>0</v>
      </c>
      <c r="JO233" s="1061"/>
      <c r="JP233" s="1682" t="b">
        <f>IF(__Retrofit_TI_NC&gt;0,FALSE,IF($JG235=CONCATENATE("Interior - ",JP$4),TRUE,FALSE))</f>
        <v>0</v>
      </c>
      <c r="JQ233" s="1061"/>
      <c r="JR233" s="1682" t="b">
        <f>IF(__Retrofit_TI_NC&gt;0,FALSE,IF($JG235=CONCATENATE("Interior - ",JR$4),TRUE,FALSE))</f>
        <v>0</v>
      </c>
      <c r="JS233" s="1061"/>
      <c r="JT233" s="1670" t="b">
        <f>IF(__Retrofit_TI_NC&gt;0,FALSE,IF($JG235=CONCATENATE("Interior - ",JT$4),TRUE,FALSE))</f>
        <v>0</v>
      </c>
      <c r="JU233" s="1061"/>
      <c r="JV233" s="1670" t="b">
        <f>IF(JC235="AELC on Existing",TRUE,FALSE)</f>
        <v>0</v>
      </c>
      <c r="JX233" s="1670" t="b">
        <f>IF(OR(JG235="Exterior - AELC Occupancy based",JG235="Exterior - AELC Time based"),TRUE,FALSE)</f>
        <v>0</v>
      </c>
      <c r="JZ233" s="1682" t="b">
        <f>IF($JG235=CONCATENATE("Exterior - ",JZ$4),TRUE,FALSE)</f>
        <v>0</v>
      </c>
      <c r="KB233" s="1670" t="b">
        <f>IF(__Retrofit_TI_NC&gt;0,FALSE,IF($JG235=CONCATENATE("Interior - ",KB$4),TRUE,FALSE))</f>
        <v>0</v>
      </c>
    </row>
    <row r="234" spans="1:288" s="78" customFormat="1" ht="14.95" customHeight="1" thickTop="1" thickBot="1">
      <c r="B234" s="1845"/>
      <c r="C234" s="1846"/>
      <c r="D234" s="1847"/>
      <c r="E234" s="1737" t="s">
        <v>297</v>
      </c>
      <c r="F234" s="1738"/>
      <c r="G234" s="1739"/>
      <c r="H234" s="1739"/>
      <c r="I234" s="1739"/>
      <c r="J234" s="1739"/>
      <c r="K234" s="1739"/>
      <c r="L234" s="1739"/>
      <c r="M234" s="461" t="e">
        <f>IF(__Retrofit_TI_NC&lt;&gt;0,IF(VLOOKUP(G235,'Space Table'!$B$3:$L$163,3,FALSE)&gt;0,1,0),IF(__Retrofit_TI_NC=VLOOKUP(G235,'Space Table'!$B$3:$L$163,3,FALSE),1,0))</f>
        <v>#N/A</v>
      </c>
      <c r="N234" s="461" t="str">
        <f>IFERROR(VLOOKUP(G234,_Lookup_Heat_Type_Table_New,2,FALSE),"")</f>
        <v/>
      </c>
      <c r="O234" s="461">
        <f>IF(__Retrofit_TI_NC=1,CONCATENATE("TI ",G234),IF(__Retrofit_TI_NC=2,CONCATENATE("NC ",G234),G234))</f>
        <v>0</v>
      </c>
      <c r="P234" s="1740" t="s">
        <v>435</v>
      </c>
      <c r="Q234" s="1740"/>
      <c r="R234" s="595"/>
      <c r="S234" s="1792"/>
      <c r="T234" s="597"/>
      <c r="U234" s="1765"/>
      <c r="V234" s="1766"/>
      <c r="W234" s="1766"/>
      <c r="X234" s="1766"/>
      <c r="Y234" s="1766"/>
      <c r="Z234" s="1766"/>
      <c r="AA234" s="1766"/>
      <c r="AB234" s="1766"/>
      <c r="AC234" s="1766"/>
      <c r="AD234" s="1767"/>
      <c r="AE234" s="1000"/>
      <c r="AF234" s="597"/>
      <c r="AG234" s="1723"/>
      <c r="AH234" s="1724"/>
      <c r="AI234" s="1724"/>
      <c r="AJ234" s="1724"/>
      <c r="AK234" s="1725"/>
      <c r="AL234" s="996"/>
      <c r="AM234" s="1747"/>
      <c r="AN234" s="1775"/>
      <c r="AO234" s="1777"/>
      <c r="AP234" s="1780"/>
      <c r="AQ234" s="1781"/>
      <c r="AR234" s="1795"/>
      <c r="AS234" s="1795"/>
      <c r="AT234" s="1796"/>
      <c r="AU234" s="1735"/>
      <c r="AV234" s="1752"/>
      <c r="AW234" s="1705"/>
      <c r="AX234" s="467"/>
      <c r="AY234" s="1749"/>
      <c r="AZ234" s="1749"/>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696"/>
      <c r="CQ234" s="1696"/>
      <c r="CR234" s="1809"/>
      <c r="CS234" s="1811"/>
      <c r="CU234" s="1688"/>
      <c r="CV234" s="1703"/>
      <c r="CW234" s="1703"/>
      <c r="CX234" s="1703"/>
      <c r="CY234" s="1815"/>
      <c r="CZ234" s="1711"/>
      <c r="DA234" s="1818"/>
      <c r="DB234" s="1820"/>
      <c r="DC234" s="1820"/>
      <c r="DD234" s="1820"/>
      <c r="DF234" s="1703"/>
      <c r="DG234" s="1831"/>
      <c r="DH234" s="1703"/>
      <c r="DI234" s="1838"/>
      <c r="DJ234" s="1711"/>
      <c r="DK234" s="1712"/>
      <c r="DM234" s="1718"/>
      <c r="DO234" s="1708"/>
      <c r="DQ234" s="1715"/>
      <c r="DR234" s="1720"/>
      <c r="DS234" s="1816"/>
      <c r="DT234" s="1714"/>
      <c r="DU234" s="1715"/>
      <c r="DV234" s="1716"/>
      <c r="DX234" s="1715"/>
      <c r="DY234" s="1720"/>
      <c r="DZ234" s="1715"/>
      <c r="EA234" s="1715"/>
      <c r="EC234" s="1834"/>
      <c r="ED234" s="1834"/>
      <c r="EF234" s="1707"/>
      <c r="EG234" s="1712"/>
      <c r="EH234" s="1818"/>
      <c r="EI234" s="1712"/>
      <c r="EJ234" s="1712"/>
      <c r="EK234" s="1836"/>
      <c r="EL234" s="1836"/>
      <c r="EM234" s="1807"/>
      <c r="EN234" s="1839"/>
      <c r="EO234" s="1839"/>
      <c r="EP234" s="1817"/>
      <c r="EQ234" s="1817"/>
      <c r="ER234" s="1807"/>
      <c r="ES234" s="1807"/>
      <c r="ET234" s="1807"/>
      <c r="EV234" s="1715"/>
      <c r="EX234" s="1805"/>
      <c r="EY234" s="1805"/>
      <c r="EZ234" s="1805"/>
      <c r="FA234" s="1805"/>
      <c r="FB234" s="1805"/>
      <c r="FC234" s="1827"/>
      <c r="FE234" s="1698"/>
      <c r="FG234" s="1816"/>
      <c r="FH234" s="1816"/>
      <c r="FI234" s="133"/>
      <c r="FL234" s="1823"/>
      <c r="FM234" s="1825"/>
      <c r="FN234" s="1698"/>
      <c r="FO234" s="1698"/>
      <c r="FP234" s="1678"/>
      <c r="FQ234" s="1678"/>
      <c r="FS234" s="1687"/>
      <c r="FT234" s="1687"/>
      <c r="FU234" s="1685"/>
      <c r="FV234" s="1687"/>
      <c r="FW234" s="1687"/>
      <c r="FX234" s="1687"/>
      <c r="FY234" s="1697"/>
      <c r="GA234" s="1696"/>
      <c r="GB234" s="1696"/>
      <c r="GC234" s="1696"/>
      <c r="GD234" s="1696"/>
      <c r="GE234" s="1696"/>
      <c r="GF234" s="1696"/>
      <c r="GG234" s="1696"/>
      <c r="GH234" s="1696"/>
      <c r="GI234" s="673"/>
      <c r="GJ234" s="1135"/>
      <c r="GK234" s="1832"/>
      <c r="GM234" s="1693" t="b">
        <f ca="1">IF(AND(GP234=TRUE,GQ234=TRUE),TRUE,FALSE)</f>
        <v>0</v>
      </c>
      <c r="GN234" s="1684" t="b">
        <f>IFERROR(IF(__Retrofit_TI_NC=2,TRUE,IF(AU233="Yes",TRUE,FALSE)),FALSE)</f>
        <v>1</v>
      </c>
      <c r="GP234" s="1684" t="b">
        <f>IFERROR(IF(GP233=1,TRUE,FALSE),FALSE)</f>
        <v>0</v>
      </c>
      <c r="GQ234" s="1684" t="b">
        <f ca="1">IFERROR(IF(GQ233=GQ$14,TRUE,FALSE),FALSE)</f>
        <v>0</v>
      </c>
      <c r="HG234" s="1684" t="b">
        <f>IFERROR(IF(AND(__Retrofit_TI_NC&gt;0,CQ233="Interior"),FALSE,TRUE),FALSE)</f>
        <v>1</v>
      </c>
      <c r="HH234" s="1684" t="b">
        <f>IFERROR(IF(M234=1,TRUE,FALSE),FALSE)</f>
        <v>0</v>
      </c>
      <c r="HI234" s="1684" t="b">
        <f>IFERROR(IF(OR(M235=1,N236="BAM"),TRUE,FALSE),FALSE)</f>
        <v>0</v>
      </c>
      <c r="HJ234" s="1684" t="b">
        <f>IFERROR(IF(__Retrofit_TI_NC&lt;&gt;0,TRUE,IFERROR(IF(VLOOKUP(U234,Fixtures_Existing_List,2,FALSE)&lt;&gt;"",TRUE,FALSE),FALSE)),FALSE)</f>
        <v>0</v>
      </c>
      <c r="HK234" s="1684" t="b">
        <f>IFERROR(IF(VLOOKUP(U235,Fixtures_Proposed_List,2,FALSE)&lt;&gt;"",TRUE,FALSE),FALSE)</f>
        <v>0</v>
      </c>
      <c r="HL234" s="1684" t="b">
        <f>IF(AND(__Retrofit_TI_NC=2,FC233=TRUE),FALSE,TRUE)</f>
        <v>1</v>
      </c>
      <c r="HM234" s="1684" t="b">
        <f>GK233</f>
        <v>1</v>
      </c>
      <c r="HN234" s="1682" t="b">
        <f>IF(ISERROR(MATCH(FE233,_Control_Match[],0))=TRUE,FALSE,TRUE)</f>
        <v>0</v>
      </c>
      <c r="HO234" s="1693" t="b">
        <f>IFERROR(IF(EX233&lt;&gt;EY233,FALSE,TRUE),FALSE)</f>
        <v>1</v>
      </c>
      <c r="HP234" s="1693" t="b">
        <f>IFERROR(IF(EX235&lt;&gt;EY235,FALSE,TRUE),FALSE)</f>
        <v>1</v>
      </c>
      <c r="HQ234" s="1670" t="b">
        <f>IFERROR(IF(CQ233="Exterior",TRUE,IF(AND(OR(FM235=0,FM235=3),JD235&gt;6),FALSE,TRUE)),FALSE)</f>
        <v>0</v>
      </c>
      <c r="HR234" s="1684" t="b">
        <f>IFERROR(IF(AND(FO235=7,FC233=TRUE),FALSE,TRUE),FALSE)</f>
        <v>0</v>
      </c>
      <c r="HS234" s="1684" t="b">
        <f>IFERROR(IF(AND(T235&lt;&gt;AF235,OR(AG235="Interior LLLC", AG235="Interior NLC", AG235="LLLC (outside Daylight)",AG235="LLLC Controls Only"))=TRUE,FALSE,TRUE),FALSE)</f>
        <v>1</v>
      </c>
      <c r="HT234" s="1670" t="b">
        <f>IFERROR(IF(OR(AG235=Lookup!BB$17,AG235=Lookup!BB$18,AG235=Lookup!BB$19)=TRUE,IF(AF235&gt;T235,FALSE,TRUE),TRUE),FALSE)</f>
        <v>1</v>
      </c>
      <c r="HU234" s="1684" t="b">
        <f>IFERROR(IF(__Retrofit_TI_NC=2,IF(EZ235&lt;EZ233,FALSE,TRUE),TRUE),FALSE)</f>
        <v>1</v>
      </c>
      <c r="HV234" s="1684" t="b">
        <f>IF(CQ233="Interior",IL$6,TRUE)</f>
        <v>1</v>
      </c>
      <c r="HW234" s="1684" t="b">
        <f>IF(CQ233="Exterior",IL$8,TRUE)</f>
        <v>1</v>
      </c>
      <c r="HX234" s="1684" t="b">
        <f>IFERROR(IF(__Retrofit_TI_NC&lt;&gt;0,IF(AZ233&lt;AY233,FALSE,TRUE),TRUE),FALSE)</f>
        <v>1</v>
      </c>
      <c r="HY234" s="1684" t="b">
        <f>IFERROR(IF(AND(G234="Exterior",R234&gt;4200),FALSE,TRUE),FALSE)</f>
        <v>1</v>
      </c>
      <c r="HZ234" s="1684" t="b">
        <f>IFERROR(IF(AB236/AB233&lt;HZ$18,FALSE,TRUE),FALSE)</f>
        <v>0</v>
      </c>
      <c r="IB234" s="1691"/>
      <c r="IC234" s="1695"/>
      <c r="ID234" s="1694" t="str">
        <f>VLOOKUP(IB236,_Error_Table,4,FALSE)</f>
        <v>White</v>
      </c>
      <c r="IE234" s="391"/>
      <c r="IF234" s="1688"/>
      <c r="IG234" s="1689"/>
      <c r="IH234" s="1684"/>
      <c r="IK234" s="1689"/>
      <c r="IL234" s="1691"/>
      <c r="IM234" s="1691"/>
      <c r="IN234" s="1691"/>
      <c r="IP234" s="1679"/>
      <c r="IQ234" s="1679"/>
      <c r="IR234" s="1679"/>
      <c r="IS234" s="1679"/>
      <c r="IT234" s="1679"/>
      <c r="IU234" s="1679"/>
      <c r="IV234" s="1679"/>
      <c r="IW234" s="1679"/>
      <c r="IX234" s="1679"/>
      <c r="IY234" s="1679"/>
      <c r="IZ234" s="1679"/>
      <c r="JA234" s="1679"/>
      <c r="JC234" s="1680"/>
      <c r="JD234" s="1670"/>
      <c r="JE234" s="1681"/>
      <c r="JG234" s="1680"/>
      <c r="JH234" s="1670"/>
      <c r="JI234" s="1060"/>
      <c r="JJ234" s="1683"/>
      <c r="JK234" s="1061"/>
      <c r="JL234" s="1683"/>
      <c r="JM234" s="1061"/>
      <c r="JN234" s="1683"/>
      <c r="JO234" s="1061"/>
      <c r="JP234" s="1683"/>
      <c r="JQ234" s="1061"/>
      <c r="JR234" s="1683"/>
      <c r="JS234" s="1061"/>
      <c r="JT234" s="1670"/>
      <c r="JU234" s="1061"/>
      <c r="JV234" s="1670"/>
      <c r="JX234" s="1670"/>
      <c r="JZ234" s="1683"/>
      <c r="KB234" s="1670"/>
    </row>
    <row r="235" spans="1:288" s="78" customFormat="1" ht="14.95" customHeight="1" thickTop="1" thickBot="1">
      <c r="A235" s="78">
        <f>ROW()</f>
        <v>235</v>
      </c>
      <c r="B235" s="1845"/>
      <c r="C235" s="1846"/>
      <c r="D235" s="1847"/>
      <c r="E235" s="1737" t="s">
        <v>298</v>
      </c>
      <c r="F235" s="1738"/>
      <c r="G235" s="1760"/>
      <c r="H235" s="1761"/>
      <c r="I235" s="1761"/>
      <c r="J235" s="1761"/>
      <c r="K235" s="1761"/>
      <c r="L235" s="1762"/>
      <c r="M235" s="461">
        <f>IFERROR(IF(IF(__Retrofit_TI_NC&lt;&gt;0,IF(CQ233="Interior",MATCH(G235,Lookup_Interior_New,0),MATCH(G235,Lookup_Exterior_New,0)),IF(CQ233="Interior",MATCH(G235,Lookup_Interior,0),MATCH(G235,Lookup_Exterior_Areas,0)))&gt;0,1,0),0)</f>
        <v>0</v>
      </c>
      <c r="N235" s="461" t="e">
        <f>IF(__Retrofit_TI_NC=1,
VLOOKUP(G235,'Space Table'!$B$3:$L$163,4,FALSE),
IF(__Retrofit_TI_NC=2,VLOOKUP(G235,'Space Table'!$B$3:$L$163,5,FALSE),VLOOKUP(G235,'Space Table'!$B$3:$L$163,5,FALSE)))</f>
        <v>#N/A</v>
      </c>
      <c r="O235" s="461">
        <f>G235</f>
        <v>0</v>
      </c>
      <c r="P235" s="1738" t="str">
        <f>IFERROR(IF(__Retrofit_TI_NC=1,VLOOKUP(G235,'Space Table'!$B$3:$O$163,13,FALSE),IF(__Retrofit_TI_NC=2,VLOOKUP(G235,'Space Table'!$B$3:$O$163,14,FALSE),"Area (sf):")),"Area (sf):")</f>
        <v>Area (sf):</v>
      </c>
      <c r="Q235" s="1738"/>
      <c r="R235" s="596"/>
      <c r="S235" s="1763" t="s">
        <v>345</v>
      </c>
      <c r="T235" s="594"/>
      <c r="U235" s="1801"/>
      <c r="V235" s="1802"/>
      <c r="W235" s="1802"/>
      <c r="X235" s="1802"/>
      <c r="Y235" s="1802"/>
      <c r="Z235" s="1802"/>
      <c r="AA235" s="1802"/>
      <c r="AB235" s="1802"/>
      <c r="AC235" s="1802"/>
      <c r="AD235" s="1802"/>
      <c r="AE235" s="1803"/>
      <c r="AF235" s="594"/>
      <c r="AG235" s="1787"/>
      <c r="AH235" s="1787"/>
      <c r="AI235" s="1787"/>
      <c r="AJ235" s="1787"/>
      <c r="AK235" s="1787"/>
      <c r="AL235" s="1787"/>
      <c r="AM235" s="1726">
        <f>IFERROR(DI235,"")</f>
        <v>0</v>
      </c>
      <c r="AN235" s="1728" t="str">
        <f>IFERROR(ROUND(AM235*AC236,0),"")</f>
        <v/>
      </c>
      <c r="AO235" s="1730">
        <f>IFERROR(IF(IB233=FALSE,0,AC236-AN235),0)</f>
        <v>0</v>
      </c>
      <c r="AP235" s="1780"/>
      <c r="AQ235" s="1781"/>
      <c r="AR235" s="1795"/>
      <c r="AS235" s="1795"/>
      <c r="AT235" s="1796"/>
      <c r="AU235" s="1735"/>
      <c r="AV235" s="1752"/>
      <c r="AW235" s="1705"/>
      <c r="AX235" s="467"/>
      <c r="AY235" s="1749"/>
      <c r="AZ235" s="1749"/>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696"/>
      <c r="CQ235" s="1696"/>
      <c r="CR235" s="1808" t="str">
        <f>CQ233</f>
        <v/>
      </c>
      <c r="CS235" s="1810" t="str">
        <f>CS233</f>
        <v/>
      </c>
      <c r="CU235" s="1688" t="s">
        <v>345</v>
      </c>
      <c r="CV235" s="1702">
        <f>IF(IB233=TRUE,T235,0)</f>
        <v>0</v>
      </c>
      <c r="CW235" s="1702" t="str">
        <f>IF(IB233=TRUE,U235,"")</f>
        <v/>
      </c>
      <c r="CX235" s="1812">
        <f>IF(IB233=TRUE,U236,0)</f>
        <v>0</v>
      </c>
      <c r="CY235" s="1814">
        <f>IF(IB233=TRUE,AB236,0)</f>
        <v>0</v>
      </c>
      <c r="CZ235" s="1710">
        <f>IF(AND(__Retrofit_TI_NC&gt;0,CR233="interior"),0,IF(IB233=TRUE,AC236,0))</f>
        <v>0</v>
      </c>
      <c r="DA235" s="1818"/>
      <c r="DB235" s="1820"/>
      <c r="DC235" s="1820"/>
      <c r="DD235" s="1820"/>
      <c r="DF235" s="1702">
        <f>IF(IB233=TRUE,AF235,0)</f>
        <v>0</v>
      </c>
      <c r="DG235" s="1830" t="str">
        <f>IF(IB233=TRUE,AG235,"")</f>
        <v/>
      </c>
      <c r="DH235" s="1812">
        <f>AG236</f>
        <v>0</v>
      </c>
      <c r="DI235" s="1837">
        <f>JE235</f>
        <v>0</v>
      </c>
      <c r="DJ235" s="1710">
        <f>IF(AND(__Retrofit_TI_NC&gt;0,CR233="interior"),0,IF(IB233=TRUE,AN235,0))</f>
        <v>0</v>
      </c>
      <c r="DK235" s="1712"/>
      <c r="DN235" s="1717">
        <f>IFERROR(CZ235-DJ235,0)</f>
        <v>0</v>
      </c>
      <c r="DO235" s="1709"/>
      <c r="DQ235" s="1715"/>
      <c r="DR235" s="1719" t="str">
        <f>DQ233</f>
        <v/>
      </c>
      <c r="DS235" s="1816"/>
      <c r="DT235" s="1835" t="str">
        <f>IF(OR(DS233=7,DS233=8,DS233=9),"ALC","")</f>
        <v/>
      </c>
      <c r="DU235" s="1715"/>
      <c r="DV235" s="1716"/>
      <c r="DX235" s="1715"/>
      <c r="DY235" s="1829" t="str">
        <f>DX233</f>
        <v/>
      </c>
      <c r="DZ235" s="1715"/>
      <c r="EA235" s="1715"/>
      <c r="EC235" s="1834"/>
      <c r="ED235" s="1834"/>
      <c r="EF235" s="1707"/>
      <c r="EG235" s="1712"/>
      <c r="EH235" s="1818"/>
      <c r="EI235" s="1712"/>
      <c r="EJ235" s="1712"/>
      <c r="EK235" s="1836"/>
      <c r="EL235" s="1836"/>
      <c r="EM235" s="1807"/>
      <c r="EN235" s="1839"/>
      <c r="EO235" s="1839"/>
      <c r="EP235" s="1817"/>
      <c r="EQ235" s="1817"/>
      <c r="ER235" s="1807"/>
      <c r="ES235" s="1807"/>
      <c r="ET235" s="1807"/>
      <c r="EV235" s="1715"/>
      <c r="EX235" s="1805" t="str">
        <f>IFERROR(VLOOKUP(CS235,'Space Table'!$B$3:$L$163,8,FALSE),"")</f>
        <v/>
      </c>
      <c r="EY235" s="1805" t="str">
        <f>IFERROR(IF(FB235="Yes",VLOOKUP(AG235,Lookup_Control_Type_Table2,4,FALSE),VLOOKUP(AG235,Lookup_Control_Type_Table2,3,FALSE)),"")</f>
        <v/>
      </c>
      <c r="EZ235" s="1805" t="e">
        <f>VLOOKUP(AG235,Lookup!BB$3:BC$20,2,FALSE)</f>
        <v>#N/A</v>
      </c>
      <c r="FA235" s="1805" t="e">
        <f>VLOOKUP(EX233,Lookup_Control_Type_Table,2,FALSE)</f>
        <v>#N/A</v>
      </c>
      <c r="FB235" s="1805" t="e">
        <f>VLOOKUP(CS235,'Space Table'!$B$3:$L$163,7,FALSE)</f>
        <v>#N/A</v>
      </c>
      <c r="FC235" s="1827"/>
      <c r="FE235" s="1698" t="str">
        <f>CONCATENATE(CQ233," - ",AG235)</f>
        <v xml:space="preserve"> - </v>
      </c>
      <c r="FG235" s="1816"/>
      <c r="FH235" s="1816"/>
      <c r="FI235" s="133"/>
      <c r="FL235" s="1822" t="str">
        <f>IF(CQ233="Exterior","Not Daylighted",G236)</f>
        <v>Not Daylighted</v>
      </c>
      <c r="FM235" s="1824">
        <f>VLOOKUP(FL235,_New_Daylight_Table_Codes,2,FALSE)</f>
        <v>0</v>
      </c>
      <c r="FN235" s="1698">
        <f>AG235</f>
        <v>0</v>
      </c>
      <c r="FO235" s="1698" t="e">
        <f>VLOOKUP(FN235,_Control_Table,2,FALSE)</f>
        <v>#N/A</v>
      </c>
      <c r="FP235" s="1678" t="e">
        <f>VLOOKUP(CONCATENATE(FL235," ",FN235),Lookup!AY$102:AZ246,2,FALSE)</f>
        <v>#N/A</v>
      </c>
      <c r="FQ235" s="1698">
        <f>IF(__Retrofit_TI_NC=0,FN235,IF(AND(FT235&gt;0,FN235="Occupancy Sensor"),"Daylight + Occupancy",IF(AND(FT235&gt;0,FO235&lt;4),"Interior Daylight Dimming",FN235)))</f>
        <v>0</v>
      </c>
      <c r="FS235" s="1686">
        <f>IF(CQ233="Interior",VLOOKUP(CS233,Control_Savings_Interior,5,FALSE),0)</f>
        <v>0</v>
      </c>
      <c r="FT235" s="1687">
        <f>IF(CQ235="Exterior",0,IF(FM235=2,0.5,IF(OR(FM235=1,FM235=3),1,0)))</f>
        <v>0</v>
      </c>
      <c r="FU235" s="1685">
        <f>IF(R234&gt;FS$44,(FS235*(FS$44/R234)),FS235)*FT235</f>
        <v>0</v>
      </c>
      <c r="FV235" s="1686">
        <f>DI235</f>
        <v>0</v>
      </c>
      <c r="FW235" s="1686">
        <f>ROUND(FV235+((1-FV235)*FU235),2)</f>
        <v>0</v>
      </c>
      <c r="FX235" s="1686">
        <f>IF(__Retrofit_TI_NC=2,FW235,FV235)</f>
        <v>0</v>
      </c>
      <c r="FY235" s="1697">
        <f>IF(CR235="Interior",VLOOKUP(CS235,Control_Savings_Interior,4,FALSE),0)</f>
        <v>0</v>
      </c>
      <c r="GA235" s="1696"/>
      <c r="GB235" s="1696"/>
      <c r="GC235" s="1696"/>
      <c r="GD235" s="1696"/>
      <c r="GE235" s="1696"/>
      <c r="GF235" s="1696"/>
      <c r="GG235" s="1696"/>
      <c r="GH235" s="1696"/>
      <c r="GI235" s="673" t="b">
        <f>IF(ISNUMBER(SEARCH("TLED",U235)),TRUE,FALSE)</f>
        <v>0</v>
      </c>
      <c r="GJ235" s="1135" t="str">
        <f>IFERROR(VLOOKUP(U235,Fixtures!DM$93:DR$142,6,FALSE),"")</f>
        <v/>
      </c>
      <c r="GK235" s="1832"/>
      <c r="GM235" s="1692"/>
      <c r="GN235" s="1684"/>
      <c r="GP235" s="1684"/>
      <c r="GQ235" s="1684"/>
      <c r="HG235" s="1684"/>
      <c r="HH235" s="1684"/>
      <c r="HI235" s="1684"/>
      <c r="HJ235" s="1684"/>
      <c r="HK235" s="1684"/>
      <c r="HL235" s="1684"/>
      <c r="HM235" s="1684"/>
      <c r="HN235" s="1683"/>
      <c r="HO235" s="1692"/>
      <c r="HP235" s="1692"/>
      <c r="HQ235" s="1670"/>
      <c r="HR235" s="1684"/>
      <c r="HS235" s="1684"/>
      <c r="HT235" s="1670"/>
      <c r="HU235" s="1684"/>
      <c r="HV235" s="1684"/>
      <c r="HW235" s="1684"/>
      <c r="HX235" s="1684"/>
      <c r="HY235" s="1684"/>
      <c r="HZ235" s="1684"/>
      <c r="IB235" s="1692"/>
      <c r="IC235" s="1693" t="b">
        <f>IB233</f>
        <v>0</v>
      </c>
      <c r="ID235" s="1695"/>
      <c r="IE235" s="391"/>
      <c r="IF235" s="1688"/>
      <c r="IG235" s="1689">
        <f ca="1">IF(IF233=TRUE,AC236,0)</f>
        <v>0</v>
      </c>
      <c r="IH235" s="1684"/>
      <c r="IK235" s="1689" t="e">
        <f>ROUND(T235*AB236*N234*R234/1000,0)</f>
        <v>#VALUE!</v>
      </c>
      <c r="IL235" s="1691"/>
      <c r="IM235" s="1693" t="e">
        <f>ROUND(T235*AB236*N234*R234/1000,0)</f>
        <v>#VALUE!</v>
      </c>
      <c r="IN235" s="1691"/>
      <c r="IP235" s="1679"/>
      <c r="IQ235" s="1679" t="e">
        <f t="shared" ref="IQ235:IU235" si="197">IF($CR235="interior",VLOOKUP($CS235,_New_Control_Savings_Interior,IQ$30,FALSE),VLOOKUP($CS235,Control_Savings_Exterior,IQ$30,FALSE))</f>
        <v>#N/A</v>
      </c>
      <c r="IR235" s="1679" t="e">
        <f t="shared" si="197"/>
        <v>#N/A</v>
      </c>
      <c r="IS235" s="1679" t="e">
        <f t="shared" si="197"/>
        <v>#N/A</v>
      </c>
      <c r="IT235" s="1679" t="e">
        <f t="shared" si="197"/>
        <v>#N/A</v>
      </c>
      <c r="IU235" s="1679" t="e">
        <f t="shared" si="197"/>
        <v>#N/A</v>
      </c>
      <c r="IV235" s="1679" t="e">
        <f>IF($CR235="interior",IF(R234&gt;$IP$14,ROUND(($IV$18*($IP$14/R234)),2),$IV$18),VLOOKUP($CS235,Control_Savings_Exterior,IV$30,FALSE))</f>
        <v>#N/A</v>
      </c>
      <c r="IW235" s="1679" t="e">
        <f>IF($CR235="interior",ROUND(((1-IS235)*IV235)+IS235,2),VLOOKUP($CS235,Control_Savings_Exterior,IW$30,FALSE))</f>
        <v>#N/A</v>
      </c>
      <c r="IX235" s="1679" t="e">
        <f>IF($CR235="interior",ROUND(((1-IT235)*IV235)+IT235,2),VLOOKUP($CS235,Control_Savings_Exterior,IX$30,FALSE))</f>
        <v>#N/A</v>
      </c>
      <c r="IY235" s="1679" t="e">
        <f>IF($CR235="interior",IF(R234&gt;$IP$14,ROUND(($IY$18*($IP$14/R234)),2),$IY$18),VLOOKUP($CS235,Control_Savings_Exterior,IY$30,FALSE))</f>
        <v>#N/A</v>
      </c>
      <c r="IZ235" s="1679" t="e">
        <f>IF($CR235="interior",ROUND(((1-IS235)*IY235)+IS235,2),VLOOKUP($CS235,Control_Savings_Exterior,IZ$30,FALSE))</f>
        <v>#N/A</v>
      </c>
      <c r="JA235" s="1679" t="e">
        <f>IF($CR235="interior",ROUND(((1-IT235)*IY235)+IT235,2),VLOOKUP($CS235,Control_Savings_Exterior,JA$30,FALSE))</f>
        <v>#N/A</v>
      </c>
      <c r="JC235" s="1680">
        <f>IFERROR(IF(CR235="Interior",CONCATENATE(G236," ",FQ235),AG235),"")</f>
        <v>0</v>
      </c>
      <c r="JD235" s="1670" t="str">
        <f>IFERROR(VLOOKUP(JC235,_Controls_2023,2,FALSE),"")</f>
        <v/>
      </c>
      <c r="JE235" s="1681">
        <f>IFERROR(CHOOSE(JD235-1,IQ235,IR235,IS235,IT235,IU235,IV235,IW235,IX235,IY235,IZ235,JA235),0)</f>
        <v>0</v>
      </c>
      <c r="JG235" s="1680" t="str">
        <f>FE235</f>
        <v xml:space="preserve"> - </v>
      </c>
      <c r="JH235" s="1670" t="e">
        <f>$FO235</f>
        <v>#N/A</v>
      </c>
      <c r="JI235" s="1060"/>
      <c r="JJ235" s="1670">
        <f>IFERROR(IF($IB233=TRUE,IF(OR(JJ$14="No",JJ233=FALSE,JH235&lt;=JH233,AND(_kWh_Grant=0,GD233=FALSE)),0,IF(JJ$8="Per Line",1,$AF235)),0),0)</f>
        <v>0</v>
      </c>
      <c r="JK235" s="1061"/>
      <c r="JL235" s="1670">
        <f>IFERROR(IF(_kWh_Grant=0,0,IF($IB233=TRUE,IF(OR(JL$14="No",JL233=FALSE,JH235&lt;=JH233),0,IF(JL$8="Per Line",1,$T235)),0)),0)</f>
        <v>0</v>
      </c>
      <c r="JM235" s="1061"/>
      <c r="JN235" s="1670">
        <f>IFERROR(IF(_kWh_Grant=0,0,IF($IB233=TRUE,IF(OR(JN$14="No",JN233=FALSE,JH235&lt;=JH233),0,IF(JN$8="Per Line",1,$AF235)),0)),0)</f>
        <v>0</v>
      </c>
      <c r="JO235" s="1061"/>
      <c r="JP235" s="1670">
        <f>IFERROR(IF(__Retrofit_TI_NC=0,IF(_kWh_Grant=0,0,IF($IB233=TRUE,IF(OR(JP$14="No",JP233=FALSE,$JH235&lt;=$JH233),0,IF(JP$8="Per Line",1,$AF235)),0)),IF($IB233=TRUE,IF(OR(JP$14="No",JP233=FALSE,$JH235&lt;=$JH233),0,IF(JP$8="Per Line",1,$AF235)))),0)</f>
        <v>0</v>
      </c>
      <c r="JQ235" s="1061"/>
      <c r="JR235" s="1670">
        <f>IFERROR(IF(__Retrofit_TI_NC=0,IF(_kWh_Grant=0,0,IF($IB233=TRUE,IF(OR(JR$14="No",JR233=FALSE,$JH235&lt;=$JH233),0,IF(JR$8="Per Line",1,$AF235)),0)),IF($IB233=TRUE,IF(OR(JR$14="No",JR233=FALSE,$JH235&lt;=$JH233),0,IF(JR$8="Per Line",1,$AF235)))),0)</f>
        <v>0</v>
      </c>
      <c r="JS235" s="1061"/>
      <c r="JT235" s="1670">
        <f>IFERROR(IF(__Retrofit_TI_NC=0,IF(_kWh_Grant=0,0,IF($IB233=TRUE,IF(OR(JT$14="No",JT233=FALSE,$JH235&lt;=$JH233),0,IF(JT$8="Per Line",1,$AF235)),0)),IF($IB233=TRUE,IF(OR(JT$14="No",JT233=FALSE,$JH235&lt;=$JH233),0,IF(JT$8="Per Line",1,$AF235)))),0)</f>
        <v>0</v>
      </c>
      <c r="JU235" s="1061"/>
      <c r="JV235" s="1670">
        <f>IFERROR(IF(__Retrofit_TI_NC=0,IF(_kWh_Grant=0,0,IF($IB233=TRUE,IF(OR(JV$14="No",JV233=FALSE,$JH235&lt;=$JH233),0,IF(JV$8="Per Line",1,$AF235)),0)),IF($IB233=TRUE,IF(OR(JV$14="No",JV233=FALSE,$JH235&lt;=$JH233),0,IF(JV$8="Per Line",1,$AF235)))),0)</f>
        <v>0</v>
      </c>
      <c r="JX235" s="1670">
        <f>IFERROR(IF(__Retrofit_TI_NC=0,IF(_kWh_Grant=0,0,IF($IB233=TRUE,IF(OR(JX$14="No",JX233=FALSE,$JH235&lt;=$JH233),0,IF(JX$8="Per Line",1,$AF235)),0)),IF($IB233=TRUE,IF(OR(JX$14="No",JX233=FALSE,$JH235&lt;=$JH233),0,IF(JX$8="Per Line",1,$AF235)))),0)</f>
        <v>0</v>
      </c>
      <c r="JZ235" s="1670">
        <f>IFERROR(IF($IB233=TRUE,IF(OR(JZ$14="No",JZ233=FALSE,$JH235&lt;=$JH233,AND(_kWh_Grant=0,$GD233=FALSE)),0,IF(JZ$8="Per Line",1,$AF235)),0),0)</f>
        <v>0</v>
      </c>
      <c r="KB235" s="1670">
        <f>IFERROR(IF(__Retrofit_TI_NC=0,IF(_kWh_Grant=0,0,IF($IB233=TRUE,IF(OR(KB$14="No",KB233=FALSE,$JH235&lt;=$JH233),0,IF(KB$8="Per Line",1,$AF235)),0)),IF($IB233=TRUE,IF(OR(KB$14="No",KB233=FALSE,$JH235&lt;=$JH233),0,IF(KB$8="Per Line",1,$AF235)))),0)</f>
        <v>0</v>
      </c>
    </row>
    <row r="236" spans="1:288" s="78" customFormat="1" ht="14.95" customHeight="1" thickTop="1" thickBot="1">
      <c r="B236" s="1845"/>
      <c r="C236" s="1846"/>
      <c r="D236" s="1847"/>
      <c r="E236" s="1771" t="s">
        <v>436</v>
      </c>
      <c r="F236" s="1772"/>
      <c r="G236" s="1784" t="s">
        <v>437</v>
      </c>
      <c r="H236" s="1785"/>
      <c r="I236" s="1785"/>
      <c r="J236" s="1785"/>
      <c r="K236" s="1785"/>
      <c r="L236" s="1786"/>
      <c r="M236" s="591">
        <f>IFERROR(VLOOKUP(G236,_Daylight_Table[],2,FALSE),0)</f>
        <v>0</v>
      </c>
      <c r="N236" s="592" t="str">
        <f>IF(AND(__Retrofit_TI_NC&gt;0,CQ233="Interior"),"BAM","")</f>
        <v/>
      </c>
      <c r="O236" s="591" t="e">
        <f>VLOOKUP(G235,'Space Table'!$B$3:$L$163,11,FALSE)</f>
        <v>#N/A</v>
      </c>
      <c r="P236" s="1789"/>
      <c r="Q236" s="1790"/>
      <c r="R236" s="1790"/>
      <c r="S236" s="1788"/>
      <c r="T236" s="593" t="s">
        <v>342</v>
      </c>
      <c r="U236" s="1756" t="str" cm="1">
        <f t="array" aca="1" ref="U236" ca="1">IFERROR(VLOOKUP(INDIRECT("U" &amp; ROW()-1),Fixtures!DM$93:DP$142,4,FALSE),"")</f>
        <v/>
      </c>
      <c r="V236" s="1757"/>
      <c r="W236" s="1757"/>
      <c r="X236" s="1757"/>
      <c r="Y236" s="1757"/>
      <c r="Z236" s="1757"/>
      <c r="AA236" s="1758"/>
      <c r="AB236" s="939" t="str">
        <f>IFERROR(VLOOKUP(U235,Fixtures_Proposed_List,2,FALSE),"")</f>
        <v/>
      </c>
      <c r="AC236" s="933" t="str">
        <f>IFERROR(ROUND(T235*AB236*N234*R234/1000,0),"")</f>
        <v/>
      </c>
      <c r="AD236" s="934" t="str">
        <f>IFERROR(ROUND(T235*AB236/1000,2),"")</f>
        <v/>
      </c>
      <c r="AE236" s="998"/>
      <c r="AF236" s="938" t="s">
        <v>342</v>
      </c>
      <c r="AG236" s="1770"/>
      <c r="AH236" s="1770"/>
      <c r="AI236" s="1770"/>
      <c r="AJ236" s="1770"/>
      <c r="AK236" s="1770"/>
      <c r="AL236" s="1770"/>
      <c r="AM236" s="1727"/>
      <c r="AN236" s="1729"/>
      <c r="AO236" s="1731"/>
      <c r="AP236" s="1782"/>
      <c r="AQ236" s="1783"/>
      <c r="AR236" s="1797"/>
      <c r="AS236" s="1797"/>
      <c r="AT236" s="1798"/>
      <c r="AU236" s="1736"/>
      <c r="AV236" s="1753"/>
      <c r="AW236" s="1706"/>
      <c r="AX236" s="468"/>
      <c r="AY236" s="1750"/>
      <c r="AZ236" s="1750"/>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696"/>
      <c r="CQ236" s="1696"/>
      <c r="CR236" s="1809"/>
      <c r="CS236" s="1811"/>
      <c r="CU236" s="1688"/>
      <c r="CV236" s="1703"/>
      <c r="CW236" s="1703"/>
      <c r="CX236" s="1813"/>
      <c r="CY236" s="1815"/>
      <c r="CZ236" s="1711"/>
      <c r="DA236" s="1815"/>
      <c r="DB236" s="1821"/>
      <c r="DC236" s="1821"/>
      <c r="DD236" s="1821"/>
      <c r="DF236" s="1703"/>
      <c r="DG236" s="1831"/>
      <c r="DH236" s="1813"/>
      <c r="DI236" s="1838"/>
      <c r="DJ236" s="1711"/>
      <c r="DK236" s="1712"/>
      <c r="DN236" s="1718"/>
      <c r="DO236" s="1709"/>
      <c r="DQ236" s="1715"/>
      <c r="DR236" s="1720"/>
      <c r="DS236" s="1703"/>
      <c r="DT236" s="1714"/>
      <c r="DU236" s="1715"/>
      <c r="DV236" s="1716"/>
      <c r="DX236" s="1715"/>
      <c r="DY236" s="1720"/>
      <c r="DZ236" s="1715"/>
      <c r="EA236" s="1715"/>
      <c r="EC236" s="1834"/>
      <c r="ED236" s="1834"/>
      <c r="EF236" s="1707"/>
      <c r="EG236" s="1712"/>
      <c r="EH236" s="1815"/>
      <c r="EI236" s="1712"/>
      <c r="EJ236" s="1712"/>
      <c r="EK236" s="1813"/>
      <c r="EL236" s="1813"/>
      <c r="EM236" s="1807"/>
      <c r="EN236" s="1839"/>
      <c r="EO236" s="1839"/>
      <c r="EP236" s="1817"/>
      <c r="EQ236" s="1817"/>
      <c r="ER236" s="1807"/>
      <c r="ES236" s="1807"/>
      <c r="ET236" s="1807"/>
      <c r="EV236" s="1715"/>
      <c r="EX236" s="1806"/>
      <c r="EY236" s="1806"/>
      <c r="EZ236" s="1806"/>
      <c r="FA236" s="1806"/>
      <c r="FB236" s="1806"/>
      <c r="FC236" s="1828"/>
      <c r="FE236" s="1698"/>
      <c r="FG236" s="1703"/>
      <c r="FH236" s="1703"/>
      <c r="FI236" s="133"/>
      <c r="FL236" s="1823"/>
      <c r="FM236" s="1825"/>
      <c r="FN236" s="1698"/>
      <c r="FO236" s="1698"/>
      <c r="FP236" s="1678"/>
      <c r="FQ236" s="1698"/>
      <c r="FS236" s="1687"/>
      <c r="FT236" s="1687"/>
      <c r="FU236" s="1685"/>
      <c r="FV236" s="1687"/>
      <c r="FW236" s="1687"/>
      <c r="FX236" s="1687"/>
      <c r="FY236" s="1697"/>
      <c r="GA236" s="1696"/>
      <c r="GB236" s="1696"/>
      <c r="GC236" s="1696"/>
      <c r="GD236" s="1696"/>
      <c r="GE236" s="1696"/>
      <c r="GF236" s="1696"/>
      <c r="GG236" s="1696"/>
      <c r="GH236" s="1696"/>
      <c r="GI236" s="673"/>
      <c r="GJ236" s="1135"/>
      <c r="GK236" s="1832"/>
      <c r="GN236" s="674">
        <f>IF(GN234=TRUE,0,GN$16)</f>
        <v>0</v>
      </c>
      <c r="GP236" s="674">
        <f>IF(GP234=TRUE,0,GP$16)</f>
        <v>36</v>
      </c>
      <c r="GQ236" s="674">
        <f ca="1">IF(GQ234=TRUE,0,GQ$16)</f>
        <v>35</v>
      </c>
      <c r="GR236" s="391"/>
      <c r="GS236" s="391"/>
      <c r="GT236" s="391"/>
      <c r="GU236" s="391"/>
      <c r="GV236" s="391"/>
      <c r="HG236" s="674">
        <f>IF(HG234=TRUE,0,HG$16)</f>
        <v>0</v>
      </c>
      <c r="HH236" s="674">
        <f t="shared" ref="HH236:HM236" si="198">IF(HH234=TRUE,0,HH$16)</f>
        <v>19</v>
      </c>
      <c r="HI236" s="674">
        <f t="shared" si="198"/>
        <v>18</v>
      </c>
      <c r="HJ236" s="674">
        <f t="shared" si="198"/>
        <v>17</v>
      </c>
      <c r="HK236" s="674">
        <f t="shared" si="198"/>
        <v>16</v>
      </c>
      <c r="HL236" s="674">
        <f t="shared" si="198"/>
        <v>0</v>
      </c>
      <c r="HM236" s="674">
        <f t="shared" si="198"/>
        <v>0</v>
      </c>
      <c r="HN236" s="674">
        <f>IF(HN234=TRUE,0,HN$16)</f>
        <v>13</v>
      </c>
      <c r="HO236" s="674">
        <f t="shared" ref="HO236:HQ236" si="199">IF(HO234=TRUE,0,HO$16)</f>
        <v>0</v>
      </c>
      <c r="HP236" s="674">
        <f t="shared" si="199"/>
        <v>0</v>
      </c>
      <c r="HQ236" s="674">
        <f t="shared" si="199"/>
        <v>10</v>
      </c>
      <c r="HR236" s="674">
        <f>IF(HR234=TRUE,0,HR$16)</f>
        <v>9</v>
      </c>
      <c r="HS236" s="674">
        <f t="shared" ref="HS236:HW236" si="200">IF(HS234=TRUE,0,HS$16)</f>
        <v>0</v>
      </c>
      <c r="HT236" s="674">
        <f t="shared" si="200"/>
        <v>0</v>
      </c>
      <c r="HU236" s="674">
        <f t="shared" si="200"/>
        <v>0</v>
      </c>
      <c r="HV236" s="674">
        <f t="shared" si="200"/>
        <v>0</v>
      </c>
      <c r="HW236" s="674">
        <f t="shared" si="200"/>
        <v>0</v>
      </c>
      <c r="HX236" s="674">
        <f>IF(HX234=TRUE,0,HX$16)</f>
        <v>0</v>
      </c>
      <c r="HY236" s="674">
        <f>IF(HY234=TRUE,0,HY$16)</f>
        <v>0</v>
      </c>
      <c r="HZ236" s="674">
        <f>IF(HZ234=TRUE,0,HZ$16)</f>
        <v>1</v>
      </c>
      <c r="IB236" s="674">
        <f>IF(GP234=FALSE,GP236,IF(GQ234=FALSE,GQ236,MAX(GN236:HZ236)))</f>
        <v>36</v>
      </c>
      <c r="IC236" s="1692"/>
      <c r="ID236" s="205" t="str">
        <f>VLOOKUP(IB236,_Error_Table,3,FALSE)</f>
        <v xml:space="preserve"> </v>
      </c>
      <c r="IE236" s="205"/>
      <c r="IF236" s="1688"/>
      <c r="IG236" s="1689"/>
      <c r="IH236" s="1684"/>
      <c r="IK236" s="1689"/>
      <c r="IL236" s="1692"/>
      <c r="IM236" s="1692"/>
      <c r="IN236" s="1692"/>
      <c r="IP236" s="1679"/>
      <c r="IQ236" s="1679"/>
      <c r="IR236" s="1679"/>
      <c r="IS236" s="1679"/>
      <c r="IT236" s="1679"/>
      <c r="IU236" s="1679"/>
      <c r="IV236" s="1679"/>
      <c r="IW236" s="1679"/>
      <c r="IX236" s="1679"/>
      <c r="IY236" s="1679"/>
      <c r="IZ236" s="1679"/>
      <c r="JA236" s="1679"/>
      <c r="JC236" s="1680"/>
      <c r="JD236" s="1670"/>
      <c r="JE236" s="1681"/>
      <c r="JG236" s="1680"/>
      <c r="JH236" s="1670"/>
      <c r="JI236" s="1060"/>
      <c r="JJ236" s="1670"/>
      <c r="JK236" s="1061"/>
      <c r="JL236" s="1670"/>
      <c r="JM236" s="1061"/>
      <c r="JN236" s="1670"/>
      <c r="JO236" s="1061"/>
      <c r="JP236" s="1670"/>
      <c r="JQ236" s="1061"/>
      <c r="JR236" s="1670"/>
      <c r="JS236" s="1061"/>
      <c r="JT236" s="1670"/>
      <c r="JU236" s="1061"/>
      <c r="JV236" s="1670"/>
      <c r="JX236" s="1670"/>
      <c r="JZ236" s="1670"/>
      <c r="KB236" s="1670"/>
    </row>
    <row r="237" spans="1:288" s="78" customFormat="1" ht="5.0999999999999996" customHeight="1">
      <c r="B237" s="676"/>
      <c r="C237" s="392"/>
      <c r="D237" s="392"/>
      <c r="E237" s="1733"/>
      <c r="F237" s="1733"/>
      <c r="G237" s="1733"/>
      <c r="H237" s="1733"/>
      <c r="I237" s="1733"/>
      <c r="J237" s="1733"/>
      <c r="K237" s="1733"/>
      <c r="L237" s="1733"/>
      <c r="M237" s="1733"/>
      <c r="N237" s="1733"/>
      <c r="O237" s="1733"/>
      <c r="P237" s="1733"/>
      <c r="Q237" s="1733"/>
      <c r="R237" s="1733"/>
      <c r="S237" s="1733"/>
      <c r="T237" s="1733"/>
      <c r="U237" s="1733"/>
      <c r="V237" s="1733"/>
      <c r="W237" s="1733"/>
      <c r="X237" s="1733"/>
      <c r="Y237" s="1733"/>
      <c r="Z237" s="1733"/>
      <c r="AA237" s="1733"/>
      <c r="AB237" s="1733"/>
      <c r="AC237" s="1733"/>
      <c r="AD237" s="1733"/>
      <c r="AE237" s="1733"/>
      <c r="AF237" s="1733"/>
      <c r="AG237" s="1733"/>
      <c r="AH237" s="1733"/>
      <c r="AI237" s="1733"/>
      <c r="AJ237" s="1733"/>
      <c r="AK237" s="1733"/>
      <c r="AL237" s="1733"/>
      <c r="AM237" s="1733"/>
      <c r="AN237" s="1733"/>
      <c r="AO237" s="1733"/>
      <c r="AP237" s="1733"/>
      <c r="AQ237" s="1733"/>
      <c r="AR237" s="1733"/>
      <c r="AS237" s="1733"/>
      <c r="AT237" s="1733"/>
      <c r="AU237" s="1733"/>
      <c r="AV237" s="1733"/>
      <c r="AW237" s="1733"/>
      <c r="AX237" s="469"/>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663"/>
      <c r="CQ237" s="663"/>
      <c r="CR237" s="438"/>
      <c r="CS237" s="663"/>
      <c r="CV237" s="391"/>
      <c r="CW237" s="391"/>
      <c r="CX237" s="207"/>
      <c r="CY237" s="208"/>
      <c r="CZ237" s="208"/>
      <c r="DA237" s="208"/>
      <c r="DB237" s="209"/>
      <c r="DC237" s="209"/>
      <c r="DD237" s="209"/>
      <c r="DF237" s="664"/>
      <c r="DG237" s="665"/>
      <c r="DH237" s="666"/>
      <c r="DI237" s="667"/>
      <c r="DJ237" s="668"/>
      <c r="DK237" s="668"/>
      <c r="DN237" s="208"/>
      <c r="DO237" s="664"/>
      <c r="DQ237" s="664"/>
      <c r="DR237" s="669"/>
      <c r="DS237" s="391"/>
      <c r="DT237" s="664"/>
      <c r="DU237" s="664"/>
      <c r="DV237" s="664"/>
      <c r="DX237" s="664"/>
      <c r="DY237" s="664"/>
      <c r="DZ237" s="664"/>
      <c r="EA237" s="664"/>
      <c r="EC237" s="670"/>
      <c r="ED237" s="670"/>
      <c r="EF237" s="668"/>
      <c r="EG237" s="668"/>
      <c r="EH237" s="208"/>
      <c r="EI237" s="668"/>
      <c r="EJ237" s="668"/>
      <c r="EK237" s="207"/>
      <c r="EL237" s="207"/>
      <c r="EM237" s="666"/>
      <c r="EN237" s="671"/>
      <c r="EO237" s="671"/>
      <c r="EP237" s="672"/>
      <c r="EQ237" s="672"/>
      <c r="ER237" s="666"/>
      <c r="ES237" s="666"/>
      <c r="ET237" s="666"/>
      <c r="EV237" s="664"/>
      <c r="EX237" s="391"/>
      <c r="EY237" s="391"/>
      <c r="EZ237" s="391"/>
      <c r="FA237" s="391"/>
      <c r="FB237" s="391"/>
      <c r="FC237" s="391"/>
      <c r="FE237" s="569"/>
      <c r="FG237" s="391"/>
      <c r="FH237" s="391"/>
      <c r="FI237" s="391"/>
      <c r="FS237" s="664"/>
      <c r="FT237" s="391"/>
      <c r="FU237" s="391"/>
      <c r="FV237" s="664"/>
      <c r="FW237" s="664"/>
      <c r="GA237" s="663"/>
      <c r="GB237" s="663"/>
      <c r="GC237" s="663"/>
      <c r="GD237" s="663"/>
      <c r="GE237" s="663"/>
      <c r="GF237" s="663"/>
      <c r="GG237" s="663"/>
      <c r="GH237" s="663"/>
      <c r="GI237" s="665"/>
      <c r="GJ237" s="664"/>
      <c r="GK237" s="664"/>
    </row>
    <row r="238" spans="1:288" s="78" customFormat="1" ht="14.95" customHeight="1">
      <c r="B238" s="1845" t="str">
        <f>ID241</f>
        <v xml:space="preserve"> </v>
      </c>
      <c r="C238" s="1846">
        <f>C233+1</f>
        <v>38</v>
      </c>
      <c r="D238" s="1847"/>
      <c r="E238" s="1799" t="s">
        <v>295</v>
      </c>
      <c r="F238" s="1800"/>
      <c r="G238" s="1741"/>
      <c r="H238" s="1742"/>
      <c r="I238" s="1742"/>
      <c r="J238" s="1742"/>
      <c r="K238" s="1742"/>
      <c r="L238" s="1742"/>
      <c r="M238" s="1742"/>
      <c r="N238" s="1742"/>
      <c r="O238" s="1742"/>
      <c r="P238" s="1742"/>
      <c r="Q238" s="1742"/>
      <c r="R238" s="1742"/>
      <c r="S238" s="1791" t="s">
        <v>344</v>
      </c>
      <c r="T238" s="590"/>
      <c r="U238" s="1743"/>
      <c r="V238" s="1744"/>
      <c r="W238" s="1744"/>
      <c r="X238" s="1744"/>
      <c r="Y238" s="1744"/>
      <c r="Z238" s="1744"/>
      <c r="AA238" s="1744"/>
      <c r="AB238" s="961" t="str">
        <f>IFERROR(IF(__Retrofit_TI_NC=0,VLOOKUP(U239,Fixtures_Existing_List,2,FALSE),ROUND(N240*R240/T240,10)),"")</f>
        <v/>
      </c>
      <c r="AC238" s="935" t="str">
        <f>IFERROR(IF(__Retrofit_TI_NC=0,ROUND(T239*AB238*N239*R239/1000,0),IF(CQ238="Interior",N240*R240*R239*N239*_C406_reduction/1000,N240*R240*R239*N239/1000)),"")</f>
        <v/>
      </c>
      <c r="AD238" s="936" t="str">
        <f>IFERROR(IF(C$43=0,ROUND(T239*AB238/1000,2),N240*R240/1000),"")</f>
        <v/>
      </c>
      <c r="AE238" s="997"/>
      <c r="AF238" s="937"/>
      <c r="AG238" s="1745" t="str">
        <f>IF(__Retrofit_TI_NC=0," Control","Select Advanced Control for New System")</f>
        <v xml:space="preserve"> Control</v>
      </c>
      <c r="AH238" s="1745"/>
      <c r="AI238" s="1745"/>
      <c r="AJ238" s="1745"/>
      <c r="AK238" s="1745"/>
      <c r="AL238" s="1745"/>
      <c r="AM238" s="1746">
        <f>IFERROR(DI238,"")</f>
        <v>0</v>
      </c>
      <c r="AN238" s="1774" t="str">
        <f>IFERROR(ROUND(AM238*AC238,0),"")</f>
        <v/>
      </c>
      <c r="AO238" s="1776">
        <f>IFERROR(IF(IB238=FALSE,0,AC238-AN238),0)</f>
        <v>0</v>
      </c>
      <c r="AP238" s="1778">
        <f>AO238-AO240</f>
        <v>0</v>
      </c>
      <c r="AQ238" s="1779"/>
      <c r="AR238" s="1793">
        <f>IFERROR(IF(IB238=FALSE,0,(T240*U241)+(AF240*AG241)),0)</f>
        <v>0</v>
      </c>
      <c r="AS238" s="1793"/>
      <c r="AT238" s="1794"/>
      <c r="AU238" s="1734" t="s">
        <v>237</v>
      </c>
      <c r="AV238" s="1751">
        <f>IF(AU238="Yes",1,0)</f>
        <v>1</v>
      </c>
      <c r="AW238" s="1704" t="str">
        <f>IF(OR(DQ238=4,DQ238=5,DQ238=6,DQ238=12),CONCATENATE("$",IF(GH238=TRUE,Lookup!$K$10,Lookup!$K$2)," /lamp"),CONCATENATE(TEXT(ED238,"$0.00"),"/ kWh"))</f>
        <v>$0.00/ kWh</v>
      </c>
      <c r="AX238" s="467"/>
      <c r="AY238" s="1748">
        <f ca="1">IFERROR(IF(GM239=TRUE,(AB241*T240)/R240,0),"NA")</f>
        <v>0</v>
      </c>
      <c r="AZ238" s="1748"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696" t="str">
        <f>N239</f>
        <v/>
      </c>
      <c r="CQ238" s="1696" t="str">
        <f>IFERROR(VLOOKUP(G239,_Lookup_Heat_Type_Table_New,3,FALSE),"")</f>
        <v/>
      </c>
      <c r="CR238" s="1808" t="str">
        <f>CQ238</f>
        <v/>
      </c>
      <c r="CS238" s="1810" t="str">
        <f>IFERROR(VLOOKUP(G240,'Space Table'!$B$3:$L$163,9,FALSE),"")</f>
        <v/>
      </c>
      <c r="CU238" s="1688" t="s">
        <v>344</v>
      </c>
      <c r="CV238" s="1702">
        <f>IF(IB238=TRUE,T239,0)</f>
        <v>0</v>
      </c>
      <c r="CW238" s="1702" t="str">
        <f>IF(IB238=TRUE,U239,"")</f>
        <v/>
      </c>
      <c r="CX238" s="1702"/>
      <c r="CY238" s="1814">
        <f>IF(IB238=TRUE,AB238,0)</f>
        <v>0</v>
      </c>
      <c r="CZ238" s="1710">
        <f>IF(AND(__Retrofit_TI_NC&gt;0,CR238="interior"),0,IF(IB238=TRUE,AC238,0))</f>
        <v>0</v>
      </c>
      <c r="DA238" s="1814">
        <f>IFERROR(IF(IB238=TRUE,CZ238-CZ240,0),0)</f>
        <v>0</v>
      </c>
      <c r="DB238" s="1819">
        <f>IF(IB238=TRUE,AD238,0)</f>
        <v>0</v>
      </c>
      <c r="DC238" s="1819">
        <f>IF(IB238=TRUE,AD241,0)</f>
        <v>0</v>
      </c>
      <c r="DD238" s="1819">
        <f>IFERROR(DB238-DC238,0)</f>
        <v>0</v>
      </c>
      <c r="DF238" s="1702">
        <f>IF(IB238=TRUE,AF239,0)</f>
        <v>0</v>
      </c>
      <c r="DG238" s="1830">
        <f>IFERROR(IF(__Retrofit_TI_NC=2,IF(CQ238="Exterior",O241,FQ238),FN238),"")</f>
        <v>0</v>
      </c>
      <c r="DH238" s="1702"/>
      <c r="DI238" s="1837">
        <f>JE238</f>
        <v>0</v>
      </c>
      <c r="DJ238" s="1710">
        <f>IF(AND(__Retrofit_TI_NC&gt;0,CR238="interior"),0,IF(IB238=TRUE,AN238,0))</f>
        <v>0</v>
      </c>
      <c r="DK238" s="1712">
        <f>IFERROR(IF(IB238=TRUE,DJ240-DJ238,0),0)</f>
        <v>0</v>
      </c>
      <c r="DM238" s="1717">
        <f>IFERROR(CZ238-DJ238,0)</f>
        <v>0</v>
      </c>
      <c r="DO238" s="1708">
        <f>DM238-DN240</f>
        <v>0</v>
      </c>
      <c r="DQ238" s="1715" t="str">
        <f>IFERROR(IF(AND(OR(GC238=4,GC238=5,GC238=6),OR(GF238=4,GF238=5,GF238=6)),GC238+8,VLOOKUP(CW240,Fixtures!R$31:Y$78,8,FALSE)),"")</f>
        <v/>
      </c>
      <c r="DR238" s="1829" t="str">
        <f>DQ238</f>
        <v/>
      </c>
      <c r="DS238" s="1702" t="str">
        <f>IFERROR(VLOOKUP(DG240,Lookup!BB$3:BC$20,2,FALSE),"")</f>
        <v/>
      </c>
      <c r="DT238" s="1713" t="str">
        <f>IF(OR(DS238=7,DS238=8,DS238=9),"ALC","")</f>
        <v/>
      </c>
      <c r="DU238" s="1715">
        <f>IFERROR(IF(OR(DQ238=4,DQ238=5,DQ238=6,DQ238=12,DQ238=13,DQ238=14),VLOOKUP(CW240,Fixtures!DN$27:EG$77,19,FALSE),1)*CV240,0)</f>
        <v>0</v>
      </c>
      <c r="DV238" s="1716">
        <f>IF(OR(DS238=7,DS238=8,DS238=9),IF(DG238=DG240,0,DF240),0)</f>
        <v>0</v>
      </c>
      <c r="DX238" s="1715" t="str">
        <f>IFERROR(IF(EZ238&lt;EZ240,"Yes","No"),"")</f>
        <v/>
      </c>
      <c r="DY238" s="1829" t="str">
        <f>DX238</f>
        <v/>
      </c>
      <c r="DZ238" s="1715">
        <f>IF(DX238="Yes",DF240,0)</f>
        <v>0</v>
      </c>
      <c r="EA238" s="1715">
        <f>DZ238-DV238</f>
        <v>0</v>
      </c>
      <c r="EC238" s="1834">
        <f>IFERROR(VLOOKUP(DQ238,Lookup!AU$3:AV$16,2,FALSE),0)</f>
        <v>0</v>
      </c>
      <c r="ED238" s="1834">
        <f>IF(IB238=FALSE,0,IF(DX238="Yes",EC238+Lookup!K$6,EC238))</f>
        <v>0</v>
      </c>
      <c r="EF238" s="1707">
        <f>IF(IB238=TRUE,DM238,0)</f>
        <v>0</v>
      </c>
      <c r="EG238" s="1712">
        <f>IF(IB238=TRUE,CZ240,0)</f>
        <v>0</v>
      </c>
      <c r="EH238" s="1814">
        <f>IFERROR(EF238-EG238,0)</f>
        <v>0</v>
      </c>
      <c r="EI238" s="1712">
        <f>IF(IB238=TRUE,DJ240,0)</f>
        <v>0</v>
      </c>
      <c r="EJ238" s="1712">
        <f>IFERROR(EF238-EG238+EI238,0)</f>
        <v>0</v>
      </c>
      <c r="EK238" s="1812">
        <f>IF(IB238=TRUE,CV240*CX240,0)</f>
        <v>0</v>
      </c>
      <c r="EL238" s="1812">
        <f>IF(IB238=TRUE,DF240*DH240,0)</f>
        <v>0</v>
      </c>
      <c r="EM238" s="1807">
        <f>AR238</f>
        <v>0</v>
      </c>
      <c r="EN238" s="1839" t="str">
        <f>IFERROR(IF(IB238=TRUE,VLOOKUP(DQ238,Lookup!AU$3:AW$16,3,FALSE)*DU238,""),0)</f>
        <v/>
      </c>
      <c r="EO238" s="1839">
        <f>IF(IB238=TRUE,DZ238*Lookup!AW$12,0)</f>
        <v>0</v>
      </c>
      <c r="EP238" s="1817">
        <f>IFERROR(IF(IB238=TRUE,EN238/EP$40,0),0)</f>
        <v>0</v>
      </c>
      <c r="EQ238" s="1817">
        <f>IF(IB238=TRUE,EO238/EQ$40,0)</f>
        <v>0</v>
      </c>
      <c r="ER238" s="1807">
        <f>IF(IB238=TRUE,ET$40*EP238,0)</f>
        <v>0</v>
      </c>
      <c r="ES238" s="1807">
        <f>IF(IB238=TRUE,ET$40*EQ238,0)</f>
        <v>0</v>
      </c>
      <c r="ET238" s="1807">
        <f>ER238+ES238</f>
        <v>0</v>
      </c>
      <c r="EV238" s="1715">
        <f>IF(G238="",0,1)</f>
        <v>0</v>
      </c>
      <c r="EX238" s="1804" t="str">
        <f>IFERROR(VLOOKUP(CS240,'Space Table'!$B$3:$L$163,8,FALSE),"")</f>
        <v/>
      </c>
      <c r="EY238" s="1804" t="str">
        <f>IFERROR(IF(FB238="Yes",VLOOKUP(DG238,Lookup_Control_Type_Table2,4,FALSE),VLOOKUP(DG238,Lookup_Control_Type_Table2,3,FALSE)),"")</f>
        <v/>
      </c>
      <c r="EZ238" s="1804" t="e">
        <f>VLOOKUP(DG238,Lookup!BB$3:BC$20,2,FALSE)</f>
        <v>#N/A</v>
      </c>
      <c r="FA238" s="1804" t="e">
        <f>VLOOKUP(EX238,Lookup_Control_Type_Table,2,FALSE)</f>
        <v>#N/A</v>
      </c>
      <c r="FB238" s="1804" t="e">
        <f>VLOOKUP(CS240,'Space Table'!$B$3:$L$163,7,FALSE)</f>
        <v>#N/A</v>
      </c>
      <c r="FC238" s="1826" t="b">
        <f>ISNUMBER(SEARCH("TLED",U240))</f>
        <v>0</v>
      </c>
      <c r="FE238" s="1698" t="str">
        <f>CONCATENATE(CQ238," - ",DG238)</f>
        <v xml:space="preserve"> - 0</v>
      </c>
      <c r="FG238" s="1702" t="str">
        <f>VLOOKUP(CW240,Fixtures!DN$27:EZ$77,38,FALSE)</f>
        <v/>
      </c>
      <c r="FH238" s="1702">
        <f>IFERROR(FG238*EH238,0)</f>
        <v>0</v>
      </c>
      <c r="FI238" s="133"/>
      <c r="FL238" s="1822" t="str">
        <f>IF(CQ238="Exterior","Not Daylighted",G241)</f>
        <v>Not Daylighted</v>
      </c>
      <c r="FM238" s="1824">
        <f>VLOOKUP(FL238,_New_Daylight_Table_Codes,2,FALSE)</f>
        <v>0</v>
      </c>
      <c r="FN238" s="1698">
        <f>IF(__Retrofit_TI_NC&gt;0,VLOOKUP(G240,'Space Table'!$B$3:$L$163,11,FALSE),AG239)</f>
        <v>0</v>
      </c>
      <c r="FO238" s="1698" t="e">
        <f>IF(__Retrofit_TI_NC=2,VLOOKUP(FQ238,_Control_Table,2,FALSE),VLOOKUP(FN238,_Control_Table,2,FALSE))</f>
        <v>#N/A</v>
      </c>
      <c r="FP238" s="1678" t="e">
        <f>VLOOKUP(CONCATENATE(FL238," ",FN238),Lookup!AY$102:AZ248,2,FALSE)</f>
        <v>#N/A</v>
      </c>
      <c r="FQ238" s="1678">
        <f>IF(__Retrofit_TI_NC=0,FN238,IF(AND(FT238&gt;0,FN238="Occupancy Sensor"),"Daylight + Occupancy",IF(AND(FT238&gt;0,VLOOKUP(FN238,_Control_Table,2,FALSE)&lt;4),"Interior Daylight Dimming",FN238)))</f>
        <v>0</v>
      </c>
      <c r="FS238" s="1686">
        <f>IF(CR238="Interior",VLOOKUP(CS238,Control_Savings_Interior,5,FALSE),0)</f>
        <v>0</v>
      </c>
      <c r="FT238" s="1687">
        <f>IF(CQ238="Exterior",0,IF(FM238=2,0.5,IF(OR(FM238=1,FM238=3),1,0)))</f>
        <v>0</v>
      </c>
      <c r="FU238" s="1685">
        <f>IF(R237&gt;FS$44,(FS238*(FS$44/R237)),FS238)*FT238</f>
        <v>0</v>
      </c>
      <c r="FV238" s="1686">
        <f>DI238</f>
        <v>0</v>
      </c>
      <c r="FW238" s="1686">
        <f>ROUND(FV238+((1-FV238)*FU238),2)</f>
        <v>0</v>
      </c>
      <c r="FX238" s="1686">
        <f>IF(__Retrofit_TI_NC=2,FW238,FV238)</f>
        <v>0</v>
      </c>
      <c r="FY238" s="1697"/>
      <c r="GA238" s="1696" t="str">
        <f>IFERROR(VLOOKUP(U239,_Exist_Fixture_Table,3,FALSE),"")</f>
        <v/>
      </c>
      <c r="GB238" s="1696" t="str">
        <f>VLOOKUP(CW238,_Exist_Fixture_Table,4,FALSE)</f>
        <v/>
      </c>
      <c r="GC238" s="1696">
        <f>IFERROR(VLOOKUP(GB238,Lookup!AT$6:AU$8,2,FALSE),0)</f>
        <v>0</v>
      </c>
      <c r="GD238" s="1696" t="b">
        <f>IFERROR(IF(OR(GF238=4,GF238=5,GF238=6),TRUE,FALSE),"")</f>
        <v>0</v>
      </c>
      <c r="GE238" s="1696" t="str">
        <f>IFERROR(VLOOKUP(GF238,GC$6:GD$10,2,FALSE),"")</f>
        <v/>
      </c>
      <c r="GF238" s="1696" t="str">
        <f>VLOOKUP(CW240,Fixtures!R$31:Y$78,8,FALSE)</f>
        <v/>
      </c>
      <c r="GG238" s="1696">
        <f>IF(AND(GA238=TRUE,GD238=TRUE,OR(DQ238=12,DQ238=13,DQ238=14)),GC238+8,0)</f>
        <v>0</v>
      </c>
      <c r="GH238" s="1696" t="b">
        <f>IF(OR(GG238=12,GG238=13,GG238=14),TRUE,FALSE)</f>
        <v>0</v>
      </c>
      <c r="GI238" s="673" t="b">
        <f>IF(ISNUMBER(SEARCH("TLED",U239)),TRUE,FALSE)</f>
        <v>0</v>
      </c>
      <c r="GJ238" s="1135" t="str">
        <f>IFERROR(VLOOKUP(U239,Fixtures!BM$93:BR$142,6,FALSE),"")</f>
        <v/>
      </c>
      <c r="GK238" s="1832" t="b">
        <f>IF(OR(GI238=FALSE,GI240=FALSE),TRUE,IF(GJ238-GJ240&lt;5,FALSE,TRUE))</f>
        <v>1</v>
      </c>
      <c r="GO238" s="674">
        <f>GP238</f>
        <v>0</v>
      </c>
      <c r="GP238" s="674">
        <f>IF(G238="",0,1)</f>
        <v>0</v>
      </c>
      <c r="GQ238" s="674">
        <f ca="1">SUM(GR238:HF238)</f>
        <v>2</v>
      </c>
      <c r="GR238" s="674">
        <f>IF(G239="",0,1)</f>
        <v>0</v>
      </c>
      <c r="GS238" s="674">
        <f>IF(N241="BAM",1,IF(G240="",0,1))</f>
        <v>0</v>
      </c>
      <c r="GT238" s="674">
        <f>IF(N241="BAM",1,IF(R239="",0,1))</f>
        <v>0</v>
      </c>
      <c r="GU238" s="674">
        <f>IF(N241="BAM",1,IF(__Retrofit_TI_NC=0,1,IF(R240="",0,1)))</f>
        <v>1</v>
      </c>
      <c r="GV238" s="674">
        <f>IF(N241="BAM",1,IF(CQ238="Exterior",1,IF(G241="",0,1)))</f>
        <v>1</v>
      </c>
      <c r="GW238" s="674">
        <f>IF(__Retrofit_TI_NC&gt;0,1,IF(T239="",0,1))</f>
        <v>0</v>
      </c>
      <c r="GX238" s="674">
        <f>IF(__Retrofit_TI_NC&gt;0,1,IF(U239="",0,1))</f>
        <v>0</v>
      </c>
      <c r="GY238" s="674">
        <f>IF(N241="BAM",1,IF(T240="",0,1))</f>
        <v>0</v>
      </c>
      <c r="GZ238" s="674">
        <f>IF(N241="BAM",1,IF(U240="",0,1))</f>
        <v>0</v>
      </c>
      <c r="HA238" s="674">
        <f ca="1">IF(N241="BAM",1,IF(__Retrofit_TI_NC&gt;0,1,IF(U241="",0,1)))</f>
        <v>0</v>
      </c>
      <c r="HB238" s="674">
        <f>IF(__Retrofit_TI_NC&lt;&gt;0,1,IF(AF239="",0,1))</f>
        <v>0</v>
      </c>
      <c r="HC238" s="674">
        <f>IF(__Retrofit_TI_NC&lt;&gt;0,1,IF(AG239="",0,1))</f>
        <v>0</v>
      </c>
      <c r="HD238" s="674">
        <f>IF(N241="BAM",1,IF(AF240="",0,1))</f>
        <v>0</v>
      </c>
      <c r="HE238" s="674">
        <f>IF(N241="BAM",1,IF(AG240="",0,1))</f>
        <v>0</v>
      </c>
      <c r="HF238" s="674">
        <f>IF(N241="BAM",1,IF(__Retrofit_TI_NC&gt;0,1,IF(AG241="",0,1)))</f>
        <v>0</v>
      </c>
      <c r="HG238" s="391"/>
      <c r="IA238" s="391"/>
      <c r="IB238" s="1693" t="b">
        <f>IF(OR(IB241=0,IB241=HY$16,IB241=HX$16,IB241=HZ$16),TRUE,FALSE)</f>
        <v>0</v>
      </c>
      <c r="IC238" s="1694" t="b">
        <f>IB238</f>
        <v>0</v>
      </c>
      <c r="ID238" s="391"/>
      <c r="IE238" s="391"/>
      <c r="IF238" s="1688" t="b">
        <f ca="1">IF(MAX(GN241:HU241)&gt;5,FALSE,TRUE)</f>
        <v>0</v>
      </c>
      <c r="IG238" s="1689">
        <f ca="1">IF(IF238=TRUE,AC238,0)</f>
        <v>0</v>
      </c>
      <c r="IH238" s="1689">
        <f ca="1">IG238-IG240</f>
        <v>0</v>
      </c>
      <c r="IK238" s="1689" t="e">
        <f>ROUND(T239*VLOOKUP(U239,Fixtures_Existing_List,2,FALSE)*N239*R239/1000,0)</f>
        <v>#N/A</v>
      </c>
      <c r="IL238" s="1690" t="e">
        <f>IK238-IK240</f>
        <v>#N/A</v>
      </c>
      <c r="IM238" s="1693" t="e">
        <f>ROUND(IF(CQ238="Interior",N240*R240*R239*N239*_C406_reduction/1000,N240*R240*R239*N239/1000),0)</f>
        <v>#N/A</v>
      </c>
      <c r="IN238" s="1693" t="e">
        <f>IM238-IM240</f>
        <v>#N/A</v>
      </c>
      <c r="IP238" s="1679"/>
      <c r="IQ238" s="1679" t="e">
        <f t="shared" ref="IQ238:IU238" si="201">IF($CR238="interior",VLOOKUP($CS238,_New_Control_Savings_Interior,IQ$30,FALSE),VLOOKUP($CS238,Control_Savings_Exterior,IQ$30,FALSE))</f>
        <v>#N/A</v>
      </c>
      <c r="IR238" s="1679" t="e">
        <f t="shared" si="201"/>
        <v>#N/A</v>
      </c>
      <c r="IS238" s="1679" t="e">
        <f t="shared" si="201"/>
        <v>#N/A</v>
      </c>
      <c r="IT238" s="1679" t="e">
        <f t="shared" si="201"/>
        <v>#N/A</v>
      </c>
      <c r="IU238" s="1679" t="e">
        <f t="shared" si="201"/>
        <v>#N/A</v>
      </c>
      <c r="IV238" s="1679" t="e">
        <f>IF($CR238="interior",IF(R239&gt;$IP$14,ROUND(($IV$18*($IP$14/R239)),2),$IV$18),VLOOKUP($CS238,Control_Savings_Exterior,IV$30,FALSE))</f>
        <v>#N/A</v>
      </c>
      <c r="IW238" s="1679" t="e">
        <f>IF($CR238="interior",ROUND(((1-IS238)*IV238)+IS238,2),VLOOKUP($CS238,Control_Savings_Exterior,IW$30,FALSE))</f>
        <v>#N/A</v>
      </c>
      <c r="IX238" s="1679" t="e">
        <f>IF($CR238="interior",ROUND(((1-IT238)*IV238)+IT238,2),VLOOKUP($CS238,Control_Savings_Exterior,IX$30,FALSE))</f>
        <v>#N/A</v>
      </c>
      <c r="IY238" s="1679" t="e">
        <f>IF($CR238="interior",IF(R239&gt;$IP$14,ROUND(($IY$18*($IP$14/R239)),2),$IY$18),VLOOKUP($CS238,Control_Savings_Exterior,IY$30,FALSE))</f>
        <v>#N/A</v>
      </c>
      <c r="IZ238" s="1679" t="e">
        <f>IF($CR238="interior",ROUND(((1-IS238)*IY238)+IS238,2),VLOOKUP($CS238,Control_Savings_Exterior,IZ$30,FALSE))</f>
        <v>#N/A</v>
      </c>
      <c r="JA238" s="1679" t="e">
        <f>IF($CR238="interior",ROUND(((1-IT238)*IY238)+IT238,2),VLOOKUP($CS238,Control_Savings_Exterior,JA$30,FALSE))</f>
        <v>#N/A</v>
      </c>
      <c r="JC238" s="1680">
        <f>IFERROR(IF(CR238="Interior",CONCATENATE(G241," ",FQ238),FQ238),"")</f>
        <v>0</v>
      </c>
      <c r="JD238" s="1670" t="str">
        <f>IFERROR(VLOOKUP(JC238,_Controls_2023,2,FALSE),"")</f>
        <v/>
      </c>
      <c r="JE238" s="1681">
        <f>IFERROR(CHOOSE(JD238-1,IQ238,IR238,IS238,IT238,IU238,IV238,IW238,IX238,IY238,IZ238,JA238),0)</f>
        <v>0</v>
      </c>
      <c r="JG238" s="1680" t="str">
        <f>FE238</f>
        <v xml:space="preserve"> - 0</v>
      </c>
      <c r="JH238" s="1670" t="e">
        <f>$FO238</f>
        <v>#N/A</v>
      </c>
      <c r="JI238" s="1060"/>
      <c r="JJ238" s="1682" t="b">
        <f>IF($JG240=CONCATENATE("Interior - ",JJ$4),TRUE,FALSE)</f>
        <v>0</v>
      </c>
      <c r="JK238" s="1061"/>
      <c r="JL238" s="1682" t="b">
        <f>IF($JG240=CONCATENATE("Interior - ",JL$4),TRUE,FALSE)</f>
        <v>0</v>
      </c>
      <c r="JM238" s="1061"/>
      <c r="JN238" s="1682" t="b">
        <f>IF($JG240=CONCATENATE("Interior - ",JN$4),TRUE,FALSE)</f>
        <v>0</v>
      </c>
      <c r="JO238" s="1061"/>
      <c r="JP238" s="1682" t="b">
        <f>IF(__Retrofit_TI_NC&gt;0,FALSE,IF($JG240=CONCATENATE("Interior - ",JP$4),TRUE,FALSE))</f>
        <v>0</v>
      </c>
      <c r="JQ238" s="1061"/>
      <c r="JR238" s="1682" t="b">
        <f>IF(__Retrofit_TI_NC&gt;0,FALSE,IF($JG240=CONCATENATE("Interior - ",JR$4),TRUE,FALSE))</f>
        <v>0</v>
      </c>
      <c r="JS238" s="1061"/>
      <c r="JT238" s="1670" t="b">
        <f>IF(__Retrofit_TI_NC&gt;0,FALSE,IF($JG240=CONCATENATE("Interior - ",JT$4),TRUE,FALSE))</f>
        <v>0</v>
      </c>
      <c r="JU238" s="1061"/>
      <c r="JV238" s="1670" t="b">
        <f>IF(JC240="AELC on Existing",TRUE,FALSE)</f>
        <v>0</v>
      </c>
      <c r="JX238" s="1670" t="b">
        <f>IF(OR(JG240="Exterior - AELC Occupancy based",JG240="Exterior - AELC Time based"),TRUE,FALSE)</f>
        <v>0</v>
      </c>
      <c r="JZ238" s="1682" t="b">
        <f>IF($JG240=CONCATENATE("Exterior - ",JZ$4),TRUE,FALSE)</f>
        <v>0</v>
      </c>
      <c r="KB238" s="1670" t="b">
        <f>IF(__Retrofit_TI_NC&gt;0,FALSE,IF($JG240=CONCATENATE("Interior - ",KB$4),TRUE,FALSE))</f>
        <v>0</v>
      </c>
    </row>
    <row r="239" spans="1:288" s="78" customFormat="1" ht="14.95" customHeight="1" thickTop="1" thickBot="1">
      <c r="B239" s="1845"/>
      <c r="C239" s="1846"/>
      <c r="D239" s="1847"/>
      <c r="E239" s="1737" t="s">
        <v>297</v>
      </c>
      <c r="F239" s="1738"/>
      <c r="G239" s="1739"/>
      <c r="H239" s="1739"/>
      <c r="I239" s="1739"/>
      <c r="J239" s="1739"/>
      <c r="K239" s="1739"/>
      <c r="L239" s="1739"/>
      <c r="M239" s="461" t="e">
        <f>IF(__Retrofit_TI_NC&lt;&gt;0,IF(VLOOKUP(G240,'Space Table'!$B$3:$L$163,3,FALSE)&gt;0,1,0),IF(__Retrofit_TI_NC=VLOOKUP(G240,'Space Table'!$B$3:$L$163,3,FALSE),1,0))</f>
        <v>#N/A</v>
      </c>
      <c r="N239" s="461" t="str">
        <f>IFERROR(VLOOKUP(G239,_Lookup_Heat_Type_Table_New,2,FALSE),"")</f>
        <v/>
      </c>
      <c r="O239" s="461">
        <f>IF(__Retrofit_TI_NC=1,CONCATENATE("TI ",G239),IF(__Retrofit_TI_NC=2,CONCATENATE("NC ",G239),G239))</f>
        <v>0</v>
      </c>
      <c r="P239" s="1740" t="s">
        <v>435</v>
      </c>
      <c r="Q239" s="1740"/>
      <c r="R239" s="595"/>
      <c r="S239" s="1792"/>
      <c r="T239" s="597"/>
      <c r="U239" s="1765"/>
      <c r="V239" s="1766"/>
      <c r="W239" s="1766"/>
      <c r="X239" s="1766"/>
      <c r="Y239" s="1766"/>
      <c r="Z239" s="1766"/>
      <c r="AA239" s="1766"/>
      <c r="AB239" s="1766"/>
      <c r="AC239" s="1766"/>
      <c r="AD239" s="1767"/>
      <c r="AE239" s="1000"/>
      <c r="AF239" s="597"/>
      <c r="AG239" s="1723"/>
      <c r="AH239" s="1724"/>
      <c r="AI239" s="1724"/>
      <c r="AJ239" s="1724"/>
      <c r="AK239" s="1725"/>
      <c r="AL239" s="996"/>
      <c r="AM239" s="1747"/>
      <c r="AN239" s="1775"/>
      <c r="AO239" s="1777"/>
      <c r="AP239" s="1780"/>
      <c r="AQ239" s="1781"/>
      <c r="AR239" s="1795"/>
      <c r="AS239" s="1795"/>
      <c r="AT239" s="1796"/>
      <c r="AU239" s="1735"/>
      <c r="AV239" s="1752"/>
      <c r="AW239" s="1705"/>
      <c r="AX239" s="467"/>
      <c r="AY239" s="1749"/>
      <c r="AZ239" s="1749"/>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696"/>
      <c r="CQ239" s="1696"/>
      <c r="CR239" s="1809"/>
      <c r="CS239" s="1811"/>
      <c r="CU239" s="1688"/>
      <c r="CV239" s="1703"/>
      <c r="CW239" s="1703"/>
      <c r="CX239" s="1703"/>
      <c r="CY239" s="1815"/>
      <c r="CZ239" s="1711"/>
      <c r="DA239" s="1818"/>
      <c r="DB239" s="1820"/>
      <c r="DC239" s="1820"/>
      <c r="DD239" s="1820"/>
      <c r="DF239" s="1703"/>
      <c r="DG239" s="1831"/>
      <c r="DH239" s="1703"/>
      <c r="DI239" s="1838"/>
      <c r="DJ239" s="1711"/>
      <c r="DK239" s="1712"/>
      <c r="DM239" s="1718"/>
      <c r="DO239" s="1708"/>
      <c r="DQ239" s="1715"/>
      <c r="DR239" s="1720"/>
      <c r="DS239" s="1816"/>
      <c r="DT239" s="1714"/>
      <c r="DU239" s="1715"/>
      <c r="DV239" s="1716"/>
      <c r="DX239" s="1715"/>
      <c r="DY239" s="1720"/>
      <c r="DZ239" s="1715"/>
      <c r="EA239" s="1715"/>
      <c r="EC239" s="1834"/>
      <c r="ED239" s="1834"/>
      <c r="EF239" s="1707"/>
      <c r="EG239" s="1712"/>
      <c r="EH239" s="1818"/>
      <c r="EI239" s="1712"/>
      <c r="EJ239" s="1712"/>
      <c r="EK239" s="1836"/>
      <c r="EL239" s="1836"/>
      <c r="EM239" s="1807"/>
      <c r="EN239" s="1839"/>
      <c r="EO239" s="1839"/>
      <c r="EP239" s="1817"/>
      <c r="EQ239" s="1817"/>
      <c r="ER239" s="1807"/>
      <c r="ES239" s="1807"/>
      <c r="ET239" s="1807"/>
      <c r="EV239" s="1715"/>
      <c r="EX239" s="1805"/>
      <c r="EY239" s="1805"/>
      <c r="EZ239" s="1805"/>
      <c r="FA239" s="1805"/>
      <c r="FB239" s="1805"/>
      <c r="FC239" s="1827"/>
      <c r="FE239" s="1698"/>
      <c r="FG239" s="1816"/>
      <c r="FH239" s="1816"/>
      <c r="FI239" s="133"/>
      <c r="FL239" s="1823"/>
      <c r="FM239" s="1825"/>
      <c r="FN239" s="1698"/>
      <c r="FO239" s="1698"/>
      <c r="FP239" s="1678"/>
      <c r="FQ239" s="1678"/>
      <c r="FS239" s="1687"/>
      <c r="FT239" s="1687"/>
      <c r="FU239" s="1685"/>
      <c r="FV239" s="1687"/>
      <c r="FW239" s="1687"/>
      <c r="FX239" s="1687"/>
      <c r="FY239" s="1697"/>
      <c r="GA239" s="1696"/>
      <c r="GB239" s="1696"/>
      <c r="GC239" s="1696"/>
      <c r="GD239" s="1696"/>
      <c r="GE239" s="1696"/>
      <c r="GF239" s="1696"/>
      <c r="GG239" s="1696"/>
      <c r="GH239" s="1696"/>
      <c r="GI239" s="673"/>
      <c r="GJ239" s="1135"/>
      <c r="GK239" s="1832"/>
      <c r="GM239" s="1693" t="b">
        <f ca="1">IF(AND(GP239=TRUE,GQ239=TRUE),TRUE,FALSE)</f>
        <v>0</v>
      </c>
      <c r="GN239" s="1684" t="b">
        <f>IFERROR(IF(__Retrofit_TI_NC=2,TRUE,IF(AU238="Yes",TRUE,FALSE)),FALSE)</f>
        <v>1</v>
      </c>
      <c r="GP239" s="1684" t="b">
        <f>IFERROR(IF(GP238=1,TRUE,FALSE),FALSE)</f>
        <v>0</v>
      </c>
      <c r="GQ239" s="1684" t="b">
        <f ca="1">IFERROR(IF(GQ238=GQ$14,TRUE,FALSE),FALSE)</f>
        <v>0</v>
      </c>
      <c r="HG239" s="1684" t="b">
        <f>IFERROR(IF(AND(__Retrofit_TI_NC&gt;0,CQ238="Interior"),FALSE,TRUE),FALSE)</f>
        <v>1</v>
      </c>
      <c r="HH239" s="1684" t="b">
        <f>IFERROR(IF(M239=1,TRUE,FALSE),FALSE)</f>
        <v>0</v>
      </c>
      <c r="HI239" s="1684" t="b">
        <f>IFERROR(IF(OR(M240=1,N241="BAM"),TRUE,FALSE),FALSE)</f>
        <v>0</v>
      </c>
      <c r="HJ239" s="1684" t="b">
        <f>IFERROR(IF(__Retrofit_TI_NC&lt;&gt;0,TRUE,IFERROR(IF(VLOOKUP(U239,Fixtures_Existing_List,2,FALSE)&lt;&gt;"",TRUE,FALSE),FALSE)),FALSE)</f>
        <v>0</v>
      </c>
      <c r="HK239" s="1684" t="b">
        <f>IFERROR(IF(VLOOKUP(U240,Fixtures_Proposed_List,2,FALSE)&lt;&gt;"",TRUE,FALSE),FALSE)</f>
        <v>0</v>
      </c>
      <c r="HL239" s="1684" t="b">
        <f>IF(AND(__Retrofit_TI_NC=2,FC238=TRUE),FALSE,TRUE)</f>
        <v>1</v>
      </c>
      <c r="HM239" s="1684" t="b">
        <f>GK238</f>
        <v>1</v>
      </c>
      <c r="HN239" s="1682" t="b">
        <f>IF(ISERROR(MATCH(FE238,_Control_Match[],0))=TRUE,FALSE,TRUE)</f>
        <v>0</v>
      </c>
      <c r="HO239" s="1693" t="b">
        <f>IFERROR(IF(EX238&lt;&gt;EY238,FALSE,TRUE),FALSE)</f>
        <v>1</v>
      </c>
      <c r="HP239" s="1693" t="b">
        <f>IFERROR(IF(EX240&lt;&gt;EY240,FALSE,TRUE),FALSE)</f>
        <v>1</v>
      </c>
      <c r="HQ239" s="1670" t="b">
        <f>IFERROR(IF(CQ238="Exterior",TRUE,IF(AND(OR(FM240=0,FM240=3),JD240&gt;6),FALSE,TRUE)),FALSE)</f>
        <v>0</v>
      </c>
      <c r="HR239" s="1684" t="b">
        <f>IFERROR(IF(AND(FO240=7,FC238=TRUE),FALSE,TRUE),FALSE)</f>
        <v>0</v>
      </c>
      <c r="HS239" s="1684" t="b">
        <f>IFERROR(IF(AND(T240&lt;&gt;AF240,OR(AG240="Interior LLLC", AG240="Interior NLC", AG240="LLLC (outside Daylight)",AG240="LLLC Controls Only"))=TRUE,FALSE,TRUE),FALSE)</f>
        <v>1</v>
      </c>
      <c r="HT239" s="1670" t="b">
        <f>IFERROR(IF(OR(AG240=Lookup!BB$17,AG240=Lookup!BB$18,AG240=Lookup!BB$19)=TRUE,IF(AF240&gt;T240,FALSE,TRUE),TRUE),FALSE)</f>
        <v>1</v>
      </c>
      <c r="HU239" s="1684" t="b">
        <f>IFERROR(IF(__Retrofit_TI_NC=2,IF(EZ240&lt;EZ238,FALSE,TRUE),TRUE),FALSE)</f>
        <v>1</v>
      </c>
      <c r="HV239" s="1684" t="b">
        <f>IF(CQ238="Interior",IL$6,TRUE)</f>
        <v>1</v>
      </c>
      <c r="HW239" s="1684" t="b">
        <f>IF(CQ238="Exterior",IL$8,TRUE)</f>
        <v>1</v>
      </c>
      <c r="HX239" s="1684" t="b">
        <f>IFERROR(IF(__Retrofit_TI_NC&lt;&gt;0,IF(AZ238&lt;AY238,FALSE,TRUE),TRUE),FALSE)</f>
        <v>1</v>
      </c>
      <c r="HY239" s="1684" t="b">
        <f>IFERROR(IF(AND(G239="Exterior",R239&gt;4200),FALSE,TRUE),FALSE)</f>
        <v>1</v>
      </c>
      <c r="HZ239" s="1684" t="b">
        <f>IFERROR(IF(AB241/AB238&lt;HZ$18,FALSE,TRUE),FALSE)</f>
        <v>0</v>
      </c>
      <c r="IB239" s="1691"/>
      <c r="IC239" s="1695"/>
      <c r="ID239" s="1694" t="str">
        <f>VLOOKUP(IB241,_Error_Table,4,FALSE)</f>
        <v>White</v>
      </c>
      <c r="IE239" s="391"/>
      <c r="IF239" s="1688"/>
      <c r="IG239" s="1689"/>
      <c r="IH239" s="1684"/>
      <c r="IK239" s="1689"/>
      <c r="IL239" s="1691"/>
      <c r="IM239" s="1691"/>
      <c r="IN239" s="1691"/>
      <c r="IP239" s="1679"/>
      <c r="IQ239" s="1679"/>
      <c r="IR239" s="1679"/>
      <c r="IS239" s="1679"/>
      <c r="IT239" s="1679"/>
      <c r="IU239" s="1679"/>
      <c r="IV239" s="1679"/>
      <c r="IW239" s="1679"/>
      <c r="IX239" s="1679"/>
      <c r="IY239" s="1679"/>
      <c r="IZ239" s="1679"/>
      <c r="JA239" s="1679"/>
      <c r="JC239" s="1680"/>
      <c r="JD239" s="1670"/>
      <c r="JE239" s="1681"/>
      <c r="JG239" s="1680"/>
      <c r="JH239" s="1670"/>
      <c r="JI239" s="1060"/>
      <c r="JJ239" s="1683"/>
      <c r="JK239" s="1061"/>
      <c r="JL239" s="1683"/>
      <c r="JM239" s="1061"/>
      <c r="JN239" s="1683"/>
      <c r="JO239" s="1061"/>
      <c r="JP239" s="1683"/>
      <c r="JQ239" s="1061"/>
      <c r="JR239" s="1683"/>
      <c r="JS239" s="1061"/>
      <c r="JT239" s="1670"/>
      <c r="JU239" s="1061"/>
      <c r="JV239" s="1670"/>
      <c r="JX239" s="1670"/>
      <c r="JZ239" s="1683"/>
      <c r="KB239" s="1670"/>
    </row>
    <row r="240" spans="1:288" s="78" customFormat="1" ht="14.95" customHeight="1" thickTop="1" thickBot="1">
      <c r="A240" s="78">
        <f>ROW()</f>
        <v>240</v>
      </c>
      <c r="B240" s="1845"/>
      <c r="C240" s="1846"/>
      <c r="D240" s="1847"/>
      <c r="E240" s="1737" t="s">
        <v>298</v>
      </c>
      <c r="F240" s="1738"/>
      <c r="G240" s="1760"/>
      <c r="H240" s="1761"/>
      <c r="I240" s="1761"/>
      <c r="J240" s="1761"/>
      <c r="K240" s="1761"/>
      <c r="L240" s="1762"/>
      <c r="M240" s="461">
        <f>IFERROR(IF(IF(__Retrofit_TI_NC&lt;&gt;0,IF(CQ238="Interior",MATCH(G240,Lookup_Interior_New,0),MATCH(G240,Lookup_Exterior_New,0)),IF(CQ238="Interior",MATCH(G240,Lookup_Interior,0),MATCH(G240,Lookup_Exterior_Areas,0)))&gt;0,1,0),0)</f>
        <v>0</v>
      </c>
      <c r="N240" s="461" t="e">
        <f>IF(__Retrofit_TI_NC=1,
VLOOKUP(G240,'Space Table'!$B$3:$L$163,4,FALSE),
IF(__Retrofit_TI_NC=2,VLOOKUP(G240,'Space Table'!$B$3:$L$163,5,FALSE),VLOOKUP(G240,'Space Table'!$B$3:$L$163,5,FALSE)))</f>
        <v>#N/A</v>
      </c>
      <c r="O240" s="461">
        <f>G240</f>
        <v>0</v>
      </c>
      <c r="P240" s="1738" t="str">
        <f>IFERROR(IF(__Retrofit_TI_NC=1,VLOOKUP(G240,'Space Table'!$B$3:$O$163,13,FALSE),IF(__Retrofit_TI_NC=2,VLOOKUP(G240,'Space Table'!$B$3:$O$163,14,FALSE),"Area (sf):")),"Area (sf):")</f>
        <v>Area (sf):</v>
      </c>
      <c r="Q240" s="1738"/>
      <c r="R240" s="596"/>
      <c r="S240" s="1763" t="s">
        <v>345</v>
      </c>
      <c r="T240" s="594"/>
      <c r="U240" s="1801"/>
      <c r="V240" s="1802"/>
      <c r="W240" s="1802"/>
      <c r="X240" s="1802"/>
      <c r="Y240" s="1802"/>
      <c r="Z240" s="1802"/>
      <c r="AA240" s="1802"/>
      <c r="AB240" s="1802"/>
      <c r="AC240" s="1802"/>
      <c r="AD240" s="1802"/>
      <c r="AE240" s="1803"/>
      <c r="AF240" s="594"/>
      <c r="AG240" s="1787"/>
      <c r="AH240" s="1787"/>
      <c r="AI240" s="1787"/>
      <c r="AJ240" s="1787"/>
      <c r="AK240" s="1787"/>
      <c r="AL240" s="1787"/>
      <c r="AM240" s="1726">
        <f>IFERROR(DI240,"")</f>
        <v>0</v>
      </c>
      <c r="AN240" s="1728" t="str">
        <f>IFERROR(ROUND(AM240*AC241,0),"")</f>
        <v/>
      </c>
      <c r="AO240" s="1730">
        <f>IFERROR(IF(IB238=FALSE,0,AC241-AN240),0)</f>
        <v>0</v>
      </c>
      <c r="AP240" s="1780"/>
      <c r="AQ240" s="1781"/>
      <c r="AR240" s="1795"/>
      <c r="AS240" s="1795"/>
      <c r="AT240" s="1796"/>
      <c r="AU240" s="1735"/>
      <c r="AV240" s="1752"/>
      <c r="AW240" s="1705"/>
      <c r="AX240" s="467"/>
      <c r="AY240" s="1749"/>
      <c r="AZ240" s="1749"/>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696"/>
      <c r="CQ240" s="1696"/>
      <c r="CR240" s="1808" t="str">
        <f>CQ238</f>
        <v/>
      </c>
      <c r="CS240" s="1810" t="str">
        <f>CS238</f>
        <v/>
      </c>
      <c r="CU240" s="1688" t="s">
        <v>345</v>
      </c>
      <c r="CV240" s="1702">
        <f>IF(IB238=TRUE,T240,0)</f>
        <v>0</v>
      </c>
      <c r="CW240" s="1702" t="str">
        <f>IF(IB238=TRUE,U240,"")</f>
        <v/>
      </c>
      <c r="CX240" s="1812">
        <f>IF(IB238=TRUE,U241,0)</f>
        <v>0</v>
      </c>
      <c r="CY240" s="1814">
        <f>IF(IB238=TRUE,AB241,0)</f>
        <v>0</v>
      </c>
      <c r="CZ240" s="1710">
        <f>IF(AND(__Retrofit_TI_NC&gt;0,CR238="interior"),0,IF(IB238=TRUE,AC241,0))</f>
        <v>0</v>
      </c>
      <c r="DA240" s="1818"/>
      <c r="DB240" s="1820"/>
      <c r="DC240" s="1820"/>
      <c r="DD240" s="1820"/>
      <c r="DF240" s="1702">
        <f>IF(IB238=TRUE,AF240,0)</f>
        <v>0</v>
      </c>
      <c r="DG240" s="1830" t="str">
        <f>IF(IB238=TRUE,AG240,"")</f>
        <v/>
      </c>
      <c r="DH240" s="1812">
        <f>AG241</f>
        <v>0</v>
      </c>
      <c r="DI240" s="1837">
        <f>JE240</f>
        <v>0</v>
      </c>
      <c r="DJ240" s="1710">
        <f>IF(AND(__Retrofit_TI_NC&gt;0,CR238="interior"),0,IF(IB238=TRUE,AN240,0))</f>
        <v>0</v>
      </c>
      <c r="DK240" s="1712"/>
      <c r="DN240" s="1717">
        <f>IFERROR(CZ240-DJ240,0)</f>
        <v>0</v>
      </c>
      <c r="DO240" s="1709"/>
      <c r="DQ240" s="1715"/>
      <c r="DR240" s="1719" t="str">
        <f>DQ238</f>
        <v/>
      </c>
      <c r="DS240" s="1816"/>
      <c r="DT240" s="1835" t="str">
        <f>IF(OR(DS238=7,DS238=8,DS238=9),"ALC","")</f>
        <v/>
      </c>
      <c r="DU240" s="1715"/>
      <c r="DV240" s="1716"/>
      <c r="DX240" s="1715"/>
      <c r="DY240" s="1829" t="str">
        <f>DX238</f>
        <v/>
      </c>
      <c r="DZ240" s="1715"/>
      <c r="EA240" s="1715"/>
      <c r="EC240" s="1834"/>
      <c r="ED240" s="1834"/>
      <c r="EF240" s="1707"/>
      <c r="EG240" s="1712"/>
      <c r="EH240" s="1818"/>
      <c r="EI240" s="1712"/>
      <c r="EJ240" s="1712"/>
      <c r="EK240" s="1836"/>
      <c r="EL240" s="1836"/>
      <c r="EM240" s="1807"/>
      <c r="EN240" s="1839"/>
      <c r="EO240" s="1839"/>
      <c r="EP240" s="1817"/>
      <c r="EQ240" s="1817"/>
      <c r="ER240" s="1807"/>
      <c r="ES240" s="1807"/>
      <c r="ET240" s="1807"/>
      <c r="EV240" s="1715"/>
      <c r="EX240" s="1805" t="str">
        <f>IFERROR(VLOOKUP(CS240,'Space Table'!$B$3:$L$163,8,FALSE),"")</f>
        <v/>
      </c>
      <c r="EY240" s="1805" t="str">
        <f>IFERROR(IF(FB240="Yes",VLOOKUP(AG240,Lookup_Control_Type_Table2,4,FALSE),VLOOKUP(AG240,Lookup_Control_Type_Table2,3,FALSE)),"")</f>
        <v/>
      </c>
      <c r="EZ240" s="1805" t="e">
        <f>VLOOKUP(AG240,Lookup!BB$3:BC$20,2,FALSE)</f>
        <v>#N/A</v>
      </c>
      <c r="FA240" s="1805" t="e">
        <f>VLOOKUP(EX238,Lookup_Control_Type_Table,2,FALSE)</f>
        <v>#N/A</v>
      </c>
      <c r="FB240" s="1805" t="e">
        <f>VLOOKUP(CS240,'Space Table'!$B$3:$L$163,7,FALSE)</f>
        <v>#N/A</v>
      </c>
      <c r="FC240" s="1827"/>
      <c r="FE240" s="1698" t="str">
        <f>CONCATENATE(CQ238," - ",AG240)</f>
        <v xml:space="preserve"> - </v>
      </c>
      <c r="FG240" s="1816"/>
      <c r="FH240" s="1816"/>
      <c r="FI240" s="133"/>
      <c r="FL240" s="1822" t="str">
        <f>IF(CQ238="Exterior","Not Daylighted",G241)</f>
        <v>Not Daylighted</v>
      </c>
      <c r="FM240" s="1824">
        <f>VLOOKUP(FL240,_New_Daylight_Table_Codes,2,FALSE)</f>
        <v>0</v>
      </c>
      <c r="FN240" s="1698">
        <f>AG240</f>
        <v>0</v>
      </c>
      <c r="FO240" s="1698" t="e">
        <f>VLOOKUP(FN240,_Control_Table,2,FALSE)</f>
        <v>#N/A</v>
      </c>
      <c r="FP240" s="1678" t="e">
        <f>VLOOKUP(CONCATENATE(FL240," ",FN240),Lookup!AY$102:AZ251,2,FALSE)</f>
        <v>#N/A</v>
      </c>
      <c r="FQ240" s="1698">
        <f>IF(__Retrofit_TI_NC=0,FN240,IF(AND(FT240&gt;0,FN240="Occupancy Sensor"),"Daylight + Occupancy",IF(AND(FT240&gt;0,FO240&lt;4),"Interior Daylight Dimming",FN240)))</f>
        <v>0</v>
      </c>
      <c r="FS240" s="1686">
        <f>IF(CQ238="Interior",VLOOKUP(CS238,Control_Savings_Interior,5,FALSE),0)</f>
        <v>0</v>
      </c>
      <c r="FT240" s="1687">
        <f>IF(CQ240="Exterior",0,IF(FM240=2,0.5,IF(OR(FM240=1,FM240=3),1,0)))</f>
        <v>0</v>
      </c>
      <c r="FU240" s="1685">
        <f>IF(R239&gt;FS$44,(FS240*(FS$44/R239)),FS240)*FT240</f>
        <v>0</v>
      </c>
      <c r="FV240" s="1686">
        <f>DI240</f>
        <v>0</v>
      </c>
      <c r="FW240" s="1686">
        <f>ROUND(FV240+((1-FV240)*FU240),2)</f>
        <v>0</v>
      </c>
      <c r="FX240" s="1686">
        <f>IF(__Retrofit_TI_NC=2,FW240,FV240)</f>
        <v>0</v>
      </c>
      <c r="FY240" s="1697">
        <f>IF(CR240="Interior",VLOOKUP(CS240,Control_Savings_Interior,4,FALSE),0)</f>
        <v>0</v>
      </c>
      <c r="GA240" s="1696"/>
      <c r="GB240" s="1696"/>
      <c r="GC240" s="1696"/>
      <c r="GD240" s="1696"/>
      <c r="GE240" s="1696"/>
      <c r="GF240" s="1696"/>
      <c r="GG240" s="1696"/>
      <c r="GH240" s="1696"/>
      <c r="GI240" s="673" t="b">
        <f>IF(ISNUMBER(SEARCH("TLED",U240)),TRUE,FALSE)</f>
        <v>0</v>
      </c>
      <c r="GJ240" s="1135" t="str">
        <f>IFERROR(VLOOKUP(U240,Fixtures!DM$93:DR$142,6,FALSE),"")</f>
        <v/>
      </c>
      <c r="GK240" s="1832"/>
      <c r="GM240" s="1692"/>
      <c r="GN240" s="1684"/>
      <c r="GP240" s="1684"/>
      <c r="GQ240" s="1684"/>
      <c r="HG240" s="1684"/>
      <c r="HH240" s="1684"/>
      <c r="HI240" s="1684"/>
      <c r="HJ240" s="1684"/>
      <c r="HK240" s="1684"/>
      <c r="HL240" s="1684"/>
      <c r="HM240" s="1684"/>
      <c r="HN240" s="1683"/>
      <c r="HO240" s="1692"/>
      <c r="HP240" s="1692"/>
      <c r="HQ240" s="1670"/>
      <c r="HR240" s="1684"/>
      <c r="HS240" s="1684"/>
      <c r="HT240" s="1670"/>
      <c r="HU240" s="1684"/>
      <c r="HV240" s="1684"/>
      <c r="HW240" s="1684"/>
      <c r="HX240" s="1684"/>
      <c r="HY240" s="1684"/>
      <c r="HZ240" s="1684"/>
      <c r="IB240" s="1692"/>
      <c r="IC240" s="1693" t="b">
        <f>IB238</f>
        <v>0</v>
      </c>
      <c r="ID240" s="1695"/>
      <c r="IE240" s="391"/>
      <c r="IF240" s="1688"/>
      <c r="IG240" s="1689">
        <f ca="1">IF(IF238=TRUE,AC241,0)</f>
        <v>0</v>
      </c>
      <c r="IH240" s="1684"/>
      <c r="IK240" s="1689" t="e">
        <f>ROUND(T240*AB241*N239*R239/1000,0)</f>
        <v>#VALUE!</v>
      </c>
      <c r="IL240" s="1691"/>
      <c r="IM240" s="1693" t="e">
        <f>ROUND(T240*AB241*N239*R239/1000,0)</f>
        <v>#VALUE!</v>
      </c>
      <c r="IN240" s="1691"/>
      <c r="IP240" s="1679"/>
      <c r="IQ240" s="1679" t="e">
        <f t="shared" ref="IQ240:IU240" si="202">IF($CR240="interior",VLOOKUP($CS240,_New_Control_Savings_Interior,IQ$30,FALSE),VLOOKUP($CS240,Control_Savings_Exterior,IQ$30,FALSE))</f>
        <v>#N/A</v>
      </c>
      <c r="IR240" s="1679" t="e">
        <f t="shared" si="202"/>
        <v>#N/A</v>
      </c>
      <c r="IS240" s="1679" t="e">
        <f t="shared" si="202"/>
        <v>#N/A</v>
      </c>
      <c r="IT240" s="1679" t="e">
        <f t="shared" si="202"/>
        <v>#N/A</v>
      </c>
      <c r="IU240" s="1679" t="e">
        <f t="shared" si="202"/>
        <v>#N/A</v>
      </c>
      <c r="IV240" s="1679" t="e">
        <f>IF($CR240="interior",IF(R239&gt;$IP$14,ROUND(($IV$18*($IP$14/R239)),2),$IV$18),VLOOKUP($CS240,Control_Savings_Exterior,IV$30,FALSE))</f>
        <v>#N/A</v>
      </c>
      <c r="IW240" s="1679" t="e">
        <f>IF($CR240="interior",ROUND(((1-IS240)*IV240)+IS240,2),VLOOKUP($CS240,Control_Savings_Exterior,IW$30,FALSE))</f>
        <v>#N/A</v>
      </c>
      <c r="IX240" s="1679" t="e">
        <f>IF($CR240="interior",ROUND(((1-IT240)*IV240)+IT240,2),VLOOKUP($CS240,Control_Savings_Exterior,IX$30,FALSE))</f>
        <v>#N/A</v>
      </c>
      <c r="IY240" s="1679" t="e">
        <f>IF($CR240="interior",IF(R239&gt;$IP$14,ROUND(($IY$18*($IP$14/R239)),2),$IY$18),VLOOKUP($CS240,Control_Savings_Exterior,IY$30,FALSE))</f>
        <v>#N/A</v>
      </c>
      <c r="IZ240" s="1679" t="e">
        <f>IF($CR240="interior",ROUND(((1-IS240)*IY240)+IS240,2),VLOOKUP($CS240,Control_Savings_Exterior,IZ$30,FALSE))</f>
        <v>#N/A</v>
      </c>
      <c r="JA240" s="1679" t="e">
        <f>IF($CR240="interior",ROUND(((1-IT240)*IY240)+IT240,2),VLOOKUP($CS240,Control_Savings_Exterior,JA$30,FALSE))</f>
        <v>#N/A</v>
      </c>
      <c r="JC240" s="1680">
        <f>IFERROR(IF(CR240="Interior",CONCATENATE(G241," ",FQ240),AG240),"")</f>
        <v>0</v>
      </c>
      <c r="JD240" s="1670" t="str">
        <f>IFERROR(VLOOKUP(JC240,_Controls_2023,2,FALSE),"")</f>
        <v/>
      </c>
      <c r="JE240" s="1681">
        <f>IFERROR(CHOOSE(JD240-1,IQ240,IR240,IS240,IT240,IU240,IV240,IW240,IX240,IY240,IZ240,JA240),0)</f>
        <v>0</v>
      </c>
      <c r="JG240" s="1680" t="str">
        <f>FE240</f>
        <v xml:space="preserve"> - </v>
      </c>
      <c r="JH240" s="1670" t="e">
        <f>$FO240</f>
        <v>#N/A</v>
      </c>
      <c r="JI240" s="1060"/>
      <c r="JJ240" s="1670">
        <f>IFERROR(IF($IB238=TRUE,IF(OR(JJ$14="No",JJ238=FALSE,JH240&lt;=JH238,AND(_kWh_Grant=0,GD238=FALSE)),0,IF(JJ$8="Per Line",1,$AF240)),0),0)</f>
        <v>0</v>
      </c>
      <c r="JK240" s="1061"/>
      <c r="JL240" s="1670">
        <f>IFERROR(IF(_kWh_Grant=0,0,IF($IB238=TRUE,IF(OR(JL$14="No",JL238=FALSE,JH240&lt;=JH238),0,IF(JL$8="Per Line",1,$T240)),0)),0)</f>
        <v>0</v>
      </c>
      <c r="JM240" s="1061"/>
      <c r="JN240" s="1670">
        <f>IFERROR(IF(_kWh_Grant=0,0,IF($IB238=TRUE,IF(OR(JN$14="No",JN238=FALSE,JH240&lt;=JH238),0,IF(JN$8="Per Line",1,$AF240)),0)),0)</f>
        <v>0</v>
      </c>
      <c r="JO240" s="1061"/>
      <c r="JP240" s="1670">
        <f>IFERROR(IF(__Retrofit_TI_NC=0,IF(_kWh_Grant=0,0,IF($IB238=TRUE,IF(OR(JP$14="No",JP238=FALSE,$JH240&lt;=$JH238),0,IF(JP$8="Per Line",1,$AF240)),0)),IF($IB238=TRUE,IF(OR(JP$14="No",JP238=FALSE,$JH240&lt;=$JH238),0,IF(JP$8="Per Line",1,$AF240)))),0)</f>
        <v>0</v>
      </c>
      <c r="JQ240" s="1061"/>
      <c r="JR240" s="1670">
        <f>IFERROR(IF(__Retrofit_TI_NC=0,IF(_kWh_Grant=0,0,IF($IB238=TRUE,IF(OR(JR$14="No",JR238=FALSE,$JH240&lt;=$JH238),0,IF(JR$8="Per Line",1,$AF240)),0)),IF($IB238=TRUE,IF(OR(JR$14="No",JR238=FALSE,$JH240&lt;=$JH238),0,IF(JR$8="Per Line",1,$AF240)))),0)</f>
        <v>0</v>
      </c>
      <c r="JS240" s="1061"/>
      <c r="JT240" s="1670">
        <f>IFERROR(IF(__Retrofit_TI_NC=0,IF(_kWh_Grant=0,0,IF($IB238=TRUE,IF(OR(JT$14="No",JT238=FALSE,$JH240&lt;=$JH238),0,IF(JT$8="Per Line",1,$AF240)),0)),IF($IB238=TRUE,IF(OR(JT$14="No",JT238=FALSE,$JH240&lt;=$JH238),0,IF(JT$8="Per Line",1,$AF240)))),0)</f>
        <v>0</v>
      </c>
      <c r="JU240" s="1061"/>
      <c r="JV240" s="1670">
        <f>IFERROR(IF(__Retrofit_TI_NC=0,IF(_kWh_Grant=0,0,IF($IB238=TRUE,IF(OR(JV$14="No",JV238=FALSE,$JH240&lt;=$JH238),0,IF(JV$8="Per Line",1,$AF240)),0)),IF($IB238=TRUE,IF(OR(JV$14="No",JV238=FALSE,$JH240&lt;=$JH238),0,IF(JV$8="Per Line",1,$AF240)))),0)</f>
        <v>0</v>
      </c>
      <c r="JX240" s="1670">
        <f>IFERROR(IF(__Retrofit_TI_NC=0,IF(_kWh_Grant=0,0,IF($IB238=TRUE,IF(OR(JX$14="No",JX238=FALSE,$JH240&lt;=$JH238),0,IF(JX$8="Per Line",1,$AF240)),0)),IF($IB238=TRUE,IF(OR(JX$14="No",JX238=FALSE,$JH240&lt;=$JH238),0,IF(JX$8="Per Line",1,$AF240)))),0)</f>
        <v>0</v>
      </c>
      <c r="JZ240" s="1670">
        <f>IFERROR(IF($IB238=TRUE,IF(OR(JZ$14="No",JZ238=FALSE,$JH240&lt;=$JH238,AND(_kWh_Grant=0,$GD238=FALSE)),0,IF(JZ$8="Per Line",1,$AF240)),0),0)</f>
        <v>0</v>
      </c>
      <c r="KB240" s="1670">
        <f>IFERROR(IF(__Retrofit_TI_NC=0,IF(_kWh_Grant=0,0,IF($IB238=TRUE,IF(OR(KB$14="No",KB238=FALSE,$JH240&lt;=$JH238),0,IF(KB$8="Per Line",1,$AF240)),0)),IF($IB238=TRUE,IF(OR(KB$14="No",KB238=FALSE,$JH240&lt;=$JH238),0,IF(KB$8="Per Line",1,$AF240)))),0)</f>
        <v>0</v>
      </c>
    </row>
    <row r="241" spans="1:288" s="78" customFormat="1" ht="14.95" customHeight="1" thickTop="1" thickBot="1">
      <c r="B241" s="1845"/>
      <c r="C241" s="1846"/>
      <c r="D241" s="1847"/>
      <c r="E241" s="1902" t="s">
        <v>436</v>
      </c>
      <c r="F241" s="1903"/>
      <c r="G241" s="1904" t="s">
        <v>437</v>
      </c>
      <c r="H241" s="1905"/>
      <c r="I241" s="1905"/>
      <c r="J241" s="1905"/>
      <c r="K241" s="1905"/>
      <c r="L241" s="1906"/>
      <c r="M241" s="1145">
        <f>IFERROR(VLOOKUP(G241,_Daylight_Table[],2,FALSE),0)</f>
        <v>0</v>
      </c>
      <c r="N241" s="1146" t="str">
        <f>IF(AND(__Retrofit_TI_NC&gt;0,CQ238="Interior"),"BAM","")</f>
        <v/>
      </c>
      <c r="O241" s="1145" t="e">
        <f>VLOOKUP(G240,'Space Table'!$B$3:$L$163,11,FALSE)</f>
        <v>#N/A</v>
      </c>
      <c r="P241" s="1754"/>
      <c r="Q241" s="1755"/>
      <c r="R241" s="1755"/>
      <c r="S241" s="1764"/>
      <c r="T241" s="1147" t="s">
        <v>342</v>
      </c>
      <c r="U241" s="1756" t="str" cm="1">
        <f t="array" aca="1" ref="U241" ca="1">IFERROR(VLOOKUP(INDIRECT("U" &amp; ROW()-1),Fixtures!DM$93:DP$142,4,FALSE),"")</f>
        <v/>
      </c>
      <c r="V241" s="1757"/>
      <c r="W241" s="1757"/>
      <c r="X241" s="1757"/>
      <c r="Y241" s="1757"/>
      <c r="Z241" s="1757"/>
      <c r="AA241" s="1758"/>
      <c r="AB241" s="939" t="str">
        <f>IFERROR(VLOOKUP(U240,Fixtures_Proposed_List,2,FALSE),"")</f>
        <v/>
      </c>
      <c r="AC241" s="1148" t="str">
        <f>IFERROR(ROUND(T240*AB241*N239*R239/1000,0),"")</f>
        <v/>
      </c>
      <c r="AD241" s="1149" t="str">
        <f>IFERROR(ROUND(T240*AB241/1000,2),"")</f>
        <v/>
      </c>
      <c r="AE241" s="1150"/>
      <c r="AF241" s="1151" t="s">
        <v>342</v>
      </c>
      <c r="AG241" s="1759"/>
      <c r="AH241" s="1759"/>
      <c r="AI241" s="1759"/>
      <c r="AJ241" s="1759"/>
      <c r="AK241" s="1759"/>
      <c r="AL241" s="1759"/>
      <c r="AM241" s="1899"/>
      <c r="AN241" s="1900"/>
      <c r="AO241" s="1901"/>
      <c r="AP241" s="1780"/>
      <c r="AQ241" s="1781"/>
      <c r="AR241" s="1795"/>
      <c r="AS241" s="1795"/>
      <c r="AT241" s="1796"/>
      <c r="AU241" s="1907"/>
      <c r="AV241" s="1752"/>
      <c r="AW241" s="1706"/>
      <c r="AX241" s="468"/>
      <c r="AY241" s="1750"/>
      <c r="AZ241" s="1750"/>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696"/>
      <c r="CQ241" s="1696"/>
      <c r="CR241" s="1809"/>
      <c r="CS241" s="1811"/>
      <c r="CU241" s="1688"/>
      <c r="CV241" s="1703"/>
      <c r="CW241" s="1703"/>
      <c r="CX241" s="1813"/>
      <c r="CY241" s="1815"/>
      <c r="CZ241" s="1711"/>
      <c r="DA241" s="1815"/>
      <c r="DB241" s="1821"/>
      <c r="DC241" s="1821"/>
      <c r="DD241" s="1821"/>
      <c r="DF241" s="1703"/>
      <c r="DG241" s="1831"/>
      <c r="DH241" s="1813"/>
      <c r="DI241" s="1838"/>
      <c r="DJ241" s="1711"/>
      <c r="DK241" s="1712"/>
      <c r="DN241" s="1718"/>
      <c r="DO241" s="1709"/>
      <c r="DQ241" s="1715"/>
      <c r="DR241" s="1720"/>
      <c r="DS241" s="1703"/>
      <c r="DT241" s="1714"/>
      <c r="DU241" s="1715"/>
      <c r="DV241" s="1716"/>
      <c r="DX241" s="1715"/>
      <c r="DY241" s="1720"/>
      <c r="DZ241" s="1715"/>
      <c r="EA241" s="1715"/>
      <c r="EC241" s="1834"/>
      <c r="ED241" s="1834"/>
      <c r="EF241" s="1707"/>
      <c r="EG241" s="1712"/>
      <c r="EH241" s="1815"/>
      <c r="EI241" s="1712"/>
      <c r="EJ241" s="1712"/>
      <c r="EK241" s="1813"/>
      <c r="EL241" s="1813"/>
      <c r="EM241" s="1807"/>
      <c r="EN241" s="1839"/>
      <c r="EO241" s="1839"/>
      <c r="EP241" s="1817"/>
      <c r="EQ241" s="1817"/>
      <c r="ER241" s="1807"/>
      <c r="ES241" s="1807"/>
      <c r="ET241" s="1807"/>
      <c r="EV241" s="1715"/>
      <c r="EX241" s="1806"/>
      <c r="EY241" s="1806"/>
      <c r="EZ241" s="1806"/>
      <c r="FA241" s="1806"/>
      <c r="FB241" s="1806"/>
      <c r="FC241" s="1828"/>
      <c r="FE241" s="1698"/>
      <c r="FG241" s="1703"/>
      <c r="FH241" s="1703"/>
      <c r="FI241" s="133"/>
      <c r="FL241" s="1823"/>
      <c r="FM241" s="1825"/>
      <c r="FN241" s="1698"/>
      <c r="FO241" s="1698"/>
      <c r="FP241" s="1678"/>
      <c r="FQ241" s="1698"/>
      <c r="FS241" s="1687"/>
      <c r="FT241" s="1687"/>
      <c r="FU241" s="1685"/>
      <c r="FV241" s="1687"/>
      <c r="FW241" s="1687"/>
      <c r="FX241" s="1687"/>
      <c r="FY241" s="1697"/>
      <c r="GA241" s="1696"/>
      <c r="GB241" s="1696"/>
      <c r="GC241" s="1696"/>
      <c r="GD241" s="1696"/>
      <c r="GE241" s="1696"/>
      <c r="GF241" s="1696"/>
      <c r="GG241" s="1696"/>
      <c r="GH241" s="1696"/>
      <c r="GI241" s="673"/>
      <c r="GJ241" s="1135"/>
      <c r="GK241" s="1832"/>
      <c r="GN241" s="674">
        <f>IF(GN239=TRUE,0,GN$16)</f>
        <v>0</v>
      </c>
      <c r="GP241" s="674">
        <f>IF(GP239=TRUE,0,GP$16)</f>
        <v>36</v>
      </c>
      <c r="GQ241" s="674">
        <f ca="1">IF(GQ239=TRUE,0,GQ$16)</f>
        <v>35</v>
      </c>
      <c r="GR241" s="391"/>
      <c r="GS241" s="391"/>
      <c r="GT241" s="391"/>
      <c r="GU241" s="391"/>
      <c r="GV241" s="391"/>
      <c r="HG241" s="674">
        <f>IF(HG239=TRUE,0,HG$16)</f>
        <v>0</v>
      </c>
      <c r="HH241" s="674">
        <f t="shared" ref="HH241:HM241" si="203">IF(HH239=TRUE,0,HH$16)</f>
        <v>19</v>
      </c>
      <c r="HI241" s="674">
        <f t="shared" si="203"/>
        <v>18</v>
      </c>
      <c r="HJ241" s="674">
        <f t="shared" si="203"/>
        <v>17</v>
      </c>
      <c r="HK241" s="674">
        <f t="shared" si="203"/>
        <v>16</v>
      </c>
      <c r="HL241" s="674">
        <f t="shared" si="203"/>
        <v>0</v>
      </c>
      <c r="HM241" s="674">
        <f t="shared" si="203"/>
        <v>0</v>
      </c>
      <c r="HN241" s="674">
        <f>IF(HN239=TRUE,0,HN$16)</f>
        <v>13</v>
      </c>
      <c r="HO241" s="674">
        <f t="shared" ref="HO241:HQ241" si="204">IF(HO239=TRUE,0,HO$16)</f>
        <v>0</v>
      </c>
      <c r="HP241" s="674">
        <f t="shared" si="204"/>
        <v>0</v>
      </c>
      <c r="HQ241" s="674">
        <f t="shared" si="204"/>
        <v>10</v>
      </c>
      <c r="HR241" s="674">
        <f>IF(HR239=TRUE,0,HR$16)</f>
        <v>9</v>
      </c>
      <c r="HS241" s="674">
        <f t="shared" ref="HS241:HW241" si="205">IF(HS239=TRUE,0,HS$16)</f>
        <v>0</v>
      </c>
      <c r="HT241" s="674">
        <f t="shared" si="205"/>
        <v>0</v>
      </c>
      <c r="HU241" s="674">
        <f t="shared" si="205"/>
        <v>0</v>
      </c>
      <c r="HV241" s="674">
        <f t="shared" si="205"/>
        <v>0</v>
      </c>
      <c r="HW241" s="674">
        <f t="shared" si="205"/>
        <v>0</v>
      </c>
      <c r="HX241" s="674">
        <f>IF(HX239=TRUE,0,HX$16)</f>
        <v>0</v>
      </c>
      <c r="HY241" s="674">
        <f>IF(HY239=TRUE,0,HY$16)</f>
        <v>0</v>
      </c>
      <c r="HZ241" s="674">
        <f>IF(HZ239=TRUE,0,HZ$16)</f>
        <v>1</v>
      </c>
      <c r="IB241" s="674">
        <f>IF(GP239=FALSE,GP241,IF(GQ239=FALSE,GQ241,MAX(GN241:HZ241)))</f>
        <v>36</v>
      </c>
      <c r="IC241" s="1692"/>
      <c r="ID241" s="205" t="str">
        <f>VLOOKUP(IB241,_Error_Table,3,FALSE)</f>
        <v xml:space="preserve"> </v>
      </c>
      <c r="IE241" s="205"/>
      <c r="IF241" s="1688"/>
      <c r="IG241" s="1689"/>
      <c r="IH241" s="1684"/>
      <c r="IK241" s="1689"/>
      <c r="IL241" s="1692"/>
      <c r="IM241" s="1692"/>
      <c r="IN241" s="1692"/>
      <c r="IP241" s="1679"/>
      <c r="IQ241" s="1679"/>
      <c r="IR241" s="1679"/>
      <c r="IS241" s="1679"/>
      <c r="IT241" s="1679"/>
      <c r="IU241" s="1679"/>
      <c r="IV241" s="1679"/>
      <c r="IW241" s="1679"/>
      <c r="IX241" s="1679"/>
      <c r="IY241" s="1679"/>
      <c r="IZ241" s="1679"/>
      <c r="JA241" s="1679"/>
      <c r="JC241" s="1680"/>
      <c r="JD241" s="1670"/>
      <c r="JE241" s="1681"/>
      <c r="JG241" s="1680"/>
      <c r="JH241" s="1670"/>
      <c r="JI241" s="1060"/>
      <c r="JJ241" s="1670"/>
      <c r="JK241" s="1061"/>
      <c r="JL241" s="1670"/>
      <c r="JM241" s="1061"/>
      <c r="JN241" s="1670"/>
      <c r="JO241" s="1061"/>
      <c r="JP241" s="1670"/>
      <c r="JQ241" s="1061"/>
      <c r="JR241" s="1670"/>
      <c r="JS241" s="1061"/>
      <c r="JT241" s="1670"/>
      <c r="JU241" s="1061"/>
      <c r="JV241" s="1670"/>
      <c r="JX241" s="1670"/>
      <c r="JZ241" s="1670"/>
      <c r="KB241" s="1670"/>
    </row>
    <row r="242" spans="1:288" s="78" customFormat="1" ht="5.0999999999999996" customHeight="1">
      <c r="B242" s="676"/>
      <c r="C242" s="392"/>
      <c r="D242" s="392"/>
      <c r="E242" s="1773"/>
      <c r="F242" s="1773"/>
      <c r="G242" s="1773"/>
      <c r="H242" s="1773"/>
      <c r="I242" s="1773"/>
      <c r="J242" s="1773"/>
      <c r="K242" s="1773"/>
      <c r="L242" s="1773"/>
      <c r="M242" s="1773"/>
      <c r="N242" s="1773"/>
      <c r="O242" s="1773"/>
      <c r="P242" s="1773"/>
      <c r="Q242" s="1773"/>
      <c r="R242" s="1773"/>
      <c r="S242" s="1773"/>
      <c r="T242" s="1773"/>
      <c r="U242" s="1773"/>
      <c r="V242" s="1773"/>
      <c r="W242" s="1773"/>
      <c r="X242" s="1773"/>
      <c r="Y242" s="1773"/>
      <c r="Z242" s="1773"/>
      <c r="AA242" s="1773"/>
      <c r="AB242" s="1773"/>
      <c r="AC242" s="1773"/>
      <c r="AD242" s="1773"/>
      <c r="AE242" s="1773"/>
      <c r="AF242" s="1773"/>
      <c r="AG242" s="1773"/>
      <c r="AH242" s="1773"/>
      <c r="AI242" s="1773"/>
      <c r="AJ242" s="1773"/>
      <c r="AK242" s="1773"/>
      <c r="AL242" s="1773"/>
      <c r="AM242" s="1773"/>
      <c r="AN242" s="1773"/>
      <c r="AO242" s="1773"/>
      <c r="AP242" s="1773"/>
      <c r="AQ242" s="1773"/>
      <c r="AR242" s="1773"/>
      <c r="AS242" s="1773"/>
      <c r="AT242" s="1773"/>
      <c r="AU242" s="1773"/>
      <c r="AV242" s="1773"/>
      <c r="AW242" s="1773"/>
      <c r="AX242" s="469"/>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663"/>
      <c r="CQ242" s="663"/>
      <c r="CR242" s="438"/>
      <c r="CS242" s="663"/>
      <c r="CV242" s="391"/>
      <c r="CW242" s="391"/>
      <c r="CX242" s="207"/>
      <c r="CY242" s="208"/>
      <c r="CZ242" s="208"/>
      <c r="DA242" s="208"/>
      <c r="DB242" s="209"/>
      <c r="DC242" s="209"/>
      <c r="DD242" s="209"/>
      <c r="DF242" s="664"/>
      <c r="DG242" s="665"/>
      <c r="DH242" s="666"/>
      <c r="DI242" s="667"/>
      <c r="DJ242" s="668"/>
      <c r="DK242" s="668"/>
      <c r="DN242" s="208"/>
      <c r="DO242" s="664"/>
      <c r="DQ242" s="664"/>
      <c r="DR242" s="669"/>
      <c r="DS242" s="391"/>
      <c r="DT242" s="664"/>
      <c r="DU242" s="664"/>
      <c r="DV242" s="664"/>
      <c r="DX242" s="664"/>
      <c r="DY242" s="664"/>
      <c r="DZ242" s="664"/>
      <c r="EA242" s="664"/>
      <c r="EC242" s="670"/>
      <c r="ED242" s="670"/>
      <c r="EF242" s="668"/>
      <c r="EG242" s="668"/>
      <c r="EH242" s="208"/>
      <c r="EI242" s="668"/>
      <c r="EJ242" s="668"/>
      <c r="EK242" s="207"/>
      <c r="EL242" s="207"/>
      <c r="EM242" s="666"/>
      <c r="EN242" s="671"/>
      <c r="EO242" s="671"/>
      <c r="EP242" s="672"/>
      <c r="EQ242" s="672"/>
      <c r="ER242" s="666"/>
      <c r="ES242" s="666"/>
      <c r="ET242" s="666"/>
      <c r="EV242" s="664"/>
      <c r="EX242" s="391"/>
      <c r="EY242" s="391"/>
      <c r="EZ242" s="391"/>
      <c r="FA242" s="391"/>
      <c r="FB242" s="391"/>
      <c r="FC242" s="391"/>
      <c r="FE242" s="569"/>
      <c r="FG242" s="391"/>
      <c r="FH242" s="391"/>
      <c r="FI242" s="391"/>
      <c r="FS242" s="664"/>
      <c r="FT242" s="391"/>
      <c r="FU242" s="391"/>
      <c r="FV242" s="664"/>
      <c r="FW242" s="664"/>
      <c r="GA242" s="663"/>
      <c r="GB242" s="663"/>
      <c r="GC242" s="663"/>
      <c r="GD242" s="663"/>
      <c r="GE242" s="663"/>
      <c r="GF242" s="663"/>
      <c r="GG242" s="663"/>
      <c r="GH242" s="663"/>
      <c r="GI242" s="665"/>
      <c r="GJ242" s="664"/>
      <c r="GK242" s="664"/>
    </row>
    <row r="243" spans="1:288" s="78" customFormat="1" ht="14.95" customHeight="1">
      <c r="B243" s="1845" t="str">
        <f>ID246</f>
        <v xml:space="preserve"> </v>
      </c>
      <c r="C243" s="1846">
        <f>C238+1</f>
        <v>39</v>
      </c>
      <c r="D243" s="1847"/>
      <c r="E243" s="1799" t="s">
        <v>295</v>
      </c>
      <c r="F243" s="1800"/>
      <c r="G243" s="1741"/>
      <c r="H243" s="1742"/>
      <c r="I243" s="1742"/>
      <c r="J243" s="1742"/>
      <c r="K243" s="1742"/>
      <c r="L243" s="1742"/>
      <c r="M243" s="1742"/>
      <c r="N243" s="1742"/>
      <c r="O243" s="1742"/>
      <c r="P243" s="1742"/>
      <c r="Q243" s="1742"/>
      <c r="R243" s="1742"/>
      <c r="S243" s="1791" t="s">
        <v>344</v>
      </c>
      <c r="T243" s="590"/>
      <c r="U243" s="1743"/>
      <c r="V243" s="1744"/>
      <c r="W243" s="1744"/>
      <c r="X243" s="1744"/>
      <c r="Y243" s="1744"/>
      <c r="Z243" s="1744"/>
      <c r="AA243" s="1744"/>
      <c r="AB243" s="961" t="str">
        <f>IFERROR(IF(__Retrofit_TI_NC=0,VLOOKUP(U244,Fixtures_Existing_List,2,FALSE),ROUND(N245*R245/T245,10)),"")</f>
        <v/>
      </c>
      <c r="AC243" s="935" t="str">
        <f>IFERROR(IF(__Retrofit_TI_NC=0,ROUND(T244*AB243*N244*R244/1000,0),IF(CQ243="Interior",N245*R245*R244*N244*_C406_reduction/1000,N245*R245*R244*N244/1000)),"")</f>
        <v/>
      </c>
      <c r="AD243" s="936" t="str">
        <f>IFERROR(IF(C$43=0,ROUND(T244*AB243/1000,2),N245*R245/1000),"")</f>
        <v/>
      </c>
      <c r="AE243" s="997"/>
      <c r="AF243" s="937"/>
      <c r="AG243" s="1745" t="str">
        <f>IF(__Retrofit_TI_NC=0," Control","Select Advanced Control for New System")</f>
        <v xml:space="preserve"> Control</v>
      </c>
      <c r="AH243" s="1745"/>
      <c r="AI243" s="1745"/>
      <c r="AJ243" s="1745"/>
      <c r="AK243" s="1745"/>
      <c r="AL243" s="1745"/>
      <c r="AM243" s="1746">
        <f>IFERROR(DI243,"")</f>
        <v>0</v>
      </c>
      <c r="AN243" s="1774" t="str">
        <f>IFERROR(ROUND(AM243*AC243,0),"")</f>
        <v/>
      </c>
      <c r="AO243" s="1776">
        <f>IFERROR(IF(IB243=FALSE,0,AC243-AN243),0)</f>
        <v>0</v>
      </c>
      <c r="AP243" s="1778">
        <f>AO243-AO245</f>
        <v>0</v>
      </c>
      <c r="AQ243" s="1779"/>
      <c r="AR243" s="1793">
        <f>IFERROR(IF(IB243=FALSE,0,(T245*U246)+(AF245*AG246)),0)</f>
        <v>0</v>
      </c>
      <c r="AS243" s="1793"/>
      <c r="AT243" s="1794"/>
      <c r="AU243" s="1734" t="s">
        <v>237</v>
      </c>
      <c r="AV243" s="1751">
        <f>IF(AU243="Yes",1,0)</f>
        <v>1</v>
      </c>
      <c r="AW243" s="1704" t="str">
        <f>IF(OR(DQ243=4,DQ243=5,DQ243=6,DQ243=12),CONCATENATE("$",IF(GH243=TRUE,Lookup!$K$10,Lookup!$K$2)," /lamp"),CONCATENATE(TEXT(ED243,"$0.00"),"/ kWh"))</f>
        <v>$0.00/ kWh</v>
      </c>
      <c r="AX243" s="467"/>
      <c r="AY243" s="1748">
        <f ca="1">IFERROR(IF(GM244=TRUE,(AB246*T245)/R245,0),"NA")</f>
        <v>0</v>
      </c>
      <c r="AZ243" s="1748"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696" t="str">
        <f>N244</f>
        <v/>
      </c>
      <c r="CQ243" s="1696" t="str">
        <f>IFERROR(VLOOKUP(G244,_Lookup_Heat_Type_Table_New,3,FALSE),"")</f>
        <v/>
      </c>
      <c r="CR243" s="1808" t="str">
        <f>CQ243</f>
        <v/>
      </c>
      <c r="CS243" s="1810" t="str">
        <f>IFERROR(VLOOKUP(G245,'Space Table'!$B$3:$L$163,9,FALSE),"")</f>
        <v/>
      </c>
      <c r="CU243" s="1688" t="s">
        <v>344</v>
      </c>
      <c r="CV243" s="1702">
        <f>IF(IB243=TRUE,T244,0)</f>
        <v>0</v>
      </c>
      <c r="CW243" s="1702" t="str">
        <f>IF(IB243=TRUE,U244,"")</f>
        <v/>
      </c>
      <c r="CX243" s="1702"/>
      <c r="CY243" s="1814">
        <f>IF(IB243=TRUE,AB243,0)</f>
        <v>0</v>
      </c>
      <c r="CZ243" s="1710">
        <f>IF(AND(__Retrofit_TI_NC&gt;0,CR243="interior"),0,IF(IB243=TRUE,AC243,0))</f>
        <v>0</v>
      </c>
      <c r="DA243" s="1814">
        <f>IFERROR(IF(IB243=TRUE,CZ243-CZ245,0),0)</f>
        <v>0</v>
      </c>
      <c r="DB243" s="1819">
        <f>IF(IB243=TRUE,AD243,0)</f>
        <v>0</v>
      </c>
      <c r="DC243" s="1819">
        <f>IF(IB243=TRUE,AD246,0)</f>
        <v>0</v>
      </c>
      <c r="DD243" s="1819">
        <f>IFERROR(DB243-DC243,0)</f>
        <v>0</v>
      </c>
      <c r="DF243" s="1702">
        <f>IF(IB243=TRUE,AF244,0)</f>
        <v>0</v>
      </c>
      <c r="DG243" s="1830">
        <f>IFERROR(IF(__Retrofit_TI_NC=2,IF(CQ243="Exterior",O246,FQ243),FN243),"")</f>
        <v>0</v>
      </c>
      <c r="DH243" s="1702"/>
      <c r="DI243" s="1837">
        <f>JE243</f>
        <v>0</v>
      </c>
      <c r="DJ243" s="1710">
        <f>IF(AND(__Retrofit_TI_NC&gt;0,CR243="interior"),0,IF(IB243=TRUE,AN243,0))</f>
        <v>0</v>
      </c>
      <c r="DK243" s="1712">
        <f>IFERROR(IF(IB243=TRUE,DJ245-DJ243,0),0)</f>
        <v>0</v>
      </c>
      <c r="DM243" s="1717">
        <f>IFERROR(CZ243-DJ243,0)</f>
        <v>0</v>
      </c>
      <c r="DO243" s="1708">
        <f>DM243-DN245</f>
        <v>0</v>
      </c>
      <c r="DQ243" s="1715" t="str">
        <f>IFERROR(IF(AND(OR(GC243=4,GC243=5,GC243=6),OR(GF243=4,GF243=5,GF243=6)),GC243+8,VLOOKUP(CW245,Fixtures!R$31:Y$78,8,FALSE)),"")</f>
        <v/>
      </c>
      <c r="DR243" s="1829" t="str">
        <f>DQ243</f>
        <v/>
      </c>
      <c r="DS243" s="1702" t="str">
        <f>IFERROR(VLOOKUP(DG245,Lookup!BB$3:BC$20,2,FALSE),"")</f>
        <v/>
      </c>
      <c r="DT243" s="1713" t="str">
        <f>IF(OR(DS243=7,DS243=8,DS243=9),"ALC","")</f>
        <v/>
      </c>
      <c r="DU243" s="1715">
        <f>IFERROR(IF(OR(DQ243=4,DQ243=5,DQ243=6,DQ243=12,DQ243=13,DQ243=14),VLOOKUP(CW245,Fixtures!DN$27:EG$77,19,FALSE),1)*CV245,0)</f>
        <v>0</v>
      </c>
      <c r="DV243" s="1716">
        <f>IF(OR(DS243=7,DS243=8,DS243=9),IF(DG243=DG245,0,DF245),0)</f>
        <v>0</v>
      </c>
      <c r="DX243" s="1715" t="str">
        <f>IFERROR(IF(EZ243&lt;EZ245,"Yes","No"),"")</f>
        <v/>
      </c>
      <c r="DY243" s="1829" t="str">
        <f>DX243</f>
        <v/>
      </c>
      <c r="DZ243" s="1715">
        <f>IF(DX243="Yes",DF245,0)</f>
        <v>0</v>
      </c>
      <c r="EA243" s="1715">
        <f>DZ243-DV243</f>
        <v>0</v>
      </c>
      <c r="EC243" s="1834">
        <f>IFERROR(VLOOKUP(DQ243,Lookup!AU$3:AV$16,2,FALSE),0)</f>
        <v>0</v>
      </c>
      <c r="ED243" s="1834">
        <f>IF(IB243=FALSE,0,IF(DX243="Yes",EC243+Lookup!K$6,EC243))</f>
        <v>0</v>
      </c>
      <c r="EF243" s="1707">
        <f>IF(IB243=TRUE,DM243,0)</f>
        <v>0</v>
      </c>
      <c r="EG243" s="1712">
        <f>IF(IB243=TRUE,CZ245,0)</f>
        <v>0</v>
      </c>
      <c r="EH243" s="1814">
        <f>IFERROR(EF243-EG243,0)</f>
        <v>0</v>
      </c>
      <c r="EI243" s="1712">
        <f>IF(IB243=TRUE,DJ245,0)</f>
        <v>0</v>
      </c>
      <c r="EJ243" s="1712">
        <f>IFERROR(EF243-EG243+EI243,0)</f>
        <v>0</v>
      </c>
      <c r="EK243" s="1812">
        <f>IF(IB243=TRUE,CV245*CX245,0)</f>
        <v>0</v>
      </c>
      <c r="EL243" s="1812">
        <f>IF(IB243=TRUE,DF245*DH245,0)</f>
        <v>0</v>
      </c>
      <c r="EM243" s="1807">
        <f>AR243</f>
        <v>0</v>
      </c>
      <c r="EN243" s="1839" t="str">
        <f>IFERROR(IF(IB243=TRUE,VLOOKUP(DQ243,Lookup!AU$3:AW$16,3,FALSE)*DU243,""),0)</f>
        <v/>
      </c>
      <c r="EO243" s="1839">
        <f>IF(IB243=TRUE,DZ243*Lookup!AW$12,0)</f>
        <v>0</v>
      </c>
      <c r="EP243" s="1817">
        <f>IFERROR(IF(IB243=TRUE,EN243/EP$40,0),0)</f>
        <v>0</v>
      </c>
      <c r="EQ243" s="1817">
        <f>IF(IB243=TRUE,EO243/EQ$40,0)</f>
        <v>0</v>
      </c>
      <c r="ER243" s="1807">
        <f>IF(IB243=TRUE,ET$40*EP243,0)</f>
        <v>0</v>
      </c>
      <c r="ES243" s="1807">
        <f>IF(IB243=TRUE,ET$40*EQ243,0)</f>
        <v>0</v>
      </c>
      <c r="ET243" s="1807">
        <f>ER243+ES243</f>
        <v>0</v>
      </c>
      <c r="EV243" s="1715">
        <f>IF(G243="",0,1)</f>
        <v>0</v>
      </c>
      <c r="EX243" s="1804" t="str">
        <f>IFERROR(VLOOKUP(CS245,'Space Table'!$B$3:$L$163,8,FALSE),"")</f>
        <v/>
      </c>
      <c r="EY243" s="1804" t="str">
        <f>IFERROR(IF(FB243="Yes",VLOOKUP(DG243,Lookup_Control_Type_Table2,4,FALSE),VLOOKUP(DG243,Lookup_Control_Type_Table2,3,FALSE)),"")</f>
        <v/>
      </c>
      <c r="EZ243" s="1804" t="e">
        <f>VLOOKUP(DG243,Lookup!BB$3:BC$20,2,FALSE)</f>
        <v>#N/A</v>
      </c>
      <c r="FA243" s="1804" t="e">
        <f>VLOOKUP(EX243,Lookup_Control_Type_Table,2,FALSE)</f>
        <v>#N/A</v>
      </c>
      <c r="FB243" s="1804" t="e">
        <f>VLOOKUP(CS245,'Space Table'!$B$3:$L$163,7,FALSE)</f>
        <v>#N/A</v>
      </c>
      <c r="FC243" s="1826" t="b">
        <f>ISNUMBER(SEARCH("TLED",U245))</f>
        <v>0</v>
      </c>
      <c r="FE243" s="1698" t="str">
        <f>CONCATENATE(CQ243," - ",DG243)</f>
        <v xml:space="preserve"> - 0</v>
      </c>
      <c r="FG243" s="1702" t="str">
        <f>VLOOKUP(CW245,Fixtures!DN$27:EZ$77,38,FALSE)</f>
        <v/>
      </c>
      <c r="FH243" s="1702">
        <f>IFERROR(FG243*EH243,0)</f>
        <v>0</v>
      </c>
      <c r="FI243" s="133"/>
      <c r="FL243" s="1822" t="str">
        <f>IF(CQ243="Exterior","Not Daylighted",G246)</f>
        <v>Not Daylighted</v>
      </c>
      <c r="FM243" s="1824">
        <f>VLOOKUP(FL243,_New_Daylight_Table_Codes,2,FALSE)</f>
        <v>0</v>
      </c>
      <c r="FN243" s="1698">
        <f>IF(__Retrofit_TI_NC&gt;0,VLOOKUP(G245,'Space Table'!$B$3:$L$163,11,FALSE),AG244)</f>
        <v>0</v>
      </c>
      <c r="FO243" s="1698" t="e">
        <f>IF(__Retrofit_TI_NC=2,VLOOKUP(FQ243,_Control_Table,2,FALSE),VLOOKUP(FN243,_Control_Table,2,FALSE))</f>
        <v>#N/A</v>
      </c>
      <c r="FP243" s="1678" t="e">
        <f>VLOOKUP(CONCATENATE(FL243," ",FN243),Lookup!AY$102:AZ253,2,FALSE)</f>
        <v>#N/A</v>
      </c>
      <c r="FQ243" s="1678">
        <f>IF(__Retrofit_TI_NC=0,FN243,IF(AND(FT243&gt;0,FN243="Occupancy Sensor"),"Daylight + Occupancy",IF(AND(FT243&gt;0,VLOOKUP(FN243,_Control_Table,2,FALSE)&lt;4),"Interior Daylight Dimming",FN243)))</f>
        <v>0</v>
      </c>
      <c r="FS243" s="1686">
        <f>IF(CR243="Interior",VLOOKUP(CS243,Control_Savings_Interior,5,FALSE),0)</f>
        <v>0</v>
      </c>
      <c r="FT243" s="1687">
        <f>IF(CQ243="Exterior",0,IF(FM243=2,0.5,IF(OR(FM243=1,FM243=3),1,0)))</f>
        <v>0</v>
      </c>
      <c r="FU243" s="1685">
        <f>IF(R242&gt;FS$44,(FS243*(FS$44/R242)),FS243)*FT243</f>
        <v>0</v>
      </c>
      <c r="FV243" s="1686">
        <f>DI243</f>
        <v>0</v>
      </c>
      <c r="FW243" s="1686">
        <f>ROUND(FV243+((1-FV243)*FU243),2)</f>
        <v>0</v>
      </c>
      <c r="FX243" s="1686">
        <f>IF(__Retrofit_TI_NC=2,FW243,FV243)</f>
        <v>0</v>
      </c>
      <c r="FY243" s="1697"/>
      <c r="GA243" s="1696" t="str">
        <f>IFERROR(VLOOKUP(U244,_Exist_Fixture_Table,3,FALSE),"")</f>
        <v/>
      </c>
      <c r="GB243" s="1696" t="str">
        <f>VLOOKUP(CW243,_Exist_Fixture_Table,4,FALSE)</f>
        <v/>
      </c>
      <c r="GC243" s="1696">
        <f>IFERROR(VLOOKUP(GB243,Lookup!AT$6:AU$8,2,FALSE),0)</f>
        <v>0</v>
      </c>
      <c r="GD243" s="1696" t="b">
        <f>IFERROR(IF(OR(GF243=4,GF243=5,GF243=6),TRUE,FALSE),"")</f>
        <v>0</v>
      </c>
      <c r="GE243" s="1696" t="str">
        <f>IFERROR(VLOOKUP(GF243,GC$6:GD$10,2,FALSE),"")</f>
        <v/>
      </c>
      <c r="GF243" s="1696" t="str">
        <f>VLOOKUP(CW245,Fixtures!R$31:Y$78,8,FALSE)</f>
        <v/>
      </c>
      <c r="GG243" s="1696">
        <f>IF(AND(GA243=TRUE,GD243=TRUE,OR(DQ243=12,DQ243=13,DQ243=14)),GC243+8,0)</f>
        <v>0</v>
      </c>
      <c r="GH243" s="1696" t="b">
        <f>IF(OR(GG243=12,GG243=13,GG243=14),TRUE,FALSE)</f>
        <v>0</v>
      </c>
      <c r="GI243" s="673" t="b">
        <f>IF(ISNUMBER(SEARCH("TLED",U244)),TRUE,FALSE)</f>
        <v>0</v>
      </c>
      <c r="GJ243" s="1135" t="str">
        <f>IFERROR(VLOOKUP(U244,Fixtures!BM$93:BR$142,6,FALSE),"")</f>
        <v/>
      </c>
      <c r="GK243" s="1832" t="b">
        <f>IF(OR(GI243=FALSE,GI245=FALSE),TRUE,IF(GJ243-GJ245&lt;5,FALSE,TRUE))</f>
        <v>1</v>
      </c>
      <c r="GO243" s="674">
        <f>GP243</f>
        <v>0</v>
      </c>
      <c r="GP243" s="674">
        <f>IF(G243="",0,1)</f>
        <v>0</v>
      </c>
      <c r="GQ243" s="674">
        <f ca="1">SUM(GR243:HF243)</f>
        <v>2</v>
      </c>
      <c r="GR243" s="674">
        <f>IF(G244="",0,1)</f>
        <v>0</v>
      </c>
      <c r="GS243" s="674">
        <f>IF(N246="BAM",1,IF(G245="",0,1))</f>
        <v>0</v>
      </c>
      <c r="GT243" s="674">
        <f>IF(N246="BAM",1,IF(R244="",0,1))</f>
        <v>0</v>
      </c>
      <c r="GU243" s="674">
        <f>IF(N246="BAM",1,IF(__Retrofit_TI_NC=0,1,IF(R245="",0,1)))</f>
        <v>1</v>
      </c>
      <c r="GV243" s="674">
        <f>IF(N246="BAM",1,IF(CQ243="Exterior",1,IF(G246="",0,1)))</f>
        <v>1</v>
      </c>
      <c r="GW243" s="674">
        <f>IF(__Retrofit_TI_NC&gt;0,1,IF(T244="",0,1))</f>
        <v>0</v>
      </c>
      <c r="GX243" s="674">
        <f>IF(__Retrofit_TI_NC&gt;0,1,IF(U244="",0,1))</f>
        <v>0</v>
      </c>
      <c r="GY243" s="674">
        <f>IF(N246="BAM",1,IF(T245="",0,1))</f>
        <v>0</v>
      </c>
      <c r="GZ243" s="674">
        <f>IF(N246="BAM",1,IF(U245="",0,1))</f>
        <v>0</v>
      </c>
      <c r="HA243" s="674">
        <f ca="1">IF(N246="BAM",1,IF(__Retrofit_TI_NC&gt;0,1,IF(U246="",0,1)))</f>
        <v>0</v>
      </c>
      <c r="HB243" s="674">
        <f>IF(__Retrofit_TI_NC&lt;&gt;0,1,IF(AF244="",0,1))</f>
        <v>0</v>
      </c>
      <c r="HC243" s="674">
        <f>IF(__Retrofit_TI_NC&lt;&gt;0,1,IF(AG244="",0,1))</f>
        <v>0</v>
      </c>
      <c r="HD243" s="674">
        <f>IF(N246="BAM",1,IF(AF245="",0,1))</f>
        <v>0</v>
      </c>
      <c r="HE243" s="674">
        <f>IF(N246="BAM",1,IF(AG245="",0,1))</f>
        <v>0</v>
      </c>
      <c r="HF243" s="674">
        <f>IF(N246="BAM",1,IF(__Retrofit_TI_NC&gt;0,1,IF(AG246="",0,1)))</f>
        <v>0</v>
      </c>
      <c r="HG243" s="391"/>
      <c r="IA243" s="391"/>
      <c r="IB243" s="1693" t="b">
        <f>IF(OR(IB246=0,IB246=HY$16,IB246=HX$16,IB246=HZ$16),TRUE,FALSE)</f>
        <v>0</v>
      </c>
      <c r="IC243" s="1694" t="b">
        <f>IB243</f>
        <v>0</v>
      </c>
      <c r="ID243" s="391"/>
      <c r="IE243" s="391"/>
      <c r="IF243" s="1688" t="b">
        <f ca="1">IF(MAX(GN246:HU246)&gt;5,FALSE,TRUE)</f>
        <v>0</v>
      </c>
      <c r="IG243" s="1689">
        <f ca="1">IF(IF243=TRUE,AC243,0)</f>
        <v>0</v>
      </c>
      <c r="IH243" s="1689">
        <f ca="1">IG243-IG245</f>
        <v>0</v>
      </c>
      <c r="IK243" s="1689" t="e">
        <f>ROUND(T244*VLOOKUP(U244,Fixtures_Existing_List,2,FALSE)*N244*R244/1000,0)</f>
        <v>#N/A</v>
      </c>
      <c r="IL243" s="1690" t="e">
        <f>IK243-IK245</f>
        <v>#N/A</v>
      </c>
      <c r="IM243" s="1693" t="e">
        <f>ROUND(IF(CQ243="Interior",N245*R245*R244*N244*_C406_reduction/1000,N245*R245*R244*N244/1000),0)</f>
        <v>#N/A</v>
      </c>
      <c r="IN243" s="1693" t="e">
        <f>IM243-IM245</f>
        <v>#N/A</v>
      </c>
      <c r="IP243" s="1679"/>
      <c r="IQ243" s="1679" t="e">
        <f t="shared" ref="IQ243:IU243" si="206">IF($CR243="interior",VLOOKUP($CS243,_New_Control_Savings_Interior,IQ$30,FALSE),VLOOKUP($CS243,Control_Savings_Exterior,IQ$30,FALSE))</f>
        <v>#N/A</v>
      </c>
      <c r="IR243" s="1679" t="e">
        <f t="shared" si="206"/>
        <v>#N/A</v>
      </c>
      <c r="IS243" s="1679" t="e">
        <f t="shared" si="206"/>
        <v>#N/A</v>
      </c>
      <c r="IT243" s="1679" t="e">
        <f t="shared" si="206"/>
        <v>#N/A</v>
      </c>
      <c r="IU243" s="1679" t="e">
        <f t="shared" si="206"/>
        <v>#N/A</v>
      </c>
      <c r="IV243" s="1679" t="e">
        <f>IF($CR243="interior",IF(R244&gt;$IP$14,ROUND(($IV$18*($IP$14/R244)),2),$IV$18),VLOOKUP($CS243,Control_Savings_Exterior,IV$30,FALSE))</f>
        <v>#N/A</v>
      </c>
      <c r="IW243" s="1679" t="e">
        <f>IF($CR243="interior",ROUND(((1-IS243)*IV243)+IS243,2),VLOOKUP($CS243,Control_Savings_Exterior,IW$30,FALSE))</f>
        <v>#N/A</v>
      </c>
      <c r="IX243" s="1679" t="e">
        <f>IF($CR243="interior",ROUND(((1-IT243)*IV243)+IT243,2),VLOOKUP($CS243,Control_Savings_Exterior,IX$30,FALSE))</f>
        <v>#N/A</v>
      </c>
      <c r="IY243" s="1679" t="e">
        <f>IF($CR243="interior",IF(R244&gt;$IP$14,ROUND(($IY$18*($IP$14/R244)),2),$IY$18),VLOOKUP($CS243,Control_Savings_Exterior,IY$30,FALSE))</f>
        <v>#N/A</v>
      </c>
      <c r="IZ243" s="1679" t="e">
        <f>IF($CR243="interior",ROUND(((1-IS243)*IY243)+IS243,2),VLOOKUP($CS243,Control_Savings_Exterior,IZ$30,FALSE))</f>
        <v>#N/A</v>
      </c>
      <c r="JA243" s="1679" t="e">
        <f>IF($CR243="interior",ROUND(((1-IT243)*IY243)+IT243,2),VLOOKUP($CS243,Control_Savings_Exterior,JA$30,FALSE))</f>
        <v>#N/A</v>
      </c>
      <c r="JC243" s="1680">
        <f>IFERROR(IF(CR243="Interior",CONCATENATE(G246," ",FQ243),FQ243),"")</f>
        <v>0</v>
      </c>
      <c r="JD243" s="1670" t="str">
        <f>IFERROR(VLOOKUP(JC243,_Controls_2023,2,FALSE),"")</f>
        <v/>
      </c>
      <c r="JE243" s="1681">
        <f>IFERROR(CHOOSE(JD243-1,IQ243,IR243,IS243,IT243,IU243,IV243,IW243,IX243,IY243,IZ243,JA243),0)</f>
        <v>0</v>
      </c>
      <c r="JG243" s="1680" t="str">
        <f>FE243</f>
        <v xml:space="preserve"> - 0</v>
      </c>
      <c r="JH243" s="1670" t="e">
        <f>$FO243</f>
        <v>#N/A</v>
      </c>
      <c r="JI243" s="1060"/>
      <c r="JJ243" s="1682" t="b">
        <f>IF($JG245=CONCATENATE("Interior - ",JJ$4),TRUE,FALSE)</f>
        <v>0</v>
      </c>
      <c r="JK243" s="1061"/>
      <c r="JL243" s="1682" t="b">
        <f>IF($JG245=CONCATENATE("Interior - ",JL$4),TRUE,FALSE)</f>
        <v>0</v>
      </c>
      <c r="JM243" s="1061"/>
      <c r="JN243" s="1682" t="b">
        <f>IF($JG245=CONCATENATE("Interior - ",JN$4),TRUE,FALSE)</f>
        <v>0</v>
      </c>
      <c r="JO243" s="1061"/>
      <c r="JP243" s="1682" t="b">
        <f>IF(__Retrofit_TI_NC&gt;0,FALSE,IF($JG245=CONCATENATE("Interior - ",JP$4),TRUE,FALSE))</f>
        <v>0</v>
      </c>
      <c r="JQ243" s="1061"/>
      <c r="JR243" s="1682" t="b">
        <f>IF(__Retrofit_TI_NC&gt;0,FALSE,IF($JG245=CONCATENATE("Interior - ",JR$4),TRUE,FALSE))</f>
        <v>0</v>
      </c>
      <c r="JS243" s="1061"/>
      <c r="JT243" s="1670" t="b">
        <f>IF(__Retrofit_TI_NC&gt;0,FALSE,IF($JG245=CONCATENATE("Interior - ",JT$4),TRUE,FALSE))</f>
        <v>0</v>
      </c>
      <c r="JU243" s="1061"/>
      <c r="JV243" s="1670" t="b">
        <f>IF(JC245="AELC on Existing",TRUE,FALSE)</f>
        <v>0</v>
      </c>
      <c r="JX243" s="1670" t="b">
        <f>IF(OR(JG245="Exterior - AELC Occupancy based",JG245="Exterior - AELC Time based"),TRUE,FALSE)</f>
        <v>0</v>
      </c>
      <c r="JZ243" s="1682" t="b">
        <f>IF($JG245=CONCATENATE("Exterior - ",JZ$4),TRUE,FALSE)</f>
        <v>0</v>
      </c>
      <c r="KB243" s="1670" t="b">
        <f>IF(__Retrofit_TI_NC&gt;0,FALSE,IF($JG245=CONCATENATE("Interior - ",KB$4),TRUE,FALSE))</f>
        <v>0</v>
      </c>
    </row>
    <row r="244" spans="1:288" s="78" customFormat="1" ht="14.95" customHeight="1" thickTop="1" thickBot="1">
      <c r="B244" s="1845"/>
      <c r="C244" s="1846"/>
      <c r="D244" s="1847"/>
      <c r="E244" s="1737" t="s">
        <v>297</v>
      </c>
      <c r="F244" s="1738"/>
      <c r="G244" s="1739"/>
      <c r="H244" s="1739"/>
      <c r="I244" s="1739"/>
      <c r="J244" s="1739"/>
      <c r="K244" s="1739"/>
      <c r="L244" s="1739"/>
      <c r="M244" s="461" t="e">
        <f>IF(__Retrofit_TI_NC&lt;&gt;0,IF(VLOOKUP(G245,'Space Table'!$B$3:$L$163,3,FALSE)&gt;0,1,0),IF(__Retrofit_TI_NC=VLOOKUP(G245,'Space Table'!$B$3:$L$163,3,FALSE),1,0))</f>
        <v>#N/A</v>
      </c>
      <c r="N244" s="461" t="str">
        <f>IFERROR(VLOOKUP(G244,_Lookup_Heat_Type_Table_New,2,FALSE),"")</f>
        <v/>
      </c>
      <c r="O244" s="461">
        <f>IF(__Retrofit_TI_NC=1,CONCATENATE("TI ",G244),IF(__Retrofit_TI_NC=2,CONCATENATE("NC ",G244),G244))</f>
        <v>0</v>
      </c>
      <c r="P244" s="1740" t="s">
        <v>435</v>
      </c>
      <c r="Q244" s="1740"/>
      <c r="R244" s="595"/>
      <c r="S244" s="1792"/>
      <c r="T244" s="597"/>
      <c r="U244" s="1765"/>
      <c r="V244" s="1766"/>
      <c r="W244" s="1766"/>
      <c r="X244" s="1766"/>
      <c r="Y244" s="1766"/>
      <c r="Z244" s="1766"/>
      <c r="AA244" s="1766"/>
      <c r="AB244" s="1766"/>
      <c r="AC244" s="1766"/>
      <c r="AD244" s="1767"/>
      <c r="AE244" s="1000"/>
      <c r="AF244" s="597"/>
      <c r="AG244" s="1723"/>
      <c r="AH244" s="1724"/>
      <c r="AI244" s="1724"/>
      <c r="AJ244" s="1724"/>
      <c r="AK244" s="1725"/>
      <c r="AL244" s="996"/>
      <c r="AM244" s="1747"/>
      <c r="AN244" s="1775"/>
      <c r="AO244" s="1777"/>
      <c r="AP244" s="1780"/>
      <c r="AQ244" s="1781"/>
      <c r="AR244" s="1795"/>
      <c r="AS244" s="1795"/>
      <c r="AT244" s="1796"/>
      <c r="AU244" s="1735"/>
      <c r="AV244" s="1752"/>
      <c r="AW244" s="1705"/>
      <c r="AX244" s="467"/>
      <c r="AY244" s="1749"/>
      <c r="AZ244" s="1749"/>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696"/>
      <c r="CQ244" s="1696"/>
      <c r="CR244" s="1809"/>
      <c r="CS244" s="1811"/>
      <c r="CU244" s="1688"/>
      <c r="CV244" s="1703"/>
      <c r="CW244" s="1703"/>
      <c r="CX244" s="1703"/>
      <c r="CY244" s="1815"/>
      <c r="CZ244" s="1711"/>
      <c r="DA244" s="1818"/>
      <c r="DB244" s="1820"/>
      <c r="DC244" s="1820"/>
      <c r="DD244" s="1820"/>
      <c r="DF244" s="1703"/>
      <c r="DG244" s="1831"/>
      <c r="DH244" s="1703"/>
      <c r="DI244" s="1838"/>
      <c r="DJ244" s="1711"/>
      <c r="DK244" s="1712"/>
      <c r="DM244" s="1718"/>
      <c r="DO244" s="1708"/>
      <c r="DQ244" s="1715"/>
      <c r="DR244" s="1720"/>
      <c r="DS244" s="1816"/>
      <c r="DT244" s="1714"/>
      <c r="DU244" s="1715"/>
      <c r="DV244" s="1716"/>
      <c r="DX244" s="1715"/>
      <c r="DY244" s="1720"/>
      <c r="DZ244" s="1715"/>
      <c r="EA244" s="1715"/>
      <c r="EC244" s="1834"/>
      <c r="ED244" s="1834"/>
      <c r="EF244" s="1707"/>
      <c r="EG244" s="1712"/>
      <c r="EH244" s="1818"/>
      <c r="EI244" s="1712"/>
      <c r="EJ244" s="1712"/>
      <c r="EK244" s="1836"/>
      <c r="EL244" s="1836"/>
      <c r="EM244" s="1807"/>
      <c r="EN244" s="1839"/>
      <c r="EO244" s="1839"/>
      <c r="EP244" s="1817"/>
      <c r="EQ244" s="1817"/>
      <c r="ER244" s="1807"/>
      <c r="ES244" s="1807"/>
      <c r="ET244" s="1807"/>
      <c r="EV244" s="1715"/>
      <c r="EX244" s="1805"/>
      <c r="EY244" s="1805"/>
      <c r="EZ244" s="1805"/>
      <c r="FA244" s="1805"/>
      <c r="FB244" s="1805"/>
      <c r="FC244" s="1827"/>
      <c r="FE244" s="1698"/>
      <c r="FG244" s="1816"/>
      <c r="FH244" s="1816"/>
      <c r="FI244" s="133"/>
      <c r="FL244" s="1823"/>
      <c r="FM244" s="1825"/>
      <c r="FN244" s="1698"/>
      <c r="FO244" s="1698"/>
      <c r="FP244" s="1678"/>
      <c r="FQ244" s="1678"/>
      <c r="FS244" s="1687"/>
      <c r="FT244" s="1687"/>
      <c r="FU244" s="1685"/>
      <c r="FV244" s="1687"/>
      <c r="FW244" s="1687"/>
      <c r="FX244" s="1687"/>
      <c r="FY244" s="1697"/>
      <c r="GA244" s="1696"/>
      <c r="GB244" s="1696"/>
      <c r="GC244" s="1696"/>
      <c r="GD244" s="1696"/>
      <c r="GE244" s="1696"/>
      <c r="GF244" s="1696"/>
      <c r="GG244" s="1696"/>
      <c r="GH244" s="1696"/>
      <c r="GI244" s="673"/>
      <c r="GJ244" s="1135"/>
      <c r="GK244" s="1832"/>
      <c r="GM244" s="1693" t="b">
        <f ca="1">IF(AND(GP244=TRUE,GQ244=TRUE),TRUE,FALSE)</f>
        <v>0</v>
      </c>
      <c r="GN244" s="1684" t="b">
        <f>IFERROR(IF(__Retrofit_TI_NC=2,TRUE,IF(AU243="Yes",TRUE,FALSE)),FALSE)</f>
        <v>1</v>
      </c>
      <c r="GP244" s="1684" t="b">
        <f>IFERROR(IF(GP243=1,TRUE,FALSE),FALSE)</f>
        <v>0</v>
      </c>
      <c r="GQ244" s="1684" t="b">
        <f ca="1">IFERROR(IF(GQ243=GQ$14,TRUE,FALSE),FALSE)</f>
        <v>0</v>
      </c>
      <c r="HG244" s="1684" t="b">
        <f>IFERROR(IF(AND(__Retrofit_TI_NC&gt;0,CQ243="Interior"),FALSE,TRUE),FALSE)</f>
        <v>1</v>
      </c>
      <c r="HH244" s="1684" t="b">
        <f>IFERROR(IF(M244=1,TRUE,FALSE),FALSE)</f>
        <v>0</v>
      </c>
      <c r="HI244" s="1684" t="b">
        <f>IFERROR(IF(OR(M245=1,N246="BAM"),TRUE,FALSE),FALSE)</f>
        <v>0</v>
      </c>
      <c r="HJ244" s="1684" t="b">
        <f>IFERROR(IF(__Retrofit_TI_NC&lt;&gt;0,TRUE,IFERROR(IF(VLOOKUP(U244,Fixtures_Existing_List,2,FALSE)&lt;&gt;"",TRUE,FALSE),FALSE)),FALSE)</f>
        <v>0</v>
      </c>
      <c r="HK244" s="1684" t="b">
        <f>IFERROR(IF(VLOOKUP(U245,Fixtures_Proposed_List,2,FALSE)&lt;&gt;"",TRUE,FALSE),FALSE)</f>
        <v>0</v>
      </c>
      <c r="HL244" s="1684" t="b">
        <f>IF(AND(__Retrofit_TI_NC=2,FC243=TRUE),FALSE,TRUE)</f>
        <v>1</v>
      </c>
      <c r="HM244" s="1684" t="b">
        <f>GK243</f>
        <v>1</v>
      </c>
      <c r="HN244" s="1682" t="b">
        <f>IF(ISERROR(MATCH(FE243,_Control_Match[],0))=TRUE,FALSE,TRUE)</f>
        <v>0</v>
      </c>
      <c r="HO244" s="1693" t="b">
        <f>IFERROR(IF(EX243&lt;&gt;EY243,FALSE,TRUE),FALSE)</f>
        <v>1</v>
      </c>
      <c r="HP244" s="1693" t="b">
        <f>IFERROR(IF(EX245&lt;&gt;EY245,FALSE,TRUE),FALSE)</f>
        <v>1</v>
      </c>
      <c r="HQ244" s="1670" t="b">
        <f>IFERROR(IF(CQ243="Exterior",TRUE,IF(AND(OR(FM245=0,FM245=3),JD245&gt;6),FALSE,TRUE)),FALSE)</f>
        <v>0</v>
      </c>
      <c r="HR244" s="1684" t="b">
        <f>IFERROR(IF(AND(FO245=7,FC243=TRUE),FALSE,TRUE),FALSE)</f>
        <v>0</v>
      </c>
      <c r="HS244" s="1684" t="b">
        <f>IFERROR(IF(AND(T245&lt;&gt;AF245,OR(AG245="Interior LLLC", AG245="Interior NLC", AG245="LLLC (outside Daylight)",AG245="LLLC Controls Only"))=TRUE,FALSE,TRUE),FALSE)</f>
        <v>1</v>
      </c>
      <c r="HT244" s="1670" t="b">
        <f>IFERROR(IF(OR(AG245=Lookup!BB$17,AG245=Lookup!BB$18,AG245=Lookup!BB$19)=TRUE,IF(AF245&gt;T245,FALSE,TRUE),TRUE),FALSE)</f>
        <v>1</v>
      </c>
      <c r="HU244" s="1684" t="b">
        <f>IFERROR(IF(__Retrofit_TI_NC=2,IF(EZ245&lt;EZ243,FALSE,TRUE),TRUE),FALSE)</f>
        <v>1</v>
      </c>
      <c r="HV244" s="1684" t="b">
        <f>IF(CQ243="Interior",IL$6,TRUE)</f>
        <v>1</v>
      </c>
      <c r="HW244" s="1684" t="b">
        <f>IF(CQ243="Exterior",IL$8,TRUE)</f>
        <v>1</v>
      </c>
      <c r="HX244" s="1684" t="b">
        <f>IFERROR(IF(__Retrofit_TI_NC&lt;&gt;0,IF(AZ243&lt;AY243,FALSE,TRUE),TRUE),FALSE)</f>
        <v>1</v>
      </c>
      <c r="HY244" s="1684" t="b">
        <f>IFERROR(IF(AND(G244="Exterior",R244&gt;4200),FALSE,TRUE),FALSE)</f>
        <v>1</v>
      </c>
      <c r="HZ244" s="1684" t="b">
        <f>IFERROR(IF(AB246/AB243&lt;HZ$18,FALSE,TRUE),FALSE)</f>
        <v>0</v>
      </c>
      <c r="IB244" s="1691"/>
      <c r="IC244" s="1695"/>
      <c r="ID244" s="1694" t="str">
        <f>VLOOKUP(IB246,_Error_Table,4,FALSE)</f>
        <v>White</v>
      </c>
      <c r="IE244" s="391"/>
      <c r="IF244" s="1688"/>
      <c r="IG244" s="1689"/>
      <c r="IH244" s="1684"/>
      <c r="IK244" s="1689"/>
      <c r="IL244" s="1691"/>
      <c r="IM244" s="1691"/>
      <c r="IN244" s="1691"/>
      <c r="IP244" s="1679"/>
      <c r="IQ244" s="1679"/>
      <c r="IR244" s="1679"/>
      <c r="IS244" s="1679"/>
      <c r="IT244" s="1679"/>
      <c r="IU244" s="1679"/>
      <c r="IV244" s="1679"/>
      <c r="IW244" s="1679"/>
      <c r="IX244" s="1679"/>
      <c r="IY244" s="1679"/>
      <c r="IZ244" s="1679"/>
      <c r="JA244" s="1679"/>
      <c r="JC244" s="1680"/>
      <c r="JD244" s="1670"/>
      <c r="JE244" s="1681"/>
      <c r="JG244" s="1680"/>
      <c r="JH244" s="1670"/>
      <c r="JI244" s="1060"/>
      <c r="JJ244" s="1683"/>
      <c r="JK244" s="1061"/>
      <c r="JL244" s="1683"/>
      <c r="JM244" s="1061"/>
      <c r="JN244" s="1683"/>
      <c r="JO244" s="1061"/>
      <c r="JP244" s="1683"/>
      <c r="JQ244" s="1061"/>
      <c r="JR244" s="1683"/>
      <c r="JS244" s="1061"/>
      <c r="JT244" s="1670"/>
      <c r="JU244" s="1061"/>
      <c r="JV244" s="1670"/>
      <c r="JX244" s="1670"/>
      <c r="JZ244" s="1683"/>
      <c r="KB244" s="1670"/>
    </row>
    <row r="245" spans="1:288" s="78" customFormat="1" ht="14.95" customHeight="1" thickTop="1" thickBot="1">
      <c r="A245" s="78">
        <f>ROW()</f>
        <v>245</v>
      </c>
      <c r="B245" s="1845"/>
      <c r="C245" s="1846"/>
      <c r="D245" s="1847"/>
      <c r="E245" s="1737" t="s">
        <v>298</v>
      </c>
      <c r="F245" s="1738"/>
      <c r="G245" s="1760"/>
      <c r="H245" s="1761"/>
      <c r="I245" s="1761"/>
      <c r="J245" s="1761"/>
      <c r="K245" s="1761"/>
      <c r="L245" s="1762"/>
      <c r="M245" s="461">
        <f>IFERROR(IF(IF(__Retrofit_TI_NC&lt;&gt;0,IF(CQ243="Interior",MATCH(G245,Lookup_Interior_New,0),MATCH(G245,Lookup_Exterior_New,0)),IF(CQ243="Interior",MATCH(G245,Lookup_Interior,0),MATCH(G245,Lookup_Exterior_Areas,0)))&gt;0,1,0),0)</f>
        <v>0</v>
      </c>
      <c r="N245" s="461" t="e">
        <f>IF(__Retrofit_TI_NC=1,
VLOOKUP(G245,'Space Table'!$B$3:$L$163,4,FALSE),
IF(__Retrofit_TI_NC=2,VLOOKUP(G245,'Space Table'!$B$3:$L$163,5,FALSE),VLOOKUP(G245,'Space Table'!$B$3:$L$163,5,FALSE)))</f>
        <v>#N/A</v>
      </c>
      <c r="O245" s="461">
        <f>G245</f>
        <v>0</v>
      </c>
      <c r="P245" s="1738" t="str">
        <f>IFERROR(IF(__Retrofit_TI_NC=1,VLOOKUP(G245,'Space Table'!$B$3:$O$163,13,FALSE),IF(__Retrofit_TI_NC=2,VLOOKUP(G245,'Space Table'!$B$3:$O$163,14,FALSE),"Area (sf):")),"Area (sf):")</f>
        <v>Area (sf):</v>
      </c>
      <c r="Q245" s="1738"/>
      <c r="R245" s="596"/>
      <c r="S245" s="1763" t="s">
        <v>345</v>
      </c>
      <c r="T245" s="594"/>
      <c r="U245" s="1801"/>
      <c r="V245" s="1802"/>
      <c r="W245" s="1802"/>
      <c r="X245" s="1802"/>
      <c r="Y245" s="1802"/>
      <c r="Z245" s="1802"/>
      <c r="AA245" s="1802"/>
      <c r="AB245" s="1802"/>
      <c r="AC245" s="1802"/>
      <c r="AD245" s="1802"/>
      <c r="AE245" s="1803"/>
      <c r="AF245" s="594"/>
      <c r="AG245" s="1787"/>
      <c r="AH245" s="1787"/>
      <c r="AI245" s="1787"/>
      <c r="AJ245" s="1787"/>
      <c r="AK245" s="1787"/>
      <c r="AL245" s="1787"/>
      <c r="AM245" s="1726">
        <f>IFERROR(DI245,"")</f>
        <v>0</v>
      </c>
      <c r="AN245" s="1728" t="str">
        <f>IFERROR(ROUND(AM245*AC246,0),"")</f>
        <v/>
      </c>
      <c r="AO245" s="1730">
        <f>IFERROR(IF(IB243=FALSE,0,AC246-AN245),0)</f>
        <v>0</v>
      </c>
      <c r="AP245" s="1780"/>
      <c r="AQ245" s="1781"/>
      <c r="AR245" s="1795"/>
      <c r="AS245" s="1795"/>
      <c r="AT245" s="1796"/>
      <c r="AU245" s="1735"/>
      <c r="AV245" s="1752"/>
      <c r="AW245" s="1705"/>
      <c r="AX245" s="467"/>
      <c r="AY245" s="1749"/>
      <c r="AZ245" s="1749"/>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696"/>
      <c r="CQ245" s="1696"/>
      <c r="CR245" s="1808" t="str">
        <f>CQ243</f>
        <v/>
      </c>
      <c r="CS245" s="1810" t="str">
        <f>CS243</f>
        <v/>
      </c>
      <c r="CU245" s="1688" t="s">
        <v>345</v>
      </c>
      <c r="CV245" s="1702">
        <f>IF(IB243=TRUE,T245,0)</f>
        <v>0</v>
      </c>
      <c r="CW245" s="1702" t="str">
        <f>IF(IB243=TRUE,U245,"")</f>
        <v/>
      </c>
      <c r="CX245" s="1812">
        <f>IF(IB243=TRUE,U246,0)</f>
        <v>0</v>
      </c>
      <c r="CY245" s="1814">
        <f>IF(IB243=TRUE,AB246,0)</f>
        <v>0</v>
      </c>
      <c r="CZ245" s="1710">
        <f>IF(AND(__Retrofit_TI_NC&gt;0,CR243="interior"),0,IF(IB243=TRUE,AC246,0))</f>
        <v>0</v>
      </c>
      <c r="DA245" s="1818"/>
      <c r="DB245" s="1820"/>
      <c r="DC245" s="1820"/>
      <c r="DD245" s="1820"/>
      <c r="DF245" s="1702">
        <f>IF(IB243=TRUE,AF245,0)</f>
        <v>0</v>
      </c>
      <c r="DG245" s="1830" t="str">
        <f>IF(IB243=TRUE,AG245,"")</f>
        <v/>
      </c>
      <c r="DH245" s="1812">
        <f>AG246</f>
        <v>0</v>
      </c>
      <c r="DI245" s="1837">
        <f>JE245</f>
        <v>0</v>
      </c>
      <c r="DJ245" s="1710">
        <f>IF(AND(__Retrofit_TI_NC&gt;0,CR243="interior"),0,IF(IB243=TRUE,AN245,0))</f>
        <v>0</v>
      </c>
      <c r="DK245" s="1712"/>
      <c r="DN245" s="1717">
        <f>IFERROR(CZ245-DJ245,0)</f>
        <v>0</v>
      </c>
      <c r="DO245" s="1709"/>
      <c r="DQ245" s="1715"/>
      <c r="DR245" s="1719" t="str">
        <f>DQ243</f>
        <v/>
      </c>
      <c r="DS245" s="1816"/>
      <c r="DT245" s="1835" t="str">
        <f>IF(OR(DS243=7,DS243=8,DS243=9),"ALC","")</f>
        <v/>
      </c>
      <c r="DU245" s="1715"/>
      <c r="DV245" s="1716"/>
      <c r="DX245" s="1715"/>
      <c r="DY245" s="1829" t="str">
        <f>DX243</f>
        <v/>
      </c>
      <c r="DZ245" s="1715"/>
      <c r="EA245" s="1715"/>
      <c r="EC245" s="1834"/>
      <c r="ED245" s="1834"/>
      <c r="EF245" s="1707"/>
      <c r="EG245" s="1712"/>
      <c r="EH245" s="1818"/>
      <c r="EI245" s="1712"/>
      <c r="EJ245" s="1712"/>
      <c r="EK245" s="1836"/>
      <c r="EL245" s="1836"/>
      <c r="EM245" s="1807"/>
      <c r="EN245" s="1839"/>
      <c r="EO245" s="1839"/>
      <c r="EP245" s="1817"/>
      <c r="EQ245" s="1817"/>
      <c r="ER245" s="1807"/>
      <c r="ES245" s="1807"/>
      <c r="ET245" s="1807"/>
      <c r="EV245" s="1715"/>
      <c r="EX245" s="1805" t="str">
        <f>IFERROR(VLOOKUP(CS245,'Space Table'!$B$3:$L$163,8,FALSE),"")</f>
        <v/>
      </c>
      <c r="EY245" s="1805" t="str">
        <f>IFERROR(IF(FB245="Yes",VLOOKUP(AG245,Lookup_Control_Type_Table2,4,FALSE),VLOOKUP(AG245,Lookup_Control_Type_Table2,3,FALSE)),"")</f>
        <v/>
      </c>
      <c r="EZ245" s="1805" t="e">
        <f>VLOOKUP(AG245,Lookup!BB$3:BC$20,2,FALSE)</f>
        <v>#N/A</v>
      </c>
      <c r="FA245" s="1805" t="e">
        <f>VLOOKUP(EX243,Lookup_Control_Type_Table,2,FALSE)</f>
        <v>#N/A</v>
      </c>
      <c r="FB245" s="1805" t="e">
        <f>VLOOKUP(CS245,'Space Table'!$B$3:$L$163,7,FALSE)</f>
        <v>#N/A</v>
      </c>
      <c r="FC245" s="1827"/>
      <c r="FE245" s="1698" t="str">
        <f>CONCATENATE(CQ243," - ",AG245)</f>
        <v xml:space="preserve"> - </v>
      </c>
      <c r="FG245" s="1816"/>
      <c r="FH245" s="1816"/>
      <c r="FI245" s="133"/>
      <c r="FL245" s="1822" t="str">
        <f>IF(CQ243="Exterior","Not Daylighted",G246)</f>
        <v>Not Daylighted</v>
      </c>
      <c r="FM245" s="1824">
        <f>VLOOKUP(FL245,_New_Daylight_Table_Codes,2,FALSE)</f>
        <v>0</v>
      </c>
      <c r="FN245" s="1698">
        <f>AG245</f>
        <v>0</v>
      </c>
      <c r="FO245" s="1698" t="e">
        <f>VLOOKUP(FN245,_Control_Table,2,FALSE)</f>
        <v>#N/A</v>
      </c>
      <c r="FP245" s="1678" t="e">
        <f>VLOOKUP(CONCATENATE(FL245," ",FN245),Lookup!AY$102:AZ256,2,FALSE)</f>
        <v>#N/A</v>
      </c>
      <c r="FQ245" s="1698">
        <f>IF(__Retrofit_TI_NC=0,FN245,IF(AND(FT245&gt;0,FN245="Occupancy Sensor"),"Daylight + Occupancy",IF(AND(FT245&gt;0,FO245&lt;4),"Interior Daylight Dimming",FN245)))</f>
        <v>0</v>
      </c>
      <c r="FS245" s="1686">
        <f>IF(CQ243="Interior",VLOOKUP(CS243,Control_Savings_Interior,5,FALSE),0)</f>
        <v>0</v>
      </c>
      <c r="FT245" s="1687">
        <f>IF(CQ245="Exterior",0,IF(FM245=2,0.5,IF(OR(FM245=1,FM245=3),1,0)))</f>
        <v>0</v>
      </c>
      <c r="FU245" s="1685">
        <f>IF(R244&gt;FS$44,(FS245*(FS$44/R244)),FS245)*FT245</f>
        <v>0</v>
      </c>
      <c r="FV245" s="1686">
        <f>DI245</f>
        <v>0</v>
      </c>
      <c r="FW245" s="1686">
        <f>ROUND(FV245+((1-FV245)*FU245),2)</f>
        <v>0</v>
      </c>
      <c r="FX245" s="1686">
        <f>IF(__Retrofit_TI_NC=2,FW245,FV245)</f>
        <v>0</v>
      </c>
      <c r="FY245" s="1697">
        <f>IF(CR245="Interior",VLOOKUP(CS245,Control_Savings_Interior,4,FALSE),0)</f>
        <v>0</v>
      </c>
      <c r="GA245" s="1696"/>
      <c r="GB245" s="1696"/>
      <c r="GC245" s="1696"/>
      <c r="GD245" s="1696"/>
      <c r="GE245" s="1696"/>
      <c r="GF245" s="1696"/>
      <c r="GG245" s="1696"/>
      <c r="GH245" s="1696"/>
      <c r="GI245" s="673" t="b">
        <f>IF(ISNUMBER(SEARCH("TLED",U245)),TRUE,FALSE)</f>
        <v>0</v>
      </c>
      <c r="GJ245" s="1135" t="str">
        <f>IFERROR(VLOOKUP(U245,Fixtures!DM$93:DR$142,6,FALSE),"")</f>
        <v/>
      </c>
      <c r="GK245" s="1832"/>
      <c r="GM245" s="1692"/>
      <c r="GN245" s="1684"/>
      <c r="GP245" s="1684"/>
      <c r="GQ245" s="1684"/>
      <c r="HG245" s="1684"/>
      <c r="HH245" s="1684"/>
      <c r="HI245" s="1684"/>
      <c r="HJ245" s="1684"/>
      <c r="HK245" s="1684"/>
      <c r="HL245" s="1684"/>
      <c r="HM245" s="1684"/>
      <c r="HN245" s="1683"/>
      <c r="HO245" s="1692"/>
      <c r="HP245" s="1692"/>
      <c r="HQ245" s="1670"/>
      <c r="HR245" s="1684"/>
      <c r="HS245" s="1684"/>
      <c r="HT245" s="1670"/>
      <c r="HU245" s="1684"/>
      <c r="HV245" s="1684"/>
      <c r="HW245" s="1684"/>
      <c r="HX245" s="1684"/>
      <c r="HY245" s="1684"/>
      <c r="HZ245" s="1684"/>
      <c r="IB245" s="1692"/>
      <c r="IC245" s="1693" t="b">
        <f>IB243</f>
        <v>0</v>
      </c>
      <c r="ID245" s="1695"/>
      <c r="IE245" s="391"/>
      <c r="IF245" s="1688"/>
      <c r="IG245" s="1689">
        <f ca="1">IF(IF243=TRUE,AC246,0)</f>
        <v>0</v>
      </c>
      <c r="IH245" s="1684"/>
      <c r="IK245" s="1689" t="e">
        <f>ROUND(T245*AB246*N244*R244/1000,0)</f>
        <v>#VALUE!</v>
      </c>
      <c r="IL245" s="1691"/>
      <c r="IM245" s="1693" t="e">
        <f>ROUND(T245*AB246*N244*R244/1000,0)</f>
        <v>#VALUE!</v>
      </c>
      <c r="IN245" s="1691"/>
      <c r="IP245" s="1679"/>
      <c r="IQ245" s="1679" t="e">
        <f t="shared" ref="IQ245:IU245" si="207">IF($CR245="interior",VLOOKUP($CS245,_New_Control_Savings_Interior,IQ$30,FALSE),VLOOKUP($CS245,Control_Savings_Exterior,IQ$30,FALSE))</f>
        <v>#N/A</v>
      </c>
      <c r="IR245" s="1679" t="e">
        <f t="shared" si="207"/>
        <v>#N/A</v>
      </c>
      <c r="IS245" s="1679" t="e">
        <f t="shared" si="207"/>
        <v>#N/A</v>
      </c>
      <c r="IT245" s="1679" t="e">
        <f t="shared" si="207"/>
        <v>#N/A</v>
      </c>
      <c r="IU245" s="1679" t="e">
        <f t="shared" si="207"/>
        <v>#N/A</v>
      </c>
      <c r="IV245" s="1679" t="e">
        <f>IF($CR245="interior",IF(R244&gt;$IP$14,ROUND(($IV$18*($IP$14/R244)),2),$IV$18),VLOOKUP($CS245,Control_Savings_Exterior,IV$30,FALSE))</f>
        <v>#N/A</v>
      </c>
      <c r="IW245" s="1679" t="e">
        <f>IF($CR245="interior",ROUND(((1-IS245)*IV245)+IS245,2),VLOOKUP($CS245,Control_Savings_Exterior,IW$30,FALSE))</f>
        <v>#N/A</v>
      </c>
      <c r="IX245" s="1679" t="e">
        <f>IF($CR245="interior",ROUND(((1-IT245)*IV245)+IT245,2),VLOOKUP($CS245,Control_Savings_Exterior,IX$30,FALSE))</f>
        <v>#N/A</v>
      </c>
      <c r="IY245" s="1679" t="e">
        <f>IF($CR245="interior",IF(R244&gt;$IP$14,ROUND(($IY$18*($IP$14/R244)),2),$IY$18),VLOOKUP($CS245,Control_Savings_Exterior,IY$30,FALSE))</f>
        <v>#N/A</v>
      </c>
      <c r="IZ245" s="1679" t="e">
        <f>IF($CR245="interior",ROUND(((1-IS245)*IY245)+IS245,2),VLOOKUP($CS245,Control_Savings_Exterior,IZ$30,FALSE))</f>
        <v>#N/A</v>
      </c>
      <c r="JA245" s="1679" t="e">
        <f>IF($CR245="interior",ROUND(((1-IT245)*IY245)+IT245,2),VLOOKUP($CS245,Control_Savings_Exterior,JA$30,FALSE))</f>
        <v>#N/A</v>
      </c>
      <c r="JC245" s="1680">
        <f>IFERROR(IF(CR245="Interior",CONCATENATE(G246," ",FQ245),AG245),"")</f>
        <v>0</v>
      </c>
      <c r="JD245" s="1670" t="str">
        <f>IFERROR(VLOOKUP(JC245,_Controls_2023,2,FALSE),"")</f>
        <v/>
      </c>
      <c r="JE245" s="1681">
        <f>IFERROR(CHOOSE(JD245-1,IQ245,IR245,IS245,IT245,IU245,IV245,IW245,IX245,IY245,IZ245,JA245),0)</f>
        <v>0</v>
      </c>
      <c r="JG245" s="1680" t="str">
        <f>FE245</f>
        <v xml:space="preserve"> - </v>
      </c>
      <c r="JH245" s="1670" t="e">
        <f>$FO245</f>
        <v>#N/A</v>
      </c>
      <c r="JI245" s="1060"/>
      <c r="JJ245" s="1670">
        <f>IFERROR(IF($IB243=TRUE,IF(OR(JJ$14="No",JJ243=FALSE,JH245&lt;=JH243,AND(_kWh_Grant=0,GD243=FALSE)),0,IF(JJ$8="Per Line",1,$AF245)),0),0)</f>
        <v>0</v>
      </c>
      <c r="JK245" s="1061"/>
      <c r="JL245" s="1670">
        <f>IFERROR(IF(_kWh_Grant=0,0,IF($IB243=TRUE,IF(OR(JL$14="No",JL243=FALSE,JH245&lt;=JH243),0,IF(JL$8="Per Line",1,$T245)),0)),0)</f>
        <v>0</v>
      </c>
      <c r="JM245" s="1061"/>
      <c r="JN245" s="1670">
        <f>IFERROR(IF(_kWh_Grant=0,0,IF($IB243=TRUE,IF(OR(JN$14="No",JN243=FALSE,JH245&lt;=JH243),0,IF(JN$8="Per Line",1,$AF245)),0)),0)</f>
        <v>0</v>
      </c>
      <c r="JO245" s="1061"/>
      <c r="JP245" s="1670">
        <f>IFERROR(IF(__Retrofit_TI_NC=0,IF(_kWh_Grant=0,0,IF($IB243=TRUE,IF(OR(JP$14="No",JP243=FALSE,$JH245&lt;=$JH243),0,IF(JP$8="Per Line",1,$AF245)),0)),IF($IB243=TRUE,IF(OR(JP$14="No",JP243=FALSE,$JH245&lt;=$JH243),0,IF(JP$8="Per Line",1,$AF245)))),0)</f>
        <v>0</v>
      </c>
      <c r="JQ245" s="1061"/>
      <c r="JR245" s="1670">
        <f>IFERROR(IF(__Retrofit_TI_NC=0,IF(_kWh_Grant=0,0,IF($IB243=TRUE,IF(OR(JR$14="No",JR243=FALSE,$JH245&lt;=$JH243),0,IF(JR$8="Per Line",1,$AF245)),0)),IF($IB243=TRUE,IF(OR(JR$14="No",JR243=FALSE,$JH245&lt;=$JH243),0,IF(JR$8="Per Line",1,$AF245)))),0)</f>
        <v>0</v>
      </c>
      <c r="JS245" s="1061"/>
      <c r="JT245" s="1670">
        <f>IFERROR(IF(__Retrofit_TI_NC=0,IF(_kWh_Grant=0,0,IF($IB243=TRUE,IF(OR(JT$14="No",JT243=FALSE,$JH245&lt;=$JH243),0,IF(JT$8="Per Line",1,$AF245)),0)),IF($IB243=TRUE,IF(OR(JT$14="No",JT243=FALSE,$JH245&lt;=$JH243),0,IF(JT$8="Per Line",1,$AF245)))),0)</f>
        <v>0</v>
      </c>
      <c r="JU245" s="1061"/>
      <c r="JV245" s="1670">
        <f>IFERROR(IF(__Retrofit_TI_NC=0,IF(_kWh_Grant=0,0,IF($IB243=TRUE,IF(OR(JV$14="No",JV243=FALSE,$JH245&lt;=$JH243),0,IF(JV$8="Per Line",1,$AF245)),0)),IF($IB243=TRUE,IF(OR(JV$14="No",JV243=FALSE,$JH245&lt;=$JH243),0,IF(JV$8="Per Line",1,$AF245)))),0)</f>
        <v>0</v>
      </c>
      <c r="JX245" s="1670">
        <f>IFERROR(IF(__Retrofit_TI_NC=0,IF(_kWh_Grant=0,0,IF($IB243=TRUE,IF(OR(JX$14="No",JX243=FALSE,$JH245&lt;=$JH243),0,IF(JX$8="Per Line",1,$AF245)),0)),IF($IB243=TRUE,IF(OR(JX$14="No",JX243=FALSE,$JH245&lt;=$JH243),0,IF(JX$8="Per Line",1,$AF245)))),0)</f>
        <v>0</v>
      </c>
      <c r="JZ245" s="1670">
        <f>IFERROR(IF($IB243=TRUE,IF(OR(JZ$14="No",JZ243=FALSE,$JH245&lt;=$JH243,AND(_kWh_Grant=0,$GD243=FALSE)),0,IF(JZ$8="Per Line",1,$AF245)),0),0)</f>
        <v>0</v>
      </c>
      <c r="KB245" s="1670">
        <f>IFERROR(IF(__Retrofit_TI_NC=0,IF(_kWh_Grant=0,0,IF($IB243=TRUE,IF(OR(KB$14="No",KB243=FALSE,$JH245&lt;=$JH243),0,IF(KB$8="Per Line",1,$AF245)),0)),IF($IB243=TRUE,IF(OR(KB$14="No",KB243=FALSE,$JH245&lt;=$JH243),0,IF(KB$8="Per Line",1,$AF245)))),0)</f>
        <v>0</v>
      </c>
    </row>
    <row r="246" spans="1:288" s="78" customFormat="1" ht="14.95" customHeight="1" thickTop="1" thickBot="1">
      <c r="B246" s="1845"/>
      <c r="C246" s="1846"/>
      <c r="D246" s="1847"/>
      <c r="E246" s="1771" t="s">
        <v>436</v>
      </c>
      <c r="F246" s="1772"/>
      <c r="G246" s="1784" t="s">
        <v>437</v>
      </c>
      <c r="H246" s="1785"/>
      <c r="I246" s="1785"/>
      <c r="J246" s="1785"/>
      <c r="K246" s="1785"/>
      <c r="L246" s="1786"/>
      <c r="M246" s="591">
        <f>IFERROR(VLOOKUP(G246,_Daylight_Table[],2,FALSE),0)</f>
        <v>0</v>
      </c>
      <c r="N246" s="592" t="str">
        <f>IF(AND(__Retrofit_TI_NC&gt;0,CQ243="Interior"),"BAM","")</f>
        <v/>
      </c>
      <c r="O246" s="591" t="e">
        <f>VLOOKUP(G245,'Space Table'!$B$3:$L$163,11,FALSE)</f>
        <v>#N/A</v>
      </c>
      <c r="P246" s="1789"/>
      <c r="Q246" s="1790"/>
      <c r="R246" s="1790"/>
      <c r="S246" s="1788"/>
      <c r="T246" s="593" t="s">
        <v>342</v>
      </c>
      <c r="U246" s="1756" t="str" cm="1">
        <f t="array" aca="1" ref="U246" ca="1">IFERROR(VLOOKUP(INDIRECT("U" &amp; ROW()-1),Fixtures!DM$93:DP$142,4,FALSE),"")</f>
        <v/>
      </c>
      <c r="V246" s="1757"/>
      <c r="W246" s="1757"/>
      <c r="X246" s="1757"/>
      <c r="Y246" s="1757"/>
      <c r="Z246" s="1757"/>
      <c r="AA246" s="1758"/>
      <c r="AB246" s="939" t="str">
        <f>IFERROR(VLOOKUP(U245,Fixtures_Proposed_List,2,FALSE),"")</f>
        <v/>
      </c>
      <c r="AC246" s="933" t="str">
        <f>IFERROR(ROUND(T245*AB246*N244*R244/1000,0),"")</f>
        <v/>
      </c>
      <c r="AD246" s="934" t="str">
        <f>IFERROR(ROUND(T245*AB246/1000,2),"")</f>
        <v/>
      </c>
      <c r="AE246" s="998"/>
      <c r="AF246" s="938" t="s">
        <v>342</v>
      </c>
      <c r="AG246" s="1770"/>
      <c r="AH246" s="1770"/>
      <c r="AI246" s="1770"/>
      <c r="AJ246" s="1770"/>
      <c r="AK246" s="1770"/>
      <c r="AL246" s="1770"/>
      <c r="AM246" s="1727"/>
      <c r="AN246" s="1729"/>
      <c r="AO246" s="1731"/>
      <c r="AP246" s="1782"/>
      <c r="AQ246" s="1783"/>
      <c r="AR246" s="1797"/>
      <c r="AS246" s="1797"/>
      <c r="AT246" s="1798"/>
      <c r="AU246" s="1736"/>
      <c r="AV246" s="1753"/>
      <c r="AW246" s="1706"/>
      <c r="AX246" s="468"/>
      <c r="AY246" s="1750"/>
      <c r="AZ246" s="1750"/>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696"/>
      <c r="CQ246" s="1696"/>
      <c r="CR246" s="1809"/>
      <c r="CS246" s="1811"/>
      <c r="CU246" s="1688"/>
      <c r="CV246" s="1703"/>
      <c r="CW246" s="1703"/>
      <c r="CX246" s="1813"/>
      <c r="CY246" s="1815"/>
      <c r="CZ246" s="1711"/>
      <c r="DA246" s="1815"/>
      <c r="DB246" s="1821"/>
      <c r="DC246" s="1821"/>
      <c r="DD246" s="1821"/>
      <c r="DF246" s="1703"/>
      <c r="DG246" s="1831"/>
      <c r="DH246" s="1813"/>
      <c r="DI246" s="1838"/>
      <c r="DJ246" s="1711"/>
      <c r="DK246" s="1712"/>
      <c r="DN246" s="1718"/>
      <c r="DO246" s="1709"/>
      <c r="DQ246" s="1715"/>
      <c r="DR246" s="1720"/>
      <c r="DS246" s="1703"/>
      <c r="DT246" s="1714"/>
      <c r="DU246" s="1715"/>
      <c r="DV246" s="1716"/>
      <c r="DX246" s="1715"/>
      <c r="DY246" s="1720"/>
      <c r="DZ246" s="1715"/>
      <c r="EA246" s="1715"/>
      <c r="EC246" s="1834"/>
      <c r="ED246" s="1834"/>
      <c r="EF246" s="1707"/>
      <c r="EG246" s="1712"/>
      <c r="EH246" s="1815"/>
      <c r="EI246" s="1712"/>
      <c r="EJ246" s="1712"/>
      <c r="EK246" s="1813"/>
      <c r="EL246" s="1813"/>
      <c r="EM246" s="1807"/>
      <c r="EN246" s="1839"/>
      <c r="EO246" s="1839"/>
      <c r="EP246" s="1817"/>
      <c r="EQ246" s="1817"/>
      <c r="ER246" s="1807"/>
      <c r="ES246" s="1807"/>
      <c r="ET246" s="1807"/>
      <c r="EV246" s="1715"/>
      <c r="EX246" s="1806"/>
      <c r="EY246" s="1806"/>
      <c r="EZ246" s="1806"/>
      <c r="FA246" s="1806"/>
      <c r="FB246" s="1806"/>
      <c r="FC246" s="1828"/>
      <c r="FE246" s="1698"/>
      <c r="FG246" s="1703"/>
      <c r="FH246" s="1703"/>
      <c r="FI246" s="133"/>
      <c r="FL246" s="1823"/>
      <c r="FM246" s="1825"/>
      <c r="FN246" s="1698"/>
      <c r="FO246" s="1698"/>
      <c r="FP246" s="1678"/>
      <c r="FQ246" s="1698"/>
      <c r="FS246" s="1687"/>
      <c r="FT246" s="1687"/>
      <c r="FU246" s="1685"/>
      <c r="FV246" s="1687"/>
      <c r="FW246" s="1687"/>
      <c r="FX246" s="1687"/>
      <c r="FY246" s="1697"/>
      <c r="GA246" s="1696"/>
      <c r="GB246" s="1696"/>
      <c r="GC246" s="1696"/>
      <c r="GD246" s="1696"/>
      <c r="GE246" s="1696"/>
      <c r="GF246" s="1696"/>
      <c r="GG246" s="1696"/>
      <c r="GH246" s="1696"/>
      <c r="GI246" s="673"/>
      <c r="GJ246" s="1135"/>
      <c r="GK246" s="1832"/>
      <c r="GN246" s="674">
        <f>IF(GN244=TRUE,0,GN$16)</f>
        <v>0</v>
      </c>
      <c r="GP246" s="674">
        <f>IF(GP244=TRUE,0,GP$16)</f>
        <v>36</v>
      </c>
      <c r="GQ246" s="674">
        <f ca="1">IF(GQ244=TRUE,0,GQ$16)</f>
        <v>35</v>
      </c>
      <c r="GR246" s="391"/>
      <c r="GS246" s="391"/>
      <c r="GT246" s="391"/>
      <c r="GU246" s="391"/>
      <c r="GV246" s="391"/>
      <c r="HG246" s="674">
        <f>IF(HG244=TRUE,0,HG$16)</f>
        <v>0</v>
      </c>
      <c r="HH246" s="674">
        <f t="shared" ref="HH246:HM246" si="208">IF(HH244=TRUE,0,HH$16)</f>
        <v>19</v>
      </c>
      <c r="HI246" s="674">
        <f t="shared" si="208"/>
        <v>18</v>
      </c>
      <c r="HJ246" s="674">
        <f t="shared" si="208"/>
        <v>17</v>
      </c>
      <c r="HK246" s="674">
        <f t="shared" si="208"/>
        <v>16</v>
      </c>
      <c r="HL246" s="674">
        <f t="shared" si="208"/>
        <v>0</v>
      </c>
      <c r="HM246" s="674">
        <f t="shared" si="208"/>
        <v>0</v>
      </c>
      <c r="HN246" s="674">
        <f>IF(HN244=TRUE,0,HN$16)</f>
        <v>13</v>
      </c>
      <c r="HO246" s="674">
        <f t="shared" ref="HO246:HQ246" si="209">IF(HO244=TRUE,0,HO$16)</f>
        <v>0</v>
      </c>
      <c r="HP246" s="674">
        <f t="shared" si="209"/>
        <v>0</v>
      </c>
      <c r="HQ246" s="674">
        <f t="shared" si="209"/>
        <v>10</v>
      </c>
      <c r="HR246" s="674">
        <f>IF(HR244=TRUE,0,HR$16)</f>
        <v>9</v>
      </c>
      <c r="HS246" s="674">
        <f t="shared" ref="HS246:HW246" si="210">IF(HS244=TRUE,0,HS$16)</f>
        <v>0</v>
      </c>
      <c r="HT246" s="674">
        <f t="shared" si="210"/>
        <v>0</v>
      </c>
      <c r="HU246" s="674">
        <f t="shared" si="210"/>
        <v>0</v>
      </c>
      <c r="HV246" s="674">
        <f t="shared" si="210"/>
        <v>0</v>
      </c>
      <c r="HW246" s="674">
        <f t="shared" si="210"/>
        <v>0</v>
      </c>
      <c r="HX246" s="674">
        <f>IF(HX244=TRUE,0,HX$16)</f>
        <v>0</v>
      </c>
      <c r="HY246" s="674">
        <f>IF(HY244=TRUE,0,HY$16)</f>
        <v>0</v>
      </c>
      <c r="HZ246" s="674">
        <f>IF(HZ244=TRUE,0,HZ$16)</f>
        <v>1</v>
      </c>
      <c r="IB246" s="674">
        <f>IF(GP244=FALSE,GP246,IF(GQ244=FALSE,GQ246,MAX(GN246:HZ246)))</f>
        <v>36</v>
      </c>
      <c r="IC246" s="1692"/>
      <c r="ID246" s="205" t="str">
        <f>VLOOKUP(IB246,_Error_Table,3,FALSE)</f>
        <v xml:space="preserve"> </v>
      </c>
      <c r="IE246" s="205"/>
      <c r="IF246" s="1688"/>
      <c r="IG246" s="1689"/>
      <c r="IH246" s="1684"/>
      <c r="IK246" s="1689"/>
      <c r="IL246" s="1692"/>
      <c r="IM246" s="1692"/>
      <c r="IN246" s="1692"/>
      <c r="IP246" s="1679"/>
      <c r="IQ246" s="1679"/>
      <c r="IR246" s="1679"/>
      <c r="IS246" s="1679"/>
      <c r="IT246" s="1679"/>
      <c r="IU246" s="1679"/>
      <c r="IV246" s="1679"/>
      <c r="IW246" s="1679"/>
      <c r="IX246" s="1679"/>
      <c r="IY246" s="1679"/>
      <c r="IZ246" s="1679"/>
      <c r="JA246" s="1679"/>
      <c r="JC246" s="1680"/>
      <c r="JD246" s="1670"/>
      <c r="JE246" s="1681"/>
      <c r="JG246" s="1680"/>
      <c r="JH246" s="1670"/>
      <c r="JI246" s="1060"/>
      <c r="JJ246" s="1670"/>
      <c r="JK246" s="1061"/>
      <c r="JL246" s="1670"/>
      <c r="JM246" s="1061"/>
      <c r="JN246" s="1670"/>
      <c r="JO246" s="1061"/>
      <c r="JP246" s="1670"/>
      <c r="JQ246" s="1061"/>
      <c r="JR246" s="1670"/>
      <c r="JS246" s="1061"/>
      <c r="JT246" s="1670"/>
      <c r="JU246" s="1061"/>
      <c r="JV246" s="1670"/>
      <c r="JX246" s="1670"/>
      <c r="JZ246" s="1670"/>
      <c r="KB246" s="1670"/>
    </row>
    <row r="247" spans="1:288" s="78" customFormat="1" ht="5.0999999999999996" customHeight="1">
      <c r="B247" s="676"/>
      <c r="C247" s="392"/>
      <c r="D247" s="392"/>
      <c r="E247" s="1733"/>
      <c r="F247" s="1733"/>
      <c r="G247" s="1733"/>
      <c r="H247" s="1733"/>
      <c r="I247" s="1733"/>
      <c r="J247" s="1733"/>
      <c r="K247" s="1733"/>
      <c r="L247" s="1733"/>
      <c r="M247" s="1733"/>
      <c r="N247" s="1733"/>
      <c r="O247" s="1733"/>
      <c r="P247" s="1733"/>
      <c r="Q247" s="1733"/>
      <c r="R247" s="1733"/>
      <c r="S247" s="1733"/>
      <c r="T247" s="1733"/>
      <c r="U247" s="1733"/>
      <c r="V247" s="1733"/>
      <c r="W247" s="1733"/>
      <c r="X247" s="1733"/>
      <c r="Y247" s="1733"/>
      <c r="Z247" s="1733"/>
      <c r="AA247" s="1733"/>
      <c r="AB247" s="1733"/>
      <c r="AC247" s="1733"/>
      <c r="AD247" s="1733"/>
      <c r="AE247" s="1733"/>
      <c r="AF247" s="1733"/>
      <c r="AG247" s="1733"/>
      <c r="AH247" s="1733"/>
      <c r="AI247" s="1733"/>
      <c r="AJ247" s="1733"/>
      <c r="AK247" s="1733"/>
      <c r="AL247" s="1733"/>
      <c r="AM247" s="1733"/>
      <c r="AN247" s="1733"/>
      <c r="AO247" s="1733"/>
      <c r="AP247" s="1733"/>
      <c r="AQ247" s="1733"/>
      <c r="AR247" s="1733"/>
      <c r="AS247" s="1733"/>
      <c r="AT247" s="1733"/>
      <c r="AU247" s="1733"/>
      <c r="AV247" s="1733"/>
      <c r="AW247" s="1733"/>
      <c r="AX247" s="469"/>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663"/>
      <c r="CQ247" s="663"/>
      <c r="CR247" s="438"/>
      <c r="CS247" s="663"/>
      <c r="CV247" s="391"/>
      <c r="CW247" s="391"/>
      <c r="CX247" s="207"/>
      <c r="CY247" s="208"/>
      <c r="CZ247" s="208"/>
      <c r="DA247" s="208"/>
      <c r="DB247" s="209"/>
      <c r="DC247" s="209"/>
      <c r="DD247" s="209"/>
      <c r="DF247" s="664"/>
      <c r="DG247" s="665"/>
      <c r="DH247" s="666"/>
      <c r="DI247" s="667"/>
      <c r="DJ247" s="668"/>
      <c r="DK247" s="668"/>
      <c r="DN247" s="208"/>
      <c r="DO247" s="664"/>
      <c r="DQ247" s="664"/>
      <c r="DR247" s="669"/>
      <c r="DS247" s="391"/>
      <c r="DT247" s="664"/>
      <c r="DU247" s="664"/>
      <c r="DV247" s="664"/>
      <c r="DX247" s="664"/>
      <c r="DY247" s="664"/>
      <c r="DZ247" s="664"/>
      <c r="EA247" s="664"/>
      <c r="EC247" s="670"/>
      <c r="ED247" s="670"/>
      <c r="EF247" s="668"/>
      <c r="EG247" s="668"/>
      <c r="EH247" s="208"/>
      <c r="EI247" s="668"/>
      <c r="EJ247" s="668"/>
      <c r="EK247" s="207"/>
      <c r="EL247" s="207"/>
      <c r="EM247" s="666"/>
      <c r="EN247" s="671"/>
      <c r="EO247" s="671"/>
      <c r="EP247" s="672"/>
      <c r="EQ247" s="672"/>
      <c r="ER247" s="666"/>
      <c r="ES247" s="666"/>
      <c r="ET247" s="666"/>
      <c r="EV247" s="664"/>
      <c r="EX247" s="391"/>
      <c r="EY247" s="391"/>
      <c r="EZ247" s="391"/>
      <c r="FA247" s="391"/>
      <c r="FB247" s="391"/>
      <c r="FC247" s="391"/>
      <c r="FE247" s="569"/>
      <c r="FG247" s="391"/>
      <c r="FH247" s="391"/>
      <c r="FI247" s="391"/>
      <c r="FS247" s="664"/>
      <c r="FT247" s="391"/>
      <c r="FU247" s="391"/>
      <c r="FV247" s="664"/>
      <c r="FW247" s="664"/>
      <c r="GA247" s="663"/>
      <c r="GB247" s="663"/>
      <c r="GC247" s="663"/>
      <c r="GD247" s="663"/>
      <c r="GE247" s="663"/>
      <c r="GF247" s="663"/>
      <c r="GG247" s="663"/>
      <c r="GH247" s="663"/>
      <c r="GI247" s="665"/>
      <c r="GJ247" s="664"/>
      <c r="GK247" s="664"/>
    </row>
    <row r="248" spans="1:288">
      <c r="DX248" s="669"/>
      <c r="DY248" s="669"/>
      <c r="DZ248" s="669"/>
      <c r="EA248" s="669"/>
      <c r="EB248" s="669"/>
      <c r="EC248" s="669"/>
      <c r="ED248" s="669"/>
      <c r="EE248" s="669"/>
      <c r="EF248" s="677" t="s">
        <v>344</v>
      </c>
      <c r="EG248" s="677" t="s">
        <v>345</v>
      </c>
      <c r="EH248" s="677" t="s">
        <v>234</v>
      </c>
      <c r="EI248" s="677" t="s">
        <v>347</v>
      </c>
      <c r="EJ248" s="677" t="s">
        <v>348</v>
      </c>
      <c r="EK248" s="677"/>
      <c r="EL248" s="677"/>
      <c r="EM248" s="677" t="s">
        <v>349</v>
      </c>
      <c r="EN248" s="677" t="s">
        <v>234</v>
      </c>
      <c r="EO248" s="677" t="s">
        <v>347</v>
      </c>
      <c r="EP248" s="677" t="s">
        <v>234</v>
      </c>
      <c r="EQ248" s="677" t="s">
        <v>347</v>
      </c>
      <c r="ER248" s="677" t="s">
        <v>234</v>
      </c>
      <c r="ES248" s="677" t="s">
        <v>347</v>
      </c>
      <c r="ET248" s="677"/>
      <c r="EV248" s="38">
        <f>ROW()</f>
        <v>248</v>
      </c>
    </row>
    <row r="249" spans="1:288" s="78" customFormat="1" ht="20.05" customHeight="1">
      <c r="B249" s="211"/>
      <c r="C249" s="392"/>
      <c r="D249" s="392"/>
      <c r="E249" s="211"/>
      <c r="F249" s="211"/>
      <c r="G249" s="211"/>
      <c r="H249" s="211"/>
      <c r="I249" s="438"/>
      <c r="J249" s="438"/>
      <c r="K249" s="438"/>
      <c r="L249" s="438"/>
      <c r="M249" s="438"/>
      <c r="N249" s="438"/>
      <c r="O249" s="438"/>
      <c r="P249" s="438"/>
      <c r="Q249" s="438"/>
      <c r="R249" s="391"/>
      <c r="S249" s="206"/>
      <c r="T249" s="391"/>
      <c r="U249" s="205"/>
      <c r="V249" s="205"/>
      <c r="W249" s="205"/>
      <c r="X249" s="205"/>
      <c r="Y249" s="205"/>
      <c r="Z249" s="205"/>
      <c r="AA249" s="207"/>
      <c r="AB249" s="391"/>
      <c r="AC249" s="208"/>
      <c r="AD249" s="209"/>
      <c r="AE249" s="209"/>
      <c r="AF249" s="391"/>
      <c r="AG249" s="205"/>
      <c r="AH249" s="205"/>
      <c r="AI249" s="205"/>
      <c r="AJ249" s="205"/>
      <c r="AK249" s="205"/>
      <c r="AL249" s="207"/>
      <c r="AM249" s="210"/>
      <c r="AN249" s="208"/>
      <c r="AO249" s="208"/>
      <c r="AP249" s="1768" t="s">
        <v>407</v>
      </c>
      <c r="AQ249" s="1769"/>
      <c r="AR249" s="1867" t="s">
        <v>433</v>
      </c>
      <c r="AS249" s="1867"/>
      <c r="AT249" s="1867" t="s">
        <v>257</v>
      </c>
      <c r="AU249" s="1867"/>
      <c r="AV249" s="1867"/>
      <c r="AW249" s="1867"/>
      <c r="AX249" s="4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101" t="s">
        <v>354</v>
      </c>
      <c r="CQ249" s="101" t="s">
        <v>355</v>
      </c>
      <c r="CR249" s="101"/>
      <c r="CS249" s="101" t="s">
        <v>356</v>
      </c>
      <c r="CT249" s="38"/>
      <c r="CU249" s="38"/>
      <c r="CV249" s="37" t="s">
        <v>341</v>
      </c>
      <c r="CW249" s="38"/>
      <c r="CX249" s="101" t="s">
        <v>342</v>
      </c>
      <c r="CY249" s="38"/>
      <c r="CZ249" s="38"/>
      <c r="DA249" s="101" t="s">
        <v>343</v>
      </c>
      <c r="DB249" s="101" t="s">
        <v>344</v>
      </c>
      <c r="DC249" s="101" t="s">
        <v>345</v>
      </c>
      <c r="DD249" s="101" t="s">
        <v>346</v>
      </c>
      <c r="DE249" s="391"/>
      <c r="DF249" s="37" t="s">
        <v>357</v>
      </c>
      <c r="DG249" s="38"/>
      <c r="DH249" s="101" t="s">
        <v>342</v>
      </c>
      <c r="DI249" s="37"/>
      <c r="DJ249" s="101" t="s">
        <v>343</v>
      </c>
      <c r="DK249" s="101" t="s">
        <v>343</v>
      </c>
      <c r="DL249" s="38"/>
      <c r="DM249" s="101" t="s">
        <v>430</v>
      </c>
      <c r="DN249" s="101" t="s">
        <v>430</v>
      </c>
      <c r="DO249" s="101" t="s">
        <v>286</v>
      </c>
      <c r="DP249" s="38"/>
      <c r="DQ249" s="1732" t="s">
        <v>234</v>
      </c>
      <c r="DR249" s="1732"/>
      <c r="DS249" s="101" t="s">
        <v>347</v>
      </c>
      <c r="DT249" s="101"/>
      <c r="DU249" s="101" t="s">
        <v>358</v>
      </c>
      <c r="DV249" s="101" t="s">
        <v>358</v>
      </c>
      <c r="DW249" s="38"/>
      <c r="DX249" s="1732" t="s">
        <v>347</v>
      </c>
      <c r="DY249" s="1732"/>
      <c r="DZ249" s="101" t="s">
        <v>358</v>
      </c>
      <c r="EA249" s="101" t="s">
        <v>359</v>
      </c>
      <c r="EB249" s="38"/>
      <c r="EC249" s="101" t="s">
        <v>360</v>
      </c>
      <c r="ED249" s="101" t="s">
        <v>361</v>
      </c>
      <c r="EE249" s="391"/>
      <c r="EF249" s="609" t="s">
        <v>234</v>
      </c>
      <c r="EG249" s="609" t="s">
        <v>234</v>
      </c>
      <c r="EH249" s="609" t="s">
        <v>362</v>
      </c>
      <c r="EI249" s="609" t="s">
        <v>362</v>
      </c>
      <c r="EJ249" s="609" t="s">
        <v>362</v>
      </c>
      <c r="EK249" s="609" t="s">
        <v>234</v>
      </c>
      <c r="EL249" s="609" t="s">
        <v>347</v>
      </c>
      <c r="EM249" s="609" t="s">
        <v>347</v>
      </c>
      <c r="EN249" s="609" t="s">
        <v>363</v>
      </c>
      <c r="EO249" s="609" t="s">
        <v>363</v>
      </c>
      <c r="EP249" s="609" t="s">
        <v>363</v>
      </c>
      <c r="EQ249" s="609" t="s">
        <v>363</v>
      </c>
      <c r="ER249" s="609" t="s">
        <v>363</v>
      </c>
      <c r="ES249" s="609" t="s">
        <v>363</v>
      </c>
      <c r="ET249" s="609" t="s">
        <v>363</v>
      </c>
      <c r="EU249" s="391"/>
      <c r="EV249" s="391"/>
      <c r="EX249" s="391"/>
      <c r="EY249" s="391"/>
      <c r="EZ249" s="391"/>
      <c r="FA249" s="391"/>
      <c r="FB249" s="391"/>
      <c r="FC249" s="391"/>
      <c r="FG249" s="391"/>
      <c r="FH249" s="391"/>
      <c r="FI249" s="391"/>
      <c r="FL249" s="101" t="s">
        <v>364</v>
      </c>
      <c r="FM249" s="101" t="s">
        <v>365</v>
      </c>
      <c r="FN249" s="101" t="s">
        <v>366</v>
      </c>
      <c r="FO249" s="101" t="s">
        <v>367</v>
      </c>
      <c r="FP249" s="101"/>
      <c r="FQ249" s="38"/>
      <c r="FR249" s="38" t="s">
        <v>368</v>
      </c>
      <c r="FS249" s="101">
        <v>3200</v>
      </c>
      <c r="FT249" s="101" t="s">
        <v>369</v>
      </c>
      <c r="FU249" s="101" t="s">
        <v>370</v>
      </c>
      <c r="FV249" s="101" t="s">
        <v>371</v>
      </c>
      <c r="FW249" s="101" t="s">
        <v>370</v>
      </c>
      <c r="FX249" s="38"/>
      <c r="FY249" s="38"/>
    </row>
    <row r="250" spans="1:288" s="78" customFormat="1" ht="20.05" customHeight="1">
      <c r="B250" s="211"/>
      <c r="C250" s="585">
        <f>1+C172</f>
        <v>4</v>
      </c>
      <c r="D250" s="392"/>
      <c r="E250" s="205" t="str">
        <f>CONCATENATE(AH$20," - page ",C250)</f>
        <v xml:space="preserve"> - page 4</v>
      </c>
      <c r="F250" s="211"/>
      <c r="G250" s="211"/>
      <c r="H250" s="211"/>
      <c r="I250" s="438"/>
      <c r="J250" s="438"/>
      <c r="K250" s="438"/>
      <c r="L250" s="438"/>
      <c r="M250" s="438"/>
      <c r="N250" s="438"/>
      <c r="O250" s="438"/>
      <c r="P250" s="438"/>
      <c r="Q250" s="438"/>
      <c r="R250" s="391"/>
      <c r="S250" s="206"/>
      <c r="T250" s="391"/>
      <c r="U250" s="205"/>
      <c r="V250" s="205"/>
      <c r="W250" s="205"/>
      <c r="X250" s="205"/>
      <c r="Y250" s="205"/>
      <c r="Z250" s="205"/>
      <c r="AA250" s="207"/>
      <c r="AB250" s="599" t="s">
        <v>194</v>
      </c>
      <c r="AC250" s="599" t="s">
        <v>343</v>
      </c>
      <c r="AD250" s="599" t="s">
        <v>383</v>
      </c>
      <c r="AE250" s="999"/>
      <c r="AF250" s="391"/>
      <c r="AG250" s="205"/>
      <c r="AH250" s="205"/>
      <c r="AI250" s="205"/>
      <c r="AJ250" s="205"/>
      <c r="AK250" s="205"/>
      <c r="AL250" s="207"/>
      <c r="AM250" s="600" t="s">
        <v>286</v>
      </c>
      <c r="AN250" s="600" t="s">
        <v>407</v>
      </c>
      <c r="AO250" s="601" t="s">
        <v>432</v>
      </c>
      <c r="AP250" s="1840">
        <f>BA$4</f>
        <v>0</v>
      </c>
      <c r="AQ250" s="1841"/>
      <c r="AR250" s="1842">
        <f>BA$6</f>
        <v>0</v>
      </c>
      <c r="AS250" s="1843"/>
      <c r="AT250" s="1844"/>
      <c r="AU250" s="1898" t="str">
        <f>BA$2</f>
        <v>Rate Sch?</v>
      </c>
      <c r="AV250" s="1898"/>
      <c r="AW250" s="1684"/>
      <c r="AX250" s="391"/>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101" t="s">
        <v>381</v>
      </c>
      <c r="CQ250" s="101" t="s">
        <v>333</v>
      </c>
      <c r="CR250" s="101"/>
      <c r="CS250" s="101" t="s">
        <v>221</v>
      </c>
      <c r="CT250" s="38"/>
      <c r="CU250" s="38"/>
      <c r="CV250" s="101" t="s">
        <v>239</v>
      </c>
      <c r="CW250" s="101" t="s">
        <v>234</v>
      </c>
      <c r="CX250" s="101" t="s">
        <v>382</v>
      </c>
      <c r="CY250" s="101" t="s">
        <v>194</v>
      </c>
      <c r="CZ250" s="101" t="s">
        <v>343</v>
      </c>
      <c r="DA250" s="101" t="s">
        <v>346</v>
      </c>
      <c r="DB250" s="101" t="s">
        <v>383</v>
      </c>
      <c r="DC250" s="101" t="s">
        <v>383</v>
      </c>
      <c r="DD250" s="101" t="s">
        <v>383</v>
      </c>
      <c r="DE250" s="391"/>
      <c r="DF250" s="101" t="s">
        <v>239</v>
      </c>
      <c r="DG250" s="37" t="s">
        <v>347</v>
      </c>
      <c r="DH250" s="101" t="s">
        <v>382</v>
      </c>
      <c r="DI250" s="101" t="s">
        <v>384</v>
      </c>
      <c r="DJ250" s="101" t="s">
        <v>346</v>
      </c>
      <c r="DK250" s="101" t="s">
        <v>346</v>
      </c>
      <c r="DL250" s="38"/>
      <c r="DM250" s="101" t="s">
        <v>432</v>
      </c>
      <c r="DN250" s="101" t="s">
        <v>345</v>
      </c>
      <c r="DO250" s="38"/>
      <c r="DP250" s="38"/>
      <c r="DQ250" s="1833" t="s">
        <v>221</v>
      </c>
      <c r="DR250" s="1833"/>
      <c r="DS250" s="101" t="s">
        <v>221</v>
      </c>
      <c r="DT250" s="101"/>
      <c r="DU250" s="101" t="s">
        <v>234</v>
      </c>
      <c r="DV250" s="101" t="s">
        <v>385</v>
      </c>
      <c r="DW250" s="38"/>
      <c r="DX250" s="1833" t="s">
        <v>386</v>
      </c>
      <c r="DY250" s="1833"/>
      <c r="DZ250" s="101" t="s">
        <v>387</v>
      </c>
      <c r="EA250" s="101" t="s">
        <v>385</v>
      </c>
      <c r="EB250" s="38"/>
      <c r="EC250" s="101" t="s">
        <v>257</v>
      </c>
      <c r="ED250" s="101" t="s">
        <v>257</v>
      </c>
      <c r="EE250" s="391"/>
      <c r="EF250" s="609" t="s">
        <v>343</v>
      </c>
      <c r="EG250" s="609" t="s">
        <v>343</v>
      </c>
      <c r="EH250" s="609" t="s">
        <v>343</v>
      </c>
      <c r="EI250" s="609" t="s">
        <v>343</v>
      </c>
      <c r="EJ250" s="609" t="s">
        <v>343</v>
      </c>
      <c r="EK250" s="609" t="s">
        <v>342</v>
      </c>
      <c r="EL250" s="609" t="s">
        <v>342</v>
      </c>
      <c r="EM250" s="609" t="s">
        <v>342</v>
      </c>
      <c r="EN250" s="609" t="s">
        <v>388</v>
      </c>
      <c r="EO250" s="609" t="s">
        <v>388</v>
      </c>
      <c r="EP250" s="609" t="s">
        <v>389</v>
      </c>
      <c r="EQ250" s="609" t="s">
        <v>389</v>
      </c>
      <c r="ER250" s="609" t="s">
        <v>342</v>
      </c>
      <c r="ES250" s="609" t="s">
        <v>342</v>
      </c>
      <c r="ET250" s="609" t="s">
        <v>342</v>
      </c>
      <c r="EU250" s="391"/>
      <c r="EV250" s="391">
        <f>SUM(EV251:EV324)</f>
        <v>0</v>
      </c>
      <c r="EX250" s="391"/>
      <c r="EY250" s="391"/>
      <c r="EZ250" s="391"/>
      <c r="FA250" s="391"/>
      <c r="FB250" s="85" t="s">
        <v>385</v>
      </c>
      <c r="FC250" s="85" t="s">
        <v>218</v>
      </c>
      <c r="FG250" s="391"/>
      <c r="FH250" s="391"/>
      <c r="FI250" s="391"/>
      <c r="FL250" s="38"/>
      <c r="FM250" s="101" t="s">
        <v>328</v>
      </c>
      <c r="FN250" s="38"/>
      <c r="FO250" s="38"/>
      <c r="FP250" s="38"/>
      <c r="FQ250" s="38"/>
      <c r="FR250" s="38" t="s">
        <v>286</v>
      </c>
      <c r="FS250" s="101" t="s">
        <v>369</v>
      </c>
      <c r="FT250" s="101" t="s">
        <v>391</v>
      </c>
      <c r="FU250" s="101" t="s">
        <v>369</v>
      </c>
      <c r="FV250" s="101" t="s">
        <v>347</v>
      </c>
      <c r="FW250" s="37" t="s">
        <v>392</v>
      </c>
      <c r="FX250" s="38"/>
      <c r="FY250" s="101" t="s">
        <v>393</v>
      </c>
    </row>
    <row r="251" spans="1:288" s="78" customFormat="1" ht="14.95" customHeight="1">
      <c r="B251" s="1845" t="str">
        <f>ID254</f>
        <v xml:space="preserve"> </v>
      </c>
      <c r="C251" s="1846">
        <f>C243+1</f>
        <v>40</v>
      </c>
      <c r="D251" s="1847"/>
      <c r="E251" s="1799" t="s">
        <v>295</v>
      </c>
      <c r="F251" s="1800"/>
      <c r="G251" s="1741"/>
      <c r="H251" s="1742"/>
      <c r="I251" s="1742"/>
      <c r="J251" s="1742"/>
      <c r="K251" s="1742"/>
      <c r="L251" s="1742"/>
      <c r="M251" s="1742"/>
      <c r="N251" s="1742"/>
      <c r="O251" s="1742"/>
      <c r="P251" s="1742"/>
      <c r="Q251" s="1742"/>
      <c r="R251" s="1742"/>
      <c r="S251" s="1791" t="s">
        <v>344</v>
      </c>
      <c r="T251" s="590"/>
      <c r="U251" s="1743"/>
      <c r="V251" s="1744"/>
      <c r="W251" s="1744"/>
      <c r="X251" s="1744"/>
      <c r="Y251" s="1744"/>
      <c r="Z251" s="1744"/>
      <c r="AA251" s="1744"/>
      <c r="AB251" s="961" t="str">
        <f>IFERROR(IF(__Retrofit_TI_NC=0,VLOOKUP(U252,Fixtures_Existing_List,2,FALSE),ROUND(N253*R253/T253,10)),"")</f>
        <v/>
      </c>
      <c r="AC251" s="935" t="str">
        <f>IFERROR(IF(__Retrofit_TI_NC=0,ROUND(T252*AB251*N252*R252/1000,0),IF(CQ251="Interior",N253*R253*R252*N252*_C406_reduction/1000,N253*R253*R252*N252/1000)),"")</f>
        <v/>
      </c>
      <c r="AD251" s="936" t="str">
        <f>IFERROR(IF(C$43=0,ROUND(T252*AB251/1000,2),N253*R253/1000),"")</f>
        <v/>
      </c>
      <c r="AE251" s="997"/>
      <c r="AF251" s="937"/>
      <c r="AG251" s="1745" t="str">
        <f>IF(__Retrofit_TI_NC=0," Control","Select Advanced Control for New System")</f>
        <v xml:space="preserve"> Control</v>
      </c>
      <c r="AH251" s="1745"/>
      <c r="AI251" s="1745"/>
      <c r="AJ251" s="1745"/>
      <c r="AK251" s="1745"/>
      <c r="AL251" s="1745"/>
      <c r="AM251" s="1746">
        <f>IFERROR(DI251,"")</f>
        <v>0</v>
      </c>
      <c r="AN251" s="1774" t="str">
        <f>IFERROR(ROUND(AM251*AC251,0),"")</f>
        <v/>
      </c>
      <c r="AO251" s="1776">
        <f>IFERROR(IF(IB251=FALSE,0,AC251-AN251),0)</f>
        <v>0</v>
      </c>
      <c r="AP251" s="1778">
        <f>AO251-AO253</f>
        <v>0</v>
      </c>
      <c r="AQ251" s="1779"/>
      <c r="AR251" s="1793">
        <f>IFERROR(IF(IB251=FALSE,0,(T253*U254)+(AF253*AG254)),0)</f>
        <v>0</v>
      </c>
      <c r="AS251" s="1793"/>
      <c r="AT251" s="1794"/>
      <c r="AU251" s="1734" t="s">
        <v>237</v>
      </c>
      <c r="AV251" s="1751">
        <f>IF(AU251="Yes",1,0)</f>
        <v>1</v>
      </c>
      <c r="AW251" s="1704" t="str">
        <f>IF(OR(DQ251=4,DQ251=5,DQ251=6,DQ251=12),CONCATENATE("$",IF(GH251=TRUE,Lookup!$K$10,Lookup!$K$2)," /lamp"),CONCATENATE(TEXT(ED251,"$0.00"),"/ kWh"))</f>
        <v>$0.00/ kWh</v>
      </c>
      <c r="AX251" s="467"/>
      <c r="AY251" s="1748">
        <f ca="1">IFERROR(IF(GM252=TRUE,(AB254*T253)/R253,0),"NA")</f>
        <v>0</v>
      </c>
      <c r="AZ251" s="1748"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696" t="str">
        <f>N252</f>
        <v/>
      </c>
      <c r="CQ251" s="1696" t="str">
        <f>IFERROR(VLOOKUP(G252,_Lookup_Heat_Type_Table_New,3,FALSE),"")</f>
        <v/>
      </c>
      <c r="CR251" s="1808" t="str">
        <f>CQ251</f>
        <v/>
      </c>
      <c r="CS251" s="1810" t="str">
        <f>IFERROR(VLOOKUP(G253,'Space Table'!$B$3:$L$163,9,FALSE),"")</f>
        <v/>
      </c>
      <c r="CU251" s="1688" t="s">
        <v>344</v>
      </c>
      <c r="CV251" s="1702">
        <f>IF(IB251=TRUE,T252,0)</f>
        <v>0</v>
      </c>
      <c r="CW251" s="1702" t="str">
        <f>IF(IB251=TRUE,U252,"")</f>
        <v/>
      </c>
      <c r="CX251" s="1702"/>
      <c r="CY251" s="1814">
        <f>IF(IB251=TRUE,AB251,0)</f>
        <v>0</v>
      </c>
      <c r="CZ251" s="1710">
        <f>IF(AND(__Retrofit_TI_NC&gt;0,CR251="interior"),0,IF(IB251=TRUE,AC251,0))</f>
        <v>0</v>
      </c>
      <c r="DA251" s="1814">
        <f>IFERROR(IF(IB251=TRUE,CZ251-CZ253,0),0)</f>
        <v>0</v>
      </c>
      <c r="DB251" s="1819">
        <f>IF(IB251=TRUE,AD251,0)</f>
        <v>0</v>
      </c>
      <c r="DC251" s="1819">
        <f>IF(IB251=TRUE,AD254,0)</f>
        <v>0</v>
      </c>
      <c r="DD251" s="1819">
        <f>IFERROR(DB251-DC251,0)</f>
        <v>0</v>
      </c>
      <c r="DF251" s="1702">
        <f>IF(IB251=TRUE,AF252,0)</f>
        <v>0</v>
      </c>
      <c r="DG251" s="1830">
        <f>IFERROR(IF(__Retrofit_TI_NC=2,IF(CQ251="Exterior",O254,FQ251),FN251),"")</f>
        <v>0</v>
      </c>
      <c r="DH251" s="1702"/>
      <c r="DI251" s="1837">
        <f>JE251</f>
        <v>0</v>
      </c>
      <c r="DJ251" s="1710">
        <f>IF(AND(__Retrofit_TI_NC&gt;0,CR251="interior"),0,IF(IB251=TRUE,AN251,0))</f>
        <v>0</v>
      </c>
      <c r="DK251" s="1712">
        <f>IFERROR(IF(IB251=TRUE,DJ253-DJ251,0),0)</f>
        <v>0</v>
      </c>
      <c r="DM251" s="1717">
        <f>IFERROR(CZ251-DJ251,0)</f>
        <v>0</v>
      </c>
      <c r="DO251" s="1708">
        <f>DM251-DN253</f>
        <v>0</v>
      </c>
      <c r="DQ251" s="1715" t="str">
        <f>IFERROR(IF(AND(OR(GC251=4,GC251=5,GC251=6),OR(GF251=4,GF251=5,GF251=6)),GC251+8,VLOOKUP(CW253,Fixtures!R$31:Y$78,8,FALSE)),"")</f>
        <v/>
      </c>
      <c r="DR251" s="1829" t="str">
        <f>DQ251</f>
        <v/>
      </c>
      <c r="DS251" s="1702" t="str">
        <f>IFERROR(VLOOKUP(DG253,Lookup!BB$3:BC$20,2,FALSE),"")</f>
        <v/>
      </c>
      <c r="DT251" s="1713" t="str">
        <f>IF(OR(DS251=7,DS251=8,DS251=9),"ALC","")</f>
        <v/>
      </c>
      <c r="DU251" s="1715">
        <f>IFERROR(IF(OR(DQ251=4,DQ251=5,DQ251=6,DQ251=12,DQ251=13,DQ251=14),VLOOKUP(CW253,Fixtures!DN$27:EG$77,19,FALSE),1)*CV253,0)</f>
        <v>0</v>
      </c>
      <c r="DV251" s="1716">
        <f>IF(OR(DS251=7,DS251=8,DS251=9),IF(DG251=DG253,0,DF253),0)</f>
        <v>0</v>
      </c>
      <c r="DX251" s="1715" t="str">
        <f>IFERROR(IF(EZ251&lt;EZ253,"Yes","No"),"")</f>
        <v/>
      </c>
      <c r="DY251" s="1829" t="str">
        <f>DX251</f>
        <v/>
      </c>
      <c r="DZ251" s="1715">
        <f>IF(DX251="Yes",DF253,0)</f>
        <v>0</v>
      </c>
      <c r="EA251" s="1715">
        <f>DZ251-DV251</f>
        <v>0</v>
      </c>
      <c r="EC251" s="1834">
        <f>IFERROR(VLOOKUP(DQ251,Lookup!AU$3:AV$16,2,FALSE),0)</f>
        <v>0</v>
      </c>
      <c r="ED251" s="1834">
        <f>IF(IB251=FALSE,0,IF(DX251="Yes",EC251+Lookup!K$6,EC251))</f>
        <v>0</v>
      </c>
      <c r="EF251" s="1707">
        <f>IF(IB251=TRUE,DM251,0)</f>
        <v>0</v>
      </c>
      <c r="EG251" s="1712">
        <f>IF(IB251=TRUE,CZ253,0)</f>
        <v>0</v>
      </c>
      <c r="EH251" s="1814">
        <f>IFERROR(EF251-EG251,0)</f>
        <v>0</v>
      </c>
      <c r="EI251" s="1712">
        <f>IF(IB251=TRUE,DJ253,0)</f>
        <v>0</v>
      </c>
      <c r="EJ251" s="1712">
        <f>IFERROR(EF251-EG251+EI251,0)</f>
        <v>0</v>
      </c>
      <c r="EK251" s="1812">
        <f>IF(IB251=TRUE,CV253*CX253,0)</f>
        <v>0</v>
      </c>
      <c r="EL251" s="1812">
        <f>IF(IB251=TRUE,DF253*DH253,0)</f>
        <v>0</v>
      </c>
      <c r="EM251" s="1807">
        <f>AR251</f>
        <v>0</v>
      </c>
      <c r="EN251" s="1839" t="str">
        <f>IFERROR(IF(IB251=TRUE,VLOOKUP(DQ251,Lookup!AU$3:AW$16,3,FALSE)*DU251,""),0)</f>
        <v/>
      </c>
      <c r="EO251" s="1839">
        <f>IF(IB251=TRUE,DZ251*Lookup!AW$12,0)</f>
        <v>0</v>
      </c>
      <c r="EP251" s="1817">
        <f>IFERROR(IF(IB251=TRUE,EN251/EP$40,0),0)</f>
        <v>0</v>
      </c>
      <c r="EQ251" s="1817">
        <f>IF(IB251=TRUE,EO251/EQ$40,0)</f>
        <v>0</v>
      </c>
      <c r="ER251" s="1807">
        <f>IF(IB251=TRUE,ET$40*EP251,0)</f>
        <v>0</v>
      </c>
      <c r="ES251" s="1807">
        <f>IF(IB251=TRUE,ET$40*EQ251,0)</f>
        <v>0</v>
      </c>
      <c r="ET251" s="1807">
        <f>ER251+ES251</f>
        <v>0</v>
      </c>
      <c r="EV251" s="1715">
        <f>IF(G251="",0,1)</f>
        <v>0</v>
      </c>
      <c r="EX251" s="1804" t="str">
        <f>IFERROR(VLOOKUP(CS253,'Space Table'!$B$3:$L$163,8,FALSE),"")</f>
        <v/>
      </c>
      <c r="EY251" s="1804" t="str">
        <f>IFERROR(IF(FB251="Yes",VLOOKUP(DG251,Lookup_Control_Type_Table2,4,FALSE),VLOOKUP(DG251,Lookup_Control_Type_Table2,3,FALSE)),"")</f>
        <v/>
      </c>
      <c r="EZ251" s="1804" t="e">
        <f>VLOOKUP(DG251,Lookup!BB$3:BC$20,2,FALSE)</f>
        <v>#N/A</v>
      </c>
      <c r="FA251" s="1804" t="e">
        <f>VLOOKUP(EX251,Lookup_Control_Type_Table,2,FALSE)</f>
        <v>#N/A</v>
      </c>
      <c r="FB251" s="1804" t="e">
        <f>VLOOKUP(CS253,'Space Table'!$B$3:$L$163,7,FALSE)</f>
        <v>#N/A</v>
      </c>
      <c r="FC251" s="1826" t="b">
        <f>ISNUMBER(SEARCH("TLED",U253))</f>
        <v>0</v>
      </c>
      <c r="FE251" s="1698" t="str">
        <f>CONCATENATE(CQ251," - ",DG251)</f>
        <v xml:space="preserve"> - 0</v>
      </c>
      <c r="FG251" s="1702" t="str">
        <f>VLOOKUP(CW253,Fixtures!DN$27:EZ$77,38,FALSE)</f>
        <v/>
      </c>
      <c r="FH251" s="1702">
        <f>IFERROR(FG251*EH251,0)</f>
        <v>0</v>
      </c>
      <c r="FI251" s="133"/>
      <c r="FL251" s="1822" t="str">
        <f>IF(CQ251="Exterior","Not Daylighted",G254)</f>
        <v>Not Daylighted</v>
      </c>
      <c r="FM251" s="1824">
        <f>VLOOKUP(FL251,_New_Daylight_Table_Codes,2,FALSE)</f>
        <v>0</v>
      </c>
      <c r="FN251" s="1698">
        <f>IF(__Retrofit_TI_NC&gt;0,VLOOKUP(G253,'Space Table'!$B$3:$L$163,11,FALSE),AG252)</f>
        <v>0</v>
      </c>
      <c r="FO251" s="1698" t="e">
        <f>IF(__Retrofit_TI_NC=2,VLOOKUP(FQ251,_Control_Table,2,FALSE),VLOOKUP(FN251,_Control_Table,2,FALSE))</f>
        <v>#N/A</v>
      </c>
      <c r="FP251" s="1678" t="e">
        <f>VLOOKUP(CONCATENATE(FL251," ",FN251),Lookup!AY$102:AZ261,2,FALSE)</f>
        <v>#N/A</v>
      </c>
      <c r="FQ251" s="1678">
        <f>IF(__Retrofit_TI_NC=0,FN251,IF(AND(FT251&gt;0,FN251="Occupancy Sensor"),"Daylight + Occupancy",IF(AND(FT251&gt;0,VLOOKUP(FN251,_Control_Table,2,FALSE)&lt;4),"Interior Daylight Dimming",FN251)))</f>
        <v>0</v>
      </c>
      <c r="FS251" s="1686">
        <f>IF(CR251="Interior",VLOOKUP(CS251,Control_Savings_Interior,5,FALSE),0)</f>
        <v>0</v>
      </c>
      <c r="FT251" s="1687">
        <f>IF(CQ251="Exterior",0,IF(FM251=2,0.5,IF(OR(FM251=1,FM251=3),1,0)))</f>
        <v>0</v>
      </c>
      <c r="FU251" s="1685">
        <f>IF(R250&gt;FS$44,(FS251*(FS$44/R250)),FS251)*FT251</f>
        <v>0</v>
      </c>
      <c r="FV251" s="1686">
        <f>DI251</f>
        <v>0</v>
      </c>
      <c r="FW251" s="1686">
        <f>ROUND(FV251+((1-FV251)*FU251),2)</f>
        <v>0</v>
      </c>
      <c r="FX251" s="1686">
        <f>IF(__Retrofit_TI_NC=2,FW251,FV251)</f>
        <v>0</v>
      </c>
      <c r="FY251" s="1697"/>
      <c r="GA251" s="1696" t="str">
        <f>IFERROR(VLOOKUP(U252,_Exist_Fixture_Table,3,FALSE),"")</f>
        <v/>
      </c>
      <c r="GB251" s="1696" t="str">
        <f>VLOOKUP(CW251,_Exist_Fixture_Table,4,FALSE)</f>
        <v/>
      </c>
      <c r="GC251" s="1696">
        <f>IFERROR(VLOOKUP(GB251,Lookup!AT$6:AU$8,2,FALSE),0)</f>
        <v>0</v>
      </c>
      <c r="GD251" s="1696" t="b">
        <f>IFERROR(IF(OR(GF251=4,GF251=5,GF251=6),TRUE,FALSE),"")</f>
        <v>0</v>
      </c>
      <c r="GE251" s="1696" t="str">
        <f>IFERROR(VLOOKUP(GF251,GC$6:GD$10,2,FALSE),"")</f>
        <v/>
      </c>
      <c r="GF251" s="1696" t="str">
        <f>VLOOKUP(CW253,Fixtures!R$31:Y$78,8,FALSE)</f>
        <v/>
      </c>
      <c r="GG251" s="1696">
        <f>IF(AND(GA251=TRUE,GD251=TRUE,OR(DQ251=12,DQ251=13,DQ251=14)),GC251+8,0)</f>
        <v>0</v>
      </c>
      <c r="GH251" s="1696" t="b">
        <f>IF(OR(GG251=12,GG251=13,GG251=14),TRUE,FALSE)</f>
        <v>0</v>
      </c>
      <c r="GI251" s="673" t="b">
        <f>IF(ISNUMBER(SEARCH("TLED",U252)),TRUE,FALSE)</f>
        <v>0</v>
      </c>
      <c r="GJ251" s="1135" t="str">
        <f>IFERROR(VLOOKUP(U252,Fixtures!BM$93:BR$142,6,FALSE),"")</f>
        <v/>
      </c>
      <c r="GK251" s="1832" t="b">
        <f>IF(OR(GI251=FALSE,GI253=FALSE),TRUE,IF(GJ251-GJ253&lt;5,FALSE,TRUE))</f>
        <v>1</v>
      </c>
      <c r="GO251" s="674">
        <f>GP251</f>
        <v>0</v>
      </c>
      <c r="GP251" s="674">
        <f>IF(G251="",0,1)</f>
        <v>0</v>
      </c>
      <c r="GQ251" s="674">
        <f ca="1">SUM(GR251:HF251)</f>
        <v>2</v>
      </c>
      <c r="GR251" s="674">
        <f>IF(G252="",0,1)</f>
        <v>0</v>
      </c>
      <c r="GS251" s="674">
        <f>IF(N254="BAM",1,IF(G253="",0,1))</f>
        <v>0</v>
      </c>
      <c r="GT251" s="674">
        <f>IF(N254="BAM",1,IF(R252="",0,1))</f>
        <v>0</v>
      </c>
      <c r="GU251" s="674">
        <f>IF(N254="BAM",1,IF(__Retrofit_TI_NC=0,1,IF(R253="",0,1)))</f>
        <v>1</v>
      </c>
      <c r="GV251" s="674">
        <f>IF(N254="BAM",1,IF(CQ251="Exterior",1,IF(G254="",0,1)))</f>
        <v>1</v>
      </c>
      <c r="GW251" s="674">
        <f>IF(__Retrofit_TI_NC&gt;0,1,IF(T252="",0,1))</f>
        <v>0</v>
      </c>
      <c r="GX251" s="674">
        <f>IF(__Retrofit_TI_NC&gt;0,1,IF(U252="",0,1))</f>
        <v>0</v>
      </c>
      <c r="GY251" s="674">
        <f>IF(N254="BAM",1,IF(T253="",0,1))</f>
        <v>0</v>
      </c>
      <c r="GZ251" s="674">
        <f>IF(N254="BAM",1,IF(U253="",0,1))</f>
        <v>0</v>
      </c>
      <c r="HA251" s="674">
        <f ca="1">IF(N254="BAM",1,IF(__Retrofit_TI_NC&gt;0,1,IF(U254="",0,1)))</f>
        <v>0</v>
      </c>
      <c r="HB251" s="674">
        <f>IF(__Retrofit_TI_NC&lt;&gt;0,1,IF(AF252="",0,1))</f>
        <v>0</v>
      </c>
      <c r="HC251" s="674">
        <f>IF(__Retrofit_TI_NC&lt;&gt;0,1,IF(AG252="",0,1))</f>
        <v>0</v>
      </c>
      <c r="HD251" s="674">
        <f>IF(N254="BAM",1,IF(AF253="",0,1))</f>
        <v>0</v>
      </c>
      <c r="HE251" s="674">
        <f>IF(N254="BAM",1,IF(AG253="",0,1))</f>
        <v>0</v>
      </c>
      <c r="HF251" s="674">
        <f>IF(N254="BAM",1,IF(__Retrofit_TI_NC&gt;0,1,IF(AG254="",0,1)))</f>
        <v>0</v>
      </c>
      <c r="HG251" s="391"/>
      <c r="IA251" s="391"/>
      <c r="IB251" s="1693" t="b">
        <f>IF(OR(IB254=0,IB254=HY$16,IB254=HX$16,IB254=HZ$16),TRUE,FALSE)</f>
        <v>0</v>
      </c>
      <c r="IC251" s="1694" t="b">
        <f>IB251</f>
        <v>0</v>
      </c>
      <c r="ID251" s="391"/>
      <c r="IE251" s="391"/>
      <c r="IF251" s="1688" t="b">
        <f ca="1">IF(MAX(GN254:HU254)&gt;5,FALSE,TRUE)</f>
        <v>0</v>
      </c>
      <c r="IG251" s="1689">
        <f ca="1">IF(IF251=TRUE,AC251,0)</f>
        <v>0</v>
      </c>
      <c r="IH251" s="1689">
        <f ca="1">IG251-IG253</f>
        <v>0</v>
      </c>
      <c r="IK251" s="1689" t="e">
        <f>ROUND(T252*VLOOKUP(U252,Fixtures_Existing_List,2,FALSE)*N252*R252/1000,0)</f>
        <v>#N/A</v>
      </c>
      <c r="IL251" s="1690" t="e">
        <f>IK251-IK253</f>
        <v>#N/A</v>
      </c>
      <c r="IM251" s="1693" t="e">
        <f>ROUND(IF(CQ251="Interior",N253*R253*R252*N252*_C406_reduction/1000,N253*R253*R252*N252/1000),0)</f>
        <v>#N/A</v>
      </c>
      <c r="IN251" s="1693" t="e">
        <f>IM251-IM253</f>
        <v>#N/A</v>
      </c>
      <c r="IP251" s="1679"/>
      <c r="IQ251" s="1679" t="e">
        <f t="shared" ref="IQ251:IU251" si="211">IF($CR251="interior",VLOOKUP($CS251,_New_Control_Savings_Interior,IQ$30,FALSE),VLOOKUP($CS251,Control_Savings_Exterior,IQ$30,FALSE))</f>
        <v>#N/A</v>
      </c>
      <c r="IR251" s="1679" t="e">
        <f t="shared" si="211"/>
        <v>#N/A</v>
      </c>
      <c r="IS251" s="1679" t="e">
        <f t="shared" si="211"/>
        <v>#N/A</v>
      </c>
      <c r="IT251" s="1679" t="e">
        <f t="shared" si="211"/>
        <v>#N/A</v>
      </c>
      <c r="IU251" s="1679" t="e">
        <f t="shared" si="211"/>
        <v>#N/A</v>
      </c>
      <c r="IV251" s="1679" t="e">
        <f>IF($CR251="interior",IF(R252&gt;$IP$14,ROUND(($IV$18*($IP$14/R252)),2),$IV$18),VLOOKUP($CS251,Control_Savings_Exterior,IV$30,FALSE))</f>
        <v>#N/A</v>
      </c>
      <c r="IW251" s="1679" t="e">
        <f>IF($CR251="interior",ROUND(((1-IS251)*IV251)+IS251,2),VLOOKUP($CS251,Control_Savings_Exterior,IW$30,FALSE))</f>
        <v>#N/A</v>
      </c>
      <c r="IX251" s="1679" t="e">
        <f>IF($CR251="interior",ROUND(((1-IT251)*IV251)+IT251,2),VLOOKUP($CS251,Control_Savings_Exterior,IX$30,FALSE))</f>
        <v>#N/A</v>
      </c>
      <c r="IY251" s="1679" t="e">
        <f>IF($CR251="interior",IF(R252&gt;$IP$14,ROUND(($IY$18*($IP$14/R252)),2),$IY$18),VLOOKUP($CS251,Control_Savings_Exterior,IY$30,FALSE))</f>
        <v>#N/A</v>
      </c>
      <c r="IZ251" s="1679" t="e">
        <f>IF($CR251="interior",ROUND(((1-IS251)*IY251)+IS251,2),VLOOKUP($CS251,Control_Savings_Exterior,IZ$30,FALSE))</f>
        <v>#N/A</v>
      </c>
      <c r="JA251" s="1679" t="e">
        <f>IF($CR251="interior",ROUND(((1-IT251)*IY251)+IT251,2),VLOOKUP($CS251,Control_Savings_Exterior,JA$30,FALSE))</f>
        <v>#N/A</v>
      </c>
      <c r="JC251" s="1680">
        <f>IFERROR(IF(CR251="Interior",CONCATENATE(G254," ",FQ251),FQ251),"")</f>
        <v>0</v>
      </c>
      <c r="JD251" s="1670" t="str">
        <f>IFERROR(VLOOKUP(JC251,_Controls_2023,2,FALSE),"")</f>
        <v/>
      </c>
      <c r="JE251" s="1681">
        <f>IFERROR(CHOOSE(JD251-1,IQ251,IR251,IS251,IT251,IU251,IV251,IW251,IX251,IY251,IZ251,JA251),0)</f>
        <v>0</v>
      </c>
      <c r="JG251" s="1680" t="str">
        <f>FE251</f>
        <v xml:space="preserve"> - 0</v>
      </c>
      <c r="JH251" s="1670" t="e">
        <f>$FO251</f>
        <v>#N/A</v>
      </c>
      <c r="JI251" s="1060"/>
      <c r="JJ251" s="1682" t="b">
        <f>IF($JG253=CONCATENATE("Interior - ",JJ$4),TRUE,FALSE)</f>
        <v>0</v>
      </c>
      <c r="JK251" s="1061"/>
      <c r="JL251" s="1682" t="b">
        <f>IF($JG253=CONCATENATE("Interior - ",JL$4),TRUE,FALSE)</f>
        <v>0</v>
      </c>
      <c r="JM251" s="1061"/>
      <c r="JN251" s="1682" t="b">
        <f>IF($JG253=CONCATENATE("Interior - ",JN$4),TRUE,FALSE)</f>
        <v>0</v>
      </c>
      <c r="JO251" s="1061"/>
      <c r="JP251" s="1682" t="b">
        <f>IF(__Retrofit_TI_NC&gt;0,FALSE,IF($JG253=CONCATENATE("Interior - ",JP$4),TRUE,FALSE))</f>
        <v>0</v>
      </c>
      <c r="JQ251" s="1061"/>
      <c r="JR251" s="1682" t="b">
        <f>IF(__Retrofit_TI_NC&gt;0,FALSE,IF($JG253=CONCATENATE("Interior - ",JR$4),TRUE,FALSE))</f>
        <v>0</v>
      </c>
      <c r="JS251" s="1061"/>
      <c r="JT251" s="1670" t="b">
        <f>IF(__Retrofit_TI_NC&gt;0,FALSE,IF($JG253=CONCATENATE("Interior - ",JT$4),TRUE,FALSE))</f>
        <v>0</v>
      </c>
      <c r="JU251" s="1061"/>
      <c r="JV251" s="1670" t="b">
        <f>IF(JC253="AELC on Existing",TRUE,FALSE)</f>
        <v>0</v>
      </c>
      <c r="JX251" s="1670" t="b">
        <f>IF(OR(JG253="Exterior - AELC Occupancy based",JG253="Exterior - AELC Time based"),TRUE,FALSE)</f>
        <v>0</v>
      </c>
      <c r="JZ251" s="1682" t="b">
        <f>IF($JG253=CONCATENATE("Exterior - ",JZ$4),TRUE,FALSE)</f>
        <v>0</v>
      </c>
      <c r="KB251" s="1670" t="b">
        <f>IF(__Retrofit_TI_NC&gt;0,FALSE,IF($JG253=CONCATENATE("Interior - ",KB$4),TRUE,FALSE))</f>
        <v>0</v>
      </c>
    </row>
    <row r="252" spans="1:288" s="78" customFormat="1" ht="14.95" customHeight="1" thickTop="1" thickBot="1">
      <c r="B252" s="1845"/>
      <c r="C252" s="1846"/>
      <c r="D252" s="1847"/>
      <c r="E252" s="1737" t="s">
        <v>297</v>
      </c>
      <c r="F252" s="1738"/>
      <c r="G252" s="1739"/>
      <c r="H252" s="1739"/>
      <c r="I252" s="1739"/>
      <c r="J252" s="1739"/>
      <c r="K252" s="1739"/>
      <c r="L252" s="1739"/>
      <c r="M252" s="461" t="e">
        <f>IF(__Retrofit_TI_NC&lt;&gt;0,IF(VLOOKUP(G253,'Space Table'!$B$3:$L$163,3,FALSE)&gt;0,1,0),IF(__Retrofit_TI_NC=VLOOKUP(G253,'Space Table'!$B$3:$L$163,3,FALSE),1,0))</f>
        <v>#N/A</v>
      </c>
      <c r="N252" s="461" t="str">
        <f>IFERROR(VLOOKUP(G252,_Lookup_Heat_Type_Table_New,2,FALSE),"")</f>
        <v/>
      </c>
      <c r="O252" s="461">
        <f>IF(__Retrofit_TI_NC=1,CONCATENATE("TI ",G252),IF(__Retrofit_TI_NC=2,CONCATENATE("NC ",G252),G252))</f>
        <v>0</v>
      </c>
      <c r="P252" s="1740" t="s">
        <v>435</v>
      </c>
      <c r="Q252" s="1740"/>
      <c r="R252" s="595"/>
      <c r="S252" s="1792"/>
      <c r="T252" s="597"/>
      <c r="U252" s="1765"/>
      <c r="V252" s="1766"/>
      <c r="W252" s="1766"/>
      <c r="X252" s="1766"/>
      <c r="Y252" s="1766"/>
      <c r="Z252" s="1766"/>
      <c r="AA252" s="1766"/>
      <c r="AB252" s="1766"/>
      <c r="AC252" s="1766"/>
      <c r="AD252" s="1767"/>
      <c r="AE252" s="1000"/>
      <c r="AF252" s="597"/>
      <c r="AG252" s="1723"/>
      <c r="AH252" s="1724"/>
      <c r="AI252" s="1724"/>
      <c r="AJ252" s="1724"/>
      <c r="AK252" s="1725"/>
      <c r="AL252" s="996"/>
      <c r="AM252" s="1747"/>
      <c r="AN252" s="1775"/>
      <c r="AO252" s="1777"/>
      <c r="AP252" s="1780"/>
      <c r="AQ252" s="1781"/>
      <c r="AR252" s="1795"/>
      <c r="AS252" s="1795"/>
      <c r="AT252" s="1796"/>
      <c r="AU252" s="1735"/>
      <c r="AV252" s="1752"/>
      <c r="AW252" s="1705"/>
      <c r="AX252" s="467"/>
      <c r="AY252" s="1749"/>
      <c r="AZ252" s="1749"/>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696"/>
      <c r="CQ252" s="1696"/>
      <c r="CR252" s="1809"/>
      <c r="CS252" s="1811"/>
      <c r="CU252" s="1688"/>
      <c r="CV252" s="1703"/>
      <c r="CW252" s="1703"/>
      <c r="CX252" s="1703"/>
      <c r="CY252" s="1815"/>
      <c r="CZ252" s="1711"/>
      <c r="DA252" s="1818"/>
      <c r="DB252" s="1820"/>
      <c r="DC252" s="1820"/>
      <c r="DD252" s="1820"/>
      <c r="DF252" s="1703"/>
      <c r="DG252" s="1831"/>
      <c r="DH252" s="1703"/>
      <c r="DI252" s="1838"/>
      <c r="DJ252" s="1711"/>
      <c r="DK252" s="1712"/>
      <c r="DM252" s="1718"/>
      <c r="DO252" s="1708"/>
      <c r="DQ252" s="1715"/>
      <c r="DR252" s="1720"/>
      <c r="DS252" s="1816"/>
      <c r="DT252" s="1714"/>
      <c r="DU252" s="1715"/>
      <c r="DV252" s="1716"/>
      <c r="DX252" s="1715"/>
      <c r="DY252" s="1720"/>
      <c r="DZ252" s="1715"/>
      <c r="EA252" s="1715"/>
      <c r="EC252" s="1834"/>
      <c r="ED252" s="1834"/>
      <c r="EF252" s="1707"/>
      <c r="EG252" s="1712"/>
      <c r="EH252" s="1818"/>
      <c r="EI252" s="1712"/>
      <c r="EJ252" s="1712"/>
      <c r="EK252" s="1836"/>
      <c r="EL252" s="1836"/>
      <c r="EM252" s="1807"/>
      <c r="EN252" s="1839"/>
      <c r="EO252" s="1839"/>
      <c r="EP252" s="1817"/>
      <c r="EQ252" s="1817"/>
      <c r="ER252" s="1807"/>
      <c r="ES252" s="1807"/>
      <c r="ET252" s="1807"/>
      <c r="EV252" s="1715"/>
      <c r="EX252" s="1805"/>
      <c r="EY252" s="1805"/>
      <c r="EZ252" s="1805"/>
      <c r="FA252" s="1805"/>
      <c r="FB252" s="1805"/>
      <c r="FC252" s="1827"/>
      <c r="FE252" s="1698"/>
      <c r="FG252" s="1816"/>
      <c r="FH252" s="1816"/>
      <c r="FI252" s="133"/>
      <c r="FL252" s="1823"/>
      <c r="FM252" s="1825"/>
      <c r="FN252" s="1698"/>
      <c r="FO252" s="1698"/>
      <c r="FP252" s="1678"/>
      <c r="FQ252" s="1678"/>
      <c r="FS252" s="1687"/>
      <c r="FT252" s="1687"/>
      <c r="FU252" s="1685"/>
      <c r="FV252" s="1687"/>
      <c r="FW252" s="1687"/>
      <c r="FX252" s="1687"/>
      <c r="FY252" s="1697"/>
      <c r="GA252" s="1696"/>
      <c r="GB252" s="1696"/>
      <c r="GC252" s="1696"/>
      <c r="GD252" s="1696"/>
      <c r="GE252" s="1696"/>
      <c r="GF252" s="1696"/>
      <c r="GG252" s="1696"/>
      <c r="GH252" s="1696"/>
      <c r="GI252" s="673"/>
      <c r="GJ252" s="1135"/>
      <c r="GK252" s="1832"/>
      <c r="GM252" s="1693" t="b">
        <f ca="1">IF(AND(GP252=TRUE,GQ252=TRUE),TRUE,FALSE)</f>
        <v>0</v>
      </c>
      <c r="GN252" s="1684" t="b">
        <f>IFERROR(IF(__Retrofit_TI_NC=2,TRUE,IF(AU251="Yes",TRUE,FALSE)),FALSE)</f>
        <v>1</v>
      </c>
      <c r="GP252" s="1684" t="b">
        <f>IFERROR(IF(GP251=1,TRUE,FALSE),FALSE)</f>
        <v>0</v>
      </c>
      <c r="GQ252" s="1684" t="b">
        <f ca="1">IFERROR(IF(GQ251=GQ$14,TRUE,FALSE),FALSE)</f>
        <v>0</v>
      </c>
      <c r="HG252" s="1684" t="b">
        <f>IFERROR(IF(AND(__Retrofit_TI_NC&gt;0,CQ251="Interior"),FALSE,TRUE),FALSE)</f>
        <v>1</v>
      </c>
      <c r="HH252" s="1684" t="b">
        <f>IFERROR(IF(M252=1,TRUE,FALSE),FALSE)</f>
        <v>0</v>
      </c>
      <c r="HI252" s="1684" t="b">
        <f>IFERROR(IF(OR(M253=1,N254="BAM"),TRUE,FALSE),FALSE)</f>
        <v>0</v>
      </c>
      <c r="HJ252" s="1684" t="b">
        <f>IFERROR(IF(__Retrofit_TI_NC&lt;&gt;0,TRUE,IFERROR(IF(VLOOKUP(U252,Fixtures_Existing_List,2,FALSE)&lt;&gt;"",TRUE,FALSE),FALSE)),FALSE)</f>
        <v>0</v>
      </c>
      <c r="HK252" s="1684" t="b">
        <f>IFERROR(IF(VLOOKUP(U253,Fixtures_Proposed_List,2,FALSE)&lt;&gt;"",TRUE,FALSE),FALSE)</f>
        <v>0</v>
      </c>
      <c r="HL252" s="1684" t="b">
        <f>IF(AND(__Retrofit_TI_NC=2,FC251=TRUE),FALSE,TRUE)</f>
        <v>1</v>
      </c>
      <c r="HM252" s="1684" t="b">
        <f>GK251</f>
        <v>1</v>
      </c>
      <c r="HN252" s="1682" t="b">
        <f>IF(ISERROR(MATCH(FE251,_Control_Match[],0))=TRUE,FALSE,TRUE)</f>
        <v>0</v>
      </c>
      <c r="HO252" s="1693" t="b">
        <f>IFERROR(IF(EX251&lt;&gt;EY251,FALSE,TRUE),FALSE)</f>
        <v>1</v>
      </c>
      <c r="HP252" s="1693" t="b">
        <f>IFERROR(IF(EX253&lt;&gt;EY253,FALSE,TRUE),FALSE)</f>
        <v>1</v>
      </c>
      <c r="HQ252" s="1670" t="b">
        <f>IFERROR(IF(CQ251="Exterior",TRUE,IF(AND(OR(FM253=0,FM253=3),JD253&gt;6),FALSE,TRUE)),FALSE)</f>
        <v>0</v>
      </c>
      <c r="HR252" s="1684" t="b">
        <f>IFERROR(IF(AND(FO253=7,FC251=TRUE),FALSE,TRUE),FALSE)</f>
        <v>0</v>
      </c>
      <c r="HS252" s="1684" t="b">
        <f>IFERROR(IF(AND(T253&lt;&gt;AF253,OR(AG253="Interior LLLC", AG253="Interior NLC", AG253="LLLC (outside Daylight)",AG253="LLLC Controls Only"))=TRUE,FALSE,TRUE),FALSE)</f>
        <v>1</v>
      </c>
      <c r="HT252" s="1670" t="b">
        <f>IFERROR(IF(OR(AG253=Lookup!BB$17,AG253=Lookup!BB$18,AG253=Lookup!BB$19)=TRUE,IF(AF253&gt;T253,FALSE,TRUE),TRUE),FALSE)</f>
        <v>1</v>
      </c>
      <c r="HU252" s="1684" t="b">
        <f>IFERROR(IF(__Retrofit_TI_NC=2,IF(EZ253&lt;EZ251,FALSE,TRUE),TRUE),FALSE)</f>
        <v>1</v>
      </c>
      <c r="HV252" s="1684" t="b">
        <f>IF(CQ251="Interior",IL$6,TRUE)</f>
        <v>1</v>
      </c>
      <c r="HW252" s="1684" t="b">
        <f>IF(CQ251="Exterior",IL$8,TRUE)</f>
        <v>1</v>
      </c>
      <c r="HX252" s="1684" t="b">
        <f>IFERROR(IF(__Retrofit_TI_NC&lt;&gt;0,IF(AZ251&lt;AY251,FALSE,TRUE),TRUE),FALSE)</f>
        <v>1</v>
      </c>
      <c r="HY252" s="1684" t="b">
        <f>IFERROR(IF(AND(G252="Exterior",R252&gt;4200),FALSE,TRUE),FALSE)</f>
        <v>1</v>
      </c>
      <c r="HZ252" s="1684" t="b">
        <f>IFERROR(IF(AB254/AB251&lt;HZ$18,FALSE,TRUE),FALSE)</f>
        <v>0</v>
      </c>
      <c r="IB252" s="1691"/>
      <c r="IC252" s="1695"/>
      <c r="ID252" s="1694" t="str">
        <f>VLOOKUP(IB254,_Error_Table,4,FALSE)</f>
        <v>White</v>
      </c>
      <c r="IE252" s="391"/>
      <c r="IF252" s="1688"/>
      <c r="IG252" s="1689"/>
      <c r="IH252" s="1684"/>
      <c r="IK252" s="1689"/>
      <c r="IL252" s="1691"/>
      <c r="IM252" s="1691"/>
      <c r="IN252" s="1691"/>
      <c r="IP252" s="1679"/>
      <c r="IQ252" s="1679"/>
      <c r="IR252" s="1679"/>
      <c r="IS252" s="1679"/>
      <c r="IT252" s="1679"/>
      <c r="IU252" s="1679"/>
      <c r="IV252" s="1679"/>
      <c r="IW252" s="1679"/>
      <c r="IX252" s="1679"/>
      <c r="IY252" s="1679"/>
      <c r="IZ252" s="1679"/>
      <c r="JA252" s="1679"/>
      <c r="JC252" s="1680"/>
      <c r="JD252" s="1670"/>
      <c r="JE252" s="1681"/>
      <c r="JG252" s="1680"/>
      <c r="JH252" s="1670"/>
      <c r="JI252" s="1060"/>
      <c r="JJ252" s="1683"/>
      <c r="JK252" s="1061"/>
      <c r="JL252" s="1683"/>
      <c r="JM252" s="1061"/>
      <c r="JN252" s="1683"/>
      <c r="JO252" s="1061"/>
      <c r="JP252" s="1683"/>
      <c r="JQ252" s="1061"/>
      <c r="JR252" s="1683"/>
      <c r="JS252" s="1061"/>
      <c r="JT252" s="1670"/>
      <c r="JU252" s="1061"/>
      <c r="JV252" s="1670"/>
      <c r="JX252" s="1670"/>
      <c r="JZ252" s="1683"/>
      <c r="KB252" s="1670"/>
    </row>
    <row r="253" spans="1:288" s="78" customFormat="1" ht="14.95" customHeight="1" thickTop="1" thickBot="1">
      <c r="A253" s="78">
        <f>ROW()</f>
        <v>253</v>
      </c>
      <c r="B253" s="1845"/>
      <c r="C253" s="1846"/>
      <c r="D253" s="1847"/>
      <c r="E253" s="1737" t="s">
        <v>298</v>
      </c>
      <c r="F253" s="1738"/>
      <c r="G253" s="1760"/>
      <c r="H253" s="1761"/>
      <c r="I253" s="1761"/>
      <c r="J253" s="1761"/>
      <c r="K253" s="1761"/>
      <c r="L253" s="1762"/>
      <c r="M253" s="461">
        <f>IFERROR(IF(IF(__Retrofit_TI_NC&lt;&gt;0,IF(CQ251="Interior",MATCH(G253,Lookup_Interior_New,0),MATCH(G253,Lookup_Exterior_New,0)),IF(CQ251="Interior",MATCH(G253,Lookup_Interior,0),MATCH(G253,Lookup_Exterior_Areas,0)))&gt;0,1,0),0)</f>
        <v>0</v>
      </c>
      <c r="N253" s="461" t="e">
        <f>IF(__Retrofit_TI_NC=1,
VLOOKUP(G253,'Space Table'!$B$3:$L$163,4,FALSE),
IF(__Retrofit_TI_NC=2,VLOOKUP(G253,'Space Table'!$B$3:$L$163,5,FALSE),VLOOKUP(G253,'Space Table'!$B$3:$L$163,5,FALSE)))</f>
        <v>#N/A</v>
      </c>
      <c r="O253" s="461">
        <f>G253</f>
        <v>0</v>
      </c>
      <c r="P253" s="1738" t="str">
        <f>IFERROR(IF(__Retrofit_TI_NC=1,VLOOKUP(G253,'Space Table'!$B$3:$O$163,13,FALSE),IF(__Retrofit_TI_NC=2,VLOOKUP(G253,'Space Table'!$B$3:$O$163,14,FALSE),"Area (sf):")),"Area (sf):")</f>
        <v>Area (sf):</v>
      </c>
      <c r="Q253" s="1738"/>
      <c r="R253" s="596"/>
      <c r="S253" s="1763" t="s">
        <v>345</v>
      </c>
      <c r="T253" s="594"/>
      <c r="U253" s="1801"/>
      <c r="V253" s="1802"/>
      <c r="W253" s="1802"/>
      <c r="X253" s="1802"/>
      <c r="Y253" s="1802"/>
      <c r="Z253" s="1802"/>
      <c r="AA253" s="1802"/>
      <c r="AB253" s="1802"/>
      <c r="AC253" s="1802"/>
      <c r="AD253" s="1802"/>
      <c r="AE253" s="1803"/>
      <c r="AF253" s="594"/>
      <c r="AG253" s="1787"/>
      <c r="AH253" s="1787"/>
      <c r="AI253" s="1787"/>
      <c r="AJ253" s="1787"/>
      <c r="AK253" s="1787"/>
      <c r="AL253" s="1787"/>
      <c r="AM253" s="1726">
        <f>IFERROR(DI253,"")</f>
        <v>0</v>
      </c>
      <c r="AN253" s="1728" t="str">
        <f>IFERROR(ROUND(AM253*AC254,0),"")</f>
        <v/>
      </c>
      <c r="AO253" s="1730">
        <f>IFERROR(IF(IB251=FALSE,0,AC254-AN253),0)</f>
        <v>0</v>
      </c>
      <c r="AP253" s="1780"/>
      <c r="AQ253" s="1781"/>
      <c r="AR253" s="1795"/>
      <c r="AS253" s="1795"/>
      <c r="AT253" s="1796"/>
      <c r="AU253" s="1735"/>
      <c r="AV253" s="1752"/>
      <c r="AW253" s="1705"/>
      <c r="AX253" s="467"/>
      <c r="AY253" s="1749"/>
      <c r="AZ253" s="1749"/>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696"/>
      <c r="CQ253" s="1696"/>
      <c r="CR253" s="1808" t="str">
        <f>CQ251</f>
        <v/>
      </c>
      <c r="CS253" s="1810" t="str">
        <f>CS251</f>
        <v/>
      </c>
      <c r="CU253" s="1688" t="s">
        <v>345</v>
      </c>
      <c r="CV253" s="1702">
        <f>IF(IB251=TRUE,T253,0)</f>
        <v>0</v>
      </c>
      <c r="CW253" s="1702" t="str">
        <f>IF(IB251=TRUE,U253,"")</f>
        <v/>
      </c>
      <c r="CX253" s="1812">
        <f>IF(IB251=TRUE,U254,0)</f>
        <v>0</v>
      </c>
      <c r="CY253" s="1814">
        <f>IF(IB251=TRUE,AB254,0)</f>
        <v>0</v>
      </c>
      <c r="CZ253" s="1710">
        <f>IF(AND(__Retrofit_TI_NC&gt;0,CR251="interior"),0,IF(IB251=TRUE,AC254,0))</f>
        <v>0</v>
      </c>
      <c r="DA253" s="1818"/>
      <c r="DB253" s="1820"/>
      <c r="DC253" s="1820"/>
      <c r="DD253" s="1820"/>
      <c r="DF253" s="1702">
        <f>IF(IB251=TRUE,AF253,0)</f>
        <v>0</v>
      </c>
      <c r="DG253" s="1830" t="str">
        <f>IF(IB251=TRUE,AG253,"")</f>
        <v/>
      </c>
      <c r="DH253" s="1812">
        <f>AG254</f>
        <v>0</v>
      </c>
      <c r="DI253" s="1837">
        <f>JE253</f>
        <v>0</v>
      </c>
      <c r="DJ253" s="1710">
        <f>IF(AND(__Retrofit_TI_NC&gt;0,CR251="interior"),0,IF(IB251=TRUE,AN253,0))</f>
        <v>0</v>
      </c>
      <c r="DK253" s="1712"/>
      <c r="DN253" s="1717">
        <f>IFERROR(CZ253-DJ253,0)</f>
        <v>0</v>
      </c>
      <c r="DO253" s="1709"/>
      <c r="DQ253" s="1715"/>
      <c r="DR253" s="1719" t="str">
        <f>DQ251</f>
        <v/>
      </c>
      <c r="DS253" s="1816"/>
      <c r="DT253" s="1835" t="str">
        <f>IF(OR(DS251=7,DS251=8,DS251=9),"ALC","")</f>
        <v/>
      </c>
      <c r="DU253" s="1715"/>
      <c r="DV253" s="1716"/>
      <c r="DX253" s="1715"/>
      <c r="DY253" s="1829" t="str">
        <f>DX251</f>
        <v/>
      </c>
      <c r="DZ253" s="1715"/>
      <c r="EA253" s="1715"/>
      <c r="EC253" s="1834"/>
      <c r="ED253" s="1834"/>
      <c r="EF253" s="1707"/>
      <c r="EG253" s="1712"/>
      <c r="EH253" s="1818"/>
      <c r="EI253" s="1712"/>
      <c r="EJ253" s="1712"/>
      <c r="EK253" s="1836"/>
      <c r="EL253" s="1836"/>
      <c r="EM253" s="1807"/>
      <c r="EN253" s="1839"/>
      <c r="EO253" s="1839"/>
      <c r="EP253" s="1817"/>
      <c r="EQ253" s="1817"/>
      <c r="ER253" s="1807"/>
      <c r="ES253" s="1807"/>
      <c r="ET253" s="1807"/>
      <c r="EV253" s="1715"/>
      <c r="EX253" s="1805" t="str">
        <f>IFERROR(VLOOKUP(CS253,'Space Table'!$B$3:$L$163,8,FALSE),"")</f>
        <v/>
      </c>
      <c r="EY253" s="1805" t="str">
        <f>IFERROR(IF(FB253="Yes",VLOOKUP(AG253,Lookup_Control_Type_Table2,4,FALSE),VLOOKUP(AG253,Lookup_Control_Type_Table2,3,FALSE)),"")</f>
        <v/>
      </c>
      <c r="EZ253" s="1805" t="e">
        <f>VLOOKUP(AG253,Lookup!BB$3:BC$20,2,FALSE)</f>
        <v>#N/A</v>
      </c>
      <c r="FA253" s="1805" t="e">
        <f>VLOOKUP(EX251,Lookup_Control_Type_Table,2,FALSE)</f>
        <v>#N/A</v>
      </c>
      <c r="FB253" s="1805" t="e">
        <f>VLOOKUP(CS253,'Space Table'!$B$3:$L$163,7,FALSE)</f>
        <v>#N/A</v>
      </c>
      <c r="FC253" s="1827"/>
      <c r="FE253" s="1698" t="str">
        <f>CONCATENATE(CQ251," - ",AG253)</f>
        <v xml:space="preserve"> - </v>
      </c>
      <c r="FG253" s="1816"/>
      <c r="FH253" s="1816"/>
      <c r="FI253" s="133"/>
      <c r="FL253" s="1822" t="str">
        <f>IF(CQ251="Exterior","Not Daylighted",G254)</f>
        <v>Not Daylighted</v>
      </c>
      <c r="FM253" s="1824">
        <f>VLOOKUP(FL253,_New_Daylight_Table_Codes,2,FALSE)</f>
        <v>0</v>
      </c>
      <c r="FN253" s="1698">
        <f>AG253</f>
        <v>0</v>
      </c>
      <c r="FO253" s="1698" t="e">
        <f>VLOOKUP(FN253,_Control_Table,2,FALSE)</f>
        <v>#N/A</v>
      </c>
      <c r="FP253" s="1678" t="e">
        <f>VLOOKUP(CONCATENATE(FL253," ",FN253),Lookup!AY$102:AZ264,2,FALSE)</f>
        <v>#N/A</v>
      </c>
      <c r="FQ253" s="1698">
        <f>IF(__Retrofit_TI_NC=0,FN253,IF(AND(FT253&gt;0,FN253="Occupancy Sensor"),"Daylight + Occupancy",IF(AND(FT253&gt;0,FO253&lt;4),"Interior Daylight Dimming",FN253)))</f>
        <v>0</v>
      </c>
      <c r="FS253" s="1686">
        <f>IF(CQ251="Interior",VLOOKUP(CS251,Control_Savings_Interior,5,FALSE),0)</f>
        <v>0</v>
      </c>
      <c r="FT253" s="1687">
        <f>IF(CQ253="Exterior",0,IF(FM253=2,0.5,IF(OR(FM253=1,FM253=3),1,0)))</f>
        <v>0</v>
      </c>
      <c r="FU253" s="1685">
        <f>IF(R252&gt;FS$44,(FS253*(FS$44/R252)),FS253)*FT253</f>
        <v>0</v>
      </c>
      <c r="FV253" s="1686">
        <f>DI253</f>
        <v>0</v>
      </c>
      <c r="FW253" s="1686">
        <f>ROUND(FV253+((1-FV253)*FU253),2)</f>
        <v>0</v>
      </c>
      <c r="FX253" s="1686">
        <f>IF(__Retrofit_TI_NC=2,FW253,FV253)</f>
        <v>0</v>
      </c>
      <c r="FY253" s="1697">
        <f>IF(CR253="Interior",VLOOKUP(CS253,Control_Savings_Interior,4,FALSE),0)</f>
        <v>0</v>
      </c>
      <c r="GA253" s="1696"/>
      <c r="GB253" s="1696"/>
      <c r="GC253" s="1696"/>
      <c r="GD253" s="1696"/>
      <c r="GE253" s="1696"/>
      <c r="GF253" s="1696"/>
      <c r="GG253" s="1696"/>
      <c r="GH253" s="1696"/>
      <c r="GI253" s="673" t="b">
        <f>IF(ISNUMBER(SEARCH("TLED",U253)),TRUE,FALSE)</f>
        <v>0</v>
      </c>
      <c r="GJ253" s="1135" t="str">
        <f>IFERROR(VLOOKUP(U253,Fixtures!DM$93:DR$142,6,FALSE),"")</f>
        <v/>
      </c>
      <c r="GK253" s="1832"/>
      <c r="GM253" s="1692"/>
      <c r="GN253" s="1684"/>
      <c r="GP253" s="1684"/>
      <c r="GQ253" s="1684"/>
      <c r="HG253" s="1684"/>
      <c r="HH253" s="1684"/>
      <c r="HI253" s="1684"/>
      <c r="HJ253" s="1684"/>
      <c r="HK253" s="1684"/>
      <c r="HL253" s="1684"/>
      <c r="HM253" s="1684"/>
      <c r="HN253" s="1683"/>
      <c r="HO253" s="1692"/>
      <c r="HP253" s="1692"/>
      <c r="HQ253" s="1670"/>
      <c r="HR253" s="1684"/>
      <c r="HS253" s="1684"/>
      <c r="HT253" s="1670"/>
      <c r="HU253" s="1684"/>
      <c r="HV253" s="1684"/>
      <c r="HW253" s="1684"/>
      <c r="HX253" s="1684"/>
      <c r="HY253" s="1684"/>
      <c r="HZ253" s="1684"/>
      <c r="IB253" s="1692"/>
      <c r="IC253" s="1693" t="b">
        <f>IB251</f>
        <v>0</v>
      </c>
      <c r="ID253" s="1695"/>
      <c r="IE253" s="391"/>
      <c r="IF253" s="1688"/>
      <c r="IG253" s="1689">
        <f ca="1">IF(IF251=TRUE,AC254,0)</f>
        <v>0</v>
      </c>
      <c r="IH253" s="1684"/>
      <c r="IK253" s="1689" t="e">
        <f>ROUND(T253*AB254*N252*R252/1000,0)</f>
        <v>#VALUE!</v>
      </c>
      <c r="IL253" s="1691"/>
      <c r="IM253" s="1693" t="e">
        <f>ROUND(T253*AB254*N252*R252/1000,0)</f>
        <v>#VALUE!</v>
      </c>
      <c r="IN253" s="1691"/>
      <c r="IP253" s="1679"/>
      <c r="IQ253" s="1679" t="e">
        <f t="shared" ref="IQ253:IU253" si="212">IF($CR253="interior",VLOOKUP($CS253,_New_Control_Savings_Interior,IQ$30,FALSE),VLOOKUP($CS253,Control_Savings_Exterior,IQ$30,FALSE))</f>
        <v>#N/A</v>
      </c>
      <c r="IR253" s="1679" t="e">
        <f t="shared" si="212"/>
        <v>#N/A</v>
      </c>
      <c r="IS253" s="1679" t="e">
        <f t="shared" si="212"/>
        <v>#N/A</v>
      </c>
      <c r="IT253" s="1679" t="e">
        <f t="shared" si="212"/>
        <v>#N/A</v>
      </c>
      <c r="IU253" s="1679" t="e">
        <f t="shared" si="212"/>
        <v>#N/A</v>
      </c>
      <c r="IV253" s="1679" t="e">
        <f>IF($CR253="interior",IF(R252&gt;$IP$14,ROUND(($IV$18*($IP$14/R252)),2),$IV$18),VLOOKUP($CS253,Control_Savings_Exterior,IV$30,FALSE))</f>
        <v>#N/A</v>
      </c>
      <c r="IW253" s="1679" t="e">
        <f>IF($CR253="interior",ROUND(((1-IS253)*IV253)+IS253,2),VLOOKUP($CS253,Control_Savings_Exterior,IW$30,FALSE))</f>
        <v>#N/A</v>
      </c>
      <c r="IX253" s="1679" t="e">
        <f>IF($CR253="interior",ROUND(((1-IT253)*IV253)+IT253,2),VLOOKUP($CS253,Control_Savings_Exterior,IX$30,FALSE))</f>
        <v>#N/A</v>
      </c>
      <c r="IY253" s="1679" t="e">
        <f>IF($CR253="interior",IF(R252&gt;$IP$14,ROUND(($IY$18*($IP$14/R252)),2),$IY$18),VLOOKUP($CS253,Control_Savings_Exterior,IY$30,FALSE))</f>
        <v>#N/A</v>
      </c>
      <c r="IZ253" s="1679" t="e">
        <f>IF($CR253="interior",ROUND(((1-IS253)*IY253)+IS253,2),VLOOKUP($CS253,Control_Savings_Exterior,IZ$30,FALSE))</f>
        <v>#N/A</v>
      </c>
      <c r="JA253" s="1679" t="e">
        <f>IF($CR253="interior",ROUND(((1-IT253)*IY253)+IT253,2),VLOOKUP($CS253,Control_Savings_Exterior,JA$30,FALSE))</f>
        <v>#N/A</v>
      </c>
      <c r="JC253" s="1680">
        <f>IFERROR(IF(CR253="Interior",CONCATENATE(G254," ",FQ253),AG253),"")</f>
        <v>0</v>
      </c>
      <c r="JD253" s="1670" t="str">
        <f>IFERROR(VLOOKUP(JC253,_Controls_2023,2,FALSE),"")</f>
        <v/>
      </c>
      <c r="JE253" s="1681">
        <f>IFERROR(CHOOSE(JD253-1,IQ253,IR253,IS253,IT253,IU253,IV253,IW253,IX253,IY253,IZ253,JA253),0)</f>
        <v>0</v>
      </c>
      <c r="JG253" s="1680" t="str">
        <f>FE253</f>
        <v xml:space="preserve"> - </v>
      </c>
      <c r="JH253" s="1670" t="e">
        <f>$FO253</f>
        <v>#N/A</v>
      </c>
      <c r="JI253" s="1060"/>
      <c r="JJ253" s="1670">
        <f>IFERROR(IF($IB251=TRUE,IF(OR(JJ$14="No",JJ251=FALSE,JH253&lt;=JH251,AND(_kWh_Grant=0,GD251=FALSE)),0,IF(JJ$8="Per Line",1,$AF253)),0),0)</f>
        <v>0</v>
      </c>
      <c r="JK253" s="1061"/>
      <c r="JL253" s="1670">
        <f>IFERROR(IF(_kWh_Grant=0,0,IF($IB251=TRUE,IF(OR(JL$14="No",JL251=FALSE,JH253&lt;=JH251),0,IF(JL$8="Per Line",1,$T253)),0)),0)</f>
        <v>0</v>
      </c>
      <c r="JM253" s="1061"/>
      <c r="JN253" s="1670">
        <f>IFERROR(IF(_kWh_Grant=0,0,IF($IB251=TRUE,IF(OR(JN$14="No",JN251=FALSE,JH253&lt;=JH251),0,IF(JN$8="Per Line",1,$AF253)),0)),0)</f>
        <v>0</v>
      </c>
      <c r="JO253" s="1061"/>
      <c r="JP253" s="1670">
        <f>IFERROR(IF(__Retrofit_TI_NC=0,IF(_kWh_Grant=0,0,IF($IB251=TRUE,IF(OR(JP$14="No",JP251=FALSE,$JH253&lt;=$JH251),0,IF(JP$8="Per Line",1,$AF253)),0)),IF($IB251=TRUE,IF(OR(JP$14="No",JP251=FALSE,$JH253&lt;=$JH251),0,IF(JP$8="Per Line",1,$AF253)))),0)</f>
        <v>0</v>
      </c>
      <c r="JQ253" s="1061"/>
      <c r="JR253" s="1670">
        <f>IFERROR(IF(__Retrofit_TI_NC=0,IF(_kWh_Grant=0,0,IF($IB251=TRUE,IF(OR(JR$14="No",JR251=FALSE,$JH253&lt;=$JH251),0,IF(JR$8="Per Line",1,$AF253)),0)),IF($IB251=TRUE,IF(OR(JR$14="No",JR251=FALSE,$JH253&lt;=$JH251),0,IF(JR$8="Per Line",1,$AF253)))),0)</f>
        <v>0</v>
      </c>
      <c r="JS253" s="1061"/>
      <c r="JT253" s="1670">
        <f>IFERROR(IF(__Retrofit_TI_NC=0,IF(_kWh_Grant=0,0,IF($IB251=TRUE,IF(OR(JT$14="No",JT251=FALSE,$JH253&lt;=$JH251),0,IF(JT$8="Per Line",1,$AF253)),0)),IF($IB251=TRUE,IF(OR(JT$14="No",JT251=FALSE,$JH253&lt;=$JH251),0,IF(JT$8="Per Line",1,$AF253)))),0)</f>
        <v>0</v>
      </c>
      <c r="JU253" s="1061"/>
      <c r="JV253" s="1670">
        <f>IFERROR(IF(__Retrofit_TI_NC=0,IF(_kWh_Grant=0,0,IF($IB251=TRUE,IF(OR(JV$14="No",JV251=FALSE,$JH253&lt;=$JH251),0,IF(JV$8="Per Line",1,$AF253)),0)),IF($IB251=TRUE,IF(OR(JV$14="No",JV251=FALSE,$JH253&lt;=$JH251),0,IF(JV$8="Per Line",1,$AF253)))),0)</f>
        <v>0</v>
      </c>
      <c r="JX253" s="1670">
        <f>IFERROR(IF(__Retrofit_TI_NC=0,IF(_kWh_Grant=0,0,IF($IB251=TRUE,IF(OR(JX$14="No",JX251=FALSE,$JH253&lt;=$JH251),0,IF(JX$8="Per Line",1,$AF253)),0)),IF($IB251=TRUE,IF(OR(JX$14="No",JX251=FALSE,$JH253&lt;=$JH251),0,IF(JX$8="Per Line",1,$AF253)))),0)</f>
        <v>0</v>
      </c>
      <c r="JZ253" s="1670">
        <f>IFERROR(IF($IB251=TRUE,IF(OR(JZ$14="No",JZ251=FALSE,$JH253&lt;=$JH251,AND(_kWh_Grant=0,$GD251=FALSE)),0,IF(JZ$8="Per Line",1,$AF253)),0),0)</f>
        <v>0</v>
      </c>
      <c r="KB253" s="1670">
        <f>IFERROR(IF(__Retrofit_TI_NC=0,IF(_kWh_Grant=0,0,IF($IB251=TRUE,IF(OR(KB$14="No",KB251=FALSE,$JH253&lt;=$JH251),0,IF(KB$8="Per Line",1,$AF253)),0)),IF($IB251=TRUE,IF(OR(KB$14="No",KB251=FALSE,$JH253&lt;=$JH251),0,IF(KB$8="Per Line",1,$AF253)))),0)</f>
        <v>0</v>
      </c>
    </row>
    <row r="254" spans="1:288" s="78" customFormat="1" ht="14.95" customHeight="1" thickTop="1" thickBot="1">
      <c r="B254" s="1845"/>
      <c r="C254" s="1846"/>
      <c r="D254" s="1847"/>
      <c r="E254" s="1771" t="s">
        <v>436</v>
      </c>
      <c r="F254" s="1772"/>
      <c r="G254" s="1784" t="s">
        <v>437</v>
      </c>
      <c r="H254" s="1785"/>
      <c r="I254" s="1785"/>
      <c r="J254" s="1785"/>
      <c r="K254" s="1785"/>
      <c r="L254" s="1786"/>
      <c r="M254" s="591">
        <f>IFERROR(VLOOKUP(G254,_Daylight_Table[],2,FALSE),0)</f>
        <v>0</v>
      </c>
      <c r="N254" s="592" t="str">
        <f>IF(AND(__Retrofit_TI_NC&gt;0,CQ251="Interior"),"BAM","")</f>
        <v/>
      </c>
      <c r="O254" s="591" t="e">
        <f>VLOOKUP(G253,'Space Table'!$B$3:$L$163,11,FALSE)</f>
        <v>#N/A</v>
      </c>
      <c r="P254" s="1789"/>
      <c r="Q254" s="1790"/>
      <c r="R254" s="1790"/>
      <c r="S254" s="1788"/>
      <c r="T254" s="593" t="s">
        <v>342</v>
      </c>
      <c r="U254" s="1756" t="str" cm="1">
        <f t="array" aca="1" ref="U254" ca="1">IFERROR(VLOOKUP(INDIRECT("U" &amp; ROW()-1),Fixtures!DM$93:DP$142,4,FALSE),"")</f>
        <v/>
      </c>
      <c r="V254" s="1757"/>
      <c r="W254" s="1757"/>
      <c r="X254" s="1757"/>
      <c r="Y254" s="1757"/>
      <c r="Z254" s="1757"/>
      <c r="AA254" s="1758"/>
      <c r="AB254" s="939" t="str">
        <f>IFERROR(VLOOKUP(U253,Fixtures_Proposed_List,2,FALSE),"")</f>
        <v/>
      </c>
      <c r="AC254" s="933" t="str">
        <f>IFERROR(ROUND(T253*AB254*N252*R252/1000,0),"")</f>
        <v/>
      </c>
      <c r="AD254" s="934" t="str">
        <f>IFERROR(ROUND(T253*AB254/1000,2),"")</f>
        <v/>
      </c>
      <c r="AE254" s="998"/>
      <c r="AF254" s="938" t="s">
        <v>342</v>
      </c>
      <c r="AG254" s="1770"/>
      <c r="AH254" s="1770"/>
      <c r="AI254" s="1770"/>
      <c r="AJ254" s="1770"/>
      <c r="AK254" s="1770"/>
      <c r="AL254" s="1770"/>
      <c r="AM254" s="1727"/>
      <c r="AN254" s="1729"/>
      <c r="AO254" s="1731"/>
      <c r="AP254" s="1782"/>
      <c r="AQ254" s="1783"/>
      <c r="AR254" s="1797"/>
      <c r="AS254" s="1797"/>
      <c r="AT254" s="1798"/>
      <c r="AU254" s="1736"/>
      <c r="AV254" s="1753"/>
      <c r="AW254" s="1706"/>
      <c r="AX254" s="468"/>
      <c r="AY254" s="1750"/>
      <c r="AZ254" s="1750"/>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696"/>
      <c r="CQ254" s="1696"/>
      <c r="CR254" s="1809"/>
      <c r="CS254" s="1811"/>
      <c r="CU254" s="1688"/>
      <c r="CV254" s="1703"/>
      <c r="CW254" s="1703"/>
      <c r="CX254" s="1813"/>
      <c r="CY254" s="1815"/>
      <c r="CZ254" s="1711"/>
      <c r="DA254" s="1815"/>
      <c r="DB254" s="1821"/>
      <c r="DC254" s="1821"/>
      <c r="DD254" s="1821"/>
      <c r="DF254" s="1703"/>
      <c r="DG254" s="1831"/>
      <c r="DH254" s="1813"/>
      <c r="DI254" s="1838"/>
      <c r="DJ254" s="1711"/>
      <c r="DK254" s="1712"/>
      <c r="DN254" s="1718"/>
      <c r="DO254" s="1709"/>
      <c r="DQ254" s="1715"/>
      <c r="DR254" s="1720"/>
      <c r="DS254" s="1703"/>
      <c r="DT254" s="1714"/>
      <c r="DU254" s="1715"/>
      <c r="DV254" s="1716"/>
      <c r="DX254" s="1715"/>
      <c r="DY254" s="1720"/>
      <c r="DZ254" s="1715"/>
      <c r="EA254" s="1715"/>
      <c r="EC254" s="1834"/>
      <c r="ED254" s="1834"/>
      <c r="EF254" s="1707"/>
      <c r="EG254" s="1712"/>
      <c r="EH254" s="1815"/>
      <c r="EI254" s="1712"/>
      <c r="EJ254" s="1712"/>
      <c r="EK254" s="1813"/>
      <c r="EL254" s="1813"/>
      <c r="EM254" s="1807"/>
      <c r="EN254" s="1839"/>
      <c r="EO254" s="1839"/>
      <c r="EP254" s="1817"/>
      <c r="EQ254" s="1817"/>
      <c r="ER254" s="1807"/>
      <c r="ES254" s="1807"/>
      <c r="ET254" s="1807"/>
      <c r="EV254" s="1715"/>
      <c r="EX254" s="1806"/>
      <c r="EY254" s="1806"/>
      <c r="EZ254" s="1806"/>
      <c r="FA254" s="1806"/>
      <c r="FB254" s="1806"/>
      <c r="FC254" s="1828"/>
      <c r="FE254" s="1698"/>
      <c r="FG254" s="1703"/>
      <c r="FH254" s="1703"/>
      <c r="FI254" s="133"/>
      <c r="FL254" s="1823"/>
      <c r="FM254" s="1825"/>
      <c r="FN254" s="1698"/>
      <c r="FO254" s="1698"/>
      <c r="FP254" s="1678"/>
      <c r="FQ254" s="1698"/>
      <c r="FS254" s="1687"/>
      <c r="FT254" s="1687"/>
      <c r="FU254" s="1685"/>
      <c r="FV254" s="1687"/>
      <c r="FW254" s="1687"/>
      <c r="FX254" s="1687"/>
      <c r="FY254" s="1697"/>
      <c r="GA254" s="1696"/>
      <c r="GB254" s="1696"/>
      <c r="GC254" s="1696"/>
      <c r="GD254" s="1696"/>
      <c r="GE254" s="1696"/>
      <c r="GF254" s="1696"/>
      <c r="GG254" s="1696"/>
      <c r="GH254" s="1696"/>
      <c r="GI254" s="673"/>
      <c r="GJ254" s="1135"/>
      <c r="GK254" s="1832"/>
      <c r="GN254" s="674">
        <f>IF(GN252=TRUE,0,GN$16)</f>
        <v>0</v>
      </c>
      <c r="GP254" s="674">
        <f>IF(GP252=TRUE,0,GP$16)</f>
        <v>36</v>
      </c>
      <c r="GQ254" s="674">
        <f ca="1">IF(GQ252=TRUE,0,GQ$16)</f>
        <v>35</v>
      </c>
      <c r="GR254" s="391"/>
      <c r="GS254" s="391"/>
      <c r="GT254" s="391"/>
      <c r="GU254" s="391"/>
      <c r="GV254" s="391"/>
      <c r="HG254" s="674">
        <f>IF(HG252=TRUE,0,HG$16)</f>
        <v>0</v>
      </c>
      <c r="HH254" s="674">
        <f t="shared" ref="HH254:HM254" si="213">IF(HH252=TRUE,0,HH$16)</f>
        <v>19</v>
      </c>
      <c r="HI254" s="674">
        <f t="shared" si="213"/>
        <v>18</v>
      </c>
      <c r="HJ254" s="674">
        <f t="shared" si="213"/>
        <v>17</v>
      </c>
      <c r="HK254" s="674">
        <f t="shared" si="213"/>
        <v>16</v>
      </c>
      <c r="HL254" s="674">
        <f t="shared" si="213"/>
        <v>0</v>
      </c>
      <c r="HM254" s="674">
        <f t="shared" si="213"/>
        <v>0</v>
      </c>
      <c r="HN254" s="674">
        <f>IF(HN252=TRUE,0,HN$16)</f>
        <v>13</v>
      </c>
      <c r="HO254" s="674">
        <f t="shared" ref="HO254:HQ254" si="214">IF(HO252=TRUE,0,HO$16)</f>
        <v>0</v>
      </c>
      <c r="HP254" s="674">
        <f t="shared" si="214"/>
        <v>0</v>
      </c>
      <c r="HQ254" s="674">
        <f t="shared" si="214"/>
        <v>10</v>
      </c>
      <c r="HR254" s="674">
        <f>IF(HR252=TRUE,0,HR$16)</f>
        <v>9</v>
      </c>
      <c r="HS254" s="674">
        <f t="shared" ref="HS254:HW254" si="215">IF(HS252=TRUE,0,HS$16)</f>
        <v>0</v>
      </c>
      <c r="HT254" s="674">
        <f t="shared" si="215"/>
        <v>0</v>
      </c>
      <c r="HU254" s="674">
        <f t="shared" si="215"/>
        <v>0</v>
      </c>
      <c r="HV254" s="674">
        <f t="shared" si="215"/>
        <v>0</v>
      </c>
      <c r="HW254" s="674">
        <f t="shared" si="215"/>
        <v>0</v>
      </c>
      <c r="HX254" s="674">
        <f>IF(HX252=TRUE,0,HX$16)</f>
        <v>0</v>
      </c>
      <c r="HY254" s="674">
        <f>IF(HY252=TRUE,0,HY$16)</f>
        <v>0</v>
      </c>
      <c r="HZ254" s="674">
        <f>IF(HZ252=TRUE,0,HZ$16)</f>
        <v>1</v>
      </c>
      <c r="IB254" s="674">
        <f>IF(GP252=FALSE,GP254,IF(GQ252=FALSE,GQ254,MAX(GN254:HZ254)))</f>
        <v>36</v>
      </c>
      <c r="IC254" s="1692"/>
      <c r="ID254" s="205" t="str">
        <f>VLOOKUP(IB254,_Error_Table,3,FALSE)</f>
        <v xml:space="preserve"> </v>
      </c>
      <c r="IE254" s="205"/>
      <c r="IF254" s="1688"/>
      <c r="IG254" s="1689"/>
      <c r="IH254" s="1684"/>
      <c r="IK254" s="1689"/>
      <c r="IL254" s="1692"/>
      <c r="IM254" s="1692"/>
      <c r="IN254" s="1692"/>
      <c r="IP254" s="1679"/>
      <c r="IQ254" s="1679"/>
      <c r="IR254" s="1679"/>
      <c r="IS254" s="1679"/>
      <c r="IT254" s="1679"/>
      <c r="IU254" s="1679"/>
      <c r="IV254" s="1679"/>
      <c r="IW254" s="1679"/>
      <c r="IX254" s="1679"/>
      <c r="IY254" s="1679"/>
      <c r="IZ254" s="1679"/>
      <c r="JA254" s="1679"/>
      <c r="JC254" s="1680"/>
      <c r="JD254" s="1670"/>
      <c r="JE254" s="1681"/>
      <c r="JG254" s="1680"/>
      <c r="JH254" s="1670"/>
      <c r="JI254" s="1060"/>
      <c r="JJ254" s="1670"/>
      <c r="JK254" s="1061"/>
      <c r="JL254" s="1670"/>
      <c r="JM254" s="1061"/>
      <c r="JN254" s="1670"/>
      <c r="JO254" s="1061"/>
      <c r="JP254" s="1670"/>
      <c r="JQ254" s="1061"/>
      <c r="JR254" s="1670"/>
      <c r="JS254" s="1061"/>
      <c r="JT254" s="1670"/>
      <c r="JU254" s="1061"/>
      <c r="JV254" s="1670"/>
      <c r="JX254" s="1670"/>
      <c r="JZ254" s="1670"/>
      <c r="KB254" s="1670"/>
    </row>
    <row r="255" spans="1:288" s="78" customFormat="1" ht="4.95" customHeight="1">
      <c r="B255" s="676"/>
      <c r="C255" s="392"/>
      <c r="D255" s="392"/>
      <c r="E255" s="1733"/>
      <c r="F255" s="1733"/>
      <c r="G255" s="1733"/>
      <c r="H255" s="1733"/>
      <c r="I255" s="1733"/>
      <c r="J255" s="1733"/>
      <c r="K255" s="1733"/>
      <c r="L255" s="1733"/>
      <c r="M255" s="1733"/>
      <c r="N255" s="1733"/>
      <c r="O255" s="1733"/>
      <c r="P255" s="1733"/>
      <c r="Q255" s="1733"/>
      <c r="R255" s="1733"/>
      <c r="S255" s="1733"/>
      <c r="T255" s="1733"/>
      <c r="U255" s="1733"/>
      <c r="V255" s="1733"/>
      <c r="W255" s="1733"/>
      <c r="X255" s="1733"/>
      <c r="Y255" s="1733"/>
      <c r="Z255" s="1733"/>
      <c r="AA255" s="1733"/>
      <c r="AB255" s="1733"/>
      <c r="AC255" s="1733"/>
      <c r="AD255" s="1733"/>
      <c r="AE255" s="1733"/>
      <c r="AF255" s="1733"/>
      <c r="AG255" s="1733"/>
      <c r="AH255" s="1733"/>
      <c r="AI255" s="1733"/>
      <c r="AJ255" s="1733"/>
      <c r="AK255" s="1733"/>
      <c r="AL255" s="1733"/>
      <c r="AM255" s="1733"/>
      <c r="AN255" s="1733"/>
      <c r="AO255" s="1733"/>
      <c r="AP255" s="1733"/>
      <c r="AQ255" s="1733"/>
      <c r="AR255" s="1733"/>
      <c r="AS255" s="1733"/>
      <c r="AT255" s="1733"/>
      <c r="AU255" s="1733"/>
      <c r="AV255" s="1733"/>
      <c r="AW255" s="1733"/>
      <c r="AX255" s="469"/>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663"/>
      <c r="CQ255" s="663"/>
      <c r="CR255" s="438"/>
      <c r="CS255" s="663"/>
      <c r="CV255" s="391"/>
      <c r="CW255" s="391"/>
      <c r="CX255" s="207"/>
      <c r="CY255" s="208"/>
      <c r="CZ255" s="208"/>
      <c r="DA255" s="208"/>
      <c r="DB255" s="209"/>
      <c r="DC255" s="209"/>
      <c r="DD255" s="209"/>
      <c r="DF255" s="664"/>
      <c r="DG255" s="665"/>
      <c r="DH255" s="666"/>
      <c r="DI255" s="667"/>
      <c r="DJ255" s="668"/>
      <c r="DK255" s="668"/>
      <c r="DN255" s="208"/>
      <c r="DO255" s="664"/>
      <c r="DQ255" s="664"/>
      <c r="DR255" s="669"/>
      <c r="DS255" s="391"/>
      <c r="DT255" s="664"/>
      <c r="DU255" s="664"/>
      <c r="DV255" s="664"/>
      <c r="DX255" s="664"/>
      <c r="DY255" s="664"/>
      <c r="DZ255" s="664"/>
      <c r="EA255" s="664"/>
      <c r="EC255" s="670"/>
      <c r="ED255" s="670"/>
      <c r="EF255" s="668"/>
      <c r="EG255" s="668"/>
      <c r="EH255" s="208"/>
      <c r="EI255" s="668"/>
      <c r="EJ255" s="668"/>
      <c r="EK255" s="207"/>
      <c r="EL255" s="207"/>
      <c r="EM255" s="666"/>
      <c r="EN255" s="671"/>
      <c r="EO255" s="671"/>
      <c r="EP255" s="672"/>
      <c r="EQ255" s="672"/>
      <c r="ER255" s="666"/>
      <c r="ES255" s="666"/>
      <c r="ET255" s="666"/>
      <c r="EV255" s="664"/>
      <c r="EX255" s="391"/>
      <c r="EY255" s="391"/>
      <c r="EZ255" s="391"/>
      <c r="FA255" s="391"/>
      <c r="FB255" s="391"/>
      <c r="FC255" s="391"/>
      <c r="FE255" s="569"/>
      <c r="FG255" s="391"/>
      <c r="FH255" s="391"/>
      <c r="FI255" s="391"/>
      <c r="FS255" s="664"/>
      <c r="FT255" s="391"/>
      <c r="FU255" s="391"/>
      <c r="FV255" s="664"/>
      <c r="FW255" s="664"/>
      <c r="GA255" s="663"/>
      <c r="GB255" s="663"/>
      <c r="GC255" s="663"/>
      <c r="GD255" s="663"/>
      <c r="GE255" s="663"/>
      <c r="GF255" s="663"/>
      <c r="GG255" s="663"/>
      <c r="GH255" s="663"/>
      <c r="GI255" s="665"/>
      <c r="GJ255" s="664"/>
      <c r="GK255" s="664"/>
    </row>
    <row r="256" spans="1:288" s="78" customFormat="1" ht="14.95" customHeight="1">
      <c r="B256" s="1845" t="str">
        <f>ID259</f>
        <v xml:space="preserve"> </v>
      </c>
      <c r="C256" s="1846">
        <f>C251+1</f>
        <v>41</v>
      </c>
      <c r="D256" s="1847"/>
      <c r="E256" s="1799" t="s">
        <v>295</v>
      </c>
      <c r="F256" s="1800"/>
      <c r="G256" s="1741"/>
      <c r="H256" s="1742"/>
      <c r="I256" s="1742"/>
      <c r="J256" s="1742"/>
      <c r="K256" s="1742"/>
      <c r="L256" s="1742"/>
      <c r="M256" s="1742"/>
      <c r="N256" s="1742"/>
      <c r="O256" s="1742"/>
      <c r="P256" s="1742"/>
      <c r="Q256" s="1742"/>
      <c r="R256" s="1742"/>
      <c r="S256" s="1791" t="s">
        <v>344</v>
      </c>
      <c r="T256" s="590"/>
      <c r="U256" s="1743"/>
      <c r="V256" s="1744"/>
      <c r="W256" s="1744"/>
      <c r="X256" s="1744"/>
      <c r="Y256" s="1744"/>
      <c r="Z256" s="1744"/>
      <c r="AA256" s="1744"/>
      <c r="AB256" s="961" t="str">
        <f>IFERROR(IF(__Retrofit_TI_NC=0,VLOOKUP(U257,Fixtures_Existing_List,2,FALSE),ROUND(N258*R258/T258,10)),"")</f>
        <v/>
      </c>
      <c r="AC256" s="935" t="str">
        <f>IFERROR(IF(__Retrofit_TI_NC=0,ROUND(T257*AB256*N257*R257/1000,0),IF(CQ256="Interior",N258*R258*R257*N257*_C406_reduction/1000,N258*R258*R257*N257/1000)),"")</f>
        <v/>
      </c>
      <c r="AD256" s="936" t="str">
        <f>IFERROR(IF(C$43=0,ROUND(T257*AB256/1000,2),N258*R258/1000),"")</f>
        <v/>
      </c>
      <c r="AE256" s="997"/>
      <c r="AF256" s="937"/>
      <c r="AG256" s="1745" t="str">
        <f>IF(__Retrofit_TI_NC=0," Control","Select Advanced Control for New System")</f>
        <v xml:space="preserve"> Control</v>
      </c>
      <c r="AH256" s="1745"/>
      <c r="AI256" s="1745"/>
      <c r="AJ256" s="1745"/>
      <c r="AK256" s="1745"/>
      <c r="AL256" s="1745"/>
      <c r="AM256" s="1746">
        <f>IFERROR(DI256,"")</f>
        <v>0</v>
      </c>
      <c r="AN256" s="1774" t="str">
        <f>IFERROR(ROUND(AM256*AC256,0),"")</f>
        <v/>
      </c>
      <c r="AO256" s="1776">
        <f>IFERROR(IF(IB256=FALSE,0,AC256-AN256),0)</f>
        <v>0</v>
      </c>
      <c r="AP256" s="1778">
        <f>AO256-AO258</f>
        <v>0</v>
      </c>
      <c r="AQ256" s="1779"/>
      <c r="AR256" s="1793">
        <f>IFERROR(IF(IB256=FALSE,0,(T258*U259)+(AF258*AG259)),0)</f>
        <v>0</v>
      </c>
      <c r="AS256" s="1793"/>
      <c r="AT256" s="1794"/>
      <c r="AU256" s="1734" t="s">
        <v>237</v>
      </c>
      <c r="AV256" s="1751">
        <f>IF(AU256="Yes",1,0)</f>
        <v>1</v>
      </c>
      <c r="AW256" s="1704" t="str">
        <f>IF(OR(DQ256=4,DQ256=5,DQ256=6,DQ256=12),CONCATENATE("$",IF(GH256=TRUE,Lookup!$K$10,Lookup!$K$2)," /lamp"),CONCATENATE(TEXT(ED256,"$0.00"),"/ kWh"))</f>
        <v>$0.00/ kWh</v>
      </c>
      <c r="AX256" s="467"/>
      <c r="AY256" s="1748">
        <f ca="1">IFERROR(IF(GM257=TRUE,(AB259*T258)/R258,0),"NA")</f>
        <v>0</v>
      </c>
      <c r="AZ256" s="1748"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696" t="str">
        <f>N257</f>
        <v/>
      </c>
      <c r="CQ256" s="1696" t="str">
        <f>IFERROR(VLOOKUP(G257,_Lookup_Heat_Type_Table_New,3,FALSE),"")</f>
        <v/>
      </c>
      <c r="CR256" s="1808" t="str">
        <f>CQ256</f>
        <v/>
      </c>
      <c r="CS256" s="1810" t="str">
        <f>IFERROR(VLOOKUP(G258,'Space Table'!$B$3:$L$163,9,FALSE),"")</f>
        <v/>
      </c>
      <c r="CU256" s="1688" t="s">
        <v>344</v>
      </c>
      <c r="CV256" s="1702">
        <f>IF(IB256=TRUE,T257,0)</f>
        <v>0</v>
      </c>
      <c r="CW256" s="1702" t="str">
        <f>IF(IB256=TRUE,U257,"")</f>
        <v/>
      </c>
      <c r="CX256" s="1702"/>
      <c r="CY256" s="1814">
        <f>IF(IB256=TRUE,AB256,0)</f>
        <v>0</v>
      </c>
      <c r="CZ256" s="1710">
        <f>IF(AND(__Retrofit_TI_NC&gt;0,CR256="interior"),0,IF(IB256=TRUE,AC256,0))</f>
        <v>0</v>
      </c>
      <c r="DA256" s="1814">
        <f>IFERROR(IF(IB256=TRUE,CZ256-CZ258,0),0)</f>
        <v>0</v>
      </c>
      <c r="DB256" s="1819">
        <f>IF(IB256=TRUE,AD256,0)</f>
        <v>0</v>
      </c>
      <c r="DC256" s="1819">
        <f>IF(IB256=TRUE,AD259,0)</f>
        <v>0</v>
      </c>
      <c r="DD256" s="1819">
        <f>IFERROR(DB256-DC256,0)</f>
        <v>0</v>
      </c>
      <c r="DF256" s="1702">
        <f>IF(IB256=TRUE,AF257,0)</f>
        <v>0</v>
      </c>
      <c r="DG256" s="1830">
        <f>IFERROR(IF(__Retrofit_TI_NC=2,IF(CQ256="Exterior",O259,FQ256),FN256),"")</f>
        <v>0</v>
      </c>
      <c r="DH256" s="1702"/>
      <c r="DI256" s="1837">
        <f>JE256</f>
        <v>0</v>
      </c>
      <c r="DJ256" s="1710">
        <f>IF(AND(__Retrofit_TI_NC&gt;0,CR256="interior"),0,IF(IB256=TRUE,AN256,0))</f>
        <v>0</v>
      </c>
      <c r="DK256" s="1712">
        <f>IFERROR(IF(IB256=TRUE,DJ258-DJ256,0),0)</f>
        <v>0</v>
      </c>
      <c r="DM256" s="1717">
        <f>IFERROR(CZ256-DJ256,0)</f>
        <v>0</v>
      </c>
      <c r="DO256" s="1708">
        <f>DM256-DN258</f>
        <v>0</v>
      </c>
      <c r="DQ256" s="1715" t="str">
        <f>IFERROR(IF(AND(OR(GC256=4,GC256=5,GC256=6),OR(GF256=4,GF256=5,GF256=6)),GC256+8,VLOOKUP(CW258,Fixtures!R$31:Y$78,8,FALSE)),"")</f>
        <v/>
      </c>
      <c r="DR256" s="1829" t="str">
        <f>DQ256</f>
        <v/>
      </c>
      <c r="DS256" s="1702" t="str">
        <f>IFERROR(VLOOKUP(DG258,Lookup!BB$3:BC$20,2,FALSE),"")</f>
        <v/>
      </c>
      <c r="DT256" s="1713" t="str">
        <f>IF(OR(DS256=7,DS256=8,DS256=9),"ALC","")</f>
        <v/>
      </c>
      <c r="DU256" s="1715">
        <f>IFERROR(IF(OR(DQ256=4,DQ256=5,DQ256=6,DQ256=12,DQ256=13,DQ256=14),VLOOKUP(CW258,Fixtures!DN$27:EG$77,19,FALSE),1)*CV258,0)</f>
        <v>0</v>
      </c>
      <c r="DV256" s="1716">
        <f>IF(OR(DS256=7,DS256=8,DS256=9),IF(DG256=DG258,0,DF258),0)</f>
        <v>0</v>
      </c>
      <c r="DX256" s="1715" t="str">
        <f>IFERROR(IF(EZ256&lt;EZ258,"Yes","No"),"")</f>
        <v/>
      </c>
      <c r="DY256" s="1829" t="str">
        <f>DX256</f>
        <v/>
      </c>
      <c r="DZ256" s="1715">
        <f>IF(DX256="Yes",DF258,0)</f>
        <v>0</v>
      </c>
      <c r="EA256" s="1715">
        <f>DZ256-DV256</f>
        <v>0</v>
      </c>
      <c r="EC256" s="1834">
        <f>IFERROR(VLOOKUP(DQ256,Lookup!AU$3:AV$16,2,FALSE),0)</f>
        <v>0</v>
      </c>
      <c r="ED256" s="1834">
        <f>IF(IB256=FALSE,0,IF(DX256="Yes",EC256+Lookup!K$6,EC256))</f>
        <v>0</v>
      </c>
      <c r="EF256" s="1707">
        <f>IF(IB256=TRUE,DM256,0)</f>
        <v>0</v>
      </c>
      <c r="EG256" s="1712">
        <f>IF(IB256=TRUE,CZ258,0)</f>
        <v>0</v>
      </c>
      <c r="EH256" s="1814">
        <f>IFERROR(EF256-EG256,0)</f>
        <v>0</v>
      </c>
      <c r="EI256" s="1712">
        <f>IF(IB256=TRUE,DJ258,0)</f>
        <v>0</v>
      </c>
      <c r="EJ256" s="1712">
        <f>IFERROR(EF256-EG256+EI256,0)</f>
        <v>0</v>
      </c>
      <c r="EK256" s="1812">
        <f>IF(IB256=TRUE,CV258*CX258,0)</f>
        <v>0</v>
      </c>
      <c r="EL256" s="1812">
        <f>IF(IB256=TRUE,DF258*DH258,0)</f>
        <v>0</v>
      </c>
      <c r="EM256" s="1807">
        <f>AR256</f>
        <v>0</v>
      </c>
      <c r="EN256" s="1839" t="str">
        <f>IFERROR(IF(IB256=TRUE,VLOOKUP(DQ256,Lookup!AU$3:AW$16,3,FALSE)*DU256,""),0)</f>
        <v/>
      </c>
      <c r="EO256" s="1839">
        <f>IF(IB256=TRUE,DZ256*Lookup!AW$12,0)</f>
        <v>0</v>
      </c>
      <c r="EP256" s="1817">
        <f>IFERROR(IF(IB256=TRUE,EN256/EP$40,0),0)</f>
        <v>0</v>
      </c>
      <c r="EQ256" s="1817">
        <f>IF(IB256=TRUE,EO256/EQ$40,0)</f>
        <v>0</v>
      </c>
      <c r="ER256" s="1807">
        <f>IF(IB256=TRUE,ET$40*EP256,0)</f>
        <v>0</v>
      </c>
      <c r="ES256" s="1807">
        <f>IF(IB256=TRUE,ET$40*EQ256,0)</f>
        <v>0</v>
      </c>
      <c r="ET256" s="1807">
        <f>ER256+ES256</f>
        <v>0</v>
      </c>
      <c r="EV256" s="1715">
        <f>IF(G256="",0,1)</f>
        <v>0</v>
      </c>
      <c r="EX256" s="1804" t="str">
        <f>IFERROR(VLOOKUP(CS258,'Space Table'!$B$3:$L$163,8,FALSE),"")</f>
        <v/>
      </c>
      <c r="EY256" s="1804" t="str">
        <f>IFERROR(IF(FB256="Yes",VLOOKUP(DG256,Lookup_Control_Type_Table2,4,FALSE),VLOOKUP(DG256,Lookup_Control_Type_Table2,3,FALSE)),"")</f>
        <v/>
      </c>
      <c r="EZ256" s="1804" t="e">
        <f>VLOOKUP(DG256,Lookup!BB$3:BC$20,2,FALSE)</f>
        <v>#N/A</v>
      </c>
      <c r="FA256" s="1804" t="e">
        <f>VLOOKUP(EX256,Lookup_Control_Type_Table,2,FALSE)</f>
        <v>#N/A</v>
      </c>
      <c r="FB256" s="1804" t="e">
        <f>VLOOKUP(CS258,'Space Table'!$B$3:$L$163,7,FALSE)</f>
        <v>#N/A</v>
      </c>
      <c r="FC256" s="1826" t="b">
        <f>ISNUMBER(SEARCH("TLED",U258))</f>
        <v>0</v>
      </c>
      <c r="FE256" s="1698" t="str">
        <f>CONCATENATE(CQ256," - ",DG256)</f>
        <v xml:space="preserve"> - 0</v>
      </c>
      <c r="FG256" s="1702" t="str">
        <f>VLOOKUP(CW258,Fixtures!DN$27:EZ$77,38,FALSE)</f>
        <v/>
      </c>
      <c r="FH256" s="1702">
        <f>IFERROR(FG256*EH256,0)</f>
        <v>0</v>
      </c>
      <c r="FI256" s="133"/>
      <c r="FL256" s="1822" t="str">
        <f>IF(CQ256="Exterior","Not Daylighted",G259)</f>
        <v>Not Daylighted</v>
      </c>
      <c r="FM256" s="1824">
        <f>VLOOKUP(FL256,_New_Daylight_Table_Codes,2,FALSE)</f>
        <v>0</v>
      </c>
      <c r="FN256" s="1698">
        <f>IF(__Retrofit_TI_NC&gt;0,VLOOKUP(G258,'Space Table'!$B$3:$L$163,11,FALSE),AG257)</f>
        <v>0</v>
      </c>
      <c r="FO256" s="1698" t="e">
        <f>IF(__Retrofit_TI_NC=2,VLOOKUP(FQ256,_Control_Table,2,FALSE),VLOOKUP(FN256,_Control_Table,2,FALSE))</f>
        <v>#N/A</v>
      </c>
      <c r="FP256" s="1678" t="e">
        <f>VLOOKUP(CONCATENATE(FL256," ",FN256),Lookup!AY$102:AZ266,2,FALSE)</f>
        <v>#N/A</v>
      </c>
      <c r="FQ256" s="1678">
        <f>IF(__Retrofit_TI_NC=0,FN256,IF(AND(FT256&gt;0,FN256="Occupancy Sensor"),"Daylight + Occupancy",IF(AND(FT256&gt;0,VLOOKUP(FN256,_Control_Table,2,FALSE)&lt;4),"Interior Daylight Dimming",FN256)))</f>
        <v>0</v>
      </c>
      <c r="FS256" s="1686">
        <f>IF(CR256="Interior",VLOOKUP(CS256,Control_Savings_Interior,5,FALSE),0)</f>
        <v>0</v>
      </c>
      <c r="FT256" s="1687">
        <f>IF(CQ256="Exterior",0,IF(FM256=2,0.5,IF(OR(FM256=1,FM256=3),1,0)))</f>
        <v>0</v>
      </c>
      <c r="FU256" s="1685">
        <f>IF(R255&gt;FS$44,(FS256*(FS$44/R255)),FS256)*FT256</f>
        <v>0</v>
      </c>
      <c r="FV256" s="1686">
        <f>DI256</f>
        <v>0</v>
      </c>
      <c r="FW256" s="1686">
        <f>ROUND(FV256+((1-FV256)*FU256),2)</f>
        <v>0</v>
      </c>
      <c r="FX256" s="1686">
        <f>IF(__Retrofit_TI_NC=2,FW256,FV256)</f>
        <v>0</v>
      </c>
      <c r="FY256" s="1697"/>
      <c r="GA256" s="1696" t="str">
        <f>IFERROR(VLOOKUP(U257,_Exist_Fixture_Table,3,FALSE),"")</f>
        <v/>
      </c>
      <c r="GB256" s="1696" t="str">
        <f>VLOOKUP(CW256,_Exist_Fixture_Table,4,FALSE)</f>
        <v/>
      </c>
      <c r="GC256" s="1696">
        <f>IFERROR(VLOOKUP(GB256,Lookup!AT$6:AU$8,2,FALSE),0)</f>
        <v>0</v>
      </c>
      <c r="GD256" s="1696" t="b">
        <f>IFERROR(IF(OR(GF256=4,GF256=5,GF256=6),TRUE,FALSE),"")</f>
        <v>0</v>
      </c>
      <c r="GE256" s="1696" t="str">
        <f>IFERROR(VLOOKUP(GF256,GC$6:GD$10,2,FALSE),"")</f>
        <v/>
      </c>
      <c r="GF256" s="1696" t="str">
        <f>VLOOKUP(CW258,Fixtures!R$31:Y$78,8,FALSE)</f>
        <v/>
      </c>
      <c r="GG256" s="1696">
        <f>IF(AND(GA256=TRUE,GD256=TRUE,OR(DQ256=12,DQ256=13,DQ256=14)),GC256+8,0)</f>
        <v>0</v>
      </c>
      <c r="GH256" s="1696" t="b">
        <f>IF(OR(GG256=12,GG256=13,GG256=14),TRUE,FALSE)</f>
        <v>0</v>
      </c>
      <c r="GI256" s="673" t="b">
        <f>IF(ISNUMBER(SEARCH("TLED",U257)),TRUE,FALSE)</f>
        <v>0</v>
      </c>
      <c r="GJ256" s="1135" t="str">
        <f>IFERROR(VLOOKUP(U257,Fixtures!BM$93:BR$142,6,FALSE),"")</f>
        <v/>
      </c>
      <c r="GK256" s="1832" t="b">
        <f>IF(OR(GI256=FALSE,GI258=FALSE),TRUE,IF(GJ256-GJ258&lt;5,FALSE,TRUE))</f>
        <v>1</v>
      </c>
      <c r="GO256" s="674">
        <f>GP256</f>
        <v>0</v>
      </c>
      <c r="GP256" s="674">
        <f>IF(G256="",0,1)</f>
        <v>0</v>
      </c>
      <c r="GQ256" s="674">
        <f ca="1">SUM(GR256:HF256)</f>
        <v>2</v>
      </c>
      <c r="GR256" s="674">
        <f>IF(G257="",0,1)</f>
        <v>0</v>
      </c>
      <c r="GS256" s="674">
        <f>IF(N259="BAM",1,IF(G258="",0,1))</f>
        <v>0</v>
      </c>
      <c r="GT256" s="674">
        <f>IF(N259="BAM",1,IF(R257="",0,1))</f>
        <v>0</v>
      </c>
      <c r="GU256" s="674">
        <f>IF(N259="BAM",1,IF(__Retrofit_TI_NC=0,1,IF(R258="",0,1)))</f>
        <v>1</v>
      </c>
      <c r="GV256" s="674">
        <f>IF(N259="BAM",1,IF(CQ256="Exterior",1,IF(G259="",0,1)))</f>
        <v>1</v>
      </c>
      <c r="GW256" s="674">
        <f>IF(__Retrofit_TI_NC&gt;0,1,IF(T257="",0,1))</f>
        <v>0</v>
      </c>
      <c r="GX256" s="674">
        <f>IF(__Retrofit_TI_NC&gt;0,1,IF(U257="",0,1))</f>
        <v>0</v>
      </c>
      <c r="GY256" s="674">
        <f>IF(N259="BAM",1,IF(T258="",0,1))</f>
        <v>0</v>
      </c>
      <c r="GZ256" s="674">
        <f>IF(N259="BAM",1,IF(U258="",0,1))</f>
        <v>0</v>
      </c>
      <c r="HA256" s="674">
        <f ca="1">IF(N259="BAM",1,IF(__Retrofit_TI_NC&gt;0,1,IF(U259="",0,1)))</f>
        <v>0</v>
      </c>
      <c r="HB256" s="674">
        <f>IF(__Retrofit_TI_NC&lt;&gt;0,1,IF(AF257="",0,1))</f>
        <v>0</v>
      </c>
      <c r="HC256" s="674">
        <f>IF(__Retrofit_TI_NC&lt;&gt;0,1,IF(AG257="",0,1))</f>
        <v>0</v>
      </c>
      <c r="HD256" s="674">
        <f>IF(N259="BAM",1,IF(AF258="",0,1))</f>
        <v>0</v>
      </c>
      <c r="HE256" s="674">
        <f>IF(N259="BAM",1,IF(AG258="",0,1))</f>
        <v>0</v>
      </c>
      <c r="HF256" s="674">
        <f>IF(N259="BAM",1,IF(__Retrofit_TI_NC&gt;0,1,IF(AG259="",0,1)))</f>
        <v>0</v>
      </c>
      <c r="HG256" s="391"/>
      <c r="IA256" s="391"/>
      <c r="IB256" s="1693" t="b">
        <f>IF(OR(IB259=0,IB259=HY$16,IB259=HX$16,IB259=HZ$16),TRUE,FALSE)</f>
        <v>0</v>
      </c>
      <c r="IC256" s="1694" t="b">
        <f>IB256</f>
        <v>0</v>
      </c>
      <c r="ID256" s="391"/>
      <c r="IE256" s="391"/>
      <c r="IF256" s="1688" t="b">
        <f ca="1">IF(MAX(GN259:HU259)&gt;5,FALSE,TRUE)</f>
        <v>0</v>
      </c>
      <c r="IG256" s="1689">
        <f ca="1">IF(IF256=TRUE,AC256,0)</f>
        <v>0</v>
      </c>
      <c r="IH256" s="1689">
        <f ca="1">IG256-IG258</f>
        <v>0</v>
      </c>
      <c r="IK256" s="1689" t="e">
        <f>ROUND(T257*VLOOKUP(U257,Fixtures_Existing_List,2,FALSE)*N257*R257/1000,0)</f>
        <v>#N/A</v>
      </c>
      <c r="IL256" s="1690" t="e">
        <f>IK256-IK258</f>
        <v>#N/A</v>
      </c>
      <c r="IM256" s="1693" t="e">
        <f>ROUND(IF(CQ256="Interior",N258*R258*R257*N257*_C406_reduction/1000,N258*R258*R257*N257/1000),0)</f>
        <v>#N/A</v>
      </c>
      <c r="IN256" s="1693" t="e">
        <f>IM256-IM258</f>
        <v>#N/A</v>
      </c>
      <c r="IP256" s="1679"/>
      <c r="IQ256" s="1679" t="e">
        <f t="shared" ref="IQ256:IU256" si="216">IF($CR256="interior",VLOOKUP($CS256,_New_Control_Savings_Interior,IQ$30,FALSE),VLOOKUP($CS256,Control_Savings_Exterior,IQ$30,FALSE))</f>
        <v>#N/A</v>
      </c>
      <c r="IR256" s="1679" t="e">
        <f t="shared" si="216"/>
        <v>#N/A</v>
      </c>
      <c r="IS256" s="1679" t="e">
        <f t="shared" si="216"/>
        <v>#N/A</v>
      </c>
      <c r="IT256" s="1679" t="e">
        <f t="shared" si="216"/>
        <v>#N/A</v>
      </c>
      <c r="IU256" s="1679" t="e">
        <f t="shared" si="216"/>
        <v>#N/A</v>
      </c>
      <c r="IV256" s="1679" t="e">
        <f>IF($CR256="interior",IF(R257&gt;$IP$14,ROUND(($IV$18*($IP$14/R257)),2),$IV$18),VLOOKUP($CS256,Control_Savings_Exterior,IV$30,FALSE))</f>
        <v>#N/A</v>
      </c>
      <c r="IW256" s="1679" t="e">
        <f>IF($CR256="interior",ROUND(((1-IS256)*IV256)+IS256,2),VLOOKUP($CS256,Control_Savings_Exterior,IW$30,FALSE))</f>
        <v>#N/A</v>
      </c>
      <c r="IX256" s="1679" t="e">
        <f>IF($CR256="interior",ROUND(((1-IT256)*IV256)+IT256,2),VLOOKUP($CS256,Control_Savings_Exterior,IX$30,FALSE))</f>
        <v>#N/A</v>
      </c>
      <c r="IY256" s="1679" t="e">
        <f>IF($CR256="interior",IF(R257&gt;$IP$14,ROUND(($IY$18*($IP$14/R257)),2),$IY$18),VLOOKUP($CS256,Control_Savings_Exterior,IY$30,FALSE))</f>
        <v>#N/A</v>
      </c>
      <c r="IZ256" s="1679" t="e">
        <f>IF($CR256="interior",ROUND(((1-IS256)*IY256)+IS256,2),VLOOKUP($CS256,Control_Savings_Exterior,IZ$30,FALSE))</f>
        <v>#N/A</v>
      </c>
      <c r="JA256" s="1679" t="e">
        <f>IF($CR256="interior",ROUND(((1-IT256)*IY256)+IT256,2),VLOOKUP($CS256,Control_Savings_Exterior,JA$30,FALSE))</f>
        <v>#N/A</v>
      </c>
      <c r="JC256" s="1680">
        <f>IFERROR(IF(CR256="Interior",CONCATENATE(G259," ",FQ256),FQ256),"")</f>
        <v>0</v>
      </c>
      <c r="JD256" s="1670" t="str">
        <f>IFERROR(VLOOKUP(JC256,_Controls_2023,2,FALSE),"")</f>
        <v/>
      </c>
      <c r="JE256" s="1681">
        <f>IFERROR(CHOOSE(JD256-1,IQ256,IR256,IS256,IT256,IU256,IV256,IW256,IX256,IY256,IZ256,JA256),0)</f>
        <v>0</v>
      </c>
      <c r="JG256" s="1680" t="str">
        <f>FE256</f>
        <v xml:space="preserve"> - 0</v>
      </c>
      <c r="JH256" s="1670" t="e">
        <f>$FO256</f>
        <v>#N/A</v>
      </c>
      <c r="JI256" s="1060"/>
      <c r="JJ256" s="1682" t="b">
        <f>IF($JG258=CONCATENATE("Interior - ",JJ$4),TRUE,FALSE)</f>
        <v>0</v>
      </c>
      <c r="JK256" s="1061"/>
      <c r="JL256" s="1682" t="b">
        <f>IF($JG258=CONCATENATE("Interior - ",JL$4),TRUE,FALSE)</f>
        <v>0</v>
      </c>
      <c r="JM256" s="1061"/>
      <c r="JN256" s="1682" t="b">
        <f>IF($JG258=CONCATENATE("Interior - ",JN$4),TRUE,FALSE)</f>
        <v>0</v>
      </c>
      <c r="JO256" s="1061"/>
      <c r="JP256" s="1682" t="b">
        <f>IF(__Retrofit_TI_NC&gt;0,FALSE,IF($JG258=CONCATENATE("Interior - ",JP$4),TRUE,FALSE))</f>
        <v>0</v>
      </c>
      <c r="JQ256" s="1061"/>
      <c r="JR256" s="1682" t="b">
        <f>IF(__Retrofit_TI_NC&gt;0,FALSE,IF($JG258=CONCATENATE("Interior - ",JR$4),TRUE,FALSE))</f>
        <v>0</v>
      </c>
      <c r="JS256" s="1061"/>
      <c r="JT256" s="1670" t="b">
        <f>IF(__Retrofit_TI_NC&gt;0,FALSE,IF($JG258=CONCATENATE("Interior - ",JT$4),TRUE,FALSE))</f>
        <v>0</v>
      </c>
      <c r="JU256" s="1061"/>
      <c r="JV256" s="1670" t="b">
        <f>IF(JC258="AELC on Existing",TRUE,FALSE)</f>
        <v>0</v>
      </c>
      <c r="JX256" s="1670" t="b">
        <f>IF(OR(JG258="Exterior - AELC Occupancy based",JG258="Exterior - AELC Time based"),TRUE,FALSE)</f>
        <v>0</v>
      </c>
      <c r="JZ256" s="1682" t="b">
        <f>IF($JG258=CONCATENATE("Exterior - ",JZ$4),TRUE,FALSE)</f>
        <v>0</v>
      </c>
      <c r="KB256" s="1670" t="b">
        <f>IF(__Retrofit_TI_NC&gt;0,FALSE,IF($JG258=CONCATENATE("Interior - ",KB$4),TRUE,FALSE))</f>
        <v>0</v>
      </c>
    </row>
    <row r="257" spans="1:288" s="78" customFormat="1" ht="14.95" customHeight="1" thickTop="1" thickBot="1">
      <c r="B257" s="1845"/>
      <c r="C257" s="1846"/>
      <c r="D257" s="1847"/>
      <c r="E257" s="1737" t="s">
        <v>297</v>
      </c>
      <c r="F257" s="1738"/>
      <c r="G257" s="1739"/>
      <c r="H257" s="1739"/>
      <c r="I257" s="1739"/>
      <c r="J257" s="1739"/>
      <c r="K257" s="1739"/>
      <c r="L257" s="1739"/>
      <c r="M257" s="461" t="e">
        <f>IF(__Retrofit_TI_NC&lt;&gt;0,IF(VLOOKUP(G258,'Space Table'!$B$3:$L$163,3,FALSE)&gt;0,1,0),IF(__Retrofit_TI_NC=VLOOKUP(G258,'Space Table'!$B$3:$L$163,3,FALSE),1,0))</f>
        <v>#N/A</v>
      </c>
      <c r="N257" s="461" t="str">
        <f>IFERROR(VLOOKUP(G257,_Lookup_Heat_Type_Table_New,2,FALSE),"")</f>
        <v/>
      </c>
      <c r="O257" s="461">
        <f>IF(__Retrofit_TI_NC=1,CONCATENATE("TI ",G257),IF(__Retrofit_TI_NC=2,CONCATENATE("NC ",G257),G257))</f>
        <v>0</v>
      </c>
      <c r="P257" s="1740" t="s">
        <v>435</v>
      </c>
      <c r="Q257" s="1740"/>
      <c r="R257" s="595"/>
      <c r="S257" s="1792"/>
      <c r="T257" s="597"/>
      <c r="U257" s="1765"/>
      <c r="V257" s="1766"/>
      <c r="W257" s="1766"/>
      <c r="X257" s="1766"/>
      <c r="Y257" s="1766"/>
      <c r="Z257" s="1766"/>
      <c r="AA257" s="1766"/>
      <c r="AB257" s="1766"/>
      <c r="AC257" s="1766"/>
      <c r="AD257" s="1767"/>
      <c r="AE257" s="1000"/>
      <c r="AF257" s="597"/>
      <c r="AG257" s="1723"/>
      <c r="AH257" s="1724"/>
      <c r="AI257" s="1724"/>
      <c r="AJ257" s="1724"/>
      <c r="AK257" s="1725"/>
      <c r="AL257" s="996"/>
      <c r="AM257" s="1747"/>
      <c r="AN257" s="1775"/>
      <c r="AO257" s="1777"/>
      <c r="AP257" s="1780"/>
      <c r="AQ257" s="1781"/>
      <c r="AR257" s="1795"/>
      <c r="AS257" s="1795"/>
      <c r="AT257" s="1796"/>
      <c r="AU257" s="1735"/>
      <c r="AV257" s="1752"/>
      <c r="AW257" s="1705"/>
      <c r="AX257" s="467"/>
      <c r="AY257" s="1749"/>
      <c r="AZ257" s="1749"/>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696"/>
      <c r="CQ257" s="1696"/>
      <c r="CR257" s="1809"/>
      <c r="CS257" s="1811"/>
      <c r="CU257" s="1688"/>
      <c r="CV257" s="1703"/>
      <c r="CW257" s="1703"/>
      <c r="CX257" s="1703"/>
      <c r="CY257" s="1815"/>
      <c r="CZ257" s="1711"/>
      <c r="DA257" s="1818"/>
      <c r="DB257" s="1820"/>
      <c r="DC257" s="1820"/>
      <c r="DD257" s="1820"/>
      <c r="DF257" s="1703"/>
      <c r="DG257" s="1831"/>
      <c r="DH257" s="1703"/>
      <c r="DI257" s="1838"/>
      <c r="DJ257" s="1711"/>
      <c r="DK257" s="1712"/>
      <c r="DM257" s="1718"/>
      <c r="DO257" s="1708"/>
      <c r="DQ257" s="1715"/>
      <c r="DR257" s="1720"/>
      <c r="DS257" s="1816"/>
      <c r="DT257" s="1714"/>
      <c r="DU257" s="1715"/>
      <c r="DV257" s="1716"/>
      <c r="DX257" s="1715"/>
      <c r="DY257" s="1720"/>
      <c r="DZ257" s="1715"/>
      <c r="EA257" s="1715"/>
      <c r="EC257" s="1834"/>
      <c r="ED257" s="1834"/>
      <c r="EF257" s="1707"/>
      <c r="EG257" s="1712"/>
      <c r="EH257" s="1818"/>
      <c r="EI257" s="1712"/>
      <c r="EJ257" s="1712"/>
      <c r="EK257" s="1836"/>
      <c r="EL257" s="1836"/>
      <c r="EM257" s="1807"/>
      <c r="EN257" s="1839"/>
      <c r="EO257" s="1839"/>
      <c r="EP257" s="1817"/>
      <c r="EQ257" s="1817"/>
      <c r="ER257" s="1807"/>
      <c r="ES257" s="1807"/>
      <c r="ET257" s="1807"/>
      <c r="EV257" s="1715"/>
      <c r="EX257" s="1805"/>
      <c r="EY257" s="1805"/>
      <c r="EZ257" s="1805"/>
      <c r="FA257" s="1805"/>
      <c r="FB257" s="1805"/>
      <c r="FC257" s="1827"/>
      <c r="FE257" s="1698"/>
      <c r="FG257" s="1816"/>
      <c r="FH257" s="1816"/>
      <c r="FI257" s="133"/>
      <c r="FL257" s="1823"/>
      <c r="FM257" s="1825"/>
      <c r="FN257" s="1698"/>
      <c r="FO257" s="1698"/>
      <c r="FP257" s="1678"/>
      <c r="FQ257" s="1678"/>
      <c r="FS257" s="1687"/>
      <c r="FT257" s="1687"/>
      <c r="FU257" s="1685"/>
      <c r="FV257" s="1687"/>
      <c r="FW257" s="1687"/>
      <c r="FX257" s="1687"/>
      <c r="FY257" s="1697"/>
      <c r="GA257" s="1696"/>
      <c r="GB257" s="1696"/>
      <c r="GC257" s="1696"/>
      <c r="GD257" s="1696"/>
      <c r="GE257" s="1696"/>
      <c r="GF257" s="1696"/>
      <c r="GG257" s="1696"/>
      <c r="GH257" s="1696"/>
      <c r="GI257" s="673"/>
      <c r="GJ257" s="1135"/>
      <c r="GK257" s="1832"/>
      <c r="GM257" s="1693" t="b">
        <f ca="1">IF(AND(GP257=TRUE,GQ257=TRUE),TRUE,FALSE)</f>
        <v>0</v>
      </c>
      <c r="GN257" s="1684" t="b">
        <f>IFERROR(IF(__Retrofit_TI_NC=2,TRUE,IF(AU256="Yes",TRUE,FALSE)),FALSE)</f>
        <v>1</v>
      </c>
      <c r="GP257" s="1684" t="b">
        <f>IFERROR(IF(GP256=1,TRUE,FALSE),FALSE)</f>
        <v>0</v>
      </c>
      <c r="GQ257" s="1684" t="b">
        <f ca="1">IFERROR(IF(GQ256=GQ$14,TRUE,FALSE),FALSE)</f>
        <v>0</v>
      </c>
      <c r="HG257" s="1684" t="b">
        <f>IFERROR(IF(AND(__Retrofit_TI_NC&gt;0,CQ256="Interior"),FALSE,TRUE),FALSE)</f>
        <v>1</v>
      </c>
      <c r="HH257" s="1684" t="b">
        <f>IFERROR(IF(M257=1,TRUE,FALSE),FALSE)</f>
        <v>0</v>
      </c>
      <c r="HI257" s="1684" t="b">
        <f>IFERROR(IF(OR(M258=1,N259="BAM"),TRUE,FALSE),FALSE)</f>
        <v>0</v>
      </c>
      <c r="HJ257" s="1684" t="b">
        <f>IFERROR(IF(__Retrofit_TI_NC&lt;&gt;0,TRUE,IFERROR(IF(VLOOKUP(U257,Fixtures_Existing_List,2,FALSE)&lt;&gt;"",TRUE,FALSE),FALSE)),FALSE)</f>
        <v>0</v>
      </c>
      <c r="HK257" s="1684" t="b">
        <f>IFERROR(IF(VLOOKUP(U258,Fixtures_Proposed_List,2,FALSE)&lt;&gt;"",TRUE,FALSE),FALSE)</f>
        <v>0</v>
      </c>
      <c r="HL257" s="1684" t="b">
        <f>IF(AND(__Retrofit_TI_NC=2,FC256=TRUE),FALSE,TRUE)</f>
        <v>1</v>
      </c>
      <c r="HM257" s="1684" t="b">
        <f>GK256</f>
        <v>1</v>
      </c>
      <c r="HN257" s="1682" t="b">
        <f>IF(ISERROR(MATCH(FE256,_Control_Match[],0))=TRUE,FALSE,TRUE)</f>
        <v>0</v>
      </c>
      <c r="HO257" s="1693" t="b">
        <f>IFERROR(IF(EX256&lt;&gt;EY256,FALSE,TRUE),FALSE)</f>
        <v>1</v>
      </c>
      <c r="HP257" s="1693" t="b">
        <f>IFERROR(IF(EX258&lt;&gt;EY258,FALSE,TRUE),FALSE)</f>
        <v>1</v>
      </c>
      <c r="HQ257" s="1670" t="b">
        <f>IFERROR(IF(CQ256="Exterior",TRUE,IF(AND(OR(FM258=0,FM258=3),JD258&gt;6),FALSE,TRUE)),FALSE)</f>
        <v>0</v>
      </c>
      <c r="HR257" s="1684" t="b">
        <f>IFERROR(IF(AND(FO258=7,FC256=TRUE),FALSE,TRUE),FALSE)</f>
        <v>0</v>
      </c>
      <c r="HS257" s="1684" t="b">
        <f>IFERROR(IF(AND(T258&lt;&gt;AF258,OR(AG258="Interior LLLC", AG258="Interior NLC", AG258="LLLC (outside Daylight)",AG258="LLLC Controls Only"))=TRUE,FALSE,TRUE),FALSE)</f>
        <v>1</v>
      </c>
      <c r="HT257" s="1670" t="b">
        <f>IFERROR(IF(OR(AG258=Lookup!BB$17,AG258=Lookup!BB$18,AG258=Lookup!BB$19)=TRUE,IF(AF258&gt;T258,FALSE,TRUE),TRUE),FALSE)</f>
        <v>1</v>
      </c>
      <c r="HU257" s="1684" t="b">
        <f>IFERROR(IF(__Retrofit_TI_NC=2,IF(EZ258&lt;EZ256,FALSE,TRUE),TRUE),FALSE)</f>
        <v>1</v>
      </c>
      <c r="HV257" s="1684" t="b">
        <f>IF(CQ256="Interior",IL$6,TRUE)</f>
        <v>1</v>
      </c>
      <c r="HW257" s="1684" t="b">
        <f>IF(CQ256="Exterior",IL$8,TRUE)</f>
        <v>1</v>
      </c>
      <c r="HX257" s="1684" t="b">
        <f>IFERROR(IF(__Retrofit_TI_NC&lt;&gt;0,IF(AZ256&lt;AY256,FALSE,TRUE),TRUE),FALSE)</f>
        <v>1</v>
      </c>
      <c r="HY257" s="1684" t="b">
        <f>IFERROR(IF(AND(G257="Exterior",R257&gt;4200),FALSE,TRUE),FALSE)</f>
        <v>1</v>
      </c>
      <c r="HZ257" s="1684" t="b">
        <f>IFERROR(IF(AB259/AB256&lt;HZ$18,FALSE,TRUE),FALSE)</f>
        <v>0</v>
      </c>
      <c r="IB257" s="1691"/>
      <c r="IC257" s="1695"/>
      <c r="ID257" s="1694" t="str">
        <f>VLOOKUP(IB259,_Error_Table,4,FALSE)</f>
        <v>White</v>
      </c>
      <c r="IE257" s="391"/>
      <c r="IF257" s="1688"/>
      <c r="IG257" s="1689"/>
      <c r="IH257" s="1684"/>
      <c r="IK257" s="1689"/>
      <c r="IL257" s="1691"/>
      <c r="IM257" s="1691"/>
      <c r="IN257" s="1691"/>
      <c r="IP257" s="1679"/>
      <c r="IQ257" s="1679"/>
      <c r="IR257" s="1679"/>
      <c r="IS257" s="1679"/>
      <c r="IT257" s="1679"/>
      <c r="IU257" s="1679"/>
      <c r="IV257" s="1679"/>
      <c r="IW257" s="1679"/>
      <c r="IX257" s="1679"/>
      <c r="IY257" s="1679"/>
      <c r="IZ257" s="1679"/>
      <c r="JA257" s="1679"/>
      <c r="JC257" s="1680"/>
      <c r="JD257" s="1670"/>
      <c r="JE257" s="1681"/>
      <c r="JG257" s="1680"/>
      <c r="JH257" s="1670"/>
      <c r="JI257" s="1060"/>
      <c r="JJ257" s="1683"/>
      <c r="JK257" s="1061"/>
      <c r="JL257" s="1683"/>
      <c r="JM257" s="1061"/>
      <c r="JN257" s="1683"/>
      <c r="JO257" s="1061"/>
      <c r="JP257" s="1683"/>
      <c r="JQ257" s="1061"/>
      <c r="JR257" s="1683"/>
      <c r="JS257" s="1061"/>
      <c r="JT257" s="1670"/>
      <c r="JU257" s="1061"/>
      <c r="JV257" s="1670"/>
      <c r="JX257" s="1670"/>
      <c r="JZ257" s="1683"/>
      <c r="KB257" s="1670"/>
    </row>
    <row r="258" spans="1:288" s="78" customFormat="1" ht="14.95" customHeight="1" thickTop="1" thickBot="1">
      <c r="A258" s="78">
        <f>ROW()</f>
        <v>258</v>
      </c>
      <c r="B258" s="1845"/>
      <c r="C258" s="1846"/>
      <c r="D258" s="1847"/>
      <c r="E258" s="1737" t="s">
        <v>298</v>
      </c>
      <c r="F258" s="1738"/>
      <c r="G258" s="1760"/>
      <c r="H258" s="1761"/>
      <c r="I258" s="1761"/>
      <c r="J258" s="1761"/>
      <c r="K258" s="1761"/>
      <c r="L258" s="1762"/>
      <c r="M258" s="461">
        <f>IFERROR(IF(IF(__Retrofit_TI_NC&lt;&gt;0,IF(CQ256="Interior",MATCH(G258,Lookup_Interior_New,0),MATCH(G258,Lookup_Exterior_New,0)),IF(CQ256="Interior",MATCH(G258,Lookup_Interior,0),MATCH(G258,Lookup_Exterior_Areas,0)))&gt;0,1,0),0)</f>
        <v>0</v>
      </c>
      <c r="N258" s="461" t="e">
        <f>IF(__Retrofit_TI_NC=1,
VLOOKUP(G258,'Space Table'!$B$3:$L$163,4,FALSE),
IF(__Retrofit_TI_NC=2,VLOOKUP(G258,'Space Table'!$B$3:$L$163,5,FALSE),VLOOKUP(G258,'Space Table'!$B$3:$L$163,5,FALSE)))</f>
        <v>#N/A</v>
      </c>
      <c r="O258" s="461">
        <f>G258</f>
        <v>0</v>
      </c>
      <c r="P258" s="1738" t="str">
        <f>IFERROR(IF(__Retrofit_TI_NC=1,VLOOKUP(G258,'Space Table'!$B$3:$O$163,13,FALSE),IF(__Retrofit_TI_NC=2,VLOOKUP(G258,'Space Table'!$B$3:$O$163,14,FALSE),"Area (sf):")),"Area (sf):")</f>
        <v>Area (sf):</v>
      </c>
      <c r="Q258" s="1738"/>
      <c r="R258" s="596"/>
      <c r="S258" s="1763" t="s">
        <v>345</v>
      </c>
      <c r="T258" s="594"/>
      <c r="U258" s="1801"/>
      <c r="V258" s="1802"/>
      <c r="W258" s="1802"/>
      <c r="X258" s="1802"/>
      <c r="Y258" s="1802"/>
      <c r="Z258" s="1802"/>
      <c r="AA258" s="1802"/>
      <c r="AB258" s="1802"/>
      <c r="AC258" s="1802"/>
      <c r="AD258" s="1802"/>
      <c r="AE258" s="1803"/>
      <c r="AF258" s="594"/>
      <c r="AG258" s="1787"/>
      <c r="AH258" s="1787"/>
      <c r="AI258" s="1787"/>
      <c r="AJ258" s="1787"/>
      <c r="AK258" s="1787"/>
      <c r="AL258" s="1787"/>
      <c r="AM258" s="1726">
        <f>IFERROR(DI258,"")</f>
        <v>0</v>
      </c>
      <c r="AN258" s="1728" t="str">
        <f>IFERROR(ROUND(AM258*AC259,0),"")</f>
        <v/>
      </c>
      <c r="AO258" s="1730">
        <f>IFERROR(IF(IB256=FALSE,0,AC259-AN258),0)</f>
        <v>0</v>
      </c>
      <c r="AP258" s="1780"/>
      <c r="AQ258" s="1781"/>
      <c r="AR258" s="1795"/>
      <c r="AS258" s="1795"/>
      <c r="AT258" s="1796"/>
      <c r="AU258" s="1735"/>
      <c r="AV258" s="1752"/>
      <c r="AW258" s="1705"/>
      <c r="AX258" s="467"/>
      <c r="AY258" s="1749"/>
      <c r="AZ258" s="1749"/>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696"/>
      <c r="CQ258" s="1696"/>
      <c r="CR258" s="1808" t="str">
        <f>CQ256</f>
        <v/>
      </c>
      <c r="CS258" s="1810" t="str">
        <f>CS256</f>
        <v/>
      </c>
      <c r="CU258" s="1688" t="s">
        <v>345</v>
      </c>
      <c r="CV258" s="1702">
        <f>IF(IB256=TRUE,T258,0)</f>
        <v>0</v>
      </c>
      <c r="CW258" s="1702" t="str">
        <f>IF(IB256=TRUE,U258,"")</f>
        <v/>
      </c>
      <c r="CX258" s="1812">
        <f>IF(IB256=TRUE,U259,0)</f>
        <v>0</v>
      </c>
      <c r="CY258" s="1814">
        <f>IF(IB256=TRUE,AB259,0)</f>
        <v>0</v>
      </c>
      <c r="CZ258" s="1710">
        <f>IF(AND(__Retrofit_TI_NC&gt;0,CR256="interior"),0,IF(IB256=TRUE,AC259,0))</f>
        <v>0</v>
      </c>
      <c r="DA258" s="1818"/>
      <c r="DB258" s="1820"/>
      <c r="DC258" s="1820"/>
      <c r="DD258" s="1820"/>
      <c r="DF258" s="1702">
        <f>IF(IB256=TRUE,AF258,0)</f>
        <v>0</v>
      </c>
      <c r="DG258" s="1830" t="str">
        <f>IF(IB256=TRUE,AG258,"")</f>
        <v/>
      </c>
      <c r="DH258" s="1812">
        <f>AG259</f>
        <v>0</v>
      </c>
      <c r="DI258" s="1837">
        <f>JE258</f>
        <v>0</v>
      </c>
      <c r="DJ258" s="1710">
        <f>IF(AND(__Retrofit_TI_NC&gt;0,CR256="interior"),0,IF(IB256=TRUE,AN258,0))</f>
        <v>0</v>
      </c>
      <c r="DK258" s="1712"/>
      <c r="DN258" s="1717">
        <f>IFERROR(CZ258-DJ258,0)</f>
        <v>0</v>
      </c>
      <c r="DO258" s="1709"/>
      <c r="DQ258" s="1715"/>
      <c r="DR258" s="1719" t="str">
        <f>DQ256</f>
        <v/>
      </c>
      <c r="DS258" s="1816"/>
      <c r="DT258" s="1835" t="str">
        <f>IF(OR(DS256=7,DS256=8,DS256=9),"ALC","")</f>
        <v/>
      </c>
      <c r="DU258" s="1715"/>
      <c r="DV258" s="1716"/>
      <c r="DX258" s="1715"/>
      <c r="DY258" s="1829" t="str">
        <f>DX256</f>
        <v/>
      </c>
      <c r="DZ258" s="1715"/>
      <c r="EA258" s="1715"/>
      <c r="EC258" s="1834"/>
      <c r="ED258" s="1834"/>
      <c r="EF258" s="1707"/>
      <c r="EG258" s="1712"/>
      <c r="EH258" s="1818"/>
      <c r="EI258" s="1712"/>
      <c r="EJ258" s="1712"/>
      <c r="EK258" s="1836"/>
      <c r="EL258" s="1836"/>
      <c r="EM258" s="1807"/>
      <c r="EN258" s="1839"/>
      <c r="EO258" s="1839"/>
      <c r="EP258" s="1817"/>
      <c r="EQ258" s="1817"/>
      <c r="ER258" s="1807"/>
      <c r="ES258" s="1807"/>
      <c r="ET258" s="1807"/>
      <c r="EV258" s="1715"/>
      <c r="EX258" s="1805" t="str">
        <f>IFERROR(VLOOKUP(CS258,'Space Table'!$B$3:$L$163,8,FALSE),"")</f>
        <v/>
      </c>
      <c r="EY258" s="1805" t="str">
        <f>IFERROR(IF(FB258="Yes",VLOOKUP(AG258,Lookup_Control_Type_Table2,4,FALSE),VLOOKUP(AG258,Lookup_Control_Type_Table2,3,FALSE)),"")</f>
        <v/>
      </c>
      <c r="EZ258" s="1805" t="e">
        <f>VLOOKUP(AG258,Lookup!BB$3:BC$20,2,FALSE)</f>
        <v>#N/A</v>
      </c>
      <c r="FA258" s="1805" t="e">
        <f>VLOOKUP(EX256,Lookup_Control_Type_Table,2,FALSE)</f>
        <v>#N/A</v>
      </c>
      <c r="FB258" s="1805" t="e">
        <f>VLOOKUP(CS258,'Space Table'!$B$3:$L$163,7,FALSE)</f>
        <v>#N/A</v>
      </c>
      <c r="FC258" s="1827"/>
      <c r="FE258" s="1698" t="str">
        <f>CONCATENATE(CQ256," - ",AG258)</f>
        <v xml:space="preserve"> - </v>
      </c>
      <c r="FG258" s="1816"/>
      <c r="FH258" s="1816"/>
      <c r="FI258" s="133"/>
      <c r="FL258" s="1822" t="str">
        <f>IF(CQ256="Exterior","Not Daylighted",G259)</f>
        <v>Not Daylighted</v>
      </c>
      <c r="FM258" s="1824">
        <f>VLOOKUP(FL258,_New_Daylight_Table_Codes,2,FALSE)</f>
        <v>0</v>
      </c>
      <c r="FN258" s="1698">
        <f>AG258</f>
        <v>0</v>
      </c>
      <c r="FO258" s="1698" t="e">
        <f>VLOOKUP(FN258,_Control_Table,2,FALSE)</f>
        <v>#N/A</v>
      </c>
      <c r="FP258" s="1678" t="e">
        <f>VLOOKUP(CONCATENATE(FL258," ",FN258),Lookup!AY$102:AZ269,2,FALSE)</f>
        <v>#N/A</v>
      </c>
      <c r="FQ258" s="1698">
        <f>IF(__Retrofit_TI_NC=0,FN258,IF(AND(FT258&gt;0,FN258="Occupancy Sensor"),"Daylight + Occupancy",IF(AND(FT258&gt;0,FO258&lt;4),"Interior Daylight Dimming",FN258)))</f>
        <v>0</v>
      </c>
      <c r="FS258" s="1686">
        <f>IF(CQ256="Interior",VLOOKUP(CS256,Control_Savings_Interior,5,FALSE),0)</f>
        <v>0</v>
      </c>
      <c r="FT258" s="1687">
        <f>IF(CQ258="Exterior",0,IF(FM258=2,0.5,IF(OR(FM258=1,FM258=3),1,0)))</f>
        <v>0</v>
      </c>
      <c r="FU258" s="1685">
        <f>IF(R257&gt;FS$44,(FS258*(FS$44/R257)),FS258)*FT258</f>
        <v>0</v>
      </c>
      <c r="FV258" s="1686">
        <f>DI258</f>
        <v>0</v>
      </c>
      <c r="FW258" s="1686">
        <f>ROUND(FV258+((1-FV258)*FU258),2)</f>
        <v>0</v>
      </c>
      <c r="FX258" s="1686">
        <f>IF(__Retrofit_TI_NC=2,FW258,FV258)</f>
        <v>0</v>
      </c>
      <c r="FY258" s="1697">
        <f>IF(CR258="Interior",VLOOKUP(CS258,Control_Savings_Interior,4,FALSE),0)</f>
        <v>0</v>
      </c>
      <c r="GA258" s="1696"/>
      <c r="GB258" s="1696"/>
      <c r="GC258" s="1696"/>
      <c r="GD258" s="1696"/>
      <c r="GE258" s="1696"/>
      <c r="GF258" s="1696"/>
      <c r="GG258" s="1696"/>
      <c r="GH258" s="1696"/>
      <c r="GI258" s="673" t="b">
        <f>IF(ISNUMBER(SEARCH("TLED",U258)),TRUE,FALSE)</f>
        <v>0</v>
      </c>
      <c r="GJ258" s="1135" t="str">
        <f>IFERROR(VLOOKUP(U258,Fixtures!DM$93:DR$142,6,FALSE),"")</f>
        <v/>
      </c>
      <c r="GK258" s="1832"/>
      <c r="GM258" s="1692"/>
      <c r="GN258" s="1684"/>
      <c r="GP258" s="1684"/>
      <c r="GQ258" s="1684"/>
      <c r="HG258" s="1684"/>
      <c r="HH258" s="1684"/>
      <c r="HI258" s="1684"/>
      <c r="HJ258" s="1684"/>
      <c r="HK258" s="1684"/>
      <c r="HL258" s="1684"/>
      <c r="HM258" s="1684"/>
      <c r="HN258" s="1683"/>
      <c r="HO258" s="1692"/>
      <c r="HP258" s="1692"/>
      <c r="HQ258" s="1670"/>
      <c r="HR258" s="1684"/>
      <c r="HS258" s="1684"/>
      <c r="HT258" s="1670"/>
      <c r="HU258" s="1684"/>
      <c r="HV258" s="1684"/>
      <c r="HW258" s="1684"/>
      <c r="HX258" s="1684"/>
      <c r="HY258" s="1684"/>
      <c r="HZ258" s="1684"/>
      <c r="IB258" s="1692"/>
      <c r="IC258" s="1693" t="b">
        <f>IB256</f>
        <v>0</v>
      </c>
      <c r="ID258" s="1695"/>
      <c r="IE258" s="391"/>
      <c r="IF258" s="1688"/>
      <c r="IG258" s="1689">
        <f ca="1">IF(IF256=TRUE,AC259,0)</f>
        <v>0</v>
      </c>
      <c r="IH258" s="1684"/>
      <c r="IK258" s="1689" t="e">
        <f>ROUND(T258*AB259*N257*R257/1000,0)</f>
        <v>#VALUE!</v>
      </c>
      <c r="IL258" s="1691"/>
      <c r="IM258" s="1693" t="e">
        <f>ROUND(T258*AB259*N257*R257/1000,0)</f>
        <v>#VALUE!</v>
      </c>
      <c r="IN258" s="1691"/>
      <c r="IP258" s="1679"/>
      <c r="IQ258" s="1679" t="e">
        <f t="shared" ref="IQ258:IU258" si="217">IF($CR258="interior",VLOOKUP($CS258,_New_Control_Savings_Interior,IQ$30,FALSE),VLOOKUP($CS258,Control_Savings_Exterior,IQ$30,FALSE))</f>
        <v>#N/A</v>
      </c>
      <c r="IR258" s="1679" t="e">
        <f t="shared" si="217"/>
        <v>#N/A</v>
      </c>
      <c r="IS258" s="1679" t="e">
        <f t="shared" si="217"/>
        <v>#N/A</v>
      </c>
      <c r="IT258" s="1679" t="e">
        <f t="shared" si="217"/>
        <v>#N/A</v>
      </c>
      <c r="IU258" s="1679" t="e">
        <f t="shared" si="217"/>
        <v>#N/A</v>
      </c>
      <c r="IV258" s="1679" t="e">
        <f>IF($CR258="interior",IF(R257&gt;$IP$14,ROUND(($IV$18*($IP$14/R257)),2),$IV$18),VLOOKUP($CS258,Control_Savings_Exterior,IV$30,FALSE))</f>
        <v>#N/A</v>
      </c>
      <c r="IW258" s="1679" t="e">
        <f>IF($CR258="interior",ROUND(((1-IS258)*IV258)+IS258,2),VLOOKUP($CS258,Control_Savings_Exterior,IW$30,FALSE))</f>
        <v>#N/A</v>
      </c>
      <c r="IX258" s="1679" t="e">
        <f>IF($CR258="interior",ROUND(((1-IT258)*IV258)+IT258,2),VLOOKUP($CS258,Control_Savings_Exterior,IX$30,FALSE))</f>
        <v>#N/A</v>
      </c>
      <c r="IY258" s="1679" t="e">
        <f>IF($CR258="interior",IF(R257&gt;$IP$14,ROUND(($IY$18*($IP$14/R257)),2),$IY$18),VLOOKUP($CS258,Control_Savings_Exterior,IY$30,FALSE))</f>
        <v>#N/A</v>
      </c>
      <c r="IZ258" s="1679" t="e">
        <f>IF($CR258="interior",ROUND(((1-IS258)*IY258)+IS258,2),VLOOKUP($CS258,Control_Savings_Exterior,IZ$30,FALSE))</f>
        <v>#N/A</v>
      </c>
      <c r="JA258" s="1679" t="e">
        <f>IF($CR258="interior",ROUND(((1-IT258)*IY258)+IT258,2),VLOOKUP($CS258,Control_Savings_Exterior,JA$30,FALSE))</f>
        <v>#N/A</v>
      </c>
      <c r="JC258" s="1680">
        <f>IFERROR(IF(CR258="Interior",CONCATENATE(G259," ",FQ258),AG258),"")</f>
        <v>0</v>
      </c>
      <c r="JD258" s="1670" t="str">
        <f>IFERROR(VLOOKUP(JC258,_Controls_2023,2,FALSE),"")</f>
        <v/>
      </c>
      <c r="JE258" s="1681">
        <f>IFERROR(CHOOSE(JD258-1,IQ258,IR258,IS258,IT258,IU258,IV258,IW258,IX258,IY258,IZ258,JA258),0)</f>
        <v>0</v>
      </c>
      <c r="JG258" s="1680" t="str">
        <f>FE258</f>
        <v xml:space="preserve"> - </v>
      </c>
      <c r="JH258" s="1670" t="e">
        <f>$FO258</f>
        <v>#N/A</v>
      </c>
      <c r="JI258" s="1060"/>
      <c r="JJ258" s="1670">
        <f>IFERROR(IF($IB256=TRUE,IF(OR(JJ$14="No",JJ256=FALSE,JH258&lt;=JH256,AND(_kWh_Grant=0,GD256=FALSE)),0,IF(JJ$8="Per Line",1,$AF258)),0),0)</f>
        <v>0</v>
      </c>
      <c r="JK258" s="1061"/>
      <c r="JL258" s="1670">
        <f>IFERROR(IF(_kWh_Grant=0,0,IF($IB256=TRUE,IF(OR(JL$14="No",JL256=FALSE,JH258&lt;=JH256),0,IF(JL$8="Per Line",1,$T258)),0)),0)</f>
        <v>0</v>
      </c>
      <c r="JM258" s="1061"/>
      <c r="JN258" s="1670">
        <f>IFERROR(IF(_kWh_Grant=0,0,IF($IB256=TRUE,IF(OR(JN$14="No",JN256=FALSE,JH258&lt;=JH256),0,IF(JN$8="Per Line",1,$AF258)),0)),0)</f>
        <v>0</v>
      </c>
      <c r="JO258" s="1061"/>
      <c r="JP258" s="1670">
        <f>IFERROR(IF(__Retrofit_TI_NC=0,IF(_kWh_Grant=0,0,IF($IB256=TRUE,IF(OR(JP$14="No",JP256=FALSE,$JH258&lt;=$JH256),0,IF(JP$8="Per Line",1,$AF258)),0)),IF($IB256=TRUE,IF(OR(JP$14="No",JP256=FALSE,$JH258&lt;=$JH256),0,IF(JP$8="Per Line",1,$AF258)))),0)</f>
        <v>0</v>
      </c>
      <c r="JQ258" s="1061"/>
      <c r="JR258" s="1670">
        <f>IFERROR(IF(__Retrofit_TI_NC=0,IF(_kWh_Grant=0,0,IF($IB256=TRUE,IF(OR(JR$14="No",JR256=FALSE,$JH258&lt;=$JH256),0,IF(JR$8="Per Line",1,$AF258)),0)),IF($IB256=TRUE,IF(OR(JR$14="No",JR256=FALSE,$JH258&lt;=$JH256),0,IF(JR$8="Per Line",1,$AF258)))),0)</f>
        <v>0</v>
      </c>
      <c r="JS258" s="1061"/>
      <c r="JT258" s="1670">
        <f>IFERROR(IF(__Retrofit_TI_NC=0,IF(_kWh_Grant=0,0,IF($IB256=TRUE,IF(OR(JT$14="No",JT256=FALSE,$JH258&lt;=$JH256),0,IF(JT$8="Per Line",1,$AF258)),0)),IF($IB256=TRUE,IF(OR(JT$14="No",JT256=FALSE,$JH258&lt;=$JH256),0,IF(JT$8="Per Line",1,$AF258)))),0)</f>
        <v>0</v>
      </c>
      <c r="JU258" s="1061"/>
      <c r="JV258" s="1670">
        <f>IFERROR(IF(__Retrofit_TI_NC=0,IF(_kWh_Grant=0,0,IF($IB256=TRUE,IF(OR(JV$14="No",JV256=FALSE,$JH258&lt;=$JH256),0,IF(JV$8="Per Line",1,$AF258)),0)),IF($IB256=TRUE,IF(OR(JV$14="No",JV256=FALSE,$JH258&lt;=$JH256),0,IF(JV$8="Per Line",1,$AF258)))),0)</f>
        <v>0</v>
      </c>
      <c r="JX258" s="1670">
        <f>IFERROR(IF(__Retrofit_TI_NC=0,IF(_kWh_Grant=0,0,IF($IB256=TRUE,IF(OR(JX$14="No",JX256=FALSE,$JH258&lt;=$JH256),0,IF(JX$8="Per Line",1,$AF258)),0)),IF($IB256=TRUE,IF(OR(JX$14="No",JX256=FALSE,$JH258&lt;=$JH256),0,IF(JX$8="Per Line",1,$AF258)))),0)</f>
        <v>0</v>
      </c>
      <c r="JZ258" s="1670">
        <f>IFERROR(IF($IB256=TRUE,IF(OR(JZ$14="No",JZ256=FALSE,$JH258&lt;=$JH256,AND(_kWh_Grant=0,$GD256=FALSE)),0,IF(JZ$8="Per Line",1,$AF258)),0),0)</f>
        <v>0</v>
      </c>
      <c r="KB258" s="1670">
        <f>IFERROR(IF(__Retrofit_TI_NC=0,IF(_kWh_Grant=0,0,IF($IB256=TRUE,IF(OR(KB$14="No",KB256=FALSE,$JH258&lt;=$JH256),0,IF(KB$8="Per Line",1,$AF258)),0)),IF($IB256=TRUE,IF(OR(KB$14="No",KB256=FALSE,$JH258&lt;=$JH256),0,IF(KB$8="Per Line",1,$AF258)))),0)</f>
        <v>0</v>
      </c>
    </row>
    <row r="259" spans="1:288" s="78" customFormat="1" ht="14.95" customHeight="1" thickTop="1" thickBot="1">
      <c r="B259" s="1845"/>
      <c r="C259" s="1846"/>
      <c r="D259" s="1847"/>
      <c r="E259" s="1771" t="s">
        <v>436</v>
      </c>
      <c r="F259" s="1772"/>
      <c r="G259" s="1784" t="s">
        <v>437</v>
      </c>
      <c r="H259" s="1785"/>
      <c r="I259" s="1785"/>
      <c r="J259" s="1785"/>
      <c r="K259" s="1785"/>
      <c r="L259" s="1786"/>
      <c r="M259" s="591">
        <f>IFERROR(VLOOKUP(G259,_Daylight_Table[],2,FALSE),0)</f>
        <v>0</v>
      </c>
      <c r="N259" s="592" t="str">
        <f>IF(AND(__Retrofit_TI_NC&gt;0,CQ256="Interior"),"BAM","")</f>
        <v/>
      </c>
      <c r="O259" s="591" t="e">
        <f>VLOOKUP(G258,'Space Table'!$B$3:$L$163,11,FALSE)</f>
        <v>#N/A</v>
      </c>
      <c r="P259" s="1789"/>
      <c r="Q259" s="1790"/>
      <c r="R259" s="1790"/>
      <c r="S259" s="1788"/>
      <c r="T259" s="593" t="s">
        <v>342</v>
      </c>
      <c r="U259" s="1756" t="str" cm="1">
        <f t="array" aca="1" ref="U259" ca="1">IFERROR(VLOOKUP(INDIRECT("U" &amp; ROW()-1),Fixtures!DM$93:DP$142,4,FALSE),"")</f>
        <v/>
      </c>
      <c r="V259" s="1757"/>
      <c r="W259" s="1757"/>
      <c r="X259" s="1757"/>
      <c r="Y259" s="1757"/>
      <c r="Z259" s="1757"/>
      <c r="AA259" s="1758"/>
      <c r="AB259" s="939" t="str">
        <f>IFERROR(VLOOKUP(U258,Fixtures_Proposed_List,2,FALSE),"")</f>
        <v/>
      </c>
      <c r="AC259" s="933" t="str">
        <f>IFERROR(ROUND(T258*AB259*N257*R257/1000,0),"")</f>
        <v/>
      </c>
      <c r="AD259" s="934" t="str">
        <f>IFERROR(ROUND(T258*AB259/1000,2),"")</f>
        <v/>
      </c>
      <c r="AE259" s="998"/>
      <c r="AF259" s="938" t="s">
        <v>342</v>
      </c>
      <c r="AG259" s="1770"/>
      <c r="AH259" s="1770"/>
      <c r="AI259" s="1770"/>
      <c r="AJ259" s="1770"/>
      <c r="AK259" s="1770"/>
      <c r="AL259" s="1770"/>
      <c r="AM259" s="1727"/>
      <c r="AN259" s="1729"/>
      <c r="AO259" s="1731"/>
      <c r="AP259" s="1782"/>
      <c r="AQ259" s="1783"/>
      <c r="AR259" s="1797"/>
      <c r="AS259" s="1797"/>
      <c r="AT259" s="1798"/>
      <c r="AU259" s="1736"/>
      <c r="AV259" s="1753"/>
      <c r="AW259" s="1706"/>
      <c r="AX259" s="468"/>
      <c r="AY259" s="1750"/>
      <c r="AZ259" s="1750"/>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696"/>
      <c r="CQ259" s="1696"/>
      <c r="CR259" s="1809"/>
      <c r="CS259" s="1811"/>
      <c r="CU259" s="1688"/>
      <c r="CV259" s="1703"/>
      <c r="CW259" s="1703"/>
      <c r="CX259" s="1813"/>
      <c r="CY259" s="1815"/>
      <c r="CZ259" s="1711"/>
      <c r="DA259" s="1815"/>
      <c r="DB259" s="1821"/>
      <c r="DC259" s="1821"/>
      <c r="DD259" s="1821"/>
      <c r="DF259" s="1703"/>
      <c r="DG259" s="1831"/>
      <c r="DH259" s="1813"/>
      <c r="DI259" s="1838"/>
      <c r="DJ259" s="1711"/>
      <c r="DK259" s="1712"/>
      <c r="DN259" s="1718"/>
      <c r="DO259" s="1709"/>
      <c r="DQ259" s="1715"/>
      <c r="DR259" s="1720"/>
      <c r="DS259" s="1703"/>
      <c r="DT259" s="1714"/>
      <c r="DU259" s="1715"/>
      <c r="DV259" s="1716"/>
      <c r="DX259" s="1715"/>
      <c r="DY259" s="1720"/>
      <c r="DZ259" s="1715"/>
      <c r="EA259" s="1715"/>
      <c r="EC259" s="1834"/>
      <c r="ED259" s="1834"/>
      <c r="EF259" s="1707"/>
      <c r="EG259" s="1712"/>
      <c r="EH259" s="1815"/>
      <c r="EI259" s="1712"/>
      <c r="EJ259" s="1712"/>
      <c r="EK259" s="1813"/>
      <c r="EL259" s="1813"/>
      <c r="EM259" s="1807"/>
      <c r="EN259" s="1839"/>
      <c r="EO259" s="1839"/>
      <c r="EP259" s="1817"/>
      <c r="EQ259" s="1817"/>
      <c r="ER259" s="1807"/>
      <c r="ES259" s="1807"/>
      <c r="ET259" s="1807"/>
      <c r="EV259" s="1715"/>
      <c r="EX259" s="1806"/>
      <c r="EY259" s="1806"/>
      <c r="EZ259" s="1806"/>
      <c r="FA259" s="1806"/>
      <c r="FB259" s="1806"/>
      <c r="FC259" s="1828"/>
      <c r="FE259" s="1698"/>
      <c r="FG259" s="1703"/>
      <c r="FH259" s="1703"/>
      <c r="FI259" s="133"/>
      <c r="FL259" s="1823"/>
      <c r="FM259" s="1825"/>
      <c r="FN259" s="1698"/>
      <c r="FO259" s="1698"/>
      <c r="FP259" s="1678"/>
      <c r="FQ259" s="1698"/>
      <c r="FS259" s="1687"/>
      <c r="FT259" s="1687"/>
      <c r="FU259" s="1685"/>
      <c r="FV259" s="1687"/>
      <c r="FW259" s="1687"/>
      <c r="FX259" s="1687"/>
      <c r="FY259" s="1697"/>
      <c r="GA259" s="1696"/>
      <c r="GB259" s="1696"/>
      <c r="GC259" s="1696"/>
      <c r="GD259" s="1696"/>
      <c r="GE259" s="1696"/>
      <c r="GF259" s="1696"/>
      <c r="GG259" s="1696"/>
      <c r="GH259" s="1696"/>
      <c r="GI259" s="673"/>
      <c r="GJ259" s="1135"/>
      <c r="GK259" s="1832"/>
      <c r="GN259" s="674">
        <f>IF(GN257=TRUE,0,GN$16)</f>
        <v>0</v>
      </c>
      <c r="GP259" s="674">
        <f>IF(GP257=TRUE,0,GP$16)</f>
        <v>36</v>
      </c>
      <c r="GQ259" s="674">
        <f ca="1">IF(GQ257=TRUE,0,GQ$16)</f>
        <v>35</v>
      </c>
      <c r="GR259" s="391"/>
      <c r="GS259" s="391"/>
      <c r="GT259" s="391"/>
      <c r="GU259" s="391"/>
      <c r="GV259" s="391"/>
      <c r="HG259" s="674">
        <f>IF(HG257=TRUE,0,HG$16)</f>
        <v>0</v>
      </c>
      <c r="HH259" s="674">
        <f t="shared" ref="HH259:HM259" si="218">IF(HH257=TRUE,0,HH$16)</f>
        <v>19</v>
      </c>
      <c r="HI259" s="674">
        <f t="shared" si="218"/>
        <v>18</v>
      </c>
      <c r="HJ259" s="674">
        <f t="shared" si="218"/>
        <v>17</v>
      </c>
      <c r="HK259" s="674">
        <f t="shared" si="218"/>
        <v>16</v>
      </c>
      <c r="HL259" s="674">
        <f t="shared" si="218"/>
        <v>0</v>
      </c>
      <c r="HM259" s="674">
        <f t="shared" si="218"/>
        <v>0</v>
      </c>
      <c r="HN259" s="674">
        <f>IF(HN257=TRUE,0,HN$16)</f>
        <v>13</v>
      </c>
      <c r="HO259" s="674">
        <f t="shared" ref="HO259:HQ259" si="219">IF(HO257=TRUE,0,HO$16)</f>
        <v>0</v>
      </c>
      <c r="HP259" s="674">
        <f t="shared" si="219"/>
        <v>0</v>
      </c>
      <c r="HQ259" s="674">
        <f t="shared" si="219"/>
        <v>10</v>
      </c>
      <c r="HR259" s="674">
        <f>IF(HR257=TRUE,0,HR$16)</f>
        <v>9</v>
      </c>
      <c r="HS259" s="674">
        <f t="shared" ref="HS259:HW259" si="220">IF(HS257=TRUE,0,HS$16)</f>
        <v>0</v>
      </c>
      <c r="HT259" s="674">
        <f t="shared" si="220"/>
        <v>0</v>
      </c>
      <c r="HU259" s="674">
        <f t="shared" si="220"/>
        <v>0</v>
      </c>
      <c r="HV259" s="674">
        <f t="shared" si="220"/>
        <v>0</v>
      </c>
      <c r="HW259" s="674">
        <f t="shared" si="220"/>
        <v>0</v>
      </c>
      <c r="HX259" s="674">
        <f>IF(HX257=TRUE,0,HX$16)</f>
        <v>0</v>
      </c>
      <c r="HY259" s="674">
        <f>IF(HY257=TRUE,0,HY$16)</f>
        <v>0</v>
      </c>
      <c r="HZ259" s="674">
        <f>IF(HZ257=TRUE,0,HZ$16)</f>
        <v>1</v>
      </c>
      <c r="IB259" s="674">
        <f>IF(GP257=FALSE,GP259,IF(GQ257=FALSE,GQ259,MAX(GN259:HZ259)))</f>
        <v>36</v>
      </c>
      <c r="IC259" s="1692"/>
      <c r="ID259" s="205" t="str">
        <f>VLOOKUP(IB259,_Error_Table,3,FALSE)</f>
        <v xml:space="preserve"> </v>
      </c>
      <c r="IE259" s="205"/>
      <c r="IF259" s="1688"/>
      <c r="IG259" s="1689"/>
      <c r="IH259" s="1684"/>
      <c r="IK259" s="1689"/>
      <c r="IL259" s="1692"/>
      <c r="IM259" s="1692"/>
      <c r="IN259" s="1692"/>
      <c r="IP259" s="1679"/>
      <c r="IQ259" s="1679"/>
      <c r="IR259" s="1679"/>
      <c r="IS259" s="1679"/>
      <c r="IT259" s="1679"/>
      <c r="IU259" s="1679"/>
      <c r="IV259" s="1679"/>
      <c r="IW259" s="1679"/>
      <c r="IX259" s="1679"/>
      <c r="IY259" s="1679"/>
      <c r="IZ259" s="1679"/>
      <c r="JA259" s="1679"/>
      <c r="JC259" s="1680"/>
      <c r="JD259" s="1670"/>
      <c r="JE259" s="1681"/>
      <c r="JG259" s="1680"/>
      <c r="JH259" s="1670"/>
      <c r="JI259" s="1060"/>
      <c r="JJ259" s="1670"/>
      <c r="JK259" s="1061"/>
      <c r="JL259" s="1670"/>
      <c r="JM259" s="1061"/>
      <c r="JN259" s="1670"/>
      <c r="JO259" s="1061"/>
      <c r="JP259" s="1670"/>
      <c r="JQ259" s="1061"/>
      <c r="JR259" s="1670"/>
      <c r="JS259" s="1061"/>
      <c r="JT259" s="1670"/>
      <c r="JU259" s="1061"/>
      <c r="JV259" s="1670"/>
      <c r="JX259" s="1670"/>
      <c r="JZ259" s="1670"/>
      <c r="KB259" s="1670"/>
    </row>
    <row r="260" spans="1:288" s="78" customFormat="1" ht="5.0999999999999996" customHeight="1">
      <c r="B260" s="676"/>
      <c r="C260" s="392"/>
      <c r="D260" s="392"/>
      <c r="E260" s="1733"/>
      <c r="F260" s="1733"/>
      <c r="G260" s="1733"/>
      <c r="H260" s="1733"/>
      <c r="I260" s="1733"/>
      <c r="J260" s="1733"/>
      <c r="K260" s="1733"/>
      <c r="L260" s="1733"/>
      <c r="M260" s="1733"/>
      <c r="N260" s="1733"/>
      <c r="O260" s="1733"/>
      <c r="P260" s="1733"/>
      <c r="Q260" s="1733"/>
      <c r="R260" s="1733"/>
      <c r="S260" s="1733"/>
      <c r="T260" s="1733"/>
      <c r="U260" s="1733"/>
      <c r="V260" s="1733"/>
      <c r="W260" s="1733"/>
      <c r="X260" s="1733"/>
      <c r="Y260" s="1733"/>
      <c r="Z260" s="1733"/>
      <c r="AA260" s="1733"/>
      <c r="AB260" s="1733"/>
      <c r="AC260" s="1733"/>
      <c r="AD260" s="1733"/>
      <c r="AE260" s="1733"/>
      <c r="AF260" s="1733"/>
      <c r="AG260" s="1733"/>
      <c r="AH260" s="1733"/>
      <c r="AI260" s="1733"/>
      <c r="AJ260" s="1733"/>
      <c r="AK260" s="1733"/>
      <c r="AL260" s="1733"/>
      <c r="AM260" s="1733"/>
      <c r="AN260" s="1733"/>
      <c r="AO260" s="1733"/>
      <c r="AP260" s="1733"/>
      <c r="AQ260" s="1733"/>
      <c r="AR260" s="1733"/>
      <c r="AS260" s="1733"/>
      <c r="AT260" s="1733"/>
      <c r="AU260" s="1733"/>
      <c r="AV260" s="1733"/>
      <c r="AW260" s="1733"/>
      <c r="AX260" s="469"/>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663"/>
      <c r="CQ260" s="663"/>
      <c r="CR260" s="438"/>
      <c r="CS260" s="663"/>
      <c r="CV260" s="391"/>
      <c r="CW260" s="391"/>
      <c r="CX260" s="207"/>
      <c r="CY260" s="208"/>
      <c r="CZ260" s="208"/>
      <c r="DA260" s="208"/>
      <c r="DB260" s="209"/>
      <c r="DC260" s="209"/>
      <c r="DD260" s="209"/>
      <c r="DF260" s="664"/>
      <c r="DG260" s="665"/>
      <c r="DH260" s="666"/>
      <c r="DI260" s="667"/>
      <c r="DJ260" s="668"/>
      <c r="DK260" s="668"/>
      <c r="DN260" s="208"/>
      <c r="DO260" s="664"/>
      <c r="DQ260" s="664"/>
      <c r="DR260" s="669"/>
      <c r="DS260" s="391"/>
      <c r="DT260" s="664"/>
      <c r="DU260" s="664"/>
      <c r="DV260" s="664"/>
      <c r="DX260" s="664"/>
      <c r="DY260" s="664"/>
      <c r="DZ260" s="664"/>
      <c r="EA260" s="664"/>
      <c r="EC260" s="670"/>
      <c r="ED260" s="670"/>
      <c r="EF260" s="668"/>
      <c r="EG260" s="668"/>
      <c r="EH260" s="208"/>
      <c r="EI260" s="668"/>
      <c r="EJ260" s="668"/>
      <c r="EK260" s="207"/>
      <c r="EL260" s="207"/>
      <c r="EM260" s="666"/>
      <c r="EN260" s="671"/>
      <c r="EO260" s="671"/>
      <c r="EP260" s="672"/>
      <c r="EQ260" s="672"/>
      <c r="ER260" s="666"/>
      <c r="ES260" s="666"/>
      <c r="ET260" s="666"/>
      <c r="EV260" s="664"/>
      <c r="EX260" s="391"/>
      <c r="EY260" s="391"/>
      <c r="EZ260" s="391"/>
      <c r="FA260" s="391"/>
      <c r="FB260" s="391"/>
      <c r="FC260" s="391"/>
      <c r="FE260" s="569"/>
      <c r="FG260" s="391"/>
      <c r="FH260" s="391"/>
      <c r="FI260" s="391"/>
      <c r="FS260" s="664"/>
      <c r="FT260" s="391"/>
      <c r="FU260" s="391"/>
      <c r="FV260" s="664"/>
      <c r="FW260" s="664"/>
      <c r="GA260" s="663"/>
      <c r="GB260" s="663"/>
      <c r="GC260" s="663"/>
      <c r="GD260" s="663"/>
      <c r="GE260" s="663"/>
      <c r="GF260" s="663"/>
      <c r="GG260" s="663"/>
      <c r="GH260" s="663"/>
      <c r="GI260" s="665"/>
      <c r="GJ260" s="664"/>
      <c r="GK260" s="664"/>
    </row>
    <row r="261" spans="1:288" s="78" customFormat="1" ht="14.95" customHeight="1">
      <c r="B261" s="1845" t="str">
        <f>ID264</f>
        <v xml:space="preserve"> </v>
      </c>
      <c r="C261" s="1846">
        <f>C256+1</f>
        <v>42</v>
      </c>
      <c r="D261" s="1847"/>
      <c r="E261" s="1799" t="s">
        <v>295</v>
      </c>
      <c r="F261" s="1800"/>
      <c r="G261" s="1741"/>
      <c r="H261" s="1742"/>
      <c r="I261" s="1742"/>
      <c r="J261" s="1742"/>
      <c r="K261" s="1742"/>
      <c r="L261" s="1742"/>
      <c r="M261" s="1742"/>
      <c r="N261" s="1742"/>
      <c r="O261" s="1742"/>
      <c r="P261" s="1742"/>
      <c r="Q261" s="1742"/>
      <c r="R261" s="1742"/>
      <c r="S261" s="1791" t="s">
        <v>344</v>
      </c>
      <c r="T261" s="590"/>
      <c r="U261" s="1743"/>
      <c r="V261" s="1744"/>
      <c r="W261" s="1744"/>
      <c r="X261" s="1744"/>
      <c r="Y261" s="1744"/>
      <c r="Z261" s="1744"/>
      <c r="AA261" s="1744"/>
      <c r="AB261" s="961" t="str">
        <f>IFERROR(IF(__Retrofit_TI_NC=0,VLOOKUP(U262,Fixtures_Existing_List,2,FALSE),ROUND(N263*R263/T263,10)),"")</f>
        <v/>
      </c>
      <c r="AC261" s="935" t="str">
        <f>IFERROR(IF(__Retrofit_TI_NC=0,ROUND(T262*AB261*N262*R262/1000,0),IF(CQ261="Interior",N263*R263*R262*N262*_C406_reduction/1000,N263*R263*R262*N262/1000)),"")</f>
        <v/>
      </c>
      <c r="AD261" s="936" t="str">
        <f>IFERROR(IF(C$43=0,ROUND(T262*AB261/1000,2),N263*R263/1000),"")</f>
        <v/>
      </c>
      <c r="AE261" s="997"/>
      <c r="AF261" s="937"/>
      <c r="AG261" s="1745" t="str">
        <f>IF(__Retrofit_TI_NC=0," Control","Select Advanced Control for New System")</f>
        <v xml:space="preserve"> Control</v>
      </c>
      <c r="AH261" s="1745"/>
      <c r="AI261" s="1745"/>
      <c r="AJ261" s="1745"/>
      <c r="AK261" s="1745"/>
      <c r="AL261" s="1745"/>
      <c r="AM261" s="1746">
        <f>IFERROR(DI261,"")</f>
        <v>0</v>
      </c>
      <c r="AN261" s="1774" t="str">
        <f>IFERROR(ROUND(AM261*AC261,0),"")</f>
        <v/>
      </c>
      <c r="AO261" s="1776">
        <f>IFERROR(IF(IB261=FALSE,0,AC261-AN261),0)</f>
        <v>0</v>
      </c>
      <c r="AP261" s="1778">
        <f>AO261-AO263</f>
        <v>0</v>
      </c>
      <c r="AQ261" s="1779"/>
      <c r="AR261" s="1793">
        <f>IFERROR(IF(IB261=FALSE,0,(T263*U264)+(AF263*AG264)),0)</f>
        <v>0</v>
      </c>
      <c r="AS261" s="1793"/>
      <c r="AT261" s="1794"/>
      <c r="AU261" s="1734" t="s">
        <v>237</v>
      </c>
      <c r="AV261" s="1751">
        <f>IF(AU261="Yes",1,0)</f>
        <v>1</v>
      </c>
      <c r="AW261" s="1704" t="str">
        <f>IF(OR(DQ261=4,DQ261=5,DQ261=6,DQ261=12),CONCATENATE("$",IF(GH261=TRUE,Lookup!$K$10,Lookup!$K$2)," /lamp"),CONCATENATE(TEXT(ED261,"$0.00"),"/ kWh"))</f>
        <v>$0.00/ kWh</v>
      </c>
      <c r="AX261" s="467"/>
      <c r="AY261" s="1748">
        <f ca="1">IFERROR(IF(GM262=TRUE,(AB264*T263)/R263,0),"NA")</f>
        <v>0</v>
      </c>
      <c r="AZ261" s="1748"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696" t="str">
        <f>N262</f>
        <v/>
      </c>
      <c r="CQ261" s="1696" t="str">
        <f>IFERROR(VLOOKUP(G262,_Lookup_Heat_Type_Table_New,3,FALSE),"")</f>
        <v/>
      </c>
      <c r="CR261" s="1808" t="str">
        <f>CQ261</f>
        <v/>
      </c>
      <c r="CS261" s="1810" t="str">
        <f>IFERROR(VLOOKUP(G263,'Space Table'!$B$3:$L$163,9,FALSE),"")</f>
        <v/>
      </c>
      <c r="CU261" s="1688" t="s">
        <v>344</v>
      </c>
      <c r="CV261" s="1702">
        <f>IF(IB261=TRUE,T262,0)</f>
        <v>0</v>
      </c>
      <c r="CW261" s="1702" t="str">
        <f>IF(IB261=TRUE,U262,"")</f>
        <v/>
      </c>
      <c r="CX261" s="1702"/>
      <c r="CY261" s="1814">
        <f>IF(IB261=TRUE,AB261,0)</f>
        <v>0</v>
      </c>
      <c r="CZ261" s="1710">
        <f>IF(AND(__Retrofit_TI_NC&gt;0,CR261="interior"),0,IF(IB261=TRUE,AC261,0))</f>
        <v>0</v>
      </c>
      <c r="DA261" s="1814">
        <f>IFERROR(IF(IB261=TRUE,CZ261-CZ263,0),0)</f>
        <v>0</v>
      </c>
      <c r="DB261" s="1819">
        <f>IF(IB261=TRUE,AD261,0)</f>
        <v>0</v>
      </c>
      <c r="DC261" s="1819">
        <f>IF(IB261=TRUE,AD264,0)</f>
        <v>0</v>
      </c>
      <c r="DD261" s="1819">
        <f>IFERROR(DB261-DC261,0)</f>
        <v>0</v>
      </c>
      <c r="DF261" s="1702">
        <f>IF(IB261=TRUE,AF262,0)</f>
        <v>0</v>
      </c>
      <c r="DG261" s="1830">
        <f>IFERROR(IF(__Retrofit_TI_NC=2,IF(CQ261="Exterior",O264,FQ261),FN261),"")</f>
        <v>0</v>
      </c>
      <c r="DH261" s="1702"/>
      <c r="DI261" s="1837">
        <f>JE261</f>
        <v>0</v>
      </c>
      <c r="DJ261" s="1710">
        <f>IF(AND(__Retrofit_TI_NC&gt;0,CR261="interior"),0,IF(IB261=TRUE,AN261,0))</f>
        <v>0</v>
      </c>
      <c r="DK261" s="1712">
        <f>IFERROR(IF(IB261=TRUE,DJ263-DJ261,0),0)</f>
        <v>0</v>
      </c>
      <c r="DM261" s="1717">
        <f>IFERROR(CZ261-DJ261,0)</f>
        <v>0</v>
      </c>
      <c r="DO261" s="1708">
        <f>DM261-DN263</f>
        <v>0</v>
      </c>
      <c r="DQ261" s="1715" t="str">
        <f>IFERROR(IF(AND(OR(GC261=4,GC261=5,GC261=6),OR(GF261=4,GF261=5,GF261=6)),GC261+8,VLOOKUP(CW263,Fixtures!R$31:Y$78,8,FALSE)),"")</f>
        <v/>
      </c>
      <c r="DR261" s="1829" t="str">
        <f>DQ261</f>
        <v/>
      </c>
      <c r="DS261" s="1702" t="str">
        <f>IFERROR(VLOOKUP(DG263,Lookup!BB$3:BC$20,2,FALSE),"")</f>
        <v/>
      </c>
      <c r="DT261" s="1713" t="str">
        <f>IF(OR(DS261=7,DS261=8,DS261=9),"ALC","")</f>
        <v/>
      </c>
      <c r="DU261" s="1715">
        <f>IFERROR(IF(OR(DQ261=4,DQ261=5,DQ261=6,DQ261=12,DQ261=13,DQ261=14),VLOOKUP(CW263,Fixtures!DN$27:EG$77,19,FALSE),1)*CV263,0)</f>
        <v>0</v>
      </c>
      <c r="DV261" s="1716">
        <f>IF(OR(DS261=7,DS261=8,DS261=9),IF(DG261=DG263,0,DF263),0)</f>
        <v>0</v>
      </c>
      <c r="DX261" s="1715" t="str">
        <f>IFERROR(IF(EZ261&lt;EZ263,"Yes","No"),"")</f>
        <v/>
      </c>
      <c r="DY261" s="1829" t="str">
        <f>DX261</f>
        <v/>
      </c>
      <c r="DZ261" s="1715">
        <f>IF(DX261="Yes",DF263,0)</f>
        <v>0</v>
      </c>
      <c r="EA261" s="1715">
        <f>DZ261-DV261</f>
        <v>0</v>
      </c>
      <c r="EC261" s="1834">
        <f>IFERROR(VLOOKUP(DQ261,Lookup!AU$3:AV$16,2,FALSE),0)</f>
        <v>0</v>
      </c>
      <c r="ED261" s="1834">
        <f>IF(IB261=FALSE,0,IF(DX261="Yes",EC261+Lookup!K$6,EC261))</f>
        <v>0</v>
      </c>
      <c r="EF261" s="1707">
        <f>IF(IB261=TRUE,DM261,0)</f>
        <v>0</v>
      </c>
      <c r="EG261" s="1712">
        <f>IF(IB261=TRUE,CZ263,0)</f>
        <v>0</v>
      </c>
      <c r="EH261" s="1814">
        <f>IFERROR(EF261-EG261,0)</f>
        <v>0</v>
      </c>
      <c r="EI261" s="1712">
        <f>IF(IB261=TRUE,DJ263,0)</f>
        <v>0</v>
      </c>
      <c r="EJ261" s="1712">
        <f>IFERROR(EF261-EG261+EI261,0)</f>
        <v>0</v>
      </c>
      <c r="EK261" s="1812">
        <f>IF(IB261=TRUE,CV263*CX263,0)</f>
        <v>0</v>
      </c>
      <c r="EL261" s="1812">
        <f>IF(IB261=TRUE,DF263*DH263,0)</f>
        <v>0</v>
      </c>
      <c r="EM261" s="1807">
        <f>AR261</f>
        <v>0</v>
      </c>
      <c r="EN261" s="1839" t="str">
        <f>IFERROR(IF(IB261=TRUE,VLOOKUP(DQ261,Lookup!AU$3:AW$16,3,FALSE)*DU261,""),0)</f>
        <v/>
      </c>
      <c r="EO261" s="1839">
        <f>IF(IB261=TRUE,DZ261*Lookup!AW$12,0)</f>
        <v>0</v>
      </c>
      <c r="EP261" s="1817">
        <f>IFERROR(IF(IB261=TRUE,EN261/EP$40,0),0)</f>
        <v>0</v>
      </c>
      <c r="EQ261" s="1817">
        <f>IF(IB261=TRUE,EO261/EQ$40,0)</f>
        <v>0</v>
      </c>
      <c r="ER261" s="1807">
        <f>IF(IB261=TRUE,ET$40*EP261,0)</f>
        <v>0</v>
      </c>
      <c r="ES261" s="1807">
        <f>IF(IB261=TRUE,ET$40*EQ261,0)</f>
        <v>0</v>
      </c>
      <c r="ET261" s="1807">
        <f>ER261+ES261</f>
        <v>0</v>
      </c>
      <c r="EV261" s="1715">
        <f>IF(G261="",0,1)</f>
        <v>0</v>
      </c>
      <c r="EX261" s="1804" t="str">
        <f>IFERROR(VLOOKUP(CS263,'Space Table'!$B$3:$L$163,8,FALSE),"")</f>
        <v/>
      </c>
      <c r="EY261" s="1804" t="str">
        <f>IFERROR(IF(FB261="Yes",VLOOKUP(DG261,Lookup_Control_Type_Table2,4,FALSE),VLOOKUP(DG261,Lookup_Control_Type_Table2,3,FALSE)),"")</f>
        <v/>
      </c>
      <c r="EZ261" s="1804" t="e">
        <f>VLOOKUP(DG261,Lookup!BB$3:BC$20,2,FALSE)</f>
        <v>#N/A</v>
      </c>
      <c r="FA261" s="1804" t="e">
        <f>VLOOKUP(EX261,Lookup_Control_Type_Table,2,FALSE)</f>
        <v>#N/A</v>
      </c>
      <c r="FB261" s="1804" t="e">
        <f>VLOOKUP(CS263,'Space Table'!$B$3:$L$163,7,FALSE)</f>
        <v>#N/A</v>
      </c>
      <c r="FC261" s="1826" t="b">
        <f>ISNUMBER(SEARCH("TLED",U263))</f>
        <v>0</v>
      </c>
      <c r="FE261" s="1698" t="str">
        <f>CONCATENATE(CQ261," - ",DG261)</f>
        <v xml:space="preserve"> - 0</v>
      </c>
      <c r="FG261" s="1702" t="str">
        <f>VLOOKUP(CW263,Fixtures!DN$27:EZ$77,38,FALSE)</f>
        <v/>
      </c>
      <c r="FH261" s="1702">
        <f>IFERROR(FG261*EH261,0)</f>
        <v>0</v>
      </c>
      <c r="FI261" s="133"/>
      <c r="FL261" s="1822" t="str">
        <f>IF(CQ261="Exterior","Not Daylighted",G264)</f>
        <v>Not Daylighted</v>
      </c>
      <c r="FM261" s="1824">
        <f>VLOOKUP(FL261,_New_Daylight_Table_Codes,2,FALSE)</f>
        <v>0</v>
      </c>
      <c r="FN261" s="1698">
        <f>IF(__Retrofit_TI_NC&gt;0,VLOOKUP(G263,'Space Table'!$B$3:$L$163,11,FALSE),AG262)</f>
        <v>0</v>
      </c>
      <c r="FO261" s="1698" t="e">
        <f>IF(__Retrofit_TI_NC=2,VLOOKUP(FQ261,_Control_Table,2,FALSE),VLOOKUP(FN261,_Control_Table,2,FALSE))</f>
        <v>#N/A</v>
      </c>
      <c r="FP261" s="1678" t="e">
        <f>VLOOKUP(CONCATENATE(FL261," ",FN261),Lookup!AY$102:AZ271,2,FALSE)</f>
        <v>#N/A</v>
      </c>
      <c r="FQ261" s="1678">
        <f>IF(__Retrofit_TI_NC=0,FN261,IF(AND(FT261&gt;0,FN261="Occupancy Sensor"),"Daylight + Occupancy",IF(AND(FT261&gt;0,VLOOKUP(FN261,_Control_Table,2,FALSE)&lt;4),"Interior Daylight Dimming",FN261)))</f>
        <v>0</v>
      </c>
      <c r="FS261" s="1686">
        <f>IF(CR261="Interior",VLOOKUP(CS261,Control_Savings_Interior,5,FALSE),0)</f>
        <v>0</v>
      </c>
      <c r="FT261" s="1687">
        <f>IF(CQ261="Exterior",0,IF(FM261=2,0.5,IF(OR(FM261=1,FM261=3),1,0)))</f>
        <v>0</v>
      </c>
      <c r="FU261" s="1685">
        <f>IF(R260&gt;FS$44,(FS261*(FS$44/R260)),FS261)*FT261</f>
        <v>0</v>
      </c>
      <c r="FV261" s="1686">
        <f>DI261</f>
        <v>0</v>
      </c>
      <c r="FW261" s="1686">
        <f>ROUND(FV261+((1-FV261)*FU261),2)</f>
        <v>0</v>
      </c>
      <c r="FX261" s="1686">
        <f>IF(__Retrofit_TI_NC=2,FW261,FV261)</f>
        <v>0</v>
      </c>
      <c r="FY261" s="1697"/>
      <c r="GA261" s="1696" t="str">
        <f>IFERROR(VLOOKUP(U262,_Exist_Fixture_Table,3,FALSE),"")</f>
        <v/>
      </c>
      <c r="GB261" s="1696" t="str">
        <f>VLOOKUP(CW261,_Exist_Fixture_Table,4,FALSE)</f>
        <v/>
      </c>
      <c r="GC261" s="1696">
        <f>IFERROR(VLOOKUP(GB261,Lookup!AT$6:AU$8,2,FALSE),0)</f>
        <v>0</v>
      </c>
      <c r="GD261" s="1696" t="b">
        <f>IFERROR(IF(OR(GF261=4,GF261=5,GF261=6),TRUE,FALSE),"")</f>
        <v>0</v>
      </c>
      <c r="GE261" s="1696" t="str">
        <f>IFERROR(VLOOKUP(GF261,GC$6:GD$10,2,FALSE),"")</f>
        <v/>
      </c>
      <c r="GF261" s="1696" t="str">
        <f>VLOOKUP(CW263,Fixtures!R$31:Y$78,8,FALSE)</f>
        <v/>
      </c>
      <c r="GG261" s="1696">
        <f>IF(AND(GA261=TRUE,GD261=TRUE,OR(DQ261=12,DQ261=13,DQ261=14)),GC261+8,0)</f>
        <v>0</v>
      </c>
      <c r="GH261" s="1696" t="b">
        <f>IF(OR(GG261=12,GG261=13,GG261=14),TRUE,FALSE)</f>
        <v>0</v>
      </c>
      <c r="GI261" s="673" t="b">
        <f>IF(ISNUMBER(SEARCH("TLED",U262)),TRUE,FALSE)</f>
        <v>0</v>
      </c>
      <c r="GJ261" s="1135" t="str">
        <f>IFERROR(VLOOKUP(U262,Fixtures!BM$93:BR$142,6,FALSE),"")</f>
        <v/>
      </c>
      <c r="GK261" s="1832" t="b">
        <f>IF(OR(GI261=FALSE,GI263=FALSE),TRUE,IF(GJ261-GJ263&lt;5,FALSE,TRUE))</f>
        <v>1</v>
      </c>
      <c r="GO261" s="674">
        <f>GP261</f>
        <v>0</v>
      </c>
      <c r="GP261" s="674">
        <f>IF(G261="",0,1)</f>
        <v>0</v>
      </c>
      <c r="GQ261" s="674">
        <f ca="1">SUM(GR261:HF261)</f>
        <v>2</v>
      </c>
      <c r="GR261" s="674">
        <f>IF(G262="",0,1)</f>
        <v>0</v>
      </c>
      <c r="GS261" s="674">
        <f>IF(N264="BAM",1,IF(G263="",0,1))</f>
        <v>0</v>
      </c>
      <c r="GT261" s="674">
        <f>IF(N264="BAM",1,IF(R262="",0,1))</f>
        <v>0</v>
      </c>
      <c r="GU261" s="674">
        <f>IF(N264="BAM",1,IF(__Retrofit_TI_NC=0,1,IF(R263="",0,1)))</f>
        <v>1</v>
      </c>
      <c r="GV261" s="674">
        <f>IF(N264="BAM",1,IF(CQ261="Exterior",1,IF(G264="",0,1)))</f>
        <v>1</v>
      </c>
      <c r="GW261" s="674">
        <f>IF(__Retrofit_TI_NC&gt;0,1,IF(T262="",0,1))</f>
        <v>0</v>
      </c>
      <c r="GX261" s="674">
        <f>IF(__Retrofit_TI_NC&gt;0,1,IF(U262="",0,1))</f>
        <v>0</v>
      </c>
      <c r="GY261" s="674">
        <f>IF(N264="BAM",1,IF(T263="",0,1))</f>
        <v>0</v>
      </c>
      <c r="GZ261" s="674">
        <f>IF(N264="BAM",1,IF(U263="",0,1))</f>
        <v>0</v>
      </c>
      <c r="HA261" s="674">
        <f ca="1">IF(N264="BAM",1,IF(__Retrofit_TI_NC&gt;0,1,IF(U264="",0,1)))</f>
        <v>0</v>
      </c>
      <c r="HB261" s="674">
        <f>IF(__Retrofit_TI_NC&lt;&gt;0,1,IF(AF262="",0,1))</f>
        <v>0</v>
      </c>
      <c r="HC261" s="674">
        <f>IF(__Retrofit_TI_NC&lt;&gt;0,1,IF(AG262="",0,1))</f>
        <v>0</v>
      </c>
      <c r="HD261" s="674">
        <f>IF(N264="BAM",1,IF(AF263="",0,1))</f>
        <v>0</v>
      </c>
      <c r="HE261" s="674">
        <f>IF(N264="BAM",1,IF(AG263="",0,1))</f>
        <v>0</v>
      </c>
      <c r="HF261" s="674">
        <f>IF(N264="BAM",1,IF(__Retrofit_TI_NC&gt;0,1,IF(AG264="",0,1)))</f>
        <v>0</v>
      </c>
      <c r="HG261" s="391"/>
      <c r="IA261" s="391"/>
      <c r="IB261" s="1693" t="b">
        <f>IF(OR(IB264=0,IB264=HY$16,IB264=HX$16,IB264=HZ$16),TRUE,FALSE)</f>
        <v>0</v>
      </c>
      <c r="IC261" s="1694" t="b">
        <f>IB261</f>
        <v>0</v>
      </c>
      <c r="ID261" s="391"/>
      <c r="IE261" s="391"/>
      <c r="IF261" s="1688" t="b">
        <f ca="1">IF(MAX(GN264:HU264)&gt;5,FALSE,TRUE)</f>
        <v>0</v>
      </c>
      <c r="IG261" s="1689">
        <f ca="1">IF(IF261=TRUE,AC261,0)</f>
        <v>0</v>
      </c>
      <c r="IH261" s="1689">
        <f ca="1">IG261-IG263</f>
        <v>0</v>
      </c>
      <c r="IK261" s="1689" t="e">
        <f>ROUND(T262*VLOOKUP(U262,Fixtures_Existing_List,2,FALSE)*N262*R262/1000,0)</f>
        <v>#N/A</v>
      </c>
      <c r="IL261" s="1690" t="e">
        <f>IK261-IK263</f>
        <v>#N/A</v>
      </c>
      <c r="IM261" s="1693" t="e">
        <f>ROUND(IF(CQ261="Interior",N263*R263*R262*N262*_C406_reduction/1000,N263*R263*R262*N262/1000),0)</f>
        <v>#N/A</v>
      </c>
      <c r="IN261" s="1693" t="e">
        <f>IM261-IM263</f>
        <v>#N/A</v>
      </c>
      <c r="IP261" s="1679"/>
      <c r="IQ261" s="1679" t="e">
        <f t="shared" ref="IQ261:IU261" si="221">IF($CR261="interior",VLOOKUP($CS261,_New_Control_Savings_Interior,IQ$30,FALSE),VLOOKUP($CS261,Control_Savings_Exterior,IQ$30,FALSE))</f>
        <v>#N/A</v>
      </c>
      <c r="IR261" s="1679" t="e">
        <f t="shared" si="221"/>
        <v>#N/A</v>
      </c>
      <c r="IS261" s="1679" t="e">
        <f t="shared" si="221"/>
        <v>#N/A</v>
      </c>
      <c r="IT261" s="1679" t="e">
        <f t="shared" si="221"/>
        <v>#N/A</v>
      </c>
      <c r="IU261" s="1679" t="e">
        <f t="shared" si="221"/>
        <v>#N/A</v>
      </c>
      <c r="IV261" s="1679" t="e">
        <f>IF($CR261="interior",IF(R262&gt;$IP$14,ROUND(($IV$18*($IP$14/R262)),2),$IV$18),VLOOKUP($CS261,Control_Savings_Exterior,IV$30,FALSE))</f>
        <v>#N/A</v>
      </c>
      <c r="IW261" s="1679" t="e">
        <f>IF($CR261="interior",ROUND(((1-IS261)*IV261)+IS261,2),VLOOKUP($CS261,Control_Savings_Exterior,IW$30,FALSE))</f>
        <v>#N/A</v>
      </c>
      <c r="IX261" s="1679" t="e">
        <f>IF($CR261="interior",ROUND(((1-IT261)*IV261)+IT261,2),VLOOKUP($CS261,Control_Savings_Exterior,IX$30,FALSE))</f>
        <v>#N/A</v>
      </c>
      <c r="IY261" s="1679" t="e">
        <f>IF($CR261="interior",IF(R262&gt;$IP$14,ROUND(($IY$18*($IP$14/R262)),2),$IY$18),VLOOKUP($CS261,Control_Savings_Exterior,IY$30,FALSE))</f>
        <v>#N/A</v>
      </c>
      <c r="IZ261" s="1679" t="e">
        <f>IF($CR261="interior",ROUND(((1-IS261)*IY261)+IS261,2),VLOOKUP($CS261,Control_Savings_Exterior,IZ$30,FALSE))</f>
        <v>#N/A</v>
      </c>
      <c r="JA261" s="1679" t="e">
        <f>IF($CR261="interior",ROUND(((1-IT261)*IY261)+IT261,2),VLOOKUP($CS261,Control_Savings_Exterior,JA$30,FALSE))</f>
        <v>#N/A</v>
      </c>
      <c r="JC261" s="1680">
        <f>IFERROR(IF(CR261="Interior",CONCATENATE(G264," ",FQ261),FQ261),"")</f>
        <v>0</v>
      </c>
      <c r="JD261" s="1670" t="str">
        <f>IFERROR(VLOOKUP(JC261,_Controls_2023,2,FALSE),"")</f>
        <v/>
      </c>
      <c r="JE261" s="1681">
        <f>IFERROR(CHOOSE(JD261-1,IQ261,IR261,IS261,IT261,IU261,IV261,IW261,IX261,IY261,IZ261,JA261),0)</f>
        <v>0</v>
      </c>
      <c r="JG261" s="1680" t="str">
        <f>FE261</f>
        <v xml:space="preserve"> - 0</v>
      </c>
      <c r="JH261" s="1670" t="e">
        <f>$FO261</f>
        <v>#N/A</v>
      </c>
      <c r="JI261" s="1060"/>
      <c r="JJ261" s="1682" t="b">
        <f>IF($JG263=CONCATENATE("Interior - ",JJ$4),TRUE,FALSE)</f>
        <v>0</v>
      </c>
      <c r="JK261" s="1061"/>
      <c r="JL261" s="1682" t="b">
        <f>IF($JG263=CONCATENATE("Interior - ",JL$4),TRUE,FALSE)</f>
        <v>0</v>
      </c>
      <c r="JM261" s="1061"/>
      <c r="JN261" s="1682" t="b">
        <f>IF($JG263=CONCATENATE("Interior - ",JN$4),TRUE,FALSE)</f>
        <v>0</v>
      </c>
      <c r="JO261" s="1061"/>
      <c r="JP261" s="1682" t="b">
        <f>IF(__Retrofit_TI_NC&gt;0,FALSE,IF($JG263=CONCATENATE("Interior - ",JP$4),TRUE,FALSE))</f>
        <v>0</v>
      </c>
      <c r="JQ261" s="1061"/>
      <c r="JR261" s="1682" t="b">
        <f>IF(__Retrofit_TI_NC&gt;0,FALSE,IF($JG263=CONCATENATE("Interior - ",JR$4),TRUE,FALSE))</f>
        <v>0</v>
      </c>
      <c r="JS261" s="1061"/>
      <c r="JT261" s="1670" t="b">
        <f>IF(__Retrofit_TI_NC&gt;0,FALSE,IF($JG263=CONCATENATE("Interior - ",JT$4),TRUE,FALSE))</f>
        <v>0</v>
      </c>
      <c r="JU261" s="1061"/>
      <c r="JV261" s="1670" t="b">
        <f>IF(JC263="AELC on Existing",TRUE,FALSE)</f>
        <v>0</v>
      </c>
      <c r="JX261" s="1670" t="b">
        <f>IF(OR(JG263="Exterior - AELC Occupancy based",JG263="Exterior - AELC Time based"),TRUE,FALSE)</f>
        <v>0</v>
      </c>
      <c r="JZ261" s="1682" t="b">
        <f>IF($JG263=CONCATENATE("Exterior - ",JZ$4),TRUE,FALSE)</f>
        <v>0</v>
      </c>
      <c r="KB261" s="1670" t="b">
        <f>IF(__Retrofit_TI_NC&gt;0,FALSE,IF($JG263=CONCATENATE("Interior - ",KB$4),TRUE,FALSE))</f>
        <v>0</v>
      </c>
    </row>
    <row r="262" spans="1:288" s="78" customFormat="1" ht="14.95" customHeight="1" thickTop="1" thickBot="1">
      <c r="B262" s="1845"/>
      <c r="C262" s="1846"/>
      <c r="D262" s="1847"/>
      <c r="E262" s="1737" t="s">
        <v>297</v>
      </c>
      <c r="F262" s="1738"/>
      <c r="G262" s="1739"/>
      <c r="H262" s="1739"/>
      <c r="I262" s="1739"/>
      <c r="J262" s="1739"/>
      <c r="K262" s="1739"/>
      <c r="L262" s="1739"/>
      <c r="M262" s="461" t="e">
        <f>IF(__Retrofit_TI_NC&lt;&gt;0,IF(VLOOKUP(G263,'Space Table'!$B$3:$L$163,3,FALSE)&gt;0,1,0),IF(__Retrofit_TI_NC=VLOOKUP(G263,'Space Table'!$B$3:$L$163,3,FALSE),1,0))</f>
        <v>#N/A</v>
      </c>
      <c r="N262" s="461" t="str">
        <f>IFERROR(VLOOKUP(G262,_Lookup_Heat_Type_Table_New,2,FALSE),"")</f>
        <v/>
      </c>
      <c r="O262" s="461">
        <f>IF(__Retrofit_TI_NC=1,CONCATENATE("TI ",G262),IF(__Retrofit_TI_NC=2,CONCATENATE("NC ",G262),G262))</f>
        <v>0</v>
      </c>
      <c r="P262" s="1740" t="s">
        <v>435</v>
      </c>
      <c r="Q262" s="1740"/>
      <c r="R262" s="595"/>
      <c r="S262" s="1792"/>
      <c r="T262" s="597"/>
      <c r="U262" s="1765"/>
      <c r="V262" s="1766"/>
      <c r="W262" s="1766"/>
      <c r="X262" s="1766"/>
      <c r="Y262" s="1766"/>
      <c r="Z262" s="1766"/>
      <c r="AA262" s="1766"/>
      <c r="AB262" s="1766"/>
      <c r="AC262" s="1766"/>
      <c r="AD262" s="1767"/>
      <c r="AE262" s="1000"/>
      <c r="AF262" s="597"/>
      <c r="AG262" s="1723"/>
      <c r="AH262" s="1724"/>
      <c r="AI262" s="1724"/>
      <c r="AJ262" s="1724"/>
      <c r="AK262" s="1725"/>
      <c r="AL262" s="996"/>
      <c r="AM262" s="1747"/>
      <c r="AN262" s="1775"/>
      <c r="AO262" s="1777"/>
      <c r="AP262" s="1780"/>
      <c r="AQ262" s="1781"/>
      <c r="AR262" s="1795"/>
      <c r="AS262" s="1795"/>
      <c r="AT262" s="1796"/>
      <c r="AU262" s="1735"/>
      <c r="AV262" s="1752"/>
      <c r="AW262" s="1705"/>
      <c r="AX262" s="467"/>
      <c r="AY262" s="1749"/>
      <c r="AZ262" s="1749"/>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696"/>
      <c r="CQ262" s="1696"/>
      <c r="CR262" s="1809"/>
      <c r="CS262" s="1811"/>
      <c r="CU262" s="1688"/>
      <c r="CV262" s="1703"/>
      <c r="CW262" s="1703"/>
      <c r="CX262" s="1703"/>
      <c r="CY262" s="1815"/>
      <c r="CZ262" s="1711"/>
      <c r="DA262" s="1818"/>
      <c r="DB262" s="1820"/>
      <c r="DC262" s="1820"/>
      <c r="DD262" s="1820"/>
      <c r="DF262" s="1703"/>
      <c r="DG262" s="1831"/>
      <c r="DH262" s="1703"/>
      <c r="DI262" s="1838"/>
      <c r="DJ262" s="1711"/>
      <c r="DK262" s="1712"/>
      <c r="DM262" s="1718"/>
      <c r="DO262" s="1708"/>
      <c r="DQ262" s="1715"/>
      <c r="DR262" s="1720"/>
      <c r="DS262" s="1816"/>
      <c r="DT262" s="1714"/>
      <c r="DU262" s="1715"/>
      <c r="DV262" s="1716"/>
      <c r="DX262" s="1715"/>
      <c r="DY262" s="1720"/>
      <c r="DZ262" s="1715"/>
      <c r="EA262" s="1715"/>
      <c r="EC262" s="1834"/>
      <c r="ED262" s="1834"/>
      <c r="EF262" s="1707"/>
      <c r="EG262" s="1712"/>
      <c r="EH262" s="1818"/>
      <c r="EI262" s="1712"/>
      <c r="EJ262" s="1712"/>
      <c r="EK262" s="1836"/>
      <c r="EL262" s="1836"/>
      <c r="EM262" s="1807"/>
      <c r="EN262" s="1839"/>
      <c r="EO262" s="1839"/>
      <c r="EP262" s="1817"/>
      <c r="EQ262" s="1817"/>
      <c r="ER262" s="1807"/>
      <c r="ES262" s="1807"/>
      <c r="ET262" s="1807"/>
      <c r="EV262" s="1715"/>
      <c r="EX262" s="1805"/>
      <c r="EY262" s="1805"/>
      <c r="EZ262" s="1805"/>
      <c r="FA262" s="1805"/>
      <c r="FB262" s="1805"/>
      <c r="FC262" s="1827"/>
      <c r="FE262" s="1698"/>
      <c r="FG262" s="1816"/>
      <c r="FH262" s="1816"/>
      <c r="FI262" s="133"/>
      <c r="FL262" s="1823"/>
      <c r="FM262" s="1825"/>
      <c r="FN262" s="1698"/>
      <c r="FO262" s="1698"/>
      <c r="FP262" s="1678"/>
      <c r="FQ262" s="1678"/>
      <c r="FS262" s="1687"/>
      <c r="FT262" s="1687"/>
      <c r="FU262" s="1685"/>
      <c r="FV262" s="1687"/>
      <c r="FW262" s="1687"/>
      <c r="FX262" s="1687"/>
      <c r="FY262" s="1697"/>
      <c r="GA262" s="1696"/>
      <c r="GB262" s="1696"/>
      <c r="GC262" s="1696"/>
      <c r="GD262" s="1696"/>
      <c r="GE262" s="1696"/>
      <c r="GF262" s="1696"/>
      <c r="GG262" s="1696"/>
      <c r="GH262" s="1696"/>
      <c r="GI262" s="673"/>
      <c r="GJ262" s="1135"/>
      <c r="GK262" s="1832"/>
      <c r="GM262" s="1693" t="b">
        <f ca="1">IF(AND(GP262=TRUE,GQ262=TRUE),TRUE,FALSE)</f>
        <v>0</v>
      </c>
      <c r="GN262" s="1684" t="b">
        <f>IFERROR(IF(__Retrofit_TI_NC=2,TRUE,IF(AU261="Yes",TRUE,FALSE)),FALSE)</f>
        <v>1</v>
      </c>
      <c r="GP262" s="1684" t="b">
        <f>IFERROR(IF(GP261=1,TRUE,FALSE),FALSE)</f>
        <v>0</v>
      </c>
      <c r="GQ262" s="1684" t="b">
        <f ca="1">IFERROR(IF(GQ261=GQ$14,TRUE,FALSE),FALSE)</f>
        <v>0</v>
      </c>
      <c r="HG262" s="1684" t="b">
        <f>IFERROR(IF(AND(__Retrofit_TI_NC&gt;0,CQ261="Interior"),FALSE,TRUE),FALSE)</f>
        <v>1</v>
      </c>
      <c r="HH262" s="1684" t="b">
        <f>IFERROR(IF(M262=1,TRUE,FALSE),FALSE)</f>
        <v>0</v>
      </c>
      <c r="HI262" s="1684" t="b">
        <f>IFERROR(IF(OR(M263=1,N264="BAM"),TRUE,FALSE),FALSE)</f>
        <v>0</v>
      </c>
      <c r="HJ262" s="1684" t="b">
        <f>IFERROR(IF(__Retrofit_TI_NC&lt;&gt;0,TRUE,IFERROR(IF(VLOOKUP(U262,Fixtures_Existing_List,2,FALSE)&lt;&gt;"",TRUE,FALSE),FALSE)),FALSE)</f>
        <v>0</v>
      </c>
      <c r="HK262" s="1684" t="b">
        <f>IFERROR(IF(VLOOKUP(U263,Fixtures_Proposed_List,2,FALSE)&lt;&gt;"",TRUE,FALSE),FALSE)</f>
        <v>0</v>
      </c>
      <c r="HL262" s="1684" t="b">
        <f>IF(AND(__Retrofit_TI_NC=2,FC261=TRUE),FALSE,TRUE)</f>
        <v>1</v>
      </c>
      <c r="HM262" s="1684" t="b">
        <f>GK261</f>
        <v>1</v>
      </c>
      <c r="HN262" s="1682" t="b">
        <f>IF(ISERROR(MATCH(FE261,_Control_Match[],0))=TRUE,FALSE,TRUE)</f>
        <v>0</v>
      </c>
      <c r="HO262" s="1693" t="b">
        <f>IFERROR(IF(EX261&lt;&gt;EY261,FALSE,TRUE),FALSE)</f>
        <v>1</v>
      </c>
      <c r="HP262" s="1693" t="b">
        <f>IFERROR(IF(EX263&lt;&gt;EY263,FALSE,TRUE),FALSE)</f>
        <v>1</v>
      </c>
      <c r="HQ262" s="1670" t="b">
        <f>IFERROR(IF(CQ261="Exterior",TRUE,IF(AND(OR(FM263=0,FM263=3),JD263&gt;6),FALSE,TRUE)),FALSE)</f>
        <v>0</v>
      </c>
      <c r="HR262" s="1684" t="b">
        <f>IFERROR(IF(AND(FO263=7,FC261=TRUE),FALSE,TRUE),FALSE)</f>
        <v>0</v>
      </c>
      <c r="HS262" s="1684" t="b">
        <f>IFERROR(IF(AND(T263&lt;&gt;AF263,OR(AG263="Interior LLLC", AG263="Interior NLC", AG263="LLLC (outside Daylight)",AG263="LLLC Controls Only"))=TRUE,FALSE,TRUE),FALSE)</f>
        <v>1</v>
      </c>
      <c r="HT262" s="1670" t="b">
        <f>IFERROR(IF(OR(AG263=Lookup!BB$17,AG263=Lookup!BB$18,AG263=Lookup!BB$19)=TRUE,IF(AF263&gt;T263,FALSE,TRUE),TRUE),FALSE)</f>
        <v>1</v>
      </c>
      <c r="HU262" s="1684" t="b">
        <f>IFERROR(IF(__Retrofit_TI_NC=2,IF(EZ263&lt;EZ261,FALSE,TRUE),TRUE),FALSE)</f>
        <v>1</v>
      </c>
      <c r="HV262" s="1684" t="b">
        <f>IF(CQ261="Interior",IL$6,TRUE)</f>
        <v>1</v>
      </c>
      <c r="HW262" s="1684" t="b">
        <f>IF(CQ261="Exterior",IL$8,TRUE)</f>
        <v>1</v>
      </c>
      <c r="HX262" s="1684" t="b">
        <f>IFERROR(IF(__Retrofit_TI_NC&lt;&gt;0,IF(AZ261&lt;AY261,FALSE,TRUE),TRUE),FALSE)</f>
        <v>1</v>
      </c>
      <c r="HY262" s="1684" t="b">
        <f>IFERROR(IF(AND(G262="Exterior",R262&gt;4200),FALSE,TRUE),FALSE)</f>
        <v>1</v>
      </c>
      <c r="HZ262" s="1684" t="b">
        <f>IFERROR(IF(AB264/AB261&lt;HZ$18,FALSE,TRUE),FALSE)</f>
        <v>0</v>
      </c>
      <c r="IB262" s="1691"/>
      <c r="IC262" s="1695"/>
      <c r="ID262" s="1694" t="str">
        <f>VLOOKUP(IB264,_Error_Table,4,FALSE)</f>
        <v>White</v>
      </c>
      <c r="IE262" s="391"/>
      <c r="IF262" s="1688"/>
      <c r="IG262" s="1689"/>
      <c r="IH262" s="1684"/>
      <c r="IK262" s="1689"/>
      <c r="IL262" s="1691"/>
      <c r="IM262" s="1691"/>
      <c r="IN262" s="1691"/>
      <c r="IP262" s="1679"/>
      <c r="IQ262" s="1679"/>
      <c r="IR262" s="1679"/>
      <c r="IS262" s="1679"/>
      <c r="IT262" s="1679"/>
      <c r="IU262" s="1679"/>
      <c r="IV262" s="1679"/>
      <c r="IW262" s="1679"/>
      <c r="IX262" s="1679"/>
      <c r="IY262" s="1679"/>
      <c r="IZ262" s="1679"/>
      <c r="JA262" s="1679"/>
      <c r="JC262" s="1680"/>
      <c r="JD262" s="1670"/>
      <c r="JE262" s="1681"/>
      <c r="JG262" s="1680"/>
      <c r="JH262" s="1670"/>
      <c r="JI262" s="1060"/>
      <c r="JJ262" s="1683"/>
      <c r="JK262" s="1061"/>
      <c r="JL262" s="1683"/>
      <c r="JM262" s="1061"/>
      <c r="JN262" s="1683"/>
      <c r="JO262" s="1061"/>
      <c r="JP262" s="1683"/>
      <c r="JQ262" s="1061"/>
      <c r="JR262" s="1683"/>
      <c r="JS262" s="1061"/>
      <c r="JT262" s="1670"/>
      <c r="JU262" s="1061"/>
      <c r="JV262" s="1670"/>
      <c r="JX262" s="1670"/>
      <c r="JZ262" s="1683"/>
      <c r="KB262" s="1670"/>
    </row>
    <row r="263" spans="1:288" s="78" customFormat="1" ht="14.95" customHeight="1" thickTop="1" thickBot="1">
      <c r="A263" s="78">
        <f>ROW()</f>
        <v>263</v>
      </c>
      <c r="B263" s="1845"/>
      <c r="C263" s="1846"/>
      <c r="D263" s="1847"/>
      <c r="E263" s="1737" t="s">
        <v>298</v>
      </c>
      <c r="F263" s="1738"/>
      <c r="G263" s="1760"/>
      <c r="H263" s="1761"/>
      <c r="I263" s="1761"/>
      <c r="J263" s="1761"/>
      <c r="K263" s="1761"/>
      <c r="L263" s="1762"/>
      <c r="M263" s="461">
        <f>IFERROR(IF(IF(__Retrofit_TI_NC&lt;&gt;0,IF(CQ261="Interior",MATCH(G263,Lookup_Interior_New,0),MATCH(G263,Lookup_Exterior_New,0)),IF(CQ261="Interior",MATCH(G263,Lookup_Interior,0),MATCH(G263,Lookup_Exterior_Areas,0)))&gt;0,1,0),0)</f>
        <v>0</v>
      </c>
      <c r="N263" s="461" t="e">
        <f>IF(__Retrofit_TI_NC=1,
VLOOKUP(G263,'Space Table'!$B$3:$L$163,4,FALSE),
IF(__Retrofit_TI_NC=2,VLOOKUP(G263,'Space Table'!$B$3:$L$163,5,FALSE),VLOOKUP(G263,'Space Table'!$B$3:$L$163,5,FALSE)))</f>
        <v>#N/A</v>
      </c>
      <c r="O263" s="461">
        <f>G263</f>
        <v>0</v>
      </c>
      <c r="P263" s="1738" t="str">
        <f>IFERROR(IF(__Retrofit_TI_NC=1,VLOOKUP(G263,'Space Table'!$B$3:$O$163,13,FALSE),IF(__Retrofit_TI_NC=2,VLOOKUP(G263,'Space Table'!$B$3:$O$163,14,FALSE),"Area (sf):")),"Area (sf):")</f>
        <v>Area (sf):</v>
      </c>
      <c r="Q263" s="1738"/>
      <c r="R263" s="596"/>
      <c r="S263" s="1763" t="s">
        <v>345</v>
      </c>
      <c r="T263" s="594"/>
      <c r="U263" s="1801"/>
      <c r="V263" s="1802"/>
      <c r="W263" s="1802"/>
      <c r="X263" s="1802"/>
      <c r="Y263" s="1802"/>
      <c r="Z263" s="1802"/>
      <c r="AA263" s="1802"/>
      <c r="AB263" s="1802"/>
      <c r="AC263" s="1802"/>
      <c r="AD263" s="1802"/>
      <c r="AE263" s="1803"/>
      <c r="AF263" s="594"/>
      <c r="AG263" s="1787"/>
      <c r="AH263" s="1787"/>
      <c r="AI263" s="1787"/>
      <c r="AJ263" s="1787"/>
      <c r="AK263" s="1787"/>
      <c r="AL263" s="1787"/>
      <c r="AM263" s="1726">
        <f>IFERROR(DI263,"")</f>
        <v>0</v>
      </c>
      <c r="AN263" s="1728" t="str">
        <f>IFERROR(ROUND(AM263*AC264,0),"")</f>
        <v/>
      </c>
      <c r="AO263" s="1730">
        <f>IFERROR(IF(IB261=FALSE,0,AC264-AN263),0)</f>
        <v>0</v>
      </c>
      <c r="AP263" s="1780"/>
      <c r="AQ263" s="1781"/>
      <c r="AR263" s="1795"/>
      <c r="AS263" s="1795"/>
      <c r="AT263" s="1796"/>
      <c r="AU263" s="1735"/>
      <c r="AV263" s="1752"/>
      <c r="AW263" s="1705"/>
      <c r="AX263" s="467"/>
      <c r="AY263" s="1749"/>
      <c r="AZ263" s="1749"/>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696"/>
      <c r="CQ263" s="1696"/>
      <c r="CR263" s="1808" t="str">
        <f>CQ261</f>
        <v/>
      </c>
      <c r="CS263" s="1810" t="str">
        <f>CS261</f>
        <v/>
      </c>
      <c r="CU263" s="1688" t="s">
        <v>345</v>
      </c>
      <c r="CV263" s="1702">
        <f>IF(IB261=TRUE,T263,0)</f>
        <v>0</v>
      </c>
      <c r="CW263" s="1702" t="str">
        <f>IF(IB261=TRUE,U263,"")</f>
        <v/>
      </c>
      <c r="CX263" s="1812">
        <f>IF(IB261=TRUE,U264,0)</f>
        <v>0</v>
      </c>
      <c r="CY263" s="1814">
        <f>IF(IB261=TRUE,AB264,0)</f>
        <v>0</v>
      </c>
      <c r="CZ263" s="1710">
        <f>IF(AND(__Retrofit_TI_NC&gt;0,CR261="interior"),0,IF(IB261=TRUE,AC264,0))</f>
        <v>0</v>
      </c>
      <c r="DA263" s="1818"/>
      <c r="DB263" s="1820"/>
      <c r="DC263" s="1820"/>
      <c r="DD263" s="1820"/>
      <c r="DF263" s="1702">
        <f>IF(IB261=TRUE,AF263,0)</f>
        <v>0</v>
      </c>
      <c r="DG263" s="1830" t="str">
        <f>IF(IB261=TRUE,AG263,"")</f>
        <v/>
      </c>
      <c r="DH263" s="1812">
        <f>AG264</f>
        <v>0</v>
      </c>
      <c r="DI263" s="1837">
        <f>JE263</f>
        <v>0</v>
      </c>
      <c r="DJ263" s="1710">
        <f>IF(AND(__Retrofit_TI_NC&gt;0,CR261="interior"),0,IF(IB261=TRUE,AN263,0))</f>
        <v>0</v>
      </c>
      <c r="DK263" s="1712"/>
      <c r="DN263" s="1717">
        <f>IFERROR(CZ263-DJ263,0)</f>
        <v>0</v>
      </c>
      <c r="DO263" s="1709"/>
      <c r="DQ263" s="1715"/>
      <c r="DR263" s="1719" t="str">
        <f>DQ261</f>
        <v/>
      </c>
      <c r="DS263" s="1816"/>
      <c r="DT263" s="1835" t="str">
        <f>IF(OR(DS261=7,DS261=8,DS261=9),"ALC","")</f>
        <v/>
      </c>
      <c r="DU263" s="1715"/>
      <c r="DV263" s="1716"/>
      <c r="DX263" s="1715"/>
      <c r="DY263" s="1829" t="str">
        <f>DX261</f>
        <v/>
      </c>
      <c r="DZ263" s="1715"/>
      <c r="EA263" s="1715"/>
      <c r="EC263" s="1834"/>
      <c r="ED263" s="1834"/>
      <c r="EF263" s="1707"/>
      <c r="EG263" s="1712"/>
      <c r="EH263" s="1818"/>
      <c r="EI263" s="1712"/>
      <c r="EJ263" s="1712"/>
      <c r="EK263" s="1836"/>
      <c r="EL263" s="1836"/>
      <c r="EM263" s="1807"/>
      <c r="EN263" s="1839"/>
      <c r="EO263" s="1839"/>
      <c r="EP263" s="1817"/>
      <c r="EQ263" s="1817"/>
      <c r="ER263" s="1807"/>
      <c r="ES263" s="1807"/>
      <c r="ET263" s="1807"/>
      <c r="EV263" s="1715"/>
      <c r="EX263" s="1805" t="str">
        <f>IFERROR(VLOOKUP(CS263,'Space Table'!$B$3:$L$163,8,FALSE),"")</f>
        <v/>
      </c>
      <c r="EY263" s="1805" t="str">
        <f>IFERROR(IF(FB263="Yes",VLOOKUP(AG263,Lookup_Control_Type_Table2,4,FALSE),VLOOKUP(AG263,Lookup_Control_Type_Table2,3,FALSE)),"")</f>
        <v/>
      </c>
      <c r="EZ263" s="1805" t="e">
        <f>VLOOKUP(AG263,Lookup!BB$3:BC$20,2,FALSE)</f>
        <v>#N/A</v>
      </c>
      <c r="FA263" s="1805" t="e">
        <f>VLOOKUP(EX261,Lookup_Control_Type_Table,2,FALSE)</f>
        <v>#N/A</v>
      </c>
      <c r="FB263" s="1805" t="e">
        <f>VLOOKUP(CS263,'Space Table'!$B$3:$L$163,7,FALSE)</f>
        <v>#N/A</v>
      </c>
      <c r="FC263" s="1827"/>
      <c r="FE263" s="1698" t="str">
        <f>CONCATENATE(CQ261," - ",AG263)</f>
        <v xml:space="preserve"> - </v>
      </c>
      <c r="FG263" s="1816"/>
      <c r="FH263" s="1816"/>
      <c r="FI263" s="133"/>
      <c r="FL263" s="1822" t="str">
        <f>IF(CQ261="Exterior","Not Daylighted",G264)</f>
        <v>Not Daylighted</v>
      </c>
      <c r="FM263" s="1824">
        <f>VLOOKUP(FL263,_New_Daylight_Table_Codes,2,FALSE)</f>
        <v>0</v>
      </c>
      <c r="FN263" s="1698">
        <f>AG263</f>
        <v>0</v>
      </c>
      <c r="FO263" s="1698" t="e">
        <f>VLOOKUP(FN263,_Control_Table,2,FALSE)</f>
        <v>#N/A</v>
      </c>
      <c r="FP263" s="1678" t="e">
        <f>VLOOKUP(CONCATENATE(FL263," ",FN263),Lookup!AY$102:AZ274,2,FALSE)</f>
        <v>#N/A</v>
      </c>
      <c r="FQ263" s="1698">
        <f>IF(__Retrofit_TI_NC=0,FN263,IF(AND(FT263&gt;0,FN263="Occupancy Sensor"),"Daylight + Occupancy",IF(AND(FT263&gt;0,FO263&lt;4),"Interior Daylight Dimming",FN263)))</f>
        <v>0</v>
      </c>
      <c r="FS263" s="1686">
        <f>IF(CQ261="Interior",VLOOKUP(CS261,Control_Savings_Interior,5,FALSE),0)</f>
        <v>0</v>
      </c>
      <c r="FT263" s="1687">
        <f>IF(CQ263="Exterior",0,IF(FM263=2,0.5,IF(OR(FM263=1,FM263=3),1,0)))</f>
        <v>0</v>
      </c>
      <c r="FU263" s="1685">
        <f>IF(R262&gt;FS$44,(FS263*(FS$44/R262)),FS263)*FT263</f>
        <v>0</v>
      </c>
      <c r="FV263" s="1686">
        <f>DI263</f>
        <v>0</v>
      </c>
      <c r="FW263" s="1686">
        <f>ROUND(FV263+((1-FV263)*FU263),2)</f>
        <v>0</v>
      </c>
      <c r="FX263" s="1686">
        <f>IF(__Retrofit_TI_NC=2,FW263,FV263)</f>
        <v>0</v>
      </c>
      <c r="FY263" s="1697">
        <f>IF(CR263="Interior",VLOOKUP(CS263,Control_Savings_Interior,4,FALSE),0)</f>
        <v>0</v>
      </c>
      <c r="GA263" s="1696"/>
      <c r="GB263" s="1696"/>
      <c r="GC263" s="1696"/>
      <c r="GD263" s="1696"/>
      <c r="GE263" s="1696"/>
      <c r="GF263" s="1696"/>
      <c r="GG263" s="1696"/>
      <c r="GH263" s="1696"/>
      <c r="GI263" s="673" t="b">
        <f>IF(ISNUMBER(SEARCH("TLED",U263)),TRUE,FALSE)</f>
        <v>0</v>
      </c>
      <c r="GJ263" s="1135" t="str">
        <f>IFERROR(VLOOKUP(U263,Fixtures!DM$93:DR$142,6,FALSE),"")</f>
        <v/>
      </c>
      <c r="GK263" s="1832"/>
      <c r="GM263" s="1692"/>
      <c r="GN263" s="1684"/>
      <c r="GP263" s="1684"/>
      <c r="GQ263" s="1684"/>
      <c r="HG263" s="1684"/>
      <c r="HH263" s="1684"/>
      <c r="HI263" s="1684"/>
      <c r="HJ263" s="1684"/>
      <c r="HK263" s="1684"/>
      <c r="HL263" s="1684"/>
      <c r="HM263" s="1684"/>
      <c r="HN263" s="1683"/>
      <c r="HO263" s="1692"/>
      <c r="HP263" s="1692"/>
      <c r="HQ263" s="1670"/>
      <c r="HR263" s="1684"/>
      <c r="HS263" s="1684"/>
      <c r="HT263" s="1670"/>
      <c r="HU263" s="1684"/>
      <c r="HV263" s="1684"/>
      <c r="HW263" s="1684"/>
      <c r="HX263" s="1684"/>
      <c r="HY263" s="1684"/>
      <c r="HZ263" s="1684"/>
      <c r="IB263" s="1692"/>
      <c r="IC263" s="1693" t="b">
        <f>IB261</f>
        <v>0</v>
      </c>
      <c r="ID263" s="1695"/>
      <c r="IE263" s="391"/>
      <c r="IF263" s="1688"/>
      <c r="IG263" s="1689">
        <f ca="1">IF(IF261=TRUE,AC264,0)</f>
        <v>0</v>
      </c>
      <c r="IH263" s="1684"/>
      <c r="IK263" s="1689" t="e">
        <f>ROUND(T263*AB264*N262*R262/1000,0)</f>
        <v>#VALUE!</v>
      </c>
      <c r="IL263" s="1691"/>
      <c r="IM263" s="1693" t="e">
        <f>ROUND(T263*AB264*N262*R262/1000,0)</f>
        <v>#VALUE!</v>
      </c>
      <c r="IN263" s="1691"/>
      <c r="IP263" s="1679"/>
      <c r="IQ263" s="1679" t="e">
        <f t="shared" ref="IQ263:IU263" si="222">IF($CR263="interior",VLOOKUP($CS263,_New_Control_Savings_Interior,IQ$30,FALSE),VLOOKUP($CS263,Control_Savings_Exterior,IQ$30,FALSE))</f>
        <v>#N/A</v>
      </c>
      <c r="IR263" s="1679" t="e">
        <f t="shared" si="222"/>
        <v>#N/A</v>
      </c>
      <c r="IS263" s="1679" t="e">
        <f t="shared" si="222"/>
        <v>#N/A</v>
      </c>
      <c r="IT263" s="1679" t="e">
        <f t="shared" si="222"/>
        <v>#N/A</v>
      </c>
      <c r="IU263" s="1679" t="e">
        <f t="shared" si="222"/>
        <v>#N/A</v>
      </c>
      <c r="IV263" s="1679" t="e">
        <f>IF($CR263="interior",IF(R262&gt;$IP$14,ROUND(($IV$18*($IP$14/R262)),2),$IV$18),VLOOKUP($CS263,Control_Savings_Exterior,IV$30,FALSE))</f>
        <v>#N/A</v>
      </c>
      <c r="IW263" s="1679" t="e">
        <f>IF($CR263="interior",ROUND(((1-IS263)*IV263)+IS263,2),VLOOKUP($CS263,Control_Savings_Exterior,IW$30,FALSE))</f>
        <v>#N/A</v>
      </c>
      <c r="IX263" s="1679" t="e">
        <f>IF($CR263="interior",ROUND(((1-IT263)*IV263)+IT263,2),VLOOKUP($CS263,Control_Savings_Exterior,IX$30,FALSE))</f>
        <v>#N/A</v>
      </c>
      <c r="IY263" s="1679" t="e">
        <f>IF($CR263="interior",IF(R262&gt;$IP$14,ROUND(($IY$18*($IP$14/R262)),2),$IY$18),VLOOKUP($CS263,Control_Savings_Exterior,IY$30,FALSE))</f>
        <v>#N/A</v>
      </c>
      <c r="IZ263" s="1679" t="e">
        <f>IF($CR263="interior",ROUND(((1-IS263)*IY263)+IS263,2),VLOOKUP($CS263,Control_Savings_Exterior,IZ$30,FALSE))</f>
        <v>#N/A</v>
      </c>
      <c r="JA263" s="1679" t="e">
        <f>IF($CR263="interior",ROUND(((1-IT263)*IY263)+IT263,2),VLOOKUP($CS263,Control_Savings_Exterior,JA$30,FALSE))</f>
        <v>#N/A</v>
      </c>
      <c r="JC263" s="1680">
        <f>IFERROR(IF(CR263="Interior",CONCATENATE(G264," ",FQ263),AG263),"")</f>
        <v>0</v>
      </c>
      <c r="JD263" s="1670" t="str">
        <f>IFERROR(VLOOKUP(JC263,_Controls_2023,2,FALSE),"")</f>
        <v/>
      </c>
      <c r="JE263" s="1681">
        <f>IFERROR(CHOOSE(JD263-1,IQ263,IR263,IS263,IT263,IU263,IV263,IW263,IX263,IY263,IZ263,JA263),0)</f>
        <v>0</v>
      </c>
      <c r="JG263" s="1680" t="str">
        <f>FE263</f>
        <v xml:space="preserve"> - </v>
      </c>
      <c r="JH263" s="1670" t="e">
        <f>$FO263</f>
        <v>#N/A</v>
      </c>
      <c r="JI263" s="1060"/>
      <c r="JJ263" s="1670">
        <f>IFERROR(IF($IB261=TRUE,IF(OR(JJ$14="No",JJ261=FALSE,JH263&lt;=JH261,AND(_kWh_Grant=0,GD261=FALSE)),0,IF(JJ$8="Per Line",1,$AF263)),0),0)</f>
        <v>0</v>
      </c>
      <c r="JK263" s="1061"/>
      <c r="JL263" s="1670">
        <f>IFERROR(IF(_kWh_Grant=0,0,IF($IB261=TRUE,IF(OR(JL$14="No",JL261=FALSE,JH263&lt;=JH261),0,IF(JL$8="Per Line",1,$T263)),0)),0)</f>
        <v>0</v>
      </c>
      <c r="JM263" s="1061"/>
      <c r="JN263" s="1670">
        <f>IFERROR(IF(_kWh_Grant=0,0,IF($IB261=TRUE,IF(OR(JN$14="No",JN261=FALSE,JH263&lt;=JH261),0,IF(JN$8="Per Line",1,$AF263)),0)),0)</f>
        <v>0</v>
      </c>
      <c r="JO263" s="1061"/>
      <c r="JP263" s="1670">
        <f>IFERROR(IF(__Retrofit_TI_NC=0,IF(_kWh_Grant=0,0,IF($IB261=TRUE,IF(OR(JP$14="No",JP261=FALSE,$JH263&lt;=$JH261),0,IF(JP$8="Per Line",1,$AF263)),0)),IF($IB261=TRUE,IF(OR(JP$14="No",JP261=FALSE,$JH263&lt;=$JH261),0,IF(JP$8="Per Line",1,$AF263)))),0)</f>
        <v>0</v>
      </c>
      <c r="JQ263" s="1061"/>
      <c r="JR263" s="1670">
        <f>IFERROR(IF(__Retrofit_TI_NC=0,IF(_kWh_Grant=0,0,IF($IB261=TRUE,IF(OR(JR$14="No",JR261=FALSE,$JH263&lt;=$JH261),0,IF(JR$8="Per Line",1,$AF263)),0)),IF($IB261=TRUE,IF(OR(JR$14="No",JR261=FALSE,$JH263&lt;=$JH261),0,IF(JR$8="Per Line",1,$AF263)))),0)</f>
        <v>0</v>
      </c>
      <c r="JS263" s="1061"/>
      <c r="JT263" s="1670">
        <f>IFERROR(IF(__Retrofit_TI_NC=0,IF(_kWh_Grant=0,0,IF($IB261=TRUE,IF(OR(JT$14="No",JT261=FALSE,$JH263&lt;=$JH261),0,IF(JT$8="Per Line",1,$AF263)),0)),IF($IB261=TRUE,IF(OR(JT$14="No",JT261=FALSE,$JH263&lt;=$JH261),0,IF(JT$8="Per Line",1,$AF263)))),0)</f>
        <v>0</v>
      </c>
      <c r="JU263" s="1061"/>
      <c r="JV263" s="1670">
        <f>IFERROR(IF(__Retrofit_TI_NC=0,IF(_kWh_Grant=0,0,IF($IB261=TRUE,IF(OR(JV$14="No",JV261=FALSE,$JH263&lt;=$JH261),0,IF(JV$8="Per Line",1,$AF263)),0)),IF($IB261=TRUE,IF(OR(JV$14="No",JV261=FALSE,$JH263&lt;=$JH261),0,IF(JV$8="Per Line",1,$AF263)))),0)</f>
        <v>0</v>
      </c>
      <c r="JX263" s="1670">
        <f>IFERROR(IF(__Retrofit_TI_NC=0,IF(_kWh_Grant=0,0,IF($IB261=TRUE,IF(OR(JX$14="No",JX261=FALSE,$JH263&lt;=$JH261),0,IF(JX$8="Per Line",1,$AF263)),0)),IF($IB261=TRUE,IF(OR(JX$14="No",JX261=FALSE,$JH263&lt;=$JH261),0,IF(JX$8="Per Line",1,$AF263)))),0)</f>
        <v>0</v>
      </c>
      <c r="JZ263" s="1670">
        <f>IFERROR(IF($IB261=TRUE,IF(OR(JZ$14="No",JZ261=FALSE,$JH263&lt;=$JH261,AND(_kWh_Grant=0,$GD261=FALSE)),0,IF(JZ$8="Per Line",1,$AF263)),0),0)</f>
        <v>0</v>
      </c>
      <c r="KB263" s="1670">
        <f>IFERROR(IF(__Retrofit_TI_NC=0,IF(_kWh_Grant=0,0,IF($IB261=TRUE,IF(OR(KB$14="No",KB261=FALSE,$JH263&lt;=$JH261),0,IF(KB$8="Per Line",1,$AF263)),0)),IF($IB261=TRUE,IF(OR(KB$14="No",KB261=FALSE,$JH263&lt;=$JH261),0,IF(KB$8="Per Line",1,$AF263)))),0)</f>
        <v>0</v>
      </c>
    </row>
    <row r="264" spans="1:288" s="78" customFormat="1" ht="14.95" customHeight="1" thickTop="1" thickBot="1">
      <c r="B264" s="1845"/>
      <c r="C264" s="1846"/>
      <c r="D264" s="1847"/>
      <c r="E264" s="1771" t="s">
        <v>436</v>
      </c>
      <c r="F264" s="1772"/>
      <c r="G264" s="1784" t="s">
        <v>437</v>
      </c>
      <c r="H264" s="1785"/>
      <c r="I264" s="1785"/>
      <c r="J264" s="1785"/>
      <c r="K264" s="1785"/>
      <c r="L264" s="1786"/>
      <c r="M264" s="591">
        <f>IFERROR(VLOOKUP(G264,_Daylight_Table[],2,FALSE),0)</f>
        <v>0</v>
      </c>
      <c r="N264" s="592" t="str">
        <f>IF(AND(__Retrofit_TI_NC&gt;0,CQ261="Interior"),"BAM","")</f>
        <v/>
      </c>
      <c r="O264" s="591" t="e">
        <f>VLOOKUP(G263,'Space Table'!$B$3:$L$163,11,FALSE)</f>
        <v>#N/A</v>
      </c>
      <c r="P264" s="1789"/>
      <c r="Q264" s="1790"/>
      <c r="R264" s="1790"/>
      <c r="S264" s="1788"/>
      <c r="T264" s="593" t="s">
        <v>342</v>
      </c>
      <c r="U264" s="1756" t="str" cm="1">
        <f t="array" aca="1" ref="U264" ca="1">IFERROR(VLOOKUP(INDIRECT("U" &amp; ROW()-1),Fixtures!DM$93:DP$142,4,FALSE),"")</f>
        <v/>
      </c>
      <c r="V264" s="1757"/>
      <c r="W264" s="1757"/>
      <c r="X264" s="1757"/>
      <c r="Y264" s="1757"/>
      <c r="Z264" s="1757"/>
      <c r="AA264" s="1758"/>
      <c r="AB264" s="939" t="str">
        <f>IFERROR(VLOOKUP(U263,Fixtures_Proposed_List,2,FALSE),"")</f>
        <v/>
      </c>
      <c r="AC264" s="933" t="str">
        <f>IFERROR(ROUND(T263*AB264*N262*R262/1000,0),"")</f>
        <v/>
      </c>
      <c r="AD264" s="934" t="str">
        <f>IFERROR(ROUND(T263*AB264/1000,2),"")</f>
        <v/>
      </c>
      <c r="AE264" s="998"/>
      <c r="AF264" s="938" t="s">
        <v>342</v>
      </c>
      <c r="AG264" s="1770"/>
      <c r="AH264" s="1770"/>
      <c r="AI264" s="1770"/>
      <c r="AJ264" s="1770"/>
      <c r="AK264" s="1770"/>
      <c r="AL264" s="1770"/>
      <c r="AM264" s="1727"/>
      <c r="AN264" s="1729"/>
      <c r="AO264" s="1731"/>
      <c r="AP264" s="1782"/>
      <c r="AQ264" s="1783"/>
      <c r="AR264" s="1797"/>
      <c r="AS264" s="1797"/>
      <c r="AT264" s="1798"/>
      <c r="AU264" s="1736"/>
      <c r="AV264" s="1753"/>
      <c r="AW264" s="1706"/>
      <c r="AX264" s="468"/>
      <c r="AY264" s="1750"/>
      <c r="AZ264" s="1750"/>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696"/>
      <c r="CQ264" s="1696"/>
      <c r="CR264" s="1809"/>
      <c r="CS264" s="1811"/>
      <c r="CU264" s="1688"/>
      <c r="CV264" s="1703"/>
      <c r="CW264" s="1703"/>
      <c r="CX264" s="1813"/>
      <c r="CY264" s="1815"/>
      <c r="CZ264" s="1711"/>
      <c r="DA264" s="1815"/>
      <c r="DB264" s="1821"/>
      <c r="DC264" s="1821"/>
      <c r="DD264" s="1821"/>
      <c r="DF264" s="1703"/>
      <c r="DG264" s="1831"/>
      <c r="DH264" s="1813"/>
      <c r="DI264" s="1838"/>
      <c r="DJ264" s="1711"/>
      <c r="DK264" s="1712"/>
      <c r="DN264" s="1718"/>
      <c r="DO264" s="1709"/>
      <c r="DQ264" s="1715"/>
      <c r="DR264" s="1720"/>
      <c r="DS264" s="1703"/>
      <c r="DT264" s="1714"/>
      <c r="DU264" s="1715"/>
      <c r="DV264" s="1716"/>
      <c r="DX264" s="1715"/>
      <c r="DY264" s="1720"/>
      <c r="DZ264" s="1715"/>
      <c r="EA264" s="1715"/>
      <c r="EC264" s="1834"/>
      <c r="ED264" s="1834"/>
      <c r="EF264" s="1707"/>
      <c r="EG264" s="1712"/>
      <c r="EH264" s="1815"/>
      <c r="EI264" s="1712"/>
      <c r="EJ264" s="1712"/>
      <c r="EK264" s="1813"/>
      <c r="EL264" s="1813"/>
      <c r="EM264" s="1807"/>
      <c r="EN264" s="1839"/>
      <c r="EO264" s="1839"/>
      <c r="EP264" s="1817"/>
      <c r="EQ264" s="1817"/>
      <c r="ER264" s="1807"/>
      <c r="ES264" s="1807"/>
      <c r="ET264" s="1807"/>
      <c r="EV264" s="1715"/>
      <c r="EX264" s="1806"/>
      <c r="EY264" s="1806"/>
      <c r="EZ264" s="1806"/>
      <c r="FA264" s="1806"/>
      <c r="FB264" s="1806"/>
      <c r="FC264" s="1828"/>
      <c r="FE264" s="1698"/>
      <c r="FG264" s="1703"/>
      <c r="FH264" s="1703"/>
      <c r="FI264" s="133"/>
      <c r="FL264" s="1823"/>
      <c r="FM264" s="1825"/>
      <c r="FN264" s="1698"/>
      <c r="FO264" s="1698"/>
      <c r="FP264" s="1678"/>
      <c r="FQ264" s="1698"/>
      <c r="FS264" s="1687"/>
      <c r="FT264" s="1687"/>
      <c r="FU264" s="1685"/>
      <c r="FV264" s="1687"/>
      <c r="FW264" s="1687"/>
      <c r="FX264" s="1687"/>
      <c r="FY264" s="1697"/>
      <c r="GA264" s="1696"/>
      <c r="GB264" s="1696"/>
      <c r="GC264" s="1696"/>
      <c r="GD264" s="1696"/>
      <c r="GE264" s="1696"/>
      <c r="GF264" s="1696"/>
      <c r="GG264" s="1696"/>
      <c r="GH264" s="1696"/>
      <c r="GI264" s="673"/>
      <c r="GJ264" s="1135"/>
      <c r="GK264" s="1832"/>
      <c r="GN264" s="674">
        <f>IF(GN262=TRUE,0,GN$16)</f>
        <v>0</v>
      </c>
      <c r="GP264" s="674">
        <f>IF(GP262=TRUE,0,GP$16)</f>
        <v>36</v>
      </c>
      <c r="GQ264" s="674">
        <f ca="1">IF(GQ262=TRUE,0,GQ$16)</f>
        <v>35</v>
      </c>
      <c r="GR264" s="391"/>
      <c r="GS264" s="391"/>
      <c r="GT264" s="391"/>
      <c r="GU264" s="391"/>
      <c r="GV264" s="391"/>
      <c r="HG264" s="674">
        <f>IF(HG262=TRUE,0,HG$16)</f>
        <v>0</v>
      </c>
      <c r="HH264" s="674">
        <f t="shared" ref="HH264:HM264" si="223">IF(HH262=TRUE,0,HH$16)</f>
        <v>19</v>
      </c>
      <c r="HI264" s="674">
        <f t="shared" si="223"/>
        <v>18</v>
      </c>
      <c r="HJ264" s="674">
        <f t="shared" si="223"/>
        <v>17</v>
      </c>
      <c r="HK264" s="674">
        <f t="shared" si="223"/>
        <v>16</v>
      </c>
      <c r="HL264" s="674">
        <f t="shared" si="223"/>
        <v>0</v>
      </c>
      <c r="HM264" s="674">
        <f t="shared" si="223"/>
        <v>0</v>
      </c>
      <c r="HN264" s="674">
        <f>IF(HN262=TRUE,0,HN$16)</f>
        <v>13</v>
      </c>
      <c r="HO264" s="674">
        <f t="shared" ref="HO264:HQ264" si="224">IF(HO262=TRUE,0,HO$16)</f>
        <v>0</v>
      </c>
      <c r="HP264" s="674">
        <f t="shared" si="224"/>
        <v>0</v>
      </c>
      <c r="HQ264" s="674">
        <f t="shared" si="224"/>
        <v>10</v>
      </c>
      <c r="HR264" s="674">
        <f>IF(HR262=TRUE,0,HR$16)</f>
        <v>9</v>
      </c>
      <c r="HS264" s="674">
        <f t="shared" ref="HS264:HW264" si="225">IF(HS262=TRUE,0,HS$16)</f>
        <v>0</v>
      </c>
      <c r="HT264" s="674">
        <f t="shared" si="225"/>
        <v>0</v>
      </c>
      <c r="HU264" s="674">
        <f t="shared" si="225"/>
        <v>0</v>
      </c>
      <c r="HV264" s="674">
        <f t="shared" si="225"/>
        <v>0</v>
      </c>
      <c r="HW264" s="674">
        <f t="shared" si="225"/>
        <v>0</v>
      </c>
      <c r="HX264" s="674">
        <f>IF(HX262=TRUE,0,HX$16)</f>
        <v>0</v>
      </c>
      <c r="HY264" s="674">
        <f>IF(HY262=TRUE,0,HY$16)</f>
        <v>0</v>
      </c>
      <c r="HZ264" s="674">
        <f>IF(HZ262=TRUE,0,HZ$16)</f>
        <v>1</v>
      </c>
      <c r="IB264" s="674">
        <f>IF(GP262=FALSE,GP264,IF(GQ262=FALSE,GQ264,MAX(GN264:HZ264)))</f>
        <v>36</v>
      </c>
      <c r="IC264" s="1692"/>
      <c r="ID264" s="205" t="str">
        <f>VLOOKUP(IB264,_Error_Table,3,FALSE)</f>
        <v xml:space="preserve"> </v>
      </c>
      <c r="IE264" s="205"/>
      <c r="IF264" s="1688"/>
      <c r="IG264" s="1689"/>
      <c r="IH264" s="1684"/>
      <c r="IK264" s="1689"/>
      <c r="IL264" s="1692"/>
      <c r="IM264" s="1692"/>
      <c r="IN264" s="1692"/>
      <c r="IP264" s="1679"/>
      <c r="IQ264" s="1679"/>
      <c r="IR264" s="1679"/>
      <c r="IS264" s="1679"/>
      <c r="IT264" s="1679"/>
      <c r="IU264" s="1679"/>
      <c r="IV264" s="1679"/>
      <c r="IW264" s="1679"/>
      <c r="IX264" s="1679"/>
      <c r="IY264" s="1679"/>
      <c r="IZ264" s="1679"/>
      <c r="JA264" s="1679"/>
      <c r="JC264" s="1680"/>
      <c r="JD264" s="1670"/>
      <c r="JE264" s="1681"/>
      <c r="JG264" s="1680"/>
      <c r="JH264" s="1670"/>
      <c r="JI264" s="1060"/>
      <c r="JJ264" s="1670"/>
      <c r="JK264" s="1061"/>
      <c r="JL264" s="1670"/>
      <c r="JM264" s="1061"/>
      <c r="JN264" s="1670"/>
      <c r="JO264" s="1061"/>
      <c r="JP264" s="1670"/>
      <c r="JQ264" s="1061"/>
      <c r="JR264" s="1670"/>
      <c r="JS264" s="1061"/>
      <c r="JT264" s="1670"/>
      <c r="JU264" s="1061"/>
      <c r="JV264" s="1670"/>
      <c r="JX264" s="1670"/>
      <c r="JZ264" s="1670"/>
      <c r="KB264" s="1670"/>
    </row>
    <row r="265" spans="1:288" s="78" customFormat="1" ht="5.0999999999999996" customHeight="1">
      <c r="B265" s="676"/>
      <c r="C265" s="392"/>
      <c r="D265" s="392"/>
      <c r="E265" s="1733"/>
      <c r="F265" s="1733"/>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3"/>
      <c r="AE265" s="1733"/>
      <c r="AF265" s="1733"/>
      <c r="AG265" s="1733"/>
      <c r="AH265" s="1733"/>
      <c r="AI265" s="1733"/>
      <c r="AJ265" s="1733"/>
      <c r="AK265" s="1733"/>
      <c r="AL265" s="1733"/>
      <c r="AM265" s="1733"/>
      <c r="AN265" s="1733"/>
      <c r="AO265" s="1733"/>
      <c r="AP265" s="1733"/>
      <c r="AQ265" s="1733"/>
      <c r="AR265" s="1733"/>
      <c r="AS265" s="1733"/>
      <c r="AT265" s="1733"/>
      <c r="AU265" s="1733"/>
      <c r="AV265" s="1733"/>
      <c r="AW265" s="1733"/>
      <c r="AX265" s="469"/>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663"/>
      <c r="CQ265" s="663"/>
      <c r="CR265" s="438"/>
      <c r="CS265" s="663"/>
      <c r="CV265" s="391"/>
      <c r="CW265" s="391"/>
      <c r="CX265" s="207"/>
      <c r="CY265" s="208"/>
      <c r="CZ265" s="208"/>
      <c r="DA265" s="208"/>
      <c r="DB265" s="209"/>
      <c r="DC265" s="209"/>
      <c r="DD265" s="209"/>
      <c r="DF265" s="664"/>
      <c r="DG265" s="665"/>
      <c r="DH265" s="666"/>
      <c r="DI265" s="667"/>
      <c r="DJ265" s="668"/>
      <c r="DK265" s="668"/>
      <c r="DN265" s="208"/>
      <c r="DO265" s="664"/>
      <c r="DQ265" s="664"/>
      <c r="DR265" s="669"/>
      <c r="DS265" s="391"/>
      <c r="DT265" s="664"/>
      <c r="DU265" s="664"/>
      <c r="DV265" s="664"/>
      <c r="DX265" s="664"/>
      <c r="DY265" s="664"/>
      <c r="DZ265" s="664"/>
      <c r="EA265" s="664"/>
      <c r="EC265" s="670"/>
      <c r="ED265" s="670"/>
      <c r="EF265" s="668"/>
      <c r="EG265" s="668"/>
      <c r="EH265" s="208"/>
      <c r="EI265" s="668"/>
      <c r="EJ265" s="668"/>
      <c r="EK265" s="207"/>
      <c r="EL265" s="207"/>
      <c r="EM265" s="666"/>
      <c r="EN265" s="671"/>
      <c r="EO265" s="671"/>
      <c r="EP265" s="672"/>
      <c r="EQ265" s="672"/>
      <c r="ER265" s="666"/>
      <c r="ES265" s="666"/>
      <c r="ET265" s="666"/>
      <c r="EV265" s="664"/>
      <c r="EX265" s="391"/>
      <c r="EY265" s="391"/>
      <c r="EZ265" s="391"/>
      <c r="FA265" s="391"/>
      <c r="FB265" s="391"/>
      <c r="FC265" s="391"/>
      <c r="FE265" s="569"/>
      <c r="FG265" s="391"/>
      <c r="FH265" s="391"/>
      <c r="FI265" s="391"/>
      <c r="FS265" s="664"/>
      <c r="FT265" s="391"/>
      <c r="FU265" s="391"/>
      <c r="FV265" s="664"/>
      <c r="FW265" s="664"/>
      <c r="GA265" s="663"/>
      <c r="GB265" s="663"/>
      <c r="GC265" s="663"/>
      <c r="GD265" s="663"/>
      <c r="GE265" s="663"/>
      <c r="GF265" s="663"/>
      <c r="GG265" s="663"/>
      <c r="GH265" s="663"/>
      <c r="GI265" s="665"/>
      <c r="GJ265" s="664"/>
      <c r="GK265" s="664"/>
    </row>
    <row r="266" spans="1:288" s="78" customFormat="1" ht="14.95" customHeight="1">
      <c r="B266" s="1845" t="str">
        <f>ID269</f>
        <v xml:space="preserve"> </v>
      </c>
      <c r="C266" s="1846">
        <f>C261+1</f>
        <v>43</v>
      </c>
      <c r="D266" s="1847"/>
      <c r="E266" s="1799" t="s">
        <v>295</v>
      </c>
      <c r="F266" s="1800"/>
      <c r="G266" s="1741"/>
      <c r="H266" s="1742"/>
      <c r="I266" s="1742"/>
      <c r="J266" s="1742"/>
      <c r="K266" s="1742"/>
      <c r="L266" s="1742"/>
      <c r="M266" s="1742"/>
      <c r="N266" s="1742"/>
      <c r="O266" s="1742"/>
      <c r="P266" s="1742"/>
      <c r="Q266" s="1742"/>
      <c r="R266" s="1742"/>
      <c r="S266" s="1791" t="s">
        <v>344</v>
      </c>
      <c r="T266" s="590"/>
      <c r="U266" s="1743"/>
      <c r="V266" s="1744"/>
      <c r="W266" s="1744"/>
      <c r="X266" s="1744"/>
      <c r="Y266" s="1744"/>
      <c r="Z266" s="1744"/>
      <c r="AA266" s="1744"/>
      <c r="AB266" s="961" t="str">
        <f>IFERROR(IF(__Retrofit_TI_NC=0,VLOOKUP(U267,Fixtures_Existing_List,2,FALSE),ROUND(N268*R268/T268,10)),"")</f>
        <v/>
      </c>
      <c r="AC266" s="935" t="str">
        <f>IFERROR(IF(__Retrofit_TI_NC=0,ROUND(T267*AB266*N267*R267/1000,0),IF(CQ266="Interior",N268*R268*R267*N267*_C406_reduction/1000,N268*R268*R267*N267/1000)),"")</f>
        <v/>
      </c>
      <c r="AD266" s="936" t="str">
        <f>IFERROR(IF(C$43=0,ROUND(T267*AB266/1000,2),N268*R268/1000),"")</f>
        <v/>
      </c>
      <c r="AE266" s="997"/>
      <c r="AF266" s="937"/>
      <c r="AG266" s="1745" t="str">
        <f>IF(__Retrofit_TI_NC=0," Control","Select Advanced Control for New System")</f>
        <v xml:space="preserve"> Control</v>
      </c>
      <c r="AH266" s="1745"/>
      <c r="AI266" s="1745"/>
      <c r="AJ266" s="1745"/>
      <c r="AK266" s="1745"/>
      <c r="AL266" s="1745"/>
      <c r="AM266" s="1746">
        <f>IFERROR(DI266,"")</f>
        <v>0</v>
      </c>
      <c r="AN266" s="1774" t="str">
        <f>IFERROR(ROUND(AM266*AC266,0),"")</f>
        <v/>
      </c>
      <c r="AO266" s="1776">
        <f>IFERROR(IF(IB266=FALSE,0,AC266-AN266),0)</f>
        <v>0</v>
      </c>
      <c r="AP266" s="1778">
        <f>AO266-AO268</f>
        <v>0</v>
      </c>
      <c r="AQ266" s="1779"/>
      <c r="AR266" s="1793">
        <f>IFERROR(IF(IB266=FALSE,0,(T268*U269)+(AF268*AG269)),0)</f>
        <v>0</v>
      </c>
      <c r="AS266" s="1793"/>
      <c r="AT266" s="1794"/>
      <c r="AU266" s="1734" t="s">
        <v>237</v>
      </c>
      <c r="AV266" s="1751">
        <f>IF(AU266="Yes",1,0)</f>
        <v>1</v>
      </c>
      <c r="AW266" s="1704" t="str">
        <f>IF(OR(DQ266=4,DQ266=5,DQ266=6,DQ266=12),CONCATENATE("$",IF(GH266=TRUE,Lookup!$K$10,Lookup!$K$2)," /lamp"),CONCATENATE(TEXT(ED266,"$0.00"),"/ kWh"))</f>
        <v>$0.00/ kWh</v>
      </c>
      <c r="AX266" s="467"/>
      <c r="AY266" s="1748">
        <f ca="1">IFERROR(IF(GM267=TRUE,(AB269*T268)/R268,0),"NA")</f>
        <v>0</v>
      </c>
      <c r="AZ266" s="1748"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696" t="str">
        <f>N267</f>
        <v/>
      </c>
      <c r="CQ266" s="1696" t="str">
        <f>IFERROR(VLOOKUP(G267,_Lookup_Heat_Type_Table_New,3,FALSE),"")</f>
        <v/>
      </c>
      <c r="CR266" s="1808" t="str">
        <f>CQ266</f>
        <v/>
      </c>
      <c r="CS266" s="1810" t="str">
        <f>IFERROR(VLOOKUP(G268,'Space Table'!$B$3:$L$163,9,FALSE),"")</f>
        <v/>
      </c>
      <c r="CU266" s="1688" t="s">
        <v>344</v>
      </c>
      <c r="CV266" s="1702">
        <f>IF(IB266=TRUE,T267,0)</f>
        <v>0</v>
      </c>
      <c r="CW266" s="1702" t="str">
        <f>IF(IB266=TRUE,U267,"")</f>
        <v/>
      </c>
      <c r="CX266" s="1702"/>
      <c r="CY266" s="1814">
        <f>IF(IB266=TRUE,AB266,0)</f>
        <v>0</v>
      </c>
      <c r="CZ266" s="1710">
        <f>IF(AND(__Retrofit_TI_NC&gt;0,CR266="interior"),0,IF(IB266=TRUE,AC266,0))</f>
        <v>0</v>
      </c>
      <c r="DA266" s="1814">
        <f>IFERROR(IF(IB266=TRUE,CZ266-CZ268,0),0)</f>
        <v>0</v>
      </c>
      <c r="DB266" s="1819">
        <f>IF(IB266=TRUE,AD266,0)</f>
        <v>0</v>
      </c>
      <c r="DC266" s="1819">
        <f>IF(IB266=TRUE,AD269,0)</f>
        <v>0</v>
      </c>
      <c r="DD266" s="1819">
        <f>IFERROR(DB266-DC266,0)</f>
        <v>0</v>
      </c>
      <c r="DF266" s="1702">
        <f>IF(IB266=TRUE,AF267,0)</f>
        <v>0</v>
      </c>
      <c r="DG266" s="1830">
        <f>IFERROR(IF(__Retrofit_TI_NC=2,IF(CQ266="Exterior",O269,FQ266),FN266),"")</f>
        <v>0</v>
      </c>
      <c r="DH266" s="1702"/>
      <c r="DI266" s="1837">
        <f>JE266</f>
        <v>0</v>
      </c>
      <c r="DJ266" s="1710">
        <f>IF(AND(__Retrofit_TI_NC&gt;0,CR266="interior"),0,IF(IB266=TRUE,AN266,0))</f>
        <v>0</v>
      </c>
      <c r="DK266" s="1712">
        <f>IFERROR(IF(IB266=TRUE,DJ268-DJ266,0),0)</f>
        <v>0</v>
      </c>
      <c r="DM266" s="1717">
        <f>IFERROR(CZ266-DJ266,0)</f>
        <v>0</v>
      </c>
      <c r="DO266" s="1708">
        <f>DM266-DN268</f>
        <v>0</v>
      </c>
      <c r="DQ266" s="1715" t="str">
        <f>IFERROR(IF(AND(OR(GC266=4,GC266=5,GC266=6),OR(GF266=4,GF266=5,GF266=6)),GC266+8,VLOOKUP(CW268,Fixtures!R$31:Y$78,8,FALSE)),"")</f>
        <v/>
      </c>
      <c r="DR266" s="1829" t="str">
        <f>DQ266</f>
        <v/>
      </c>
      <c r="DS266" s="1702" t="str">
        <f>IFERROR(VLOOKUP(DG268,Lookup!BB$3:BC$20,2,FALSE),"")</f>
        <v/>
      </c>
      <c r="DT266" s="1713" t="str">
        <f>IF(OR(DS266=7,DS266=8,DS266=9),"ALC","")</f>
        <v/>
      </c>
      <c r="DU266" s="1715">
        <f>IFERROR(IF(OR(DQ266=4,DQ266=5,DQ266=6,DQ266=12,DQ266=13,DQ266=14),VLOOKUP(CW268,Fixtures!DN$27:EG$77,19,FALSE),1)*CV268,0)</f>
        <v>0</v>
      </c>
      <c r="DV266" s="1716">
        <f>IF(OR(DS266=7,DS266=8,DS266=9),IF(DG266=DG268,0,DF268),0)</f>
        <v>0</v>
      </c>
      <c r="DX266" s="1715" t="str">
        <f>IFERROR(IF(EZ266&lt;EZ268,"Yes","No"),"")</f>
        <v/>
      </c>
      <c r="DY266" s="1829" t="str">
        <f>DX266</f>
        <v/>
      </c>
      <c r="DZ266" s="1715">
        <f>IF(DX266="Yes",DF268,0)</f>
        <v>0</v>
      </c>
      <c r="EA266" s="1715">
        <f>DZ266-DV266</f>
        <v>0</v>
      </c>
      <c r="EC266" s="1834">
        <f>IFERROR(VLOOKUP(DQ266,Lookup!AU$3:AV$16,2,FALSE),0)</f>
        <v>0</v>
      </c>
      <c r="ED266" s="1834">
        <f>IF(IB266=FALSE,0,IF(DX266="Yes",EC266+Lookup!K$6,EC266))</f>
        <v>0</v>
      </c>
      <c r="EF266" s="1707">
        <f>IF(IB266=TRUE,DM266,0)</f>
        <v>0</v>
      </c>
      <c r="EG266" s="1712">
        <f>IF(IB266=TRUE,CZ268,0)</f>
        <v>0</v>
      </c>
      <c r="EH266" s="1814">
        <f>IFERROR(EF266-EG266,0)</f>
        <v>0</v>
      </c>
      <c r="EI266" s="1712">
        <f>IF(IB266=TRUE,DJ268,0)</f>
        <v>0</v>
      </c>
      <c r="EJ266" s="1712">
        <f>IFERROR(EF266-EG266+EI266,0)</f>
        <v>0</v>
      </c>
      <c r="EK266" s="1812">
        <f>IF(IB266=TRUE,CV268*CX268,0)</f>
        <v>0</v>
      </c>
      <c r="EL266" s="1812">
        <f>IF(IB266=TRUE,DF268*DH268,0)</f>
        <v>0</v>
      </c>
      <c r="EM266" s="1807">
        <f>AR266</f>
        <v>0</v>
      </c>
      <c r="EN266" s="1839" t="str">
        <f>IFERROR(IF(IB266=TRUE,VLOOKUP(DQ266,Lookup!AU$3:AW$16,3,FALSE)*DU266,""),0)</f>
        <v/>
      </c>
      <c r="EO266" s="1839">
        <f>IF(IB266=TRUE,DZ266*Lookup!AW$12,0)</f>
        <v>0</v>
      </c>
      <c r="EP266" s="1817">
        <f>IFERROR(IF(IB266=TRUE,EN266/EP$40,0),0)</f>
        <v>0</v>
      </c>
      <c r="EQ266" s="1817">
        <f>IF(IB266=TRUE,EO266/EQ$40,0)</f>
        <v>0</v>
      </c>
      <c r="ER266" s="1807">
        <f>IF(IB266=TRUE,ET$40*EP266,0)</f>
        <v>0</v>
      </c>
      <c r="ES266" s="1807">
        <f>IF(IB266=TRUE,ET$40*EQ266,0)</f>
        <v>0</v>
      </c>
      <c r="ET266" s="1807">
        <f>ER266+ES266</f>
        <v>0</v>
      </c>
      <c r="EV266" s="1715">
        <f>IF(G266="",0,1)</f>
        <v>0</v>
      </c>
      <c r="EX266" s="1804" t="str">
        <f>IFERROR(VLOOKUP(CS268,'Space Table'!$B$3:$L$163,8,FALSE),"")</f>
        <v/>
      </c>
      <c r="EY266" s="1804" t="str">
        <f>IFERROR(IF(FB266="Yes",VLOOKUP(DG266,Lookup_Control_Type_Table2,4,FALSE),VLOOKUP(DG266,Lookup_Control_Type_Table2,3,FALSE)),"")</f>
        <v/>
      </c>
      <c r="EZ266" s="1804" t="e">
        <f>VLOOKUP(DG266,Lookup!BB$3:BC$20,2,FALSE)</f>
        <v>#N/A</v>
      </c>
      <c r="FA266" s="1804" t="e">
        <f>VLOOKUP(EX266,Lookup_Control_Type_Table,2,FALSE)</f>
        <v>#N/A</v>
      </c>
      <c r="FB266" s="1804" t="e">
        <f>VLOOKUP(CS268,'Space Table'!$B$3:$L$163,7,FALSE)</f>
        <v>#N/A</v>
      </c>
      <c r="FC266" s="1826" t="b">
        <f>ISNUMBER(SEARCH("TLED",U268))</f>
        <v>0</v>
      </c>
      <c r="FE266" s="1698" t="str">
        <f>CONCATENATE(CQ266," - ",DG266)</f>
        <v xml:space="preserve"> - 0</v>
      </c>
      <c r="FG266" s="1702" t="str">
        <f>VLOOKUP(CW268,Fixtures!DN$27:EZ$77,38,FALSE)</f>
        <v/>
      </c>
      <c r="FH266" s="1702">
        <f>IFERROR(FG266*EH266,0)</f>
        <v>0</v>
      </c>
      <c r="FI266" s="133"/>
      <c r="FL266" s="1822" t="str">
        <f>IF(CQ266="Exterior","Not Daylighted",G269)</f>
        <v>Not Daylighted</v>
      </c>
      <c r="FM266" s="1824">
        <f>VLOOKUP(FL266,_New_Daylight_Table_Codes,2,FALSE)</f>
        <v>0</v>
      </c>
      <c r="FN266" s="1698">
        <f>IF(__Retrofit_TI_NC&gt;0,VLOOKUP(G268,'Space Table'!$B$3:$L$163,11,FALSE),AG267)</f>
        <v>0</v>
      </c>
      <c r="FO266" s="1698" t="e">
        <f>IF(__Retrofit_TI_NC=2,VLOOKUP(FQ266,_Control_Table,2,FALSE),VLOOKUP(FN266,_Control_Table,2,FALSE))</f>
        <v>#N/A</v>
      </c>
      <c r="FP266" s="1678" t="e">
        <f>VLOOKUP(CONCATENATE(FL266," ",FN266),Lookup!AY$102:AZ276,2,FALSE)</f>
        <v>#N/A</v>
      </c>
      <c r="FQ266" s="1678">
        <f>IF(__Retrofit_TI_NC=0,FN266,IF(AND(FT266&gt;0,FN266="Occupancy Sensor"),"Daylight + Occupancy",IF(AND(FT266&gt;0,VLOOKUP(FN266,_Control_Table,2,FALSE)&lt;4),"Interior Daylight Dimming",FN266)))</f>
        <v>0</v>
      </c>
      <c r="FS266" s="1686">
        <f>IF(CR266="Interior",VLOOKUP(CS266,Control_Savings_Interior,5,FALSE),0)</f>
        <v>0</v>
      </c>
      <c r="FT266" s="1687">
        <f>IF(CQ266="Exterior",0,IF(FM266=2,0.5,IF(OR(FM266=1,FM266=3),1,0)))</f>
        <v>0</v>
      </c>
      <c r="FU266" s="1685">
        <f>IF(R265&gt;FS$44,(FS266*(FS$44/R265)),FS266)*FT266</f>
        <v>0</v>
      </c>
      <c r="FV266" s="1686">
        <f>DI266</f>
        <v>0</v>
      </c>
      <c r="FW266" s="1686">
        <f>ROUND(FV266+((1-FV266)*FU266),2)</f>
        <v>0</v>
      </c>
      <c r="FX266" s="1686">
        <f>IF(__Retrofit_TI_NC=2,FW266,FV266)</f>
        <v>0</v>
      </c>
      <c r="FY266" s="1697"/>
      <c r="GA266" s="1696" t="str">
        <f>IFERROR(VLOOKUP(U267,_Exist_Fixture_Table,3,FALSE),"")</f>
        <v/>
      </c>
      <c r="GB266" s="1696" t="str">
        <f>VLOOKUP(CW266,_Exist_Fixture_Table,4,FALSE)</f>
        <v/>
      </c>
      <c r="GC266" s="1696">
        <f>IFERROR(VLOOKUP(GB266,Lookup!AT$6:AU$8,2,FALSE),0)</f>
        <v>0</v>
      </c>
      <c r="GD266" s="1696" t="b">
        <f>IFERROR(IF(OR(GF266=4,GF266=5,GF266=6),TRUE,FALSE),"")</f>
        <v>0</v>
      </c>
      <c r="GE266" s="1696" t="str">
        <f>IFERROR(VLOOKUP(GF266,GC$6:GD$10,2,FALSE),"")</f>
        <v/>
      </c>
      <c r="GF266" s="1696" t="str">
        <f>VLOOKUP(CW268,Fixtures!R$31:Y$78,8,FALSE)</f>
        <v/>
      </c>
      <c r="GG266" s="1696">
        <f>IF(AND(GA266=TRUE,GD266=TRUE,OR(DQ266=12,DQ266=13,DQ266=14)),GC266+8,0)</f>
        <v>0</v>
      </c>
      <c r="GH266" s="1696" t="b">
        <f>IF(OR(GG266=12,GG266=13,GG266=14),TRUE,FALSE)</f>
        <v>0</v>
      </c>
      <c r="GI266" s="673" t="b">
        <f>IF(ISNUMBER(SEARCH("TLED",U267)),TRUE,FALSE)</f>
        <v>0</v>
      </c>
      <c r="GJ266" s="1135" t="str">
        <f>IFERROR(VLOOKUP(U267,Fixtures!BM$93:BR$142,6,FALSE),"")</f>
        <v/>
      </c>
      <c r="GK266" s="1832" t="b">
        <f>IF(OR(GI266=FALSE,GI268=FALSE),TRUE,IF(GJ266-GJ268&lt;5,FALSE,TRUE))</f>
        <v>1</v>
      </c>
      <c r="GO266" s="674">
        <f>GP266</f>
        <v>0</v>
      </c>
      <c r="GP266" s="674">
        <f>IF(G266="",0,1)</f>
        <v>0</v>
      </c>
      <c r="GQ266" s="674">
        <f ca="1">SUM(GR266:HF266)</f>
        <v>2</v>
      </c>
      <c r="GR266" s="674">
        <f>IF(G267="",0,1)</f>
        <v>0</v>
      </c>
      <c r="GS266" s="674">
        <f>IF(N269="BAM",1,IF(G268="",0,1))</f>
        <v>0</v>
      </c>
      <c r="GT266" s="674">
        <f>IF(N269="BAM",1,IF(R267="",0,1))</f>
        <v>0</v>
      </c>
      <c r="GU266" s="674">
        <f>IF(N269="BAM",1,IF(__Retrofit_TI_NC=0,1,IF(R268="",0,1)))</f>
        <v>1</v>
      </c>
      <c r="GV266" s="674">
        <f>IF(N269="BAM",1,IF(CQ266="Exterior",1,IF(G269="",0,1)))</f>
        <v>1</v>
      </c>
      <c r="GW266" s="674">
        <f>IF(__Retrofit_TI_NC&gt;0,1,IF(T267="",0,1))</f>
        <v>0</v>
      </c>
      <c r="GX266" s="674">
        <f>IF(__Retrofit_TI_NC&gt;0,1,IF(U267="",0,1))</f>
        <v>0</v>
      </c>
      <c r="GY266" s="674">
        <f>IF(N269="BAM",1,IF(T268="",0,1))</f>
        <v>0</v>
      </c>
      <c r="GZ266" s="674">
        <f>IF(N269="BAM",1,IF(U268="",0,1))</f>
        <v>0</v>
      </c>
      <c r="HA266" s="674">
        <f ca="1">IF(N269="BAM",1,IF(__Retrofit_TI_NC&gt;0,1,IF(U269="",0,1)))</f>
        <v>0</v>
      </c>
      <c r="HB266" s="674">
        <f>IF(__Retrofit_TI_NC&lt;&gt;0,1,IF(AF267="",0,1))</f>
        <v>0</v>
      </c>
      <c r="HC266" s="674">
        <f>IF(__Retrofit_TI_NC&lt;&gt;0,1,IF(AG267="",0,1))</f>
        <v>0</v>
      </c>
      <c r="HD266" s="674">
        <f>IF(N269="BAM",1,IF(AF268="",0,1))</f>
        <v>0</v>
      </c>
      <c r="HE266" s="674">
        <f>IF(N269="BAM",1,IF(AG268="",0,1))</f>
        <v>0</v>
      </c>
      <c r="HF266" s="674">
        <f>IF(N269="BAM",1,IF(__Retrofit_TI_NC&gt;0,1,IF(AG269="",0,1)))</f>
        <v>0</v>
      </c>
      <c r="HG266" s="391"/>
      <c r="IA266" s="391"/>
      <c r="IB266" s="1693" t="b">
        <f>IF(OR(IB269=0,IB269=HY$16,IB269=HX$16,IB269=HZ$16),TRUE,FALSE)</f>
        <v>0</v>
      </c>
      <c r="IC266" s="1694" t="b">
        <f>IB266</f>
        <v>0</v>
      </c>
      <c r="ID266" s="391"/>
      <c r="IE266" s="391"/>
      <c r="IF266" s="1688" t="b">
        <f ca="1">IF(MAX(GN269:HU269)&gt;5,FALSE,TRUE)</f>
        <v>0</v>
      </c>
      <c r="IG266" s="1689">
        <f ca="1">IF(IF266=TRUE,AC266,0)</f>
        <v>0</v>
      </c>
      <c r="IH266" s="1689">
        <f ca="1">IG266-IG268</f>
        <v>0</v>
      </c>
      <c r="IK266" s="1689" t="e">
        <f>ROUND(T267*VLOOKUP(U267,Fixtures_Existing_List,2,FALSE)*N267*R267/1000,0)</f>
        <v>#N/A</v>
      </c>
      <c r="IL266" s="1690" t="e">
        <f>IK266-IK268</f>
        <v>#N/A</v>
      </c>
      <c r="IM266" s="1693" t="e">
        <f>ROUND(IF(CQ266="Interior",N268*R268*R267*N267*_C406_reduction/1000,N268*R268*R267*N267/1000),0)</f>
        <v>#N/A</v>
      </c>
      <c r="IN266" s="1693" t="e">
        <f>IM266-IM268</f>
        <v>#N/A</v>
      </c>
      <c r="IP266" s="1679"/>
      <c r="IQ266" s="1679" t="e">
        <f t="shared" ref="IQ266:IU266" si="226">IF($CR266="interior",VLOOKUP($CS266,_New_Control_Savings_Interior,IQ$30,FALSE),VLOOKUP($CS266,Control_Savings_Exterior,IQ$30,FALSE))</f>
        <v>#N/A</v>
      </c>
      <c r="IR266" s="1679" t="e">
        <f t="shared" si="226"/>
        <v>#N/A</v>
      </c>
      <c r="IS266" s="1679" t="e">
        <f t="shared" si="226"/>
        <v>#N/A</v>
      </c>
      <c r="IT266" s="1679" t="e">
        <f t="shared" si="226"/>
        <v>#N/A</v>
      </c>
      <c r="IU266" s="1679" t="e">
        <f t="shared" si="226"/>
        <v>#N/A</v>
      </c>
      <c r="IV266" s="1679" t="e">
        <f>IF($CR266="interior",IF(R267&gt;$IP$14,ROUND(($IV$18*($IP$14/R267)),2),$IV$18),VLOOKUP($CS266,Control_Savings_Exterior,IV$30,FALSE))</f>
        <v>#N/A</v>
      </c>
      <c r="IW266" s="1679" t="e">
        <f>IF($CR266="interior",ROUND(((1-IS266)*IV266)+IS266,2),VLOOKUP($CS266,Control_Savings_Exterior,IW$30,FALSE))</f>
        <v>#N/A</v>
      </c>
      <c r="IX266" s="1679" t="e">
        <f>IF($CR266="interior",ROUND(((1-IT266)*IV266)+IT266,2),VLOOKUP($CS266,Control_Savings_Exterior,IX$30,FALSE))</f>
        <v>#N/A</v>
      </c>
      <c r="IY266" s="1679" t="e">
        <f>IF($CR266="interior",IF(R267&gt;$IP$14,ROUND(($IY$18*($IP$14/R267)),2),$IY$18),VLOOKUP($CS266,Control_Savings_Exterior,IY$30,FALSE))</f>
        <v>#N/A</v>
      </c>
      <c r="IZ266" s="1679" t="e">
        <f>IF($CR266="interior",ROUND(((1-IS266)*IY266)+IS266,2),VLOOKUP($CS266,Control_Savings_Exterior,IZ$30,FALSE))</f>
        <v>#N/A</v>
      </c>
      <c r="JA266" s="1679" t="e">
        <f>IF($CR266="interior",ROUND(((1-IT266)*IY266)+IT266,2),VLOOKUP($CS266,Control_Savings_Exterior,JA$30,FALSE))</f>
        <v>#N/A</v>
      </c>
      <c r="JC266" s="1680">
        <f>IFERROR(IF(CR266="Interior",CONCATENATE(G269," ",FQ266),FQ266),"")</f>
        <v>0</v>
      </c>
      <c r="JD266" s="1670" t="str">
        <f>IFERROR(VLOOKUP(JC266,_Controls_2023,2,FALSE),"")</f>
        <v/>
      </c>
      <c r="JE266" s="1681">
        <f>IFERROR(CHOOSE(JD266-1,IQ266,IR266,IS266,IT266,IU266,IV266,IW266,IX266,IY266,IZ266,JA266),0)</f>
        <v>0</v>
      </c>
      <c r="JG266" s="1680" t="str">
        <f>FE266</f>
        <v xml:space="preserve"> - 0</v>
      </c>
      <c r="JH266" s="1670" t="e">
        <f>$FO266</f>
        <v>#N/A</v>
      </c>
      <c r="JI266" s="1060"/>
      <c r="JJ266" s="1682" t="b">
        <f>IF($JG268=CONCATENATE("Interior - ",JJ$4),TRUE,FALSE)</f>
        <v>0</v>
      </c>
      <c r="JK266" s="1061"/>
      <c r="JL266" s="1682" t="b">
        <f>IF($JG268=CONCATENATE("Interior - ",JL$4),TRUE,FALSE)</f>
        <v>0</v>
      </c>
      <c r="JM266" s="1061"/>
      <c r="JN266" s="1682" t="b">
        <f>IF($JG268=CONCATENATE("Interior - ",JN$4),TRUE,FALSE)</f>
        <v>0</v>
      </c>
      <c r="JO266" s="1061"/>
      <c r="JP266" s="1682" t="b">
        <f>IF(__Retrofit_TI_NC&gt;0,FALSE,IF($JG268=CONCATENATE("Interior - ",JP$4),TRUE,FALSE))</f>
        <v>0</v>
      </c>
      <c r="JQ266" s="1061"/>
      <c r="JR266" s="1682" t="b">
        <f>IF(__Retrofit_TI_NC&gt;0,FALSE,IF($JG268=CONCATENATE("Interior - ",JR$4),TRUE,FALSE))</f>
        <v>0</v>
      </c>
      <c r="JS266" s="1061"/>
      <c r="JT266" s="1670" t="b">
        <f>IF(__Retrofit_TI_NC&gt;0,FALSE,IF($JG268=CONCATENATE("Interior - ",JT$4),TRUE,FALSE))</f>
        <v>0</v>
      </c>
      <c r="JU266" s="1061"/>
      <c r="JV266" s="1670" t="b">
        <f>IF(JC268="AELC on Existing",TRUE,FALSE)</f>
        <v>0</v>
      </c>
      <c r="JX266" s="1670" t="b">
        <f>IF(OR(JG268="Exterior - AELC Occupancy based",JG268="Exterior - AELC Time based"),TRUE,FALSE)</f>
        <v>0</v>
      </c>
      <c r="JZ266" s="1682" t="b">
        <f>IF($JG268=CONCATENATE("Exterior - ",JZ$4),TRUE,FALSE)</f>
        <v>0</v>
      </c>
      <c r="KB266" s="1670" t="b">
        <f>IF(__Retrofit_TI_NC&gt;0,FALSE,IF($JG268=CONCATENATE("Interior - ",KB$4),TRUE,FALSE))</f>
        <v>0</v>
      </c>
    </row>
    <row r="267" spans="1:288" s="78" customFormat="1" ht="14.95" customHeight="1" thickTop="1" thickBot="1">
      <c r="B267" s="1845"/>
      <c r="C267" s="1846"/>
      <c r="D267" s="1847"/>
      <c r="E267" s="1737" t="s">
        <v>297</v>
      </c>
      <c r="F267" s="1738"/>
      <c r="G267" s="1739"/>
      <c r="H267" s="1739"/>
      <c r="I267" s="1739"/>
      <c r="J267" s="1739"/>
      <c r="K267" s="1739"/>
      <c r="L267" s="1739"/>
      <c r="M267" s="461" t="e">
        <f>IF(__Retrofit_TI_NC&lt;&gt;0,IF(VLOOKUP(G268,'Space Table'!$B$3:$L$163,3,FALSE)&gt;0,1,0),IF(__Retrofit_TI_NC=VLOOKUP(G268,'Space Table'!$B$3:$L$163,3,FALSE),1,0))</f>
        <v>#N/A</v>
      </c>
      <c r="N267" s="461" t="str">
        <f>IFERROR(VLOOKUP(G267,_Lookup_Heat_Type_Table_New,2,FALSE),"")</f>
        <v/>
      </c>
      <c r="O267" s="461">
        <f>IF(__Retrofit_TI_NC=1,CONCATENATE("TI ",G267),IF(__Retrofit_TI_NC=2,CONCATENATE("NC ",G267),G267))</f>
        <v>0</v>
      </c>
      <c r="P267" s="1740" t="s">
        <v>435</v>
      </c>
      <c r="Q267" s="1740"/>
      <c r="R267" s="595"/>
      <c r="S267" s="1792"/>
      <c r="T267" s="597"/>
      <c r="U267" s="1765"/>
      <c r="V267" s="1766"/>
      <c r="W267" s="1766"/>
      <c r="X267" s="1766"/>
      <c r="Y267" s="1766"/>
      <c r="Z267" s="1766"/>
      <c r="AA267" s="1766"/>
      <c r="AB267" s="1766"/>
      <c r="AC267" s="1766"/>
      <c r="AD267" s="1767"/>
      <c r="AE267" s="1000"/>
      <c r="AF267" s="597"/>
      <c r="AG267" s="1723"/>
      <c r="AH267" s="1724"/>
      <c r="AI267" s="1724"/>
      <c r="AJ267" s="1724"/>
      <c r="AK267" s="1725"/>
      <c r="AL267" s="996"/>
      <c r="AM267" s="1747"/>
      <c r="AN267" s="1775"/>
      <c r="AO267" s="1777"/>
      <c r="AP267" s="1780"/>
      <c r="AQ267" s="1781"/>
      <c r="AR267" s="1795"/>
      <c r="AS267" s="1795"/>
      <c r="AT267" s="1796"/>
      <c r="AU267" s="1735"/>
      <c r="AV267" s="1752"/>
      <c r="AW267" s="1705"/>
      <c r="AX267" s="467"/>
      <c r="AY267" s="1749"/>
      <c r="AZ267" s="1749"/>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696"/>
      <c r="CQ267" s="1696"/>
      <c r="CR267" s="1809"/>
      <c r="CS267" s="1811"/>
      <c r="CU267" s="1688"/>
      <c r="CV267" s="1703"/>
      <c r="CW267" s="1703"/>
      <c r="CX267" s="1703"/>
      <c r="CY267" s="1815"/>
      <c r="CZ267" s="1711"/>
      <c r="DA267" s="1818"/>
      <c r="DB267" s="1820"/>
      <c r="DC267" s="1820"/>
      <c r="DD267" s="1820"/>
      <c r="DF267" s="1703"/>
      <c r="DG267" s="1831"/>
      <c r="DH267" s="1703"/>
      <c r="DI267" s="1838"/>
      <c r="DJ267" s="1711"/>
      <c r="DK267" s="1712"/>
      <c r="DM267" s="1718"/>
      <c r="DO267" s="1708"/>
      <c r="DQ267" s="1715"/>
      <c r="DR267" s="1720"/>
      <c r="DS267" s="1816"/>
      <c r="DT267" s="1714"/>
      <c r="DU267" s="1715"/>
      <c r="DV267" s="1716"/>
      <c r="DX267" s="1715"/>
      <c r="DY267" s="1720"/>
      <c r="DZ267" s="1715"/>
      <c r="EA267" s="1715"/>
      <c r="EC267" s="1834"/>
      <c r="ED267" s="1834"/>
      <c r="EF267" s="1707"/>
      <c r="EG267" s="1712"/>
      <c r="EH267" s="1818"/>
      <c r="EI267" s="1712"/>
      <c r="EJ267" s="1712"/>
      <c r="EK267" s="1836"/>
      <c r="EL267" s="1836"/>
      <c r="EM267" s="1807"/>
      <c r="EN267" s="1839"/>
      <c r="EO267" s="1839"/>
      <c r="EP267" s="1817"/>
      <c r="EQ267" s="1817"/>
      <c r="ER267" s="1807"/>
      <c r="ES267" s="1807"/>
      <c r="ET267" s="1807"/>
      <c r="EV267" s="1715"/>
      <c r="EX267" s="1805"/>
      <c r="EY267" s="1805"/>
      <c r="EZ267" s="1805"/>
      <c r="FA267" s="1805"/>
      <c r="FB267" s="1805"/>
      <c r="FC267" s="1827"/>
      <c r="FE267" s="1698"/>
      <c r="FG267" s="1816"/>
      <c r="FH267" s="1816"/>
      <c r="FI267" s="133"/>
      <c r="FL267" s="1823"/>
      <c r="FM267" s="1825"/>
      <c r="FN267" s="1698"/>
      <c r="FO267" s="1698"/>
      <c r="FP267" s="1678"/>
      <c r="FQ267" s="1678"/>
      <c r="FS267" s="1687"/>
      <c r="FT267" s="1687"/>
      <c r="FU267" s="1685"/>
      <c r="FV267" s="1687"/>
      <c r="FW267" s="1687"/>
      <c r="FX267" s="1687"/>
      <c r="FY267" s="1697"/>
      <c r="GA267" s="1696"/>
      <c r="GB267" s="1696"/>
      <c r="GC267" s="1696"/>
      <c r="GD267" s="1696"/>
      <c r="GE267" s="1696"/>
      <c r="GF267" s="1696"/>
      <c r="GG267" s="1696"/>
      <c r="GH267" s="1696"/>
      <c r="GI267" s="673"/>
      <c r="GJ267" s="1135"/>
      <c r="GK267" s="1832"/>
      <c r="GM267" s="1693" t="b">
        <f ca="1">IF(AND(GP267=TRUE,GQ267=TRUE),TRUE,FALSE)</f>
        <v>0</v>
      </c>
      <c r="GN267" s="1684" t="b">
        <f>IFERROR(IF(__Retrofit_TI_NC=2,TRUE,IF(AU266="Yes",TRUE,FALSE)),FALSE)</f>
        <v>1</v>
      </c>
      <c r="GP267" s="1684" t="b">
        <f>IFERROR(IF(GP266=1,TRUE,FALSE),FALSE)</f>
        <v>0</v>
      </c>
      <c r="GQ267" s="1684" t="b">
        <f ca="1">IFERROR(IF(GQ266=GQ$14,TRUE,FALSE),FALSE)</f>
        <v>0</v>
      </c>
      <c r="HG267" s="1684" t="b">
        <f>IFERROR(IF(AND(__Retrofit_TI_NC&gt;0,CQ266="Interior"),FALSE,TRUE),FALSE)</f>
        <v>1</v>
      </c>
      <c r="HH267" s="1684" t="b">
        <f>IFERROR(IF(M267=1,TRUE,FALSE),FALSE)</f>
        <v>0</v>
      </c>
      <c r="HI267" s="1684" t="b">
        <f>IFERROR(IF(OR(M268=1,N269="BAM"),TRUE,FALSE),FALSE)</f>
        <v>0</v>
      </c>
      <c r="HJ267" s="1684" t="b">
        <f>IFERROR(IF(__Retrofit_TI_NC&lt;&gt;0,TRUE,IFERROR(IF(VLOOKUP(U267,Fixtures_Existing_List,2,FALSE)&lt;&gt;"",TRUE,FALSE),FALSE)),FALSE)</f>
        <v>0</v>
      </c>
      <c r="HK267" s="1684" t="b">
        <f>IFERROR(IF(VLOOKUP(U268,Fixtures_Proposed_List,2,FALSE)&lt;&gt;"",TRUE,FALSE),FALSE)</f>
        <v>0</v>
      </c>
      <c r="HL267" s="1684" t="b">
        <f>IF(AND(__Retrofit_TI_NC=2,FC266=TRUE),FALSE,TRUE)</f>
        <v>1</v>
      </c>
      <c r="HM267" s="1684" t="b">
        <f>GK266</f>
        <v>1</v>
      </c>
      <c r="HN267" s="1682" t="b">
        <f>IF(ISERROR(MATCH(FE266,_Control_Match[],0))=TRUE,FALSE,TRUE)</f>
        <v>0</v>
      </c>
      <c r="HO267" s="1693" t="b">
        <f>IFERROR(IF(EX266&lt;&gt;EY266,FALSE,TRUE),FALSE)</f>
        <v>1</v>
      </c>
      <c r="HP267" s="1693" t="b">
        <f>IFERROR(IF(EX268&lt;&gt;EY268,FALSE,TRUE),FALSE)</f>
        <v>1</v>
      </c>
      <c r="HQ267" s="1670" t="b">
        <f>IFERROR(IF(CQ266="Exterior",TRUE,IF(AND(OR(FM268=0,FM268=3),JD268&gt;6),FALSE,TRUE)),FALSE)</f>
        <v>0</v>
      </c>
      <c r="HR267" s="1684" t="b">
        <f>IFERROR(IF(AND(FO268=7,FC266=TRUE),FALSE,TRUE),FALSE)</f>
        <v>0</v>
      </c>
      <c r="HS267" s="1684" t="b">
        <f>IFERROR(IF(AND(T268&lt;&gt;AF268,OR(AG268="Interior LLLC", AG268="Interior NLC", AG268="LLLC (outside Daylight)",AG268="LLLC Controls Only"))=TRUE,FALSE,TRUE),FALSE)</f>
        <v>1</v>
      </c>
      <c r="HT267" s="1670" t="b">
        <f>IFERROR(IF(OR(AG268=Lookup!BB$17,AG268=Lookup!BB$18,AG268=Lookup!BB$19)=TRUE,IF(AF268&gt;T268,FALSE,TRUE),TRUE),FALSE)</f>
        <v>1</v>
      </c>
      <c r="HU267" s="1684" t="b">
        <f>IFERROR(IF(__Retrofit_TI_NC=2,IF(EZ268&lt;EZ266,FALSE,TRUE),TRUE),FALSE)</f>
        <v>1</v>
      </c>
      <c r="HV267" s="1684" t="b">
        <f>IF(CQ266="Interior",IL$6,TRUE)</f>
        <v>1</v>
      </c>
      <c r="HW267" s="1684" t="b">
        <f>IF(CQ266="Exterior",IL$8,TRUE)</f>
        <v>1</v>
      </c>
      <c r="HX267" s="1684" t="b">
        <f>IFERROR(IF(__Retrofit_TI_NC&lt;&gt;0,IF(AZ266&lt;AY266,FALSE,TRUE),TRUE),FALSE)</f>
        <v>1</v>
      </c>
      <c r="HY267" s="1684" t="b">
        <f>IFERROR(IF(AND(G267="Exterior",R267&gt;4200),FALSE,TRUE),FALSE)</f>
        <v>1</v>
      </c>
      <c r="HZ267" s="1684" t="b">
        <f>IFERROR(IF(AB269/AB266&lt;HZ$18,FALSE,TRUE),FALSE)</f>
        <v>0</v>
      </c>
      <c r="IB267" s="1691"/>
      <c r="IC267" s="1695"/>
      <c r="ID267" s="1694" t="str">
        <f>VLOOKUP(IB269,_Error_Table,4,FALSE)</f>
        <v>White</v>
      </c>
      <c r="IE267" s="391"/>
      <c r="IF267" s="1688"/>
      <c r="IG267" s="1689"/>
      <c r="IH267" s="1684"/>
      <c r="IK267" s="1689"/>
      <c r="IL267" s="1691"/>
      <c r="IM267" s="1691"/>
      <c r="IN267" s="1691"/>
      <c r="IP267" s="1679"/>
      <c r="IQ267" s="1679"/>
      <c r="IR267" s="1679"/>
      <c r="IS267" s="1679"/>
      <c r="IT267" s="1679"/>
      <c r="IU267" s="1679"/>
      <c r="IV267" s="1679"/>
      <c r="IW267" s="1679"/>
      <c r="IX267" s="1679"/>
      <c r="IY267" s="1679"/>
      <c r="IZ267" s="1679"/>
      <c r="JA267" s="1679"/>
      <c r="JC267" s="1680"/>
      <c r="JD267" s="1670"/>
      <c r="JE267" s="1681"/>
      <c r="JG267" s="1680"/>
      <c r="JH267" s="1670"/>
      <c r="JI267" s="1060"/>
      <c r="JJ267" s="1683"/>
      <c r="JK267" s="1061"/>
      <c r="JL267" s="1683"/>
      <c r="JM267" s="1061"/>
      <c r="JN267" s="1683"/>
      <c r="JO267" s="1061"/>
      <c r="JP267" s="1683"/>
      <c r="JQ267" s="1061"/>
      <c r="JR267" s="1683"/>
      <c r="JS267" s="1061"/>
      <c r="JT267" s="1670"/>
      <c r="JU267" s="1061"/>
      <c r="JV267" s="1670"/>
      <c r="JX267" s="1670"/>
      <c r="JZ267" s="1683"/>
      <c r="KB267" s="1670"/>
    </row>
    <row r="268" spans="1:288" s="78" customFormat="1" ht="14.95" customHeight="1" thickTop="1" thickBot="1">
      <c r="A268" s="78">
        <f>ROW()</f>
        <v>268</v>
      </c>
      <c r="B268" s="1845"/>
      <c r="C268" s="1846"/>
      <c r="D268" s="1847"/>
      <c r="E268" s="1737" t="s">
        <v>298</v>
      </c>
      <c r="F268" s="1738"/>
      <c r="G268" s="1760"/>
      <c r="H268" s="1761"/>
      <c r="I268" s="1761"/>
      <c r="J268" s="1761"/>
      <c r="K268" s="1761"/>
      <c r="L268" s="1762"/>
      <c r="M268" s="461">
        <f>IFERROR(IF(IF(__Retrofit_TI_NC&lt;&gt;0,IF(CQ266="Interior",MATCH(G268,Lookup_Interior_New,0),MATCH(G268,Lookup_Exterior_New,0)),IF(CQ266="Interior",MATCH(G268,Lookup_Interior,0),MATCH(G268,Lookup_Exterior_Areas,0)))&gt;0,1,0),0)</f>
        <v>0</v>
      </c>
      <c r="N268" s="461" t="e">
        <f>IF(__Retrofit_TI_NC=1,
VLOOKUP(G268,'Space Table'!$B$3:$L$163,4,FALSE),
IF(__Retrofit_TI_NC=2,VLOOKUP(G268,'Space Table'!$B$3:$L$163,5,FALSE),VLOOKUP(G268,'Space Table'!$B$3:$L$163,5,FALSE)))</f>
        <v>#N/A</v>
      </c>
      <c r="O268" s="461">
        <f>G268</f>
        <v>0</v>
      </c>
      <c r="P268" s="1738" t="str">
        <f>IFERROR(IF(__Retrofit_TI_NC=1,VLOOKUP(G268,'Space Table'!$B$3:$O$163,13,FALSE),IF(__Retrofit_TI_NC=2,VLOOKUP(G268,'Space Table'!$B$3:$O$163,14,FALSE),"Area (sf):")),"Area (sf):")</f>
        <v>Area (sf):</v>
      </c>
      <c r="Q268" s="1738"/>
      <c r="R268" s="596"/>
      <c r="S268" s="1763" t="s">
        <v>345</v>
      </c>
      <c r="T268" s="594"/>
      <c r="U268" s="1801"/>
      <c r="V268" s="1802"/>
      <c r="W268" s="1802"/>
      <c r="X268" s="1802"/>
      <c r="Y268" s="1802"/>
      <c r="Z268" s="1802"/>
      <c r="AA268" s="1802"/>
      <c r="AB268" s="1802"/>
      <c r="AC268" s="1802"/>
      <c r="AD268" s="1802"/>
      <c r="AE268" s="1803"/>
      <c r="AF268" s="594"/>
      <c r="AG268" s="1787"/>
      <c r="AH268" s="1787"/>
      <c r="AI268" s="1787"/>
      <c r="AJ268" s="1787"/>
      <c r="AK268" s="1787"/>
      <c r="AL268" s="1787"/>
      <c r="AM268" s="1726">
        <f>IFERROR(DI268,"")</f>
        <v>0</v>
      </c>
      <c r="AN268" s="1728" t="str">
        <f>IFERROR(ROUND(AM268*AC269,0),"")</f>
        <v/>
      </c>
      <c r="AO268" s="1730">
        <f>IFERROR(IF(IB266=FALSE,0,AC269-AN268),0)</f>
        <v>0</v>
      </c>
      <c r="AP268" s="1780"/>
      <c r="AQ268" s="1781"/>
      <c r="AR268" s="1795"/>
      <c r="AS268" s="1795"/>
      <c r="AT268" s="1796"/>
      <c r="AU268" s="1735"/>
      <c r="AV268" s="1752"/>
      <c r="AW268" s="1705"/>
      <c r="AX268" s="467"/>
      <c r="AY268" s="1749"/>
      <c r="AZ268" s="1749"/>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696"/>
      <c r="CQ268" s="1696"/>
      <c r="CR268" s="1808" t="str">
        <f>CQ266</f>
        <v/>
      </c>
      <c r="CS268" s="1810" t="str">
        <f>CS266</f>
        <v/>
      </c>
      <c r="CU268" s="1688" t="s">
        <v>345</v>
      </c>
      <c r="CV268" s="1702">
        <f>IF(IB266=TRUE,T268,0)</f>
        <v>0</v>
      </c>
      <c r="CW268" s="1702" t="str">
        <f>IF(IB266=TRUE,U268,"")</f>
        <v/>
      </c>
      <c r="CX268" s="1812">
        <f>IF(IB266=TRUE,U269,0)</f>
        <v>0</v>
      </c>
      <c r="CY268" s="1814">
        <f>IF(IB266=TRUE,AB269,0)</f>
        <v>0</v>
      </c>
      <c r="CZ268" s="1710">
        <f>IF(AND(__Retrofit_TI_NC&gt;0,CR266="interior"),0,IF(IB266=TRUE,AC269,0))</f>
        <v>0</v>
      </c>
      <c r="DA268" s="1818"/>
      <c r="DB268" s="1820"/>
      <c r="DC268" s="1820"/>
      <c r="DD268" s="1820"/>
      <c r="DF268" s="1702">
        <f>IF(IB266=TRUE,AF268,0)</f>
        <v>0</v>
      </c>
      <c r="DG268" s="1830" t="str">
        <f>IF(IB266=TRUE,AG268,"")</f>
        <v/>
      </c>
      <c r="DH268" s="1812">
        <f>AG269</f>
        <v>0</v>
      </c>
      <c r="DI268" s="1837">
        <f>JE268</f>
        <v>0</v>
      </c>
      <c r="DJ268" s="1710">
        <f>IF(AND(__Retrofit_TI_NC&gt;0,CR266="interior"),0,IF(IB266=TRUE,AN268,0))</f>
        <v>0</v>
      </c>
      <c r="DK268" s="1712"/>
      <c r="DN268" s="1717">
        <f>IFERROR(CZ268-DJ268,0)</f>
        <v>0</v>
      </c>
      <c r="DO268" s="1709"/>
      <c r="DQ268" s="1715"/>
      <c r="DR268" s="1719" t="str">
        <f>DQ266</f>
        <v/>
      </c>
      <c r="DS268" s="1816"/>
      <c r="DT268" s="1835" t="str">
        <f>IF(OR(DS266=7,DS266=8,DS266=9),"ALC","")</f>
        <v/>
      </c>
      <c r="DU268" s="1715"/>
      <c r="DV268" s="1716"/>
      <c r="DX268" s="1715"/>
      <c r="DY268" s="1829" t="str">
        <f>DX266</f>
        <v/>
      </c>
      <c r="DZ268" s="1715"/>
      <c r="EA268" s="1715"/>
      <c r="EC268" s="1834"/>
      <c r="ED268" s="1834"/>
      <c r="EF268" s="1707"/>
      <c r="EG268" s="1712"/>
      <c r="EH268" s="1818"/>
      <c r="EI268" s="1712"/>
      <c r="EJ268" s="1712"/>
      <c r="EK268" s="1836"/>
      <c r="EL268" s="1836"/>
      <c r="EM268" s="1807"/>
      <c r="EN268" s="1839"/>
      <c r="EO268" s="1839"/>
      <c r="EP268" s="1817"/>
      <c r="EQ268" s="1817"/>
      <c r="ER268" s="1807"/>
      <c r="ES268" s="1807"/>
      <c r="ET268" s="1807"/>
      <c r="EV268" s="1715"/>
      <c r="EX268" s="1805" t="str">
        <f>IFERROR(VLOOKUP(CS268,'Space Table'!$B$3:$L$163,8,FALSE),"")</f>
        <v/>
      </c>
      <c r="EY268" s="1805" t="str">
        <f>IFERROR(IF(FB268="Yes",VLOOKUP(AG268,Lookup_Control_Type_Table2,4,FALSE),VLOOKUP(AG268,Lookup_Control_Type_Table2,3,FALSE)),"")</f>
        <v/>
      </c>
      <c r="EZ268" s="1805" t="e">
        <f>VLOOKUP(AG268,Lookup!BB$3:BC$20,2,FALSE)</f>
        <v>#N/A</v>
      </c>
      <c r="FA268" s="1805" t="e">
        <f>VLOOKUP(EX266,Lookup_Control_Type_Table,2,FALSE)</f>
        <v>#N/A</v>
      </c>
      <c r="FB268" s="1805" t="e">
        <f>VLOOKUP(CS268,'Space Table'!$B$3:$L$163,7,FALSE)</f>
        <v>#N/A</v>
      </c>
      <c r="FC268" s="1827"/>
      <c r="FE268" s="1698" t="str">
        <f>CONCATENATE(CQ266," - ",AG268)</f>
        <v xml:space="preserve"> - </v>
      </c>
      <c r="FG268" s="1816"/>
      <c r="FH268" s="1816"/>
      <c r="FI268" s="133"/>
      <c r="FL268" s="1822" t="str">
        <f>IF(CQ266="Exterior","Not Daylighted",G269)</f>
        <v>Not Daylighted</v>
      </c>
      <c r="FM268" s="1824">
        <f>VLOOKUP(FL268,_New_Daylight_Table_Codes,2,FALSE)</f>
        <v>0</v>
      </c>
      <c r="FN268" s="1698">
        <f>AG268</f>
        <v>0</v>
      </c>
      <c r="FO268" s="1698" t="e">
        <f>VLOOKUP(FN268,_Control_Table,2,FALSE)</f>
        <v>#N/A</v>
      </c>
      <c r="FP268" s="1678" t="e">
        <f>VLOOKUP(CONCATENATE(FL268," ",FN268),Lookup!AY$102:AZ279,2,FALSE)</f>
        <v>#N/A</v>
      </c>
      <c r="FQ268" s="1698">
        <f>IF(__Retrofit_TI_NC=0,FN268,IF(AND(FT268&gt;0,FN268="Occupancy Sensor"),"Daylight + Occupancy",IF(AND(FT268&gt;0,FO268&lt;4),"Interior Daylight Dimming",FN268)))</f>
        <v>0</v>
      </c>
      <c r="FS268" s="1686">
        <f>IF(CQ266="Interior",VLOOKUP(CS266,Control_Savings_Interior,5,FALSE),0)</f>
        <v>0</v>
      </c>
      <c r="FT268" s="1687">
        <f>IF(CQ268="Exterior",0,IF(FM268=2,0.5,IF(OR(FM268=1,FM268=3),1,0)))</f>
        <v>0</v>
      </c>
      <c r="FU268" s="1685">
        <f>IF(R267&gt;FS$44,(FS268*(FS$44/R267)),FS268)*FT268</f>
        <v>0</v>
      </c>
      <c r="FV268" s="1686">
        <f>DI268</f>
        <v>0</v>
      </c>
      <c r="FW268" s="1686">
        <f>ROUND(FV268+((1-FV268)*FU268),2)</f>
        <v>0</v>
      </c>
      <c r="FX268" s="1686">
        <f>IF(__Retrofit_TI_NC=2,FW268,FV268)</f>
        <v>0</v>
      </c>
      <c r="FY268" s="1697">
        <f>IF(CR268="Interior",VLOOKUP(CS268,Control_Savings_Interior,4,FALSE),0)</f>
        <v>0</v>
      </c>
      <c r="GA268" s="1696"/>
      <c r="GB268" s="1696"/>
      <c r="GC268" s="1696"/>
      <c r="GD268" s="1696"/>
      <c r="GE268" s="1696"/>
      <c r="GF268" s="1696"/>
      <c r="GG268" s="1696"/>
      <c r="GH268" s="1696"/>
      <c r="GI268" s="673" t="b">
        <f>IF(ISNUMBER(SEARCH("TLED",U268)),TRUE,FALSE)</f>
        <v>0</v>
      </c>
      <c r="GJ268" s="1135" t="str">
        <f>IFERROR(VLOOKUP(U268,Fixtures!DM$93:DR$142,6,FALSE),"")</f>
        <v/>
      </c>
      <c r="GK268" s="1832"/>
      <c r="GM268" s="1692"/>
      <c r="GN268" s="1684"/>
      <c r="GP268" s="1684"/>
      <c r="GQ268" s="1684"/>
      <c r="HG268" s="1684"/>
      <c r="HH268" s="1684"/>
      <c r="HI268" s="1684"/>
      <c r="HJ268" s="1684"/>
      <c r="HK268" s="1684"/>
      <c r="HL268" s="1684"/>
      <c r="HM268" s="1684"/>
      <c r="HN268" s="1683"/>
      <c r="HO268" s="1692"/>
      <c r="HP268" s="1692"/>
      <c r="HQ268" s="1670"/>
      <c r="HR268" s="1684"/>
      <c r="HS268" s="1684"/>
      <c r="HT268" s="1670"/>
      <c r="HU268" s="1684"/>
      <c r="HV268" s="1684"/>
      <c r="HW268" s="1684"/>
      <c r="HX268" s="1684"/>
      <c r="HY268" s="1684"/>
      <c r="HZ268" s="1684"/>
      <c r="IB268" s="1692"/>
      <c r="IC268" s="1693" t="b">
        <f>IB266</f>
        <v>0</v>
      </c>
      <c r="ID268" s="1695"/>
      <c r="IE268" s="391"/>
      <c r="IF268" s="1688"/>
      <c r="IG268" s="1689">
        <f ca="1">IF(IF266=TRUE,AC269,0)</f>
        <v>0</v>
      </c>
      <c r="IH268" s="1684"/>
      <c r="IK268" s="1689" t="e">
        <f>ROUND(T268*AB269*N267*R267/1000,0)</f>
        <v>#VALUE!</v>
      </c>
      <c r="IL268" s="1691"/>
      <c r="IM268" s="1693" t="e">
        <f>ROUND(T268*AB269*N267*R267/1000,0)</f>
        <v>#VALUE!</v>
      </c>
      <c r="IN268" s="1691"/>
      <c r="IP268" s="1679"/>
      <c r="IQ268" s="1679" t="e">
        <f t="shared" ref="IQ268:IU268" si="227">IF($CR268="interior",VLOOKUP($CS268,_New_Control_Savings_Interior,IQ$30,FALSE),VLOOKUP($CS268,Control_Savings_Exterior,IQ$30,FALSE))</f>
        <v>#N/A</v>
      </c>
      <c r="IR268" s="1679" t="e">
        <f t="shared" si="227"/>
        <v>#N/A</v>
      </c>
      <c r="IS268" s="1679" t="e">
        <f t="shared" si="227"/>
        <v>#N/A</v>
      </c>
      <c r="IT268" s="1679" t="e">
        <f t="shared" si="227"/>
        <v>#N/A</v>
      </c>
      <c r="IU268" s="1679" t="e">
        <f t="shared" si="227"/>
        <v>#N/A</v>
      </c>
      <c r="IV268" s="1679" t="e">
        <f>IF($CR268="interior",IF(R267&gt;$IP$14,ROUND(($IV$18*($IP$14/R267)),2),$IV$18),VLOOKUP($CS268,Control_Savings_Exterior,IV$30,FALSE))</f>
        <v>#N/A</v>
      </c>
      <c r="IW268" s="1679" t="e">
        <f>IF($CR268="interior",ROUND(((1-IS268)*IV268)+IS268,2),VLOOKUP($CS268,Control_Savings_Exterior,IW$30,FALSE))</f>
        <v>#N/A</v>
      </c>
      <c r="IX268" s="1679" t="e">
        <f>IF($CR268="interior",ROUND(((1-IT268)*IV268)+IT268,2),VLOOKUP($CS268,Control_Savings_Exterior,IX$30,FALSE))</f>
        <v>#N/A</v>
      </c>
      <c r="IY268" s="1679" t="e">
        <f>IF($CR268="interior",IF(R267&gt;$IP$14,ROUND(($IY$18*($IP$14/R267)),2),$IY$18),VLOOKUP($CS268,Control_Savings_Exterior,IY$30,FALSE))</f>
        <v>#N/A</v>
      </c>
      <c r="IZ268" s="1679" t="e">
        <f>IF($CR268="interior",ROUND(((1-IS268)*IY268)+IS268,2),VLOOKUP($CS268,Control_Savings_Exterior,IZ$30,FALSE))</f>
        <v>#N/A</v>
      </c>
      <c r="JA268" s="1679" t="e">
        <f>IF($CR268="interior",ROUND(((1-IT268)*IY268)+IT268,2),VLOOKUP($CS268,Control_Savings_Exterior,JA$30,FALSE))</f>
        <v>#N/A</v>
      </c>
      <c r="JC268" s="1680">
        <f>IFERROR(IF(CR268="Interior",CONCATENATE(G269," ",FQ268),AG268),"")</f>
        <v>0</v>
      </c>
      <c r="JD268" s="1670" t="str">
        <f>IFERROR(VLOOKUP(JC268,_Controls_2023,2,FALSE),"")</f>
        <v/>
      </c>
      <c r="JE268" s="1681">
        <f>IFERROR(CHOOSE(JD268-1,IQ268,IR268,IS268,IT268,IU268,IV268,IW268,IX268,IY268,IZ268,JA268),0)</f>
        <v>0</v>
      </c>
      <c r="JG268" s="1680" t="str">
        <f>FE268</f>
        <v xml:space="preserve"> - </v>
      </c>
      <c r="JH268" s="1670" t="e">
        <f>$FO268</f>
        <v>#N/A</v>
      </c>
      <c r="JI268" s="1060"/>
      <c r="JJ268" s="1670">
        <f>IFERROR(IF($IB266=TRUE,IF(OR(JJ$14="No",JJ266=FALSE,JH268&lt;=JH266,AND(_kWh_Grant=0,GD266=FALSE)),0,IF(JJ$8="Per Line",1,$AF268)),0),0)</f>
        <v>0</v>
      </c>
      <c r="JK268" s="1061"/>
      <c r="JL268" s="1670">
        <f>IFERROR(IF(_kWh_Grant=0,0,IF($IB266=TRUE,IF(OR(JL$14="No",JL266=FALSE,JH268&lt;=JH266),0,IF(JL$8="Per Line",1,$T268)),0)),0)</f>
        <v>0</v>
      </c>
      <c r="JM268" s="1061"/>
      <c r="JN268" s="1670">
        <f>IFERROR(IF(_kWh_Grant=0,0,IF($IB266=TRUE,IF(OR(JN$14="No",JN266=FALSE,JH268&lt;=JH266),0,IF(JN$8="Per Line",1,$AF268)),0)),0)</f>
        <v>0</v>
      </c>
      <c r="JO268" s="1061"/>
      <c r="JP268" s="1670">
        <f>IFERROR(IF(__Retrofit_TI_NC=0,IF(_kWh_Grant=0,0,IF($IB266=TRUE,IF(OR(JP$14="No",JP266=FALSE,$JH268&lt;=$JH266),0,IF(JP$8="Per Line",1,$AF268)),0)),IF($IB266=TRUE,IF(OR(JP$14="No",JP266=FALSE,$JH268&lt;=$JH266),0,IF(JP$8="Per Line",1,$AF268)))),0)</f>
        <v>0</v>
      </c>
      <c r="JQ268" s="1061"/>
      <c r="JR268" s="1670">
        <f>IFERROR(IF(__Retrofit_TI_NC=0,IF(_kWh_Grant=0,0,IF($IB266=TRUE,IF(OR(JR$14="No",JR266=FALSE,$JH268&lt;=$JH266),0,IF(JR$8="Per Line",1,$AF268)),0)),IF($IB266=TRUE,IF(OR(JR$14="No",JR266=FALSE,$JH268&lt;=$JH266),0,IF(JR$8="Per Line",1,$AF268)))),0)</f>
        <v>0</v>
      </c>
      <c r="JS268" s="1061"/>
      <c r="JT268" s="1670">
        <f>IFERROR(IF(__Retrofit_TI_NC=0,IF(_kWh_Grant=0,0,IF($IB266=TRUE,IF(OR(JT$14="No",JT266=FALSE,$JH268&lt;=$JH266),0,IF(JT$8="Per Line",1,$AF268)),0)),IF($IB266=TRUE,IF(OR(JT$14="No",JT266=FALSE,$JH268&lt;=$JH266),0,IF(JT$8="Per Line",1,$AF268)))),0)</f>
        <v>0</v>
      </c>
      <c r="JU268" s="1061"/>
      <c r="JV268" s="1670">
        <f>IFERROR(IF(__Retrofit_TI_NC=0,IF(_kWh_Grant=0,0,IF($IB266=TRUE,IF(OR(JV$14="No",JV266=FALSE,$JH268&lt;=$JH266),0,IF(JV$8="Per Line",1,$AF268)),0)),IF($IB266=TRUE,IF(OR(JV$14="No",JV266=FALSE,$JH268&lt;=$JH266),0,IF(JV$8="Per Line",1,$AF268)))),0)</f>
        <v>0</v>
      </c>
      <c r="JX268" s="1670">
        <f>IFERROR(IF(__Retrofit_TI_NC=0,IF(_kWh_Grant=0,0,IF($IB266=TRUE,IF(OR(JX$14="No",JX266=FALSE,$JH268&lt;=$JH266),0,IF(JX$8="Per Line",1,$AF268)),0)),IF($IB266=TRUE,IF(OR(JX$14="No",JX266=FALSE,$JH268&lt;=$JH266),0,IF(JX$8="Per Line",1,$AF268)))),0)</f>
        <v>0</v>
      </c>
      <c r="JZ268" s="1670">
        <f>IFERROR(IF($IB266=TRUE,IF(OR(JZ$14="No",JZ266=FALSE,$JH268&lt;=$JH266,AND(_kWh_Grant=0,$GD266=FALSE)),0,IF(JZ$8="Per Line",1,$AF268)),0),0)</f>
        <v>0</v>
      </c>
      <c r="KB268" s="1670">
        <f>IFERROR(IF(__Retrofit_TI_NC=0,IF(_kWh_Grant=0,0,IF($IB266=TRUE,IF(OR(KB$14="No",KB266=FALSE,$JH268&lt;=$JH266),0,IF(KB$8="Per Line",1,$AF268)),0)),IF($IB266=TRUE,IF(OR(KB$14="No",KB266=FALSE,$JH268&lt;=$JH266),0,IF(KB$8="Per Line",1,$AF268)))),0)</f>
        <v>0</v>
      </c>
    </row>
    <row r="269" spans="1:288" s="78" customFormat="1" ht="14.95" customHeight="1" thickTop="1" thickBot="1">
      <c r="B269" s="1845"/>
      <c r="C269" s="1846"/>
      <c r="D269" s="1847"/>
      <c r="E269" s="1771" t="s">
        <v>436</v>
      </c>
      <c r="F269" s="1772"/>
      <c r="G269" s="1784" t="s">
        <v>437</v>
      </c>
      <c r="H269" s="1785"/>
      <c r="I269" s="1785"/>
      <c r="J269" s="1785"/>
      <c r="K269" s="1785"/>
      <c r="L269" s="1786"/>
      <c r="M269" s="591">
        <f>IFERROR(VLOOKUP(G269,_Daylight_Table[],2,FALSE),0)</f>
        <v>0</v>
      </c>
      <c r="N269" s="592" t="str">
        <f>IF(AND(__Retrofit_TI_NC&gt;0,CQ266="Interior"),"BAM","")</f>
        <v/>
      </c>
      <c r="O269" s="591" t="e">
        <f>VLOOKUP(G268,'Space Table'!$B$3:$L$163,11,FALSE)</f>
        <v>#N/A</v>
      </c>
      <c r="P269" s="1789"/>
      <c r="Q269" s="1790"/>
      <c r="R269" s="1790"/>
      <c r="S269" s="1788"/>
      <c r="T269" s="593" t="s">
        <v>342</v>
      </c>
      <c r="U269" s="1756" t="str" cm="1">
        <f t="array" aca="1" ref="U269" ca="1">IFERROR(VLOOKUP(INDIRECT("U" &amp; ROW()-1),Fixtures!DM$93:DP$142,4,FALSE),"")</f>
        <v/>
      </c>
      <c r="V269" s="1757"/>
      <c r="W269" s="1757"/>
      <c r="X269" s="1757"/>
      <c r="Y269" s="1757"/>
      <c r="Z269" s="1757"/>
      <c r="AA269" s="1758"/>
      <c r="AB269" s="939" t="str">
        <f>IFERROR(VLOOKUP(U268,Fixtures_Proposed_List,2,FALSE),"")</f>
        <v/>
      </c>
      <c r="AC269" s="933" t="str">
        <f>IFERROR(ROUND(T268*AB269*N267*R267/1000,0),"")</f>
        <v/>
      </c>
      <c r="AD269" s="934" t="str">
        <f>IFERROR(ROUND(T268*AB269/1000,2),"")</f>
        <v/>
      </c>
      <c r="AE269" s="998"/>
      <c r="AF269" s="938" t="s">
        <v>342</v>
      </c>
      <c r="AG269" s="1770"/>
      <c r="AH269" s="1770"/>
      <c r="AI269" s="1770"/>
      <c r="AJ269" s="1770"/>
      <c r="AK269" s="1770"/>
      <c r="AL269" s="1770"/>
      <c r="AM269" s="1727"/>
      <c r="AN269" s="1729"/>
      <c r="AO269" s="1731"/>
      <c r="AP269" s="1782"/>
      <c r="AQ269" s="1783"/>
      <c r="AR269" s="1797"/>
      <c r="AS269" s="1797"/>
      <c r="AT269" s="1798"/>
      <c r="AU269" s="1736"/>
      <c r="AV269" s="1753"/>
      <c r="AW269" s="1706"/>
      <c r="AX269" s="468"/>
      <c r="AY269" s="1750"/>
      <c r="AZ269" s="1750"/>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696"/>
      <c r="CQ269" s="1696"/>
      <c r="CR269" s="1809"/>
      <c r="CS269" s="1811"/>
      <c r="CU269" s="1688"/>
      <c r="CV269" s="1703"/>
      <c r="CW269" s="1703"/>
      <c r="CX269" s="1813"/>
      <c r="CY269" s="1815"/>
      <c r="CZ269" s="1711"/>
      <c r="DA269" s="1815"/>
      <c r="DB269" s="1821"/>
      <c r="DC269" s="1821"/>
      <c r="DD269" s="1821"/>
      <c r="DF269" s="1703"/>
      <c r="DG269" s="1831"/>
      <c r="DH269" s="1813"/>
      <c r="DI269" s="1838"/>
      <c r="DJ269" s="1711"/>
      <c r="DK269" s="1712"/>
      <c r="DN269" s="1718"/>
      <c r="DO269" s="1709"/>
      <c r="DQ269" s="1715"/>
      <c r="DR269" s="1720"/>
      <c r="DS269" s="1703"/>
      <c r="DT269" s="1714"/>
      <c r="DU269" s="1715"/>
      <c r="DV269" s="1716"/>
      <c r="DX269" s="1715"/>
      <c r="DY269" s="1720"/>
      <c r="DZ269" s="1715"/>
      <c r="EA269" s="1715"/>
      <c r="EC269" s="1834"/>
      <c r="ED269" s="1834"/>
      <c r="EF269" s="1707"/>
      <c r="EG269" s="1712"/>
      <c r="EH269" s="1815"/>
      <c r="EI269" s="1712"/>
      <c r="EJ269" s="1712"/>
      <c r="EK269" s="1813"/>
      <c r="EL269" s="1813"/>
      <c r="EM269" s="1807"/>
      <c r="EN269" s="1839"/>
      <c r="EO269" s="1839"/>
      <c r="EP269" s="1817"/>
      <c r="EQ269" s="1817"/>
      <c r="ER269" s="1807"/>
      <c r="ES269" s="1807"/>
      <c r="ET269" s="1807"/>
      <c r="EV269" s="1715"/>
      <c r="EX269" s="1806"/>
      <c r="EY269" s="1806"/>
      <c r="EZ269" s="1806"/>
      <c r="FA269" s="1806"/>
      <c r="FB269" s="1806"/>
      <c r="FC269" s="1828"/>
      <c r="FE269" s="1698"/>
      <c r="FG269" s="1703"/>
      <c r="FH269" s="1703"/>
      <c r="FI269" s="133"/>
      <c r="FL269" s="1823"/>
      <c r="FM269" s="1825"/>
      <c r="FN269" s="1698"/>
      <c r="FO269" s="1698"/>
      <c r="FP269" s="1678"/>
      <c r="FQ269" s="1698"/>
      <c r="FS269" s="1687"/>
      <c r="FT269" s="1687"/>
      <c r="FU269" s="1685"/>
      <c r="FV269" s="1687"/>
      <c r="FW269" s="1687"/>
      <c r="FX269" s="1687"/>
      <c r="FY269" s="1697"/>
      <c r="GA269" s="1696"/>
      <c r="GB269" s="1696"/>
      <c r="GC269" s="1696"/>
      <c r="GD269" s="1696"/>
      <c r="GE269" s="1696"/>
      <c r="GF269" s="1696"/>
      <c r="GG269" s="1696"/>
      <c r="GH269" s="1696"/>
      <c r="GI269" s="673"/>
      <c r="GJ269" s="1135"/>
      <c r="GK269" s="1832"/>
      <c r="GN269" s="674">
        <f>IF(GN267=TRUE,0,GN$16)</f>
        <v>0</v>
      </c>
      <c r="GP269" s="674">
        <f>IF(GP267=TRUE,0,GP$16)</f>
        <v>36</v>
      </c>
      <c r="GQ269" s="674">
        <f ca="1">IF(GQ267=TRUE,0,GQ$16)</f>
        <v>35</v>
      </c>
      <c r="GR269" s="391"/>
      <c r="GS269" s="391"/>
      <c r="GT269" s="391"/>
      <c r="GU269" s="391"/>
      <c r="GV269" s="391"/>
      <c r="HG269" s="674">
        <f>IF(HG267=TRUE,0,HG$16)</f>
        <v>0</v>
      </c>
      <c r="HH269" s="674">
        <f t="shared" ref="HH269:HM269" si="228">IF(HH267=TRUE,0,HH$16)</f>
        <v>19</v>
      </c>
      <c r="HI269" s="674">
        <f t="shared" si="228"/>
        <v>18</v>
      </c>
      <c r="HJ269" s="674">
        <f t="shared" si="228"/>
        <v>17</v>
      </c>
      <c r="HK269" s="674">
        <f t="shared" si="228"/>
        <v>16</v>
      </c>
      <c r="HL269" s="674">
        <f t="shared" si="228"/>
        <v>0</v>
      </c>
      <c r="HM269" s="674">
        <f t="shared" si="228"/>
        <v>0</v>
      </c>
      <c r="HN269" s="674">
        <f>IF(HN267=TRUE,0,HN$16)</f>
        <v>13</v>
      </c>
      <c r="HO269" s="674">
        <f t="shared" ref="HO269:HQ269" si="229">IF(HO267=TRUE,0,HO$16)</f>
        <v>0</v>
      </c>
      <c r="HP269" s="674">
        <f t="shared" si="229"/>
        <v>0</v>
      </c>
      <c r="HQ269" s="674">
        <f t="shared" si="229"/>
        <v>10</v>
      </c>
      <c r="HR269" s="674">
        <f>IF(HR267=TRUE,0,HR$16)</f>
        <v>9</v>
      </c>
      <c r="HS269" s="674">
        <f t="shared" ref="HS269:HW269" si="230">IF(HS267=TRUE,0,HS$16)</f>
        <v>0</v>
      </c>
      <c r="HT269" s="674">
        <f t="shared" si="230"/>
        <v>0</v>
      </c>
      <c r="HU269" s="674">
        <f t="shared" si="230"/>
        <v>0</v>
      </c>
      <c r="HV269" s="674">
        <f t="shared" si="230"/>
        <v>0</v>
      </c>
      <c r="HW269" s="674">
        <f t="shared" si="230"/>
        <v>0</v>
      </c>
      <c r="HX269" s="674">
        <f>IF(HX267=TRUE,0,HX$16)</f>
        <v>0</v>
      </c>
      <c r="HY269" s="674">
        <f>IF(HY267=TRUE,0,HY$16)</f>
        <v>0</v>
      </c>
      <c r="HZ269" s="674">
        <f>IF(HZ267=TRUE,0,HZ$16)</f>
        <v>1</v>
      </c>
      <c r="IB269" s="674">
        <f>IF(GP267=FALSE,GP269,IF(GQ267=FALSE,GQ269,MAX(GN269:HZ269)))</f>
        <v>36</v>
      </c>
      <c r="IC269" s="1692"/>
      <c r="ID269" s="205" t="str">
        <f>VLOOKUP(IB269,_Error_Table,3,FALSE)</f>
        <v xml:space="preserve"> </v>
      </c>
      <c r="IE269" s="205"/>
      <c r="IF269" s="1688"/>
      <c r="IG269" s="1689"/>
      <c r="IH269" s="1684"/>
      <c r="IK269" s="1689"/>
      <c r="IL269" s="1692"/>
      <c r="IM269" s="1692"/>
      <c r="IN269" s="1692"/>
      <c r="IP269" s="1679"/>
      <c r="IQ269" s="1679"/>
      <c r="IR269" s="1679"/>
      <c r="IS269" s="1679"/>
      <c r="IT269" s="1679"/>
      <c r="IU269" s="1679"/>
      <c r="IV269" s="1679"/>
      <c r="IW269" s="1679"/>
      <c r="IX269" s="1679"/>
      <c r="IY269" s="1679"/>
      <c r="IZ269" s="1679"/>
      <c r="JA269" s="1679"/>
      <c r="JC269" s="1680"/>
      <c r="JD269" s="1670"/>
      <c r="JE269" s="1681"/>
      <c r="JG269" s="1680"/>
      <c r="JH269" s="1670"/>
      <c r="JI269" s="1060"/>
      <c r="JJ269" s="1670"/>
      <c r="JK269" s="1061"/>
      <c r="JL269" s="1670"/>
      <c r="JM269" s="1061"/>
      <c r="JN269" s="1670"/>
      <c r="JO269" s="1061"/>
      <c r="JP269" s="1670"/>
      <c r="JQ269" s="1061"/>
      <c r="JR269" s="1670"/>
      <c r="JS269" s="1061"/>
      <c r="JT269" s="1670"/>
      <c r="JU269" s="1061"/>
      <c r="JV269" s="1670"/>
      <c r="JX269" s="1670"/>
      <c r="JZ269" s="1670"/>
      <c r="KB269" s="1670"/>
    </row>
    <row r="270" spans="1:288" s="78" customFormat="1" ht="5.0999999999999996" customHeight="1">
      <c r="B270" s="676"/>
      <c r="C270" s="392"/>
      <c r="D270" s="392"/>
      <c r="E270" s="1733"/>
      <c r="F270" s="1733"/>
      <c r="G270" s="1733"/>
      <c r="H270" s="1733"/>
      <c r="I270" s="1733"/>
      <c r="J270" s="1733"/>
      <c r="K270" s="1733"/>
      <c r="L270" s="1733"/>
      <c r="M270" s="1733"/>
      <c r="N270" s="1733"/>
      <c r="O270" s="1733"/>
      <c r="P270" s="1733"/>
      <c r="Q270" s="1733"/>
      <c r="R270" s="1733"/>
      <c r="S270" s="1733"/>
      <c r="T270" s="1733"/>
      <c r="U270" s="1733"/>
      <c r="V270" s="1733"/>
      <c r="W270" s="1733"/>
      <c r="X270" s="1733"/>
      <c r="Y270" s="1733"/>
      <c r="Z270" s="1733"/>
      <c r="AA270" s="1733"/>
      <c r="AB270" s="1733"/>
      <c r="AC270" s="1733"/>
      <c r="AD270" s="1733"/>
      <c r="AE270" s="1733"/>
      <c r="AF270" s="1733"/>
      <c r="AG270" s="1733"/>
      <c r="AH270" s="1733"/>
      <c r="AI270" s="1733"/>
      <c r="AJ270" s="1733"/>
      <c r="AK270" s="1733"/>
      <c r="AL270" s="1733"/>
      <c r="AM270" s="1733"/>
      <c r="AN270" s="1733"/>
      <c r="AO270" s="1733"/>
      <c r="AP270" s="1733"/>
      <c r="AQ270" s="1733"/>
      <c r="AR270" s="1733"/>
      <c r="AS270" s="1733"/>
      <c r="AT270" s="1733"/>
      <c r="AU270" s="1733"/>
      <c r="AV270" s="1733"/>
      <c r="AW270" s="1733"/>
      <c r="AX270" s="469"/>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663"/>
      <c r="CQ270" s="663"/>
      <c r="CR270" s="438"/>
      <c r="CS270" s="663"/>
      <c r="CV270" s="391"/>
      <c r="CW270" s="391"/>
      <c r="CX270" s="207"/>
      <c r="CY270" s="208"/>
      <c r="CZ270" s="208"/>
      <c r="DA270" s="208"/>
      <c r="DB270" s="209"/>
      <c r="DC270" s="209"/>
      <c r="DD270" s="209"/>
      <c r="DF270" s="664"/>
      <c r="DG270" s="665"/>
      <c r="DH270" s="666"/>
      <c r="DI270" s="667"/>
      <c r="DJ270" s="668"/>
      <c r="DK270" s="668"/>
      <c r="DN270" s="208"/>
      <c r="DO270" s="664"/>
      <c r="DQ270" s="664"/>
      <c r="DR270" s="669"/>
      <c r="DS270" s="391"/>
      <c r="DT270" s="664"/>
      <c r="DU270" s="664"/>
      <c r="DV270" s="664"/>
      <c r="DX270" s="664"/>
      <c r="DY270" s="664"/>
      <c r="DZ270" s="664"/>
      <c r="EA270" s="664"/>
      <c r="EC270" s="670"/>
      <c r="ED270" s="670"/>
      <c r="EF270" s="668"/>
      <c r="EG270" s="668"/>
      <c r="EH270" s="208"/>
      <c r="EI270" s="668"/>
      <c r="EJ270" s="668"/>
      <c r="EK270" s="207"/>
      <c r="EL270" s="207"/>
      <c r="EM270" s="666"/>
      <c r="EN270" s="671"/>
      <c r="EO270" s="671"/>
      <c r="EP270" s="672"/>
      <c r="EQ270" s="672"/>
      <c r="ER270" s="666"/>
      <c r="ES270" s="666"/>
      <c r="ET270" s="666"/>
      <c r="EV270" s="664"/>
      <c r="EX270" s="391"/>
      <c r="EY270" s="391"/>
      <c r="EZ270" s="391"/>
      <c r="FA270" s="391"/>
      <c r="FB270" s="391"/>
      <c r="FC270" s="391"/>
      <c r="FE270" s="569"/>
      <c r="FG270" s="391"/>
      <c r="FH270" s="391"/>
      <c r="FI270" s="391"/>
      <c r="FS270" s="664"/>
      <c r="FT270" s="391"/>
      <c r="FU270" s="391"/>
      <c r="FV270" s="664"/>
      <c r="FW270" s="664"/>
      <c r="GA270" s="663"/>
      <c r="GB270" s="663"/>
      <c r="GC270" s="663"/>
      <c r="GD270" s="663"/>
      <c r="GE270" s="663"/>
      <c r="GF270" s="663"/>
      <c r="GG270" s="663"/>
      <c r="GH270" s="663"/>
      <c r="GI270" s="665"/>
      <c r="GJ270" s="664"/>
      <c r="GK270" s="664"/>
    </row>
    <row r="271" spans="1:288" s="78" customFormat="1" ht="14.95" customHeight="1">
      <c r="B271" s="1845" t="str">
        <f>ID274</f>
        <v xml:space="preserve"> </v>
      </c>
      <c r="C271" s="1846">
        <f>C266+1</f>
        <v>44</v>
      </c>
      <c r="D271" s="1847"/>
      <c r="E271" s="1799" t="s">
        <v>295</v>
      </c>
      <c r="F271" s="1800"/>
      <c r="G271" s="1741"/>
      <c r="H271" s="1742"/>
      <c r="I271" s="1742"/>
      <c r="J271" s="1742"/>
      <c r="K271" s="1742"/>
      <c r="L271" s="1742"/>
      <c r="M271" s="1742"/>
      <c r="N271" s="1742"/>
      <c r="O271" s="1742"/>
      <c r="P271" s="1742"/>
      <c r="Q271" s="1742"/>
      <c r="R271" s="1742"/>
      <c r="S271" s="1791" t="s">
        <v>344</v>
      </c>
      <c r="T271" s="590"/>
      <c r="U271" s="1743"/>
      <c r="V271" s="1744"/>
      <c r="W271" s="1744"/>
      <c r="X271" s="1744"/>
      <c r="Y271" s="1744"/>
      <c r="Z271" s="1744"/>
      <c r="AA271" s="1744"/>
      <c r="AB271" s="961" t="str">
        <f>IFERROR(IF(__Retrofit_TI_NC=0,VLOOKUP(U272,Fixtures_Existing_List,2,FALSE),ROUND(N273*R273/T273,10)),"")</f>
        <v/>
      </c>
      <c r="AC271" s="935" t="str">
        <f>IFERROR(IF(__Retrofit_TI_NC=0,ROUND(T272*AB271*N272*R272/1000,0),IF(CQ271="Interior",N273*R273*R272*N272*_C406_reduction/1000,N273*R273*R272*N272/1000)),"")</f>
        <v/>
      </c>
      <c r="AD271" s="936" t="str">
        <f>IFERROR(IF(C$43=0,ROUND(T272*AB271/1000,2),N273*R273/1000),"")</f>
        <v/>
      </c>
      <c r="AE271" s="997"/>
      <c r="AF271" s="937"/>
      <c r="AG271" s="1745" t="str">
        <f>IF(__Retrofit_TI_NC=0," Control","Select Advanced Control for New System")</f>
        <v xml:space="preserve"> Control</v>
      </c>
      <c r="AH271" s="1745"/>
      <c r="AI271" s="1745"/>
      <c r="AJ271" s="1745"/>
      <c r="AK271" s="1745"/>
      <c r="AL271" s="1745"/>
      <c r="AM271" s="1746">
        <f>IFERROR(DI271,"")</f>
        <v>0</v>
      </c>
      <c r="AN271" s="1774" t="str">
        <f>IFERROR(ROUND(AM271*AC271,0),"")</f>
        <v/>
      </c>
      <c r="AO271" s="1776">
        <f>IFERROR(IF(IB271=FALSE,0,AC271-AN271),0)</f>
        <v>0</v>
      </c>
      <c r="AP271" s="1778">
        <f>AO271-AO273</f>
        <v>0</v>
      </c>
      <c r="AQ271" s="1779"/>
      <c r="AR271" s="1793">
        <f>IFERROR(IF(IB271=FALSE,0,(T273*U274)+(AF273*AG274)),0)</f>
        <v>0</v>
      </c>
      <c r="AS271" s="1793"/>
      <c r="AT271" s="1794"/>
      <c r="AU271" s="1734" t="s">
        <v>237</v>
      </c>
      <c r="AV271" s="1751">
        <f>IF(AU271="Yes",1,0)</f>
        <v>1</v>
      </c>
      <c r="AW271" s="1704" t="str">
        <f>IF(OR(DQ271=4,DQ271=5,DQ271=6,DQ271=12),CONCATENATE("$",IF(GH271=TRUE,Lookup!$K$10,Lookup!$K$2)," /lamp"),CONCATENATE(TEXT(ED271,"$0.00"),"/ kWh"))</f>
        <v>$0.00/ kWh</v>
      </c>
      <c r="AX271" s="467"/>
      <c r="AY271" s="1748">
        <f ca="1">IFERROR(IF(GM272=TRUE,(AB274*T273)/R273,0),"NA")</f>
        <v>0</v>
      </c>
      <c r="AZ271" s="1748"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696" t="str">
        <f>N272</f>
        <v/>
      </c>
      <c r="CQ271" s="1696" t="str">
        <f>IFERROR(VLOOKUP(G272,_Lookup_Heat_Type_Table_New,3,FALSE),"")</f>
        <v/>
      </c>
      <c r="CR271" s="1808" t="str">
        <f>CQ271</f>
        <v/>
      </c>
      <c r="CS271" s="1810" t="str">
        <f>IFERROR(VLOOKUP(G273,'Space Table'!$B$3:$L$163,9,FALSE),"")</f>
        <v/>
      </c>
      <c r="CU271" s="1688" t="s">
        <v>344</v>
      </c>
      <c r="CV271" s="1702">
        <f>IF(IB271=TRUE,T272,0)</f>
        <v>0</v>
      </c>
      <c r="CW271" s="1702" t="str">
        <f>IF(IB271=TRUE,U272,"")</f>
        <v/>
      </c>
      <c r="CX271" s="1702"/>
      <c r="CY271" s="1814">
        <f>IF(IB271=TRUE,AB271,0)</f>
        <v>0</v>
      </c>
      <c r="CZ271" s="1710">
        <f>IF(AND(__Retrofit_TI_NC&gt;0,CR271="interior"),0,IF(IB271=TRUE,AC271,0))</f>
        <v>0</v>
      </c>
      <c r="DA271" s="1814">
        <f>IFERROR(IF(IB271=TRUE,CZ271-CZ273,0),0)</f>
        <v>0</v>
      </c>
      <c r="DB271" s="1819">
        <f>IF(IB271=TRUE,AD271,0)</f>
        <v>0</v>
      </c>
      <c r="DC271" s="1819">
        <f>IF(IB271=TRUE,AD274,0)</f>
        <v>0</v>
      </c>
      <c r="DD271" s="1819">
        <f>IFERROR(DB271-DC271,0)</f>
        <v>0</v>
      </c>
      <c r="DF271" s="1702">
        <f>IF(IB271=TRUE,AF272,0)</f>
        <v>0</v>
      </c>
      <c r="DG271" s="1830">
        <f>IFERROR(IF(__Retrofit_TI_NC=2,IF(CQ271="Exterior",O274,FQ271),FN271),"")</f>
        <v>0</v>
      </c>
      <c r="DH271" s="1702"/>
      <c r="DI271" s="1837">
        <f>JE271</f>
        <v>0</v>
      </c>
      <c r="DJ271" s="1710">
        <f>IF(AND(__Retrofit_TI_NC&gt;0,CR271="interior"),0,IF(IB271=TRUE,AN271,0))</f>
        <v>0</v>
      </c>
      <c r="DK271" s="1712">
        <f>IFERROR(IF(IB271=TRUE,DJ273-DJ271,0),0)</f>
        <v>0</v>
      </c>
      <c r="DM271" s="1717">
        <f>IFERROR(CZ271-DJ271,0)</f>
        <v>0</v>
      </c>
      <c r="DO271" s="1708">
        <f>DM271-DN273</f>
        <v>0</v>
      </c>
      <c r="DQ271" s="1715" t="str">
        <f>IFERROR(IF(AND(OR(GC271=4,GC271=5,GC271=6),OR(GF271=4,GF271=5,GF271=6)),GC271+8,VLOOKUP(CW273,Fixtures!R$31:Y$78,8,FALSE)),"")</f>
        <v/>
      </c>
      <c r="DR271" s="1829" t="str">
        <f>DQ271</f>
        <v/>
      </c>
      <c r="DS271" s="1702" t="str">
        <f>IFERROR(VLOOKUP(DG273,Lookup!BB$3:BC$20,2,FALSE),"")</f>
        <v/>
      </c>
      <c r="DT271" s="1713" t="str">
        <f>IF(OR(DS271=7,DS271=8,DS271=9),"ALC","")</f>
        <v/>
      </c>
      <c r="DU271" s="1715">
        <f>IFERROR(IF(OR(DQ271=4,DQ271=5,DQ271=6,DQ271=12,DQ271=13,DQ271=14),VLOOKUP(CW273,Fixtures!DN$27:EG$77,19,FALSE),1)*CV273,0)</f>
        <v>0</v>
      </c>
      <c r="DV271" s="1716">
        <f>IF(OR(DS271=7,DS271=8,DS271=9),IF(DG271=DG273,0,DF273),0)</f>
        <v>0</v>
      </c>
      <c r="DX271" s="1715" t="str">
        <f>IFERROR(IF(EZ271&lt;EZ273,"Yes","No"),"")</f>
        <v/>
      </c>
      <c r="DY271" s="1829" t="str">
        <f>DX271</f>
        <v/>
      </c>
      <c r="DZ271" s="1715">
        <f>IF(DX271="Yes",DF273,0)</f>
        <v>0</v>
      </c>
      <c r="EA271" s="1715">
        <f>DZ271-DV271</f>
        <v>0</v>
      </c>
      <c r="EC271" s="1834">
        <f>IFERROR(VLOOKUP(DQ271,Lookup!AU$3:AV$16,2,FALSE),0)</f>
        <v>0</v>
      </c>
      <c r="ED271" s="1834">
        <f>IF(IB271=FALSE,0,IF(DX271="Yes",EC271+Lookup!K$6,EC271))</f>
        <v>0</v>
      </c>
      <c r="EF271" s="1707">
        <f>IF(IB271=TRUE,DM271,0)</f>
        <v>0</v>
      </c>
      <c r="EG271" s="1712">
        <f>IF(IB271=TRUE,CZ273,0)</f>
        <v>0</v>
      </c>
      <c r="EH271" s="1814">
        <f>IFERROR(EF271-EG271,0)</f>
        <v>0</v>
      </c>
      <c r="EI271" s="1712">
        <f>IF(IB271=TRUE,DJ273,0)</f>
        <v>0</v>
      </c>
      <c r="EJ271" s="1712">
        <f>IFERROR(EF271-EG271+EI271,0)</f>
        <v>0</v>
      </c>
      <c r="EK271" s="1812">
        <f>IF(IB271=TRUE,CV273*CX273,0)</f>
        <v>0</v>
      </c>
      <c r="EL271" s="1812">
        <f>IF(IB271=TRUE,DF273*DH273,0)</f>
        <v>0</v>
      </c>
      <c r="EM271" s="1807">
        <f>AR271</f>
        <v>0</v>
      </c>
      <c r="EN271" s="1839" t="str">
        <f>IFERROR(IF(IB271=TRUE,VLOOKUP(DQ271,Lookup!AU$3:AW$16,3,FALSE)*DU271,""),0)</f>
        <v/>
      </c>
      <c r="EO271" s="1839">
        <f>IF(IB271=TRUE,DZ271*Lookup!AW$12,0)</f>
        <v>0</v>
      </c>
      <c r="EP271" s="1817">
        <f>IFERROR(IF(IB271=TRUE,EN271/EP$40,0),0)</f>
        <v>0</v>
      </c>
      <c r="EQ271" s="1817">
        <f>IF(IB271=TRUE,EO271/EQ$40,0)</f>
        <v>0</v>
      </c>
      <c r="ER271" s="1807">
        <f>IF(IB271=TRUE,ET$40*EP271,0)</f>
        <v>0</v>
      </c>
      <c r="ES271" s="1807">
        <f>IF(IB271=TRUE,ET$40*EQ271,0)</f>
        <v>0</v>
      </c>
      <c r="ET271" s="1807">
        <f>ER271+ES271</f>
        <v>0</v>
      </c>
      <c r="EV271" s="1715">
        <f>IF(G271="",0,1)</f>
        <v>0</v>
      </c>
      <c r="EX271" s="1804" t="str">
        <f>IFERROR(VLOOKUP(CS273,'Space Table'!$B$3:$L$163,8,FALSE),"")</f>
        <v/>
      </c>
      <c r="EY271" s="1804" t="str">
        <f>IFERROR(IF(FB271="Yes",VLOOKUP(DG271,Lookup_Control_Type_Table2,4,FALSE),VLOOKUP(DG271,Lookup_Control_Type_Table2,3,FALSE)),"")</f>
        <v/>
      </c>
      <c r="EZ271" s="1804" t="e">
        <f>VLOOKUP(DG271,Lookup!BB$3:BC$20,2,FALSE)</f>
        <v>#N/A</v>
      </c>
      <c r="FA271" s="1804" t="e">
        <f>VLOOKUP(EX271,Lookup_Control_Type_Table,2,FALSE)</f>
        <v>#N/A</v>
      </c>
      <c r="FB271" s="1804" t="e">
        <f>VLOOKUP(CS273,'Space Table'!$B$3:$L$163,7,FALSE)</f>
        <v>#N/A</v>
      </c>
      <c r="FC271" s="1826" t="b">
        <f>ISNUMBER(SEARCH("TLED",U273))</f>
        <v>0</v>
      </c>
      <c r="FE271" s="1698" t="str">
        <f>CONCATENATE(CQ271," - ",DG271)</f>
        <v xml:space="preserve"> - 0</v>
      </c>
      <c r="FG271" s="1702" t="str">
        <f>VLOOKUP(CW273,Fixtures!DN$27:EZ$77,38,FALSE)</f>
        <v/>
      </c>
      <c r="FH271" s="1702">
        <f>IFERROR(FG271*EH271,0)</f>
        <v>0</v>
      </c>
      <c r="FI271" s="133"/>
      <c r="FL271" s="1822" t="str">
        <f>IF(CQ271="Exterior","Not Daylighted",G274)</f>
        <v>Not Daylighted</v>
      </c>
      <c r="FM271" s="1824">
        <f>VLOOKUP(FL271,_New_Daylight_Table_Codes,2,FALSE)</f>
        <v>0</v>
      </c>
      <c r="FN271" s="1698">
        <f>IF(__Retrofit_TI_NC&gt;0,VLOOKUP(G273,'Space Table'!$B$3:$L$163,11,FALSE),AG272)</f>
        <v>0</v>
      </c>
      <c r="FO271" s="1698" t="e">
        <f>IF(__Retrofit_TI_NC=2,VLOOKUP(FQ271,_Control_Table,2,FALSE),VLOOKUP(FN271,_Control_Table,2,FALSE))</f>
        <v>#N/A</v>
      </c>
      <c r="FP271" s="1678" t="e">
        <f>VLOOKUP(CONCATENATE(FL271," ",FN271),Lookup!AY$102:AZ281,2,FALSE)</f>
        <v>#N/A</v>
      </c>
      <c r="FQ271" s="1678">
        <f>IF(__Retrofit_TI_NC=0,FN271,IF(AND(FT271&gt;0,FN271="Occupancy Sensor"),"Daylight + Occupancy",IF(AND(FT271&gt;0,VLOOKUP(FN271,_Control_Table,2,FALSE)&lt;4),"Interior Daylight Dimming",FN271)))</f>
        <v>0</v>
      </c>
      <c r="FS271" s="1686">
        <f>IF(CR271="Interior",VLOOKUP(CS271,Control_Savings_Interior,5,FALSE),0)</f>
        <v>0</v>
      </c>
      <c r="FT271" s="1687">
        <f>IF(CQ271="Exterior",0,IF(FM271=2,0.5,IF(OR(FM271=1,FM271=3),1,0)))</f>
        <v>0</v>
      </c>
      <c r="FU271" s="1685">
        <f>IF(R270&gt;FS$44,(FS271*(FS$44/R270)),FS271)*FT271</f>
        <v>0</v>
      </c>
      <c r="FV271" s="1686">
        <f>DI271</f>
        <v>0</v>
      </c>
      <c r="FW271" s="1686">
        <f>ROUND(FV271+((1-FV271)*FU271),2)</f>
        <v>0</v>
      </c>
      <c r="FX271" s="1686">
        <f>IF(__Retrofit_TI_NC=2,FW271,FV271)</f>
        <v>0</v>
      </c>
      <c r="FY271" s="1697"/>
      <c r="GA271" s="1696" t="str">
        <f>IFERROR(VLOOKUP(U272,_Exist_Fixture_Table,3,FALSE),"")</f>
        <v/>
      </c>
      <c r="GB271" s="1696" t="str">
        <f>VLOOKUP(CW271,_Exist_Fixture_Table,4,FALSE)</f>
        <v/>
      </c>
      <c r="GC271" s="1696">
        <f>IFERROR(VLOOKUP(GB271,Lookup!AT$6:AU$8,2,FALSE),0)</f>
        <v>0</v>
      </c>
      <c r="GD271" s="1696" t="b">
        <f>IFERROR(IF(OR(GF271=4,GF271=5,GF271=6),TRUE,FALSE),"")</f>
        <v>0</v>
      </c>
      <c r="GE271" s="1696" t="str">
        <f>IFERROR(VLOOKUP(GF271,GC$6:GD$10,2,FALSE),"")</f>
        <v/>
      </c>
      <c r="GF271" s="1696" t="str">
        <f>VLOOKUP(CW273,Fixtures!R$31:Y$78,8,FALSE)</f>
        <v/>
      </c>
      <c r="GG271" s="1696">
        <f>IF(AND(GA271=TRUE,GD271=TRUE,OR(DQ271=12,DQ271=13,DQ271=14)),GC271+8,0)</f>
        <v>0</v>
      </c>
      <c r="GH271" s="1696" t="b">
        <f>IF(OR(GG271=12,GG271=13,GG271=14),TRUE,FALSE)</f>
        <v>0</v>
      </c>
      <c r="GI271" s="673" t="b">
        <f>IF(ISNUMBER(SEARCH("TLED",U272)),TRUE,FALSE)</f>
        <v>0</v>
      </c>
      <c r="GJ271" s="1135" t="str">
        <f>IFERROR(VLOOKUP(U272,Fixtures!BM$93:BR$142,6,FALSE),"")</f>
        <v/>
      </c>
      <c r="GK271" s="1832" t="b">
        <f>IF(OR(GI271=FALSE,GI273=FALSE),TRUE,IF(GJ271-GJ273&lt;5,FALSE,TRUE))</f>
        <v>1</v>
      </c>
      <c r="GO271" s="674">
        <f>GP271</f>
        <v>0</v>
      </c>
      <c r="GP271" s="674">
        <f>IF(G271="",0,1)</f>
        <v>0</v>
      </c>
      <c r="GQ271" s="674">
        <f ca="1">SUM(GR271:HF271)</f>
        <v>2</v>
      </c>
      <c r="GR271" s="674">
        <f>IF(G272="",0,1)</f>
        <v>0</v>
      </c>
      <c r="GS271" s="674">
        <f>IF(N274="BAM",1,IF(G273="",0,1))</f>
        <v>0</v>
      </c>
      <c r="GT271" s="674">
        <f>IF(N274="BAM",1,IF(R272="",0,1))</f>
        <v>0</v>
      </c>
      <c r="GU271" s="674">
        <f>IF(N274="BAM",1,IF(__Retrofit_TI_NC=0,1,IF(R273="",0,1)))</f>
        <v>1</v>
      </c>
      <c r="GV271" s="674">
        <f>IF(N274="BAM",1,IF(CQ271="Exterior",1,IF(G274="",0,1)))</f>
        <v>1</v>
      </c>
      <c r="GW271" s="674">
        <f>IF(__Retrofit_TI_NC&gt;0,1,IF(T272="",0,1))</f>
        <v>0</v>
      </c>
      <c r="GX271" s="674">
        <f>IF(__Retrofit_TI_NC&gt;0,1,IF(U272="",0,1))</f>
        <v>0</v>
      </c>
      <c r="GY271" s="674">
        <f>IF(N274="BAM",1,IF(T273="",0,1))</f>
        <v>0</v>
      </c>
      <c r="GZ271" s="674">
        <f>IF(N274="BAM",1,IF(U273="",0,1))</f>
        <v>0</v>
      </c>
      <c r="HA271" s="674">
        <f ca="1">IF(N274="BAM",1,IF(__Retrofit_TI_NC&gt;0,1,IF(U274="",0,1)))</f>
        <v>0</v>
      </c>
      <c r="HB271" s="674">
        <f>IF(__Retrofit_TI_NC&lt;&gt;0,1,IF(AF272="",0,1))</f>
        <v>0</v>
      </c>
      <c r="HC271" s="674">
        <f>IF(__Retrofit_TI_NC&lt;&gt;0,1,IF(AG272="",0,1))</f>
        <v>0</v>
      </c>
      <c r="HD271" s="674">
        <f>IF(N274="BAM",1,IF(AF273="",0,1))</f>
        <v>0</v>
      </c>
      <c r="HE271" s="674">
        <f>IF(N274="BAM",1,IF(AG273="",0,1))</f>
        <v>0</v>
      </c>
      <c r="HF271" s="674">
        <f>IF(N274="BAM",1,IF(__Retrofit_TI_NC&gt;0,1,IF(AG274="",0,1)))</f>
        <v>0</v>
      </c>
      <c r="HG271" s="391"/>
      <c r="IA271" s="391"/>
      <c r="IB271" s="1693" t="b">
        <f>IF(OR(IB274=0,IB274=HY$16,IB274=HX$16,IB274=HZ$16),TRUE,FALSE)</f>
        <v>0</v>
      </c>
      <c r="IC271" s="1694" t="b">
        <f>IB271</f>
        <v>0</v>
      </c>
      <c r="ID271" s="391"/>
      <c r="IE271" s="391"/>
      <c r="IF271" s="1688" t="b">
        <f ca="1">IF(MAX(GN274:HU274)&gt;5,FALSE,TRUE)</f>
        <v>0</v>
      </c>
      <c r="IG271" s="1689">
        <f ca="1">IF(IF271=TRUE,AC271,0)</f>
        <v>0</v>
      </c>
      <c r="IH271" s="1689">
        <f ca="1">IG271-IG273</f>
        <v>0</v>
      </c>
      <c r="IK271" s="1689" t="e">
        <f>ROUND(T272*VLOOKUP(U272,Fixtures_Existing_List,2,FALSE)*N272*R272/1000,0)</f>
        <v>#N/A</v>
      </c>
      <c r="IL271" s="1690" t="e">
        <f>IK271-IK273</f>
        <v>#N/A</v>
      </c>
      <c r="IM271" s="1693" t="e">
        <f>ROUND(IF(CQ271="Interior",N273*R273*R272*N272*_C406_reduction/1000,N273*R273*R272*N272/1000),0)</f>
        <v>#N/A</v>
      </c>
      <c r="IN271" s="1693" t="e">
        <f>IM271-IM273</f>
        <v>#N/A</v>
      </c>
      <c r="IP271" s="1679"/>
      <c r="IQ271" s="1679" t="e">
        <f t="shared" ref="IQ271:IU271" si="231">IF($CR271="interior",VLOOKUP($CS271,_New_Control_Savings_Interior,IQ$30,FALSE),VLOOKUP($CS271,Control_Savings_Exterior,IQ$30,FALSE))</f>
        <v>#N/A</v>
      </c>
      <c r="IR271" s="1679" t="e">
        <f t="shared" si="231"/>
        <v>#N/A</v>
      </c>
      <c r="IS271" s="1679" t="e">
        <f t="shared" si="231"/>
        <v>#N/A</v>
      </c>
      <c r="IT271" s="1679" t="e">
        <f t="shared" si="231"/>
        <v>#N/A</v>
      </c>
      <c r="IU271" s="1679" t="e">
        <f t="shared" si="231"/>
        <v>#N/A</v>
      </c>
      <c r="IV271" s="1679" t="e">
        <f>IF($CR271="interior",IF(R272&gt;$IP$14,ROUND(($IV$18*($IP$14/R272)),2),$IV$18),VLOOKUP($CS271,Control_Savings_Exterior,IV$30,FALSE))</f>
        <v>#N/A</v>
      </c>
      <c r="IW271" s="1679" t="e">
        <f>IF($CR271="interior",ROUND(((1-IS271)*IV271)+IS271,2),VLOOKUP($CS271,Control_Savings_Exterior,IW$30,FALSE))</f>
        <v>#N/A</v>
      </c>
      <c r="IX271" s="1679" t="e">
        <f>IF($CR271="interior",ROUND(((1-IT271)*IV271)+IT271,2),VLOOKUP($CS271,Control_Savings_Exterior,IX$30,FALSE))</f>
        <v>#N/A</v>
      </c>
      <c r="IY271" s="1679" t="e">
        <f>IF($CR271="interior",IF(R272&gt;$IP$14,ROUND(($IY$18*($IP$14/R272)),2),$IY$18),VLOOKUP($CS271,Control_Savings_Exterior,IY$30,FALSE))</f>
        <v>#N/A</v>
      </c>
      <c r="IZ271" s="1679" t="e">
        <f>IF($CR271="interior",ROUND(((1-IS271)*IY271)+IS271,2),VLOOKUP($CS271,Control_Savings_Exterior,IZ$30,FALSE))</f>
        <v>#N/A</v>
      </c>
      <c r="JA271" s="1679" t="e">
        <f>IF($CR271="interior",ROUND(((1-IT271)*IY271)+IT271,2),VLOOKUP($CS271,Control_Savings_Exterior,JA$30,FALSE))</f>
        <v>#N/A</v>
      </c>
      <c r="JC271" s="1680">
        <f>IFERROR(IF(CR271="Interior",CONCATENATE(G274," ",FQ271),FQ271),"")</f>
        <v>0</v>
      </c>
      <c r="JD271" s="1670" t="str">
        <f>IFERROR(VLOOKUP(JC271,_Controls_2023,2,FALSE),"")</f>
        <v/>
      </c>
      <c r="JE271" s="1681">
        <f>IFERROR(CHOOSE(JD271-1,IQ271,IR271,IS271,IT271,IU271,IV271,IW271,IX271,IY271,IZ271,JA271),0)</f>
        <v>0</v>
      </c>
      <c r="JG271" s="1680" t="str">
        <f>FE271</f>
        <v xml:space="preserve"> - 0</v>
      </c>
      <c r="JH271" s="1670" t="e">
        <f>$FO271</f>
        <v>#N/A</v>
      </c>
      <c r="JI271" s="1060"/>
      <c r="JJ271" s="1682" t="b">
        <f>IF($JG273=CONCATENATE("Interior - ",JJ$4),TRUE,FALSE)</f>
        <v>0</v>
      </c>
      <c r="JK271" s="1061"/>
      <c r="JL271" s="1682" t="b">
        <f>IF($JG273=CONCATENATE("Interior - ",JL$4),TRUE,FALSE)</f>
        <v>0</v>
      </c>
      <c r="JM271" s="1061"/>
      <c r="JN271" s="1682" t="b">
        <f>IF($JG273=CONCATENATE("Interior - ",JN$4),TRUE,FALSE)</f>
        <v>0</v>
      </c>
      <c r="JO271" s="1061"/>
      <c r="JP271" s="1682" t="b">
        <f>IF(__Retrofit_TI_NC&gt;0,FALSE,IF($JG273=CONCATENATE("Interior - ",JP$4),TRUE,FALSE))</f>
        <v>0</v>
      </c>
      <c r="JQ271" s="1061"/>
      <c r="JR271" s="1682" t="b">
        <f>IF(__Retrofit_TI_NC&gt;0,FALSE,IF($JG273=CONCATENATE("Interior - ",JR$4),TRUE,FALSE))</f>
        <v>0</v>
      </c>
      <c r="JS271" s="1061"/>
      <c r="JT271" s="1670" t="b">
        <f>IF(__Retrofit_TI_NC&gt;0,FALSE,IF($JG273=CONCATENATE("Interior - ",JT$4),TRUE,FALSE))</f>
        <v>0</v>
      </c>
      <c r="JU271" s="1061"/>
      <c r="JV271" s="1670" t="b">
        <f>IF(JC273="AELC on Existing",TRUE,FALSE)</f>
        <v>0</v>
      </c>
      <c r="JX271" s="1670" t="b">
        <f>IF(OR(JG273="Exterior - AELC Occupancy based",JG273="Exterior - AELC Time based"),TRUE,FALSE)</f>
        <v>0</v>
      </c>
      <c r="JZ271" s="1682" t="b">
        <f>IF($JG273=CONCATENATE("Exterior - ",JZ$4),TRUE,FALSE)</f>
        <v>0</v>
      </c>
      <c r="KB271" s="1670" t="b">
        <f>IF(__Retrofit_TI_NC&gt;0,FALSE,IF($JG273=CONCATENATE("Interior - ",KB$4),TRUE,FALSE))</f>
        <v>0</v>
      </c>
    </row>
    <row r="272" spans="1:288" s="78" customFormat="1" ht="14.95" customHeight="1" thickTop="1" thickBot="1">
      <c r="B272" s="1845"/>
      <c r="C272" s="1846"/>
      <c r="D272" s="1847"/>
      <c r="E272" s="1737" t="s">
        <v>297</v>
      </c>
      <c r="F272" s="1738"/>
      <c r="G272" s="1739"/>
      <c r="H272" s="1739"/>
      <c r="I272" s="1739"/>
      <c r="J272" s="1739"/>
      <c r="K272" s="1739"/>
      <c r="L272" s="1739"/>
      <c r="M272" s="461" t="e">
        <f>IF(__Retrofit_TI_NC&lt;&gt;0,IF(VLOOKUP(G273,'Space Table'!$B$3:$L$163,3,FALSE)&gt;0,1,0),IF(__Retrofit_TI_NC=VLOOKUP(G273,'Space Table'!$B$3:$L$163,3,FALSE),1,0))</f>
        <v>#N/A</v>
      </c>
      <c r="N272" s="461" t="str">
        <f>IFERROR(VLOOKUP(G272,_Lookup_Heat_Type_Table_New,2,FALSE),"")</f>
        <v/>
      </c>
      <c r="O272" s="461">
        <f>IF(__Retrofit_TI_NC=1,CONCATENATE("TI ",G272),IF(__Retrofit_TI_NC=2,CONCATENATE("NC ",G272),G272))</f>
        <v>0</v>
      </c>
      <c r="P272" s="1740" t="s">
        <v>435</v>
      </c>
      <c r="Q272" s="1740"/>
      <c r="R272" s="595"/>
      <c r="S272" s="1792"/>
      <c r="T272" s="597"/>
      <c r="U272" s="1765"/>
      <c r="V272" s="1766"/>
      <c r="W272" s="1766"/>
      <c r="X272" s="1766"/>
      <c r="Y272" s="1766"/>
      <c r="Z272" s="1766"/>
      <c r="AA272" s="1766"/>
      <c r="AB272" s="1766"/>
      <c r="AC272" s="1766"/>
      <c r="AD272" s="1767"/>
      <c r="AE272" s="1000"/>
      <c r="AF272" s="597"/>
      <c r="AG272" s="1723"/>
      <c r="AH272" s="1724"/>
      <c r="AI272" s="1724"/>
      <c r="AJ272" s="1724"/>
      <c r="AK272" s="1725"/>
      <c r="AL272" s="996"/>
      <c r="AM272" s="1747"/>
      <c r="AN272" s="1775"/>
      <c r="AO272" s="1777"/>
      <c r="AP272" s="1780"/>
      <c r="AQ272" s="1781"/>
      <c r="AR272" s="1795"/>
      <c r="AS272" s="1795"/>
      <c r="AT272" s="1796"/>
      <c r="AU272" s="1735"/>
      <c r="AV272" s="1752"/>
      <c r="AW272" s="1705"/>
      <c r="AX272" s="467"/>
      <c r="AY272" s="1749"/>
      <c r="AZ272" s="1749"/>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696"/>
      <c r="CQ272" s="1696"/>
      <c r="CR272" s="1809"/>
      <c r="CS272" s="1811"/>
      <c r="CU272" s="1688"/>
      <c r="CV272" s="1703"/>
      <c r="CW272" s="1703"/>
      <c r="CX272" s="1703"/>
      <c r="CY272" s="1815"/>
      <c r="CZ272" s="1711"/>
      <c r="DA272" s="1818"/>
      <c r="DB272" s="1820"/>
      <c r="DC272" s="1820"/>
      <c r="DD272" s="1820"/>
      <c r="DF272" s="1703"/>
      <c r="DG272" s="1831"/>
      <c r="DH272" s="1703"/>
      <c r="DI272" s="1838"/>
      <c r="DJ272" s="1711"/>
      <c r="DK272" s="1712"/>
      <c r="DM272" s="1718"/>
      <c r="DO272" s="1708"/>
      <c r="DQ272" s="1715"/>
      <c r="DR272" s="1720"/>
      <c r="DS272" s="1816"/>
      <c r="DT272" s="1714"/>
      <c r="DU272" s="1715"/>
      <c r="DV272" s="1716"/>
      <c r="DX272" s="1715"/>
      <c r="DY272" s="1720"/>
      <c r="DZ272" s="1715"/>
      <c r="EA272" s="1715"/>
      <c r="EC272" s="1834"/>
      <c r="ED272" s="1834"/>
      <c r="EF272" s="1707"/>
      <c r="EG272" s="1712"/>
      <c r="EH272" s="1818"/>
      <c r="EI272" s="1712"/>
      <c r="EJ272" s="1712"/>
      <c r="EK272" s="1836"/>
      <c r="EL272" s="1836"/>
      <c r="EM272" s="1807"/>
      <c r="EN272" s="1839"/>
      <c r="EO272" s="1839"/>
      <c r="EP272" s="1817"/>
      <c r="EQ272" s="1817"/>
      <c r="ER272" s="1807"/>
      <c r="ES272" s="1807"/>
      <c r="ET272" s="1807"/>
      <c r="EV272" s="1715"/>
      <c r="EX272" s="1805"/>
      <c r="EY272" s="1805"/>
      <c r="EZ272" s="1805"/>
      <c r="FA272" s="1805"/>
      <c r="FB272" s="1805"/>
      <c r="FC272" s="1827"/>
      <c r="FE272" s="1698"/>
      <c r="FG272" s="1816"/>
      <c r="FH272" s="1816"/>
      <c r="FI272" s="133"/>
      <c r="FL272" s="1823"/>
      <c r="FM272" s="1825"/>
      <c r="FN272" s="1698"/>
      <c r="FO272" s="1698"/>
      <c r="FP272" s="1678"/>
      <c r="FQ272" s="1678"/>
      <c r="FS272" s="1687"/>
      <c r="FT272" s="1687"/>
      <c r="FU272" s="1685"/>
      <c r="FV272" s="1687"/>
      <c r="FW272" s="1687"/>
      <c r="FX272" s="1687"/>
      <c r="FY272" s="1697"/>
      <c r="GA272" s="1696"/>
      <c r="GB272" s="1696"/>
      <c r="GC272" s="1696"/>
      <c r="GD272" s="1696"/>
      <c r="GE272" s="1696"/>
      <c r="GF272" s="1696"/>
      <c r="GG272" s="1696"/>
      <c r="GH272" s="1696"/>
      <c r="GI272" s="673"/>
      <c r="GJ272" s="1135"/>
      <c r="GK272" s="1832"/>
      <c r="GM272" s="1693" t="b">
        <f ca="1">IF(AND(GP272=TRUE,GQ272=TRUE),TRUE,FALSE)</f>
        <v>0</v>
      </c>
      <c r="GN272" s="1684" t="b">
        <f>IFERROR(IF(__Retrofit_TI_NC=2,TRUE,IF(AU271="Yes",TRUE,FALSE)),FALSE)</f>
        <v>1</v>
      </c>
      <c r="GP272" s="1684" t="b">
        <f>IFERROR(IF(GP271=1,TRUE,FALSE),FALSE)</f>
        <v>0</v>
      </c>
      <c r="GQ272" s="1684" t="b">
        <f ca="1">IFERROR(IF(GQ271=GQ$14,TRUE,FALSE),FALSE)</f>
        <v>0</v>
      </c>
      <c r="HG272" s="1684" t="b">
        <f>IFERROR(IF(AND(__Retrofit_TI_NC&gt;0,CQ271="Interior"),FALSE,TRUE),FALSE)</f>
        <v>1</v>
      </c>
      <c r="HH272" s="1684" t="b">
        <f>IFERROR(IF(M272=1,TRUE,FALSE),FALSE)</f>
        <v>0</v>
      </c>
      <c r="HI272" s="1684" t="b">
        <f>IFERROR(IF(OR(M273=1,N274="BAM"),TRUE,FALSE),FALSE)</f>
        <v>0</v>
      </c>
      <c r="HJ272" s="1684" t="b">
        <f>IFERROR(IF(__Retrofit_TI_NC&lt;&gt;0,TRUE,IFERROR(IF(VLOOKUP(U272,Fixtures_Existing_List,2,FALSE)&lt;&gt;"",TRUE,FALSE),FALSE)),FALSE)</f>
        <v>0</v>
      </c>
      <c r="HK272" s="1684" t="b">
        <f>IFERROR(IF(VLOOKUP(U273,Fixtures_Proposed_List,2,FALSE)&lt;&gt;"",TRUE,FALSE),FALSE)</f>
        <v>0</v>
      </c>
      <c r="HL272" s="1684" t="b">
        <f>IF(AND(__Retrofit_TI_NC=2,FC271=TRUE),FALSE,TRUE)</f>
        <v>1</v>
      </c>
      <c r="HM272" s="1684" t="b">
        <f>GK271</f>
        <v>1</v>
      </c>
      <c r="HN272" s="1682" t="b">
        <f>IF(ISERROR(MATCH(FE271,_Control_Match[],0))=TRUE,FALSE,TRUE)</f>
        <v>0</v>
      </c>
      <c r="HO272" s="1693" t="b">
        <f>IFERROR(IF(EX271&lt;&gt;EY271,FALSE,TRUE),FALSE)</f>
        <v>1</v>
      </c>
      <c r="HP272" s="1693" t="b">
        <f>IFERROR(IF(EX273&lt;&gt;EY273,FALSE,TRUE),FALSE)</f>
        <v>1</v>
      </c>
      <c r="HQ272" s="1670" t="b">
        <f>IFERROR(IF(CQ271="Exterior",TRUE,IF(AND(OR(FM273=0,FM273=3),JD273&gt;6),FALSE,TRUE)),FALSE)</f>
        <v>0</v>
      </c>
      <c r="HR272" s="1684" t="b">
        <f>IFERROR(IF(AND(FO273=7,FC271=TRUE),FALSE,TRUE),FALSE)</f>
        <v>0</v>
      </c>
      <c r="HS272" s="1684" t="b">
        <f>IFERROR(IF(AND(T273&lt;&gt;AF273,OR(AG273="Interior LLLC", AG273="Interior NLC", AG273="LLLC (outside Daylight)",AG273="LLLC Controls Only"))=TRUE,FALSE,TRUE),FALSE)</f>
        <v>1</v>
      </c>
      <c r="HT272" s="1670" t="b">
        <f>IFERROR(IF(OR(AG273=Lookup!BB$17,AG273=Lookup!BB$18,AG273=Lookup!BB$19)=TRUE,IF(AF273&gt;T273,FALSE,TRUE),TRUE),FALSE)</f>
        <v>1</v>
      </c>
      <c r="HU272" s="1684" t="b">
        <f>IFERROR(IF(__Retrofit_TI_NC=2,IF(EZ273&lt;EZ271,FALSE,TRUE),TRUE),FALSE)</f>
        <v>1</v>
      </c>
      <c r="HV272" s="1684" t="b">
        <f>IF(CQ271="Interior",IL$6,TRUE)</f>
        <v>1</v>
      </c>
      <c r="HW272" s="1684" t="b">
        <f>IF(CQ271="Exterior",IL$8,TRUE)</f>
        <v>1</v>
      </c>
      <c r="HX272" s="1684" t="b">
        <f>IFERROR(IF(__Retrofit_TI_NC&lt;&gt;0,IF(AZ271&lt;AY271,FALSE,TRUE),TRUE),FALSE)</f>
        <v>1</v>
      </c>
      <c r="HY272" s="1684" t="b">
        <f>IFERROR(IF(AND(G272="Exterior",R272&gt;4200),FALSE,TRUE),FALSE)</f>
        <v>1</v>
      </c>
      <c r="HZ272" s="1684" t="b">
        <f>IFERROR(IF(AB274/AB271&lt;HZ$18,FALSE,TRUE),FALSE)</f>
        <v>0</v>
      </c>
      <c r="IB272" s="1691"/>
      <c r="IC272" s="1695"/>
      <c r="ID272" s="1694" t="str">
        <f>VLOOKUP(IB274,_Error_Table,4,FALSE)</f>
        <v>White</v>
      </c>
      <c r="IE272" s="391"/>
      <c r="IF272" s="1688"/>
      <c r="IG272" s="1689"/>
      <c r="IH272" s="1684"/>
      <c r="IK272" s="1689"/>
      <c r="IL272" s="1691"/>
      <c r="IM272" s="1691"/>
      <c r="IN272" s="1691"/>
      <c r="IP272" s="1679"/>
      <c r="IQ272" s="1679"/>
      <c r="IR272" s="1679"/>
      <c r="IS272" s="1679"/>
      <c r="IT272" s="1679"/>
      <c r="IU272" s="1679"/>
      <c r="IV272" s="1679"/>
      <c r="IW272" s="1679"/>
      <c r="IX272" s="1679"/>
      <c r="IY272" s="1679"/>
      <c r="IZ272" s="1679"/>
      <c r="JA272" s="1679"/>
      <c r="JC272" s="1680"/>
      <c r="JD272" s="1670"/>
      <c r="JE272" s="1681"/>
      <c r="JG272" s="1680"/>
      <c r="JH272" s="1670"/>
      <c r="JI272" s="1060"/>
      <c r="JJ272" s="1683"/>
      <c r="JK272" s="1061"/>
      <c r="JL272" s="1683"/>
      <c r="JM272" s="1061"/>
      <c r="JN272" s="1683"/>
      <c r="JO272" s="1061"/>
      <c r="JP272" s="1683"/>
      <c r="JQ272" s="1061"/>
      <c r="JR272" s="1683"/>
      <c r="JS272" s="1061"/>
      <c r="JT272" s="1670"/>
      <c r="JU272" s="1061"/>
      <c r="JV272" s="1670"/>
      <c r="JX272" s="1670"/>
      <c r="JZ272" s="1683"/>
      <c r="KB272" s="1670"/>
    </row>
    <row r="273" spans="1:288" s="78" customFormat="1" ht="14.95" customHeight="1" thickTop="1" thickBot="1">
      <c r="A273" s="78">
        <f>ROW()</f>
        <v>273</v>
      </c>
      <c r="B273" s="1845"/>
      <c r="C273" s="1846"/>
      <c r="D273" s="1847"/>
      <c r="E273" s="1737" t="s">
        <v>298</v>
      </c>
      <c r="F273" s="1738"/>
      <c r="G273" s="1760"/>
      <c r="H273" s="1761"/>
      <c r="I273" s="1761"/>
      <c r="J273" s="1761"/>
      <c r="K273" s="1761"/>
      <c r="L273" s="1762"/>
      <c r="M273" s="461">
        <f>IFERROR(IF(IF(__Retrofit_TI_NC&lt;&gt;0,IF(CQ271="Interior",MATCH(G273,Lookup_Interior_New,0),MATCH(G273,Lookup_Exterior_New,0)),IF(CQ271="Interior",MATCH(G273,Lookup_Interior,0),MATCH(G273,Lookup_Exterior_Areas,0)))&gt;0,1,0),0)</f>
        <v>0</v>
      </c>
      <c r="N273" s="461" t="e">
        <f>IF(__Retrofit_TI_NC=1,
VLOOKUP(G273,'Space Table'!$B$3:$L$163,4,FALSE),
IF(__Retrofit_TI_NC=2,VLOOKUP(G273,'Space Table'!$B$3:$L$163,5,FALSE),VLOOKUP(G273,'Space Table'!$B$3:$L$163,5,FALSE)))</f>
        <v>#N/A</v>
      </c>
      <c r="O273" s="461">
        <f>G273</f>
        <v>0</v>
      </c>
      <c r="P273" s="1738" t="str">
        <f>IFERROR(IF(__Retrofit_TI_NC=1,VLOOKUP(G273,'Space Table'!$B$3:$O$163,13,FALSE),IF(__Retrofit_TI_NC=2,VLOOKUP(G273,'Space Table'!$B$3:$O$163,14,FALSE),"Area (sf):")),"Area (sf):")</f>
        <v>Area (sf):</v>
      </c>
      <c r="Q273" s="1738"/>
      <c r="R273" s="596"/>
      <c r="S273" s="1763" t="s">
        <v>345</v>
      </c>
      <c r="T273" s="594"/>
      <c r="U273" s="1801"/>
      <c r="V273" s="1802"/>
      <c r="W273" s="1802"/>
      <c r="X273" s="1802"/>
      <c r="Y273" s="1802"/>
      <c r="Z273" s="1802"/>
      <c r="AA273" s="1802"/>
      <c r="AB273" s="1802"/>
      <c r="AC273" s="1802"/>
      <c r="AD273" s="1802"/>
      <c r="AE273" s="1803"/>
      <c r="AF273" s="594"/>
      <c r="AG273" s="1787"/>
      <c r="AH273" s="1787"/>
      <c r="AI273" s="1787"/>
      <c r="AJ273" s="1787"/>
      <c r="AK273" s="1787"/>
      <c r="AL273" s="1787"/>
      <c r="AM273" s="1726">
        <f>IFERROR(DI273,"")</f>
        <v>0</v>
      </c>
      <c r="AN273" s="1728" t="str">
        <f>IFERROR(ROUND(AM273*AC274,0),"")</f>
        <v/>
      </c>
      <c r="AO273" s="1730">
        <f>IFERROR(IF(IB271=FALSE,0,AC274-AN273),0)</f>
        <v>0</v>
      </c>
      <c r="AP273" s="1780"/>
      <c r="AQ273" s="1781"/>
      <c r="AR273" s="1795"/>
      <c r="AS273" s="1795"/>
      <c r="AT273" s="1796"/>
      <c r="AU273" s="1735"/>
      <c r="AV273" s="1752"/>
      <c r="AW273" s="1705"/>
      <c r="AX273" s="467"/>
      <c r="AY273" s="1749"/>
      <c r="AZ273" s="1749"/>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696"/>
      <c r="CQ273" s="1696"/>
      <c r="CR273" s="1808" t="str">
        <f>CQ271</f>
        <v/>
      </c>
      <c r="CS273" s="1810" t="str">
        <f>CS271</f>
        <v/>
      </c>
      <c r="CU273" s="1688" t="s">
        <v>345</v>
      </c>
      <c r="CV273" s="1702">
        <f>IF(IB271=TRUE,T273,0)</f>
        <v>0</v>
      </c>
      <c r="CW273" s="1702" t="str">
        <f>IF(IB271=TRUE,U273,"")</f>
        <v/>
      </c>
      <c r="CX273" s="1812">
        <f>IF(IB271=TRUE,U274,0)</f>
        <v>0</v>
      </c>
      <c r="CY273" s="1814">
        <f>IF(IB271=TRUE,AB274,0)</f>
        <v>0</v>
      </c>
      <c r="CZ273" s="1710">
        <f>IF(AND(__Retrofit_TI_NC&gt;0,CR271="interior"),0,IF(IB271=TRUE,AC274,0))</f>
        <v>0</v>
      </c>
      <c r="DA273" s="1818"/>
      <c r="DB273" s="1820"/>
      <c r="DC273" s="1820"/>
      <c r="DD273" s="1820"/>
      <c r="DF273" s="1702">
        <f>IF(IB271=TRUE,AF273,0)</f>
        <v>0</v>
      </c>
      <c r="DG273" s="1830" t="str">
        <f>IF(IB271=TRUE,AG273,"")</f>
        <v/>
      </c>
      <c r="DH273" s="1812">
        <f>AG274</f>
        <v>0</v>
      </c>
      <c r="DI273" s="1837">
        <f>JE273</f>
        <v>0</v>
      </c>
      <c r="DJ273" s="1710">
        <f>IF(AND(__Retrofit_TI_NC&gt;0,CR271="interior"),0,IF(IB271=TRUE,AN273,0))</f>
        <v>0</v>
      </c>
      <c r="DK273" s="1712"/>
      <c r="DN273" s="1717">
        <f>IFERROR(CZ273-DJ273,0)</f>
        <v>0</v>
      </c>
      <c r="DO273" s="1709"/>
      <c r="DQ273" s="1715"/>
      <c r="DR273" s="1719" t="str">
        <f>DQ271</f>
        <v/>
      </c>
      <c r="DS273" s="1816"/>
      <c r="DT273" s="1835" t="str">
        <f>IF(OR(DS271=7,DS271=8,DS271=9),"ALC","")</f>
        <v/>
      </c>
      <c r="DU273" s="1715"/>
      <c r="DV273" s="1716"/>
      <c r="DX273" s="1715"/>
      <c r="DY273" s="1829" t="str">
        <f>DX271</f>
        <v/>
      </c>
      <c r="DZ273" s="1715"/>
      <c r="EA273" s="1715"/>
      <c r="EC273" s="1834"/>
      <c r="ED273" s="1834"/>
      <c r="EF273" s="1707"/>
      <c r="EG273" s="1712"/>
      <c r="EH273" s="1818"/>
      <c r="EI273" s="1712"/>
      <c r="EJ273" s="1712"/>
      <c r="EK273" s="1836"/>
      <c r="EL273" s="1836"/>
      <c r="EM273" s="1807"/>
      <c r="EN273" s="1839"/>
      <c r="EO273" s="1839"/>
      <c r="EP273" s="1817"/>
      <c r="EQ273" s="1817"/>
      <c r="ER273" s="1807"/>
      <c r="ES273" s="1807"/>
      <c r="ET273" s="1807"/>
      <c r="EV273" s="1715"/>
      <c r="EX273" s="1805" t="str">
        <f>IFERROR(VLOOKUP(CS273,'Space Table'!$B$3:$L$163,8,FALSE),"")</f>
        <v/>
      </c>
      <c r="EY273" s="1805" t="str">
        <f>IFERROR(IF(FB273="Yes",VLOOKUP(AG273,Lookup_Control_Type_Table2,4,FALSE),VLOOKUP(AG273,Lookup_Control_Type_Table2,3,FALSE)),"")</f>
        <v/>
      </c>
      <c r="EZ273" s="1805" t="e">
        <f>VLOOKUP(AG273,Lookup!BB$3:BC$20,2,FALSE)</f>
        <v>#N/A</v>
      </c>
      <c r="FA273" s="1805" t="e">
        <f>VLOOKUP(EX271,Lookup_Control_Type_Table,2,FALSE)</f>
        <v>#N/A</v>
      </c>
      <c r="FB273" s="1805" t="e">
        <f>VLOOKUP(CS273,'Space Table'!$B$3:$L$163,7,FALSE)</f>
        <v>#N/A</v>
      </c>
      <c r="FC273" s="1827"/>
      <c r="FE273" s="1698" t="str">
        <f>CONCATENATE(CQ271," - ",AG273)</f>
        <v xml:space="preserve"> - </v>
      </c>
      <c r="FG273" s="1816"/>
      <c r="FH273" s="1816"/>
      <c r="FI273" s="133"/>
      <c r="FL273" s="1822" t="str">
        <f>IF(CQ271="Exterior","Not Daylighted",G274)</f>
        <v>Not Daylighted</v>
      </c>
      <c r="FM273" s="1824">
        <f>VLOOKUP(FL273,_New_Daylight_Table_Codes,2,FALSE)</f>
        <v>0</v>
      </c>
      <c r="FN273" s="1698">
        <f>AG273</f>
        <v>0</v>
      </c>
      <c r="FO273" s="1698" t="e">
        <f>VLOOKUP(FN273,_Control_Table,2,FALSE)</f>
        <v>#N/A</v>
      </c>
      <c r="FP273" s="1678" t="e">
        <f>VLOOKUP(CONCATENATE(FL273," ",FN273),Lookup!AY$102:AZ284,2,FALSE)</f>
        <v>#N/A</v>
      </c>
      <c r="FQ273" s="1698">
        <f>IF(__Retrofit_TI_NC=0,FN273,IF(AND(FT273&gt;0,FN273="Occupancy Sensor"),"Daylight + Occupancy",IF(AND(FT273&gt;0,FO273&lt;4),"Interior Daylight Dimming",FN273)))</f>
        <v>0</v>
      </c>
      <c r="FS273" s="1686">
        <f>IF(CQ271="Interior",VLOOKUP(CS271,Control_Savings_Interior,5,FALSE),0)</f>
        <v>0</v>
      </c>
      <c r="FT273" s="1687">
        <f>IF(CQ273="Exterior",0,IF(FM273=2,0.5,IF(OR(FM273=1,FM273=3),1,0)))</f>
        <v>0</v>
      </c>
      <c r="FU273" s="1685">
        <f>IF(R272&gt;FS$44,(FS273*(FS$44/R272)),FS273)*FT273</f>
        <v>0</v>
      </c>
      <c r="FV273" s="1686">
        <f>DI273</f>
        <v>0</v>
      </c>
      <c r="FW273" s="1686">
        <f>ROUND(FV273+((1-FV273)*FU273),2)</f>
        <v>0</v>
      </c>
      <c r="FX273" s="1686">
        <f>IF(__Retrofit_TI_NC=2,FW273,FV273)</f>
        <v>0</v>
      </c>
      <c r="FY273" s="1697">
        <f>IF(CR273="Interior",VLOOKUP(CS273,Control_Savings_Interior,4,FALSE),0)</f>
        <v>0</v>
      </c>
      <c r="GA273" s="1696"/>
      <c r="GB273" s="1696"/>
      <c r="GC273" s="1696"/>
      <c r="GD273" s="1696"/>
      <c r="GE273" s="1696"/>
      <c r="GF273" s="1696"/>
      <c r="GG273" s="1696"/>
      <c r="GH273" s="1696"/>
      <c r="GI273" s="673" t="b">
        <f>IF(ISNUMBER(SEARCH("TLED",U273)),TRUE,FALSE)</f>
        <v>0</v>
      </c>
      <c r="GJ273" s="1135" t="str">
        <f>IFERROR(VLOOKUP(U273,Fixtures!DM$93:DR$142,6,FALSE),"")</f>
        <v/>
      </c>
      <c r="GK273" s="1832"/>
      <c r="GM273" s="1692"/>
      <c r="GN273" s="1684"/>
      <c r="GP273" s="1684"/>
      <c r="GQ273" s="1684"/>
      <c r="HG273" s="1684"/>
      <c r="HH273" s="1684"/>
      <c r="HI273" s="1684"/>
      <c r="HJ273" s="1684"/>
      <c r="HK273" s="1684"/>
      <c r="HL273" s="1684"/>
      <c r="HM273" s="1684"/>
      <c r="HN273" s="1683"/>
      <c r="HO273" s="1692"/>
      <c r="HP273" s="1692"/>
      <c r="HQ273" s="1670"/>
      <c r="HR273" s="1684"/>
      <c r="HS273" s="1684"/>
      <c r="HT273" s="1670"/>
      <c r="HU273" s="1684"/>
      <c r="HV273" s="1684"/>
      <c r="HW273" s="1684"/>
      <c r="HX273" s="1684"/>
      <c r="HY273" s="1684"/>
      <c r="HZ273" s="1684"/>
      <c r="IB273" s="1692"/>
      <c r="IC273" s="1693" t="b">
        <f>IB271</f>
        <v>0</v>
      </c>
      <c r="ID273" s="1695"/>
      <c r="IE273" s="391"/>
      <c r="IF273" s="1688"/>
      <c r="IG273" s="1689">
        <f ca="1">IF(IF271=TRUE,AC274,0)</f>
        <v>0</v>
      </c>
      <c r="IH273" s="1684"/>
      <c r="IK273" s="1689" t="e">
        <f>ROUND(T273*AB274*N272*R272/1000,0)</f>
        <v>#VALUE!</v>
      </c>
      <c r="IL273" s="1691"/>
      <c r="IM273" s="1693" t="e">
        <f>ROUND(T273*AB274*N272*R272/1000,0)</f>
        <v>#VALUE!</v>
      </c>
      <c r="IN273" s="1691"/>
      <c r="IP273" s="1679"/>
      <c r="IQ273" s="1679" t="e">
        <f t="shared" ref="IQ273:IU273" si="232">IF($CR273="interior",VLOOKUP($CS273,_New_Control_Savings_Interior,IQ$30,FALSE),VLOOKUP($CS273,Control_Savings_Exterior,IQ$30,FALSE))</f>
        <v>#N/A</v>
      </c>
      <c r="IR273" s="1679" t="e">
        <f t="shared" si="232"/>
        <v>#N/A</v>
      </c>
      <c r="IS273" s="1679" t="e">
        <f t="shared" si="232"/>
        <v>#N/A</v>
      </c>
      <c r="IT273" s="1679" t="e">
        <f t="shared" si="232"/>
        <v>#N/A</v>
      </c>
      <c r="IU273" s="1679" t="e">
        <f t="shared" si="232"/>
        <v>#N/A</v>
      </c>
      <c r="IV273" s="1679" t="e">
        <f>IF($CR273="interior",IF(R272&gt;$IP$14,ROUND(($IV$18*($IP$14/R272)),2),$IV$18),VLOOKUP($CS273,Control_Savings_Exterior,IV$30,FALSE))</f>
        <v>#N/A</v>
      </c>
      <c r="IW273" s="1679" t="e">
        <f>IF($CR273="interior",ROUND(((1-IS273)*IV273)+IS273,2),VLOOKUP($CS273,Control_Savings_Exterior,IW$30,FALSE))</f>
        <v>#N/A</v>
      </c>
      <c r="IX273" s="1679" t="e">
        <f>IF($CR273="interior",ROUND(((1-IT273)*IV273)+IT273,2),VLOOKUP($CS273,Control_Savings_Exterior,IX$30,FALSE))</f>
        <v>#N/A</v>
      </c>
      <c r="IY273" s="1679" t="e">
        <f>IF($CR273="interior",IF(R272&gt;$IP$14,ROUND(($IY$18*($IP$14/R272)),2),$IY$18),VLOOKUP($CS273,Control_Savings_Exterior,IY$30,FALSE))</f>
        <v>#N/A</v>
      </c>
      <c r="IZ273" s="1679" t="e">
        <f>IF($CR273="interior",ROUND(((1-IS273)*IY273)+IS273,2),VLOOKUP($CS273,Control_Savings_Exterior,IZ$30,FALSE))</f>
        <v>#N/A</v>
      </c>
      <c r="JA273" s="1679" t="e">
        <f>IF($CR273="interior",ROUND(((1-IT273)*IY273)+IT273,2),VLOOKUP($CS273,Control_Savings_Exterior,JA$30,FALSE))</f>
        <v>#N/A</v>
      </c>
      <c r="JC273" s="1680">
        <f>IFERROR(IF(CR273="Interior",CONCATENATE(G274," ",FQ273),AG273),"")</f>
        <v>0</v>
      </c>
      <c r="JD273" s="1670" t="str">
        <f>IFERROR(VLOOKUP(JC273,_Controls_2023,2,FALSE),"")</f>
        <v/>
      </c>
      <c r="JE273" s="1681">
        <f>IFERROR(CHOOSE(JD273-1,IQ273,IR273,IS273,IT273,IU273,IV273,IW273,IX273,IY273,IZ273,JA273),0)</f>
        <v>0</v>
      </c>
      <c r="JG273" s="1680" t="str">
        <f>FE273</f>
        <v xml:space="preserve"> - </v>
      </c>
      <c r="JH273" s="1670" t="e">
        <f>$FO273</f>
        <v>#N/A</v>
      </c>
      <c r="JI273" s="1060"/>
      <c r="JJ273" s="1670">
        <f>IFERROR(IF($IB271=TRUE,IF(OR(JJ$14="No",JJ271=FALSE,JH273&lt;=JH271,AND(_kWh_Grant=0,GD271=FALSE)),0,IF(JJ$8="Per Line",1,$AF273)),0),0)</f>
        <v>0</v>
      </c>
      <c r="JK273" s="1061"/>
      <c r="JL273" s="1670">
        <f>IFERROR(IF(_kWh_Grant=0,0,IF($IB271=TRUE,IF(OR(JL$14="No",JL271=FALSE,JH273&lt;=JH271),0,IF(JL$8="Per Line",1,$T273)),0)),0)</f>
        <v>0</v>
      </c>
      <c r="JM273" s="1061"/>
      <c r="JN273" s="1670">
        <f>IFERROR(IF(_kWh_Grant=0,0,IF($IB271=TRUE,IF(OR(JN$14="No",JN271=FALSE,JH273&lt;=JH271),0,IF(JN$8="Per Line",1,$AF273)),0)),0)</f>
        <v>0</v>
      </c>
      <c r="JO273" s="1061"/>
      <c r="JP273" s="1670">
        <f>IFERROR(IF(__Retrofit_TI_NC=0,IF(_kWh_Grant=0,0,IF($IB271=TRUE,IF(OR(JP$14="No",JP271=FALSE,$JH273&lt;=$JH271),0,IF(JP$8="Per Line",1,$AF273)),0)),IF($IB271=TRUE,IF(OR(JP$14="No",JP271=FALSE,$JH273&lt;=$JH271),0,IF(JP$8="Per Line",1,$AF273)))),0)</f>
        <v>0</v>
      </c>
      <c r="JQ273" s="1061"/>
      <c r="JR273" s="1670">
        <f>IFERROR(IF(__Retrofit_TI_NC=0,IF(_kWh_Grant=0,0,IF($IB271=TRUE,IF(OR(JR$14="No",JR271=FALSE,$JH273&lt;=$JH271),0,IF(JR$8="Per Line",1,$AF273)),0)),IF($IB271=TRUE,IF(OR(JR$14="No",JR271=FALSE,$JH273&lt;=$JH271),0,IF(JR$8="Per Line",1,$AF273)))),0)</f>
        <v>0</v>
      </c>
      <c r="JS273" s="1061"/>
      <c r="JT273" s="1670">
        <f>IFERROR(IF(__Retrofit_TI_NC=0,IF(_kWh_Grant=0,0,IF($IB271=TRUE,IF(OR(JT$14="No",JT271=FALSE,$JH273&lt;=$JH271),0,IF(JT$8="Per Line",1,$AF273)),0)),IF($IB271=TRUE,IF(OR(JT$14="No",JT271=FALSE,$JH273&lt;=$JH271),0,IF(JT$8="Per Line",1,$AF273)))),0)</f>
        <v>0</v>
      </c>
      <c r="JU273" s="1061"/>
      <c r="JV273" s="1670">
        <f>IFERROR(IF(__Retrofit_TI_NC=0,IF(_kWh_Grant=0,0,IF($IB271=TRUE,IF(OR(JV$14="No",JV271=FALSE,$JH273&lt;=$JH271),0,IF(JV$8="Per Line",1,$AF273)),0)),IF($IB271=TRUE,IF(OR(JV$14="No",JV271=FALSE,$JH273&lt;=$JH271),0,IF(JV$8="Per Line",1,$AF273)))),0)</f>
        <v>0</v>
      </c>
      <c r="JX273" s="1670">
        <f>IFERROR(IF(__Retrofit_TI_NC=0,IF(_kWh_Grant=0,0,IF($IB271=TRUE,IF(OR(JX$14="No",JX271=FALSE,$JH273&lt;=$JH271),0,IF(JX$8="Per Line",1,$AF273)),0)),IF($IB271=TRUE,IF(OR(JX$14="No",JX271=FALSE,$JH273&lt;=$JH271),0,IF(JX$8="Per Line",1,$AF273)))),0)</f>
        <v>0</v>
      </c>
      <c r="JZ273" s="1670">
        <f>IFERROR(IF($IB271=TRUE,IF(OR(JZ$14="No",JZ271=FALSE,$JH273&lt;=$JH271,AND(_kWh_Grant=0,$GD271=FALSE)),0,IF(JZ$8="Per Line",1,$AF273)),0),0)</f>
        <v>0</v>
      </c>
      <c r="KB273" s="1670">
        <f>IFERROR(IF(__Retrofit_TI_NC=0,IF(_kWh_Grant=0,0,IF($IB271=TRUE,IF(OR(KB$14="No",KB271=FALSE,$JH273&lt;=$JH271),0,IF(KB$8="Per Line",1,$AF273)),0)),IF($IB271=TRUE,IF(OR(KB$14="No",KB271=FALSE,$JH273&lt;=$JH271),0,IF(KB$8="Per Line",1,$AF273)))),0)</f>
        <v>0</v>
      </c>
    </row>
    <row r="274" spans="1:288" s="78" customFormat="1" ht="14.95" customHeight="1" thickTop="1" thickBot="1">
      <c r="B274" s="1845"/>
      <c r="C274" s="1846"/>
      <c r="D274" s="1847"/>
      <c r="E274" s="1771" t="s">
        <v>436</v>
      </c>
      <c r="F274" s="1772"/>
      <c r="G274" s="1784" t="s">
        <v>437</v>
      </c>
      <c r="H274" s="1785"/>
      <c r="I274" s="1785"/>
      <c r="J274" s="1785"/>
      <c r="K274" s="1785"/>
      <c r="L274" s="1786"/>
      <c r="M274" s="591">
        <f>IFERROR(VLOOKUP(G274,_Daylight_Table[],2,FALSE),0)</f>
        <v>0</v>
      </c>
      <c r="N274" s="592" t="str">
        <f>IF(AND(__Retrofit_TI_NC&gt;0,CQ271="Interior"),"BAM","")</f>
        <v/>
      </c>
      <c r="O274" s="591" t="e">
        <f>VLOOKUP(G273,'Space Table'!$B$3:$L$163,11,FALSE)</f>
        <v>#N/A</v>
      </c>
      <c r="P274" s="1789"/>
      <c r="Q274" s="1790"/>
      <c r="R274" s="1790"/>
      <c r="S274" s="1788"/>
      <c r="T274" s="593" t="s">
        <v>342</v>
      </c>
      <c r="U274" s="1756" t="str" cm="1">
        <f t="array" aca="1" ref="U274" ca="1">IFERROR(VLOOKUP(INDIRECT("U" &amp; ROW()-1),Fixtures!DM$93:DP$142,4,FALSE),"")</f>
        <v/>
      </c>
      <c r="V274" s="1757"/>
      <c r="W274" s="1757"/>
      <c r="X274" s="1757"/>
      <c r="Y274" s="1757"/>
      <c r="Z274" s="1757"/>
      <c r="AA274" s="1758"/>
      <c r="AB274" s="939" t="str">
        <f>IFERROR(VLOOKUP(U273,Fixtures_Proposed_List,2,FALSE),"")</f>
        <v/>
      </c>
      <c r="AC274" s="933" t="str">
        <f>IFERROR(ROUND(T273*AB274*N272*R272/1000,0),"")</f>
        <v/>
      </c>
      <c r="AD274" s="934" t="str">
        <f>IFERROR(ROUND(T273*AB274/1000,2),"")</f>
        <v/>
      </c>
      <c r="AE274" s="998"/>
      <c r="AF274" s="938" t="s">
        <v>342</v>
      </c>
      <c r="AG274" s="1770"/>
      <c r="AH274" s="1770"/>
      <c r="AI274" s="1770"/>
      <c r="AJ274" s="1770"/>
      <c r="AK274" s="1770"/>
      <c r="AL274" s="1770"/>
      <c r="AM274" s="1727"/>
      <c r="AN274" s="1729"/>
      <c r="AO274" s="1731"/>
      <c r="AP274" s="1782"/>
      <c r="AQ274" s="1783"/>
      <c r="AR274" s="1797"/>
      <c r="AS274" s="1797"/>
      <c r="AT274" s="1798"/>
      <c r="AU274" s="1736"/>
      <c r="AV274" s="1753"/>
      <c r="AW274" s="1706"/>
      <c r="AX274" s="468"/>
      <c r="AY274" s="1750"/>
      <c r="AZ274" s="1750"/>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696"/>
      <c r="CQ274" s="1696"/>
      <c r="CR274" s="1809"/>
      <c r="CS274" s="1811"/>
      <c r="CU274" s="1688"/>
      <c r="CV274" s="1703"/>
      <c r="CW274" s="1703"/>
      <c r="CX274" s="1813"/>
      <c r="CY274" s="1815"/>
      <c r="CZ274" s="1711"/>
      <c r="DA274" s="1815"/>
      <c r="DB274" s="1821"/>
      <c r="DC274" s="1821"/>
      <c r="DD274" s="1821"/>
      <c r="DF274" s="1703"/>
      <c r="DG274" s="1831"/>
      <c r="DH274" s="1813"/>
      <c r="DI274" s="1838"/>
      <c r="DJ274" s="1711"/>
      <c r="DK274" s="1712"/>
      <c r="DN274" s="1718"/>
      <c r="DO274" s="1709"/>
      <c r="DQ274" s="1715"/>
      <c r="DR274" s="1720"/>
      <c r="DS274" s="1703"/>
      <c r="DT274" s="1714"/>
      <c r="DU274" s="1715"/>
      <c r="DV274" s="1716"/>
      <c r="DX274" s="1715"/>
      <c r="DY274" s="1720"/>
      <c r="DZ274" s="1715"/>
      <c r="EA274" s="1715"/>
      <c r="EC274" s="1834"/>
      <c r="ED274" s="1834"/>
      <c r="EF274" s="1707"/>
      <c r="EG274" s="1712"/>
      <c r="EH274" s="1815"/>
      <c r="EI274" s="1712"/>
      <c r="EJ274" s="1712"/>
      <c r="EK274" s="1813"/>
      <c r="EL274" s="1813"/>
      <c r="EM274" s="1807"/>
      <c r="EN274" s="1839"/>
      <c r="EO274" s="1839"/>
      <c r="EP274" s="1817"/>
      <c r="EQ274" s="1817"/>
      <c r="ER274" s="1807"/>
      <c r="ES274" s="1807"/>
      <c r="ET274" s="1807"/>
      <c r="EV274" s="1715"/>
      <c r="EX274" s="1806"/>
      <c r="EY274" s="1806"/>
      <c r="EZ274" s="1806"/>
      <c r="FA274" s="1806"/>
      <c r="FB274" s="1806"/>
      <c r="FC274" s="1828"/>
      <c r="FE274" s="1698"/>
      <c r="FG274" s="1703"/>
      <c r="FH274" s="1703"/>
      <c r="FI274" s="133"/>
      <c r="FL274" s="1823"/>
      <c r="FM274" s="1825"/>
      <c r="FN274" s="1698"/>
      <c r="FO274" s="1698"/>
      <c r="FP274" s="1678"/>
      <c r="FQ274" s="1698"/>
      <c r="FS274" s="1687"/>
      <c r="FT274" s="1687"/>
      <c r="FU274" s="1685"/>
      <c r="FV274" s="1687"/>
      <c r="FW274" s="1687"/>
      <c r="FX274" s="1687"/>
      <c r="FY274" s="1697"/>
      <c r="GA274" s="1696"/>
      <c r="GB274" s="1696"/>
      <c r="GC274" s="1696"/>
      <c r="GD274" s="1696"/>
      <c r="GE274" s="1696"/>
      <c r="GF274" s="1696"/>
      <c r="GG274" s="1696"/>
      <c r="GH274" s="1696"/>
      <c r="GI274" s="673"/>
      <c r="GJ274" s="1135"/>
      <c r="GK274" s="1832"/>
      <c r="GN274" s="674">
        <f>IF(GN272=TRUE,0,GN$16)</f>
        <v>0</v>
      </c>
      <c r="GP274" s="674">
        <f>IF(GP272=TRUE,0,GP$16)</f>
        <v>36</v>
      </c>
      <c r="GQ274" s="674">
        <f ca="1">IF(GQ272=TRUE,0,GQ$16)</f>
        <v>35</v>
      </c>
      <c r="GR274" s="391"/>
      <c r="GS274" s="391"/>
      <c r="GT274" s="391"/>
      <c r="GU274" s="391"/>
      <c r="GV274" s="391"/>
      <c r="HG274" s="674">
        <f>IF(HG272=TRUE,0,HG$16)</f>
        <v>0</v>
      </c>
      <c r="HH274" s="674">
        <f t="shared" ref="HH274:HM274" si="233">IF(HH272=TRUE,0,HH$16)</f>
        <v>19</v>
      </c>
      <c r="HI274" s="674">
        <f t="shared" si="233"/>
        <v>18</v>
      </c>
      <c r="HJ274" s="674">
        <f t="shared" si="233"/>
        <v>17</v>
      </c>
      <c r="HK274" s="674">
        <f t="shared" si="233"/>
        <v>16</v>
      </c>
      <c r="HL274" s="674">
        <f t="shared" si="233"/>
        <v>0</v>
      </c>
      <c r="HM274" s="674">
        <f t="shared" si="233"/>
        <v>0</v>
      </c>
      <c r="HN274" s="674">
        <f>IF(HN272=TRUE,0,HN$16)</f>
        <v>13</v>
      </c>
      <c r="HO274" s="674">
        <f t="shared" ref="HO274:HQ274" si="234">IF(HO272=TRUE,0,HO$16)</f>
        <v>0</v>
      </c>
      <c r="HP274" s="674">
        <f t="shared" si="234"/>
        <v>0</v>
      </c>
      <c r="HQ274" s="674">
        <f t="shared" si="234"/>
        <v>10</v>
      </c>
      <c r="HR274" s="674">
        <f>IF(HR272=TRUE,0,HR$16)</f>
        <v>9</v>
      </c>
      <c r="HS274" s="674">
        <f t="shared" ref="HS274:HW274" si="235">IF(HS272=TRUE,0,HS$16)</f>
        <v>0</v>
      </c>
      <c r="HT274" s="674">
        <f t="shared" si="235"/>
        <v>0</v>
      </c>
      <c r="HU274" s="674">
        <f t="shared" si="235"/>
        <v>0</v>
      </c>
      <c r="HV274" s="674">
        <f t="shared" si="235"/>
        <v>0</v>
      </c>
      <c r="HW274" s="674">
        <f t="shared" si="235"/>
        <v>0</v>
      </c>
      <c r="HX274" s="674">
        <f>IF(HX272=TRUE,0,HX$16)</f>
        <v>0</v>
      </c>
      <c r="HY274" s="674">
        <f>IF(HY272=TRUE,0,HY$16)</f>
        <v>0</v>
      </c>
      <c r="HZ274" s="674">
        <f>IF(HZ272=TRUE,0,HZ$16)</f>
        <v>1</v>
      </c>
      <c r="IB274" s="674">
        <f>IF(GP272=FALSE,GP274,IF(GQ272=FALSE,GQ274,MAX(GN274:HZ274)))</f>
        <v>36</v>
      </c>
      <c r="IC274" s="1692"/>
      <c r="ID274" s="205" t="str">
        <f>VLOOKUP(IB274,_Error_Table,3,FALSE)</f>
        <v xml:space="preserve"> </v>
      </c>
      <c r="IE274" s="205"/>
      <c r="IF274" s="1688"/>
      <c r="IG274" s="1689"/>
      <c r="IH274" s="1684"/>
      <c r="IK274" s="1689"/>
      <c r="IL274" s="1692"/>
      <c r="IM274" s="1692"/>
      <c r="IN274" s="1692"/>
      <c r="IP274" s="1679"/>
      <c r="IQ274" s="1679"/>
      <c r="IR274" s="1679"/>
      <c r="IS274" s="1679"/>
      <c r="IT274" s="1679"/>
      <c r="IU274" s="1679"/>
      <c r="IV274" s="1679"/>
      <c r="IW274" s="1679"/>
      <c r="IX274" s="1679"/>
      <c r="IY274" s="1679"/>
      <c r="IZ274" s="1679"/>
      <c r="JA274" s="1679"/>
      <c r="JC274" s="1680"/>
      <c r="JD274" s="1670"/>
      <c r="JE274" s="1681"/>
      <c r="JG274" s="1680"/>
      <c r="JH274" s="1670"/>
      <c r="JI274" s="1060"/>
      <c r="JJ274" s="1670"/>
      <c r="JK274" s="1061"/>
      <c r="JL274" s="1670"/>
      <c r="JM274" s="1061"/>
      <c r="JN274" s="1670"/>
      <c r="JO274" s="1061"/>
      <c r="JP274" s="1670"/>
      <c r="JQ274" s="1061"/>
      <c r="JR274" s="1670"/>
      <c r="JS274" s="1061"/>
      <c r="JT274" s="1670"/>
      <c r="JU274" s="1061"/>
      <c r="JV274" s="1670"/>
      <c r="JX274" s="1670"/>
      <c r="JZ274" s="1670"/>
      <c r="KB274" s="1670"/>
    </row>
    <row r="275" spans="1:288" s="78" customFormat="1" ht="5.0999999999999996" customHeight="1">
      <c r="B275" s="676"/>
      <c r="C275" s="392"/>
      <c r="D275" s="392"/>
      <c r="E275" s="1733"/>
      <c r="F275" s="1733"/>
      <c r="G275" s="1733"/>
      <c r="H275" s="1733"/>
      <c r="I275" s="1733"/>
      <c r="J275" s="1733"/>
      <c r="K275" s="1733"/>
      <c r="L275" s="1733"/>
      <c r="M275" s="1733"/>
      <c r="N275" s="1733"/>
      <c r="O275" s="1733"/>
      <c r="P275" s="1733"/>
      <c r="Q275" s="1733"/>
      <c r="R275" s="1733"/>
      <c r="S275" s="1733"/>
      <c r="T275" s="1733"/>
      <c r="U275" s="1733"/>
      <c r="V275" s="1733"/>
      <c r="W275" s="1733"/>
      <c r="X275" s="1733"/>
      <c r="Y275" s="1733"/>
      <c r="Z275" s="1733"/>
      <c r="AA275" s="1733"/>
      <c r="AB275" s="1733"/>
      <c r="AC275" s="1733"/>
      <c r="AD275" s="1733"/>
      <c r="AE275" s="1733"/>
      <c r="AF275" s="1733"/>
      <c r="AG275" s="1733"/>
      <c r="AH275" s="1733"/>
      <c r="AI275" s="1733"/>
      <c r="AJ275" s="1733"/>
      <c r="AK275" s="1733"/>
      <c r="AL275" s="1733"/>
      <c r="AM275" s="1733"/>
      <c r="AN275" s="1733"/>
      <c r="AO275" s="1733"/>
      <c r="AP275" s="1733"/>
      <c r="AQ275" s="1733"/>
      <c r="AR275" s="1733"/>
      <c r="AS275" s="1733"/>
      <c r="AT275" s="1733"/>
      <c r="AU275" s="1733"/>
      <c r="AV275" s="1733"/>
      <c r="AW275" s="1733"/>
      <c r="AX275" s="469"/>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663"/>
      <c r="CQ275" s="663"/>
      <c r="CR275" s="438"/>
      <c r="CS275" s="663"/>
      <c r="CV275" s="391"/>
      <c r="CW275" s="391"/>
      <c r="CX275" s="207"/>
      <c r="CY275" s="208"/>
      <c r="CZ275" s="208"/>
      <c r="DA275" s="208"/>
      <c r="DB275" s="209"/>
      <c r="DC275" s="209"/>
      <c r="DD275" s="209"/>
      <c r="DF275" s="664"/>
      <c r="DG275" s="665"/>
      <c r="DH275" s="666"/>
      <c r="DI275" s="667"/>
      <c r="DJ275" s="668"/>
      <c r="DK275" s="668"/>
      <c r="DN275" s="208"/>
      <c r="DO275" s="664"/>
      <c r="DQ275" s="664"/>
      <c r="DR275" s="669"/>
      <c r="DS275" s="391"/>
      <c r="DT275" s="664"/>
      <c r="DU275" s="664"/>
      <c r="DV275" s="664"/>
      <c r="DX275" s="664"/>
      <c r="DY275" s="664"/>
      <c r="DZ275" s="664"/>
      <c r="EA275" s="664"/>
      <c r="EC275" s="670"/>
      <c r="ED275" s="670"/>
      <c r="EF275" s="668"/>
      <c r="EG275" s="668"/>
      <c r="EH275" s="208"/>
      <c r="EI275" s="668"/>
      <c r="EJ275" s="668"/>
      <c r="EK275" s="207"/>
      <c r="EL275" s="207"/>
      <c r="EM275" s="666"/>
      <c r="EN275" s="671"/>
      <c r="EO275" s="671"/>
      <c r="EP275" s="672"/>
      <c r="EQ275" s="672"/>
      <c r="ER275" s="666"/>
      <c r="ES275" s="666"/>
      <c r="ET275" s="666"/>
      <c r="EV275" s="664"/>
      <c r="EX275" s="391"/>
      <c r="EY275" s="391"/>
      <c r="EZ275" s="391"/>
      <c r="FA275" s="391"/>
      <c r="FB275" s="391"/>
      <c r="FC275" s="391"/>
      <c r="FE275" s="569"/>
      <c r="FG275" s="391"/>
      <c r="FH275" s="391"/>
      <c r="FI275" s="391"/>
      <c r="FS275" s="664"/>
      <c r="FT275" s="391"/>
      <c r="FU275" s="391"/>
      <c r="FV275" s="664"/>
      <c r="FW275" s="664"/>
      <c r="GA275" s="663"/>
      <c r="GB275" s="663"/>
      <c r="GC275" s="663"/>
      <c r="GD275" s="663"/>
      <c r="GE275" s="663"/>
      <c r="GF275" s="663"/>
      <c r="GG275" s="663"/>
      <c r="GH275" s="663"/>
      <c r="GI275" s="665"/>
      <c r="GJ275" s="664"/>
      <c r="GK275" s="664"/>
    </row>
    <row r="276" spans="1:288" s="78" customFormat="1" ht="14.95" customHeight="1">
      <c r="B276" s="1845" t="str">
        <f>ID279</f>
        <v xml:space="preserve"> </v>
      </c>
      <c r="C276" s="1846">
        <f>C271+1</f>
        <v>45</v>
      </c>
      <c r="D276" s="1847"/>
      <c r="E276" s="1799" t="s">
        <v>295</v>
      </c>
      <c r="F276" s="1800"/>
      <c r="G276" s="1741"/>
      <c r="H276" s="1742"/>
      <c r="I276" s="1742"/>
      <c r="J276" s="1742"/>
      <c r="K276" s="1742"/>
      <c r="L276" s="1742"/>
      <c r="M276" s="1742"/>
      <c r="N276" s="1742"/>
      <c r="O276" s="1742"/>
      <c r="P276" s="1742"/>
      <c r="Q276" s="1742"/>
      <c r="R276" s="1742"/>
      <c r="S276" s="1791" t="s">
        <v>344</v>
      </c>
      <c r="T276" s="590"/>
      <c r="U276" s="1743"/>
      <c r="V276" s="1744"/>
      <c r="W276" s="1744"/>
      <c r="X276" s="1744"/>
      <c r="Y276" s="1744"/>
      <c r="Z276" s="1744"/>
      <c r="AA276" s="1744"/>
      <c r="AB276" s="961" t="str">
        <f>IFERROR(IF(__Retrofit_TI_NC=0,VLOOKUP(U277,Fixtures_Existing_List,2,FALSE),ROUND(N278*R278/T278,10)),"")</f>
        <v/>
      </c>
      <c r="AC276" s="935" t="str">
        <f>IFERROR(IF(__Retrofit_TI_NC=0,ROUND(T277*AB276*N277*R277/1000,0),IF(CQ276="Interior",N278*R278*R277*N277*_C406_reduction/1000,N278*R278*R277*N277/1000)),"")</f>
        <v/>
      </c>
      <c r="AD276" s="936" t="str">
        <f>IFERROR(IF(C$43=0,ROUND(T277*AB276/1000,2),N278*R278/1000),"")</f>
        <v/>
      </c>
      <c r="AE276" s="997"/>
      <c r="AF276" s="937"/>
      <c r="AG276" s="1745" t="str">
        <f>IF(__Retrofit_TI_NC=0," Control","Select Advanced Control for New System")</f>
        <v xml:space="preserve"> Control</v>
      </c>
      <c r="AH276" s="1745"/>
      <c r="AI276" s="1745"/>
      <c r="AJ276" s="1745"/>
      <c r="AK276" s="1745"/>
      <c r="AL276" s="1745"/>
      <c r="AM276" s="1746">
        <f>IFERROR(DI276,"")</f>
        <v>0</v>
      </c>
      <c r="AN276" s="1774" t="str">
        <f>IFERROR(ROUND(AM276*AC276,0),"")</f>
        <v/>
      </c>
      <c r="AO276" s="1776">
        <f>IFERROR(IF(IB276=FALSE,0,AC276-AN276),0)</f>
        <v>0</v>
      </c>
      <c r="AP276" s="1778">
        <f>AO276-AO278</f>
        <v>0</v>
      </c>
      <c r="AQ276" s="1779"/>
      <c r="AR276" s="1793">
        <f>IFERROR(IF(IB276=FALSE,0,(T278*U279)+(AF278*AG279)),0)</f>
        <v>0</v>
      </c>
      <c r="AS276" s="1793"/>
      <c r="AT276" s="1794"/>
      <c r="AU276" s="1734" t="s">
        <v>237</v>
      </c>
      <c r="AV276" s="1751">
        <f>IF(AU276="Yes",1,0)</f>
        <v>1</v>
      </c>
      <c r="AW276" s="1704" t="str">
        <f>IF(OR(DQ276=4,DQ276=5,DQ276=6,DQ276=12),CONCATENATE("$",IF(GH276=TRUE,Lookup!$K$10,Lookup!$K$2)," /lamp"),CONCATENATE(TEXT(ED276,"$0.00"),"/ kWh"))</f>
        <v>$0.00/ kWh</v>
      </c>
      <c r="AX276" s="467"/>
      <c r="AY276" s="1748">
        <f ca="1">IFERROR(IF(GM277=TRUE,(AB279*T278)/R278,0),"NA")</f>
        <v>0</v>
      </c>
      <c r="AZ276" s="1748"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696" t="str">
        <f>N277</f>
        <v/>
      </c>
      <c r="CQ276" s="1696" t="str">
        <f>IFERROR(VLOOKUP(G277,_Lookup_Heat_Type_Table_New,3,FALSE),"")</f>
        <v/>
      </c>
      <c r="CR276" s="1808" t="str">
        <f>CQ276</f>
        <v/>
      </c>
      <c r="CS276" s="1810" t="str">
        <f>IFERROR(VLOOKUP(G278,'Space Table'!$B$3:$L$163,9,FALSE),"")</f>
        <v/>
      </c>
      <c r="CU276" s="1688" t="s">
        <v>344</v>
      </c>
      <c r="CV276" s="1702">
        <f>IF(IB276=TRUE,T277,0)</f>
        <v>0</v>
      </c>
      <c r="CW276" s="1702" t="str">
        <f>IF(IB276=TRUE,U277,"")</f>
        <v/>
      </c>
      <c r="CX276" s="1702"/>
      <c r="CY276" s="1814">
        <f>IF(IB276=TRUE,AB276,0)</f>
        <v>0</v>
      </c>
      <c r="CZ276" s="1710">
        <f>IF(AND(__Retrofit_TI_NC&gt;0,CR276="interior"),0,IF(IB276=TRUE,AC276,0))</f>
        <v>0</v>
      </c>
      <c r="DA276" s="1814">
        <f>IFERROR(IF(IB276=TRUE,CZ276-CZ278,0),0)</f>
        <v>0</v>
      </c>
      <c r="DB276" s="1819">
        <f>IF(IB276=TRUE,AD276,0)</f>
        <v>0</v>
      </c>
      <c r="DC276" s="1819">
        <f>IF(IB276=TRUE,AD279,0)</f>
        <v>0</v>
      </c>
      <c r="DD276" s="1819">
        <f>IFERROR(DB276-DC276,0)</f>
        <v>0</v>
      </c>
      <c r="DF276" s="1702">
        <f>IF(IB276=TRUE,AF277,0)</f>
        <v>0</v>
      </c>
      <c r="DG276" s="1830">
        <f>IFERROR(IF(__Retrofit_TI_NC=2,IF(CQ276="Exterior",O279,FQ276),FN276),"")</f>
        <v>0</v>
      </c>
      <c r="DH276" s="1702"/>
      <c r="DI276" s="1837">
        <f>JE276</f>
        <v>0</v>
      </c>
      <c r="DJ276" s="1710">
        <f>IF(AND(__Retrofit_TI_NC&gt;0,CR276="interior"),0,IF(IB276=TRUE,AN276,0))</f>
        <v>0</v>
      </c>
      <c r="DK276" s="1712">
        <f>IFERROR(IF(IB276=TRUE,DJ278-DJ276,0),0)</f>
        <v>0</v>
      </c>
      <c r="DM276" s="1717">
        <f>IFERROR(CZ276-DJ276,0)</f>
        <v>0</v>
      </c>
      <c r="DO276" s="1708">
        <f>DM276-DN278</f>
        <v>0</v>
      </c>
      <c r="DQ276" s="1715" t="str">
        <f>IFERROR(IF(AND(OR(GC276=4,GC276=5,GC276=6),OR(GF276=4,GF276=5,GF276=6)),GC276+8,VLOOKUP(CW278,Fixtures!R$31:Y$78,8,FALSE)),"")</f>
        <v/>
      </c>
      <c r="DR276" s="1829" t="str">
        <f>DQ276</f>
        <v/>
      </c>
      <c r="DS276" s="1702" t="str">
        <f>IFERROR(VLOOKUP(DG278,Lookup!BB$3:BC$20,2,FALSE),"")</f>
        <v/>
      </c>
      <c r="DT276" s="1713" t="str">
        <f>IF(OR(DS276=7,DS276=8,DS276=9),"ALC","")</f>
        <v/>
      </c>
      <c r="DU276" s="1715">
        <f>IFERROR(IF(OR(DQ276=4,DQ276=5,DQ276=6,DQ276=12,DQ276=13,DQ276=14),VLOOKUP(CW278,Fixtures!DN$27:EG$77,19,FALSE),1)*CV278,0)</f>
        <v>0</v>
      </c>
      <c r="DV276" s="1716">
        <f>IF(OR(DS276=7,DS276=8,DS276=9),IF(DG276=DG278,0,DF278),0)</f>
        <v>0</v>
      </c>
      <c r="DX276" s="1715" t="str">
        <f>IFERROR(IF(EZ276&lt;EZ278,"Yes","No"),"")</f>
        <v/>
      </c>
      <c r="DY276" s="1829" t="str">
        <f>DX276</f>
        <v/>
      </c>
      <c r="DZ276" s="1715">
        <f>IF(DX276="Yes",DF278,0)</f>
        <v>0</v>
      </c>
      <c r="EA276" s="1715">
        <f>DZ276-DV276</f>
        <v>0</v>
      </c>
      <c r="EC276" s="1834">
        <f>IFERROR(VLOOKUP(DQ276,Lookup!AU$3:AV$16,2,FALSE),0)</f>
        <v>0</v>
      </c>
      <c r="ED276" s="1834">
        <f>IF(IB276=FALSE,0,IF(DX276="Yes",EC276+Lookup!K$6,EC276))</f>
        <v>0</v>
      </c>
      <c r="EF276" s="1707">
        <f>IF(IB276=TRUE,DM276,0)</f>
        <v>0</v>
      </c>
      <c r="EG276" s="1712">
        <f>IF(IB276=TRUE,CZ278,0)</f>
        <v>0</v>
      </c>
      <c r="EH276" s="1814">
        <f>IFERROR(EF276-EG276,0)</f>
        <v>0</v>
      </c>
      <c r="EI276" s="1712">
        <f>IF(IB276=TRUE,DJ278,0)</f>
        <v>0</v>
      </c>
      <c r="EJ276" s="1712">
        <f>IFERROR(EF276-EG276+EI276,0)</f>
        <v>0</v>
      </c>
      <c r="EK276" s="1812">
        <f>IF(IB276=TRUE,CV278*CX278,0)</f>
        <v>0</v>
      </c>
      <c r="EL276" s="1812">
        <f>IF(IB276=TRUE,DF278*DH278,0)</f>
        <v>0</v>
      </c>
      <c r="EM276" s="1807">
        <f>AR276</f>
        <v>0</v>
      </c>
      <c r="EN276" s="1839" t="str">
        <f>IFERROR(IF(IB276=TRUE,VLOOKUP(DQ276,Lookup!AU$3:AW$16,3,FALSE)*DU276,""),0)</f>
        <v/>
      </c>
      <c r="EO276" s="1839">
        <f>IF(IB276=TRUE,DZ276*Lookup!AW$12,0)</f>
        <v>0</v>
      </c>
      <c r="EP276" s="1817">
        <f>IFERROR(IF(IB276=TRUE,EN276/EP$40,0),0)</f>
        <v>0</v>
      </c>
      <c r="EQ276" s="1817">
        <f>IF(IB276=TRUE,EO276/EQ$40,0)</f>
        <v>0</v>
      </c>
      <c r="ER276" s="1807">
        <f>IF(IB276=TRUE,ET$40*EP276,0)</f>
        <v>0</v>
      </c>
      <c r="ES276" s="1807">
        <f>IF(IB276=TRUE,ET$40*EQ276,0)</f>
        <v>0</v>
      </c>
      <c r="ET276" s="1807">
        <f>ER276+ES276</f>
        <v>0</v>
      </c>
      <c r="EV276" s="1715">
        <f>IF(G276="",0,1)</f>
        <v>0</v>
      </c>
      <c r="EX276" s="1804" t="str">
        <f>IFERROR(VLOOKUP(CS278,'Space Table'!$B$3:$L$163,8,FALSE),"")</f>
        <v/>
      </c>
      <c r="EY276" s="1804" t="str">
        <f>IFERROR(IF(FB276="Yes",VLOOKUP(DG276,Lookup_Control_Type_Table2,4,FALSE),VLOOKUP(DG276,Lookup_Control_Type_Table2,3,FALSE)),"")</f>
        <v/>
      </c>
      <c r="EZ276" s="1804" t="e">
        <f>VLOOKUP(DG276,Lookup!BB$3:BC$20,2,FALSE)</f>
        <v>#N/A</v>
      </c>
      <c r="FA276" s="1804" t="e">
        <f>VLOOKUP(EX276,Lookup_Control_Type_Table,2,FALSE)</f>
        <v>#N/A</v>
      </c>
      <c r="FB276" s="1804" t="e">
        <f>VLOOKUP(CS278,'Space Table'!$B$3:$L$163,7,FALSE)</f>
        <v>#N/A</v>
      </c>
      <c r="FC276" s="1826" t="b">
        <f>ISNUMBER(SEARCH("TLED",U278))</f>
        <v>0</v>
      </c>
      <c r="FE276" s="1698" t="str">
        <f>CONCATENATE(CQ276," - ",DG276)</f>
        <v xml:space="preserve"> - 0</v>
      </c>
      <c r="FG276" s="1702" t="str">
        <f>VLOOKUP(CW278,Fixtures!DN$27:EZ$77,38,FALSE)</f>
        <v/>
      </c>
      <c r="FH276" s="1702">
        <f>IFERROR(FG276*EH276,0)</f>
        <v>0</v>
      </c>
      <c r="FI276" s="133"/>
      <c r="FL276" s="1822" t="str">
        <f>IF(CQ276="Exterior","Not Daylighted",G279)</f>
        <v>Not Daylighted</v>
      </c>
      <c r="FM276" s="1824">
        <f>VLOOKUP(FL276,_New_Daylight_Table_Codes,2,FALSE)</f>
        <v>0</v>
      </c>
      <c r="FN276" s="1698">
        <f>IF(__Retrofit_TI_NC&gt;0,VLOOKUP(G278,'Space Table'!$B$3:$L$163,11,FALSE),AG277)</f>
        <v>0</v>
      </c>
      <c r="FO276" s="1698" t="e">
        <f>IF(__Retrofit_TI_NC=2,VLOOKUP(FQ276,_Control_Table,2,FALSE),VLOOKUP(FN276,_Control_Table,2,FALSE))</f>
        <v>#N/A</v>
      </c>
      <c r="FP276" s="1678" t="e">
        <f>VLOOKUP(CONCATENATE(FL276," ",FN276),Lookup!AY$102:AZ286,2,FALSE)</f>
        <v>#N/A</v>
      </c>
      <c r="FQ276" s="1678">
        <f>IF(__Retrofit_TI_NC=0,FN276,IF(AND(FT276&gt;0,FN276="Occupancy Sensor"),"Daylight + Occupancy",IF(AND(FT276&gt;0,VLOOKUP(FN276,_Control_Table,2,FALSE)&lt;4),"Interior Daylight Dimming",FN276)))</f>
        <v>0</v>
      </c>
      <c r="FS276" s="1686">
        <f>IF(CR276="Interior",VLOOKUP(CS276,Control_Savings_Interior,5,FALSE),0)</f>
        <v>0</v>
      </c>
      <c r="FT276" s="1687">
        <f>IF(CQ276="Exterior",0,IF(FM276=2,0.5,IF(OR(FM276=1,FM276=3),1,0)))</f>
        <v>0</v>
      </c>
      <c r="FU276" s="1685">
        <f>IF(R275&gt;FS$44,(FS276*(FS$44/R275)),FS276)*FT276</f>
        <v>0</v>
      </c>
      <c r="FV276" s="1686">
        <f>DI276</f>
        <v>0</v>
      </c>
      <c r="FW276" s="1686">
        <f>ROUND(FV276+((1-FV276)*FU276),2)</f>
        <v>0</v>
      </c>
      <c r="FX276" s="1686">
        <f>IF(__Retrofit_TI_NC=2,FW276,FV276)</f>
        <v>0</v>
      </c>
      <c r="FY276" s="1697"/>
      <c r="GA276" s="1696" t="str">
        <f>IFERROR(VLOOKUP(U277,_Exist_Fixture_Table,3,FALSE),"")</f>
        <v/>
      </c>
      <c r="GB276" s="1696" t="str">
        <f>VLOOKUP(CW276,_Exist_Fixture_Table,4,FALSE)</f>
        <v/>
      </c>
      <c r="GC276" s="1696">
        <f>IFERROR(VLOOKUP(GB276,Lookup!AT$6:AU$8,2,FALSE),0)</f>
        <v>0</v>
      </c>
      <c r="GD276" s="1696" t="b">
        <f>IFERROR(IF(OR(GF276=4,GF276=5,GF276=6),TRUE,FALSE),"")</f>
        <v>0</v>
      </c>
      <c r="GE276" s="1696" t="str">
        <f>IFERROR(VLOOKUP(GF276,GC$6:GD$10,2,FALSE),"")</f>
        <v/>
      </c>
      <c r="GF276" s="1696" t="str">
        <f>VLOOKUP(CW278,Fixtures!R$31:Y$78,8,FALSE)</f>
        <v/>
      </c>
      <c r="GG276" s="1696">
        <f>IF(AND(GA276=TRUE,GD276=TRUE,OR(DQ276=12,DQ276=13,DQ276=14)),GC276+8,0)</f>
        <v>0</v>
      </c>
      <c r="GH276" s="1696" t="b">
        <f>IF(OR(GG276=12,GG276=13,GG276=14),TRUE,FALSE)</f>
        <v>0</v>
      </c>
      <c r="GI276" s="673" t="b">
        <f>IF(ISNUMBER(SEARCH("TLED",U277)),TRUE,FALSE)</f>
        <v>0</v>
      </c>
      <c r="GJ276" s="1135" t="str">
        <f>IFERROR(VLOOKUP(U277,Fixtures!BM$93:BR$142,6,FALSE),"")</f>
        <v/>
      </c>
      <c r="GK276" s="1832" t="b">
        <f>IF(OR(GI276=FALSE,GI278=FALSE),TRUE,IF(GJ276-GJ278&lt;5,FALSE,TRUE))</f>
        <v>1</v>
      </c>
      <c r="GO276" s="674">
        <f>GP276</f>
        <v>0</v>
      </c>
      <c r="GP276" s="674">
        <f>IF(G276="",0,1)</f>
        <v>0</v>
      </c>
      <c r="GQ276" s="674">
        <f ca="1">SUM(GR276:HF276)</f>
        <v>2</v>
      </c>
      <c r="GR276" s="674">
        <f>IF(G277="",0,1)</f>
        <v>0</v>
      </c>
      <c r="GS276" s="674">
        <f>IF(N279="BAM",1,IF(G278="",0,1))</f>
        <v>0</v>
      </c>
      <c r="GT276" s="674">
        <f>IF(N279="BAM",1,IF(R277="",0,1))</f>
        <v>0</v>
      </c>
      <c r="GU276" s="674">
        <f>IF(N279="BAM",1,IF(__Retrofit_TI_NC=0,1,IF(R278="",0,1)))</f>
        <v>1</v>
      </c>
      <c r="GV276" s="674">
        <f>IF(N279="BAM",1,IF(CQ276="Exterior",1,IF(G279="",0,1)))</f>
        <v>1</v>
      </c>
      <c r="GW276" s="674">
        <f>IF(__Retrofit_TI_NC&gt;0,1,IF(T277="",0,1))</f>
        <v>0</v>
      </c>
      <c r="GX276" s="674">
        <f>IF(__Retrofit_TI_NC&gt;0,1,IF(U277="",0,1))</f>
        <v>0</v>
      </c>
      <c r="GY276" s="674">
        <f>IF(N279="BAM",1,IF(T278="",0,1))</f>
        <v>0</v>
      </c>
      <c r="GZ276" s="674">
        <f>IF(N279="BAM",1,IF(U278="",0,1))</f>
        <v>0</v>
      </c>
      <c r="HA276" s="674">
        <f ca="1">IF(N279="BAM",1,IF(__Retrofit_TI_NC&gt;0,1,IF(U279="",0,1)))</f>
        <v>0</v>
      </c>
      <c r="HB276" s="674">
        <f>IF(__Retrofit_TI_NC&lt;&gt;0,1,IF(AF277="",0,1))</f>
        <v>0</v>
      </c>
      <c r="HC276" s="674">
        <f>IF(__Retrofit_TI_NC&lt;&gt;0,1,IF(AG277="",0,1))</f>
        <v>0</v>
      </c>
      <c r="HD276" s="674">
        <f>IF(N279="BAM",1,IF(AF278="",0,1))</f>
        <v>0</v>
      </c>
      <c r="HE276" s="674">
        <f>IF(N279="BAM",1,IF(AG278="",0,1))</f>
        <v>0</v>
      </c>
      <c r="HF276" s="674">
        <f>IF(N279="BAM",1,IF(__Retrofit_TI_NC&gt;0,1,IF(AG279="",0,1)))</f>
        <v>0</v>
      </c>
      <c r="HG276" s="391"/>
      <c r="IA276" s="391"/>
      <c r="IB276" s="1693" t="b">
        <f>IF(OR(IB279=0,IB279=HY$16,IB279=HX$16,IB279=HZ$16),TRUE,FALSE)</f>
        <v>0</v>
      </c>
      <c r="IC276" s="1694" t="b">
        <f>IB276</f>
        <v>0</v>
      </c>
      <c r="ID276" s="391"/>
      <c r="IE276" s="391"/>
      <c r="IF276" s="1688" t="b">
        <f ca="1">IF(MAX(GN279:HU279)&gt;5,FALSE,TRUE)</f>
        <v>0</v>
      </c>
      <c r="IG276" s="1689">
        <f ca="1">IF(IF276=TRUE,AC276,0)</f>
        <v>0</v>
      </c>
      <c r="IH276" s="1689">
        <f ca="1">IG276-IG278</f>
        <v>0</v>
      </c>
      <c r="IK276" s="1689" t="e">
        <f>ROUND(T277*VLOOKUP(U277,Fixtures_Existing_List,2,FALSE)*N277*R277/1000,0)</f>
        <v>#N/A</v>
      </c>
      <c r="IL276" s="1690" t="e">
        <f>IK276-IK278</f>
        <v>#N/A</v>
      </c>
      <c r="IM276" s="1693" t="e">
        <f>ROUND(IF(CQ276="Interior",N278*R278*R277*N277*_C406_reduction/1000,N278*R278*R277*N277/1000),0)</f>
        <v>#N/A</v>
      </c>
      <c r="IN276" s="1693" t="e">
        <f>IM276-IM278</f>
        <v>#N/A</v>
      </c>
      <c r="IP276" s="1679"/>
      <c r="IQ276" s="1679" t="e">
        <f t="shared" ref="IQ276:IU276" si="236">IF($CR276="interior",VLOOKUP($CS276,_New_Control_Savings_Interior,IQ$30,FALSE),VLOOKUP($CS276,Control_Savings_Exterior,IQ$30,FALSE))</f>
        <v>#N/A</v>
      </c>
      <c r="IR276" s="1679" t="e">
        <f t="shared" si="236"/>
        <v>#N/A</v>
      </c>
      <c r="IS276" s="1679" t="e">
        <f t="shared" si="236"/>
        <v>#N/A</v>
      </c>
      <c r="IT276" s="1679" t="e">
        <f t="shared" si="236"/>
        <v>#N/A</v>
      </c>
      <c r="IU276" s="1679" t="e">
        <f t="shared" si="236"/>
        <v>#N/A</v>
      </c>
      <c r="IV276" s="1679" t="e">
        <f>IF($CR276="interior",IF(R277&gt;$IP$14,ROUND(($IV$18*($IP$14/R277)),2),$IV$18),VLOOKUP($CS276,Control_Savings_Exterior,IV$30,FALSE))</f>
        <v>#N/A</v>
      </c>
      <c r="IW276" s="1679" t="e">
        <f>IF($CR276="interior",ROUND(((1-IS276)*IV276)+IS276,2),VLOOKUP($CS276,Control_Savings_Exterior,IW$30,FALSE))</f>
        <v>#N/A</v>
      </c>
      <c r="IX276" s="1679" t="e">
        <f>IF($CR276="interior",ROUND(((1-IT276)*IV276)+IT276,2),VLOOKUP($CS276,Control_Savings_Exterior,IX$30,FALSE))</f>
        <v>#N/A</v>
      </c>
      <c r="IY276" s="1679" t="e">
        <f>IF($CR276="interior",IF(R277&gt;$IP$14,ROUND(($IY$18*($IP$14/R277)),2),$IY$18),VLOOKUP($CS276,Control_Savings_Exterior,IY$30,FALSE))</f>
        <v>#N/A</v>
      </c>
      <c r="IZ276" s="1679" t="e">
        <f>IF($CR276="interior",ROUND(((1-IS276)*IY276)+IS276,2),VLOOKUP($CS276,Control_Savings_Exterior,IZ$30,FALSE))</f>
        <v>#N/A</v>
      </c>
      <c r="JA276" s="1679" t="e">
        <f>IF($CR276="interior",ROUND(((1-IT276)*IY276)+IT276,2),VLOOKUP($CS276,Control_Savings_Exterior,JA$30,FALSE))</f>
        <v>#N/A</v>
      </c>
      <c r="JC276" s="1680">
        <f>IFERROR(IF(CR276="Interior",CONCATENATE(G279," ",FQ276),FQ276),"")</f>
        <v>0</v>
      </c>
      <c r="JD276" s="1670" t="str">
        <f>IFERROR(VLOOKUP(JC276,_Controls_2023,2,FALSE),"")</f>
        <v/>
      </c>
      <c r="JE276" s="1681">
        <f>IFERROR(CHOOSE(JD276-1,IQ276,IR276,IS276,IT276,IU276,IV276,IW276,IX276,IY276,IZ276,JA276),0)</f>
        <v>0</v>
      </c>
      <c r="JG276" s="1680" t="str">
        <f>FE276</f>
        <v xml:space="preserve"> - 0</v>
      </c>
      <c r="JH276" s="1670" t="e">
        <f>$FO276</f>
        <v>#N/A</v>
      </c>
      <c r="JI276" s="1060"/>
      <c r="JJ276" s="1682" t="b">
        <f>IF($JG278=CONCATENATE("Interior - ",JJ$4),TRUE,FALSE)</f>
        <v>0</v>
      </c>
      <c r="JK276" s="1061"/>
      <c r="JL276" s="1682" t="b">
        <f>IF($JG278=CONCATENATE("Interior - ",JL$4),TRUE,FALSE)</f>
        <v>0</v>
      </c>
      <c r="JM276" s="1061"/>
      <c r="JN276" s="1682" t="b">
        <f>IF($JG278=CONCATENATE("Interior - ",JN$4),TRUE,FALSE)</f>
        <v>0</v>
      </c>
      <c r="JO276" s="1061"/>
      <c r="JP276" s="1682" t="b">
        <f>IF(__Retrofit_TI_NC&gt;0,FALSE,IF($JG278=CONCATENATE("Interior - ",JP$4),TRUE,FALSE))</f>
        <v>0</v>
      </c>
      <c r="JQ276" s="1061"/>
      <c r="JR276" s="1682" t="b">
        <f>IF(__Retrofit_TI_NC&gt;0,FALSE,IF($JG278=CONCATENATE("Interior - ",JR$4),TRUE,FALSE))</f>
        <v>0</v>
      </c>
      <c r="JS276" s="1061"/>
      <c r="JT276" s="1670" t="b">
        <f>IF(__Retrofit_TI_NC&gt;0,FALSE,IF($JG278=CONCATENATE("Interior - ",JT$4),TRUE,FALSE))</f>
        <v>0</v>
      </c>
      <c r="JU276" s="1061"/>
      <c r="JV276" s="1670" t="b">
        <f>IF(JC278="AELC on Existing",TRUE,FALSE)</f>
        <v>0</v>
      </c>
      <c r="JX276" s="1670" t="b">
        <f>IF(OR(JG278="Exterior - AELC Occupancy based",JG278="Exterior - AELC Time based"),TRUE,FALSE)</f>
        <v>0</v>
      </c>
      <c r="JZ276" s="1682" t="b">
        <f>IF($JG278=CONCATENATE("Exterior - ",JZ$4),TRUE,FALSE)</f>
        <v>0</v>
      </c>
      <c r="KB276" s="1670" t="b">
        <f>IF(__Retrofit_TI_NC&gt;0,FALSE,IF($JG278=CONCATENATE("Interior - ",KB$4),TRUE,FALSE))</f>
        <v>0</v>
      </c>
    </row>
    <row r="277" spans="1:288" s="78" customFormat="1" ht="14.95" customHeight="1" thickTop="1" thickBot="1">
      <c r="B277" s="1845"/>
      <c r="C277" s="1846"/>
      <c r="D277" s="1847"/>
      <c r="E277" s="1737" t="s">
        <v>297</v>
      </c>
      <c r="F277" s="1738"/>
      <c r="G277" s="1739"/>
      <c r="H277" s="1739"/>
      <c r="I277" s="1739"/>
      <c r="J277" s="1739"/>
      <c r="K277" s="1739"/>
      <c r="L277" s="1739"/>
      <c r="M277" s="461" t="e">
        <f>IF(__Retrofit_TI_NC&lt;&gt;0,IF(VLOOKUP(G278,'Space Table'!$B$3:$L$163,3,FALSE)&gt;0,1,0),IF(__Retrofit_TI_NC=VLOOKUP(G278,'Space Table'!$B$3:$L$163,3,FALSE),1,0))</f>
        <v>#N/A</v>
      </c>
      <c r="N277" s="461" t="str">
        <f>IFERROR(VLOOKUP(G277,_Lookup_Heat_Type_Table_New,2,FALSE),"")</f>
        <v/>
      </c>
      <c r="O277" s="461">
        <f>IF(__Retrofit_TI_NC=1,CONCATENATE("TI ",G277),IF(__Retrofit_TI_NC=2,CONCATENATE("NC ",G277),G277))</f>
        <v>0</v>
      </c>
      <c r="P277" s="1740" t="s">
        <v>435</v>
      </c>
      <c r="Q277" s="1740"/>
      <c r="R277" s="595"/>
      <c r="S277" s="1792"/>
      <c r="T277" s="597"/>
      <c r="U277" s="1765"/>
      <c r="V277" s="1766"/>
      <c r="W277" s="1766"/>
      <c r="X277" s="1766"/>
      <c r="Y277" s="1766"/>
      <c r="Z277" s="1766"/>
      <c r="AA277" s="1766"/>
      <c r="AB277" s="1766"/>
      <c r="AC277" s="1766"/>
      <c r="AD277" s="1767"/>
      <c r="AE277" s="1000"/>
      <c r="AF277" s="597"/>
      <c r="AG277" s="1723"/>
      <c r="AH277" s="1724"/>
      <c r="AI277" s="1724"/>
      <c r="AJ277" s="1724"/>
      <c r="AK277" s="1725"/>
      <c r="AL277" s="996"/>
      <c r="AM277" s="1747"/>
      <c r="AN277" s="1775"/>
      <c r="AO277" s="1777"/>
      <c r="AP277" s="1780"/>
      <c r="AQ277" s="1781"/>
      <c r="AR277" s="1795"/>
      <c r="AS277" s="1795"/>
      <c r="AT277" s="1796"/>
      <c r="AU277" s="1735"/>
      <c r="AV277" s="1752"/>
      <c r="AW277" s="1705"/>
      <c r="AX277" s="467"/>
      <c r="AY277" s="1749"/>
      <c r="AZ277" s="1749"/>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696"/>
      <c r="CQ277" s="1696"/>
      <c r="CR277" s="1809"/>
      <c r="CS277" s="1811"/>
      <c r="CU277" s="1688"/>
      <c r="CV277" s="1703"/>
      <c r="CW277" s="1703"/>
      <c r="CX277" s="1703"/>
      <c r="CY277" s="1815"/>
      <c r="CZ277" s="1711"/>
      <c r="DA277" s="1818"/>
      <c r="DB277" s="1820"/>
      <c r="DC277" s="1820"/>
      <c r="DD277" s="1820"/>
      <c r="DF277" s="1703"/>
      <c r="DG277" s="1831"/>
      <c r="DH277" s="1703"/>
      <c r="DI277" s="1838"/>
      <c r="DJ277" s="1711"/>
      <c r="DK277" s="1712"/>
      <c r="DM277" s="1718"/>
      <c r="DO277" s="1708"/>
      <c r="DQ277" s="1715"/>
      <c r="DR277" s="1720"/>
      <c r="DS277" s="1816"/>
      <c r="DT277" s="1714"/>
      <c r="DU277" s="1715"/>
      <c r="DV277" s="1716"/>
      <c r="DX277" s="1715"/>
      <c r="DY277" s="1720"/>
      <c r="DZ277" s="1715"/>
      <c r="EA277" s="1715"/>
      <c r="EC277" s="1834"/>
      <c r="ED277" s="1834"/>
      <c r="EF277" s="1707"/>
      <c r="EG277" s="1712"/>
      <c r="EH277" s="1818"/>
      <c r="EI277" s="1712"/>
      <c r="EJ277" s="1712"/>
      <c r="EK277" s="1836"/>
      <c r="EL277" s="1836"/>
      <c r="EM277" s="1807"/>
      <c r="EN277" s="1839"/>
      <c r="EO277" s="1839"/>
      <c r="EP277" s="1817"/>
      <c r="EQ277" s="1817"/>
      <c r="ER277" s="1807"/>
      <c r="ES277" s="1807"/>
      <c r="ET277" s="1807"/>
      <c r="EV277" s="1715"/>
      <c r="EX277" s="1805"/>
      <c r="EY277" s="1805"/>
      <c r="EZ277" s="1805"/>
      <c r="FA277" s="1805"/>
      <c r="FB277" s="1805"/>
      <c r="FC277" s="1827"/>
      <c r="FE277" s="1698"/>
      <c r="FG277" s="1816"/>
      <c r="FH277" s="1816"/>
      <c r="FI277" s="133"/>
      <c r="FL277" s="1823"/>
      <c r="FM277" s="1825"/>
      <c r="FN277" s="1698"/>
      <c r="FO277" s="1698"/>
      <c r="FP277" s="1678"/>
      <c r="FQ277" s="1678"/>
      <c r="FS277" s="1687"/>
      <c r="FT277" s="1687"/>
      <c r="FU277" s="1685"/>
      <c r="FV277" s="1687"/>
      <c r="FW277" s="1687"/>
      <c r="FX277" s="1687"/>
      <c r="FY277" s="1697"/>
      <c r="GA277" s="1696"/>
      <c r="GB277" s="1696"/>
      <c r="GC277" s="1696"/>
      <c r="GD277" s="1696"/>
      <c r="GE277" s="1696"/>
      <c r="GF277" s="1696"/>
      <c r="GG277" s="1696"/>
      <c r="GH277" s="1696"/>
      <c r="GI277" s="673"/>
      <c r="GJ277" s="1135"/>
      <c r="GK277" s="1832"/>
      <c r="GM277" s="1693" t="b">
        <f ca="1">IF(AND(GP277=TRUE,GQ277=TRUE),TRUE,FALSE)</f>
        <v>0</v>
      </c>
      <c r="GN277" s="1684" t="b">
        <f>IFERROR(IF(__Retrofit_TI_NC=2,TRUE,IF(AU276="Yes",TRUE,FALSE)),FALSE)</f>
        <v>1</v>
      </c>
      <c r="GP277" s="1684" t="b">
        <f>IFERROR(IF(GP276=1,TRUE,FALSE),FALSE)</f>
        <v>0</v>
      </c>
      <c r="GQ277" s="1684" t="b">
        <f ca="1">IFERROR(IF(GQ276=GQ$14,TRUE,FALSE),FALSE)</f>
        <v>0</v>
      </c>
      <c r="HG277" s="1684" t="b">
        <f>IFERROR(IF(AND(__Retrofit_TI_NC&gt;0,CQ276="Interior"),FALSE,TRUE),FALSE)</f>
        <v>1</v>
      </c>
      <c r="HH277" s="1684" t="b">
        <f>IFERROR(IF(M277=1,TRUE,FALSE),FALSE)</f>
        <v>0</v>
      </c>
      <c r="HI277" s="1684" t="b">
        <f>IFERROR(IF(OR(M278=1,N279="BAM"),TRUE,FALSE),FALSE)</f>
        <v>0</v>
      </c>
      <c r="HJ277" s="1684" t="b">
        <f>IFERROR(IF(__Retrofit_TI_NC&lt;&gt;0,TRUE,IFERROR(IF(VLOOKUP(U277,Fixtures_Existing_List,2,FALSE)&lt;&gt;"",TRUE,FALSE),FALSE)),FALSE)</f>
        <v>0</v>
      </c>
      <c r="HK277" s="1684" t="b">
        <f>IFERROR(IF(VLOOKUP(U278,Fixtures_Proposed_List,2,FALSE)&lt;&gt;"",TRUE,FALSE),FALSE)</f>
        <v>0</v>
      </c>
      <c r="HL277" s="1684" t="b">
        <f>IF(AND(__Retrofit_TI_NC=2,FC276=TRUE),FALSE,TRUE)</f>
        <v>1</v>
      </c>
      <c r="HM277" s="1684" t="b">
        <f>GK276</f>
        <v>1</v>
      </c>
      <c r="HN277" s="1682" t="b">
        <f>IF(ISERROR(MATCH(FE276,_Control_Match[],0))=TRUE,FALSE,TRUE)</f>
        <v>0</v>
      </c>
      <c r="HO277" s="1693" t="b">
        <f>IFERROR(IF(EX276&lt;&gt;EY276,FALSE,TRUE),FALSE)</f>
        <v>1</v>
      </c>
      <c r="HP277" s="1693" t="b">
        <f>IFERROR(IF(EX278&lt;&gt;EY278,FALSE,TRUE),FALSE)</f>
        <v>1</v>
      </c>
      <c r="HQ277" s="1670" t="b">
        <f>IFERROR(IF(CQ276="Exterior",TRUE,IF(AND(OR(FM278=0,FM278=3),JD278&gt;6),FALSE,TRUE)),FALSE)</f>
        <v>0</v>
      </c>
      <c r="HR277" s="1684" t="b">
        <f>IFERROR(IF(AND(FO278=7,FC276=TRUE),FALSE,TRUE),FALSE)</f>
        <v>0</v>
      </c>
      <c r="HS277" s="1684" t="b">
        <f>IFERROR(IF(AND(T278&lt;&gt;AF278,OR(AG278="Interior LLLC", AG278="Interior NLC", AG278="LLLC (outside Daylight)",AG278="LLLC Controls Only"))=TRUE,FALSE,TRUE),FALSE)</f>
        <v>1</v>
      </c>
      <c r="HT277" s="1670" t="b">
        <f>IFERROR(IF(OR(AG278=Lookup!BB$17,AG278=Lookup!BB$18,AG278=Lookup!BB$19)=TRUE,IF(AF278&gt;T278,FALSE,TRUE),TRUE),FALSE)</f>
        <v>1</v>
      </c>
      <c r="HU277" s="1684" t="b">
        <f>IFERROR(IF(__Retrofit_TI_NC=2,IF(EZ278&lt;EZ276,FALSE,TRUE),TRUE),FALSE)</f>
        <v>1</v>
      </c>
      <c r="HV277" s="1684" t="b">
        <f>IF(CQ276="Interior",IL$6,TRUE)</f>
        <v>1</v>
      </c>
      <c r="HW277" s="1684" t="b">
        <f>IF(CQ276="Exterior",IL$8,TRUE)</f>
        <v>1</v>
      </c>
      <c r="HX277" s="1684" t="b">
        <f>IFERROR(IF(__Retrofit_TI_NC&lt;&gt;0,IF(AZ276&lt;AY276,FALSE,TRUE),TRUE),FALSE)</f>
        <v>1</v>
      </c>
      <c r="HY277" s="1684" t="b">
        <f>IFERROR(IF(AND(G277="Exterior",R277&gt;4200),FALSE,TRUE),FALSE)</f>
        <v>1</v>
      </c>
      <c r="HZ277" s="1684" t="b">
        <f>IFERROR(IF(AB279/AB276&lt;HZ$18,FALSE,TRUE),FALSE)</f>
        <v>0</v>
      </c>
      <c r="IB277" s="1691"/>
      <c r="IC277" s="1695"/>
      <c r="ID277" s="1694" t="str">
        <f>VLOOKUP(IB279,_Error_Table,4,FALSE)</f>
        <v>White</v>
      </c>
      <c r="IE277" s="391"/>
      <c r="IF277" s="1688"/>
      <c r="IG277" s="1689"/>
      <c r="IH277" s="1684"/>
      <c r="IK277" s="1689"/>
      <c r="IL277" s="1691"/>
      <c r="IM277" s="1691"/>
      <c r="IN277" s="1691"/>
      <c r="IP277" s="1679"/>
      <c r="IQ277" s="1679"/>
      <c r="IR277" s="1679"/>
      <c r="IS277" s="1679"/>
      <c r="IT277" s="1679"/>
      <c r="IU277" s="1679"/>
      <c r="IV277" s="1679"/>
      <c r="IW277" s="1679"/>
      <c r="IX277" s="1679"/>
      <c r="IY277" s="1679"/>
      <c r="IZ277" s="1679"/>
      <c r="JA277" s="1679"/>
      <c r="JC277" s="1680"/>
      <c r="JD277" s="1670"/>
      <c r="JE277" s="1681"/>
      <c r="JG277" s="1680"/>
      <c r="JH277" s="1670"/>
      <c r="JI277" s="1060"/>
      <c r="JJ277" s="1683"/>
      <c r="JK277" s="1061"/>
      <c r="JL277" s="1683"/>
      <c r="JM277" s="1061"/>
      <c r="JN277" s="1683"/>
      <c r="JO277" s="1061"/>
      <c r="JP277" s="1683"/>
      <c r="JQ277" s="1061"/>
      <c r="JR277" s="1683"/>
      <c r="JS277" s="1061"/>
      <c r="JT277" s="1670"/>
      <c r="JU277" s="1061"/>
      <c r="JV277" s="1670"/>
      <c r="JX277" s="1670"/>
      <c r="JZ277" s="1683"/>
      <c r="KB277" s="1670"/>
    </row>
    <row r="278" spans="1:288" s="78" customFormat="1" ht="14.95" customHeight="1" thickTop="1" thickBot="1">
      <c r="A278" s="78">
        <f>ROW()</f>
        <v>278</v>
      </c>
      <c r="B278" s="1845"/>
      <c r="C278" s="1846"/>
      <c r="D278" s="1847"/>
      <c r="E278" s="1737" t="s">
        <v>298</v>
      </c>
      <c r="F278" s="1738"/>
      <c r="G278" s="1760"/>
      <c r="H278" s="1761"/>
      <c r="I278" s="1761"/>
      <c r="J278" s="1761"/>
      <c r="K278" s="1761"/>
      <c r="L278" s="1762"/>
      <c r="M278" s="461">
        <f>IFERROR(IF(IF(__Retrofit_TI_NC&lt;&gt;0,IF(CQ276="Interior",MATCH(G278,Lookup_Interior_New,0),MATCH(G278,Lookup_Exterior_New,0)),IF(CQ276="Interior",MATCH(G278,Lookup_Interior,0),MATCH(G278,Lookup_Exterior_Areas,0)))&gt;0,1,0),0)</f>
        <v>0</v>
      </c>
      <c r="N278" s="461" t="e">
        <f>IF(__Retrofit_TI_NC=1,
VLOOKUP(G278,'Space Table'!$B$3:$L$163,4,FALSE),
IF(__Retrofit_TI_NC=2,VLOOKUP(G278,'Space Table'!$B$3:$L$163,5,FALSE),VLOOKUP(G278,'Space Table'!$B$3:$L$163,5,FALSE)))</f>
        <v>#N/A</v>
      </c>
      <c r="O278" s="461">
        <f>G278</f>
        <v>0</v>
      </c>
      <c r="P278" s="1738" t="str">
        <f>IFERROR(IF(__Retrofit_TI_NC=1,VLOOKUP(G278,'Space Table'!$B$3:$O$163,13,FALSE),IF(__Retrofit_TI_NC=2,VLOOKUP(G278,'Space Table'!$B$3:$O$163,14,FALSE),"Area (sf):")),"Area (sf):")</f>
        <v>Area (sf):</v>
      </c>
      <c r="Q278" s="1738"/>
      <c r="R278" s="596"/>
      <c r="S278" s="1763" t="s">
        <v>345</v>
      </c>
      <c r="T278" s="594"/>
      <c r="U278" s="1801"/>
      <c r="V278" s="1802"/>
      <c r="W278" s="1802"/>
      <c r="X278" s="1802"/>
      <c r="Y278" s="1802"/>
      <c r="Z278" s="1802"/>
      <c r="AA278" s="1802"/>
      <c r="AB278" s="1802"/>
      <c r="AC278" s="1802"/>
      <c r="AD278" s="1802"/>
      <c r="AE278" s="1803"/>
      <c r="AF278" s="594"/>
      <c r="AG278" s="1787"/>
      <c r="AH278" s="1787"/>
      <c r="AI278" s="1787"/>
      <c r="AJ278" s="1787"/>
      <c r="AK278" s="1787"/>
      <c r="AL278" s="1787"/>
      <c r="AM278" s="1726">
        <f>IFERROR(DI278,"")</f>
        <v>0</v>
      </c>
      <c r="AN278" s="1728" t="str">
        <f>IFERROR(ROUND(AM278*AC279,0),"")</f>
        <v/>
      </c>
      <c r="AO278" s="1730">
        <f>IFERROR(IF(IB276=FALSE,0,AC279-AN278),0)</f>
        <v>0</v>
      </c>
      <c r="AP278" s="1780"/>
      <c r="AQ278" s="1781"/>
      <c r="AR278" s="1795"/>
      <c r="AS278" s="1795"/>
      <c r="AT278" s="1796"/>
      <c r="AU278" s="1735"/>
      <c r="AV278" s="1752"/>
      <c r="AW278" s="1705"/>
      <c r="AX278" s="467"/>
      <c r="AY278" s="1749"/>
      <c r="AZ278" s="1749"/>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696"/>
      <c r="CQ278" s="1696"/>
      <c r="CR278" s="1808" t="str">
        <f>CQ276</f>
        <v/>
      </c>
      <c r="CS278" s="1810" t="str">
        <f>CS276</f>
        <v/>
      </c>
      <c r="CU278" s="1688" t="s">
        <v>345</v>
      </c>
      <c r="CV278" s="1702">
        <f>IF(IB276=TRUE,T278,0)</f>
        <v>0</v>
      </c>
      <c r="CW278" s="1702" t="str">
        <f>IF(IB276=TRUE,U278,"")</f>
        <v/>
      </c>
      <c r="CX278" s="1812">
        <f>IF(IB276=TRUE,U279,0)</f>
        <v>0</v>
      </c>
      <c r="CY278" s="1814">
        <f>IF(IB276=TRUE,AB279,0)</f>
        <v>0</v>
      </c>
      <c r="CZ278" s="1710">
        <f>IF(AND(__Retrofit_TI_NC&gt;0,CR276="interior"),0,IF(IB276=TRUE,AC279,0))</f>
        <v>0</v>
      </c>
      <c r="DA278" s="1818"/>
      <c r="DB278" s="1820"/>
      <c r="DC278" s="1820"/>
      <c r="DD278" s="1820"/>
      <c r="DF278" s="1702">
        <f>IF(IB276=TRUE,AF278,0)</f>
        <v>0</v>
      </c>
      <c r="DG278" s="1830" t="str">
        <f>IF(IB276=TRUE,AG278,"")</f>
        <v/>
      </c>
      <c r="DH278" s="1812">
        <f>AG279</f>
        <v>0</v>
      </c>
      <c r="DI278" s="1837">
        <f>JE278</f>
        <v>0</v>
      </c>
      <c r="DJ278" s="1710">
        <f>IF(AND(__Retrofit_TI_NC&gt;0,CR276="interior"),0,IF(IB276=TRUE,AN278,0))</f>
        <v>0</v>
      </c>
      <c r="DK278" s="1712"/>
      <c r="DN278" s="1717">
        <f>IFERROR(CZ278-DJ278,0)</f>
        <v>0</v>
      </c>
      <c r="DO278" s="1709"/>
      <c r="DQ278" s="1715"/>
      <c r="DR278" s="1719" t="str">
        <f>DQ276</f>
        <v/>
      </c>
      <c r="DS278" s="1816"/>
      <c r="DT278" s="1835" t="str">
        <f>IF(OR(DS276=7,DS276=8,DS276=9),"ALC","")</f>
        <v/>
      </c>
      <c r="DU278" s="1715"/>
      <c r="DV278" s="1716"/>
      <c r="DX278" s="1715"/>
      <c r="DY278" s="1829" t="str">
        <f>DX276</f>
        <v/>
      </c>
      <c r="DZ278" s="1715"/>
      <c r="EA278" s="1715"/>
      <c r="EC278" s="1834"/>
      <c r="ED278" s="1834"/>
      <c r="EF278" s="1707"/>
      <c r="EG278" s="1712"/>
      <c r="EH278" s="1818"/>
      <c r="EI278" s="1712"/>
      <c r="EJ278" s="1712"/>
      <c r="EK278" s="1836"/>
      <c r="EL278" s="1836"/>
      <c r="EM278" s="1807"/>
      <c r="EN278" s="1839"/>
      <c r="EO278" s="1839"/>
      <c r="EP278" s="1817"/>
      <c r="EQ278" s="1817"/>
      <c r="ER278" s="1807"/>
      <c r="ES278" s="1807"/>
      <c r="ET278" s="1807"/>
      <c r="EV278" s="1715"/>
      <c r="EX278" s="1805" t="str">
        <f>IFERROR(VLOOKUP(CS278,'Space Table'!$B$3:$L$163,8,FALSE),"")</f>
        <v/>
      </c>
      <c r="EY278" s="1805" t="str">
        <f>IFERROR(IF(FB278="Yes",VLOOKUP(AG278,Lookup_Control_Type_Table2,4,FALSE),VLOOKUP(AG278,Lookup_Control_Type_Table2,3,FALSE)),"")</f>
        <v/>
      </c>
      <c r="EZ278" s="1805" t="e">
        <f>VLOOKUP(AG278,Lookup!BB$3:BC$20,2,FALSE)</f>
        <v>#N/A</v>
      </c>
      <c r="FA278" s="1805" t="e">
        <f>VLOOKUP(EX276,Lookup_Control_Type_Table,2,FALSE)</f>
        <v>#N/A</v>
      </c>
      <c r="FB278" s="1805" t="e">
        <f>VLOOKUP(CS278,'Space Table'!$B$3:$L$163,7,FALSE)</f>
        <v>#N/A</v>
      </c>
      <c r="FC278" s="1827"/>
      <c r="FE278" s="1698" t="str">
        <f>CONCATENATE(CQ276," - ",AG278)</f>
        <v xml:space="preserve"> - </v>
      </c>
      <c r="FG278" s="1816"/>
      <c r="FH278" s="1816"/>
      <c r="FI278" s="133"/>
      <c r="FL278" s="1822" t="str">
        <f>IF(CQ276="Exterior","Not Daylighted",G279)</f>
        <v>Not Daylighted</v>
      </c>
      <c r="FM278" s="1824">
        <f>VLOOKUP(FL278,_New_Daylight_Table_Codes,2,FALSE)</f>
        <v>0</v>
      </c>
      <c r="FN278" s="1698">
        <f>AG278</f>
        <v>0</v>
      </c>
      <c r="FO278" s="1698" t="e">
        <f>VLOOKUP(FN278,_Control_Table,2,FALSE)</f>
        <v>#N/A</v>
      </c>
      <c r="FP278" s="1678" t="e">
        <f>VLOOKUP(CONCATENATE(FL278," ",FN278),Lookup!AY$102:AZ289,2,FALSE)</f>
        <v>#N/A</v>
      </c>
      <c r="FQ278" s="1698">
        <f>IF(__Retrofit_TI_NC=0,FN278,IF(AND(FT278&gt;0,FN278="Occupancy Sensor"),"Daylight + Occupancy",IF(AND(FT278&gt;0,FO278&lt;4),"Interior Daylight Dimming",FN278)))</f>
        <v>0</v>
      </c>
      <c r="FS278" s="1686">
        <f>IF(CQ276="Interior",VLOOKUP(CS276,Control_Savings_Interior,5,FALSE),0)</f>
        <v>0</v>
      </c>
      <c r="FT278" s="1687">
        <f>IF(CQ278="Exterior",0,IF(FM278=2,0.5,IF(OR(FM278=1,FM278=3),1,0)))</f>
        <v>0</v>
      </c>
      <c r="FU278" s="1685">
        <f>IF(R277&gt;FS$44,(FS278*(FS$44/R277)),FS278)*FT278</f>
        <v>0</v>
      </c>
      <c r="FV278" s="1686">
        <f>DI278</f>
        <v>0</v>
      </c>
      <c r="FW278" s="1686">
        <f>ROUND(FV278+((1-FV278)*FU278),2)</f>
        <v>0</v>
      </c>
      <c r="FX278" s="1686">
        <f>IF(__Retrofit_TI_NC=2,FW278,FV278)</f>
        <v>0</v>
      </c>
      <c r="FY278" s="1697">
        <f>IF(CR278="Interior",VLOOKUP(CS278,Control_Savings_Interior,4,FALSE),0)</f>
        <v>0</v>
      </c>
      <c r="GA278" s="1696"/>
      <c r="GB278" s="1696"/>
      <c r="GC278" s="1696"/>
      <c r="GD278" s="1696"/>
      <c r="GE278" s="1696"/>
      <c r="GF278" s="1696"/>
      <c r="GG278" s="1696"/>
      <c r="GH278" s="1696"/>
      <c r="GI278" s="673" t="b">
        <f>IF(ISNUMBER(SEARCH("TLED",U278)),TRUE,FALSE)</f>
        <v>0</v>
      </c>
      <c r="GJ278" s="1135" t="str">
        <f>IFERROR(VLOOKUP(U278,Fixtures!DM$93:DR$142,6,FALSE),"")</f>
        <v/>
      </c>
      <c r="GK278" s="1832"/>
      <c r="GM278" s="1692"/>
      <c r="GN278" s="1684"/>
      <c r="GP278" s="1684"/>
      <c r="GQ278" s="1684"/>
      <c r="HG278" s="1684"/>
      <c r="HH278" s="1684"/>
      <c r="HI278" s="1684"/>
      <c r="HJ278" s="1684"/>
      <c r="HK278" s="1684"/>
      <c r="HL278" s="1684"/>
      <c r="HM278" s="1684"/>
      <c r="HN278" s="1683"/>
      <c r="HO278" s="1692"/>
      <c r="HP278" s="1692"/>
      <c r="HQ278" s="1670"/>
      <c r="HR278" s="1684"/>
      <c r="HS278" s="1684"/>
      <c r="HT278" s="1670"/>
      <c r="HU278" s="1684"/>
      <c r="HV278" s="1684"/>
      <c r="HW278" s="1684"/>
      <c r="HX278" s="1684"/>
      <c r="HY278" s="1684"/>
      <c r="HZ278" s="1684"/>
      <c r="IB278" s="1692"/>
      <c r="IC278" s="1693" t="b">
        <f>IB276</f>
        <v>0</v>
      </c>
      <c r="ID278" s="1695"/>
      <c r="IE278" s="391"/>
      <c r="IF278" s="1688"/>
      <c r="IG278" s="1689">
        <f ca="1">IF(IF276=TRUE,AC279,0)</f>
        <v>0</v>
      </c>
      <c r="IH278" s="1684"/>
      <c r="IK278" s="1689" t="e">
        <f>ROUND(T278*AB279*N277*R277/1000,0)</f>
        <v>#VALUE!</v>
      </c>
      <c r="IL278" s="1691"/>
      <c r="IM278" s="1693" t="e">
        <f>ROUND(T278*AB279*N277*R277/1000,0)</f>
        <v>#VALUE!</v>
      </c>
      <c r="IN278" s="1691"/>
      <c r="IP278" s="1679"/>
      <c r="IQ278" s="1679" t="e">
        <f t="shared" ref="IQ278:IU278" si="237">IF($CR278="interior",VLOOKUP($CS278,_New_Control_Savings_Interior,IQ$30,FALSE),VLOOKUP($CS278,Control_Savings_Exterior,IQ$30,FALSE))</f>
        <v>#N/A</v>
      </c>
      <c r="IR278" s="1679" t="e">
        <f t="shared" si="237"/>
        <v>#N/A</v>
      </c>
      <c r="IS278" s="1679" t="e">
        <f t="shared" si="237"/>
        <v>#N/A</v>
      </c>
      <c r="IT278" s="1679" t="e">
        <f t="shared" si="237"/>
        <v>#N/A</v>
      </c>
      <c r="IU278" s="1679" t="e">
        <f t="shared" si="237"/>
        <v>#N/A</v>
      </c>
      <c r="IV278" s="1679" t="e">
        <f>IF($CR278="interior",IF(R277&gt;$IP$14,ROUND(($IV$18*($IP$14/R277)),2),$IV$18),VLOOKUP($CS278,Control_Savings_Exterior,IV$30,FALSE))</f>
        <v>#N/A</v>
      </c>
      <c r="IW278" s="1679" t="e">
        <f>IF($CR278="interior",ROUND(((1-IS278)*IV278)+IS278,2),VLOOKUP($CS278,Control_Savings_Exterior,IW$30,FALSE))</f>
        <v>#N/A</v>
      </c>
      <c r="IX278" s="1679" t="e">
        <f>IF($CR278="interior",ROUND(((1-IT278)*IV278)+IT278,2),VLOOKUP($CS278,Control_Savings_Exterior,IX$30,FALSE))</f>
        <v>#N/A</v>
      </c>
      <c r="IY278" s="1679" t="e">
        <f>IF($CR278="interior",IF(R277&gt;$IP$14,ROUND(($IY$18*($IP$14/R277)),2),$IY$18),VLOOKUP($CS278,Control_Savings_Exterior,IY$30,FALSE))</f>
        <v>#N/A</v>
      </c>
      <c r="IZ278" s="1679" t="e">
        <f>IF($CR278="interior",ROUND(((1-IS278)*IY278)+IS278,2),VLOOKUP($CS278,Control_Savings_Exterior,IZ$30,FALSE))</f>
        <v>#N/A</v>
      </c>
      <c r="JA278" s="1679" t="e">
        <f>IF($CR278="interior",ROUND(((1-IT278)*IY278)+IT278,2),VLOOKUP($CS278,Control_Savings_Exterior,JA$30,FALSE))</f>
        <v>#N/A</v>
      </c>
      <c r="JC278" s="1680">
        <f>IFERROR(IF(CR278="Interior",CONCATENATE(G279," ",FQ278),AG278),"")</f>
        <v>0</v>
      </c>
      <c r="JD278" s="1670" t="str">
        <f>IFERROR(VLOOKUP(JC278,_Controls_2023,2,FALSE),"")</f>
        <v/>
      </c>
      <c r="JE278" s="1681">
        <f>IFERROR(CHOOSE(JD278-1,IQ278,IR278,IS278,IT278,IU278,IV278,IW278,IX278,IY278,IZ278,JA278),0)</f>
        <v>0</v>
      </c>
      <c r="JG278" s="1680" t="str">
        <f>FE278</f>
        <v xml:space="preserve"> - </v>
      </c>
      <c r="JH278" s="1670" t="e">
        <f>$FO278</f>
        <v>#N/A</v>
      </c>
      <c r="JI278" s="1060"/>
      <c r="JJ278" s="1670">
        <f>IFERROR(IF($IB276=TRUE,IF(OR(JJ$14="No",JJ276=FALSE,JH278&lt;=JH276,AND(_kWh_Grant=0,GD276=FALSE)),0,IF(JJ$8="Per Line",1,$AF278)),0),0)</f>
        <v>0</v>
      </c>
      <c r="JK278" s="1061"/>
      <c r="JL278" s="1670">
        <f>IFERROR(IF(_kWh_Grant=0,0,IF($IB276=TRUE,IF(OR(JL$14="No",JL276=FALSE,JH278&lt;=JH276),0,IF(JL$8="Per Line",1,$T278)),0)),0)</f>
        <v>0</v>
      </c>
      <c r="JM278" s="1061"/>
      <c r="JN278" s="1670">
        <f>IFERROR(IF(_kWh_Grant=0,0,IF($IB276=TRUE,IF(OR(JN$14="No",JN276=FALSE,JH278&lt;=JH276),0,IF(JN$8="Per Line",1,$AF278)),0)),0)</f>
        <v>0</v>
      </c>
      <c r="JO278" s="1061"/>
      <c r="JP278" s="1670">
        <f>IFERROR(IF(__Retrofit_TI_NC=0,IF(_kWh_Grant=0,0,IF($IB276=TRUE,IF(OR(JP$14="No",JP276=FALSE,$JH278&lt;=$JH276),0,IF(JP$8="Per Line",1,$AF278)),0)),IF($IB276=TRUE,IF(OR(JP$14="No",JP276=FALSE,$JH278&lt;=$JH276),0,IF(JP$8="Per Line",1,$AF278)))),0)</f>
        <v>0</v>
      </c>
      <c r="JQ278" s="1061"/>
      <c r="JR278" s="1670">
        <f>IFERROR(IF(__Retrofit_TI_NC=0,IF(_kWh_Grant=0,0,IF($IB276=TRUE,IF(OR(JR$14="No",JR276=FALSE,$JH278&lt;=$JH276),0,IF(JR$8="Per Line",1,$AF278)),0)),IF($IB276=TRUE,IF(OR(JR$14="No",JR276=FALSE,$JH278&lt;=$JH276),0,IF(JR$8="Per Line",1,$AF278)))),0)</f>
        <v>0</v>
      </c>
      <c r="JS278" s="1061"/>
      <c r="JT278" s="1670">
        <f>IFERROR(IF(__Retrofit_TI_NC=0,IF(_kWh_Grant=0,0,IF($IB276=TRUE,IF(OR(JT$14="No",JT276=FALSE,$JH278&lt;=$JH276),0,IF(JT$8="Per Line",1,$AF278)),0)),IF($IB276=TRUE,IF(OR(JT$14="No",JT276=FALSE,$JH278&lt;=$JH276),0,IF(JT$8="Per Line",1,$AF278)))),0)</f>
        <v>0</v>
      </c>
      <c r="JU278" s="1061"/>
      <c r="JV278" s="1670">
        <f>IFERROR(IF(__Retrofit_TI_NC=0,IF(_kWh_Grant=0,0,IF($IB276=TRUE,IF(OR(JV$14="No",JV276=FALSE,$JH278&lt;=$JH276),0,IF(JV$8="Per Line",1,$AF278)),0)),IF($IB276=TRUE,IF(OR(JV$14="No",JV276=FALSE,$JH278&lt;=$JH276),0,IF(JV$8="Per Line",1,$AF278)))),0)</f>
        <v>0</v>
      </c>
      <c r="JX278" s="1670">
        <f>IFERROR(IF(__Retrofit_TI_NC=0,IF(_kWh_Grant=0,0,IF($IB276=TRUE,IF(OR(JX$14="No",JX276=FALSE,$JH278&lt;=$JH276),0,IF(JX$8="Per Line",1,$AF278)),0)),IF($IB276=TRUE,IF(OR(JX$14="No",JX276=FALSE,$JH278&lt;=$JH276),0,IF(JX$8="Per Line",1,$AF278)))),0)</f>
        <v>0</v>
      </c>
      <c r="JZ278" s="1670">
        <f>IFERROR(IF($IB276=TRUE,IF(OR(JZ$14="No",JZ276=FALSE,$JH278&lt;=$JH276,AND(_kWh_Grant=0,$GD276=FALSE)),0,IF(JZ$8="Per Line",1,$AF278)),0),0)</f>
        <v>0</v>
      </c>
      <c r="KB278" s="1670">
        <f>IFERROR(IF(__Retrofit_TI_NC=0,IF(_kWh_Grant=0,0,IF($IB276=TRUE,IF(OR(KB$14="No",KB276=FALSE,$JH278&lt;=$JH276),0,IF(KB$8="Per Line",1,$AF278)),0)),IF($IB276=TRUE,IF(OR(KB$14="No",KB276=FALSE,$JH278&lt;=$JH276),0,IF(KB$8="Per Line",1,$AF278)))),0)</f>
        <v>0</v>
      </c>
    </row>
    <row r="279" spans="1:288" s="78" customFormat="1" ht="14.95" customHeight="1" thickTop="1" thickBot="1">
      <c r="B279" s="1845"/>
      <c r="C279" s="1846"/>
      <c r="D279" s="1847"/>
      <c r="E279" s="1771" t="s">
        <v>436</v>
      </c>
      <c r="F279" s="1772"/>
      <c r="G279" s="1784" t="s">
        <v>437</v>
      </c>
      <c r="H279" s="1785"/>
      <c r="I279" s="1785"/>
      <c r="J279" s="1785"/>
      <c r="K279" s="1785"/>
      <c r="L279" s="1786"/>
      <c r="M279" s="591">
        <f>IFERROR(VLOOKUP(G279,_Daylight_Table[],2,FALSE),0)</f>
        <v>0</v>
      </c>
      <c r="N279" s="592" t="str">
        <f>IF(AND(__Retrofit_TI_NC&gt;0,CQ276="Interior"),"BAM","")</f>
        <v/>
      </c>
      <c r="O279" s="591" t="e">
        <f>VLOOKUP(G278,'Space Table'!$B$3:$L$163,11,FALSE)</f>
        <v>#N/A</v>
      </c>
      <c r="P279" s="1789"/>
      <c r="Q279" s="1790"/>
      <c r="R279" s="1790"/>
      <c r="S279" s="1788"/>
      <c r="T279" s="593" t="s">
        <v>342</v>
      </c>
      <c r="U279" s="1756" t="str" cm="1">
        <f t="array" aca="1" ref="U279" ca="1">IFERROR(VLOOKUP(INDIRECT("U" &amp; ROW()-1),Fixtures!DM$93:DP$142,4,FALSE),"")</f>
        <v/>
      </c>
      <c r="V279" s="1757"/>
      <c r="W279" s="1757"/>
      <c r="X279" s="1757"/>
      <c r="Y279" s="1757"/>
      <c r="Z279" s="1757"/>
      <c r="AA279" s="1758"/>
      <c r="AB279" s="939" t="str">
        <f>IFERROR(VLOOKUP(U278,Fixtures_Proposed_List,2,FALSE),"")</f>
        <v/>
      </c>
      <c r="AC279" s="933" t="str">
        <f>IFERROR(ROUND(T278*AB279*N277*R277/1000,0),"")</f>
        <v/>
      </c>
      <c r="AD279" s="934" t="str">
        <f>IFERROR(ROUND(T278*AB279/1000,2),"")</f>
        <v/>
      </c>
      <c r="AE279" s="998"/>
      <c r="AF279" s="938" t="s">
        <v>342</v>
      </c>
      <c r="AG279" s="1770"/>
      <c r="AH279" s="1770"/>
      <c r="AI279" s="1770"/>
      <c r="AJ279" s="1770"/>
      <c r="AK279" s="1770"/>
      <c r="AL279" s="1770"/>
      <c r="AM279" s="1727"/>
      <c r="AN279" s="1729"/>
      <c r="AO279" s="1731"/>
      <c r="AP279" s="1782"/>
      <c r="AQ279" s="1783"/>
      <c r="AR279" s="1797"/>
      <c r="AS279" s="1797"/>
      <c r="AT279" s="1798"/>
      <c r="AU279" s="1736"/>
      <c r="AV279" s="1753"/>
      <c r="AW279" s="1706"/>
      <c r="AX279" s="468"/>
      <c r="AY279" s="1750"/>
      <c r="AZ279" s="1750"/>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696"/>
      <c r="CQ279" s="1696"/>
      <c r="CR279" s="1809"/>
      <c r="CS279" s="1811"/>
      <c r="CU279" s="1688"/>
      <c r="CV279" s="1703"/>
      <c r="CW279" s="1703"/>
      <c r="CX279" s="1813"/>
      <c r="CY279" s="1815"/>
      <c r="CZ279" s="1711"/>
      <c r="DA279" s="1815"/>
      <c r="DB279" s="1821"/>
      <c r="DC279" s="1821"/>
      <c r="DD279" s="1821"/>
      <c r="DF279" s="1703"/>
      <c r="DG279" s="1831"/>
      <c r="DH279" s="1813"/>
      <c r="DI279" s="1838"/>
      <c r="DJ279" s="1711"/>
      <c r="DK279" s="1712"/>
      <c r="DN279" s="1718"/>
      <c r="DO279" s="1709"/>
      <c r="DQ279" s="1715"/>
      <c r="DR279" s="1720"/>
      <c r="DS279" s="1703"/>
      <c r="DT279" s="1714"/>
      <c r="DU279" s="1715"/>
      <c r="DV279" s="1716"/>
      <c r="DX279" s="1715"/>
      <c r="DY279" s="1720"/>
      <c r="DZ279" s="1715"/>
      <c r="EA279" s="1715"/>
      <c r="EC279" s="1834"/>
      <c r="ED279" s="1834"/>
      <c r="EF279" s="1707"/>
      <c r="EG279" s="1712"/>
      <c r="EH279" s="1815"/>
      <c r="EI279" s="1712"/>
      <c r="EJ279" s="1712"/>
      <c r="EK279" s="1813"/>
      <c r="EL279" s="1813"/>
      <c r="EM279" s="1807"/>
      <c r="EN279" s="1839"/>
      <c r="EO279" s="1839"/>
      <c r="EP279" s="1817"/>
      <c r="EQ279" s="1817"/>
      <c r="ER279" s="1807"/>
      <c r="ES279" s="1807"/>
      <c r="ET279" s="1807"/>
      <c r="EV279" s="1715"/>
      <c r="EX279" s="1806"/>
      <c r="EY279" s="1806"/>
      <c r="EZ279" s="1806"/>
      <c r="FA279" s="1806"/>
      <c r="FB279" s="1806"/>
      <c r="FC279" s="1828"/>
      <c r="FE279" s="1698"/>
      <c r="FG279" s="1703"/>
      <c r="FH279" s="1703"/>
      <c r="FI279" s="133"/>
      <c r="FL279" s="1823"/>
      <c r="FM279" s="1825"/>
      <c r="FN279" s="1698"/>
      <c r="FO279" s="1698"/>
      <c r="FP279" s="1678"/>
      <c r="FQ279" s="1698"/>
      <c r="FS279" s="1687"/>
      <c r="FT279" s="1687"/>
      <c r="FU279" s="1685"/>
      <c r="FV279" s="1687"/>
      <c r="FW279" s="1687"/>
      <c r="FX279" s="1687"/>
      <c r="FY279" s="1697"/>
      <c r="GA279" s="1696"/>
      <c r="GB279" s="1696"/>
      <c r="GC279" s="1696"/>
      <c r="GD279" s="1696"/>
      <c r="GE279" s="1696"/>
      <c r="GF279" s="1696"/>
      <c r="GG279" s="1696"/>
      <c r="GH279" s="1696"/>
      <c r="GI279" s="673"/>
      <c r="GJ279" s="1135"/>
      <c r="GK279" s="1832"/>
      <c r="GN279" s="674">
        <f>IF(GN277=TRUE,0,GN$16)</f>
        <v>0</v>
      </c>
      <c r="GP279" s="674">
        <f>IF(GP277=TRUE,0,GP$16)</f>
        <v>36</v>
      </c>
      <c r="GQ279" s="674">
        <f ca="1">IF(GQ277=TRUE,0,GQ$16)</f>
        <v>35</v>
      </c>
      <c r="GR279" s="391"/>
      <c r="GS279" s="391"/>
      <c r="GT279" s="391"/>
      <c r="GU279" s="391"/>
      <c r="GV279" s="391"/>
      <c r="HG279" s="674">
        <f>IF(HG277=TRUE,0,HG$16)</f>
        <v>0</v>
      </c>
      <c r="HH279" s="674">
        <f t="shared" ref="HH279:HM279" si="238">IF(HH277=TRUE,0,HH$16)</f>
        <v>19</v>
      </c>
      <c r="HI279" s="674">
        <f t="shared" si="238"/>
        <v>18</v>
      </c>
      <c r="HJ279" s="674">
        <f t="shared" si="238"/>
        <v>17</v>
      </c>
      <c r="HK279" s="674">
        <f t="shared" si="238"/>
        <v>16</v>
      </c>
      <c r="HL279" s="674">
        <f t="shared" si="238"/>
        <v>0</v>
      </c>
      <c r="HM279" s="674">
        <f t="shared" si="238"/>
        <v>0</v>
      </c>
      <c r="HN279" s="674">
        <f>IF(HN277=TRUE,0,HN$16)</f>
        <v>13</v>
      </c>
      <c r="HO279" s="674">
        <f t="shared" ref="HO279:HQ279" si="239">IF(HO277=TRUE,0,HO$16)</f>
        <v>0</v>
      </c>
      <c r="HP279" s="674">
        <f t="shared" si="239"/>
        <v>0</v>
      </c>
      <c r="HQ279" s="674">
        <f t="shared" si="239"/>
        <v>10</v>
      </c>
      <c r="HR279" s="674">
        <f>IF(HR277=TRUE,0,HR$16)</f>
        <v>9</v>
      </c>
      <c r="HS279" s="674">
        <f t="shared" ref="HS279:HW279" si="240">IF(HS277=TRUE,0,HS$16)</f>
        <v>0</v>
      </c>
      <c r="HT279" s="674">
        <f t="shared" si="240"/>
        <v>0</v>
      </c>
      <c r="HU279" s="674">
        <f t="shared" si="240"/>
        <v>0</v>
      </c>
      <c r="HV279" s="674">
        <f t="shared" si="240"/>
        <v>0</v>
      </c>
      <c r="HW279" s="674">
        <f t="shared" si="240"/>
        <v>0</v>
      </c>
      <c r="HX279" s="674">
        <f>IF(HX277=TRUE,0,HX$16)</f>
        <v>0</v>
      </c>
      <c r="HY279" s="674">
        <f>IF(HY277=TRUE,0,HY$16)</f>
        <v>0</v>
      </c>
      <c r="HZ279" s="674">
        <f>IF(HZ277=TRUE,0,HZ$16)</f>
        <v>1</v>
      </c>
      <c r="IB279" s="674">
        <f>IF(GP277=FALSE,GP279,IF(GQ277=FALSE,GQ279,MAX(GN279:HZ279)))</f>
        <v>36</v>
      </c>
      <c r="IC279" s="1692"/>
      <c r="ID279" s="205" t="str">
        <f>VLOOKUP(IB279,_Error_Table,3,FALSE)</f>
        <v xml:space="preserve"> </v>
      </c>
      <c r="IE279" s="205"/>
      <c r="IF279" s="1688"/>
      <c r="IG279" s="1689"/>
      <c r="IH279" s="1684"/>
      <c r="IK279" s="1689"/>
      <c r="IL279" s="1692"/>
      <c r="IM279" s="1692"/>
      <c r="IN279" s="1692"/>
      <c r="IP279" s="1679"/>
      <c r="IQ279" s="1679"/>
      <c r="IR279" s="1679"/>
      <c r="IS279" s="1679"/>
      <c r="IT279" s="1679"/>
      <c r="IU279" s="1679"/>
      <c r="IV279" s="1679"/>
      <c r="IW279" s="1679"/>
      <c r="IX279" s="1679"/>
      <c r="IY279" s="1679"/>
      <c r="IZ279" s="1679"/>
      <c r="JA279" s="1679"/>
      <c r="JC279" s="1680"/>
      <c r="JD279" s="1670"/>
      <c r="JE279" s="1681"/>
      <c r="JG279" s="1680"/>
      <c r="JH279" s="1670"/>
      <c r="JI279" s="1060"/>
      <c r="JJ279" s="1670"/>
      <c r="JK279" s="1061"/>
      <c r="JL279" s="1670"/>
      <c r="JM279" s="1061"/>
      <c r="JN279" s="1670"/>
      <c r="JO279" s="1061"/>
      <c r="JP279" s="1670"/>
      <c r="JQ279" s="1061"/>
      <c r="JR279" s="1670"/>
      <c r="JS279" s="1061"/>
      <c r="JT279" s="1670"/>
      <c r="JU279" s="1061"/>
      <c r="JV279" s="1670"/>
      <c r="JX279" s="1670"/>
      <c r="JZ279" s="1670"/>
      <c r="KB279" s="1670"/>
    </row>
    <row r="280" spans="1:288" s="78" customFormat="1" ht="5.0999999999999996" customHeight="1">
      <c r="B280" s="676"/>
      <c r="C280" s="392"/>
      <c r="D280" s="392"/>
      <c r="E280" s="1733"/>
      <c r="F280" s="1733"/>
      <c r="G280" s="1733"/>
      <c r="H280" s="1733"/>
      <c r="I280" s="1733"/>
      <c r="J280" s="1733"/>
      <c r="K280" s="1733"/>
      <c r="L280" s="1733"/>
      <c r="M280" s="1733"/>
      <c r="N280" s="1733"/>
      <c r="O280" s="1733"/>
      <c r="P280" s="1733"/>
      <c r="Q280" s="1733"/>
      <c r="R280" s="1733"/>
      <c r="S280" s="1733"/>
      <c r="T280" s="1733"/>
      <c r="U280" s="1733"/>
      <c r="V280" s="1733"/>
      <c r="W280" s="1733"/>
      <c r="X280" s="1733"/>
      <c r="Y280" s="1733"/>
      <c r="Z280" s="1733"/>
      <c r="AA280" s="1733"/>
      <c r="AB280" s="1733"/>
      <c r="AC280" s="1733"/>
      <c r="AD280" s="1733"/>
      <c r="AE280" s="1733"/>
      <c r="AF280" s="1733"/>
      <c r="AG280" s="1733"/>
      <c r="AH280" s="1733"/>
      <c r="AI280" s="1733"/>
      <c r="AJ280" s="1733"/>
      <c r="AK280" s="1733"/>
      <c r="AL280" s="1733"/>
      <c r="AM280" s="1733"/>
      <c r="AN280" s="1733"/>
      <c r="AO280" s="1733"/>
      <c r="AP280" s="1733"/>
      <c r="AQ280" s="1733"/>
      <c r="AR280" s="1733"/>
      <c r="AS280" s="1733"/>
      <c r="AT280" s="1733"/>
      <c r="AU280" s="1733"/>
      <c r="AV280" s="1733"/>
      <c r="AW280" s="1733"/>
      <c r="AX280" s="469"/>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663"/>
      <c r="CQ280" s="663"/>
      <c r="CR280" s="438"/>
      <c r="CS280" s="663"/>
      <c r="CV280" s="391"/>
      <c r="CW280" s="391"/>
      <c r="CX280" s="207"/>
      <c r="CY280" s="208"/>
      <c r="CZ280" s="208"/>
      <c r="DA280" s="208"/>
      <c r="DB280" s="209"/>
      <c r="DC280" s="209"/>
      <c r="DD280" s="209"/>
      <c r="DF280" s="664"/>
      <c r="DG280" s="665"/>
      <c r="DH280" s="666"/>
      <c r="DI280" s="667"/>
      <c r="DJ280" s="668"/>
      <c r="DK280" s="668"/>
      <c r="DN280" s="208"/>
      <c r="DO280" s="664"/>
      <c r="DQ280" s="664"/>
      <c r="DR280" s="669"/>
      <c r="DS280" s="391"/>
      <c r="DT280" s="664"/>
      <c r="DU280" s="664"/>
      <c r="DV280" s="664"/>
      <c r="DX280" s="664"/>
      <c r="DY280" s="664"/>
      <c r="DZ280" s="664"/>
      <c r="EA280" s="664"/>
      <c r="EC280" s="670"/>
      <c r="ED280" s="670"/>
      <c r="EF280" s="668"/>
      <c r="EG280" s="668"/>
      <c r="EH280" s="208"/>
      <c r="EI280" s="668"/>
      <c r="EJ280" s="668"/>
      <c r="EK280" s="207"/>
      <c r="EL280" s="207"/>
      <c r="EM280" s="666"/>
      <c r="EN280" s="671"/>
      <c r="EO280" s="671"/>
      <c r="EP280" s="672"/>
      <c r="EQ280" s="672"/>
      <c r="ER280" s="666"/>
      <c r="ES280" s="666"/>
      <c r="ET280" s="666"/>
      <c r="EV280" s="664"/>
      <c r="EX280" s="391"/>
      <c r="EY280" s="391"/>
      <c r="EZ280" s="391"/>
      <c r="FA280" s="391"/>
      <c r="FB280" s="391"/>
      <c r="FC280" s="391"/>
      <c r="FE280" s="569"/>
      <c r="FG280" s="391"/>
      <c r="FH280" s="391"/>
      <c r="FI280" s="391"/>
      <c r="FS280" s="664"/>
      <c r="FT280" s="391"/>
      <c r="FU280" s="391"/>
      <c r="FV280" s="664"/>
      <c r="FW280" s="664"/>
      <c r="GA280" s="663"/>
      <c r="GB280" s="663"/>
      <c r="GC280" s="663"/>
      <c r="GD280" s="663"/>
      <c r="GE280" s="663"/>
      <c r="GF280" s="663"/>
      <c r="GG280" s="663"/>
      <c r="GH280" s="663"/>
      <c r="GI280" s="665"/>
      <c r="GJ280" s="664"/>
      <c r="GK280" s="664"/>
    </row>
    <row r="281" spans="1:288" s="78" customFormat="1" ht="14.95" customHeight="1">
      <c r="B281" s="1845" t="str">
        <f>ID284</f>
        <v xml:space="preserve"> </v>
      </c>
      <c r="C281" s="1846">
        <f>C276+1</f>
        <v>46</v>
      </c>
      <c r="D281" s="1847"/>
      <c r="E281" s="1799" t="s">
        <v>295</v>
      </c>
      <c r="F281" s="1800"/>
      <c r="G281" s="1741"/>
      <c r="H281" s="1742"/>
      <c r="I281" s="1742"/>
      <c r="J281" s="1742"/>
      <c r="K281" s="1742"/>
      <c r="L281" s="1742"/>
      <c r="M281" s="1742"/>
      <c r="N281" s="1742"/>
      <c r="O281" s="1742"/>
      <c r="P281" s="1742"/>
      <c r="Q281" s="1742"/>
      <c r="R281" s="1742"/>
      <c r="S281" s="1791" t="s">
        <v>344</v>
      </c>
      <c r="T281" s="590"/>
      <c r="U281" s="1743"/>
      <c r="V281" s="1744"/>
      <c r="W281" s="1744"/>
      <c r="X281" s="1744"/>
      <c r="Y281" s="1744"/>
      <c r="Z281" s="1744"/>
      <c r="AA281" s="1744"/>
      <c r="AB281" s="961" t="str">
        <f>IFERROR(IF(__Retrofit_TI_NC=0,VLOOKUP(U282,Fixtures_Existing_List,2,FALSE),ROUND(N283*R283/T283,10)),"")</f>
        <v/>
      </c>
      <c r="AC281" s="935" t="str">
        <f>IFERROR(IF(__Retrofit_TI_NC=0,ROUND(T282*AB281*N282*R282/1000,0),IF(CQ281="Interior",N283*R283*R282*N282*_C406_reduction/1000,N283*R283*R282*N282/1000)),"")</f>
        <v/>
      </c>
      <c r="AD281" s="936" t="str">
        <f>IFERROR(IF(C$43=0,ROUND(T282*AB281/1000,2),N283*R283/1000),"")</f>
        <v/>
      </c>
      <c r="AE281" s="997"/>
      <c r="AF281" s="937"/>
      <c r="AG281" s="1745" t="str">
        <f>IF(__Retrofit_TI_NC=0," Control","Select Advanced Control for New System")</f>
        <v xml:space="preserve"> Control</v>
      </c>
      <c r="AH281" s="1745"/>
      <c r="AI281" s="1745"/>
      <c r="AJ281" s="1745"/>
      <c r="AK281" s="1745"/>
      <c r="AL281" s="1745"/>
      <c r="AM281" s="1746">
        <f>IFERROR(DI281,"")</f>
        <v>0</v>
      </c>
      <c r="AN281" s="1774" t="str">
        <f>IFERROR(ROUND(AM281*AC281,0),"")</f>
        <v/>
      </c>
      <c r="AO281" s="1776">
        <f>IFERROR(IF(IB281=FALSE,0,AC281-AN281),0)</f>
        <v>0</v>
      </c>
      <c r="AP281" s="1778">
        <f>AO281-AO283</f>
        <v>0</v>
      </c>
      <c r="AQ281" s="1779"/>
      <c r="AR281" s="1793">
        <f>IFERROR(IF(IB281=FALSE,0,(T283*U284)+(AF283*AG284)),0)</f>
        <v>0</v>
      </c>
      <c r="AS281" s="1793"/>
      <c r="AT281" s="1794"/>
      <c r="AU281" s="1734" t="s">
        <v>237</v>
      </c>
      <c r="AV281" s="1751">
        <f>IF(AU281="Yes",1,0)</f>
        <v>1</v>
      </c>
      <c r="AW281" s="1704" t="str">
        <f>IF(OR(DQ281=4,DQ281=5,DQ281=6,DQ281=12),CONCATENATE("$",IF(GH281=TRUE,Lookup!$K$10,Lookup!$K$2)," /lamp"),CONCATENATE(TEXT(ED281,"$0.00"),"/ kWh"))</f>
        <v>$0.00/ kWh</v>
      </c>
      <c r="AX281" s="467"/>
      <c r="AY281" s="1748">
        <f ca="1">IFERROR(IF(GM282=TRUE,(AB284*T283)/R283,0),"NA")</f>
        <v>0</v>
      </c>
      <c r="AZ281" s="1748"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696" t="str">
        <f>N282</f>
        <v/>
      </c>
      <c r="CQ281" s="1696" t="str">
        <f>IFERROR(VLOOKUP(G282,_Lookup_Heat_Type_Table_New,3,FALSE),"")</f>
        <v/>
      </c>
      <c r="CR281" s="1808" t="str">
        <f>CQ281</f>
        <v/>
      </c>
      <c r="CS281" s="1810" t="str">
        <f>IFERROR(VLOOKUP(G283,'Space Table'!$B$3:$L$163,9,FALSE),"")</f>
        <v/>
      </c>
      <c r="CU281" s="1688" t="s">
        <v>344</v>
      </c>
      <c r="CV281" s="1702">
        <f>IF(IB281=TRUE,T282,0)</f>
        <v>0</v>
      </c>
      <c r="CW281" s="1702" t="str">
        <f>IF(IB281=TRUE,U282,"")</f>
        <v/>
      </c>
      <c r="CX281" s="1702"/>
      <c r="CY281" s="1814">
        <f>IF(IB281=TRUE,AB281,0)</f>
        <v>0</v>
      </c>
      <c r="CZ281" s="1710">
        <f>IF(AND(__Retrofit_TI_NC&gt;0,CR281="interior"),0,IF(IB281=TRUE,AC281,0))</f>
        <v>0</v>
      </c>
      <c r="DA281" s="1814">
        <f>IFERROR(IF(IB281=TRUE,CZ281-CZ283,0),0)</f>
        <v>0</v>
      </c>
      <c r="DB281" s="1819">
        <f>IF(IB281=TRUE,AD281,0)</f>
        <v>0</v>
      </c>
      <c r="DC281" s="1819">
        <f>IF(IB281=TRUE,AD284,0)</f>
        <v>0</v>
      </c>
      <c r="DD281" s="1819">
        <f>IFERROR(DB281-DC281,0)</f>
        <v>0</v>
      </c>
      <c r="DF281" s="1702">
        <f>IF(IB281=TRUE,AF282,0)</f>
        <v>0</v>
      </c>
      <c r="DG281" s="1830">
        <f>IFERROR(IF(__Retrofit_TI_NC=2,IF(CQ281="Exterior",O284,FQ281),FN281),"")</f>
        <v>0</v>
      </c>
      <c r="DH281" s="1702"/>
      <c r="DI281" s="1837">
        <f>JE281</f>
        <v>0</v>
      </c>
      <c r="DJ281" s="1710">
        <f>IF(AND(__Retrofit_TI_NC&gt;0,CR281="interior"),0,IF(IB281=TRUE,AN281,0))</f>
        <v>0</v>
      </c>
      <c r="DK281" s="1712">
        <f>IFERROR(IF(IB281=TRUE,DJ283-DJ281,0),0)</f>
        <v>0</v>
      </c>
      <c r="DM281" s="1717">
        <f>IFERROR(CZ281-DJ281,0)</f>
        <v>0</v>
      </c>
      <c r="DO281" s="1708">
        <f>DM281-DN283</f>
        <v>0</v>
      </c>
      <c r="DQ281" s="1715" t="str">
        <f>IFERROR(IF(AND(OR(GC281=4,GC281=5,GC281=6),OR(GF281=4,GF281=5,GF281=6)),GC281+8,VLOOKUP(CW283,Fixtures!R$31:Y$78,8,FALSE)),"")</f>
        <v/>
      </c>
      <c r="DR281" s="1829" t="str">
        <f>DQ281</f>
        <v/>
      </c>
      <c r="DS281" s="1702" t="str">
        <f>IFERROR(VLOOKUP(DG283,Lookup!BB$3:BC$20,2,FALSE),"")</f>
        <v/>
      </c>
      <c r="DT281" s="1713" t="str">
        <f>IF(OR(DS281=7,DS281=8,DS281=9),"ALC","")</f>
        <v/>
      </c>
      <c r="DU281" s="1715">
        <f>IFERROR(IF(OR(DQ281=4,DQ281=5,DQ281=6,DQ281=12,DQ281=13,DQ281=14),VLOOKUP(CW283,Fixtures!DN$27:EG$77,19,FALSE),1)*CV283,0)</f>
        <v>0</v>
      </c>
      <c r="DV281" s="1716">
        <f>IF(OR(DS281=7,DS281=8,DS281=9),IF(DG281=DG283,0,DF283),0)</f>
        <v>0</v>
      </c>
      <c r="DX281" s="1715" t="str">
        <f>IFERROR(IF(EZ281&lt;EZ283,"Yes","No"),"")</f>
        <v/>
      </c>
      <c r="DY281" s="1829" t="str">
        <f>DX281</f>
        <v/>
      </c>
      <c r="DZ281" s="1715">
        <f>IF(DX281="Yes",DF283,0)</f>
        <v>0</v>
      </c>
      <c r="EA281" s="1715">
        <f>DZ281-DV281</f>
        <v>0</v>
      </c>
      <c r="EC281" s="1834">
        <f>IFERROR(VLOOKUP(DQ281,Lookup!AU$3:AV$16,2,FALSE),0)</f>
        <v>0</v>
      </c>
      <c r="ED281" s="1834">
        <f>IF(IB281=FALSE,0,IF(DX281="Yes",EC281+Lookup!K$6,EC281))</f>
        <v>0</v>
      </c>
      <c r="EF281" s="1707">
        <f>IF(IB281=TRUE,DM281,0)</f>
        <v>0</v>
      </c>
      <c r="EG281" s="1712">
        <f>IF(IB281=TRUE,CZ283,0)</f>
        <v>0</v>
      </c>
      <c r="EH281" s="1814">
        <f>IFERROR(EF281-EG281,0)</f>
        <v>0</v>
      </c>
      <c r="EI281" s="1712">
        <f>IF(IB281=TRUE,DJ283,0)</f>
        <v>0</v>
      </c>
      <c r="EJ281" s="1712">
        <f>IFERROR(EF281-EG281+EI281,0)</f>
        <v>0</v>
      </c>
      <c r="EK281" s="1812">
        <f>IF(IB281=TRUE,CV283*CX283,0)</f>
        <v>0</v>
      </c>
      <c r="EL281" s="1812">
        <f>IF(IB281=TRUE,DF283*DH283,0)</f>
        <v>0</v>
      </c>
      <c r="EM281" s="1807">
        <f>AR281</f>
        <v>0</v>
      </c>
      <c r="EN281" s="1839" t="str">
        <f>IFERROR(IF(IB281=TRUE,VLOOKUP(DQ281,Lookup!AU$3:AW$16,3,FALSE)*DU281,""),0)</f>
        <v/>
      </c>
      <c r="EO281" s="1839">
        <f>IF(IB281=TRUE,DZ281*Lookup!AW$12,0)</f>
        <v>0</v>
      </c>
      <c r="EP281" s="1817">
        <f>IFERROR(IF(IB281=TRUE,EN281/EP$40,0),0)</f>
        <v>0</v>
      </c>
      <c r="EQ281" s="1817">
        <f>IF(IB281=TRUE,EO281/EQ$40,0)</f>
        <v>0</v>
      </c>
      <c r="ER281" s="1807">
        <f>IF(IB281=TRUE,ET$40*EP281,0)</f>
        <v>0</v>
      </c>
      <c r="ES281" s="1807">
        <f>IF(IB281=TRUE,ET$40*EQ281,0)</f>
        <v>0</v>
      </c>
      <c r="ET281" s="1807">
        <f>ER281+ES281</f>
        <v>0</v>
      </c>
      <c r="EV281" s="1715">
        <f>IF(G281="",0,1)</f>
        <v>0</v>
      </c>
      <c r="EX281" s="1804" t="str">
        <f>IFERROR(VLOOKUP(CS283,'Space Table'!$B$3:$L$163,8,FALSE),"")</f>
        <v/>
      </c>
      <c r="EY281" s="1804" t="str">
        <f>IFERROR(IF(FB281="Yes",VLOOKUP(DG281,Lookup_Control_Type_Table2,4,FALSE),VLOOKUP(DG281,Lookup_Control_Type_Table2,3,FALSE)),"")</f>
        <v/>
      </c>
      <c r="EZ281" s="1804" t="e">
        <f>VLOOKUP(DG281,Lookup!BB$3:BC$20,2,FALSE)</f>
        <v>#N/A</v>
      </c>
      <c r="FA281" s="1804" t="e">
        <f>VLOOKUP(EX281,Lookup_Control_Type_Table,2,FALSE)</f>
        <v>#N/A</v>
      </c>
      <c r="FB281" s="1804" t="e">
        <f>VLOOKUP(CS283,'Space Table'!$B$3:$L$163,7,FALSE)</f>
        <v>#N/A</v>
      </c>
      <c r="FC281" s="1826" t="b">
        <f>ISNUMBER(SEARCH("TLED",U283))</f>
        <v>0</v>
      </c>
      <c r="FE281" s="1698" t="str">
        <f>CONCATENATE(CQ281," - ",DG281)</f>
        <v xml:space="preserve"> - 0</v>
      </c>
      <c r="FG281" s="1702" t="str">
        <f>VLOOKUP(CW283,Fixtures!DN$27:EZ$77,38,FALSE)</f>
        <v/>
      </c>
      <c r="FH281" s="1702">
        <f>IFERROR(FG281*EH281,0)</f>
        <v>0</v>
      </c>
      <c r="FI281" s="133"/>
      <c r="FL281" s="1822" t="str">
        <f>IF(CQ281="Exterior","Not Daylighted",G284)</f>
        <v>Not Daylighted</v>
      </c>
      <c r="FM281" s="1824">
        <f>VLOOKUP(FL281,_New_Daylight_Table_Codes,2,FALSE)</f>
        <v>0</v>
      </c>
      <c r="FN281" s="1698">
        <f>IF(__Retrofit_TI_NC&gt;0,VLOOKUP(G283,'Space Table'!$B$3:$L$163,11,FALSE),AG282)</f>
        <v>0</v>
      </c>
      <c r="FO281" s="1698" t="e">
        <f>IF(__Retrofit_TI_NC=2,VLOOKUP(FQ281,_Control_Table,2,FALSE),VLOOKUP(FN281,_Control_Table,2,FALSE))</f>
        <v>#N/A</v>
      </c>
      <c r="FP281" s="1678" t="e">
        <f>VLOOKUP(CONCATENATE(FL281," ",FN281),Lookup!AY$102:AZ291,2,FALSE)</f>
        <v>#N/A</v>
      </c>
      <c r="FQ281" s="1678">
        <f>IF(__Retrofit_TI_NC=0,FN281,IF(AND(FT281&gt;0,FN281="Occupancy Sensor"),"Daylight + Occupancy",IF(AND(FT281&gt;0,VLOOKUP(FN281,_Control_Table,2,FALSE)&lt;4),"Interior Daylight Dimming",FN281)))</f>
        <v>0</v>
      </c>
      <c r="FS281" s="1686">
        <f>IF(CR281="Interior",VLOOKUP(CS281,Control_Savings_Interior,5,FALSE),0)</f>
        <v>0</v>
      </c>
      <c r="FT281" s="1687">
        <f>IF(CQ281="Exterior",0,IF(FM281=2,0.5,IF(OR(FM281=1,FM281=3),1,0)))</f>
        <v>0</v>
      </c>
      <c r="FU281" s="1685">
        <f>IF(R280&gt;FS$44,(FS281*(FS$44/R280)),FS281)*FT281</f>
        <v>0</v>
      </c>
      <c r="FV281" s="1686">
        <f>DI281</f>
        <v>0</v>
      </c>
      <c r="FW281" s="1686">
        <f>ROUND(FV281+((1-FV281)*FU281),2)</f>
        <v>0</v>
      </c>
      <c r="FX281" s="1686">
        <f>IF(__Retrofit_TI_NC=2,FW281,FV281)</f>
        <v>0</v>
      </c>
      <c r="FY281" s="1697"/>
      <c r="GA281" s="1696" t="str">
        <f>IFERROR(VLOOKUP(U282,_Exist_Fixture_Table,3,FALSE),"")</f>
        <v/>
      </c>
      <c r="GB281" s="1696" t="str">
        <f>VLOOKUP(CW281,_Exist_Fixture_Table,4,FALSE)</f>
        <v/>
      </c>
      <c r="GC281" s="1696">
        <f>IFERROR(VLOOKUP(GB281,Lookup!AT$6:AU$8,2,FALSE),0)</f>
        <v>0</v>
      </c>
      <c r="GD281" s="1696" t="b">
        <f>IFERROR(IF(OR(GF281=4,GF281=5,GF281=6),TRUE,FALSE),"")</f>
        <v>0</v>
      </c>
      <c r="GE281" s="1696" t="str">
        <f>IFERROR(VLOOKUP(GF281,GC$6:GD$10,2,FALSE),"")</f>
        <v/>
      </c>
      <c r="GF281" s="1696" t="str">
        <f>VLOOKUP(CW283,Fixtures!R$31:Y$78,8,FALSE)</f>
        <v/>
      </c>
      <c r="GG281" s="1696">
        <f>IF(AND(GA281=TRUE,GD281=TRUE,OR(DQ281=12,DQ281=13,DQ281=14)),GC281+8,0)</f>
        <v>0</v>
      </c>
      <c r="GH281" s="1696" t="b">
        <f>IF(OR(GG281=12,GG281=13,GG281=14),TRUE,FALSE)</f>
        <v>0</v>
      </c>
      <c r="GI281" s="673" t="b">
        <f>IF(ISNUMBER(SEARCH("TLED",U282)),TRUE,FALSE)</f>
        <v>0</v>
      </c>
      <c r="GJ281" s="1135" t="str">
        <f>IFERROR(VLOOKUP(U282,Fixtures!BM$93:BR$142,6,FALSE),"")</f>
        <v/>
      </c>
      <c r="GK281" s="1832" t="b">
        <f>IF(OR(GI281=FALSE,GI283=FALSE),TRUE,IF(GJ281-GJ283&lt;5,FALSE,TRUE))</f>
        <v>1</v>
      </c>
      <c r="GO281" s="674">
        <f>GP281</f>
        <v>0</v>
      </c>
      <c r="GP281" s="674">
        <f>IF(G281="",0,1)</f>
        <v>0</v>
      </c>
      <c r="GQ281" s="674">
        <f ca="1">SUM(GR281:HF281)</f>
        <v>2</v>
      </c>
      <c r="GR281" s="674">
        <f>IF(G282="",0,1)</f>
        <v>0</v>
      </c>
      <c r="GS281" s="674">
        <f>IF(N284="BAM",1,IF(G283="",0,1))</f>
        <v>0</v>
      </c>
      <c r="GT281" s="674">
        <f>IF(N284="BAM",1,IF(R282="",0,1))</f>
        <v>0</v>
      </c>
      <c r="GU281" s="674">
        <f>IF(N284="BAM",1,IF(__Retrofit_TI_NC=0,1,IF(R283="",0,1)))</f>
        <v>1</v>
      </c>
      <c r="GV281" s="674">
        <f>IF(N284="BAM",1,IF(CQ281="Exterior",1,IF(G284="",0,1)))</f>
        <v>1</v>
      </c>
      <c r="GW281" s="674">
        <f>IF(__Retrofit_TI_NC&gt;0,1,IF(T282="",0,1))</f>
        <v>0</v>
      </c>
      <c r="GX281" s="674">
        <f>IF(__Retrofit_TI_NC&gt;0,1,IF(U282="",0,1))</f>
        <v>0</v>
      </c>
      <c r="GY281" s="674">
        <f>IF(N284="BAM",1,IF(T283="",0,1))</f>
        <v>0</v>
      </c>
      <c r="GZ281" s="674">
        <f>IF(N284="BAM",1,IF(U283="",0,1))</f>
        <v>0</v>
      </c>
      <c r="HA281" s="674">
        <f ca="1">IF(N284="BAM",1,IF(__Retrofit_TI_NC&gt;0,1,IF(U284="",0,1)))</f>
        <v>0</v>
      </c>
      <c r="HB281" s="674">
        <f>IF(__Retrofit_TI_NC&lt;&gt;0,1,IF(AF282="",0,1))</f>
        <v>0</v>
      </c>
      <c r="HC281" s="674">
        <f>IF(__Retrofit_TI_NC&lt;&gt;0,1,IF(AG282="",0,1))</f>
        <v>0</v>
      </c>
      <c r="HD281" s="674">
        <f>IF(N284="BAM",1,IF(AF283="",0,1))</f>
        <v>0</v>
      </c>
      <c r="HE281" s="674">
        <f>IF(N284="BAM",1,IF(AG283="",0,1))</f>
        <v>0</v>
      </c>
      <c r="HF281" s="674">
        <f>IF(N284="BAM",1,IF(__Retrofit_TI_NC&gt;0,1,IF(AG284="",0,1)))</f>
        <v>0</v>
      </c>
      <c r="HG281" s="391"/>
      <c r="IA281" s="391"/>
      <c r="IB281" s="1693" t="b">
        <f>IF(OR(IB284=0,IB284=HY$16,IB284=HX$16,IB284=HZ$16),TRUE,FALSE)</f>
        <v>0</v>
      </c>
      <c r="IC281" s="1694" t="b">
        <f>IB281</f>
        <v>0</v>
      </c>
      <c r="ID281" s="391"/>
      <c r="IE281" s="391"/>
      <c r="IF281" s="1688" t="b">
        <f ca="1">IF(MAX(GN284:HU284)&gt;5,FALSE,TRUE)</f>
        <v>0</v>
      </c>
      <c r="IG281" s="1689">
        <f ca="1">IF(IF281=TRUE,AC281,0)</f>
        <v>0</v>
      </c>
      <c r="IH281" s="1689">
        <f ca="1">IG281-IG283</f>
        <v>0</v>
      </c>
      <c r="IK281" s="1689" t="e">
        <f>ROUND(T282*VLOOKUP(U282,Fixtures_Existing_List,2,FALSE)*N282*R282/1000,0)</f>
        <v>#N/A</v>
      </c>
      <c r="IL281" s="1690" t="e">
        <f>IK281-IK283</f>
        <v>#N/A</v>
      </c>
      <c r="IM281" s="1693" t="e">
        <f>ROUND(IF(CQ281="Interior",N283*R283*R282*N282*_C406_reduction/1000,N283*R283*R282*N282/1000),0)</f>
        <v>#N/A</v>
      </c>
      <c r="IN281" s="1693" t="e">
        <f>IM281-IM283</f>
        <v>#N/A</v>
      </c>
      <c r="IP281" s="1679"/>
      <c r="IQ281" s="1679" t="e">
        <f t="shared" ref="IQ281:IU281" si="241">IF($CR281="interior",VLOOKUP($CS281,_New_Control_Savings_Interior,IQ$30,FALSE),VLOOKUP($CS281,Control_Savings_Exterior,IQ$30,FALSE))</f>
        <v>#N/A</v>
      </c>
      <c r="IR281" s="1679" t="e">
        <f t="shared" si="241"/>
        <v>#N/A</v>
      </c>
      <c r="IS281" s="1679" t="e">
        <f t="shared" si="241"/>
        <v>#N/A</v>
      </c>
      <c r="IT281" s="1679" t="e">
        <f t="shared" si="241"/>
        <v>#N/A</v>
      </c>
      <c r="IU281" s="1679" t="e">
        <f t="shared" si="241"/>
        <v>#N/A</v>
      </c>
      <c r="IV281" s="1679" t="e">
        <f>IF($CR281="interior",IF(R282&gt;$IP$14,ROUND(($IV$18*($IP$14/R282)),2),$IV$18),VLOOKUP($CS281,Control_Savings_Exterior,IV$30,FALSE))</f>
        <v>#N/A</v>
      </c>
      <c r="IW281" s="1679" t="e">
        <f>IF($CR281="interior",ROUND(((1-IS281)*IV281)+IS281,2),VLOOKUP($CS281,Control_Savings_Exterior,IW$30,FALSE))</f>
        <v>#N/A</v>
      </c>
      <c r="IX281" s="1679" t="e">
        <f>IF($CR281="interior",ROUND(((1-IT281)*IV281)+IT281,2),VLOOKUP($CS281,Control_Savings_Exterior,IX$30,FALSE))</f>
        <v>#N/A</v>
      </c>
      <c r="IY281" s="1679" t="e">
        <f>IF($CR281="interior",IF(R282&gt;$IP$14,ROUND(($IY$18*($IP$14/R282)),2),$IY$18),VLOOKUP($CS281,Control_Savings_Exterior,IY$30,FALSE))</f>
        <v>#N/A</v>
      </c>
      <c r="IZ281" s="1679" t="e">
        <f>IF($CR281="interior",ROUND(((1-IS281)*IY281)+IS281,2),VLOOKUP($CS281,Control_Savings_Exterior,IZ$30,FALSE))</f>
        <v>#N/A</v>
      </c>
      <c r="JA281" s="1679" t="e">
        <f>IF($CR281="interior",ROUND(((1-IT281)*IY281)+IT281,2),VLOOKUP($CS281,Control_Savings_Exterior,JA$30,FALSE))</f>
        <v>#N/A</v>
      </c>
      <c r="JC281" s="1680">
        <f>IFERROR(IF(CR281="Interior",CONCATENATE(G284," ",FQ281),FQ281),"")</f>
        <v>0</v>
      </c>
      <c r="JD281" s="1670" t="str">
        <f>IFERROR(VLOOKUP(JC281,_Controls_2023,2,FALSE),"")</f>
        <v/>
      </c>
      <c r="JE281" s="1681">
        <f>IFERROR(CHOOSE(JD281-1,IQ281,IR281,IS281,IT281,IU281,IV281,IW281,IX281,IY281,IZ281,JA281),0)</f>
        <v>0</v>
      </c>
      <c r="JG281" s="1680" t="str">
        <f>FE281</f>
        <v xml:space="preserve"> - 0</v>
      </c>
      <c r="JH281" s="1670" t="e">
        <f>$FO281</f>
        <v>#N/A</v>
      </c>
      <c r="JI281" s="1060"/>
      <c r="JJ281" s="1682" t="b">
        <f>IF($JG283=CONCATENATE("Interior - ",JJ$4),TRUE,FALSE)</f>
        <v>0</v>
      </c>
      <c r="JK281" s="1061"/>
      <c r="JL281" s="1682" t="b">
        <f>IF($JG283=CONCATENATE("Interior - ",JL$4),TRUE,FALSE)</f>
        <v>0</v>
      </c>
      <c r="JM281" s="1061"/>
      <c r="JN281" s="1682" t="b">
        <f>IF($JG283=CONCATENATE("Interior - ",JN$4),TRUE,FALSE)</f>
        <v>0</v>
      </c>
      <c r="JO281" s="1061"/>
      <c r="JP281" s="1682" t="b">
        <f>IF(__Retrofit_TI_NC&gt;0,FALSE,IF($JG283=CONCATENATE("Interior - ",JP$4),TRUE,FALSE))</f>
        <v>0</v>
      </c>
      <c r="JQ281" s="1061"/>
      <c r="JR281" s="1682" t="b">
        <f>IF(__Retrofit_TI_NC&gt;0,FALSE,IF($JG283=CONCATENATE("Interior - ",JR$4),TRUE,FALSE))</f>
        <v>0</v>
      </c>
      <c r="JS281" s="1061"/>
      <c r="JT281" s="1670" t="b">
        <f>IF(__Retrofit_TI_NC&gt;0,FALSE,IF($JG283=CONCATENATE("Interior - ",JT$4),TRUE,FALSE))</f>
        <v>0</v>
      </c>
      <c r="JU281" s="1061"/>
      <c r="JV281" s="1670" t="b">
        <f>IF(JC283="AELC on Existing",TRUE,FALSE)</f>
        <v>0</v>
      </c>
      <c r="JX281" s="1670" t="b">
        <f>IF(OR(JG283="Exterior - AELC Occupancy based",JG283="Exterior - AELC Time based"),TRUE,FALSE)</f>
        <v>0</v>
      </c>
      <c r="JZ281" s="1682" t="b">
        <f>IF($JG283=CONCATENATE("Exterior - ",JZ$4),TRUE,FALSE)</f>
        <v>0</v>
      </c>
      <c r="KB281" s="1670" t="b">
        <f>IF(__Retrofit_TI_NC&gt;0,FALSE,IF($JG283=CONCATENATE("Interior - ",KB$4),TRUE,FALSE))</f>
        <v>0</v>
      </c>
    </row>
    <row r="282" spans="1:288" s="78" customFormat="1" ht="14.95" customHeight="1" thickTop="1" thickBot="1">
      <c r="B282" s="1845"/>
      <c r="C282" s="1846"/>
      <c r="D282" s="1847"/>
      <c r="E282" s="1737" t="s">
        <v>297</v>
      </c>
      <c r="F282" s="1738"/>
      <c r="G282" s="1739"/>
      <c r="H282" s="1739"/>
      <c r="I282" s="1739"/>
      <c r="J282" s="1739"/>
      <c r="K282" s="1739"/>
      <c r="L282" s="1739"/>
      <c r="M282" s="461" t="e">
        <f>IF(__Retrofit_TI_NC&lt;&gt;0,IF(VLOOKUP(G283,'Space Table'!$B$3:$L$163,3,FALSE)&gt;0,1,0),IF(__Retrofit_TI_NC=VLOOKUP(G283,'Space Table'!$B$3:$L$163,3,FALSE),1,0))</f>
        <v>#N/A</v>
      </c>
      <c r="N282" s="461" t="str">
        <f>IFERROR(VLOOKUP(G282,_Lookup_Heat_Type_Table_New,2,FALSE),"")</f>
        <v/>
      </c>
      <c r="O282" s="461">
        <f>IF(__Retrofit_TI_NC=1,CONCATENATE("TI ",G282),IF(__Retrofit_TI_NC=2,CONCATENATE("NC ",G282),G282))</f>
        <v>0</v>
      </c>
      <c r="P282" s="1740" t="s">
        <v>435</v>
      </c>
      <c r="Q282" s="1740"/>
      <c r="R282" s="595"/>
      <c r="S282" s="1792"/>
      <c r="T282" s="597"/>
      <c r="U282" s="1765"/>
      <c r="V282" s="1766"/>
      <c r="W282" s="1766"/>
      <c r="X282" s="1766"/>
      <c r="Y282" s="1766"/>
      <c r="Z282" s="1766"/>
      <c r="AA282" s="1766"/>
      <c r="AB282" s="1766"/>
      <c r="AC282" s="1766"/>
      <c r="AD282" s="1767"/>
      <c r="AE282" s="1000"/>
      <c r="AF282" s="597"/>
      <c r="AG282" s="1723"/>
      <c r="AH282" s="1724"/>
      <c r="AI282" s="1724"/>
      <c r="AJ282" s="1724"/>
      <c r="AK282" s="1725"/>
      <c r="AL282" s="996"/>
      <c r="AM282" s="1747"/>
      <c r="AN282" s="1775"/>
      <c r="AO282" s="1777"/>
      <c r="AP282" s="1780"/>
      <c r="AQ282" s="1781"/>
      <c r="AR282" s="1795"/>
      <c r="AS282" s="1795"/>
      <c r="AT282" s="1796"/>
      <c r="AU282" s="1735"/>
      <c r="AV282" s="1752"/>
      <c r="AW282" s="1705"/>
      <c r="AX282" s="467"/>
      <c r="AY282" s="1749"/>
      <c r="AZ282" s="1749"/>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696"/>
      <c r="CQ282" s="1696"/>
      <c r="CR282" s="1809"/>
      <c r="CS282" s="1811"/>
      <c r="CU282" s="1688"/>
      <c r="CV282" s="1703"/>
      <c r="CW282" s="1703"/>
      <c r="CX282" s="1703"/>
      <c r="CY282" s="1815"/>
      <c r="CZ282" s="1711"/>
      <c r="DA282" s="1818"/>
      <c r="DB282" s="1820"/>
      <c r="DC282" s="1820"/>
      <c r="DD282" s="1820"/>
      <c r="DF282" s="1703"/>
      <c r="DG282" s="1831"/>
      <c r="DH282" s="1703"/>
      <c r="DI282" s="1838"/>
      <c r="DJ282" s="1711"/>
      <c r="DK282" s="1712"/>
      <c r="DM282" s="1718"/>
      <c r="DO282" s="1708"/>
      <c r="DQ282" s="1715"/>
      <c r="DR282" s="1720"/>
      <c r="DS282" s="1816"/>
      <c r="DT282" s="1714"/>
      <c r="DU282" s="1715"/>
      <c r="DV282" s="1716"/>
      <c r="DX282" s="1715"/>
      <c r="DY282" s="1720"/>
      <c r="DZ282" s="1715"/>
      <c r="EA282" s="1715"/>
      <c r="EC282" s="1834"/>
      <c r="ED282" s="1834"/>
      <c r="EF282" s="1707"/>
      <c r="EG282" s="1712"/>
      <c r="EH282" s="1818"/>
      <c r="EI282" s="1712"/>
      <c r="EJ282" s="1712"/>
      <c r="EK282" s="1836"/>
      <c r="EL282" s="1836"/>
      <c r="EM282" s="1807"/>
      <c r="EN282" s="1839"/>
      <c r="EO282" s="1839"/>
      <c r="EP282" s="1817"/>
      <c r="EQ282" s="1817"/>
      <c r="ER282" s="1807"/>
      <c r="ES282" s="1807"/>
      <c r="ET282" s="1807"/>
      <c r="EV282" s="1715"/>
      <c r="EX282" s="1805"/>
      <c r="EY282" s="1805"/>
      <c r="EZ282" s="1805"/>
      <c r="FA282" s="1805"/>
      <c r="FB282" s="1805"/>
      <c r="FC282" s="1827"/>
      <c r="FE282" s="1698"/>
      <c r="FG282" s="1816"/>
      <c r="FH282" s="1816"/>
      <c r="FI282" s="133"/>
      <c r="FL282" s="1823"/>
      <c r="FM282" s="1825"/>
      <c r="FN282" s="1698"/>
      <c r="FO282" s="1698"/>
      <c r="FP282" s="1678"/>
      <c r="FQ282" s="1678"/>
      <c r="FS282" s="1687"/>
      <c r="FT282" s="1687"/>
      <c r="FU282" s="1685"/>
      <c r="FV282" s="1687"/>
      <c r="FW282" s="1687"/>
      <c r="FX282" s="1687"/>
      <c r="FY282" s="1697"/>
      <c r="GA282" s="1696"/>
      <c r="GB282" s="1696"/>
      <c r="GC282" s="1696"/>
      <c r="GD282" s="1696"/>
      <c r="GE282" s="1696"/>
      <c r="GF282" s="1696"/>
      <c r="GG282" s="1696"/>
      <c r="GH282" s="1696"/>
      <c r="GI282" s="673"/>
      <c r="GJ282" s="1135"/>
      <c r="GK282" s="1832"/>
      <c r="GM282" s="1693" t="b">
        <f ca="1">IF(AND(GP282=TRUE,GQ282=TRUE),TRUE,FALSE)</f>
        <v>0</v>
      </c>
      <c r="GN282" s="1684" t="b">
        <f>IFERROR(IF(__Retrofit_TI_NC=2,TRUE,IF(AU281="Yes",TRUE,FALSE)),FALSE)</f>
        <v>1</v>
      </c>
      <c r="GP282" s="1684" t="b">
        <f>IFERROR(IF(GP281=1,TRUE,FALSE),FALSE)</f>
        <v>0</v>
      </c>
      <c r="GQ282" s="1684" t="b">
        <f ca="1">IFERROR(IF(GQ281=GQ$14,TRUE,FALSE),FALSE)</f>
        <v>0</v>
      </c>
      <c r="HG282" s="1684" t="b">
        <f>IFERROR(IF(AND(__Retrofit_TI_NC&gt;0,CQ281="Interior"),FALSE,TRUE),FALSE)</f>
        <v>1</v>
      </c>
      <c r="HH282" s="1684" t="b">
        <f>IFERROR(IF(M282=1,TRUE,FALSE),FALSE)</f>
        <v>0</v>
      </c>
      <c r="HI282" s="1684" t="b">
        <f>IFERROR(IF(OR(M283=1,N284="BAM"),TRUE,FALSE),FALSE)</f>
        <v>0</v>
      </c>
      <c r="HJ282" s="1684" t="b">
        <f>IFERROR(IF(__Retrofit_TI_NC&lt;&gt;0,TRUE,IFERROR(IF(VLOOKUP(U282,Fixtures_Existing_List,2,FALSE)&lt;&gt;"",TRUE,FALSE),FALSE)),FALSE)</f>
        <v>0</v>
      </c>
      <c r="HK282" s="1684" t="b">
        <f>IFERROR(IF(VLOOKUP(U283,Fixtures_Proposed_List,2,FALSE)&lt;&gt;"",TRUE,FALSE),FALSE)</f>
        <v>0</v>
      </c>
      <c r="HL282" s="1684" t="b">
        <f>IF(AND(__Retrofit_TI_NC=2,FC281=TRUE),FALSE,TRUE)</f>
        <v>1</v>
      </c>
      <c r="HM282" s="1684" t="b">
        <f>GK281</f>
        <v>1</v>
      </c>
      <c r="HN282" s="1682" t="b">
        <f>IF(ISERROR(MATCH(FE281,_Control_Match[],0))=TRUE,FALSE,TRUE)</f>
        <v>0</v>
      </c>
      <c r="HO282" s="1693" t="b">
        <f>IFERROR(IF(EX281&lt;&gt;EY281,FALSE,TRUE),FALSE)</f>
        <v>1</v>
      </c>
      <c r="HP282" s="1693" t="b">
        <f>IFERROR(IF(EX283&lt;&gt;EY283,FALSE,TRUE),FALSE)</f>
        <v>1</v>
      </c>
      <c r="HQ282" s="1670" t="b">
        <f>IFERROR(IF(CQ281="Exterior",TRUE,IF(AND(OR(FM283=0,FM283=3),JD283&gt;6),FALSE,TRUE)),FALSE)</f>
        <v>0</v>
      </c>
      <c r="HR282" s="1684" t="b">
        <f>IFERROR(IF(AND(FO283=7,FC281=TRUE),FALSE,TRUE),FALSE)</f>
        <v>0</v>
      </c>
      <c r="HS282" s="1684" t="b">
        <f>IFERROR(IF(AND(T283&lt;&gt;AF283,OR(AG283="Interior LLLC", AG283="Interior NLC", AG283="LLLC (outside Daylight)",AG283="LLLC Controls Only"))=TRUE,FALSE,TRUE),FALSE)</f>
        <v>1</v>
      </c>
      <c r="HT282" s="1670" t="b">
        <f>IFERROR(IF(OR(AG283=Lookup!BB$17,AG283=Lookup!BB$18,AG283=Lookup!BB$19)=TRUE,IF(AF283&gt;T283,FALSE,TRUE),TRUE),FALSE)</f>
        <v>1</v>
      </c>
      <c r="HU282" s="1684" t="b">
        <f>IFERROR(IF(__Retrofit_TI_NC=2,IF(EZ283&lt;EZ281,FALSE,TRUE),TRUE),FALSE)</f>
        <v>1</v>
      </c>
      <c r="HV282" s="1684" t="b">
        <f>IF(CQ281="Interior",IL$6,TRUE)</f>
        <v>1</v>
      </c>
      <c r="HW282" s="1684" t="b">
        <f>IF(CQ281="Exterior",IL$8,TRUE)</f>
        <v>1</v>
      </c>
      <c r="HX282" s="1684" t="b">
        <f>IFERROR(IF(__Retrofit_TI_NC&lt;&gt;0,IF(AZ281&lt;AY281,FALSE,TRUE),TRUE),FALSE)</f>
        <v>1</v>
      </c>
      <c r="HY282" s="1684" t="b">
        <f>IFERROR(IF(AND(G282="Exterior",R282&gt;4200),FALSE,TRUE),FALSE)</f>
        <v>1</v>
      </c>
      <c r="HZ282" s="1684" t="b">
        <f>IFERROR(IF(AB284/AB281&lt;HZ$18,FALSE,TRUE),FALSE)</f>
        <v>0</v>
      </c>
      <c r="IB282" s="1691"/>
      <c r="IC282" s="1695"/>
      <c r="ID282" s="1694" t="str">
        <f>VLOOKUP(IB284,_Error_Table,4,FALSE)</f>
        <v>White</v>
      </c>
      <c r="IE282" s="391"/>
      <c r="IF282" s="1688"/>
      <c r="IG282" s="1689"/>
      <c r="IH282" s="1684"/>
      <c r="IK282" s="1689"/>
      <c r="IL282" s="1691"/>
      <c r="IM282" s="1691"/>
      <c r="IN282" s="1691"/>
      <c r="IP282" s="1679"/>
      <c r="IQ282" s="1679"/>
      <c r="IR282" s="1679"/>
      <c r="IS282" s="1679"/>
      <c r="IT282" s="1679"/>
      <c r="IU282" s="1679"/>
      <c r="IV282" s="1679"/>
      <c r="IW282" s="1679"/>
      <c r="IX282" s="1679"/>
      <c r="IY282" s="1679"/>
      <c r="IZ282" s="1679"/>
      <c r="JA282" s="1679"/>
      <c r="JC282" s="1680"/>
      <c r="JD282" s="1670"/>
      <c r="JE282" s="1681"/>
      <c r="JG282" s="1680"/>
      <c r="JH282" s="1670"/>
      <c r="JI282" s="1060"/>
      <c r="JJ282" s="1683"/>
      <c r="JK282" s="1061"/>
      <c r="JL282" s="1683"/>
      <c r="JM282" s="1061"/>
      <c r="JN282" s="1683"/>
      <c r="JO282" s="1061"/>
      <c r="JP282" s="1683"/>
      <c r="JQ282" s="1061"/>
      <c r="JR282" s="1683"/>
      <c r="JS282" s="1061"/>
      <c r="JT282" s="1670"/>
      <c r="JU282" s="1061"/>
      <c r="JV282" s="1670"/>
      <c r="JX282" s="1670"/>
      <c r="JZ282" s="1683"/>
      <c r="KB282" s="1670"/>
    </row>
    <row r="283" spans="1:288" s="78" customFormat="1" ht="14.95" customHeight="1" thickTop="1" thickBot="1">
      <c r="A283" s="78">
        <f>ROW()</f>
        <v>283</v>
      </c>
      <c r="B283" s="1845"/>
      <c r="C283" s="1846"/>
      <c r="D283" s="1847"/>
      <c r="E283" s="1737" t="s">
        <v>298</v>
      </c>
      <c r="F283" s="1738"/>
      <c r="G283" s="1760"/>
      <c r="H283" s="1761"/>
      <c r="I283" s="1761"/>
      <c r="J283" s="1761"/>
      <c r="K283" s="1761"/>
      <c r="L283" s="1762"/>
      <c r="M283" s="461">
        <f>IFERROR(IF(IF(__Retrofit_TI_NC&lt;&gt;0,IF(CQ281="Interior",MATCH(G283,Lookup_Interior_New,0),MATCH(G283,Lookup_Exterior_New,0)),IF(CQ281="Interior",MATCH(G283,Lookup_Interior,0),MATCH(G283,Lookup_Exterior_Areas,0)))&gt;0,1,0),0)</f>
        <v>0</v>
      </c>
      <c r="N283" s="461" t="e">
        <f>IF(__Retrofit_TI_NC=1,
VLOOKUP(G283,'Space Table'!$B$3:$L$163,4,FALSE),
IF(__Retrofit_TI_NC=2,VLOOKUP(G283,'Space Table'!$B$3:$L$163,5,FALSE),VLOOKUP(G283,'Space Table'!$B$3:$L$163,5,FALSE)))</f>
        <v>#N/A</v>
      </c>
      <c r="O283" s="461">
        <f>G283</f>
        <v>0</v>
      </c>
      <c r="P283" s="1738" t="str">
        <f>IFERROR(IF(__Retrofit_TI_NC=1,VLOOKUP(G283,'Space Table'!$B$3:$O$163,13,FALSE),IF(__Retrofit_TI_NC=2,VLOOKUP(G283,'Space Table'!$B$3:$O$163,14,FALSE),"Area (sf):")),"Area (sf):")</f>
        <v>Area (sf):</v>
      </c>
      <c r="Q283" s="1738"/>
      <c r="R283" s="596"/>
      <c r="S283" s="1763" t="s">
        <v>345</v>
      </c>
      <c r="T283" s="594"/>
      <c r="U283" s="1801"/>
      <c r="V283" s="1802"/>
      <c r="W283" s="1802"/>
      <c r="X283" s="1802"/>
      <c r="Y283" s="1802"/>
      <c r="Z283" s="1802"/>
      <c r="AA283" s="1802"/>
      <c r="AB283" s="1802"/>
      <c r="AC283" s="1802"/>
      <c r="AD283" s="1802"/>
      <c r="AE283" s="1803"/>
      <c r="AF283" s="594"/>
      <c r="AG283" s="1787"/>
      <c r="AH283" s="1787"/>
      <c r="AI283" s="1787"/>
      <c r="AJ283" s="1787"/>
      <c r="AK283" s="1787"/>
      <c r="AL283" s="1787"/>
      <c r="AM283" s="1726">
        <f>IFERROR(DI283,"")</f>
        <v>0</v>
      </c>
      <c r="AN283" s="1728" t="str">
        <f>IFERROR(ROUND(AM283*AC284,0),"")</f>
        <v/>
      </c>
      <c r="AO283" s="1730">
        <f>IFERROR(IF(IB281=FALSE,0,AC284-AN283),0)</f>
        <v>0</v>
      </c>
      <c r="AP283" s="1780"/>
      <c r="AQ283" s="1781"/>
      <c r="AR283" s="1795"/>
      <c r="AS283" s="1795"/>
      <c r="AT283" s="1796"/>
      <c r="AU283" s="1735"/>
      <c r="AV283" s="1752"/>
      <c r="AW283" s="1705"/>
      <c r="AX283" s="467"/>
      <c r="AY283" s="1749"/>
      <c r="AZ283" s="1749"/>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696"/>
      <c r="CQ283" s="1696"/>
      <c r="CR283" s="1808" t="str">
        <f>CQ281</f>
        <v/>
      </c>
      <c r="CS283" s="1810" t="str">
        <f>CS281</f>
        <v/>
      </c>
      <c r="CU283" s="1688" t="s">
        <v>345</v>
      </c>
      <c r="CV283" s="1702">
        <f>IF(IB281=TRUE,T283,0)</f>
        <v>0</v>
      </c>
      <c r="CW283" s="1702" t="str">
        <f>IF(IB281=TRUE,U283,"")</f>
        <v/>
      </c>
      <c r="CX283" s="1812">
        <f>IF(IB281=TRUE,U284,0)</f>
        <v>0</v>
      </c>
      <c r="CY283" s="1814">
        <f>IF(IB281=TRUE,AB284,0)</f>
        <v>0</v>
      </c>
      <c r="CZ283" s="1710">
        <f>IF(AND(__Retrofit_TI_NC&gt;0,CR281="interior"),0,IF(IB281=TRUE,AC284,0))</f>
        <v>0</v>
      </c>
      <c r="DA283" s="1818"/>
      <c r="DB283" s="1820"/>
      <c r="DC283" s="1820"/>
      <c r="DD283" s="1820"/>
      <c r="DF283" s="1702">
        <f>IF(IB281=TRUE,AF283,0)</f>
        <v>0</v>
      </c>
      <c r="DG283" s="1830" t="str">
        <f>IF(IB281=TRUE,AG283,"")</f>
        <v/>
      </c>
      <c r="DH283" s="1812">
        <f>AG284</f>
        <v>0</v>
      </c>
      <c r="DI283" s="1837">
        <f>JE283</f>
        <v>0</v>
      </c>
      <c r="DJ283" s="1710">
        <f>IF(AND(__Retrofit_TI_NC&gt;0,CR281="interior"),0,IF(IB281=TRUE,AN283,0))</f>
        <v>0</v>
      </c>
      <c r="DK283" s="1712"/>
      <c r="DN283" s="1717">
        <f>IFERROR(CZ283-DJ283,0)</f>
        <v>0</v>
      </c>
      <c r="DO283" s="1709"/>
      <c r="DQ283" s="1715"/>
      <c r="DR283" s="1719" t="str">
        <f>DQ281</f>
        <v/>
      </c>
      <c r="DS283" s="1816"/>
      <c r="DT283" s="1835" t="str">
        <f>IF(OR(DS281=7,DS281=8,DS281=9),"ALC","")</f>
        <v/>
      </c>
      <c r="DU283" s="1715"/>
      <c r="DV283" s="1716"/>
      <c r="DX283" s="1715"/>
      <c r="DY283" s="1829" t="str">
        <f>DX281</f>
        <v/>
      </c>
      <c r="DZ283" s="1715"/>
      <c r="EA283" s="1715"/>
      <c r="EC283" s="1834"/>
      <c r="ED283" s="1834"/>
      <c r="EF283" s="1707"/>
      <c r="EG283" s="1712"/>
      <c r="EH283" s="1818"/>
      <c r="EI283" s="1712"/>
      <c r="EJ283" s="1712"/>
      <c r="EK283" s="1836"/>
      <c r="EL283" s="1836"/>
      <c r="EM283" s="1807"/>
      <c r="EN283" s="1839"/>
      <c r="EO283" s="1839"/>
      <c r="EP283" s="1817"/>
      <c r="EQ283" s="1817"/>
      <c r="ER283" s="1807"/>
      <c r="ES283" s="1807"/>
      <c r="ET283" s="1807"/>
      <c r="EV283" s="1715"/>
      <c r="EX283" s="1805" t="str">
        <f>IFERROR(VLOOKUP(CS283,'Space Table'!$B$3:$L$163,8,FALSE),"")</f>
        <v/>
      </c>
      <c r="EY283" s="1805" t="str">
        <f>IFERROR(IF(FB283="Yes",VLOOKUP(AG283,Lookup_Control_Type_Table2,4,FALSE),VLOOKUP(AG283,Lookup_Control_Type_Table2,3,FALSE)),"")</f>
        <v/>
      </c>
      <c r="EZ283" s="1805" t="e">
        <f>VLOOKUP(AG283,Lookup!BB$3:BC$20,2,FALSE)</f>
        <v>#N/A</v>
      </c>
      <c r="FA283" s="1805" t="e">
        <f>VLOOKUP(EX281,Lookup_Control_Type_Table,2,FALSE)</f>
        <v>#N/A</v>
      </c>
      <c r="FB283" s="1805" t="e">
        <f>VLOOKUP(CS283,'Space Table'!$B$3:$L$163,7,FALSE)</f>
        <v>#N/A</v>
      </c>
      <c r="FC283" s="1827"/>
      <c r="FE283" s="1698" t="str">
        <f>CONCATENATE(CQ281," - ",AG283)</f>
        <v xml:space="preserve"> - </v>
      </c>
      <c r="FG283" s="1816"/>
      <c r="FH283" s="1816"/>
      <c r="FI283" s="133"/>
      <c r="FL283" s="1822" t="str">
        <f>IF(CQ281="Exterior","Not Daylighted",G284)</f>
        <v>Not Daylighted</v>
      </c>
      <c r="FM283" s="1824">
        <f>VLOOKUP(FL283,_New_Daylight_Table_Codes,2,FALSE)</f>
        <v>0</v>
      </c>
      <c r="FN283" s="1698">
        <f>AG283</f>
        <v>0</v>
      </c>
      <c r="FO283" s="1698" t="e">
        <f>VLOOKUP(FN283,_Control_Table,2,FALSE)</f>
        <v>#N/A</v>
      </c>
      <c r="FP283" s="1678" t="e">
        <f>VLOOKUP(CONCATENATE(FL283," ",FN283),Lookup!AY$102:AZ294,2,FALSE)</f>
        <v>#N/A</v>
      </c>
      <c r="FQ283" s="1698">
        <f>IF(__Retrofit_TI_NC=0,FN283,IF(AND(FT283&gt;0,FN283="Occupancy Sensor"),"Daylight + Occupancy",IF(AND(FT283&gt;0,FO283&lt;4),"Interior Daylight Dimming",FN283)))</f>
        <v>0</v>
      </c>
      <c r="FS283" s="1686">
        <f>IF(CQ281="Interior",VLOOKUP(CS281,Control_Savings_Interior,5,FALSE),0)</f>
        <v>0</v>
      </c>
      <c r="FT283" s="1687">
        <f>IF(CQ283="Exterior",0,IF(FM283=2,0.5,IF(OR(FM283=1,FM283=3),1,0)))</f>
        <v>0</v>
      </c>
      <c r="FU283" s="1685">
        <f>IF(R282&gt;FS$44,(FS283*(FS$44/R282)),FS283)*FT283</f>
        <v>0</v>
      </c>
      <c r="FV283" s="1686">
        <f>DI283</f>
        <v>0</v>
      </c>
      <c r="FW283" s="1686">
        <f>ROUND(FV283+((1-FV283)*FU283),2)</f>
        <v>0</v>
      </c>
      <c r="FX283" s="1686">
        <f>IF(__Retrofit_TI_NC=2,FW283,FV283)</f>
        <v>0</v>
      </c>
      <c r="FY283" s="1697">
        <f>IF(CR283="Interior",VLOOKUP(CS283,Control_Savings_Interior,4,FALSE),0)</f>
        <v>0</v>
      </c>
      <c r="GA283" s="1696"/>
      <c r="GB283" s="1696"/>
      <c r="GC283" s="1696"/>
      <c r="GD283" s="1696"/>
      <c r="GE283" s="1696"/>
      <c r="GF283" s="1696"/>
      <c r="GG283" s="1696"/>
      <c r="GH283" s="1696"/>
      <c r="GI283" s="673" t="b">
        <f>IF(ISNUMBER(SEARCH("TLED",U283)),TRUE,FALSE)</f>
        <v>0</v>
      </c>
      <c r="GJ283" s="1135" t="str">
        <f>IFERROR(VLOOKUP(U283,Fixtures!DM$93:DR$142,6,FALSE),"")</f>
        <v/>
      </c>
      <c r="GK283" s="1832"/>
      <c r="GM283" s="1692"/>
      <c r="GN283" s="1684"/>
      <c r="GP283" s="1684"/>
      <c r="GQ283" s="1684"/>
      <c r="HG283" s="1684"/>
      <c r="HH283" s="1684"/>
      <c r="HI283" s="1684"/>
      <c r="HJ283" s="1684"/>
      <c r="HK283" s="1684"/>
      <c r="HL283" s="1684"/>
      <c r="HM283" s="1684"/>
      <c r="HN283" s="1683"/>
      <c r="HO283" s="1692"/>
      <c r="HP283" s="1692"/>
      <c r="HQ283" s="1670"/>
      <c r="HR283" s="1684"/>
      <c r="HS283" s="1684"/>
      <c r="HT283" s="1670"/>
      <c r="HU283" s="1684"/>
      <c r="HV283" s="1684"/>
      <c r="HW283" s="1684"/>
      <c r="HX283" s="1684"/>
      <c r="HY283" s="1684"/>
      <c r="HZ283" s="1684"/>
      <c r="IB283" s="1692"/>
      <c r="IC283" s="1693" t="b">
        <f>IB281</f>
        <v>0</v>
      </c>
      <c r="ID283" s="1695"/>
      <c r="IE283" s="391"/>
      <c r="IF283" s="1688"/>
      <c r="IG283" s="1689">
        <f ca="1">IF(IF281=TRUE,AC284,0)</f>
        <v>0</v>
      </c>
      <c r="IH283" s="1684"/>
      <c r="IK283" s="1689" t="e">
        <f>ROUND(T283*AB284*N282*R282/1000,0)</f>
        <v>#VALUE!</v>
      </c>
      <c r="IL283" s="1691"/>
      <c r="IM283" s="1693" t="e">
        <f>ROUND(T283*AB284*N282*R282/1000,0)</f>
        <v>#VALUE!</v>
      </c>
      <c r="IN283" s="1691"/>
      <c r="IP283" s="1679"/>
      <c r="IQ283" s="1679" t="e">
        <f t="shared" ref="IQ283:IU283" si="242">IF($CR283="interior",VLOOKUP($CS283,_New_Control_Savings_Interior,IQ$30,FALSE),VLOOKUP($CS283,Control_Savings_Exterior,IQ$30,FALSE))</f>
        <v>#N/A</v>
      </c>
      <c r="IR283" s="1679" t="e">
        <f t="shared" si="242"/>
        <v>#N/A</v>
      </c>
      <c r="IS283" s="1679" t="e">
        <f t="shared" si="242"/>
        <v>#N/A</v>
      </c>
      <c r="IT283" s="1679" t="e">
        <f t="shared" si="242"/>
        <v>#N/A</v>
      </c>
      <c r="IU283" s="1679" t="e">
        <f t="shared" si="242"/>
        <v>#N/A</v>
      </c>
      <c r="IV283" s="1679" t="e">
        <f>IF($CR283="interior",IF(R282&gt;$IP$14,ROUND(($IV$18*($IP$14/R282)),2),$IV$18),VLOOKUP($CS283,Control_Savings_Exterior,IV$30,FALSE))</f>
        <v>#N/A</v>
      </c>
      <c r="IW283" s="1679" t="e">
        <f>IF($CR283="interior",ROUND(((1-IS283)*IV283)+IS283,2),VLOOKUP($CS283,Control_Savings_Exterior,IW$30,FALSE))</f>
        <v>#N/A</v>
      </c>
      <c r="IX283" s="1679" t="e">
        <f>IF($CR283="interior",ROUND(((1-IT283)*IV283)+IT283,2),VLOOKUP($CS283,Control_Savings_Exterior,IX$30,FALSE))</f>
        <v>#N/A</v>
      </c>
      <c r="IY283" s="1679" t="e">
        <f>IF($CR283="interior",IF(R282&gt;$IP$14,ROUND(($IY$18*($IP$14/R282)),2),$IY$18),VLOOKUP($CS283,Control_Savings_Exterior,IY$30,FALSE))</f>
        <v>#N/A</v>
      </c>
      <c r="IZ283" s="1679" t="e">
        <f>IF($CR283="interior",ROUND(((1-IS283)*IY283)+IS283,2),VLOOKUP($CS283,Control_Savings_Exterior,IZ$30,FALSE))</f>
        <v>#N/A</v>
      </c>
      <c r="JA283" s="1679" t="e">
        <f>IF($CR283="interior",ROUND(((1-IT283)*IY283)+IT283,2),VLOOKUP($CS283,Control_Savings_Exterior,JA$30,FALSE))</f>
        <v>#N/A</v>
      </c>
      <c r="JC283" s="1680">
        <f>IFERROR(IF(CR283="Interior",CONCATENATE(G284," ",FQ283),AG283),"")</f>
        <v>0</v>
      </c>
      <c r="JD283" s="1670" t="str">
        <f>IFERROR(VLOOKUP(JC283,_Controls_2023,2,FALSE),"")</f>
        <v/>
      </c>
      <c r="JE283" s="1681">
        <f>IFERROR(CHOOSE(JD283-1,IQ283,IR283,IS283,IT283,IU283,IV283,IW283,IX283,IY283,IZ283,JA283),0)</f>
        <v>0</v>
      </c>
      <c r="JG283" s="1680" t="str">
        <f>FE283</f>
        <v xml:space="preserve"> - </v>
      </c>
      <c r="JH283" s="1670" t="e">
        <f>$FO283</f>
        <v>#N/A</v>
      </c>
      <c r="JI283" s="1060"/>
      <c r="JJ283" s="1670">
        <f>IFERROR(IF($IB281=TRUE,IF(OR(JJ$14="No",JJ281=FALSE,JH283&lt;=JH281,AND(_kWh_Grant=0,GD281=FALSE)),0,IF(JJ$8="Per Line",1,$AF283)),0),0)</f>
        <v>0</v>
      </c>
      <c r="JK283" s="1061"/>
      <c r="JL283" s="1670">
        <f>IFERROR(IF(_kWh_Grant=0,0,IF($IB281=TRUE,IF(OR(JL$14="No",JL281=FALSE,JH283&lt;=JH281),0,IF(JL$8="Per Line",1,$T283)),0)),0)</f>
        <v>0</v>
      </c>
      <c r="JM283" s="1061"/>
      <c r="JN283" s="1670">
        <f>IFERROR(IF(_kWh_Grant=0,0,IF($IB281=TRUE,IF(OR(JN$14="No",JN281=FALSE,JH283&lt;=JH281),0,IF(JN$8="Per Line",1,$AF283)),0)),0)</f>
        <v>0</v>
      </c>
      <c r="JO283" s="1061"/>
      <c r="JP283" s="1670">
        <f>IFERROR(IF(__Retrofit_TI_NC=0,IF(_kWh_Grant=0,0,IF($IB281=TRUE,IF(OR(JP$14="No",JP281=FALSE,$JH283&lt;=$JH281),0,IF(JP$8="Per Line",1,$AF283)),0)),IF($IB281=TRUE,IF(OR(JP$14="No",JP281=FALSE,$JH283&lt;=$JH281),0,IF(JP$8="Per Line",1,$AF283)))),0)</f>
        <v>0</v>
      </c>
      <c r="JQ283" s="1061"/>
      <c r="JR283" s="1670">
        <f>IFERROR(IF(__Retrofit_TI_NC=0,IF(_kWh_Grant=0,0,IF($IB281=TRUE,IF(OR(JR$14="No",JR281=FALSE,$JH283&lt;=$JH281),0,IF(JR$8="Per Line",1,$AF283)),0)),IF($IB281=TRUE,IF(OR(JR$14="No",JR281=FALSE,$JH283&lt;=$JH281),0,IF(JR$8="Per Line",1,$AF283)))),0)</f>
        <v>0</v>
      </c>
      <c r="JS283" s="1061"/>
      <c r="JT283" s="1670">
        <f>IFERROR(IF(__Retrofit_TI_NC=0,IF(_kWh_Grant=0,0,IF($IB281=TRUE,IF(OR(JT$14="No",JT281=FALSE,$JH283&lt;=$JH281),0,IF(JT$8="Per Line",1,$AF283)),0)),IF($IB281=TRUE,IF(OR(JT$14="No",JT281=FALSE,$JH283&lt;=$JH281),0,IF(JT$8="Per Line",1,$AF283)))),0)</f>
        <v>0</v>
      </c>
      <c r="JU283" s="1061"/>
      <c r="JV283" s="1670">
        <f>IFERROR(IF(__Retrofit_TI_NC=0,IF(_kWh_Grant=0,0,IF($IB281=TRUE,IF(OR(JV$14="No",JV281=FALSE,$JH283&lt;=$JH281),0,IF(JV$8="Per Line",1,$AF283)),0)),IF($IB281=TRUE,IF(OR(JV$14="No",JV281=FALSE,$JH283&lt;=$JH281),0,IF(JV$8="Per Line",1,$AF283)))),0)</f>
        <v>0</v>
      </c>
      <c r="JX283" s="1670">
        <f>IFERROR(IF(__Retrofit_TI_NC=0,IF(_kWh_Grant=0,0,IF($IB281=TRUE,IF(OR(JX$14="No",JX281=FALSE,$JH283&lt;=$JH281),0,IF(JX$8="Per Line",1,$AF283)),0)),IF($IB281=TRUE,IF(OR(JX$14="No",JX281=FALSE,$JH283&lt;=$JH281),0,IF(JX$8="Per Line",1,$AF283)))),0)</f>
        <v>0</v>
      </c>
      <c r="JZ283" s="1670">
        <f>IFERROR(IF($IB281=TRUE,IF(OR(JZ$14="No",JZ281=FALSE,$JH283&lt;=$JH281,AND(_kWh_Grant=0,$GD281=FALSE)),0,IF(JZ$8="Per Line",1,$AF283)),0),0)</f>
        <v>0</v>
      </c>
      <c r="KB283" s="1670">
        <f>IFERROR(IF(__Retrofit_TI_NC=0,IF(_kWh_Grant=0,0,IF($IB281=TRUE,IF(OR(KB$14="No",KB281=FALSE,$JH283&lt;=$JH281),0,IF(KB$8="Per Line",1,$AF283)),0)),IF($IB281=TRUE,IF(OR(KB$14="No",KB281=FALSE,$JH283&lt;=$JH281),0,IF(KB$8="Per Line",1,$AF283)))),0)</f>
        <v>0</v>
      </c>
    </row>
    <row r="284" spans="1:288" s="78" customFormat="1" ht="14.95" customHeight="1" thickTop="1" thickBot="1">
      <c r="B284" s="1845"/>
      <c r="C284" s="1846"/>
      <c r="D284" s="1847"/>
      <c r="E284" s="1771" t="s">
        <v>436</v>
      </c>
      <c r="F284" s="1772"/>
      <c r="G284" s="1784" t="s">
        <v>437</v>
      </c>
      <c r="H284" s="1785"/>
      <c r="I284" s="1785"/>
      <c r="J284" s="1785"/>
      <c r="K284" s="1785"/>
      <c r="L284" s="1786"/>
      <c r="M284" s="591">
        <f>IFERROR(VLOOKUP(G284,_Daylight_Table[],2,FALSE),0)</f>
        <v>0</v>
      </c>
      <c r="N284" s="592" t="str">
        <f>IF(AND(__Retrofit_TI_NC&gt;0,CQ281="Interior"),"BAM","")</f>
        <v/>
      </c>
      <c r="O284" s="591" t="e">
        <f>VLOOKUP(G283,'Space Table'!$B$3:$L$163,11,FALSE)</f>
        <v>#N/A</v>
      </c>
      <c r="P284" s="1789"/>
      <c r="Q284" s="1790"/>
      <c r="R284" s="1790"/>
      <c r="S284" s="1788"/>
      <c r="T284" s="593" t="s">
        <v>342</v>
      </c>
      <c r="U284" s="1756" t="str" cm="1">
        <f t="array" aca="1" ref="U284" ca="1">IFERROR(VLOOKUP(INDIRECT("U" &amp; ROW()-1),Fixtures!DM$93:DP$142,4,FALSE),"")</f>
        <v/>
      </c>
      <c r="V284" s="1757"/>
      <c r="W284" s="1757"/>
      <c r="X284" s="1757"/>
      <c r="Y284" s="1757"/>
      <c r="Z284" s="1757"/>
      <c r="AA284" s="1758"/>
      <c r="AB284" s="939" t="str">
        <f>IFERROR(VLOOKUP(U283,Fixtures_Proposed_List,2,FALSE),"")</f>
        <v/>
      </c>
      <c r="AC284" s="933" t="str">
        <f>IFERROR(ROUND(T283*AB284*N282*R282/1000,0),"")</f>
        <v/>
      </c>
      <c r="AD284" s="934" t="str">
        <f>IFERROR(ROUND(T283*AB284/1000,2),"")</f>
        <v/>
      </c>
      <c r="AE284" s="998"/>
      <c r="AF284" s="938" t="s">
        <v>342</v>
      </c>
      <c r="AG284" s="1770"/>
      <c r="AH284" s="1770"/>
      <c r="AI284" s="1770"/>
      <c r="AJ284" s="1770"/>
      <c r="AK284" s="1770"/>
      <c r="AL284" s="1770"/>
      <c r="AM284" s="1727"/>
      <c r="AN284" s="1729"/>
      <c r="AO284" s="1731"/>
      <c r="AP284" s="1782"/>
      <c r="AQ284" s="1783"/>
      <c r="AR284" s="1797"/>
      <c r="AS284" s="1797"/>
      <c r="AT284" s="1798"/>
      <c r="AU284" s="1736"/>
      <c r="AV284" s="1753"/>
      <c r="AW284" s="1706"/>
      <c r="AX284" s="468"/>
      <c r="AY284" s="1750"/>
      <c r="AZ284" s="1750"/>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696"/>
      <c r="CQ284" s="1696"/>
      <c r="CR284" s="1809"/>
      <c r="CS284" s="1811"/>
      <c r="CU284" s="1688"/>
      <c r="CV284" s="1703"/>
      <c r="CW284" s="1703"/>
      <c r="CX284" s="1813"/>
      <c r="CY284" s="1815"/>
      <c r="CZ284" s="1711"/>
      <c r="DA284" s="1815"/>
      <c r="DB284" s="1821"/>
      <c r="DC284" s="1821"/>
      <c r="DD284" s="1821"/>
      <c r="DF284" s="1703"/>
      <c r="DG284" s="1831"/>
      <c r="DH284" s="1813"/>
      <c r="DI284" s="1838"/>
      <c r="DJ284" s="1711"/>
      <c r="DK284" s="1712"/>
      <c r="DN284" s="1718"/>
      <c r="DO284" s="1709"/>
      <c r="DQ284" s="1715"/>
      <c r="DR284" s="1720"/>
      <c r="DS284" s="1703"/>
      <c r="DT284" s="1714"/>
      <c r="DU284" s="1715"/>
      <c r="DV284" s="1716"/>
      <c r="DX284" s="1715"/>
      <c r="DY284" s="1720"/>
      <c r="DZ284" s="1715"/>
      <c r="EA284" s="1715"/>
      <c r="EC284" s="1834"/>
      <c r="ED284" s="1834"/>
      <c r="EF284" s="1707"/>
      <c r="EG284" s="1712"/>
      <c r="EH284" s="1815"/>
      <c r="EI284" s="1712"/>
      <c r="EJ284" s="1712"/>
      <c r="EK284" s="1813"/>
      <c r="EL284" s="1813"/>
      <c r="EM284" s="1807"/>
      <c r="EN284" s="1839"/>
      <c r="EO284" s="1839"/>
      <c r="EP284" s="1817"/>
      <c r="EQ284" s="1817"/>
      <c r="ER284" s="1807"/>
      <c r="ES284" s="1807"/>
      <c r="ET284" s="1807"/>
      <c r="EV284" s="1715"/>
      <c r="EX284" s="1806"/>
      <c r="EY284" s="1806"/>
      <c r="EZ284" s="1806"/>
      <c r="FA284" s="1806"/>
      <c r="FB284" s="1806"/>
      <c r="FC284" s="1828"/>
      <c r="FE284" s="1698"/>
      <c r="FG284" s="1703"/>
      <c r="FH284" s="1703"/>
      <c r="FI284" s="133"/>
      <c r="FL284" s="1823"/>
      <c r="FM284" s="1825"/>
      <c r="FN284" s="1698"/>
      <c r="FO284" s="1698"/>
      <c r="FP284" s="1678"/>
      <c r="FQ284" s="1698"/>
      <c r="FS284" s="1687"/>
      <c r="FT284" s="1687"/>
      <c r="FU284" s="1685"/>
      <c r="FV284" s="1687"/>
      <c r="FW284" s="1687"/>
      <c r="FX284" s="1687"/>
      <c r="FY284" s="1697"/>
      <c r="GA284" s="1696"/>
      <c r="GB284" s="1696"/>
      <c r="GC284" s="1696"/>
      <c r="GD284" s="1696"/>
      <c r="GE284" s="1696"/>
      <c r="GF284" s="1696"/>
      <c r="GG284" s="1696"/>
      <c r="GH284" s="1696"/>
      <c r="GI284" s="673"/>
      <c r="GJ284" s="1135"/>
      <c r="GK284" s="1832"/>
      <c r="GN284" s="674">
        <f>IF(GN282=TRUE,0,GN$16)</f>
        <v>0</v>
      </c>
      <c r="GP284" s="674">
        <f>IF(GP282=TRUE,0,GP$16)</f>
        <v>36</v>
      </c>
      <c r="GQ284" s="674">
        <f ca="1">IF(GQ282=TRUE,0,GQ$16)</f>
        <v>35</v>
      </c>
      <c r="GR284" s="391"/>
      <c r="GS284" s="391"/>
      <c r="GT284" s="391"/>
      <c r="GU284" s="391"/>
      <c r="GV284" s="391"/>
      <c r="HG284" s="674">
        <f>IF(HG282=TRUE,0,HG$16)</f>
        <v>0</v>
      </c>
      <c r="HH284" s="674">
        <f t="shared" ref="HH284:HM284" si="243">IF(HH282=TRUE,0,HH$16)</f>
        <v>19</v>
      </c>
      <c r="HI284" s="674">
        <f t="shared" si="243"/>
        <v>18</v>
      </c>
      <c r="HJ284" s="674">
        <f t="shared" si="243"/>
        <v>17</v>
      </c>
      <c r="HK284" s="674">
        <f t="shared" si="243"/>
        <v>16</v>
      </c>
      <c r="HL284" s="674">
        <f t="shared" si="243"/>
        <v>0</v>
      </c>
      <c r="HM284" s="674">
        <f t="shared" si="243"/>
        <v>0</v>
      </c>
      <c r="HN284" s="674">
        <f>IF(HN282=TRUE,0,HN$16)</f>
        <v>13</v>
      </c>
      <c r="HO284" s="674">
        <f t="shared" ref="HO284:HQ284" si="244">IF(HO282=TRUE,0,HO$16)</f>
        <v>0</v>
      </c>
      <c r="HP284" s="674">
        <f t="shared" si="244"/>
        <v>0</v>
      </c>
      <c r="HQ284" s="674">
        <f t="shared" si="244"/>
        <v>10</v>
      </c>
      <c r="HR284" s="674">
        <f>IF(HR282=TRUE,0,HR$16)</f>
        <v>9</v>
      </c>
      <c r="HS284" s="674">
        <f t="shared" ref="HS284:HW284" si="245">IF(HS282=TRUE,0,HS$16)</f>
        <v>0</v>
      </c>
      <c r="HT284" s="674">
        <f t="shared" si="245"/>
        <v>0</v>
      </c>
      <c r="HU284" s="674">
        <f t="shared" si="245"/>
        <v>0</v>
      </c>
      <c r="HV284" s="674">
        <f t="shared" si="245"/>
        <v>0</v>
      </c>
      <c r="HW284" s="674">
        <f t="shared" si="245"/>
        <v>0</v>
      </c>
      <c r="HX284" s="674">
        <f>IF(HX282=TRUE,0,HX$16)</f>
        <v>0</v>
      </c>
      <c r="HY284" s="674">
        <f>IF(HY282=TRUE,0,HY$16)</f>
        <v>0</v>
      </c>
      <c r="HZ284" s="674">
        <f>IF(HZ282=TRUE,0,HZ$16)</f>
        <v>1</v>
      </c>
      <c r="IB284" s="674">
        <f>IF(GP282=FALSE,GP284,IF(GQ282=FALSE,GQ284,MAX(GN284:HZ284)))</f>
        <v>36</v>
      </c>
      <c r="IC284" s="1692"/>
      <c r="ID284" s="205" t="str">
        <f>VLOOKUP(IB284,_Error_Table,3,FALSE)</f>
        <v xml:space="preserve"> </v>
      </c>
      <c r="IE284" s="205"/>
      <c r="IF284" s="1688"/>
      <c r="IG284" s="1689"/>
      <c r="IH284" s="1684"/>
      <c r="IK284" s="1689"/>
      <c r="IL284" s="1692"/>
      <c r="IM284" s="1692"/>
      <c r="IN284" s="1692"/>
      <c r="IP284" s="1679"/>
      <c r="IQ284" s="1679"/>
      <c r="IR284" s="1679"/>
      <c r="IS284" s="1679"/>
      <c r="IT284" s="1679"/>
      <c r="IU284" s="1679"/>
      <c r="IV284" s="1679"/>
      <c r="IW284" s="1679"/>
      <c r="IX284" s="1679"/>
      <c r="IY284" s="1679"/>
      <c r="IZ284" s="1679"/>
      <c r="JA284" s="1679"/>
      <c r="JC284" s="1680"/>
      <c r="JD284" s="1670"/>
      <c r="JE284" s="1681"/>
      <c r="JG284" s="1680"/>
      <c r="JH284" s="1670"/>
      <c r="JI284" s="1060"/>
      <c r="JJ284" s="1670"/>
      <c r="JK284" s="1061"/>
      <c r="JL284" s="1670"/>
      <c r="JM284" s="1061"/>
      <c r="JN284" s="1670"/>
      <c r="JO284" s="1061"/>
      <c r="JP284" s="1670"/>
      <c r="JQ284" s="1061"/>
      <c r="JR284" s="1670"/>
      <c r="JS284" s="1061"/>
      <c r="JT284" s="1670"/>
      <c r="JU284" s="1061"/>
      <c r="JV284" s="1670"/>
      <c r="JX284" s="1670"/>
      <c r="JZ284" s="1670"/>
      <c r="KB284" s="1670"/>
    </row>
    <row r="285" spans="1:288" s="78" customFormat="1" ht="5.0999999999999996" customHeight="1">
      <c r="B285" s="676"/>
      <c r="C285" s="392"/>
      <c r="D285" s="392"/>
      <c r="E285" s="1733"/>
      <c r="F285" s="1733"/>
      <c r="G285" s="1733"/>
      <c r="H285" s="1733"/>
      <c r="I285" s="1733"/>
      <c r="J285" s="1733"/>
      <c r="K285" s="1733"/>
      <c r="L285" s="1733"/>
      <c r="M285" s="1733"/>
      <c r="N285" s="1733"/>
      <c r="O285" s="1733"/>
      <c r="P285" s="1733"/>
      <c r="Q285" s="1733"/>
      <c r="R285" s="1733"/>
      <c r="S285" s="1733"/>
      <c r="T285" s="1733"/>
      <c r="U285" s="1733"/>
      <c r="V285" s="1733"/>
      <c r="W285" s="1733"/>
      <c r="X285" s="1733"/>
      <c r="Y285" s="1733"/>
      <c r="Z285" s="1733"/>
      <c r="AA285" s="1733"/>
      <c r="AB285" s="1733"/>
      <c r="AC285" s="1733"/>
      <c r="AD285" s="1733"/>
      <c r="AE285" s="1733"/>
      <c r="AF285" s="1733"/>
      <c r="AG285" s="1733"/>
      <c r="AH285" s="1733"/>
      <c r="AI285" s="1733"/>
      <c r="AJ285" s="1733"/>
      <c r="AK285" s="1733"/>
      <c r="AL285" s="1733"/>
      <c r="AM285" s="1733"/>
      <c r="AN285" s="1733"/>
      <c r="AO285" s="1733"/>
      <c r="AP285" s="1733"/>
      <c r="AQ285" s="1733"/>
      <c r="AR285" s="1733"/>
      <c r="AS285" s="1733"/>
      <c r="AT285" s="1733"/>
      <c r="AU285" s="1733"/>
      <c r="AV285" s="1733"/>
      <c r="AW285" s="1733"/>
      <c r="AX285" s="469"/>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663"/>
      <c r="CQ285" s="663"/>
      <c r="CR285" s="438"/>
      <c r="CS285" s="663"/>
      <c r="CV285" s="391"/>
      <c r="CW285" s="391"/>
      <c r="CX285" s="207"/>
      <c r="CY285" s="208"/>
      <c r="CZ285" s="208"/>
      <c r="DA285" s="208"/>
      <c r="DB285" s="209"/>
      <c r="DC285" s="209"/>
      <c r="DD285" s="209"/>
      <c r="DF285" s="664"/>
      <c r="DG285" s="665"/>
      <c r="DH285" s="666"/>
      <c r="DI285" s="667"/>
      <c r="DJ285" s="668"/>
      <c r="DK285" s="668"/>
      <c r="DN285" s="208"/>
      <c r="DO285" s="664"/>
      <c r="DQ285" s="664"/>
      <c r="DR285" s="669"/>
      <c r="DS285" s="391"/>
      <c r="DT285" s="664"/>
      <c r="DU285" s="664"/>
      <c r="DV285" s="664"/>
      <c r="DX285" s="664"/>
      <c r="DY285" s="664"/>
      <c r="DZ285" s="664"/>
      <c r="EA285" s="664"/>
      <c r="EC285" s="670"/>
      <c r="ED285" s="670"/>
      <c r="EF285" s="668"/>
      <c r="EG285" s="668"/>
      <c r="EH285" s="208"/>
      <c r="EI285" s="668"/>
      <c r="EJ285" s="668"/>
      <c r="EK285" s="207"/>
      <c r="EL285" s="207"/>
      <c r="EM285" s="666"/>
      <c r="EN285" s="671"/>
      <c r="EO285" s="671"/>
      <c r="EP285" s="672"/>
      <c r="EQ285" s="672"/>
      <c r="ER285" s="666"/>
      <c r="ES285" s="666"/>
      <c r="ET285" s="666"/>
      <c r="EV285" s="664"/>
      <c r="EX285" s="391"/>
      <c r="EY285" s="391"/>
      <c r="EZ285" s="391"/>
      <c r="FA285" s="391"/>
      <c r="FB285" s="391"/>
      <c r="FC285" s="391"/>
      <c r="FE285" s="569"/>
      <c r="FG285" s="391"/>
      <c r="FH285" s="391"/>
      <c r="FI285" s="391"/>
      <c r="FS285" s="664"/>
      <c r="FT285" s="391"/>
      <c r="FU285" s="391"/>
      <c r="FV285" s="664"/>
      <c r="FW285" s="664"/>
      <c r="GA285" s="663"/>
      <c r="GB285" s="663"/>
      <c r="GC285" s="663"/>
      <c r="GD285" s="663"/>
      <c r="GE285" s="663"/>
      <c r="GF285" s="663"/>
      <c r="GG285" s="663"/>
      <c r="GH285" s="663"/>
      <c r="GI285" s="665"/>
      <c r="GJ285" s="664"/>
      <c r="GK285" s="664"/>
    </row>
    <row r="286" spans="1:288" s="78" customFormat="1" ht="14.95" customHeight="1">
      <c r="B286" s="1845" t="str">
        <f>ID289</f>
        <v xml:space="preserve"> </v>
      </c>
      <c r="C286" s="1846">
        <f>C281+1</f>
        <v>47</v>
      </c>
      <c r="D286" s="1847"/>
      <c r="E286" s="1799" t="s">
        <v>295</v>
      </c>
      <c r="F286" s="1800"/>
      <c r="G286" s="1741"/>
      <c r="H286" s="1742"/>
      <c r="I286" s="1742"/>
      <c r="J286" s="1742"/>
      <c r="K286" s="1742"/>
      <c r="L286" s="1742"/>
      <c r="M286" s="1742"/>
      <c r="N286" s="1742"/>
      <c r="O286" s="1742"/>
      <c r="P286" s="1742"/>
      <c r="Q286" s="1742"/>
      <c r="R286" s="1742"/>
      <c r="S286" s="1791" t="s">
        <v>344</v>
      </c>
      <c r="T286" s="590"/>
      <c r="U286" s="1743"/>
      <c r="V286" s="1744"/>
      <c r="W286" s="1744"/>
      <c r="X286" s="1744"/>
      <c r="Y286" s="1744"/>
      <c r="Z286" s="1744"/>
      <c r="AA286" s="1744"/>
      <c r="AB286" s="961" t="str">
        <f>IFERROR(IF(__Retrofit_TI_NC=0,VLOOKUP(U287,Fixtures_Existing_List,2,FALSE),ROUND(N288*R288/T288,10)),"")</f>
        <v/>
      </c>
      <c r="AC286" s="935" t="str">
        <f>IFERROR(IF(__Retrofit_TI_NC=0,ROUND(T287*AB286*N287*R287/1000,0),IF(CQ286="Interior",N288*R288*R287*N287*_C406_reduction/1000,N288*R288*R287*N287/1000)),"")</f>
        <v/>
      </c>
      <c r="AD286" s="936" t="str">
        <f>IFERROR(IF(C$43=0,ROUND(T287*AB286/1000,2),N288*R288/1000),"")</f>
        <v/>
      </c>
      <c r="AE286" s="997"/>
      <c r="AF286" s="937"/>
      <c r="AG286" s="1745" t="str">
        <f>IF(__Retrofit_TI_NC=0," Control","Select Advanced Control for New System")</f>
        <v xml:space="preserve"> Control</v>
      </c>
      <c r="AH286" s="1745"/>
      <c r="AI286" s="1745"/>
      <c r="AJ286" s="1745"/>
      <c r="AK286" s="1745"/>
      <c r="AL286" s="1745"/>
      <c r="AM286" s="1746">
        <f>IFERROR(DI286,"")</f>
        <v>0</v>
      </c>
      <c r="AN286" s="1774" t="str">
        <f>IFERROR(ROUND(AM286*AC286,0),"")</f>
        <v/>
      </c>
      <c r="AO286" s="1776">
        <f>IFERROR(IF(IB286=FALSE,0,AC286-AN286),0)</f>
        <v>0</v>
      </c>
      <c r="AP286" s="1778">
        <f>AO286-AO288</f>
        <v>0</v>
      </c>
      <c r="AQ286" s="1779"/>
      <c r="AR286" s="1793">
        <f>IFERROR(IF(IB286=FALSE,0,(T288*U289)+(AF288*AG289)),0)</f>
        <v>0</v>
      </c>
      <c r="AS286" s="1793"/>
      <c r="AT286" s="1794"/>
      <c r="AU286" s="1734" t="s">
        <v>237</v>
      </c>
      <c r="AV286" s="1751">
        <f>IF(AU286="Yes",1,0)</f>
        <v>1</v>
      </c>
      <c r="AW286" s="1704" t="str">
        <f>IF(OR(DQ286=4,DQ286=5,DQ286=6,DQ286=12),CONCATENATE("$",IF(GH286=TRUE,Lookup!$K$10,Lookup!$K$2)," /lamp"),CONCATENATE(TEXT(ED286,"$0.00"),"/ kWh"))</f>
        <v>$0.00/ kWh</v>
      </c>
      <c r="AX286" s="467"/>
      <c r="AY286" s="1748">
        <f ca="1">IFERROR(IF(GM287=TRUE,(AB289*T288)/R288,0),"NA")</f>
        <v>0</v>
      </c>
      <c r="AZ286" s="1748"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696" t="str">
        <f>N287</f>
        <v/>
      </c>
      <c r="CQ286" s="1696" t="str">
        <f>IFERROR(VLOOKUP(G287,_Lookup_Heat_Type_Table_New,3,FALSE),"")</f>
        <v/>
      </c>
      <c r="CR286" s="1808" t="str">
        <f>CQ286</f>
        <v/>
      </c>
      <c r="CS286" s="1810" t="str">
        <f>IFERROR(VLOOKUP(G288,'Space Table'!$B$3:$L$163,9,FALSE),"")</f>
        <v/>
      </c>
      <c r="CU286" s="1688" t="s">
        <v>344</v>
      </c>
      <c r="CV286" s="1702">
        <f>IF(IB286=TRUE,T287,0)</f>
        <v>0</v>
      </c>
      <c r="CW286" s="1702" t="str">
        <f>IF(IB286=TRUE,U287,"")</f>
        <v/>
      </c>
      <c r="CX286" s="1702"/>
      <c r="CY286" s="1814">
        <f>IF(IB286=TRUE,AB286,0)</f>
        <v>0</v>
      </c>
      <c r="CZ286" s="1710">
        <f>IF(AND(__Retrofit_TI_NC&gt;0,CR286="interior"),0,IF(IB286=TRUE,AC286,0))</f>
        <v>0</v>
      </c>
      <c r="DA286" s="1814">
        <f>IFERROR(IF(IB286=TRUE,CZ286-CZ288,0),0)</f>
        <v>0</v>
      </c>
      <c r="DB286" s="1819">
        <f>IF(IB286=TRUE,AD286,0)</f>
        <v>0</v>
      </c>
      <c r="DC286" s="1819">
        <f>IF(IB286=TRUE,AD289,0)</f>
        <v>0</v>
      </c>
      <c r="DD286" s="1819">
        <f>IFERROR(DB286-DC286,0)</f>
        <v>0</v>
      </c>
      <c r="DF286" s="1702">
        <f>IF(IB286=TRUE,AF287,0)</f>
        <v>0</v>
      </c>
      <c r="DG286" s="1830">
        <f>IFERROR(IF(__Retrofit_TI_NC=2,IF(CQ286="Exterior",O289,FQ286),FN286),"")</f>
        <v>0</v>
      </c>
      <c r="DH286" s="1702"/>
      <c r="DI286" s="1837">
        <f>JE286</f>
        <v>0</v>
      </c>
      <c r="DJ286" s="1710">
        <f>IF(AND(__Retrofit_TI_NC&gt;0,CR286="interior"),0,IF(IB286=TRUE,AN286,0))</f>
        <v>0</v>
      </c>
      <c r="DK286" s="1712">
        <f>IFERROR(IF(IB286=TRUE,DJ288-DJ286,0),0)</f>
        <v>0</v>
      </c>
      <c r="DM286" s="1717">
        <f>IFERROR(CZ286-DJ286,0)</f>
        <v>0</v>
      </c>
      <c r="DO286" s="1708">
        <f>DM286-DN288</f>
        <v>0</v>
      </c>
      <c r="DQ286" s="1715" t="str">
        <f>IFERROR(IF(AND(OR(GC286=4,GC286=5,GC286=6),OR(GF286=4,GF286=5,GF286=6)),GC286+8,VLOOKUP(CW288,Fixtures!R$31:Y$78,8,FALSE)),"")</f>
        <v/>
      </c>
      <c r="DR286" s="1829" t="str">
        <f>DQ286</f>
        <v/>
      </c>
      <c r="DS286" s="1702" t="str">
        <f>IFERROR(VLOOKUP(DG288,Lookup!BB$3:BC$20,2,FALSE),"")</f>
        <v/>
      </c>
      <c r="DT286" s="1713" t="str">
        <f>IF(OR(DS286=7,DS286=8,DS286=9),"ALC","")</f>
        <v/>
      </c>
      <c r="DU286" s="1715">
        <f>IFERROR(IF(OR(DQ286=4,DQ286=5,DQ286=6,DQ286=12,DQ286=13,DQ286=14),VLOOKUP(CW288,Fixtures!DN$27:EG$77,19,FALSE),1)*CV288,0)</f>
        <v>0</v>
      </c>
      <c r="DV286" s="1716">
        <f>IF(OR(DS286=7,DS286=8,DS286=9),IF(DG286=DG288,0,DF288),0)</f>
        <v>0</v>
      </c>
      <c r="DX286" s="1715" t="str">
        <f>IFERROR(IF(EZ286&lt;EZ288,"Yes","No"),"")</f>
        <v/>
      </c>
      <c r="DY286" s="1829" t="str">
        <f>DX286</f>
        <v/>
      </c>
      <c r="DZ286" s="1715">
        <f>IF(DX286="Yes",DF288,0)</f>
        <v>0</v>
      </c>
      <c r="EA286" s="1715">
        <f>DZ286-DV286</f>
        <v>0</v>
      </c>
      <c r="EC286" s="1834">
        <f>IFERROR(VLOOKUP(DQ286,Lookup!AU$3:AV$16,2,FALSE),0)</f>
        <v>0</v>
      </c>
      <c r="ED286" s="1834">
        <f>IF(IB286=FALSE,0,IF(DX286="Yes",EC286+Lookup!K$6,EC286))</f>
        <v>0</v>
      </c>
      <c r="EF286" s="1707">
        <f>IF(IB286=TRUE,DM286,0)</f>
        <v>0</v>
      </c>
      <c r="EG286" s="1712">
        <f>IF(IB286=TRUE,CZ288,0)</f>
        <v>0</v>
      </c>
      <c r="EH286" s="1814">
        <f>IFERROR(EF286-EG286,0)</f>
        <v>0</v>
      </c>
      <c r="EI286" s="1712">
        <f>IF(IB286=TRUE,DJ288,0)</f>
        <v>0</v>
      </c>
      <c r="EJ286" s="1712">
        <f>IFERROR(EF286-EG286+EI286,0)</f>
        <v>0</v>
      </c>
      <c r="EK286" s="1812">
        <f>IF(IB286=TRUE,CV288*CX288,0)</f>
        <v>0</v>
      </c>
      <c r="EL286" s="1812">
        <f>IF(IB286=TRUE,DF288*DH288,0)</f>
        <v>0</v>
      </c>
      <c r="EM286" s="1807">
        <f>AR286</f>
        <v>0</v>
      </c>
      <c r="EN286" s="1839" t="str">
        <f>IFERROR(IF(IB286=TRUE,VLOOKUP(DQ286,Lookup!AU$3:AW$16,3,FALSE)*DU286,""),0)</f>
        <v/>
      </c>
      <c r="EO286" s="1839">
        <f>IF(IB286=TRUE,DZ286*Lookup!AW$12,0)</f>
        <v>0</v>
      </c>
      <c r="EP286" s="1817">
        <f>IFERROR(IF(IB286=TRUE,EN286/EP$40,0),0)</f>
        <v>0</v>
      </c>
      <c r="EQ286" s="1817">
        <f>IF(IB286=TRUE,EO286/EQ$40,0)</f>
        <v>0</v>
      </c>
      <c r="ER286" s="1807">
        <f>IF(IB286=TRUE,ET$40*EP286,0)</f>
        <v>0</v>
      </c>
      <c r="ES286" s="1807">
        <f>IF(IB286=TRUE,ET$40*EQ286,0)</f>
        <v>0</v>
      </c>
      <c r="ET286" s="1807">
        <f>ER286+ES286</f>
        <v>0</v>
      </c>
      <c r="EV286" s="1715">
        <f>IF(G286="",0,1)</f>
        <v>0</v>
      </c>
      <c r="EX286" s="1804" t="str">
        <f>IFERROR(VLOOKUP(CS288,'Space Table'!$B$3:$L$163,8,FALSE),"")</f>
        <v/>
      </c>
      <c r="EY286" s="1804" t="str">
        <f>IFERROR(IF(FB286="Yes",VLOOKUP(DG286,Lookup_Control_Type_Table2,4,FALSE),VLOOKUP(DG286,Lookup_Control_Type_Table2,3,FALSE)),"")</f>
        <v/>
      </c>
      <c r="EZ286" s="1804" t="e">
        <f>VLOOKUP(DG286,Lookup!BB$3:BC$20,2,FALSE)</f>
        <v>#N/A</v>
      </c>
      <c r="FA286" s="1804" t="e">
        <f>VLOOKUP(EX286,Lookup_Control_Type_Table,2,FALSE)</f>
        <v>#N/A</v>
      </c>
      <c r="FB286" s="1804" t="e">
        <f>VLOOKUP(CS288,'Space Table'!$B$3:$L$163,7,FALSE)</f>
        <v>#N/A</v>
      </c>
      <c r="FC286" s="1826" t="b">
        <f>ISNUMBER(SEARCH("TLED",U288))</f>
        <v>0</v>
      </c>
      <c r="FE286" s="1698" t="str">
        <f>CONCATENATE(CQ286," - ",DG286)</f>
        <v xml:space="preserve"> - 0</v>
      </c>
      <c r="FG286" s="1702" t="str">
        <f>VLOOKUP(CW288,Fixtures!DN$27:EZ$77,38,FALSE)</f>
        <v/>
      </c>
      <c r="FH286" s="1702">
        <f>IFERROR(FG286*EH286,0)</f>
        <v>0</v>
      </c>
      <c r="FI286" s="133"/>
      <c r="FL286" s="1822" t="str">
        <f>IF(CQ286="Exterior","Not Daylighted",G289)</f>
        <v>Not Daylighted</v>
      </c>
      <c r="FM286" s="1824">
        <f>VLOOKUP(FL286,_New_Daylight_Table_Codes,2,FALSE)</f>
        <v>0</v>
      </c>
      <c r="FN286" s="1698">
        <f>IF(__Retrofit_TI_NC&gt;0,VLOOKUP(G288,'Space Table'!$B$3:$L$163,11,FALSE),AG287)</f>
        <v>0</v>
      </c>
      <c r="FO286" s="1698" t="e">
        <f>IF(__Retrofit_TI_NC=2,VLOOKUP(FQ286,_Control_Table,2,FALSE),VLOOKUP(FN286,_Control_Table,2,FALSE))</f>
        <v>#N/A</v>
      </c>
      <c r="FP286" s="1678" t="e">
        <f>VLOOKUP(CONCATENATE(FL286," ",FN286),Lookup!AY$102:AZ296,2,FALSE)</f>
        <v>#N/A</v>
      </c>
      <c r="FQ286" s="1678">
        <f>IF(__Retrofit_TI_NC=0,FN286,IF(AND(FT286&gt;0,FN286="Occupancy Sensor"),"Daylight + Occupancy",IF(AND(FT286&gt;0,VLOOKUP(FN286,_Control_Table,2,FALSE)&lt;4),"Interior Daylight Dimming",FN286)))</f>
        <v>0</v>
      </c>
      <c r="FS286" s="1686">
        <f>IF(CR286="Interior",VLOOKUP(CS286,Control_Savings_Interior,5,FALSE),0)</f>
        <v>0</v>
      </c>
      <c r="FT286" s="1687">
        <f>IF(CQ286="Exterior",0,IF(FM286=2,0.5,IF(OR(FM286=1,FM286=3),1,0)))</f>
        <v>0</v>
      </c>
      <c r="FU286" s="1685">
        <f>IF(R285&gt;FS$44,(FS286*(FS$44/R285)),FS286)*FT286</f>
        <v>0</v>
      </c>
      <c r="FV286" s="1686">
        <f>DI286</f>
        <v>0</v>
      </c>
      <c r="FW286" s="1686">
        <f>ROUND(FV286+((1-FV286)*FU286),2)</f>
        <v>0</v>
      </c>
      <c r="FX286" s="1686">
        <f>IF(__Retrofit_TI_NC=2,FW286,FV286)</f>
        <v>0</v>
      </c>
      <c r="FY286" s="1697"/>
      <c r="GA286" s="1696" t="str">
        <f>IFERROR(VLOOKUP(U287,_Exist_Fixture_Table,3,FALSE),"")</f>
        <v/>
      </c>
      <c r="GB286" s="1696" t="str">
        <f>VLOOKUP(CW286,_Exist_Fixture_Table,4,FALSE)</f>
        <v/>
      </c>
      <c r="GC286" s="1696">
        <f>IFERROR(VLOOKUP(GB286,Lookup!AT$6:AU$8,2,FALSE),0)</f>
        <v>0</v>
      </c>
      <c r="GD286" s="1696" t="b">
        <f>IFERROR(IF(OR(GF286=4,GF286=5,GF286=6),TRUE,FALSE),"")</f>
        <v>0</v>
      </c>
      <c r="GE286" s="1696" t="str">
        <f>IFERROR(VLOOKUP(GF286,GC$6:GD$10,2,FALSE),"")</f>
        <v/>
      </c>
      <c r="GF286" s="1696" t="str">
        <f>VLOOKUP(CW288,Fixtures!R$31:Y$78,8,FALSE)</f>
        <v/>
      </c>
      <c r="GG286" s="1696">
        <f>IF(AND(GA286=TRUE,GD286=TRUE,OR(DQ286=12,DQ286=13,DQ286=14)),GC286+8,0)</f>
        <v>0</v>
      </c>
      <c r="GH286" s="1696" t="b">
        <f>IF(OR(GG286=12,GG286=13,GG286=14),TRUE,FALSE)</f>
        <v>0</v>
      </c>
      <c r="GI286" s="673" t="b">
        <f>IF(ISNUMBER(SEARCH("TLED",U287)),TRUE,FALSE)</f>
        <v>0</v>
      </c>
      <c r="GJ286" s="1135" t="str">
        <f>IFERROR(VLOOKUP(U287,Fixtures!BM$93:BR$142,6,FALSE),"")</f>
        <v/>
      </c>
      <c r="GK286" s="1832" t="b">
        <f>IF(OR(GI286=FALSE,GI288=FALSE),TRUE,IF(GJ286-GJ288&lt;5,FALSE,TRUE))</f>
        <v>1</v>
      </c>
      <c r="GO286" s="674">
        <f>GP286</f>
        <v>0</v>
      </c>
      <c r="GP286" s="674">
        <f>IF(G286="",0,1)</f>
        <v>0</v>
      </c>
      <c r="GQ286" s="674">
        <f ca="1">SUM(GR286:HF286)</f>
        <v>2</v>
      </c>
      <c r="GR286" s="674">
        <f>IF(G287="",0,1)</f>
        <v>0</v>
      </c>
      <c r="GS286" s="674">
        <f>IF(N289="BAM",1,IF(G288="",0,1))</f>
        <v>0</v>
      </c>
      <c r="GT286" s="674">
        <f>IF(N289="BAM",1,IF(R287="",0,1))</f>
        <v>0</v>
      </c>
      <c r="GU286" s="674">
        <f>IF(N289="BAM",1,IF(__Retrofit_TI_NC=0,1,IF(R288="",0,1)))</f>
        <v>1</v>
      </c>
      <c r="GV286" s="674">
        <f>IF(N289="BAM",1,IF(CQ286="Exterior",1,IF(G289="",0,1)))</f>
        <v>1</v>
      </c>
      <c r="GW286" s="674">
        <f>IF(__Retrofit_TI_NC&gt;0,1,IF(T287="",0,1))</f>
        <v>0</v>
      </c>
      <c r="GX286" s="674">
        <f>IF(__Retrofit_TI_NC&gt;0,1,IF(U287="",0,1))</f>
        <v>0</v>
      </c>
      <c r="GY286" s="674">
        <f>IF(N289="BAM",1,IF(T288="",0,1))</f>
        <v>0</v>
      </c>
      <c r="GZ286" s="674">
        <f>IF(N289="BAM",1,IF(U288="",0,1))</f>
        <v>0</v>
      </c>
      <c r="HA286" s="674">
        <f ca="1">IF(N289="BAM",1,IF(__Retrofit_TI_NC&gt;0,1,IF(U289="",0,1)))</f>
        <v>0</v>
      </c>
      <c r="HB286" s="674">
        <f>IF(__Retrofit_TI_NC&lt;&gt;0,1,IF(AF287="",0,1))</f>
        <v>0</v>
      </c>
      <c r="HC286" s="674">
        <f>IF(__Retrofit_TI_NC&lt;&gt;0,1,IF(AG287="",0,1))</f>
        <v>0</v>
      </c>
      <c r="HD286" s="674">
        <f>IF(N289="BAM",1,IF(AF288="",0,1))</f>
        <v>0</v>
      </c>
      <c r="HE286" s="674">
        <f>IF(N289="BAM",1,IF(AG288="",0,1))</f>
        <v>0</v>
      </c>
      <c r="HF286" s="674">
        <f>IF(N289="BAM",1,IF(__Retrofit_TI_NC&gt;0,1,IF(AG289="",0,1)))</f>
        <v>0</v>
      </c>
      <c r="HG286" s="391"/>
      <c r="IA286" s="391"/>
      <c r="IB286" s="1693" t="b">
        <f>IF(OR(IB289=0,IB289=HY$16,IB289=HX$16,IB289=HZ$16),TRUE,FALSE)</f>
        <v>0</v>
      </c>
      <c r="IC286" s="1694" t="b">
        <f>IB286</f>
        <v>0</v>
      </c>
      <c r="ID286" s="391"/>
      <c r="IE286" s="391"/>
      <c r="IF286" s="1688" t="b">
        <f ca="1">IF(MAX(GN289:HU289)&gt;5,FALSE,TRUE)</f>
        <v>0</v>
      </c>
      <c r="IG286" s="1689">
        <f ca="1">IF(IF286=TRUE,AC286,0)</f>
        <v>0</v>
      </c>
      <c r="IH286" s="1689">
        <f ca="1">IG286-IG288</f>
        <v>0</v>
      </c>
      <c r="IK286" s="1689" t="e">
        <f>ROUND(T287*VLOOKUP(U287,Fixtures_Existing_List,2,FALSE)*N287*R287/1000,0)</f>
        <v>#N/A</v>
      </c>
      <c r="IL286" s="1690" t="e">
        <f>IK286-IK288</f>
        <v>#N/A</v>
      </c>
      <c r="IM286" s="1693" t="e">
        <f>ROUND(IF(CQ286="Interior",N288*R288*R287*N287*_C406_reduction/1000,N288*R288*R287*N287/1000),0)</f>
        <v>#N/A</v>
      </c>
      <c r="IN286" s="1693" t="e">
        <f>IM286-IM288</f>
        <v>#N/A</v>
      </c>
      <c r="IP286" s="1679"/>
      <c r="IQ286" s="1679" t="e">
        <f t="shared" ref="IQ286:IU286" si="246">IF($CR286="interior",VLOOKUP($CS286,_New_Control_Savings_Interior,IQ$30,FALSE),VLOOKUP($CS286,Control_Savings_Exterior,IQ$30,FALSE))</f>
        <v>#N/A</v>
      </c>
      <c r="IR286" s="1679" t="e">
        <f t="shared" si="246"/>
        <v>#N/A</v>
      </c>
      <c r="IS286" s="1679" t="e">
        <f t="shared" si="246"/>
        <v>#N/A</v>
      </c>
      <c r="IT286" s="1679" t="e">
        <f t="shared" si="246"/>
        <v>#N/A</v>
      </c>
      <c r="IU286" s="1679" t="e">
        <f t="shared" si="246"/>
        <v>#N/A</v>
      </c>
      <c r="IV286" s="1679" t="e">
        <f>IF($CR286="interior",IF(R287&gt;$IP$14,ROUND(($IV$18*($IP$14/R287)),2),$IV$18),VLOOKUP($CS286,Control_Savings_Exterior,IV$30,FALSE))</f>
        <v>#N/A</v>
      </c>
      <c r="IW286" s="1679" t="e">
        <f>IF($CR286="interior",ROUND(((1-IS286)*IV286)+IS286,2),VLOOKUP($CS286,Control_Savings_Exterior,IW$30,FALSE))</f>
        <v>#N/A</v>
      </c>
      <c r="IX286" s="1679" t="e">
        <f>IF($CR286="interior",ROUND(((1-IT286)*IV286)+IT286,2),VLOOKUP($CS286,Control_Savings_Exterior,IX$30,FALSE))</f>
        <v>#N/A</v>
      </c>
      <c r="IY286" s="1679" t="e">
        <f>IF($CR286="interior",IF(R287&gt;$IP$14,ROUND(($IY$18*($IP$14/R287)),2),$IY$18),VLOOKUP($CS286,Control_Savings_Exterior,IY$30,FALSE))</f>
        <v>#N/A</v>
      </c>
      <c r="IZ286" s="1679" t="e">
        <f>IF($CR286="interior",ROUND(((1-IS286)*IY286)+IS286,2),VLOOKUP($CS286,Control_Savings_Exterior,IZ$30,FALSE))</f>
        <v>#N/A</v>
      </c>
      <c r="JA286" s="1679" t="e">
        <f>IF($CR286="interior",ROUND(((1-IT286)*IY286)+IT286,2),VLOOKUP($CS286,Control_Savings_Exterior,JA$30,FALSE))</f>
        <v>#N/A</v>
      </c>
      <c r="JC286" s="1680">
        <f>IFERROR(IF(CR286="Interior",CONCATENATE(G289," ",FQ286),FQ286),"")</f>
        <v>0</v>
      </c>
      <c r="JD286" s="1670" t="str">
        <f>IFERROR(VLOOKUP(JC286,_Controls_2023,2,FALSE),"")</f>
        <v/>
      </c>
      <c r="JE286" s="1681">
        <f>IFERROR(CHOOSE(JD286-1,IQ286,IR286,IS286,IT286,IU286,IV286,IW286,IX286,IY286,IZ286,JA286),0)</f>
        <v>0</v>
      </c>
      <c r="JG286" s="1680" t="str">
        <f>FE286</f>
        <v xml:space="preserve"> - 0</v>
      </c>
      <c r="JH286" s="1670" t="e">
        <f>$FO286</f>
        <v>#N/A</v>
      </c>
      <c r="JI286" s="1060"/>
      <c r="JJ286" s="1682" t="b">
        <f>IF($JG288=CONCATENATE("Interior - ",JJ$4),TRUE,FALSE)</f>
        <v>0</v>
      </c>
      <c r="JK286" s="1061"/>
      <c r="JL286" s="1682" t="b">
        <f>IF($JG288=CONCATENATE("Interior - ",JL$4),TRUE,FALSE)</f>
        <v>0</v>
      </c>
      <c r="JM286" s="1061"/>
      <c r="JN286" s="1682" t="b">
        <f>IF($JG288=CONCATENATE("Interior - ",JN$4),TRUE,FALSE)</f>
        <v>0</v>
      </c>
      <c r="JO286" s="1061"/>
      <c r="JP286" s="1682" t="b">
        <f>IF(__Retrofit_TI_NC&gt;0,FALSE,IF($JG288=CONCATENATE("Interior - ",JP$4),TRUE,FALSE))</f>
        <v>0</v>
      </c>
      <c r="JQ286" s="1061"/>
      <c r="JR286" s="1682" t="b">
        <f>IF(__Retrofit_TI_NC&gt;0,FALSE,IF($JG288=CONCATENATE("Interior - ",JR$4),TRUE,FALSE))</f>
        <v>0</v>
      </c>
      <c r="JS286" s="1061"/>
      <c r="JT286" s="1670" t="b">
        <f>IF(__Retrofit_TI_NC&gt;0,FALSE,IF($JG288=CONCATENATE("Interior - ",JT$4),TRUE,FALSE))</f>
        <v>0</v>
      </c>
      <c r="JU286" s="1061"/>
      <c r="JV286" s="1670" t="b">
        <f>IF(JC288="AELC on Existing",TRUE,FALSE)</f>
        <v>0</v>
      </c>
      <c r="JX286" s="1670" t="b">
        <f>IF(OR(JG288="Exterior - AELC Occupancy based",JG288="Exterior - AELC Time based"),TRUE,FALSE)</f>
        <v>0</v>
      </c>
      <c r="JZ286" s="1682" t="b">
        <f>IF($JG288=CONCATENATE("Exterior - ",JZ$4),TRUE,FALSE)</f>
        <v>0</v>
      </c>
      <c r="KB286" s="1670" t="b">
        <f>IF(__Retrofit_TI_NC&gt;0,FALSE,IF($JG288=CONCATENATE("Interior - ",KB$4),TRUE,FALSE))</f>
        <v>0</v>
      </c>
    </row>
    <row r="287" spans="1:288" s="78" customFormat="1" ht="14.95" customHeight="1" thickTop="1" thickBot="1">
      <c r="B287" s="1845"/>
      <c r="C287" s="1846"/>
      <c r="D287" s="1847"/>
      <c r="E287" s="1737" t="s">
        <v>297</v>
      </c>
      <c r="F287" s="1738"/>
      <c r="G287" s="1739"/>
      <c r="H287" s="1739"/>
      <c r="I287" s="1739"/>
      <c r="J287" s="1739"/>
      <c r="K287" s="1739"/>
      <c r="L287" s="1739"/>
      <c r="M287" s="461" t="e">
        <f>IF(__Retrofit_TI_NC&lt;&gt;0,IF(VLOOKUP(G288,'Space Table'!$B$3:$L$163,3,FALSE)&gt;0,1,0),IF(__Retrofit_TI_NC=VLOOKUP(G288,'Space Table'!$B$3:$L$163,3,FALSE),1,0))</f>
        <v>#N/A</v>
      </c>
      <c r="N287" s="461" t="str">
        <f>IFERROR(VLOOKUP(G287,_Lookup_Heat_Type_Table_New,2,FALSE),"")</f>
        <v/>
      </c>
      <c r="O287" s="461">
        <f>IF(__Retrofit_TI_NC=1,CONCATENATE("TI ",G287),IF(__Retrofit_TI_NC=2,CONCATENATE("NC ",G287),G287))</f>
        <v>0</v>
      </c>
      <c r="P287" s="1740" t="s">
        <v>435</v>
      </c>
      <c r="Q287" s="1740"/>
      <c r="R287" s="595"/>
      <c r="S287" s="1792"/>
      <c r="T287" s="597"/>
      <c r="U287" s="1765"/>
      <c r="V287" s="1766"/>
      <c r="W287" s="1766"/>
      <c r="X287" s="1766"/>
      <c r="Y287" s="1766"/>
      <c r="Z287" s="1766"/>
      <c r="AA287" s="1766"/>
      <c r="AB287" s="1766"/>
      <c r="AC287" s="1766"/>
      <c r="AD287" s="1767"/>
      <c r="AE287" s="1000"/>
      <c r="AF287" s="597"/>
      <c r="AG287" s="1723"/>
      <c r="AH287" s="1724"/>
      <c r="AI287" s="1724"/>
      <c r="AJ287" s="1724"/>
      <c r="AK287" s="1725"/>
      <c r="AL287" s="996"/>
      <c r="AM287" s="1747"/>
      <c r="AN287" s="1775"/>
      <c r="AO287" s="1777"/>
      <c r="AP287" s="1780"/>
      <c r="AQ287" s="1781"/>
      <c r="AR287" s="1795"/>
      <c r="AS287" s="1795"/>
      <c r="AT287" s="1796"/>
      <c r="AU287" s="1735"/>
      <c r="AV287" s="1752"/>
      <c r="AW287" s="1705"/>
      <c r="AX287" s="467"/>
      <c r="AY287" s="1749"/>
      <c r="AZ287" s="1749"/>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696"/>
      <c r="CQ287" s="1696"/>
      <c r="CR287" s="1809"/>
      <c r="CS287" s="1811"/>
      <c r="CU287" s="1688"/>
      <c r="CV287" s="1703"/>
      <c r="CW287" s="1703"/>
      <c r="CX287" s="1703"/>
      <c r="CY287" s="1815"/>
      <c r="CZ287" s="1711"/>
      <c r="DA287" s="1818"/>
      <c r="DB287" s="1820"/>
      <c r="DC287" s="1820"/>
      <c r="DD287" s="1820"/>
      <c r="DF287" s="1703"/>
      <c r="DG287" s="1831"/>
      <c r="DH287" s="1703"/>
      <c r="DI287" s="1838"/>
      <c r="DJ287" s="1711"/>
      <c r="DK287" s="1712"/>
      <c r="DM287" s="1718"/>
      <c r="DO287" s="1708"/>
      <c r="DQ287" s="1715"/>
      <c r="DR287" s="1720"/>
      <c r="DS287" s="1816"/>
      <c r="DT287" s="1714"/>
      <c r="DU287" s="1715"/>
      <c r="DV287" s="1716"/>
      <c r="DX287" s="1715"/>
      <c r="DY287" s="1720"/>
      <c r="DZ287" s="1715"/>
      <c r="EA287" s="1715"/>
      <c r="EC287" s="1834"/>
      <c r="ED287" s="1834"/>
      <c r="EF287" s="1707"/>
      <c r="EG287" s="1712"/>
      <c r="EH287" s="1818"/>
      <c r="EI287" s="1712"/>
      <c r="EJ287" s="1712"/>
      <c r="EK287" s="1836"/>
      <c r="EL287" s="1836"/>
      <c r="EM287" s="1807"/>
      <c r="EN287" s="1839"/>
      <c r="EO287" s="1839"/>
      <c r="EP287" s="1817"/>
      <c r="EQ287" s="1817"/>
      <c r="ER287" s="1807"/>
      <c r="ES287" s="1807"/>
      <c r="ET287" s="1807"/>
      <c r="EV287" s="1715"/>
      <c r="EX287" s="1805"/>
      <c r="EY287" s="1805"/>
      <c r="EZ287" s="1805"/>
      <c r="FA287" s="1805"/>
      <c r="FB287" s="1805"/>
      <c r="FC287" s="1827"/>
      <c r="FE287" s="1698"/>
      <c r="FG287" s="1816"/>
      <c r="FH287" s="1816"/>
      <c r="FI287" s="133"/>
      <c r="FL287" s="1823"/>
      <c r="FM287" s="1825"/>
      <c r="FN287" s="1698"/>
      <c r="FO287" s="1698"/>
      <c r="FP287" s="1678"/>
      <c r="FQ287" s="1678"/>
      <c r="FS287" s="1687"/>
      <c r="FT287" s="1687"/>
      <c r="FU287" s="1685"/>
      <c r="FV287" s="1687"/>
      <c r="FW287" s="1687"/>
      <c r="FX287" s="1687"/>
      <c r="FY287" s="1697"/>
      <c r="GA287" s="1696"/>
      <c r="GB287" s="1696"/>
      <c r="GC287" s="1696"/>
      <c r="GD287" s="1696"/>
      <c r="GE287" s="1696"/>
      <c r="GF287" s="1696"/>
      <c r="GG287" s="1696"/>
      <c r="GH287" s="1696"/>
      <c r="GI287" s="673"/>
      <c r="GJ287" s="1135"/>
      <c r="GK287" s="1832"/>
      <c r="GM287" s="1693" t="b">
        <f ca="1">IF(AND(GP287=TRUE,GQ287=TRUE),TRUE,FALSE)</f>
        <v>0</v>
      </c>
      <c r="GN287" s="1684" t="b">
        <f>IFERROR(IF(__Retrofit_TI_NC=2,TRUE,IF(AU286="Yes",TRUE,FALSE)),FALSE)</f>
        <v>1</v>
      </c>
      <c r="GP287" s="1684" t="b">
        <f>IFERROR(IF(GP286=1,TRUE,FALSE),FALSE)</f>
        <v>0</v>
      </c>
      <c r="GQ287" s="1684" t="b">
        <f ca="1">IFERROR(IF(GQ286=GQ$14,TRUE,FALSE),FALSE)</f>
        <v>0</v>
      </c>
      <c r="HG287" s="1684" t="b">
        <f>IFERROR(IF(AND(__Retrofit_TI_NC&gt;0,CQ286="Interior"),FALSE,TRUE),FALSE)</f>
        <v>1</v>
      </c>
      <c r="HH287" s="1684" t="b">
        <f>IFERROR(IF(M287=1,TRUE,FALSE),FALSE)</f>
        <v>0</v>
      </c>
      <c r="HI287" s="1684" t="b">
        <f>IFERROR(IF(OR(M288=1,N289="BAM"),TRUE,FALSE),FALSE)</f>
        <v>0</v>
      </c>
      <c r="HJ287" s="1684" t="b">
        <f>IFERROR(IF(__Retrofit_TI_NC&lt;&gt;0,TRUE,IFERROR(IF(VLOOKUP(U287,Fixtures_Existing_List,2,FALSE)&lt;&gt;"",TRUE,FALSE),FALSE)),FALSE)</f>
        <v>0</v>
      </c>
      <c r="HK287" s="1684" t="b">
        <f>IFERROR(IF(VLOOKUP(U288,Fixtures_Proposed_List,2,FALSE)&lt;&gt;"",TRUE,FALSE),FALSE)</f>
        <v>0</v>
      </c>
      <c r="HL287" s="1684" t="b">
        <f>IF(AND(__Retrofit_TI_NC=2,FC286=TRUE),FALSE,TRUE)</f>
        <v>1</v>
      </c>
      <c r="HM287" s="1684" t="b">
        <f>GK286</f>
        <v>1</v>
      </c>
      <c r="HN287" s="1682" t="b">
        <f>IF(ISERROR(MATCH(FE286,_Control_Match[],0))=TRUE,FALSE,TRUE)</f>
        <v>0</v>
      </c>
      <c r="HO287" s="1693" t="b">
        <f>IFERROR(IF(EX286&lt;&gt;EY286,FALSE,TRUE),FALSE)</f>
        <v>1</v>
      </c>
      <c r="HP287" s="1693" t="b">
        <f>IFERROR(IF(EX288&lt;&gt;EY288,FALSE,TRUE),FALSE)</f>
        <v>1</v>
      </c>
      <c r="HQ287" s="1670" t="b">
        <f>IFERROR(IF(CQ286="Exterior",TRUE,IF(AND(OR(FM288=0,FM288=3),JD288&gt;6),FALSE,TRUE)),FALSE)</f>
        <v>0</v>
      </c>
      <c r="HR287" s="1684" t="b">
        <f>IFERROR(IF(AND(FO288=7,FC286=TRUE),FALSE,TRUE),FALSE)</f>
        <v>0</v>
      </c>
      <c r="HS287" s="1684" t="b">
        <f>IFERROR(IF(AND(T288&lt;&gt;AF288,OR(AG288="Interior LLLC", AG288="Interior NLC", AG288="LLLC (outside Daylight)",AG288="LLLC Controls Only"))=TRUE,FALSE,TRUE),FALSE)</f>
        <v>1</v>
      </c>
      <c r="HT287" s="1670" t="b">
        <f>IFERROR(IF(OR(AG288=Lookup!BB$17,AG288=Lookup!BB$18,AG288=Lookup!BB$19)=TRUE,IF(AF288&gt;T288,FALSE,TRUE),TRUE),FALSE)</f>
        <v>1</v>
      </c>
      <c r="HU287" s="1684" t="b">
        <f>IFERROR(IF(__Retrofit_TI_NC=2,IF(EZ288&lt;EZ286,FALSE,TRUE),TRUE),FALSE)</f>
        <v>1</v>
      </c>
      <c r="HV287" s="1684" t="b">
        <f>IF(CQ286="Interior",IL$6,TRUE)</f>
        <v>1</v>
      </c>
      <c r="HW287" s="1684" t="b">
        <f>IF(CQ286="Exterior",IL$8,TRUE)</f>
        <v>1</v>
      </c>
      <c r="HX287" s="1684" t="b">
        <f>IFERROR(IF(__Retrofit_TI_NC&lt;&gt;0,IF(AZ286&lt;AY286,FALSE,TRUE),TRUE),FALSE)</f>
        <v>1</v>
      </c>
      <c r="HY287" s="1684" t="b">
        <f>IFERROR(IF(AND(G287="Exterior",R287&gt;4200),FALSE,TRUE),FALSE)</f>
        <v>1</v>
      </c>
      <c r="HZ287" s="1684" t="b">
        <f>IFERROR(IF(AB289/AB286&lt;HZ$18,FALSE,TRUE),FALSE)</f>
        <v>0</v>
      </c>
      <c r="IB287" s="1691"/>
      <c r="IC287" s="1695"/>
      <c r="ID287" s="1694" t="str">
        <f>VLOOKUP(IB289,_Error_Table,4,FALSE)</f>
        <v>White</v>
      </c>
      <c r="IE287" s="391"/>
      <c r="IF287" s="1688"/>
      <c r="IG287" s="1689"/>
      <c r="IH287" s="1684"/>
      <c r="IK287" s="1689"/>
      <c r="IL287" s="1691"/>
      <c r="IM287" s="1691"/>
      <c r="IN287" s="1691"/>
      <c r="IP287" s="1679"/>
      <c r="IQ287" s="1679"/>
      <c r="IR287" s="1679"/>
      <c r="IS287" s="1679"/>
      <c r="IT287" s="1679"/>
      <c r="IU287" s="1679"/>
      <c r="IV287" s="1679"/>
      <c r="IW287" s="1679"/>
      <c r="IX287" s="1679"/>
      <c r="IY287" s="1679"/>
      <c r="IZ287" s="1679"/>
      <c r="JA287" s="1679"/>
      <c r="JC287" s="1680"/>
      <c r="JD287" s="1670"/>
      <c r="JE287" s="1681"/>
      <c r="JG287" s="1680"/>
      <c r="JH287" s="1670"/>
      <c r="JI287" s="1060"/>
      <c r="JJ287" s="1683"/>
      <c r="JK287" s="1061"/>
      <c r="JL287" s="1683"/>
      <c r="JM287" s="1061"/>
      <c r="JN287" s="1683"/>
      <c r="JO287" s="1061"/>
      <c r="JP287" s="1683"/>
      <c r="JQ287" s="1061"/>
      <c r="JR287" s="1683"/>
      <c r="JS287" s="1061"/>
      <c r="JT287" s="1670"/>
      <c r="JU287" s="1061"/>
      <c r="JV287" s="1670"/>
      <c r="JX287" s="1670"/>
      <c r="JZ287" s="1683"/>
      <c r="KB287" s="1670"/>
    </row>
    <row r="288" spans="1:288" s="78" customFormat="1" ht="14.95" customHeight="1" thickTop="1" thickBot="1">
      <c r="A288" s="78">
        <f>ROW()</f>
        <v>288</v>
      </c>
      <c r="B288" s="1845"/>
      <c r="C288" s="1846"/>
      <c r="D288" s="1847"/>
      <c r="E288" s="1737" t="s">
        <v>298</v>
      </c>
      <c r="F288" s="1738"/>
      <c r="G288" s="1760"/>
      <c r="H288" s="1761"/>
      <c r="I288" s="1761"/>
      <c r="J288" s="1761"/>
      <c r="K288" s="1761"/>
      <c r="L288" s="1762"/>
      <c r="M288" s="461">
        <f>IFERROR(IF(IF(__Retrofit_TI_NC&lt;&gt;0,IF(CQ286="Interior",MATCH(G288,Lookup_Interior_New,0),MATCH(G288,Lookup_Exterior_New,0)),IF(CQ286="Interior",MATCH(G288,Lookup_Interior,0),MATCH(G288,Lookup_Exterior_Areas,0)))&gt;0,1,0),0)</f>
        <v>0</v>
      </c>
      <c r="N288" s="461" t="e">
        <f>IF(__Retrofit_TI_NC=1,
VLOOKUP(G288,'Space Table'!$B$3:$L$163,4,FALSE),
IF(__Retrofit_TI_NC=2,VLOOKUP(G288,'Space Table'!$B$3:$L$163,5,FALSE),VLOOKUP(G288,'Space Table'!$B$3:$L$163,5,FALSE)))</f>
        <v>#N/A</v>
      </c>
      <c r="O288" s="461">
        <f>G288</f>
        <v>0</v>
      </c>
      <c r="P288" s="1738" t="str">
        <f>IFERROR(IF(__Retrofit_TI_NC=1,VLOOKUP(G288,'Space Table'!$B$3:$O$163,13,FALSE),IF(__Retrofit_TI_NC=2,VLOOKUP(G288,'Space Table'!$B$3:$O$163,14,FALSE),"Area (sf):")),"Area (sf):")</f>
        <v>Area (sf):</v>
      </c>
      <c r="Q288" s="1738"/>
      <c r="R288" s="596"/>
      <c r="S288" s="1763" t="s">
        <v>345</v>
      </c>
      <c r="T288" s="594"/>
      <c r="U288" s="1801"/>
      <c r="V288" s="1802"/>
      <c r="W288" s="1802"/>
      <c r="X288" s="1802"/>
      <c r="Y288" s="1802"/>
      <c r="Z288" s="1802"/>
      <c r="AA288" s="1802"/>
      <c r="AB288" s="1802"/>
      <c r="AC288" s="1802"/>
      <c r="AD288" s="1802"/>
      <c r="AE288" s="1803"/>
      <c r="AF288" s="594"/>
      <c r="AG288" s="1787"/>
      <c r="AH288" s="1787"/>
      <c r="AI288" s="1787"/>
      <c r="AJ288" s="1787"/>
      <c r="AK288" s="1787"/>
      <c r="AL288" s="1787"/>
      <c r="AM288" s="1726">
        <f>IFERROR(DI288,"")</f>
        <v>0</v>
      </c>
      <c r="AN288" s="1728" t="str">
        <f>IFERROR(ROUND(AM288*AC289,0),"")</f>
        <v/>
      </c>
      <c r="AO288" s="1730">
        <f>IFERROR(IF(IB286=FALSE,0,AC289-AN288),0)</f>
        <v>0</v>
      </c>
      <c r="AP288" s="1780"/>
      <c r="AQ288" s="1781"/>
      <c r="AR288" s="1795"/>
      <c r="AS288" s="1795"/>
      <c r="AT288" s="1796"/>
      <c r="AU288" s="1735"/>
      <c r="AV288" s="1752"/>
      <c r="AW288" s="1705"/>
      <c r="AX288" s="467"/>
      <c r="AY288" s="1749"/>
      <c r="AZ288" s="1749"/>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696"/>
      <c r="CQ288" s="1696"/>
      <c r="CR288" s="1808" t="str">
        <f>CQ286</f>
        <v/>
      </c>
      <c r="CS288" s="1810" t="str">
        <f>CS286</f>
        <v/>
      </c>
      <c r="CU288" s="1688" t="s">
        <v>345</v>
      </c>
      <c r="CV288" s="1702">
        <f>IF(IB286=TRUE,T288,0)</f>
        <v>0</v>
      </c>
      <c r="CW288" s="1702" t="str">
        <f>IF(IB286=TRUE,U288,"")</f>
        <v/>
      </c>
      <c r="CX288" s="1812">
        <f>IF(IB286=TRUE,U289,0)</f>
        <v>0</v>
      </c>
      <c r="CY288" s="1814">
        <f>IF(IB286=TRUE,AB289,0)</f>
        <v>0</v>
      </c>
      <c r="CZ288" s="1710">
        <f>IF(AND(__Retrofit_TI_NC&gt;0,CR286="interior"),0,IF(IB286=TRUE,AC289,0))</f>
        <v>0</v>
      </c>
      <c r="DA288" s="1818"/>
      <c r="DB288" s="1820"/>
      <c r="DC288" s="1820"/>
      <c r="DD288" s="1820"/>
      <c r="DF288" s="1702">
        <f>IF(IB286=TRUE,AF288,0)</f>
        <v>0</v>
      </c>
      <c r="DG288" s="1830" t="str">
        <f>IF(IB286=TRUE,AG288,"")</f>
        <v/>
      </c>
      <c r="DH288" s="1812">
        <f>AG289</f>
        <v>0</v>
      </c>
      <c r="DI288" s="1837">
        <f>JE288</f>
        <v>0</v>
      </c>
      <c r="DJ288" s="1710">
        <f>IF(AND(__Retrofit_TI_NC&gt;0,CR286="interior"),0,IF(IB286=TRUE,AN288,0))</f>
        <v>0</v>
      </c>
      <c r="DK288" s="1712"/>
      <c r="DN288" s="1717">
        <f>IFERROR(CZ288-DJ288,0)</f>
        <v>0</v>
      </c>
      <c r="DO288" s="1709"/>
      <c r="DQ288" s="1715"/>
      <c r="DR288" s="1719" t="str">
        <f>DQ286</f>
        <v/>
      </c>
      <c r="DS288" s="1816"/>
      <c r="DT288" s="1835" t="str">
        <f>IF(OR(DS286=7,DS286=8,DS286=9),"ALC","")</f>
        <v/>
      </c>
      <c r="DU288" s="1715"/>
      <c r="DV288" s="1716"/>
      <c r="DX288" s="1715"/>
      <c r="DY288" s="1829" t="str">
        <f>DX286</f>
        <v/>
      </c>
      <c r="DZ288" s="1715"/>
      <c r="EA288" s="1715"/>
      <c r="EC288" s="1834"/>
      <c r="ED288" s="1834"/>
      <c r="EF288" s="1707"/>
      <c r="EG288" s="1712"/>
      <c r="EH288" s="1818"/>
      <c r="EI288" s="1712"/>
      <c r="EJ288" s="1712"/>
      <c r="EK288" s="1836"/>
      <c r="EL288" s="1836"/>
      <c r="EM288" s="1807"/>
      <c r="EN288" s="1839"/>
      <c r="EO288" s="1839"/>
      <c r="EP288" s="1817"/>
      <c r="EQ288" s="1817"/>
      <c r="ER288" s="1807"/>
      <c r="ES288" s="1807"/>
      <c r="ET288" s="1807"/>
      <c r="EV288" s="1715"/>
      <c r="EX288" s="1805" t="str">
        <f>IFERROR(VLOOKUP(CS288,'Space Table'!$B$3:$L$163,8,FALSE),"")</f>
        <v/>
      </c>
      <c r="EY288" s="1805" t="str">
        <f>IFERROR(IF(FB288="Yes",VLOOKUP(AG288,Lookup_Control_Type_Table2,4,FALSE),VLOOKUP(AG288,Lookup_Control_Type_Table2,3,FALSE)),"")</f>
        <v/>
      </c>
      <c r="EZ288" s="1805" t="e">
        <f>VLOOKUP(AG288,Lookup!BB$3:BC$20,2,FALSE)</f>
        <v>#N/A</v>
      </c>
      <c r="FA288" s="1805" t="e">
        <f>VLOOKUP(EX286,Lookup_Control_Type_Table,2,FALSE)</f>
        <v>#N/A</v>
      </c>
      <c r="FB288" s="1805" t="e">
        <f>VLOOKUP(CS288,'Space Table'!$B$3:$L$163,7,FALSE)</f>
        <v>#N/A</v>
      </c>
      <c r="FC288" s="1827"/>
      <c r="FE288" s="1698" t="str">
        <f>CONCATENATE(CQ286," - ",AG288)</f>
        <v xml:space="preserve"> - </v>
      </c>
      <c r="FG288" s="1816"/>
      <c r="FH288" s="1816"/>
      <c r="FI288" s="133"/>
      <c r="FL288" s="1822" t="str">
        <f>IF(CQ286="Exterior","Not Daylighted",G289)</f>
        <v>Not Daylighted</v>
      </c>
      <c r="FM288" s="1824">
        <f>VLOOKUP(FL288,_New_Daylight_Table_Codes,2,FALSE)</f>
        <v>0</v>
      </c>
      <c r="FN288" s="1698">
        <f>AG288</f>
        <v>0</v>
      </c>
      <c r="FO288" s="1698" t="e">
        <f>VLOOKUP(FN288,_Control_Table,2,FALSE)</f>
        <v>#N/A</v>
      </c>
      <c r="FP288" s="1678" t="e">
        <f>VLOOKUP(CONCATENATE(FL288," ",FN288),Lookup!AY$102:AZ299,2,FALSE)</f>
        <v>#N/A</v>
      </c>
      <c r="FQ288" s="1698">
        <f>IF(__Retrofit_TI_NC=0,FN288,IF(AND(FT288&gt;0,FN288="Occupancy Sensor"),"Daylight + Occupancy",IF(AND(FT288&gt;0,FO288&lt;4),"Interior Daylight Dimming",FN288)))</f>
        <v>0</v>
      </c>
      <c r="FS288" s="1686">
        <f>IF(CQ286="Interior",VLOOKUP(CS286,Control_Savings_Interior,5,FALSE),0)</f>
        <v>0</v>
      </c>
      <c r="FT288" s="1687">
        <f>IF(CQ288="Exterior",0,IF(FM288=2,0.5,IF(OR(FM288=1,FM288=3),1,0)))</f>
        <v>0</v>
      </c>
      <c r="FU288" s="1685">
        <f>IF(R287&gt;FS$44,(FS288*(FS$44/R287)),FS288)*FT288</f>
        <v>0</v>
      </c>
      <c r="FV288" s="1686">
        <f>DI288</f>
        <v>0</v>
      </c>
      <c r="FW288" s="1686">
        <f>ROUND(FV288+((1-FV288)*FU288),2)</f>
        <v>0</v>
      </c>
      <c r="FX288" s="1686">
        <f>IF(__Retrofit_TI_NC=2,FW288,FV288)</f>
        <v>0</v>
      </c>
      <c r="FY288" s="1697">
        <f>IF(CR288="Interior",VLOOKUP(CS288,Control_Savings_Interior,4,FALSE),0)</f>
        <v>0</v>
      </c>
      <c r="GA288" s="1696"/>
      <c r="GB288" s="1696"/>
      <c r="GC288" s="1696"/>
      <c r="GD288" s="1696"/>
      <c r="GE288" s="1696"/>
      <c r="GF288" s="1696"/>
      <c r="GG288" s="1696"/>
      <c r="GH288" s="1696"/>
      <c r="GI288" s="673" t="b">
        <f>IF(ISNUMBER(SEARCH("TLED",U288)),TRUE,FALSE)</f>
        <v>0</v>
      </c>
      <c r="GJ288" s="1135" t="str">
        <f>IFERROR(VLOOKUP(U288,Fixtures!DM$93:DR$142,6,FALSE),"")</f>
        <v/>
      </c>
      <c r="GK288" s="1832"/>
      <c r="GM288" s="1692"/>
      <c r="GN288" s="1684"/>
      <c r="GP288" s="1684"/>
      <c r="GQ288" s="1684"/>
      <c r="HG288" s="1684"/>
      <c r="HH288" s="1684"/>
      <c r="HI288" s="1684"/>
      <c r="HJ288" s="1684"/>
      <c r="HK288" s="1684"/>
      <c r="HL288" s="1684"/>
      <c r="HM288" s="1684"/>
      <c r="HN288" s="1683"/>
      <c r="HO288" s="1692"/>
      <c r="HP288" s="1692"/>
      <c r="HQ288" s="1670"/>
      <c r="HR288" s="1684"/>
      <c r="HS288" s="1684"/>
      <c r="HT288" s="1670"/>
      <c r="HU288" s="1684"/>
      <c r="HV288" s="1684"/>
      <c r="HW288" s="1684"/>
      <c r="HX288" s="1684"/>
      <c r="HY288" s="1684"/>
      <c r="HZ288" s="1684"/>
      <c r="IB288" s="1692"/>
      <c r="IC288" s="1693" t="b">
        <f>IB286</f>
        <v>0</v>
      </c>
      <c r="ID288" s="1695"/>
      <c r="IE288" s="391"/>
      <c r="IF288" s="1688"/>
      <c r="IG288" s="1689">
        <f ca="1">IF(IF286=TRUE,AC289,0)</f>
        <v>0</v>
      </c>
      <c r="IH288" s="1684"/>
      <c r="IK288" s="1689" t="e">
        <f>ROUND(T288*AB289*N287*R287/1000,0)</f>
        <v>#VALUE!</v>
      </c>
      <c r="IL288" s="1691"/>
      <c r="IM288" s="1693" t="e">
        <f>ROUND(T288*AB289*N287*R287/1000,0)</f>
        <v>#VALUE!</v>
      </c>
      <c r="IN288" s="1691"/>
      <c r="IP288" s="1679"/>
      <c r="IQ288" s="1679" t="e">
        <f t="shared" ref="IQ288:IU288" si="247">IF($CR288="interior",VLOOKUP($CS288,_New_Control_Savings_Interior,IQ$30,FALSE),VLOOKUP($CS288,Control_Savings_Exterior,IQ$30,FALSE))</f>
        <v>#N/A</v>
      </c>
      <c r="IR288" s="1679" t="e">
        <f t="shared" si="247"/>
        <v>#N/A</v>
      </c>
      <c r="IS288" s="1679" t="e">
        <f t="shared" si="247"/>
        <v>#N/A</v>
      </c>
      <c r="IT288" s="1679" t="e">
        <f t="shared" si="247"/>
        <v>#N/A</v>
      </c>
      <c r="IU288" s="1679" t="e">
        <f t="shared" si="247"/>
        <v>#N/A</v>
      </c>
      <c r="IV288" s="1679" t="e">
        <f>IF($CR288="interior",IF(R287&gt;$IP$14,ROUND(($IV$18*($IP$14/R287)),2),$IV$18),VLOOKUP($CS288,Control_Savings_Exterior,IV$30,FALSE))</f>
        <v>#N/A</v>
      </c>
      <c r="IW288" s="1679" t="e">
        <f>IF($CR288="interior",ROUND(((1-IS288)*IV288)+IS288,2),VLOOKUP($CS288,Control_Savings_Exterior,IW$30,FALSE))</f>
        <v>#N/A</v>
      </c>
      <c r="IX288" s="1679" t="e">
        <f>IF($CR288="interior",ROUND(((1-IT288)*IV288)+IT288,2),VLOOKUP($CS288,Control_Savings_Exterior,IX$30,FALSE))</f>
        <v>#N/A</v>
      </c>
      <c r="IY288" s="1679" t="e">
        <f>IF($CR288="interior",IF(R287&gt;$IP$14,ROUND(($IY$18*($IP$14/R287)),2),$IY$18),VLOOKUP($CS288,Control_Savings_Exterior,IY$30,FALSE))</f>
        <v>#N/A</v>
      </c>
      <c r="IZ288" s="1679" t="e">
        <f>IF($CR288="interior",ROUND(((1-IS288)*IY288)+IS288,2),VLOOKUP($CS288,Control_Savings_Exterior,IZ$30,FALSE))</f>
        <v>#N/A</v>
      </c>
      <c r="JA288" s="1679" t="e">
        <f>IF($CR288="interior",ROUND(((1-IT288)*IY288)+IT288,2),VLOOKUP($CS288,Control_Savings_Exterior,JA$30,FALSE))</f>
        <v>#N/A</v>
      </c>
      <c r="JC288" s="1680">
        <f>IFERROR(IF(CR288="Interior",CONCATENATE(G289," ",FQ288),AG288),"")</f>
        <v>0</v>
      </c>
      <c r="JD288" s="1670" t="str">
        <f>IFERROR(VLOOKUP(JC288,_Controls_2023,2,FALSE),"")</f>
        <v/>
      </c>
      <c r="JE288" s="1681">
        <f>IFERROR(CHOOSE(JD288-1,IQ288,IR288,IS288,IT288,IU288,IV288,IW288,IX288,IY288,IZ288,JA288),0)</f>
        <v>0</v>
      </c>
      <c r="JG288" s="1680" t="str">
        <f>FE288</f>
        <v xml:space="preserve"> - </v>
      </c>
      <c r="JH288" s="1670" t="e">
        <f>$FO288</f>
        <v>#N/A</v>
      </c>
      <c r="JI288" s="1060"/>
      <c r="JJ288" s="1670">
        <f>IFERROR(IF($IB286=TRUE,IF(OR(JJ$14="No",JJ286=FALSE,JH288&lt;=JH286,AND(_kWh_Grant=0,GD286=FALSE)),0,IF(JJ$8="Per Line",1,$AF288)),0),0)</f>
        <v>0</v>
      </c>
      <c r="JK288" s="1061"/>
      <c r="JL288" s="1670">
        <f>IFERROR(IF(_kWh_Grant=0,0,IF($IB286=TRUE,IF(OR(JL$14="No",JL286=FALSE,JH288&lt;=JH286),0,IF(JL$8="Per Line",1,$T288)),0)),0)</f>
        <v>0</v>
      </c>
      <c r="JM288" s="1061"/>
      <c r="JN288" s="1670">
        <f>IFERROR(IF(_kWh_Grant=0,0,IF($IB286=TRUE,IF(OR(JN$14="No",JN286=FALSE,JH288&lt;=JH286),0,IF(JN$8="Per Line",1,$AF288)),0)),0)</f>
        <v>0</v>
      </c>
      <c r="JO288" s="1061"/>
      <c r="JP288" s="1670">
        <f>IFERROR(IF(__Retrofit_TI_NC=0,IF(_kWh_Grant=0,0,IF($IB286=TRUE,IF(OR(JP$14="No",JP286=FALSE,$JH288&lt;=$JH286),0,IF(JP$8="Per Line",1,$AF288)),0)),IF($IB286=TRUE,IF(OR(JP$14="No",JP286=FALSE,$JH288&lt;=$JH286),0,IF(JP$8="Per Line",1,$AF288)))),0)</f>
        <v>0</v>
      </c>
      <c r="JQ288" s="1061"/>
      <c r="JR288" s="1670">
        <f>IFERROR(IF(__Retrofit_TI_NC=0,IF(_kWh_Grant=0,0,IF($IB286=TRUE,IF(OR(JR$14="No",JR286=FALSE,$JH288&lt;=$JH286),0,IF(JR$8="Per Line",1,$AF288)),0)),IF($IB286=TRUE,IF(OR(JR$14="No",JR286=FALSE,$JH288&lt;=$JH286),0,IF(JR$8="Per Line",1,$AF288)))),0)</f>
        <v>0</v>
      </c>
      <c r="JS288" s="1061"/>
      <c r="JT288" s="1670">
        <f>IFERROR(IF(__Retrofit_TI_NC=0,IF(_kWh_Grant=0,0,IF($IB286=TRUE,IF(OR(JT$14="No",JT286=FALSE,$JH288&lt;=$JH286),0,IF(JT$8="Per Line",1,$AF288)),0)),IF($IB286=TRUE,IF(OR(JT$14="No",JT286=FALSE,$JH288&lt;=$JH286),0,IF(JT$8="Per Line",1,$AF288)))),0)</f>
        <v>0</v>
      </c>
      <c r="JU288" s="1061"/>
      <c r="JV288" s="1670">
        <f>IFERROR(IF(__Retrofit_TI_NC=0,IF(_kWh_Grant=0,0,IF($IB286=TRUE,IF(OR(JV$14="No",JV286=FALSE,$JH288&lt;=$JH286),0,IF(JV$8="Per Line",1,$AF288)),0)),IF($IB286=TRUE,IF(OR(JV$14="No",JV286=FALSE,$JH288&lt;=$JH286),0,IF(JV$8="Per Line",1,$AF288)))),0)</f>
        <v>0</v>
      </c>
      <c r="JX288" s="1670">
        <f>IFERROR(IF(__Retrofit_TI_NC=0,IF(_kWh_Grant=0,0,IF($IB286=TRUE,IF(OR(JX$14="No",JX286=FALSE,$JH288&lt;=$JH286),0,IF(JX$8="Per Line",1,$AF288)),0)),IF($IB286=TRUE,IF(OR(JX$14="No",JX286=FALSE,$JH288&lt;=$JH286),0,IF(JX$8="Per Line",1,$AF288)))),0)</f>
        <v>0</v>
      </c>
      <c r="JZ288" s="1670">
        <f>IFERROR(IF($IB286=TRUE,IF(OR(JZ$14="No",JZ286=FALSE,$JH288&lt;=$JH286,AND(_kWh_Grant=0,$GD286=FALSE)),0,IF(JZ$8="Per Line",1,$AF288)),0),0)</f>
        <v>0</v>
      </c>
      <c r="KB288" s="1670">
        <f>IFERROR(IF(__Retrofit_TI_NC=0,IF(_kWh_Grant=0,0,IF($IB286=TRUE,IF(OR(KB$14="No",KB286=FALSE,$JH288&lt;=$JH286),0,IF(KB$8="Per Line",1,$AF288)),0)),IF($IB286=TRUE,IF(OR(KB$14="No",KB286=FALSE,$JH288&lt;=$JH286),0,IF(KB$8="Per Line",1,$AF288)))),0)</f>
        <v>0</v>
      </c>
    </row>
    <row r="289" spans="1:288" s="78" customFormat="1" ht="14.95" customHeight="1" thickTop="1" thickBot="1">
      <c r="B289" s="1845"/>
      <c r="C289" s="1846"/>
      <c r="D289" s="1847"/>
      <c r="E289" s="1771" t="s">
        <v>436</v>
      </c>
      <c r="F289" s="1772"/>
      <c r="G289" s="1784" t="s">
        <v>437</v>
      </c>
      <c r="H289" s="1785"/>
      <c r="I289" s="1785"/>
      <c r="J289" s="1785"/>
      <c r="K289" s="1785"/>
      <c r="L289" s="1786"/>
      <c r="M289" s="591">
        <f>IFERROR(VLOOKUP(G289,_Daylight_Table[],2,FALSE),0)</f>
        <v>0</v>
      </c>
      <c r="N289" s="592" t="str">
        <f>IF(AND(__Retrofit_TI_NC&gt;0,CQ286="Interior"),"BAM","")</f>
        <v/>
      </c>
      <c r="O289" s="591" t="e">
        <f>VLOOKUP(G288,'Space Table'!$B$3:$L$163,11,FALSE)</f>
        <v>#N/A</v>
      </c>
      <c r="P289" s="1789"/>
      <c r="Q289" s="1790"/>
      <c r="R289" s="1790"/>
      <c r="S289" s="1788"/>
      <c r="T289" s="593" t="s">
        <v>342</v>
      </c>
      <c r="U289" s="1756" t="str" cm="1">
        <f t="array" aca="1" ref="U289" ca="1">IFERROR(VLOOKUP(INDIRECT("U" &amp; ROW()-1),Fixtures!DM$93:DP$142,4,FALSE),"")</f>
        <v/>
      </c>
      <c r="V289" s="1757"/>
      <c r="W289" s="1757"/>
      <c r="X289" s="1757"/>
      <c r="Y289" s="1757"/>
      <c r="Z289" s="1757"/>
      <c r="AA289" s="1758"/>
      <c r="AB289" s="939" t="str">
        <f>IFERROR(VLOOKUP(U288,Fixtures_Proposed_List,2,FALSE),"")</f>
        <v/>
      </c>
      <c r="AC289" s="933" t="str">
        <f>IFERROR(ROUND(T288*AB289*N287*R287/1000,0),"")</f>
        <v/>
      </c>
      <c r="AD289" s="934" t="str">
        <f>IFERROR(ROUND(T288*AB289/1000,2),"")</f>
        <v/>
      </c>
      <c r="AE289" s="998"/>
      <c r="AF289" s="938" t="s">
        <v>342</v>
      </c>
      <c r="AG289" s="1770"/>
      <c r="AH289" s="1770"/>
      <c r="AI289" s="1770"/>
      <c r="AJ289" s="1770"/>
      <c r="AK289" s="1770"/>
      <c r="AL289" s="1770"/>
      <c r="AM289" s="1727"/>
      <c r="AN289" s="1729"/>
      <c r="AO289" s="1731"/>
      <c r="AP289" s="1782"/>
      <c r="AQ289" s="1783"/>
      <c r="AR289" s="1797"/>
      <c r="AS289" s="1797"/>
      <c r="AT289" s="1798"/>
      <c r="AU289" s="1736"/>
      <c r="AV289" s="1753"/>
      <c r="AW289" s="1706"/>
      <c r="AX289" s="468"/>
      <c r="AY289" s="1750"/>
      <c r="AZ289" s="1750"/>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696"/>
      <c r="CQ289" s="1696"/>
      <c r="CR289" s="1809"/>
      <c r="CS289" s="1811"/>
      <c r="CU289" s="1688"/>
      <c r="CV289" s="1703"/>
      <c r="CW289" s="1703"/>
      <c r="CX289" s="1813"/>
      <c r="CY289" s="1815"/>
      <c r="CZ289" s="1711"/>
      <c r="DA289" s="1815"/>
      <c r="DB289" s="1821"/>
      <c r="DC289" s="1821"/>
      <c r="DD289" s="1821"/>
      <c r="DF289" s="1703"/>
      <c r="DG289" s="1831"/>
      <c r="DH289" s="1813"/>
      <c r="DI289" s="1838"/>
      <c r="DJ289" s="1711"/>
      <c r="DK289" s="1712"/>
      <c r="DN289" s="1718"/>
      <c r="DO289" s="1709"/>
      <c r="DQ289" s="1715"/>
      <c r="DR289" s="1720"/>
      <c r="DS289" s="1703"/>
      <c r="DT289" s="1714"/>
      <c r="DU289" s="1715"/>
      <c r="DV289" s="1716"/>
      <c r="DX289" s="1715"/>
      <c r="DY289" s="1720"/>
      <c r="DZ289" s="1715"/>
      <c r="EA289" s="1715"/>
      <c r="EC289" s="1834"/>
      <c r="ED289" s="1834"/>
      <c r="EF289" s="1707"/>
      <c r="EG289" s="1712"/>
      <c r="EH289" s="1815"/>
      <c r="EI289" s="1712"/>
      <c r="EJ289" s="1712"/>
      <c r="EK289" s="1813"/>
      <c r="EL289" s="1813"/>
      <c r="EM289" s="1807"/>
      <c r="EN289" s="1839"/>
      <c r="EO289" s="1839"/>
      <c r="EP289" s="1817"/>
      <c r="EQ289" s="1817"/>
      <c r="ER289" s="1807"/>
      <c r="ES289" s="1807"/>
      <c r="ET289" s="1807"/>
      <c r="EV289" s="1715"/>
      <c r="EX289" s="1806"/>
      <c r="EY289" s="1806"/>
      <c r="EZ289" s="1806"/>
      <c r="FA289" s="1806"/>
      <c r="FB289" s="1806"/>
      <c r="FC289" s="1828"/>
      <c r="FE289" s="1698"/>
      <c r="FG289" s="1703"/>
      <c r="FH289" s="1703"/>
      <c r="FI289" s="133"/>
      <c r="FL289" s="1823"/>
      <c r="FM289" s="1825"/>
      <c r="FN289" s="1698"/>
      <c r="FO289" s="1698"/>
      <c r="FP289" s="1678"/>
      <c r="FQ289" s="1698"/>
      <c r="FS289" s="1687"/>
      <c r="FT289" s="1687"/>
      <c r="FU289" s="1685"/>
      <c r="FV289" s="1687"/>
      <c r="FW289" s="1687"/>
      <c r="FX289" s="1687"/>
      <c r="FY289" s="1697"/>
      <c r="GA289" s="1696"/>
      <c r="GB289" s="1696"/>
      <c r="GC289" s="1696"/>
      <c r="GD289" s="1696"/>
      <c r="GE289" s="1696"/>
      <c r="GF289" s="1696"/>
      <c r="GG289" s="1696"/>
      <c r="GH289" s="1696"/>
      <c r="GI289" s="673"/>
      <c r="GJ289" s="1135"/>
      <c r="GK289" s="1832"/>
      <c r="GN289" s="674">
        <f>IF(GN287=TRUE,0,GN$16)</f>
        <v>0</v>
      </c>
      <c r="GP289" s="674">
        <f>IF(GP287=TRUE,0,GP$16)</f>
        <v>36</v>
      </c>
      <c r="GQ289" s="674">
        <f ca="1">IF(GQ287=TRUE,0,GQ$16)</f>
        <v>35</v>
      </c>
      <c r="GR289" s="391"/>
      <c r="GS289" s="391"/>
      <c r="GT289" s="391"/>
      <c r="GU289" s="391"/>
      <c r="GV289" s="391"/>
      <c r="HG289" s="674">
        <f>IF(HG287=TRUE,0,HG$16)</f>
        <v>0</v>
      </c>
      <c r="HH289" s="674">
        <f t="shared" ref="HH289:HM289" si="248">IF(HH287=TRUE,0,HH$16)</f>
        <v>19</v>
      </c>
      <c r="HI289" s="674">
        <f t="shared" si="248"/>
        <v>18</v>
      </c>
      <c r="HJ289" s="674">
        <f t="shared" si="248"/>
        <v>17</v>
      </c>
      <c r="HK289" s="674">
        <f t="shared" si="248"/>
        <v>16</v>
      </c>
      <c r="HL289" s="674">
        <f t="shared" si="248"/>
        <v>0</v>
      </c>
      <c r="HM289" s="674">
        <f t="shared" si="248"/>
        <v>0</v>
      </c>
      <c r="HN289" s="674">
        <f>IF(HN287=TRUE,0,HN$16)</f>
        <v>13</v>
      </c>
      <c r="HO289" s="674">
        <f t="shared" ref="HO289:HQ289" si="249">IF(HO287=TRUE,0,HO$16)</f>
        <v>0</v>
      </c>
      <c r="HP289" s="674">
        <f t="shared" si="249"/>
        <v>0</v>
      </c>
      <c r="HQ289" s="674">
        <f t="shared" si="249"/>
        <v>10</v>
      </c>
      <c r="HR289" s="674">
        <f>IF(HR287=TRUE,0,HR$16)</f>
        <v>9</v>
      </c>
      <c r="HS289" s="674">
        <f t="shared" ref="HS289:HW289" si="250">IF(HS287=TRUE,0,HS$16)</f>
        <v>0</v>
      </c>
      <c r="HT289" s="674">
        <f t="shared" si="250"/>
        <v>0</v>
      </c>
      <c r="HU289" s="674">
        <f t="shared" si="250"/>
        <v>0</v>
      </c>
      <c r="HV289" s="674">
        <f t="shared" si="250"/>
        <v>0</v>
      </c>
      <c r="HW289" s="674">
        <f t="shared" si="250"/>
        <v>0</v>
      </c>
      <c r="HX289" s="674">
        <f>IF(HX287=TRUE,0,HX$16)</f>
        <v>0</v>
      </c>
      <c r="HY289" s="674">
        <f>IF(HY287=TRUE,0,HY$16)</f>
        <v>0</v>
      </c>
      <c r="HZ289" s="674">
        <f>IF(HZ287=TRUE,0,HZ$16)</f>
        <v>1</v>
      </c>
      <c r="IB289" s="674">
        <f>IF(GP287=FALSE,GP289,IF(GQ287=FALSE,GQ289,MAX(GN289:HZ289)))</f>
        <v>36</v>
      </c>
      <c r="IC289" s="1692"/>
      <c r="ID289" s="205" t="str">
        <f>VLOOKUP(IB289,_Error_Table,3,FALSE)</f>
        <v xml:space="preserve"> </v>
      </c>
      <c r="IE289" s="205"/>
      <c r="IF289" s="1688"/>
      <c r="IG289" s="1689"/>
      <c r="IH289" s="1684"/>
      <c r="IK289" s="1689"/>
      <c r="IL289" s="1692"/>
      <c r="IM289" s="1692"/>
      <c r="IN289" s="1692"/>
      <c r="IP289" s="1679"/>
      <c r="IQ289" s="1679"/>
      <c r="IR289" s="1679"/>
      <c r="IS289" s="1679"/>
      <c r="IT289" s="1679"/>
      <c r="IU289" s="1679"/>
      <c r="IV289" s="1679"/>
      <c r="IW289" s="1679"/>
      <c r="IX289" s="1679"/>
      <c r="IY289" s="1679"/>
      <c r="IZ289" s="1679"/>
      <c r="JA289" s="1679"/>
      <c r="JC289" s="1680"/>
      <c r="JD289" s="1670"/>
      <c r="JE289" s="1681"/>
      <c r="JG289" s="1680"/>
      <c r="JH289" s="1670"/>
      <c r="JI289" s="1060"/>
      <c r="JJ289" s="1670"/>
      <c r="JK289" s="1061"/>
      <c r="JL289" s="1670"/>
      <c r="JM289" s="1061"/>
      <c r="JN289" s="1670"/>
      <c r="JO289" s="1061"/>
      <c r="JP289" s="1670"/>
      <c r="JQ289" s="1061"/>
      <c r="JR289" s="1670"/>
      <c r="JS289" s="1061"/>
      <c r="JT289" s="1670"/>
      <c r="JU289" s="1061"/>
      <c r="JV289" s="1670"/>
      <c r="JX289" s="1670"/>
      <c r="JZ289" s="1670"/>
      <c r="KB289" s="1670"/>
    </row>
    <row r="290" spans="1:288" s="78" customFormat="1" ht="5.0999999999999996" customHeight="1">
      <c r="B290" s="676"/>
      <c r="C290" s="392"/>
      <c r="D290" s="392"/>
      <c r="E290" s="1733"/>
      <c r="F290" s="1733"/>
      <c r="G290" s="1733"/>
      <c r="H290" s="1733"/>
      <c r="I290" s="1733"/>
      <c r="J290" s="1733"/>
      <c r="K290" s="1733"/>
      <c r="L290" s="1733"/>
      <c r="M290" s="1733"/>
      <c r="N290" s="1733"/>
      <c r="O290" s="1733"/>
      <c r="P290" s="1733"/>
      <c r="Q290" s="1733"/>
      <c r="R290" s="1733"/>
      <c r="S290" s="1733"/>
      <c r="T290" s="1733"/>
      <c r="U290" s="1733"/>
      <c r="V290" s="1733"/>
      <c r="W290" s="1733"/>
      <c r="X290" s="1733"/>
      <c r="Y290" s="1733"/>
      <c r="Z290" s="1733"/>
      <c r="AA290" s="1733"/>
      <c r="AB290" s="1733"/>
      <c r="AC290" s="1733"/>
      <c r="AD290" s="1733"/>
      <c r="AE290" s="1733"/>
      <c r="AF290" s="1733"/>
      <c r="AG290" s="1733"/>
      <c r="AH290" s="1733"/>
      <c r="AI290" s="1733"/>
      <c r="AJ290" s="1733"/>
      <c r="AK290" s="1733"/>
      <c r="AL290" s="1733"/>
      <c r="AM290" s="1733"/>
      <c r="AN290" s="1733"/>
      <c r="AO290" s="1733"/>
      <c r="AP290" s="1733"/>
      <c r="AQ290" s="1733"/>
      <c r="AR290" s="1733"/>
      <c r="AS290" s="1733"/>
      <c r="AT290" s="1733"/>
      <c r="AU290" s="1733"/>
      <c r="AV290" s="1733"/>
      <c r="AW290" s="1733"/>
      <c r="AX290" s="469"/>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663"/>
      <c r="CQ290" s="663"/>
      <c r="CR290" s="438"/>
      <c r="CS290" s="663"/>
      <c r="CV290" s="391"/>
      <c r="CW290" s="391"/>
      <c r="CX290" s="207"/>
      <c r="CY290" s="208"/>
      <c r="CZ290" s="208"/>
      <c r="DA290" s="208"/>
      <c r="DB290" s="209"/>
      <c r="DC290" s="209"/>
      <c r="DD290" s="209"/>
      <c r="DF290" s="664"/>
      <c r="DG290" s="665"/>
      <c r="DH290" s="666"/>
      <c r="DI290" s="667"/>
      <c r="DJ290" s="668"/>
      <c r="DK290" s="668"/>
      <c r="DN290" s="208"/>
      <c r="DO290" s="664"/>
      <c r="DQ290" s="664"/>
      <c r="DR290" s="669"/>
      <c r="DS290" s="391"/>
      <c r="DT290" s="664"/>
      <c r="DU290" s="664"/>
      <c r="DV290" s="664"/>
      <c r="DX290" s="664"/>
      <c r="DY290" s="664"/>
      <c r="DZ290" s="664"/>
      <c r="EA290" s="664"/>
      <c r="EC290" s="670"/>
      <c r="ED290" s="670"/>
      <c r="EF290" s="668"/>
      <c r="EG290" s="668"/>
      <c r="EH290" s="208"/>
      <c r="EI290" s="668"/>
      <c r="EJ290" s="668"/>
      <c r="EK290" s="207"/>
      <c r="EL290" s="207"/>
      <c r="EM290" s="666"/>
      <c r="EN290" s="671"/>
      <c r="EO290" s="671"/>
      <c r="EP290" s="672"/>
      <c r="EQ290" s="672"/>
      <c r="ER290" s="666"/>
      <c r="ES290" s="666"/>
      <c r="ET290" s="666"/>
      <c r="EV290" s="664"/>
      <c r="EX290" s="391"/>
      <c r="EY290" s="391"/>
      <c r="EZ290" s="391"/>
      <c r="FA290" s="391"/>
      <c r="FB290" s="391"/>
      <c r="FC290" s="391"/>
      <c r="FE290" s="569"/>
      <c r="FG290" s="391"/>
      <c r="FH290" s="391"/>
      <c r="FI290" s="391"/>
      <c r="FS290" s="664"/>
      <c r="FT290" s="391"/>
      <c r="FU290" s="391"/>
      <c r="FV290" s="664"/>
      <c r="FW290" s="664"/>
      <c r="GA290" s="663"/>
      <c r="GB290" s="663"/>
      <c r="GC290" s="663"/>
      <c r="GD290" s="663"/>
      <c r="GE290" s="663"/>
      <c r="GF290" s="663"/>
      <c r="GG290" s="663"/>
      <c r="GH290" s="663"/>
      <c r="GI290" s="665"/>
      <c r="GJ290" s="664"/>
      <c r="GK290" s="664"/>
    </row>
    <row r="291" spans="1:288" s="78" customFormat="1" ht="14.95" customHeight="1">
      <c r="B291" s="1845" t="str">
        <f>ID294</f>
        <v xml:space="preserve"> </v>
      </c>
      <c r="C291" s="1846">
        <f>C286+1</f>
        <v>48</v>
      </c>
      <c r="D291" s="1847"/>
      <c r="E291" s="1799" t="s">
        <v>295</v>
      </c>
      <c r="F291" s="1800"/>
      <c r="G291" s="1741"/>
      <c r="H291" s="1742"/>
      <c r="I291" s="1742"/>
      <c r="J291" s="1742"/>
      <c r="K291" s="1742"/>
      <c r="L291" s="1742"/>
      <c r="M291" s="1742"/>
      <c r="N291" s="1742"/>
      <c r="O291" s="1742"/>
      <c r="P291" s="1742"/>
      <c r="Q291" s="1742"/>
      <c r="R291" s="1742"/>
      <c r="S291" s="1791" t="s">
        <v>344</v>
      </c>
      <c r="T291" s="590"/>
      <c r="U291" s="1743"/>
      <c r="V291" s="1744"/>
      <c r="W291" s="1744"/>
      <c r="X291" s="1744"/>
      <c r="Y291" s="1744"/>
      <c r="Z291" s="1744"/>
      <c r="AA291" s="1744"/>
      <c r="AB291" s="961" t="str">
        <f>IFERROR(IF(__Retrofit_TI_NC=0,VLOOKUP(U292,Fixtures_Existing_List,2,FALSE),ROUND(N293*R293/T293,10)),"")</f>
        <v/>
      </c>
      <c r="AC291" s="935" t="str">
        <f>IFERROR(IF(__Retrofit_TI_NC=0,ROUND(T292*AB291*N292*R292/1000,0),IF(CQ291="Interior",N293*R293*R292*N292*_C406_reduction/1000,N293*R293*R292*N292/1000)),"")</f>
        <v/>
      </c>
      <c r="AD291" s="936" t="str">
        <f>IFERROR(IF(C$43=0,ROUND(T292*AB291/1000,2),N293*R293/1000),"")</f>
        <v/>
      </c>
      <c r="AE291" s="997"/>
      <c r="AF291" s="937"/>
      <c r="AG291" s="1745" t="str">
        <f>IF(__Retrofit_TI_NC=0," Control","Select Advanced Control for New System")</f>
        <v xml:space="preserve"> Control</v>
      </c>
      <c r="AH291" s="1745"/>
      <c r="AI291" s="1745"/>
      <c r="AJ291" s="1745"/>
      <c r="AK291" s="1745"/>
      <c r="AL291" s="1745"/>
      <c r="AM291" s="1746">
        <f>IFERROR(DI291,"")</f>
        <v>0</v>
      </c>
      <c r="AN291" s="1774" t="str">
        <f>IFERROR(ROUND(AM291*AC291,0),"")</f>
        <v/>
      </c>
      <c r="AO291" s="1776">
        <f>IFERROR(IF(IB291=FALSE,0,AC291-AN291),0)</f>
        <v>0</v>
      </c>
      <c r="AP291" s="1778">
        <f>AO291-AO293</f>
        <v>0</v>
      </c>
      <c r="AQ291" s="1779"/>
      <c r="AR291" s="1793">
        <f>IFERROR(IF(IB291=FALSE,0,(T293*U294)+(AF293*AG294)),0)</f>
        <v>0</v>
      </c>
      <c r="AS291" s="1793"/>
      <c r="AT291" s="1794"/>
      <c r="AU291" s="1734" t="s">
        <v>237</v>
      </c>
      <c r="AV291" s="1751">
        <f>IF(AU291="Yes",1,0)</f>
        <v>1</v>
      </c>
      <c r="AW291" s="1704" t="str">
        <f>IF(OR(DQ291=4,DQ291=5,DQ291=6,DQ291=12),CONCATENATE("$",IF(GH291=TRUE,Lookup!$K$10,Lookup!$K$2)," /lamp"),CONCATENATE(TEXT(ED291,"$0.00"),"/ kWh"))</f>
        <v>$0.00/ kWh</v>
      </c>
      <c r="AX291" s="467"/>
      <c r="AY291" s="1748">
        <f ca="1">IFERROR(IF(GM292=TRUE,(AB294*T293)/R293,0),"NA")</f>
        <v>0</v>
      </c>
      <c r="AZ291" s="1748"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696" t="str">
        <f>N292</f>
        <v/>
      </c>
      <c r="CQ291" s="1696" t="str">
        <f>IFERROR(VLOOKUP(G292,_Lookup_Heat_Type_Table_New,3,FALSE),"")</f>
        <v/>
      </c>
      <c r="CR291" s="1808" t="str">
        <f>CQ291</f>
        <v/>
      </c>
      <c r="CS291" s="1810" t="str">
        <f>IFERROR(VLOOKUP(G293,'Space Table'!$B$3:$L$163,9,FALSE),"")</f>
        <v/>
      </c>
      <c r="CU291" s="1688" t="s">
        <v>344</v>
      </c>
      <c r="CV291" s="1702">
        <f>IF(IB291=TRUE,T292,0)</f>
        <v>0</v>
      </c>
      <c r="CW291" s="1702" t="str">
        <f>IF(IB291=TRUE,U292,"")</f>
        <v/>
      </c>
      <c r="CX291" s="1702"/>
      <c r="CY291" s="1814">
        <f>IF(IB291=TRUE,AB291,0)</f>
        <v>0</v>
      </c>
      <c r="CZ291" s="1710">
        <f>IF(AND(__Retrofit_TI_NC&gt;0,CR291="interior"),0,IF(IB291=TRUE,AC291,0))</f>
        <v>0</v>
      </c>
      <c r="DA291" s="1814">
        <f>IFERROR(IF(IB291=TRUE,CZ291-CZ293,0),0)</f>
        <v>0</v>
      </c>
      <c r="DB291" s="1819">
        <f>IF(IB291=TRUE,AD291,0)</f>
        <v>0</v>
      </c>
      <c r="DC291" s="1819">
        <f>IF(IB291=TRUE,AD294,0)</f>
        <v>0</v>
      </c>
      <c r="DD291" s="1819">
        <f>IFERROR(DB291-DC291,0)</f>
        <v>0</v>
      </c>
      <c r="DF291" s="1702">
        <f>IF(IB291=TRUE,AF292,0)</f>
        <v>0</v>
      </c>
      <c r="DG291" s="1830">
        <f>IFERROR(IF(__Retrofit_TI_NC=2,IF(CQ291="Exterior",O294,FQ291),FN291),"")</f>
        <v>0</v>
      </c>
      <c r="DH291" s="1702"/>
      <c r="DI291" s="1837">
        <f>JE291</f>
        <v>0</v>
      </c>
      <c r="DJ291" s="1710">
        <f>IF(AND(__Retrofit_TI_NC&gt;0,CR291="interior"),0,IF(IB291=TRUE,AN291,0))</f>
        <v>0</v>
      </c>
      <c r="DK291" s="1712">
        <f>IFERROR(IF(IB291=TRUE,DJ293-DJ291,0),0)</f>
        <v>0</v>
      </c>
      <c r="DM291" s="1717">
        <f>IFERROR(CZ291-DJ291,0)</f>
        <v>0</v>
      </c>
      <c r="DO291" s="1708">
        <f>DM291-DN293</f>
        <v>0</v>
      </c>
      <c r="DQ291" s="1715" t="str">
        <f>IFERROR(IF(AND(OR(GC291=4,GC291=5,GC291=6),OR(GF291=4,GF291=5,GF291=6)),GC291+8,VLOOKUP(CW293,Fixtures!R$31:Y$78,8,FALSE)),"")</f>
        <v/>
      </c>
      <c r="DR291" s="1829" t="str">
        <f>DQ291</f>
        <v/>
      </c>
      <c r="DS291" s="1702" t="str">
        <f>IFERROR(VLOOKUP(DG293,Lookup!BB$3:BC$20,2,FALSE),"")</f>
        <v/>
      </c>
      <c r="DT291" s="1713" t="str">
        <f>IF(OR(DS291=7,DS291=8,DS291=9),"ALC","")</f>
        <v/>
      </c>
      <c r="DU291" s="1715">
        <f>IFERROR(IF(OR(DQ291=4,DQ291=5,DQ291=6,DQ291=12,DQ291=13,DQ291=14),VLOOKUP(CW293,Fixtures!DN$27:EG$77,19,FALSE),1)*CV293,0)</f>
        <v>0</v>
      </c>
      <c r="DV291" s="1716">
        <f>IF(OR(DS291=7,DS291=8,DS291=9),IF(DG291=DG293,0,DF293),0)</f>
        <v>0</v>
      </c>
      <c r="DX291" s="1715" t="str">
        <f>IFERROR(IF(EZ291&lt;EZ293,"Yes","No"),"")</f>
        <v/>
      </c>
      <c r="DY291" s="1829" t="str">
        <f>DX291</f>
        <v/>
      </c>
      <c r="DZ291" s="1715">
        <f>IF(DX291="Yes",DF293,0)</f>
        <v>0</v>
      </c>
      <c r="EA291" s="1715">
        <f>DZ291-DV291</f>
        <v>0</v>
      </c>
      <c r="EC291" s="1834">
        <f>IFERROR(VLOOKUP(DQ291,Lookup!AU$3:AV$16,2,FALSE),0)</f>
        <v>0</v>
      </c>
      <c r="ED291" s="1834">
        <f>IF(IB291=FALSE,0,IF(DX291="Yes",EC291+Lookup!K$6,EC291))</f>
        <v>0</v>
      </c>
      <c r="EF291" s="1707">
        <f>IF(IB291=TRUE,DM291,0)</f>
        <v>0</v>
      </c>
      <c r="EG291" s="1712">
        <f>IF(IB291=TRUE,CZ293,0)</f>
        <v>0</v>
      </c>
      <c r="EH291" s="1814">
        <f>IFERROR(EF291-EG291,0)</f>
        <v>0</v>
      </c>
      <c r="EI291" s="1712">
        <f>IF(IB291=TRUE,DJ293,0)</f>
        <v>0</v>
      </c>
      <c r="EJ291" s="1712">
        <f>IFERROR(EF291-EG291+EI291,0)</f>
        <v>0</v>
      </c>
      <c r="EK291" s="1812">
        <f>IF(IB291=TRUE,CV293*CX293,0)</f>
        <v>0</v>
      </c>
      <c r="EL291" s="1812">
        <f>IF(IB291=TRUE,DF293*DH293,0)</f>
        <v>0</v>
      </c>
      <c r="EM291" s="1807">
        <f>AR291</f>
        <v>0</v>
      </c>
      <c r="EN291" s="1839" t="str">
        <f>IFERROR(IF(IB291=TRUE,VLOOKUP(DQ291,Lookup!AU$3:AW$16,3,FALSE)*DU291,""),0)</f>
        <v/>
      </c>
      <c r="EO291" s="1839">
        <f>IF(IB291=TRUE,DZ291*Lookup!AW$12,0)</f>
        <v>0</v>
      </c>
      <c r="EP291" s="1817">
        <f>IFERROR(IF(IB291=TRUE,EN291/EP$40,0),0)</f>
        <v>0</v>
      </c>
      <c r="EQ291" s="1817">
        <f>IF(IB291=TRUE,EO291/EQ$40,0)</f>
        <v>0</v>
      </c>
      <c r="ER291" s="1807">
        <f>IF(IB291=TRUE,ET$40*EP291,0)</f>
        <v>0</v>
      </c>
      <c r="ES291" s="1807">
        <f>IF(IB291=TRUE,ET$40*EQ291,0)</f>
        <v>0</v>
      </c>
      <c r="ET291" s="1807">
        <f>ER291+ES291</f>
        <v>0</v>
      </c>
      <c r="EV291" s="1715">
        <f>IF(G291="",0,1)</f>
        <v>0</v>
      </c>
      <c r="EX291" s="1804" t="str">
        <f>IFERROR(VLOOKUP(CS293,'Space Table'!$B$3:$L$163,8,FALSE),"")</f>
        <v/>
      </c>
      <c r="EY291" s="1804" t="str">
        <f>IFERROR(IF(FB291="Yes",VLOOKUP(DG291,Lookup_Control_Type_Table2,4,FALSE),VLOOKUP(DG291,Lookup_Control_Type_Table2,3,FALSE)),"")</f>
        <v/>
      </c>
      <c r="EZ291" s="1804" t="e">
        <f>VLOOKUP(DG291,Lookup!BB$3:BC$20,2,FALSE)</f>
        <v>#N/A</v>
      </c>
      <c r="FA291" s="1804" t="e">
        <f>VLOOKUP(EX291,Lookup_Control_Type_Table,2,FALSE)</f>
        <v>#N/A</v>
      </c>
      <c r="FB291" s="1804" t="e">
        <f>VLOOKUP(CS293,'Space Table'!$B$3:$L$163,7,FALSE)</f>
        <v>#N/A</v>
      </c>
      <c r="FC291" s="1826" t="b">
        <f>ISNUMBER(SEARCH("TLED",U293))</f>
        <v>0</v>
      </c>
      <c r="FE291" s="1698" t="str">
        <f>CONCATENATE(CQ291," - ",DG291)</f>
        <v xml:space="preserve"> - 0</v>
      </c>
      <c r="FG291" s="1702" t="str">
        <f>VLOOKUP(CW293,Fixtures!DN$27:EZ$77,38,FALSE)</f>
        <v/>
      </c>
      <c r="FH291" s="1702">
        <f>IFERROR(FG291*EH291,0)</f>
        <v>0</v>
      </c>
      <c r="FI291" s="133"/>
      <c r="FL291" s="1822" t="str">
        <f>IF(CQ291="Exterior","Not Daylighted",G294)</f>
        <v>Not Daylighted</v>
      </c>
      <c r="FM291" s="1824">
        <f>VLOOKUP(FL291,_New_Daylight_Table_Codes,2,FALSE)</f>
        <v>0</v>
      </c>
      <c r="FN291" s="1698">
        <f>IF(__Retrofit_TI_NC&gt;0,VLOOKUP(G293,'Space Table'!$B$3:$L$163,11,FALSE),AG292)</f>
        <v>0</v>
      </c>
      <c r="FO291" s="1698" t="e">
        <f>IF(__Retrofit_TI_NC=2,VLOOKUP(FQ291,_Control_Table,2,FALSE),VLOOKUP(FN291,_Control_Table,2,FALSE))</f>
        <v>#N/A</v>
      </c>
      <c r="FP291" s="1678" t="e">
        <f>VLOOKUP(CONCATENATE(FL291," ",FN291),Lookup!AY$102:AZ301,2,FALSE)</f>
        <v>#N/A</v>
      </c>
      <c r="FQ291" s="1678">
        <f>IF(__Retrofit_TI_NC=0,FN291,IF(AND(FT291&gt;0,FN291="Occupancy Sensor"),"Daylight + Occupancy",IF(AND(FT291&gt;0,VLOOKUP(FN291,_Control_Table,2,FALSE)&lt;4),"Interior Daylight Dimming",FN291)))</f>
        <v>0</v>
      </c>
      <c r="FS291" s="1686">
        <f>IF(CR291="Interior",VLOOKUP(CS291,Control_Savings_Interior,5,FALSE),0)</f>
        <v>0</v>
      </c>
      <c r="FT291" s="1687">
        <f>IF(CQ291="Exterior",0,IF(FM291=2,0.5,IF(OR(FM291=1,FM291=3),1,0)))</f>
        <v>0</v>
      </c>
      <c r="FU291" s="1685">
        <f>IF(R290&gt;FS$44,(FS291*(FS$44/R290)),FS291)*FT291</f>
        <v>0</v>
      </c>
      <c r="FV291" s="1686">
        <f>DI291</f>
        <v>0</v>
      </c>
      <c r="FW291" s="1686">
        <f>ROUND(FV291+((1-FV291)*FU291),2)</f>
        <v>0</v>
      </c>
      <c r="FX291" s="1686">
        <f>IF(__Retrofit_TI_NC=2,FW291,FV291)</f>
        <v>0</v>
      </c>
      <c r="FY291" s="1697"/>
      <c r="GA291" s="1696" t="str">
        <f>IFERROR(VLOOKUP(U292,_Exist_Fixture_Table,3,FALSE),"")</f>
        <v/>
      </c>
      <c r="GB291" s="1696" t="str">
        <f>VLOOKUP(CW291,_Exist_Fixture_Table,4,FALSE)</f>
        <v/>
      </c>
      <c r="GC291" s="1696">
        <f>IFERROR(VLOOKUP(GB291,Lookup!AT$6:AU$8,2,FALSE),0)</f>
        <v>0</v>
      </c>
      <c r="GD291" s="1696" t="b">
        <f>IFERROR(IF(OR(GF291=4,GF291=5,GF291=6),TRUE,FALSE),"")</f>
        <v>0</v>
      </c>
      <c r="GE291" s="1696" t="str">
        <f>IFERROR(VLOOKUP(GF291,GC$6:GD$10,2,FALSE),"")</f>
        <v/>
      </c>
      <c r="GF291" s="1696" t="str">
        <f>VLOOKUP(CW293,Fixtures!R$31:Y$78,8,FALSE)</f>
        <v/>
      </c>
      <c r="GG291" s="1696">
        <f>IF(AND(GA291=TRUE,GD291=TRUE,OR(DQ291=12,DQ291=13,DQ291=14)),GC291+8,0)</f>
        <v>0</v>
      </c>
      <c r="GH291" s="1696" t="b">
        <f>IF(OR(GG291=12,GG291=13,GG291=14),TRUE,FALSE)</f>
        <v>0</v>
      </c>
      <c r="GI291" s="673" t="b">
        <f>IF(ISNUMBER(SEARCH("TLED",U292)),TRUE,FALSE)</f>
        <v>0</v>
      </c>
      <c r="GJ291" s="1135" t="str">
        <f>IFERROR(VLOOKUP(U292,Fixtures!BM$93:BR$142,6,FALSE),"")</f>
        <v/>
      </c>
      <c r="GK291" s="1832" t="b">
        <f>IF(OR(GI291=FALSE,GI293=FALSE),TRUE,IF(GJ291-GJ293&lt;5,FALSE,TRUE))</f>
        <v>1</v>
      </c>
      <c r="GO291" s="674">
        <f>GP291</f>
        <v>0</v>
      </c>
      <c r="GP291" s="674">
        <f>IF(G291="",0,1)</f>
        <v>0</v>
      </c>
      <c r="GQ291" s="674">
        <f ca="1">SUM(GR291:HF291)</f>
        <v>2</v>
      </c>
      <c r="GR291" s="674">
        <f>IF(G292="",0,1)</f>
        <v>0</v>
      </c>
      <c r="GS291" s="674">
        <f>IF(N294="BAM",1,IF(G293="",0,1))</f>
        <v>0</v>
      </c>
      <c r="GT291" s="674">
        <f>IF(N294="BAM",1,IF(R292="",0,1))</f>
        <v>0</v>
      </c>
      <c r="GU291" s="674">
        <f>IF(N294="BAM",1,IF(__Retrofit_TI_NC=0,1,IF(R293="",0,1)))</f>
        <v>1</v>
      </c>
      <c r="GV291" s="674">
        <f>IF(N294="BAM",1,IF(CQ291="Exterior",1,IF(G294="",0,1)))</f>
        <v>1</v>
      </c>
      <c r="GW291" s="674">
        <f>IF(__Retrofit_TI_NC&gt;0,1,IF(T292="",0,1))</f>
        <v>0</v>
      </c>
      <c r="GX291" s="674">
        <f>IF(__Retrofit_TI_NC&gt;0,1,IF(U292="",0,1))</f>
        <v>0</v>
      </c>
      <c r="GY291" s="674">
        <f>IF(N294="BAM",1,IF(T293="",0,1))</f>
        <v>0</v>
      </c>
      <c r="GZ291" s="674">
        <f>IF(N294="BAM",1,IF(U293="",0,1))</f>
        <v>0</v>
      </c>
      <c r="HA291" s="674">
        <f ca="1">IF(N294="BAM",1,IF(__Retrofit_TI_NC&gt;0,1,IF(U294="",0,1)))</f>
        <v>0</v>
      </c>
      <c r="HB291" s="674">
        <f>IF(__Retrofit_TI_NC&lt;&gt;0,1,IF(AF292="",0,1))</f>
        <v>0</v>
      </c>
      <c r="HC291" s="674">
        <f>IF(__Retrofit_TI_NC&lt;&gt;0,1,IF(AG292="",0,1))</f>
        <v>0</v>
      </c>
      <c r="HD291" s="674">
        <f>IF(N294="BAM",1,IF(AF293="",0,1))</f>
        <v>0</v>
      </c>
      <c r="HE291" s="674">
        <f>IF(N294="BAM",1,IF(AG293="",0,1))</f>
        <v>0</v>
      </c>
      <c r="HF291" s="674">
        <f>IF(N294="BAM",1,IF(__Retrofit_TI_NC&gt;0,1,IF(AG294="",0,1)))</f>
        <v>0</v>
      </c>
      <c r="HG291" s="391"/>
      <c r="IA291" s="391"/>
      <c r="IB291" s="1693" t="b">
        <f>IF(OR(IB294=0,IB294=HY$16,IB294=HX$16,IB294=HZ$16),TRUE,FALSE)</f>
        <v>0</v>
      </c>
      <c r="IC291" s="1694" t="b">
        <f>IB291</f>
        <v>0</v>
      </c>
      <c r="ID291" s="391"/>
      <c r="IE291" s="391"/>
      <c r="IF291" s="1688" t="b">
        <f ca="1">IF(MAX(GN294:HU294)&gt;5,FALSE,TRUE)</f>
        <v>0</v>
      </c>
      <c r="IG291" s="1689">
        <f ca="1">IF(IF291=TRUE,AC291,0)</f>
        <v>0</v>
      </c>
      <c r="IH291" s="1689">
        <f ca="1">IG291-IG293</f>
        <v>0</v>
      </c>
      <c r="IK291" s="1689" t="e">
        <f>ROUND(T292*VLOOKUP(U292,Fixtures_Existing_List,2,FALSE)*N292*R292/1000,0)</f>
        <v>#N/A</v>
      </c>
      <c r="IL291" s="1690" t="e">
        <f>IK291-IK293</f>
        <v>#N/A</v>
      </c>
      <c r="IM291" s="1693" t="e">
        <f>ROUND(IF(CQ291="Interior",N293*R293*R292*N292*_C406_reduction/1000,N293*R293*R292*N292/1000),0)</f>
        <v>#N/A</v>
      </c>
      <c r="IN291" s="1693" t="e">
        <f>IM291-IM293</f>
        <v>#N/A</v>
      </c>
      <c r="IP291" s="1679"/>
      <c r="IQ291" s="1679" t="e">
        <f t="shared" ref="IQ291:IU291" si="251">IF($CR291="interior",VLOOKUP($CS291,_New_Control_Savings_Interior,IQ$30,FALSE),VLOOKUP($CS291,Control_Savings_Exterior,IQ$30,FALSE))</f>
        <v>#N/A</v>
      </c>
      <c r="IR291" s="1679" t="e">
        <f t="shared" si="251"/>
        <v>#N/A</v>
      </c>
      <c r="IS291" s="1679" t="e">
        <f t="shared" si="251"/>
        <v>#N/A</v>
      </c>
      <c r="IT291" s="1679" t="e">
        <f t="shared" si="251"/>
        <v>#N/A</v>
      </c>
      <c r="IU291" s="1679" t="e">
        <f t="shared" si="251"/>
        <v>#N/A</v>
      </c>
      <c r="IV291" s="1679" t="e">
        <f>IF($CR291="interior",IF(R292&gt;$IP$14,ROUND(($IV$18*($IP$14/R292)),2),$IV$18),VLOOKUP($CS291,Control_Savings_Exterior,IV$30,FALSE))</f>
        <v>#N/A</v>
      </c>
      <c r="IW291" s="1679" t="e">
        <f>IF($CR291="interior",ROUND(((1-IS291)*IV291)+IS291,2),VLOOKUP($CS291,Control_Savings_Exterior,IW$30,FALSE))</f>
        <v>#N/A</v>
      </c>
      <c r="IX291" s="1679" t="e">
        <f>IF($CR291="interior",ROUND(((1-IT291)*IV291)+IT291,2),VLOOKUP($CS291,Control_Savings_Exterior,IX$30,FALSE))</f>
        <v>#N/A</v>
      </c>
      <c r="IY291" s="1679" t="e">
        <f>IF($CR291="interior",IF(R292&gt;$IP$14,ROUND(($IY$18*($IP$14/R292)),2),$IY$18),VLOOKUP($CS291,Control_Savings_Exterior,IY$30,FALSE))</f>
        <v>#N/A</v>
      </c>
      <c r="IZ291" s="1679" t="e">
        <f>IF($CR291="interior",ROUND(((1-IS291)*IY291)+IS291,2),VLOOKUP($CS291,Control_Savings_Exterior,IZ$30,FALSE))</f>
        <v>#N/A</v>
      </c>
      <c r="JA291" s="1679" t="e">
        <f>IF($CR291="interior",ROUND(((1-IT291)*IY291)+IT291,2),VLOOKUP($CS291,Control_Savings_Exterior,JA$30,FALSE))</f>
        <v>#N/A</v>
      </c>
      <c r="JC291" s="1680">
        <f>IFERROR(IF(CR291="Interior",CONCATENATE(G294," ",FQ291),FQ291),"")</f>
        <v>0</v>
      </c>
      <c r="JD291" s="1670" t="str">
        <f>IFERROR(VLOOKUP(JC291,_Controls_2023,2,FALSE),"")</f>
        <v/>
      </c>
      <c r="JE291" s="1681">
        <f>IFERROR(CHOOSE(JD291-1,IQ291,IR291,IS291,IT291,IU291,IV291,IW291,IX291,IY291,IZ291,JA291),0)</f>
        <v>0</v>
      </c>
      <c r="JG291" s="1680" t="str">
        <f>FE291</f>
        <v xml:space="preserve"> - 0</v>
      </c>
      <c r="JH291" s="1670" t="e">
        <f>$FO291</f>
        <v>#N/A</v>
      </c>
      <c r="JI291" s="1060"/>
      <c r="JJ291" s="1682" t="b">
        <f>IF($JG293=CONCATENATE("Interior - ",JJ$4),TRUE,FALSE)</f>
        <v>0</v>
      </c>
      <c r="JK291" s="1061"/>
      <c r="JL291" s="1682" t="b">
        <f>IF($JG293=CONCATENATE("Interior - ",JL$4),TRUE,FALSE)</f>
        <v>0</v>
      </c>
      <c r="JM291" s="1061"/>
      <c r="JN291" s="1682" t="b">
        <f>IF($JG293=CONCATENATE("Interior - ",JN$4),TRUE,FALSE)</f>
        <v>0</v>
      </c>
      <c r="JO291" s="1061"/>
      <c r="JP291" s="1682" t="b">
        <f>IF(__Retrofit_TI_NC&gt;0,FALSE,IF($JG293=CONCATENATE("Interior - ",JP$4),TRUE,FALSE))</f>
        <v>0</v>
      </c>
      <c r="JQ291" s="1061"/>
      <c r="JR291" s="1682" t="b">
        <f>IF(__Retrofit_TI_NC&gt;0,FALSE,IF($JG293=CONCATENATE("Interior - ",JR$4),TRUE,FALSE))</f>
        <v>0</v>
      </c>
      <c r="JS291" s="1061"/>
      <c r="JT291" s="1670" t="b">
        <f>IF(__Retrofit_TI_NC&gt;0,FALSE,IF($JG293=CONCATENATE("Interior - ",JT$4),TRUE,FALSE))</f>
        <v>0</v>
      </c>
      <c r="JU291" s="1061"/>
      <c r="JV291" s="1670" t="b">
        <f>IF(JC293="AELC on Existing",TRUE,FALSE)</f>
        <v>0</v>
      </c>
      <c r="JX291" s="1670" t="b">
        <f>IF(OR(JG293="Exterior - AELC Occupancy based",JG293="Exterior - AELC Time based"),TRUE,FALSE)</f>
        <v>0</v>
      </c>
      <c r="JZ291" s="1682" t="b">
        <f>IF($JG293=CONCATENATE("Exterior - ",JZ$4),TRUE,FALSE)</f>
        <v>0</v>
      </c>
      <c r="KB291" s="1670" t="b">
        <f>IF(__Retrofit_TI_NC&gt;0,FALSE,IF($JG293=CONCATENATE("Interior - ",KB$4),TRUE,FALSE))</f>
        <v>0</v>
      </c>
    </row>
    <row r="292" spans="1:288" s="78" customFormat="1" ht="14.95" customHeight="1" thickTop="1" thickBot="1">
      <c r="B292" s="1845"/>
      <c r="C292" s="1846"/>
      <c r="D292" s="1847"/>
      <c r="E292" s="1737" t="s">
        <v>297</v>
      </c>
      <c r="F292" s="1738"/>
      <c r="G292" s="1739"/>
      <c r="H292" s="1739"/>
      <c r="I292" s="1739"/>
      <c r="J292" s="1739"/>
      <c r="K292" s="1739"/>
      <c r="L292" s="1739"/>
      <c r="M292" s="461" t="e">
        <f>IF(__Retrofit_TI_NC&lt;&gt;0,IF(VLOOKUP(G293,'Space Table'!$B$3:$L$163,3,FALSE)&gt;0,1,0),IF(__Retrofit_TI_NC=VLOOKUP(G293,'Space Table'!$B$3:$L$163,3,FALSE),1,0))</f>
        <v>#N/A</v>
      </c>
      <c r="N292" s="461" t="str">
        <f>IFERROR(VLOOKUP(G292,_Lookup_Heat_Type_Table_New,2,FALSE),"")</f>
        <v/>
      </c>
      <c r="O292" s="461">
        <f>IF(__Retrofit_TI_NC=1,CONCATENATE("TI ",G292),IF(__Retrofit_TI_NC=2,CONCATENATE("NC ",G292),G292))</f>
        <v>0</v>
      </c>
      <c r="P292" s="1740" t="s">
        <v>435</v>
      </c>
      <c r="Q292" s="1740"/>
      <c r="R292" s="595"/>
      <c r="S292" s="1792"/>
      <c r="T292" s="597"/>
      <c r="U292" s="1765"/>
      <c r="V292" s="1766"/>
      <c r="W292" s="1766"/>
      <c r="X292" s="1766"/>
      <c r="Y292" s="1766"/>
      <c r="Z292" s="1766"/>
      <c r="AA292" s="1766"/>
      <c r="AB292" s="1766"/>
      <c r="AC292" s="1766"/>
      <c r="AD292" s="1767"/>
      <c r="AE292" s="1000"/>
      <c r="AF292" s="597"/>
      <c r="AG292" s="1723"/>
      <c r="AH292" s="1724"/>
      <c r="AI292" s="1724"/>
      <c r="AJ292" s="1724"/>
      <c r="AK292" s="1725"/>
      <c r="AL292" s="996"/>
      <c r="AM292" s="1747"/>
      <c r="AN292" s="1775"/>
      <c r="AO292" s="1777"/>
      <c r="AP292" s="1780"/>
      <c r="AQ292" s="1781"/>
      <c r="AR292" s="1795"/>
      <c r="AS292" s="1795"/>
      <c r="AT292" s="1796"/>
      <c r="AU292" s="1735"/>
      <c r="AV292" s="1752"/>
      <c r="AW292" s="1705"/>
      <c r="AX292" s="467"/>
      <c r="AY292" s="1749"/>
      <c r="AZ292" s="1749"/>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696"/>
      <c r="CQ292" s="1696"/>
      <c r="CR292" s="1809"/>
      <c r="CS292" s="1811"/>
      <c r="CU292" s="1688"/>
      <c r="CV292" s="1703"/>
      <c r="CW292" s="1703"/>
      <c r="CX292" s="1703"/>
      <c r="CY292" s="1815"/>
      <c r="CZ292" s="1711"/>
      <c r="DA292" s="1818"/>
      <c r="DB292" s="1820"/>
      <c r="DC292" s="1820"/>
      <c r="DD292" s="1820"/>
      <c r="DF292" s="1703"/>
      <c r="DG292" s="1831"/>
      <c r="DH292" s="1703"/>
      <c r="DI292" s="1838"/>
      <c r="DJ292" s="1711"/>
      <c r="DK292" s="1712"/>
      <c r="DM292" s="1718"/>
      <c r="DO292" s="1708"/>
      <c r="DQ292" s="1715"/>
      <c r="DR292" s="1720"/>
      <c r="DS292" s="1816"/>
      <c r="DT292" s="1714"/>
      <c r="DU292" s="1715"/>
      <c r="DV292" s="1716"/>
      <c r="DX292" s="1715"/>
      <c r="DY292" s="1720"/>
      <c r="DZ292" s="1715"/>
      <c r="EA292" s="1715"/>
      <c r="EC292" s="1834"/>
      <c r="ED292" s="1834"/>
      <c r="EF292" s="1707"/>
      <c r="EG292" s="1712"/>
      <c r="EH292" s="1818"/>
      <c r="EI292" s="1712"/>
      <c r="EJ292" s="1712"/>
      <c r="EK292" s="1836"/>
      <c r="EL292" s="1836"/>
      <c r="EM292" s="1807"/>
      <c r="EN292" s="1839"/>
      <c r="EO292" s="1839"/>
      <c r="EP292" s="1817"/>
      <c r="EQ292" s="1817"/>
      <c r="ER292" s="1807"/>
      <c r="ES292" s="1807"/>
      <c r="ET292" s="1807"/>
      <c r="EV292" s="1715"/>
      <c r="EX292" s="1805"/>
      <c r="EY292" s="1805"/>
      <c r="EZ292" s="1805"/>
      <c r="FA292" s="1805"/>
      <c r="FB292" s="1805"/>
      <c r="FC292" s="1827"/>
      <c r="FE292" s="1698"/>
      <c r="FG292" s="1816"/>
      <c r="FH292" s="1816"/>
      <c r="FI292" s="133"/>
      <c r="FL292" s="1823"/>
      <c r="FM292" s="1825"/>
      <c r="FN292" s="1698"/>
      <c r="FO292" s="1698"/>
      <c r="FP292" s="1678"/>
      <c r="FQ292" s="1678"/>
      <c r="FS292" s="1687"/>
      <c r="FT292" s="1687"/>
      <c r="FU292" s="1685"/>
      <c r="FV292" s="1687"/>
      <c r="FW292" s="1687"/>
      <c r="FX292" s="1687"/>
      <c r="FY292" s="1697"/>
      <c r="GA292" s="1696"/>
      <c r="GB292" s="1696"/>
      <c r="GC292" s="1696"/>
      <c r="GD292" s="1696"/>
      <c r="GE292" s="1696"/>
      <c r="GF292" s="1696"/>
      <c r="GG292" s="1696"/>
      <c r="GH292" s="1696"/>
      <c r="GI292" s="673"/>
      <c r="GJ292" s="1135"/>
      <c r="GK292" s="1832"/>
      <c r="GM292" s="1693" t="b">
        <f ca="1">IF(AND(GP292=TRUE,GQ292=TRUE),TRUE,FALSE)</f>
        <v>0</v>
      </c>
      <c r="GN292" s="1684" t="b">
        <f>IFERROR(IF(__Retrofit_TI_NC=2,TRUE,IF(AU291="Yes",TRUE,FALSE)),FALSE)</f>
        <v>1</v>
      </c>
      <c r="GP292" s="1684" t="b">
        <f>IFERROR(IF(GP291=1,TRUE,FALSE),FALSE)</f>
        <v>0</v>
      </c>
      <c r="GQ292" s="1684" t="b">
        <f ca="1">IFERROR(IF(GQ291=GQ$14,TRUE,FALSE),FALSE)</f>
        <v>0</v>
      </c>
      <c r="HG292" s="1684" t="b">
        <f>IFERROR(IF(AND(__Retrofit_TI_NC&gt;0,CQ291="Interior"),FALSE,TRUE),FALSE)</f>
        <v>1</v>
      </c>
      <c r="HH292" s="1684" t="b">
        <f>IFERROR(IF(M292=1,TRUE,FALSE),FALSE)</f>
        <v>0</v>
      </c>
      <c r="HI292" s="1684" t="b">
        <f>IFERROR(IF(OR(M293=1,N294="BAM"),TRUE,FALSE),FALSE)</f>
        <v>0</v>
      </c>
      <c r="HJ292" s="1684" t="b">
        <f>IFERROR(IF(__Retrofit_TI_NC&lt;&gt;0,TRUE,IFERROR(IF(VLOOKUP(U292,Fixtures_Existing_List,2,FALSE)&lt;&gt;"",TRUE,FALSE),FALSE)),FALSE)</f>
        <v>0</v>
      </c>
      <c r="HK292" s="1684" t="b">
        <f>IFERROR(IF(VLOOKUP(U293,Fixtures_Proposed_List,2,FALSE)&lt;&gt;"",TRUE,FALSE),FALSE)</f>
        <v>0</v>
      </c>
      <c r="HL292" s="1684" t="b">
        <f>IF(AND(__Retrofit_TI_NC=2,FC291=TRUE),FALSE,TRUE)</f>
        <v>1</v>
      </c>
      <c r="HM292" s="1684" t="b">
        <f>GK291</f>
        <v>1</v>
      </c>
      <c r="HN292" s="1682" t="b">
        <f>IF(ISERROR(MATCH(FE291,_Control_Match[],0))=TRUE,FALSE,TRUE)</f>
        <v>0</v>
      </c>
      <c r="HO292" s="1693" t="b">
        <f>IFERROR(IF(EX291&lt;&gt;EY291,FALSE,TRUE),FALSE)</f>
        <v>1</v>
      </c>
      <c r="HP292" s="1693" t="b">
        <f>IFERROR(IF(EX293&lt;&gt;EY293,FALSE,TRUE),FALSE)</f>
        <v>1</v>
      </c>
      <c r="HQ292" s="1670" t="b">
        <f>IFERROR(IF(CQ291="Exterior",TRUE,IF(AND(OR(FM293=0,FM293=3),JD293&gt;6),FALSE,TRUE)),FALSE)</f>
        <v>0</v>
      </c>
      <c r="HR292" s="1684" t="b">
        <f>IFERROR(IF(AND(FO293=7,FC291=TRUE),FALSE,TRUE),FALSE)</f>
        <v>0</v>
      </c>
      <c r="HS292" s="1684" t="b">
        <f>IFERROR(IF(AND(T293&lt;&gt;AF293,OR(AG293="Interior LLLC", AG293="Interior NLC", AG293="LLLC (outside Daylight)",AG293="LLLC Controls Only"))=TRUE,FALSE,TRUE),FALSE)</f>
        <v>1</v>
      </c>
      <c r="HT292" s="1670" t="b">
        <f>IFERROR(IF(OR(AG293=Lookup!BB$17,AG293=Lookup!BB$18,AG293=Lookup!BB$19)=TRUE,IF(AF293&gt;T293,FALSE,TRUE),TRUE),FALSE)</f>
        <v>1</v>
      </c>
      <c r="HU292" s="1684" t="b">
        <f>IFERROR(IF(__Retrofit_TI_NC=2,IF(EZ293&lt;EZ291,FALSE,TRUE),TRUE),FALSE)</f>
        <v>1</v>
      </c>
      <c r="HV292" s="1684" t="b">
        <f>IF(CQ291="Interior",IL$6,TRUE)</f>
        <v>1</v>
      </c>
      <c r="HW292" s="1684" t="b">
        <f>IF(CQ291="Exterior",IL$8,TRUE)</f>
        <v>1</v>
      </c>
      <c r="HX292" s="1684" t="b">
        <f>IFERROR(IF(__Retrofit_TI_NC&lt;&gt;0,IF(AZ291&lt;AY291,FALSE,TRUE),TRUE),FALSE)</f>
        <v>1</v>
      </c>
      <c r="HY292" s="1684" t="b">
        <f>IFERROR(IF(AND(G292="Exterior",R292&gt;4200),FALSE,TRUE),FALSE)</f>
        <v>1</v>
      </c>
      <c r="HZ292" s="1684" t="b">
        <f>IFERROR(IF(AB294/AB291&lt;HZ$18,FALSE,TRUE),FALSE)</f>
        <v>0</v>
      </c>
      <c r="IB292" s="1691"/>
      <c r="IC292" s="1695"/>
      <c r="ID292" s="1694" t="str">
        <f>VLOOKUP(IB294,_Error_Table,4,FALSE)</f>
        <v>White</v>
      </c>
      <c r="IE292" s="391"/>
      <c r="IF292" s="1688"/>
      <c r="IG292" s="1689"/>
      <c r="IH292" s="1684"/>
      <c r="IK292" s="1689"/>
      <c r="IL292" s="1691"/>
      <c r="IM292" s="1691"/>
      <c r="IN292" s="1691"/>
      <c r="IP292" s="1679"/>
      <c r="IQ292" s="1679"/>
      <c r="IR292" s="1679"/>
      <c r="IS292" s="1679"/>
      <c r="IT292" s="1679"/>
      <c r="IU292" s="1679"/>
      <c r="IV292" s="1679"/>
      <c r="IW292" s="1679"/>
      <c r="IX292" s="1679"/>
      <c r="IY292" s="1679"/>
      <c r="IZ292" s="1679"/>
      <c r="JA292" s="1679"/>
      <c r="JC292" s="1680"/>
      <c r="JD292" s="1670"/>
      <c r="JE292" s="1681"/>
      <c r="JG292" s="1680"/>
      <c r="JH292" s="1670"/>
      <c r="JI292" s="1060"/>
      <c r="JJ292" s="1683"/>
      <c r="JK292" s="1061"/>
      <c r="JL292" s="1683"/>
      <c r="JM292" s="1061"/>
      <c r="JN292" s="1683"/>
      <c r="JO292" s="1061"/>
      <c r="JP292" s="1683"/>
      <c r="JQ292" s="1061"/>
      <c r="JR292" s="1683"/>
      <c r="JS292" s="1061"/>
      <c r="JT292" s="1670"/>
      <c r="JU292" s="1061"/>
      <c r="JV292" s="1670"/>
      <c r="JX292" s="1670"/>
      <c r="JZ292" s="1683"/>
      <c r="KB292" s="1670"/>
    </row>
    <row r="293" spans="1:288" s="78" customFormat="1" ht="14.95" customHeight="1" thickTop="1" thickBot="1">
      <c r="A293" s="78">
        <f>ROW()</f>
        <v>293</v>
      </c>
      <c r="B293" s="1845"/>
      <c r="C293" s="1846"/>
      <c r="D293" s="1847"/>
      <c r="E293" s="1737" t="s">
        <v>298</v>
      </c>
      <c r="F293" s="1738"/>
      <c r="G293" s="1760"/>
      <c r="H293" s="1761"/>
      <c r="I293" s="1761"/>
      <c r="J293" s="1761"/>
      <c r="K293" s="1761"/>
      <c r="L293" s="1762"/>
      <c r="M293" s="461">
        <f>IFERROR(IF(IF(__Retrofit_TI_NC&lt;&gt;0,IF(CQ291="Interior",MATCH(G293,Lookup_Interior_New,0),MATCH(G293,Lookup_Exterior_New,0)),IF(CQ291="Interior",MATCH(G293,Lookup_Interior,0),MATCH(G293,Lookup_Exterior_Areas,0)))&gt;0,1,0),0)</f>
        <v>0</v>
      </c>
      <c r="N293" s="461" t="e">
        <f>IF(__Retrofit_TI_NC=1,
VLOOKUP(G293,'Space Table'!$B$3:$L$163,4,FALSE),
IF(__Retrofit_TI_NC=2,VLOOKUP(G293,'Space Table'!$B$3:$L$163,5,FALSE),VLOOKUP(G293,'Space Table'!$B$3:$L$163,5,FALSE)))</f>
        <v>#N/A</v>
      </c>
      <c r="O293" s="461">
        <f>G293</f>
        <v>0</v>
      </c>
      <c r="P293" s="1738" t="str">
        <f>IFERROR(IF(__Retrofit_TI_NC=1,VLOOKUP(G293,'Space Table'!$B$3:$O$163,13,FALSE),IF(__Retrofit_TI_NC=2,VLOOKUP(G293,'Space Table'!$B$3:$O$163,14,FALSE),"Area (sf):")),"Area (sf):")</f>
        <v>Area (sf):</v>
      </c>
      <c r="Q293" s="1738"/>
      <c r="R293" s="596"/>
      <c r="S293" s="1763" t="s">
        <v>345</v>
      </c>
      <c r="T293" s="594"/>
      <c r="U293" s="1801"/>
      <c r="V293" s="1802"/>
      <c r="W293" s="1802"/>
      <c r="X293" s="1802"/>
      <c r="Y293" s="1802"/>
      <c r="Z293" s="1802"/>
      <c r="AA293" s="1802"/>
      <c r="AB293" s="1802"/>
      <c r="AC293" s="1802"/>
      <c r="AD293" s="1802"/>
      <c r="AE293" s="1803"/>
      <c r="AF293" s="594"/>
      <c r="AG293" s="1787"/>
      <c r="AH293" s="1787"/>
      <c r="AI293" s="1787"/>
      <c r="AJ293" s="1787"/>
      <c r="AK293" s="1787"/>
      <c r="AL293" s="1787"/>
      <c r="AM293" s="1726">
        <f>IFERROR(DI293,"")</f>
        <v>0</v>
      </c>
      <c r="AN293" s="1728" t="str">
        <f>IFERROR(ROUND(AM293*AC294,0),"")</f>
        <v/>
      </c>
      <c r="AO293" s="1730">
        <f>IFERROR(IF(IB291=FALSE,0,AC294-AN293),0)</f>
        <v>0</v>
      </c>
      <c r="AP293" s="1780"/>
      <c r="AQ293" s="1781"/>
      <c r="AR293" s="1795"/>
      <c r="AS293" s="1795"/>
      <c r="AT293" s="1796"/>
      <c r="AU293" s="1735"/>
      <c r="AV293" s="1752"/>
      <c r="AW293" s="1705"/>
      <c r="AX293" s="467"/>
      <c r="AY293" s="1749"/>
      <c r="AZ293" s="1749"/>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696"/>
      <c r="CQ293" s="1696"/>
      <c r="CR293" s="1808" t="str">
        <f>CQ291</f>
        <v/>
      </c>
      <c r="CS293" s="1810" t="str">
        <f>CS291</f>
        <v/>
      </c>
      <c r="CU293" s="1688" t="s">
        <v>345</v>
      </c>
      <c r="CV293" s="1702">
        <f>IF(IB291=TRUE,T293,0)</f>
        <v>0</v>
      </c>
      <c r="CW293" s="1702" t="str">
        <f>IF(IB291=TRUE,U293,"")</f>
        <v/>
      </c>
      <c r="CX293" s="1812">
        <f>IF(IB291=TRUE,U294,0)</f>
        <v>0</v>
      </c>
      <c r="CY293" s="1814">
        <f>IF(IB291=TRUE,AB294,0)</f>
        <v>0</v>
      </c>
      <c r="CZ293" s="1710">
        <f>IF(AND(__Retrofit_TI_NC&gt;0,CR291="interior"),0,IF(IB291=TRUE,AC294,0))</f>
        <v>0</v>
      </c>
      <c r="DA293" s="1818"/>
      <c r="DB293" s="1820"/>
      <c r="DC293" s="1820"/>
      <c r="DD293" s="1820"/>
      <c r="DF293" s="1702">
        <f>IF(IB291=TRUE,AF293,0)</f>
        <v>0</v>
      </c>
      <c r="DG293" s="1830" t="str">
        <f>IF(IB291=TRUE,AG293,"")</f>
        <v/>
      </c>
      <c r="DH293" s="1812">
        <f>AG294</f>
        <v>0</v>
      </c>
      <c r="DI293" s="1837">
        <f>JE293</f>
        <v>0</v>
      </c>
      <c r="DJ293" s="1710">
        <f>IF(AND(__Retrofit_TI_NC&gt;0,CR291="interior"),0,IF(IB291=TRUE,AN293,0))</f>
        <v>0</v>
      </c>
      <c r="DK293" s="1712"/>
      <c r="DN293" s="1717">
        <f>IFERROR(CZ293-DJ293,0)</f>
        <v>0</v>
      </c>
      <c r="DO293" s="1709"/>
      <c r="DQ293" s="1715"/>
      <c r="DR293" s="1719" t="str">
        <f>DQ291</f>
        <v/>
      </c>
      <c r="DS293" s="1816"/>
      <c r="DT293" s="1835" t="str">
        <f>IF(OR(DS291=7,DS291=8,DS291=9),"ALC","")</f>
        <v/>
      </c>
      <c r="DU293" s="1715"/>
      <c r="DV293" s="1716"/>
      <c r="DX293" s="1715"/>
      <c r="DY293" s="1829" t="str">
        <f>DX291</f>
        <v/>
      </c>
      <c r="DZ293" s="1715"/>
      <c r="EA293" s="1715"/>
      <c r="EC293" s="1834"/>
      <c r="ED293" s="1834"/>
      <c r="EF293" s="1707"/>
      <c r="EG293" s="1712"/>
      <c r="EH293" s="1818"/>
      <c r="EI293" s="1712"/>
      <c r="EJ293" s="1712"/>
      <c r="EK293" s="1836"/>
      <c r="EL293" s="1836"/>
      <c r="EM293" s="1807"/>
      <c r="EN293" s="1839"/>
      <c r="EO293" s="1839"/>
      <c r="EP293" s="1817"/>
      <c r="EQ293" s="1817"/>
      <c r="ER293" s="1807"/>
      <c r="ES293" s="1807"/>
      <c r="ET293" s="1807"/>
      <c r="EV293" s="1715"/>
      <c r="EX293" s="1805" t="str">
        <f>IFERROR(VLOOKUP(CS293,'Space Table'!$B$3:$L$163,8,FALSE),"")</f>
        <v/>
      </c>
      <c r="EY293" s="1805" t="str">
        <f>IFERROR(IF(FB293="Yes",VLOOKUP(AG293,Lookup_Control_Type_Table2,4,FALSE),VLOOKUP(AG293,Lookup_Control_Type_Table2,3,FALSE)),"")</f>
        <v/>
      </c>
      <c r="EZ293" s="1805" t="e">
        <f>VLOOKUP(AG293,Lookup!BB$3:BC$20,2,FALSE)</f>
        <v>#N/A</v>
      </c>
      <c r="FA293" s="1805" t="e">
        <f>VLOOKUP(EX291,Lookup_Control_Type_Table,2,FALSE)</f>
        <v>#N/A</v>
      </c>
      <c r="FB293" s="1805" t="e">
        <f>VLOOKUP(CS293,'Space Table'!$B$3:$L$163,7,FALSE)</f>
        <v>#N/A</v>
      </c>
      <c r="FC293" s="1827"/>
      <c r="FE293" s="1698" t="str">
        <f>CONCATENATE(CQ291," - ",AG293)</f>
        <v xml:space="preserve"> - </v>
      </c>
      <c r="FG293" s="1816"/>
      <c r="FH293" s="1816"/>
      <c r="FI293" s="133"/>
      <c r="FL293" s="1822" t="str">
        <f>IF(CQ291="Exterior","Not Daylighted",G294)</f>
        <v>Not Daylighted</v>
      </c>
      <c r="FM293" s="1824">
        <f>VLOOKUP(FL293,_New_Daylight_Table_Codes,2,FALSE)</f>
        <v>0</v>
      </c>
      <c r="FN293" s="1698">
        <f>AG293</f>
        <v>0</v>
      </c>
      <c r="FO293" s="1698" t="e">
        <f>VLOOKUP(FN293,_Control_Table,2,FALSE)</f>
        <v>#N/A</v>
      </c>
      <c r="FP293" s="1678" t="e">
        <f>VLOOKUP(CONCATENATE(FL293," ",FN293),Lookup!AY$102:AZ304,2,FALSE)</f>
        <v>#N/A</v>
      </c>
      <c r="FQ293" s="1698">
        <f>IF(__Retrofit_TI_NC=0,FN293,IF(AND(FT293&gt;0,FN293="Occupancy Sensor"),"Daylight + Occupancy",IF(AND(FT293&gt;0,FO293&lt;4),"Interior Daylight Dimming",FN293)))</f>
        <v>0</v>
      </c>
      <c r="FS293" s="1686">
        <f>IF(CQ291="Interior",VLOOKUP(CS291,Control_Savings_Interior,5,FALSE),0)</f>
        <v>0</v>
      </c>
      <c r="FT293" s="1687">
        <f>IF(CQ293="Exterior",0,IF(FM293=2,0.5,IF(OR(FM293=1,FM293=3),1,0)))</f>
        <v>0</v>
      </c>
      <c r="FU293" s="1685">
        <f>IF(R292&gt;FS$44,(FS293*(FS$44/R292)),FS293)*FT293</f>
        <v>0</v>
      </c>
      <c r="FV293" s="1686">
        <f>DI293</f>
        <v>0</v>
      </c>
      <c r="FW293" s="1686">
        <f>ROUND(FV293+((1-FV293)*FU293),2)</f>
        <v>0</v>
      </c>
      <c r="FX293" s="1686">
        <f>IF(__Retrofit_TI_NC=2,FW293,FV293)</f>
        <v>0</v>
      </c>
      <c r="FY293" s="1697">
        <f>IF(CR293="Interior",VLOOKUP(CS293,Control_Savings_Interior,4,FALSE),0)</f>
        <v>0</v>
      </c>
      <c r="GA293" s="1696"/>
      <c r="GB293" s="1696"/>
      <c r="GC293" s="1696"/>
      <c r="GD293" s="1696"/>
      <c r="GE293" s="1696"/>
      <c r="GF293" s="1696"/>
      <c r="GG293" s="1696"/>
      <c r="GH293" s="1696"/>
      <c r="GI293" s="673" t="b">
        <f>IF(ISNUMBER(SEARCH("TLED",U293)),TRUE,FALSE)</f>
        <v>0</v>
      </c>
      <c r="GJ293" s="1135" t="str">
        <f>IFERROR(VLOOKUP(U293,Fixtures!DM$93:DR$142,6,FALSE),"")</f>
        <v/>
      </c>
      <c r="GK293" s="1832"/>
      <c r="GM293" s="1692"/>
      <c r="GN293" s="1684"/>
      <c r="GP293" s="1684"/>
      <c r="GQ293" s="1684"/>
      <c r="HG293" s="1684"/>
      <c r="HH293" s="1684"/>
      <c r="HI293" s="1684"/>
      <c r="HJ293" s="1684"/>
      <c r="HK293" s="1684"/>
      <c r="HL293" s="1684"/>
      <c r="HM293" s="1684"/>
      <c r="HN293" s="1683"/>
      <c r="HO293" s="1692"/>
      <c r="HP293" s="1692"/>
      <c r="HQ293" s="1670"/>
      <c r="HR293" s="1684"/>
      <c r="HS293" s="1684"/>
      <c r="HT293" s="1670"/>
      <c r="HU293" s="1684"/>
      <c r="HV293" s="1684"/>
      <c r="HW293" s="1684"/>
      <c r="HX293" s="1684"/>
      <c r="HY293" s="1684"/>
      <c r="HZ293" s="1684"/>
      <c r="IB293" s="1692"/>
      <c r="IC293" s="1693" t="b">
        <f>IB291</f>
        <v>0</v>
      </c>
      <c r="ID293" s="1695"/>
      <c r="IE293" s="391"/>
      <c r="IF293" s="1688"/>
      <c r="IG293" s="1689">
        <f ca="1">IF(IF291=TRUE,AC294,0)</f>
        <v>0</v>
      </c>
      <c r="IH293" s="1684"/>
      <c r="IK293" s="1689" t="e">
        <f>ROUND(T293*AB294*N292*R292/1000,0)</f>
        <v>#VALUE!</v>
      </c>
      <c r="IL293" s="1691"/>
      <c r="IM293" s="1693" t="e">
        <f>ROUND(T293*AB294*N292*R292/1000,0)</f>
        <v>#VALUE!</v>
      </c>
      <c r="IN293" s="1691"/>
      <c r="IP293" s="1679"/>
      <c r="IQ293" s="1679" t="e">
        <f t="shared" ref="IQ293:IU293" si="252">IF($CR293="interior",VLOOKUP($CS293,_New_Control_Savings_Interior,IQ$30,FALSE),VLOOKUP($CS293,Control_Savings_Exterior,IQ$30,FALSE))</f>
        <v>#N/A</v>
      </c>
      <c r="IR293" s="1679" t="e">
        <f t="shared" si="252"/>
        <v>#N/A</v>
      </c>
      <c r="IS293" s="1679" t="e">
        <f t="shared" si="252"/>
        <v>#N/A</v>
      </c>
      <c r="IT293" s="1679" t="e">
        <f t="shared" si="252"/>
        <v>#N/A</v>
      </c>
      <c r="IU293" s="1679" t="e">
        <f t="shared" si="252"/>
        <v>#N/A</v>
      </c>
      <c r="IV293" s="1679" t="e">
        <f>IF($CR293="interior",IF(R292&gt;$IP$14,ROUND(($IV$18*($IP$14/R292)),2),$IV$18),VLOOKUP($CS293,Control_Savings_Exterior,IV$30,FALSE))</f>
        <v>#N/A</v>
      </c>
      <c r="IW293" s="1679" t="e">
        <f>IF($CR293="interior",ROUND(((1-IS293)*IV293)+IS293,2),VLOOKUP($CS293,Control_Savings_Exterior,IW$30,FALSE))</f>
        <v>#N/A</v>
      </c>
      <c r="IX293" s="1679" t="e">
        <f>IF($CR293="interior",ROUND(((1-IT293)*IV293)+IT293,2),VLOOKUP($CS293,Control_Savings_Exterior,IX$30,FALSE))</f>
        <v>#N/A</v>
      </c>
      <c r="IY293" s="1679" t="e">
        <f>IF($CR293="interior",IF(R292&gt;$IP$14,ROUND(($IY$18*($IP$14/R292)),2),$IY$18),VLOOKUP($CS293,Control_Savings_Exterior,IY$30,FALSE))</f>
        <v>#N/A</v>
      </c>
      <c r="IZ293" s="1679" t="e">
        <f>IF($CR293="interior",ROUND(((1-IS293)*IY293)+IS293,2),VLOOKUP($CS293,Control_Savings_Exterior,IZ$30,FALSE))</f>
        <v>#N/A</v>
      </c>
      <c r="JA293" s="1679" t="e">
        <f>IF($CR293="interior",ROUND(((1-IT293)*IY293)+IT293,2),VLOOKUP($CS293,Control_Savings_Exterior,JA$30,FALSE))</f>
        <v>#N/A</v>
      </c>
      <c r="JC293" s="1680">
        <f>IFERROR(IF(CR293="Interior",CONCATENATE(G294," ",FQ293),AG293),"")</f>
        <v>0</v>
      </c>
      <c r="JD293" s="1670" t="str">
        <f>IFERROR(VLOOKUP(JC293,_Controls_2023,2,FALSE),"")</f>
        <v/>
      </c>
      <c r="JE293" s="1681">
        <f>IFERROR(CHOOSE(JD293-1,IQ293,IR293,IS293,IT293,IU293,IV293,IW293,IX293,IY293,IZ293,JA293),0)</f>
        <v>0</v>
      </c>
      <c r="JG293" s="1680" t="str">
        <f>FE293</f>
        <v xml:space="preserve"> - </v>
      </c>
      <c r="JH293" s="1670" t="e">
        <f>$FO293</f>
        <v>#N/A</v>
      </c>
      <c r="JI293" s="1060"/>
      <c r="JJ293" s="1670">
        <f>IFERROR(IF($IB291=TRUE,IF(OR(JJ$14="No",JJ291=FALSE,JH293&lt;=JH291,AND(_kWh_Grant=0,GD291=FALSE)),0,IF(JJ$8="Per Line",1,$AF293)),0),0)</f>
        <v>0</v>
      </c>
      <c r="JK293" s="1061"/>
      <c r="JL293" s="1670">
        <f>IFERROR(IF(_kWh_Grant=0,0,IF($IB291=TRUE,IF(OR(JL$14="No",JL291=FALSE,JH293&lt;=JH291),0,IF(JL$8="Per Line",1,$T293)),0)),0)</f>
        <v>0</v>
      </c>
      <c r="JM293" s="1061"/>
      <c r="JN293" s="1670">
        <f>IFERROR(IF(_kWh_Grant=0,0,IF($IB291=TRUE,IF(OR(JN$14="No",JN291=FALSE,JH293&lt;=JH291),0,IF(JN$8="Per Line",1,$AF293)),0)),0)</f>
        <v>0</v>
      </c>
      <c r="JO293" s="1061"/>
      <c r="JP293" s="1670">
        <f>IFERROR(IF(__Retrofit_TI_NC=0,IF(_kWh_Grant=0,0,IF($IB291=TRUE,IF(OR(JP$14="No",JP291=FALSE,$JH293&lt;=$JH291),0,IF(JP$8="Per Line",1,$AF293)),0)),IF($IB291=TRUE,IF(OR(JP$14="No",JP291=FALSE,$JH293&lt;=$JH291),0,IF(JP$8="Per Line",1,$AF293)))),0)</f>
        <v>0</v>
      </c>
      <c r="JQ293" s="1061"/>
      <c r="JR293" s="1670">
        <f>IFERROR(IF(__Retrofit_TI_NC=0,IF(_kWh_Grant=0,0,IF($IB291=TRUE,IF(OR(JR$14="No",JR291=FALSE,$JH293&lt;=$JH291),0,IF(JR$8="Per Line",1,$AF293)),0)),IF($IB291=TRUE,IF(OR(JR$14="No",JR291=FALSE,$JH293&lt;=$JH291),0,IF(JR$8="Per Line",1,$AF293)))),0)</f>
        <v>0</v>
      </c>
      <c r="JS293" s="1061"/>
      <c r="JT293" s="1670">
        <f>IFERROR(IF(__Retrofit_TI_NC=0,IF(_kWh_Grant=0,0,IF($IB291=TRUE,IF(OR(JT$14="No",JT291=FALSE,$JH293&lt;=$JH291),0,IF(JT$8="Per Line",1,$AF293)),0)),IF($IB291=TRUE,IF(OR(JT$14="No",JT291=FALSE,$JH293&lt;=$JH291),0,IF(JT$8="Per Line",1,$AF293)))),0)</f>
        <v>0</v>
      </c>
      <c r="JU293" s="1061"/>
      <c r="JV293" s="1670">
        <f>IFERROR(IF(__Retrofit_TI_NC=0,IF(_kWh_Grant=0,0,IF($IB291=TRUE,IF(OR(JV$14="No",JV291=FALSE,$JH293&lt;=$JH291),0,IF(JV$8="Per Line",1,$AF293)),0)),IF($IB291=TRUE,IF(OR(JV$14="No",JV291=FALSE,$JH293&lt;=$JH291),0,IF(JV$8="Per Line",1,$AF293)))),0)</f>
        <v>0</v>
      </c>
      <c r="JX293" s="1670">
        <f>IFERROR(IF(__Retrofit_TI_NC=0,IF(_kWh_Grant=0,0,IF($IB291=TRUE,IF(OR(JX$14="No",JX291=FALSE,$JH293&lt;=$JH291),0,IF(JX$8="Per Line",1,$AF293)),0)),IF($IB291=TRUE,IF(OR(JX$14="No",JX291=FALSE,$JH293&lt;=$JH291),0,IF(JX$8="Per Line",1,$AF293)))),0)</f>
        <v>0</v>
      </c>
      <c r="JZ293" s="1670">
        <f>IFERROR(IF($IB291=TRUE,IF(OR(JZ$14="No",JZ291=FALSE,$JH293&lt;=$JH291,AND(_kWh_Grant=0,$GD291=FALSE)),0,IF(JZ$8="Per Line",1,$AF293)),0),0)</f>
        <v>0</v>
      </c>
      <c r="KB293" s="1670">
        <f>IFERROR(IF(__Retrofit_TI_NC=0,IF(_kWh_Grant=0,0,IF($IB291=TRUE,IF(OR(KB$14="No",KB291=FALSE,$JH293&lt;=$JH291),0,IF(KB$8="Per Line",1,$AF293)),0)),IF($IB291=TRUE,IF(OR(KB$14="No",KB291=FALSE,$JH293&lt;=$JH291),0,IF(KB$8="Per Line",1,$AF293)))),0)</f>
        <v>0</v>
      </c>
    </row>
    <row r="294" spans="1:288" s="78" customFormat="1" ht="14.95" customHeight="1" thickTop="1" thickBot="1">
      <c r="B294" s="1845"/>
      <c r="C294" s="1846"/>
      <c r="D294" s="1847"/>
      <c r="E294" s="1771" t="s">
        <v>436</v>
      </c>
      <c r="F294" s="1772"/>
      <c r="G294" s="1784" t="s">
        <v>437</v>
      </c>
      <c r="H294" s="1785"/>
      <c r="I294" s="1785"/>
      <c r="J294" s="1785"/>
      <c r="K294" s="1785"/>
      <c r="L294" s="1786"/>
      <c r="M294" s="591">
        <f>IFERROR(VLOOKUP(G294,_Daylight_Table[],2,FALSE),0)</f>
        <v>0</v>
      </c>
      <c r="N294" s="592" t="str">
        <f>IF(AND(__Retrofit_TI_NC&gt;0,CQ291="Interior"),"BAM","")</f>
        <v/>
      </c>
      <c r="O294" s="591" t="e">
        <f>VLOOKUP(G293,'Space Table'!$B$3:$L$163,11,FALSE)</f>
        <v>#N/A</v>
      </c>
      <c r="P294" s="1789"/>
      <c r="Q294" s="1790"/>
      <c r="R294" s="1790"/>
      <c r="S294" s="1788"/>
      <c r="T294" s="593" t="s">
        <v>342</v>
      </c>
      <c r="U294" s="1756" t="str" cm="1">
        <f t="array" aca="1" ref="U294" ca="1">IFERROR(VLOOKUP(INDIRECT("U" &amp; ROW()-1),Fixtures!DM$93:DP$142,4,FALSE),"")</f>
        <v/>
      </c>
      <c r="V294" s="1757"/>
      <c r="W294" s="1757"/>
      <c r="X294" s="1757"/>
      <c r="Y294" s="1757"/>
      <c r="Z294" s="1757"/>
      <c r="AA294" s="1758"/>
      <c r="AB294" s="939" t="str">
        <f>IFERROR(VLOOKUP(U293,Fixtures_Proposed_List,2,FALSE),"")</f>
        <v/>
      </c>
      <c r="AC294" s="933" t="str">
        <f>IFERROR(ROUND(T293*AB294*N292*R292/1000,0),"")</f>
        <v/>
      </c>
      <c r="AD294" s="934" t="str">
        <f>IFERROR(ROUND(T293*AB294/1000,2),"")</f>
        <v/>
      </c>
      <c r="AE294" s="998"/>
      <c r="AF294" s="938" t="s">
        <v>342</v>
      </c>
      <c r="AG294" s="1770"/>
      <c r="AH294" s="1770"/>
      <c r="AI294" s="1770"/>
      <c r="AJ294" s="1770"/>
      <c r="AK294" s="1770"/>
      <c r="AL294" s="1770"/>
      <c r="AM294" s="1727"/>
      <c r="AN294" s="1729"/>
      <c r="AO294" s="1731"/>
      <c r="AP294" s="1782"/>
      <c r="AQ294" s="1783"/>
      <c r="AR294" s="1797"/>
      <c r="AS294" s="1797"/>
      <c r="AT294" s="1798"/>
      <c r="AU294" s="1736"/>
      <c r="AV294" s="1753"/>
      <c r="AW294" s="1706"/>
      <c r="AX294" s="468"/>
      <c r="AY294" s="1750"/>
      <c r="AZ294" s="1750"/>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696"/>
      <c r="CQ294" s="1696"/>
      <c r="CR294" s="1809"/>
      <c r="CS294" s="1811"/>
      <c r="CU294" s="1688"/>
      <c r="CV294" s="1703"/>
      <c r="CW294" s="1703"/>
      <c r="CX294" s="1813"/>
      <c r="CY294" s="1815"/>
      <c r="CZ294" s="1711"/>
      <c r="DA294" s="1815"/>
      <c r="DB294" s="1821"/>
      <c r="DC294" s="1821"/>
      <c r="DD294" s="1821"/>
      <c r="DF294" s="1703"/>
      <c r="DG294" s="1831"/>
      <c r="DH294" s="1813"/>
      <c r="DI294" s="1838"/>
      <c r="DJ294" s="1711"/>
      <c r="DK294" s="1712"/>
      <c r="DN294" s="1718"/>
      <c r="DO294" s="1709"/>
      <c r="DQ294" s="1715"/>
      <c r="DR294" s="1720"/>
      <c r="DS294" s="1703"/>
      <c r="DT294" s="1714"/>
      <c r="DU294" s="1715"/>
      <c r="DV294" s="1716"/>
      <c r="DX294" s="1715"/>
      <c r="DY294" s="1720"/>
      <c r="DZ294" s="1715"/>
      <c r="EA294" s="1715"/>
      <c r="EC294" s="1834"/>
      <c r="ED294" s="1834"/>
      <c r="EF294" s="1707"/>
      <c r="EG294" s="1712"/>
      <c r="EH294" s="1815"/>
      <c r="EI294" s="1712"/>
      <c r="EJ294" s="1712"/>
      <c r="EK294" s="1813"/>
      <c r="EL294" s="1813"/>
      <c r="EM294" s="1807"/>
      <c r="EN294" s="1839"/>
      <c r="EO294" s="1839"/>
      <c r="EP294" s="1817"/>
      <c r="EQ294" s="1817"/>
      <c r="ER294" s="1807"/>
      <c r="ES294" s="1807"/>
      <c r="ET294" s="1807"/>
      <c r="EV294" s="1715"/>
      <c r="EX294" s="1806"/>
      <c r="EY294" s="1806"/>
      <c r="EZ294" s="1806"/>
      <c r="FA294" s="1806"/>
      <c r="FB294" s="1806"/>
      <c r="FC294" s="1828"/>
      <c r="FE294" s="1698"/>
      <c r="FG294" s="1703"/>
      <c r="FH294" s="1703"/>
      <c r="FI294" s="133"/>
      <c r="FL294" s="1823"/>
      <c r="FM294" s="1825"/>
      <c r="FN294" s="1698"/>
      <c r="FO294" s="1698"/>
      <c r="FP294" s="1678"/>
      <c r="FQ294" s="1698"/>
      <c r="FS294" s="1687"/>
      <c r="FT294" s="1687"/>
      <c r="FU294" s="1685"/>
      <c r="FV294" s="1687"/>
      <c r="FW294" s="1687"/>
      <c r="FX294" s="1687"/>
      <c r="FY294" s="1697"/>
      <c r="GA294" s="1696"/>
      <c r="GB294" s="1696"/>
      <c r="GC294" s="1696"/>
      <c r="GD294" s="1696"/>
      <c r="GE294" s="1696"/>
      <c r="GF294" s="1696"/>
      <c r="GG294" s="1696"/>
      <c r="GH294" s="1696"/>
      <c r="GI294" s="673"/>
      <c r="GJ294" s="1135"/>
      <c r="GK294" s="1832"/>
      <c r="GN294" s="674">
        <f>IF(GN292=TRUE,0,GN$16)</f>
        <v>0</v>
      </c>
      <c r="GP294" s="674">
        <f>IF(GP292=TRUE,0,GP$16)</f>
        <v>36</v>
      </c>
      <c r="GQ294" s="674">
        <f ca="1">IF(GQ292=TRUE,0,GQ$16)</f>
        <v>35</v>
      </c>
      <c r="GR294" s="391"/>
      <c r="GS294" s="391"/>
      <c r="GT294" s="391"/>
      <c r="GU294" s="391"/>
      <c r="GV294" s="391"/>
      <c r="HG294" s="674">
        <f>IF(HG292=TRUE,0,HG$16)</f>
        <v>0</v>
      </c>
      <c r="HH294" s="674">
        <f t="shared" ref="HH294:HM294" si="253">IF(HH292=TRUE,0,HH$16)</f>
        <v>19</v>
      </c>
      <c r="HI294" s="674">
        <f t="shared" si="253"/>
        <v>18</v>
      </c>
      <c r="HJ294" s="674">
        <f t="shared" si="253"/>
        <v>17</v>
      </c>
      <c r="HK294" s="674">
        <f t="shared" si="253"/>
        <v>16</v>
      </c>
      <c r="HL294" s="674">
        <f t="shared" si="253"/>
        <v>0</v>
      </c>
      <c r="HM294" s="674">
        <f t="shared" si="253"/>
        <v>0</v>
      </c>
      <c r="HN294" s="674">
        <f>IF(HN292=TRUE,0,HN$16)</f>
        <v>13</v>
      </c>
      <c r="HO294" s="674">
        <f t="shared" ref="HO294:HQ294" si="254">IF(HO292=TRUE,0,HO$16)</f>
        <v>0</v>
      </c>
      <c r="HP294" s="674">
        <f t="shared" si="254"/>
        <v>0</v>
      </c>
      <c r="HQ294" s="674">
        <f t="shared" si="254"/>
        <v>10</v>
      </c>
      <c r="HR294" s="674">
        <f>IF(HR292=TRUE,0,HR$16)</f>
        <v>9</v>
      </c>
      <c r="HS294" s="674">
        <f t="shared" ref="HS294:HW294" si="255">IF(HS292=TRUE,0,HS$16)</f>
        <v>0</v>
      </c>
      <c r="HT294" s="674">
        <f t="shared" si="255"/>
        <v>0</v>
      </c>
      <c r="HU294" s="674">
        <f t="shared" si="255"/>
        <v>0</v>
      </c>
      <c r="HV294" s="674">
        <f t="shared" si="255"/>
        <v>0</v>
      </c>
      <c r="HW294" s="674">
        <f t="shared" si="255"/>
        <v>0</v>
      </c>
      <c r="HX294" s="674">
        <f>IF(HX292=TRUE,0,HX$16)</f>
        <v>0</v>
      </c>
      <c r="HY294" s="674">
        <f>IF(HY292=TRUE,0,HY$16)</f>
        <v>0</v>
      </c>
      <c r="HZ294" s="674">
        <f>IF(HZ292=TRUE,0,HZ$16)</f>
        <v>1</v>
      </c>
      <c r="IB294" s="674">
        <f>IF(GP292=FALSE,GP294,IF(GQ292=FALSE,GQ294,MAX(GN294:HZ294)))</f>
        <v>36</v>
      </c>
      <c r="IC294" s="1692"/>
      <c r="ID294" s="205" t="str">
        <f>VLOOKUP(IB294,_Error_Table,3,FALSE)</f>
        <v xml:space="preserve"> </v>
      </c>
      <c r="IE294" s="205"/>
      <c r="IF294" s="1688"/>
      <c r="IG294" s="1689"/>
      <c r="IH294" s="1684"/>
      <c r="IK294" s="1689"/>
      <c r="IL294" s="1692"/>
      <c r="IM294" s="1692"/>
      <c r="IN294" s="1692"/>
      <c r="IP294" s="1679"/>
      <c r="IQ294" s="1679"/>
      <c r="IR294" s="1679"/>
      <c r="IS294" s="1679"/>
      <c r="IT294" s="1679"/>
      <c r="IU294" s="1679"/>
      <c r="IV294" s="1679"/>
      <c r="IW294" s="1679"/>
      <c r="IX294" s="1679"/>
      <c r="IY294" s="1679"/>
      <c r="IZ294" s="1679"/>
      <c r="JA294" s="1679"/>
      <c r="JC294" s="1680"/>
      <c r="JD294" s="1670"/>
      <c r="JE294" s="1681"/>
      <c r="JG294" s="1680"/>
      <c r="JH294" s="1670"/>
      <c r="JI294" s="1060"/>
      <c r="JJ294" s="1670"/>
      <c r="JK294" s="1061"/>
      <c r="JL294" s="1670"/>
      <c r="JM294" s="1061"/>
      <c r="JN294" s="1670"/>
      <c r="JO294" s="1061"/>
      <c r="JP294" s="1670"/>
      <c r="JQ294" s="1061"/>
      <c r="JR294" s="1670"/>
      <c r="JS294" s="1061"/>
      <c r="JT294" s="1670"/>
      <c r="JU294" s="1061"/>
      <c r="JV294" s="1670"/>
      <c r="JX294" s="1670"/>
      <c r="JZ294" s="1670"/>
      <c r="KB294" s="1670"/>
    </row>
    <row r="295" spans="1:288" s="78" customFormat="1" ht="5.0999999999999996" customHeight="1">
      <c r="B295" s="676"/>
      <c r="C295" s="392"/>
      <c r="D295" s="392"/>
      <c r="E295" s="1733"/>
      <c r="F295" s="1733"/>
      <c r="G295" s="1733"/>
      <c r="H295" s="1733"/>
      <c r="I295" s="1733"/>
      <c r="J295" s="1733"/>
      <c r="K295" s="1733"/>
      <c r="L295" s="1733"/>
      <c r="M295" s="1733"/>
      <c r="N295" s="1733"/>
      <c r="O295" s="1733"/>
      <c r="P295" s="1733"/>
      <c r="Q295" s="1733"/>
      <c r="R295" s="1733"/>
      <c r="S295" s="1733"/>
      <c r="T295" s="1733"/>
      <c r="U295" s="1733"/>
      <c r="V295" s="1733"/>
      <c r="W295" s="1733"/>
      <c r="X295" s="1733"/>
      <c r="Y295" s="1733"/>
      <c r="Z295" s="1733"/>
      <c r="AA295" s="1733"/>
      <c r="AB295" s="1733"/>
      <c r="AC295" s="1733"/>
      <c r="AD295" s="1733"/>
      <c r="AE295" s="1733"/>
      <c r="AF295" s="1733"/>
      <c r="AG295" s="1733"/>
      <c r="AH295" s="1733"/>
      <c r="AI295" s="1733"/>
      <c r="AJ295" s="1733"/>
      <c r="AK295" s="1733"/>
      <c r="AL295" s="1733"/>
      <c r="AM295" s="1733"/>
      <c r="AN295" s="1733"/>
      <c r="AO295" s="1733"/>
      <c r="AP295" s="1733"/>
      <c r="AQ295" s="1733"/>
      <c r="AR295" s="1733"/>
      <c r="AS295" s="1733"/>
      <c r="AT295" s="1733"/>
      <c r="AU295" s="1733"/>
      <c r="AV295" s="1733"/>
      <c r="AW295" s="1733"/>
      <c r="AX295" s="469"/>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663"/>
      <c r="CQ295" s="663"/>
      <c r="CR295" s="438"/>
      <c r="CS295" s="663"/>
      <c r="CV295" s="391"/>
      <c r="CW295" s="391"/>
      <c r="CX295" s="207"/>
      <c r="CY295" s="208"/>
      <c r="CZ295" s="208"/>
      <c r="DA295" s="208"/>
      <c r="DB295" s="209"/>
      <c r="DC295" s="209"/>
      <c r="DD295" s="209"/>
      <c r="DF295" s="664"/>
      <c r="DG295" s="665"/>
      <c r="DH295" s="666"/>
      <c r="DI295" s="667"/>
      <c r="DJ295" s="668"/>
      <c r="DK295" s="668"/>
      <c r="DN295" s="208"/>
      <c r="DO295" s="664"/>
      <c r="DQ295" s="664"/>
      <c r="DR295" s="669"/>
      <c r="DS295" s="391"/>
      <c r="DT295" s="664"/>
      <c r="DU295" s="664"/>
      <c r="DV295" s="664"/>
      <c r="DX295" s="664"/>
      <c r="DY295" s="664"/>
      <c r="DZ295" s="664"/>
      <c r="EA295" s="664"/>
      <c r="EC295" s="670"/>
      <c r="ED295" s="670"/>
      <c r="EF295" s="668"/>
      <c r="EG295" s="668"/>
      <c r="EH295" s="208"/>
      <c r="EI295" s="668"/>
      <c r="EJ295" s="668"/>
      <c r="EK295" s="207"/>
      <c r="EL295" s="207"/>
      <c r="EM295" s="666"/>
      <c r="EN295" s="671"/>
      <c r="EO295" s="671"/>
      <c r="EP295" s="672"/>
      <c r="EQ295" s="672"/>
      <c r="ER295" s="666"/>
      <c r="ES295" s="666"/>
      <c r="ET295" s="666"/>
      <c r="EV295" s="664"/>
      <c r="EX295" s="391"/>
      <c r="EY295" s="391"/>
      <c r="EZ295" s="391"/>
      <c r="FA295" s="391"/>
      <c r="FB295" s="391"/>
      <c r="FC295" s="391"/>
      <c r="FE295" s="569"/>
      <c r="FG295" s="391"/>
      <c r="FH295" s="391"/>
      <c r="FI295" s="391"/>
      <c r="FS295" s="664"/>
      <c r="FT295" s="391"/>
      <c r="FU295" s="391"/>
      <c r="FV295" s="664"/>
      <c r="FW295" s="664"/>
      <c r="GA295" s="663"/>
      <c r="GB295" s="663"/>
      <c r="GC295" s="663"/>
      <c r="GD295" s="663"/>
      <c r="GE295" s="663"/>
      <c r="GF295" s="663"/>
      <c r="GG295" s="663"/>
      <c r="GH295" s="663"/>
      <c r="GI295" s="665"/>
      <c r="GJ295" s="664"/>
      <c r="GK295" s="664"/>
    </row>
    <row r="296" spans="1:288" s="78" customFormat="1" ht="14.95" customHeight="1">
      <c r="B296" s="1845" t="str">
        <f>ID299</f>
        <v xml:space="preserve"> </v>
      </c>
      <c r="C296" s="1846">
        <f>C291+1</f>
        <v>49</v>
      </c>
      <c r="D296" s="1847"/>
      <c r="E296" s="1799" t="s">
        <v>295</v>
      </c>
      <c r="F296" s="1800"/>
      <c r="G296" s="1741"/>
      <c r="H296" s="1742"/>
      <c r="I296" s="1742"/>
      <c r="J296" s="1742"/>
      <c r="K296" s="1742"/>
      <c r="L296" s="1742"/>
      <c r="M296" s="1742"/>
      <c r="N296" s="1742"/>
      <c r="O296" s="1742"/>
      <c r="P296" s="1742"/>
      <c r="Q296" s="1742"/>
      <c r="R296" s="1742"/>
      <c r="S296" s="1791" t="s">
        <v>344</v>
      </c>
      <c r="T296" s="590"/>
      <c r="U296" s="1743"/>
      <c r="V296" s="1744"/>
      <c r="W296" s="1744"/>
      <c r="X296" s="1744"/>
      <c r="Y296" s="1744"/>
      <c r="Z296" s="1744"/>
      <c r="AA296" s="1744"/>
      <c r="AB296" s="961" t="str">
        <f>IFERROR(IF(__Retrofit_TI_NC=0,VLOOKUP(U297,Fixtures_Existing_List,2,FALSE),ROUND(N298*R298/T298,10)),"")</f>
        <v/>
      </c>
      <c r="AC296" s="935" t="str">
        <f>IFERROR(IF(__Retrofit_TI_NC=0,ROUND(T297*AB296*N297*R297/1000,0),IF(CQ296="Interior",N298*R298*R297*N297*_C406_reduction/1000,N298*R298*R297*N297/1000)),"")</f>
        <v/>
      </c>
      <c r="AD296" s="936" t="str">
        <f>IFERROR(IF(C$43=0,ROUND(T297*AB296/1000,2),N298*R298/1000),"")</f>
        <v/>
      </c>
      <c r="AE296" s="997"/>
      <c r="AF296" s="937"/>
      <c r="AG296" s="1745" t="str">
        <f>IF(__Retrofit_TI_NC=0," Control","Select Advanced Control for New System")</f>
        <v xml:space="preserve"> Control</v>
      </c>
      <c r="AH296" s="1745"/>
      <c r="AI296" s="1745"/>
      <c r="AJ296" s="1745"/>
      <c r="AK296" s="1745"/>
      <c r="AL296" s="1745"/>
      <c r="AM296" s="1746">
        <f>IFERROR(DI296,"")</f>
        <v>0</v>
      </c>
      <c r="AN296" s="1774" t="str">
        <f>IFERROR(ROUND(AM296*AC296,0),"")</f>
        <v/>
      </c>
      <c r="AO296" s="1776">
        <f>IFERROR(IF(IB296=FALSE,0,AC296-AN296),0)</f>
        <v>0</v>
      </c>
      <c r="AP296" s="1778">
        <f>AO296-AO298</f>
        <v>0</v>
      </c>
      <c r="AQ296" s="1779"/>
      <c r="AR296" s="1793">
        <f>IFERROR(IF(IB296=FALSE,0,(T298*U299)+(AF298*AG299)),0)</f>
        <v>0</v>
      </c>
      <c r="AS296" s="1793"/>
      <c r="AT296" s="1794"/>
      <c r="AU296" s="1734" t="s">
        <v>237</v>
      </c>
      <c r="AV296" s="1751">
        <f>IF(AU296="Yes",1,0)</f>
        <v>1</v>
      </c>
      <c r="AW296" s="1704" t="str">
        <f>IF(OR(DQ296=4,DQ296=5,DQ296=6,DQ296=12),CONCATENATE("$",IF(GH296=TRUE,Lookup!$K$10,Lookup!$K$2)," /lamp"),CONCATENATE(TEXT(ED296,"$0.00"),"/ kWh"))</f>
        <v>$0.00/ kWh</v>
      </c>
      <c r="AX296" s="467"/>
      <c r="AY296" s="1748">
        <f ca="1">IFERROR(IF(GM297=TRUE,(AB299*T298)/R298,0),"NA")</f>
        <v>0</v>
      </c>
      <c r="AZ296" s="1748"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696" t="str">
        <f>N297</f>
        <v/>
      </c>
      <c r="CQ296" s="1696" t="str">
        <f>IFERROR(VLOOKUP(G297,_Lookup_Heat_Type_Table_New,3,FALSE),"")</f>
        <v/>
      </c>
      <c r="CR296" s="1808" t="str">
        <f>CQ296</f>
        <v/>
      </c>
      <c r="CS296" s="1810" t="str">
        <f>IFERROR(VLOOKUP(G298,'Space Table'!$B$3:$L$163,9,FALSE),"")</f>
        <v/>
      </c>
      <c r="CU296" s="1688" t="s">
        <v>344</v>
      </c>
      <c r="CV296" s="1702">
        <f>IF(IB296=TRUE,T297,0)</f>
        <v>0</v>
      </c>
      <c r="CW296" s="1702" t="str">
        <f>IF(IB296=TRUE,U297,"")</f>
        <v/>
      </c>
      <c r="CX296" s="1702"/>
      <c r="CY296" s="1814">
        <f>IF(IB296=TRUE,AB296,0)</f>
        <v>0</v>
      </c>
      <c r="CZ296" s="1710">
        <f>IF(AND(__Retrofit_TI_NC&gt;0,CR296="interior"),0,IF(IB296=TRUE,AC296,0))</f>
        <v>0</v>
      </c>
      <c r="DA296" s="1814">
        <f>IFERROR(IF(IB296=TRUE,CZ296-CZ298,0),0)</f>
        <v>0</v>
      </c>
      <c r="DB296" s="1819">
        <f>IF(IB296=TRUE,AD296,0)</f>
        <v>0</v>
      </c>
      <c r="DC296" s="1819">
        <f>IF(IB296=TRUE,AD299,0)</f>
        <v>0</v>
      </c>
      <c r="DD296" s="1819">
        <f>IFERROR(DB296-DC296,0)</f>
        <v>0</v>
      </c>
      <c r="DF296" s="1702">
        <f>IF(IB296=TRUE,AF297,0)</f>
        <v>0</v>
      </c>
      <c r="DG296" s="1830">
        <f>IFERROR(IF(__Retrofit_TI_NC=2,IF(CQ296="Exterior",O299,FQ296),FN296),"")</f>
        <v>0</v>
      </c>
      <c r="DH296" s="1702"/>
      <c r="DI296" s="1837">
        <f>JE296</f>
        <v>0</v>
      </c>
      <c r="DJ296" s="1710">
        <f>IF(AND(__Retrofit_TI_NC&gt;0,CR296="interior"),0,IF(IB296=TRUE,AN296,0))</f>
        <v>0</v>
      </c>
      <c r="DK296" s="1712">
        <f>IFERROR(IF(IB296=TRUE,DJ298-DJ296,0),0)</f>
        <v>0</v>
      </c>
      <c r="DM296" s="1717">
        <f>IFERROR(CZ296-DJ296,0)</f>
        <v>0</v>
      </c>
      <c r="DO296" s="1708">
        <f>DM296-DN298</f>
        <v>0</v>
      </c>
      <c r="DQ296" s="1715" t="str">
        <f>IFERROR(IF(AND(OR(GC296=4,GC296=5,GC296=6),OR(GF296=4,GF296=5,GF296=6)),GC296+8,VLOOKUP(CW298,Fixtures!R$31:Y$78,8,FALSE)),"")</f>
        <v/>
      </c>
      <c r="DR296" s="1829" t="str">
        <f>DQ296</f>
        <v/>
      </c>
      <c r="DS296" s="1702" t="str">
        <f>IFERROR(VLOOKUP(DG298,Lookup!BB$3:BC$20,2,FALSE),"")</f>
        <v/>
      </c>
      <c r="DT296" s="1713" t="str">
        <f>IF(OR(DS296=7,DS296=8,DS296=9),"ALC","")</f>
        <v/>
      </c>
      <c r="DU296" s="1715">
        <f>IFERROR(IF(OR(DQ296=4,DQ296=5,DQ296=6,DQ296=12,DQ296=13,DQ296=14),VLOOKUP(CW298,Fixtures!DN$27:EG$77,19,FALSE),1)*CV298,0)</f>
        <v>0</v>
      </c>
      <c r="DV296" s="1716">
        <f>IF(OR(DS296=7,DS296=8,DS296=9),IF(DG296=DG298,0,DF298),0)</f>
        <v>0</v>
      </c>
      <c r="DX296" s="1715" t="str">
        <f>IFERROR(IF(EZ296&lt;EZ298,"Yes","No"),"")</f>
        <v/>
      </c>
      <c r="DY296" s="1829" t="str">
        <f>DX296</f>
        <v/>
      </c>
      <c r="DZ296" s="1715">
        <f>IF(DX296="Yes",DF298,0)</f>
        <v>0</v>
      </c>
      <c r="EA296" s="1715">
        <f>DZ296-DV296</f>
        <v>0</v>
      </c>
      <c r="EC296" s="1834">
        <f>IFERROR(VLOOKUP(DQ296,Lookup!AU$3:AV$16,2,FALSE),0)</f>
        <v>0</v>
      </c>
      <c r="ED296" s="1834">
        <f>IF(IB296=FALSE,0,IF(DX296="Yes",EC296+Lookup!K$6,EC296))</f>
        <v>0</v>
      </c>
      <c r="EF296" s="1707">
        <f>IF(IB296=TRUE,DM296,0)</f>
        <v>0</v>
      </c>
      <c r="EG296" s="1712">
        <f>IF(IB296=TRUE,CZ298,0)</f>
        <v>0</v>
      </c>
      <c r="EH296" s="1814">
        <f>IFERROR(EF296-EG296,0)</f>
        <v>0</v>
      </c>
      <c r="EI296" s="1712">
        <f>IF(IB296=TRUE,DJ298,0)</f>
        <v>0</v>
      </c>
      <c r="EJ296" s="1712">
        <f>IFERROR(EF296-EG296+EI296,0)</f>
        <v>0</v>
      </c>
      <c r="EK296" s="1812">
        <f>IF(IB296=TRUE,CV298*CX298,0)</f>
        <v>0</v>
      </c>
      <c r="EL296" s="1812">
        <f>IF(IB296=TRUE,DF298*DH298,0)</f>
        <v>0</v>
      </c>
      <c r="EM296" s="1807">
        <f>AR296</f>
        <v>0</v>
      </c>
      <c r="EN296" s="1839" t="str">
        <f>IFERROR(IF(IB296=TRUE,VLOOKUP(DQ296,Lookup!AU$3:AW$16,3,FALSE)*DU296,""),0)</f>
        <v/>
      </c>
      <c r="EO296" s="1839">
        <f>IF(IB296=TRUE,DZ296*Lookup!AW$12,0)</f>
        <v>0</v>
      </c>
      <c r="EP296" s="1817">
        <f>IFERROR(IF(IB296=TRUE,EN296/EP$40,0),0)</f>
        <v>0</v>
      </c>
      <c r="EQ296" s="1817">
        <f>IF(IB296=TRUE,EO296/EQ$40,0)</f>
        <v>0</v>
      </c>
      <c r="ER296" s="1807">
        <f>IF(IB296=TRUE,ET$40*EP296,0)</f>
        <v>0</v>
      </c>
      <c r="ES296" s="1807">
        <f>IF(IB296=TRUE,ET$40*EQ296,0)</f>
        <v>0</v>
      </c>
      <c r="ET296" s="1807">
        <f>ER296+ES296</f>
        <v>0</v>
      </c>
      <c r="EV296" s="1715">
        <f>IF(G296="",0,1)</f>
        <v>0</v>
      </c>
      <c r="EX296" s="1804" t="str">
        <f>IFERROR(VLOOKUP(CS298,'Space Table'!$B$3:$L$163,8,FALSE),"")</f>
        <v/>
      </c>
      <c r="EY296" s="1804" t="str">
        <f>IFERROR(IF(FB296="Yes",VLOOKUP(DG296,Lookup_Control_Type_Table2,4,FALSE),VLOOKUP(DG296,Lookup_Control_Type_Table2,3,FALSE)),"")</f>
        <v/>
      </c>
      <c r="EZ296" s="1804" t="e">
        <f>VLOOKUP(DG296,Lookup!BB$3:BC$20,2,FALSE)</f>
        <v>#N/A</v>
      </c>
      <c r="FA296" s="1804" t="e">
        <f>VLOOKUP(EX296,Lookup_Control_Type_Table,2,FALSE)</f>
        <v>#N/A</v>
      </c>
      <c r="FB296" s="1804" t="e">
        <f>VLOOKUP(CS298,'Space Table'!$B$3:$L$163,7,FALSE)</f>
        <v>#N/A</v>
      </c>
      <c r="FC296" s="1826" t="b">
        <f>ISNUMBER(SEARCH("TLED",U298))</f>
        <v>0</v>
      </c>
      <c r="FE296" s="1698" t="str">
        <f>CONCATENATE(CQ296," - ",DG296)</f>
        <v xml:space="preserve"> - 0</v>
      </c>
      <c r="FG296" s="1702" t="str">
        <f>VLOOKUP(CW298,Fixtures!DN$27:EZ$77,38,FALSE)</f>
        <v/>
      </c>
      <c r="FH296" s="1702">
        <f>IFERROR(FG296*EH296,0)</f>
        <v>0</v>
      </c>
      <c r="FI296" s="133"/>
      <c r="FL296" s="1822" t="str">
        <f>IF(CQ296="Exterior","Not Daylighted",G299)</f>
        <v>Not Daylighted</v>
      </c>
      <c r="FM296" s="1824">
        <f>VLOOKUP(FL296,_New_Daylight_Table_Codes,2,FALSE)</f>
        <v>0</v>
      </c>
      <c r="FN296" s="1698">
        <f>IF(__Retrofit_TI_NC&gt;0,VLOOKUP(G298,'Space Table'!$B$3:$L$163,11,FALSE),AG297)</f>
        <v>0</v>
      </c>
      <c r="FO296" s="1698" t="e">
        <f>IF(__Retrofit_TI_NC=2,VLOOKUP(FQ296,_Control_Table,2,FALSE),VLOOKUP(FN296,_Control_Table,2,FALSE))</f>
        <v>#N/A</v>
      </c>
      <c r="FP296" s="1678" t="e">
        <f>VLOOKUP(CONCATENATE(FL296," ",FN296),Lookup!AY$102:AZ306,2,FALSE)</f>
        <v>#N/A</v>
      </c>
      <c r="FQ296" s="1678">
        <f>IF(__Retrofit_TI_NC=0,FN296,IF(AND(FT296&gt;0,FN296="Occupancy Sensor"),"Daylight + Occupancy",IF(AND(FT296&gt;0,VLOOKUP(FN296,_Control_Table,2,FALSE)&lt;4),"Interior Daylight Dimming",FN296)))</f>
        <v>0</v>
      </c>
      <c r="FS296" s="1686">
        <f>IF(CR296="Interior",VLOOKUP(CS296,Control_Savings_Interior,5,FALSE),0)</f>
        <v>0</v>
      </c>
      <c r="FT296" s="1687">
        <f>IF(CQ296="Exterior",0,IF(FM296=2,0.5,IF(OR(FM296=1,FM296=3),1,0)))</f>
        <v>0</v>
      </c>
      <c r="FU296" s="1685">
        <f>IF(R295&gt;FS$44,(FS296*(FS$44/R295)),FS296)*FT296</f>
        <v>0</v>
      </c>
      <c r="FV296" s="1686">
        <f>DI296</f>
        <v>0</v>
      </c>
      <c r="FW296" s="1686">
        <f>ROUND(FV296+((1-FV296)*FU296),2)</f>
        <v>0</v>
      </c>
      <c r="FX296" s="1686">
        <f>IF(__Retrofit_TI_NC=2,FW296,FV296)</f>
        <v>0</v>
      </c>
      <c r="FY296" s="1697"/>
      <c r="GA296" s="1696" t="str">
        <f>IFERROR(VLOOKUP(U297,_Exist_Fixture_Table,3,FALSE),"")</f>
        <v/>
      </c>
      <c r="GB296" s="1696" t="str">
        <f>VLOOKUP(CW296,_Exist_Fixture_Table,4,FALSE)</f>
        <v/>
      </c>
      <c r="GC296" s="1696">
        <f>IFERROR(VLOOKUP(GB296,Lookup!AT$6:AU$8,2,FALSE),0)</f>
        <v>0</v>
      </c>
      <c r="GD296" s="1696" t="b">
        <f>IFERROR(IF(OR(GF296=4,GF296=5,GF296=6),TRUE,FALSE),"")</f>
        <v>0</v>
      </c>
      <c r="GE296" s="1696" t="str">
        <f>IFERROR(VLOOKUP(GF296,GC$6:GD$10,2,FALSE),"")</f>
        <v/>
      </c>
      <c r="GF296" s="1696" t="str">
        <f>VLOOKUP(CW298,Fixtures!R$31:Y$78,8,FALSE)</f>
        <v/>
      </c>
      <c r="GG296" s="1696">
        <f>IF(AND(GA296=TRUE,GD296=TRUE,OR(DQ296=12,DQ296=13,DQ296=14)),GC296+8,0)</f>
        <v>0</v>
      </c>
      <c r="GH296" s="1696" t="b">
        <f>IF(OR(GG296=12,GG296=13,GG296=14),TRUE,FALSE)</f>
        <v>0</v>
      </c>
      <c r="GI296" s="673" t="b">
        <f>IF(ISNUMBER(SEARCH("TLED",U297)),TRUE,FALSE)</f>
        <v>0</v>
      </c>
      <c r="GJ296" s="1135" t="str">
        <f>IFERROR(VLOOKUP(U297,Fixtures!BM$93:BR$142,6,FALSE),"")</f>
        <v/>
      </c>
      <c r="GK296" s="1832" t="b">
        <f>IF(OR(GI296=FALSE,GI298=FALSE),TRUE,IF(GJ296-GJ298&lt;5,FALSE,TRUE))</f>
        <v>1</v>
      </c>
      <c r="GO296" s="674">
        <f>GP296</f>
        <v>0</v>
      </c>
      <c r="GP296" s="674">
        <f>IF(G296="",0,1)</f>
        <v>0</v>
      </c>
      <c r="GQ296" s="674">
        <f ca="1">SUM(GR296:HF296)</f>
        <v>2</v>
      </c>
      <c r="GR296" s="674">
        <f>IF(G297="",0,1)</f>
        <v>0</v>
      </c>
      <c r="GS296" s="674">
        <f>IF(N299="BAM",1,IF(G298="",0,1))</f>
        <v>0</v>
      </c>
      <c r="GT296" s="674">
        <f>IF(N299="BAM",1,IF(R297="",0,1))</f>
        <v>0</v>
      </c>
      <c r="GU296" s="674">
        <f>IF(N299="BAM",1,IF(__Retrofit_TI_NC=0,1,IF(R298="",0,1)))</f>
        <v>1</v>
      </c>
      <c r="GV296" s="674">
        <f>IF(N299="BAM",1,IF(CQ296="Exterior",1,IF(G299="",0,1)))</f>
        <v>1</v>
      </c>
      <c r="GW296" s="674">
        <f>IF(__Retrofit_TI_NC&gt;0,1,IF(T297="",0,1))</f>
        <v>0</v>
      </c>
      <c r="GX296" s="674">
        <f>IF(__Retrofit_TI_NC&gt;0,1,IF(U297="",0,1))</f>
        <v>0</v>
      </c>
      <c r="GY296" s="674">
        <f>IF(N299="BAM",1,IF(T298="",0,1))</f>
        <v>0</v>
      </c>
      <c r="GZ296" s="674">
        <f>IF(N299="BAM",1,IF(U298="",0,1))</f>
        <v>0</v>
      </c>
      <c r="HA296" s="674">
        <f ca="1">IF(N299="BAM",1,IF(__Retrofit_TI_NC&gt;0,1,IF(U299="",0,1)))</f>
        <v>0</v>
      </c>
      <c r="HB296" s="674">
        <f>IF(__Retrofit_TI_NC&lt;&gt;0,1,IF(AF297="",0,1))</f>
        <v>0</v>
      </c>
      <c r="HC296" s="674">
        <f>IF(__Retrofit_TI_NC&lt;&gt;0,1,IF(AG297="",0,1))</f>
        <v>0</v>
      </c>
      <c r="HD296" s="674">
        <f>IF(N299="BAM",1,IF(AF298="",0,1))</f>
        <v>0</v>
      </c>
      <c r="HE296" s="674">
        <f>IF(N299="BAM",1,IF(AG298="",0,1))</f>
        <v>0</v>
      </c>
      <c r="HF296" s="674">
        <f>IF(N299="BAM",1,IF(__Retrofit_TI_NC&gt;0,1,IF(AG299="",0,1)))</f>
        <v>0</v>
      </c>
      <c r="HG296" s="391"/>
      <c r="IA296" s="391"/>
      <c r="IB296" s="1693" t="b">
        <f>IF(OR(IB299=0,IB299=HY$16,IB299=HX$16,IB299=HZ$16),TRUE,FALSE)</f>
        <v>0</v>
      </c>
      <c r="IC296" s="1694" t="b">
        <f>IB296</f>
        <v>0</v>
      </c>
      <c r="ID296" s="391"/>
      <c r="IE296" s="391"/>
      <c r="IF296" s="1688" t="b">
        <f ca="1">IF(MAX(GN299:HU299)&gt;5,FALSE,TRUE)</f>
        <v>0</v>
      </c>
      <c r="IG296" s="1689">
        <f ca="1">IF(IF296=TRUE,AC296,0)</f>
        <v>0</v>
      </c>
      <c r="IH296" s="1689">
        <f ca="1">IG296-IG298</f>
        <v>0</v>
      </c>
      <c r="IK296" s="1689" t="e">
        <f>ROUND(T297*VLOOKUP(U297,Fixtures_Existing_List,2,FALSE)*N297*R297/1000,0)</f>
        <v>#N/A</v>
      </c>
      <c r="IL296" s="1690" t="e">
        <f>IK296-IK298</f>
        <v>#N/A</v>
      </c>
      <c r="IM296" s="1693" t="e">
        <f>ROUND(IF(CQ296="Interior",N298*R298*R297*N297*_C406_reduction/1000,N298*R298*R297*N297/1000),0)</f>
        <v>#N/A</v>
      </c>
      <c r="IN296" s="1693" t="e">
        <f>IM296-IM298</f>
        <v>#N/A</v>
      </c>
      <c r="IP296" s="1679"/>
      <c r="IQ296" s="1679" t="e">
        <f t="shared" ref="IQ296:IU296" si="256">IF($CR296="interior",VLOOKUP($CS296,_New_Control_Savings_Interior,IQ$30,FALSE),VLOOKUP($CS296,Control_Savings_Exterior,IQ$30,FALSE))</f>
        <v>#N/A</v>
      </c>
      <c r="IR296" s="1679" t="e">
        <f t="shared" si="256"/>
        <v>#N/A</v>
      </c>
      <c r="IS296" s="1679" t="e">
        <f t="shared" si="256"/>
        <v>#N/A</v>
      </c>
      <c r="IT296" s="1679" t="e">
        <f t="shared" si="256"/>
        <v>#N/A</v>
      </c>
      <c r="IU296" s="1679" t="e">
        <f t="shared" si="256"/>
        <v>#N/A</v>
      </c>
      <c r="IV296" s="1679" t="e">
        <f>IF($CR296="interior",IF(R297&gt;$IP$14,ROUND(($IV$18*($IP$14/R297)),2),$IV$18),VLOOKUP($CS296,Control_Savings_Exterior,IV$30,FALSE))</f>
        <v>#N/A</v>
      </c>
      <c r="IW296" s="1679" t="e">
        <f>IF($CR296="interior",ROUND(((1-IS296)*IV296)+IS296,2),VLOOKUP($CS296,Control_Savings_Exterior,IW$30,FALSE))</f>
        <v>#N/A</v>
      </c>
      <c r="IX296" s="1679" t="e">
        <f>IF($CR296="interior",ROUND(((1-IT296)*IV296)+IT296,2),VLOOKUP($CS296,Control_Savings_Exterior,IX$30,FALSE))</f>
        <v>#N/A</v>
      </c>
      <c r="IY296" s="1679" t="e">
        <f>IF($CR296="interior",IF(R297&gt;$IP$14,ROUND(($IY$18*($IP$14/R297)),2),$IY$18),VLOOKUP($CS296,Control_Savings_Exterior,IY$30,FALSE))</f>
        <v>#N/A</v>
      </c>
      <c r="IZ296" s="1679" t="e">
        <f>IF($CR296="interior",ROUND(((1-IS296)*IY296)+IS296,2),VLOOKUP($CS296,Control_Savings_Exterior,IZ$30,FALSE))</f>
        <v>#N/A</v>
      </c>
      <c r="JA296" s="1679" t="e">
        <f>IF($CR296="interior",ROUND(((1-IT296)*IY296)+IT296,2),VLOOKUP($CS296,Control_Savings_Exterior,JA$30,FALSE))</f>
        <v>#N/A</v>
      </c>
      <c r="JC296" s="1680">
        <f>IFERROR(IF(CR296="Interior",CONCATENATE(G299," ",FQ296),FQ296),"")</f>
        <v>0</v>
      </c>
      <c r="JD296" s="1670" t="str">
        <f>IFERROR(VLOOKUP(JC296,_Controls_2023,2,FALSE),"")</f>
        <v/>
      </c>
      <c r="JE296" s="1681">
        <f>IFERROR(CHOOSE(JD296-1,IQ296,IR296,IS296,IT296,IU296,IV296,IW296,IX296,IY296,IZ296,JA296),0)</f>
        <v>0</v>
      </c>
      <c r="JG296" s="1680" t="str">
        <f>FE296</f>
        <v xml:space="preserve"> - 0</v>
      </c>
      <c r="JH296" s="1670" t="e">
        <f>$FO296</f>
        <v>#N/A</v>
      </c>
      <c r="JI296" s="1060"/>
      <c r="JJ296" s="1682" t="b">
        <f>IF($JG298=CONCATENATE("Interior - ",JJ$4),TRUE,FALSE)</f>
        <v>0</v>
      </c>
      <c r="JK296" s="1061"/>
      <c r="JL296" s="1682" t="b">
        <f>IF($JG298=CONCATENATE("Interior - ",JL$4),TRUE,FALSE)</f>
        <v>0</v>
      </c>
      <c r="JM296" s="1061"/>
      <c r="JN296" s="1682" t="b">
        <f>IF($JG298=CONCATENATE("Interior - ",JN$4),TRUE,FALSE)</f>
        <v>0</v>
      </c>
      <c r="JO296" s="1061"/>
      <c r="JP296" s="1682" t="b">
        <f>IF(__Retrofit_TI_NC&gt;0,FALSE,IF($JG298=CONCATENATE("Interior - ",JP$4),TRUE,FALSE))</f>
        <v>0</v>
      </c>
      <c r="JQ296" s="1061"/>
      <c r="JR296" s="1682" t="b">
        <f>IF(__Retrofit_TI_NC&gt;0,FALSE,IF($JG298=CONCATENATE("Interior - ",JR$4),TRUE,FALSE))</f>
        <v>0</v>
      </c>
      <c r="JS296" s="1061"/>
      <c r="JT296" s="1670" t="b">
        <f>IF(__Retrofit_TI_NC&gt;0,FALSE,IF($JG298=CONCATENATE("Interior - ",JT$4),TRUE,FALSE))</f>
        <v>0</v>
      </c>
      <c r="JU296" s="1061"/>
      <c r="JV296" s="1670" t="b">
        <f>IF(JC298="AELC on Existing",TRUE,FALSE)</f>
        <v>0</v>
      </c>
      <c r="JX296" s="1670" t="b">
        <f>IF(OR(JG298="Exterior - AELC Occupancy based",JG298="Exterior - AELC Time based"),TRUE,FALSE)</f>
        <v>0</v>
      </c>
      <c r="JZ296" s="1682" t="b">
        <f>IF($JG298=CONCATENATE("Exterior - ",JZ$4),TRUE,FALSE)</f>
        <v>0</v>
      </c>
      <c r="KB296" s="1670" t="b">
        <f>IF(__Retrofit_TI_NC&gt;0,FALSE,IF($JG298=CONCATENATE("Interior - ",KB$4),TRUE,FALSE))</f>
        <v>0</v>
      </c>
    </row>
    <row r="297" spans="1:288" s="78" customFormat="1" ht="14.95" customHeight="1" thickTop="1" thickBot="1">
      <c r="B297" s="1845"/>
      <c r="C297" s="1846"/>
      <c r="D297" s="1847"/>
      <c r="E297" s="1737" t="s">
        <v>297</v>
      </c>
      <c r="F297" s="1738"/>
      <c r="G297" s="1739"/>
      <c r="H297" s="1739"/>
      <c r="I297" s="1739"/>
      <c r="J297" s="1739"/>
      <c r="K297" s="1739"/>
      <c r="L297" s="1739"/>
      <c r="M297" s="461" t="e">
        <f>IF(__Retrofit_TI_NC&lt;&gt;0,IF(VLOOKUP(G298,'Space Table'!$B$3:$L$163,3,FALSE)&gt;0,1,0),IF(__Retrofit_TI_NC=VLOOKUP(G298,'Space Table'!$B$3:$L$163,3,FALSE),1,0))</f>
        <v>#N/A</v>
      </c>
      <c r="N297" s="461" t="str">
        <f>IFERROR(VLOOKUP(G297,_Lookup_Heat_Type_Table_New,2,FALSE),"")</f>
        <v/>
      </c>
      <c r="O297" s="461">
        <f>IF(__Retrofit_TI_NC=1,CONCATENATE("TI ",G297),IF(__Retrofit_TI_NC=2,CONCATENATE("NC ",G297),G297))</f>
        <v>0</v>
      </c>
      <c r="P297" s="1740" t="s">
        <v>435</v>
      </c>
      <c r="Q297" s="1740"/>
      <c r="R297" s="595"/>
      <c r="S297" s="1792"/>
      <c r="T297" s="597"/>
      <c r="U297" s="1765"/>
      <c r="V297" s="1766"/>
      <c r="W297" s="1766"/>
      <c r="X297" s="1766"/>
      <c r="Y297" s="1766"/>
      <c r="Z297" s="1766"/>
      <c r="AA297" s="1766"/>
      <c r="AB297" s="1766"/>
      <c r="AC297" s="1766"/>
      <c r="AD297" s="1767"/>
      <c r="AE297" s="1000"/>
      <c r="AF297" s="597"/>
      <c r="AG297" s="1723"/>
      <c r="AH297" s="1724"/>
      <c r="AI297" s="1724"/>
      <c r="AJ297" s="1724"/>
      <c r="AK297" s="1725"/>
      <c r="AL297" s="996"/>
      <c r="AM297" s="1747"/>
      <c r="AN297" s="1775"/>
      <c r="AO297" s="1777"/>
      <c r="AP297" s="1780"/>
      <c r="AQ297" s="1781"/>
      <c r="AR297" s="1795"/>
      <c r="AS297" s="1795"/>
      <c r="AT297" s="1796"/>
      <c r="AU297" s="1735"/>
      <c r="AV297" s="1752"/>
      <c r="AW297" s="1705"/>
      <c r="AX297" s="467"/>
      <c r="AY297" s="1749"/>
      <c r="AZ297" s="1749"/>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696"/>
      <c r="CQ297" s="1696"/>
      <c r="CR297" s="1809"/>
      <c r="CS297" s="1811"/>
      <c r="CU297" s="1688"/>
      <c r="CV297" s="1703"/>
      <c r="CW297" s="1703"/>
      <c r="CX297" s="1703"/>
      <c r="CY297" s="1815"/>
      <c r="CZ297" s="1711"/>
      <c r="DA297" s="1818"/>
      <c r="DB297" s="1820"/>
      <c r="DC297" s="1820"/>
      <c r="DD297" s="1820"/>
      <c r="DF297" s="1703"/>
      <c r="DG297" s="1831"/>
      <c r="DH297" s="1703"/>
      <c r="DI297" s="1838"/>
      <c r="DJ297" s="1711"/>
      <c r="DK297" s="1712"/>
      <c r="DM297" s="1718"/>
      <c r="DO297" s="1708"/>
      <c r="DQ297" s="1715"/>
      <c r="DR297" s="1720"/>
      <c r="DS297" s="1816"/>
      <c r="DT297" s="1714"/>
      <c r="DU297" s="1715"/>
      <c r="DV297" s="1716"/>
      <c r="DX297" s="1715"/>
      <c r="DY297" s="1720"/>
      <c r="DZ297" s="1715"/>
      <c r="EA297" s="1715"/>
      <c r="EC297" s="1834"/>
      <c r="ED297" s="1834"/>
      <c r="EF297" s="1707"/>
      <c r="EG297" s="1712"/>
      <c r="EH297" s="1818"/>
      <c r="EI297" s="1712"/>
      <c r="EJ297" s="1712"/>
      <c r="EK297" s="1836"/>
      <c r="EL297" s="1836"/>
      <c r="EM297" s="1807"/>
      <c r="EN297" s="1839"/>
      <c r="EO297" s="1839"/>
      <c r="EP297" s="1817"/>
      <c r="EQ297" s="1817"/>
      <c r="ER297" s="1807"/>
      <c r="ES297" s="1807"/>
      <c r="ET297" s="1807"/>
      <c r="EV297" s="1715"/>
      <c r="EX297" s="1805"/>
      <c r="EY297" s="1805"/>
      <c r="EZ297" s="1805"/>
      <c r="FA297" s="1805"/>
      <c r="FB297" s="1805"/>
      <c r="FC297" s="1827"/>
      <c r="FE297" s="1698"/>
      <c r="FG297" s="1816"/>
      <c r="FH297" s="1816"/>
      <c r="FI297" s="133"/>
      <c r="FL297" s="1823"/>
      <c r="FM297" s="1825"/>
      <c r="FN297" s="1698"/>
      <c r="FO297" s="1698"/>
      <c r="FP297" s="1678"/>
      <c r="FQ297" s="1678"/>
      <c r="FS297" s="1687"/>
      <c r="FT297" s="1687"/>
      <c r="FU297" s="1685"/>
      <c r="FV297" s="1687"/>
      <c r="FW297" s="1687"/>
      <c r="FX297" s="1687"/>
      <c r="FY297" s="1697"/>
      <c r="GA297" s="1696"/>
      <c r="GB297" s="1696"/>
      <c r="GC297" s="1696"/>
      <c r="GD297" s="1696"/>
      <c r="GE297" s="1696"/>
      <c r="GF297" s="1696"/>
      <c r="GG297" s="1696"/>
      <c r="GH297" s="1696"/>
      <c r="GI297" s="673"/>
      <c r="GJ297" s="1135"/>
      <c r="GK297" s="1832"/>
      <c r="GM297" s="1693" t="b">
        <f ca="1">IF(AND(GP297=TRUE,GQ297=TRUE),TRUE,FALSE)</f>
        <v>0</v>
      </c>
      <c r="GN297" s="1684" t="b">
        <f>IFERROR(IF(__Retrofit_TI_NC=2,TRUE,IF(AU296="Yes",TRUE,FALSE)),FALSE)</f>
        <v>1</v>
      </c>
      <c r="GP297" s="1684" t="b">
        <f>IFERROR(IF(GP296=1,TRUE,FALSE),FALSE)</f>
        <v>0</v>
      </c>
      <c r="GQ297" s="1684" t="b">
        <f ca="1">IFERROR(IF(GQ296=GQ$14,TRUE,FALSE),FALSE)</f>
        <v>0</v>
      </c>
      <c r="HG297" s="1684" t="b">
        <f>IFERROR(IF(AND(__Retrofit_TI_NC&gt;0,CQ296="Interior"),FALSE,TRUE),FALSE)</f>
        <v>1</v>
      </c>
      <c r="HH297" s="1684" t="b">
        <f>IFERROR(IF(M297=1,TRUE,FALSE),FALSE)</f>
        <v>0</v>
      </c>
      <c r="HI297" s="1684" t="b">
        <f>IFERROR(IF(OR(M298=1,N299="BAM"),TRUE,FALSE),FALSE)</f>
        <v>0</v>
      </c>
      <c r="HJ297" s="1684" t="b">
        <f>IFERROR(IF(__Retrofit_TI_NC&lt;&gt;0,TRUE,IFERROR(IF(VLOOKUP(U297,Fixtures_Existing_List,2,FALSE)&lt;&gt;"",TRUE,FALSE),FALSE)),FALSE)</f>
        <v>0</v>
      </c>
      <c r="HK297" s="1684" t="b">
        <f>IFERROR(IF(VLOOKUP(U298,Fixtures_Proposed_List,2,FALSE)&lt;&gt;"",TRUE,FALSE),FALSE)</f>
        <v>0</v>
      </c>
      <c r="HL297" s="1684" t="b">
        <f>IF(AND(__Retrofit_TI_NC=2,FC296=TRUE),FALSE,TRUE)</f>
        <v>1</v>
      </c>
      <c r="HM297" s="1684" t="b">
        <f>GK296</f>
        <v>1</v>
      </c>
      <c r="HN297" s="1682" t="b">
        <f>IF(ISERROR(MATCH(FE296,_Control_Match[],0))=TRUE,FALSE,TRUE)</f>
        <v>0</v>
      </c>
      <c r="HO297" s="1693" t="b">
        <f>IFERROR(IF(EX296&lt;&gt;EY296,FALSE,TRUE),FALSE)</f>
        <v>1</v>
      </c>
      <c r="HP297" s="1693" t="b">
        <f>IFERROR(IF(EX298&lt;&gt;EY298,FALSE,TRUE),FALSE)</f>
        <v>1</v>
      </c>
      <c r="HQ297" s="1670" t="b">
        <f>IFERROR(IF(CQ296="Exterior",TRUE,IF(AND(OR(FM298=0,FM298=3),JD298&gt;6),FALSE,TRUE)),FALSE)</f>
        <v>0</v>
      </c>
      <c r="HR297" s="1684" t="b">
        <f>IFERROR(IF(AND(FO298=7,FC296=TRUE),FALSE,TRUE),FALSE)</f>
        <v>0</v>
      </c>
      <c r="HS297" s="1684" t="b">
        <f>IFERROR(IF(AND(T298&lt;&gt;AF298,OR(AG298="Interior LLLC", AG298="Interior NLC", AG298="LLLC (outside Daylight)",AG298="LLLC Controls Only"))=TRUE,FALSE,TRUE),FALSE)</f>
        <v>1</v>
      </c>
      <c r="HT297" s="1670" t="b">
        <f>IFERROR(IF(OR(AG298=Lookup!BB$17,AG298=Lookup!BB$18,AG298=Lookup!BB$19)=TRUE,IF(AF298&gt;T298,FALSE,TRUE),TRUE),FALSE)</f>
        <v>1</v>
      </c>
      <c r="HU297" s="1684" t="b">
        <f>IFERROR(IF(__Retrofit_TI_NC=2,IF(EZ298&lt;EZ296,FALSE,TRUE),TRUE),FALSE)</f>
        <v>1</v>
      </c>
      <c r="HV297" s="1684" t="b">
        <f>IF(CQ296="Interior",IL$6,TRUE)</f>
        <v>1</v>
      </c>
      <c r="HW297" s="1684" t="b">
        <f>IF(CQ296="Exterior",IL$8,TRUE)</f>
        <v>1</v>
      </c>
      <c r="HX297" s="1684" t="b">
        <f>IFERROR(IF(__Retrofit_TI_NC&lt;&gt;0,IF(AZ296&lt;AY296,FALSE,TRUE),TRUE),FALSE)</f>
        <v>1</v>
      </c>
      <c r="HY297" s="1684" t="b">
        <f>IFERROR(IF(AND(G297="Exterior",R297&gt;4200),FALSE,TRUE),FALSE)</f>
        <v>1</v>
      </c>
      <c r="HZ297" s="1684" t="b">
        <f>IFERROR(IF(AB299/AB296&lt;HZ$18,FALSE,TRUE),FALSE)</f>
        <v>0</v>
      </c>
      <c r="IB297" s="1691"/>
      <c r="IC297" s="1695"/>
      <c r="ID297" s="1694" t="str">
        <f>VLOOKUP(IB299,_Error_Table,4,FALSE)</f>
        <v>White</v>
      </c>
      <c r="IE297" s="391"/>
      <c r="IF297" s="1688"/>
      <c r="IG297" s="1689"/>
      <c r="IH297" s="1684"/>
      <c r="IK297" s="1689"/>
      <c r="IL297" s="1691"/>
      <c r="IM297" s="1691"/>
      <c r="IN297" s="1691"/>
      <c r="IP297" s="1679"/>
      <c r="IQ297" s="1679"/>
      <c r="IR297" s="1679"/>
      <c r="IS297" s="1679"/>
      <c r="IT297" s="1679"/>
      <c r="IU297" s="1679"/>
      <c r="IV297" s="1679"/>
      <c r="IW297" s="1679"/>
      <c r="IX297" s="1679"/>
      <c r="IY297" s="1679"/>
      <c r="IZ297" s="1679"/>
      <c r="JA297" s="1679"/>
      <c r="JC297" s="1680"/>
      <c r="JD297" s="1670"/>
      <c r="JE297" s="1681"/>
      <c r="JG297" s="1680"/>
      <c r="JH297" s="1670"/>
      <c r="JI297" s="1060"/>
      <c r="JJ297" s="1683"/>
      <c r="JK297" s="1061"/>
      <c r="JL297" s="1683"/>
      <c r="JM297" s="1061"/>
      <c r="JN297" s="1683"/>
      <c r="JO297" s="1061"/>
      <c r="JP297" s="1683"/>
      <c r="JQ297" s="1061"/>
      <c r="JR297" s="1683"/>
      <c r="JS297" s="1061"/>
      <c r="JT297" s="1670"/>
      <c r="JU297" s="1061"/>
      <c r="JV297" s="1670"/>
      <c r="JX297" s="1670"/>
      <c r="JZ297" s="1683"/>
      <c r="KB297" s="1670"/>
    </row>
    <row r="298" spans="1:288" s="78" customFormat="1" ht="14.95" customHeight="1" thickTop="1" thickBot="1">
      <c r="A298" s="78">
        <f>ROW()</f>
        <v>298</v>
      </c>
      <c r="B298" s="1845"/>
      <c r="C298" s="1846"/>
      <c r="D298" s="1847"/>
      <c r="E298" s="1737" t="s">
        <v>298</v>
      </c>
      <c r="F298" s="1738"/>
      <c r="G298" s="1760"/>
      <c r="H298" s="1761"/>
      <c r="I298" s="1761"/>
      <c r="J298" s="1761"/>
      <c r="K298" s="1761"/>
      <c r="L298" s="1762"/>
      <c r="M298" s="461">
        <f>IFERROR(IF(IF(__Retrofit_TI_NC&lt;&gt;0,IF(CQ296="Interior",MATCH(G298,Lookup_Interior_New,0),MATCH(G298,Lookup_Exterior_New,0)),IF(CQ296="Interior",MATCH(G298,Lookup_Interior,0),MATCH(G298,Lookup_Exterior_Areas,0)))&gt;0,1,0),0)</f>
        <v>0</v>
      </c>
      <c r="N298" s="461" t="e">
        <f>IF(__Retrofit_TI_NC=1,
VLOOKUP(G298,'Space Table'!$B$3:$L$163,4,FALSE),
IF(__Retrofit_TI_NC=2,VLOOKUP(G298,'Space Table'!$B$3:$L$163,5,FALSE),VLOOKUP(G298,'Space Table'!$B$3:$L$163,5,FALSE)))</f>
        <v>#N/A</v>
      </c>
      <c r="O298" s="461">
        <f>G298</f>
        <v>0</v>
      </c>
      <c r="P298" s="1738" t="str">
        <f>IFERROR(IF(__Retrofit_TI_NC=1,VLOOKUP(G298,'Space Table'!$B$3:$O$163,13,FALSE),IF(__Retrofit_TI_NC=2,VLOOKUP(G298,'Space Table'!$B$3:$O$163,14,FALSE),"Area (sf):")),"Area (sf):")</f>
        <v>Area (sf):</v>
      </c>
      <c r="Q298" s="1738"/>
      <c r="R298" s="596"/>
      <c r="S298" s="1763" t="s">
        <v>345</v>
      </c>
      <c r="T298" s="594"/>
      <c r="U298" s="1801"/>
      <c r="V298" s="1802"/>
      <c r="W298" s="1802"/>
      <c r="X298" s="1802"/>
      <c r="Y298" s="1802"/>
      <c r="Z298" s="1802"/>
      <c r="AA298" s="1802"/>
      <c r="AB298" s="1802"/>
      <c r="AC298" s="1802"/>
      <c r="AD298" s="1802"/>
      <c r="AE298" s="1803"/>
      <c r="AF298" s="594"/>
      <c r="AG298" s="1787"/>
      <c r="AH298" s="1787"/>
      <c r="AI298" s="1787"/>
      <c r="AJ298" s="1787"/>
      <c r="AK298" s="1787"/>
      <c r="AL298" s="1787"/>
      <c r="AM298" s="1726">
        <f>IFERROR(DI298,"")</f>
        <v>0</v>
      </c>
      <c r="AN298" s="1728" t="str">
        <f>IFERROR(ROUND(AM298*AC299,0),"")</f>
        <v/>
      </c>
      <c r="AO298" s="1730">
        <f>IFERROR(IF(IB296=FALSE,0,AC299-AN298),0)</f>
        <v>0</v>
      </c>
      <c r="AP298" s="1780"/>
      <c r="AQ298" s="1781"/>
      <c r="AR298" s="1795"/>
      <c r="AS298" s="1795"/>
      <c r="AT298" s="1796"/>
      <c r="AU298" s="1735"/>
      <c r="AV298" s="1752"/>
      <c r="AW298" s="1705"/>
      <c r="AX298" s="467"/>
      <c r="AY298" s="1749"/>
      <c r="AZ298" s="1749"/>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696"/>
      <c r="CQ298" s="1696"/>
      <c r="CR298" s="1808" t="str">
        <f>CQ296</f>
        <v/>
      </c>
      <c r="CS298" s="1810" t="str">
        <f>CS296</f>
        <v/>
      </c>
      <c r="CU298" s="1688" t="s">
        <v>345</v>
      </c>
      <c r="CV298" s="1702">
        <f>IF(IB296=TRUE,T298,0)</f>
        <v>0</v>
      </c>
      <c r="CW298" s="1702" t="str">
        <f>IF(IB296=TRUE,U298,"")</f>
        <v/>
      </c>
      <c r="CX298" s="1812">
        <f>IF(IB296=TRUE,U299,0)</f>
        <v>0</v>
      </c>
      <c r="CY298" s="1814">
        <f>IF(IB296=TRUE,AB299,0)</f>
        <v>0</v>
      </c>
      <c r="CZ298" s="1710">
        <f>IF(AND(__Retrofit_TI_NC&gt;0,CR296="interior"),0,IF(IB296=TRUE,AC299,0))</f>
        <v>0</v>
      </c>
      <c r="DA298" s="1818"/>
      <c r="DB298" s="1820"/>
      <c r="DC298" s="1820"/>
      <c r="DD298" s="1820"/>
      <c r="DF298" s="1702">
        <f>IF(IB296=TRUE,AF298,0)</f>
        <v>0</v>
      </c>
      <c r="DG298" s="1830" t="str">
        <f>IF(IB296=TRUE,AG298,"")</f>
        <v/>
      </c>
      <c r="DH298" s="1812">
        <f>AG299</f>
        <v>0</v>
      </c>
      <c r="DI298" s="1837">
        <f>JE298</f>
        <v>0</v>
      </c>
      <c r="DJ298" s="1710">
        <f>IF(AND(__Retrofit_TI_NC&gt;0,CR296="interior"),0,IF(IB296=TRUE,AN298,0))</f>
        <v>0</v>
      </c>
      <c r="DK298" s="1712"/>
      <c r="DN298" s="1717">
        <f>IFERROR(CZ298-DJ298,0)</f>
        <v>0</v>
      </c>
      <c r="DO298" s="1709"/>
      <c r="DQ298" s="1715"/>
      <c r="DR298" s="1719" t="str">
        <f>DQ296</f>
        <v/>
      </c>
      <c r="DS298" s="1816"/>
      <c r="DT298" s="1835" t="str">
        <f>IF(OR(DS296=7,DS296=8,DS296=9),"ALC","")</f>
        <v/>
      </c>
      <c r="DU298" s="1715"/>
      <c r="DV298" s="1716"/>
      <c r="DX298" s="1715"/>
      <c r="DY298" s="1829" t="str">
        <f>DX296</f>
        <v/>
      </c>
      <c r="DZ298" s="1715"/>
      <c r="EA298" s="1715"/>
      <c r="EC298" s="1834"/>
      <c r="ED298" s="1834"/>
      <c r="EF298" s="1707"/>
      <c r="EG298" s="1712"/>
      <c r="EH298" s="1818"/>
      <c r="EI298" s="1712"/>
      <c r="EJ298" s="1712"/>
      <c r="EK298" s="1836"/>
      <c r="EL298" s="1836"/>
      <c r="EM298" s="1807"/>
      <c r="EN298" s="1839"/>
      <c r="EO298" s="1839"/>
      <c r="EP298" s="1817"/>
      <c r="EQ298" s="1817"/>
      <c r="ER298" s="1807"/>
      <c r="ES298" s="1807"/>
      <c r="ET298" s="1807"/>
      <c r="EV298" s="1715"/>
      <c r="EX298" s="1805" t="str">
        <f>IFERROR(VLOOKUP(CS298,'Space Table'!$B$3:$L$163,8,FALSE),"")</f>
        <v/>
      </c>
      <c r="EY298" s="1805" t="str">
        <f>IFERROR(IF(FB298="Yes",VLOOKUP(AG298,Lookup_Control_Type_Table2,4,FALSE),VLOOKUP(AG298,Lookup_Control_Type_Table2,3,FALSE)),"")</f>
        <v/>
      </c>
      <c r="EZ298" s="1805" t="e">
        <f>VLOOKUP(AG298,Lookup!BB$3:BC$20,2,FALSE)</f>
        <v>#N/A</v>
      </c>
      <c r="FA298" s="1805" t="e">
        <f>VLOOKUP(EX296,Lookup_Control_Type_Table,2,FALSE)</f>
        <v>#N/A</v>
      </c>
      <c r="FB298" s="1805" t="e">
        <f>VLOOKUP(CS298,'Space Table'!$B$3:$L$163,7,FALSE)</f>
        <v>#N/A</v>
      </c>
      <c r="FC298" s="1827"/>
      <c r="FE298" s="1698" t="str">
        <f>CONCATENATE(CQ296," - ",AG298)</f>
        <v xml:space="preserve"> - </v>
      </c>
      <c r="FG298" s="1816"/>
      <c r="FH298" s="1816"/>
      <c r="FI298" s="133"/>
      <c r="FL298" s="1822" t="str">
        <f>IF(CQ296="Exterior","Not Daylighted",G299)</f>
        <v>Not Daylighted</v>
      </c>
      <c r="FM298" s="1824">
        <f>VLOOKUP(FL298,_New_Daylight_Table_Codes,2,FALSE)</f>
        <v>0</v>
      </c>
      <c r="FN298" s="1698">
        <f>AG298</f>
        <v>0</v>
      </c>
      <c r="FO298" s="1698" t="e">
        <f>VLOOKUP(FN298,_Control_Table,2,FALSE)</f>
        <v>#N/A</v>
      </c>
      <c r="FP298" s="1678" t="e">
        <f>VLOOKUP(CONCATENATE(FL298," ",FN298),Lookup!AY$102:AZ309,2,FALSE)</f>
        <v>#N/A</v>
      </c>
      <c r="FQ298" s="1698">
        <f>IF(__Retrofit_TI_NC=0,FN298,IF(AND(FT298&gt;0,FN298="Occupancy Sensor"),"Daylight + Occupancy",IF(AND(FT298&gt;0,FO298&lt;4),"Interior Daylight Dimming",FN298)))</f>
        <v>0</v>
      </c>
      <c r="FS298" s="1686">
        <f>IF(CQ296="Interior",VLOOKUP(CS296,Control_Savings_Interior,5,FALSE),0)</f>
        <v>0</v>
      </c>
      <c r="FT298" s="1687">
        <f>IF(CQ298="Exterior",0,IF(FM298=2,0.5,IF(OR(FM298=1,FM298=3),1,0)))</f>
        <v>0</v>
      </c>
      <c r="FU298" s="1685">
        <f>IF(R297&gt;FS$44,(FS298*(FS$44/R297)),FS298)*FT298</f>
        <v>0</v>
      </c>
      <c r="FV298" s="1686">
        <f>DI298</f>
        <v>0</v>
      </c>
      <c r="FW298" s="1686">
        <f>ROUND(FV298+((1-FV298)*FU298),2)</f>
        <v>0</v>
      </c>
      <c r="FX298" s="1686">
        <f>IF(__Retrofit_TI_NC=2,FW298,FV298)</f>
        <v>0</v>
      </c>
      <c r="FY298" s="1697">
        <f>IF(CR298="Interior",VLOOKUP(CS298,Control_Savings_Interior,4,FALSE),0)</f>
        <v>0</v>
      </c>
      <c r="GA298" s="1696"/>
      <c r="GB298" s="1696"/>
      <c r="GC298" s="1696"/>
      <c r="GD298" s="1696"/>
      <c r="GE298" s="1696"/>
      <c r="GF298" s="1696"/>
      <c r="GG298" s="1696"/>
      <c r="GH298" s="1696"/>
      <c r="GI298" s="673" t="b">
        <f>IF(ISNUMBER(SEARCH("TLED",U298)),TRUE,FALSE)</f>
        <v>0</v>
      </c>
      <c r="GJ298" s="1135" t="str">
        <f>IFERROR(VLOOKUP(U298,Fixtures!DM$93:DR$142,6,FALSE),"")</f>
        <v/>
      </c>
      <c r="GK298" s="1832"/>
      <c r="GM298" s="1692"/>
      <c r="GN298" s="1684"/>
      <c r="GP298" s="1684"/>
      <c r="GQ298" s="1684"/>
      <c r="HG298" s="1684"/>
      <c r="HH298" s="1684"/>
      <c r="HI298" s="1684"/>
      <c r="HJ298" s="1684"/>
      <c r="HK298" s="1684"/>
      <c r="HL298" s="1684"/>
      <c r="HM298" s="1684"/>
      <c r="HN298" s="1683"/>
      <c r="HO298" s="1692"/>
      <c r="HP298" s="1692"/>
      <c r="HQ298" s="1670"/>
      <c r="HR298" s="1684"/>
      <c r="HS298" s="1684"/>
      <c r="HT298" s="1670"/>
      <c r="HU298" s="1684"/>
      <c r="HV298" s="1684"/>
      <c r="HW298" s="1684"/>
      <c r="HX298" s="1684"/>
      <c r="HY298" s="1684"/>
      <c r="HZ298" s="1684"/>
      <c r="IB298" s="1692"/>
      <c r="IC298" s="1693" t="b">
        <f>IB296</f>
        <v>0</v>
      </c>
      <c r="ID298" s="1695"/>
      <c r="IE298" s="391"/>
      <c r="IF298" s="1688"/>
      <c r="IG298" s="1689">
        <f ca="1">IF(IF296=TRUE,AC299,0)</f>
        <v>0</v>
      </c>
      <c r="IH298" s="1684"/>
      <c r="IK298" s="1689" t="e">
        <f>ROUND(T298*AB299*N297*R297/1000,0)</f>
        <v>#VALUE!</v>
      </c>
      <c r="IL298" s="1691"/>
      <c r="IM298" s="1693" t="e">
        <f>ROUND(T298*AB299*N297*R297/1000,0)</f>
        <v>#VALUE!</v>
      </c>
      <c r="IN298" s="1691"/>
      <c r="IP298" s="1679"/>
      <c r="IQ298" s="1679" t="e">
        <f t="shared" ref="IQ298:IU298" si="257">IF($CR298="interior",VLOOKUP($CS298,_New_Control_Savings_Interior,IQ$30,FALSE),VLOOKUP($CS298,Control_Savings_Exterior,IQ$30,FALSE))</f>
        <v>#N/A</v>
      </c>
      <c r="IR298" s="1679" t="e">
        <f t="shared" si="257"/>
        <v>#N/A</v>
      </c>
      <c r="IS298" s="1679" t="e">
        <f t="shared" si="257"/>
        <v>#N/A</v>
      </c>
      <c r="IT298" s="1679" t="e">
        <f t="shared" si="257"/>
        <v>#N/A</v>
      </c>
      <c r="IU298" s="1679" t="e">
        <f t="shared" si="257"/>
        <v>#N/A</v>
      </c>
      <c r="IV298" s="1679" t="e">
        <f>IF($CR298="interior",IF(R297&gt;$IP$14,ROUND(($IV$18*($IP$14/R297)),2),$IV$18),VLOOKUP($CS298,Control_Savings_Exterior,IV$30,FALSE))</f>
        <v>#N/A</v>
      </c>
      <c r="IW298" s="1679" t="e">
        <f>IF($CR298="interior",ROUND(((1-IS298)*IV298)+IS298,2),VLOOKUP($CS298,Control_Savings_Exterior,IW$30,FALSE))</f>
        <v>#N/A</v>
      </c>
      <c r="IX298" s="1679" t="e">
        <f>IF($CR298="interior",ROUND(((1-IT298)*IV298)+IT298,2),VLOOKUP($CS298,Control_Savings_Exterior,IX$30,FALSE))</f>
        <v>#N/A</v>
      </c>
      <c r="IY298" s="1679" t="e">
        <f>IF($CR298="interior",IF(R297&gt;$IP$14,ROUND(($IY$18*($IP$14/R297)),2),$IY$18),VLOOKUP($CS298,Control_Savings_Exterior,IY$30,FALSE))</f>
        <v>#N/A</v>
      </c>
      <c r="IZ298" s="1679" t="e">
        <f>IF($CR298="interior",ROUND(((1-IS298)*IY298)+IS298,2),VLOOKUP($CS298,Control_Savings_Exterior,IZ$30,FALSE))</f>
        <v>#N/A</v>
      </c>
      <c r="JA298" s="1679" t="e">
        <f>IF($CR298="interior",ROUND(((1-IT298)*IY298)+IT298,2),VLOOKUP($CS298,Control_Savings_Exterior,JA$30,FALSE))</f>
        <v>#N/A</v>
      </c>
      <c r="JC298" s="1680">
        <f>IFERROR(IF(CR298="Interior",CONCATENATE(G299," ",FQ298),AG298),"")</f>
        <v>0</v>
      </c>
      <c r="JD298" s="1670" t="str">
        <f>IFERROR(VLOOKUP(JC298,_Controls_2023,2,FALSE),"")</f>
        <v/>
      </c>
      <c r="JE298" s="1681">
        <f>IFERROR(CHOOSE(JD298-1,IQ298,IR298,IS298,IT298,IU298,IV298,IW298,IX298,IY298,IZ298,JA298),0)</f>
        <v>0</v>
      </c>
      <c r="JG298" s="1680" t="str">
        <f>FE298</f>
        <v xml:space="preserve"> - </v>
      </c>
      <c r="JH298" s="1670" t="e">
        <f>$FO298</f>
        <v>#N/A</v>
      </c>
      <c r="JI298" s="1060"/>
      <c r="JJ298" s="1670">
        <f>IFERROR(IF($IB296=TRUE,IF(OR(JJ$14="No",JJ296=FALSE,JH298&lt;=JH296,AND(_kWh_Grant=0,GD296=FALSE)),0,IF(JJ$8="Per Line",1,$AF298)),0),0)</f>
        <v>0</v>
      </c>
      <c r="JK298" s="1061"/>
      <c r="JL298" s="1670">
        <f>IFERROR(IF(_kWh_Grant=0,0,IF($IB296=TRUE,IF(OR(JL$14="No",JL296=FALSE,JH298&lt;=JH296),0,IF(JL$8="Per Line",1,$T298)),0)),0)</f>
        <v>0</v>
      </c>
      <c r="JM298" s="1061"/>
      <c r="JN298" s="1670">
        <f>IFERROR(IF(_kWh_Grant=0,0,IF($IB296=TRUE,IF(OR(JN$14="No",JN296=FALSE,JH298&lt;=JH296),0,IF(JN$8="Per Line",1,$AF298)),0)),0)</f>
        <v>0</v>
      </c>
      <c r="JO298" s="1061"/>
      <c r="JP298" s="1670">
        <f>IFERROR(IF(__Retrofit_TI_NC=0,IF(_kWh_Grant=0,0,IF($IB296=TRUE,IF(OR(JP$14="No",JP296=FALSE,$JH298&lt;=$JH296),0,IF(JP$8="Per Line",1,$AF298)),0)),IF($IB296=TRUE,IF(OR(JP$14="No",JP296=FALSE,$JH298&lt;=$JH296),0,IF(JP$8="Per Line",1,$AF298)))),0)</f>
        <v>0</v>
      </c>
      <c r="JQ298" s="1061"/>
      <c r="JR298" s="1670">
        <f>IFERROR(IF(__Retrofit_TI_NC=0,IF(_kWh_Grant=0,0,IF($IB296=TRUE,IF(OR(JR$14="No",JR296=FALSE,$JH298&lt;=$JH296),0,IF(JR$8="Per Line",1,$AF298)),0)),IF($IB296=TRUE,IF(OR(JR$14="No",JR296=FALSE,$JH298&lt;=$JH296),0,IF(JR$8="Per Line",1,$AF298)))),0)</f>
        <v>0</v>
      </c>
      <c r="JS298" s="1061"/>
      <c r="JT298" s="1670">
        <f>IFERROR(IF(__Retrofit_TI_NC=0,IF(_kWh_Grant=0,0,IF($IB296=TRUE,IF(OR(JT$14="No",JT296=FALSE,$JH298&lt;=$JH296),0,IF(JT$8="Per Line",1,$AF298)),0)),IF($IB296=TRUE,IF(OR(JT$14="No",JT296=FALSE,$JH298&lt;=$JH296),0,IF(JT$8="Per Line",1,$AF298)))),0)</f>
        <v>0</v>
      </c>
      <c r="JU298" s="1061"/>
      <c r="JV298" s="1670">
        <f>IFERROR(IF(__Retrofit_TI_NC=0,IF(_kWh_Grant=0,0,IF($IB296=TRUE,IF(OR(JV$14="No",JV296=FALSE,$JH298&lt;=$JH296),0,IF(JV$8="Per Line",1,$AF298)),0)),IF($IB296=TRUE,IF(OR(JV$14="No",JV296=FALSE,$JH298&lt;=$JH296),0,IF(JV$8="Per Line",1,$AF298)))),0)</f>
        <v>0</v>
      </c>
      <c r="JX298" s="1670">
        <f>IFERROR(IF(__Retrofit_TI_NC=0,IF(_kWh_Grant=0,0,IF($IB296=TRUE,IF(OR(JX$14="No",JX296=FALSE,$JH298&lt;=$JH296),0,IF(JX$8="Per Line",1,$AF298)),0)),IF($IB296=TRUE,IF(OR(JX$14="No",JX296=FALSE,$JH298&lt;=$JH296),0,IF(JX$8="Per Line",1,$AF298)))),0)</f>
        <v>0</v>
      </c>
      <c r="JZ298" s="1670">
        <f>IFERROR(IF($IB296=TRUE,IF(OR(JZ$14="No",JZ296=FALSE,$JH298&lt;=$JH296,AND(_kWh_Grant=0,$GD296=FALSE)),0,IF(JZ$8="Per Line",1,$AF298)),0),0)</f>
        <v>0</v>
      </c>
      <c r="KB298" s="1670">
        <f>IFERROR(IF(__Retrofit_TI_NC=0,IF(_kWh_Grant=0,0,IF($IB296=TRUE,IF(OR(KB$14="No",KB296=FALSE,$JH298&lt;=$JH296),0,IF(KB$8="Per Line",1,$AF298)),0)),IF($IB296=TRUE,IF(OR(KB$14="No",KB296=FALSE,$JH298&lt;=$JH296),0,IF(KB$8="Per Line",1,$AF298)))),0)</f>
        <v>0</v>
      </c>
    </row>
    <row r="299" spans="1:288" s="78" customFormat="1" ht="14.95" customHeight="1" thickTop="1" thickBot="1">
      <c r="B299" s="1845"/>
      <c r="C299" s="1846"/>
      <c r="D299" s="1847"/>
      <c r="E299" s="1771" t="s">
        <v>436</v>
      </c>
      <c r="F299" s="1772"/>
      <c r="G299" s="1784" t="s">
        <v>437</v>
      </c>
      <c r="H299" s="1785"/>
      <c r="I299" s="1785"/>
      <c r="J299" s="1785"/>
      <c r="K299" s="1785"/>
      <c r="L299" s="1786"/>
      <c r="M299" s="591">
        <f>IFERROR(VLOOKUP(G299,_Daylight_Table[],2,FALSE),0)</f>
        <v>0</v>
      </c>
      <c r="N299" s="592" t="str">
        <f>IF(AND(__Retrofit_TI_NC&gt;0,CQ296="Interior"),"BAM","")</f>
        <v/>
      </c>
      <c r="O299" s="591" t="e">
        <f>VLOOKUP(G298,'Space Table'!$B$3:$L$163,11,FALSE)</f>
        <v>#N/A</v>
      </c>
      <c r="P299" s="1789"/>
      <c r="Q299" s="1790"/>
      <c r="R299" s="1790"/>
      <c r="S299" s="1788"/>
      <c r="T299" s="593" t="s">
        <v>342</v>
      </c>
      <c r="U299" s="1756" t="str" cm="1">
        <f t="array" aca="1" ref="U299" ca="1">IFERROR(VLOOKUP(INDIRECT("U" &amp; ROW()-1),Fixtures!DM$93:DP$142,4,FALSE),"")</f>
        <v/>
      </c>
      <c r="V299" s="1757"/>
      <c r="W299" s="1757"/>
      <c r="X299" s="1757"/>
      <c r="Y299" s="1757"/>
      <c r="Z299" s="1757"/>
      <c r="AA299" s="1758"/>
      <c r="AB299" s="939" t="str">
        <f>IFERROR(VLOOKUP(U298,Fixtures_Proposed_List,2,FALSE),"")</f>
        <v/>
      </c>
      <c r="AC299" s="933" t="str">
        <f>IFERROR(ROUND(T298*AB299*N297*R297/1000,0),"")</f>
        <v/>
      </c>
      <c r="AD299" s="934" t="str">
        <f>IFERROR(ROUND(T298*AB299/1000,2),"")</f>
        <v/>
      </c>
      <c r="AE299" s="998"/>
      <c r="AF299" s="938" t="s">
        <v>342</v>
      </c>
      <c r="AG299" s="1770"/>
      <c r="AH299" s="1770"/>
      <c r="AI299" s="1770"/>
      <c r="AJ299" s="1770"/>
      <c r="AK299" s="1770"/>
      <c r="AL299" s="1770"/>
      <c r="AM299" s="1727"/>
      <c r="AN299" s="1729"/>
      <c r="AO299" s="1731"/>
      <c r="AP299" s="1782"/>
      <c r="AQ299" s="1783"/>
      <c r="AR299" s="1797"/>
      <c r="AS299" s="1797"/>
      <c r="AT299" s="1798"/>
      <c r="AU299" s="1736"/>
      <c r="AV299" s="1753"/>
      <c r="AW299" s="1706"/>
      <c r="AX299" s="468"/>
      <c r="AY299" s="1750"/>
      <c r="AZ299" s="1750"/>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696"/>
      <c r="CQ299" s="1696"/>
      <c r="CR299" s="1809"/>
      <c r="CS299" s="1811"/>
      <c r="CU299" s="1688"/>
      <c r="CV299" s="1703"/>
      <c r="CW299" s="1703"/>
      <c r="CX299" s="1813"/>
      <c r="CY299" s="1815"/>
      <c r="CZ299" s="1711"/>
      <c r="DA299" s="1815"/>
      <c r="DB299" s="1821"/>
      <c r="DC299" s="1821"/>
      <c r="DD299" s="1821"/>
      <c r="DF299" s="1703"/>
      <c r="DG299" s="1831"/>
      <c r="DH299" s="1813"/>
      <c r="DI299" s="1838"/>
      <c r="DJ299" s="1711"/>
      <c r="DK299" s="1712"/>
      <c r="DN299" s="1718"/>
      <c r="DO299" s="1709"/>
      <c r="DQ299" s="1715"/>
      <c r="DR299" s="1720"/>
      <c r="DS299" s="1703"/>
      <c r="DT299" s="1714"/>
      <c r="DU299" s="1715"/>
      <c r="DV299" s="1716"/>
      <c r="DX299" s="1715"/>
      <c r="DY299" s="1720"/>
      <c r="DZ299" s="1715"/>
      <c r="EA299" s="1715"/>
      <c r="EC299" s="1834"/>
      <c r="ED299" s="1834"/>
      <c r="EF299" s="1707"/>
      <c r="EG299" s="1712"/>
      <c r="EH299" s="1815"/>
      <c r="EI299" s="1712"/>
      <c r="EJ299" s="1712"/>
      <c r="EK299" s="1813"/>
      <c r="EL299" s="1813"/>
      <c r="EM299" s="1807"/>
      <c r="EN299" s="1839"/>
      <c r="EO299" s="1839"/>
      <c r="EP299" s="1817"/>
      <c r="EQ299" s="1817"/>
      <c r="ER299" s="1807"/>
      <c r="ES299" s="1807"/>
      <c r="ET299" s="1807"/>
      <c r="EV299" s="1715"/>
      <c r="EX299" s="1806"/>
      <c r="EY299" s="1806"/>
      <c r="EZ299" s="1806"/>
      <c r="FA299" s="1806"/>
      <c r="FB299" s="1806"/>
      <c r="FC299" s="1828"/>
      <c r="FE299" s="1698"/>
      <c r="FG299" s="1703"/>
      <c r="FH299" s="1703"/>
      <c r="FI299" s="133"/>
      <c r="FL299" s="1823"/>
      <c r="FM299" s="1825"/>
      <c r="FN299" s="1698"/>
      <c r="FO299" s="1698"/>
      <c r="FP299" s="1678"/>
      <c r="FQ299" s="1698"/>
      <c r="FS299" s="1687"/>
      <c r="FT299" s="1687"/>
      <c r="FU299" s="1685"/>
      <c r="FV299" s="1687"/>
      <c r="FW299" s="1687"/>
      <c r="FX299" s="1687"/>
      <c r="FY299" s="1697"/>
      <c r="GA299" s="1696"/>
      <c r="GB299" s="1696"/>
      <c r="GC299" s="1696"/>
      <c r="GD299" s="1696"/>
      <c r="GE299" s="1696"/>
      <c r="GF299" s="1696"/>
      <c r="GG299" s="1696"/>
      <c r="GH299" s="1696"/>
      <c r="GI299" s="673"/>
      <c r="GJ299" s="1135"/>
      <c r="GK299" s="1832"/>
      <c r="GN299" s="674">
        <f>IF(GN297=TRUE,0,GN$16)</f>
        <v>0</v>
      </c>
      <c r="GP299" s="674">
        <f>IF(GP297=TRUE,0,GP$16)</f>
        <v>36</v>
      </c>
      <c r="GQ299" s="674">
        <f ca="1">IF(GQ297=TRUE,0,GQ$16)</f>
        <v>35</v>
      </c>
      <c r="GR299" s="391"/>
      <c r="GS299" s="391"/>
      <c r="GT299" s="391"/>
      <c r="GU299" s="391"/>
      <c r="GV299" s="391"/>
      <c r="HG299" s="674">
        <f>IF(HG297=TRUE,0,HG$16)</f>
        <v>0</v>
      </c>
      <c r="HH299" s="674">
        <f t="shared" ref="HH299:HM299" si="258">IF(HH297=TRUE,0,HH$16)</f>
        <v>19</v>
      </c>
      <c r="HI299" s="674">
        <f t="shared" si="258"/>
        <v>18</v>
      </c>
      <c r="HJ299" s="674">
        <f t="shared" si="258"/>
        <v>17</v>
      </c>
      <c r="HK299" s="674">
        <f t="shared" si="258"/>
        <v>16</v>
      </c>
      <c r="HL299" s="674">
        <f t="shared" si="258"/>
        <v>0</v>
      </c>
      <c r="HM299" s="674">
        <f t="shared" si="258"/>
        <v>0</v>
      </c>
      <c r="HN299" s="674">
        <f>IF(HN297=TRUE,0,HN$16)</f>
        <v>13</v>
      </c>
      <c r="HO299" s="674">
        <f t="shared" ref="HO299:HQ299" si="259">IF(HO297=TRUE,0,HO$16)</f>
        <v>0</v>
      </c>
      <c r="HP299" s="674">
        <f t="shared" si="259"/>
        <v>0</v>
      </c>
      <c r="HQ299" s="674">
        <f t="shared" si="259"/>
        <v>10</v>
      </c>
      <c r="HR299" s="674">
        <f>IF(HR297=TRUE,0,HR$16)</f>
        <v>9</v>
      </c>
      <c r="HS299" s="674">
        <f t="shared" ref="HS299:HW299" si="260">IF(HS297=TRUE,0,HS$16)</f>
        <v>0</v>
      </c>
      <c r="HT299" s="674">
        <f t="shared" si="260"/>
        <v>0</v>
      </c>
      <c r="HU299" s="674">
        <f t="shared" si="260"/>
        <v>0</v>
      </c>
      <c r="HV299" s="674">
        <f t="shared" si="260"/>
        <v>0</v>
      </c>
      <c r="HW299" s="674">
        <f t="shared" si="260"/>
        <v>0</v>
      </c>
      <c r="HX299" s="674">
        <f>IF(HX297=TRUE,0,HX$16)</f>
        <v>0</v>
      </c>
      <c r="HY299" s="674">
        <f>IF(HY297=TRUE,0,HY$16)</f>
        <v>0</v>
      </c>
      <c r="HZ299" s="674">
        <f>IF(HZ297=TRUE,0,HZ$16)</f>
        <v>1</v>
      </c>
      <c r="IB299" s="674">
        <f>IF(GP297=FALSE,GP299,IF(GQ297=FALSE,GQ299,MAX(GN299:HZ299)))</f>
        <v>36</v>
      </c>
      <c r="IC299" s="1692"/>
      <c r="ID299" s="205" t="str">
        <f>VLOOKUP(IB299,_Error_Table,3,FALSE)</f>
        <v xml:space="preserve"> </v>
      </c>
      <c r="IE299" s="205"/>
      <c r="IF299" s="1688"/>
      <c r="IG299" s="1689"/>
      <c r="IH299" s="1684"/>
      <c r="IK299" s="1689"/>
      <c r="IL299" s="1692"/>
      <c r="IM299" s="1692"/>
      <c r="IN299" s="1692"/>
      <c r="IP299" s="1679"/>
      <c r="IQ299" s="1679"/>
      <c r="IR299" s="1679"/>
      <c r="IS299" s="1679"/>
      <c r="IT299" s="1679"/>
      <c r="IU299" s="1679"/>
      <c r="IV299" s="1679"/>
      <c r="IW299" s="1679"/>
      <c r="IX299" s="1679"/>
      <c r="IY299" s="1679"/>
      <c r="IZ299" s="1679"/>
      <c r="JA299" s="1679"/>
      <c r="JC299" s="1680"/>
      <c r="JD299" s="1670"/>
      <c r="JE299" s="1681"/>
      <c r="JG299" s="1680"/>
      <c r="JH299" s="1670"/>
      <c r="JI299" s="1060"/>
      <c r="JJ299" s="1670"/>
      <c r="JK299" s="1061"/>
      <c r="JL299" s="1670"/>
      <c r="JM299" s="1061"/>
      <c r="JN299" s="1670"/>
      <c r="JO299" s="1061"/>
      <c r="JP299" s="1670"/>
      <c r="JQ299" s="1061"/>
      <c r="JR299" s="1670"/>
      <c r="JS299" s="1061"/>
      <c r="JT299" s="1670"/>
      <c r="JU299" s="1061"/>
      <c r="JV299" s="1670"/>
      <c r="JX299" s="1670"/>
      <c r="JZ299" s="1670"/>
      <c r="KB299" s="1670"/>
    </row>
    <row r="300" spans="1:288" s="78" customFormat="1" ht="5.0999999999999996" customHeight="1">
      <c r="B300" s="676"/>
      <c r="C300" s="392"/>
      <c r="D300" s="392"/>
      <c r="E300" s="1733"/>
      <c r="F300" s="1733"/>
      <c r="G300" s="1733"/>
      <c r="H300" s="1733"/>
      <c r="I300" s="1733"/>
      <c r="J300" s="1733"/>
      <c r="K300" s="1733"/>
      <c r="L300" s="1733"/>
      <c r="M300" s="1733"/>
      <c r="N300" s="1733"/>
      <c r="O300" s="1733"/>
      <c r="P300" s="1733"/>
      <c r="Q300" s="1733"/>
      <c r="R300" s="1733"/>
      <c r="S300" s="1733"/>
      <c r="T300" s="1733"/>
      <c r="U300" s="1733"/>
      <c r="V300" s="1733"/>
      <c r="W300" s="1733"/>
      <c r="X300" s="1733"/>
      <c r="Y300" s="1733"/>
      <c r="Z300" s="1733"/>
      <c r="AA300" s="1733"/>
      <c r="AB300" s="1733"/>
      <c r="AC300" s="1733"/>
      <c r="AD300" s="1733"/>
      <c r="AE300" s="1733"/>
      <c r="AF300" s="1733"/>
      <c r="AG300" s="1733"/>
      <c r="AH300" s="1733"/>
      <c r="AI300" s="1733"/>
      <c r="AJ300" s="1733"/>
      <c r="AK300" s="1733"/>
      <c r="AL300" s="1733"/>
      <c r="AM300" s="1733"/>
      <c r="AN300" s="1733"/>
      <c r="AO300" s="1733"/>
      <c r="AP300" s="1733"/>
      <c r="AQ300" s="1733"/>
      <c r="AR300" s="1733"/>
      <c r="AS300" s="1733"/>
      <c r="AT300" s="1733"/>
      <c r="AU300" s="1733"/>
      <c r="AV300" s="1733"/>
      <c r="AW300" s="1733"/>
      <c r="AX300" s="469"/>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663"/>
      <c r="CQ300" s="663"/>
      <c r="CR300" s="438"/>
      <c r="CS300" s="663"/>
      <c r="CV300" s="391"/>
      <c r="CW300" s="391"/>
      <c r="CX300" s="207"/>
      <c r="CY300" s="208"/>
      <c r="CZ300" s="208"/>
      <c r="DA300" s="208"/>
      <c r="DB300" s="209"/>
      <c r="DC300" s="209"/>
      <c r="DD300" s="209"/>
      <c r="DF300" s="664"/>
      <c r="DG300" s="665"/>
      <c r="DH300" s="666"/>
      <c r="DI300" s="667"/>
      <c r="DJ300" s="668"/>
      <c r="DK300" s="668"/>
      <c r="DN300" s="208"/>
      <c r="DO300" s="664"/>
      <c r="DQ300" s="664"/>
      <c r="DR300" s="669"/>
      <c r="DS300" s="391"/>
      <c r="DT300" s="664"/>
      <c r="DU300" s="664"/>
      <c r="DV300" s="664"/>
      <c r="DX300" s="664"/>
      <c r="DY300" s="664"/>
      <c r="DZ300" s="664"/>
      <c r="EA300" s="664"/>
      <c r="EC300" s="670"/>
      <c r="ED300" s="670"/>
      <c r="EF300" s="668"/>
      <c r="EG300" s="668"/>
      <c r="EH300" s="208"/>
      <c r="EI300" s="668"/>
      <c r="EJ300" s="668"/>
      <c r="EK300" s="207"/>
      <c r="EL300" s="207"/>
      <c r="EM300" s="666"/>
      <c r="EN300" s="671"/>
      <c r="EO300" s="671"/>
      <c r="EP300" s="672"/>
      <c r="EQ300" s="672"/>
      <c r="ER300" s="666"/>
      <c r="ES300" s="666"/>
      <c r="ET300" s="666"/>
      <c r="EV300" s="664"/>
      <c r="EX300" s="391"/>
      <c r="EY300" s="391"/>
      <c r="EZ300" s="391"/>
      <c r="FA300" s="391"/>
      <c r="FB300" s="391"/>
      <c r="FC300" s="391"/>
      <c r="FE300" s="569"/>
      <c r="FG300" s="391"/>
      <c r="FH300" s="391"/>
      <c r="FI300" s="391"/>
      <c r="FS300" s="664"/>
      <c r="FT300" s="391"/>
      <c r="FU300" s="391"/>
      <c r="FV300" s="664"/>
      <c r="FW300" s="664"/>
      <c r="GA300" s="663"/>
      <c r="GB300" s="663"/>
      <c r="GC300" s="663"/>
      <c r="GD300" s="663"/>
      <c r="GE300" s="663"/>
      <c r="GF300" s="663"/>
      <c r="GG300" s="663"/>
      <c r="GH300" s="663"/>
      <c r="GI300" s="665"/>
      <c r="GJ300" s="664"/>
      <c r="GK300" s="664"/>
    </row>
    <row r="301" spans="1:288" s="78" customFormat="1" ht="14.95" customHeight="1">
      <c r="B301" s="1845" t="str">
        <f>ID304</f>
        <v xml:space="preserve"> </v>
      </c>
      <c r="C301" s="1846">
        <f>C296+1</f>
        <v>50</v>
      </c>
      <c r="D301" s="1847"/>
      <c r="E301" s="1799" t="s">
        <v>295</v>
      </c>
      <c r="F301" s="1800"/>
      <c r="G301" s="1741"/>
      <c r="H301" s="1742"/>
      <c r="I301" s="1742"/>
      <c r="J301" s="1742"/>
      <c r="K301" s="1742"/>
      <c r="L301" s="1742"/>
      <c r="M301" s="1742"/>
      <c r="N301" s="1742"/>
      <c r="O301" s="1742"/>
      <c r="P301" s="1742"/>
      <c r="Q301" s="1742"/>
      <c r="R301" s="1742"/>
      <c r="S301" s="1791" t="s">
        <v>344</v>
      </c>
      <c r="T301" s="590"/>
      <c r="U301" s="1743"/>
      <c r="V301" s="1744"/>
      <c r="W301" s="1744"/>
      <c r="X301" s="1744"/>
      <c r="Y301" s="1744"/>
      <c r="Z301" s="1744"/>
      <c r="AA301" s="1744"/>
      <c r="AB301" s="961" t="str">
        <f>IFERROR(IF(__Retrofit_TI_NC=0,VLOOKUP(U302,Fixtures_Existing_List,2,FALSE),ROUND(N303*R303/T303,10)),"")</f>
        <v/>
      </c>
      <c r="AC301" s="935" t="str">
        <f>IFERROR(IF(__Retrofit_TI_NC=0,ROUND(T302*AB301*N302*R302/1000,0),IF(CQ301="Interior",N303*R303*R302*N302*_C406_reduction/1000,N303*R303*R302*N302/1000)),"")</f>
        <v/>
      </c>
      <c r="AD301" s="936" t="str">
        <f>IFERROR(IF(C$43=0,ROUND(T302*AB301/1000,2),N303*R303/1000),"")</f>
        <v/>
      </c>
      <c r="AE301" s="997"/>
      <c r="AF301" s="937"/>
      <c r="AG301" s="1745" t="str">
        <f>IF(__Retrofit_TI_NC=0," Control","Select Advanced Control for New System")</f>
        <v xml:space="preserve"> Control</v>
      </c>
      <c r="AH301" s="1745"/>
      <c r="AI301" s="1745"/>
      <c r="AJ301" s="1745"/>
      <c r="AK301" s="1745"/>
      <c r="AL301" s="1745"/>
      <c r="AM301" s="1746">
        <f>IFERROR(DI301,"")</f>
        <v>0</v>
      </c>
      <c r="AN301" s="1774" t="str">
        <f>IFERROR(ROUND(AM301*AC301,0),"")</f>
        <v/>
      </c>
      <c r="AO301" s="1776">
        <f>IFERROR(IF(IB301=FALSE,0,AC301-AN301),0)</f>
        <v>0</v>
      </c>
      <c r="AP301" s="1778">
        <f>AO301-AO303</f>
        <v>0</v>
      </c>
      <c r="AQ301" s="1779"/>
      <c r="AR301" s="1793">
        <f>IFERROR(IF(IB301=FALSE,0,(T303*U304)+(AF303*AG304)),0)</f>
        <v>0</v>
      </c>
      <c r="AS301" s="1793"/>
      <c r="AT301" s="1794"/>
      <c r="AU301" s="1734" t="s">
        <v>237</v>
      </c>
      <c r="AV301" s="1751">
        <f>IF(AU301="Yes",1,0)</f>
        <v>1</v>
      </c>
      <c r="AW301" s="1704" t="str">
        <f>IF(OR(DQ301=4,DQ301=5,DQ301=6,DQ301=12),CONCATENATE("$",IF(GH301=TRUE,Lookup!$K$10,Lookup!$K$2)," /lamp"),CONCATENATE(TEXT(ED301,"$0.00"),"/ kWh"))</f>
        <v>$0.00/ kWh</v>
      </c>
      <c r="AX301" s="467"/>
      <c r="AY301" s="1748">
        <f ca="1">IFERROR(IF(GM302=TRUE,(AB304*T303)/R303,0),"NA")</f>
        <v>0</v>
      </c>
      <c r="AZ301" s="1748"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696" t="str">
        <f>N302</f>
        <v/>
      </c>
      <c r="CQ301" s="1696" t="str">
        <f>IFERROR(VLOOKUP(G302,_Lookup_Heat_Type_Table_New,3,FALSE),"")</f>
        <v/>
      </c>
      <c r="CR301" s="1808" t="str">
        <f>CQ301</f>
        <v/>
      </c>
      <c r="CS301" s="1810" t="str">
        <f>IFERROR(VLOOKUP(G303,'Space Table'!$B$3:$L$163,9,FALSE),"")</f>
        <v/>
      </c>
      <c r="CU301" s="1688" t="s">
        <v>344</v>
      </c>
      <c r="CV301" s="1702">
        <f>IF(IB301=TRUE,T302,0)</f>
        <v>0</v>
      </c>
      <c r="CW301" s="1702" t="str">
        <f>IF(IB301=TRUE,U302,"")</f>
        <v/>
      </c>
      <c r="CX301" s="1702"/>
      <c r="CY301" s="1814">
        <f>IF(IB301=TRUE,AB301,0)</f>
        <v>0</v>
      </c>
      <c r="CZ301" s="1710">
        <f>IF(AND(__Retrofit_TI_NC&gt;0,CR301="interior"),0,IF(IB301=TRUE,AC301,0))</f>
        <v>0</v>
      </c>
      <c r="DA301" s="1814">
        <f>IFERROR(IF(IB301=TRUE,CZ301-CZ303,0),0)</f>
        <v>0</v>
      </c>
      <c r="DB301" s="1819">
        <f>IF(IB301=TRUE,AD301,0)</f>
        <v>0</v>
      </c>
      <c r="DC301" s="1819">
        <f>IF(IB301=TRUE,AD304,0)</f>
        <v>0</v>
      </c>
      <c r="DD301" s="1819">
        <f>IFERROR(DB301-DC301,0)</f>
        <v>0</v>
      </c>
      <c r="DF301" s="1702">
        <f>IF(IB301=TRUE,AF302,0)</f>
        <v>0</v>
      </c>
      <c r="DG301" s="1830">
        <f>IFERROR(IF(__Retrofit_TI_NC=2,IF(CQ301="Exterior",O304,FQ301),FN301),"")</f>
        <v>0</v>
      </c>
      <c r="DH301" s="1702"/>
      <c r="DI301" s="1837">
        <f>JE301</f>
        <v>0</v>
      </c>
      <c r="DJ301" s="1710">
        <f>IF(AND(__Retrofit_TI_NC&gt;0,CR301="interior"),0,IF(IB301=TRUE,AN301,0))</f>
        <v>0</v>
      </c>
      <c r="DK301" s="1712">
        <f>IFERROR(IF(IB301=TRUE,DJ303-DJ301,0),0)</f>
        <v>0</v>
      </c>
      <c r="DM301" s="1717">
        <f>IFERROR(CZ301-DJ301,0)</f>
        <v>0</v>
      </c>
      <c r="DO301" s="1708">
        <f>DM301-DN303</f>
        <v>0</v>
      </c>
      <c r="DQ301" s="1715" t="str">
        <f>IFERROR(IF(AND(OR(GC301=4,GC301=5,GC301=6),OR(GF301=4,GF301=5,GF301=6)),GC301+8,VLOOKUP(CW303,Fixtures!R$31:Y$78,8,FALSE)),"")</f>
        <v/>
      </c>
      <c r="DR301" s="1829" t="str">
        <f>DQ301</f>
        <v/>
      </c>
      <c r="DS301" s="1702" t="str">
        <f>IFERROR(VLOOKUP(DG303,Lookup!BB$3:BC$20,2,FALSE),"")</f>
        <v/>
      </c>
      <c r="DT301" s="1713" t="str">
        <f>IF(OR(DS301=7,DS301=8,DS301=9),"ALC","")</f>
        <v/>
      </c>
      <c r="DU301" s="1715">
        <f>IFERROR(IF(OR(DQ301=4,DQ301=5,DQ301=6,DQ301=12,DQ301=13,DQ301=14),VLOOKUP(CW303,Fixtures!DN$27:EG$77,19,FALSE),1)*CV303,0)</f>
        <v>0</v>
      </c>
      <c r="DV301" s="1716">
        <f>IF(OR(DS301=7,DS301=8,DS301=9),IF(DG301=DG303,0,DF303),0)</f>
        <v>0</v>
      </c>
      <c r="DX301" s="1715" t="str">
        <f>IFERROR(IF(EZ301&lt;EZ303,"Yes","No"),"")</f>
        <v/>
      </c>
      <c r="DY301" s="1829" t="str">
        <f>DX301</f>
        <v/>
      </c>
      <c r="DZ301" s="1715">
        <f>IF(DX301="Yes",DF303,0)</f>
        <v>0</v>
      </c>
      <c r="EA301" s="1715">
        <f>DZ301-DV301</f>
        <v>0</v>
      </c>
      <c r="EC301" s="1834">
        <f>IFERROR(VLOOKUP(DQ301,Lookup!AU$3:AV$16,2,FALSE),0)</f>
        <v>0</v>
      </c>
      <c r="ED301" s="1834">
        <f>IF(IB301=FALSE,0,IF(DX301="Yes",EC301+Lookup!K$6,EC301))</f>
        <v>0</v>
      </c>
      <c r="EF301" s="1707">
        <f>IF(IB301=TRUE,DM301,0)</f>
        <v>0</v>
      </c>
      <c r="EG301" s="1712">
        <f>IF(IB301=TRUE,CZ303,0)</f>
        <v>0</v>
      </c>
      <c r="EH301" s="1814">
        <f>IFERROR(EF301-EG301,0)</f>
        <v>0</v>
      </c>
      <c r="EI301" s="1712">
        <f>IF(IB301=TRUE,DJ303,0)</f>
        <v>0</v>
      </c>
      <c r="EJ301" s="1712">
        <f>IFERROR(EF301-EG301+EI301,0)</f>
        <v>0</v>
      </c>
      <c r="EK301" s="1812">
        <f>IF(IB301=TRUE,CV303*CX303,0)</f>
        <v>0</v>
      </c>
      <c r="EL301" s="1812">
        <f>IF(IB301=TRUE,DF303*DH303,0)</f>
        <v>0</v>
      </c>
      <c r="EM301" s="1807">
        <f>AR301</f>
        <v>0</v>
      </c>
      <c r="EN301" s="1839" t="str">
        <f>IFERROR(IF(IB301=TRUE,VLOOKUP(DQ301,Lookup!AU$3:AW$16,3,FALSE)*DU301,""),0)</f>
        <v/>
      </c>
      <c r="EO301" s="1839">
        <f>IF(IB301=TRUE,DZ301*Lookup!AW$12,0)</f>
        <v>0</v>
      </c>
      <c r="EP301" s="1817">
        <f>IFERROR(IF(IB301=TRUE,EN301/EP$40,0),0)</f>
        <v>0</v>
      </c>
      <c r="EQ301" s="1817">
        <f>IF(IB301=TRUE,EO301/EQ$40,0)</f>
        <v>0</v>
      </c>
      <c r="ER301" s="1807">
        <f>IF(IB301=TRUE,ET$40*EP301,0)</f>
        <v>0</v>
      </c>
      <c r="ES301" s="1807">
        <f>IF(IB301=TRUE,ET$40*EQ301,0)</f>
        <v>0</v>
      </c>
      <c r="ET301" s="1807">
        <f>ER301+ES301</f>
        <v>0</v>
      </c>
      <c r="EV301" s="1715">
        <f>IF(G301="",0,1)</f>
        <v>0</v>
      </c>
      <c r="EX301" s="1804" t="str">
        <f>IFERROR(VLOOKUP(CS303,'Space Table'!$B$3:$L$163,8,FALSE),"")</f>
        <v/>
      </c>
      <c r="EY301" s="1804" t="str">
        <f>IFERROR(IF(FB301="Yes",VLOOKUP(DG301,Lookup_Control_Type_Table2,4,FALSE),VLOOKUP(DG301,Lookup_Control_Type_Table2,3,FALSE)),"")</f>
        <v/>
      </c>
      <c r="EZ301" s="1804" t="e">
        <f>VLOOKUP(DG301,Lookup!BB$3:BC$20,2,FALSE)</f>
        <v>#N/A</v>
      </c>
      <c r="FA301" s="1804" t="e">
        <f>VLOOKUP(EX301,Lookup_Control_Type_Table,2,FALSE)</f>
        <v>#N/A</v>
      </c>
      <c r="FB301" s="1804" t="e">
        <f>VLOOKUP(CS303,'Space Table'!$B$3:$L$163,7,FALSE)</f>
        <v>#N/A</v>
      </c>
      <c r="FC301" s="1826" t="b">
        <f>ISNUMBER(SEARCH("TLED",U303))</f>
        <v>0</v>
      </c>
      <c r="FE301" s="1698" t="str">
        <f>CONCATENATE(CQ301," - ",DG301)</f>
        <v xml:space="preserve"> - 0</v>
      </c>
      <c r="FG301" s="1702" t="str">
        <f>VLOOKUP(CW303,Fixtures!DN$27:EZ$77,38,FALSE)</f>
        <v/>
      </c>
      <c r="FH301" s="1702">
        <f>IFERROR(FG301*EH301,0)</f>
        <v>0</v>
      </c>
      <c r="FI301" s="133"/>
      <c r="FL301" s="1822" t="str">
        <f>IF(CQ301="Exterior","Not Daylighted",G304)</f>
        <v>Not Daylighted</v>
      </c>
      <c r="FM301" s="1824">
        <f>VLOOKUP(FL301,_New_Daylight_Table_Codes,2,FALSE)</f>
        <v>0</v>
      </c>
      <c r="FN301" s="1698">
        <f>IF(__Retrofit_TI_NC&gt;0,VLOOKUP(G303,'Space Table'!$B$3:$L$163,11,FALSE),AG302)</f>
        <v>0</v>
      </c>
      <c r="FO301" s="1698" t="e">
        <f>IF(__Retrofit_TI_NC=2,VLOOKUP(FQ301,_Control_Table,2,FALSE),VLOOKUP(FN301,_Control_Table,2,FALSE))</f>
        <v>#N/A</v>
      </c>
      <c r="FP301" s="1678" t="e">
        <f>VLOOKUP(CONCATENATE(FL301," ",FN301),Lookup!AY$102:AZ311,2,FALSE)</f>
        <v>#N/A</v>
      </c>
      <c r="FQ301" s="1678">
        <f>IF(__Retrofit_TI_NC=0,FN301,IF(AND(FT301&gt;0,FN301="Occupancy Sensor"),"Daylight + Occupancy",IF(AND(FT301&gt;0,VLOOKUP(FN301,_Control_Table,2,FALSE)&lt;4),"Interior Daylight Dimming",FN301)))</f>
        <v>0</v>
      </c>
      <c r="FS301" s="1686">
        <f>IF(CR301="Interior",VLOOKUP(CS301,Control_Savings_Interior,5,FALSE),0)</f>
        <v>0</v>
      </c>
      <c r="FT301" s="1687">
        <f>IF(CQ301="Exterior",0,IF(FM301=2,0.5,IF(OR(FM301=1,FM301=3),1,0)))</f>
        <v>0</v>
      </c>
      <c r="FU301" s="1685">
        <f>IF(R300&gt;FS$44,(FS301*(FS$44/R300)),FS301)*FT301</f>
        <v>0</v>
      </c>
      <c r="FV301" s="1686">
        <f>DI301</f>
        <v>0</v>
      </c>
      <c r="FW301" s="1686">
        <f>ROUND(FV301+((1-FV301)*FU301),2)</f>
        <v>0</v>
      </c>
      <c r="FX301" s="1686">
        <f>IF(__Retrofit_TI_NC=2,FW301,FV301)</f>
        <v>0</v>
      </c>
      <c r="FY301" s="1697"/>
      <c r="GA301" s="1696" t="str">
        <f>IFERROR(VLOOKUP(U302,_Exist_Fixture_Table,3,FALSE),"")</f>
        <v/>
      </c>
      <c r="GB301" s="1696" t="str">
        <f>VLOOKUP(CW301,_Exist_Fixture_Table,4,FALSE)</f>
        <v/>
      </c>
      <c r="GC301" s="1696">
        <f>IFERROR(VLOOKUP(GB301,Lookup!AT$6:AU$8,2,FALSE),0)</f>
        <v>0</v>
      </c>
      <c r="GD301" s="1696" t="b">
        <f>IFERROR(IF(OR(GF301=4,GF301=5,GF301=6),TRUE,FALSE),"")</f>
        <v>0</v>
      </c>
      <c r="GE301" s="1696" t="str">
        <f>IFERROR(VLOOKUP(GF301,GC$6:GD$10,2,FALSE),"")</f>
        <v/>
      </c>
      <c r="GF301" s="1696" t="str">
        <f>VLOOKUP(CW303,Fixtures!R$31:Y$78,8,FALSE)</f>
        <v/>
      </c>
      <c r="GG301" s="1696">
        <f>IF(AND(GA301=TRUE,GD301=TRUE,OR(DQ301=12,DQ301=13,DQ301=14)),GC301+8,0)</f>
        <v>0</v>
      </c>
      <c r="GH301" s="1696" t="b">
        <f>IF(OR(GG301=12,GG301=13,GG301=14),TRUE,FALSE)</f>
        <v>0</v>
      </c>
      <c r="GI301" s="673" t="b">
        <f>IF(ISNUMBER(SEARCH("TLED",U302)),TRUE,FALSE)</f>
        <v>0</v>
      </c>
      <c r="GJ301" s="1135" t="str">
        <f>IFERROR(VLOOKUP(U302,Fixtures!BM$93:BR$142,6,FALSE),"")</f>
        <v/>
      </c>
      <c r="GK301" s="1832" t="b">
        <f>IF(OR(GI301=FALSE,GI303=FALSE),TRUE,IF(GJ301-GJ303&lt;5,FALSE,TRUE))</f>
        <v>1</v>
      </c>
      <c r="GO301" s="674">
        <f>GP301</f>
        <v>0</v>
      </c>
      <c r="GP301" s="674">
        <f>IF(G301="",0,1)</f>
        <v>0</v>
      </c>
      <c r="GQ301" s="674">
        <f ca="1">SUM(GR301:HF301)</f>
        <v>2</v>
      </c>
      <c r="GR301" s="674">
        <f>IF(G302="",0,1)</f>
        <v>0</v>
      </c>
      <c r="GS301" s="674">
        <f>IF(N304="BAM",1,IF(G303="",0,1))</f>
        <v>0</v>
      </c>
      <c r="GT301" s="674">
        <f>IF(N304="BAM",1,IF(R302="",0,1))</f>
        <v>0</v>
      </c>
      <c r="GU301" s="674">
        <f>IF(N304="BAM",1,IF(__Retrofit_TI_NC=0,1,IF(R303="",0,1)))</f>
        <v>1</v>
      </c>
      <c r="GV301" s="674">
        <f>IF(N304="BAM",1,IF(CQ301="Exterior",1,IF(G304="",0,1)))</f>
        <v>1</v>
      </c>
      <c r="GW301" s="674">
        <f>IF(__Retrofit_TI_NC&gt;0,1,IF(T302="",0,1))</f>
        <v>0</v>
      </c>
      <c r="GX301" s="674">
        <f>IF(__Retrofit_TI_NC&gt;0,1,IF(U302="",0,1))</f>
        <v>0</v>
      </c>
      <c r="GY301" s="674">
        <f>IF(N304="BAM",1,IF(T303="",0,1))</f>
        <v>0</v>
      </c>
      <c r="GZ301" s="674">
        <f>IF(N304="BAM",1,IF(U303="",0,1))</f>
        <v>0</v>
      </c>
      <c r="HA301" s="674">
        <f ca="1">IF(N304="BAM",1,IF(__Retrofit_TI_NC&gt;0,1,IF(U304="",0,1)))</f>
        <v>0</v>
      </c>
      <c r="HB301" s="674">
        <f>IF(__Retrofit_TI_NC&lt;&gt;0,1,IF(AF302="",0,1))</f>
        <v>0</v>
      </c>
      <c r="HC301" s="674">
        <f>IF(__Retrofit_TI_NC&lt;&gt;0,1,IF(AG302="",0,1))</f>
        <v>0</v>
      </c>
      <c r="HD301" s="674">
        <f>IF(N304="BAM",1,IF(AF303="",0,1))</f>
        <v>0</v>
      </c>
      <c r="HE301" s="674">
        <f>IF(N304="BAM",1,IF(AG303="",0,1))</f>
        <v>0</v>
      </c>
      <c r="HF301" s="674">
        <f>IF(N304="BAM",1,IF(__Retrofit_TI_NC&gt;0,1,IF(AG304="",0,1)))</f>
        <v>0</v>
      </c>
      <c r="HG301" s="391"/>
      <c r="IA301" s="391"/>
      <c r="IB301" s="1693" t="b">
        <f>IF(OR(IB304=0,IB304=HY$16,IB304=HX$16,IB304=HZ$16),TRUE,FALSE)</f>
        <v>0</v>
      </c>
      <c r="IC301" s="1694" t="b">
        <f>IB301</f>
        <v>0</v>
      </c>
      <c r="ID301" s="391"/>
      <c r="IE301" s="391"/>
      <c r="IF301" s="1688" t="b">
        <f ca="1">IF(MAX(GN304:HU304)&gt;5,FALSE,TRUE)</f>
        <v>0</v>
      </c>
      <c r="IG301" s="1689">
        <f ca="1">IF(IF301=TRUE,AC301,0)</f>
        <v>0</v>
      </c>
      <c r="IH301" s="1689">
        <f ca="1">IG301-IG303</f>
        <v>0</v>
      </c>
      <c r="IK301" s="1689" t="e">
        <f>ROUND(T302*VLOOKUP(U302,Fixtures_Existing_List,2,FALSE)*N302*R302/1000,0)</f>
        <v>#N/A</v>
      </c>
      <c r="IL301" s="1690" t="e">
        <f>IK301-IK303</f>
        <v>#N/A</v>
      </c>
      <c r="IM301" s="1693" t="e">
        <f>ROUND(IF(CQ301="Interior",N303*R303*R302*N302*_C406_reduction/1000,N303*R303*R302*N302/1000),0)</f>
        <v>#N/A</v>
      </c>
      <c r="IN301" s="1693" t="e">
        <f>IM301-IM303</f>
        <v>#N/A</v>
      </c>
      <c r="IP301" s="1679"/>
      <c r="IQ301" s="1679" t="e">
        <f t="shared" ref="IQ301:IU301" si="261">IF($CR301="interior",VLOOKUP($CS301,_New_Control_Savings_Interior,IQ$30,FALSE),VLOOKUP($CS301,Control_Savings_Exterior,IQ$30,FALSE))</f>
        <v>#N/A</v>
      </c>
      <c r="IR301" s="1679" t="e">
        <f t="shared" si="261"/>
        <v>#N/A</v>
      </c>
      <c r="IS301" s="1679" t="e">
        <f t="shared" si="261"/>
        <v>#N/A</v>
      </c>
      <c r="IT301" s="1679" t="e">
        <f t="shared" si="261"/>
        <v>#N/A</v>
      </c>
      <c r="IU301" s="1679" t="e">
        <f t="shared" si="261"/>
        <v>#N/A</v>
      </c>
      <c r="IV301" s="1679" t="e">
        <f>IF($CR301="interior",IF(R302&gt;$IP$14,ROUND(($IV$18*($IP$14/R302)),2),$IV$18),VLOOKUP($CS301,Control_Savings_Exterior,IV$30,FALSE))</f>
        <v>#N/A</v>
      </c>
      <c r="IW301" s="1679" t="e">
        <f>IF($CR301="interior",ROUND(((1-IS301)*IV301)+IS301,2),VLOOKUP($CS301,Control_Savings_Exterior,IW$30,FALSE))</f>
        <v>#N/A</v>
      </c>
      <c r="IX301" s="1679" t="e">
        <f>IF($CR301="interior",ROUND(((1-IT301)*IV301)+IT301,2),VLOOKUP($CS301,Control_Savings_Exterior,IX$30,FALSE))</f>
        <v>#N/A</v>
      </c>
      <c r="IY301" s="1679" t="e">
        <f>IF($CR301="interior",IF(R302&gt;$IP$14,ROUND(($IY$18*($IP$14/R302)),2),$IY$18),VLOOKUP($CS301,Control_Savings_Exterior,IY$30,FALSE))</f>
        <v>#N/A</v>
      </c>
      <c r="IZ301" s="1679" t="e">
        <f>IF($CR301="interior",ROUND(((1-IS301)*IY301)+IS301,2),VLOOKUP($CS301,Control_Savings_Exterior,IZ$30,FALSE))</f>
        <v>#N/A</v>
      </c>
      <c r="JA301" s="1679" t="e">
        <f>IF($CR301="interior",ROUND(((1-IT301)*IY301)+IT301,2),VLOOKUP($CS301,Control_Savings_Exterior,JA$30,FALSE))</f>
        <v>#N/A</v>
      </c>
      <c r="JC301" s="1680">
        <f>IFERROR(IF(CR301="Interior",CONCATENATE(G304," ",FQ301),FQ301),"")</f>
        <v>0</v>
      </c>
      <c r="JD301" s="1670" t="str">
        <f>IFERROR(VLOOKUP(JC301,_Controls_2023,2,FALSE),"")</f>
        <v/>
      </c>
      <c r="JE301" s="1681">
        <f>IFERROR(CHOOSE(JD301-1,IQ301,IR301,IS301,IT301,IU301,IV301,IW301,IX301,IY301,IZ301,JA301),0)</f>
        <v>0</v>
      </c>
      <c r="JG301" s="1680" t="str">
        <f>FE301</f>
        <v xml:space="preserve"> - 0</v>
      </c>
      <c r="JH301" s="1670" t="e">
        <f>$FO301</f>
        <v>#N/A</v>
      </c>
      <c r="JI301" s="1060"/>
      <c r="JJ301" s="1682" t="b">
        <f>IF($JG303=CONCATENATE("Interior - ",JJ$4),TRUE,FALSE)</f>
        <v>0</v>
      </c>
      <c r="JK301" s="1061"/>
      <c r="JL301" s="1682" t="b">
        <f>IF($JG303=CONCATENATE("Interior - ",JL$4),TRUE,FALSE)</f>
        <v>0</v>
      </c>
      <c r="JM301" s="1061"/>
      <c r="JN301" s="1682" t="b">
        <f>IF($JG303=CONCATENATE("Interior - ",JN$4),TRUE,FALSE)</f>
        <v>0</v>
      </c>
      <c r="JO301" s="1061"/>
      <c r="JP301" s="1682" t="b">
        <f>IF(__Retrofit_TI_NC&gt;0,FALSE,IF($JG303=CONCATENATE("Interior - ",JP$4),TRUE,FALSE))</f>
        <v>0</v>
      </c>
      <c r="JQ301" s="1061"/>
      <c r="JR301" s="1682" t="b">
        <f>IF(__Retrofit_TI_NC&gt;0,FALSE,IF($JG303=CONCATENATE("Interior - ",JR$4),TRUE,FALSE))</f>
        <v>0</v>
      </c>
      <c r="JS301" s="1061"/>
      <c r="JT301" s="1670" t="b">
        <f>IF(__Retrofit_TI_NC&gt;0,FALSE,IF($JG303=CONCATENATE("Interior - ",JT$4),TRUE,FALSE))</f>
        <v>0</v>
      </c>
      <c r="JU301" s="1061"/>
      <c r="JV301" s="1670" t="b">
        <f>IF(JC303="AELC on Existing",TRUE,FALSE)</f>
        <v>0</v>
      </c>
      <c r="JX301" s="1670" t="b">
        <f>IF(OR(JG303="Exterior - AELC Occupancy based",JG303="Exterior - AELC Time based"),TRUE,FALSE)</f>
        <v>0</v>
      </c>
      <c r="JZ301" s="1682" t="b">
        <f>IF($JG303=CONCATENATE("Exterior - ",JZ$4),TRUE,FALSE)</f>
        <v>0</v>
      </c>
      <c r="KB301" s="1670" t="b">
        <f>IF(__Retrofit_TI_NC&gt;0,FALSE,IF($JG303=CONCATENATE("Interior - ",KB$4),TRUE,FALSE))</f>
        <v>0</v>
      </c>
    </row>
    <row r="302" spans="1:288" s="78" customFormat="1" ht="14.95" customHeight="1" thickTop="1" thickBot="1">
      <c r="B302" s="1845"/>
      <c r="C302" s="1846"/>
      <c r="D302" s="1847"/>
      <c r="E302" s="1737" t="s">
        <v>297</v>
      </c>
      <c r="F302" s="1738"/>
      <c r="G302" s="1739"/>
      <c r="H302" s="1739"/>
      <c r="I302" s="1739"/>
      <c r="J302" s="1739"/>
      <c r="K302" s="1739"/>
      <c r="L302" s="1739"/>
      <c r="M302" s="461" t="e">
        <f>IF(__Retrofit_TI_NC&lt;&gt;0,IF(VLOOKUP(G303,'Space Table'!$B$3:$L$163,3,FALSE)&gt;0,1,0),IF(__Retrofit_TI_NC=VLOOKUP(G303,'Space Table'!$B$3:$L$163,3,FALSE),1,0))</f>
        <v>#N/A</v>
      </c>
      <c r="N302" s="461" t="str">
        <f>IFERROR(VLOOKUP(G302,_Lookup_Heat_Type_Table_New,2,FALSE),"")</f>
        <v/>
      </c>
      <c r="O302" s="461">
        <f>IF(__Retrofit_TI_NC=1,CONCATENATE("TI ",G302),IF(__Retrofit_TI_NC=2,CONCATENATE("NC ",G302),G302))</f>
        <v>0</v>
      </c>
      <c r="P302" s="1740" t="s">
        <v>435</v>
      </c>
      <c r="Q302" s="1740"/>
      <c r="R302" s="595"/>
      <c r="S302" s="1792"/>
      <c r="T302" s="597"/>
      <c r="U302" s="1765"/>
      <c r="V302" s="1766"/>
      <c r="W302" s="1766"/>
      <c r="X302" s="1766"/>
      <c r="Y302" s="1766"/>
      <c r="Z302" s="1766"/>
      <c r="AA302" s="1766"/>
      <c r="AB302" s="1766"/>
      <c r="AC302" s="1766"/>
      <c r="AD302" s="1767"/>
      <c r="AE302" s="1000"/>
      <c r="AF302" s="597"/>
      <c r="AG302" s="1723"/>
      <c r="AH302" s="1724"/>
      <c r="AI302" s="1724"/>
      <c r="AJ302" s="1724"/>
      <c r="AK302" s="1725"/>
      <c r="AL302" s="996"/>
      <c r="AM302" s="1747"/>
      <c r="AN302" s="1775"/>
      <c r="AO302" s="1777"/>
      <c r="AP302" s="1780"/>
      <c r="AQ302" s="1781"/>
      <c r="AR302" s="1795"/>
      <c r="AS302" s="1795"/>
      <c r="AT302" s="1796"/>
      <c r="AU302" s="1735"/>
      <c r="AV302" s="1752"/>
      <c r="AW302" s="1705"/>
      <c r="AX302" s="467"/>
      <c r="AY302" s="1749"/>
      <c r="AZ302" s="1749"/>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696"/>
      <c r="CQ302" s="1696"/>
      <c r="CR302" s="1809"/>
      <c r="CS302" s="1811"/>
      <c r="CU302" s="1688"/>
      <c r="CV302" s="1703"/>
      <c r="CW302" s="1703"/>
      <c r="CX302" s="1703"/>
      <c r="CY302" s="1815"/>
      <c r="CZ302" s="1711"/>
      <c r="DA302" s="1818"/>
      <c r="DB302" s="1820"/>
      <c r="DC302" s="1820"/>
      <c r="DD302" s="1820"/>
      <c r="DF302" s="1703"/>
      <c r="DG302" s="1831"/>
      <c r="DH302" s="1703"/>
      <c r="DI302" s="1838"/>
      <c r="DJ302" s="1711"/>
      <c r="DK302" s="1712"/>
      <c r="DM302" s="1718"/>
      <c r="DO302" s="1708"/>
      <c r="DQ302" s="1715"/>
      <c r="DR302" s="1720"/>
      <c r="DS302" s="1816"/>
      <c r="DT302" s="1714"/>
      <c r="DU302" s="1715"/>
      <c r="DV302" s="1716"/>
      <c r="DX302" s="1715"/>
      <c r="DY302" s="1720"/>
      <c r="DZ302" s="1715"/>
      <c r="EA302" s="1715"/>
      <c r="EC302" s="1834"/>
      <c r="ED302" s="1834"/>
      <c r="EF302" s="1707"/>
      <c r="EG302" s="1712"/>
      <c r="EH302" s="1818"/>
      <c r="EI302" s="1712"/>
      <c r="EJ302" s="1712"/>
      <c r="EK302" s="1836"/>
      <c r="EL302" s="1836"/>
      <c r="EM302" s="1807"/>
      <c r="EN302" s="1839"/>
      <c r="EO302" s="1839"/>
      <c r="EP302" s="1817"/>
      <c r="EQ302" s="1817"/>
      <c r="ER302" s="1807"/>
      <c r="ES302" s="1807"/>
      <c r="ET302" s="1807"/>
      <c r="EV302" s="1715"/>
      <c r="EX302" s="1805"/>
      <c r="EY302" s="1805"/>
      <c r="EZ302" s="1805"/>
      <c r="FA302" s="1805"/>
      <c r="FB302" s="1805"/>
      <c r="FC302" s="1827"/>
      <c r="FE302" s="1698"/>
      <c r="FG302" s="1816"/>
      <c r="FH302" s="1816"/>
      <c r="FI302" s="133"/>
      <c r="FL302" s="1823"/>
      <c r="FM302" s="1825"/>
      <c r="FN302" s="1698"/>
      <c r="FO302" s="1698"/>
      <c r="FP302" s="1678"/>
      <c r="FQ302" s="1678"/>
      <c r="FS302" s="1687"/>
      <c r="FT302" s="1687"/>
      <c r="FU302" s="1685"/>
      <c r="FV302" s="1687"/>
      <c r="FW302" s="1687"/>
      <c r="FX302" s="1687"/>
      <c r="FY302" s="1697"/>
      <c r="GA302" s="1696"/>
      <c r="GB302" s="1696"/>
      <c r="GC302" s="1696"/>
      <c r="GD302" s="1696"/>
      <c r="GE302" s="1696"/>
      <c r="GF302" s="1696"/>
      <c r="GG302" s="1696"/>
      <c r="GH302" s="1696"/>
      <c r="GI302" s="673"/>
      <c r="GJ302" s="1135"/>
      <c r="GK302" s="1832"/>
      <c r="GM302" s="1693" t="b">
        <f ca="1">IF(AND(GP302=TRUE,GQ302=TRUE),TRUE,FALSE)</f>
        <v>0</v>
      </c>
      <c r="GN302" s="1684" t="b">
        <f>IFERROR(IF(__Retrofit_TI_NC=2,TRUE,IF(AU301="Yes",TRUE,FALSE)),FALSE)</f>
        <v>1</v>
      </c>
      <c r="GP302" s="1684" t="b">
        <f>IFERROR(IF(GP301=1,TRUE,FALSE),FALSE)</f>
        <v>0</v>
      </c>
      <c r="GQ302" s="1684" t="b">
        <f ca="1">IFERROR(IF(GQ301=GQ$14,TRUE,FALSE),FALSE)</f>
        <v>0</v>
      </c>
      <c r="HG302" s="1684" t="b">
        <f>IFERROR(IF(AND(__Retrofit_TI_NC&gt;0,CQ301="Interior"),FALSE,TRUE),FALSE)</f>
        <v>1</v>
      </c>
      <c r="HH302" s="1684" t="b">
        <f>IFERROR(IF(M302=1,TRUE,FALSE),FALSE)</f>
        <v>0</v>
      </c>
      <c r="HI302" s="1684" t="b">
        <f>IFERROR(IF(OR(M303=1,N304="BAM"),TRUE,FALSE),FALSE)</f>
        <v>0</v>
      </c>
      <c r="HJ302" s="1684" t="b">
        <f>IFERROR(IF(__Retrofit_TI_NC&lt;&gt;0,TRUE,IFERROR(IF(VLOOKUP(U302,Fixtures_Existing_List,2,FALSE)&lt;&gt;"",TRUE,FALSE),FALSE)),FALSE)</f>
        <v>0</v>
      </c>
      <c r="HK302" s="1684" t="b">
        <f>IFERROR(IF(VLOOKUP(U303,Fixtures_Proposed_List,2,FALSE)&lt;&gt;"",TRUE,FALSE),FALSE)</f>
        <v>0</v>
      </c>
      <c r="HL302" s="1684" t="b">
        <f>IF(AND(__Retrofit_TI_NC=2,FC301=TRUE),FALSE,TRUE)</f>
        <v>1</v>
      </c>
      <c r="HM302" s="1684" t="b">
        <f>GK301</f>
        <v>1</v>
      </c>
      <c r="HN302" s="1682" t="b">
        <f>IF(ISERROR(MATCH(FE301,_Control_Match[],0))=TRUE,FALSE,TRUE)</f>
        <v>0</v>
      </c>
      <c r="HO302" s="1693" t="b">
        <f>IFERROR(IF(EX301&lt;&gt;EY301,FALSE,TRUE),FALSE)</f>
        <v>1</v>
      </c>
      <c r="HP302" s="1693" t="b">
        <f>IFERROR(IF(EX303&lt;&gt;EY303,FALSE,TRUE),FALSE)</f>
        <v>1</v>
      </c>
      <c r="HQ302" s="1670" t="b">
        <f>IFERROR(IF(CQ301="Exterior",TRUE,IF(AND(OR(FM303=0,FM303=3),JD303&gt;6),FALSE,TRUE)),FALSE)</f>
        <v>0</v>
      </c>
      <c r="HR302" s="1684" t="b">
        <f>IFERROR(IF(AND(FO303=7,FC301=TRUE),FALSE,TRUE),FALSE)</f>
        <v>0</v>
      </c>
      <c r="HS302" s="1684" t="b">
        <f>IFERROR(IF(AND(T303&lt;&gt;AF303,OR(AG303="Interior LLLC", AG303="Interior NLC", AG303="LLLC (outside Daylight)",AG303="LLLC Controls Only"))=TRUE,FALSE,TRUE),FALSE)</f>
        <v>1</v>
      </c>
      <c r="HT302" s="1670" t="b">
        <f>IFERROR(IF(OR(AG303=Lookup!BB$17,AG303=Lookup!BB$18,AG303=Lookup!BB$19)=TRUE,IF(AF303&gt;T303,FALSE,TRUE),TRUE),FALSE)</f>
        <v>1</v>
      </c>
      <c r="HU302" s="1684" t="b">
        <f>IFERROR(IF(__Retrofit_TI_NC=2,IF(EZ303&lt;EZ301,FALSE,TRUE),TRUE),FALSE)</f>
        <v>1</v>
      </c>
      <c r="HV302" s="1684" t="b">
        <f>IF(CQ301="Interior",IL$6,TRUE)</f>
        <v>1</v>
      </c>
      <c r="HW302" s="1684" t="b">
        <f>IF(CQ301="Exterior",IL$8,TRUE)</f>
        <v>1</v>
      </c>
      <c r="HX302" s="1684" t="b">
        <f>IFERROR(IF(__Retrofit_TI_NC&lt;&gt;0,IF(AZ301&lt;AY301,FALSE,TRUE),TRUE),FALSE)</f>
        <v>1</v>
      </c>
      <c r="HY302" s="1684" t="b">
        <f>IFERROR(IF(AND(G302="Exterior",R302&gt;4200),FALSE,TRUE),FALSE)</f>
        <v>1</v>
      </c>
      <c r="HZ302" s="1684" t="b">
        <f>IFERROR(IF(AB304/AB301&lt;HZ$18,FALSE,TRUE),FALSE)</f>
        <v>0</v>
      </c>
      <c r="IB302" s="1691"/>
      <c r="IC302" s="1695"/>
      <c r="ID302" s="1694" t="str">
        <f>VLOOKUP(IB304,_Error_Table,4,FALSE)</f>
        <v>White</v>
      </c>
      <c r="IE302" s="391"/>
      <c r="IF302" s="1688"/>
      <c r="IG302" s="1689"/>
      <c r="IH302" s="1684"/>
      <c r="IK302" s="1689"/>
      <c r="IL302" s="1691"/>
      <c r="IM302" s="1691"/>
      <c r="IN302" s="1691"/>
      <c r="IP302" s="1679"/>
      <c r="IQ302" s="1679"/>
      <c r="IR302" s="1679"/>
      <c r="IS302" s="1679"/>
      <c r="IT302" s="1679"/>
      <c r="IU302" s="1679"/>
      <c r="IV302" s="1679"/>
      <c r="IW302" s="1679"/>
      <c r="IX302" s="1679"/>
      <c r="IY302" s="1679"/>
      <c r="IZ302" s="1679"/>
      <c r="JA302" s="1679"/>
      <c r="JC302" s="1680"/>
      <c r="JD302" s="1670"/>
      <c r="JE302" s="1681"/>
      <c r="JG302" s="1680"/>
      <c r="JH302" s="1670"/>
      <c r="JI302" s="1060"/>
      <c r="JJ302" s="1683"/>
      <c r="JK302" s="1061"/>
      <c r="JL302" s="1683"/>
      <c r="JM302" s="1061"/>
      <c r="JN302" s="1683"/>
      <c r="JO302" s="1061"/>
      <c r="JP302" s="1683"/>
      <c r="JQ302" s="1061"/>
      <c r="JR302" s="1683"/>
      <c r="JS302" s="1061"/>
      <c r="JT302" s="1670"/>
      <c r="JU302" s="1061"/>
      <c r="JV302" s="1670"/>
      <c r="JX302" s="1670"/>
      <c r="JZ302" s="1683"/>
      <c r="KB302" s="1670"/>
    </row>
    <row r="303" spans="1:288" s="78" customFormat="1" ht="14.95" customHeight="1" thickTop="1" thickBot="1">
      <c r="A303" s="78">
        <f>ROW()</f>
        <v>303</v>
      </c>
      <c r="B303" s="1845"/>
      <c r="C303" s="1846"/>
      <c r="D303" s="1847"/>
      <c r="E303" s="1737" t="s">
        <v>298</v>
      </c>
      <c r="F303" s="1738"/>
      <c r="G303" s="1760"/>
      <c r="H303" s="1761"/>
      <c r="I303" s="1761"/>
      <c r="J303" s="1761"/>
      <c r="K303" s="1761"/>
      <c r="L303" s="1762"/>
      <c r="M303" s="461">
        <f>IFERROR(IF(IF(__Retrofit_TI_NC&lt;&gt;0,IF(CQ301="Interior",MATCH(G303,Lookup_Interior_New,0),MATCH(G303,Lookup_Exterior_New,0)),IF(CQ301="Interior",MATCH(G303,Lookup_Interior,0),MATCH(G303,Lookup_Exterior_Areas,0)))&gt;0,1,0),0)</f>
        <v>0</v>
      </c>
      <c r="N303" s="461" t="e">
        <f>IF(__Retrofit_TI_NC=1,
VLOOKUP(G303,'Space Table'!$B$3:$L$163,4,FALSE),
IF(__Retrofit_TI_NC=2,VLOOKUP(G303,'Space Table'!$B$3:$L$163,5,FALSE),VLOOKUP(G303,'Space Table'!$B$3:$L$163,5,FALSE)))</f>
        <v>#N/A</v>
      </c>
      <c r="O303" s="461">
        <f>G303</f>
        <v>0</v>
      </c>
      <c r="P303" s="1738" t="str">
        <f>IFERROR(IF(__Retrofit_TI_NC=1,VLOOKUP(G303,'Space Table'!$B$3:$O$163,13,FALSE),IF(__Retrofit_TI_NC=2,VLOOKUP(G303,'Space Table'!$B$3:$O$163,14,FALSE),"Area (sf):")),"Area (sf):")</f>
        <v>Area (sf):</v>
      </c>
      <c r="Q303" s="1738"/>
      <c r="R303" s="596"/>
      <c r="S303" s="1763" t="s">
        <v>345</v>
      </c>
      <c r="T303" s="594"/>
      <c r="U303" s="1801"/>
      <c r="V303" s="1802"/>
      <c r="W303" s="1802"/>
      <c r="X303" s="1802"/>
      <c r="Y303" s="1802"/>
      <c r="Z303" s="1802"/>
      <c r="AA303" s="1802"/>
      <c r="AB303" s="1802"/>
      <c r="AC303" s="1802"/>
      <c r="AD303" s="1802"/>
      <c r="AE303" s="1803"/>
      <c r="AF303" s="594"/>
      <c r="AG303" s="1787"/>
      <c r="AH303" s="1787"/>
      <c r="AI303" s="1787"/>
      <c r="AJ303" s="1787"/>
      <c r="AK303" s="1787"/>
      <c r="AL303" s="1787"/>
      <c r="AM303" s="1726">
        <f>IFERROR(DI303,"")</f>
        <v>0</v>
      </c>
      <c r="AN303" s="1728" t="str">
        <f>IFERROR(ROUND(AM303*AC304,0),"")</f>
        <v/>
      </c>
      <c r="AO303" s="1730">
        <f>IFERROR(IF(IB301=FALSE,0,AC304-AN303),0)</f>
        <v>0</v>
      </c>
      <c r="AP303" s="1780"/>
      <c r="AQ303" s="1781"/>
      <c r="AR303" s="1795"/>
      <c r="AS303" s="1795"/>
      <c r="AT303" s="1796"/>
      <c r="AU303" s="1735"/>
      <c r="AV303" s="1752"/>
      <c r="AW303" s="1705"/>
      <c r="AX303" s="467"/>
      <c r="AY303" s="1749"/>
      <c r="AZ303" s="1749"/>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696"/>
      <c r="CQ303" s="1696"/>
      <c r="CR303" s="1808" t="str">
        <f>CQ301</f>
        <v/>
      </c>
      <c r="CS303" s="1810" t="str">
        <f>CS301</f>
        <v/>
      </c>
      <c r="CU303" s="1688" t="s">
        <v>345</v>
      </c>
      <c r="CV303" s="1702">
        <f>IF(IB301=TRUE,T303,0)</f>
        <v>0</v>
      </c>
      <c r="CW303" s="1702" t="str">
        <f>IF(IB301=TRUE,U303,"")</f>
        <v/>
      </c>
      <c r="CX303" s="1812">
        <f>IF(IB301=TRUE,U304,0)</f>
        <v>0</v>
      </c>
      <c r="CY303" s="1814">
        <f>IF(IB301=TRUE,AB304,0)</f>
        <v>0</v>
      </c>
      <c r="CZ303" s="1710">
        <f>IF(AND(__Retrofit_TI_NC&gt;0,CR301="interior"),0,IF(IB301=TRUE,AC304,0))</f>
        <v>0</v>
      </c>
      <c r="DA303" s="1818"/>
      <c r="DB303" s="1820"/>
      <c r="DC303" s="1820"/>
      <c r="DD303" s="1820"/>
      <c r="DF303" s="1702">
        <f>IF(IB301=TRUE,AF303,0)</f>
        <v>0</v>
      </c>
      <c r="DG303" s="1830" t="str">
        <f>IF(IB301=TRUE,AG303,"")</f>
        <v/>
      </c>
      <c r="DH303" s="1812">
        <f>AG304</f>
        <v>0</v>
      </c>
      <c r="DI303" s="1837">
        <f>JE303</f>
        <v>0</v>
      </c>
      <c r="DJ303" s="1710">
        <f>IF(AND(__Retrofit_TI_NC&gt;0,CR301="interior"),0,IF(IB301=TRUE,AN303,0))</f>
        <v>0</v>
      </c>
      <c r="DK303" s="1712"/>
      <c r="DN303" s="1717">
        <f>IFERROR(CZ303-DJ303,0)</f>
        <v>0</v>
      </c>
      <c r="DO303" s="1709"/>
      <c r="DQ303" s="1715"/>
      <c r="DR303" s="1719" t="str">
        <f>DQ301</f>
        <v/>
      </c>
      <c r="DS303" s="1816"/>
      <c r="DT303" s="1835" t="str">
        <f>IF(OR(DS301=7,DS301=8,DS301=9),"ALC","")</f>
        <v/>
      </c>
      <c r="DU303" s="1715"/>
      <c r="DV303" s="1716"/>
      <c r="DX303" s="1715"/>
      <c r="DY303" s="1829" t="str">
        <f>DX301</f>
        <v/>
      </c>
      <c r="DZ303" s="1715"/>
      <c r="EA303" s="1715"/>
      <c r="EC303" s="1834"/>
      <c r="ED303" s="1834"/>
      <c r="EF303" s="1707"/>
      <c r="EG303" s="1712"/>
      <c r="EH303" s="1818"/>
      <c r="EI303" s="1712"/>
      <c r="EJ303" s="1712"/>
      <c r="EK303" s="1836"/>
      <c r="EL303" s="1836"/>
      <c r="EM303" s="1807"/>
      <c r="EN303" s="1839"/>
      <c r="EO303" s="1839"/>
      <c r="EP303" s="1817"/>
      <c r="EQ303" s="1817"/>
      <c r="ER303" s="1807"/>
      <c r="ES303" s="1807"/>
      <c r="ET303" s="1807"/>
      <c r="EV303" s="1715"/>
      <c r="EX303" s="1805" t="str">
        <f>IFERROR(VLOOKUP(CS303,'Space Table'!$B$3:$L$163,8,FALSE),"")</f>
        <v/>
      </c>
      <c r="EY303" s="1805" t="str">
        <f>IFERROR(IF(FB303="Yes",VLOOKUP(AG303,Lookup_Control_Type_Table2,4,FALSE),VLOOKUP(AG303,Lookup_Control_Type_Table2,3,FALSE)),"")</f>
        <v/>
      </c>
      <c r="EZ303" s="1805" t="e">
        <f>VLOOKUP(AG303,Lookup!BB$3:BC$20,2,FALSE)</f>
        <v>#N/A</v>
      </c>
      <c r="FA303" s="1805" t="e">
        <f>VLOOKUP(EX301,Lookup_Control_Type_Table,2,FALSE)</f>
        <v>#N/A</v>
      </c>
      <c r="FB303" s="1805" t="e">
        <f>VLOOKUP(CS303,'Space Table'!$B$3:$L$163,7,FALSE)</f>
        <v>#N/A</v>
      </c>
      <c r="FC303" s="1827"/>
      <c r="FE303" s="1698" t="str">
        <f>CONCATENATE(CQ301," - ",AG303)</f>
        <v xml:space="preserve"> - </v>
      </c>
      <c r="FG303" s="1816"/>
      <c r="FH303" s="1816"/>
      <c r="FI303" s="133"/>
      <c r="FL303" s="1822" t="str">
        <f>IF(CQ301="Exterior","Not Daylighted",G304)</f>
        <v>Not Daylighted</v>
      </c>
      <c r="FM303" s="1824">
        <f>VLOOKUP(FL303,_New_Daylight_Table_Codes,2,FALSE)</f>
        <v>0</v>
      </c>
      <c r="FN303" s="1698">
        <f>AG303</f>
        <v>0</v>
      </c>
      <c r="FO303" s="1698" t="e">
        <f>VLOOKUP(FN303,_Control_Table,2,FALSE)</f>
        <v>#N/A</v>
      </c>
      <c r="FP303" s="1678" t="e">
        <f>VLOOKUP(CONCATENATE(FL303," ",FN303),Lookup!AY$102:AZ314,2,FALSE)</f>
        <v>#N/A</v>
      </c>
      <c r="FQ303" s="1698">
        <f>IF(__Retrofit_TI_NC=0,FN303,IF(AND(FT303&gt;0,FN303="Occupancy Sensor"),"Daylight + Occupancy",IF(AND(FT303&gt;0,FO303&lt;4),"Interior Daylight Dimming",FN303)))</f>
        <v>0</v>
      </c>
      <c r="FS303" s="1686">
        <f>IF(CQ301="Interior",VLOOKUP(CS301,Control_Savings_Interior,5,FALSE),0)</f>
        <v>0</v>
      </c>
      <c r="FT303" s="1687">
        <f>IF(CQ303="Exterior",0,IF(FM303=2,0.5,IF(OR(FM303=1,FM303=3),1,0)))</f>
        <v>0</v>
      </c>
      <c r="FU303" s="1685">
        <f>IF(R302&gt;FS$44,(FS303*(FS$44/R302)),FS303)*FT303</f>
        <v>0</v>
      </c>
      <c r="FV303" s="1686">
        <f>DI303</f>
        <v>0</v>
      </c>
      <c r="FW303" s="1686">
        <f>ROUND(FV303+((1-FV303)*FU303),2)</f>
        <v>0</v>
      </c>
      <c r="FX303" s="1686">
        <f>IF(__Retrofit_TI_NC=2,FW303,FV303)</f>
        <v>0</v>
      </c>
      <c r="FY303" s="1697">
        <f>IF(CR303="Interior",VLOOKUP(CS303,Control_Savings_Interior,4,FALSE),0)</f>
        <v>0</v>
      </c>
      <c r="GA303" s="1696"/>
      <c r="GB303" s="1696"/>
      <c r="GC303" s="1696"/>
      <c r="GD303" s="1696"/>
      <c r="GE303" s="1696"/>
      <c r="GF303" s="1696"/>
      <c r="GG303" s="1696"/>
      <c r="GH303" s="1696"/>
      <c r="GI303" s="673" t="b">
        <f>IF(ISNUMBER(SEARCH("TLED",U303)),TRUE,FALSE)</f>
        <v>0</v>
      </c>
      <c r="GJ303" s="1135" t="str">
        <f>IFERROR(VLOOKUP(U303,Fixtures!DM$93:DR$142,6,FALSE),"")</f>
        <v/>
      </c>
      <c r="GK303" s="1832"/>
      <c r="GM303" s="1692"/>
      <c r="GN303" s="1684"/>
      <c r="GP303" s="1684"/>
      <c r="GQ303" s="1684"/>
      <c r="HG303" s="1684"/>
      <c r="HH303" s="1684"/>
      <c r="HI303" s="1684"/>
      <c r="HJ303" s="1684"/>
      <c r="HK303" s="1684"/>
      <c r="HL303" s="1684"/>
      <c r="HM303" s="1684"/>
      <c r="HN303" s="1683"/>
      <c r="HO303" s="1692"/>
      <c r="HP303" s="1692"/>
      <c r="HQ303" s="1670"/>
      <c r="HR303" s="1684"/>
      <c r="HS303" s="1684"/>
      <c r="HT303" s="1670"/>
      <c r="HU303" s="1684"/>
      <c r="HV303" s="1684"/>
      <c r="HW303" s="1684"/>
      <c r="HX303" s="1684"/>
      <c r="HY303" s="1684"/>
      <c r="HZ303" s="1684"/>
      <c r="IB303" s="1692"/>
      <c r="IC303" s="1693" t="b">
        <f>IB301</f>
        <v>0</v>
      </c>
      <c r="ID303" s="1695"/>
      <c r="IE303" s="391"/>
      <c r="IF303" s="1688"/>
      <c r="IG303" s="1689">
        <f ca="1">IF(IF301=TRUE,AC304,0)</f>
        <v>0</v>
      </c>
      <c r="IH303" s="1684"/>
      <c r="IK303" s="1689" t="e">
        <f>ROUND(T303*AB304*N302*R302/1000,0)</f>
        <v>#VALUE!</v>
      </c>
      <c r="IL303" s="1691"/>
      <c r="IM303" s="1693" t="e">
        <f>ROUND(T303*AB304*N302*R302/1000,0)</f>
        <v>#VALUE!</v>
      </c>
      <c r="IN303" s="1691"/>
      <c r="IP303" s="1679"/>
      <c r="IQ303" s="1679" t="e">
        <f t="shared" ref="IQ303:IU303" si="262">IF($CR303="interior",VLOOKUP($CS303,_New_Control_Savings_Interior,IQ$30,FALSE),VLOOKUP($CS303,Control_Savings_Exterior,IQ$30,FALSE))</f>
        <v>#N/A</v>
      </c>
      <c r="IR303" s="1679" t="e">
        <f t="shared" si="262"/>
        <v>#N/A</v>
      </c>
      <c r="IS303" s="1679" t="e">
        <f t="shared" si="262"/>
        <v>#N/A</v>
      </c>
      <c r="IT303" s="1679" t="e">
        <f t="shared" si="262"/>
        <v>#N/A</v>
      </c>
      <c r="IU303" s="1679" t="e">
        <f t="shared" si="262"/>
        <v>#N/A</v>
      </c>
      <c r="IV303" s="1679" t="e">
        <f>IF($CR303="interior",IF(R302&gt;$IP$14,ROUND(($IV$18*($IP$14/R302)),2),$IV$18),VLOOKUP($CS303,Control_Savings_Exterior,IV$30,FALSE))</f>
        <v>#N/A</v>
      </c>
      <c r="IW303" s="1679" t="e">
        <f>IF($CR303="interior",ROUND(((1-IS303)*IV303)+IS303,2),VLOOKUP($CS303,Control_Savings_Exterior,IW$30,FALSE))</f>
        <v>#N/A</v>
      </c>
      <c r="IX303" s="1679" t="e">
        <f>IF($CR303="interior",ROUND(((1-IT303)*IV303)+IT303,2),VLOOKUP($CS303,Control_Savings_Exterior,IX$30,FALSE))</f>
        <v>#N/A</v>
      </c>
      <c r="IY303" s="1679" t="e">
        <f>IF($CR303="interior",IF(R302&gt;$IP$14,ROUND(($IY$18*($IP$14/R302)),2),$IY$18),VLOOKUP($CS303,Control_Savings_Exterior,IY$30,FALSE))</f>
        <v>#N/A</v>
      </c>
      <c r="IZ303" s="1679" t="e">
        <f>IF($CR303="interior",ROUND(((1-IS303)*IY303)+IS303,2),VLOOKUP($CS303,Control_Savings_Exterior,IZ$30,FALSE))</f>
        <v>#N/A</v>
      </c>
      <c r="JA303" s="1679" t="e">
        <f>IF($CR303="interior",ROUND(((1-IT303)*IY303)+IT303,2),VLOOKUP($CS303,Control_Savings_Exterior,JA$30,FALSE))</f>
        <v>#N/A</v>
      </c>
      <c r="JC303" s="1680">
        <f>IFERROR(IF(CR303="Interior",CONCATENATE(G304," ",FQ303),AG303),"")</f>
        <v>0</v>
      </c>
      <c r="JD303" s="1670" t="str">
        <f>IFERROR(VLOOKUP(JC303,_Controls_2023,2,FALSE),"")</f>
        <v/>
      </c>
      <c r="JE303" s="1681">
        <f>IFERROR(CHOOSE(JD303-1,IQ303,IR303,IS303,IT303,IU303,IV303,IW303,IX303,IY303,IZ303,JA303),0)</f>
        <v>0</v>
      </c>
      <c r="JG303" s="1680" t="str">
        <f>FE303</f>
        <v xml:space="preserve"> - </v>
      </c>
      <c r="JH303" s="1670" t="e">
        <f>$FO303</f>
        <v>#N/A</v>
      </c>
      <c r="JI303" s="1060"/>
      <c r="JJ303" s="1670">
        <f>IFERROR(IF($IB301=TRUE,IF(OR(JJ$14="No",JJ301=FALSE,JH303&lt;=JH301,AND(_kWh_Grant=0,GD301=FALSE)),0,IF(JJ$8="Per Line",1,$AF303)),0),0)</f>
        <v>0</v>
      </c>
      <c r="JK303" s="1061"/>
      <c r="JL303" s="1670">
        <f>IFERROR(IF(_kWh_Grant=0,0,IF($IB301=TRUE,IF(OR(JL$14="No",JL301=FALSE,JH303&lt;=JH301),0,IF(JL$8="Per Line",1,$T303)),0)),0)</f>
        <v>0</v>
      </c>
      <c r="JM303" s="1061"/>
      <c r="JN303" s="1670">
        <f>IFERROR(IF(_kWh_Grant=0,0,IF($IB301=TRUE,IF(OR(JN$14="No",JN301=FALSE,JH303&lt;=JH301),0,IF(JN$8="Per Line",1,$AF303)),0)),0)</f>
        <v>0</v>
      </c>
      <c r="JO303" s="1061"/>
      <c r="JP303" s="1670">
        <f>IFERROR(IF(__Retrofit_TI_NC=0,IF(_kWh_Grant=0,0,IF($IB301=TRUE,IF(OR(JP$14="No",JP301=FALSE,$JH303&lt;=$JH301),0,IF(JP$8="Per Line",1,$AF303)),0)),IF($IB301=TRUE,IF(OR(JP$14="No",JP301=FALSE,$JH303&lt;=$JH301),0,IF(JP$8="Per Line",1,$AF303)))),0)</f>
        <v>0</v>
      </c>
      <c r="JQ303" s="1061"/>
      <c r="JR303" s="1670">
        <f>IFERROR(IF(__Retrofit_TI_NC=0,IF(_kWh_Grant=0,0,IF($IB301=TRUE,IF(OR(JR$14="No",JR301=FALSE,$JH303&lt;=$JH301),0,IF(JR$8="Per Line",1,$AF303)),0)),IF($IB301=TRUE,IF(OR(JR$14="No",JR301=FALSE,$JH303&lt;=$JH301),0,IF(JR$8="Per Line",1,$AF303)))),0)</f>
        <v>0</v>
      </c>
      <c r="JS303" s="1061"/>
      <c r="JT303" s="1670">
        <f>IFERROR(IF(__Retrofit_TI_NC=0,IF(_kWh_Grant=0,0,IF($IB301=TRUE,IF(OR(JT$14="No",JT301=FALSE,$JH303&lt;=$JH301),0,IF(JT$8="Per Line",1,$AF303)),0)),IF($IB301=TRUE,IF(OR(JT$14="No",JT301=FALSE,$JH303&lt;=$JH301),0,IF(JT$8="Per Line",1,$AF303)))),0)</f>
        <v>0</v>
      </c>
      <c r="JU303" s="1061"/>
      <c r="JV303" s="1670">
        <f>IFERROR(IF(__Retrofit_TI_NC=0,IF(_kWh_Grant=0,0,IF($IB301=TRUE,IF(OR(JV$14="No",JV301=FALSE,$JH303&lt;=$JH301),0,IF(JV$8="Per Line",1,$AF303)),0)),IF($IB301=TRUE,IF(OR(JV$14="No",JV301=FALSE,$JH303&lt;=$JH301),0,IF(JV$8="Per Line",1,$AF303)))),0)</f>
        <v>0</v>
      </c>
      <c r="JX303" s="1670">
        <f>IFERROR(IF(__Retrofit_TI_NC=0,IF(_kWh_Grant=0,0,IF($IB301=TRUE,IF(OR(JX$14="No",JX301=FALSE,$JH303&lt;=$JH301),0,IF(JX$8="Per Line",1,$AF303)),0)),IF($IB301=TRUE,IF(OR(JX$14="No",JX301=FALSE,$JH303&lt;=$JH301),0,IF(JX$8="Per Line",1,$AF303)))),0)</f>
        <v>0</v>
      </c>
      <c r="JZ303" s="1670">
        <f>IFERROR(IF($IB301=TRUE,IF(OR(JZ$14="No",JZ301=FALSE,$JH303&lt;=$JH301,AND(_kWh_Grant=0,$GD301=FALSE)),0,IF(JZ$8="Per Line",1,$AF303)),0),0)</f>
        <v>0</v>
      </c>
      <c r="KB303" s="1670">
        <f>IFERROR(IF(__Retrofit_TI_NC=0,IF(_kWh_Grant=0,0,IF($IB301=TRUE,IF(OR(KB$14="No",KB301=FALSE,$JH303&lt;=$JH301),0,IF(KB$8="Per Line",1,$AF303)),0)),IF($IB301=TRUE,IF(OR(KB$14="No",KB301=FALSE,$JH303&lt;=$JH301),0,IF(KB$8="Per Line",1,$AF303)))),0)</f>
        <v>0</v>
      </c>
    </row>
    <row r="304" spans="1:288" s="78" customFormat="1" ht="14.95" customHeight="1" thickTop="1" thickBot="1">
      <c r="B304" s="1845"/>
      <c r="C304" s="1846"/>
      <c r="D304" s="1847"/>
      <c r="E304" s="1771" t="s">
        <v>436</v>
      </c>
      <c r="F304" s="1772"/>
      <c r="G304" s="1784" t="s">
        <v>437</v>
      </c>
      <c r="H304" s="1785"/>
      <c r="I304" s="1785"/>
      <c r="J304" s="1785"/>
      <c r="K304" s="1785"/>
      <c r="L304" s="1786"/>
      <c r="M304" s="591">
        <f>IFERROR(VLOOKUP(G304,_Daylight_Table[],2,FALSE),0)</f>
        <v>0</v>
      </c>
      <c r="N304" s="592" t="str">
        <f>IF(AND(__Retrofit_TI_NC&gt;0,CQ301="Interior"),"BAM","")</f>
        <v/>
      </c>
      <c r="O304" s="591" t="e">
        <f>VLOOKUP(G303,'Space Table'!$B$3:$L$163,11,FALSE)</f>
        <v>#N/A</v>
      </c>
      <c r="P304" s="1789"/>
      <c r="Q304" s="1790"/>
      <c r="R304" s="1790"/>
      <c r="S304" s="1788"/>
      <c r="T304" s="593" t="s">
        <v>342</v>
      </c>
      <c r="U304" s="1756" t="str" cm="1">
        <f t="array" aca="1" ref="U304" ca="1">IFERROR(VLOOKUP(INDIRECT("U" &amp; ROW()-1),Fixtures!DM$93:DP$142,4,FALSE),"")</f>
        <v/>
      </c>
      <c r="V304" s="1757"/>
      <c r="W304" s="1757"/>
      <c r="X304" s="1757"/>
      <c r="Y304" s="1757"/>
      <c r="Z304" s="1757"/>
      <c r="AA304" s="1758"/>
      <c r="AB304" s="939" t="str">
        <f>IFERROR(VLOOKUP(U303,Fixtures_Proposed_List,2,FALSE),"")</f>
        <v/>
      </c>
      <c r="AC304" s="933" t="str">
        <f>IFERROR(ROUND(T303*AB304*N302*R302/1000,0),"")</f>
        <v/>
      </c>
      <c r="AD304" s="934" t="str">
        <f>IFERROR(ROUND(T303*AB304/1000,2),"")</f>
        <v/>
      </c>
      <c r="AE304" s="998"/>
      <c r="AF304" s="938" t="s">
        <v>342</v>
      </c>
      <c r="AG304" s="1770"/>
      <c r="AH304" s="1770"/>
      <c r="AI304" s="1770"/>
      <c r="AJ304" s="1770"/>
      <c r="AK304" s="1770"/>
      <c r="AL304" s="1770"/>
      <c r="AM304" s="1727"/>
      <c r="AN304" s="1729"/>
      <c r="AO304" s="1731"/>
      <c r="AP304" s="1782"/>
      <c r="AQ304" s="1783"/>
      <c r="AR304" s="1797"/>
      <c r="AS304" s="1797"/>
      <c r="AT304" s="1798"/>
      <c r="AU304" s="1736"/>
      <c r="AV304" s="1753"/>
      <c r="AW304" s="1706"/>
      <c r="AX304" s="468"/>
      <c r="AY304" s="1750"/>
      <c r="AZ304" s="1750"/>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696"/>
      <c r="CQ304" s="1696"/>
      <c r="CR304" s="1809"/>
      <c r="CS304" s="1811"/>
      <c r="CU304" s="1688"/>
      <c r="CV304" s="1703"/>
      <c r="CW304" s="1703"/>
      <c r="CX304" s="1813"/>
      <c r="CY304" s="1815"/>
      <c r="CZ304" s="1711"/>
      <c r="DA304" s="1815"/>
      <c r="DB304" s="1821"/>
      <c r="DC304" s="1821"/>
      <c r="DD304" s="1821"/>
      <c r="DF304" s="1703"/>
      <c r="DG304" s="1831"/>
      <c r="DH304" s="1813"/>
      <c r="DI304" s="1838"/>
      <c r="DJ304" s="1711"/>
      <c r="DK304" s="1712"/>
      <c r="DN304" s="1718"/>
      <c r="DO304" s="1709"/>
      <c r="DQ304" s="1715"/>
      <c r="DR304" s="1720"/>
      <c r="DS304" s="1703"/>
      <c r="DT304" s="1714"/>
      <c r="DU304" s="1715"/>
      <c r="DV304" s="1716"/>
      <c r="DX304" s="1715"/>
      <c r="DY304" s="1720"/>
      <c r="DZ304" s="1715"/>
      <c r="EA304" s="1715"/>
      <c r="EC304" s="1834"/>
      <c r="ED304" s="1834"/>
      <c r="EF304" s="1707"/>
      <c r="EG304" s="1712"/>
      <c r="EH304" s="1815"/>
      <c r="EI304" s="1712"/>
      <c r="EJ304" s="1712"/>
      <c r="EK304" s="1813"/>
      <c r="EL304" s="1813"/>
      <c r="EM304" s="1807"/>
      <c r="EN304" s="1839"/>
      <c r="EO304" s="1839"/>
      <c r="EP304" s="1817"/>
      <c r="EQ304" s="1817"/>
      <c r="ER304" s="1807"/>
      <c r="ES304" s="1807"/>
      <c r="ET304" s="1807"/>
      <c r="EV304" s="1715"/>
      <c r="EX304" s="1806"/>
      <c r="EY304" s="1806"/>
      <c r="EZ304" s="1806"/>
      <c r="FA304" s="1806"/>
      <c r="FB304" s="1806"/>
      <c r="FC304" s="1828"/>
      <c r="FE304" s="1698"/>
      <c r="FG304" s="1703"/>
      <c r="FH304" s="1703"/>
      <c r="FI304" s="133"/>
      <c r="FL304" s="1823"/>
      <c r="FM304" s="1825"/>
      <c r="FN304" s="1698"/>
      <c r="FO304" s="1698"/>
      <c r="FP304" s="1678"/>
      <c r="FQ304" s="1698"/>
      <c r="FS304" s="1687"/>
      <c r="FT304" s="1687"/>
      <c r="FU304" s="1685"/>
      <c r="FV304" s="1687"/>
      <c r="FW304" s="1687"/>
      <c r="FX304" s="1687"/>
      <c r="FY304" s="1697"/>
      <c r="GA304" s="1696"/>
      <c r="GB304" s="1696"/>
      <c r="GC304" s="1696"/>
      <c r="GD304" s="1696"/>
      <c r="GE304" s="1696"/>
      <c r="GF304" s="1696"/>
      <c r="GG304" s="1696"/>
      <c r="GH304" s="1696"/>
      <c r="GI304" s="673"/>
      <c r="GJ304" s="1135"/>
      <c r="GK304" s="1832"/>
      <c r="GN304" s="674">
        <f>IF(GN302=TRUE,0,GN$16)</f>
        <v>0</v>
      </c>
      <c r="GP304" s="674">
        <f>IF(GP302=TRUE,0,GP$16)</f>
        <v>36</v>
      </c>
      <c r="GQ304" s="674">
        <f ca="1">IF(GQ302=TRUE,0,GQ$16)</f>
        <v>35</v>
      </c>
      <c r="GR304" s="391"/>
      <c r="GS304" s="391"/>
      <c r="GT304" s="391"/>
      <c r="GU304" s="391"/>
      <c r="GV304" s="391"/>
      <c r="HG304" s="674">
        <f>IF(HG302=TRUE,0,HG$16)</f>
        <v>0</v>
      </c>
      <c r="HH304" s="674">
        <f t="shared" ref="HH304:HM304" si="263">IF(HH302=TRUE,0,HH$16)</f>
        <v>19</v>
      </c>
      <c r="HI304" s="674">
        <f t="shared" si="263"/>
        <v>18</v>
      </c>
      <c r="HJ304" s="674">
        <f t="shared" si="263"/>
        <v>17</v>
      </c>
      <c r="HK304" s="674">
        <f t="shared" si="263"/>
        <v>16</v>
      </c>
      <c r="HL304" s="674">
        <f t="shared" si="263"/>
        <v>0</v>
      </c>
      <c r="HM304" s="674">
        <f t="shared" si="263"/>
        <v>0</v>
      </c>
      <c r="HN304" s="674">
        <f>IF(HN302=TRUE,0,HN$16)</f>
        <v>13</v>
      </c>
      <c r="HO304" s="674">
        <f t="shared" ref="HO304:HQ304" si="264">IF(HO302=TRUE,0,HO$16)</f>
        <v>0</v>
      </c>
      <c r="HP304" s="674">
        <f t="shared" si="264"/>
        <v>0</v>
      </c>
      <c r="HQ304" s="674">
        <f t="shared" si="264"/>
        <v>10</v>
      </c>
      <c r="HR304" s="674">
        <f>IF(HR302=TRUE,0,HR$16)</f>
        <v>9</v>
      </c>
      <c r="HS304" s="674">
        <f t="shared" ref="HS304:HW304" si="265">IF(HS302=TRUE,0,HS$16)</f>
        <v>0</v>
      </c>
      <c r="HT304" s="674">
        <f t="shared" si="265"/>
        <v>0</v>
      </c>
      <c r="HU304" s="674">
        <f t="shared" si="265"/>
        <v>0</v>
      </c>
      <c r="HV304" s="674">
        <f t="shared" si="265"/>
        <v>0</v>
      </c>
      <c r="HW304" s="674">
        <f t="shared" si="265"/>
        <v>0</v>
      </c>
      <c r="HX304" s="674">
        <f>IF(HX302=TRUE,0,HX$16)</f>
        <v>0</v>
      </c>
      <c r="HY304" s="674">
        <f>IF(HY302=TRUE,0,HY$16)</f>
        <v>0</v>
      </c>
      <c r="HZ304" s="674">
        <f>IF(HZ302=TRUE,0,HZ$16)</f>
        <v>1</v>
      </c>
      <c r="IB304" s="674">
        <f>IF(GP302=FALSE,GP304,IF(GQ302=FALSE,GQ304,MAX(GN304:HZ304)))</f>
        <v>36</v>
      </c>
      <c r="IC304" s="1692"/>
      <c r="ID304" s="205" t="str">
        <f>VLOOKUP(IB304,_Error_Table,3,FALSE)</f>
        <v xml:space="preserve"> </v>
      </c>
      <c r="IE304" s="205"/>
      <c r="IF304" s="1688"/>
      <c r="IG304" s="1689"/>
      <c r="IH304" s="1684"/>
      <c r="IK304" s="1689"/>
      <c r="IL304" s="1692"/>
      <c r="IM304" s="1692"/>
      <c r="IN304" s="1692"/>
      <c r="IP304" s="1679"/>
      <c r="IQ304" s="1679"/>
      <c r="IR304" s="1679"/>
      <c r="IS304" s="1679"/>
      <c r="IT304" s="1679"/>
      <c r="IU304" s="1679"/>
      <c r="IV304" s="1679"/>
      <c r="IW304" s="1679"/>
      <c r="IX304" s="1679"/>
      <c r="IY304" s="1679"/>
      <c r="IZ304" s="1679"/>
      <c r="JA304" s="1679"/>
      <c r="JC304" s="1680"/>
      <c r="JD304" s="1670"/>
      <c r="JE304" s="1681"/>
      <c r="JG304" s="1680"/>
      <c r="JH304" s="1670"/>
      <c r="JI304" s="1060"/>
      <c r="JJ304" s="1670"/>
      <c r="JK304" s="1061"/>
      <c r="JL304" s="1670"/>
      <c r="JM304" s="1061"/>
      <c r="JN304" s="1670"/>
      <c r="JO304" s="1061"/>
      <c r="JP304" s="1670"/>
      <c r="JQ304" s="1061"/>
      <c r="JR304" s="1670"/>
      <c r="JS304" s="1061"/>
      <c r="JT304" s="1670"/>
      <c r="JU304" s="1061"/>
      <c r="JV304" s="1670"/>
      <c r="JX304" s="1670"/>
      <c r="JZ304" s="1670"/>
      <c r="KB304" s="1670"/>
    </row>
    <row r="305" spans="1:288" s="78" customFormat="1" ht="5.0999999999999996" customHeight="1">
      <c r="B305" s="676"/>
      <c r="C305" s="392"/>
      <c r="D305" s="392"/>
      <c r="E305" s="1733"/>
      <c r="F305" s="1733"/>
      <c r="G305" s="1733"/>
      <c r="H305" s="1733"/>
      <c r="I305" s="1733"/>
      <c r="J305" s="1733"/>
      <c r="K305" s="1733"/>
      <c r="L305" s="1733"/>
      <c r="M305" s="1733"/>
      <c r="N305" s="1733"/>
      <c r="O305" s="1733"/>
      <c r="P305" s="1733"/>
      <c r="Q305" s="1733"/>
      <c r="R305" s="1733"/>
      <c r="S305" s="1733"/>
      <c r="T305" s="1733"/>
      <c r="U305" s="1733"/>
      <c r="V305" s="1733"/>
      <c r="W305" s="1733"/>
      <c r="X305" s="1733"/>
      <c r="Y305" s="1733"/>
      <c r="Z305" s="1733"/>
      <c r="AA305" s="1733"/>
      <c r="AB305" s="1733"/>
      <c r="AC305" s="1733"/>
      <c r="AD305" s="1733"/>
      <c r="AE305" s="1733"/>
      <c r="AF305" s="1733"/>
      <c r="AG305" s="1733"/>
      <c r="AH305" s="1733"/>
      <c r="AI305" s="1733"/>
      <c r="AJ305" s="1733"/>
      <c r="AK305" s="1733"/>
      <c r="AL305" s="1733"/>
      <c r="AM305" s="1733"/>
      <c r="AN305" s="1733"/>
      <c r="AO305" s="1733"/>
      <c r="AP305" s="1733"/>
      <c r="AQ305" s="1733"/>
      <c r="AR305" s="1733"/>
      <c r="AS305" s="1733"/>
      <c r="AT305" s="1733"/>
      <c r="AU305" s="1733"/>
      <c r="AV305" s="1733"/>
      <c r="AW305" s="1733"/>
      <c r="AX305" s="469"/>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663"/>
      <c r="CQ305" s="663"/>
      <c r="CR305" s="438"/>
      <c r="CS305" s="663"/>
      <c r="CV305" s="391"/>
      <c r="CW305" s="391"/>
      <c r="CX305" s="207"/>
      <c r="CY305" s="208"/>
      <c r="CZ305" s="208"/>
      <c r="DA305" s="208"/>
      <c r="DB305" s="209"/>
      <c r="DC305" s="209"/>
      <c r="DD305" s="209"/>
      <c r="DF305" s="664"/>
      <c r="DG305" s="665"/>
      <c r="DH305" s="666"/>
      <c r="DI305" s="667"/>
      <c r="DJ305" s="668"/>
      <c r="DK305" s="668"/>
      <c r="DN305" s="208"/>
      <c r="DO305" s="664"/>
      <c r="DQ305" s="664"/>
      <c r="DR305" s="669"/>
      <c r="DS305" s="391"/>
      <c r="DT305" s="664"/>
      <c r="DU305" s="664"/>
      <c r="DV305" s="664"/>
      <c r="DX305" s="664"/>
      <c r="DY305" s="664"/>
      <c r="DZ305" s="664"/>
      <c r="EA305" s="664"/>
      <c r="EC305" s="670"/>
      <c r="ED305" s="670"/>
      <c r="EF305" s="668"/>
      <c r="EG305" s="668"/>
      <c r="EH305" s="208"/>
      <c r="EI305" s="668"/>
      <c r="EJ305" s="668"/>
      <c r="EK305" s="207"/>
      <c r="EL305" s="207"/>
      <c r="EM305" s="666"/>
      <c r="EN305" s="671"/>
      <c r="EO305" s="671"/>
      <c r="EP305" s="672"/>
      <c r="EQ305" s="672"/>
      <c r="ER305" s="666"/>
      <c r="ES305" s="666"/>
      <c r="ET305" s="666"/>
      <c r="EV305" s="664"/>
      <c r="EX305" s="391"/>
      <c r="EY305" s="391"/>
      <c r="EZ305" s="391"/>
      <c r="FA305" s="391"/>
      <c r="FB305" s="391"/>
      <c r="FC305" s="391"/>
      <c r="FE305" s="569"/>
      <c r="FG305" s="391"/>
      <c r="FH305" s="391"/>
      <c r="FI305" s="391"/>
      <c r="FS305" s="664"/>
      <c r="FT305" s="391"/>
      <c r="FU305" s="391"/>
      <c r="FV305" s="664"/>
      <c r="FW305" s="664"/>
      <c r="GA305" s="663"/>
      <c r="GB305" s="663"/>
      <c r="GC305" s="663"/>
      <c r="GD305" s="663"/>
      <c r="GE305" s="663"/>
      <c r="GF305" s="663"/>
      <c r="GG305" s="663"/>
      <c r="GH305" s="663"/>
      <c r="GI305" s="665"/>
      <c r="GJ305" s="664"/>
      <c r="GK305" s="664"/>
    </row>
    <row r="306" spans="1:288" s="78" customFormat="1" ht="14.95" customHeight="1">
      <c r="B306" s="1845" t="str">
        <f>ID309</f>
        <v xml:space="preserve"> </v>
      </c>
      <c r="C306" s="1846">
        <f>C301+1</f>
        <v>51</v>
      </c>
      <c r="D306" s="1847"/>
      <c r="E306" s="1799" t="s">
        <v>295</v>
      </c>
      <c r="F306" s="1800"/>
      <c r="G306" s="1741"/>
      <c r="H306" s="1742"/>
      <c r="I306" s="1742"/>
      <c r="J306" s="1742"/>
      <c r="K306" s="1742"/>
      <c r="L306" s="1742"/>
      <c r="M306" s="1742"/>
      <c r="N306" s="1742"/>
      <c r="O306" s="1742"/>
      <c r="P306" s="1742"/>
      <c r="Q306" s="1742"/>
      <c r="R306" s="1742"/>
      <c r="S306" s="1791" t="s">
        <v>344</v>
      </c>
      <c r="T306" s="590"/>
      <c r="U306" s="1743"/>
      <c r="V306" s="1744"/>
      <c r="W306" s="1744"/>
      <c r="X306" s="1744"/>
      <c r="Y306" s="1744"/>
      <c r="Z306" s="1744"/>
      <c r="AA306" s="1744"/>
      <c r="AB306" s="961" t="str">
        <f>IFERROR(IF(__Retrofit_TI_NC=0,VLOOKUP(U307,Fixtures_Existing_List,2,FALSE),ROUND(N308*R308/T308,10)),"")</f>
        <v/>
      </c>
      <c r="AC306" s="935" t="str">
        <f>IFERROR(IF(__Retrofit_TI_NC=0,ROUND(T307*AB306*N307*R307/1000,0),IF(CQ306="Interior",N308*R308*R307*N307*_C406_reduction/1000,N308*R308*R307*N307/1000)),"")</f>
        <v/>
      </c>
      <c r="AD306" s="936" t="str">
        <f>IFERROR(IF(C$43=0,ROUND(T307*AB306/1000,2),N308*R308/1000),"")</f>
        <v/>
      </c>
      <c r="AE306" s="997"/>
      <c r="AF306" s="937"/>
      <c r="AG306" s="1745" t="str">
        <f>IF(__Retrofit_TI_NC=0," Control","Select Advanced Control for New System")</f>
        <v xml:space="preserve"> Control</v>
      </c>
      <c r="AH306" s="1745"/>
      <c r="AI306" s="1745"/>
      <c r="AJ306" s="1745"/>
      <c r="AK306" s="1745"/>
      <c r="AL306" s="1745"/>
      <c r="AM306" s="1746">
        <f>IFERROR(DI306,"")</f>
        <v>0</v>
      </c>
      <c r="AN306" s="1774" t="str">
        <f>IFERROR(ROUND(AM306*AC306,0),"")</f>
        <v/>
      </c>
      <c r="AO306" s="1776">
        <f>IFERROR(IF(IB306=FALSE,0,AC306-AN306),0)</f>
        <v>0</v>
      </c>
      <c r="AP306" s="1778">
        <f>AO306-AO308</f>
        <v>0</v>
      </c>
      <c r="AQ306" s="1779"/>
      <c r="AR306" s="1793">
        <f>IFERROR(IF(IB306=FALSE,0,(T308*U309)+(AF308*AG309)),0)</f>
        <v>0</v>
      </c>
      <c r="AS306" s="1793"/>
      <c r="AT306" s="1794"/>
      <c r="AU306" s="1734" t="s">
        <v>237</v>
      </c>
      <c r="AV306" s="1751">
        <f>IF(AU306="Yes",1,0)</f>
        <v>1</v>
      </c>
      <c r="AW306" s="1704" t="str">
        <f>IF(OR(DQ306=4,DQ306=5,DQ306=6,DQ306=12),CONCATENATE("$",IF(GH306=TRUE,Lookup!$K$10,Lookup!$K$2)," /lamp"),CONCATENATE(TEXT(ED306,"$0.00"),"/ kWh"))</f>
        <v>$0.00/ kWh</v>
      </c>
      <c r="AX306" s="467"/>
      <c r="AY306" s="1748">
        <f ca="1">IFERROR(IF(GM307=TRUE,(AB309*T308)/R308,0),"NA")</f>
        <v>0</v>
      </c>
      <c r="AZ306" s="1748"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696" t="str">
        <f>N307</f>
        <v/>
      </c>
      <c r="CQ306" s="1696" t="str">
        <f>IFERROR(VLOOKUP(G307,_Lookup_Heat_Type_Table_New,3,FALSE),"")</f>
        <v/>
      </c>
      <c r="CR306" s="1808" t="str">
        <f>CQ306</f>
        <v/>
      </c>
      <c r="CS306" s="1810" t="str">
        <f>IFERROR(VLOOKUP(G308,'Space Table'!$B$3:$L$163,9,FALSE),"")</f>
        <v/>
      </c>
      <c r="CU306" s="1688" t="s">
        <v>344</v>
      </c>
      <c r="CV306" s="1702">
        <f>IF(IB306=TRUE,T307,0)</f>
        <v>0</v>
      </c>
      <c r="CW306" s="1702" t="str">
        <f>IF(IB306=TRUE,U307,"")</f>
        <v/>
      </c>
      <c r="CX306" s="1702"/>
      <c r="CY306" s="1814">
        <f>IF(IB306=TRUE,AB306,0)</f>
        <v>0</v>
      </c>
      <c r="CZ306" s="1710">
        <f>IF(AND(__Retrofit_TI_NC&gt;0,CR306="interior"),0,IF(IB306=TRUE,AC306,0))</f>
        <v>0</v>
      </c>
      <c r="DA306" s="1814">
        <f>IFERROR(IF(IB306=TRUE,CZ306-CZ308,0),0)</f>
        <v>0</v>
      </c>
      <c r="DB306" s="1819">
        <f>IF(IB306=TRUE,AD306,0)</f>
        <v>0</v>
      </c>
      <c r="DC306" s="1819">
        <f>IF(IB306=TRUE,AD309,0)</f>
        <v>0</v>
      </c>
      <c r="DD306" s="1819">
        <f>IFERROR(DB306-DC306,0)</f>
        <v>0</v>
      </c>
      <c r="DF306" s="1702">
        <f>IF(IB306=TRUE,AF307,0)</f>
        <v>0</v>
      </c>
      <c r="DG306" s="1830">
        <f>IFERROR(IF(__Retrofit_TI_NC=2,IF(CQ306="Exterior",O309,FQ306),FN306),"")</f>
        <v>0</v>
      </c>
      <c r="DH306" s="1702"/>
      <c r="DI306" s="1837">
        <f>JE306</f>
        <v>0</v>
      </c>
      <c r="DJ306" s="1710">
        <f>IF(AND(__Retrofit_TI_NC&gt;0,CR306="interior"),0,IF(IB306=TRUE,AN306,0))</f>
        <v>0</v>
      </c>
      <c r="DK306" s="1712">
        <f>IFERROR(IF(IB306=TRUE,DJ308-DJ306,0),0)</f>
        <v>0</v>
      </c>
      <c r="DM306" s="1717">
        <f>IFERROR(CZ306-DJ306,0)</f>
        <v>0</v>
      </c>
      <c r="DO306" s="1708">
        <f>DM306-DN308</f>
        <v>0</v>
      </c>
      <c r="DQ306" s="1715" t="str">
        <f>IFERROR(IF(AND(OR(GC306=4,GC306=5,GC306=6),OR(GF306=4,GF306=5,GF306=6)),GC306+8,VLOOKUP(CW308,Fixtures!R$31:Y$78,8,FALSE)),"")</f>
        <v/>
      </c>
      <c r="DR306" s="1829" t="str">
        <f>DQ306</f>
        <v/>
      </c>
      <c r="DS306" s="1702" t="str">
        <f>IFERROR(VLOOKUP(DG308,Lookup!BB$3:BC$20,2,FALSE),"")</f>
        <v/>
      </c>
      <c r="DT306" s="1713" t="str">
        <f>IF(OR(DS306=7,DS306=8,DS306=9),"ALC","")</f>
        <v/>
      </c>
      <c r="DU306" s="1715">
        <f>IFERROR(IF(OR(DQ306=4,DQ306=5,DQ306=6,DQ306=12,DQ306=13,DQ306=14),VLOOKUP(CW308,Fixtures!DN$27:EG$77,19,FALSE),1)*CV308,0)</f>
        <v>0</v>
      </c>
      <c r="DV306" s="1716">
        <f>IF(OR(DS306=7,DS306=8,DS306=9),IF(DG306=DG308,0,DF308),0)</f>
        <v>0</v>
      </c>
      <c r="DX306" s="1715" t="str">
        <f>IFERROR(IF(EZ306&lt;EZ308,"Yes","No"),"")</f>
        <v/>
      </c>
      <c r="DY306" s="1829" t="str">
        <f>DX306</f>
        <v/>
      </c>
      <c r="DZ306" s="1715">
        <f>IF(DX306="Yes",DF308,0)</f>
        <v>0</v>
      </c>
      <c r="EA306" s="1715">
        <f>DZ306-DV306</f>
        <v>0</v>
      </c>
      <c r="EC306" s="1834">
        <f>IFERROR(VLOOKUP(DQ306,Lookup!AU$3:AV$16,2,FALSE),0)</f>
        <v>0</v>
      </c>
      <c r="ED306" s="1834">
        <f>IF(IB306=FALSE,0,IF(DX306="Yes",EC306+Lookup!K$6,EC306))</f>
        <v>0</v>
      </c>
      <c r="EF306" s="1707">
        <f>IF(IB306=TRUE,DM306,0)</f>
        <v>0</v>
      </c>
      <c r="EG306" s="1712">
        <f>IF(IB306=TRUE,CZ308,0)</f>
        <v>0</v>
      </c>
      <c r="EH306" s="1814">
        <f>IFERROR(EF306-EG306,0)</f>
        <v>0</v>
      </c>
      <c r="EI306" s="1712">
        <f>IF(IB306=TRUE,DJ308,0)</f>
        <v>0</v>
      </c>
      <c r="EJ306" s="1712">
        <f>IFERROR(EF306-EG306+EI306,0)</f>
        <v>0</v>
      </c>
      <c r="EK306" s="1812">
        <f>IF(IB306=TRUE,CV308*CX308,0)</f>
        <v>0</v>
      </c>
      <c r="EL306" s="1812">
        <f>IF(IB306=TRUE,DF308*DH308,0)</f>
        <v>0</v>
      </c>
      <c r="EM306" s="1807">
        <f>AR306</f>
        <v>0</v>
      </c>
      <c r="EN306" s="1839" t="str">
        <f>IFERROR(IF(IB306=TRUE,VLOOKUP(DQ306,Lookup!AU$3:AW$16,3,FALSE)*DU306,""),0)</f>
        <v/>
      </c>
      <c r="EO306" s="1839">
        <f>IF(IB306=TRUE,DZ306*Lookup!AW$12,0)</f>
        <v>0</v>
      </c>
      <c r="EP306" s="1817">
        <f>IFERROR(IF(IB306=TRUE,EN306/EP$40,0),0)</f>
        <v>0</v>
      </c>
      <c r="EQ306" s="1817">
        <f>IF(IB306=TRUE,EO306/EQ$40,0)</f>
        <v>0</v>
      </c>
      <c r="ER306" s="1807">
        <f>IF(IB306=TRUE,ET$40*EP306,0)</f>
        <v>0</v>
      </c>
      <c r="ES306" s="1807">
        <f>IF(IB306=TRUE,ET$40*EQ306,0)</f>
        <v>0</v>
      </c>
      <c r="ET306" s="1807">
        <f>ER306+ES306</f>
        <v>0</v>
      </c>
      <c r="EV306" s="1715">
        <f>IF(G306="",0,1)</f>
        <v>0</v>
      </c>
      <c r="EX306" s="1804" t="str">
        <f>IFERROR(VLOOKUP(CS308,'Space Table'!$B$3:$L$163,8,FALSE),"")</f>
        <v/>
      </c>
      <c r="EY306" s="1804" t="str">
        <f>IFERROR(IF(FB306="Yes",VLOOKUP(DG306,Lookup_Control_Type_Table2,4,FALSE),VLOOKUP(DG306,Lookup_Control_Type_Table2,3,FALSE)),"")</f>
        <v/>
      </c>
      <c r="EZ306" s="1804" t="e">
        <f>VLOOKUP(DG306,Lookup!BB$3:BC$20,2,FALSE)</f>
        <v>#N/A</v>
      </c>
      <c r="FA306" s="1804" t="e">
        <f>VLOOKUP(EX306,Lookup_Control_Type_Table,2,FALSE)</f>
        <v>#N/A</v>
      </c>
      <c r="FB306" s="1804" t="e">
        <f>VLOOKUP(CS308,'Space Table'!$B$3:$L$163,7,FALSE)</f>
        <v>#N/A</v>
      </c>
      <c r="FC306" s="1826" t="b">
        <f>ISNUMBER(SEARCH("TLED",U308))</f>
        <v>0</v>
      </c>
      <c r="FE306" s="1698" t="str">
        <f>CONCATENATE(CQ306," - ",DG306)</f>
        <v xml:space="preserve"> - 0</v>
      </c>
      <c r="FG306" s="1702" t="str">
        <f>VLOOKUP(CW308,Fixtures!DN$27:EZ$77,38,FALSE)</f>
        <v/>
      </c>
      <c r="FH306" s="1702">
        <f>IFERROR(FG306*EH306,0)</f>
        <v>0</v>
      </c>
      <c r="FI306" s="133"/>
      <c r="FL306" s="1822" t="str">
        <f>IF(CQ306="Exterior","Not Daylighted",G309)</f>
        <v>Not Daylighted</v>
      </c>
      <c r="FM306" s="1824">
        <f>VLOOKUP(FL306,_New_Daylight_Table_Codes,2,FALSE)</f>
        <v>0</v>
      </c>
      <c r="FN306" s="1698">
        <f>IF(__Retrofit_TI_NC&gt;0,VLOOKUP(G308,'Space Table'!$B$3:$L$163,11,FALSE),AG307)</f>
        <v>0</v>
      </c>
      <c r="FO306" s="1698" t="e">
        <f>IF(__Retrofit_TI_NC=2,VLOOKUP(FQ306,_Control_Table,2,FALSE),VLOOKUP(FN306,_Control_Table,2,FALSE))</f>
        <v>#N/A</v>
      </c>
      <c r="FP306" s="1678" t="e">
        <f>VLOOKUP(CONCATENATE(FL306," ",FN306),Lookup!AY$102:AZ316,2,FALSE)</f>
        <v>#N/A</v>
      </c>
      <c r="FQ306" s="1678">
        <f>IF(__Retrofit_TI_NC=0,FN306,IF(AND(FT306&gt;0,FN306="Occupancy Sensor"),"Daylight + Occupancy",IF(AND(FT306&gt;0,VLOOKUP(FN306,_Control_Table,2,FALSE)&lt;4),"Interior Daylight Dimming",FN306)))</f>
        <v>0</v>
      </c>
      <c r="FS306" s="1686">
        <f>IF(CR306="Interior",VLOOKUP(CS306,Control_Savings_Interior,5,FALSE),0)</f>
        <v>0</v>
      </c>
      <c r="FT306" s="1687">
        <f>IF(CQ306="Exterior",0,IF(FM306=2,0.5,IF(OR(FM306=1,FM306=3),1,0)))</f>
        <v>0</v>
      </c>
      <c r="FU306" s="1685">
        <f>IF(R305&gt;FS$44,(FS306*(FS$44/R305)),FS306)*FT306</f>
        <v>0</v>
      </c>
      <c r="FV306" s="1686">
        <f>DI306</f>
        <v>0</v>
      </c>
      <c r="FW306" s="1686">
        <f>ROUND(FV306+((1-FV306)*FU306),2)</f>
        <v>0</v>
      </c>
      <c r="FX306" s="1686">
        <f>IF(__Retrofit_TI_NC=2,FW306,FV306)</f>
        <v>0</v>
      </c>
      <c r="FY306" s="1697"/>
      <c r="GA306" s="1696" t="str">
        <f>IFERROR(VLOOKUP(U307,_Exist_Fixture_Table,3,FALSE),"")</f>
        <v/>
      </c>
      <c r="GB306" s="1696" t="str">
        <f>VLOOKUP(CW306,_Exist_Fixture_Table,4,FALSE)</f>
        <v/>
      </c>
      <c r="GC306" s="1696">
        <f>IFERROR(VLOOKUP(GB306,Lookup!AT$6:AU$8,2,FALSE),0)</f>
        <v>0</v>
      </c>
      <c r="GD306" s="1696" t="b">
        <f>IFERROR(IF(OR(GF306=4,GF306=5,GF306=6),TRUE,FALSE),"")</f>
        <v>0</v>
      </c>
      <c r="GE306" s="1696" t="str">
        <f>IFERROR(VLOOKUP(GF306,GC$6:GD$10,2,FALSE),"")</f>
        <v/>
      </c>
      <c r="GF306" s="1696" t="str">
        <f>VLOOKUP(CW308,Fixtures!R$31:Y$78,8,FALSE)</f>
        <v/>
      </c>
      <c r="GG306" s="1696">
        <f>IF(AND(GA306=TRUE,GD306=TRUE,OR(DQ306=12,DQ306=13,DQ306=14)),GC306+8,0)</f>
        <v>0</v>
      </c>
      <c r="GH306" s="1696" t="b">
        <f>IF(OR(GG306=12,GG306=13,GG306=14),TRUE,FALSE)</f>
        <v>0</v>
      </c>
      <c r="GI306" s="673" t="b">
        <f>IF(ISNUMBER(SEARCH("TLED",U307)),TRUE,FALSE)</f>
        <v>0</v>
      </c>
      <c r="GJ306" s="1135" t="str">
        <f>IFERROR(VLOOKUP(U307,Fixtures!BM$93:BR$142,6,FALSE),"")</f>
        <v/>
      </c>
      <c r="GK306" s="1832" t="b">
        <f>IF(OR(GI306=FALSE,GI308=FALSE),TRUE,IF(GJ306-GJ308&lt;5,FALSE,TRUE))</f>
        <v>1</v>
      </c>
      <c r="GO306" s="674">
        <f>GP306</f>
        <v>0</v>
      </c>
      <c r="GP306" s="674">
        <f>IF(G306="",0,1)</f>
        <v>0</v>
      </c>
      <c r="GQ306" s="674">
        <f ca="1">SUM(GR306:HF306)</f>
        <v>2</v>
      </c>
      <c r="GR306" s="674">
        <f>IF(G307="",0,1)</f>
        <v>0</v>
      </c>
      <c r="GS306" s="674">
        <f>IF(N309="BAM",1,IF(G308="",0,1))</f>
        <v>0</v>
      </c>
      <c r="GT306" s="674">
        <f>IF(N309="BAM",1,IF(R307="",0,1))</f>
        <v>0</v>
      </c>
      <c r="GU306" s="674">
        <f>IF(N309="BAM",1,IF(__Retrofit_TI_NC=0,1,IF(R308="",0,1)))</f>
        <v>1</v>
      </c>
      <c r="GV306" s="674">
        <f>IF(N309="BAM",1,IF(CQ306="Exterior",1,IF(G309="",0,1)))</f>
        <v>1</v>
      </c>
      <c r="GW306" s="674">
        <f>IF(__Retrofit_TI_NC&gt;0,1,IF(T307="",0,1))</f>
        <v>0</v>
      </c>
      <c r="GX306" s="674">
        <f>IF(__Retrofit_TI_NC&gt;0,1,IF(U307="",0,1))</f>
        <v>0</v>
      </c>
      <c r="GY306" s="674">
        <f>IF(N309="BAM",1,IF(T308="",0,1))</f>
        <v>0</v>
      </c>
      <c r="GZ306" s="674">
        <f>IF(N309="BAM",1,IF(U308="",0,1))</f>
        <v>0</v>
      </c>
      <c r="HA306" s="674">
        <f ca="1">IF(N309="BAM",1,IF(__Retrofit_TI_NC&gt;0,1,IF(U309="",0,1)))</f>
        <v>0</v>
      </c>
      <c r="HB306" s="674">
        <f>IF(__Retrofit_TI_NC&lt;&gt;0,1,IF(AF307="",0,1))</f>
        <v>0</v>
      </c>
      <c r="HC306" s="674">
        <f>IF(__Retrofit_TI_NC&lt;&gt;0,1,IF(AG307="",0,1))</f>
        <v>0</v>
      </c>
      <c r="HD306" s="674">
        <f>IF(N309="BAM",1,IF(AF308="",0,1))</f>
        <v>0</v>
      </c>
      <c r="HE306" s="674">
        <f>IF(N309="BAM",1,IF(AG308="",0,1))</f>
        <v>0</v>
      </c>
      <c r="HF306" s="674">
        <f>IF(N309="BAM",1,IF(__Retrofit_TI_NC&gt;0,1,IF(AG309="",0,1)))</f>
        <v>0</v>
      </c>
      <c r="HG306" s="391"/>
      <c r="IA306" s="391"/>
      <c r="IB306" s="1693" t="b">
        <f>IF(OR(IB309=0,IB309=HY$16,IB309=HX$16,IB309=HZ$16),TRUE,FALSE)</f>
        <v>0</v>
      </c>
      <c r="IC306" s="1694" t="b">
        <f>IB306</f>
        <v>0</v>
      </c>
      <c r="ID306" s="391"/>
      <c r="IE306" s="391"/>
      <c r="IF306" s="1688" t="b">
        <f ca="1">IF(MAX(GN309:HU309)&gt;5,FALSE,TRUE)</f>
        <v>0</v>
      </c>
      <c r="IG306" s="1689">
        <f ca="1">IF(IF306=TRUE,AC306,0)</f>
        <v>0</v>
      </c>
      <c r="IH306" s="1689">
        <f ca="1">IG306-IG308</f>
        <v>0</v>
      </c>
      <c r="IK306" s="1689" t="e">
        <f>ROUND(T307*VLOOKUP(U307,Fixtures_Existing_List,2,FALSE)*N307*R307/1000,0)</f>
        <v>#N/A</v>
      </c>
      <c r="IL306" s="1690" t="e">
        <f>IK306-IK308</f>
        <v>#N/A</v>
      </c>
      <c r="IM306" s="1693" t="e">
        <f>ROUND(IF(CQ306="Interior",N308*R308*R307*N307*_C406_reduction/1000,N308*R308*R307*N307/1000),0)</f>
        <v>#N/A</v>
      </c>
      <c r="IN306" s="1693" t="e">
        <f>IM306-IM308</f>
        <v>#N/A</v>
      </c>
      <c r="IP306" s="1679"/>
      <c r="IQ306" s="1679" t="e">
        <f t="shared" ref="IQ306:IU306" si="266">IF($CR306="interior",VLOOKUP($CS306,_New_Control_Savings_Interior,IQ$30,FALSE),VLOOKUP($CS306,Control_Savings_Exterior,IQ$30,FALSE))</f>
        <v>#N/A</v>
      </c>
      <c r="IR306" s="1679" t="e">
        <f t="shared" si="266"/>
        <v>#N/A</v>
      </c>
      <c r="IS306" s="1679" t="e">
        <f t="shared" si="266"/>
        <v>#N/A</v>
      </c>
      <c r="IT306" s="1679" t="e">
        <f t="shared" si="266"/>
        <v>#N/A</v>
      </c>
      <c r="IU306" s="1679" t="e">
        <f t="shared" si="266"/>
        <v>#N/A</v>
      </c>
      <c r="IV306" s="1679" t="e">
        <f>IF($CR306="interior",IF(R307&gt;$IP$14,ROUND(($IV$18*($IP$14/R307)),2),$IV$18),VLOOKUP($CS306,Control_Savings_Exterior,IV$30,FALSE))</f>
        <v>#N/A</v>
      </c>
      <c r="IW306" s="1679" t="e">
        <f>IF($CR306="interior",ROUND(((1-IS306)*IV306)+IS306,2),VLOOKUP($CS306,Control_Savings_Exterior,IW$30,FALSE))</f>
        <v>#N/A</v>
      </c>
      <c r="IX306" s="1679" t="e">
        <f>IF($CR306="interior",ROUND(((1-IT306)*IV306)+IT306,2),VLOOKUP($CS306,Control_Savings_Exterior,IX$30,FALSE))</f>
        <v>#N/A</v>
      </c>
      <c r="IY306" s="1679" t="e">
        <f>IF($CR306="interior",IF(R307&gt;$IP$14,ROUND(($IY$18*($IP$14/R307)),2),$IY$18),VLOOKUP($CS306,Control_Savings_Exterior,IY$30,FALSE))</f>
        <v>#N/A</v>
      </c>
      <c r="IZ306" s="1679" t="e">
        <f>IF($CR306="interior",ROUND(((1-IS306)*IY306)+IS306,2),VLOOKUP($CS306,Control_Savings_Exterior,IZ$30,FALSE))</f>
        <v>#N/A</v>
      </c>
      <c r="JA306" s="1679" t="e">
        <f>IF($CR306="interior",ROUND(((1-IT306)*IY306)+IT306,2),VLOOKUP($CS306,Control_Savings_Exterior,JA$30,FALSE))</f>
        <v>#N/A</v>
      </c>
      <c r="JC306" s="1680">
        <f>IFERROR(IF(CR306="Interior",CONCATENATE(G309," ",FQ306),FQ306),"")</f>
        <v>0</v>
      </c>
      <c r="JD306" s="1670" t="str">
        <f>IFERROR(VLOOKUP(JC306,_Controls_2023,2,FALSE),"")</f>
        <v/>
      </c>
      <c r="JE306" s="1681">
        <f>IFERROR(CHOOSE(JD306-1,IQ306,IR306,IS306,IT306,IU306,IV306,IW306,IX306,IY306,IZ306,JA306),0)</f>
        <v>0</v>
      </c>
      <c r="JG306" s="1680" t="str">
        <f>FE306</f>
        <v xml:space="preserve"> - 0</v>
      </c>
      <c r="JH306" s="1670" t="e">
        <f>$FO306</f>
        <v>#N/A</v>
      </c>
      <c r="JI306" s="1060"/>
      <c r="JJ306" s="1682" t="b">
        <f>IF($JG308=CONCATENATE("Interior - ",JJ$4),TRUE,FALSE)</f>
        <v>0</v>
      </c>
      <c r="JK306" s="1061"/>
      <c r="JL306" s="1682" t="b">
        <f>IF($JG308=CONCATENATE("Interior - ",JL$4),TRUE,FALSE)</f>
        <v>0</v>
      </c>
      <c r="JM306" s="1061"/>
      <c r="JN306" s="1682" t="b">
        <f>IF($JG308=CONCATENATE("Interior - ",JN$4),TRUE,FALSE)</f>
        <v>0</v>
      </c>
      <c r="JO306" s="1061"/>
      <c r="JP306" s="1682" t="b">
        <f>IF(__Retrofit_TI_NC&gt;0,FALSE,IF($JG308=CONCATENATE("Interior - ",JP$4),TRUE,FALSE))</f>
        <v>0</v>
      </c>
      <c r="JQ306" s="1061"/>
      <c r="JR306" s="1682" t="b">
        <f>IF(__Retrofit_TI_NC&gt;0,FALSE,IF($JG308=CONCATENATE("Interior - ",JR$4),TRUE,FALSE))</f>
        <v>0</v>
      </c>
      <c r="JS306" s="1061"/>
      <c r="JT306" s="1670" t="b">
        <f>IF(__Retrofit_TI_NC&gt;0,FALSE,IF($JG308=CONCATENATE("Interior - ",JT$4),TRUE,FALSE))</f>
        <v>0</v>
      </c>
      <c r="JU306" s="1061"/>
      <c r="JV306" s="1670" t="b">
        <f>IF(JC308="AELC on Existing",TRUE,FALSE)</f>
        <v>0</v>
      </c>
      <c r="JX306" s="1670" t="b">
        <f>IF(OR(JG308="Exterior - AELC Occupancy based",JG308="Exterior - AELC Time based"),TRUE,FALSE)</f>
        <v>0</v>
      </c>
      <c r="JZ306" s="1682" t="b">
        <f>IF($JG308=CONCATENATE("Exterior - ",JZ$4),TRUE,FALSE)</f>
        <v>0</v>
      </c>
      <c r="KB306" s="1670" t="b">
        <f>IF(__Retrofit_TI_NC&gt;0,FALSE,IF($JG308=CONCATENATE("Interior - ",KB$4),TRUE,FALSE))</f>
        <v>0</v>
      </c>
    </row>
    <row r="307" spans="1:288" s="78" customFormat="1" ht="14.95" customHeight="1" thickTop="1" thickBot="1">
      <c r="B307" s="1845"/>
      <c r="C307" s="1846"/>
      <c r="D307" s="1847"/>
      <c r="E307" s="1737" t="s">
        <v>297</v>
      </c>
      <c r="F307" s="1738"/>
      <c r="G307" s="1739"/>
      <c r="H307" s="1739"/>
      <c r="I307" s="1739"/>
      <c r="J307" s="1739"/>
      <c r="K307" s="1739"/>
      <c r="L307" s="1739"/>
      <c r="M307" s="461" t="e">
        <f>IF(__Retrofit_TI_NC&lt;&gt;0,IF(VLOOKUP(G308,'Space Table'!$B$3:$L$163,3,FALSE)&gt;0,1,0),IF(__Retrofit_TI_NC=VLOOKUP(G308,'Space Table'!$B$3:$L$163,3,FALSE),1,0))</f>
        <v>#N/A</v>
      </c>
      <c r="N307" s="461" t="str">
        <f>IFERROR(VLOOKUP(G307,_Lookup_Heat_Type_Table_New,2,FALSE),"")</f>
        <v/>
      </c>
      <c r="O307" s="461">
        <f>IF(__Retrofit_TI_NC=1,CONCATENATE("TI ",G307),IF(__Retrofit_TI_NC=2,CONCATENATE("NC ",G307),G307))</f>
        <v>0</v>
      </c>
      <c r="P307" s="1740" t="s">
        <v>435</v>
      </c>
      <c r="Q307" s="1740"/>
      <c r="R307" s="595"/>
      <c r="S307" s="1792"/>
      <c r="T307" s="597"/>
      <c r="U307" s="1765"/>
      <c r="V307" s="1766"/>
      <c r="W307" s="1766"/>
      <c r="X307" s="1766"/>
      <c r="Y307" s="1766"/>
      <c r="Z307" s="1766"/>
      <c r="AA307" s="1766"/>
      <c r="AB307" s="1766"/>
      <c r="AC307" s="1766"/>
      <c r="AD307" s="1767"/>
      <c r="AE307" s="1000"/>
      <c r="AF307" s="597"/>
      <c r="AG307" s="1723"/>
      <c r="AH307" s="1724"/>
      <c r="AI307" s="1724"/>
      <c r="AJ307" s="1724"/>
      <c r="AK307" s="1725"/>
      <c r="AL307" s="996"/>
      <c r="AM307" s="1747"/>
      <c r="AN307" s="1775"/>
      <c r="AO307" s="1777"/>
      <c r="AP307" s="1780"/>
      <c r="AQ307" s="1781"/>
      <c r="AR307" s="1795"/>
      <c r="AS307" s="1795"/>
      <c r="AT307" s="1796"/>
      <c r="AU307" s="1735"/>
      <c r="AV307" s="1752"/>
      <c r="AW307" s="1705"/>
      <c r="AX307" s="467"/>
      <c r="AY307" s="1749"/>
      <c r="AZ307" s="1749"/>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696"/>
      <c r="CQ307" s="1696"/>
      <c r="CR307" s="1809"/>
      <c r="CS307" s="1811"/>
      <c r="CU307" s="1688"/>
      <c r="CV307" s="1703"/>
      <c r="CW307" s="1703"/>
      <c r="CX307" s="1703"/>
      <c r="CY307" s="1815"/>
      <c r="CZ307" s="1711"/>
      <c r="DA307" s="1818"/>
      <c r="DB307" s="1820"/>
      <c r="DC307" s="1820"/>
      <c r="DD307" s="1820"/>
      <c r="DF307" s="1703"/>
      <c r="DG307" s="1831"/>
      <c r="DH307" s="1703"/>
      <c r="DI307" s="1838"/>
      <c r="DJ307" s="1711"/>
      <c r="DK307" s="1712"/>
      <c r="DM307" s="1718"/>
      <c r="DO307" s="1708"/>
      <c r="DQ307" s="1715"/>
      <c r="DR307" s="1720"/>
      <c r="DS307" s="1816"/>
      <c r="DT307" s="1714"/>
      <c r="DU307" s="1715"/>
      <c r="DV307" s="1716"/>
      <c r="DX307" s="1715"/>
      <c r="DY307" s="1720"/>
      <c r="DZ307" s="1715"/>
      <c r="EA307" s="1715"/>
      <c r="EC307" s="1834"/>
      <c r="ED307" s="1834"/>
      <c r="EF307" s="1707"/>
      <c r="EG307" s="1712"/>
      <c r="EH307" s="1818"/>
      <c r="EI307" s="1712"/>
      <c r="EJ307" s="1712"/>
      <c r="EK307" s="1836"/>
      <c r="EL307" s="1836"/>
      <c r="EM307" s="1807"/>
      <c r="EN307" s="1839"/>
      <c r="EO307" s="1839"/>
      <c r="EP307" s="1817"/>
      <c r="EQ307" s="1817"/>
      <c r="ER307" s="1807"/>
      <c r="ES307" s="1807"/>
      <c r="ET307" s="1807"/>
      <c r="EV307" s="1715"/>
      <c r="EX307" s="1805"/>
      <c r="EY307" s="1805"/>
      <c r="EZ307" s="1805"/>
      <c r="FA307" s="1805"/>
      <c r="FB307" s="1805"/>
      <c r="FC307" s="1827"/>
      <c r="FE307" s="1698"/>
      <c r="FG307" s="1816"/>
      <c r="FH307" s="1816"/>
      <c r="FI307" s="133"/>
      <c r="FL307" s="1823"/>
      <c r="FM307" s="1825"/>
      <c r="FN307" s="1698"/>
      <c r="FO307" s="1698"/>
      <c r="FP307" s="1678"/>
      <c r="FQ307" s="1678"/>
      <c r="FS307" s="1687"/>
      <c r="FT307" s="1687"/>
      <c r="FU307" s="1685"/>
      <c r="FV307" s="1687"/>
      <c r="FW307" s="1687"/>
      <c r="FX307" s="1687"/>
      <c r="FY307" s="1697"/>
      <c r="GA307" s="1696"/>
      <c r="GB307" s="1696"/>
      <c r="GC307" s="1696"/>
      <c r="GD307" s="1696"/>
      <c r="GE307" s="1696"/>
      <c r="GF307" s="1696"/>
      <c r="GG307" s="1696"/>
      <c r="GH307" s="1696"/>
      <c r="GI307" s="673"/>
      <c r="GJ307" s="1135"/>
      <c r="GK307" s="1832"/>
      <c r="GM307" s="1693" t="b">
        <f ca="1">IF(AND(GP307=TRUE,GQ307=TRUE),TRUE,FALSE)</f>
        <v>0</v>
      </c>
      <c r="GN307" s="1684" t="b">
        <f>IFERROR(IF(__Retrofit_TI_NC=2,TRUE,IF(AU306="Yes",TRUE,FALSE)),FALSE)</f>
        <v>1</v>
      </c>
      <c r="GP307" s="1684" t="b">
        <f>IFERROR(IF(GP306=1,TRUE,FALSE),FALSE)</f>
        <v>0</v>
      </c>
      <c r="GQ307" s="1684" t="b">
        <f ca="1">IFERROR(IF(GQ306=GQ$14,TRUE,FALSE),FALSE)</f>
        <v>0</v>
      </c>
      <c r="HG307" s="1684" t="b">
        <f>IFERROR(IF(AND(__Retrofit_TI_NC&gt;0,CQ306="Interior"),FALSE,TRUE),FALSE)</f>
        <v>1</v>
      </c>
      <c r="HH307" s="1684" t="b">
        <f>IFERROR(IF(M307=1,TRUE,FALSE),FALSE)</f>
        <v>0</v>
      </c>
      <c r="HI307" s="1684" t="b">
        <f>IFERROR(IF(OR(M308=1,N309="BAM"),TRUE,FALSE),FALSE)</f>
        <v>0</v>
      </c>
      <c r="HJ307" s="1684" t="b">
        <f>IFERROR(IF(__Retrofit_TI_NC&lt;&gt;0,TRUE,IFERROR(IF(VLOOKUP(U307,Fixtures_Existing_List,2,FALSE)&lt;&gt;"",TRUE,FALSE),FALSE)),FALSE)</f>
        <v>0</v>
      </c>
      <c r="HK307" s="1684" t="b">
        <f>IFERROR(IF(VLOOKUP(U308,Fixtures_Proposed_List,2,FALSE)&lt;&gt;"",TRUE,FALSE),FALSE)</f>
        <v>0</v>
      </c>
      <c r="HL307" s="1684" t="b">
        <f>IF(AND(__Retrofit_TI_NC=2,FC306=TRUE),FALSE,TRUE)</f>
        <v>1</v>
      </c>
      <c r="HM307" s="1684" t="b">
        <f>GK306</f>
        <v>1</v>
      </c>
      <c r="HN307" s="1682" t="b">
        <f>IF(ISERROR(MATCH(FE306,_Control_Match[],0))=TRUE,FALSE,TRUE)</f>
        <v>0</v>
      </c>
      <c r="HO307" s="1693" t="b">
        <f>IFERROR(IF(EX306&lt;&gt;EY306,FALSE,TRUE),FALSE)</f>
        <v>1</v>
      </c>
      <c r="HP307" s="1693" t="b">
        <f>IFERROR(IF(EX308&lt;&gt;EY308,FALSE,TRUE),FALSE)</f>
        <v>1</v>
      </c>
      <c r="HQ307" s="1670" t="b">
        <f>IFERROR(IF(CQ306="Exterior",TRUE,IF(AND(OR(FM308=0,FM308=3),JD308&gt;6),FALSE,TRUE)),FALSE)</f>
        <v>0</v>
      </c>
      <c r="HR307" s="1684" t="b">
        <f>IFERROR(IF(AND(FO308=7,FC306=TRUE),FALSE,TRUE),FALSE)</f>
        <v>0</v>
      </c>
      <c r="HS307" s="1684" t="b">
        <f>IFERROR(IF(AND(T308&lt;&gt;AF308,OR(AG308="Interior LLLC", AG308="Interior NLC", AG308="LLLC (outside Daylight)",AG308="LLLC Controls Only"))=TRUE,FALSE,TRUE),FALSE)</f>
        <v>1</v>
      </c>
      <c r="HT307" s="1670" t="b">
        <f>IFERROR(IF(OR(AG308=Lookup!BB$17,AG308=Lookup!BB$18,AG308=Lookup!BB$19)=TRUE,IF(AF308&gt;T308,FALSE,TRUE),TRUE),FALSE)</f>
        <v>1</v>
      </c>
      <c r="HU307" s="1684" t="b">
        <f>IFERROR(IF(__Retrofit_TI_NC=2,IF(EZ308&lt;EZ306,FALSE,TRUE),TRUE),FALSE)</f>
        <v>1</v>
      </c>
      <c r="HV307" s="1684" t="b">
        <f>IF(CQ306="Interior",IL$6,TRUE)</f>
        <v>1</v>
      </c>
      <c r="HW307" s="1684" t="b">
        <f>IF(CQ306="Exterior",IL$8,TRUE)</f>
        <v>1</v>
      </c>
      <c r="HX307" s="1684" t="b">
        <f>IFERROR(IF(__Retrofit_TI_NC&lt;&gt;0,IF(AZ306&lt;AY306,FALSE,TRUE),TRUE),FALSE)</f>
        <v>1</v>
      </c>
      <c r="HY307" s="1684" t="b">
        <f>IFERROR(IF(AND(G307="Exterior",R307&gt;4200),FALSE,TRUE),FALSE)</f>
        <v>1</v>
      </c>
      <c r="HZ307" s="1684" t="b">
        <f>IFERROR(IF(AB309/AB306&lt;HZ$18,FALSE,TRUE),FALSE)</f>
        <v>0</v>
      </c>
      <c r="IB307" s="1691"/>
      <c r="IC307" s="1695"/>
      <c r="ID307" s="1694" t="str">
        <f>VLOOKUP(IB309,_Error_Table,4,FALSE)</f>
        <v>White</v>
      </c>
      <c r="IE307" s="391"/>
      <c r="IF307" s="1688"/>
      <c r="IG307" s="1689"/>
      <c r="IH307" s="1684"/>
      <c r="IK307" s="1689"/>
      <c r="IL307" s="1691"/>
      <c r="IM307" s="1691"/>
      <c r="IN307" s="1691"/>
      <c r="IP307" s="1679"/>
      <c r="IQ307" s="1679"/>
      <c r="IR307" s="1679"/>
      <c r="IS307" s="1679"/>
      <c r="IT307" s="1679"/>
      <c r="IU307" s="1679"/>
      <c r="IV307" s="1679"/>
      <c r="IW307" s="1679"/>
      <c r="IX307" s="1679"/>
      <c r="IY307" s="1679"/>
      <c r="IZ307" s="1679"/>
      <c r="JA307" s="1679"/>
      <c r="JC307" s="1680"/>
      <c r="JD307" s="1670"/>
      <c r="JE307" s="1681"/>
      <c r="JG307" s="1680"/>
      <c r="JH307" s="1670"/>
      <c r="JI307" s="1060"/>
      <c r="JJ307" s="1683"/>
      <c r="JK307" s="1061"/>
      <c r="JL307" s="1683"/>
      <c r="JM307" s="1061"/>
      <c r="JN307" s="1683"/>
      <c r="JO307" s="1061"/>
      <c r="JP307" s="1683"/>
      <c r="JQ307" s="1061"/>
      <c r="JR307" s="1683"/>
      <c r="JS307" s="1061"/>
      <c r="JT307" s="1670"/>
      <c r="JU307" s="1061"/>
      <c r="JV307" s="1670"/>
      <c r="JX307" s="1670"/>
      <c r="JZ307" s="1683"/>
      <c r="KB307" s="1670"/>
    </row>
    <row r="308" spans="1:288" s="78" customFormat="1" ht="14.95" customHeight="1" thickTop="1" thickBot="1">
      <c r="A308" s="78">
        <f>ROW()</f>
        <v>308</v>
      </c>
      <c r="B308" s="1845"/>
      <c r="C308" s="1846"/>
      <c r="D308" s="1847"/>
      <c r="E308" s="1737" t="s">
        <v>298</v>
      </c>
      <c r="F308" s="1738"/>
      <c r="G308" s="1760"/>
      <c r="H308" s="1761"/>
      <c r="I308" s="1761"/>
      <c r="J308" s="1761"/>
      <c r="K308" s="1761"/>
      <c r="L308" s="1762"/>
      <c r="M308" s="461">
        <f>IFERROR(IF(IF(__Retrofit_TI_NC&lt;&gt;0,IF(CQ306="Interior",MATCH(G308,Lookup_Interior_New,0),MATCH(G308,Lookup_Exterior_New,0)),IF(CQ306="Interior",MATCH(G308,Lookup_Interior,0),MATCH(G308,Lookup_Exterior_Areas,0)))&gt;0,1,0),0)</f>
        <v>0</v>
      </c>
      <c r="N308" s="461" t="e">
        <f>IF(__Retrofit_TI_NC=1,
VLOOKUP(G308,'Space Table'!$B$3:$L$163,4,FALSE),
IF(__Retrofit_TI_NC=2,VLOOKUP(G308,'Space Table'!$B$3:$L$163,5,FALSE),VLOOKUP(G308,'Space Table'!$B$3:$L$163,5,FALSE)))</f>
        <v>#N/A</v>
      </c>
      <c r="O308" s="461">
        <f>G308</f>
        <v>0</v>
      </c>
      <c r="P308" s="1738" t="str">
        <f>IFERROR(IF(__Retrofit_TI_NC=1,VLOOKUP(G308,'Space Table'!$B$3:$O$163,13,FALSE),IF(__Retrofit_TI_NC=2,VLOOKUP(G308,'Space Table'!$B$3:$O$163,14,FALSE),"Area (sf):")),"Area (sf):")</f>
        <v>Area (sf):</v>
      </c>
      <c r="Q308" s="1738"/>
      <c r="R308" s="596"/>
      <c r="S308" s="1763" t="s">
        <v>345</v>
      </c>
      <c r="T308" s="594"/>
      <c r="U308" s="1801"/>
      <c r="V308" s="1802"/>
      <c r="W308" s="1802"/>
      <c r="X308" s="1802"/>
      <c r="Y308" s="1802"/>
      <c r="Z308" s="1802"/>
      <c r="AA308" s="1802"/>
      <c r="AB308" s="1802"/>
      <c r="AC308" s="1802"/>
      <c r="AD308" s="1802"/>
      <c r="AE308" s="1803"/>
      <c r="AF308" s="594"/>
      <c r="AG308" s="1787"/>
      <c r="AH308" s="1787"/>
      <c r="AI308" s="1787"/>
      <c r="AJ308" s="1787"/>
      <c r="AK308" s="1787"/>
      <c r="AL308" s="1787"/>
      <c r="AM308" s="1726">
        <f>IFERROR(DI308,"")</f>
        <v>0</v>
      </c>
      <c r="AN308" s="1728" t="str">
        <f>IFERROR(ROUND(AM308*AC309,0),"")</f>
        <v/>
      </c>
      <c r="AO308" s="1730">
        <f>IFERROR(IF(IB306=FALSE,0,AC309-AN308),0)</f>
        <v>0</v>
      </c>
      <c r="AP308" s="1780"/>
      <c r="AQ308" s="1781"/>
      <c r="AR308" s="1795"/>
      <c r="AS308" s="1795"/>
      <c r="AT308" s="1796"/>
      <c r="AU308" s="1735"/>
      <c r="AV308" s="1752"/>
      <c r="AW308" s="1705"/>
      <c r="AX308" s="467"/>
      <c r="AY308" s="1749"/>
      <c r="AZ308" s="1749"/>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696"/>
      <c r="CQ308" s="1696"/>
      <c r="CR308" s="1808" t="str">
        <f>CQ306</f>
        <v/>
      </c>
      <c r="CS308" s="1810" t="str">
        <f>CS306</f>
        <v/>
      </c>
      <c r="CU308" s="1688" t="s">
        <v>345</v>
      </c>
      <c r="CV308" s="1702">
        <f>IF(IB306=TRUE,T308,0)</f>
        <v>0</v>
      </c>
      <c r="CW308" s="1702" t="str">
        <f>IF(IB306=TRUE,U308,"")</f>
        <v/>
      </c>
      <c r="CX308" s="1812">
        <f>IF(IB306=TRUE,U309,0)</f>
        <v>0</v>
      </c>
      <c r="CY308" s="1814">
        <f>IF(IB306=TRUE,AB309,0)</f>
        <v>0</v>
      </c>
      <c r="CZ308" s="1710">
        <f>IF(AND(__Retrofit_TI_NC&gt;0,CR306="interior"),0,IF(IB306=TRUE,AC309,0))</f>
        <v>0</v>
      </c>
      <c r="DA308" s="1818"/>
      <c r="DB308" s="1820"/>
      <c r="DC308" s="1820"/>
      <c r="DD308" s="1820"/>
      <c r="DF308" s="1702">
        <f>IF(IB306=TRUE,AF308,0)</f>
        <v>0</v>
      </c>
      <c r="DG308" s="1830" t="str">
        <f>IF(IB306=TRUE,AG308,"")</f>
        <v/>
      </c>
      <c r="DH308" s="1812">
        <f>AG309</f>
        <v>0</v>
      </c>
      <c r="DI308" s="1837">
        <f>JE308</f>
        <v>0</v>
      </c>
      <c r="DJ308" s="1710">
        <f>IF(AND(__Retrofit_TI_NC&gt;0,CR306="interior"),0,IF(IB306=TRUE,AN308,0))</f>
        <v>0</v>
      </c>
      <c r="DK308" s="1712"/>
      <c r="DN308" s="1717">
        <f>IFERROR(CZ308-DJ308,0)</f>
        <v>0</v>
      </c>
      <c r="DO308" s="1709"/>
      <c r="DQ308" s="1715"/>
      <c r="DR308" s="1719" t="str">
        <f>DQ306</f>
        <v/>
      </c>
      <c r="DS308" s="1816"/>
      <c r="DT308" s="1835" t="str">
        <f>IF(OR(DS306=7,DS306=8,DS306=9),"ALC","")</f>
        <v/>
      </c>
      <c r="DU308" s="1715"/>
      <c r="DV308" s="1716"/>
      <c r="DX308" s="1715"/>
      <c r="DY308" s="1829" t="str">
        <f>DX306</f>
        <v/>
      </c>
      <c r="DZ308" s="1715"/>
      <c r="EA308" s="1715"/>
      <c r="EC308" s="1834"/>
      <c r="ED308" s="1834"/>
      <c r="EF308" s="1707"/>
      <c r="EG308" s="1712"/>
      <c r="EH308" s="1818"/>
      <c r="EI308" s="1712"/>
      <c r="EJ308" s="1712"/>
      <c r="EK308" s="1836"/>
      <c r="EL308" s="1836"/>
      <c r="EM308" s="1807"/>
      <c r="EN308" s="1839"/>
      <c r="EO308" s="1839"/>
      <c r="EP308" s="1817"/>
      <c r="EQ308" s="1817"/>
      <c r="ER308" s="1807"/>
      <c r="ES308" s="1807"/>
      <c r="ET308" s="1807"/>
      <c r="EV308" s="1715"/>
      <c r="EX308" s="1805" t="str">
        <f>IFERROR(VLOOKUP(CS308,'Space Table'!$B$3:$L$163,8,FALSE),"")</f>
        <v/>
      </c>
      <c r="EY308" s="1805" t="str">
        <f>IFERROR(IF(FB308="Yes",VLOOKUP(AG308,Lookup_Control_Type_Table2,4,FALSE),VLOOKUP(AG308,Lookup_Control_Type_Table2,3,FALSE)),"")</f>
        <v/>
      </c>
      <c r="EZ308" s="1805" t="e">
        <f>VLOOKUP(AG308,Lookup!BB$3:BC$20,2,FALSE)</f>
        <v>#N/A</v>
      </c>
      <c r="FA308" s="1805" t="e">
        <f>VLOOKUP(EX306,Lookup_Control_Type_Table,2,FALSE)</f>
        <v>#N/A</v>
      </c>
      <c r="FB308" s="1805" t="e">
        <f>VLOOKUP(CS308,'Space Table'!$B$3:$L$163,7,FALSE)</f>
        <v>#N/A</v>
      </c>
      <c r="FC308" s="1827"/>
      <c r="FE308" s="1698" t="str">
        <f>CONCATENATE(CQ306," - ",AG308)</f>
        <v xml:space="preserve"> - </v>
      </c>
      <c r="FG308" s="1816"/>
      <c r="FH308" s="1816"/>
      <c r="FI308" s="133"/>
      <c r="FL308" s="1822" t="str">
        <f>IF(CQ306="Exterior","Not Daylighted",G309)</f>
        <v>Not Daylighted</v>
      </c>
      <c r="FM308" s="1824">
        <f>VLOOKUP(FL308,_New_Daylight_Table_Codes,2,FALSE)</f>
        <v>0</v>
      </c>
      <c r="FN308" s="1698">
        <f>AG308</f>
        <v>0</v>
      </c>
      <c r="FO308" s="1698" t="e">
        <f>VLOOKUP(FN308,_Control_Table,2,FALSE)</f>
        <v>#N/A</v>
      </c>
      <c r="FP308" s="1678" t="e">
        <f>VLOOKUP(CONCATENATE(FL308," ",FN308),Lookup!AY$102:AZ319,2,FALSE)</f>
        <v>#N/A</v>
      </c>
      <c r="FQ308" s="1698">
        <f>IF(__Retrofit_TI_NC=0,FN308,IF(AND(FT308&gt;0,FN308="Occupancy Sensor"),"Daylight + Occupancy",IF(AND(FT308&gt;0,FO308&lt;4),"Interior Daylight Dimming",FN308)))</f>
        <v>0</v>
      </c>
      <c r="FS308" s="1686">
        <f>IF(CQ306="Interior",VLOOKUP(CS306,Control_Savings_Interior,5,FALSE),0)</f>
        <v>0</v>
      </c>
      <c r="FT308" s="1687">
        <f>IF(CQ308="Exterior",0,IF(FM308=2,0.5,IF(OR(FM308=1,FM308=3),1,0)))</f>
        <v>0</v>
      </c>
      <c r="FU308" s="1685">
        <f>IF(R307&gt;FS$44,(FS308*(FS$44/R307)),FS308)*FT308</f>
        <v>0</v>
      </c>
      <c r="FV308" s="1686">
        <f>DI308</f>
        <v>0</v>
      </c>
      <c r="FW308" s="1686">
        <f>ROUND(FV308+((1-FV308)*FU308),2)</f>
        <v>0</v>
      </c>
      <c r="FX308" s="1686">
        <f>IF(__Retrofit_TI_NC=2,FW308,FV308)</f>
        <v>0</v>
      </c>
      <c r="FY308" s="1697">
        <f>IF(CR308="Interior",VLOOKUP(CS308,Control_Savings_Interior,4,FALSE),0)</f>
        <v>0</v>
      </c>
      <c r="GA308" s="1696"/>
      <c r="GB308" s="1696"/>
      <c r="GC308" s="1696"/>
      <c r="GD308" s="1696"/>
      <c r="GE308" s="1696"/>
      <c r="GF308" s="1696"/>
      <c r="GG308" s="1696"/>
      <c r="GH308" s="1696"/>
      <c r="GI308" s="673" t="b">
        <f>IF(ISNUMBER(SEARCH("TLED",U308)),TRUE,FALSE)</f>
        <v>0</v>
      </c>
      <c r="GJ308" s="1135" t="str">
        <f>IFERROR(VLOOKUP(U308,Fixtures!DM$93:DR$142,6,FALSE),"")</f>
        <v/>
      </c>
      <c r="GK308" s="1832"/>
      <c r="GM308" s="1692"/>
      <c r="GN308" s="1684"/>
      <c r="GP308" s="1684"/>
      <c r="GQ308" s="1684"/>
      <c r="HG308" s="1684"/>
      <c r="HH308" s="1684"/>
      <c r="HI308" s="1684"/>
      <c r="HJ308" s="1684"/>
      <c r="HK308" s="1684"/>
      <c r="HL308" s="1684"/>
      <c r="HM308" s="1684"/>
      <c r="HN308" s="1683"/>
      <c r="HO308" s="1692"/>
      <c r="HP308" s="1692"/>
      <c r="HQ308" s="1670"/>
      <c r="HR308" s="1684"/>
      <c r="HS308" s="1684"/>
      <c r="HT308" s="1670"/>
      <c r="HU308" s="1684"/>
      <c r="HV308" s="1684"/>
      <c r="HW308" s="1684"/>
      <c r="HX308" s="1684"/>
      <c r="HY308" s="1684"/>
      <c r="HZ308" s="1684"/>
      <c r="IB308" s="1692"/>
      <c r="IC308" s="1693" t="b">
        <f>IB306</f>
        <v>0</v>
      </c>
      <c r="ID308" s="1695"/>
      <c r="IE308" s="391"/>
      <c r="IF308" s="1688"/>
      <c r="IG308" s="1689">
        <f ca="1">IF(IF306=TRUE,AC309,0)</f>
        <v>0</v>
      </c>
      <c r="IH308" s="1684"/>
      <c r="IK308" s="1689" t="e">
        <f>ROUND(T308*AB309*N307*R307/1000,0)</f>
        <v>#VALUE!</v>
      </c>
      <c r="IL308" s="1691"/>
      <c r="IM308" s="1693" t="e">
        <f>ROUND(T308*AB309*N307*R307/1000,0)</f>
        <v>#VALUE!</v>
      </c>
      <c r="IN308" s="1691"/>
      <c r="IP308" s="1679"/>
      <c r="IQ308" s="1679" t="e">
        <f t="shared" ref="IQ308:IU308" si="267">IF($CR308="interior",VLOOKUP($CS308,_New_Control_Savings_Interior,IQ$30,FALSE),VLOOKUP($CS308,Control_Savings_Exterior,IQ$30,FALSE))</f>
        <v>#N/A</v>
      </c>
      <c r="IR308" s="1679" t="e">
        <f t="shared" si="267"/>
        <v>#N/A</v>
      </c>
      <c r="IS308" s="1679" t="e">
        <f t="shared" si="267"/>
        <v>#N/A</v>
      </c>
      <c r="IT308" s="1679" t="e">
        <f t="shared" si="267"/>
        <v>#N/A</v>
      </c>
      <c r="IU308" s="1679" t="e">
        <f t="shared" si="267"/>
        <v>#N/A</v>
      </c>
      <c r="IV308" s="1679" t="e">
        <f>IF($CR308="interior",IF(R307&gt;$IP$14,ROUND(($IV$18*($IP$14/R307)),2),$IV$18),VLOOKUP($CS308,Control_Savings_Exterior,IV$30,FALSE))</f>
        <v>#N/A</v>
      </c>
      <c r="IW308" s="1679" t="e">
        <f>IF($CR308="interior",ROUND(((1-IS308)*IV308)+IS308,2),VLOOKUP($CS308,Control_Savings_Exterior,IW$30,FALSE))</f>
        <v>#N/A</v>
      </c>
      <c r="IX308" s="1679" t="e">
        <f>IF($CR308="interior",ROUND(((1-IT308)*IV308)+IT308,2),VLOOKUP($CS308,Control_Savings_Exterior,IX$30,FALSE))</f>
        <v>#N/A</v>
      </c>
      <c r="IY308" s="1679" t="e">
        <f>IF($CR308="interior",IF(R307&gt;$IP$14,ROUND(($IY$18*($IP$14/R307)),2),$IY$18),VLOOKUP($CS308,Control_Savings_Exterior,IY$30,FALSE))</f>
        <v>#N/A</v>
      </c>
      <c r="IZ308" s="1679" t="e">
        <f>IF($CR308="interior",ROUND(((1-IS308)*IY308)+IS308,2),VLOOKUP($CS308,Control_Savings_Exterior,IZ$30,FALSE))</f>
        <v>#N/A</v>
      </c>
      <c r="JA308" s="1679" t="e">
        <f>IF($CR308="interior",ROUND(((1-IT308)*IY308)+IT308,2),VLOOKUP($CS308,Control_Savings_Exterior,JA$30,FALSE))</f>
        <v>#N/A</v>
      </c>
      <c r="JC308" s="1680">
        <f>IFERROR(IF(CR308="Interior",CONCATENATE(G309," ",FQ308),AG308),"")</f>
        <v>0</v>
      </c>
      <c r="JD308" s="1670" t="str">
        <f>IFERROR(VLOOKUP(JC308,_Controls_2023,2,FALSE),"")</f>
        <v/>
      </c>
      <c r="JE308" s="1681">
        <f>IFERROR(CHOOSE(JD308-1,IQ308,IR308,IS308,IT308,IU308,IV308,IW308,IX308,IY308,IZ308,JA308),0)</f>
        <v>0</v>
      </c>
      <c r="JG308" s="1680" t="str">
        <f>FE308</f>
        <v xml:space="preserve"> - </v>
      </c>
      <c r="JH308" s="1670" t="e">
        <f>$FO308</f>
        <v>#N/A</v>
      </c>
      <c r="JI308" s="1060"/>
      <c r="JJ308" s="1670">
        <f>IFERROR(IF($IB306=TRUE,IF(OR(JJ$14="No",JJ306=FALSE,JH308&lt;=JH306,AND(_kWh_Grant=0,GD306=FALSE)),0,IF(JJ$8="Per Line",1,$AF308)),0),0)</f>
        <v>0</v>
      </c>
      <c r="JK308" s="1061"/>
      <c r="JL308" s="1670">
        <f>IFERROR(IF(_kWh_Grant=0,0,IF($IB306=TRUE,IF(OR(JL$14="No",JL306=FALSE,JH308&lt;=JH306),0,IF(JL$8="Per Line",1,$T308)),0)),0)</f>
        <v>0</v>
      </c>
      <c r="JM308" s="1061"/>
      <c r="JN308" s="1670">
        <f>IFERROR(IF(_kWh_Grant=0,0,IF($IB306=TRUE,IF(OR(JN$14="No",JN306=FALSE,JH308&lt;=JH306),0,IF(JN$8="Per Line",1,$AF308)),0)),0)</f>
        <v>0</v>
      </c>
      <c r="JO308" s="1061"/>
      <c r="JP308" s="1670">
        <f>IFERROR(IF(__Retrofit_TI_NC=0,IF(_kWh_Grant=0,0,IF($IB306=TRUE,IF(OR(JP$14="No",JP306=FALSE,$JH308&lt;=$JH306),0,IF(JP$8="Per Line",1,$AF308)),0)),IF($IB306=TRUE,IF(OR(JP$14="No",JP306=FALSE,$JH308&lt;=$JH306),0,IF(JP$8="Per Line",1,$AF308)))),0)</f>
        <v>0</v>
      </c>
      <c r="JQ308" s="1061"/>
      <c r="JR308" s="1670">
        <f>IFERROR(IF(__Retrofit_TI_NC=0,IF(_kWh_Grant=0,0,IF($IB306=TRUE,IF(OR(JR$14="No",JR306=FALSE,$JH308&lt;=$JH306),0,IF(JR$8="Per Line",1,$AF308)),0)),IF($IB306=TRUE,IF(OR(JR$14="No",JR306=FALSE,$JH308&lt;=$JH306),0,IF(JR$8="Per Line",1,$AF308)))),0)</f>
        <v>0</v>
      </c>
      <c r="JS308" s="1061"/>
      <c r="JT308" s="1670">
        <f>IFERROR(IF(__Retrofit_TI_NC=0,IF(_kWh_Grant=0,0,IF($IB306=TRUE,IF(OR(JT$14="No",JT306=FALSE,$JH308&lt;=$JH306),0,IF(JT$8="Per Line",1,$AF308)),0)),IF($IB306=TRUE,IF(OR(JT$14="No",JT306=FALSE,$JH308&lt;=$JH306),0,IF(JT$8="Per Line",1,$AF308)))),0)</f>
        <v>0</v>
      </c>
      <c r="JU308" s="1061"/>
      <c r="JV308" s="1670">
        <f>IFERROR(IF(__Retrofit_TI_NC=0,IF(_kWh_Grant=0,0,IF($IB306=TRUE,IF(OR(JV$14="No",JV306=FALSE,$JH308&lt;=$JH306),0,IF(JV$8="Per Line",1,$AF308)),0)),IF($IB306=TRUE,IF(OR(JV$14="No",JV306=FALSE,$JH308&lt;=$JH306),0,IF(JV$8="Per Line",1,$AF308)))),0)</f>
        <v>0</v>
      </c>
      <c r="JX308" s="1670">
        <f>IFERROR(IF(__Retrofit_TI_NC=0,IF(_kWh_Grant=0,0,IF($IB306=TRUE,IF(OR(JX$14="No",JX306=FALSE,$JH308&lt;=$JH306),0,IF(JX$8="Per Line",1,$AF308)),0)),IF($IB306=TRUE,IF(OR(JX$14="No",JX306=FALSE,$JH308&lt;=$JH306),0,IF(JX$8="Per Line",1,$AF308)))),0)</f>
        <v>0</v>
      </c>
      <c r="JZ308" s="1670">
        <f>IFERROR(IF($IB306=TRUE,IF(OR(JZ$14="No",JZ306=FALSE,$JH308&lt;=$JH306,AND(_kWh_Grant=0,$GD306=FALSE)),0,IF(JZ$8="Per Line",1,$AF308)),0),0)</f>
        <v>0</v>
      </c>
      <c r="KB308" s="1670">
        <f>IFERROR(IF(__Retrofit_TI_NC=0,IF(_kWh_Grant=0,0,IF($IB306=TRUE,IF(OR(KB$14="No",KB306=FALSE,$JH308&lt;=$JH306),0,IF(KB$8="Per Line",1,$AF308)),0)),IF($IB306=TRUE,IF(OR(KB$14="No",KB306=FALSE,$JH308&lt;=$JH306),0,IF(KB$8="Per Line",1,$AF308)))),0)</f>
        <v>0</v>
      </c>
    </row>
    <row r="309" spans="1:288" s="78" customFormat="1" ht="14.95" customHeight="1" thickTop="1" thickBot="1">
      <c r="B309" s="1845"/>
      <c r="C309" s="1846"/>
      <c r="D309" s="1847"/>
      <c r="E309" s="1771" t="s">
        <v>436</v>
      </c>
      <c r="F309" s="1772"/>
      <c r="G309" s="1784" t="s">
        <v>437</v>
      </c>
      <c r="H309" s="1785"/>
      <c r="I309" s="1785"/>
      <c r="J309" s="1785"/>
      <c r="K309" s="1785"/>
      <c r="L309" s="1786"/>
      <c r="M309" s="591">
        <f>IFERROR(VLOOKUP(G309,_Daylight_Table[],2,FALSE),0)</f>
        <v>0</v>
      </c>
      <c r="N309" s="592" t="str">
        <f>IF(AND(__Retrofit_TI_NC&gt;0,CQ306="Interior"),"BAM","")</f>
        <v/>
      </c>
      <c r="O309" s="591" t="e">
        <f>VLOOKUP(G308,'Space Table'!$B$3:$L$163,11,FALSE)</f>
        <v>#N/A</v>
      </c>
      <c r="P309" s="1789"/>
      <c r="Q309" s="1790"/>
      <c r="R309" s="1790"/>
      <c r="S309" s="1788"/>
      <c r="T309" s="593" t="s">
        <v>342</v>
      </c>
      <c r="U309" s="1756" t="str" cm="1">
        <f t="array" aca="1" ref="U309" ca="1">IFERROR(VLOOKUP(INDIRECT("U" &amp; ROW()-1),Fixtures!DM$93:DP$142,4,FALSE),"")</f>
        <v/>
      </c>
      <c r="V309" s="1757"/>
      <c r="W309" s="1757"/>
      <c r="X309" s="1757"/>
      <c r="Y309" s="1757"/>
      <c r="Z309" s="1757"/>
      <c r="AA309" s="1758"/>
      <c r="AB309" s="939" t="str">
        <f>IFERROR(VLOOKUP(U308,Fixtures_Proposed_List,2,FALSE),"")</f>
        <v/>
      </c>
      <c r="AC309" s="933" t="str">
        <f>IFERROR(ROUND(T308*AB309*N307*R307/1000,0),"")</f>
        <v/>
      </c>
      <c r="AD309" s="934" t="str">
        <f>IFERROR(ROUND(T308*AB309/1000,2),"")</f>
        <v/>
      </c>
      <c r="AE309" s="998"/>
      <c r="AF309" s="938" t="s">
        <v>342</v>
      </c>
      <c r="AG309" s="1770"/>
      <c r="AH309" s="1770"/>
      <c r="AI309" s="1770"/>
      <c r="AJ309" s="1770"/>
      <c r="AK309" s="1770"/>
      <c r="AL309" s="1770"/>
      <c r="AM309" s="1727"/>
      <c r="AN309" s="1729"/>
      <c r="AO309" s="1731"/>
      <c r="AP309" s="1782"/>
      <c r="AQ309" s="1783"/>
      <c r="AR309" s="1797"/>
      <c r="AS309" s="1797"/>
      <c r="AT309" s="1798"/>
      <c r="AU309" s="1736"/>
      <c r="AV309" s="1753"/>
      <c r="AW309" s="1706"/>
      <c r="AX309" s="468"/>
      <c r="AY309" s="1750"/>
      <c r="AZ309" s="1750"/>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696"/>
      <c r="CQ309" s="1696"/>
      <c r="CR309" s="1809"/>
      <c r="CS309" s="1811"/>
      <c r="CU309" s="1688"/>
      <c r="CV309" s="1703"/>
      <c r="CW309" s="1703"/>
      <c r="CX309" s="1813"/>
      <c r="CY309" s="1815"/>
      <c r="CZ309" s="1711"/>
      <c r="DA309" s="1815"/>
      <c r="DB309" s="1821"/>
      <c r="DC309" s="1821"/>
      <c r="DD309" s="1821"/>
      <c r="DF309" s="1703"/>
      <c r="DG309" s="1831"/>
      <c r="DH309" s="1813"/>
      <c r="DI309" s="1838"/>
      <c r="DJ309" s="1711"/>
      <c r="DK309" s="1712"/>
      <c r="DN309" s="1718"/>
      <c r="DO309" s="1709"/>
      <c r="DQ309" s="1715"/>
      <c r="DR309" s="1720"/>
      <c r="DS309" s="1703"/>
      <c r="DT309" s="1714"/>
      <c r="DU309" s="1715"/>
      <c r="DV309" s="1716"/>
      <c r="DX309" s="1715"/>
      <c r="DY309" s="1720"/>
      <c r="DZ309" s="1715"/>
      <c r="EA309" s="1715"/>
      <c r="EC309" s="1834"/>
      <c r="ED309" s="1834"/>
      <c r="EF309" s="1707"/>
      <c r="EG309" s="1712"/>
      <c r="EH309" s="1815"/>
      <c r="EI309" s="1712"/>
      <c r="EJ309" s="1712"/>
      <c r="EK309" s="1813"/>
      <c r="EL309" s="1813"/>
      <c r="EM309" s="1807"/>
      <c r="EN309" s="1839"/>
      <c r="EO309" s="1839"/>
      <c r="EP309" s="1817"/>
      <c r="EQ309" s="1817"/>
      <c r="ER309" s="1807"/>
      <c r="ES309" s="1807"/>
      <c r="ET309" s="1807"/>
      <c r="EV309" s="1715"/>
      <c r="EX309" s="1806"/>
      <c r="EY309" s="1806"/>
      <c r="EZ309" s="1806"/>
      <c r="FA309" s="1806"/>
      <c r="FB309" s="1806"/>
      <c r="FC309" s="1828"/>
      <c r="FE309" s="1698"/>
      <c r="FG309" s="1703"/>
      <c r="FH309" s="1703"/>
      <c r="FI309" s="133"/>
      <c r="FL309" s="1823"/>
      <c r="FM309" s="1825"/>
      <c r="FN309" s="1698"/>
      <c r="FO309" s="1698"/>
      <c r="FP309" s="1678"/>
      <c r="FQ309" s="1698"/>
      <c r="FS309" s="1687"/>
      <c r="FT309" s="1687"/>
      <c r="FU309" s="1685"/>
      <c r="FV309" s="1687"/>
      <c r="FW309" s="1687"/>
      <c r="FX309" s="1687"/>
      <c r="FY309" s="1697"/>
      <c r="GA309" s="1696"/>
      <c r="GB309" s="1696"/>
      <c r="GC309" s="1696"/>
      <c r="GD309" s="1696"/>
      <c r="GE309" s="1696"/>
      <c r="GF309" s="1696"/>
      <c r="GG309" s="1696"/>
      <c r="GH309" s="1696"/>
      <c r="GI309" s="673"/>
      <c r="GJ309" s="1135"/>
      <c r="GK309" s="1832"/>
      <c r="GN309" s="674">
        <f>IF(GN307=TRUE,0,GN$16)</f>
        <v>0</v>
      </c>
      <c r="GP309" s="674">
        <f>IF(GP307=TRUE,0,GP$16)</f>
        <v>36</v>
      </c>
      <c r="GQ309" s="674">
        <f ca="1">IF(GQ307=TRUE,0,GQ$16)</f>
        <v>35</v>
      </c>
      <c r="GR309" s="391"/>
      <c r="GS309" s="391"/>
      <c r="GT309" s="391"/>
      <c r="GU309" s="391"/>
      <c r="GV309" s="391"/>
      <c r="HG309" s="674">
        <f>IF(HG307=TRUE,0,HG$16)</f>
        <v>0</v>
      </c>
      <c r="HH309" s="674">
        <f t="shared" ref="HH309:HM309" si="268">IF(HH307=TRUE,0,HH$16)</f>
        <v>19</v>
      </c>
      <c r="HI309" s="674">
        <f t="shared" si="268"/>
        <v>18</v>
      </c>
      <c r="HJ309" s="674">
        <f t="shared" si="268"/>
        <v>17</v>
      </c>
      <c r="HK309" s="674">
        <f t="shared" si="268"/>
        <v>16</v>
      </c>
      <c r="HL309" s="674">
        <f t="shared" si="268"/>
        <v>0</v>
      </c>
      <c r="HM309" s="674">
        <f t="shared" si="268"/>
        <v>0</v>
      </c>
      <c r="HN309" s="674">
        <f>IF(HN307=TRUE,0,HN$16)</f>
        <v>13</v>
      </c>
      <c r="HO309" s="674">
        <f t="shared" ref="HO309:HQ309" si="269">IF(HO307=TRUE,0,HO$16)</f>
        <v>0</v>
      </c>
      <c r="HP309" s="674">
        <f t="shared" si="269"/>
        <v>0</v>
      </c>
      <c r="HQ309" s="674">
        <f t="shared" si="269"/>
        <v>10</v>
      </c>
      <c r="HR309" s="674">
        <f>IF(HR307=TRUE,0,HR$16)</f>
        <v>9</v>
      </c>
      <c r="HS309" s="674">
        <f t="shared" ref="HS309:HW309" si="270">IF(HS307=TRUE,0,HS$16)</f>
        <v>0</v>
      </c>
      <c r="HT309" s="674">
        <f t="shared" si="270"/>
        <v>0</v>
      </c>
      <c r="HU309" s="674">
        <f t="shared" si="270"/>
        <v>0</v>
      </c>
      <c r="HV309" s="674">
        <f t="shared" si="270"/>
        <v>0</v>
      </c>
      <c r="HW309" s="674">
        <f t="shared" si="270"/>
        <v>0</v>
      </c>
      <c r="HX309" s="674">
        <f>IF(HX307=TRUE,0,HX$16)</f>
        <v>0</v>
      </c>
      <c r="HY309" s="674">
        <f>IF(HY307=TRUE,0,HY$16)</f>
        <v>0</v>
      </c>
      <c r="HZ309" s="674">
        <f>IF(HZ307=TRUE,0,HZ$16)</f>
        <v>1</v>
      </c>
      <c r="IB309" s="674">
        <f>IF(GP307=FALSE,GP309,IF(GQ307=FALSE,GQ309,MAX(GN309:HZ309)))</f>
        <v>36</v>
      </c>
      <c r="IC309" s="1692"/>
      <c r="ID309" s="205" t="str">
        <f>VLOOKUP(IB309,_Error_Table,3,FALSE)</f>
        <v xml:space="preserve"> </v>
      </c>
      <c r="IE309" s="205"/>
      <c r="IF309" s="1688"/>
      <c r="IG309" s="1689"/>
      <c r="IH309" s="1684"/>
      <c r="IK309" s="1689"/>
      <c r="IL309" s="1692"/>
      <c r="IM309" s="1692"/>
      <c r="IN309" s="1692"/>
      <c r="IP309" s="1679"/>
      <c r="IQ309" s="1679"/>
      <c r="IR309" s="1679"/>
      <c r="IS309" s="1679"/>
      <c r="IT309" s="1679"/>
      <c r="IU309" s="1679"/>
      <c r="IV309" s="1679"/>
      <c r="IW309" s="1679"/>
      <c r="IX309" s="1679"/>
      <c r="IY309" s="1679"/>
      <c r="IZ309" s="1679"/>
      <c r="JA309" s="1679"/>
      <c r="JC309" s="1680"/>
      <c r="JD309" s="1670"/>
      <c r="JE309" s="1681"/>
      <c r="JG309" s="1680"/>
      <c r="JH309" s="1670"/>
      <c r="JI309" s="1060"/>
      <c r="JJ309" s="1670"/>
      <c r="JK309" s="1061"/>
      <c r="JL309" s="1670"/>
      <c r="JM309" s="1061"/>
      <c r="JN309" s="1670"/>
      <c r="JO309" s="1061"/>
      <c r="JP309" s="1670"/>
      <c r="JQ309" s="1061"/>
      <c r="JR309" s="1670"/>
      <c r="JS309" s="1061"/>
      <c r="JT309" s="1670"/>
      <c r="JU309" s="1061"/>
      <c r="JV309" s="1670"/>
      <c r="JX309" s="1670"/>
      <c r="JZ309" s="1670"/>
      <c r="KB309" s="1670"/>
    </row>
    <row r="310" spans="1:288" s="78" customFormat="1" ht="5.0999999999999996" customHeight="1">
      <c r="B310" s="676"/>
      <c r="C310" s="392"/>
      <c r="D310" s="392"/>
      <c r="E310" s="1733"/>
      <c r="F310" s="1733"/>
      <c r="G310" s="1733"/>
      <c r="H310" s="1733"/>
      <c r="I310" s="1733"/>
      <c r="J310" s="1733"/>
      <c r="K310" s="1733"/>
      <c r="L310" s="1733"/>
      <c r="M310" s="1733"/>
      <c r="N310" s="1733"/>
      <c r="O310" s="1733"/>
      <c r="P310" s="1733"/>
      <c r="Q310" s="1733"/>
      <c r="R310" s="1733"/>
      <c r="S310" s="1733"/>
      <c r="T310" s="1733"/>
      <c r="U310" s="1733"/>
      <c r="V310" s="1733"/>
      <c r="W310" s="1733"/>
      <c r="X310" s="1733"/>
      <c r="Y310" s="1733"/>
      <c r="Z310" s="1733"/>
      <c r="AA310" s="1733"/>
      <c r="AB310" s="1733"/>
      <c r="AC310" s="1733"/>
      <c r="AD310" s="1733"/>
      <c r="AE310" s="1733"/>
      <c r="AF310" s="1733"/>
      <c r="AG310" s="1733"/>
      <c r="AH310" s="1733"/>
      <c r="AI310" s="1733"/>
      <c r="AJ310" s="1733"/>
      <c r="AK310" s="1733"/>
      <c r="AL310" s="1733"/>
      <c r="AM310" s="1733"/>
      <c r="AN310" s="1733"/>
      <c r="AO310" s="1733"/>
      <c r="AP310" s="1733"/>
      <c r="AQ310" s="1733"/>
      <c r="AR310" s="1733"/>
      <c r="AS310" s="1733"/>
      <c r="AT310" s="1733"/>
      <c r="AU310" s="1733"/>
      <c r="AV310" s="1733"/>
      <c r="AW310" s="1733"/>
      <c r="AX310" s="469"/>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663"/>
      <c r="CQ310" s="663"/>
      <c r="CR310" s="438"/>
      <c r="CS310" s="663"/>
      <c r="CV310" s="391"/>
      <c r="CW310" s="391"/>
      <c r="CX310" s="207"/>
      <c r="CY310" s="208"/>
      <c r="CZ310" s="208"/>
      <c r="DA310" s="208"/>
      <c r="DB310" s="209"/>
      <c r="DC310" s="209"/>
      <c r="DD310" s="209"/>
      <c r="DF310" s="664"/>
      <c r="DG310" s="665"/>
      <c r="DH310" s="666"/>
      <c r="DI310" s="667"/>
      <c r="DJ310" s="668"/>
      <c r="DK310" s="668"/>
      <c r="DN310" s="208"/>
      <c r="DO310" s="664"/>
      <c r="DQ310" s="664"/>
      <c r="DR310" s="669"/>
      <c r="DS310" s="391"/>
      <c r="DT310" s="664"/>
      <c r="DU310" s="664"/>
      <c r="DV310" s="664"/>
      <c r="DX310" s="664"/>
      <c r="DY310" s="664"/>
      <c r="DZ310" s="664"/>
      <c r="EA310" s="664"/>
      <c r="EC310" s="670"/>
      <c r="ED310" s="670"/>
      <c r="EF310" s="668"/>
      <c r="EG310" s="668"/>
      <c r="EH310" s="208"/>
      <c r="EI310" s="668"/>
      <c r="EJ310" s="668"/>
      <c r="EK310" s="207"/>
      <c r="EL310" s="207"/>
      <c r="EM310" s="666"/>
      <c r="EN310" s="671"/>
      <c r="EO310" s="671"/>
      <c r="EP310" s="672"/>
      <c r="EQ310" s="672"/>
      <c r="ER310" s="666"/>
      <c r="ES310" s="666"/>
      <c r="ET310" s="666"/>
      <c r="EV310" s="664"/>
      <c r="EX310" s="391"/>
      <c r="EY310" s="391"/>
      <c r="EZ310" s="391"/>
      <c r="FA310" s="391"/>
      <c r="FB310" s="391"/>
      <c r="FC310" s="391"/>
      <c r="FE310" s="569"/>
      <c r="FG310" s="391"/>
      <c r="FH310" s="391"/>
      <c r="FI310" s="391"/>
      <c r="FS310" s="664"/>
      <c r="FT310" s="391"/>
      <c r="FU310" s="391"/>
      <c r="FV310" s="664"/>
      <c r="FW310" s="664"/>
      <c r="GA310" s="663"/>
      <c r="GB310" s="663"/>
      <c r="GC310" s="663"/>
      <c r="GD310" s="663"/>
      <c r="GE310" s="663"/>
      <c r="GF310" s="663"/>
      <c r="GG310" s="663"/>
      <c r="GH310" s="663"/>
      <c r="GI310" s="665"/>
      <c r="GJ310" s="664"/>
      <c r="GK310" s="664"/>
    </row>
    <row r="311" spans="1:288" s="78" customFormat="1" ht="14.95" customHeight="1">
      <c r="B311" s="1845" t="str">
        <f>ID314</f>
        <v xml:space="preserve"> </v>
      </c>
      <c r="C311" s="1846">
        <f>C306+1</f>
        <v>52</v>
      </c>
      <c r="D311" s="1847"/>
      <c r="E311" s="1799" t="s">
        <v>295</v>
      </c>
      <c r="F311" s="1800"/>
      <c r="G311" s="1741"/>
      <c r="H311" s="1742"/>
      <c r="I311" s="1742"/>
      <c r="J311" s="1742"/>
      <c r="K311" s="1742"/>
      <c r="L311" s="1742"/>
      <c r="M311" s="1742"/>
      <c r="N311" s="1742"/>
      <c r="O311" s="1742"/>
      <c r="P311" s="1742"/>
      <c r="Q311" s="1742"/>
      <c r="R311" s="1742"/>
      <c r="S311" s="1791" t="s">
        <v>344</v>
      </c>
      <c r="T311" s="590"/>
      <c r="U311" s="1743"/>
      <c r="V311" s="1744"/>
      <c r="W311" s="1744"/>
      <c r="X311" s="1744"/>
      <c r="Y311" s="1744"/>
      <c r="Z311" s="1744"/>
      <c r="AA311" s="1744"/>
      <c r="AB311" s="961" t="str">
        <f>IFERROR(IF(__Retrofit_TI_NC=0,VLOOKUP(U312,Fixtures_Existing_List,2,FALSE),ROUND(N313*R313/T313,10)),"")</f>
        <v/>
      </c>
      <c r="AC311" s="935" t="str">
        <f>IFERROR(IF(__Retrofit_TI_NC=0,ROUND(T312*AB311*N312*R312/1000,0),IF(CQ311="Interior",N313*R313*R312*N312*_C406_reduction/1000,N313*R313*R312*N312/1000)),"")</f>
        <v/>
      </c>
      <c r="AD311" s="936" t="str">
        <f>IFERROR(IF(C$43=0,ROUND(T312*AB311/1000,2),N313*R313/1000),"")</f>
        <v/>
      </c>
      <c r="AE311" s="997"/>
      <c r="AF311" s="937"/>
      <c r="AG311" s="1745" t="str">
        <f>IF(__Retrofit_TI_NC=0," Control","Select Advanced Control for New System")</f>
        <v xml:space="preserve"> Control</v>
      </c>
      <c r="AH311" s="1745"/>
      <c r="AI311" s="1745"/>
      <c r="AJ311" s="1745"/>
      <c r="AK311" s="1745"/>
      <c r="AL311" s="1745"/>
      <c r="AM311" s="1746">
        <f>IFERROR(DI311,"")</f>
        <v>0</v>
      </c>
      <c r="AN311" s="1774" t="str">
        <f>IFERROR(ROUND(AM311*AC311,0),"")</f>
        <v/>
      </c>
      <c r="AO311" s="1776">
        <f>IFERROR(IF(IB311=FALSE,0,AC311-AN311),0)</f>
        <v>0</v>
      </c>
      <c r="AP311" s="1778">
        <f>AO311-AO313</f>
        <v>0</v>
      </c>
      <c r="AQ311" s="1779"/>
      <c r="AR311" s="1793">
        <f>IFERROR(IF(IB311=FALSE,0,(T313*U314)+(AF313*AG314)),0)</f>
        <v>0</v>
      </c>
      <c r="AS311" s="1793"/>
      <c r="AT311" s="1794"/>
      <c r="AU311" s="1734" t="s">
        <v>237</v>
      </c>
      <c r="AV311" s="1751">
        <f>IF(AU311="Yes",1,0)</f>
        <v>1</v>
      </c>
      <c r="AW311" s="1704" t="str">
        <f>IF(OR(DQ311=4,DQ311=5,DQ311=6,DQ311=12),CONCATENATE("$",IF(GH311=TRUE,Lookup!$K$10,Lookup!$K$2)," /lamp"),CONCATENATE(TEXT(ED311,"$0.00"),"/ kWh"))</f>
        <v>$0.00/ kWh</v>
      </c>
      <c r="AX311" s="467"/>
      <c r="AY311" s="1748">
        <f ca="1">IFERROR(IF(GM312=TRUE,(AB314*T313)/R313,0),"NA")</f>
        <v>0</v>
      </c>
      <c r="AZ311" s="1748"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696" t="str">
        <f>N312</f>
        <v/>
      </c>
      <c r="CQ311" s="1696" t="str">
        <f>IFERROR(VLOOKUP(G312,_Lookup_Heat_Type_Table_New,3,FALSE),"")</f>
        <v/>
      </c>
      <c r="CR311" s="1808" t="str">
        <f>CQ311</f>
        <v/>
      </c>
      <c r="CS311" s="1810" t="str">
        <f>IFERROR(VLOOKUP(G313,'Space Table'!$B$3:$L$163,9,FALSE),"")</f>
        <v/>
      </c>
      <c r="CU311" s="1688" t="s">
        <v>344</v>
      </c>
      <c r="CV311" s="1702">
        <f>IF(IB311=TRUE,T312,0)</f>
        <v>0</v>
      </c>
      <c r="CW311" s="1702" t="str">
        <f>IF(IB311=TRUE,U312,"")</f>
        <v/>
      </c>
      <c r="CX311" s="1702"/>
      <c r="CY311" s="1814">
        <f>IF(IB311=TRUE,AB311,0)</f>
        <v>0</v>
      </c>
      <c r="CZ311" s="1710">
        <f>IF(AND(__Retrofit_TI_NC&gt;0,CR311="interior"),0,IF(IB311=TRUE,AC311,0))</f>
        <v>0</v>
      </c>
      <c r="DA311" s="1814">
        <f>IFERROR(IF(IB311=TRUE,CZ311-CZ313,0),0)</f>
        <v>0</v>
      </c>
      <c r="DB311" s="1819">
        <f>IF(IB311=TRUE,AD311,0)</f>
        <v>0</v>
      </c>
      <c r="DC311" s="1819">
        <f>IF(IB311=TRUE,AD314,0)</f>
        <v>0</v>
      </c>
      <c r="DD311" s="1819">
        <f>IFERROR(DB311-DC311,0)</f>
        <v>0</v>
      </c>
      <c r="DF311" s="1702">
        <f>IF(IB311=TRUE,AF312,0)</f>
        <v>0</v>
      </c>
      <c r="DG311" s="1830">
        <f>IFERROR(IF(__Retrofit_TI_NC=2,IF(CQ311="Exterior",O314,FQ311),FN311),"")</f>
        <v>0</v>
      </c>
      <c r="DH311" s="1702"/>
      <c r="DI311" s="1837">
        <f>JE311</f>
        <v>0</v>
      </c>
      <c r="DJ311" s="1710">
        <f>IF(AND(__Retrofit_TI_NC&gt;0,CR311="interior"),0,IF(IB311=TRUE,AN311,0))</f>
        <v>0</v>
      </c>
      <c r="DK311" s="1712">
        <f>IFERROR(IF(IB311=TRUE,DJ313-DJ311,0),0)</f>
        <v>0</v>
      </c>
      <c r="DM311" s="1717">
        <f>IFERROR(CZ311-DJ311,0)</f>
        <v>0</v>
      </c>
      <c r="DO311" s="1708">
        <f>DM311-DN313</f>
        <v>0</v>
      </c>
      <c r="DQ311" s="1715" t="str">
        <f>IFERROR(IF(AND(OR(GC311=4,GC311=5,GC311=6),OR(GF311=4,GF311=5,GF311=6)),GC311+8,VLOOKUP(CW313,Fixtures!R$31:Y$78,8,FALSE)),"")</f>
        <v/>
      </c>
      <c r="DR311" s="1829" t="str">
        <f>DQ311</f>
        <v/>
      </c>
      <c r="DS311" s="1702" t="str">
        <f>IFERROR(VLOOKUP(DG313,Lookup!BB$3:BC$20,2,FALSE),"")</f>
        <v/>
      </c>
      <c r="DT311" s="1713" t="str">
        <f>IF(OR(DS311=7,DS311=8,DS311=9),"ALC","")</f>
        <v/>
      </c>
      <c r="DU311" s="1715">
        <f>IFERROR(IF(OR(DQ311=4,DQ311=5,DQ311=6,DQ311=12,DQ311=13,DQ311=14),VLOOKUP(CW313,Fixtures!DN$27:EG$77,19,FALSE),1)*CV313,0)</f>
        <v>0</v>
      </c>
      <c r="DV311" s="1716">
        <f>IF(OR(DS311=7,DS311=8,DS311=9),IF(DG311=DG313,0,DF313),0)</f>
        <v>0</v>
      </c>
      <c r="DX311" s="1715" t="str">
        <f>IFERROR(IF(EZ311&lt;EZ313,"Yes","No"),"")</f>
        <v/>
      </c>
      <c r="DY311" s="1829" t="str">
        <f>DX311</f>
        <v/>
      </c>
      <c r="DZ311" s="1715">
        <f>IF(DX311="Yes",DF313,0)</f>
        <v>0</v>
      </c>
      <c r="EA311" s="1715">
        <f>DZ311-DV311</f>
        <v>0</v>
      </c>
      <c r="EC311" s="1834">
        <f>IFERROR(VLOOKUP(DQ311,Lookup!AU$3:AV$16,2,FALSE),0)</f>
        <v>0</v>
      </c>
      <c r="ED311" s="1834">
        <f>IF(IB311=FALSE,0,IF(DX311="Yes",EC311+Lookup!K$6,EC311))</f>
        <v>0</v>
      </c>
      <c r="EF311" s="1707">
        <f>IF(IB311=TRUE,DM311,0)</f>
        <v>0</v>
      </c>
      <c r="EG311" s="1712">
        <f>IF(IB311=TRUE,CZ313,0)</f>
        <v>0</v>
      </c>
      <c r="EH311" s="1814">
        <f>IFERROR(EF311-EG311,0)</f>
        <v>0</v>
      </c>
      <c r="EI311" s="1712">
        <f>IF(IB311=TRUE,DJ313,0)</f>
        <v>0</v>
      </c>
      <c r="EJ311" s="1712">
        <f>IFERROR(EF311-EG311+EI311,0)</f>
        <v>0</v>
      </c>
      <c r="EK311" s="1812">
        <f>IF(IB311=TRUE,CV313*CX313,0)</f>
        <v>0</v>
      </c>
      <c r="EL311" s="1812">
        <f>IF(IB311=TRUE,DF313*DH313,0)</f>
        <v>0</v>
      </c>
      <c r="EM311" s="1807">
        <f>AR311</f>
        <v>0</v>
      </c>
      <c r="EN311" s="1839" t="str">
        <f>IFERROR(IF(IB311=TRUE,VLOOKUP(DQ311,Lookup!AU$3:AW$16,3,FALSE)*DU311,""),0)</f>
        <v/>
      </c>
      <c r="EO311" s="1839">
        <f>IF(IB311=TRUE,DZ311*Lookup!AW$12,0)</f>
        <v>0</v>
      </c>
      <c r="EP311" s="1817">
        <f>IFERROR(IF(IB311=TRUE,EN311/EP$40,0),0)</f>
        <v>0</v>
      </c>
      <c r="EQ311" s="1817">
        <f>IF(IB311=TRUE,EO311/EQ$40,0)</f>
        <v>0</v>
      </c>
      <c r="ER311" s="1807">
        <f>IF(IB311=TRUE,ET$40*EP311,0)</f>
        <v>0</v>
      </c>
      <c r="ES311" s="1807">
        <f>IF(IB311=TRUE,ET$40*EQ311,0)</f>
        <v>0</v>
      </c>
      <c r="ET311" s="1807">
        <f>ER311+ES311</f>
        <v>0</v>
      </c>
      <c r="EV311" s="1715">
        <f>IF(G311="",0,1)</f>
        <v>0</v>
      </c>
      <c r="EX311" s="1804" t="str">
        <f>IFERROR(VLOOKUP(CS313,'Space Table'!$B$3:$L$163,8,FALSE),"")</f>
        <v/>
      </c>
      <c r="EY311" s="1804" t="str">
        <f>IFERROR(IF(FB311="Yes",VLOOKUP(DG311,Lookup_Control_Type_Table2,4,FALSE),VLOOKUP(DG311,Lookup_Control_Type_Table2,3,FALSE)),"")</f>
        <v/>
      </c>
      <c r="EZ311" s="1804" t="e">
        <f>VLOOKUP(DG311,Lookup!BB$3:BC$20,2,FALSE)</f>
        <v>#N/A</v>
      </c>
      <c r="FA311" s="1804" t="e">
        <f>VLOOKUP(EX311,Lookup_Control_Type_Table,2,FALSE)</f>
        <v>#N/A</v>
      </c>
      <c r="FB311" s="1804" t="e">
        <f>VLOOKUP(CS313,'Space Table'!$B$3:$L$163,7,FALSE)</f>
        <v>#N/A</v>
      </c>
      <c r="FC311" s="1826" t="b">
        <f>ISNUMBER(SEARCH("TLED",U313))</f>
        <v>0</v>
      </c>
      <c r="FE311" s="1698" t="str">
        <f>CONCATENATE(CQ311," - ",DG311)</f>
        <v xml:space="preserve"> - 0</v>
      </c>
      <c r="FG311" s="1702" t="str">
        <f>VLOOKUP(CW313,Fixtures!DN$27:EZ$77,38,FALSE)</f>
        <v/>
      </c>
      <c r="FH311" s="1702">
        <f>IFERROR(FG311*EH311,0)</f>
        <v>0</v>
      </c>
      <c r="FI311" s="133"/>
      <c r="FL311" s="1822" t="str">
        <f>IF(CQ311="Exterior","Not Daylighted",G314)</f>
        <v>Not Daylighted</v>
      </c>
      <c r="FM311" s="1824">
        <f>VLOOKUP(FL311,_New_Daylight_Table_Codes,2,FALSE)</f>
        <v>0</v>
      </c>
      <c r="FN311" s="1698">
        <f>IF(__Retrofit_TI_NC&gt;0,VLOOKUP(G313,'Space Table'!$B$3:$L$163,11,FALSE),AG312)</f>
        <v>0</v>
      </c>
      <c r="FO311" s="1698" t="e">
        <f>IF(__Retrofit_TI_NC=2,VLOOKUP(FQ311,_Control_Table,2,FALSE),VLOOKUP(FN311,_Control_Table,2,FALSE))</f>
        <v>#N/A</v>
      </c>
      <c r="FP311" s="1678" t="e">
        <f>VLOOKUP(CONCATENATE(FL311," ",FN311),Lookup!AY$102:AZ321,2,FALSE)</f>
        <v>#N/A</v>
      </c>
      <c r="FQ311" s="1678">
        <f>IF(__Retrofit_TI_NC=0,FN311,IF(AND(FT311&gt;0,FN311="Occupancy Sensor"),"Daylight + Occupancy",IF(AND(FT311&gt;0,VLOOKUP(FN311,_Control_Table,2,FALSE)&lt;4),"Interior Daylight Dimming",FN311)))</f>
        <v>0</v>
      </c>
      <c r="FS311" s="1686">
        <f>IF(CR311="Interior",VLOOKUP(CS311,Control_Savings_Interior,5,FALSE),0)</f>
        <v>0</v>
      </c>
      <c r="FT311" s="1687">
        <f>IF(CQ311="Exterior",0,IF(FM311=2,0.5,IF(OR(FM311=1,FM311=3),1,0)))</f>
        <v>0</v>
      </c>
      <c r="FU311" s="1685">
        <f>IF(R310&gt;FS$44,(FS311*(FS$44/R310)),FS311)*FT311</f>
        <v>0</v>
      </c>
      <c r="FV311" s="1686">
        <f>DI311</f>
        <v>0</v>
      </c>
      <c r="FW311" s="1686">
        <f>ROUND(FV311+((1-FV311)*FU311),2)</f>
        <v>0</v>
      </c>
      <c r="FX311" s="1686">
        <f>IF(__Retrofit_TI_NC=2,FW311,FV311)</f>
        <v>0</v>
      </c>
      <c r="FY311" s="1697"/>
      <c r="GA311" s="1696" t="str">
        <f>IFERROR(VLOOKUP(U312,_Exist_Fixture_Table,3,FALSE),"")</f>
        <v/>
      </c>
      <c r="GB311" s="1696" t="str">
        <f>VLOOKUP(CW311,_Exist_Fixture_Table,4,FALSE)</f>
        <v/>
      </c>
      <c r="GC311" s="1696">
        <f>IFERROR(VLOOKUP(GB311,Lookup!AT$6:AU$8,2,FALSE),0)</f>
        <v>0</v>
      </c>
      <c r="GD311" s="1696" t="b">
        <f>IFERROR(IF(OR(GF311=4,GF311=5,GF311=6),TRUE,FALSE),"")</f>
        <v>0</v>
      </c>
      <c r="GE311" s="1696" t="str">
        <f>IFERROR(VLOOKUP(GF311,GC$6:GD$10,2,FALSE),"")</f>
        <v/>
      </c>
      <c r="GF311" s="1696" t="str">
        <f>VLOOKUP(CW313,Fixtures!R$31:Y$78,8,FALSE)</f>
        <v/>
      </c>
      <c r="GG311" s="1696">
        <f>IF(AND(GA311=TRUE,GD311=TRUE,OR(DQ311=12,DQ311=13,DQ311=14)),GC311+8,0)</f>
        <v>0</v>
      </c>
      <c r="GH311" s="1696" t="b">
        <f>IF(OR(GG311=12,GG311=13,GG311=14),TRUE,FALSE)</f>
        <v>0</v>
      </c>
      <c r="GI311" s="673" t="b">
        <f>IF(ISNUMBER(SEARCH("TLED",U312)),TRUE,FALSE)</f>
        <v>0</v>
      </c>
      <c r="GJ311" s="1135" t="str">
        <f>IFERROR(VLOOKUP(U312,Fixtures!BM$93:BR$142,6,FALSE),"")</f>
        <v/>
      </c>
      <c r="GK311" s="1832" t="b">
        <f>IF(OR(GI311=FALSE,GI313=FALSE),TRUE,IF(GJ311-GJ313&lt;5,FALSE,TRUE))</f>
        <v>1</v>
      </c>
      <c r="GO311" s="674">
        <f>GP311</f>
        <v>0</v>
      </c>
      <c r="GP311" s="674">
        <f>IF(G311="",0,1)</f>
        <v>0</v>
      </c>
      <c r="GQ311" s="674">
        <f ca="1">SUM(GR311:HF311)</f>
        <v>2</v>
      </c>
      <c r="GR311" s="674">
        <f>IF(G312="",0,1)</f>
        <v>0</v>
      </c>
      <c r="GS311" s="674">
        <f>IF(N314="BAM",1,IF(G313="",0,1))</f>
        <v>0</v>
      </c>
      <c r="GT311" s="674">
        <f>IF(N314="BAM",1,IF(R312="",0,1))</f>
        <v>0</v>
      </c>
      <c r="GU311" s="674">
        <f>IF(N314="BAM",1,IF(__Retrofit_TI_NC=0,1,IF(R313="",0,1)))</f>
        <v>1</v>
      </c>
      <c r="GV311" s="674">
        <f>IF(N314="BAM",1,IF(CQ311="Exterior",1,IF(G314="",0,1)))</f>
        <v>1</v>
      </c>
      <c r="GW311" s="674">
        <f>IF(__Retrofit_TI_NC&gt;0,1,IF(T312="",0,1))</f>
        <v>0</v>
      </c>
      <c r="GX311" s="674">
        <f>IF(__Retrofit_TI_NC&gt;0,1,IF(U312="",0,1))</f>
        <v>0</v>
      </c>
      <c r="GY311" s="674">
        <f>IF(N314="BAM",1,IF(T313="",0,1))</f>
        <v>0</v>
      </c>
      <c r="GZ311" s="674">
        <f>IF(N314="BAM",1,IF(U313="",0,1))</f>
        <v>0</v>
      </c>
      <c r="HA311" s="674">
        <f ca="1">IF(N314="BAM",1,IF(__Retrofit_TI_NC&gt;0,1,IF(U314="",0,1)))</f>
        <v>0</v>
      </c>
      <c r="HB311" s="674">
        <f>IF(__Retrofit_TI_NC&lt;&gt;0,1,IF(AF312="",0,1))</f>
        <v>0</v>
      </c>
      <c r="HC311" s="674">
        <f>IF(__Retrofit_TI_NC&lt;&gt;0,1,IF(AG312="",0,1))</f>
        <v>0</v>
      </c>
      <c r="HD311" s="674">
        <f>IF(N314="BAM",1,IF(AF313="",0,1))</f>
        <v>0</v>
      </c>
      <c r="HE311" s="674">
        <f>IF(N314="BAM",1,IF(AG313="",0,1))</f>
        <v>0</v>
      </c>
      <c r="HF311" s="674">
        <f>IF(N314="BAM",1,IF(__Retrofit_TI_NC&gt;0,1,IF(AG314="",0,1)))</f>
        <v>0</v>
      </c>
      <c r="HG311" s="391"/>
      <c r="IA311" s="391"/>
      <c r="IB311" s="1693" t="b">
        <f>IF(OR(IB314=0,IB314=HY$16,IB314=HX$16,IB314=HZ$16),TRUE,FALSE)</f>
        <v>0</v>
      </c>
      <c r="IC311" s="1694" t="b">
        <f>IB311</f>
        <v>0</v>
      </c>
      <c r="ID311" s="391"/>
      <c r="IE311" s="391"/>
      <c r="IF311" s="1688" t="b">
        <f ca="1">IF(MAX(GN314:HU314)&gt;5,FALSE,TRUE)</f>
        <v>0</v>
      </c>
      <c r="IG311" s="1689">
        <f ca="1">IF(IF311=TRUE,AC311,0)</f>
        <v>0</v>
      </c>
      <c r="IH311" s="1689">
        <f ca="1">IG311-IG313</f>
        <v>0</v>
      </c>
      <c r="IK311" s="1689" t="e">
        <f>ROUND(T312*VLOOKUP(U312,Fixtures_Existing_List,2,FALSE)*N312*R312/1000,0)</f>
        <v>#N/A</v>
      </c>
      <c r="IL311" s="1690" t="e">
        <f>IK311-IK313</f>
        <v>#N/A</v>
      </c>
      <c r="IM311" s="1693" t="e">
        <f>ROUND(IF(CQ311="Interior",N313*R313*R312*N312*_C406_reduction/1000,N313*R313*R312*N312/1000),0)</f>
        <v>#N/A</v>
      </c>
      <c r="IN311" s="1693" t="e">
        <f>IM311-IM313</f>
        <v>#N/A</v>
      </c>
      <c r="IP311" s="1679"/>
      <c r="IQ311" s="1679" t="e">
        <f t="shared" ref="IQ311:IU311" si="271">IF($CR311="interior",VLOOKUP($CS311,_New_Control_Savings_Interior,IQ$30,FALSE),VLOOKUP($CS311,Control_Savings_Exterior,IQ$30,FALSE))</f>
        <v>#N/A</v>
      </c>
      <c r="IR311" s="1679" t="e">
        <f t="shared" si="271"/>
        <v>#N/A</v>
      </c>
      <c r="IS311" s="1679" t="e">
        <f t="shared" si="271"/>
        <v>#N/A</v>
      </c>
      <c r="IT311" s="1679" t="e">
        <f t="shared" si="271"/>
        <v>#N/A</v>
      </c>
      <c r="IU311" s="1679" t="e">
        <f t="shared" si="271"/>
        <v>#N/A</v>
      </c>
      <c r="IV311" s="1679" t="e">
        <f>IF($CR311="interior",IF(R312&gt;$IP$14,ROUND(($IV$18*($IP$14/R312)),2),$IV$18),VLOOKUP($CS311,Control_Savings_Exterior,IV$30,FALSE))</f>
        <v>#N/A</v>
      </c>
      <c r="IW311" s="1679" t="e">
        <f>IF($CR311="interior",ROUND(((1-IS311)*IV311)+IS311,2),VLOOKUP($CS311,Control_Savings_Exterior,IW$30,FALSE))</f>
        <v>#N/A</v>
      </c>
      <c r="IX311" s="1679" t="e">
        <f>IF($CR311="interior",ROUND(((1-IT311)*IV311)+IT311,2),VLOOKUP($CS311,Control_Savings_Exterior,IX$30,FALSE))</f>
        <v>#N/A</v>
      </c>
      <c r="IY311" s="1679" t="e">
        <f>IF($CR311="interior",IF(R312&gt;$IP$14,ROUND(($IY$18*($IP$14/R312)),2),$IY$18),VLOOKUP($CS311,Control_Savings_Exterior,IY$30,FALSE))</f>
        <v>#N/A</v>
      </c>
      <c r="IZ311" s="1679" t="e">
        <f>IF($CR311="interior",ROUND(((1-IS311)*IY311)+IS311,2),VLOOKUP($CS311,Control_Savings_Exterior,IZ$30,FALSE))</f>
        <v>#N/A</v>
      </c>
      <c r="JA311" s="1679" t="e">
        <f>IF($CR311="interior",ROUND(((1-IT311)*IY311)+IT311,2),VLOOKUP($CS311,Control_Savings_Exterior,JA$30,FALSE))</f>
        <v>#N/A</v>
      </c>
      <c r="JC311" s="1680">
        <f>IFERROR(IF(CR311="Interior",CONCATENATE(G314," ",FQ311),FQ311),"")</f>
        <v>0</v>
      </c>
      <c r="JD311" s="1670" t="str">
        <f>IFERROR(VLOOKUP(JC311,_Controls_2023,2,FALSE),"")</f>
        <v/>
      </c>
      <c r="JE311" s="1681">
        <f>IFERROR(CHOOSE(JD311-1,IQ311,IR311,IS311,IT311,IU311,IV311,IW311,IX311,IY311,IZ311,JA311),0)</f>
        <v>0</v>
      </c>
      <c r="JG311" s="1680" t="str">
        <f>FE311</f>
        <v xml:space="preserve"> - 0</v>
      </c>
      <c r="JH311" s="1670" t="e">
        <f>$FO311</f>
        <v>#N/A</v>
      </c>
      <c r="JI311" s="1060"/>
      <c r="JJ311" s="1682" t="b">
        <f>IF($JG313=CONCATENATE("Interior - ",JJ$4),TRUE,FALSE)</f>
        <v>0</v>
      </c>
      <c r="JK311" s="1061"/>
      <c r="JL311" s="1682" t="b">
        <f>IF($JG313=CONCATENATE("Interior - ",JL$4),TRUE,FALSE)</f>
        <v>0</v>
      </c>
      <c r="JM311" s="1061"/>
      <c r="JN311" s="1682" t="b">
        <f>IF($JG313=CONCATENATE("Interior - ",JN$4),TRUE,FALSE)</f>
        <v>0</v>
      </c>
      <c r="JO311" s="1061"/>
      <c r="JP311" s="1682" t="b">
        <f>IF(__Retrofit_TI_NC&gt;0,FALSE,IF($JG313=CONCATENATE("Interior - ",JP$4),TRUE,FALSE))</f>
        <v>0</v>
      </c>
      <c r="JQ311" s="1061"/>
      <c r="JR311" s="1682" t="b">
        <f>IF(__Retrofit_TI_NC&gt;0,FALSE,IF($JG313=CONCATENATE("Interior - ",JR$4),TRUE,FALSE))</f>
        <v>0</v>
      </c>
      <c r="JS311" s="1061"/>
      <c r="JT311" s="1670" t="b">
        <f>IF(__Retrofit_TI_NC&gt;0,FALSE,IF($JG313=CONCATENATE("Interior - ",JT$4),TRUE,FALSE))</f>
        <v>0</v>
      </c>
      <c r="JU311" s="1061"/>
      <c r="JV311" s="1670" t="b">
        <f>IF(JC313="AELC on Existing",TRUE,FALSE)</f>
        <v>0</v>
      </c>
      <c r="JX311" s="1670" t="b">
        <f>IF(OR(JG313="Exterior - AELC Occupancy based",JG313="Exterior - AELC Time based"),TRUE,FALSE)</f>
        <v>0</v>
      </c>
      <c r="JZ311" s="1682" t="b">
        <f>IF($JG313=CONCATENATE("Exterior - ",JZ$4),TRUE,FALSE)</f>
        <v>0</v>
      </c>
      <c r="KB311" s="1670" t="b">
        <f>IF(__Retrofit_TI_NC&gt;0,FALSE,IF($JG313=CONCATENATE("Interior - ",KB$4),TRUE,FALSE))</f>
        <v>0</v>
      </c>
    </row>
    <row r="312" spans="1:288" s="78" customFormat="1" ht="14.95" customHeight="1" thickTop="1" thickBot="1">
      <c r="B312" s="1845"/>
      <c r="C312" s="1846"/>
      <c r="D312" s="1847"/>
      <c r="E312" s="1737" t="s">
        <v>297</v>
      </c>
      <c r="F312" s="1738"/>
      <c r="G312" s="1739"/>
      <c r="H312" s="1739"/>
      <c r="I312" s="1739"/>
      <c r="J312" s="1739"/>
      <c r="K312" s="1739"/>
      <c r="L312" s="1739"/>
      <c r="M312" s="461" t="e">
        <f>IF(__Retrofit_TI_NC&lt;&gt;0,IF(VLOOKUP(G313,'Space Table'!$B$3:$L$163,3,FALSE)&gt;0,1,0),IF(__Retrofit_TI_NC=VLOOKUP(G313,'Space Table'!$B$3:$L$163,3,FALSE),1,0))</f>
        <v>#N/A</v>
      </c>
      <c r="N312" s="461" t="str">
        <f>IFERROR(VLOOKUP(G312,_Lookup_Heat_Type_Table_New,2,FALSE),"")</f>
        <v/>
      </c>
      <c r="O312" s="461">
        <f>IF(__Retrofit_TI_NC=1,CONCATENATE("TI ",G312),IF(__Retrofit_TI_NC=2,CONCATENATE("NC ",G312),G312))</f>
        <v>0</v>
      </c>
      <c r="P312" s="1740" t="s">
        <v>435</v>
      </c>
      <c r="Q312" s="1740"/>
      <c r="R312" s="595"/>
      <c r="S312" s="1792"/>
      <c r="T312" s="597"/>
      <c r="U312" s="1765"/>
      <c r="V312" s="1766"/>
      <c r="W312" s="1766"/>
      <c r="X312" s="1766"/>
      <c r="Y312" s="1766"/>
      <c r="Z312" s="1766"/>
      <c r="AA312" s="1766"/>
      <c r="AB312" s="1766"/>
      <c r="AC312" s="1766"/>
      <c r="AD312" s="1767"/>
      <c r="AE312" s="1000"/>
      <c r="AF312" s="597"/>
      <c r="AG312" s="1723"/>
      <c r="AH312" s="1724"/>
      <c r="AI312" s="1724"/>
      <c r="AJ312" s="1724"/>
      <c r="AK312" s="1725"/>
      <c r="AL312" s="996"/>
      <c r="AM312" s="1747"/>
      <c r="AN312" s="1775"/>
      <c r="AO312" s="1777"/>
      <c r="AP312" s="1780"/>
      <c r="AQ312" s="1781"/>
      <c r="AR312" s="1795"/>
      <c r="AS312" s="1795"/>
      <c r="AT312" s="1796"/>
      <c r="AU312" s="1735"/>
      <c r="AV312" s="1752"/>
      <c r="AW312" s="1705"/>
      <c r="AX312" s="467"/>
      <c r="AY312" s="1749"/>
      <c r="AZ312" s="1749"/>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696"/>
      <c r="CQ312" s="1696"/>
      <c r="CR312" s="1809"/>
      <c r="CS312" s="1811"/>
      <c r="CU312" s="1688"/>
      <c r="CV312" s="1703"/>
      <c r="CW312" s="1703"/>
      <c r="CX312" s="1703"/>
      <c r="CY312" s="1815"/>
      <c r="CZ312" s="1711"/>
      <c r="DA312" s="1818"/>
      <c r="DB312" s="1820"/>
      <c r="DC312" s="1820"/>
      <c r="DD312" s="1820"/>
      <c r="DF312" s="1703"/>
      <c r="DG312" s="1831"/>
      <c r="DH312" s="1703"/>
      <c r="DI312" s="1838"/>
      <c r="DJ312" s="1711"/>
      <c r="DK312" s="1712"/>
      <c r="DM312" s="1718"/>
      <c r="DO312" s="1708"/>
      <c r="DQ312" s="1715"/>
      <c r="DR312" s="1720"/>
      <c r="DS312" s="1816"/>
      <c r="DT312" s="1714"/>
      <c r="DU312" s="1715"/>
      <c r="DV312" s="1716"/>
      <c r="DX312" s="1715"/>
      <c r="DY312" s="1720"/>
      <c r="DZ312" s="1715"/>
      <c r="EA312" s="1715"/>
      <c r="EC312" s="1834"/>
      <c r="ED312" s="1834"/>
      <c r="EF312" s="1707"/>
      <c r="EG312" s="1712"/>
      <c r="EH312" s="1818"/>
      <c r="EI312" s="1712"/>
      <c r="EJ312" s="1712"/>
      <c r="EK312" s="1836"/>
      <c r="EL312" s="1836"/>
      <c r="EM312" s="1807"/>
      <c r="EN312" s="1839"/>
      <c r="EO312" s="1839"/>
      <c r="EP312" s="1817"/>
      <c r="EQ312" s="1817"/>
      <c r="ER312" s="1807"/>
      <c r="ES312" s="1807"/>
      <c r="ET312" s="1807"/>
      <c r="EV312" s="1715"/>
      <c r="EX312" s="1805"/>
      <c r="EY312" s="1805"/>
      <c r="EZ312" s="1805"/>
      <c r="FA312" s="1805"/>
      <c r="FB312" s="1805"/>
      <c r="FC312" s="1827"/>
      <c r="FE312" s="1698"/>
      <c r="FG312" s="1816"/>
      <c r="FH312" s="1816"/>
      <c r="FI312" s="133"/>
      <c r="FL312" s="1823"/>
      <c r="FM312" s="1825"/>
      <c r="FN312" s="1698"/>
      <c r="FO312" s="1698"/>
      <c r="FP312" s="1678"/>
      <c r="FQ312" s="1678"/>
      <c r="FS312" s="1687"/>
      <c r="FT312" s="1687"/>
      <c r="FU312" s="1685"/>
      <c r="FV312" s="1687"/>
      <c r="FW312" s="1687"/>
      <c r="FX312" s="1687"/>
      <c r="FY312" s="1697"/>
      <c r="GA312" s="1696"/>
      <c r="GB312" s="1696"/>
      <c r="GC312" s="1696"/>
      <c r="GD312" s="1696"/>
      <c r="GE312" s="1696"/>
      <c r="GF312" s="1696"/>
      <c r="GG312" s="1696"/>
      <c r="GH312" s="1696"/>
      <c r="GI312" s="673"/>
      <c r="GJ312" s="1135"/>
      <c r="GK312" s="1832"/>
      <c r="GM312" s="1693" t="b">
        <f ca="1">IF(AND(GP312=TRUE,GQ312=TRUE),TRUE,FALSE)</f>
        <v>0</v>
      </c>
      <c r="GN312" s="1684" t="b">
        <f>IFERROR(IF(__Retrofit_TI_NC=2,TRUE,IF(AU311="Yes",TRUE,FALSE)),FALSE)</f>
        <v>1</v>
      </c>
      <c r="GP312" s="1684" t="b">
        <f>IFERROR(IF(GP311=1,TRUE,FALSE),FALSE)</f>
        <v>0</v>
      </c>
      <c r="GQ312" s="1684" t="b">
        <f ca="1">IFERROR(IF(GQ311=GQ$14,TRUE,FALSE),FALSE)</f>
        <v>0</v>
      </c>
      <c r="HG312" s="1684" t="b">
        <f>IFERROR(IF(AND(__Retrofit_TI_NC&gt;0,CQ311="Interior"),FALSE,TRUE),FALSE)</f>
        <v>1</v>
      </c>
      <c r="HH312" s="1684" t="b">
        <f>IFERROR(IF(M312=1,TRUE,FALSE),FALSE)</f>
        <v>0</v>
      </c>
      <c r="HI312" s="1684" t="b">
        <f>IFERROR(IF(OR(M313=1,N314="BAM"),TRUE,FALSE),FALSE)</f>
        <v>0</v>
      </c>
      <c r="HJ312" s="1684" t="b">
        <f>IFERROR(IF(__Retrofit_TI_NC&lt;&gt;0,TRUE,IFERROR(IF(VLOOKUP(U312,Fixtures_Existing_List,2,FALSE)&lt;&gt;"",TRUE,FALSE),FALSE)),FALSE)</f>
        <v>0</v>
      </c>
      <c r="HK312" s="1684" t="b">
        <f>IFERROR(IF(VLOOKUP(U313,Fixtures_Proposed_List,2,FALSE)&lt;&gt;"",TRUE,FALSE),FALSE)</f>
        <v>0</v>
      </c>
      <c r="HL312" s="1684" t="b">
        <f>IF(AND(__Retrofit_TI_NC=2,FC311=TRUE),FALSE,TRUE)</f>
        <v>1</v>
      </c>
      <c r="HM312" s="1684" t="b">
        <f>GK311</f>
        <v>1</v>
      </c>
      <c r="HN312" s="1682" t="b">
        <f>IF(ISERROR(MATCH(FE311,_Control_Match[],0))=TRUE,FALSE,TRUE)</f>
        <v>0</v>
      </c>
      <c r="HO312" s="1693" t="b">
        <f>IFERROR(IF(EX311&lt;&gt;EY311,FALSE,TRUE),FALSE)</f>
        <v>1</v>
      </c>
      <c r="HP312" s="1693" t="b">
        <f>IFERROR(IF(EX313&lt;&gt;EY313,FALSE,TRUE),FALSE)</f>
        <v>1</v>
      </c>
      <c r="HQ312" s="1670" t="b">
        <f>IFERROR(IF(CQ311="Exterior",TRUE,IF(AND(OR(FM313=0,FM313=3),JD313&gt;6),FALSE,TRUE)),FALSE)</f>
        <v>0</v>
      </c>
      <c r="HR312" s="1684" t="b">
        <f>IFERROR(IF(AND(FO313=7,FC311=TRUE),FALSE,TRUE),FALSE)</f>
        <v>0</v>
      </c>
      <c r="HS312" s="1684" t="b">
        <f>IFERROR(IF(AND(T313&lt;&gt;AF313,OR(AG313="Interior LLLC", AG313="Interior NLC", AG313="LLLC (outside Daylight)",AG313="LLLC Controls Only"))=TRUE,FALSE,TRUE),FALSE)</f>
        <v>1</v>
      </c>
      <c r="HT312" s="1670" t="b">
        <f>IFERROR(IF(OR(AG313=Lookup!BB$17,AG313=Lookup!BB$18,AG313=Lookup!BB$19)=TRUE,IF(AF313&gt;T313,FALSE,TRUE),TRUE),FALSE)</f>
        <v>1</v>
      </c>
      <c r="HU312" s="1684" t="b">
        <f>IFERROR(IF(__Retrofit_TI_NC=2,IF(EZ313&lt;EZ311,FALSE,TRUE),TRUE),FALSE)</f>
        <v>1</v>
      </c>
      <c r="HV312" s="1684" t="b">
        <f>IF(CQ311="Interior",IL$6,TRUE)</f>
        <v>1</v>
      </c>
      <c r="HW312" s="1684" t="b">
        <f>IF(CQ311="Exterior",IL$8,TRUE)</f>
        <v>1</v>
      </c>
      <c r="HX312" s="1684" t="b">
        <f>IFERROR(IF(__Retrofit_TI_NC&lt;&gt;0,IF(AZ311&lt;AY311,FALSE,TRUE),TRUE),FALSE)</f>
        <v>1</v>
      </c>
      <c r="HY312" s="1684" t="b">
        <f>IFERROR(IF(AND(G312="Exterior",R312&gt;4200),FALSE,TRUE),FALSE)</f>
        <v>1</v>
      </c>
      <c r="HZ312" s="1684" t="b">
        <f>IFERROR(IF(AB314/AB311&lt;HZ$18,FALSE,TRUE),FALSE)</f>
        <v>0</v>
      </c>
      <c r="IB312" s="1691"/>
      <c r="IC312" s="1695"/>
      <c r="ID312" s="1694" t="str">
        <f>VLOOKUP(IB314,_Error_Table,4,FALSE)</f>
        <v>White</v>
      </c>
      <c r="IE312" s="391"/>
      <c r="IF312" s="1688"/>
      <c r="IG312" s="1689"/>
      <c r="IH312" s="1684"/>
      <c r="IK312" s="1689"/>
      <c r="IL312" s="1691"/>
      <c r="IM312" s="1691"/>
      <c r="IN312" s="1691"/>
      <c r="IP312" s="1679"/>
      <c r="IQ312" s="1679"/>
      <c r="IR312" s="1679"/>
      <c r="IS312" s="1679"/>
      <c r="IT312" s="1679"/>
      <c r="IU312" s="1679"/>
      <c r="IV312" s="1679"/>
      <c r="IW312" s="1679"/>
      <c r="IX312" s="1679"/>
      <c r="IY312" s="1679"/>
      <c r="IZ312" s="1679"/>
      <c r="JA312" s="1679"/>
      <c r="JC312" s="1680"/>
      <c r="JD312" s="1670"/>
      <c r="JE312" s="1681"/>
      <c r="JG312" s="1680"/>
      <c r="JH312" s="1670"/>
      <c r="JI312" s="1060"/>
      <c r="JJ312" s="1683"/>
      <c r="JK312" s="1061"/>
      <c r="JL312" s="1683"/>
      <c r="JM312" s="1061"/>
      <c r="JN312" s="1683"/>
      <c r="JO312" s="1061"/>
      <c r="JP312" s="1683"/>
      <c r="JQ312" s="1061"/>
      <c r="JR312" s="1683"/>
      <c r="JS312" s="1061"/>
      <c r="JT312" s="1670"/>
      <c r="JU312" s="1061"/>
      <c r="JV312" s="1670"/>
      <c r="JX312" s="1670"/>
      <c r="JZ312" s="1683"/>
      <c r="KB312" s="1670"/>
    </row>
    <row r="313" spans="1:288" s="78" customFormat="1" ht="14.95" customHeight="1" thickTop="1" thickBot="1">
      <c r="A313" s="78">
        <f>ROW()</f>
        <v>313</v>
      </c>
      <c r="B313" s="1845"/>
      <c r="C313" s="1846"/>
      <c r="D313" s="1847"/>
      <c r="E313" s="1737" t="s">
        <v>298</v>
      </c>
      <c r="F313" s="1738"/>
      <c r="G313" s="1760"/>
      <c r="H313" s="1761"/>
      <c r="I313" s="1761"/>
      <c r="J313" s="1761"/>
      <c r="K313" s="1761"/>
      <c r="L313" s="1762"/>
      <c r="M313" s="461">
        <f>IFERROR(IF(IF(__Retrofit_TI_NC&lt;&gt;0,IF(CQ311="Interior",MATCH(G313,Lookup_Interior_New,0),MATCH(G313,Lookup_Exterior_New,0)),IF(CQ311="Interior",MATCH(G313,Lookup_Interior,0),MATCH(G313,Lookup_Exterior_Areas,0)))&gt;0,1,0),0)</f>
        <v>0</v>
      </c>
      <c r="N313" s="461" t="e">
        <f>IF(__Retrofit_TI_NC=1,
VLOOKUP(G313,'Space Table'!$B$3:$L$163,4,FALSE),
IF(__Retrofit_TI_NC=2,VLOOKUP(G313,'Space Table'!$B$3:$L$163,5,FALSE),VLOOKUP(G313,'Space Table'!$B$3:$L$163,5,FALSE)))</f>
        <v>#N/A</v>
      </c>
      <c r="O313" s="461">
        <f>G313</f>
        <v>0</v>
      </c>
      <c r="P313" s="1738" t="str">
        <f>IFERROR(IF(__Retrofit_TI_NC=1,VLOOKUP(G313,'Space Table'!$B$3:$O$163,13,FALSE),IF(__Retrofit_TI_NC=2,VLOOKUP(G313,'Space Table'!$B$3:$O$163,14,FALSE),"Area (sf):")),"Area (sf):")</f>
        <v>Area (sf):</v>
      </c>
      <c r="Q313" s="1738"/>
      <c r="R313" s="596"/>
      <c r="S313" s="1763" t="s">
        <v>345</v>
      </c>
      <c r="T313" s="594"/>
      <c r="U313" s="1801"/>
      <c r="V313" s="1802"/>
      <c r="W313" s="1802"/>
      <c r="X313" s="1802"/>
      <c r="Y313" s="1802"/>
      <c r="Z313" s="1802"/>
      <c r="AA313" s="1802"/>
      <c r="AB313" s="1802"/>
      <c r="AC313" s="1802"/>
      <c r="AD313" s="1802"/>
      <c r="AE313" s="1803"/>
      <c r="AF313" s="594"/>
      <c r="AG313" s="1787"/>
      <c r="AH313" s="1787"/>
      <c r="AI313" s="1787"/>
      <c r="AJ313" s="1787"/>
      <c r="AK313" s="1787"/>
      <c r="AL313" s="1787"/>
      <c r="AM313" s="1726">
        <f>IFERROR(DI313,"")</f>
        <v>0</v>
      </c>
      <c r="AN313" s="1728" t="str">
        <f>IFERROR(ROUND(AM313*AC314,0),"")</f>
        <v/>
      </c>
      <c r="AO313" s="1730">
        <f>IFERROR(IF(IB311=FALSE,0,AC314-AN313),0)</f>
        <v>0</v>
      </c>
      <c r="AP313" s="1780"/>
      <c r="AQ313" s="1781"/>
      <c r="AR313" s="1795"/>
      <c r="AS313" s="1795"/>
      <c r="AT313" s="1796"/>
      <c r="AU313" s="1735"/>
      <c r="AV313" s="1752"/>
      <c r="AW313" s="1705"/>
      <c r="AX313" s="467"/>
      <c r="AY313" s="1749"/>
      <c r="AZ313" s="1749"/>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696"/>
      <c r="CQ313" s="1696"/>
      <c r="CR313" s="1808" t="str">
        <f>CQ311</f>
        <v/>
      </c>
      <c r="CS313" s="1810" t="str">
        <f>CS311</f>
        <v/>
      </c>
      <c r="CU313" s="1688" t="s">
        <v>345</v>
      </c>
      <c r="CV313" s="1702">
        <f>IF(IB311=TRUE,T313,0)</f>
        <v>0</v>
      </c>
      <c r="CW313" s="1702" t="str">
        <f>IF(IB311=TRUE,U313,"")</f>
        <v/>
      </c>
      <c r="CX313" s="1812">
        <f>IF(IB311=TRUE,U314,0)</f>
        <v>0</v>
      </c>
      <c r="CY313" s="1814">
        <f>IF(IB311=TRUE,AB314,0)</f>
        <v>0</v>
      </c>
      <c r="CZ313" s="1710">
        <f>IF(AND(__Retrofit_TI_NC&gt;0,CR311="interior"),0,IF(IB311=TRUE,AC314,0))</f>
        <v>0</v>
      </c>
      <c r="DA313" s="1818"/>
      <c r="DB313" s="1820"/>
      <c r="DC313" s="1820"/>
      <c r="DD313" s="1820"/>
      <c r="DF313" s="1702">
        <f>IF(IB311=TRUE,AF313,0)</f>
        <v>0</v>
      </c>
      <c r="DG313" s="1830" t="str">
        <f>IF(IB311=TRUE,AG313,"")</f>
        <v/>
      </c>
      <c r="DH313" s="1812">
        <f>AG314</f>
        <v>0</v>
      </c>
      <c r="DI313" s="1837">
        <f>JE313</f>
        <v>0</v>
      </c>
      <c r="DJ313" s="1710">
        <f>IF(AND(__Retrofit_TI_NC&gt;0,CR311="interior"),0,IF(IB311=TRUE,AN313,0))</f>
        <v>0</v>
      </c>
      <c r="DK313" s="1712"/>
      <c r="DN313" s="1717">
        <f>IFERROR(CZ313-DJ313,0)</f>
        <v>0</v>
      </c>
      <c r="DO313" s="1709"/>
      <c r="DQ313" s="1715"/>
      <c r="DR313" s="1719" t="str">
        <f>DQ311</f>
        <v/>
      </c>
      <c r="DS313" s="1816"/>
      <c r="DT313" s="1835" t="str">
        <f>IF(OR(DS311=7,DS311=8,DS311=9),"ALC","")</f>
        <v/>
      </c>
      <c r="DU313" s="1715"/>
      <c r="DV313" s="1716"/>
      <c r="DX313" s="1715"/>
      <c r="DY313" s="1829" t="str">
        <f>DX311</f>
        <v/>
      </c>
      <c r="DZ313" s="1715"/>
      <c r="EA313" s="1715"/>
      <c r="EC313" s="1834"/>
      <c r="ED313" s="1834"/>
      <c r="EF313" s="1707"/>
      <c r="EG313" s="1712"/>
      <c r="EH313" s="1818"/>
      <c r="EI313" s="1712"/>
      <c r="EJ313" s="1712"/>
      <c r="EK313" s="1836"/>
      <c r="EL313" s="1836"/>
      <c r="EM313" s="1807"/>
      <c r="EN313" s="1839"/>
      <c r="EO313" s="1839"/>
      <c r="EP313" s="1817"/>
      <c r="EQ313" s="1817"/>
      <c r="ER313" s="1807"/>
      <c r="ES313" s="1807"/>
      <c r="ET313" s="1807"/>
      <c r="EV313" s="1715"/>
      <c r="EX313" s="1805" t="str">
        <f>IFERROR(VLOOKUP(CS313,'Space Table'!$B$3:$L$163,8,FALSE),"")</f>
        <v/>
      </c>
      <c r="EY313" s="1805" t="str">
        <f>IFERROR(IF(FB313="Yes",VLOOKUP(AG313,Lookup_Control_Type_Table2,4,FALSE),VLOOKUP(AG313,Lookup_Control_Type_Table2,3,FALSE)),"")</f>
        <v/>
      </c>
      <c r="EZ313" s="1805" t="e">
        <f>VLOOKUP(AG313,Lookup!BB$3:BC$20,2,FALSE)</f>
        <v>#N/A</v>
      </c>
      <c r="FA313" s="1805" t="e">
        <f>VLOOKUP(EX311,Lookup_Control_Type_Table,2,FALSE)</f>
        <v>#N/A</v>
      </c>
      <c r="FB313" s="1805" t="e">
        <f>VLOOKUP(CS313,'Space Table'!$B$3:$L$163,7,FALSE)</f>
        <v>#N/A</v>
      </c>
      <c r="FC313" s="1827"/>
      <c r="FE313" s="1698" t="str">
        <f>CONCATENATE(CQ311," - ",AG313)</f>
        <v xml:space="preserve"> - </v>
      </c>
      <c r="FG313" s="1816"/>
      <c r="FH313" s="1816"/>
      <c r="FI313" s="133"/>
      <c r="FL313" s="1822" t="str">
        <f>IF(CQ311="Exterior","Not Daylighted",G314)</f>
        <v>Not Daylighted</v>
      </c>
      <c r="FM313" s="1824">
        <f>VLOOKUP(FL313,_New_Daylight_Table_Codes,2,FALSE)</f>
        <v>0</v>
      </c>
      <c r="FN313" s="1698">
        <f>AG313</f>
        <v>0</v>
      </c>
      <c r="FO313" s="1698" t="e">
        <f>VLOOKUP(FN313,_Control_Table,2,FALSE)</f>
        <v>#N/A</v>
      </c>
      <c r="FP313" s="1678" t="e">
        <f>VLOOKUP(CONCATENATE(FL313," ",FN313),Lookup!AY$102:AZ324,2,FALSE)</f>
        <v>#N/A</v>
      </c>
      <c r="FQ313" s="1698">
        <f>IF(__Retrofit_TI_NC=0,FN313,IF(AND(FT313&gt;0,FN313="Occupancy Sensor"),"Daylight + Occupancy",IF(AND(FT313&gt;0,FO313&lt;4),"Interior Daylight Dimming",FN313)))</f>
        <v>0</v>
      </c>
      <c r="FS313" s="1686">
        <f>IF(CQ311="Interior",VLOOKUP(CS311,Control_Savings_Interior,5,FALSE),0)</f>
        <v>0</v>
      </c>
      <c r="FT313" s="1687">
        <f>IF(CQ313="Exterior",0,IF(FM313=2,0.5,IF(OR(FM313=1,FM313=3),1,0)))</f>
        <v>0</v>
      </c>
      <c r="FU313" s="1685">
        <f>IF(R312&gt;FS$44,(FS313*(FS$44/R312)),FS313)*FT313</f>
        <v>0</v>
      </c>
      <c r="FV313" s="1686">
        <f>DI313</f>
        <v>0</v>
      </c>
      <c r="FW313" s="1686">
        <f>ROUND(FV313+((1-FV313)*FU313),2)</f>
        <v>0</v>
      </c>
      <c r="FX313" s="1686">
        <f>IF(__Retrofit_TI_NC=2,FW313,FV313)</f>
        <v>0</v>
      </c>
      <c r="FY313" s="1697">
        <f>IF(CR313="Interior",VLOOKUP(CS313,Control_Savings_Interior,4,FALSE),0)</f>
        <v>0</v>
      </c>
      <c r="GA313" s="1696"/>
      <c r="GB313" s="1696"/>
      <c r="GC313" s="1696"/>
      <c r="GD313" s="1696"/>
      <c r="GE313" s="1696"/>
      <c r="GF313" s="1696"/>
      <c r="GG313" s="1696"/>
      <c r="GH313" s="1696"/>
      <c r="GI313" s="673" t="b">
        <f>IF(ISNUMBER(SEARCH("TLED",U313)),TRUE,FALSE)</f>
        <v>0</v>
      </c>
      <c r="GJ313" s="1135" t="str">
        <f>IFERROR(VLOOKUP(U313,Fixtures!DM$93:DR$142,6,FALSE),"")</f>
        <v/>
      </c>
      <c r="GK313" s="1832"/>
      <c r="GM313" s="1692"/>
      <c r="GN313" s="1684"/>
      <c r="GP313" s="1684"/>
      <c r="GQ313" s="1684"/>
      <c r="HG313" s="1684"/>
      <c r="HH313" s="1684"/>
      <c r="HI313" s="1684"/>
      <c r="HJ313" s="1684"/>
      <c r="HK313" s="1684"/>
      <c r="HL313" s="1684"/>
      <c r="HM313" s="1684"/>
      <c r="HN313" s="1683"/>
      <c r="HO313" s="1692"/>
      <c r="HP313" s="1692"/>
      <c r="HQ313" s="1670"/>
      <c r="HR313" s="1684"/>
      <c r="HS313" s="1684"/>
      <c r="HT313" s="1670"/>
      <c r="HU313" s="1684"/>
      <c r="HV313" s="1684"/>
      <c r="HW313" s="1684"/>
      <c r="HX313" s="1684"/>
      <c r="HY313" s="1684"/>
      <c r="HZ313" s="1684"/>
      <c r="IB313" s="1692"/>
      <c r="IC313" s="1693" t="b">
        <f>IB311</f>
        <v>0</v>
      </c>
      <c r="ID313" s="1695"/>
      <c r="IE313" s="391"/>
      <c r="IF313" s="1688"/>
      <c r="IG313" s="1689">
        <f ca="1">IF(IF311=TRUE,AC314,0)</f>
        <v>0</v>
      </c>
      <c r="IH313" s="1684"/>
      <c r="IK313" s="1689" t="e">
        <f>ROUND(T313*AB314*N312*R312/1000,0)</f>
        <v>#VALUE!</v>
      </c>
      <c r="IL313" s="1691"/>
      <c r="IM313" s="1693" t="e">
        <f>ROUND(T313*AB314*N312*R312/1000,0)</f>
        <v>#VALUE!</v>
      </c>
      <c r="IN313" s="1691"/>
      <c r="IP313" s="1679"/>
      <c r="IQ313" s="1679" t="e">
        <f t="shared" ref="IQ313:IU313" si="272">IF($CR313="interior",VLOOKUP($CS313,_New_Control_Savings_Interior,IQ$30,FALSE),VLOOKUP($CS313,Control_Savings_Exterior,IQ$30,FALSE))</f>
        <v>#N/A</v>
      </c>
      <c r="IR313" s="1679" t="e">
        <f t="shared" si="272"/>
        <v>#N/A</v>
      </c>
      <c r="IS313" s="1679" t="e">
        <f t="shared" si="272"/>
        <v>#N/A</v>
      </c>
      <c r="IT313" s="1679" t="e">
        <f t="shared" si="272"/>
        <v>#N/A</v>
      </c>
      <c r="IU313" s="1679" t="e">
        <f t="shared" si="272"/>
        <v>#N/A</v>
      </c>
      <c r="IV313" s="1679" t="e">
        <f>IF($CR313="interior",IF(R312&gt;$IP$14,ROUND(($IV$18*($IP$14/R312)),2),$IV$18),VLOOKUP($CS313,Control_Savings_Exterior,IV$30,FALSE))</f>
        <v>#N/A</v>
      </c>
      <c r="IW313" s="1679" t="e">
        <f>IF($CR313="interior",ROUND(((1-IS313)*IV313)+IS313,2),VLOOKUP($CS313,Control_Savings_Exterior,IW$30,FALSE))</f>
        <v>#N/A</v>
      </c>
      <c r="IX313" s="1679" t="e">
        <f>IF($CR313="interior",ROUND(((1-IT313)*IV313)+IT313,2),VLOOKUP($CS313,Control_Savings_Exterior,IX$30,FALSE))</f>
        <v>#N/A</v>
      </c>
      <c r="IY313" s="1679" t="e">
        <f>IF($CR313="interior",IF(R312&gt;$IP$14,ROUND(($IY$18*($IP$14/R312)),2),$IY$18),VLOOKUP($CS313,Control_Savings_Exterior,IY$30,FALSE))</f>
        <v>#N/A</v>
      </c>
      <c r="IZ313" s="1679" t="e">
        <f>IF($CR313="interior",ROUND(((1-IS313)*IY313)+IS313,2),VLOOKUP($CS313,Control_Savings_Exterior,IZ$30,FALSE))</f>
        <v>#N/A</v>
      </c>
      <c r="JA313" s="1679" t="e">
        <f>IF($CR313="interior",ROUND(((1-IT313)*IY313)+IT313,2),VLOOKUP($CS313,Control_Savings_Exterior,JA$30,FALSE))</f>
        <v>#N/A</v>
      </c>
      <c r="JC313" s="1680">
        <f>IFERROR(IF(CR313="Interior",CONCATENATE(G314," ",FQ313),AG313),"")</f>
        <v>0</v>
      </c>
      <c r="JD313" s="1670" t="str">
        <f>IFERROR(VLOOKUP(JC313,_Controls_2023,2,FALSE),"")</f>
        <v/>
      </c>
      <c r="JE313" s="1681">
        <f>IFERROR(CHOOSE(JD313-1,IQ313,IR313,IS313,IT313,IU313,IV313,IW313,IX313,IY313,IZ313,JA313),0)</f>
        <v>0</v>
      </c>
      <c r="JG313" s="1680" t="str">
        <f>FE313</f>
        <v xml:space="preserve"> - </v>
      </c>
      <c r="JH313" s="1670" t="e">
        <f>$FO313</f>
        <v>#N/A</v>
      </c>
      <c r="JI313" s="1060"/>
      <c r="JJ313" s="1670">
        <f>IFERROR(IF($IB311=TRUE,IF(OR(JJ$14="No",JJ311=FALSE,JH313&lt;=JH311,AND(_kWh_Grant=0,GD311=FALSE)),0,IF(JJ$8="Per Line",1,$AF313)),0),0)</f>
        <v>0</v>
      </c>
      <c r="JK313" s="1061"/>
      <c r="JL313" s="1670">
        <f>IFERROR(IF(_kWh_Grant=0,0,IF($IB311=TRUE,IF(OR(JL$14="No",JL311=FALSE,JH313&lt;=JH311),0,IF(JL$8="Per Line",1,$T313)),0)),0)</f>
        <v>0</v>
      </c>
      <c r="JM313" s="1061"/>
      <c r="JN313" s="1670">
        <f>IFERROR(IF(_kWh_Grant=0,0,IF($IB311=TRUE,IF(OR(JN$14="No",JN311=FALSE,JH313&lt;=JH311),0,IF(JN$8="Per Line",1,$AF313)),0)),0)</f>
        <v>0</v>
      </c>
      <c r="JO313" s="1061"/>
      <c r="JP313" s="1670">
        <f>IFERROR(IF(__Retrofit_TI_NC=0,IF(_kWh_Grant=0,0,IF($IB311=TRUE,IF(OR(JP$14="No",JP311=FALSE,$JH313&lt;=$JH311),0,IF(JP$8="Per Line",1,$AF313)),0)),IF($IB311=TRUE,IF(OR(JP$14="No",JP311=FALSE,$JH313&lt;=$JH311),0,IF(JP$8="Per Line",1,$AF313)))),0)</f>
        <v>0</v>
      </c>
      <c r="JQ313" s="1061"/>
      <c r="JR313" s="1670">
        <f>IFERROR(IF(__Retrofit_TI_NC=0,IF(_kWh_Grant=0,0,IF($IB311=TRUE,IF(OR(JR$14="No",JR311=FALSE,$JH313&lt;=$JH311),0,IF(JR$8="Per Line",1,$AF313)),0)),IF($IB311=TRUE,IF(OR(JR$14="No",JR311=FALSE,$JH313&lt;=$JH311),0,IF(JR$8="Per Line",1,$AF313)))),0)</f>
        <v>0</v>
      </c>
      <c r="JS313" s="1061"/>
      <c r="JT313" s="1670">
        <f>IFERROR(IF(__Retrofit_TI_NC=0,IF(_kWh_Grant=0,0,IF($IB311=TRUE,IF(OR(JT$14="No",JT311=FALSE,$JH313&lt;=$JH311),0,IF(JT$8="Per Line",1,$AF313)),0)),IF($IB311=TRUE,IF(OR(JT$14="No",JT311=FALSE,$JH313&lt;=$JH311),0,IF(JT$8="Per Line",1,$AF313)))),0)</f>
        <v>0</v>
      </c>
      <c r="JU313" s="1061"/>
      <c r="JV313" s="1670">
        <f>IFERROR(IF(__Retrofit_TI_NC=0,IF(_kWh_Grant=0,0,IF($IB311=TRUE,IF(OR(JV$14="No",JV311=FALSE,$JH313&lt;=$JH311),0,IF(JV$8="Per Line",1,$AF313)),0)),IF($IB311=TRUE,IF(OR(JV$14="No",JV311=FALSE,$JH313&lt;=$JH311),0,IF(JV$8="Per Line",1,$AF313)))),0)</f>
        <v>0</v>
      </c>
      <c r="JX313" s="1670">
        <f>IFERROR(IF(__Retrofit_TI_NC=0,IF(_kWh_Grant=0,0,IF($IB311=TRUE,IF(OR(JX$14="No",JX311=FALSE,$JH313&lt;=$JH311),0,IF(JX$8="Per Line",1,$AF313)),0)),IF($IB311=TRUE,IF(OR(JX$14="No",JX311=FALSE,$JH313&lt;=$JH311),0,IF(JX$8="Per Line",1,$AF313)))),0)</f>
        <v>0</v>
      </c>
      <c r="JZ313" s="1670">
        <f>IFERROR(IF($IB311=TRUE,IF(OR(JZ$14="No",JZ311=FALSE,$JH313&lt;=$JH311,AND(_kWh_Grant=0,$GD311=FALSE)),0,IF(JZ$8="Per Line",1,$AF313)),0),0)</f>
        <v>0</v>
      </c>
      <c r="KB313" s="1670">
        <f>IFERROR(IF(__Retrofit_TI_NC=0,IF(_kWh_Grant=0,0,IF($IB311=TRUE,IF(OR(KB$14="No",KB311=FALSE,$JH313&lt;=$JH311),0,IF(KB$8="Per Line",1,$AF313)),0)),IF($IB311=TRUE,IF(OR(KB$14="No",KB311=FALSE,$JH313&lt;=$JH311),0,IF(KB$8="Per Line",1,$AF313)))),0)</f>
        <v>0</v>
      </c>
    </row>
    <row r="314" spans="1:288" s="78" customFormat="1" ht="14.95" customHeight="1" thickTop="1" thickBot="1">
      <c r="B314" s="1845"/>
      <c r="C314" s="1846"/>
      <c r="D314" s="1847"/>
      <c r="E314" s="1771" t="s">
        <v>436</v>
      </c>
      <c r="F314" s="1772"/>
      <c r="G314" s="1784" t="s">
        <v>437</v>
      </c>
      <c r="H314" s="1785"/>
      <c r="I314" s="1785"/>
      <c r="J314" s="1785"/>
      <c r="K314" s="1785"/>
      <c r="L314" s="1786"/>
      <c r="M314" s="591">
        <f>IFERROR(VLOOKUP(G314,_Daylight_Table[],2,FALSE),0)</f>
        <v>0</v>
      </c>
      <c r="N314" s="592" t="str">
        <f>IF(AND(__Retrofit_TI_NC&gt;0,CQ311="Interior"),"BAM","")</f>
        <v/>
      </c>
      <c r="O314" s="591" t="e">
        <f>VLOOKUP(G313,'Space Table'!$B$3:$L$163,11,FALSE)</f>
        <v>#N/A</v>
      </c>
      <c r="P314" s="1789"/>
      <c r="Q314" s="1790"/>
      <c r="R314" s="1790"/>
      <c r="S314" s="1788"/>
      <c r="T314" s="593" t="s">
        <v>342</v>
      </c>
      <c r="U314" s="1756" t="str" cm="1">
        <f t="array" aca="1" ref="U314" ca="1">IFERROR(VLOOKUP(INDIRECT("U" &amp; ROW()-1),Fixtures!DM$93:DP$142,4,FALSE),"")</f>
        <v/>
      </c>
      <c r="V314" s="1757"/>
      <c r="W314" s="1757"/>
      <c r="X314" s="1757"/>
      <c r="Y314" s="1757"/>
      <c r="Z314" s="1757"/>
      <c r="AA314" s="1758"/>
      <c r="AB314" s="939" t="str">
        <f>IFERROR(VLOOKUP(U313,Fixtures_Proposed_List,2,FALSE),"")</f>
        <v/>
      </c>
      <c r="AC314" s="933" t="str">
        <f>IFERROR(ROUND(T313*AB314*N312*R312/1000,0),"")</f>
        <v/>
      </c>
      <c r="AD314" s="934" t="str">
        <f>IFERROR(ROUND(T313*AB314/1000,2),"")</f>
        <v/>
      </c>
      <c r="AE314" s="998"/>
      <c r="AF314" s="938" t="s">
        <v>342</v>
      </c>
      <c r="AG314" s="1770"/>
      <c r="AH314" s="1770"/>
      <c r="AI314" s="1770"/>
      <c r="AJ314" s="1770"/>
      <c r="AK314" s="1770"/>
      <c r="AL314" s="1770"/>
      <c r="AM314" s="1727"/>
      <c r="AN314" s="1729"/>
      <c r="AO314" s="1731"/>
      <c r="AP314" s="1782"/>
      <c r="AQ314" s="1783"/>
      <c r="AR314" s="1797"/>
      <c r="AS314" s="1797"/>
      <c r="AT314" s="1798"/>
      <c r="AU314" s="1736"/>
      <c r="AV314" s="1753"/>
      <c r="AW314" s="1706"/>
      <c r="AX314" s="468"/>
      <c r="AY314" s="1750"/>
      <c r="AZ314" s="1750"/>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696"/>
      <c r="CQ314" s="1696"/>
      <c r="CR314" s="1809"/>
      <c r="CS314" s="1811"/>
      <c r="CU314" s="1688"/>
      <c r="CV314" s="1703"/>
      <c r="CW314" s="1703"/>
      <c r="CX314" s="1813"/>
      <c r="CY314" s="1815"/>
      <c r="CZ314" s="1711"/>
      <c r="DA314" s="1815"/>
      <c r="DB314" s="1821"/>
      <c r="DC314" s="1821"/>
      <c r="DD314" s="1821"/>
      <c r="DF314" s="1703"/>
      <c r="DG314" s="1831"/>
      <c r="DH314" s="1813"/>
      <c r="DI314" s="1838"/>
      <c r="DJ314" s="1711"/>
      <c r="DK314" s="1712"/>
      <c r="DN314" s="1718"/>
      <c r="DO314" s="1709"/>
      <c r="DQ314" s="1715"/>
      <c r="DR314" s="1720"/>
      <c r="DS314" s="1703"/>
      <c r="DT314" s="1714"/>
      <c r="DU314" s="1715"/>
      <c r="DV314" s="1716"/>
      <c r="DX314" s="1715"/>
      <c r="DY314" s="1720"/>
      <c r="DZ314" s="1715"/>
      <c r="EA314" s="1715"/>
      <c r="EC314" s="1834"/>
      <c r="ED314" s="1834"/>
      <c r="EF314" s="1707"/>
      <c r="EG314" s="1712"/>
      <c r="EH314" s="1815"/>
      <c r="EI314" s="1712"/>
      <c r="EJ314" s="1712"/>
      <c r="EK314" s="1813"/>
      <c r="EL314" s="1813"/>
      <c r="EM314" s="1807"/>
      <c r="EN314" s="1839"/>
      <c r="EO314" s="1839"/>
      <c r="EP314" s="1817"/>
      <c r="EQ314" s="1817"/>
      <c r="ER314" s="1807"/>
      <c r="ES314" s="1807"/>
      <c r="ET314" s="1807"/>
      <c r="EV314" s="1715"/>
      <c r="EX314" s="1806"/>
      <c r="EY314" s="1806"/>
      <c r="EZ314" s="1806"/>
      <c r="FA314" s="1806"/>
      <c r="FB314" s="1806"/>
      <c r="FC314" s="1828"/>
      <c r="FE314" s="1698"/>
      <c r="FG314" s="1703"/>
      <c r="FH314" s="1703"/>
      <c r="FI314" s="133"/>
      <c r="FL314" s="1823"/>
      <c r="FM314" s="1825"/>
      <c r="FN314" s="1698"/>
      <c r="FO314" s="1698"/>
      <c r="FP314" s="1678"/>
      <c r="FQ314" s="1698"/>
      <c r="FS314" s="1687"/>
      <c r="FT314" s="1687"/>
      <c r="FU314" s="1685"/>
      <c r="FV314" s="1687"/>
      <c r="FW314" s="1687"/>
      <c r="FX314" s="1687"/>
      <c r="FY314" s="1697"/>
      <c r="GA314" s="1696"/>
      <c r="GB314" s="1696"/>
      <c r="GC314" s="1696"/>
      <c r="GD314" s="1696"/>
      <c r="GE314" s="1696"/>
      <c r="GF314" s="1696"/>
      <c r="GG314" s="1696"/>
      <c r="GH314" s="1696"/>
      <c r="GI314" s="673"/>
      <c r="GJ314" s="1135"/>
      <c r="GK314" s="1832"/>
      <c r="GN314" s="674">
        <f>IF(GN312=TRUE,0,GN$16)</f>
        <v>0</v>
      </c>
      <c r="GP314" s="674">
        <f>IF(GP312=TRUE,0,GP$16)</f>
        <v>36</v>
      </c>
      <c r="GQ314" s="674">
        <f ca="1">IF(GQ312=TRUE,0,GQ$16)</f>
        <v>35</v>
      </c>
      <c r="GR314" s="391"/>
      <c r="GS314" s="391"/>
      <c r="GT314" s="391"/>
      <c r="GU314" s="391"/>
      <c r="GV314" s="391"/>
      <c r="HG314" s="674">
        <f>IF(HG312=TRUE,0,HG$16)</f>
        <v>0</v>
      </c>
      <c r="HH314" s="674">
        <f t="shared" ref="HH314:HM314" si="273">IF(HH312=TRUE,0,HH$16)</f>
        <v>19</v>
      </c>
      <c r="HI314" s="674">
        <f t="shared" si="273"/>
        <v>18</v>
      </c>
      <c r="HJ314" s="674">
        <f t="shared" si="273"/>
        <v>17</v>
      </c>
      <c r="HK314" s="674">
        <f t="shared" si="273"/>
        <v>16</v>
      </c>
      <c r="HL314" s="674">
        <f t="shared" si="273"/>
        <v>0</v>
      </c>
      <c r="HM314" s="674">
        <f t="shared" si="273"/>
        <v>0</v>
      </c>
      <c r="HN314" s="674">
        <f>IF(HN312=TRUE,0,HN$16)</f>
        <v>13</v>
      </c>
      <c r="HO314" s="674">
        <f t="shared" ref="HO314:HQ314" si="274">IF(HO312=TRUE,0,HO$16)</f>
        <v>0</v>
      </c>
      <c r="HP314" s="674">
        <f t="shared" si="274"/>
        <v>0</v>
      </c>
      <c r="HQ314" s="674">
        <f t="shared" si="274"/>
        <v>10</v>
      </c>
      <c r="HR314" s="674">
        <f>IF(HR312=TRUE,0,HR$16)</f>
        <v>9</v>
      </c>
      <c r="HS314" s="674">
        <f t="shared" ref="HS314:HW314" si="275">IF(HS312=TRUE,0,HS$16)</f>
        <v>0</v>
      </c>
      <c r="HT314" s="674">
        <f t="shared" si="275"/>
        <v>0</v>
      </c>
      <c r="HU314" s="674">
        <f t="shared" si="275"/>
        <v>0</v>
      </c>
      <c r="HV314" s="674">
        <f t="shared" si="275"/>
        <v>0</v>
      </c>
      <c r="HW314" s="674">
        <f t="shared" si="275"/>
        <v>0</v>
      </c>
      <c r="HX314" s="674">
        <f>IF(HX312=TRUE,0,HX$16)</f>
        <v>0</v>
      </c>
      <c r="HY314" s="674">
        <f>IF(HY312=TRUE,0,HY$16)</f>
        <v>0</v>
      </c>
      <c r="HZ314" s="674">
        <f>IF(HZ312=TRUE,0,HZ$16)</f>
        <v>1</v>
      </c>
      <c r="IB314" s="674">
        <f>IF(GP312=FALSE,GP314,IF(GQ312=FALSE,GQ314,MAX(GN314:HZ314)))</f>
        <v>36</v>
      </c>
      <c r="IC314" s="1692"/>
      <c r="ID314" s="205" t="str">
        <f>VLOOKUP(IB314,_Error_Table,3,FALSE)</f>
        <v xml:space="preserve"> </v>
      </c>
      <c r="IE314" s="205"/>
      <c r="IF314" s="1688"/>
      <c r="IG314" s="1689"/>
      <c r="IH314" s="1684"/>
      <c r="IK314" s="1689"/>
      <c r="IL314" s="1692"/>
      <c r="IM314" s="1692"/>
      <c r="IN314" s="1692"/>
      <c r="IP314" s="1679"/>
      <c r="IQ314" s="1679"/>
      <c r="IR314" s="1679"/>
      <c r="IS314" s="1679"/>
      <c r="IT314" s="1679"/>
      <c r="IU314" s="1679"/>
      <c r="IV314" s="1679"/>
      <c r="IW314" s="1679"/>
      <c r="IX314" s="1679"/>
      <c r="IY314" s="1679"/>
      <c r="IZ314" s="1679"/>
      <c r="JA314" s="1679"/>
      <c r="JC314" s="1680"/>
      <c r="JD314" s="1670"/>
      <c r="JE314" s="1681"/>
      <c r="JG314" s="1680"/>
      <c r="JH314" s="1670"/>
      <c r="JI314" s="1060"/>
      <c r="JJ314" s="1670"/>
      <c r="JK314" s="1061"/>
      <c r="JL314" s="1670"/>
      <c r="JM314" s="1061"/>
      <c r="JN314" s="1670"/>
      <c r="JO314" s="1061"/>
      <c r="JP314" s="1670"/>
      <c r="JQ314" s="1061"/>
      <c r="JR314" s="1670"/>
      <c r="JS314" s="1061"/>
      <c r="JT314" s="1670"/>
      <c r="JU314" s="1061"/>
      <c r="JV314" s="1670"/>
      <c r="JX314" s="1670"/>
      <c r="JZ314" s="1670"/>
      <c r="KB314" s="1670"/>
    </row>
    <row r="315" spans="1:288" s="78" customFormat="1" ht="5.0999999999999996" customHeight="1">
      <c r="B315" s="676"/>
      <c r="C315" s="392"/>
      <c r="D315" s="392"/>
      <c r="E315" s="1733"/>
      <c r="F315" s="1733"/>
      <c r="G315" s="1733"/>
      <c r="H315" s="1733"/>
      <c r="I315" s="1733"/>
      <c r="J315" s="1733"/>
      <c r="K315" s="1733"/>
      <c r="L315" s="1733"/>
      <c r="M315" s="1733"/>
      <c r="N315" s="1733"/>
      <c r="O315" s="1733"/>
      <c r="P315" s="1733"/>
      <c r="Q315" s="1733"/>
      <c r="R315" s="1733"/>
      <c r="S315" s="1733"/>
      <c r="T315" s="1733"/>
      <c r="U315" s="1733"/>
      <c r="V315" s="1733"/>
      <c r="W315" s="1733"/>
      <c r="X315" s="1733"/>
      <c r="Y315" s="1733"/>
      <c r="Z315" s="1733"/>
      <c r="AA315" s="1733"/>
      <c r="AB315" s="1733"/>
      <c r="AC315" s="1733"/>
      <c r="AD315" s="1733"/>
      <c r="AE315" s="1733"/>
      <c r="AF315" s="1733"/>
      <c r="AG315" s="1733"/>
      <c r="AH315" s="1733"/>
      <c r="AI315" s="1733"/>
      <c r="AJ315" s="1733"/>
      <c r="AK315" s="1733"/>
      <c r="AL315" s="1733"/>
      <c r="AM315" s="1733"/>
      <c r="AN315" s="1733"/>
      <c r="AO315" s="1733"/>
      <c r="AP315" s="1733"/>
      <c r="AQ315" s="1733"/>
      <c r="AR315" s="1733"/>
      <c r="AS315" s="1733"/>
      <c r="AT315" s="1733"/>
      <c r="AU315" s="1733"/>
      <c r="AV315" s="1733"/>
      <c r="AW315" s="1733"/>
      <c r="AX315" s="469"/>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663"/>
      <c r="CQ315" s="663"/>
      <c r="CR315" s="438"/>
      <c r="CS315" s="663"/>
      <c r="CV315" s="391"/>
      <c r="CW315" s="391"/>
      <c r="CX315" s="207"/>
      <c r="CY315" s="208"/>
      <c r="CZ315" s="208"/>
      <c r="DA315" s="208"/>
      <c r="DB315" s="209"/>
      <c r="DC315" s="209"/>
      <c r="DD315" s="209"/>
      <c r="DF315" s="664"/>
      <c r="DG315" s="665"/>
      <c r="DH315" s="666"/>
      <c r="DI315" s="667"/>
      <c r="DJ315" s="668"/>
      <c r="DK315" s="668"/>
      <c r="DN315" s="208"/>
      <c r="DO315" s="664"/>
      <c r="DQ315" s="664"/>
      <c r="DR315" s="669"/>
      <c r="DS315" s="391"/>
      <c r="DT315" s="664"/>
      <c r="DU315" s="664"/>
      <c r="DV315" s="664"/>
      <c r="DX315" s="664"/>
      <c r="DY315" s="664"/>
      <c r="DZ315" s="664"/>
      <c r="EA315" s="664"/>
      <c r="EC315" s="670"/>
      <c r="ED315" s="670"/>
      <c r="EF315" s="668"/>
      <c r="EG315" s="668"/>
      <c r="EH315" s="208"/>
      <c r="EI315" s="668"/>
      <c r="EJ315" s="668"/>
      <c r="EK315" s="207"/>
      <c r="EL315" s="207"/>
      <c r="EM315" s="666"/>
      <c r="EN315" s="671"/>
      <c r="EO315" s="671"/>
      <c r="EP315" s="672"/>
      <c r="EQ315" s="672"/>
      <c r="ER315" s="666"/>
      <c r="ES315" s="666"/>
      <c r="ET315" s="666"/>
      <c r="EV315" s="664"/>
      <c r="EX315" s="391"/>
      <c r="EY315" s="391"/>
      <c r="EZ315" s="391"/>
      <c r="FA315" s="391"/>
      <c r="FB315" s="391"/>
      <c r="FC315" s="391"/>
      <c r="FE315" s="569"/>
      <c r="FG315" s="391"/>
      <c r="FH315" s="391"/>
      <c r="FI315" s="391"/>
      <c r="FS315" s="664"/>
      <c r="FT315" s="391"/>
      <c r="FU315" s="391"/>
      <c r="FV315" s="664"/>
      <c r="FW315" s="664"/>
      <c r="GA315" s="663"/>
      <c r="GB315" s="663"/>
      <c r="GC315" s="663"/>
      <c r="GD315" s="663"/>
      <c r="GE315" s="663"/>
      <c r="GF315" s="663"/>
      <c r="GG315" s="663"/>
      <c r="GH315" s="663"/>
      <c r="GI315" s="665"/>
      <c r="GJ315" s="664"/>
      <c r="GK315" s="664"/>
    </row>
    <row r="316" spans="1:288" s="78" customFormat="1" ht="14.95" customHeight="1">
      <c r="B316" s="1845" t="str">
        <f>ID319</f>
        <v xml:space="preserve"> </v>
      </c>
      <c r="C316" s="1846">
        <f>C311+1</f>
        <v>53</v>
      </c>
      <c r="D316" s="1847"/>
      <c r="E316" s="1799" t="s">
        <v>295</v>
      </c>
      <c r="F316" s="1800"/>
      <c r="G316" s="1741"/>
      <c r="H316" s="1742"/>
      <c r="I316" s="1742"/>
      <c r="J316" s="1742"/>
      <c r="K316" s="1742"/>
      <c r="L316" s="1742"/>
      <c r="M316" s="1742"/>
      <c r="N316" s="1742"/>
      <c r="O316" s="1742"/>
      <c r="P316" s="1742"/>
      <c r="Q316" s="1742"/>
      <c r="R316" s="1742"/>
      <c r="S316" s="1791" t="s">
        <v>344</v>
      </c>
      <c r="T316" s="590"/>
      <c r="U316" s="1743"/>
      <c r="V316" s="1744"/>
      <c r="W316" s="1744"/>
      <c r="X316" s="1744"/>
      <c r="Y316" s="1744"/>
      <c r="Z316" s="1744"/>
      <c r="AA316" s="1744"/>
      <c r="AB316" s="961" t="str">
        <f>IFERROR(IF(__Retrofit_TI_NC=0,VLOOKUP(U317,Fixtures_Existing_List,2,FALSE),ROUND(N318*R318/T318,10)),"")</f>
        <v/>
      </c>
      <c r="AC316" s="935" t="str">
        <f>IFERROR(IF(__Retrofit_TI_NC=0,ROUND(T317*AB316*N317*R317/1000,0),IF(CQ316="Interior",N318*R318*R317*N317*_C406_reduction/1000,N318*R318*R317*N317/1000)),"")</f>
        <v/>
      </c>
      <c r="AD316" s="936" t="str">
        <f>IFERROR(IF(C$43=0,ROUND(T317*AB316/1000,2),N318*R318/1000),"")</f>
        <v/>
      </c>
      <c r="AE316" s="997"/>
      <c r="AF316" s="937"/>
      <c r="AG316" s="1745" t="str">
        <f>IF(__Retrofit_TI_NC=0," Control","Select Advanced Control for New System")</f>
        <v xml:space="preserve"> Control</v>
      </c>
      <c r="AH316" s="1745"/>
      <c r="AI316" s="1745"/>
      <c r="AJ316" s="1745"/>
      <c r="AK316" s="1745"/>
      <c r="AL316" s="1745"/>
      <c r="AM316" s="1746">
        <f>IFERROR(DI316,"")</f>
        <v>0</v>
      </c>
      <c r="AN316" s="1774" t="str">
        <f>IFERROR(ROUND(AM316*AC316,0),"")</f>
        <v/>
      </c>
      <c r="AO316" s="1776">
        <f>IFERROR(IF(IB316=FALSE,0,AC316-AN316),0)</f>
        <v>0</v>
      </c>
      <c r="AP316" s="1778">
        <f>AO316-AO318</f>
        <v>0</v>
      </c>
      <c r="AQ316" s="1779"/>
      <c r="AR316" s="1793">
        <f>IFERROR(IF(IB316=FALSE,0,(T318*U319)+(AF318*AG319)),0)</f>
        <v>0</v>
      </c>
      <c r="AS316" s="1793"/>
      <c r="AT316" s="1794"/>
      <c r="AU316" s="1734" t="s">
        <v>237</v>
      </c>
      <c r="AV316" s="1751">
        <f>IF(AU316="Yes",1,0)</f>
        <v>1</v>
      </c>
      <c r="AW316" s="1704" t="str">
        <f>IF(OR(DQ316=4,DQ316=5,DQ316=6,DQ316=12),CONCATENATE("$",IF(GH316=TRUE,Lookup!$K$10,Lookup!$K$2)," /lamp"),CONCATENATE(TEXT(ED316,"$0.00"),"/ kWh"))</f>
        <v>$0.00/ kWh</v>
      </c>
      <c r="AX316" s="467"/>
      <c r="AY316" s="1748">
        <f ca="1">IFERROR(IF(GM317=TRUE,(AB319*T318)/R318,0),"NA")</f>
        <v>0</v>
      </c>
      <c r="AZ316" s="1748"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696" t="str">
        <f>N317</f>
        <v/>
      </c>
      <c r="CQ316" s="1696" t="str">
        <f>IFERROR(VLOOKUP(G317,_Lookup_Heat_Type_Table_New,3,FALSE),"")</f>
        <v/>
      </c>
      <c r="CR316" s="1808" t="str">
        <f>CQ316</f>
        <v/>
      </c>
      <c r="CS316" s="1810" t="str">
        <f>IFERROR(VLOOKUP(G318,'Space Table'!$B$3:$L$163,9,FALSE),"")</f>
        <v/>
      </c>
      <c r="CU316" s="1688" t="s">
        <v>344</v>
      </c>
      <c r="CV316" s="1702">
        <f>IF(IB316=TRUE,T317,0)</f>
        <v>0</v>
      </c>
      <c r="CW316" s="1702" t="str">
        <f>IF(IB316=TRUE,U317,"")</f>
        <v/>
      </c>
      <c r="CX316" s="1702"/>
      <c r="CY316" s="1814">
        <f>IF(IB316=TRUE,AB316,0)</f>
        <v>0</v>
      </c>
      <c r="CZ316" s="1710">
        <f>IF(AND(__Retrofit_TI_NC&gt;0,CR316="interior"),0,IF(IB316=TRUE,AC316,0))</f>
        <v>0</v>
      </c>
      <c r="DA316" s="1814">
        <f>IFERROR(IF(IB316=TRUE,CZ316-CZ318,0),0)</f>
        <v>0</v>
      </c>
      <c r="DB316" s="1819">
        <f>IF(IB316=TRUE,AD316,0)</f>
        <v>0</v>
      </c>
      <c r="DC316" s="1819">
        <f>IF(IB316=TRUE,AD319,0)</f>
        <v>0</v>
      </c>
      <c r="DD316" s="1819">
        <f>IFERROR(DB316-DC316,0)</f>
        <v>0</v>
      </c>
      <c r="DF316" s="1702">
        <f>IF(IB316=TRUE,AF317,0)</f>
        <v>0</v>
      </c>
      <c r="DG316" s="1830">
        <f>IFERROR(IF(__Retrofit_TI_NC=2,IF(CQ316="Exterior",O319,FQ316),FN316),"")</f>
        <v>0</v>
      </c>
      <c r="DH316" s="1702"/>
      <c r="DI316" s="1837">
        <f>JE316</f>
        <v>0</v>
      </c>
      <c r="DJ316" s="1710">
        <f>IF(AND(__Retrofit_TI_NC&gt;0,CR316="interior"),0,IF(IB316=TRUE,AN316,0))</f>
        <v>0</v>
      </c>
      <c r="DK316" s="1712">
        <f>IFERROR(IF(IB316=TRUE,DJ318-DJ316,0),0)</f>
        <v>0</v>
      </c>
      <c r="DM316" s="1717">
        <f>IFERROR(CZ316-DJ316,0)</f>
        <v>0</v>
      </c>
      <c r="DO316" s="1708">
        <f>DM316-DN318</f>
        <v>0</v>
      </c>
      <c r="DQ316" s="1715" t="str">
        <f>IFERROR(IF(AND(OR(GC316=4,GC316=5,GC316=6),OR(GF316=4,GF316=5,GF316=6)),GC316+8,VLOOKUP(CW318,Fixtures!R$31:Y$78,8,FALSE)),"")</f>
        <v/>
      </c>
      <c r="DR316" s="1829" t="str">
        <f>DQ316</f>
        <v/>
      </c>
      <c r="DS316" s="1702" t="str">
        <f>IFERROR(VLOOKUP(DG318,Lookup!BB$3:BC$20,2,FALSE),"")</f>
        <v/>
      </c>
      <c r="DT316" s="1713" t="str">
        <f>IF(OR(DS316=7,DS316=8,DS316=9),"ALC","")</f>
        <v/>
      </c>
      <c r="DU316" s="1715">
        <f>IFERROR(IF(OR(DQ316=4,DQ316=5,DQ316=6,DQ316=12,DQ316=13,DQ316=14),VLOOKUP(CW318,Fixtures!DN$27:EG$77,19,FALSE),1)*CV318,0)</f>
        <v>0</v>
      </c>
      <c r="DV316" s="1716">
        <f>IF(OR(DS316=7,DS316=8,DS316=9),IF(DG316=DG318,0,DF318),0)</f>
        <v>0</v>
      </c>
      <c r="DX316" s="1715" t="str">
        <f>IFERROR(IF(EZ316&lt;EZ318,"Yes","No"),"")</f>
        <v/>
      </c>
      <c r="DY316" s="1829" t="str">
        <f>DX316</f>
        <v/>
      </c>
      <c r="DZ316" s="1715">
        <f>IF(DX316="Yes",DF318,0)</f>
        <v>0</v>
      </c>
      <c r="EA316" s="1715">
        <f>DZ316-DV316</f>
        <v>0</v>
      </c>
      <c r="EC316" s="1834">
        <f>IFERROR(VLOOKUP(DQ316,Lookup!AU$3:AV$16,2,FALSE),0)</f>
        <v>0</v>
      </c>
      <c r="ED316" s="1834">
        <f>IF(IB316=FALSE,0,IF(DX316="Yes",EC316+Lookup!K$6,EC316))</f>
        <v>0</v>
      </c>
      <c r="EF316" s="1707">
        <f>IF(IB316=TRUE,DM316,0)</f>
        <v>0</v>
      </c>
      <c r="EG316" s="1712">
        <f>IF(IB316=TRUE,CZ318,0)</f>
        <v>0</v>
      </c>
      <c r="EH316" s="1814">
        <f>IFERROR(EF316-EG316,0)</f>
        <v>0</v>
      </c>
      <c r="EI316" s="1712">
        <f>IF(IB316=TRUE,DJ318,0)</f>
        <v>0</v>
      </c>
      <c r="EJ316" s="1712">
        <f>IFERROR(EF316-EG316+EI316,0)</f>
        <v>0</v>
      </c>
      <c r="EK316" s="1812">
        <f>IF(IB316=TRUE,CV318*CX318,0)</f>
        <v>0</v>
      </c>
      <c r="EL316" s="1812">
        <f>IF(IB316=TRUE,DF318*DH318,0)</f>
        <v>0</v>
      </c>
      <c r="EM316" s="1807">
        <f>AR316</f>
        <v>0</v>
      </c>
      <c r="EN316" s="1839" t="str">
        <f>IFERROR(IF(IB316=TRUE,VLOOKUP(DQ316,Lookup!AU$3:AW$16,3,FALSE)*DU316,""),0)</f>
        <v/>
      </c>
      <c r="EO316" s="1839">
        <f>IF(IB316=TRUE,DZ316*Lookup!AW$12,0)</f>
        <v>0</v>
      </c>
      <c r="EP316" s="1817">
        <f>IFERROR(IF(IB316=TRUE,EN316/EP$40,0),0)</f>
        <v>0</v>
      </c>
      <c r="EQ316" s="1817">
        <f>IF(IB316=TRUE,EO316/EQ$40,0)</f>
        <v>0</v>
      </c>
      <c r="ER316" s="1807">
        <f>IF(IB316=TRUE,ET$40*EP316,0)</f>
        <v>0</v>
      </c>
      <c r="ES316" s="1807">
        <f>IF(IB316=TRUE,ET$40*EQ316,0)</f>
        <v>0</v>
      </c>
      <c r="ET316" s="1807">
        <f>ER316+ES316</f>
        <v>0</v>
      </c>
      <c r="EV316" s="1715">
        <f>IF(G316="",0,1)</f>
        <v>0</v>
      </c>
      <c r="EX316" s="1804" t="str">
        <f>IFERROR(VLOOKUP(CS318,'Space Table'!$B$3:$L$163,8,FALSE),"")</f>
        <v/>
      </c>
      <c r="EY316" s="1804" t="str">
        <f>IFERROR(IF(FB316="Yes",VLOOKUP(DG316,Lookup_Control_Type_Table2,4,FALSE),VLOOKUP(DG316,Lookup_Control_Type_Table2,3,FALSE)),"")</f>
        <v/>
      </c>
      <c r="EZ316" s="1804" t="e">
        <f>VLOOKUP(DG316,Lookup!BB$3:BC$20,2,FALSE)</f>
        <v>#N/A</v>
      </c>
      <c r="FA316" s="1804" t="e">
        <f>VLOOKUP(EX316,Lookup_Control_Type_Table,2,FALSE)</f>
        <v>#N/A</v>
      </c>
      <c r="FB316" s="1804" t="e">
        <f>VLOOKUP(CS318,'Space Table'!$B$3:$L$163,7,FALSE)</f>
        <v>#N/A</v>
      </c>
      <c r="FC316" s="1826" t="b">
        <f>ISNUMBER(SEARCH("TLED",U318))</f>
        <v>0</v>
      </c>
      <c r="FE316" s="1698" t="str">
        <f>CONCATENATE(CQ316," - ",DG316)</f>
        <v xml:space="preserve"> - 0</v>
      </c>
      <c r="FG316" s="1702" t="str">
        <f>VLOOKUP(CW318,Fixtures!DN$27:EZ$77,38,FALSE)</f>
        <v/>
      </c>
      <c r="FH316" s="1702">
        <f>IFERROR(FG316*EH316,0)</f>
        <v>0</v>
      </c>
      <c r="FI316" s="133"/>
      <c r="FL316" s="1822" t="str">
        <f>IF(CQ316="Exterior","Not Daylighted",G319)</f>
        <v>Not Daylighted</v>
      </c>
      <c r="FM316" s="1824">
        <f>VLOOKUP(FL316,_New_Daylight_Table_Codes,2,FALSE)</f>
        <v>0</v>
      </c>
      <c r="FN316" s="1698">
        <f>IF(__Retrofit_TI_NC&gt;0,VLOOKUP(G318,'Space Table'!$B$3:$L$163,11,FALSE),AG317)</f>
        <v>0</v>
      </c>
      <c r="FO316" s="1698" t="e">
        <f>IF(__Retrofit_TI_NC=2,VLOOKUP(FQ316,_Control_Table,2,FALSE),VLOOKUP(FN316,_Control_Table,2,FALSE))</f>
        <v>#N/A</v>
      </c>
      <c r="FP316" s="1678" t="e">
        <f>VLOOKUP(CONCATENATE(FL316," ",FN316),Lookup!AY$102:AZ326,2,FALSE)</f>
        <v>#N/A</v>
      </c>
      <c r="FQ316" s="1678">
        <f>IF(__Retrofit_TI_NC=0,FN316,IF(AND(FT316&gt;0,FN316="Occupancy Sensor"),"Daylight + Occupancy",IF(AND(FT316&gt;0,VLOOKUP(FN316,_Control_Table,2,FALSE)&lt;4),"Interior Daylight Dimming",FN316)))</f>
        <v>0</v>
      </c>
      <c r="FS316" s="1686">
        <f>IF(CR316="Interior",VLOOKUP(CS316,Control_Savings_Interior,5,FALSE),0)</f>
        <v>0</v>
      </c>
      <c r="FT316" s="1687">
        <f>IF(CQ316="Exterior",0,IF(FM316=2,0.5,IF(OR(FM316=1,FM316=3),1,0)))</f>
        <v>0</v>
      </c>
      <c r="FU316" s="1685">
        <f>IF(R315&gt;FS$44,(FS316*(FS$44/R315)),FS316)*FT316</f>
        <v>0</v>
      </c>
      <c r="FV316" s="1686">
        <f>DI316</f>
        <v>0</v>
      </c>
      <c r="FW316" s="1686">
        <f>ROUND(FV316+((1-FV316)*FU316),2)</f>
        <v>0</v>
      </c>
      <c r="FX316" s="1686">
        <f>IF(__Retrofit_TI_NC=2,FW316,FV316)</f>
        <v>0</v>
      </c>
      <c r="FY316" s="1697"/>
      <c r="GA316" s="1696" t="str">
        <f>IFERROR(VLOOKUP(U317,_Exist_Fixture_Table,3,FALSE),"")</f>
        <v/>
      </c>
      <c r="GB316" s="1696" t="str">
        <f>VLOOKUP(CW316,_Exist_Fixture_Table,4,FALSE)</f>
        <v/>
      </c>
      <c r="GC316" s="1696">
        <f>IFERROR(VLOOKUP(GB316,Lookup!AT$6:AU$8,2,FALSE),0)</f>
        <v>0</v>
      </c>
      <c r="GD316" s="1696" t="b">
        <f>IFERROR(IF(OR(GF316=4,GF316=5,GF316=6),TRUE,FALSE),"")</f>
        <v>0</v>
      </c>
      <c r="GE316" s="1696" t="str">
        <f>IFERROR(VLOOKUP(GF316,GC$6:GD$10,2,FALSE),"")</f>
        <v/>
      </c>
      <c r="GF316" s="1696" t="str">
        <f>VLOOKUP(CW318,Fixtures!R$31:Y$78,8,FALSE)</f>
        <v/>
      </c>
      <c r="GG316" s="1696">
        <f>IF(AND(GA316=TRUE,GD316=TRUE,OR(DQ316=12,DQ316=13,DQ316=14)),GC316+8,0)</f>
        <v>0</v>
      </c>
      <c r="GH316" s="1696" t="b">
        <f>IF(OR(GG316=12,GG316=13,GG316=14),TRUE,FALSE)</f>
        <v>0</v>
      </c>
      <c r="GI316" s="673" t="b">
        <f>IF(ISNUMBER(SEARCH("TLED",U317)),TRUE,FALSE)</f>
        <v>0</v>
      </c>
      <c r="GJ316" s="1135" t="str">
        <f>IFERROR(VLOOKUP(U317,Fixtures!BM$93:BR$142,6,FALSE),"")</f>
        <v/>
      </c>
      <c r="GK316" s="1832" t="b">
        <f>IF(OR(GI316=FALSE,GI318=FALSE),TRUE,IF(GJ316-GJ318&lt;5,FALSE,TRUE))</f>
        <v>1</v>
      </c>
      <c r="GO316" s="674">
        <f>GP316</f>
        <v>0</v>
      </c>
      <c r="GP316" s="674">
        <f>IF(G316="",0,1)</f>
        <v>0</v>
      </c>
      <c r="GQ316" s="674">
        <f ca="1">SUM(GR316:HF316)</f>
        <v>2</v>
      </c>
      <c r="GR316" s="674">
        <f>IF(G317="",0,1)</f>
        <v>0</v>
      </c>
      <c r="GS316" s="674">
        <f>IF(N319="BAM",1,IF(G318="",0,1))</f>
        <v>0</v>
      </c>
      <c r="GT316" s="674">
        <f>IF(N319="BAM",1,IF(R317="",0,1))</f>
        <v>0</v>
      </c>
      <c r="GU316" s="674">
        <f>IF(N319="BAM",1,IF(__Retrofit_TI_NC=0,1,IF(R318="",0,1)))</f>
        <v>1</v>
      </c>
      <c r="GV316" s="674">
        <f>IF(N319="BAM",1,IF(CQ316="Exterior",1,IF(G319="",0,1)))</f>
        <v>1</v>
      </c>
      <c r="GW316" s="674">
        <f>IF(__Retrofit_TI_NC&gt;0,1,IF(T317="",0,1))</f>
        <v>0</v>
      </c>
      <c r="GX316" s="674">
        <f>IF(__Retrofit_TI_NC&gt;0,1,IF(U317="",0,1))</f>
        <v>0</v>
      </c>
      <c r="GY316" s="674">
        <f>IF(N319="BAM",1,IF(T318="",0,1))</f>
        <v>0</v>
      </c>
      <c r="GZ316" s="674">
        <f>IF(N319="BAM",1,IF(U318="",0,1))</f>
        <v>0</v>
      </c>
      <c r="HA316" s="674">
        <f ca="1">IF(N319="BAM",1,IF(__Retrofit_TI_NC&gt;0,1,IF(U319="",0,1)))</f>
        <v>0</v>
      </c>
      <c r="HB316" s="674">
        <f>IF(__Retrofit_TI_NC&lt;&gt;0,1,IF(AF317="",0,1))</f>
        <v>0</v>
      </c>
      <c r="HC316" s="674">
        <f>IF(__Retrofit_TI_NC&lt;&gt;0,1,IF(AG317="",0,1))</f>
        <v>0</v>
      </c>
      <c r="HD316" s="674">
        <f>IF(N319="BAM",1,IF(AF318="",0,1))</f>
        <v>0</v>
      </c>
      <c r="HE316" s="674">
        <f>IF(N319="BAM",1,IF(AG318="",0,1))</f>
        <v>0</v>
      </c>
      <c r="HF316" s="674">
        <f>IF(N319="BAM",1,IF(__Retrofit_TI_NC&gt;0,1,IF(AG319="",0,1)))</f>
        <v>0</v>
      </c>
      <c r="HG316" s="391"/>
      <c r="IA316" s="391"/>
      <c r="IB316" s="1693" t="b">
        <f>IF(OR(IB319=0,IB319=HY$16,IB319=HX$16,IB319=HZ$16),TRUE,FALSE)</f>
        <v>0</v>
      </c>
      <c r="IC316" s="1694" t="b">
        <f>IB316</f>
        <v>0</v>
      </c>
      <c r="ID316" s="391"/>
      <c r="IE316" s="391"/>
      <c r="IF316" s="1688" t="b">
        <f ca="1">IF(MAX(GN319:HU319)&gt;5,FALSE,TRUE)</f>
        <v>0</v>
      </c>
      <c r="IG316" s="1689">
        <f ca="1">IF(IF316=TRUE,AC316,0)</f>
        <v>0</v>
      </c>
      <c r="IH316" s="1689">
        <f ca="1">IG316-IG318</f>
        <v>0</v>
      </c>
      <c r="IK316" s="1689" t="e">
        <f>ROUND(T317*VLOOKUP(U317,Fixtures_Existing_List,2,FALSE)*N317*R317/1000,0)</f>
        <v>#N/A</v>
      </c>
      <c r="IL316" s="1690" t="e">
        <f>IK316-IK318</f>
        <v>#N/A</v>
      </c>
      <c r="IM316" s="1693" t="e">
        <f>ROUND(IF(CQ316="Interior",N318*R318*R317*N317*_C406_reduction/1000,N318*R318*R317*N317/1000),0)</f>
        <v>#N/A</v>
      </c>
      <c r="IN316" s="1693" t="e">
        <f>IM316-IM318</f>
        <v>#N/A</v>
      </c>
      <c r="IP316" s="1679"/>
      <c r="IQ316" s="1679" t="e">
        <f t="shared" ref="IQ316:IU316" si="276">IF($CR316="interior",VLOOKUP($CS316,_New_Control_Savings_Interior,IQ$30,FALSE),VLOOKUP($CS316,Control_Savings_Exterior,IQ$30,FALSE))</f>
        <v>#N/A</v>
      </c>
      <c r="IR316" s="1679" t="e">
        <f t="shared" si="276"/>
        <v>#N/A</v>
      </c>
      <c r="IS316" s="1679" t="e">
        <f t="shared" si="276"/>
        <v>#N/A</v>
      </c>
      <c r="IT316" s="1679" t="e">
        <f t="shared" si="276"/>
        <v>#N/A</v>
      </c>
      <c r="IU316" s="1679" t="e">
        <f t="shared" si="276"/>
        <v>#N/A</v>
      </c>
      <c r="IV316" s="1679" t="e">
        <f>IF($CR316="interior",IF(R317&gt;$IP$14,ROUND(($IV$18*($IP$14/R317)),2),$IV$18),VLOOKUP($CS316,Control_Savings_Exterior,IV$30,FALSE))</f>
        <v>#N/A</v>
      </c>
      <c r="IW316" s="1679" t="e">
        <f>IF($CR316="interior",ROUND(((1-IS316)*IV316)+IS316,2),VLOOKUP($CS316,Control_Savings_Exterior,IW$30,FALSE))</f>
        <v>#N/A</v>
      </c>
      <c r="IX316" s="1679" t="e">
        <f>IF($CR316="interior",ROUND(((1-IT316)*IV316)+IT316,2),VLOOKUP($CS316,Control_Savings_Exterior,IX$30,FALSE))</f>
        <v>#N/A</v>
      </c>
      <c r="IY316" s="1679" t="e">
        <f>IF($CR316="interior",IF(R317&gt;$IP$14,ROUND(($IY$18*($IP$14/R317)),2),$IY$18),VLOOKUP($CS316,Control_Savings_Exterior,IY$30,FALSE))</f>
        <v>#N/A</v>
      </c>
      <c r="IZ316" s="1679" t="e">
        <f>IF($CR316="interior",ROUND(((1-IS316)*IY316)+IS316,2),VLOOKUP($CS316,Control_Savings_Exterior,IZ$30,FALSE))</f>
        <v>#N/A</v>
      </c>
      <c r="JA316" s="1679" t="e">
        <f>IF($CR316="interior",ROUND(((1-IT316)*IY316)+IT316,2),VLOOKUP($CS316,Control_Savings_Exterior,JA$30,FALSE))</f>
        <v>#N/A</v>
      </c>
      <c r="JC316" s="1680">
        <f>IFERROR(IF(CR316="Interior",CONCATENATE(G319," ",FQ316),FQ316),"")</f>
        <v>0</v>
      </c>
      <c r="JD316" s="1670" t="str">
        <f>IFERROR(VLOOKUP(JC316,_Controls_2023,2,FALSE),"")</f>
        <v/>
      </c>
      <c r="JE316" s="1681">
        <f>IFERROR(CHOOSE(JD316-1,IQ316,IR316,IS316,IT316,IU316,IV316,IW316,IX316,IY316,IZ316,JA316),0)</f>
        <v>0</v>
      </c>
      <c r="JG316" s="1680" t="str">
        <f>FE316</f>
        <v xml:space="preserve"> - 0</v>
      </c>
      <c r="JH316" s="1670" t="e">
        <f>$FO316</f>
        <v>#N/A</v>
      </c>
      <c r="JI316" s="1060"/>
      <c r="JJ316" s="1682" t="b">
        <f>IF($JG318=CONCATENATE("Interior - ",JJ$4),TRUE,FALSE)</f>
        <v>0</v>
      </c>
      <c r="JK316" s="1061"/>
      <c r="JL316" s="1682" t="b">
        <f>IF($JG318=CONCATENATE("Interior - ",JL$4),TRUE,FALSE)</f>
        <v>0</v>
      </c>
      <c r="JM316" s="1061"/>
      <c r="JN316" s="1682" t="b">
        <f>IF($JG318=CONCATENATE("Interior - ",JN$4),TRUE,FALSE)</f>
        <v>0</v>
      </c>
      <c r="JO316" s="1061"/>
      <c r="JP316" s="1682" t="b">
        <f>IF(__Retrofit_TI_NC&gt;0,FALSE,IF($JG318=CONCATENATE("Interior - ",JP$4),TRUE,FALSE))</f>
        <v>0</v>
      </c>
      <c r="JQ316" s="1061"/>
      <c r="JR316" s="1682" t="b">
        <f>IF(__Retrofit_TI_NC&gt;0,FALSE,IF($JG318=CONCATENATE("Interior - ",JR$4),TRUE,FALSE))</f>
        <v>0</v>
      </c>
      <c r="JS316" s="1061"/>
      <c r="JT316" s="1670" t="b">
        <f>IF(__Retrofit_TI_NC&gt;0,FALSE,IF($JG318=CONCATENATE("Interior - ",JT$4),TRUE,FALSE))</f>
        <v>0</v>
      </c>
      <c r="JU316" s="1061"/>
      <c r="JV316" s="1670" t="b">
        <f>IF(JC318="AELC on Existing",TRUE,FALSE)</f>
        <v>0</v>
      </c>
      <c r="JX316" s="1670" t="b">
        <f>IF(OR(JG318="Exterior - AELC Occupancy based",JG318="Exterior - AELC Time based"),TRUE,FALSE)</f>
        <v>0</v>
      </c>
      <c r="JZ316" s="1682" t="b">
        <f>IF($JG318=CONCATENATE("Exterior - ",JZ$4),TRUE,FALSE)</f>
        <v>0</v>
      </c>
      <c r="KB316" s="1670" t="b">
        <f>IF(__Retrofit_TI_NC&gt;0,FALSE,IF($JG318=CONCATENATE("Interior - ",KB$4),TRUE,FALSE))</f>
        <v>0</v>
      </c>
    </row>
    <row r="317" spans="1:288" s="78" customFormat="1" ht="14.95" customHeight="1" thickTop="1" thickBot="1">
      <c r="B317" s="1845"/>
      <c r="C317" s="1846"/>
      <c r="D317" s="1847"/>
      <c r="E317" s="1737" t="s">
        <v>297</v>
      </c>
      <c r="F317" s="1738"/>
      <c r="G317" s="1739"/>
      <c r="H317" s="1739"/>
      <c r="I317" s="1739"/>
      <c r="J317" s="1739"/>
      <c r="K317" s="1739"/>
      <c r="L317" s="1739"/>
      <c r="M317" s="461" t="e">
        <f>IF(__Retrofit_TI_NC&lt;&gt;0,IF(VLOOKUP(G318,'Space Table'!$B$3:$L$163,3,FALSE)&gt;0,1,0),IF(__Retrofit_TI_NC=VLOOKUP(G318,'Space Table'!$B$3:$L$163,3,FALSE),1,0))</f>
        <v>#N/A</v>
      </c>
      <c r="N317" s="461" t="str">
        <f>IFERROR(VLOOKUP(G317,_Lookup_Heat_Type_Table_New,2,FALSE),"")</f>
        <v/>
      </c>
      <c r="O317" s="461">
        <f>IF(__Retrofit_TI_NC=1,CONCATENATE("TI ",G317),IF(__Retrofit_TI_NC=2,CONCATENATE("NC ",G317),G317))</f>
        <v>0</v>
      </c>
      <c r="P317" s="1740" t="s">
        <v>435</v>
      </c>
      <c r="Q317" s="1740"/>
      <c r="R317" s="595"/>
      <c r="S317" s="1792"/>
      <c r="T317" s="597"/>
      <c r="U317" s="1765"/>
      <c r="V317" s="1766"/>
      <c r="W317" s="1766"/>
      <c r="X317" s="1766"/>
      <c r="Y317" s="1766"/>
      <c r="Z317" s="1766"/>
      <c r="AA317" s="1766"/>
      <c r="AB317" s="1766"/>
      <c r="AC317" s="1766"/>
      <c r="AD317" s="1767"/>
      <c r="AE317" s="1000"/>
      <c r="AF317" s="597"/>
      <c r="AG317" s="1723"/>
      <c r="AH317" s="1724"/>
      <c r="AI317" s="1724"/>
      <c r="AJ317" s="1724"/>
      <c r="AK317" s="1725"/>
      <c r="AL317" s="996"/>
      <c r="AM317" s="1747"/>
      <c r="AN317" s="1775"/>
      <c r="AO317" s="1777"/>
      <c r="AP317" s="1780"/>
      <c r="AQ317" s="1781"/>
      <c r="AR317" s="1795"/>
      <c r="AS317" s="1795"/>
      <c r="AT317" s="1796"/>
      <c r="AU317" s="1735"/>
      <c r="AV317" s="1752"/>
      <c r="AW317" s="1705"/>
      <c r="AX317" s="467"/>
      <c r="AY317" s="1749"/>
      <c r="AZ317" s="1749"/>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696"/>
      <c r="CQ317" s="1696"/>
      <c r="CR317" s="1809"/>
      <c r="CS317" s="1811"/>
      <c r="CU317" s="1688"/>
      <c r="CV317" s="1703"/>
      <c r="CW317" s="1703"/>
      <c r="CX317" s="1703"/>
      <c r="CY317" s="1815"/>
      <c r="CZ317" s="1711"/>
      <c r="DA317" s="1818"/>
      <c r="DB317" s="1820"/>
      <c r="DC317" s="1820"/>
      <c r="DD317" s="1820"/>
      <c r="DF317" s="1703"/>
      <c r="DG317" s="1831"/>
      <c r="DH317" s="1703"/>
      <c r="DI317" s="1838"/>
      <c r="DJ317" s="1711"/>
      <c r="DK317" s="1712"/>
      <c r="DM317" s="1718"/>
      <c r="DO317" s="1708"/>
      <c r="DQ317" s="1715"/>
      <c r="DR317" s="1720"/>
      <c r="DS317" s="1816"/>
      <c r="DT317" s="1714"/>
      <c r="DU317" s="1715"/>
      <c r="DV317" s="1716"/>
      <c r="DX317" s="1715"/>
      <c r="DY317" s="1720"/>
      <c r="DZ317" s="1715"/>
      <c r="EA317" s="1715"/>
      <c r="EC317" s="1834"/>
      <c r="ED317" s="1834"/>
      <c r="EF317" s="1707"/>
      <c r="EG317" s="1712"/>
      <c r="EH317" s="1818"/>
      <c r="EI317" s="1712"/>
      <c r="EJ317" s="1712"/>
      <c r="EK317" s="1836"/>
      <c r="EL317" s="1836"/>
      <c r="EM317" s="1807"/>
      <c r="EN317" s="1839"/>
      <c r="EO317" s="1839"/>
      <c r="EP317" s="1817"/>
      <c r="EQ317" s="1817"/>
      <c r="ER317" s="1807"/>
      <c r="ES317" s="1807"/>
      <c r="ET317" s="1807"/>
      <c r="EV317" s="1715"/>
      <c r="EX317" s="1805"/>
      <c r="EY317" s="1805"/>
      <c r="EZ317" s="1805"/>
      <c r="FA317" s="1805"/>
      <c r="FB317" s="1805"/>
      <c r="FC317" s="1827"/>
      <c r="FE317" s="1698"/>
      <c r="FG317" s="1816"/>
      <c r="FH317" s="1816"/>
      <c r="FI317" s="133"/>
      <c r="FL317" s="1823"/>
      <c r="FM317" s="1825"/>
      <c r="FN317" s="1698"/>
      <c r="FO317" s="1698"/>
      <c r="FP317" s="1678"/>
      <c r="FQ317" s="1678"/>
      <c r="FS317" s="1687"/>
      <c r="FT317" s="1687"/>
      <c r="FU317" s="1685"/>
      <c r="FV317" s="1687"/>
      <c r="FW317" s="1687"/>
      <c r="FX317" s="1687"/>
      <c r="FY317" s="1697"/>
      <c r="GA317" s="1696"/>
      <c r="GB317" s="1696"/>
      <c r="GC317" s="1696"/>
      <c r="GD317" s="1696"/>
      <c r="GE317" s="1696"/>
      <c r="GF317" s="1696"/>
      <c r="GG317" s="1696"/>
      <c r="GH317" s="1696"/>
      <c r="GI317" s="673"/>
      <c r="GJ317" s="1135"/>
      <c r="GK317" s="1832"/>
      <c r="GM317" s="1693" t="b">
        <f ca="1">IF(AND(GP317=TRUE,GQ317=TRUE),TRUE,FALSE)</f>
        <v>0</v>
      </c>
      <c r="GN317" s="1684" t="b">
        <f>IFERROR(IF(__Retrofit_TI_NC=2,TRUE,IF(AU316="Yes",TRUE,FALSE)),FALSE)</f>
        <v>1</v>
      </c>
      <c r="GP317" s="1684" t="b">
        <f>IFERROR(IF(GP316=1,TRUE,FALSE),FALSE)</f>
        <v>0</v>
      </c>
      <c r="GQ317" s="1684" t="b">
        <f ca="1">IFERROR(IF(GQ316=GQ$14,TRUE,FALSE),FALSE)</f>
        <v>0</v>
      </c>
      <c r="HG317" s="1684" t="b">
        <f>IFERROR(IF(AND(__Retrofit_TI_NC&gt;0,CQ316="Interior"),FALSE,TRUE),FALSE)</f>
        <v>1</v>
      </c>
      <c r="HH317" s="1684" t="b">
        <f>IFERROR(IF(M317=1,TRUE,FALSE),FALSE)</f>
        <v>0</v>
      </c>
      <c r="HI317" s="1684" t="b">
        <f>IFERROR(IF(OR(M318=1,N319="BAM"),TRUE,FALSE),FALSE)</f>
        <v>0</v>
      </c>
      <c r="HJ317" s="1684" t="b">
        <f>IFERROR(IF(__Retrofit_TI_NC&lt;&gt;0,TRUE,IFERROR(IF(VLOOKUP(U317,Fixtures_Existing_List,2,FALSE)&lt;&gt;"",TRUE,FALSE),FALSE)),FALSE)</f>
        <v>0</v>
      </c>
      <c r="HK317" s="1684" t="b">
        <f>IFERROR(IF(VLOOKUP(U318,Fixtures_Proposed_List,2,FALSE)&lt;&gt;"",TRUE,FALSE),FALSE)</f>
        <v>0</v>
      </c>
      <c r="HL317" s="1684" t="b">
        <f>IF(AND(__Retrofit_TI_NC=2,FC316=TRUE),FALSE,TRUE)</f>
        <v>1</v>
      </c>
      <c r="HM317" s="1684" t="b">
        <f>GK316</f>
        <v>1</v>
      </c>
      <c r="HN317" s="1682" t="b">
        <f>IF(ISERROR(MATCH(FE316,_Control_Match[],0))=TRUE,FALSE,TRUE)</f>
        <v>0</v>
      </c>
      <c r="HO317" s="1693" t="b">
        <f>IFERROR(IF(EX316&lt;&gt;EY316,FALSE,TRUE),FALSE)</f>
        <v>1</v>
      </c>
      <c r="HP317" s="1693" t="b">
        <f>IFERROR(IF(EX318&lt;&gt;EY318,FALSE,TRUE),FALSE)</f>
        <v>1</v>
      </c>
      <c r="HQ317" s="1670" t="b">
        <f>IFERROR(IF(CQ316="Exterior",TRUE,IF(AND(OR(FM318=0,FM318=3),JD318&gt;6),FALSE,TRUE)),FALSE)</f>
        <v>0</v>
      </c>
      <c r="HR317" s="1684" t="b">
        <f>IFERROR(IF(AND(FO318=7,FC316=TRUE),FALSE,TRUE),FALSE)</f>
        <v>0</v>
      </c>
      <c r="HS317" s="1684" t="b">
        <f>IFERROR(IF(AND(T318&lt;&gt;AF318,OR(AG318="Interior LLLC", AG318="Interior NLC", AG318="LLLC (outside Daylight)",AG318="LLLC Controls Only"))=TRUE,FALSE,TRUE),FALSE)</f>
        <v>1</v>
      </c>
      <c r="HT317" s="1670" t="b">
        <f>IFERROR(IF(OR(AG318=Lookup!BB$17,AG318=Lookup!BB$18,AG318=Lookup!BB$19)=TRUE,IF(AF318&gt;T318,FALSE,TRUE),TRUE),FALSE)</f>
        <v>1</v>
      </c>
      <c r="HU317" s="1684" t="b">
        <f>IFERROR(IF(__Retrofit_TI_NC=2,IF(EZ318&lt;EZ316,FALSE,TRUE),TRUE),FALSE)</f>
        <v>1</v>
      </c>
      <c r="HV317" s="1684" t="b">
        <f>IF(CQ316="Interior",IL$6,TRUE)</f>
        <v>1</v>
      </c>
      <c r="HW317" s="1684" t="b">
        <f>IF(CQ316="Exterior",IL$8,TRUE)</f>
        <v>1</v>
      </c>
      <c r="HX317" s="1684" t="b">
        <f>IFERROR(IF(__Retrofit_TI_NC&lt;&gt;0,IF(AZ316&lt;AY316,FALSE,TRUE),TRUE),FALSE)</f>
        <v>1</v>
      </c>
      <c r="HY317" s="1684" t="b">
        <f>IFERROR(IF(AND(G317="Exterior",R317&gt;4200),FALSE,TRUE),FALSE)</f>
        <v>1</v>
      </c>
      <c r="HZ317" s="1684" t="b">
        <f>IFERROR(IF(AB319/AB316&lt;HZ$18,FALSE,TRUE),FALSE)</f>
        <v>0</v>
      </c>
      <c r="IB317" s="1691"/>
      <c r="IC317" s="1695"/>
      <c r="ID317" s="1694" t="str">
        <f>VLOOKUP(IB319,_Error_Table,4,FALSE)</f>
        <v>White</v>
      </c>
      <c r="IE317" s="391"/>
      <c r="IF317" s="1688"/>
      <c r="IG317" s="1689"/>
      <c r="IH317" s="1684"/>
      <c r="IK317" s="1689"/>
      <c r="IL317" s="1691"/>
      <c r="IM317" s="1691"/>
      <c r="IN317" s="1691"/>
      <c r="IP317" s="1679"/>
      <c r="IQ317" s="1679"/>
      <c r="IR317" s="1679"/>
      <c r="IS317" s="1679"/>
      <c r="IT317" s="1679"/>
      <c r="IU317" s="1679"/>
      <c r="IV317" s="1679"/>
      <c r="IW317" s="1679"/>
      <c r="IX317" s="1679"/>
      <c r="IY317" s="1679"/>
      <c r="IZ317" s="1679"/>
      <c r="JA317" s="1679"/>
      <c r="JC317" s="1680"/>
      <c r="JD317" s="1670"/>
      <c r="JE317" s="1681"/>
      <c r="JG317" s="1680"/>
      <c r="JH317" s="1670"/>
      <c r="JI317" s="1060"/>
      <c r="JJ317" s="1683"/>
      <c r="JK317" s="1061"/>
      <c r="JL317" s="1683"/>
      <c r="JM317" s="1061"/>
      <c r="JN317" s="1683"/>
      <c r="JO317" s="1061"/>
      <c r="JP317" s="1683"/>
      <c r="JQ317" s="1061"/>
      <c r="JR317" s="1683"/>
      <c r="JS317" s="1061"/>
      <c r="JT317" s="1670"/>
      <c r="JU317" s="1061"/>
      <c r="JV317" s="1670"/>
      <c r="JX317" s="1670"/>
      <c r="JZ317" s="1683"/>
      <c r="KB317" s="1670"/>
    </row>
    <row r="318" spans="1:288" s="78" customFormat="1" ht="14.95" customHeight="1" thickTop="1" thickBot="1">
      <c r="A318" s="78">
        <f>ROW()</f>
        <v>318</v>
      </c>
      <c r="B318" s="1845"/>
      <c r="C318" s="1846"/>
      <c r="D318" s="1847"/>
      <c r="E318" s="1737" t="s">
        <v>298</v>
      </c>
      <c r="F318" s="1738"/>
      <c r="G318" s="1760"/>
      <c r="H318" s="1761"/>
      <c r="I318" s="1761"/>
      <c r="J318" s="1761"/>
      <c r="K318" s="1761"/>
      <c r="L318" s="1762"/>
      <c r="M318" s="461">
        <f>IFERROR(IF(IF(__Retrofit_TI_NC&lt;&gt;0,IF(CQ316="Interior",MATCH(G318,Lookup_Interior_New,0),MATCH(G318,Lookup_Exterior_New,0)),IF(CQ316="Interior",MATCH(G318,Lookup_Interior,0),MATCH(G318,Lookup_Exterior_Areas,0)))&gt;0,1,0),0)</f>
        <v>0</v>
      </c>
      <c r="N318" s="461" t="e">
        <f>IF(__Retrofit_TI_NC=1,
VLOOKUP(G318,'Space Table'!$B$3:$L$163,4,FALSE),
IF(__Retrofit_TI_NC=2,VLOOKUP(G318,'Space Table'!$B$3:$L$163,5,FALSE),VLOOKUP(G318,'Space Table'!$B$3:$L$163,5,FALSE)))</f>
        <v>#N/A</v>
      </c>
      <c r="O318" s="461">
        <f>G318</f>
        <v>0</v>
      </c>
      <c r="P318" s="1738" t="str">
        <f>IFERROR(IF(__Retrofit_TI_NC=1,VLOOKUP(G318,'Space Table'!$B$3:$O$163,13,FALSE),IF(__Retrofit_TI_NC=2,VLOOKUP(G318,'Space Table'!$B$3:$O$163,14,FALSE),"Area (sf):")),"Area (sf):")</f>
        <v>Area (sf):</v>
      </c>
      <c r="Q318" s="1738"/>
      <c r="R318" s="596"/>
      <c r="S318" s="1763" t="s">
        <v>345</v>
      </c>
      <c r="T318" s="594"/>
      <c r="U318" s="1801"/>
      <c r="V318" s="1802"/>
      <c r="W318" s="1802"/>
      <c r="X318" s="1802"/>
      <c r="Y318" s="1802"/>
      <c r="Z318" s="1802"/>
      <c r="AA318" s="1802"/>
      <c r="AB318" s="1802"/>
      <c r="AC318" s="1802"/>
      <c r="AD318" s="1802"/>
      <c r="AE318" s="1803"/>
      <c r="AF318" s="594"/>
      <c r="AG318" s="1787"/>
      <c r="AH318" s="1787"/>
      <c r="AI318" s="1787"/>
      <c r="AJ318" s="1787"/>
      <c r="AK318" s="1787"/>
      <c r="AL318" s="1787"/>
      <c r="AM318" s="1726">
        <f>IFERROR(DI318,"")</f>
        <v>0</v>
      </c>
      <c r="AN318" s="1728" t="str">
        <f>IFERROR(ROUND(AM318*AC319,0),"")</f>
        <v/>
      </c>
      <c r="AO318" s="1730">
        <f>IFERROR(IF(IB316=FALSE,0,AC319-AN318),0)</f>
        <v>0</v>
      </c>
      <c r="AP318" s="1780"/>
      <c r="AQ318" s="1781"/>
      <c r="AR318" s="1795"/>
      <c r="AS318" s="1795"/>
      <c r="AT318" s="1796"/>
      <c r="AU318" s="1735"/>
      <c r="AV318" s="1752"/>
      <c r="AW318" s="1705"/>
      <c r="AX318" s="467"/>
      <c r="AY318" s="1749"/>
      <c r="AZ318" s="1749"/>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696"/>
      <c r="CQ318" s="1696"/>
      <c r="CR318" s="1808" t="str">
        <f>CQ316</f>
        <v/>
      </c>
      <c r="CS318" s="1810" t="str">
        <f>CS316</f>
        <v/>
      </c>
      <c r="CU318" s="1688" t="s">
        <v>345</v>
      </c>
      <c r="CV318" s="1702">
        <f>IF(IB316=TRUE,T318,0)</f>
        <v>0</v>
      </c>
      <c r="CW318" s="1702" t="str">
        <f>IF(IB316=TRUE,U318,"")</f>
        <v/>
      </c>
      <c r="CX318" s="1812">
        <f>IF(IB316=TRUE,U319,0)</f>
        <v>0</v>
      </c>
      <c r="CY318" s="1814">
        <f>IF(IB316=TRUE,AB319,0)</f>
        <v>0</v>
      </c>
      <c r="CZ318" s="1710">
        <f>IF(AND(__Retrofit_TI_NC&gt;0,CR316="interior"),0,IF(IB316=TRUE,AC319,0))</f>
        <v>0</v>
      </c>
      <c r="DA318" s="1818"/>
      <c r="DB318" s="1820"/>
      <c r="DC318" s="1820"/>
      <c r="DD318" s="1820"/>
      <c r="DF318" s="1702">
        <f>IF(IB316=TRUE,AF318,0)</f>
        <v>0</v>
      </c>
      <c r="DG318" s="1830" t="str">
        <f>IF(IB316=TRUE,AG318,"")</f>
        <v/>
      </c>
      <c r="DH318" s="1812">
        <f>AG319</f>
        <v>0</v>
      </c>
      <c r="DI318" s="1837">
        <f>JE318</f>
        <v>0</v>
      </c>
      <c r="DJ318" s="1710">
        <f>IF(AND(__Retrofit_TI_NC&gt;0,CR316="interior"),0,IF(IB316=TRUE,AN318,0))</f>
        <v>0</v>
      </c>
      <c r="DK318" s="1712"/>
      <c r="DN318" s="1717">
        <f>IFERROR(CZ318-DJ318,0)</f>
        <v>0</v>
      </c>
      <c r="DO318" s="1709"/>
      <c r="DQ318" s="1715"/>
      <c r="DR318" s="1719" t="str">
        <f>DQ316</f>
        <v/>
      </c>
      <c r="DS318" s="1816"/>
      <c r="DT318" s="1835" t="str">
        <f>IF(OR(DS316=7,DS316=8,DS316=9),"ALC","")</f>
        <v/>
      </c>
      <c r="DU318" s="1715"/>
      <c r="DV318" s="1716"/>
      <c r="DX318" s="1715"/>
      <c r="DY318" s="1829" t="str">
        <f>DX316</f>
        <v/>
      </c>
      <c r="DZ318" s="1715"/>
      <c r="EA318" s="1715"/>
      <c r="EC318" s="1834"/>
      <c r="ED318" s="1834"/>
      <c r="EF318" s="1707"/>
      <c r="EG318" s="1712"/>
      <c r="EH318" s="1818"/>
      <c r="EI318" s="1712"/>
      <c r="EJ318" s="1712"/>
      <c r="EK318" s="1836"/>
      <c r="EL318" s="1836"/>
      <c r="EM318" s="1807"/>
      <c r="EN318" s="1839"/>
      <c r="EO318" s="1839"/>
      <c r="EP318" s="1817"/>
      <c r="EQ318" s="1817"/>
      <c r="ER318" s="1807"/>
      <c r="ES318" s="1807"/>
      <c r="ET318" s="1807"/>
      <c r="EV318" s="1715"/>
      <c r="EX318" s="1805" t="str">
        <f>IFERROR(VLOOKUP(CS318,'Space Table'!$B$3:$L$163,8,FALSE),"")</f>
        <v/>
      </c>
      <c r="EY318" s="1805" t="str">
        <f>IFERROR(IF(FB318="Yes",VLOOKUP(AG318,Lookup_Control_Type_Table2,4,FALSE),VLOOKUP(AG318,Lookup_Control_Type_Table2,3,FALSE)),"")</f>
        <v/>
      </c>
      <c r="EZ318" s="1805" t="e">
        <f>VLOOKUP(AG318,Lookup!BB$3:BC$20,2,FALSE)</f>
        <v>#N/A</v>
      </c>
      <c r="FA318" s="1805" t="e">
        <f>VLOOKUP(EX316,Lookup_Control_Type_Table,2,FALSE)</f>
        <v>#N/A</v>
      </c>
      <c r="FB318" s="1805" t="e">
        <f>VLOOKUP(CS318,'Space Table'!$B$3:$L$163,7,FALSE)</f>
        <v>#N/A</v>
      </c>
      <c r="FC318" s="1827"/>
      <c r="FE318" s="1698" t="str">
        <f>CONCATENATE(CQ316," - ",AG318)</f>
        <v xml:space="preserve"> - </v>
      </c>
      <c r="FG318" s="1816"/>
      <c r="FH318" s="1816"/>
      <c r="FI318" s="133"/>
      <c r="FL318" s="1822" t="str">
        <f>IF(CQ316="Exterior","Not Daylighted",G319)</f>
        <v>Not Daylighted</v>
      </c>
      <c r="FM318" s="1824">
        <f>VLOOKUP(FL318,_New_Daylight_Table_Codes,2,FALSE)</f>
        <v>0</v>
      </c>
      <c r="FN318" s="1698">
        <f>AG318</f>
        <v>0</v>
      </c>
      <c r="FO318" s="1698" t="e">
        <f>VLOOKUP(FN318,_Control_Table,2,FALSE)</f>
        <v>#N/A</v>
      </c>
      <c r="FP318" s="1678" t="e">
        <f>VLOOKUP(CONCATENATE(FL318," ",FN318),Lookup!AY$102:AZ329,2,FALSE)</f>
        <v>#N/A</v>
      </c>
      <c r="FQ318" s="1698">
        <f>IF(__Retrofit_TI_NC=0,FN318,IF(AND(FT318&gt;0,FN318="Occupancy Sensor"),"Daylight + Occupancy",IF(AND(FT318&gt;0,FO318&lt;4),"Interior Daylight Dimming",FN318)))</f>
        <v>0</v>
      </c>
      <c r="FS318" s="1686">
        <f>IF(CQ316="Interior",VLOOKUP(CS316,Control_Savings_Interior,5,FALSE),0)</f>
        <v>0</v>
      </c>
      <c r="FT318" s="1687">
        <f>IF(CQ318="Exterior",0,IF(FM318=2,0.5,IF(OR(FM318=1,FM318=3),1,0)))</f>
        <v>0</v>
      </c>
      <c r="FU318" s="1685">
        <f>IF(R317&gt;FS$44,(FS318*(FS$44/R317)),FS318)*FT318</f>
        <v>0</v>
      </c>
      <c r="FV318" s="1686">
        <f>DI318</f>
        <v>0</v>
      </c>
      <c r="FW318" s="1686">
        <f>ROUND(FV318+((1-FV318)*FU318),2)</f>
        <v>0</v>
      </c>
      <c r="FX318" s="1686">
        <f>IF(__Retrofit_TI_NC=2,FW318,FV318)</f>
        <v>0</v>
      </c>
      <c r="FY318" s="1697">
        <f>IF(CR318="Interior",VLOOKUP(CS318,Control_Savings_Interior,4,FALSE),0)</f>
        <v>0</v>
      </c>
      <c r="GA318" s="1696"/>
      <c r="GB318" s="1696"/>
      <c r="GC318" s="1696"/>
      <c r="GD318" s="1696"/>
      <c r="GE318" s="1696"/>
      <c r="GF318" s="1696"/>
      <c r="GG318" s="1696"/>
      <c r="GH318" s="1696"/>
      <c r="GI318" s="673" t="b">
        <f>IF(ISNUMBER(SEARCH("TLED",U318)),TRUE,FALSE)</f>
        <v>0</v>
      </c>
      <c r="GJ318" s="1135" t="str">
        <f>IFERROR(VLOOKUP(U318,Fixtures!DM$93:DR$142,6,FALSE),"")</f>
        <v/>
      </c>
      <c r="GK318" s="1832"/>
      <c r="GM318" s="1692"/>
      <c r="GN318" s="1684"/>
      <c r="GP318" s="1684"/>
      <c r="GQ318" s="1684"/>
      <c r="HG318" s="1684"/>
      <c r="HH318" s="1684"/>
      <c r="HI318" s="1684"/>
      <c r="HJ318" s="1684"/>
      <c r="HK318" s="1684"/>
      <c r="HL318" s="1684"/>
      <c r="HM318" s="1684"/>
      <c r="HN318" s="1683"/>
      <c r="HO318" s="1692"/>
      <c r="HP318" s="1692"/>
      <c r="HQ318" s="1670"/>
      <c r="HR318" s="1684"/>
      <c r="HS318" s="1684"/>
      <c r="HT318" s="1670"/>
      <c r="HU318" s="1684"/>
      <c r="HV318" s="1684"/>
      <c r="HW318" s="1684"/>
      <c r="HX318" s="1684"/>
      <c r="HY318" s="1684"/>
      <c r="HZ318" s="1684"/>
      <c r="IB318" s="1692"/>
      <c r="IC318" s="1693" t="b">
        <f>IB316</f>
        <v>0</v>
      </c>
      <c r="ID318" s="1695"/>
      <c r="IE318" s="391"/>
      <c r="IF318" s="1688"/>
      <c r="IG318" s="1689">
        <f ca="1">IF(IF316=TRUE,AC319,0)</f>
        <v>0</v>
      </c>
      <c r="IH318" s="1684"/>
      <c r="IK318" s="1689" t="e">
        <f>ROUND(T318*AB319*N317*R317/1000,0)</f>
        <v>#VALUE!</v>
      </c>
      <c r="IL318" s="1691"/>
      <c r="IM318" s="1693" t="e">
        <f>ROUND(T318*AB319*N317*R317/1000,0)</f>
        <v>#VALUE!</v>
      </c>
      <c r="IN318" s="1691"/>
      <c r="IP318" s="1679"/>
      <c r="IQ318" s="1679" t="e">
        <f t="shared" ref="IQ318:IU318" si="277">IF($CR318="interior",VLOOKUP($CS318,_New_Control_Savings_Interior,IQ$30,FALSE),VLOOKUP($CS318,Control_Savings_Exterior,IQ$30,FALSE))</f>
        <v>#N/A</v>
      </c>
      <c r="IR318" s="1679" t="e">
        <f t="shared" si="277"/>
        <v>#N/A</v>
      </c>
      <c r="IS318" s="1679" t="e">
        <f t="shared" si="277"/>
        <v>#N/A</v>
      </c>
      <c r="IT318" s="1679" t="e">
        <f t="shared" si="277"/>
        <v>#N/A</v>
      </c>
      <c r="IU318" s="1679" t="e">
        <f t="shared" si="277"/>
        <v>#N/A</v>
      </c>
      <c r="IV318" s="1679" t="e">
        <f>IF($CR318="interior",IF(R317&gt;$IP$14,ROUND(($IV$18*($IP$14/R317)),2),$IV$18),VLOOKUP($CS318,Control_Savings_Exterior,IV$30,FALSE))</f>
        <v>#N/A</v>
      </c>
      <c r="IW318" s="1679" t="e">
        <f>IF($CR318="interior",ROUND(((1-IS318)*IV318)+IS318,2),VLOOKUP($CS318,Control_Savings_Exterior,IW$30,FALSE))</f>
        <v>#N/A</v>
      </c>
      <c r="IX318" s="1679" t="e">
        <f>IF($CR318="interior",ROUND(((1-IT318)*IV318)+IT318,2),VLOOKUP($CS318,Control_Savings_Exterior,IX$30,FALSE))</f>
        <v>#N/A</v>
      </c>
      <c r="IY318" s="1679" t="e">
        <f>IF($CR318="interior",IF(R317&gt;$IP$14,ROUND(($IY$18*($IP$14/R317)),2),$IY$18),VLOOKUP($CS318,Control_Savings_Exterior,IY$30,FALSE))</f>
        <v>#N/A</v>
      </c>
      <c r="IZ318" s="1679" t="e">
        <f>IF($CR318="interior",ROUND(((1-IS318)*IY318)+IS318,2),VLOOKUP($CS318,Control_Savings_Exterior,IZ$30,FALSE))</f>
        <v>#N/A</v>
      </c>
      <c r="JA318" s="1679" t="e">
        <f>IF($CR318="interior",ROUND(((1-IT318)*IY318)+IT318,2),VLOOKUP($CS318,Control_Savings_Exterior,JA$30,FALSE))</f>
        <v>#N/A</v>
      </c>
      <c r="JC318" s="1680">
        <f>IFERROR(IF(CR318="Interior",CONCATENATE(G319," ",FQ318),AG318),"")</f>
        <v>0</v>
      </c>
      <c r="JD318" s="1670" t="str">
        <f>IFERROR(VLOOKUP(JC318,_Controls_2023,2,FALSE),"")</f>
        <v/>
      </c>
      <c r="JE318" s="1681">
        <f>IFERROR(CHOOSE(JD318-1,IQ318,IR318,IS318,IT318,IU318,IV318,IW318,IX318,IY318,IZ318,JA318),0)</f>
        <v>0</v>
      </c>
      <c r="JG318" s="1680" t="str">
        <f>FE318</f>
        <v xml:space="preserve"> - </v>
      </c>
      <c r="JH318" s="1670" t="e">
        <f>$FO318</f>
        <v>#N/A</v>
      </c>
      <c r="JI318" s="1060"/>
      <c r="JJ318" s="1670">
        <f>IFERROR(IF($IB316=TRUE,IF(OR(JJ$14="No",JJ316=FALSE,JH318&lt;=JH316,AND(_kWh_Grant=0,GD316=FALSE)),0,IF(JJ$8="Per Line",1,$AF318)),0),0)</f>
        <v>0</v>
      </c>
      <c r="JK318" s="1061"/>
      <c r="JL318" s="1670">
        <f>IFERROR(IF(_kWh_Grant=0,0,IF($IB316=TRUE,IF(OR(JL$14="No",JL316=FALSE,JH318&lt;=JH316),0,IF(JL$8="Per Line",1,$T318)),0)),0)</f>
        <v>0</v>
      </c>
      <c r="JM318" s="1061"/>
      <c r="JN318" s="1670">
        <f>IFERROR(IF(_kWh_Grant=0,0,IF($IB316=TRUE,IF(OR(JN$14="No",JN316=FALSE,JH318&lt;=JH316),0,IF(JN$8="Per Line",1,$AF318)),0)),0)</f>
        <v>0</v>
      </c>
      <c r="JO318" s="1061"/>
      <c r="JP318" s="1670">
        <f>IFERROR(IF(__Retrofit_TI_NC=0,IF(_kWh_Grant=0,0,IF($IB316=TRUE,IF(OR(JP$14="No",JP316=FALSE,$JH318&lt;=$JH316),0,IF(JP$8="Per Line",1,$AF318)),0)),IF($IB316=TRUE,IF(OR(JP$14="No",JP316=FALSE,$JH318&lt;=$JH316),0,IF(JP$8="Per Line",1,$AF318)))),0)</f>
        <v>0</v>
      </c>
      <c r="JQ318" s="1061"/>
      <c r="JR318" s="1670">
        <f>IFERROR(IF(__Retrofit_TI_NC=0,IF(_kWh_Grant=0,0,IF($IB316=TRUE,IF(OR(JR$14="No",JR316=FALSE,$JH318&lt;=$JH316),0,IF(JR$8="Per Line",1,$AF318)),0)),IF($IB316=TRUE,IF(OR(JR$14="No",JR316=FALSE,$JH318&lt;=$JH316),0,IF(JR$8="Per Line",1,$AF318)))),0)</f>
        <v>0</v>
      </c>
      <c r="JS318" s="1061"/>
      <c r="JT318" s="1670">
        <f>IFERROR(IF(__Retrofit_TI_NC=0,IF(_kWh_Grant=0,0,IF($IB316=TRUE,IF(OR(JT$14="No",JT316=FALSE,$JH318&lt;=$JH316),0,IF(JT$8="Per Line",1,$AF318)),0)),IF($IB316=TRUE,IF(OR(JT$14="No",JT316=FALSE,$JH318&lt;=$JH316),0,IF(JT$8="Per Line",1,$AF318)))),0)</f>
        <v>0</v>
      </c>
      <c r="JU318" s="1061"/>
      <c r="JV318" s="1670">
        <f>IFERROR(IF(__Retrofit_TI_NC=0,IF(_kWh_Grant=0,0,IF($IB316=TRUE,IF(OR(JV$14="No",JV316=FALSE,$JH318&lt;=$JH316),0,IF(JV$8="Per Line",1,$AF318)),0)),IF($IB316=TRUE,IF(OR(JV$14="No",JV316=FALSE,$JH318&lt;=$JH316),0,IF(JV$8="Per Line",1,$AF318)))),0)</f>
        <v>0</v>
      </c>
      <c r="JX318" s="1670">
        <f>IFERROR(IF(__Retrofit_TI_NC=0,IF(_kWh_Grant=0,0,IF($IB316=TRUE,IF(OR(JX$14="No",JX316=FALSE,$JH318&lt;=$JH316),0,IF(JX$8="Per Line",1,$AF318)),0)),IF($IB316=TRUE,IF(OR(JX$14="No",JX316=FALSE,$JH318&lt;=$JH316),0,IF(JX$8="Per Line",1,$AF318)))),0)</f>
        <v>0</v>
      </c>
      <c r="JZ318" s="1670">
        <f>IFERROR(IF($IB316=TRUE,IF(OR(JZ$14="No",JZ316=FALSE,$JH318&lt;=$JH316,AND(_kWh_Grant=0,$GD316=FALSE)),0,IF(JZ$8="Per Line",1,$AF318)),0),0)</f>
        <v>0</v>
      </c>
      <c r="KB318" s="1670">
        <f>IFERROR(IF(__Retrofit_TI_NC=0,IF(_kWh_Grant=0,0,IF($IB316=TRUE,IF(OR(KB$14="No",KB316=FALSE,$JH318&lt;=$JH316),0,IF(KB$8="Per Line",1,$AF318)),0)),IF($IB316=TRUE,IF(OR(KB$14="No",KB316=FALSE,$JH318&lt;=$JH316),0,IF(KB$8="Per Line",1,$AF318)))),0)</f>
        <v>0</v>
      </c>
    </row>
    <row r="319" spans="1:288" s="78" customFormat="1" ht="14.95" customHeight="1" thickTop="1" thickBot="1">
      <c r="B319" s="1845"/>
      <c r="C319" s="1846"/>
      <c r="D319" s="1847"/>
      <c r="E319" s="1902" t="s">
        <v>436</v>
      </c>
      <c r="F319" s="1903"/>
      <c r="G319" s="1904" t="s">
        <v>437</v>
      </c>
      <c r="H319" s="1905"/>
      <c r="I319" s="1905"/>
      <c r="J319" s="1905"/>
      <c r="K319" s="1905"/>
      <c r="L319" s="1906"/>
      <c r="M319" s="1145">
        <f>IFERROR(VLOOKUP(G319,_Daylight_Table[],2,FALSE),0)</f>
        <v>0</v>
      </c>
      <c r="N319" s="1146" t="str">
        <f>IF(AND(__Retrofit_TI_NC&gt;0,CQ316="Interior"),"BAM","")</f>
        <v/>
      </c>
      <c r="O319" s="1145" t="e">
        <f>VLOOKUP(G318,'Space Table'!$B$3:$L$163,11,FALSE)</f>
        <v>#N/A</v>
      </c>
      <c r="P319" s="1754"/>
      <c r="Q319" s="1755"/>
      <c r="R319" s="1755"/>
      <c r="S319" s="1764"/>
      <c r="T319" s="1147" t="s">
        <v>342</v>
      </c>
      <c r="U319" s="1756" t="str" cm="1">
        <f t="array" aca="1" ref="U319" ca="1">IFERROR(VLOOKUP(INDIRECT("U" &amp; ROW()-1),Fixtures!DM$93:DP$142,4,FALSE),"")</f>
        <v/>
      </c>
      <c r="V319" s="1757"/>
      <c r="W319" s="1757"/>
      <c r="X319" s="1757"/>
      <c r="Y319" s="1757"/>
      <c r="Z319" s="1757"/>
      <c r="AA319" s="1758"/>
      <c r="AB319" s="939" t="str">
        <f>IFERROR(VLOOKUP(U318,Fixtures_Proposed_List,2,FALSE),"")</f>
        <v/>
      </c>
      <c r="AC319" s="1148" t="str">
        <f>IFERROR(ROUND(T318*AB319*N317*R317/1000,0),"")</f>
        <v/>
      </c>
      <c r="AD319" s="1149" t="str">
        <f>IFERROR(ROUND(T318*AB319/1000,2),"")</f>
        <v/>
      </c>
      <c r="AE319" s="1150"/>
      <c r="AF319" s="1151" t="s">
        <v>342</v>
      </c>
      <c r="AG319" s="1759"/>
      <c r="AH319" s="1759"/>
      <c r="AI319" s="1759"/>
      <c r="AJ319" s="1759"/>
      <c r="AK319" s="1759"/>
      <c r="AL319" s="1759"/>
      <c r="AM319" s="1899"/>
      <c r="AN319" s="1900"/>
      <c r="AO319" s="1901"/>
      <c r="AP319" s="1780"/>
      <c r="AQ319" s="1781"/>
      <c r="AR319" s="1795"/>
      <c r="AS319" s="1795"/>
      <c r="AT319" s="1796"/>
      <c r="AU319" s="1907"/>
      <c r="AV319" s="1752"/>
      <c r="AW319" s="1706"/>
      <c r="AX319" s="468"/>
      <c r="AY319" s="1750"/>
      <c r="AZ319" s="1750"/>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696"/>
      <c r="CQ319" s="1696"/>
      <c r="CR319" s="1809"/>
      <c r="CS319" s="1811"/>
      <c r="CU319" s="1688"/>
      <c r="CV319" s="1703"/>
      <c r="CW319" s="1703"/>
      <c r="CX319" s="1813"/>
      <c r="CY319" s="1815"/>
      <c r="CZ319" s="1711"/>
      <c r="DA319" s="1815"/>
      <c r="DB319" s="1821"/>
      <c r="DC319" s="1821"/>
      <c r="DD319" s="1821"/>
      <c r="DF319" s="1703"/>
      <c r="DG319" s="1831"/>
      <c r="DH319" s="1813"/>
      <c r="DI319" s="1838"/>
      <c r="DJ319" s="1711"/>
      <c r="DK319" s="1712"/>
      <c r="DN319" s="1718"/>
      <c r="DO319" s="1709"/>
      <c r="DQ319" s="1715"/>
      <c r="DR319" s="1720"/>
      <c r="DS319" s="1703"/>
      <c r="DT319" s="1714"/>
      <c r="DU319" s="1715"/>
      <c r="DV319" s="1716"/>
      <c r="DX319" s="1715"/>
      <c r="DY319" s="1720"/>
      <c r="DZ319" s="1715"/>
      <c r="EA319" s="1715"/>
      <c r="EC319" s="1834"/>
      <c r="ED319" s="1834"/>
      <c r="EF319" s="1707"/>
      <c r="EG319" s="1712"/>
      <c r="EH319" s="1815"/>
      <c r="EI319" s="1712"/>
      <c r="EJ319" s="1712"/>
      <c r="EK319" s="1813"/>
      <c r="EL319" s="1813"/>
      <c r="EM319" s="1807"/>
      <c r="EN319" s="1839"/>
      <c r="EO319" s="1839"/>
      <c r="EP319" s="1817"/>
      <c r="EQ319" s="1817"/>
      <c r="ER319" s="1807"/>
      <c r="ES319" s="1807"/>
      <c r="ET319" s="1807"/>
      <c r="EV319" s="1715"/>
      <c r="EX319" s="1806"/>
      <c r="EY319" s="1806"/>
      <c r="EZ319" s="1806"/>
      <c r="FA319" s="1806"/>
      <c r="FB319" s="1806"/>
      <c r="FC319" s="1828"/>
      <c r="FE319" s="1698"/>
      <c r="FG319" s="1703"/>
      <c r="FH319" s="1703"/>
      <c r="FI319" s="133"/>
      <c r="FL319" s="1823"/>
      <c r="FM319" s="1825"/>
      <c r="FN319" s="1698"/>
      <c r="FO319" s="1698"/>
      <c r="FP319" s="1678"/>
      <c r="FQ319" s="1698"/>
      <c r="FS319" s="1687"/>
      <c r="FT319" s="1687"/>
      <c r="FU319" s="1685"/>
      <c r="FV319" s="1687"/>
      <c r="FW319" s="1687"/>
      <c r="FX319" s="1687"/>
      <c r="FY319" s="1697"/>
      <c r="GA319" s="1696"/>
      <c r="GB319" s="1696"/>
      <c r="GC319" s="1696"/>
      <c r="GD319" s="1696"/>
      <c r="GE319" s="1696"/>
      <c r="GF319" s="1696"/>
      <c r="GG319" s="1696"/>
      <c r="GH319" s="1696"/>
      <c r="GI319" s="673"/>
      <c r="GJ319" s="1135"/>
      <c r="GK319" s="1832"/>
      <c r="GN319" s="674">
        <f>IF(GN317=TRUE,0,GN$16)</f>
        <v>0</v>
      </c>
      <c r="GP319" s="674">
        <f>IF(GP317=TRUE,0,GP$16)</f>
        <v>36</v>
      </c>
      <c r="GQ319" s="674">
        <f ca="1">IF(GQ317=TRUE,0,GQ$16)</f>
        <v>35</v>
      </c>
      <c r="GR319" s="391"/>
      <c r="GS319" s="391"/>
      <c r="GT319" s="391"/>
      <c r="GU319" s="391"/>
      <c r="GV319" s="391"/>
      <c r="HG319" s="674">
        <f>IF(HG317=TRUE,0,HG$16)</f>
        <v>0</v>
      </c>
      <c r="HH319" s="674">
        <f t="shared" ref="HH319:HM319" si="278">IF(HH317=TRUE,0,HH$16)</f>
        <v>19</v>
      </c>
      <c r="HI319" s="674">
        <f t="shared" si="278"/>
        <v>18</v>
      </c>
      <c r="HJ319" s="674">
        <f t="shared" si="278"/>
        <v>17</v>
      </c>
      <c r="HK319" s="674">
        <f t="shared" si="278"/>
        <v>16</v>
      </c>
      <c r="HL319" s="674">
        <f t="shared" si="278"/>
        <v>0</v>
      </c>
      <c r="HM319" s="674">
        <f t="shared" si="278"/>
        <v>0</v>
      </c>
      <c r="HN319" s="674">
        <f>IF(HN317=TRUE,0,HN$16)</f>
        <v>13</v>
      </c>
      <c r="HO319" s="674">
        <f t="shared" ref="HO319:HQ319" si="279">IF(HO317=TRUE,0,HO$16)</f>
        <v>0</v>
      </c>
      <c r="HP319" s="674">
        <f t="shared" si="279"/>
        <v>0</v>
      </c>
      <c r="HQ319" s="674">
        <f t="shared" si="279"/>
        <v>10</v>
      </c>
      <c r="HR319" s="674">
        <f>IF(HR317=TRUE,0,HR$16)</f>
        <v>9</v>
      </c>
      <c r="HS319" s="674">
        <f t="shared" ref="HS319:HW319" si="280">IF(HS317=TRUE,0,HS$16)</f>
        <v>0</v>
      </c>
      <c r="HT319" s="674">
        <f t="shared" si="280"/>
        <v>0</v>
      </c>
      <c r="HU319" s="674">
        <f t="shared" si="280"/>
        <v>0</v>
      </c>
      <c r="HV319" s="674">
        <f t="shared" si="280"/>
        <v>0</v>
      </c>
      <c r="HW319" s="674">
        <f t="shared" si="280"/>
        <v>0</v>
      </c>
      <c r="HX319" s="674">
        <f>IF(HX317=TRUE,0,HX$16)</f>
        <v>0</v>
      </c>
      <c r="HY319" s="674">
        <f>IF(HY317=TRUE,0,HY$16)</f>
        <v>0</v>
      </c>
      <c r="HZ319" s="674">
        <f>IF(HZ317=TRUE,0,HZ$16)</f>
        <v>1</v>
      </c>
      <c r="IB319" s="674">
        <f>IF(GP317=FALSE,GP319,IF(GQ317=FALSE,GQ319,MAX(GN319:HZ319)))</f>
        <v>36</v>
      </c>
      <c r="IC319" s="1692"/>
      <c r="ID319" s="205" t="str">
        <f>VLOOKUP(IB319,_Error_Table,3,FALSE)</f>
        <v xml:space="preserve"> </v>
      </c>
      <c r="IE319" s="205"/>
      <c r="IF319" s="1688"/>
      <c r="IG319" s="1689"/>
      <c r="IH319" s="1684"/>
      <c r="IK319" s="1689"/>
      <c r="IL319" s="1692"/>
      <c r="IM319" s="1692"/>
      <c r="IN319" s="1692"/>
      <c r="IP319" s="1679"/>
      <c r="IQ319" s="1679"/>
      <c r="IR319" s="1679"/>
      <c r="IS319" s="1679"/>
      <c r="IT319" s="1679"/>
      <c r="IU319" s="1679"/>
      <c r="IV319" s="1679"/>
      <c r="IW319" s="1679"/>
      <c r="IX319" s="1679"/>
      <c r="IY319" s="1679"/>
      <c r="IZ319" s="1679"/>
      <c r="JA319" s="1679"/>
      <c r="JC319" s="1680"/>
      <c r="JD319" s="1670"/>
      <c r="JE319" s="1681"/>
      <c r="JG319" s="1680"/>
      <c r="JH319" s="1670"/>
      <c r="JI319" s="1060"/>
      <c r="JJ319" s="1670"/>
      <c r="JK319" s="1061"/>
      <c r="JL319" s="1670"/>
      <c r="JM319" s="1061"/>
      <c r="JN319" s="1670"/>
      <c r="JO319" s="1061"/>
      <c r="JP319" s="1670"/>
      <c r="JQ319" s="1061"/>
      <c r="JR319" s="1670"/>
      <c r="JS319" s="1061"/>
      <c r="JT319" s="1670"/>
      <c r="JU319" s="1061"/>
      <c r="JV319" s="1670"/>
      <c r="JX319" s="1670"/>
      <c r="JZ319" s="1670"/>
      <c r="KB319" s="1670"/>
    </row>
    <row r="320" spans="1:288" s="78" customFormat="1" ht="5.0999999999999996" customHeight="1">
      <c r="B320" s="676"/>
      <c r="C320" s="392"/>
      <c r="D320" s="392"/>
      <c r="E320" s="1773"/>
      <c r="F320" s="1773"/>
      <c r="G320" s="1773"/>
      <c r="H320" s="1773"/>
      <c r="I320" s="1773"/>
      <c r="J320" s="1773"/>
      <c r="K320" s="1773"/>
      <c r="L320" s="1773"/>
      <c r="M320" s="1773"/>
      <c r="N320" s="1773"/>
      <c r="O320" s="1773"/>
      <c r="P320" s="1773"/>
      <c r="Q320" s="1773"/>
      <c r="R320" s="1773"/>
      <c r="S320" s="1773"/>
      <c r="T320" s="1773"/>
      <c r="U320" s="1773"/>
      <c r="V320" s="1773"/>
      <c r="W320" s="1773"/>
      <c r="X320" s="1773"/>
      <c r="Y320" s="1773"/>
      <c r="Z320" s="1773"/>
      <c r="AA320" s="1773"/>
      <c r="AB320" s="1773"/>
      <c r="AC320" s="1773"/>
      <c r="AD320" s="1773"/>
      <c r="AE320" s="1773"/>
      <c r="AF320" s="1773"/>
      <c r="AG320" s="1773"/>
      <c r="AH320" s="1773"/>
      <c r="AI320" s="1773"/>
      <c r="AJ320" s="1773"/>
      <c r="AK320" s="1773"/>
      <c r="AL320" s="1773"/>
      <c r="AM320" s="1773"/>
      <c r="AN320" s="1773"/>
      <c r="AO320" s="1773"/>
      <c r="AP320" s="1773"/>
      <c r="AQ320" s="1773"/>
      <c r="AR320" s="1773"/>
      <c r="AS320" s="1773"/>
      <c r="AT320" s="1773"/>
      <c r="AU320" s="1773"/>
      <c r="AV320" s="1773"/>
      <c r="AW320" s="1773"/>
      <c r="AX320" s="469"/>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663"/>
      <c r="CQ320" s="663"/>
      <c r="CR320" s="438"/>
      <c r="CS320" s="663"/>
      <c r="CV320" s="391"/>
      <c r="CW320" s="391"/>
      <c r="CX320" s="207"/>
      <c r="CY320" s="208"/>
      <c r="CZ320" s="208"/>
      <c r="DA320" s="208"/>
      <c r="DB320" s="209"/>
      <c r="DC320" s="209"/>
      <c r="DD320" s="209"/>
      <c r="DF320" s="664"/>
      <c r="DG320" s="665"/>
      <c r="DH320" s="666"/>
      <c r="DI320" s="667"/>
      <c r="DJ320" s="668"/>
      <c r="DK320" s="668"/>
      <c r="DN320" s="208"/>
      <c r="DO320" s="664"/>
      <c r="DQ320" s="664"/>
      <c r="DR320" s="669"/>
      <c r="DS320" s="391"/>
      <c r="DT320" s="664"/>
      <c r="DU320" s="664"/>
      <c r="DV320" s="664"/>
      <c r="DX320" s="664"/>
      <c r="DY320" s="664"/>
      <c r="DZ320" s="664"/>
      <c r="EA320" s="664"/>
      <c r="EC320" s="670"/>
      <c r="ED320" s="670"/>
      <c r="EF320" s="668"/>
      <c r="EG320" s="668"/>
      <c r="EH320" s="208"/>
      <c r="EI320" s="668"/>
      <c r="EJ320" s="668"/>
      <c r="EK320" s="207"/>
      <c r="EL320" s="207"/>
      <c r="EM320" s="666"/>
      <c r="EN320" s="671"/>
      <c r="EO320" s="671"/>
      <c r="EP320" s="672"/>
      <c r="EQ320" s="672"/>
      <c r="ER320" s="666"/>
      <c r="ES320" s="666"/>
      <c r="ET320" s="666"/>
      <c r="EV320" s="664"/>
      <c r="EX320" s="391"/>
      <c r="EY320" s="391"/>
      <c r="EZ320" s="391"/>
      <c r="FA320" s="391"/>
      <c r="FB320" s="391"/>
      <c r="FC320" s="391"/>
      <c r="FE320" s="569"/>
      <c r="FG320" s="391"/>
      <c r="FH320" s="391"/>
      <c r="FI320" s="391"/>
      <c r="FS320" s="664"/>
      <c r="FT320" s="391"/>
      <c r="FU320" s="391"/>
      <c r="FV320" s="664"/>
      <c r="FW320" s="664"/>
      <c r="GA320" s="663"/>
      <c r="GB320" s="663"/>
      <c r="GC320" s="663"/>
      <c r="GD320" s="663"/>
      <c r="GE320" s="663"/>
      <c r="GF320" s="663"/>
      <c r="GG320" s="663"/>
      <c r="GH320" s="663"/>
      <c r="GI320" s="665"/>
      <c r="GJ320" s="664"/>
      <c r="GK320" s="664"/>
    </row>
    <row r="321" spans="1:288" s="78" customFormat="1" ht="14.95" customHeight="1">
      <c r="B321" s="1845" t="str">
        <f>ID324</f>
        <v xml:space="preserve"> </v>
      </c>
      <c r="C321" s="1846">
        <f>C316+1</f>
        <v>54</v>
      </c>
      <c r="D321" s="1847"/>
      <c r="E321" s="1799" t="s">
        <v>295</v>
      </c>
      <c r="F321" s="1800"/>
      <c r="G321" s="1741"/>
      <c r="H321" s="1742"/>
      <c r="I321" s="1742"/>
      <c r="J321" s="1742"/>
      <c r="K321" s="1742"/>
      <c r="L321" s="1742"/>
      <c r="M321" s="1742"/>
      <c r="N321" s="1742"/>
      <c r="O321" s="1742"/>
      <c r="P321" s="1742"/>
      <c r="Q321" s="1742"/>
      <c r="R321" s="1742"/>
      <c r="S321" s="1791" t="s">
        <v>344</v>
      </c>
      <c r="T321" s="590"/>
      <c r="U321" s="1743"/>
      <c r="V321" s="1744"/>
      <c r="W321" s="1744"/>
      <c r="X321" s="1744"/>
      <c r="Y321" s="1744"/>
      <c r="Z321" s="1744"/>
      <c r="AA321" s="1744"/>
      <c r="AB321" s="961" t="str">
        <f>IFERROR(IF(__Retrofit_TI_NC=0,VLOOKUP(U322,Fixtures_Existing_List,2,FALSE),ROUND(N323*R323/T323,10)),"")</f>
        <v/>
      </c>
      <c r="AC321" s="935" t="str">
        <f>IFERROR(IF(__Retrofit_TI_NC=0,ROUND(T322*AB321*N322*R322/1000,0),IF(CQ321="Interior",N323*R323*R322*N322*_C406_reduction/1000,N323*R323*R322*N322/1000)),"")</f>
        <v/>
      </c>
      <c r="AD321" s="936" t="str">
        <f>IFERROR(IF(C$43=0,ROUND(T322*AB321/1000,2),N323*R323/1000),"")</f>
        <v/>
      </c>
      <c r="AE321" s="997"/>
      <c r="AF321" s="937"/>
      <c r="AG321" s="1745" t="str">
        <f>IF(__Retrofit_TI_NC=0," Control","Select Advanced Control for New System")</f>
        <v xml:space="preserve"> Control</v>
      </c>
      <c r="AH321" s="1745"/>
      <c r="AI321" s="1745"/>
      <c r="AJ321" s="1745"/>
      <c r="AK321" s="1745"/>
      <c r="AL321" s="1745"/>
      <c r="AM321" s="1746">
        <f>IFERROR(DI321,"")</f>
        <v>0</v>
      </c>
      <c r="AN321" s="1774" t="str">
        <f>IFERROR(ROUND(AM321*AC321,0),"")</f>
        <v/>
      </c>
      <c r="AO321" s="1776">
        <f>IFERROR(IF(IB321=FALSE,0,AC321-AN321),0)</f>
        <v>0</v>
      </c>
      <c r="AP321" s="1778">
        <f>AO321-AO323</f>
        <v>0</v>
      </c>
      <c r="AQ321" s="1779"/>
      <c r="AR321" s="1793">
        <f>IFERROR(IF(IB321=FALSE,0,(T323*U324)+(AF323*AG324)),0)</f>
        <v>0</v>
      </c>
      <c r="AS321" s="1793"/>
      <c r="AT321" s="1794"/>
      <c r="AU321" s="1734" t="s">
        <v>237</v>
      </c>
      <c r="AV321" s="1751">
        <f>IF(AU321="Yes",1,0)</f>
        <v>1</v>
      </c>
      <c r="AW321" s="1704" t="str">
        <f>IF(OR(DQ321=4,DQ321=5,DQ321=6,DQ321=12),CONCATENATE("$",IF(GH321=TRUE,Lookup!$K$10,Lookup!$K$2)," /lamp"),CONCATENATE(TEXT(ED321,"$0.00"),"/ kWh"))</f>
        <v>$0.00/ kWh</v>
      </c>
      <c r="AX321" s="467"/>
      <c r="AY321" s="1748">
        <f ca="1">IFERROR(IF(GM322=TRUE,(AB324*T323)/R323,0),"NA")</f>
        <v>0</v>
      </c>
      <c r="AZ321" s="1748"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696" t="str">
        <f>N322</f>
        <v/>
      </c>
      <c r="CQ321" s="1696" t="str">
        <f>IFERROR(VLOOKUP(G322,_Lookup_Heat_Type_Table_New,3,FALSE),"")</f>
        <v/>
      </c>
      <c r="CR321" s="1808" t="str">
        <f>CQ321</f>
        <v/>
      </c>
      <c r="CS321" s="1810" t="str">
        <f>IFERROR(VLOOKUP(G323,'Space Table'!$B$3:$L$163,9,FALSE),"")</f>
        <v/>
      </c>
      <c r="CU321" s="1688" t="s">
        <v>344</v>
      </c>
      <c r="CV321" s="1702">
        <f>IF(IB321=TRUE,T322,0)</f>
        <v>0</v>
      </c>
      <c r="CW321" s="1702" t="str">
        <f>IF(IB321=TRUE,U322,"")</f>
        <v/>
      </c>
      <c r="CX321" s="1702"/>
      <c r="CY321" s="1814">
        <f>IF(IB321=TRUE,AB321,0)</f>
        <v>0</v>
      </c>
      <c r="CZ321" s="1710">
        <f>IF(AND(__Retrofit_TI_NC&gt;0,CR321="interior"),0,IF(IB321=TRUE,AC321,0))</f>
        <v>0</v>
      </c>
      <c r="DA321" s="1814">
        <f>IFERROR(IF(IB321=TRUE,CZ321-CZ323,0),0)</f>
        <v>0</v>
      </c>
      <c r="DB321" s="1819">
        <f>IF(IB321=TRUE,AD321,0)</f>
        <v>0</v>
      </c>
      <c r="DC321" s="1819">
        <f>IF(IB321=TRUE,AD324,0)</f>
        <v>0</v>
      </c>
      <c r="DD321" s="1819">
        <f>IFERROR(DB321-DC321,0)</f>
        <v>0</v>
      </c>
      <c r="DF321" s="1702">
        <f>IF(IB321=TRUE,AF322,0)</f>
        <v>0</v>
      </c>
      <c r="DG321" s="1830">
        <f>IFERROR(IF(__Retrofit_TI_NC=2,IF(CQ321="Exterior",O324,FQ321),FN321),"")</f>
        <v>0</v>
      </c>
      <c r="DH321" s="1702"/>
      <c r="DI321" s="1837">
        <f>JE321</f>
        <v>0</v>
      </c>
      <c r="DJ321" s="1710">
        <f>IF(AND(__Retrofit_TI_NC&gt;0,CR321="interior"),0,IF(IB321=TRUE,AN321,0))</f>
        <v>0</v>
      </c>
      <c r="DK321" s="1712">
        <f>IFERROR(IF(IB321=TRUE,DJ323-DJ321,0),0)</f>
        <v>0</v>
      </c>
      <c r="DM321" s="1717">
        <f>IFERROR(CZ321-DJ321,0)</f>
        <v>0</v>
      </c>
      <c r="DO321" s="1708">
        <f>DM321-DN323</f>
        <v>0</v>
      </c>
      <c r="DQ321" s="1715" t="str">
        <f>IFERROR(IF(AND(OR(GC321=4,GC321=5,GC321=6),OR(GF321=4,GF321=5,GF321=6)),GC321+8,VLOOKUP(CW323,Fixtures!R$31:Y$78,8,FALSE)),"")</f>
        <v/>
      </c>
      <c r="DR321" s="1829" t="str">
        <f>DQ321</f>
        <v/>
      </c>
      <c r="DS321" s="1702" t="str">
        <f>IFERROR(VLOOKUP(DG323,Lookup!BB$3:BC$20,2,FALSE),"")</f>
        <v/>
      </c>
      <c r="DT321" s="1713" t="str">
        <f>IF(OR(DS321=7,DS321=8,DS321=9),"ALC","")</f>
        <v/>
      </c>
      <c r="DU321" s="1715">
        <f>IFERROR(IF(OR(DQ321=4,DQ321=5,DQ321=6,DQ321=12,DQ321=13,DQ321=14),VLOOKUP(CW323,Fixtures!DN$27:EG$77,19,FALSE),1)*CV323,0)</f>
        <v>0</v>
      </c>
      <c r="DV321" s="1716">
        <f>IF(OR(DS321=7,DS321=8,DS321=9),IF(DG321=DG323,0,DF323),0)</f>
        <v>0</v>
      </c>
      <c r="DX321" s="1715" t="str">
        <f>IFERROR(IF(EZ321&lt;EZ323,"Yes","No"),"")</f>
        <v/>
      </c>
      <c r="DY321" s="1829" t="str">
        <f>DX321</f>
        <v/>
      </c>
      <c r="DZ321" s="1715">
        <f>IF(DX321="Yes",DF323,0)</f>
        <v>0</v>
      </c>
      <c r="EA321" s="1715">
        <f>DZ321-DV321</f>
        <v>0</v>
      </c>
      <c r="EC321" s="1834">
        <f>IFERROR(VLOOKUP(DQ321,Lookup!AU$3:AV$16,2,FALSE),0)</f>
        <v>0</v>
      </c>
      <c r="ED321" s="1834">
        <f>IF(IB321=FALSE,0,IF(DX321="Yes",EC321+Lookup!K$6,EC321))</f>
        <v>0</v>
      </c>
      <c r="EF321" s="1707">
        <f>IF(IB321=TRUE,DM321,0)</f>
        <v>0</v>
      </c>
      <c r="EG321" s="1712">
        <f>IF(IB321=TRUE,CZ323,0)</f>
        <v>0</v>
      </c>
      <c r="EH321" s="1814">
        <f>IFERROR(EF321-EG321,0)</f>
        <v>0</v>
      </c>
      <c r="EI321" s="1712">
        <f>IF(IB321=TRUE,DJ323,0)</f>
        <v>0</v>
      </c>
      <c r="EJ321" s="1712">
        <f>IFERROR(EF321-EG321+EI321,0)</f>
        <v>0</v>
      </c>
      <c r="EK321" s="1812">
        <f>IF(IB321=TRUE,CV323*CX323,0)</f>
        <v>0</v>
      </c>
      <c r="EL321" s="1812">
        <f>IF(IB321=TRUE,DF323*DH323,0)</f>
        <v>0</v>
      </c>
      <c r="EM321" s="1807">
        <f>AR321</f>
        <v>0</v>
      </c>
      <c r="EN321" s="1839" t="str">
        <f>IFERROR(IF(IB321=TRUE,VLOOKUP(DQ321,Lookup!AU$3:AW$16,3,FALSE)*DU321,""),0)</f>
        <v/>
      </c>
      <c r="EO321" s="1839">
        <f>IF(IB321=TRUE,DZ321*Lookup!AW$12,0)</f>
        <v>0</v>
      </c>
      <c r="EP321" s="1817">
        <f>IFERROR(IF(IB321=TRUE,EN321/EP$40,0),0)</f>
        <v>0</v>
      </c>
      <c r="EQ321" s="1817">
        <f>IF(IB321=TRUE,EO321/EQ$40,0)</f>
        <v>0</v>
      </c>
      <c r="ER321" s="1807">
        <f>IF(IB321=TRUE,ET$40*EP321,0)</f>
        <v>0</v>
      </c>
      <c r="ES321" s="1807">
        <f>IF(IB321=TRUE,ET$40*EQ321,0)</f>
        <v>0</v>
      </c>
      <c r="ET321" s="1807">
        <f>ER321+ES321</f>
        <v>0</v>
      </c>
      <c r="EV321" s="1715">
        <f>IF(G321="",0,1)</f>
        <v>0</v>
      </c>
      <c r="EX321" s="1804" t="str">
        <f>IFERROR(VLOOKUP(CS323,'Space Table'!$B$3:$L$163,8,FALSE),"")</f>
        <v/>
      </c>
      <c r="EY321" s="1804" t="str">
        <f>IFERROR(IF(FB321="Yes",VLOOKUP(DG321,Lookup_Control_Type_Table2,4,FALSE),VLOOKUP(DG321,Lookup_Control_Type_Table2,3,FALSE)),"")</f>
        <v/>
      </c>
      <c r="EZ321" s="1804" t="e">
        <f>VLOOKUP(DG321,Lookup!BB$3:BC$20,2,FALSE)</f>
        <v>#N/A</v>
      </c>
      <c r="FA321" s="1804" t="e">
        <f>VLOOKUP(EX321,Lookup_Control_Type_Table,2,FALSE)</f>
        <v>#N/A</v>
      </c>
      <c r="FB321" s="1804" t="e">
        <f>VLOOKUP(CS323,'Space Table'!$B$3:$L$163,7,FALSE)</f>
        <v>#N/A</v>
      </c>
      <c r="FC321" s="1826" t="b">
        <f>ISNUMBER(SEARCH("TLED",U323))</f>
        <v>0</v>
      </c>
      <c r="FE321" s="1698" t="str">
        <f>CONCATENATE(CQ321," - ",DG321)</f>
        <v xml:space="preserve"> - 0</v>
      </c>
      <c r="FG321" s="1702" t="str">
        <f>VLOOKUP(CW323,Fixtures!DN$27:EZ$77,38,FALSE)</f>
        <v/>
      </c>
      <c r="FH321" s="1702">
        <f>IFERROR(FG321*EH321,0)</f>
        <v>0</v>
      </c>
      <c r="FI321" s="133"/>
      <c r="FL321" s="1822" t="str">
        <f>IF(CQ321="Exterior","Not Daylighted",G324)</f>
        <v>Not Daylighted</v>
      </c>
      <c r="FM321" s="1824">
        <f>VLOOKUP(FL321,_New_Daylight_Table_Codes,2,FALSE)</f>
        <v>0</v>
      </c>
      <c r="FN321" s="1698">
        <f>IF(__Retrofit_TI_NC&gt;0,VLOOKUP(G323,'Space Table'!$B$3:$L$163,11,FALSE),AG322)</f>
        <v>0</v>
      </c>
      <c r="FO321" s="1698" t="e">
        <f>IF(__Retrofit_TI_NC=2,VLOOKUP(FQ321,_Control_Table,2,FALSE),VLOOKUP(FN321,_Control_Table,2,FALSE))</f>
        <v>#N/A</v>
      </c>
      <c r="FP321" s="1678" t="e">
        <f>VLOOKUP(CONCATENATE(FL321," ",FN321),Lookup!AY$102:AZ331,2,FALSE)</f>
        <v>#N/A</v>
      </c>
      <c r="FQ321" s="1678">
        <f>IF(__Retrofit_TI_NC=0,FN321,IF(AND(FT321&gt;0,FN321="Occupancy Sensor"),"Daylight + Occupancy",IF(AND(FT321&gt;0,VLOOKUP(FN321,_Control_Table,2,FALSE)&lt;4),"Interior Daylight Dimming",FN321)))</f>
        <v>0</v>
      </c>
      <c r="FS321" s="1686">
        <f>IF(CR321="Interior",VLOOKUP(CS321,Control_Savings_Interior,5,FALSE),0)</f>
        <v>0</v>
      </c>
      <c r="FT321" s="1687">
        <f>IF(CQ321="Exterior",0,IF(FM321=2,0.5,IF(OR(FM321=1,FM321=3),1,0)))</f>
        <v>0</v>
      </c>
      <c r="FU321" s="1685">
        <f>IF(R320&gt;FS$44,(FS321*(FS$44/R320)),FS321)*FT321</f>
        <v>0</v>
      </c>
      <c r="FV321" s="1686">
        <f>DI321</f>
        <v>0</v>
      </c>
      <c r="FW321" s="1686">
        <f>ROUND(FV321+((1-FV321)*FU321),2)</f>
        <v>0</v>
      </c>
      <c r="FX321" s="1686">
        <f>IF(__Retrofit_TI_NC=2,FW321,FV321)</f>
        <v>0</v>
      </c>
      <c r="FY321" s="1697"/>
      <c r="GA321" s="1696" t="str">
        <f>IFERROR(VLOOKUP(U322,_Exist_Fixture_Table,3,FALSE),"")</f>
        <v/>
      </c>
      <c r="GB321" s="1696" t="str">
        <f>VLOOKUP(CW321,_Exist_Fixture_Table,4,FALSE)</f>
        <v/>
      </c>
      <c r="GC321" s="1696">
        <f>IFERROR(VLOOKUP(GB321,Lookup!AT$6:AU$8,2,FALSE),0)</f>
        <v>0</v>
      </c>
      <c r="GD321" s="1696" t="b">
        <f>IFERROR(IF(OR(GF321=4,GF321=5,GF321=6),TRUE,FALSE),"")</f>
        <v>0</v>
      </c>
      <c r="GE321" s="1696" t="str">
        <f>IFERROR(VLOOKUP(GF321,GC$6:GD$10,2,FALSE),"")</f>
        <v/>
      </c>
      <c r="GF321" s="1696" t="str">
        <f>VLOOKUP(CW323,Fixtures!R$31:Y$78,8,FALSE)</f>
        <v/>
      </c>
      <c r="GG321" s="1696">
        <f>IF(AND(GA321=TRUE,GD321=TRUE,OR(DQ321=12,DQ321=13,DQ321=14)),GC321+8,0)</f>
        <v>0</v>
      </c>
      <c r="GH321" s="1696" t="b">
        <f>IF(OR(GG321=12,GG321=13,GG321=14),TRUE,FALSE)</f>
        <v>0</v>
      </c>
      <c r="GI321" s="673" t="b">
        <f>IF(ISNUMBER(SEARCH("TLED",U322)),TRUE,FALSE)</f>
        <v>0</v>
      </c>
      <c r="GJ321" s="1135" t="str">
        <f>IFERROR(VLOOKUP(U322,Fixtures!BM$93:BR$142,6,FALSE),"")</f>
        <v/>
      </c>
      <c r="GK321" s="1832" t="b">
        <f>IF(OR(GI321=FALSE,GI323=FALSE),TRUE,IF(GJ321-GJ323&lt;5,FALSE,TRUE))</f>
        <v>1</v>
      </c>
      <c r="GO321" s="674">
        <f>GP321</f>
        <v>0</v>
      </c>
      <c r="GP321" s="674">
        <f>IF(G321="",0,1)</f>
        <v>0</v>
      </c>
      <c r="GQ321" s="674">
        <f ca="1">SUM(GR321:HF321)</f>
        <v>2</v>
      </c>
      <c r="GR321" s="674">
        <f>IF(G322="",0,1)</f>
        <v>0</v>
      </c>
      <c r="GS321" s="674">
        <f>IF(N324="BAM",1,IF(G323="",0,1))</f>
        <v>0</v>
      </c>
      <c r="GT321" s="674">
        <f>IF(N324="BAM",1,IF(R322="",0,1))</f>
        <v>0</v>
      </c>
      <c r="GU321" s="674">
        <f>IF(N324="BAM",1,IF(__Retrofit_TI_NC=0,1,IF(R323="",0,1)))</f>
        <v>1</v>
      </c>
      <c r="GV321" s="674">
        <f>IF(N324="BAM",1,IF(CQ321="Exterior",1,IF(G324="",0,1)))</f>
        <v>1</v>
      </c>
      <c r="GW321" s="674">
        <f>IF(__Retrofit_TI_NC&gt;0,1,IF(T322="",0,1))</f>
        <v>0</v>
      </c>
      <c r="GX321" s="674">
        <f>IF(__Retrofit_TI_NC&gt;0,1,IF(U322="",0,1))</f>
        <v>0</v>
      </c>
      <c r="GY321" s="674">
        <f>IF(N324="BAM",1,IF(T323="",0,1))</f>
        <v>0</v>
      </c>
      <c r="GZ321" s="674">
        <f>IF(N324="BAM",1,IF(U323="",0,1))</f>
        <v>0</v>
      </c>
      <c r="HA321" s="674">
        <f ca="1">IF(N324="BAM",1,IF(__Retrofit_TI_NC&gt;0,1,IF(U324="",0,1)))</f>
        <v>0</v>
      </c>
      <c r="HB321" s="674">
        <f>IF(__Retrofit_TI_NC&lt;&gt;0,1,IF(AF322="",0,1))</f>
        <v>0</v>
      </c>
      <c r="HC321" s="674">
        <f>IF(__Retrofit_TI_NC&lt;&gt;0,1,IF(AG322="",0,1))</f>
        <v>0</v>
      </c>
      <c r="HD321" s="674">
        <f>IF(N324="BAM",1,IF(AF323="",0,1))</f>
        <v>0</v>
      </c>
      <c r="HE321" s="674">
        <f>IF(N324="BAM",1,IF(AG323="",0,1))</f>
        <v>0</v>
      </c>
      <c r="HF321" s="674">
        <f>IF(N324="BAM",1,IF(__Retrofit_TI_NC&gt;0,1,IF(AG324="",0,1)))</f>
        <v>0</v>
      </c>
      <c r="HG321" s="391"/>
      <c r="IA321" s="391"/>
      <c r="IB321" s="1693" t="b">
        <f>IF(OR(IB324=0,IB324=HY$16,IB324=HX$16,IB324=HZ$16),TRUE,FALSE)</f>
        <v>0</v>
      </c>
      <c r="IC321" s="1694" t="b">
        <f>IB321</f>
        <v>0</v>
      </c>
      <c r="ID321" s="391"/>
      <c r="IE321" s="391"/>
      <c r="IF321" s="1688" t="b">
        <f ca="1">IF(MAX(GN324:HU324)&gt;5,FALSE,TRUE)</f>
        <v>0</v>
      </c>
      <c r="IG321" s="1689">
        <f ca="1">IF(IF321=TRUE,AC321,0)</f>
        <v>0</v>
      </c>
      <c r="IH321" s="1689">
        <f ca="1">IG321-IG323</f>
        <v>0</v>
      </c>
      <c r="IK321" s="1689" t="e">
        <f>ROUND(T322*VLOOKUP(U322,Fixtures_Existing_List,2,FALSE)*N322*R322/1000,0)</f>
        <v>#N/A</v>
      </c>
      <c r="IL321" s="1690" t="e">
        <f>IK321-IK323</f>
        <v>#N/A</v>
      </c>
      <c r="IM321" s="1693" t="e">
        <f>ROUND(IF(CQ321="Interior",N323*R323*R322*N322*_C406_reduction/1000,N323*R323*R322*N322/1000),0)</f>
        <v>#N/A</v>
      </c>
      <c r="IN321" s="1693" t="e">
        <f>IM321-IM323</f>
        <v>#N/A</v>
      </c>
      <c r="IP321" s="1679"/>
      <c r="IQ321" s="1679" t="e">
        <f t="shared" ref="IQ321:IU321" si="281">IF($CR321="interior",VLOOKUP($CS321,_New_Control_Savings_Interior,IQ$30,FALSE),VLOOKUP($CS321,Control_Savings_Exterior,IQ$30,FALSE))</f>
        <v>#N/A</v>
      </c>
      <c r="IR321" s="1679" t="e">
        <f t="shared" si="281"/>
        <v>#N/A</v>
      </c>
      <c r="IS321" s="1679" t="e">
        <f t="shared" si="281"/>
        <v>#N/A</v>
      </c>
      <c r="IT321" s="1679" t="e">
        <f t="shared" si="281"/>
        <v>#N/A</v>
      </c>
      <c r="IU321" s="1679" t="e">
        <f t="shared" si="281"/>
        <v>#N/A</v>
      </c>
      <c r="IV321" s="1679" t="e">
        <f>IF($CR321="interior",IF(R322&gt;$IP$14,ROUND(($IV$18*($IP$14/R322)),2),$IV$18),VLOOKUP($CS321,Control_Savings_Exterior,IV$30,FALSE))</f>
        <v>#N/A</v>
      </c>
      <c r="IW321" s="1679" t="e">
        <f>IF($CR321="interior",ROUND(((1-IS321)*IV321)+IS321,2),VLOOKUP($CS321,Control_Savings_Exterior,IW$30,FALSE))</f>
        <v>#N/A</v>
      </c>
      <c r="IX321" s="1679" t="e">
        <f>IF($CR321="interior",ROUND(((1-IT321)*IV321)+IT321,2),VLOOKUP($CS321,Control_Savings_Exterior,IX$30,FALSE))</f>
        <v>#N/A</v>
      </c>
      <c r="IY321" s="1679" t="e">
        <f>IF($CR321="interior",IF(R322&gt;$IP$14,ROUND(($IY$18*($IP$14/R322)),2),$IY$18),VLOOKUP($CS321,Control_Savings_Exterior,IY$30,FALSE))</f>
        <v>#N/A</v>
      </c>
      <c r="IZ321" s="1679" t="e">
        <f>IF($CR321="interior",ROUND(((1-IS321)*IY321)+IS321,2),VLOOKUP($CS321,Control_Savings_Exterior,IZ$30,FALSE))</f>
        <v>#N/A</v>
      </c>
      <c r="JA321" s="1679" t="e">
        <f>IF($CR321="interior",ROUND(((1-IT321)*IY321)+IT321,2),VLOOKUP($CS321,Control_Savings_Exterior,JA$30,FALSE))</f>
        <v>#N/A</v>
      </c>
      <c r="JC321" s="1680">
        <f>IFERROR(IF(CR321="Interior",CONCATENATE(G324," ",FQ321),FQ321),"")</f>
        <v>0</v>
      </c>
      <c r="JD321" s="1670" t="str">
        <f>IFERROR(VLOOKUP(JC321,_Controls_2023,2,FALSE),"")</f>
        <v/>
      </c>
      <c r="JE321" s="1681">
        <f>IFERROR(CHOOSE(JD321-1,IQ321,IR321,IS321,IT321,IU321,IV321,IW321,IX321,IY321,IZ321,JA321),0)</f>
        <v>0</v>
      </c>
      <c r="JG321" s="1680" t="str">
        <f>FE321</f>
        <v xml:space="preserve"> - 0</v>
      </c>
      <c r="JH321" s="1670" t="e">
        <f>$FO321</f>
        <v>#N/A</v>
      </c>
      <c r="JI321" s="1060"/>
      <c r="JJ321" s="1682" t="b">
        <f>IF($JG323=CONCATENATE("Interior - ",JJ$4),TRUE,FALSE)</f>
        <v>0</v>
      </c>
      <c r="JK321" s="1061"/>
      <c r="JL321" s="1682" t="b">
        <f>IF($JG323=CONCATENATE("Interior - ",JL$4),TRUE,FALSE)</f>
        <v>0</v>
      </c>
      <c r="JM321" s="1061"/>
      <c r="JN321" s="1682" t="b">
        <f>IF($JG323=CONCATENATE("Interior - ",JN$4),TRUE,FALSE)</f>
        <v>0</v>
      </c>
      <c r="JO321" s="1061"/>
      <c r="JP321" s="1682" t="b">
        <f>IF(__Retrofit_TI_NC&gt;0,FALSE,IF($JG323=CONCATENATE("Interior - ",JP$4),TRUE,FALSE))</f>
        <v>0</v>
      </c>
      <c r="JQ321" s="1061"/>
      <c r="JR321" s="1682" t="b">
        <f>IF(__Retrofit_TI_NC&gt;0,FALSE,IF($JG323=CONCATENATE("Interior - ",JR$4),TRUE,FALSE))</f>
        <v>0</v>
      </c>
      <c r="JS321" s="1061"/>
      <c r="JT321" s="1670" t="b">
        <f>IF(__Retrofit_TI_NC&gt;0,FALSE,IF($JG323=CONCATENATE("Interior - ",JT$4),TRUE,FALSE))</f>
        <v>0</v>
      </c>
      <c r="JU321" s="1061"/>
      <c r="JV321" s="1670" t="b">
        <f>IF(JC323="AELC on Existing",TRUE,FALSE)</f>
        <v>0</v>
      </c>
      <c r="JX321" s="1670" t="b">
        <f>IF(OR(JG323="Exterior - AELC Occupancy based",JG323="Exterior - AELC Time based"),TRUE,FALSE)</f>
        <v>0</v>
      </c>
      <c r="JZ321" s="1682" t="b">
        <f>IF($JG323=CONCATENATE("Exterior - ",JZ$4),TRUE,FALSE)</f>
        <v>0</v>
      </c>
      <c r="KB321" s="1670" t="b">
        <f>IF(__Retrofit_TI_NC&gt;0,FALSE,IF($JG323=CONCATENATE("Interior - ",KB$4),TRUE,FALSE))</f>
        <v>0</v>
      </c>
    </row>
    <row r="322" spans="1:288" s="78" customFormat="1" ht="14.95" customHeight="1" thickTop="1" thickBot="1">
      <c r="B322" s="1845"/>
      <c r="C322" s="1846"/>
      <c r="D322" s="1847"/>
      <c r="E322" s="1737" t="s">
        <v>297</v>
      </c>
      <c r="F322" s="1738"/>
      <c r="G322" s="1739"/>
      <c r="H322" s="1739"/>
      <c r="I322" s="1739"/>
      <c r="J322" s="1739"/>
      <c r="K322" s="1739"/>
      <c r="L322" s="1739"/>
      <c r="M322" s="461" t="e">
        <f>IF(__Retrofit_TI_NC&lt;&gt;0,IF(VLOOKUP(G323,'Space Table'!$B$3:$L$163,3,FALSE)&gt;0,1,0),IF(__Retrofit_TI_NC=VLOOKUP(G323,'Space Table'!$B$3:$L$163,3,FALSE),1,0))</f>
        <v>#N/A</v>
      </c>
      <c r="N322" s="461" t="str">
        <f>IFERROR(VLOOKUP(G322,_Lookup_Heat_Type_Table_New,2,FALSE),"")</f>
        <v/>
      </c>
      <c r="O322" s="461">
        <f>IF(__Retrofit_TI_NC=1,CONCATENATE("TI ",G322),IF(__Retrofit_TI_NC=2,CONCATENATE("NC ",G322),G322))</f>
        <v>0</v>
      </c>
      <c r="P322" s="1740" t="s">
        <v>435</v>
      </c>
      <c r="Q322" s="1740"/>
      <c r="R322" s="595"/>
      <c r="S322" s="1792"/>
      <c r="T322" s="597"/>
      <c r="U322" s="1765"/>
      <c r="V322" s="1766"/>
      <c r="W322" s="1766"/>
      <c r="X322" s="1766"/>
      <c r="Y322" s="1766"/>
      <c r="Z322" s="1766"/>
      <c r="AA322" s="1766"/>
      <c r="AB322" s="1766"/>
      <c r="AC322" s="1766"/>
      <c r="AD322" s="1767"/>
      <c r="AE322" s="1000"/>
      <c r="AF322" s="597"/>
      <c r="AG322" s="1723"/>
      <c r="AH322" s="1724"/>
      <c r="AI322" s="1724"/>
      <c r="AJ322" s="1724"/>
      <c r="AK322" s="1725"/>
      <c r="AL322" s="996"/>
      <c r="AM322" s="1747"/>
      <c r="AN322" s="1775"/>
      <c r="AO322" s="1777"/>
      <c r="AP322" s="1780"/>
      <c r="AQ322" s="1781"/>
      <c r="AR322" s="1795"/>
      <c r="AS322" s="1795"/>
      <c r="AT322" s="1796"/>
      <c r="AU322" s="1735"/>
      <c r="AV322" s="1752"/>
      <c r="AW322" s="1705"/>
      <c r="AX322" s="467"/>
      <c r="AY322" s="1749"/>
      <c r="AZ322" s="1749"/>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696"/>
      <c r="CQ322" s="1696"/>
      <c r="CR322" s="1809"/>
      <c r="CS322" s="1811"/>
      <c r="CU322" s="1688"/>
      <c r="CV322" s="1703"/>
      <c r="CW322" s="1703"/>
      <c r="CX322" s="1703"/>
      <c r="CY322" s="1815"/>
      <c r="CZ322" s="1711"/>
      <c r="DA322" s="1818"/>
      <c r="DB322" s="1820"/>
      <c r="DC322" s="1820"/>
      <c r="DD322" s="1820"/>
      <c r="DF322" s="1703"/>
      <c r="DG322" s="1831"/>
      <c r="DH322" s="1703"/>
      <c r="DI322" s="1838"/>
      <c r="DJ322" s="1711"/>
      <c r="DK322" s="1712"/>
      <c r="DM322" s="1718"/>
      <c r="DO322" s="1708"/>
      <c r="DQ322" s="1715"/>
      <c r="DR322" s="1720"/>
      <c r="DS322" s="1816"/>
      <c r="DT322" s="1714"/>
      <c r="DU322" s="1715"/>
      <c r="DV322" s="1716"/>
      <c r="DX322" s="1715"/>
      <c r="DY322" s="1720"/>
      <c r="DZ322" s="1715"/>
      <c r="EA322" s="1715"/>
      <c r="EC322" s="1834"/>
      <c r="ED322" s="1834"/>
      <c r="EF322" s="1707"/>
      <c r="EG322" s="1712"/>
      <c r="EH322" s="1818"/>
      <c r="EI322" s="1712"/>
      <c r="EJ322" s="1712"/>
      <c r="EK322" s="1836"/>
      <c r="EL322" s="1836"/>
      <c r="EM322" s="1807"/>
      <c r="EN322" s="1839"/>
      <c r="EO322" s="1839"/>
      <c r="EP322" s="1817"/>
      <c r="EQ322" s="1817"/>
      <c r="ER322" s="1807"/>
      <c r="ES322" s="1807"/>
      <c r="ET322" s="1807"/>
      <c r="EV322" s="1715"/>
      <c r="EX322" s="1805"/>
      <c r="EY322" s="1805"/>
      <c r="EZ322" s="1805"/>
      <c r="FA322" s="1805"/>
      <c r="FB322" s="1805"/>
      <c r="FC322" s="1827"/>
      <c r="FE322" s="1698"/>
      <c r="FG322" s="1816"/>
      <c r="FH322" s="1816"/>
      <c r="FI322" s="133"/>
      <c r="FL322" s="1823"/>
      <c r="FM322" s="1825"/>
      <c r="FN322" s="1698"/>
      <c r="FO322" s="1698"/>
      <c r="FP322" s="1678"/>
      <c r="FQ322" s="1678"/>
      <c r="FS322" s="1687"/>
      <c r="FT322" s="1687"/>
      <c r="FU322" s="1685"/>
      <c r="FV322" s="1687"/>
      <c r="FW322" s="1687"/>
      <c r="FX322" s="1687"/>
      <c r="FY322" s="1697"/>
      <c r="GA322" s="1696"/>
      <c r="GB322" s="1696"/>
      <c r="GC322" s="1696"/>
      <c r="GD322" s="1696"/>
      <c r="GE322" s="1696"/>
      <c r="GF322" s="1696"/>
      <c r="GG322" s="1696"/>
      <c r="GH322" s="1696"/>
      <c r="GI322" s="673"/>
      <c r="GJ322" s="1135"/>
      <c r="GK322" s="1832"/>
      <c r="GM322" s="1693" t="b">
        <f ca="1">IF(AND(GP322=TRUE,GQ322=TRUE),TRUE,FALSE)</f>
        <v>0</v>
      </c>
      <c r="GN322" s="1684" t="b">
        <f>IFERROR(IF(__Retrofit_TI_NC=2,TRUE,IF(AU321="Yes",TRUE,FALSE)),FALSE)</f>
        <v>1</v>
      </c>
      <c r="GP322" s="1684" t="b">
        <f>IFERROR(IF(GP321=1,TRUE,FALSE),FALSE)</f>
        <v>0</v>
      </c>
      <c r="GQ322" s="1684" t="b">
        <f ca="1">IFERROR(IF(GQ321=GQ$14,TRUE,FALSE),FALSE)</f>
        <v>0</v>
      </c>
      <c r="HG322" s="1684" t="b">
        <f>IFERROR(IF(AND(__Retrofit_TI_NC&gt;0,CQ321="Interior"),FALSE,TRUE),FALSE)</f>
        <v>1</v>
      </c>
      <c r="HH322" s="1684" t="b">
        <f>IFERROR(IF(M322=1,TRUE,FALSE),FALSE)</f>
        <v>0</v>
      </c>
      <c r="HI322" s="1684" t="b">
        <f>IFERROR(IF(OR(M323=1,N324="BAM"),TRUE,FALSE),FALSE)</f>
        <v>0</v>
      </c>
      <c r="HJ322" s="1684" t="b">
        <f>IFERROR(IF(__Retrofit_TI_NC&lt;&gt;0,TRUE,IFERROR(IF(VLOOKUP(U322,Fixtures_Existing_List,2,FALSE)&lt;&gt;"",TRUE,FALSE),FALSE)),FALSE)</f>
        <v>0</v>
      </c>
      <c r="HK322" s="1684" t="b">
        <f>IFERROR(IF(VLOOKUP(U323,Fixtures_Proposed_List,2,FALSE)&lt;&gt;"",TRUE,FALSE),FALSE)</f>
        <v>0</v>
      </c>
      <c r="HL322" s="1684" t="b">
        <f>IF(AND(__Retrofit_TI_NC=2,FC321=TRUE),FALSE,TRUE)</f>
        <v>1</v>
      </c>
      <c r="HM322" s="1684" t="b">
        <f>GK321</f>
        <v>1</v>
      </c>
      <c r="HN322" s="1682" t="b">
        <f>IF(ISERROR(MATCH(FE321,_Control_Match[],0))=TRUE,FALSE,TRUE)</f>
        <v>0</v>
      </c>
      <c r="HO322" s="1693" t="b">
        <f>IFERROR(IF(EX321&lt;&gt;EY321,FALSE,TRUE),FALSE)</f>
        <v>1</v>
      </c>
      <c r="HP322" s="1693" t="b">
        <f>IFERROR(IF(EX323&lt;&gt;EY323,FALSE,TRUE),FALSE)</f>
        <v>1</v>
      </c>
      <c r="HQ322" s="1670" t="b">
        <f>IFERROR(IF(CQ321="Exterior",TRUE,IF(AND(OR(FM323=0,FM323=3),JD323&gt;6),FALSE,TRUE)),FALSE)</f>
        <v>0</v>
      </c>
      <c r="HR322" s="1684" t="b">
        <f>IFERROR(IF(AND(FO323=7,FC321=TRUE),FALSE,TRUE),FALSE)</f>
        <v>0</v>
      </c>
      <c r="HS322" s="1684" t="b">
        <f>IFERROR(IF(AND(T323&lt;&gt;AF323,OR(AG323="Interior LLLC", AG323="Interior NLC", AG323="LLLC (outside Daylight)",AG323="LLLC Controls Only"))=TRUE,FALSE,TRUE),FALSE)</f>
        <v>1</v>
      </c>
      <c r="HT322" s="1670" t="b">
        <f>IFERROR(IF(OR(AG323=Lookup!BB$17,AG323=Lookup!BB$18,AG323=Lookup!BB$19)=TRUE,IF(AF323&gt;T323,FALSE,TRUE),TRUE),FALSE)</f>
        <v>1</v>
      </c>
      <c r="HU322" s="1684" t="b">
        <f>IFERROR(IF(__Retrofit_TI_NC=2,IF(EZ323&lt;EZ321,FALSE,TRUE),TRUE),FALSE)</f>
        <v>1</v>
      </c>
      <c r="HV322" s="1684" t="b">
        <f>IF(CQ321="Interior",IL$6,TRUE)</f>
        <v>1</v>
      </c>
      <c r="HW322" s="1684" t="b">
        <f>IF(CQ321="Exterior",IL$8,TRUE)</f>
        <v>1</v>
      </c>
      <c r="HX322" s="1684" t="b">
        <f>IFERROR(IF(__Retrofit_TI_NC&lt;&gt;0,IF(AZ321&lt;AY321,FALSE,TRUE),TRUE),FALSE)</f>
        <v>1</v>
      </c>
      <c r="HY322" s="1684" t="b">
        <f>IFERROR(IF(AND(G322="Exterior",R322&gt;4200),FALSE,TRUE),FALSE)</f>
        <v>1</v>
      </c>
      <c r="HZ322" s="1684" t="b">
        <f>IFERROR(IF(AB324/AB321&lt;HZ$18,FALSE,TRUE),FALSE)</f>
        <v>0</v>
      </c>
      <c r="IB322" s="1691"/>
      <c r="IC322" s="1695"/>
      <c r="ID322" s="1694" t="str">
        <f>VLOOKUP(IB324,_Error_Table,4,FALSE)</f>
        <v>White</v>
      </c>
      <c r="IE322" s="391"/>
      <c r="IF322" s="1688"/>
      <c r="IG322" s="1689"/>
      <c r="IH322" s="1684"/>
      <c r="IK322" s="1689"/>
      <c r="IL322" s="1691"/>
      <c r="IM322" s="1691"/>
      <c r="IN322" s="1691"/>
      <c r="IP322" s="1679"/>
      <c r="IQ322" s="1679"/>
      <c r="IR322" s="1679"/>
      <c r="IS322" s="1679"/>
      <c r="IT322" s="1679"/>
      <c r="IU322" s="1679"/>
      <c r="IV322" s="1679"/>
      <c r="IW322" s="1679"/>
      <c r="IX322" s="1679"/>
      <c r="IY322" s="1679"/>
      <c r="IZ322" s="1679"/>
      <c r="JA322" s="1679"/>
      <c r="JC322" s="1680"/>
      <c r="JD322" s="1670"/>
      <c r="JE322" s="1681"/>
      <c r="JG322" s="1680"/>
      <c r="JH322" s="1670"/>
      <c r="JI322" s="1060"/>
      <c r="JJ322" s="1683"/>
      <c r="JK322" s="1061"/>
      <c r="JL322" s="1683"/>
      <c r="JM322" s="1061"/>
      <c r="JN322" s="1683"/>
      <c r="JO322" s="1061"/>
      <c r="JP322" s="1683"/>
      <c r="JQ322" s="1061"/>
      <c r="JR322" s="1683"/>
      <c r="JS322" s="1061"/>
      <c r="JT322" s="1670"/>
      <c r="JU322" s="1061"/>
      <c r="JV322" s="1670"/>
      <c r="JX322" s="1670"/>
      <c r="JZ322" s="1683"/>
      <c r="KB322" s="1670"/>
    </row>
    <row r="323" spans="1:288" s="78" customFormat="1" ht="14.95" customHeight="1" thickTop="1" thickBot="1">
      <c r="A323" s="78">
        <f>ROW()</f>
        <v>323</v>
      </c>
      <c r="B323" s="1845"/>
      <c r="C323" s="1846"/>
      <c r="D323" s="1847"/>
      <c r="E323" s="1737" t="s">
        <v>298</v>
      </c>
      <c r="F323" s="1738"/>
      <c r="G323" s="1760"/>
      <c r="H323" s="1761"/>
      <c r="I323" s="1761"/>
      <c r="J323" s="1761"/>
      <c r="K323" s="1761"/>
      <c r="L323" s="1762"/>
      <c r="M323" s="461">
        <f>IFERROR(IF(IF(__Retrofit_TI_NC&lt;&gt;0,IF(CQ321="Interior",MATCH(G323,Lookup_Interior_New,0),MATCH(G323,Lookup_Exterior_New,0)),IF(CQ321="Interior",MATCH(G323,Lookup_Interior,0),MATCH(G323,Lookup_Exterior_Areas,0)))&gt;0,1,0),0)</f>
        <v>0</v>
      </c>
      <c r="N323" s="461" t="e">
        <f>IF(__Retrofit_TI_NC=1,
VLOOKUP(G323,'Space Table'!$B$3:$L$163,4,FALSE),
IF(__Retrofit_TI_NC=2,VLOOKUP(G323,'Space Table'!$B$3:$L$163,5,FALSE),VLOOKUP(G323,'Space Table'!$B$3:$L$163,5,FALSE)))</f>
        <v>#N/A</v>
      </c>
      <c r="O323" s="461">
        <f>G323</f>
        <v>0</v>
      </c>
      <c r="P323" s="1738" t="str">
        <f>IFERROR(IF(__Retrofit_TI_NC=1,VLOOKUP(G323,'Space Table'!$B$3:$O$163,13,FALSE),IF(__Retrofit_TI_NC=2,VLOOKUP(G323,'Space Table'!$B$3:$O$163,14,FALSE),"Area (sf):")),"Area (sf):")</f>
        <v>Area (sf):</v>
      </c>
      <c r="Q323" s="1738"/>
      <c r="R323" s="596"/>
      <c r="S323" s="1763" t="s">
        <v>345</v>
      </c>
      <c r="T323" s="594"/>
      <c r="U323" s="1801"/>
      <c r="V323" s="1802"/>
      <c r="W323" s="1802"/>
      <c r="X323" s="1802"/>
      <c r="Y323" s="1802"/>
      <c r="Z323" s="1802"/>
      <c r="AA323" s="1802"/>
      <c r="AB323" s="1802"/>
      <c r="AC323" s="1802"/>
      <c r="AD323" s="1802"/>
      <c r="AE323" s="1803"/>
      <c r="AF323" s="594"/>
      <c r="AG323" s="1787"/>
      <c r="AH323" s="1787"/>
      <c r="AI323" s="1787"/>
      <c r="AJ323" s="1787"/>
      <c r="AK323" s="1787"/>
      <c r="AL323" s="1787"/>
      <c r="AM323" s="1726">
        <f>IFERROR(DI323,"")</f>
        <v>0</v>
      </c>
      <c r="AN323" s="1728" t="str">
        <f>IFERROR(ROUND(AM323*AC324,0),"")</f>
        <v/>
      </c>
      <c r="AO323" s="1730">
        <f>IFERROR(IF(IB321=FALSE,0,AC324-AN323),0)</f>
        <v>0</v>
      </c>
      <c r="AP323" s="1780"/>
      <c r="AQ323" s="1781"/>
      <c r="AR323" s="1795"/>
      <c r="AS323" s="1795"/>
      <c r="AT323" s="1796"/>
      <c r="AU323" s="1735"/>
      <c r="AV323" s="1752"/>
      <c r="AW323" s="1705"/>
      <c r="AX323" s="467"/>
      <c r="AY323" s="1749"/>
      <c r="AZ323" s="1749"/>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696"/>
      <c r="CQ323" s="1696"/>
      <c r="CR323" s="1808" t="str">
        <f>CQ321</f>
        <v/>
      </c>
      <c r="CS323" s="1810" t="str">
        <f>CS321</f>
        <v/>
      </c>
      <c r="CU323" s="1688" t="s">
        <v>345</v>
      </c>
      <c r="CV323" s="1702">
        <f>IF(IB321=TRUE,T323,0)</f>
        <v>0</v>
      </c>
      <c r="CW323" s="1702" t="str">
        <f>IF(IB321=TRUE,U323,"")</f>
        <v/>
      </c>
      <c r="CX323" s="1812">
        <f>IF(IB321=TRUE,U324,0)</f>
        <v>0</v>
      </c>
      <c r="CY323" s="1814">
        <f>IF(IB321=TRUE,AB324,0)</f>
        <v>0</v>
      </c>
      <c r="CZ323" s="1710">
        <f>IF(AND(__Retrofit_TI_NC&gt;0,CR321="interior"),0,IF(IB321=TRUE,AC324,0))</f>
        <v>0</v>
      </c>
      <c r="DA323" s="1818"/>
      <c r="DB323" s="1820"/>
      <c r="DC323" s="1820"/>
      <c r="DD323" s="1820"/>
      <c r="DF323" s="1702">
        <f>IF(IB321=TRUE,AF323,0)</f>
        <v>0</v>
      </c>
      <c r="DG323" s="1830" t="str">
        <f>IF(IB321=TRUE,AG323,"")</f>
        <v/>
      </c>
      <c r="DH323" s="1812">
        <f>AG324</f>
        <v>0</v>
      </c>
      <c r="DI323" s="1837">
        <f>JE323</f>
        <v>0</v>
      </c>
      <c r="DJ323" s="1710">
        <f>IF(AND(__Retrofit_TI_NC&gt;0,CR321="interior"),0,IF(IB321=TRUE,AN323,0))</f>
        <v>0</v>
      </c>
      <c r="DK323" s="1712"/>
      <c r="DN323" s="1717">
        <f>IFERROR(CZ323-DJ323,0)</f>
        <v>0</v>
      </c>
      <c r="DO323" s="1709"/>
      <c r="DQ323" s="1715"/>
      <c r="DR323" s="1719" t="str">
        <f>DQ321</f>
        <v/>
      </c>
      <c r="DS323" s="1816"/>
      <c r="DT323" s="1835" t="str">
        <f>IF(OR(DS321=7,DS321=8,DS321=9),"ALC","")</f>
        <v/>
      </c>
      <c r="DU323" s="1715"/>
      <c r="DV323" s="1716"/>
      <c r="DX323" s="1715"/>
      <c r="DY323" s="1829" t="str">
        <f>DX321</f>
        <v/>
      </c>
      <c r="DZ323" s="1715"/>
      <c r="EA323" s="1715"/>
      <c r="EC323" s="1834"/>
      <c r="ED323" s="1834"/>
      <c r="EF323" s="1707"/>
      <c r="EG323" s="1712"/>
      <c r="EH323" s="1818"/>
      <c r="EI323" s="1712"/>
      <c r="EJ323" s="1712"/>
      <c r="EK323" s="1836"/>
      <c r="EL323" s="1836"/>
      <c r="EM323" s="1807"/>
      <c r="EN323" s="1839"/>
      <c r="EO323" s="1839"/>
      <c r="EP323" s="1817"/>
      <c r="EQ323" s="1817"/>
      <c r="ER323" s="1807"/>
      <c r="ES323" s="1807"/>
      <c r="ET323" s="1807"/>
      <c r="EV323" s="1715"/>
      <c r="EX323" s="1805" t="str">
        <f>IFERROR(VLOOKUP(CS323,'Space Table'!$B$3:$L$163,8,FALSE),"")</f>
        <v/>
      </c>
      <c r="EY323" s="1805" t="str">
        <f>IFERROR(IF(FB323="Yes",VLOOKUP(AG323,Lookup_Control_Type_Table2,4,FALSE),VLOOKUP(AG323,Lookup_Control_Type_Table2,3,FALSE)),"")</f>
        <v/>
      </c>
      <c r="EZ323" s="1805" t="e">
        <f>VLOOKUP(AG323,Lookup!BB$3:BC$20,2,FALSE)</f>
        <v>#N/A</v>
      </c>
      <c r="FA323" s="1805" t="e">
        <f>VLOOKUP(EX321,Lookup_Control_Type_Table,2,FALSE)</f>
        <v>#N/A</v>
      </c>
      <c r="FB323" s="1805" t="e">
        <f>VLOOKUP(CS323,'Space Table'!$B$3:$L$163,7,FALSE)</f>
        <v>#N/A</v>
      </c>
      <c r="FC323" s="1827"/>
      <c r="FE323" s="1698" t="str">
        <f>CONCATENATE(CQ321," - ",AG323)</f>
        <v xml:space="preserve"> - </v>
      </c>
      <c r="FG323" s="1816"/>
      <c r="FH323" s="1816"/>
      <c r="FI323" s="133"/>
      <c r="FL323" s="1822" t="str">
        <f>IF(CQ321="Exterior","Not Daylighted",G324)</f>
        <v>Not Daylighted</v>
      </c>
      <c r="FM323" s="1824">
        <f>VLOOKUP(FL323,_New_Daylight_Table_Codes,2,FALSE)</f>
        <v>0</v>
      </c>
      <c r="FN323" s="1698">
        <f>AG323</f>
        <v>0</v>
      </c>
      <c r="FO323" s="1698" t="e">
        <f>VLOOKUP(FN323,_Control_Table,2,FALSE)</f>
        <v>#N/A</v>
      </c>
      <c r="FP323" s="1678" t="e">
        <f>VLOOKUP(CONCATENATE(FL323," ",FN323),Lookup!AY$102:AZ334,2,FALSE)</f>
        <v>#N/A</v>
      </c>
      <c r="FQ323" s="1698">
        <f>IF(__Retrofit_TI_NC=0,FN323,IF(AND(FT323&gt;0,FN323="Occupancy Sensor"),"Daylight + Occupancy",IF(AND(FT323&gt;0,FO323&lt;4),"Interior Daylight Dimming",FN323)))</f>
        <v>0</v>
      </c>
      <c r="FS323" s="1686">
        <f>IF(CQ321="Interior",VLOOKUP(CS321,Control_Savings_Interior,5,FALSE),0)</f>
        <v>0</v>
      </c>
      <c r="FT323" s="1687">
        <f>IF(CQ323="Exterior",0,IF(FM323=2,0.5,IF(OR(FM323=1,FM323=3),1,0)))</f>
        <v>0</v>
      </c>
      <c r="FU323" s="1685">
        <f>IF(R322&gt;FS$44,(FS323*(FS$44/R322)),FS323)*FT323</f>
        <v>0</v>
      </c>
      <c r="FV323" s="1686">
        <f>DI323</f>
        <v>0</v>
      </c>
      <c r="FW323" s="1686">
        <f>ROUND(FV323+((1-FV323)*FU323),2)</f>
        <v>0</v>
      </c>
      <c r="FX323" s="1686">
        <f>IF(__Retrofit_TI_NC=2,FW323,FV323)</f>
        <v>0</v>
      </c>
      <c r="FY323" s="1697">
        <f>IF(CR323="Interior",VLOOKUP(CS323,Control_Savings_Interior,4,FALSE),0)</f>
        <v>0</v>
      </c>
      <c r="GA323" s="1696"/>
      <c r="GB323" s="1696"/>
      <c r="GC323" s="1696"/>
      <c r="GD323" s="1696"/>
      <c r="GE323" s="1696"/>
      <c r="GF323" s="1696"/>
      <c r="GG323" s="1696"/>
      <c r="GH323" s="1696"/>
      <c r="GI323" s="673" t="b">
        <f>IF(ISNUMBER(SEARCH("TLED",U323)),TRUE,FALSE)</f>
        <v>0</v>
      </c>
      <c r="GJ323" s="1135" t="str">
        <f>IFERROR(VLOOKUP(U323,Fixtures!DM$93:DR$142,6,FALSE),"")</f>
        <v/>
      </c>
      <c r="GK323" s="1832"/>
      <c r="GM323" s="1692"/>
      <c r="GN323" s="1684"/>
      <c r="GP323" s="1684"/>
      <c r="GQ323" s="1684"/>
      <c r="HG323" s="1684"/>
      <c r="HH323" s="1684"/>
      <c r="HI323" s="1684"/>
      <c r="HJ323" s="1684"/>
      <c r="HK323" s="1684"/>
      <c r="HL323" s="1684"/>
      <c r="HM323" s="1684"/>
      <c r="HN323" s="1683"/>
      <c r="HO323" s="1692"/>
      <c r="HP323" s="1692"/>
      <c r="HQ323" s="1670"/>
      <c r="HR323" s="1684"/>
      <c r="HS323" s="1684"/>
      <c r="HT323" s="1670"/>
      <c r="HU323" s="1684"/>
      <c r="HV323" s="1684"/>
      <c r="HW323" s="1684"/>
      <c r="HX323" s="1684"/>
      <c r="HY323" s="1684"/>
      <c r="HZ323" s="1684"/>
      <c r="IB323" s="1692"/>
      <c r="IC323" s="1693" t="b">
        <f>IB321</f>
        <v>0</v>
      </c>
      <c r="ID323" s="1695"/>
      <c r="IE323" s="391"/>
      <c r="IF323" s="1688"/>
      <c r="IG323" s="1689">
        <f ca="1">IF(IF321=TRUE,AC324,0)</f>
        <v>0</v>
      </c>
      <c r="IH323" s="1684"/>
      <c r="IK323" s="1689" t="e">
        <f>ROUND(T323*AB324*N322*R322/1000,0)</f>
        <v>#VALUE!</v>
      </c>
      <c r="IL323" s="1691"/>
      <c r="IM323" s="1693" t="e">
        <f>ROUND(T323*AB324*N322*R322/1000,0)</f>
        <v>#VALUE!</v>
      </c>
      <c r="IN323" s="1691"/>
      <c r="IP323" s="1679"/>
      <c r="IQ323" s="1679" t="e">
        <f t="shared" ref="IQ323:IU323" si="282">IF($CR323="interior",VLOOKUP($CS323,_New_Control_Savings_Interior,IQ$30,FALSE),VLOOKUP($CS323,Control_Savings_Exterior,IQ$30,FALSE))</f>
        <v>#N/A</v>
      </c>
      <c r="IR323" s="1679" t="e">
        <f t="shared" si="282"/>
        <v>#N/A</v>
      </c>
      <c r="IS323" s="1679" t="e">
        <f t="shared" si="282"/>
        <v>#N/A</v>
      </c>
      <c r="IT323" s="1679" t="e">
        <f t="shared" si="282"/>
        <v>#N/A</v>
      </c>
      <c r="IU323" s="1679" t="e">
        <f t="shared" si="282"/>
        <v>#N/A</v>
      </c>
      <c r="IV323" s="1679" t="e">
        <f>IF($CR323="interior",IF(R322&gt;$IP$14,ROUND(($IV$18*($IP$14/R322)),2),$IV$18),VLOOKUP($CS323,Control_Savings_Exterior,IV$30,FALSE))</f>
        <v>#N/A</v>
      </c>
      <c r="IW323" s="1679" t="e">
        <f>IF($CR323="interior",ROUND(((1-IS323)*IV323)+IS323,2),VLOOKUP($CS323,Control_Savings_Exterior,IW$30,FALSE))</f>
        <v>#N/A</v>
      </c>
      <c r="IX323" s="1679" t="e">
        <f>IF($CR323="interior",ROUND(((1-IT323)*IV323)+IT323,2),VLOOKUP($CS323,Control_Savings_Exterior,IX$30,FALSE))</f>
        <v>#N/A</v>
      </c>
      <c r="IY323" s="1679" t="e">
        <f>IF($CR323="interior",IF(R322&gt;$IP$14,ROUND(($IY$18*($IP$14/R322)),2),$IY$18),VLOOKUP($CS323,Control_Savings_Exterior,IY$30,FALSE))</f>
        <v>#N/A</v>
      </c>
      <c r="IZ323" s="1679" t="e">
        <f>IF($CR323="interior",ROUND(((1-IS323)*IY323)+IS323,2),VLOOKUP($CS323,Control_Savings_Exterior,IZ$30,FALSE))</f>
        <v>#N/A</v>
      </c>
      <c r="JA323" s="1679" t="e">
        <f>IF($CR323="interior",ROUND(((1-IT323)*IY323)+IT323,2),VLOOKUP($CS323,Control_Savings_Exterior,JA$30,FALSE))</f>
        <v>#N/A</v>
      </c>
      <c r="JC323" s="1680">
        <f>IFERROR(IF(CR323="Interior",CONCATENATE(G324," ",FQ323),AG323),"")</f>
        <v>0</v>
      </c>
      <c r="JD323" s="1670" t="str">
        <f>IFERROR(VLOOKUP(JC323,_Controls_2023,2,FALSE),"")</f>
        <v/>
      </c>
      <c r="JE323" s="1681">
        <f>IFERROR(CHOOSE(JD323-1,IQ323,IR323,IS323,IT323,IU323,IV323,IW323,IX323,IY323,IZ323,JA323),0)</f>
        <v>0</v>
      </c>
      <c r="JG323" s="1680" t="str">
        <f>FE323</f>
        <v xml:space="preserve"> - </v>
      </c>
      <c r="JH323" s="1670" t="e">
        <f>$FO323</f>
        <v>#N/A</v>
      </c>
      <c r="JI323" s="1060"/>
      <c r="JJ323" s="1670">
        <f>IFERROR(IF($IB321=TRUE,IF(OR(JJ$14="No",JJ321=FALSE,JH323&lt;=JH321,AND(_kWh_Grant=0,GD321=FALSE)),0,IF(JJ$8="Per Line",1,$AF323)),0),0)</f>
        <v>0</v>
      </c>
      <c r="JK323" s="1061"/>
      <c r="JL323" s="1670">
        <f>IFERROR(IF(_kWh_Grant=0,0,IF($IB321=TRUE,IF(OR(JL$14="No",JL321=FALSE,JH323&lt;=JH321),0,IF(JL$8="Per Line",1,$T323)),0)),0)</f>
        <v>0</v>
      </c>
      <c r="JM323" s="1061"/>
      <c r="JN323" s="1670">
        <f>IFERROR(IF(_kWh_Grant=0,0,IF($IB321=TRUE,IF(OR(JN$14="No",JN321=FALSE,JH323&lt;=JH321),0,IF(JN$8="Per Line",1,$AF323)),0)),0)</f>
        <v>0</v>
      </c>
      <c r="JO323" s="1061"/>
      <c r="JP323" s="1670">
        <f>IFERROR(IF(__Retrofit_TI_NC=0,IF(_kWh_Grant=0,0,IF($IB321=TRUE,IF(OR(JP$14="No",JP321=FALSE,$JH323&lt;=$JH321),0,IF(JP$8="Per Line",1,$AF323)),0)),IF($IB321=TRUE,IF(OR(JP$14="No",JP321=FALSE,$JH323&lt;=$JH321),0,IF(JP$8="Per Line",1,$AF323)))),0)</f>
        <v>0</v>
      </c>
      <c r="JQ323" s="1061"/>
      <c r="JR323" s="1670">
        <f>IFERROR(IF(__Retrofit_TI_NC=0,IF(_kWh_Grant=0,0,IF($IB321=TRUE,IF(OR(JR$14="No",JR321=FALSE,$JH323&lt;=$JH321),0,IF(JR$8="Per Line",1,$AF323)),0)),IF($IB321=TRUE,IF(OR(JR$14="No",JR321=FALSE,$JH323&lt;=$JH321),0,IF(JR$8="Per Line",1,$AF323)))),0)</f>
        <v>0</v>
      </c>
      <c r="JS323" s="1061"/>
      <c r="JT323" s="1670">
        <f>IFERROR(IF(__Retrofit_TI_NC=0,IF(_kWh_Grant=0,0,IF($IB321=TRUE,IF(OR(JT$14="No",JT321=FALSE,$JH323&lt;=$JH321),0,IF(JT$8="Per Line",1,$AF323)),0)),IF($IB321=TRUE,IF(OR(JT$14="No",JT321=FALSE,$JH323&lt;=$JH321),0,IF(JT$8="Per Line",1,$AF323)))),0)</f>
        <v>0</v>
      </c>
      <c r="JU323" s="1061"/>
      <c r="JV323" s="1670">
        <f>IFERROR(IF(__Retrofit_TI_NC=0,IF(_kWh_Grant=0,0,IF($IB321=TRUE,IF(OR(JV$14="No",JV321=FALSE,$JH323&lt;=$JH321),0,IF(JV$8="Per Line",1,$AF323)),0)),IF($IB321=TRUE,IF(OR(JV$14="No",JV321=FALSE,$JH323&lt;=$JH321),0,IF(JV$8="Per Line",1,$AF323)))),0)</f>
        <v>0</v>
      </c>
      <c r="JX323" s="1670">
        <f>IFERROR(IF(__Retrofit_TI_NC=0,IF(_kWh_Grant=0,0,IF($IB321=TRUE,IF(OR(JX$14="No",JX321=FALSE,$JH323&lt;=$JH321),0,IF(JX$8="Per Line",1,$AF323)),0)),IF($IB321=TRUE,IF(OR(JX$14="No",JX321=FALSE,$JH323&lt;=$JH321),0,IF(JX$8="Per Line",1,$AF323)))),0)</f>
        <v>0</v>
      </c>
      <c r="JZ323" s="1670">
        <f>IFERROR(IF($IB321=TRUE,IF(OR(JZ$14="No",JZ321=FALSE,$JH323&lt;=$JH321,AND(_kWh_Grant=0,$GD321=FALSE)),0,IF(JZ$8="Per Line",1,$AF323)),0),0)</f>
        <v>0</v>
      </c>
      <c r="KB323" s="1670">
        <f>IFERROR(IF(__Retrofit_TI_NC=0,IF(_kWh_Grant=0,0,IF($IB321=TRUE,IF(OR(KB$14="No",KB321=FALSE,$JH323&lt;=$JH321),0,IF(KB$8="Per Line",1,$AF323)),0)),IF($IB321=TRUE,IF(OR(KB$14="No",KB321=FALSE,$JH323&lt;=$JH321),0,IF(KB$8="Per Line",1,$AF323)))),0)</f>
        <v>0</v>
      </c>
    </row>
    <row r="324" spans="1:288" s="78" customFormat="1" ht="14.95" customHeight="1" thickTop="1" thickBot="1">
      <c r="B324" s="1845"/>
      <c r="C324" s="1846"/>
      <c r="D324" s="1847"/>
      <c r="E324" s="1771" t="s">
        <v>436</v>
      </c>
      <c r="F324" s="1772"/>
      <c r="G324" s="1784" t="s">
        <v>437</v>
      </c>
      <c r="H324" s="1785"/>
      <c r="I324" s="1785"/>
      <c r="J324" s="1785"/>
      <c r="K324" s="1785"/>
      <c r="L324" s="1786"/>
      <c r="M324" s="591">
        <f>IFERROR(VLOOKUP(G324,_Daylight_Table[],2,FALSE),0)</f>
        <v>0</v>
      </c>
      <c r="N324" s="592" t="str">
        <f>IF(AND(__Retrofit_TI_NC&gt;0,CQ321="Interior"),"BAM","")</f>
        <v/>
      </c>
      <c r="O324" s="591" t="e">
        <f>VLOOKUP(G323,'Space Table'!$B$3:$L$163,11,FALSE)</f>
        <v>#N/A</v>
      </c>
      <c r="P324" s="1789"/>
      <c r="Q324" s="1790"/>
      <c r="R324" s="1790"/>
      <c r="S324" s="1788"/>
      <c r="T324" s="593" t="s">
        <v>342</v>
      </c>
      <c r="U324" s="1756" t="str" cm="1">
        <f t="array" aca="1" ref="U324" ca="1">IFERROR(VLOOKUP(INDIRECT("U" &amp; ROW()-1),Fixtures!DM$93:DP$142,4,FALSE),"")</f>
        <v/>
      </c>
      <c r="V324" s="1757"/>
      <c r="W324" s="1757"/>
      <c r="X324" s="1757"/>
      <c r="Y324" s="1757"/>
      <c r="Z324" s="1757"/>
      <c r="AA324" s="1758"/>
      <c r="AB324" s="939" t="str">
        <f>IFERROR(VLOOKUP(U323,Fixtures_Proposed_List,2,FALSE),"")</f>
        <v/>
      </c>
      <c r="AC324" s="933" t="str">
        <f>IFERROR(ROUND(T323*AB324*N322*R322/1000,0),"")</f>
        <v/>
      </c>
      <c r="AD324" s="934" t="str">
        <f>IFERROR(ROUND(T323*AB324/1000,2),"")</f>
        <v/>
      </c>
      <c r="AE324" s="998"/>
      <c r="AF324" s="938" t="s">
        <v>342</v>
      </c>
      <c r="AG324" s="1770"/>
      <c r="AH324" s="1770"/>
      <c r="AI324" s="1770"/>
      <c r="AJ324" s="1770"/>
      <c r="AK324" s="1770"/>
      <c r="AL324" s="1770"/>
      <c r="AM324" s="1727"/>
      <c r="AN324" s="1729"/>
      <c r="AO324" s="1731"/>
      <c r="AP324" s="1782"/>
      <c r="AQ324" s="1783"/>
      <c r="AR324" s="1797"/>
      <c r="AS324" s="1797"/>
      <c r="AT324" s="1798"/>
      <c r="AU324" s="1736"/>
      <c r="AV324" s="1753"/>
      <c r="AW324" s="1706"/>
      <c r="AX324" s="468"/>
      <c r="AY324" s="1750"/>
      <c r="AZ324" s="1750"/>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696"/>
      <c r="CQ324" s="1696"/>
      <c r="CR324" s="1809"/>
      <c r="CS324" s="1811"/>
      <c r="CU324" s="1688"/>
      <c r="CV324" s="1703"/>
      <c r="CW324" s="1703"/>
      <c r="CX324" s="1813"/>
      <c r="CY324" s="1815"/>
      <c r="CZ324" s="1711"/>
      <c r="DA324" s="1815"/>
      <c r="DB324" s="1821"/>
      <c r="DC324" s="1821"/>
      <c r="DD324" s="1821"/>
      <c r="DF324" s="1703"/>
      <c r="DG324" s="1831"/>
      <c r="DH324" s="1813"/>
      <c r="DI324" s="1838"/>
      <c r="DJ324" s="1711"/>
      <c r="DK324" s="1712"/>
      <c r="DN324" s="1718"/>
      <c r="DO324" s="1709"/>
      <c r="DQ324" s="1715"/>
      <c r="DR324" s="1720"/>
      <c r="DS324" s="1703"/>
      <c r="DT324" s="1714"/>
      <c r="DU324" s="1715"/>
      <c r="DV324" s="1716"/>
      <c r="DX324" s="1715"/>
      <c r="DY324" s="1720"/>
      <c r="DZ324" s="1715"/>
      <c r="EA324" s="1715"/>
      <c r="EC324" s="1834"/>
      <c r="ED324" s="1834"/>
      <c r="EF324" s="1707"/>
      <c r="EG324" s="1712"/>
      <c r="EH324" s="1815"/>
      <c r="EI324" s="1712"/>
      <c r="EJ324" s="1712"/>
      <c r="EK324" s="1813"/>
      <c r="EL324" s="1813"/>
      <c r="EM324" s="1807"/>
      <c r="EN324" s="1839"/>
      <c r="EO324" s="1839"/>
      <c r="EP324" s="1817"/>
      <c r="EQ324" s="1817"/>
      <c r="ER324" s="1807"/>
      <c r="ES324" s="1807"/>
      <c r="ET324" s="1807"/>
      <c r="EV324" s="1715"/>
      <c r="EX324" s="1806"/>
      <c r="EY324" s="1806"/>
      <c r="EZ324" s="1806"/>
      <c r="FA324" s="1806"/>
      <c r="FB324" s="1806"/>
      <c r="FC324" s="1828"/>
      <c r="FE324" s="1698"/>
      <c r="FG324" s="1703"/>
      <c r="FH324" s="1703"/>
      <c r="FI324" s="133"/>
      <c r="FL324" s="1823"/>
      <c r="FM324" s="1825"/>
      <c r="FN324" s="1698"/>
      <c r="FO324" s="1698"/>
      <c r="FP324" s="1678"/>
      <c r="FQ324" s="1698"/>
      <c r="FS324" s="1687"/>
      <c r="FT324" s="1687"/>
      <c r="FU324" s="1685"/>
      <c r="FV324" s="1687"/>
      <c r="FW324" s="1687"/>
      <c r="FX324" s="1687"/>
      <c r="FY324" s="1697"/>
      <c r="GA324" s="1696"/>
      <c r="GB324" s="1696"/>
      <c r="GC324" s="1696"/>
      <c r="GD324" s="1696"/>
      <c r="GE324" s="1696"/>
      <c r="GF324" s="1696"/>
      <c r="GG324" s="1696"/>
      <c r="GH324" s="1696"/>
      <c r="GI324" s="673"/>
      <c r="GJ324" s="1135"/>
      <c r="GK324" s="1832"/>
      <c r="GN324" s="674">
        <f>IF(GN322=TRUE,0,GN$16)</f>
        <v>0</v>
      </c>
      <c r="GP324" s="674">
        <f>IF(GP322=TRUE,0,GP$16)</f>
        <v>36</v>
      </c>
      <c r="GQ324" s="674">
        <f ca="1">IF(GQ322=TRUE,0,GQ$16)</f>
        <v>35</v>
      </c>
      <c r="GR324" s="391"/>
      <c r="GS324" s="391"/>
      <c r="GT324" s="391"/>
      <c r="GU324" s="391"/>
      <c r="GV324" s="391"/>
      <c r="HG324" s="674">
        <f>IF(HG322=TRUE,0,HG$16)</f>
        <v>0</v>
      </c>
      <c r="HH324" s="674">
        <f t="shared" ref="HH324:HM324" si="283">IF(HH322=TRUE,0,HH$16)</f>
        <v>19</v>
      </c>
      <c r="HI324" s="674">
        <f t="shared" si="283"/>
        <v>18</v>
      </c>
      <c r="HJ324" s="674">
        <f t="shared" si="283"/>
        <v>17</v>
      </c>
      <c r="HK324" s="674">
        <f t="shared" si="283"/>
        <v>16</v>
      </c>
      <c r="HL324" s="674">
        <f t="shared" si="283"/>
        <v>0</v>
      </c>
      <c r="HM324" s="674">
        <f t="shared" si="283"/>
        <v>0</v>
      </c>
      <c r="HN324" s="674">
        <f>IF(HN322=TRUE,0,HN$16)</f>
        <v>13</v>
      </c>
      <c r="HO324" s="674">
        <f t="shared" ref="HO324:HQ324" si="284">IF(HO322=TRUE,0,HO$16)</f>
        <v>0</v>
      </c>
      <c r="HP324" s="674">
        <f t="shared" si="284"/>
        <v>0</v>
      </c>
      <c r="HQ324" s="674">
        <f t="shared" si="284"/>
        <v>10</v>
      </c>
      <c r="HR324" s="674">
        <f>IF(HR322=TRUE,0,HR$16)</f>
        <v>9</v>
      </c>
      <c r="HS324" s="674">
        <f t="shared" ref="HS324:HW324" si="285">IF(HS322=TRUE,0,HS$16)</f>
        <v>0</v>
      </c>
      <c r="HT324" s="674">
        <f t="shared" si="285"/>
        <v>0</v>
      </c>
      <c r="HU324" s="674">
        <f t="shared" si="285"/>
        <v>0</v>
      </c>
      <c r="HV324" s="674">
        <f t="shared" si="285"/>
        <v>0</v>
      </c>
      <c r="HW324" s="674">
        <f t="shared" si="285"/>
        <v>0</v>
      </c>
      <c r="HX324" s="674">
        <f>IF(HX322=TRUE,0,HX$16)</f>
        <v>0</v>
      </c>
      <c r="HY324" s="674">
        <f>IF(HY322=TRUE,0,HY$16)</f>
        <v>0</v>
      </c>
      <c r="HZ324" s="674">
        <f>IF(HZ322=TRUE,0,HZ$16)</f>
        <v>1</v>
      </c>
      <c r="IB324" s="674">
        <f>IF(GP322=FALSE,GP324,IF(GQ322=FALSE,GQ324,MAX(GN324:HZ324)))</f>
        <v>36</v>
      </c>
      <c r="IC324" s="1692"/>
      <c r="ID324" s="205" t="str">
        <f>VLOOKUP(IB324,_Error_Table,3,FALSE)</f>
        <v xml:space="preserve"> </v>
      </c>
      <c r="IE324" s="205"/>
      <c r="IF324" s="1688"/>
      <c r="IG324" s="1689"/>
      <c r="IH324" s="1684"/>
      <c r="IK324" s="1689"/>
      <c r="IL324" s="1692"/>
      <c r="IM324" s="1692"/>
      <c r="IN324" s="1692"/>
      <c r="IP324" s="1679"/>
      <c r="IQ324" s="1679"/>
      <c r="IR324" s="1679"/>
      <c r="IS324" s="1679"/>
      <c r="IT324" s="1679"/>
      <c r="IU324" s="1679"/>
      <c r="IV324" s="1679"/>
      <c r="IW324" s="1679"/>
      <c r="IX324" s="1679"/>
      <c r="IY324" s="1679"/>
      <c r="IZ324" s="1679"/>
      <c r="JA324" s="1679"/>
      <c r="JC324" s="1680"/>
      <c r="JD324" s="1670"/>
      <c r="JE324" s="1681"/>
      <c r="JG324" s="1680"/>
      <c r="JH324" s="1670"/>
      <c r="JI324" s="1060"/>
      <c r="JJ324" s="1670"/>
      <c r="JK324" s="1061"/>
      <c r="JL324" s="1670"/>
      <c r="JM324" s="1061"/>
      <c r="JN324" s="1670"/>
      <c r="JO324" s="1061"/>
      <c r="JP324" s="1670"/>
      <c r="JQ324" s="1061"/>
      <c r="JR324" s="1670"/>
      <c r="JS324" s="1061"/>
      <c r="JT324" s="1670"/>
      <c r="JU324" s="1061"/>
      <c r="JV324" s="1670"/>
      <c r="JX324" s="1670"/>
      <c r="JZ324" s="1670"/>
      <c r="KB324" s="1670"/>
    </row>
    <row r="325" spans="1:288" s="78" customFormat="1" ht="5.0999999999999996" customHeight="1">
      <c r="B325" s="676"/>
      <c r="C325" s="392"/>
      <c r="D325" s="392"/>
      <c r="E325" s="1733"/>
      <c r="F325" s="1733"/>
      <c r="G325" s="1733"/>
      <c r="H325" s="1733"/>
      <c r="I325" s="1733"/>
      <c r="J325" s="1733"/>
      <c r="K325" s="1733"/>
      <c r="L325" s="1733"/>
      <c r="M325" s="1733"/>
      <c r="N325" s="1733"/>
      <c r="O325" s="1733"/>
      <c r="P325" s="1733"/>
      <c r="Q325" s="1733"/>
      <c r="R325" s="1733"/>
      <c r="S325" s="1733"/>
      <c r="T325" s="1733"/>
      <c r="U325" s="1733"/>
      <c r="V325" s="1733"/>
      <c r="W325" s="1733"/>
      <c r="X325" s="1733"/>
      <c r="Y325" s="1733"/>
      <c r="Z325" s="1733"/>
      <c r="AA325" s="1733"/>
      <c r="AB325" s="1733"/>
      <c r="AC325" s="1733"/>
      <c r="AD325" s="1733"/>
      <c r="AE325" s="1733"/>
      <c r="AF325" s="1733"/>
      <c r="AG325" s="1733"/>
      <c r="AH325" s="1733"/>
      <c r="AI325" s="1733"/>
      <c r="AJ325" s="1733"/>
      <c r="AK325" s="1733"/>
      <c r="AL325" s="1733"/>
      <c r="AM325" s="1733"/>
      <c r="AN325" s="1733"/>
      <c r="AO325" s="1733"/>
      <c r="AP325" s="1733"/>
      <c r="AQ325" s="1733"/>
      <c r="AR325" s="1733"/>
      <c r="AS325" s="1733"/>
      <c r="AT325" s="1733"/>
      <c r="AU325" s="1733"/>
      <c r="AV325" s="1733"/>
      <c r="AW325" s="1733"/>
      <c r="AX325" s="469"/>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663"/>
      <c r="CQ325" s="663"/>
      <c r="CR325" s="438"/>
      <c r="CS325" s="663"/>
      <c r="CV325" s="391"/>
      <c r="CW325" s="391"/>
      <c r="CX325" s="207"/>
      <c r="CY325" s="208"/>
      <c r="CZ325" s="208"/>
      <c r="DA325" s="208"/>
      <c r="DB325" s="209"/>
      <c r="DC325" s="209"/>
      <c r="DD325" s="209"/>
      <c r="DF325" s="664"/>
      <c r="DG325" s="665"/>
      <c r="DH325" s="666"/>
      <c r="DI325" s="667"/>
      <c r="DJ325" s="668"/>
      <c r="DK325" s="668"/>
      <c r="DN325" s="208"/>
      <c r="DO325" s="664"/>
      <c r="DQ325" s="664"/>
      <c r="DR325" s="669"/>
      <c r="DS325" s="391"/>
      <c r="DT325" s="664"/>
      <c r="DU325" s="664"/>
      <c r="DV325" s="664"/>
      <c r="DX325" s="664"/>
      <c r="DY325" s="664"/>
      <c r="DZ325" s="664"/>
      <c r="EA325" s="664"/>
      <c r="EC325" s="670"/>
      <c r="ED325" s="670"/>
      <c r="EF325" s="668"/>
      <c r="EG325" s="668"/>
      <c r="EH325" s="208"/>
      <c r="EI325" s="668"/>
      <c r="EJ325" s="668"/>
      <c r="EK325" s="207"/>
      <c r="EL325" s="207"/>
      <c r="EM325" s="666"/>
      <c r="EN325" s="671"/>
      <c r="EO325" s="671"/>
      <c r="EP325" s="672"/>
      <c r="EQ325" s="672"/>
      <c r="ER325" s="666"/>
      <c r="ES325" s="666"/>
      <c r="ET325" s="666"/>
      <c r="EV325" s="664"/>
      <c r="EX325" s="391"/>
      <c r="EY325" s="391"/>
      <c r="EZ325" s="391"/>
      <c r="FA325" s="391"/>
      <c r="FB325" s="391"/>
      <c r="FC325" s="391"/>
      <c r="FE325" s="569"/>
      <c r="FG325" s="391"/>
      <c r="FH325" s="391"/>
      <c r="FI325" s="391"/>
      <c r="FS325" s="664"/>
      <c r="FT325" s="391"/>
      <c r="FU325" s="391"/>
      <c r="FV325" s="664"/>
      <c r="FW325" s="664"/>
      <c r="GA325" s="663"/>
      <c r="GB325" s="663"/>
      <c r="GC325" s="663"/>
      <c r="GD325" s="663"/>
      <c r="GE325" s="663"/>
      <c r="GF325" s="663"/>
      <c r="GG325" s="663"/>
      <c r="GH325" s="663"/>
      <c r="GI325" s="665"/>
      <c r="GJ325" s="664"/>
      <c r="GK325" s="664"/>
    </row>
    <row r="326" spans="1:288">
      <c r="DX326" s="669"/>
      <c r="DY326" s="669"/>
      <c r="DZ326" s="669"/>
      <c r="EA326" s="669"/>
      <c r="EB326" s="669"/>
      <c r="EC326" s="669"/>
      <c r="ED326" s="669"/>
      <c r="EE326" s="669"/>
      <c r="EF326" s="677" t="s">
        <v>344</v>
      </c>
      <c r="EG326" s="677" t="s">
        <v>345</v>
      </c>
      <c r="EH326" s="677" t="s">
        <v>234</v>
      </c>
      <c r="EI326" s="677" t="s">
        <v>347</v>
      </c>
      <c r="EJ326" s="677" t="s">
        <v>348</v>
      </c>
      <c r="EK326" s="677"/>
      <c r="EL326" s="677"/>
      <c r="EM326" s="677" t="s">
        <v>349</v>
      </c>
      <c r="EN326" s="677" t="s">
        <v>234</v>
      </c>
      <c r="EO326" s="677" t="s">
        <v>347</v>
      </c>
      <c r="EP326" s="677" t="s">
        <v>234</v>
      </c>
      <c r="EQ326" s="677" t="s">
        <v>347</v>
      </c>
      <c r="ER326" s="677" t="s">
        <v>234</v>
      </c>
      <c r="ES326" s="677" t="s">
        <v>347</v>
      </c>
      <c r="ET326" s="677"/>
      <c r="EV326" s="38">
        <f>ROW()</f>
        <v>326</v>
      </c>
    </row>
    <row r="327" spans="1:288" s="78" customFormat="1" ht="20.05" customHeight="1">
      <c r="B327" s="211"/>
      <c r="C327" s="392"/>
      <c r="D327" s="392"/>
      <c r="E327" s="211"/>
      <c r="F327" s="211"/>
      <c r="G327" s="211"/>
      <c r="H327" s="211"/>
      <c r="I327" s="438"/>
      <c r="J327" s="438"/>
      <c r="K327" s="438"/>
      <c r="L327" s="438"/>
      <c r="M327" s="438"/>
      <c r="N327" s="438"/>
      <c r="O327" s="438"/>
      <c r="P327" s="438"/>
      <c r="Q327" s="438"/>
      <c r="R327" s="391"/>
      <c r="S327" s="206"/>
      <c r="T327" s="391"/>
      <c r="U327" s="205"/>
      <c r="V327" s="205"/>
      <c r="W327" s="205"/>
      <c r="X327" s="205"/>
      <c r="Y327" s="205"/>
      <c r="Z327" s="205"/>
      <c r="AA327" s="207"/>
      <c r="AB327" s="391"/>
      <c r="AC327" s="208"/>
      <c r="AD327" s="209"/>
      <c r="AE327" s="209"/>
      <c r="AF327" s="391"/>
      <c r="AG327" s="205"/>
      <c r="AH327" s="205"/>
      <c r="AI327" s="205"/>
      <c r="AJ327" s="205"/>
      <c r="AK327" s="205"/>
      <c r="AL327" s="207"/>
      <c r="AM327" s="210"/>
      <c r="AN327" s="208"/>
      <c r="AO327" s="208"/>
      <c r="AP327" s="1768" t="s">
        <v>407</v>
      </c>
      <c r="AQ327" s="1769"/>
      <c r="AR327" s="1867" t="s">
        <v>433</v>
      </c>
      <c r="AS327" s="1867"/>
      <c r="AT327" s="1867" t="s">
        <v>257</v>
      </c>
      <c r="AU327" s="1867"/>
      <c r="AV327" s="1867"/>
      <c r="AW327" s="1867"/>
      <c r="AX327" s="4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101" t="s">
        <v>354</v>
      </c>
      <c r="CQ327" s="101" t="s">
        <v>355</v>
      </c>
      <c r="CR327" s="101"/>
      <c r="CS327" s="101" t="s">
        <v>356</v>
      </c>
      <c r="CT327" s="38"/>
      <c r="CU327" s="38"/>
      <c r="CV327" s="37" t="s">
        <v>341</v>
      </c>
      <c r="CW327" s="38"/>
      <c r="CX327" s="101" t="s">
        <v>342</v>
      </c>
      <c r="CY327" s="38"/>
      <c r="CZ327" s="38"/>
      <c r="DA327" s="101" t="s">
        <v>343</v>
      </c>
      <c r="DB327" s="101" t="s">
        <v>344</v>
      </c>
      <c r="DC327" s="101" t="s">
        <v>345</v>
      </c>
      <c r="DD327" s="101" t="s">
        <v>346</v>
      </c>
      <c r="DE327" s="391"/>
      <c r="DF327" s="37" t="s">
        <v>357</v>
      </c>
      <c r="DG327" s="38"/>
      <c r="DH327" s="101" t="s">
        <v>342</v>
      </c>
      <c r="DI327" s="37"/>
      <c r="DJ327" s="101" t="s">
        <v>343</v>
      </c>
      <c r="DK327" s="101" t="s">
        <v>343</v>
      </c>
      <c r="DL327" s="38"/>
      <c r="DM327" s="101" t="s">
        <v>430</v>
      </c>
      <c r="DN327" s="101" t="s">
        <v>430</v>
      </c>
      <c r="DO327" s="101" t="s">
        <v>286</v>
      </c>
      <c r="DP327" s="38"/>
      <c r="DQ327" s="1732" t="s">
        <v>234</v>
      </c>
      <c r="DR327" s="1732"/>
      <c r="DS327" s="101" t="s">
        <v>347</v>
      </c>
      <c r="DT327" s="101"/>
      <c r="DU327" s="101" t="s">
        <v>358</v>
      </c>
      <c r="DV327" s="101" t="s">
        <v>358</v>
      </c>
      <c r="DW327" s="38"/>
      <c r="DX327" s="1732" t="s">
        <v>347</v>
      </c>
      <c r="DY327" s="1732"/>
      <c r="DZ327" s="101" t="s">
        <v>358</v>
      </c>
      <c r="EA327" s="101" t="s">
        <v>359</v>
      </c>
      <c r="EB327" s="38"/>
      <c r="EC327" s="101" t="s">
        <v>360</v>
      </c>
      <c r="ED327" s="101" t="s">
        <v>361</v>
      </c>
      <c r="EE327" s="391"/>
      <c r="EF327" s="609" t="s">
        <v>234</v>
      </c>
      <c r="EG327" s="609" t="s">
        <v>234</v>
      </c>
      <c r="EH327" s="609" t="s">
        <v>362</v>
      </c>
      <c r="EI327" s="609" t="s">
        <v>362</v>
      </c>
      <c r="EJ327" s="609" t="s">
        <v>362</v>
      </c>
      <c r="EK327" s="609" t="s">
        <v>234</v>
      </c>
      <c r="EL327" s="609" t="s">
        <v>347</v>
      </c>
      <c r="EM327" s="609" t="s">
        <v>347</v>
      </c>
      <c r="EN327" s="609" t="s">
        <v>363</v>
      </c>
      <c r="EO327" s="609" t="s">
        <v>363</v>
      </c>
      <c r="EP327" s="609" t="s">
        <v>363</v>
      </c>
      <c r="EQ327" s="609" t="s">
        <v>363</v>
      </c>
      <c r="ER327" s="609" t="s">
        <v>363</v>
      </c>
      <c r="ES327" s="609" t="s">
        <v>363</v>
      </c>
      <c r="ET327" s="609" t="s">
        <v>363</v>
      </c>
      <c r="EU327" s="391"/>
      <c r="EV327" s="391"/>
      <c r="EX327" s="391"/>
      <c r="EY327" s="391"/>
      <c r="EZ327" s="391"/>
      <c r="FA327" s="391"/>
      <c r="FB327" s="391"/>
      <c r="FC327" s="391"/>
      <c r="FG327" s="391"/>
      <c r="FH327" s="391"/>
      <c r="FI327" s="391"/>
      <c r="FL327" s="101" t="s">
        <v>364</v>
      </c>
      <c r="FM327" s="101" t="s">
        <v>365</v>
      </c>
      <c r="FN327" s="101" t="s">
        <v>366</v>
      </c>
      <c r="FO327" s="101" t="s">
        <v>367</v>
      </c>
      <c r="FP327" s="101"/>
      <c r="FQ327" s="38"/>
      <c r="FR327" s="38" t="s">
        <v>368</v>
      </c>
      <c r="FS327" s="101">
        <v>3200</v>
      </c>
      <c r="FT327" s="101" t="s">
        <v>369</v>
      </c>
      <c r="FU327" s="101" t="s">
        <v>370</v>
      </c>
      <c r="FV327" s="101" t="s">
        <v>371</v>
      </c>
      <c r="FW327" s="101" t="s">
        <v>370</v>
      </c>
      <c r="FX327" s="38"/>
      <c r="FY327" s="38"/>
    </row>
    <row r="328" spans="1:288" s="78" customFormat="1" ht="20.05" customHeight="1">
      <c r="B328" s="211"/>
      <c r="C328" s="585">
        <f>1+C250</f>
        <v>5</v>
      </c>
      <c r="D328" s="392"/>
      <c r="E328" s="205" t="str">
        <f>CONCATENATE(AH$20," - page ",C328)</f>
        <v xml:space="preserve"> - page 5</v>
      </c>
      <c r="F328" s="211"/>
      <c r="G328" s="211"/>
      <c r="H328" s="211"/>
      <c r="I328" s="438"/>
      <c r="J328" s="438"/>
      <c r="K328" s="438"/>
      <c r="L328" s="438"/>
      <c r="M328" s="438"/>
      <c r="N328" s="438"/>
      <c r="O328" s="438"/>
      <c r="P328" s="438"/>
      <c r="Q328" s="438"/>
      <c r="R328" s="391"/>
      <c r="S328" s="206"/>
      <c r="T328" s="391"/>
      <c r="U328" s="205"/>
      <c r="V328" s="205"/>
      <c r="W328" s="205"/>
      <c r="X328" s="205"/>
      <c r="Y328" s="205"/>
      <c r="Z328" s="205"/>
      <c r="AA328" s="207"/>
      <c r="AB328" s="599" t="s">
        <v>194</v>
      </c>
      <c r="AC328" s="599" t="s">
        <v>343</v>
      </c>
      <c r="AD328" s="599" t="s">
        <v>383</v>
      </c>
      <c r="AE328" s="999"/>
      <c r="AF328" s="391"/>
      <c r="AG328" s="205"/>
      <c r="AH328" s="205"/>
      <c r="AI328" s="205"/>
      <c r="AJ328" s="205"/>
      <c r="AK328" s="205"/>
      <c r="AL328" s="207"/>
      <c r="AM328" s="600" t="s">
        <v>286</v>
      </c>
      <c r="AN328" s="600" t="s">
        <v>407</v>
      </c>
      <c r="AO328" s="601" t="s">
        <v>432</v>
      </c>
      <c r="AP328" s="1840">
        <f>BA$4</f>
        <v>0</v>
      </c>
      <c r="AQ328" s="1841"/>
      <c r="AR328" s="1842">
        <f>BA$6</f>
        <v>0</v>
      </c>
      <c r="AS328" s="1843"/>
      <c r="AT328" s="1844"/>
      <c r="AU328" s="1898" t="str">
        <f>BA$2</f>
        <v>Rate Sch?</v>
      </c>
      <c r="AV328" s="1898"/>
      <c r="AW328" s="1684"/>
      <c r="AX328" s="391"/>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101" t="s">
        <v>381</v>
      </c>
      <c r="CQ328" s="101" t="s">
        <v>333</v>
      </c>
      <c r="CR328" s="101"/>
      <c r="CS328" s="101" t="s">
        <v>221</v>
      </c>
      <c r="CT328" s="38"/>
      <c r="CU328" s="38"/>
      <c r="CV328" s="101" t="s">
        <v>239</v>
      </c>
      <c r="CW328" s="101" t="s">
        <v>234</v>
      </c>
      <c r="CX328" s="101" t="s">
        <v>382</v>
      </c>
      <c r="CY328" s="101" t="s">
        <v>194</v>
      </c>
      <c r="CZ328" s="101" t="s">
        <v>343</v>
      </c>
      <c r="DA328" s="101" t="s">
        <v>346</v>
      </c>
      <c r="DB328" s="101" t="s">
        <v>383</v>
      </c>
      <c r="DC328" s="101" t="s">
        <v>383</v>
      </c>
      <c r="DD328" s="101" t="s">
        <v>383</v>
      </c>
      <c r="DE328" s="391"/>
      <c r="DF328" s="101" t="s">
        <v>239</v>
      </c>
      <c r="DG328" s="37" t="s">
        <v>347</v>
      </c>
      <c r="DH328" s="101" t="s">
        <v>382</v>
      </c>
      <c r="DI328" s="101" t="s">
        <v>384</v>
      </c>
      <c r="DJ328" s="101" t="s">
        <v>346</v>
      </c>
      <c r="DK328" s="101" t="s">
        <v>346</v>
      </c>
      <c r="DL328" s="38"/>
      <c r="DM328" s="101" t="s">
        <v>432</v>
      </c>
      <c r="DN328" s="101" t="s">
        <v>345</v>
      </c>
      <c r="DO328" s="38"/>
      <c r="DP328" s="38"/>
      <c r="DQ328" s="1833" t="s">
        <v>221</v>
      </c>
      <c r="DR328" s="1833"/>
      <c r="DS328" s="101" t="s">
        <v>221</v>
      </c>
      <c r="DT328" s="101"/>
      <c r="DU328" s="101" t="s">
        <v>234</v>
      </c>
      <c r="DV328" s="101" t="s">
        <v>385</v>
      </c>
      <c r="DW328" s="38"/>
      <c r="DX328" s="1833" t="s">
        <v>386</v>
      </c>
      <c r="DY328" s="1833"/>
      <c r="DZ328" s="101" t="s">
        <v>387</v>
      </c>
      <c r="EA328" s="101" t="s">
        <v>385</v>
      </c>
      <c r="EB328" s="38"/>
      <c r="EC328" s="101" t="s">
        <v>257</v>
      </c>
      <c r="ED328" s="101" t="s">
        <v>257</v>
      </c>
      <c r="EE328" s="391"/>
      <c r="EF328" s="609" t="s">
        <v>343</v>
      </c>
      <c r="EG328" s="609" t="s">
        <v>343</v>
      </c>
      <c r="EH328" s="609" t="s">
        <v>343</v>
      </c>
      <c r="EI328" s="609" t="s">
        <v>343</v>
      </c>
      <c r="EJ328" s="609" t="s">
        <v>343</v>
      </c>
      <c r="EK328" s="609" t="s">
        <v>342</v>
      </c>
      <c r="EL328" s="609" t="s">
        <v>342</v>
      </c>
      <c r="EM328" s="609" t="s">
        <v>342</v>
      </c>
      <c r="EN328" s="609" t="s">
        <v>388</v>
      </c>
      <c r="EO328" s="609" t="s">
        <v>388</v>
      </c>
      <c r="EP328" s="609" t="s">
        <v>389</v>
      </c>
      <c r="EQ328" s="609" t="s">
        <v>389</v>
      </c>
      <c r="ER328" s="609" t="s">
        <v>342</v>
      </c>
      <c r="ES328" s="609" t="s">
        <v>342</v>
      </c>
      <c r="ET328" s="609" t="s">
        <v>342</v>
      </c>
      <c r="EU328" s="391"/>
      <c r="EV328" s="391">
        <f>SUM(EV329:EV402)</f>
        <v>0</v>
      </c>
      <c r="EX328" s="391"/>
      <c r="EY328" s="391"/>
      <c r="EZ328" s="391"/>
      <c r="FA328" s="391"/>
      <c r="FB328" s="85" t="s">
        <v>385</v>
      </c>
      <c r="FC328" s="85" t="s">
        <v>218</v>
      </c>
      <c r="FG328" s="391"/>
      <c r="FH328" s="391"/>
      <c r="FI328" s="391"/>
      <c r="FL328" s="38"/>
      <c r="FM328" s="101" t="s">
        <v>328</v>
      </c>
      <c r="FN328" s="38"/>
      <c r="FO328" s="38"/>
      <c r="FP328" s="38"/>
      <c r="FQ328" s="38"/>
      <c r="FR328" s="38" t="s">
        <v>286</v>
      </c>
      <c r="FS328" s="101" t="s">
        <v>369</v>
      </c>
      <c r="FT328" s="101" t="s">
        <v>391</v>
      </c>
      <c r="FU328" s="101" t="s">
        <v>369</v>
      </c>
      <c r="FV328" s="101" t="s">
        <v>347</v>
      </c>
      <c r="FW328" s="37" t="s">
        <v>392</v>
      </c>
      <c r="FX328" s="38"/>
      <c r="FY328" s="101" t="s">
        <v>393</v>
      </c>
    </row>
    <row r="329" spans="1:288" s="78" customFormat="1" ht="14.95" customHeight="1">
      <c r="B329" s="1845" t="str">
        <f>ID332</f>
        <v xml:space="preserve"> </v>
      </c>
      <c r="C329" s="1846">
        <f>C321+1</f>
        <v>55</v>
      </c>
      <c r="D329" s="1847"/>
      <c r="E329" s="1799" t="s">
        <v>295</v>
      </c>
      <c r="F329" s="1800"/>
      <c r="G329" s="1741"/>
      <c r="H329" s="1742"/>
      <c r="I329" s="1742"/>
      <c r="J329" s="1742"/>
      <c r="K329" s="1742"/>
      <c r="L329" s="1742"/>
      <c r="M329" s="1742"/>
      <c r="N329" s="1742"/>
      <c r="O329" s="1742"/>
      <c r="P329" s="1742"/>
      <c r="Q329" s="1742"/>
      <c r="R329" s="1742"/>
      <c r="S329" s="1791" t="s">
        <v>344</v>
      </c>
      <c r="T329" s="590"/>
      <c r="U329" s="1743"/>
      <c r="V329" s="1744"/>
      <c r="W329" s="1744"/>
      <c r="X329" s="1744"/>
      <c r="Y329" s="1744"/>
      <c r="Z329" s="1744"/>
      <c r="AA329" s="1744"/>
      <c r="AB329" s="961" t="str">
        <f>IFERROR(IF(__Retrofit_TI_NC=0,VLOOKUP(U330,Fixtures_Existing_List,2,FALSE),ROUND(N331*R331/T331,10)),"")</f>
        <v/>
      </c>
      <c r="AC329" s="935" t="str">
        <f>IFERROR(IF(__Retrofit_TI_NC=0,ROUND(T330*AB329*N330*R330/1000,0),IF(CQ329="Interior",N331*R331*R330*N330*_C406_reduction/1000,N331*R331*R330*N330/1000)),"")</f>
        <v/>
      </c>
      <c r="AD329" s="936" t="str">
        <f>IFERROR(IF(C$43=0,ROUND(T330*AB329/1000,2),N331*R331/1000),"")</f>
        <v/>
      </c>
      <c r="AE329" s="997"/>
      <c r="AF329" s="937"/>
      <c r="AG329" s="1745" t="str">
        <f>IF(__Retrofit_TI_NC=0," Control","Select Advanced Control for New System")</f>
        <v xml:space="preserve"> Control</v>
      </c>
      <c r="AH329" s="1745"/>
      <c r="AI329" s="1745"/>
      <c r="AJ329" s="1745"/>
      <c r="AK329" s="1745"/>
      <c r="AL329" s="1745"/>
      <c r="AM329" s="1746">
        <f>IFERROR(DI329,"")</f>
        <v>0</v>
      </c>
      <c r="AN329" s="1774" t="str">
        <f>IFERROR(ROUND(AM329*AC329,0),"")</f>
        <v/>
      </c>
      <c r="AO329" s="1776">
        <f>IFERROR(IF(IB329=FALSE,0,AC329-AN329),0)</f>
        <v>0</v>
      </c>
      <c r="AP329" s="1778">
        <f>AO329-AO331</f>
        <v>0</v>
      </c>
      <c r="AQ329" s="1779"/>
      <c r="AR329" s="1793">
        <f>IFERROR(IF(IB329=FALSE,0,(T331*U332)+(AF331*AG332)),0)</f>
        <v>0</v>
      </c>
      <c r="AS329" s="1793"/>
      <c r="AT329" s="1794"/>
      <c r="AU329" s="1734" t="s">
        <v>237</v>
      </c>
      <c r="AV329" s="1751">
        <f>IF(AU329="Yes",1,0)</f>
        <v>1</v>
      </c>
      <c r="AW329" s="1704" t="str">
        <f>IF(OR(DQ329=4,DQ329=5,DQ329=6,DQ329=12),CONCATENATE("$",IF(GH329=TRUE,Lookup!$K$10,Lookup!$K$2)," /lamp"),CONCATENATE(TEXT(ED329,"$0.00"),"/ kWh"))</f>
        <v>$0.00/ kWh</v>
      </c>
      <c r="AX329" s="467"/>
      <c r="AY329" s="1748">
        <f ca="1">IFERROR(IF(GM330=TRUE,(AB332*T331)/R331,0),"NA")</f>
        <v>0</v>
      </c>
      <c r="AZ329" s="1748"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696" t="str">
        <f>N330</f>
        <v/>
      </c>
      <c r="CQ329" s="1696" t="str">
        <f>IFERROR(VLOOKUP(G330,_Lookup_Heat_Type_Table_New,3,FALSE),"")</f>
        <v/>
      </c>
      <c r="CR329" s="1808" t="str">
        <f>CQ329</f>
        <v/>
      </c>
      <c r="CS329" s="1810" t="str">
        <f>IFERROR(VLOOKUP(G331,'Space Table'!$B$3:$L$163,9,FALSE),"")</f>
        <v/>
      </c>
      <c r="CU329" s="1688" t="s">
        <v>344</v>
      </c>
      <c r="CV329" s="1702">
        <f>IF(IB329=TRUE,T330,0)</f>
        <v>0</v>
      </c>
      <c r="CW329" s="1702" t="str">
        <f>IF(IB329=TRUE,U330,"")</f>
        <v/>
      </c>
      <c r="CX329" s="1702"/>
      <c r="CY329" s="1814">
        <f>IF(IB329=TRUE,AB329,0)</f>
        <v>0</v>
      </c>
      <c r="CZ329" s="1710">
        <f>IF(AND(__Retrofit_TI_NC&gt;0,CR329="interior"),0,IF(IB329=TRUE,AC329,0))</f>
        <v>0</v>
      </c>
      <c r="DA329" s="1814">
        <f>IFERROR(IF(IB329=TRUE,CZ329-CZ331,0),0)</f>
        <v>0</v>
      </c>
      <c r="DB329" s="1819">
        <f>IF(IB329=TRUE,AD329,0)</f>
        <v>0</v>
      </c>
      <c r="DC329" s="1819">
        <f>IF(IB329=TRUE,AD332,0)</f>
        <v>0</v>
      </c>
      <c r="DD329" s="1819">
        <f>IFERROR(DB329-DC329,0)</f>
        <v>0</v>
      </c>
      <c r="DF329" s="1702">
        <f>IF(IB329=TRUE,AF330,0)</f>
        <v>0</v>
      </c>
      <c r="DG329" s="1830">
        <f>IFERROR(IF(__Retrofit_TI_NC=2,IF(CQ329="Exterior",O332,FQ329),FN329),"")</f>
        <v>0</v>
      </c>
      <c r="DH329" s="1702"/>
      <c r="DI329" s="1837">
        <f>JE329</f>
        <v>0</v>
      </c>
      <c r="DJ329" s="1710">
        <f>IF(AND(__Retrofit_TI_NC&gt;0,CR329="interior"),0,IF(IB329=TRUE,AN329,0))</f>
        <v>0</v>
      </c>
      <c r="DK329" s="1712">
        <f>IFERROR(IF(IB329=TRUE,DJ331-DJ329,0),0)</f>
        <v>0</v>
      </c>
      <c r="DM329" s="1717">
        <f>IFERROR(CZ329-DJ329,0)</f>
        <v>0</v>
      </c>
      <c r="DO329" s="1708">
        <f>DM329-DN331</f>
        <v>0</v>
      </c>
      <c r="DQ329" s="1715" t="str">
        <f>IFERROR(IF(AND(OR(GC329=4,GC329=5,GC329=6),OR(GF329=4,GF329=5,GF329=6)),GC329+8,VLOOKUP(CW331,Fixtures!R$31:Y$78,8,FALSE)),"")</f>
        <v/>
      </c>
      <c r="DR329" s="1829" t="str">
        <f>DQ329</f>
        <v/>
      </c>
      <c r="DS329" s="1702" t="str">
        <f>IFERROR(VLOOKUP(DG331,Lookup!BB$3:BC$20,2,FALSE),"")</f>
        <v/>
      </c>
      <c r="DT329" s="1713" t="str">
        <f>IF(OR(DS329=7,DS329=8,DS329=9),"ALC","")</f>
        <v/>
      </c>
      <c r="DU329" s="1715">
        <f>IFERROR(IF(OR(DQ329=4,DQ329=5,DQ329=6,DQ329=12,DQ329=13,DQ329=14),VLOOKUP(CW331,Fixtures!DN$27:EG$77,19,FALSE),1)*CV331,0)</f>
        <v>0</v>
      </c>
      <c r="DV329" s="1716">
        <f>IF(OR(DS329=7,DS329=8,DS329=9),IF(DG329=DG331,0,DF331),0)</f>
        <v>0</v>
      </c>
      <c r="DX329" s="1715" t="str">
        <f>IFERROR(IF(EZ329&lt;EZ331,"Yes","No"),"")</f>
        <v/>
      </c>
      <c r="DY329" s="1829" t="str">
        <f>DX329</f>
        <v/>
      </c>
      <c r="DZ329" s="1715">
        <f>IF(DX329="Yes",DF331,0)</f>
        <v>0</v>
      </c>
      <c r="EA329" s="1715">
        <f>DZ329-DV329</f>
        <v>0</v>
      </c>
      <c r="EC329" s="1834">
        <f>IFERROR(VLOOKUP(DQ329,Lookup!AU$3:AV$16,2,FALSE),0)</f>
        <v>0</v>
      </c>
      <c r="ED329" s="1834">
        <f>IF(IB329=FALSE,0,IF(DX329="Yes",EC329+Lookup!K$6,EC329))</f>
        <v>0</v>
      </c>
      <c r="EF329" s="1707">
        <f>IF(IB329=TRUE,DM329,0)</f>
        <v>0</v>
      </c>
      <c r="EG329" s="1712">
        <f>IF(IB329=TRUE,CZ331,0)</f>
        <v>0</v>
      </c>
      <c r="EH329" s="1814">
        <f>IFERROR(EF329-EG329,0)</f>
        <v>0</v>
      </c>
      <c r="EI329" s="1712">
        <f>IF(IB329=TRUE,DJ331,0)</f>
        <v>0</v>
      </c>
      <c r="EJ329" s="1712">
        <f>IFERROR(EF329-EG329+EI329,0)</f>
        <v>0</v>
      </c>
      <c r="EK329" s="1812">
        <f>IF(IB329=TRUE,CV331*CX331,0)</f>
        <v>0</v>
      </c>
      <c r="EL329" s="1812">
        <f>IF(IB329=TRUE,DF331*DH331,0)</f>
        <v>0</v>
      </c>
      <c r="EM329" s="1807">
        <f>AR329</f>
        <v>0</v>
      </c>
      <c r="EN329" s="1839" t="str">
        <f>IFERROR(IF(IB329=TRUE,VLOOKUP(DQ329,Lookup!AU$3:AW$16,3,FALSE)*DU329,""),0)</f>
        <v/>
      </c>
      <c r="EO329" s="1839">
        <f>IF(IB329=TRUE,DZ329*Lookup!AW$12,0)</f>
        <v>0</v>
      </c>
      <c r="EP329" s="1817">
        <f>IFERROR(IF(IB329=TRUE,EN329/EP$40,0),0)</f>
        <v>0</v>
      </c>
      <c r="EQ329" s="1817">
        <f>IF(IB329=TRUE,EO329/EQ$40,0)</f>
        <v>0</v>
      </c>
      <c r="ER329" s="1807">
        <f>IF(IB329=TRUE,ET$40*EP329,0)</f>
        <v>0</v>
      </c>
      <c r="ES329" s="1807">
        <f>IF(IB329=TRUE,ET$40*EQ329,0)</f>
        <v>0</v>
      </c>
      <c r="ET329" s="1807">
        <f>ER329+ES329</f>
        <v>0</v>
      </c>
      <c r="EV329" s="1715">
        <f>IF(G329="",0,1)</f>
        <v>0</v>
      </c>
      <c r="EX329" s="1804" t="str">
        <f>IFERROR(VLOOKUP(CS331,'Space Table'!$B$3:$L$163,8,FALSE),"")</f>
        <v/>
      </c>
      <c r="EY329" s="1804" t="str">
        <f>IFERROR(IF(FB329="Yes",VLOOKUP(DG329,Lookup_Control_Type_Table2,4,FALSE),VLOOKUP(DG329,Lookup_Control_Type_Table2,3,FALSE)),"")</f>
        <v/>
      </c>
      <c r="EZ329" s="1804" t="e">
        <f>VLOOKUP(DG329,Lookup!BB$3:BC$20,2,FALSE)</f>
        <v>#N/A</v>
      </c>
      <c r="FA329" s="1804" t="e">
        <f>VLOOKUP(EX329,Lookup_Control_Type_Table,2,FALSE)</f>
        <v>#N/A</v>
      </c>
      <c r="FB329" s="1804" t="e">
        <f>VLOOKUP(CS331,'Space Table'!$B$3:$L$163,7,FALSE)</f>
        <v>#N/A</v>
      </c>
      <c r="FC329" s="1826" t="b">
        <f>ISNUMBER(SEARCH("TLED",U331))</f>
        <v>0</v>
      </c>
      <c r="FE329" s="1698" t="str">
        <f>CONCATENATE(CQ329," - ",DG329)</f>
        <v xml:space="preserve"> - 0</v>
      </c>
      <c r="FG329" s="1702" t="str">
        <f>VLOOKUP(CW331,Fixtures!DN$27:EZ$77,38,FALSE)</f>
        <v/>
      </c>
      <c r="FH329" s="1702">
        <f>IFERROR(FG329*EH329,0)</f>
        <v>0</v>
      </c>
      <c r="FI329" s="133"/>
      <c r="FL329" s="1822" t="str">
        <f>IF(CQ329="Exterior","Not Daylighted",G332)</f>
        <v>Not Daylighted</v>
      </c>
      <c r="FM329" s="1824">
        <f>VLOOKUP(FL329,_New_Daylight_Table_Codes,2,FALSE)</f>
        <v>0</v>
      </c>
      <c r="FN329" s="1698">
        <f>IF(__Retrofit_TI_NC&gt;0,VLOOKUP(G331,'Space Table'!$B$3:$L$163,11,FALSE),AG330)</f>
        <v>0</v>
      </c>
      <c r="FO329" s="1698" t="e">
        <f>IF(__Retrofit_TI_NC=2,VLOOKUP(FQ329,_Control_Table,2,FALSE),VLOOKUP(FN329,_Control_Table,2,FALSE))</f>
        <v>#N/A</v>
      </c>
      <c r="FP329" s="1678" t="e">
        <f>VLOOKUP(CONCATENATE(FL329," ",FN329),Lookup!AY$102:AZ339,2,FALSE)</f>
        <v>#N/A</v>
      </c>
      <c r="FQ329" s="1678">
        <f>IF(__Retrofit_TI_NC=0,FN329,IF(AND(FT329&gt;0,FN329="Occupancy Sensor"),"Daylight + Occupancy",IF(AND(FT329&gt;0,VLOOKUP(FN329,_Control_Table,2,FALSE)&lt;4),"Interior Daylight Dimming",FN329)))</f>
        <v>0</v>
      </c>
      <c r="FS329" s="1686">
        <f>IF(CR329="Interior",VLOOKUP(CS329,Control_Savings_Interior,5,FALSE),0)</f>
        <v>0</v>
      </c>
      <c r="FT329" s="1687">
        <f>IF(CQ329="Exterior",0,IF(FM329=2,0.5,IF(OR(FM329=1,FM329=3),1,0)))</f>
        <v>0</v>
      </c>
      <c r="FU329" s="1685">
        <f>IF(R328&gt;FS$44,(FS329*(FS$44/R328)),FS329)*FT329</f>
        <v>0</v>
      </c>
      <c r="FV329" s="1686">
        <f>DI329</f>
        <v>0</v>
      </c>
      <c r="FW329" s="1686">
        <f>ROUND(FV329+((1-FV329)*FU329),2)</f>
        <v>0</v>
      </c>
      <c r="FX329" s="1686">
        <f>IF(__Retrofit_TI_NC=2,FW329,FV329)</f>
        <v>0</v>
      </c>
      <c r="FY329" s="1697"/>
      <c r="GA329" s="1696" t="str">
        <f>IFERROR(VLOOKUP(U330,_Exist_Fixture_Table,3,FALSE),"")</f>
        <v/>
      </c>
      <c r="GB329" s="1696" t="str">
        <f>VLOOKUP(CW329,_Exist_Fixture_Table,4,FALSE)</f>
        <v/>
      </c>
      <c r="GC329" s="1696">
        <f>IFERROR(VLOOKUP(GB329,Lookup!AT$6:AU$8,2,FALSE),0)</f>
        <v>0</v>
      </c>
      <c r="GD329" s="1696" t="b">
        <f>IFERROR(IF(OR(GF329=4,GF329=5,GF329=6),TRUE,FALSE),"")</f>
        <v>0</v>
      </c>
      <c r="GE329" s="1696" t="str">
        <f>IFERROR(VLOOKUP(GF329,GC$6:GD$10,2,FALSE),"")</f>
        <v/>
      </c>
      <c r="GF329" s="1696" t="str">
        <f>VLOOKUP(CW331,Fixtures!R$31:Y$78,8,FALSE)</f>
        <v/>
      </c>
      <c r="GG329" s="1696">
        <f>IF(AND(GA329=TRUE,GD329=TRUE,OR(DQ329=12,DQ329=13,DQ329=14)),GC329+8,0)</f>
        <v>0</v>
      </c>
      <c r="GH329" s="1696" t="b">
        <f>IF(OR(GG329=12,GG329=13,GG329=14),TRUE,FALSE)</f>
        <v>0</v>
      </c>
      <c r="GI329" s="673" t="b">
        <f>IF(ISNUMBER(SEARCH("TLED",U330)),TRUE,FALSE)</f>
        <v>0</v>
      </c>
      <c r="GJ329" s="1135" t="str">
        <f>IFERROR(VLOOKUP(U330,Fixtures!BM$93:BR$142,6,FALSE),"")</f>
        <v/>
      </c>
      <c r="GK329" s="1832" t="b">
        <f>IF(OR(GI329=FALSE,GI331=FALSE),TRUE,IF(GJ329-GJ331&lt;5,FALSE,TRUE))</f>
        <v>1</v>
      </c>
      <c r="GO329" s="674">
        <f>GP329</f>
        <v>0</v>
      </c>
      <c r="GP329" s="674">
        <f>IF(G329="",0,1)</f>
        <v>0</v>
      </c>
      <c r="GQ329" s="674">
        <f ca="1">SUM(GR329:HF329)</f>
        <v>2</v>
      </c>
      <c r="GR329" s="674">
        <f>IF(G330="",0,1)</f>
        <v>0</v>
      </c>
      <c r="GS329" s="674">
        <f>IF(N332="BAM",1,IF(G331="",0,1))</f>
        <v>0</v>
      </c>
      <c r="GT329" s="674">
        <f>IF(N332="BAM",1,IF(R330="",0,1))</f>
        <v>0</v>
      </c>
      <c r="GU329" s="674">
        <f>IF(N332="BAM",1,IF(__Retrofit_TI_NC=0,1,IF(R331="",0,1)))</f>
        <v>1</v>
      </c>
      <c r="GV329" s="674">
        <f>IF(N332="BAM",1,IF(CQ329="Exterior",1,IF(G332="",0,1)))</f>
        <v>1</v>
      </c>
      <c r="GW329" s="674">
        <f>IF(__Retrofit_TI_NC&gt;0,1,IF(T330="",0,1))</f>
        <v>0</v>
      </c>
      <c r="GX329" s="674">
        <f>IF(__Retrofit_TI_NC&gt;0,1,IF(U330="",0,1))</f>
        <v>0</v>
      </c>
      <c r="GY329" s="674">
        <f>IF(N332="BAM",1,IF(T331="",0,1))</f>
        <v>0</v>
      </c>
      <c r="GZ329" s="674">
        <f>IF(N332="BAM",1,IF(U331="",0,1))</f>
        <v>0</v>
      </c>
      <c r="HA329" s="674">
        <f ca="1">IF(N332="BAM",1,IF(__Retrofit_TI_NC&gt;0,1,IF(U332="",0,1)))</f>
        <v>0</v>
      </c>
      <c r="HB329" s="674">
        <f>IF(__Retrofit_TI_NC&lt;&gt;0,1,IF(AF330="",0,1))</f>
        <v>0</v>
      </c>
      <c r="HC329" s="674">
        <f>IF(__Retrofit_TI_NC&lt;&gt;0,1,IF(AG330="",0,1))</f>
        <v>0</v>
      </c>
      <c r="HD329" s="674">
        <f>IF(N332="BAM",1,IF(AF331="",0,1))</f>
        <v>0</v>
      </c>
      <c r="HE329" s="674">
        <f>IF(N332="BAM",1,IF(AG331="",0,1))</f>
        <v>0</v>
      </c>
      <c r="HF329" s="674">
        <f>IF(N332="BAM",1,IF(__Retrofit_TI_NC&gt;0,1,IF(AG332="",0,1)))</f>
        <v>0</v>
      </c>
      <c r="HG329" s="391"/>
      <c r="IA329" s="391"/>
      <c r="IB329" s="1693" t="b">
        <f>IF(OR(IB332=0,IB332=HY$16,IB332=HX$16,IB332=HZ$16),TRUE,FALSE)</f>
        <v>0</v>
      </c>
      <c r="IC329" s="1694" t="b">
        <f>IB329</f>
        <v>0</v>
      </c>
      <c r="ID329" s="391"/>
      <c r="IE329" s="391"/>
      <c r="IF329" s="1688" t="b">
        <f ca="1">IF(MAX(GN332:HU332)&gt;5,FALSE,TRUE)</f>
        <v>0</v>
      </c>
      <c r="IG329" s="1689">
        <f ca="1">IF(IF329=TRUE,AC329,0)</f>
        <v>0</v>
      </c>
      <c r="IH329" s="1689">
        <f ca="1">IG329-IG331</f>
        <v>0</v>
      </c>
      <c r="IK329" s="1689" t="e">
        <f>ROUND(T330*VLOOKUP(U330,Fixtures_Existing_List,2,FALSE)*N330*R330/1000,0)</f>
        <v>#N/A</v>
      </c>
      <c r="IL329" s="1690" t="e">
        <f>IK329-IK331</f>
        <v>#N/A</v>
      </c>
      <c r="IM329" s="1693" t="e">
        <f>ROUND(IF(CQ329="Interior",N331*R331*R330*N330*_C406_reduction/1000,N331*R331*R330*N330/1000),0)</f>
        <v>#N/A</v>
      </c>
      <c r="IN329" s="1693" t="e">
        <f>IM329-IM331</f>
        <v>#N/A</v>
      </c>
      <c r="IP329" s="1679"/>
      <c r="IQ329" s="1679" t="e">
        <f t="shared" ref="IQ329:IU329" si="286">IF($CR329="interior",VLOOKUP($CS329,_New_Control_Savings_Interior,IQ$30,FALSE),VLOOKUP($CS329,Control_Savings_Exterior,IQ$30,FALSE))</f>
        <v>#N/A</v>
      </c>
      <c r="IR329" s="1679" t="e">
        <f t="shared" si="286"/>
        <v>#N/A</v>
      </c>
      <c r="IS329" s="1679" t="e">
        <f t="shared" si="286"/>
        <v>#N/A</v>
      </c>
      <c r="IT329" s="1679" t="e">
        <f t="shared" si="286"/>
        <v>#N/A</v>
      </c>
      <c r="IU329" s="1679" t="e">
        <f t="shared" si="286"/>
        <v>#N/A</v>
      </c>
      <c r="IV329" s="1679" t="e">
        <f>IF($CR329="interior",IF(R330&gt;$IP$14,ROUND(($IV$18*($IP$14/R330)),2),$IV$18),VLOOKUP($CS329,Control_Savings_Exterior,IV$30,FALSE))</f>
        <v>#N/A</v>
      </c>
      <c r="IW329" s="1679" t="e">
        <f>IF($CR329="interior",ROUND(((1-IS329)*IV329)+IS329,2),VLOOKUP($CS329,Control_Savings_Exterior,IW$30,FALSE))</f>
        <v>#N/A</v>
      </c>
      <c r="IX329" s="1679" t="e">
        <f>IF($CR329="interior",ROUND(((1-IT329)*IV329)+IT329,2),VLOOKUP($CS329,Control_Savings_Exterior,IX$30,FALSE))</f>
        <v>#N/A</v>
      </c>
      <c r="IY329" s="1679" t="e">
        <f>IF($CR329="interior",IF(R330&gt;$IP$14,ROUND(($IY$18*($IP$14/R330)),2),$IY$18),VLOOKUP($CS329,Control_Savings_Exterior,IY$30,FALSE))</f>
        <v>#N/A</v>
      </c>
      <c r="IZ329" s="1679" t="e">
        <f>IF($CR329="interior",ROUND(((1-IS329)*IY329)+IS329,2),VLOOKUP($CS329,Control_Savings_Exterior,IZ$30,FALSE))</f>
        <v>#N/A</v>
      </c>
      <c r="JA329" s="1679" t="e">
        <f>IF($CR329="interior",ROUND(((1-IT329)*IY329)+IT329,2),VLOOKUP($CS329,Control_Savings_Exterior,JA$30,FALSE))</f>
        <v>#N/A</v>
      </c>
      <c r="JC329" s="1680">
        <f>IFERROR(IF(CR329="Interior",CONCATENATE(G332," ",FQ329),FQ329),"")</f>
        <v>0</v>
      </c>
      <c r="JD329" s="1670" t="str">
        <f>IFERROR(VLOOKUP(JC329,_Controls_2023,2,FALSE),"")</f>
        <v/>
      </c>
      <c r="JE329" s="1681">
        <f>IFERROR(CHOOSE(JD329-1,IQ329,IR329,IS329,IT329,IU329,IV329,IW329,IX329,IY329,IZ329,JA329),0)</f>
        <v>0</v>
      </c>
      <c r="JG329" s="1680" t="str">
        <f>FE329</f>
        <v xml:space="preserve"> - 0</v>
      </c>
      <c r="JH329" s="1670" t="e">
        <f>$FO329</f>
        <v>#N/A</v>
      </c>
      <c r="JI329" s="1060"/>
      <c r="JJ329" s="1682" t="b">
        <f>IF($JG331=CONCATENATE("Interior - ",JJ$4),TRUE,FALSE)</f>
        <v>0</v>
      </c>
      <c r="JK329" s="1061"/>
      <c r="JL329" s="1682" t="b">
        <f>IF($JG331=CONCATENATE("Interior - ",JL$4),TRUE,FALSE)</f>
        <v>0</v>
      </c>
      <c r="JM329" s="1061"/>
      <c r="JN329" s="1682" t="b">
        <f>IF($JG331=CONCATENATE("Interior - ",JN$4),TRUE,FALSE)</f>
        <v>0</v>
      </c>
      <c r="JO329" s="1061"/>
      <c r="JP329" s="1682" t="b">
        <f>IF(__Retrofit_TI_NC&gt;0,FALSE,IF($JG331=CONCATENATE("Interior - ",JP$4),TRUE,FALSE))</f>
        <v>0</v>
      </c>
      <c r="JQ329" s="1061"/>
      <c r="JR329" s="1682" t="b">
        <f>IF(__Retrofit_TI_NC&gt;0,FALSE,IF($JG331=CONCATENATE("Interior - ",JR$4),TRUE,FALSE))</f>
        <v>0</v>
      </c>
      <c r="JS329" s="1061"/>
      <c r="JT329" s="1670" t="b">
        <f>IF(__Retrofit_TI_NC&gt;0,FALSE,IF($JG331=CONCATENATE("Interior - ",JT$4),TRUE,FALSE))</f>
        <v>0</v>
      </c>
      <c r="JU329" s="1061"/>
      <c r="JV329" s="1670" t="b">
        <f>IF(JC331="AELC on Existing",TRUE,FALSE)</f>
        <v>0</v>
      </c>
      <c r="JX329" s="1670" t="b">
        <f>IF(OR(JG331="Exterior - AELC Occupancy based",JG331="Exterior - AELC Time based"),TRUE,FALSE)</f>
        <v>0</v>
      </c>
      <c r="JZ329" s="1682" t="b">
        <f>IF($JG331=CONCATENATE("Exterior - ",JZ$4),TRUE,FALSE)</f>
        <v>0</v>
      </c>
      <c r="KB329" s="1670" t="b">
        <f>IF(__Retrofit_TI_NC&gt;0,FALSE,IF($JG331=CONCATENATE("Interior - ",KB$4),TRUE,FALSE))</f>
        <v>0</v>
      </c>
    </row>
    <row r="330" spans="1:288" s="78" customFormat="1" ht="14.95" customHeight="1" thickTop="1" thickBot="1">
      <c r="B330" s="1845"/>
      <c r="C330" s="1846"/>
      <c r="D330" s="1847"/>
      <c r="E330" s="1737" t="s">
        <v>297</v>
      </c>
      <c r="F330" s="1738"/>
      <c r="G330" s="1739"/>
      <c r="H330" s="1739"/>
      <c r="I330" s="1739"/>
      <c r="J330" s="1739"/>
      <c r="K330" s="1739"/>
      <c r="L330" s="1739"/>
      <c r="M330" s="461" t="e">
        <f>IF(__Retrofit_TI_NC&lt;&gt;0,IF(VLOOKUP(G331,'Space Table'!$B$3:$L$163,3,FALSE)&gt;0,1,0),IF(__Retrofit_TI_NC=VLOOKUP(G331,'Space Table'!$B$3:$L$163,3,FALSE),1,0))</f>
        <v>#N/A</v>
      </c>
      <c r="N330" s="461" t="str">
        <f>IFERROR(VLOOKUP(G330,_Lookup_Heat_Type_Table_New,2,FALSE),"")</f>
        <v/>
      </c>
      <c r="O330" s="461">
        <f>IF(__Retrofit_TI_NC=1,CONCATENATE("TI ",G330),IF(__Retrofit_TI_NC=2,CONCATENATE("NC ",G330),G330))</f>
        <v>0</v>
      </c>
      <c r="P330" s="1740" t="s">
        <v>435</v>
      </c>
      <c r="Q330" s="1740"/>
      <c r="R330" s="595"/>
      <c r="S330" s="1792"/>
      <c r="T330" s="597"/>
      <c r="U330" s="1765"/>
      <c r="V330" s="1766"/>
      <c r="W330" s="1766"/>
      <c r="X330" s="1766"/>
      <c r="Y330" s="1766"/>
      <c r="Z330" s="1766"/>
      <c r="AA330" s="1766"/>
      <c r="AB330" s="1766"/>
      <c r="AC330" s="1766"/>
      <c r="AD330" s="1767"/>
      <c r="AE330" s="1000"/>
      <c r="AF330" s="597"/>
      <c r="AG330" s="1723"/>
      <c r="AH330" s="1724"/>
      <c r="AI330" s="1724"/>
      <c r="AJ330" s="1724"/>
      <c r="AK330" s="1725"/>
      <c r="AL330" s="996"/>
      <c r="AM330" s="1747"/>
      <c r="AN330" s="1775"/>
      <c r="AO330" s="1777"/>
      <c r="AP330" s="1780"/>
      <c r="AQ330" s="1781"/>
      <c r="AR330" s="1795"/>
      <c r="AS330" s="1795"/>
      <c r="AT330" s="1796"/>
      <c r="AU330" s="1735"/>
      <c r="AV330" s="1752"/>
      <c r="AW330" s="1705"/>
      <c r="AX330" s="467"/>
      <c r="AY330" s="1749"/>
      <c r="AZ330" s="1749"/>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696"/>
      <c r="CQ330" s="1696"/>
      <c r="CR330" s="1809"/>
      <c r="CS330" s="1811"/>
      <c r="CU330" s="1688"/>
      <c r="CV330" s="1703"/>
      <c r="CW330" s="1703"/>
      <c r="CX330" s="1703"/>
      <c r="CY330" s="1815"/>
      <c r="CZ330" s="1711"/>
      <c r="DA330" s="1818"/>
      <c r="DB330" s="1820"/>
      <c r="DC330" s="1820"/>
      <c r="DD330" s="1820"/>
      <c r="DF330" s="1703"/>
      <c r="DG330" s="1831"/>
      <c r="DH330" s="1703"/>
      <c r="DI330" s="1838"/>
      <c r="DJ330" s="1711"/>
      <c r="DK330" s="1712"/>
      <c r="DM330" s="1718"/>
      <c r="DO330" s="1708"/>
      <c r="DQ330" s="1715"/>
      <c r="DR330" s="1720"/>
      <c r="DS330" s="1816"/>
      <c r="DT330" s="1714"/>
      <c r="DU330" s="1715"/>
      <c r="DV330" s="1716"/>
      <c r="DX330" s="1715"/>
      <c r="DY330" s="1720"/>
      <c r="DZ330" s="1715"/>
      <c r="EA330" s="1715"/>
      <c r="EC330" s="1834"/>
      <c r="ED330" s="1834"/>
      <c r="EF330" s="1707"/>
      <c r="EG330" s="1712"/>
      <c r="EH330" s="1818"/>
      <c r="EI330" s="1712"/>
      <c r="EJ330" s="1712"/>
      <c r="EK330" s="1836"/>
      <c r="EL330" s="1836"/>
      <c r="EM330" s="1807"/>
      <c r="EN330" s="1839"/>
      <c r="EO330" s="1839"/>
      <c r="EP330" s="1817"/>
      <c r="EQ330" s="1817"/>
      <c r="ER330" s="1807"/>
      <c r="ES330" s="1807"/>
      <c r="ET330" s="1807"/>
      <c r="EV330" s="1715"/>
      <c r="EX330" s="1805"/>
      <c r="EY330" s="1805"/>
      <c r="EZ330" s="1805"/>
      <c r="FA330" s="1805"/>
      <c r="FB330" s="1805"/>
      <c r="FC330" s="1827"/>
      <c r="FE330" s="1698"/>
      <c r="FG330" s="1816"/>
      <c r="FH330" s="1816"/>
      <c r="FI330" s="133"/>
      <c r="FL330" s="1823"/>
      <c r="FM330" s="1825"/>
      <c r="FN330" s="1698"/>
      <c r="FO330" s="1698"/>
      <c r="FP330" s="1678"/>
      <c r="FQ330" s="1678"/>
      <c r="FS330" s="1687"/>
      <c r="FT330" s="1687"/>
      <c r="FU330" s="1685"/>
      <c r="FV330" s="1687"/>
      <c r="FW330" s="1687"/>
      <c r="FX330" s="1687"/>
      <c r="FY330" s="1697"/>
      <c r="GA330" s="1696"/>
      <c r="GB330" s="1696"/>
      <c r="GC330" s="1696"/>
      <c r="GD330" s="1696"/>
      <c r="GE330" s="1696"/>
      <c r="GF330" s="1696"/>
      <c r="GG330" s="1696"/>
      <c r="GH330" s="1696"/>
      <c r="GI330" s="673"/>
      <c r="GJ330" s="1135"/>
      <c r="GK330" s="1832"/>
      <c r="GM330" s="1693" t="b">
        <f ca="1">IF(AND(GP330=TRUE,GQ330=TRUE),TRUE,FALSE)</f>
        <v>0</v>
      </c>
      <c r="GN330" s="1684" t="b">
        <f>IFERROR(IF(__Retrofit_TI_NC=2,TRUE,IF(AU329="Yes",TRUE,FALSE)),FALSE)</f>
        <v>1</v>
      </c>
      <c r="GP330" s="1684" t="b">
        <f>IFERROR(IF(GP329=1,TRUE,FALSE),FALSE)</f>
        <v>0</v>
      </c>
      <c r="GQ330" s="1684" t="b">
        <f ca="1">IFERROR(IF(GQ329=GQ$14,TRUE,FALSE),FALSE)</f>
        <v>0</v>
      </c>
      <c r="HG330" s="1684" t="b">
        <f>IFERROR(IF(AND(__Retrofit_TI_NC&gt;0,CQ329="Interior"),FALSE,TRUE),FALSE)</f>
        <v>1</v>
      </c>
      <c r="HH330" s="1684" t="b">
        <f>IFERROR(IF(M330=1,TRUE,FALSE),FALSE)</f>
        <v>0</v>
      </c>
      <c r="HI330" s="1684" t="b">
        <f>IFERROR(IF(OR(M331=1,N332="BAM"),TRUE,FALSE),FALSE)</f>
        <v>0</v>
      </c>
      <c r="HJ330" s="1684" t="b">
        <f>IFERROR(IF(__Retrofit_TI_NC&lt;&gt;0,TRUE,IFERROR(IF(VLOOKUP(U330,Fixtures_Existing_List,2,FALSE)&lt;&gt;"",TRUE,FALSE),FALSE)),FALSE)</f>
        <v>0</v>
      </c>
      <c r="HK330" s="1684" t="b">
        <f>IFERROR(IF(VLOOKUP(U331,Fixtures_Proposed_List,2,FALSE)&lt;&gt;"",TRUE,FALSE),FALSE)</f>
        <v>0</v>
      </c>
      <c r="HL330" s="1684" t="b">
        <f>IF(AND(__Retrofit_TI_NC=2,FC329=TRUE),FALSE,TRUE)</f>
        <v>1</v>
      </c>
      <c r="HM330" s="1684" t="b">
        <f>GK329</f>
        <v>1</v>
      </c>
      <c r="HN330" s="1682" t="b">
        <f>IF(ISERROR(MATCH(FE329,_Control_Match[],0))=TRUE,FALSE,TRUE)</f>
        <v>0</v>
      </c>
      <c r="HO330" s="1693" t="b">
        <f>IFERROR(IF(EX329&lt;&gt;EY329,FALSE,TRUE),FALSE)</f>
        <v>1</v>
      </c>
      <c r="HP330" s="1693" t="b">
        <f>IFERROR(IF(EX331&lt;&gt;EY331,FALSE,TRUE),FALSE)</f>
        <v>1</v>
      </c>
      <c r="HQ330" s="1670" t="b">
        <f>IFERROR(IF(CQ329="Exterior",TRUE,IF(AND(OR(FM331=0,FM331=3),JD331&gt;6),FALSE,TRUE)),FALSE)</f>
        <v>0</v>
      </c>
      <c r="HR330" s="1684" t="b">
        <f>IFERROR(IF(AND(FO331=7,FC329=TRUE),FALSE,TRUE),FALSE)</f>
        <v>0</v>
      </c>
      <c r="HS330" s="1684" t="b">
        <f>IFERROR(IF(AND(T331&lt;&gt;AF331,OR(AG331="Interior LLLC", AG331="Interior NLC", AG331="LLLC (outside Daylight)",AG331="LLLC Controls Only"))=TRUE,FALSE,TRUE),FALSE)</f>
        <v>1</v>
      </c>
      <c r="HT330" s="1670" t="b">
        <f>IFERROR(IF(OR(AG331=Lookup!BB$17,AG331=Lookup!BB$18,AG331=Lookup!BB$19)=TRUE,IF(AF331&gt;T331,FALSE,TRUE),TRUE),FALSE)</f>
        <v>1</v>
      </c>
      <c r="HU330" s="1684" t="b">
        <f>IFERROR(IF(__Retrofit_TI_NC=2,IF(EZ331&lt;EZ329,FALSE,TRUE),TRUE),FALSE)</f>
        <v>1</v>
      </c>
      <c r="HV330" s="1684" t="b">
        <f>IF(CQ329="Interior",IL$6,TRUE)</f>
        <v>1</v>
      </c>
      <c r="HW330" s="1684" t="b">
        <f>IF(CQ329="Exterior",IL$8,TRUE)</f>
        <v>1</v>
      </c>
      <c r="HX330" s="1684" t="b">
        <f>IFERROR(IF(__Retrofit_TI_NC&lt;&gt;0,IF(AZ329&lt;AY329,FALSE,TRUE),TRUE),FALSE)</f>
        <v>1</v>
      </c>
      <c r="HY330" s="1684" t="b">
        <f>IFERROR(IF(AND(G330="Exterior",R330&gt;4200),FALSE,TRUE),FALSE)</f>
        <v>1</v>
      </c>
      <c r="HZ330" s="1684" t="b">
        <f>IFERROR(IF(AB332/AB329&lt;HZ$18,FALSE,TRUE),FALSE)</f>
        <v>0</v>
      </c>
      <c r="IB330" s="1691"/>
      <c r="IC330" s="1695"/>
      <c r="ID330" s="1694" t="str">
        <f>VLOOKUP(IB332,_Error_Table,4,FALSE)</f>
        <v>White</v>
      </c>
      <c r="IE330" s="391"/>
      <c r="IF330" s="1688"/>
      <c r="IG330" s="1689"/>
      <c r="IH330" s="1684"/>
      <c r="IK330" s="1689"/>
      <c r="IL330" s="1691"/>
      <c r="IM330" s="1691"/>
      <c r="IN330" s="1691"/>
      <c r="IP330" s="1679"/>
      <c r="IQ330" s="1679"/>
      <c r="IR330" s="1679"/>
      <c r="IS330" s="1679"/>
      <c r="IT330" s="1679"/>
      <c r="IU330" s="1679"/>
      <c r="IV330" s="1679"/>
      <c r="IW330" s="1679"/>
      <c r="IX330" s="1679"/>
      <c r="IY330" s="1679"/>
      <c r="IZ330" s="1679"/>
      <c r="JA330" s="1679"/>
      <c r="JC330" s="1680"/>
      <c r="JD330" s="1670"/>
      <c r="JE330" s="1681"/>
      <c r="JG330" s="1680"/>
      <c r="JH330" s="1670"/>
      <c r="JI330" s="1060"/>
      <c r="JJ330" s="1683"/>
      <c r="JK330" s="1061"/>
      <c r="JL330" s="1683"/>
      <c r="JM330" s="1061"/>
      <c r="JN330" s="1683"/>
      <c r="JO330" s="1061"/>
      <c r="JP330" s="1683"/>
      <c r="JQ330" s="1061"/>
      <c r="JR330" s="1683"/>
      <c r="JS330" s="1061"/>
      <c r="JT330" s="1670"/>
      <c r="JU330" s="1061"/>
      <c r="JV330" s="1670"/>
      <c r="JX330" s="1670"/>
      <c r="JZ330" s="1683"/>
      <c r="KB330" s="1670"/>
    </row>
    <row r="331" spans="1:288" s="78" customFormat="1" ht="14.95" customHeight="1" thickTop="1" thickBot="1">
      <c r="A331" s="78">
        <f>ROW()</f>
        <v>331</v>
      </c>
      <c r="B331" s="1845"/>
      <c r="C331" s="1846"/>
      <c r="D331" s="1847"/>
      <c r="E331" s="1737" t="s">
        <v>298</v>
      </c>
      <c r="F331" s="1738"/>
      <c r="G331" s="1760"/>
      <c r="H331" s="1761"/>
      <c r="I331" s="1761"/>
      <c r="J331" s="1761"/>
      <c r="K331" s="1761"/>
      <c r="L331" s="1762"/>
      <c r="M331" s="461">
        <f>IFERROR(IF(IF(__Retrofit_TI_NC&lt;&gt;0,IF(CQ329="Interior",MATCH(G331,Lookup_Interior_New,0),MATCH(G331,Lookup_Exterior_New,0)),IF(CQ329="Interior",MATCH(G331,Lookup_Interior,0),MATCH(G331,Lookup_Exterior_Areas,0)))&gt;0,1,0),0)</f>
        <v>0</v>
      </c>
      <c r="N331" s="461" t="e">
        <f>IF(__Retrofit_TI_NC=1,
VLOOKUP(G331,'Space Table'!$B$3:$L$163,4,FALSE),
IF(__Retrofit_TI_NC=2,VLOOKUP(G331,'Space Table'!$B$3:$L$163,5,FALSE),VLOOKUP(G331,'Space Table'!$B$3:$L$163,5,FALSE)))</f>
        <v>#N/A</v>
      </c>
      <c r="O331" s="461">
        <f>G331</f>
        <v>0</v>
      </c>
      <c r="P331" s="1738" t="str">
        <f>IFERROR(IF(__Retrofit_TI_NC=1,VLOOKUP(G331,'Space Table'!$B$3:$O$163,13,FALSE),IF(__Retrofit_TI_NC=2,VLOOKUP(G331,'Space Table'!$B$3:$O$163,14,FALSE),"Area (sf):")),"Area (sf):")</f>
        <v>Area (sf):</v>
      </c>
      <c r="Q331" s="1738"/>
      <c r="R331" s="596"/>
      <c r="S331" s="1763" t="s">
        <v>345</v>
      </c>
      <c r="T331" s="594"/>
      <c r="U331" s="1801"/>
      <c r="V331" s="1802"/>
      <c r="W331" s="1802"/>
      <c r="X331" s="1802"/>
      <c r="Y331" s="1802"/>
      <c r="Z331" s="1802"/>
      <c r="AA331" s="1802"/>
      <c r="AB331" s="1802"/>
      <c r="AC331" s="1802"/>
      <c r="AD331" s="1802"/>
      <c r="AE331" s="1803"/>
      <c r="AF331" s="594"/>
      <c r="AG331" s="1787"/>
      <c r="AH331" s="1787"/>
      <c r="AI331" s="1787"/>
      <c r="AJ331" s="1787"/>
      <c r="AK331" s="1787"/>
      <c r="AL331" s="1787"/>
      <c r="AM331" s="1726">
        <f>IFERROR(DI331,"")</f>
        <v>0</v>
      </c>
      <c r="AN331" s="1728" t="str">
        <f>IFERROR(ROUND(AM331*AC332,0),"")</f>
        <v/>
      </c>
      <c r="AO331" s="1730">
        <f>IFERROR(IF(IB329=FALSE,0,AC332-AN331),0)</f>
        <v>0</v>
      </c>
      <c r="AP331" s="1780"/>
      <c r="AQ331" s="1781"/>
      <c r="AR331" s="1795"/>
      <c r="AS331" s="1795"/>
      <c r="AT331" s="1796"/>
      <c r="AU331" s="1735"/>
      <c r="AV331" s="1752"/>
      <c r="AW331" s="1705"/>
      <c r="AX331" s="467"/>
      <c r="AY331" s="1749"/>
      <c r="AZ331" s="1749"/>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696"/>
      <c r="CQ331" s="1696"/>
      <c r="CR331" s="1808" t="str">
        <f>CQ329</f>
        <v/>
      </c>
      <c r="CS331" s="1810" t="str">
        <f>CS329</f>
        <v/>
      </c>
      <c r="CU331" s="1688" t="s">
        <v>345</v>
      </c>
      <c r="CV331" s="1702">
        <f>IF(IB329=TRUE,T331,0)</f>
        <v>0</v>
      </c>
      <c r="CW331" s="1702" t="str">
        <f>IF(IB329=TRUE,U331,"")</f>
        <v/>
      </c>
      <c r="CX331" s="1812">
        <f>IF(IB329=TRUE,U332,0)</f>
        <v>0</v>
      </c>
      <c r="CY331" s="1814">
        <f>IF(IB329=TRUE,AB332,0)</f>
        <v>0</v>
      </c>
      <c r="CZ331" s="1710">
        <f>IF(AND(__Retrofit_TI_NC&gt;0,CR329="interior"),0,IF(IB329=TRUE,AC332,0))</f>
        <v>0</v>
      </c>
      <c r="DA331" s="1818"/>
      <c r="DB331" s="1820"/>
      <c r="DC331" s="1820"/>
      <c r="DD331" s="1820"/>
      <c r="DF331" s="1702">
        <f>IF(IB329=TRUE,AF331,0)</f>
        <v>0</v>
      </c>
      <c r="DG331" s="1830" t="str">
        <f>IF(IB329=TRUE,AG331,"")</f>
        <v/>
      </c>
      <c r="DH331" s="1812">
        <f>AG332</f>
        <v>0</v>
      </c>
      <c r="DI331" s="1837">
        <f>JE331</f>
        <v>0</v>
      </c>
      <c r="DJ331" s="1710">
        <f>IF(AND(__Retrofit_TI_NC&gt;0,CR329="interior"),0,IF(IB329=TRUE,AN331,0))</f>
        <v>0</v>
      </c>
      <c r="DK331" s="1712"/>
      <c r="DN331" s="1717">
        <f>IFERROR(CZ331-DJ331,0)</f>
        <v>0</v>
      </c>
      <c r="DO331" s="1709"/>
      <c r="DQ331" s="1715"/>
      <c r="DR331" s="1719" t="str">
        <f>DQ329</f>
        <v/>
      </c>
      <c r="DS331" s="1816"/>
      <c r="DT331" s="1835" t="str">
        <f>IF(OR(DS329=7,DS329=8,DS329=9),"ALC","")</f>
        <v/>
      </c>
      <c r="DU331" s="1715"/>
      <c r="DV331" s="1716"/>
      <c r="DX331" s="1715"/>
      <c r="DY331" s="1829" t="str">
        <f>DX329</f>
        <v/>
      </c>
      <c r="DZ331" s="1715"/>
      <c r="EA331" s="1715"/>
      <c r="EC331" s="1834"/>
      <c r="ED331" s="1834"/>
      <c r="EF331" s="1707"/>
      <c r="EG331" s="1712"/>
      <c r="EH331" s="1818"/>
      <c r="EI331" s="1712"/>
      <c r="EJ331" s="1712"/>
      <c r="EK331" s="1836"/>
      <c r="EL331" s="1836"/>
      <c r="EM331" s="1807"/>
      <c r="EN331" s="1839"/>
      <c r="EO331" s="1839"/>
      <c r="EP331" s="1817"/>
      <c r="EQ331" s="1817"/>
      <c r="ER331" s="1807"/>
      <c r="ES331" s="1807"/>
      <c r="ET331" s="1807"/>
      <c r="EV331" s="1715"/>
      <c r="EX331" s="1805" t="str">
        <f>IFERROR(VLOOKUP(CS331,'Space Table'!$B$3:$L$163,8,FALSE),"")</f>
        <v/>
      </c>
      <c r="EY331" s="1805" t="str">
        <f>IFERROR(IF(FB331="Yes",VLOOKUP(AG331,Lookup_Control_Type_Table2,4,FALSE),VLOOKUP(AG331,Lookup_Control_Type_Table2,3,FALSE)),"")</f>
        <v/>
      </c>
      <c r="EZ331" s="1805" t="e">
        <f>VLOOKUP(AG331,Lookup!BB$3:BC$20,2,FALSE)</f>
        <v>#N/A</v>
      </c>
      <c r="FA331" s="1805" t="e">
        <f>VLOOKUP(EX329,Lookup_Control_Type_Table,2,FALSE)</f>
        <v>#N/A</v>
      </c>
      <c r="FB331" s="1805" t="e">
        <f>VLOOKUP(CS331,'Space Table'!$B$3:$L$163,7,FALSE)</f>
        <v>#N/A</v>
      </c>
      <c r="FC331" s="1827"/>
      <c r="FE331" s="1698" t="str">
        <f>CONCATENATE(CQ329," - ",AG331)</f>
        <v xml:space="preserve"> - </v>
      </c>
      <c r="FG331" s="1816"/>
      <c r="FH331" s="1816"/>
      <c r="FI331" s="133"/>
      <c r="FL331" s="1822" t="str">
        <f>IF(CQ329="Exterior","Not Daylighted",G332)</f>
        <v>Not Daylighted</v>
      </c>
      <c r="FM331" s="1824">
        <f>VLOOKUP(FL331,_New_Daylight_Table_Codes,2,FALSE)</f>
        <v>0</v>
      </c>
      <c r="FN331" s="1698">
        <f>AG331</f>
        <v>0</v>
      </c>
      <c r="FO331" s="1698" t="e">
        <f>VLOOKUP(FN331,_Control_Table,2,FALSE)</f>
        <v>#N/A</v>
      </c>
      <c r="FP331" s="1678" t="e">
        <f>VLOOKUP(CONCATENATE(FL331," ",FN331),Lookup!AY$102:AZ342,2,FALSE)</f>
        <v>#N/A</v>
      </c>
      <c r="FQ331" s="1698">
        <f>IF(__Retrofit_TI_NC=0,FN331,IF(AND(FT331&gt;0,FN331="Occupancy Sensor"),"Daylight + Occupancy",IF(AND(FT331&gt;0,FO331&lt;4),"Interior Daylight Dimming",FN331)))</f>
        <v>0</v>
      </c>
      <c r="FS331" s="1686">
        <f>IF(CQ329="Interior",VLOOKUP(CS329,Control_Savings_Interior,5,FALSE),0)</f>
        <v>0</v>
      </c>
      <c r="FT331" s="1687">
        <f>IF(CQ331="Exterior",0,IF(FM331=2,0.5,IF(OR(FM331=1,FM331=3),1,0)))</f>
        <v>0</v>
      </c>
      <c r="FU331" s="1685">
        <f>IF(R330&gt;FS$44,(FS331*(FS$44/R330)),FS331)*FT331</f>
        <v>0</v>
      </c>
      <c r="FV331" s="1686">
        <f>DI331</f>
        <v>0</v>
      </c>
      <c r="FW331" s="1686">
        <f>ROUND(FV331+((1-FV331)*FU331),2)</f>
        <v>0</v>
      </c>
      <c r="FX331" s="1686">
        <f>IF(__Retrofit_TI_NC=2,FW331,FV331)</f>
        <v>0</v>
      </c>
      <c r="FY331" s="1697">
        <f>IF(CR331="Interior",VLOOKUP(CS331,Control_Savings_Interior,4,FALSE),0)</f>
        <v>0</v>
      </c>
      <c r="GA331" s="1696"/>
      <c r="GB331" s="1696"/>
      <c r="GC331" s="1696"/>
      <c r="GD331" s="1696"/>
      <c r="GE331" s="1696"/>
      <c r="GF331" s="1696"/>
      <c r="GG331" s="1696"/>
      <c r="GH331" s="1696"/>
      <c r="GI331" s="673" t="b">
        <f>IF(ISNUMBER(SEARCH("TLED",U331)),TRUE,FALSE)</f>
        <v>0</v>
      </c>
      <c r="GJ331" s="1135" t="str">
        <f>IFERROR(VLOOKUP(U331,Fixtures!DM$93:DR$142,6,FALSE),"")</f>
        <v/>
      </c>
      <c r="GK331" s="1832"/>
      <c r="GM331" s="1692"/>
      <c r="GN331" s="1684"/>
      <c r="GP331" s="1684"/>
      <c r="GQ331" s="1684"/>
      <c r="HG331" s="1684"/>
      <c r="HH331" s="1684"/>
      <c r="HI331" s="1684"/>
      <c r="HJ331" s="1684"/>
      <c r="HK331" s="1684"/>
      <c r="HL331" s="1684"/>
      <c r="HM331" s="1684"/>
      <c r="HN331" s="1683"/>
      <c r="HO331" s="1692"/>
      <c r="HP331" s="1692"/>
      <c r="HQ331" s="1670"/>
      <c r="HR331" s="1684"/>
      <c r="HS331" s="1684"/>
      <c r="HT331" s="1670"/>
      <c r="HU331" s="1684"/>
      <c r="HV331" s="1684"/>
      <c r="HW331" s="1684"/>
      <c r="HX331" s="1684"/>
      <c r="HY331" s="1684"/>
      <c r="HZ331" s="1684"/>
      <c r="IB331" s="1692"/>
      <c r="IC331" s="1693" t="b">
        <f>IB329</f>
        <v>0</v>
      </c>
      <c r="ID331" s="1695"/>
      <c r="IE331" s="391"/>
      <c r="IF331" s="1688"/>
      <c r="IG331" s="1689">
        <f ca="1">IF(IF329=TRUE,AC332,0)</f>
        <v>0</v>
      </c>
      <c r="IH331" s="1684"/>
      <c r="IK331" s="1689" t="e">
        <f>ROUND(T331*AB332*N330*R330/1000,0)</f>
        <v>#VALUE!</v>
      </c>
      <c r="IL331" s="1691"/>
      <c r="IM331" s="1693" t="e">
        <f>ROUND(T331*AB332*N330*R330/1000,0)</f>
        <v>#VALUE!</v>
      </c>
      <c r="IN331" s="1691"/>
      <c r="IP331" s="1679"/>
      <c r="IQ331" s="1679" t="e">
        <f t="shared" ref="IQ331:IU331" si="287">IF($CR331="interior",VLOOKUP($CS331,_New_Control_Savings_Interior,IQ$30,FALSE),VLOOKUP($CS331,Control_Savings_Exterior,IQ$30,FALSE))</f>
        <v>#N/A</v>
      </c>
      <c r="IR331" s="1679" t="e">
        <f t="shared" si="287"/>
        <v>#N/A</v>
      </c>
      <c r="IS331" s="1679" t="e">
        <f t="shared" si="287"/>
        <v>#N/A</v>
      </c>
      <c r="IT331" s="1679" t="e">
        <f t="shared" si="287"/>
        <v>#N/A</v>
      </c>
      <c r="IU331" s="1679" t="e">
        <f t="shared" si="287"/>
        <v>#N/A</v>
      </c>
      <c r="IV331" s="1679" t="e">
        <f>IF($CR331="interior",IF(R330&gt;$IP$14,ROUND(($IV$18*($IP$14/R330)),2),$IV$18),VLOOKUP($CS331,Control_Savings_Exterior,IV$30,FALSE))</f>
        <v>#N/A</v>
      </c>
      <c r="IW331" s="1679" t="e">
        <f>IF($CR331="interior",ROUND(((1-IS331)*IV331)+IS331,2),VLOOKUP($CS331,Control_Savings_Exterior,IW$30,FALSE))</f>
        <v>#N/A</v>
      </c>
      <c r="IX331" s="1679" t="e">
        <f>IF($CR331="interior",ROUND(((1-IT331)*IV331)+IT331,2),VLOOKUP($CS331,Control_Savings_Exterior,IX$30,FALSE))</f>
        <v>#N/A</v>
      </c>
      <c r="IY331" s="1679" t="e">
        <f>IF($CR331="interior",IF(R330&gt;$IP$14,ROUND(($IY$18*($IP$14/R330)),2),$IY$18),VLOOKUP($CS331,Control_Savings_Exterior,IY$30,FALSE))</f>
        <v>#N/A</v>
      </c>
      <c r="IZ331" s="1679" t="e">
        <f>IF($CR331="interior",ROUND(((1-IS331)*IY331)+IS331,2),VLOOKUP($CS331,Control_Savings_Exterior,IZ$30,FALSE))</f>
        <v>#N/A</v>
      </c>
      <c r="JA331" s="1679" t="e">
        <f>IF($CR331="interior",ROUND(((1-IT331)*IY331)+IT331,2),VLOOKUP($CS331,Control_Savings_Exterior,JA$30,FALSE))</f>
        <v>#N/A</v>
      </c>
      <c r="JC331" s="1680">
        <f>IFERROR(IF(CR331="Interior",CONCATENATE(G332," ",FQ331),AG331),"")</f>
        <v>0</v>
      </c>
      <c r="JD331" s="1670" t="str">
        <f>IFERROR(VLOOKUP(JC331,_Controls_2023,2,FALSE),"")</f>
        <v/>
      </c>
      <c r="JE331" s="1681">
        <f>IFERROR(CHOOSE(JD331-1,IQ331,IR331,IS331,IT331,IU331,IV331,IW331,IX331,IY331,IZ331,JA331),0)</f>
        <v>0</v>
      </c>
      <c r="JG331" s="1680" t="str">
        <f>FE331</f>
        <v xml:space="preserve"> - </v>
      </c>
      <c r="JH331" s="1670" t="e">
        <f>$FO331</f>
        <v>#N/A</v>
      </c>
      <c r="JI331" s="1060"/>
      <c r="JJ331" s="1670">
        <f>IFERROR(IF($IB329=TRUE,IF(OR(JJ$14="No",JJ329=FALSE,JH331&lt;=JH329,AND(_kWh_Grant=0,GD329=FALSE)),0,IF(JJ$8="Per Line",1,$AF331)),0),0)</f>
        <v>0</v>
      </c>
      <c r="JK331" s="1061"/>
      <c r="JL331" s="1670">
        <f>IFERROR(IF(_kWh_Grant=0,0,IF($IB329=TRUE,IF(OR(JL$14="No",JL329=FALSE,JH331&lt;=JH329),0,IF(JL$8="Per Line",1,$T331)),0)),0)</f>
        <v>0</v>
      </c>
      <c r="JM331" s="1061"/>
      <c r="JN331" s="1670">
        <f>IFERROR(IF(_kWh_Grant=0,0,IF($IB329=TRUE,IF(OR(JN$14="No",JN329=FALSE,JH331&lt;=JH329),0,IF(JN$8="Per Line",1,$AF331)),0)),0)</f>
        <v>0</v>
      </c>
      <c r="JO331" s="1061"/>
      <c r="JP331" s="1670">
        <f>IFERROR(IF(__Retrofit_TI_NC=0,IF(_kWh_Grant=0,0,IF($IB329=TRUE,IF(OR(JP$14="No",JP329=FALSE,$JH331&lt;=$JH329),0,IF(JP$8="Per Line",1,$AF331)),0)),IF($IB329=TRUE,IF(OR(JP$14="No",JP329=FALSE,$JH331&lt;=$JH329),0,IF(JP$8="Per Line",1,$AF331)))),0)</f>
        <v>0</v>
      </c>
      <c r="JQ331" s="1061"/>
      <c r="JR331" s="1670">
        <f>IFERROR(IF(__Retrofit_TI_NC=0,IF(_kWh_Grant=0,0,IF($IB329=TRUE,IF(OR(JR$14="No",JR329=FALSE,$JH331&lt;=$JH329),0,IF(JR$8="Per Line",1,$AF331)),0)),IF($IB329=TRUE,IF(OR(JR$14="No",JR329=FALSE,$JH331&lt;=$JH329),0,IF(JR$8="Per Line",1,$AF331)))),0)</f>
        <v>0</v>
      </c>
      <c r="JS331" s="1061"/>
      <c r="JT331" s="1670">
        <f>IFERROR(IF(__Retrofit_TI_NC=0,IF(_kWh_Grant=0,0,IF($IB329=TRUE,IF(OR(JT$14="No",JT329=FALSE,$JH331&lt;=$JH329),0,IF(JT$8="Per Line",1,$AF331)),0)),IF($IB329=TRUE,IF(OR(JT$14="No",JT329=FALSE,$JH331&lt;=$JH329),0,IF(JT$8="Per Line",1,$AF331)))),0)</f>
        <v>0</v>
      </c>
      <c r="JU331" s="1061"/>
      <c r="JV331" s="1670">
        <f>IFERROR(IF(__Retrofit_TI_NC=0,IF(_kWh_Grant=0,0,IF($IB329=TRUE,IF(OR(JV$14="No",JV329=FALSE,$JH331&lt;=$JH329),0,IF(JV$8="Per Line",1,$AF331)),0)),IF($IB329=TRUE,IF(OR(JV$14="No",JV329=FALSE,$JH331&lt;=$JH329),0,IF(JV$8="Per Line",1,$AF331)))),0)</f>
        <v>0</v>
      </c>
      <c r="JX331" s="1670">
        <f>IFERROR(IF(__Retrofit_TI_NC=0,IF(_kWh_Grant=0,0,IF($IB329=TRUE,IF(OR(JX$14="No",JX329=FALSE,$JH331&lt;=$JH329),0,IF(JX$8="Per Line",1,$AF331)),0)),IF($IB329=TRUE,IF(OR(JX$14="No",JX329=FALSE,$JH331&lt;=$JH329),0,IF(JX$8="Per Line",1,$AF331)))),0)</f>
        <v>0</v>
      </c>
      <c r="JZ331" s="1670">
        <f>IFERROR(IF($IB329=TRUE,IF(OR(JZ$14="No",JZ329=FALSE,$JH331&lt;=$JH329,AND(_kWh_Grant=0,$GD329=FALSE)),0,IF(JZ$8="Per Line",1,$AF331)),0),0)</f>
        <v>0</v>
      </c>
      <c r="KB331" s="1670">
        <f>IFERROR(IF(__Retrofit_TI_NC=0,IF(_kWh_Grant=0,0,IF($IB329=TRUE,IF(OR(KB$14="No",KB329=FALSE,$JH331&lt;=$JH329),0,IF(KB$8="Per Line",1,$AF331)),0)),IF($IB329=TRUE,IF(OR(KB$14="No",KB329=FALSE,$JH331&lt;=$JH329),0,IF(KB$8="Per Line",1,$AF331)))),0)</f>
        <v>0</v>
      </c>
    </row>
    <row r="332" spans="1:288" s="78" customFormat="1" ht="14.95" customHeight="1" thickTop="1" thickBot="1">
      <c r="B332" s="1845"/>
      <c r="C332" s="1846"/>
      <c r="D332" s="1847"/>
      <c r="E332" s="1771" t="s">
        <v>436</v>
      </c>
      <c r="F332" s="1772"/>
      <c r="G332" s="1784" t="s">
        <v>437</v>
      </c>
      <c r="H332" s="1785"/>
      <c r="I332" s="1785"/>
      <c r="J332" s="1785"/>
      <c r="K332" s="1785"/>
      <c r="L332" s="1786"/>
      <c r="M332" s="591">
        <f>IFERROR(VLOOKUP(G332,_Daylight_Table[],2,FALSE),0)</f>
        <v>0</v>
      </c>
      <c r="N332" s="592" t="str">
        <f>IF(AND(__Retrofit_TI_NC&gt;0,CQ329="Interior"),"BAM","")</f>
        <v/>
      </c>
      <c r="O332" s="591" t="e">
        <f>VLOOKUP(G331,'Space Table'!$B$3:$L$163,11,FALSE)</f>
        <v>#N/A</v>
      </c>
      <c r="P332" s="1789"/>
      <c r="Q332" s="1790"/>
      <c r="R332" s="1790"/>
      <c r="S332" s="1788"/>
      <c r="T332" s="593" t="s">
        <v>342</v>
      </c>
      <c r="U332" s="1756" t="str" cm="1">
        <f t="array" aca="1" ref="U332" ca="1">IFERROR(VLOOKUP(INDIRECT("U" &amp; ROW()-1),Fixtures!DM$93:DP$142,4,FALSE),"")</f>
        <v/>
      </c>
      <c r="V332" s="1757"/>
      <c r="W332" s="1757"/>
      <c r="X332" s="1757"/>
      <c r="Y332" s="1757"/>
      <c r="Z332" s="1757"/>
      <c r="AA332" s="1758"/>
      <c r="AB332" s="939" t="str">
        <f>IFERROR(VLOOKUP(U331,Fixtures_Proposed_List,2,FALSE),"")</f>
        <v/>
      </c>
      <c r="AC332" s="933" t="str">
        <f>IFERROR(ROUND(T331*AB332*N330*R330/1000,0),"")</f>
        <v/>
      </c>
      <c r="AD332" s="934" t="str">
        <f>IFERROR(ROUND(T331*AB332/1000,2),"")</f>
        <v/>
      </c>
      <c r="AE332" s="998"/>
      <c r="AF332" s="938" t="s">
        <v>342</v>
      </c>
      <c r="AG332" s="1770"/>
      <c r="AH332" s="1770"/>
      <c r="AI332" s="1770"/>
      <c r="AJ332" s="1770"/>
      <c r="AK332" s="1770"/>
      <c r="AL332" s="1770"/>
      <c r="AM332" s="1727"/>
      <c r="AN332" s="1729"/>
      <c r="AO332" s="1731"/>
      <c r="AP332" s="1782"/>
      <c r="AQ332" s="1783"/>
      <c r="AR332" s="1797"/>
      <c r="AS332" s="1797"/>
      <c r="AT332" s="1798"/>
      <c r="AU332" s="1736"/>
      <c r="AV332" s="1753"/>
      <c r="AW332" s="1706"/>
      <c r="AX332" s="468"/>
      <c r="AY332" s="1750"/>
      <c r="AZ332" s="1750"/>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696"/>
      <c r="CQ332" s="1696"/>
      <c r="CR332" s="1809"/>
      <c r="CS332" s="1811"/>
      <c r="CU332" s="1688"/>
      <c r="CV332" s="1703"/>
      <c r="CW332" s="1703"/>
      <c r="CX332" s="1813"/>
      <c r="CY332" s="1815"/>
      <c r="CZ332" s="1711"/>
      <c r="DA332" s="1815"/>
      <c r="DB332" s="1821"/>
      <c r="DC332" s="1821"/>
      <c r="DD332" s="1821"/>
      <c r="DF332" s="1703"/>
      <c r="DG332" s="1831"/>
      <c r="DH332" s="1813"/>
      <c r="DI332" s="1838"/>
      <c r="DJ332" s="1711"/>
      <c r="DK332" s="1712"/>
      <c r="DN332" s="1718"/>
      <c r="DO332" s="1709"/>
      <c r="DQ332" s="1715"/>
      <c r="DR332" s="1720"/>
      <c r="DS332" s="1703"/>
      <c r="DT332" s="1714"/>
      <c r="DU332" s="1715"/>
      <c r="DV332" s="1716"/>
      <c r="DX332" s="1715"/>
      <c r="DY332" s="1720"/>
      <c r="DZ332" s="1715"/>
      <c r="EA332" s="1715"/>
      <c r="EC332" s="1834"/>
      <c r="ED332" s="1834"/>
      <c r="EF332" s="1707"/>
      <c r="EG332" s="1712"/>
      <c r="EH332" s="1815"/>
      <c r="EI332" s="1712"/>
      <c r="EJ332" s="1712"/>
      <c r="EK332" s="1813"/>
      <c r="EL332" s="1813"/>
      <c r="EM332" s="1807"/>
      <c r="EN332" s="1839"/>
      <c r="EO332" s="1839"/>
      <c r="EP332" s="1817"/>
      <c r="EQ332" s="1817"/>
      <c r="ER332" s="1807"/>
      <c r="ES332" s="1807"/>
      <c r="ET332" s="1807"/>
      <c r="EV332" s="1715"/>
      <c r="EX332" s="1806"/>
      <c r="EY332" s="1806"/>
      <c r="EZ332" s="1806"/>
      <c r="FA332" s="1806"/>
      <c r="FB332" s="1806"/>
      <c r="FC332" s="1828"/>
      <c r="FE332" s="1698"/>
      <c r="FG332" s="1703"/>
      <c r="FH332" s="1703"/>
      <c r="FI332" s="133"/>
      <c r="FL332" s="1823"/>
      <c r="FM332" s="1825"/>
      <c r="FN332" s="1698"/>
      <c r="FO332" s="1698"/>
      <c r="FP332" s="1678"/>
      <c r="FQ332" s="1698"/>
      <c r="FS332" s="1687"/>
      <c r="FT332" s="1687"/>
      <c r="FU332" s="1685"/>
      <c r="FV332" s="1687"/>
      <c r="FW332" s="1687"/>
      <c r="FX332" s="1687"/>
      <c r="FY332" s="1697"/>
      <c r="GA332" s="1696"/>
      <c r="GB332" s="1696"/>
      <c r="GC332" s="1696"/>
      <c r="GD332" s="1696"/>
      <c r="GE332" s="1696"/>
      <c r="GF332" s="1696"/>
      <c r="GG332" s="1696"/>
      <c r="GH332" s="1696"/>
      <c r="GI332" s="673"/>
      <c r="GJ332" s="1135"/>
      <c r="GK332" s="1832"/>
      <c r="GN332" s="674">
        <f>IF(GN330=TRUE,0,GN$16)</f>
        <v>0</v>
      </c>
      <c r="GP332" s="674">
        <f>IF(GP330=TRUE,0,GP$16)</f>
        <v>36</v>
      </c>
      <c r="GQ332" s="674">
        <f ca="1">IF(GQ330=TRUE,0,GQ$16)</f>
        <v>35</v>
      </c>
      <c r="GR332" s="391"/>
      <c r="GS332" s="391"/>
      <c r="GT332" s="391"/>
      <c r="GU332" s="391"/>
      <c r="GV332" s="391"/>
      <c r="HG332" s="674">
        <f>IF(HG330=TRUE,0,HG$16)</f>
        <v>0</v>
      </c>
      <c r="HH332" s="674">
        <f t="shared" ref="HH332:HM332" si="288">IF(HH330=TRUE,0,HH$16)</f>
        <v>19</v>
      </c>
      <c r="HI332" s="674">
        <f t="shared" si="288"/>
        <v>18</v>
      </c>
      <c r="HJ332" s="674">
        <f t="shared" si="288"/>
        <v>17</v>
      </c>
      <c r="HK332" s="674">
        <f t="shared" si="288"/>
        <v>16</v>
      </c>
      <c r="HL332" s="674">
        <f t="shared" si="288"/>
        <v>0</v>
      </c>
      <c r="HM332" s="674">
        <f t="shared" si="288"/>
        <v>0</v>
      </c>
      <c r="HN332" s="674">
        <f>IF(HN330=TRUE,0,HN$16)</f>
        <v>13</v>
      </c>
      <c r="HO332" s="674">
        <f t="shared" ref="HO332:HQ332" si="289">IF(HO330=TRUE,0,HO$16)</f>
        <v>0</v>
      </c>
      <c r="HP332" s="674">
        <f t="shared" si="289"/>
        <v>0</v>
      </c>
      <c r="HQ332" s="674">
        <f t="shared" si="289"/>
        <v>10</v>
      </c>
      <c r="HR332" s="674">
        <f>IF(HR330=TRUE,0,HR$16)</f>
        <v>9</v>
      </c>
      <c r="HS332" s="674">
        <f t="shared" ref="HS332:HW332" si="290">IF(HS330=TRUE,0,HS$16)</f>
        <v>0</v>
      </c>
      <c r="HT332" s="674">
        <f t="shared" si="290"/>
        <v>0</v>
      </c>
      <c r="HU332" s="674">
        <f t="shared" si="290"/>
        <v>0</v>
      </c>
      <c r="HV332" s="674">
        <f t="shared" si="290"/>
        <v>0</v>
      </c>
      <c r="HW332" s="674">
        <f t="shared" si="290"/>
        <v>0</v>
      </c>
      <c r="HX332" s="674">
        <f>IF(HX330=TRUE,0,HX$16)</f>
        <v>0</v>
      </c>
      <c r="HY332" s="674">
        <f>IF(HY330=TRUE,0,HY$16)</f>
        <v>0</v>
      </c>
      <c r="HZ332" s="674">
        <f>IF(HZ330=TRUE,0,HZ$16)</f>
        <v>1</v>
      </c>
      <c r="IB332" s="674">
        <f>IF(GP330=FALSE,GP332,IF(GQ330=FALSE,GQ332,MAX(GN332:HZ332)))</f>
        <v>36</v>
      </c>
      <c r="IC332" s="1692"/>
      <c r="ID332" s="205" t="str">
        <f>VLOOKUP(IB332,_Error_Table,3,FALSE)</f>
        <v xml:space="preserve"> </v>
      </c>
      <c r="IE332" s="205"/>
      <c r="IF332" s="1688"/>
      <c r="IG332" s="1689"/>
      <c r="IH332" s="1684"/>
      <c r="IK332" s="1689"/>
      <c r="IL332" s="1692"/>
      <c r="IM332" s="1692"/>
      <c r="IN332" s="1692"/>
      <c r="IP332" s="1679"/>
      <c r="IQ332" s="1679"/>
      <c r="IR332" s="1679"/>
      <c r="IS332" s="1679"/>
      <c r="IT332" s="1679"/>
      <c r="IU332" s="1679"/>
      <c r="IV332" s="1679"/>
      <c r="IW332" s="1679"/>
      <c r="IX332" s="1679"/>
      <c r="IY332" s="1679"/>
      <c r="IZ332" s="1679"/>
      <c r="JA332" s="1679"/>
      <c r="JC332" s="1680"/>
      <c r="JD332" s="1670"/>
      <c r="JE332" s="1681"/>
      <c r="JG332" s="1680"/>
      <c r="JH332" s="1670"/>
      <c r="JI332" s="1060"/>
      <c r="JJ332" s="1670"/>
      <c r="JK332" s="1061"/>
      <c r="JL332" s="1670"/>
      <c r="JM332" s="1061"/>
      <c r="JN332" s="1670"/>
      <c r="JO332" s="1061"/>
      <c r="JP332" s="1670"/>
      <c r="JQ332" s="1061"/>
      <c r="JR332" s="1670"/>
      <c r="JS332" s="1061"/>
      <c r="JT332" s="1670"/>
      <c r="JU332" s="1061"/>
      <c r="JV332" s="1670"/>
      <c r="JX332" s="1670"/>
      <c r="JZ332" s="1670"/>
      <c r="KB332" s="1670"/>
    </row>
    <row r="333" spans="1:288" s="78" customFormat="1" ht="4.95" customHeight="1">
      <c r="B333" s="676"/>
      <c r="C333" s="392"/>
      <c r="D333" s="392"/>
      <c r="E333" s="1733"/>
      <c r="F333" s="1733"/>
      <c r="G333" s="1733"/>
      <c r="H333" s="1733"/>
      <c r="I333" s="1733"/>
      <c r="J333" s="1733"/>
      <c r="K333" s="1733"/>
      <c r="L333" s="1733"/>
      <c r="M333" s="1733"/>
      <c r="N333" s="1733"/>
      <c r="O333" s="1733"/>
      <c r="P333" s="1733"/>
      <c r="Q333" s="1733"/>
      <c r="R333" s="1733"/>
      <c r="S333" s="1733"/>
      <c r="T333" s="1733"/>
      <c r="U333" s="1733"/>
      <c r="V333" s="1733"/>
      <c r="W333" s="1733"/>
      <c r="X333" s="1733"/>
      <c r="Y333" s="1733"/>
      <c r="Z333" s="1733"/>
      <c r="AA333" s="1733"/>
      <c r="AB333" s="1733"/>
      <c r="AC333" s="1733"/>
      <c r="AD333" s="1733"/>
      <c r="AE333" s="1733"/>
      <c r="AF333" s="1733"/>
      <c r="AG333" s="1733"/>
      <c r="AH333" s="1733"/>
      <c r="AI333" s="1733"/>
      <c r="AJ333" s="1733"/>
      <c r="AK333" s="1733"/>
      <c r="AL333" s="1733"/>
      <c r="AM333" s="1733"/>
      <c r="AN333" s="1733"/>
      <c r="AO333" s="1733"/>
      <c r="AP333" s="1733"/>
      <c r="AQ333" s="1733"/>
      <c r="AR333" s="1733"/>
      <c r="AS333" s="1733"/>
      <c r="AT333" s="1733"/>
      <c r="AU333" s="1733"/>
      <c r="AV333" s="1733"/>
      <c r="AW333" s="1733"/>
      <c r="AX333" s="469"/>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663"/>
      <c r="CQ333" s="663"/>
      <c r="CR333" s="438"/>
      <c r="CS333" s="663"/>
      <c r="CV333" s="391"/>
      <c r="CW333" s="391"/>
      <c r="CX333" s="207"/>
      <c r="CY333" s="208"/>
      <c r="CZ333" s="208"/>
      <c r="DA333" s="208"/>
      <c r="DB333" s="209"/>
      <c r="DC333" s="209"/>
      <c r="DD333" s="209"/>
      <c r="DF333" s="664"/>
      <c r="DG333" s="665"/>
      <c r="DH333" s="666"/>
      <c r="DI333" s="667"/>
      <c r="DJ333" s="668"/>
      <c r="DK333" s="668"/>
      <c r="DN333" s="208"/>
      <c r="DO333" s="664"/>
      <c r="DQ333" s="664"/>
      <c r="DR333" s="669"/>
      <c r="DS333" s="391"/>
      <c r="DT333" s="664"/>
      <c r="DU333" s="664"/>
      <c r="DV333" s="664"/>
      <c r="DX333" s="664"/>
      <c r="DY333" s="664"/>
      <c r="DZ333" s="664"/>
      <c r="EA333" s="664"/>
      <c r="EC333" s="670"/>
      <c r="ED333" s="670"/>
      <c r="EF333" s="668"/>
      <c r="EG333" s="668"/>
      <c r="EH333" s="208"/>
      <c r="EI333" s="668"/>
      <c r="EJ333" s="668"/>
      <c r="EK333" s="207"/>
      <c r="EL333" s="207"/>
      <c r="EM333" s="666"/>
      <c r="EN333" s="671"/>
      <c r="EO333" s="671"/>
      <c r="EP333" s="672"/>
      <c r="EQ333" s="672"/>
      <c r="ER333" s="666"/>
      <c r="ES333" s="666"/>
      <c r="ET333" s="666"/>
      <c r="EV333" s="664"/>
      <c r="EX333" s="391"/>
      <c r="EY333" s="391"/>
      <c r="EZ333" s="391"/>
      <c r="FA333" s="391"/>
      <c r="FB333" s="391"/>
      <c r="FC333" s="391"/>
      <c r="FE333" s="569"/>
      <c r="FG333" s="391"/>
      <c r="FH333" s="391"/>
      <c r="FI333" s="391"/>
      <c r="FS333" s="664"/>
      <c r="FT333" s="391"/>
      <c r="FU333" s="391"/>
      <c r="FV333" s="664"/>
      <c r="FW333" s="664"/>
      <c r="GA333" s="663"/>
      <c r="GB333" s="663"/>
      <c r="GC333" s="663"/>
      <c r="GD333" s="663"/>
      <c r="GE333" s="663"/>
      <c r="GF333" s="663"/>
      <c r="GG333" s="663"/>
      <c r="GH333" s="663"/>
      <c r="GI333" s="665"/>
      <c r="GJ333" s="664"/>
      <c r="GK333" s="664"/>
    </row>
    <row r="334" spans="1:288" s="78" customFormat="1" ht="14.95" customHeight="1">
      <c r="B334" s="1845" t="str">
        <f>ID337</f>
        <v xml:space="preserve"> </v>
      </c>
      <c r="C334" s="1846">
        <f>C329+1</f>
        <v>56</v>
      </c>
      <c r="D334" s="1847"/>
      <c r="E334" s="1799" t="s">
        <v>295</v>
      </c>
      <c r="F334" s="1800"/>
      <c r="G334" s="1741"/>
      <c r="H334" s="1742"/>
      <c r="I334" s="1742"/>
      <c r="J334" s="1742"/>
      <c r="K334" s="1742"/>
      <c r="L334" s="1742"/>
      <c r="M334" s="1742"/>
      <c r="N334" s="1742"/>
      <c r="O334" s="1742"/>
      <c r="P334" s="1742"/>
      <c r="Q334" s="1742"/>
      <c r="R334" s="1742"/>
      <c r="S334" s="1791" t="s">
        <v>344</v>
      </c>
      <c r="T334" s="590"/>
      <c r="U334" s="1743"/>
      <c r="V334" s="1744"/>
      <c r="W334" s="1744"/>
      <c r="X334" s="1744"/>
      <c r="Y334" s="1744"/>
      <c r="Z334" s="1744"/>
      <c r="AA334" s="1744"/>
      <c r="AB334" s="961" t="str">
        <f>IFERROR(IF(__Retrofit_TI_NC=0,VLOOKUP(U335,Fixtures_Existing_List,2,FALSE),ROUND(N336*R336/T336,10)),"")</f>
        <v/>
      </c>
      <c r="AC334" s="935" t="str">
        <f>IFERROR(IF(__Retrofit_TI_NC=0,ROUND(T335*AB334*N335*R335/1000,0),IF(CQ334="Interior",N336*R336*R335*N335*_C406_reduction/1000,N336*R336*R335*N335/1000)),"")</f>
        <v/>
      </c>
      <c r="AD334" s="936" t="str">
        <f>IFERROR(IF(C$43=0,ROUND(T335*AB334/1000,2),N336*R336/1000),"")</f>
        <v/>
      </c>
      <c r="AE334" s="997"/>
      <c r="AF334" s="937"/>
      <c r="AG334" s="1745" t="str">
        <f>IF(__Retrofit_TI_NC=0," Control","Select Advanced Control for New System")</f>
        <v xml:space="preserve"> Control</v>
      </c>
      <c r="AH334" s="1745"/>
      <c r="AI334" s="1745"/>
      <c r="AJ334" s="1745"/>
      <c r="AK334" s="1745"/>
      <c r="AL334" s="1745"/>
      <c r="AM334" s="1746">
        <f>IFERROR(DI334,"")</f>
        <v>0</v>
      </c>
      <c r="AN334" s="1774" t="str">
        <f>IFERROR(ROUND(AM334*AC334,0),"")</f>
        <v/>
      </c>
      <c r="AO334" s="1776">
        <f>IFERROR(IF(IB334=FALSE,0,AC334-AN334),0)</f>
        <v>0</v>
      </c>
      <c r="AP334" s="1778">
        <f>AO334-AO336</f>
        <v>0</v>
      </c>
      <c r="AQ334" s="1779"/>
      <c r="AR334" s="1793">
        <f>IFERROR(IF(IB334=FALSE,0,(T336*U337)+(AF336*AG337)),0)</f>
        <v>0</v>
      </c>
      <c r="AS334" s="1793"/>
      <c r="AT334" s="1794"/>
      <c r="AU334" s="1734" t="s">
        <v>237</v>
      </c>
      <c r="AV334" s="1751">
        <f>IF(AU334="Yes",1,0)</f>
        <v>1</v>
      </c>
      <c r="AW334" s="1704" t="str">
        <f>IF(OR(DQ334=4,DQ334=5,DQ334=6,DQ334=12),CONCATENATE("$",IF(GH334=TRUE,Lookup!$K$10,Lookup!$K$2)," /lamp"),CONCATENATE(TEXT(ED334,"$0.00"),"/ kWh"))</f>
        <v>$0.00/ kWh</v>
      </c>
      <c r="AX334" s="467"/>
      <c r="AY334" s="1748">
        <f ca="1">IFERROR(IF(GM335=TRUE,(AB337*T336)/R336,0),"NA")</f>
        <v>0</v>
      </c>
      <c r="AZ334" s="1748"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696" t="str">
        <f>N335</f>
        <v/>
      </c>
      <c r="CQ334" s="1696" t="str">
        <f>IFERROR(VLOOKUP(G335,_Lookup_Heat_Type_Table_New,3,FALSE),"")</f>
        <v/>
      </c>
      <c r="CR334" s="1808" t="str">
        <f>CQ334</f>
        <v/>
      </c>
      <c r="CS334" s="1810" t="str">
        <f>IFERROR(VLOOKUP(G336,'Space Table'!$B$3:$L$163,9,FALSE),"")</f>
        <v/>
      </c>
      <c r="CU334" s="1688" t="s">
        <v>344</v>
      </c>
      <c r="CV334" s="1702">
        <f>IF(IB334=TRUE,T335,0)</f>
        <v>0</v>
      </c>
      <c r="CW334" s="1702" t="str">
        <f>IF(IB334=TRUE,U335,"")</f>
        <v/>
      </c>
      <c r="CX334" s="1702"/>
      <c r="CY334" s="1814">
        <f>IF(IB334=TRUE,AB334,0)</f>
        <v>0</v>
      </c>
      <c r="CZ334" s="1710">
        <f>IF(AND(__Retrofit_TI_NC&gt;0,CR334="interior"),0,IF(IB334=TRUE,AC334,0))</f>
        <v>0</v>
      </c>
      <c r="DA334" s="1814">
        <f>IFERROR(IF(IB334=TRUE,CZ334-CZ336,0),0)</f>
        <v>0</v>
      </c>
      <c r="DB334" s="1819">
        <f>IF(IB334=TRUE,AD334,0)</f>
        <v>0</v>
      </c>
      <c r="DC334" s="1819">
        <f>IF(IB334=TRUE,AD337,0)</f>
        <v>0</v>
      </c>
      <c r="DD334" s="1819">
        <f>IFERROR(DB334-DC334,0)</f>
        <v>0</v>
      </c>
      <c r="DF334" s="1702">
        <f>IF(IB334=TRUE,AF335,0)</f>
        <v>0</v>
      </c>
      <c r="DG334" s="1830">
        <f>IFERROR(IF(__Retrofit_TI_NC=2,IF(CQ334="Exterior",O337,FQ334),FN334),"")</f>
        <v>0</v>
      </c>
      <c r="DH334" s="1702"/>
      <c r="DI334" s="1837">
        <f>JE334</f>
        <v>0</v>
      </c>
      <c r="DJ334" s="1710">
        <f>IF(AND(__Retrofit_TI_NC&gt;0,CR334="interior"),0,IF(IB334=TRUE,AN334,0))</f>
        <v>0</v>
      </c>
      <c r="DK334" s="1712">
        <f>IFERROR(IF(IB334=TRUE,DJ336-DJ334,0),0)</f>
        <v>0</v>
      </c>
      <c r="DM334" s="1717">
        <f>IFERROR(CZ334-DJ334,0)</f>
        <v>0</v>
      </c>
      <c r="DO334" s="1708">
        <f>DM334-DN336</f>
        <v>0</v>
      </c>
      <c r="DQ334" s="1715" t="str">
        <f>IFERROR(IF(AND(OR(GC334=4,GC334=5,GC334=6),OR(GF334=4,GF334=5,GF334=6)),GC334+8,VLOOKUP(CW336,Fixtures!R$31:Y$78,8,FALSE)),"")</f>
        <v/>
      </c>
      <c r="DR334" s="1829" t="str">
        <f>DQ334</f>
        <v/>
      </c>
      <c r="DS334" s="1702" t="str">
        <f>IFERROR(VLOOKUP(DG336,Lookup!BB$3:BC$20,2,FALSE),"")</f>
        <v/>
      </c>
      <c r="DT334" s="1713" t="str">
        <f>IF(OR(DS334=7,DS334=8,DS334=9),"ALC","")</f>
        <v/>
      </c>
      <c r="DU334" s="1715">
        <f>IFERROR(IF(OR(DQ334=4,DQ334=5,DQ334=6,DQ334=12,DQ334=13,DQ334=14),VLOOKUP(CW336,Fixtures!DN$27:EG$77,19,FALSE),1)*CV336,0)</f>
        <v>0</v>
      </c>
      <c r="DV334" s="1716">
        <f>IF(OR(DS334=7,DS334=8,DS334=9),IF(DG334=DG336,0,DF336),0)</f>
        <v>0</v>
      </c>
      <c r="DX334" s="1715" t="str">
        <f>IFERROR(IF(EZ334&lt;EZ336,"Yes","No"),"")</f>
        <v/>
      </c>
      <c r="DY334" s="1829" t="str">
        <f>DX334</f>
        <v/>
      </c>
      <c r="DZ334" s="1715">
        <f>IF(DX334="Yes",DF336,0)</f>
        <v>0</v>
      </c>
      <c r="EA334" s="1715">
        <f>DZ334-DV334</f>
        <v>0</v>
      </c>
      <c r="EC334" s="1834">
        <f>IFERROR(VLOOKUP(DQ334,Lookup!AU$3:AV$16,2,FALSE),0)</f>
        <v>0</v>
      </c>
      <c r="ED334" s="1834">
        <f>IF(IB334=FALSE,0,IF(DX334="Yes",EC334+Lookup!K$6,EC334))</f>
        <v>0</v>
      </c>
      <c r="EF334" s="1707">
        <f>IF(IB334=TRUE,DM334,0)</f>
        <v>0</v>
      </c>
      <c r="EG334" s="1712">
        <f>IF(IB334=TRUE,CZ336,0)</f>
        <v>0</v>
      </c>
      <c r="EH334" s="1814">
        <f>IFERROR(EF334-EG334,0)</f>
        <v>0</v>
      </c>
      <c r="EI334" s="1712">
        <f>IF(IB334=TRUE,DJ336,0)</f>
        <v>0</v>
      </c>
      <c r="EJ334" s="1712">
        <f>IFERROR(EF334-EG334+EI334,0)</f>
        <v>0</v>
      </c>
      <c r="EK334" s="1812">
        <f>IF(IB334=TRUE,CV336*CX336,0)</f>
        <v>0</v>
      </c>
      <c r="EL334" s="1812">
        <f>IF(IB334=TRUE,DF336*DH336,0)</f>
        <v>0</v>
      </c>
      <c r="EM334" s="1807">
        <f>AR334</f>
        <v>0</v>
      </c>
      <c r="EN334" s="1839" t="str">
        <f>IFERROR(IF(IB334=TRUE,VLOOKUP(DQ334,Lookup!AU$3:AW$16,3,FALSE)*DU334,""),0)</f>
        <v/>
      </c>
      <c r="EO334" s="1839">
        <f>IF(IB334=TRUE,DZ334*Lookup!AW$12,0)</f>
        <v>0</v>
      </c>
      <c r="EP334" s="1817">
        <f>IFERROR(IF(IB334=TRUE,EN334/EP$40,0),0)</f>
        <v>0</v>
      </c>
      <c r="EQ334" s="1817">
        <f>IF(IB334=TRUE,EO334/EQ$40,0)</f>
        <v>0</v>
      </c>
      <c r="ER334" s="1807">
        <f>IF(IB334=TRUE,ET$40*EP334,0)</f>
        <v>0</v>
      </c>
      <c r="ES334" s="1807">
        <f>IF(IB334=TRUE,ET$40*EQ334,0)</f>
        <v>0</v>
      </c>
      <c r="ET334" s="1807">
        <f>ER334+ES334</f>
        <v>0</v>
      </c>
      <c r="EV334" s="1715">
        <f>IF(G334="",0,1)</f>
        <v>0</v>
      </c>
      <c r="EX334" s="1804" t="str">
        <f>IFERROR(VLOOKUP(CS336,'Space Table'!$B$3:$L$163,8,FALSE),"")</f>
        <v/>
      </c>
      <c r="EY334" s="1804" t="str">
        <f>IFERROR(IF(FB334="Yes",VLOOKUP(DG334,Lookup_Control_Type_Table2,4,FALSE),VLOOKUP(DG334,Lookup_Control_Type_Table2,3,FALSE)),"")</f>
        <v/>
      </c>
      <c r="EZ334" s="1804" t="e">
        <f>VLOOKUP(DG334,Lookup!BB$3:BC$20,2,FALSE)</f>
        <v>#N/A</v>
      </c>
      <c r="FA334" s="1804" t="e">
        <f>VLOOKUP(EX334,Lookup_Control_Type_Table,2,FALSE)</f>
        <v>#N/A</v>
      </c>
      <c r="FB334" s="1804" t="e">
        <f>VLOOKUP(CS336,'Space Table'!$B$3:$L$163,7,FALSE)</f>
        <v>#N/A</v>
      </c>
      <c r="FC334" s="1826" t="b">
        <f>ISNUMBER(SEARCH("TLED",U336))</f>
        <v>0</v>
      </c>
      <c r="FE334" s="1698" t="str">
        <f>CONCATENATE(CQ334," - ",DG334)</f>
        <v xml:space="preserve"> - 0</v>
      </c>
      <c r="FG334" s="1702" t="str">
        <f>VLOOKUP(CW336,Fixtures!DN$27:EZ$77,38,FALSE)</f>
        <v/>
      </c>
      <c r="FH334" s="1702">
        <f>IFERROR(FG334*EH334,0)</f>
        <v>0</v>
      </c>
      <c r="FI334" s="133"/>
      <c r="FL334" s="1822" t="str">
        <f>IF(CQ334="Exterior","Not Daylighted",G337)</f>
        <v>Not Daylighted</v>
      </c>
      <c r="FM334" s="1824">
        <f>VLOOKUP(FL334,_New_Daylight_Table_Codes,2,FALSE)</f>
        <v>0</v>
      </c>
      <c r="FN334" s="1698">
        <f>IF(__Retrofit_TI_NC&gt;0,VLOOKUP(G336,'Space Table'!$B$3:$L$163,11,FALSE),AG335)</f>
        <v>0</v>
      </c>
      <c r="FO334" s="1698" t="e">
        <f>IF(__Retrofit_TI_NC=2,VLOOKUP(FQ334,_Control_Table,2,FALSE),VLOOKUP(FN334,_Control_Table,2,FALSE))</f>
        <v>#N/A</v>
      </c>
      <c r="FP334" s="1678" t="e">
        <f>VLOOKUP(CONCATENATE(FL334," ",FN334),Lookup!AY$102:AZ344,2,FALSE)</f>
        <v>#N/A</v>
      </c>
      <c r="FQ334" s="1678">
        <f>IF(__Retrofit_TI_NC=0,FN334,IF(AND(FT334&gt;0,FN334="Occupancy Sensor"),"Daylight + Occupancy",IF(AND(FT334&gt;0,VLOOKUP(FN334,_Control_Table,2,FALSE)&lt;4),"Interior Daylight Dimming",FN334)))</f>
        <v>0</v>
      </c>
      <c r="FS334" s="1686">
        <f>IF(CR334="Interior",VLOOKUP(CS334,Control_Savings_Interior,5,FALSE),0)</f>
        <v>0</v>
      </c>
      <c r="FT334" s="1687">
        <f>IF(CQ334="Exterior",0,IF(FM334=2,0.5,IF(OR(FM334=1,FM334=3),1,0)))</f>
        <v>0</v>
      </c>
      <c r="FU334" s="1685">
        <f>IF(R333&gt;FS$44,(FS334*(FS$44/R333)),FS334)*FT334</f>
        <v>0</v>
      </c>
      <c r="FV334" s="1686">
        <f>DI334</f>
        <v>0</v>
      </c>
      <c r="FW334" s="1686">
        <f>ROUND(FV334+((1-FV334)*FU334),2)</f>
        <v>0</v>
      </c>
      <c r="FX334" s="1686">
        <f>IF(__Retrofit_TI_NC=2,FW334,FV334)</f>
        <v>0</v>
      </c>
      <c r="FY334" s="1697"/>
      <c r="GA334" s="1696" t="str">
        <f>IFERROR(VLOOKUP(U335,_Exist_Fixture_Table,3,FALSE),"")</f>
        <v/>
      </c>
      <c r="GB334" s="1696" t="str">
        <f>VLOOKUP(CW334,_Exist_Fixture_Table,4,FALSE)</f>
        <v/>
      </c>
      <c r="GC334" s="1696">
        <f>IFERROR(VLOOKUP(GB334,Lookup!AT$6:AU$8,2,FALSE),0)</f>
        <v>0</v>
      </c>
      <c r="GD334" s="1696" t="b">
        <f>IFERROR(IF(OR(GF334=4,GF334=5,GF334=6),TRUE,FALSE),"")</f>
        <v>0</v>
      </c>
      <c r="GE334" s="1696" t="str">
        <f>IFERROR(VLOOKUP(GF334,GC$6:GD$10,2,FALSE),"")</f>
        <v/>
      </c>
      <c r="GF334" s="1696" t="str">
        <f>VLOOKUP(CW336,Fixtures!R$31:Y$78,8,FALSE)</f>
        <v/>
      </c>
      <c r="GG334" s="1696">
        <f>IF(AND(GA334=TRUE,GD334=TRUE,OR(DQ334=12,DQ334=13,DQ334=14)),GC334+8,0)</f>
        <v>0</v>
      </c>
      <c r="GH334" s="1696" t="b">
        <f>IF(OR(GG334=12,GG334=13,GG334=14),TRUE,FALSE)</f>
        <v>0</v>
      </c>
      <c r="GI334" s="673" t="b">
        <f>IF(ISNUMBER(SEARCH("TLED",U335)),TRUE,FALSE)</f>
        <v>0</v>
      </c>
      <c r="GJ334" s="1135" t="str">
        <f>IFERROR(VLOOKUP(U335,Fixtures!BM$93:BR$142,6,FALSE),"")</f>
        <v/>
      </c>
      <c r="GK334" s="1832" t="b">
        <f>IF(OR(GI334=FALSE,GI336=FALSE),TRUE,IF(GJ334-GJ336&lt;5,FALSE,TRUE))</f>
        <v>1</v>
      </c>
      <c r="GO334" s="674">
        <f>GP334</f>
        <v>0</v>
      </c>
      <c r="GP334" s="674">
        <f>IF(G334="",0,1)</f>
        <v>0</v>
      </c>
      <c r="GQ334" s="674">
        <f ca="1">SUM(GR334:HF334)</f>
        <v>2</v>
      </c>
      <c r="GR334" s="674">
        <f>IF(G335="",0,1)</f>
        <v>0</v>
      </c>
      <c r="GS334" s="674">
        <f>IF(N337="BAM",1,IF(G336="",0,1))</f>
        <v>0</v>
      </c>
      <c r="GT334" s="674">
        <f>IF(N337="BAM",1,IF(R335="",0,1))</f>
        <v>0</v>
      </c>
      <c r="GU334" s="674">
        <f>IF(N337="BAM",1,IF(__Retrofit_TI_NC=0,1,IF(R336="",0,1)))</f>
        <v>1</v>
      </c>
      <c r="GV334" s="674">
        <f>IF(N337="BAM",1,IF(CQ334="Exterior",1,IF(G337="",0,1)))</f>
        <v>1</v>
      </c>
      <c r="GW334" s="674">
        <f>IF(__Retrofit_TI_NC&gt;0,1,IF(T335="",0,1))</f>
        <v>0</v>
      </c>
      <c r="GX334" s="674">
        <f>IF(__Retrofit_TI_NC&gt;0,1,IF(U335="",0,1))</f>
        <v>0</v>
      </c>
      <c r="GY334" s="674">
        <f>IF(N337="BAM",1,IF(T336="",0,1))</f>
        <v>0</v>
      </c>
      <c r="GZ334" s="674">
        <f>IF(N337="BAM",1,IF(U336="",0,1))</f>
        <v>0</v>
      </c>
      <c r="HA334" s="674">
        <f ca="1">IF(N337="BAM",1,IF(__Retrofit_TI_NC&gt;0,1,IF(U337="",0,1)))</f>
        <v>0</v>
      </c>
      <c r="HB334" s="674">
        <f>IF(__Retrofit_TI_NC&lt;&gt;0,1,IF(AF335="",0,1))</f>
        <v>0</v>
      </c>
      <c r="HC334" s="674">
        <f>IF(__Retrofit_TI_NC&lt;&gt;0,1,IF(AG335="",0,1))</f>
        <v>0</v>
      </c>
      <c r="HD334" s="674">
        <f>IF(N337="BAM",1,IF(AF336="",0,1))</f>
        <v>0</v>
      </c>
      <c r="HE334" s="674">
        <f>IF(N337="BAM",1,IF(AG336="",0,1))</f>
        <v>0</v>
      </c>
      <c r="HF334" s="674">
        <f>IF(N337="BAM",1,IF(__Retrofit_TI_NC&gt;0,1,IF(AG337="",0,1)))</f>
        <v>0</v>
      </c>
      <c r="HG334" s="391"/>
      <c r="IA334" s="391"/>
      <c r="IB334" s="1693" t="b">
        <f>IF(OR(IB337=0,IB337=HY$16,IB337=HX$16,IB337=HZ$16),TRUE,FALSE)</f>
        <v>0</v>
      </c>
      <c r="IC334" s="1694" t="b">
        <f>IB334</f>
        <v>0</v>
      </c>
      <c r="ID334" s="391"/>
      <c r="IE334" s="391"/>
      <c r="IF334" s="1688" t="b">
        <f ca="1">IF(MAX(GN337:HU337)&gt;5,FALSE,TRUE)</f>
        <v>0</v>
      </c>
      <c r="IG334" s="1689">
        <f ca="1">IF(IF334=TRUE,AC334,0)</f>
        <v>0</v>
      </c>
      <c r="IH334" s="1689">
        <f ca="1">IG334-IG336</f>
        <v>0</v>
      </c>
      <c r="IK334" s="1689" t="e">
        <f>ROUND(T335*VLOOKUP(U335,Fixtures_Existing_List,2,FALSE)*N335*R335/1000,0)</f>
        <v>#N/A</v>
      </c>
      <c r="IL334" s="1690" t="e">
        <f>IK334-IK336</f>
        <v>#N/A</v>
      </c>
      <c r="IM334" s="1693" t="e">
        <f>ROUND(IF(CQ334="Interior",N336*R336*R335*N335*_C406_reduction/1000,N336*R336*R335*N335/1000),0)</f>
        <v>#N/A</v>
      </c>
      <c r="IN334" s="1693" t="e">
        <f>IM334-IM336</f>
        <v>#N/A</v>
      </c>
      <c r="IP334" s="1679"/>
      <c r="IQ334" s="1679" t="e">
        <f t="shared" ref="IQ334:IU334" si="291">IF($CR334="interior",VLOOKUP($CS334,_New_Control_Savings_Interior,IQ$30,FALSE),VLOOKUP($CS334,Control_Savings_Exterior,IQ$30,FALSE))</f>
        <v>#N/A</v>
      </c>
      <c r="IR334" s="1679" t="e">
        <f t="shared" si="291"/>
        <v>#N/A</v>
      </c>
      <c r="IS334" s="1679" t="e">
        <f t="shared" si="291"/>
        <v>#N/A</v>
      </c>
      <c r="IT334" s="1679" t="e">
        <f t="shared" si="291"/>
        <v>#N/A</v>
      </c>
      <c r="IU334" s="1679" t="e">
        <f t="shared" si="291"/>
        <v>#N/A</v>
      </c>
      <c r="IV334" s="1679" t="e">
        <f>IF($CR334="interior",IF(R335&gt;$IP$14,ROUND(($IV$18*($IP$14/R335)),2),$IV$18),VLOOKUP($CS334,Control_Savings_Exterior,IV$30,FALSE))</f>
        <v>#N/A</v>
      </c>
      <c r="IW334" s="1679" t="e">
        <f>IF($CR334="interior",ROUND(((1-IS334)*IV334)+IS334,2),VLOOKUP($CS334,Control_Savings_Exterior,IW$30,FALSE))</f>
        <v>#N/A</v>
      </c>
      <c r="IX334" s="1679" t="e">
        <f>IF($CR334="interior",ROUND(((1-IT334)*IV334)+IT334,2),VLOOKUP($CS334,Control_Savings_Exterior,IX$30,FALSE))</f>
        <v>#N/A</v>
      </c>
      <c r="IY334" s="1679" t="e">
        <f>IF($CR334="interior",IF(R335&gt;$IP$14,ROUND(($IY$18*($IP$14/R335)),2),$IY$18),VLOOKUP($CS334,Control_Savings_Exterior,IY$30,FALSE))</f>
        <v>#N/A</v>
      </c>
      <c r="IZ334" s="1679" t="e">
        <f>IF($CR334="interior",ROUND(((1-IS334)*IY334)+IS334,2),VLOOKUP($CS334,Control_Savings_Exterior,IZ$30,FALSE))</f>
        <v>#N/A</v>
      </c>
      <c r="JA334" s="1679" t="e">
        <f>IF($CR334="interior",ROUND(((1-IT334)*IY334)+IT334,2),VLOOKUP($CS334,Control_Savings_Exterior,JA$30,FALSE))</f>
        <v>#N/A</v>
      </c>
      <c r="JC334" s="1680">
        <f>IFERROR(IF(CR334="Interior",CONCATENATE(G337," ",FQ334),FQ334),"")</f>
        <v>0</v>
      </c>
      <c r="JD334" s="1670" t="str">
        <f>IFERROR(VLOOKUP(JC334,_Controls_2023,2,FALSE),"")</f>
        <v/>
      </c>
      <c r="JE334" s="1681">
        <f>IFERROR(CHOOSE(JD334-1,IQ334,IR334,IS334,IT334,IU334,IV334,IW334,IX334,IY334,IZ334,JA334),0)</f>
        <v>0</v>
      </c>
      <c r="JG334" s="1680" t="str">
        <f>FE334</f>
        <v xml:space="preserve"> - 0</v>
      </c>
      <c r="JH334" s="1670" t="e">
        <f>$FO334</f>
        <v>#N/A</v>
      </c>
      <c r="JI334" s="1060"/>
      <c r="JJ334" s="1682" t="b">
        <f>IF($JG336=CONCATENATE("Interior - ",JJ$4),TRUE,FALSE)</f>
        <v>0</v>
      </c>
      <c r="JK334" s="1061"/>
      <c r="JL334" s="1682" t="b">
        <f>IF($JG336=CONCATENATE("Interior - ",JL$4),TRUE,FALSE)</f>
        <v>0</v>
      </c>
      <c r="JM334" s="1061"/>
      <c r="JN334" s="1682" t="b">
        <f>IF($JG336=CONCATENATE("Interior - ",JN$4),TRUE,FALSE)</f>
        <v>0</v>
      </c>
      <c r="JO334" s="1061"/>
      <c r="JP334" s="1682" t="b">
        <f>IF(__Retrofit_TI_NC&gt;0,FALSE,IF($JG336=CONCATENATE("Interior - ",JP$4),TRUE,FALSE))</f>
        <v>0</v>
      </c>
      <c r="JQ334" s="1061"/>
      <c r="JR334" s="1682" t="b">
        <f>IF(__Retrofit_TI_NC&gt;0,FALSE,IF($JG336=CONCATENATE("Interior - ",JR$4),TRUE,FALSE))</f>
        <v>0</v>
      </c>
      <c r="JS334" s="1061"/>
      <c r="JT334" s="1670" t="b">
        <f>IF(__Retrofit_TI_NC&gt;0,FALSE,IF($JG336=CONCATENATE("Interior - ",JT$4),TRUE,FALSE))</f>
        <v>0</v>
      </c>
      <c r="JU334" s="1061"/>
      <c r="JV334" s="1670" t="b">
        <f>IF(JC336="AELC on Existing",TRUE,FALSE)</f>
        <v>0</v>
      </c>
      <c r="JX334" s="1670" t="b">
        <f>IF(OR(JG336="Exterior - AELC Occupancy based",JG336="Exterior - AELC Time based"),TRUE,FALSE)</f>
        <v>0</v>
      </c>
      <c r="JZ334" s="1682" t="b">
        <f>IF($JG336=CONCATENATE("Exterior - ",JZ$4),TRUE,FALSE)</f>
        <v>0</v>
      </c>
      <c r="KB334" s="1670" t="b">
        <f>IF(__Retrofit_TI_NC&gt;0,FALSE,IF($JG336=CONCATENATE("Interior - ",KB$4),TRUE,FALSE))</f>
        <v>0</v>
      </c>
    </row>
    <row r="335" spans="1:288" s="78" customFormat="1" ht="14.95" customHeight="1" thickTop="1" thickBot="1">
      <c r="B335" s="1845"/>
      <c r="C335" s="1846"/>
      <c r="D335" s="1847"/>
      <c r="E335" s="1737" t="s">
        <v>297</v>
      </c>
      <c r="F335" s="1738"/>
      <c r="G335" s="1739"/>
      <c r="H335" s="1739"/>
      <c r="I335" s="1739"/>
      <c r="J335" s="1739"/>
      <c r="K335" s="1739"/>
      <c r="L335" s="1739"/>
      <c r="M335" s="461" t="e">
        <f>IF(__Retrofit_TI_NC&lt;&gt;0,IF(VLOOKUP(G336,'Space Table'!$B$3:$L$163,3,FALSE)&gt;0,1,0),IF(__Retrofit_TI_NC=VLOOKUP(G336,'Space Table'!$B$3:$L$163,3,FALSE),1,0))</f>
        <v>#N/A</v>
      </c>
      <c r="N335" s="461" t="str">
        <f>IFERROR(VLOOKUP(G335,_Lookup_Heat_Type_Table_New,2,FALSE),"")</f>
        <v/>
      </c>
      <c r="O335" s="461">
        <f>IF(__Retrofit_TI_NC=1,CONCATENATE("TI ",G335),IF(__Retrofit_TI_NC=2,CONCATENATE("NC ",G335),G335))</f>
        <v>0</v>
      </c>
      <c r="P335" s="1740" t="s">
        <v>435</v>
      </c>
      <c r="Q335" s="1740"/>
      <c r="R335" s="595"/>
      <c r="S335" s="1792"/>
      <c r="T335" s="597"/>
      <c r="U335" s="1765"/>
      <c r="V335" s="1766"/>
      <c r="W335" s="1766"/>
      <c r="X335" s="1766"/>
      <c r="Y335" s="1766"/>
      <c r="Z335" s="1766"/>
      <c r="AA335" s="1766"/>
      <c r="AB335" s="1766"/>
      <c r="AC335" s="1766"/>
      <c r="AD335" s="1767"/>
      <c r="AE335" s="1000"/>
      <c r="AF335" s="597"/>
      <c r="AG335" s="1723"/>
      <c r="AH335" s="1724"/>
      <c r="AI335" s="1724"/>
      <c r="AJ335" s="1724"/>
      <c r="AK335" s="1725"/>
      <c r="AL335" s="996"/>
      <c r="AM335" s="1747"/>
      <c r="AN335" s="1775"/>
      <c r="AO335" s="1777"/>
      <c r="AP335" s="1780"/>
      <c r="AQ335" s="1781"/>
      <c r="AR335" s="1795"/>
      <c r="AS335" s="1795"/>
      <c r="AT335" s="1796"/>
      <c r="AU335" s="1735"/>
      <c r="AV335" s="1752"/>
      <c r="AW335" s="1705"/>
      <c r="AX335" s="467"/>
      <c r="AY335" s="1749"/>
      <c r="AZ335" s="1749"/>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696"/>
      <c r="CQ335" s="1696"/>
      <c r="CR335" s="1809"/>
      <c r="CS335" s="1811"/>
      <c r="CU335" s="1688"/>
      <c r="CV335" s="1703"/>
      <c r="CW335" s="1703"/>
      <c r="CX335" s="1703"/>
      <c r="CY335" s="1815"/>
      <c r="CZ335" s="1711"/>
      <c r="DA335" s="1818"/>
      <c r="DB335" s="1820"/>
      <c r="DC335" s="1820"/>
      <c r="DD335" s="1820"/>
      <c r="DF335" s="1703"/>
      <c r="DG335" s="1831"/>
      <c r="DH335" s="1703"/>
      <c r="DI335" s="1838"/>
      <c r="DJ335" s="1711"/>
      <c r="DK335" s="1712"/>
      <c r="DM335" s="1718"/>
      <c r="DO335" s="1708"/>
      <c r="DQ335" s="1715"/>
      <c r="DR335" s="1720"/>
      <c r="DS335" s="1816"/>
      <c r="DT335" s="1714"/>
      <c r="DU335" s="1715"/>
      <c r="DV335" s="1716"/>
      <c r="DX335" s="1715"/>
      <c r="DY335" s="1720"/>
      <c r="DZ335" s="1715"/>
      <c r="EA335" s="1715"/>
      <c r="EC335" s="1834"/>
      <c r="ED335" s="1834"/>
      <c r="EF335" s="1707"/>
      <c r="EG335" s="1712"/>
      <c r="EH335" s="1818"/>
      <c r="EI335" s="1712"/>
      <c r="EJ335" s="1712"/>
      <c r="EK335" s="1836"/>
      <c r="EL335" s="1836"/>
      <c r="EM335" s="1807"/>
      <c r="EN335" s="1839"/>
      <c r="EO335" s="1839"/>
      <c r="EP335" s="1817"/>
      <c r="EQ335" s="1817"/>
      <c r="ER335" s="1807"/>
      <c r="ES335" s="1807"/>
      <c r="ET335" s="1807"/>
      <c r="EV335" s="1715"/>
      <c r="EX335" s="1805"/>
      <c r="EY335" s="1805"/>
      <c r="EZ335" s="1805"/>
      <c r="FA335" s="1805"/>
      <c r="FB335" s="1805"/>
      <c r="FC335" s="1827"/>
      <c r="FE335" s="1698"/>
      <c r="FG335" s="1816"/>
      <c r="FH335" s="1816"/>
      <c r="FI335" s="133"/>
      <c r="FL335" s="1823"/>
      <c r="FM335" s="1825"/>
      <c r="FN335" s="1698"/>
      <c r="FO335" s="1698"/>
      <c r="FP335" s="1678"/>
      <c r="FQ335" s="1678"/>
      <c r="FS335" s="1687"/>
      <c r="FT335" s="1687"/>
      <c r="FU335" s="1685"/>
      <c r="FV335" s="1687"/>
      <c r="FW335" s="1687"/>
      <c r="FX335" s="1687"/>
      <c r="FY335" s="1697"/>
      <c r="GA335" s="1696"/>
      <c r="GB335" s="1696"/>
      <c r="GC335" s="1696"/>
      <c r="GD335" s="1696"/>
      <c r="GE335" s="1696"/>
      <c r="GF335" s="1696"/>
      <c r="GG335" s="1696"/>
      <c r="GH335" s="1696"/>
      <c r="GI335" s="673"/>
      <c r="GJ335" s="1135"/>
      <c r="GK335" s="1832"/>
      <c r="GM335" s="1693" t="b">
        <f ca="1">IF(AND(GP335=TRUE,GQ335=TRUE),TRUE,FALSE)</f>
        <v>0</v>
      </c>
      <c r="GN335" s="1684" t="b">
        <f>IFERROR(IF(__Retrofit_TI_NC=2,TRUE,IF(AU334="Yes",TRUE,FALSE)),FALSE)</f>
        <v>1</v>
      </c>
      <c r="GP335" s="1684" t="b">
        <f>IFERROR(IF(GP334=1,TRUE,FALSE),FALSE)</f>
        <v>0</v>
      </c>
      <c r="GQ335" s="1684" t="b">
        <f ca="1">IFERROR(IF(GQ334=GQ$14,TRUE,FALSE),FALSE)</f>
        <v>0</v>
      </c>
      <c r="HG335" s="1684" t="b">
        <f>IFERROR(IF(AND(__Retrofit_TI_NC&gt;0,CQ334="Interior"),FALSE,TRUE),FALSE)</f>
        <v>1</v>
      </c>
      <c r="HH335" s="1684" t="b">
        <f>IFERROR(IF(M335=1,TRUE,FALSE),FALSE)</f>
        <v>0</v>
      </c>
      <c r="HI335" s="1684" t="b">
        <f>IFERROR(IF(OR(M336=1,N337="BAM"),TRUE,FALSE),FALSE)</f>
        <v>0</v>
      </c>
      <c r="HJ335" s="1684" t="b">
        <f>IFERROR(IF(__Retrofit_TI_NC&lt;&gt;0,TRUE,IFERROR(IF(VLOOKUP(U335,Fixtures_Existing_List,2,FALSE)&lt;&gt;"",TRUE,FALSE),FALSE)),FALSE)</f>
        <v>0</v>
      </c>
      <c r="HK335" s="1684" t="b">
        <f>IFERROR(IF(VLOOKUP(U336,Fixtures_Proposed_List,2,FALSE)&lt;&gt;"",TRUE,FALSE),FALSE)</f>
        <v>0</v>
      </c>
      <c r="HL335" s="1684" t="b">
        <f>IF(AND(__Retrofit_TI_NC=2,FC334=TRUE),FALSE,TRUE)</f>
        <v>1</v>
      </c>
      <c r="HM335" s="1684" t="b">
        <f>GK334</f>
        <v>1</v>
      </c>
      <c r="HN335" s="1682" t="b">
        <f>IF(ISERROR(MATCH(FE334,_Control_Match[],0))=TRUE,FALSE,TRUE)</f>
        <v>0</v>
      </c>
      <c r="HO335" s="1693" t="b">
        <f>IFERROR(IF(EX334&lt;&gt;EY334,FALSE,TRUE),FALSE)</f>
        <v>1</v>
      </c>
      <c r="HP335" s="1693" t="b">
        <f>IFERROR(IF(EX336&lt;&gt;EY336,FALSE,TRUE),FALSE)</f>
        <v>1</v>
      </c>
      <c r="HQ335" s="1670" t="b">
        <f>IFERROR(IF(CQ334="Exterior",TRUE,IF(AND(OR(FM336=0,FM336=3),JD336&gt;6),FALSE,TRUE)),FALSE)</f>
        <v>0</v>
      </c>
      <c r="HR335" s="1684" t="b">
        <f>IFERROR(IF(AND(FO336=7,FC334=TRUE),FALSE,TRUE),FALSE)</f>
        <v>0</v>
      </c>
      <c r="HS335" s="1684" t="b">
        <f>IFERROR(IF(AND(T336&lt;&gt;AF336,OR(AG336="Interior LLLC", AG336="Interior NLC", AG336="LLLC (outside Daylight)",AG336="LLLC Controls Only"))=TRUE,FALSE,TRUE),FALSE)</f>
        <v>1</v>
      </c>
      <c r="HT335" s="1670" t="b">
        <f>IFERROR(IF(OR(AG336=Lookup!BB$17,AG336=Lookup!BB$18,AG336=Lookup!BB$19)=TRUE,IF(AF336&gt;T336,FALSE,TRUE),TRUE),FALSE)</f>
        <v>1</v>
      </c>
      <c r="HU335" s="1684" t="b">
        <f>IFERROR(IF(__Retrofit_TI_NC=2,IF(EZ336&lt;EZ334,FALSE,TRUE),TRUE),FALSE)</f>
        <v>1</v>
      </c>
      <c r="HV335" s="1684" t="b">
        <f>IF(CQ334="Interior",IL$6,TRUE)</f>
        <v>1</v>
      </c>
      <c r="HW335" s="1684" t="b">
        <f>IF(CQ334="Exterior",IL$8,TRUE)</f>
        <v>1</v>
      </c>
      <c r="HX335" s="1684" t="b">
        <f>IFERROR(IF(__Retrofit_TI_NC&lt;&gt;0,IF(AZ334&lt;AY334,FALSE,TRUE),TRUE),FALSE)</f>
        <v>1</v>
      </c>
      <c r="HY335" s="1684" t="b">
        <f>IFERROR(IF(AND(G335="Exterior",R335&gt;4200),FALSE,TRUE),FALSE)</f>
        <v>1</v>
      </c>
      <c r="HZ335" s="1684" t="b">
        <f>IFERROR(IF(AB337/AB334&lt;HZ$18,FALSE,TRUE),FALSE)</f>
        <v>0</v>
      </c>
      <c r="IB335" s="1691"/>
      <c r="IC335" s="1695"/>
      <c r="ID335" s="1694" t="str">
        <f>VLOOKUP(IB337,_Error_Table,4,FALSE)</f>
        <v>White</v>
      </c>
      <c r="IE335" s="391"/>
      <c r="IF335" s="1688"/>
      <c r="IG335" s="1689"/>
      <c r="IH335" s="1684"/>
      <c r="IK335" s="1689"/>
      <c r="IL335" s="1691"/>
      <c r="IM335" s="1691"/>
      <c r="IN335" s="1691"/>
      <c r="IP335" s="1679"/>
      <c r="IQ335" s="1679"/>
      <c r="IR335" s="1679"/>
      <c r="IS335" s="1679"/>
      <c r="IT335" s="1679"/>
      <c r="IU335" s="1679"/>
      <c r="IV335" s="1679"/>
      <c r="IW335" s="1679"/>
      <c r="IX335" s="1679"/>
      <c r="IY335" s="1679"/>
      <c r="IZ335" s="1679"/>
      <c r="JA335" s="1679"/>
      <c r="JC335" s="1680"/>
      <c r="JD335" s="1670"/>
      <c r="JE335" s="1681"/>
      <c r="JG335" s="1680"/>
      <c r="JH335" s="1670"/>
      <c r="JI335" s="1060"/>
      <c r="JJ335" s="1683"/>
      <c r="JK335" s="1061"/>
      <c r="JL335" s="1683"/>
      <c r="JM335" s="1061"/>
      <c r="JN335" s="1683"/>
      <c r="JO335" s="1061"/>
      <c r="JP335" s="1683"/>
      <c r="JQ335" s="1061"/>
      <c r="JR335" s="1683"/>
      <c r="JS335" s="1061"/>
      <c r="JT335" s="1670"/>
      <c r="JU335" s="1061"/>
      <c r="JV335" s="1670"/>
      <c r="JX335" s="1670"/>
      <c r="JZ335" s="1683"/>
      <c r="KB335" s="1670"/>
    </row>
    <row r="336" spans="1:288" s="78" customFormat="1" ht="14.95" customHeight="1" thickTop="1" thickBot="1">
      <c r="A336" s="78">
        <f>ROW()</f>
        <v>336</v>
      </c>
      <c r="B336" s="1845"/>
      <c r="C336" s="1846"/>
      <c r="D336" s="1847"/>
      <c r="E336" s="1737" t="s">
        <v>298</v>
      </c>
      <c r="F336" s="1738"/>
      <c r="G336" s="1760"/>
      <c r="H336" s="1761"/>
      <c r="I336" s="1761"/>
      <c r="J336" s="1761"/>
      <c r="K336" s="1761"/>
      <c r="L336" s="1762"/>
      <c r="M336" s="461">
        <f>IFERROR(IF(IF(__Retrofit_TI_NC&lt;&gt;0,IF(CQ334="Interior",MATCH(G336,Lookup_Interior_New,0),MATCH(G336,Lookup_Exterior_New,0)),IF(CQ334="Interior",MATCH(G336,Lookup_Interior,0),MATCH(G336,Lookup_Exterior_Areas,0)))&gt;0,1,0),0)</f>
        <v>0</v>
      </c>
      <c r="N336" s="461" t="e">
        <f>IF(__Retrofit_TI_NC=1,
VLOOKUP(G336,'Space Table'!$B$3:$L$163,4,FALSE),
IF(__Retrofit_TI_NC=2,VLOOKUP(G336,'Space Table'!$B$3:$L$163,5,FALSE),VLOOKUP(G336,'Space Table'!$B$3:$L$163,5,FALSE)))</f>
        <v>#N/A</v>
      </c>
      <c r="O336" s="461">
        <f>G336</f>
        <v>0</v>
      </c>
      <c r="P336" s="1738" t="str">
        <f>IFERROR(IF(__Retrofit_TI_NC=1,VLOOKUP(G336,'Space Table'!$B$3:$O$163,13,FALSE),IF(__Retrofit_TI_NC=2,VLOOKUP(G336,'Space Table'!$B$3:$O$163,14,FALSE),"Area (sf):")),"Area (sf):")</f>
        <v>Area (sf):</v>
      </c>
      <c r="Q336" s="1738"/>
      <c r="R336" s="596"/>
      <c r="S336" s="1763" t="s">
        <v>345</v>
      </c>
      <c r="T336" s="594"/>
      <c r="U336" s="1801"/>
      <c r="V336" s="1802"/>
      <c r="W336" s="1802"/>
      <c r="X336" s="1802"/>
      <c r="Y336" s="1802"/>
      <c r="Z336" s="1802"/>
      <c r="AA336" s="1802"/>
      <c r="AB336" s="1802"/>
      <c r="AC336" s="1802"/>
      <c r="AD336" s="1802"/>
      <c r="AE336" s="1803"/>
      <c r="AF336" s="594"/>
      <c r="AG336" s="1787"/>
      <c r="AH336" s="1787"/>
      <c r="AI336" s="1787"/>
      <c r="AJ336" s="1787"/>
      <c r="AK336" s="1787"/>
      <c r="AL336" s="1787"/>
      <c r="AM336" s="1726">
        <f>IFERROR(DI336,"")</f>
        <v>0</v>
      </c>
      <c r="AN336" s="1728" t="str">
        <f>IFERROR(ROUND(AM336*AC337,0),"")</f>
        <v/>
      </c>
      <c r="AO336" s="1730">
        <f>IFERROR(IF(IB334=FALSE,0,AC337-AN336),0)</f>
        <v>0</v>
      </c>
      <c r="AP336" s="1780"/>
      <c r="AQ336" s="1781"/>
      <c r="AR336" s="1795"/>
      <c r="AS336" s="1795"/>
      <c r="AT336" s="1796"/>
      <c r="AU336" s="1735"/>
      <c r="AV336" s="1752"/>
      <c r="AW336" s="1705"/>
      <c r="AX336" s="467"/>
      <c r="AY336" s="1749"/>
      <c r="AZ336" s="1749"/>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696"/>
      <c r="CQ336" s="1696"/>
      <c r="CR336" s="1808" t="str">
        <f>CQ334</f>
        <v/>
      </c>
      <c r="CS336" s="1810" t="str">
        <f>CS334</f>
        <v/>
      </c>
      <c r="CU336" s="1688" t="s">
        <v>345</v>
      </c>
      <c r="CV336" s="1702">
        <f>IF(IB334=TRUE,T336,0)</f>
        <v>0</v>
      </c>
      <c r="CW336" s="1702" t="str">
        <f>IF(IB334=TRUE,U336,"")</f>
        <v/>
      </c>
      <c r="CX336" s="1812">
        <f>IF(IB334=TRUE,U337,0)</f>
        <v>0</v>
      </c>
      <c r="CY336" s="1814">
        <f>IF(IB334=TRUE,AB337,0)</f>
        <v>0</v>
      </c>
      <c r="CZ336" s="1710">
        <f>IF(AND(__Retrofit_TI_NC&gt;0,CR334="interior"),0,IF(IB334=TRUE,AC337,0))</f>
        <v>0</v>
      </c>
      <c r="DA336" s="1818"/>
      <c r="DB336" s="1820"/>
      <c r="DC336" s="1820"/>
      <c r="DD336" s="1820"/>
      <c r="DF336" s="1702">
        <f>IF(IB334=TRUE,AF336,0)</f>
        <v>0</v>
      </c>
      <c r="DG336" s="1830" t="str">
        <f>IF(IB334=TRUE,AG336,"")</f>
        <v/>
      </c>
      <c r="DH336" s="1812">
        <f>AG337</f>
        <v>0</v>
      </c>
      <c r="DI336" s="1837">
        <f>JE336</f>
        <v>0</v>
      </c>
      <c r="DJ336" s="1710">
        <f>IF(AND(__Retrofit_TI_NC&gt;0,CR334="interior"),0,IF(IB334=TRUE,AN336,0))</f>
        <v>0</v>
      </c>
      <c r="DK336" s="1712"/>
      <c r="DN336" s="1717">
        <f>IFERROR(CZ336-DJ336,0)</f>
        <v>0</v>
      </c>
      <c r="DO336" s="1709"/>
      <c r="DQ336" s="1715"/>
      <c r="DR336" s="1719" t="str">
        <f>DQ334</f>
        <v/>
      </c>
      <c r="DS336" s="1816"/>
      <c r="DT336" s="1835" t="str">
        <f>IF(OR(DS334=7,DS334=8,DS334=9),"ALC","")</f>
        <v/>
      </c>
      <c r="DU336" s="1715"/>
      <c r="DV336" s="1716"/>
      <c r="DX336" s="1715"/>
      <c r="DY336" s="1829" t="str">
        <f>DX334</f>
        <v/>
      </c>
      <c r="DZ336" s="1715"/>
      <c r="EA336" s="1715"/>
      <c r="EC336" s="1834"/>
      <c r="ED336" s="1834"/>
      <c r="EF336" s="1707"/>
      <c r="EG336" s="1712"/>
      <c r="EH336" s="1818"/>
      <c r="EI336" s="1712"/>
      <c r="EJ336" s="1712"/>
      <c r="EK336" s="1836"/>
      <c r="EL336" s="1836"/>
      <c r="EM336" s="1807"/>
      <c r="EN336" s="1839"/>
      <c r="EO336" s="1839"/>
      <c r="EP336" s="1817"/>
      <c r="EQ336" s="1817"/>
      <c r="ER336" s="1807"/>
      <c r="ES336" s="1807"/>
      <c r="ET336" s="1807"/>
      <c r="EV336" s="1715"/>
      <c r="EX336" s="1805" t="str">
        <f>IFERROR(VLOOKUP(CS336,'Space Table'!$B$3:$L$163,8,FALSE),"")</f>
        <v/>
      </c>
      <c r="EY336" s="1805" t="str">
        <f>IFERROR(IF(FB336="Yes",VLOOKUP(AG336,Lookup_Control_Type_Table2,4,FALSE),VLOOKUP(AG336,Lookup_Control_Type_Table2,3,FALSE)),"")</f>
        <v/>
      </c>
      <c r="EZ336" s="1805" t="e">
        <f>VLOOKUP(AG336,Lookup!BB$3:BC$20,2,FALSE)</f>
        <v>#N/A</v>
      </c>
      <c r="FA336" s="1805" t="e">
        <f>VLOOKUP(EX334,Lookup_Control_Type_Table,2,FALSE)</f>
        <v>#N/A</v>
      </c>
      <c r="FB336" s="1805" t="e">
        <f>VLOOKUP(CS336,'Space Table'!$B$3:$L$163,7,FALSE)</f>
        <v>#N/A</v>
      </c>
      <c r="FC336" s="1827"/>
      <c r="FE336" s="1698" t="str">
        <f>CONCATENATE(CQ334," - ",AG336)</f>
        <v xml:space="preserve"> - </v>
      </c>
      <c r="FG336" s="1816"/>
      <c r="FH336" s="1816"/>
      <c r="FI336" s="133"/>
      <c r="FL336" s="1822" t="str">
        <f>IF(CQ334="Exterior","Not Daylighted",G337)</f>
        <v>Not Daylighted</v>
      </c>
      <c r="FM336" s="1824">
        <f>VLOOKUP(FL336,_New_Daylight_Table_Codes,2,FALSE)</f>
        <v>0</v>
      </c>
      <c r="FN336" s="1698">
        <f>AG336</f>
        <v>0</v>
      </c>
      <c r="FO336" s="1698" t="e">
        <f>VLOOKUP(FN336,_Control_Table,2,FALSE)</f>
        <v>#N/A</v>
      </c>
      <c r="FP336" s="1678" t="e">
        <f>VLOOKUP(CONCATENATE(FL336," ",FN336),Lookup!AY$102:AZ347,2,FALSE)</f>
        <v>#N/A</v>
      </c>
      <c r="FQ336" s="1698">
        <f>IF(__Retrofit_TI_NC=0,FN336,IF(AND(FT336&gt;0,FN336="Occupancy Sensor"),"Daylight + Occupancy",IF(AND(FT336&gt;0,FO336&lt;4),"Interior Daylight Dimming",FN336)))</f>
        <v>0</v>
      </c>
      <c r="FS336" s="1686">
        <f>IF(CQ334="Interior",VLOOKUP(CS334,Control_Savings_Interior,5,FALSE),0)</f>
        <v>0</v>
      </c>
      <c r="FT336" s="1687">
        <f>IF(CQ336="Exterior",0,IF(FM336=2,0.5,IF(OR(FM336=1,FM336=3),1,0)))</f>
        <v>0</v>
      </c>
      <c r="FU336" s="1685">
        <f>IF(R335&gt;FS$44,(FS336*(FS$44/R335)),FS336)*FT336</f>
        <v>0</v>
      </c>
      <c r="FV336" s="1686">
        <f>DI336</f>
        <v>0</v>
      </c>
      <c r="FW336" s="1686">
        <f>ROUND(FV336+((1-FV336)*FU336),2)</f>
        <v>0</v>
      </c>
      <c r="FX336" s="1686">
        <f>IF(__Retrofit_TI_NC=2,FW336,FV336)</f>
        <v>0</v>
      </c>
      <c r="FY336" s="1697">
        <f>IF(CR336="Interior",VLOOKUP(CS336,Control_Savings_Interior,4,FALSE),0)</f>
        <v>0</v>
      </c>
      <c r="GA336" s="1696"/>
      <c r="GB336" s="1696"/>
      <c r="GC336" s="1696"/>
      <c r="GD336" s="1696"/>
      <c r="GE336" s="1696"/>
      <c r="GF336" s="1696"/>
      <c r="GG336" s="1696"/>
      <c r="GH336" s="1696"/>
      <c r="GI336" s="673" t="b">
        <f>IF(ISNUMBER(SEARCH("TLED",U336)),TRUE,FALSE)</f>
        <v>0</v>
      </c>
      <c r="GJ336" s="1135" t="str">
        <f>IFERROR(VLOOKUP(U336,Fixtures!DM$93:DR$142,6,FALSE),"")</f>
        <v/>
      </c>
      <c r="GK336" s="1832"/>
      <c r="GM336" s="1692"/>
      <c r="GN336" s="1684"/>
      <c r="GP336" s="1684"/>
      <c r="GQ336" s="1684"/>
      <c r="HG336" s="1684"/>
      <c r="HH336" s="1684"/>
      <c r="HI336" s="1684"/>
      <c r="HJ336" s="1684"/>
      <c r="HK336" s="1684"/>
      <c r="HL336" s="1684"/>
      <c r="HM336" s="1684"/>
      <c r="HN336" s="1683"/>
      <c r="HO336" s="1692"/>
      <c r="HP336" s="1692"/>
      <c r="HQ336" s="1670"/>
      <c r="HR336" s="1684"/>
      <c r="HS336" s="1684"/>
      <c r="HT336" s="1670"/>
      <c r="HU336" s="1684"/>
      <c r="HV336" s="1684"/>
      <c r="HW336" s="1684"/>
      <c r="HX336" s="1684"/>
      <c r="HY336" s="1684"/>
      <c r="HZ336" s="1684"/>
      <c r="IB336" s="1692"/>
      <c r="IC336" s="1693" t="b">
        <f>IB334</f>
        <v>0</v>
      </c>
      <c r="ID336" s="1695"/>
      <c r="IE336" s="391"/>
      <c r="IF336" s="1688"/>
      <c r="IG336" s="1689">
        <f ca="1">IF(IF334=TRUE,AC337,0)</f>
        <v>0</v>
      </c>
      <c r="IH336" s="1684"/>
      <c r="IK336" s="1689" t="e">
        <f>ROUND(T336*AB337*N335*R335/1000,0)</f>
        <v>#VALUE!</v>
      </c>
      <c r="IL336" s="1691"/>
      <c r="IM336" s="1693" t="e">
        <f>ROUND(T336*AB337*N335*R335/1000,0)</f>
        <v>#VALUE!</v>
      </c>
      <c r="IN336" s="1691"/>
      <c r="IP336" s="1679"/>
      <c r="IQ336" s="1679" t="e">
        <f t="shared" ref="IQ336:IU336" si="292">IF($CR336="interior",VLOOKUP($CS336,_New_Control_Savings_Interior,IQ$30,FALSE),VLOOKUP($CS336,Control_Savings_Exterior,IQ$30,FALSE))</f>
        <v>#N/A</v>
      </c>
      <c r="IR336" s="1679" t="e">
        <f t="shared" si="292"/>
        <v>#N/A</v>
      </c>
      <c r="IS336" s="1679" t="e">
        <f t="shared" si="292"/>
        <v>#N/A</v>
      </c>
      <c r="IT336" s="1679" t="e">
        <f t="shared" si="292"/>
        <v>#N/A</v>
      </c>
      <c r="IU336" s="1679" t="e">
        <f t="shared" si="292"/>
        <v>#N/A</v>
      </c>
      <c r="IV336" s="1679" t="e">
        <f>IF($CR336="interior",IF(R335&gt;$IP$14,ROUND(($IV$18*($IP$14/R335)),2),$IV$18),VLOOKUP($CS336,Control_Savings_Exterior,IV$30,FALSE))</f>
        <v>#N/A</v>
      </c>
      <c r="IW336" s="1679" t="e">
        <f>IF($CR336="interior",ROUND(((1-IS336)*IV336)+IS336,2),VLOOKUP($CS336,Control_Savings_Exterior,IW$30,FALSE))</f>
        <v>#N/A</v>
      </c>
      <c r="IX336" s="1679" t="e">
        <f>IF($CR336="interior",ROUND(((1-IT336)*IV336)+IT336,2),VLOOKUP($CS336,Control_Savings_Exterior,IX$30,FALSE))</f>
        <v>#N/A</v>
      </c>
      <c r="IY336" s="1679" t="e">
        <f>IF($CR336="interior",IF(R335&gt;$IP$14,ROUND(($IY$18*($IP$14/R335)),2),$IY$18),VLOOKUP($CS336,Control_Savings_Exterior,IY$30,FALSE))</f>
        <v>#N/A</v>
      </c>
      <c r="IZ336" s="1679" t="e">
        <f>IF($CR336="interior",ROUND(((1-IS336)*IY336)+IS336,2),VLOOKUP($CS336,Control_Savings_Exterior,IZ$30,FALSE))</f>
        <v>#N/A</v>
      </c>
      <c r="JA336" s="1679" t="e">
        <f>IF($CR336="interior",ROUND(((1-IT336)*IY336)+IT336,2),VLOOKUP($CS336,Control_Savings_Exterior,JA$30,FALSE))</f>
        <v>#N/A</v>
      </c>
      <c r="JC336" s="1680">
        <f>IFERROR(IF(CR336="Interior",CONCATENATE(G337," ",FQ336),AG336),"")</f>
        <v>0</v>
      </c>
      <c r="JD336" s="1670" t="str">
        <f>IFERROR(VLOOKUP(JC336,_Controls_2023,2,FALSE),"")</f>
        <v/>
      </c>
      <c r="JE336" s="1681">
        <f>IFERROR(CHOOSE(JD336-1,IQ336,IR336,IS336,IT336,IU336,IV336,IW336,IX336,IY336,IZ336,JA336),0)</f>
        <v>0</v>
      </c>
      <c r="JG336" s="1680" t="str">
        <f>FE336</f>
        <v xml:space="preserve"> - </v>
      </c>
      <c r="JH336" s="1670" t="e">
        <f>$FO336</f>
        <v>#N/A</v>
      </c>
      <c r="JI336" s="1060"/>
      <c r="JJ336" s="1670">
        <f>IFERROR(IF($IB334=TRUE,IF(OR(JJ$14="No",JJ334=FALSE,JH336&lt;=JH334,AND(_kWh_Grant=0,GD334=FALSE)),0,IF(JJ$8="Per Line",1,$AF336)),0),0)</f>
        <v>0</v>
      </c>
      <c r="JK336" s="1061"/>
      <c r="JL336" s="1670">
        <f>IFERROR(IF(_kWh_Grant=0,0,IF($IB334=TRUE,IF(OR(JL$14="No",JL334=FALSE,JH336&lt;=JH334),0,IF(JL$8="Per Line",1,$T336)),0)),0)</f>
        <v>0</v>
      </c>
      <c r="JM336" s="1061"/>
      <c r="JN336" s="1670">
        <f>IFERROR(IF(_kWh_Grant=0,0,IF($IB334=TRUE,IF(OR(JN$14="No",JN334=FALSE,JH336&lt;=JH334),0,IF(JN$8="Per Line",1,$AF336)),0)),0)</f>
        <v>0</v>
      </c>
      <c r="JO336" s="1061"/>
      <c r="JP336" s="1670">
        <f>IFERROR(IF(__Retrofit_TI_NC=0,IF(_kWh_Grant=0,0,IF($IB334=TRUE,IF(OR(JP$14="No",JP334=FALSE,$JH336&lt;=$JH334),0,IF(JP$8="Per Line",1,$AF336)),0)),IF($IB334=TRUE,IF(OR(JP$14="No",JP334=FALSE,$JH336&lt;=$JH334),0,IF(JP$8="Per Line",1,$AF336)))),0)</f>
        <v>0</v>
      </c>
      <c r="JQ336" s="1061"/>
      <c r="JR336" s="1670">
        <f>IFERROR(IF(__Retrofit_TI_NC=0,IF(_kWh_Grant=0,0,IF($IB334=TRUE,IF(OR(JR$14="No",JR334=FALSE,$JH336&lt;=$JH334),0,IF(JR$8="Per Line",1,$AF336)),0)),IF($IB334=TRUE,IF(OR(JR$14="No",JR334=FALSE,$JH336&lt;=$JH334),0,IF(JR$8="Per Line",1,$AF336)))),0)</f>
        <v>0</v>
      </c>
      <c r="JS336" s="1061"/>
      <c r="JT336" s="1670">
        <f>IFERROR(IF(__Retrofit_TI_NC=0,IF(_kWh_Grant=0,0,IF($IB334=TRUE,IF(OR(JT$14="No",JT334=FALSE,$JH336&lt;=$JH334),0,IF(JT$8="Per Line",1,$AF336)),0)),IF($IB334=TRUE,IF(OR(JT$14="No",JT334=FALSE,$JH336&lt;=$JH334),0,IF(JT$8="Per Line",1,$AF336)))),0)</f>
        <v>0</v>
      </c>
      <c r="JU336" s="1061"/>
      <c r="JV336" s="1670">
        <f>IFERROR(IF(__Retrofit_TI_NC=0,IF(_kWh_Grant=0,0,IF($IB334=TRUE,IF(OR(JV$14="No",JV334=FALSE,$JH336&lt;=$JH334),0,IF(JV$8="Per Line",1,$AF336)),0)),IF($IB334=TRUE,IF(OR(JV$14="No",JV334=FALSE,$JH336&lt;=$JH334),0,IF(JV$8="Per Line",1,$AF336)))),0)</f>
        <v>0</v>
      </c>
      <c r="JX336" s="1670">
        <f>IFERROR(IF(__Retrofit_TI_NC=0,IF(_kWh_Grant=0,0,IF($IB334=TRUE,IF(OR(JX$14="No",JX334=FALSE,$JH336&lt;=$JH334),0,IF(JX$8="Per Line",1,$AF336)),0)),IF($IB334=TRUE,IF(OR(JX$14="No",JX334=FALSE,$JH336&lt;=$JH334),0,IF(JX$8="Per Line",1,$AF336)))),0)</f>
        <v>0</v>
      </c>
      <c r="JZ336" s="1670">
        <f>IFERROR(IF($IB334=TRUE,IF(OR(JZ$14="No",JZ334=FALSE,$JH336&lt;=$JH334,AND(_kWh_Grant=0,$GD334=FALSE)),0,IF(JZ$8="Per Line",1,$AF336)),0),0)</f>
        <v>0</v>
      </c>
      <c r="KB336" s="1670">
        <f>IFERROR(IF(__Retrofit_TI_NC=0,IF(_kWh_Grant=0,0,IF($IB334=TRUE,IF(OR(KB$14="No",KB334=FALSE,$JH336&lt;=$JH334),0,IF(KB$8="Per Line",1,$AF336)),0)),IF($IB334=TRUE,IF(OR(KB$14="No",KB334=FALSE,$JH336&lt;=$JH334),0,IF(KB$8="Per Line",1,$AF336)))),0)</f>
        <v>0</v>
      </c>
    </row>
    <row r="337" spans="1:288" s="78" customFormat="1" ht="14.95" customHeight="1" thickTop="1" thickBot="1">
      <c r="B337" s="1845"/>
      <c r="C337" s="1846"/>
      <c r="D337" s="1847"/>
      <c r="E337" s="1771" t="s">
        <v>436</v>
      </c>
      <c r="F337" s="1772"/>
      <c r="G337" s="1784" t="s">
        <v>437</v>
      </c>
      <c r="H337" s="1785"/>
      <c r="I337" s="1785"/>
      <c r="J337" s="1785"/>
      <c r="K337" s="1785"/>
      <c r="L337" s="1786"/>
      <c r="M337" s="591">
        <f>IFERROR(VLOOKUP(G337,_Daylight_Table[],2,FALSE),0)</f>
        <v>0</v>
      </c>
      <c r="N337" s="592" t="str">
        <f>IF(AND(__Retrofit_TI_NC&gt;0,CQ334="Interior"),"BAM","")</f>
        <v/>
      </c>
      <c r="O337" s="591" t="e">
        <f>VLOOKUP(G336,'Space Table'!$B$3:$L$163,11,FALSE)</f>
        <v>#N/A</v>
      </c>
      <c r="P337" s="1789"/>
      <c r="Q337" s="1790"/>
      <c r="R337" s="1790"/>
      <c r="S337" s="1788"/>
      <c r="T337" s="593" t="s">
        <v>342</v>
      </c>
      <c r="U337" s="1756" t="str" cm="1">
        <f t="array" aca="1" ref="U337" ca="1">IFERROR(VLOOKUP(INDIRECT("U" &amp; ROW()-1),Fixtures!DM$93:DP$142,4,FALSE),"")</f>
        <v/>
      </c>
      <c r="V337" s="1757"/>
      <c r="W337" s="1757"/>
      <c r="X337" s="1757"/>
      <c r="Y337" s="1757"/>
      <c r="Z337" s="1757"/>
      <c r="AA337" s="1758"/>
      <c r="AB337" s="939" t="str">
        <f>IFERROR(VLOOKUP(U336,Fixtures_Proposed_List,2,FALSE),"")</f>
        <v/>
      </c>
      <c r="AC337" s="933" t="str">
        <f>IFERROR(ROUND(T336*AB337*N335*R335/1000,0),"")</f>
        <v/>
      </c>
      <c r="AD337" s="934" t="str">
        <f>IFERROR(ROUND(T336*AB337/1000,2),"")</f>
        <v/>
      </c>
      <c r="AE337" s="998"/>
      <c r="AF337" s="938" t="s">
        <v>342</v>
      </c>
      <c r="AG337" s="1770"/>
      <c r="AH337" s="1770"/>
      <c r="AI337" s="1770"/>
      <c r="AJ337" s="1770"/>
      <c r="AK337" s="1770"/>
      <c r="AL337" s="1770"/>
      <c r="AM337" s="1727"/>
      <c r="AN337" s="1729"/>
      <c r="AO337" s="1731"/>
      <c r="AP337" s="1782"/>
      <c r="AQ337" s="1783"/>
      <c r="AR337" s="1797"/>
      <c r="AS337" s="1797"/>
      <c r="AT337" s="1798"/>
      <c r="AU337" s="1736"/>
      <c r="AV337" s="1753"/>
      <c r="AW337" s="1706"/>
      <c r="AX337" s="468"/>
      <c r="AY337" s="1750"/>
      <c r="AZ337" s="1750"/>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696"/>
      <c r="CQ337" s="1696"/>
      <c r="CR337" s="1809"/>
      <c r="CS337" s="1811"/>
      <c r="CU337" s="1688"/>
      <c r="CV337" s="1703"/>
      <c r="CW337" s="1703"/>
      <c r="CX337" s="1813"/>
      <c r="CY337" s="1815"/>
      <c r="CZ337" s="1711"/>
      <c r="DA337" s="1815"/>
      <c r="DB337" s="1821"/>
      <c r="DC337" s="1821"/>
      <c r="DD337" s="1821"/>
      <c r="DF337" s="1703"/>
      <c r="DG337" s="1831"/>
      <c r="DH337" s="1813"/>
      <c r="DI337" s="1838"/>
      <c r="DJ337" s="1711"/>
      <c r="DK337" s="1712"/>
      <c r="DN337" s="1718"/>
      <c r="DO337" s="1709"/>
      <c r="DQ337" s="1715"/>
      <c r="DR337" s="1720"/>
      <c r="DS337" s="1703"/>
      <c r="DT337" s="1714"/>
      <c r="DU337" s="1715"/>
      <c r="DV337" s="1716"/>
      <c r="DX337" s="1715"/>
      <c r="DY337" s="1720"/>
      <c r="DZ337" s="1715"/>
      <c r="EA337" s="1715"/>
      <c r="EC337" s="1834"/>
      <c r="ED337" s="1834"/>
      <c r="EF337" s="1707"/>
      <c r="EG337" s="1712"/>
      <c r="EH337" s="1815"/>
      <c r="EI337" s="1712"/>
      <c r="EJ337" s="1712"/>
      <c r="EK337" s="1813"/>
      <c r="EL337" s="1813"/>
      <c r="EM337" s="1807"/>
      <c r="EN337" s="1839"/>
      <c r="EO337" s="1839"/>
      <c r="EP337" s="1817"/>
      <c r="EQ337" s="1817"/>
      <c r="ER337" s="1807"/>
      <c r="ES337" s="1807"/>
      <c r="ET337" s="1807"/>
      <c r="EV337" s="1715"/>
      <c r="EX337" s="1806"/>
      <c r="EY337" s="1806"/>
      <c r="EZ337" s="1806"/>
      <c r="FA337" s="1806"/>
      <c r="FB337" s="1806"/>
      <c r="FC337" s="1828"/>
      <c r="FE337" s="1698"/>
      <c r="FG337" s="1703"/>
      <c r="FH337" s="1703"/>
      <c r="FI337" s="133"/>
      <c r="FL337" s="1823"/>
      <c r="FM337" s="1825"/>
      <c r="FN337" s="1698"/>
      <c r="FO337" s="1698"/>
      <c r="FP337" s="1678"/>
      <c r="FQ337" s="1698"/>
      <c r="FS337" s="1687"/>
      <c r="FT337" s="1687"/>
      <c r="FU337" s="1685"/>
      <c r="FV337" s="1687"/>
      <c r="FW337" s="1687"/>
      <c r="FX337" s="1687"/>
      <c r="FY337" s="1697"/>
      <c r="GA337" s="1696"/>
      <c r="GB337" s="1696"/>
      <c r="GC337" s="1696"/>
      <c r="GD337" s="1696"/>
      <c r="GE337" s="1696"/>
      <c r="GF337" s="1696"/>
      <c r="GG337" s="1696"/>
      <c r="GH337" s="1696"/>
      <c r="GI337" s="673"/>
      <c r="GJ337" s="1135"/>
      <c r="GK337" s="1832"/>
      <c r="GN337" s="674">
        <f>IF(GN335=TRUE,0,GN$16)</f>
        <v>0</v>
      </c>
      <c r="GP337" s="674">
        <f>IF(GP335=TRUE,0,GP$16)</f>
        <v>36</v>
      </c>
      <c r="GQ337" s="674">
        <f ca="1">IF(GQ335=TRUE,0,GQ$16)</f>
        <v>35</v>
      </c>
      <c r="GR337" s="391"/>
      <c r="GS337" s="391"/>
      <c r="GT337" s="391"/>
      <c r="GU337" s="391"/>
      <c r="GV337" s="391"/>
      <c r="HG337" s="674">
        <f>IF(HG335=TRUE,0,HG$16)</f>
        <v>0</v>
      </c>
      <c r="HH337" s="674">
        <f t="shared" ref="HH337:HM337" si="293">IF(HH335=TRUE,0,HH$16)</f>
        <v>19</v>
      </c>
      <c r="HI337" s="674">
        <f t="shared" si="293"/>
        <v>18</v>
      </c>
      <c r="HJ337" s="674">
        <f t="shared" si="293"/>
        <v>17</v>
      </c>
      <c r="HK337" s="674">
        <f t="shared" si="293"/>
        <v>16</v>
      </c>
      <c r="HL337" s="674">
        <f t="shared" si="293"/>
        <v>0</v>
      </c>
      <c r="HM337" s="674">
        <f t="shared" si="293"/>
        <v>0</v>
      </c>
      <c r="HN337" s="674">
        <f>IF(HN335=TRUE,0,HN$16)</f>
        <v>13</v>
      </c>
      <c r="HO337" s="674">
        <f t="shared" ref="HO337:HQ337" si="294">IF(HO335=TRUE,0,HO$16)</f>
        <v>0</v>
      </c>
      <c r="HP337" s="674">
        <f t="shared" si="294"/>
        <v>0</v>
      </c>
      <c r="HQ337" s="674">
        <f t="shared" si="294"/>
        <v>10</v>
      </c>
      <c r="HR337" s="674">
        <f>IF(HR335=TRUE,0,HR$16)</f>
        <v>9</v>
      </c>
      <c r="HS337" s="674">
        <f t="shared" ref="HS337:HW337" si="295">IF(HS335=TRUE,0,HS$16)</f>
        <v>0</v>
      </c>
      <c r="HT337" s="674">
        <f t="shared" si="295"/>
        <v>0</v>
      </c>
      <c r="HU337" s="674">
        <f t="shared" si="295"/>
        <v>0</v>
      </c>
      <c r="HV337" s="674">
        <f t="shared" si="295"/>
        <v>0</v>
      </c>
      <c r="HW337" s="674">
        <f t="shared" si="295"/>
        <v>0</v>
      </c>
      <c r="HX337" s="674">
        <f>IF(HX335=TRUE,0,HX$16)</f>
        <v>0</v>
      </c>
      <c r="HY337" s="674">
        <f>IF(HY335=TRUE,0,HY$16)</f>
        <v>0</v>
      </c>
      <c r="HZ337" s="674">
        <f>IF(HZ335=TRUE,0,HZ$16)</f>
        <v>1</v>
      </c>
      <c r="IB337" s="674">
        <f>IF(GP335=FALSE,GP337,IF(GQ335=FALSE,GQ337,MAX(GN337:HZ337)))</f>
        <v>36</v>
      </c>
      <c r="IC337" s="1692"/>
      <c r="ID337" s="205" t="str">
        <f>VLOOKUP(IB337,_Error_Table,3,FALSE)</f>
        <v xml:space="preserve"> </v>
      </c>
      <c r="IE337" s="205"/>
      <c r="IF337" s="1688"/>
      <c r="IG337" s="1689"/>
      <c r="IH337" s="1684"/>
      <c r="IK337" s="1689"/>
      <c r="IL337" s="1692"/>
      <c r="IM337" s="1692"/>
      <c r="IN337" s="1692"/>
      <c r="IP337" s="1679"/>
      <c r="IQ337" s="1679"/>
      <c r="IR337" s="1679"/>
      <c r="IS337" s="1679"/>
      <c r="IT337" s="1679"/>
      <c r="IU337" s="1679"/>
      <c r="IV337" s="1679"/>
      <c r="IW337" s="1679"/>
      <c r="IX337" s="1679"/>
      <c r="IY337" s="1679"/>
      <c r="IZ337" s="1679"/>
      <c r="JA337" s="1679"/>
      <c r="JC337" s="1680"/>
      <c r="JD337" s="1670"/>
      <c r="JE337" s="1681"/>
      <c r="JG337" s="1680"/>
      <c r="JH337" s="1670"/>
      <c r="JI337" s="1060"/>
      <c r="JJ337" s="1670"/>
      <c r="JK337" s="1061"/>
      <c r="JL337" s="1670"/>
      <c r="JM337" s="1061"/>
      <c r="JN337" s="1670"/>
      <c r="JO337" s="1061"/>
      <c r="JP337" s="1670"/>
      <c r="JQ337" s="1061"/>
      <c r="JR337" s="1670"/>
      <c r="JS337" s="1061"/>
      <c r="JT337" s="1670"/>
      <c r="JU337" s="1061"/>
      <c r="JV337" s="1670"/>
      <c r="JX337" s="1670"/>
      <c r="JZ337" s="1670"/>
      <c r="KB337" s="1670"/>
    </row>
    <row r="338" spans="1:288" s="78" customFormat="1" ht="5.0999999999999996" customHeight="1">
      <c r="B338" s="676"/>
      <c r="C338" s="392"/>
      <c r="D338" s="392"/>
      <c r="E338" s="1733"/>
      <c r="F338" s="1733"/>
      <c r="G338" s="1733"/>
      <c r="H338" s="1733"/>
      <c r="I338" s="1733"/>
      <c r="J338" s="1733"/>
      <c r="K338" s="1733"/>
      <c r="L338" s="1733"/>
      <c r="M338" s="1733"/>
      <c r="N338" s="1733"/>
      <c r="O338" s="1733"/>
      <c r="P338" s="1733"/>
      <c r="Q338" s="1733"/>
      <c r="R338" s="1733"/>
      <c r="S338" s="1733"/>
      <c r="T338" s="1733"/>
      <c r="U338" s="1733"/>
      <c r="V338" s="1733"/>
      <c r="W338" s="1733"/>
      <c r="X338" s="1733"/>
      <c r="Y338" s="1733"/>
      <c r="Z338" s="1733"/>
      <c r="AA338" s="1733"/>
      <c r="AB338" s="1733"/>
      <c r="AC338" s="1733"/>
      <c r="AD338" s="1733"/>
      <c r="AE338" s="1733"/>
      <c r="AF338" s="1733"/>
      <c r="AG338" s="1733"/>
      <c r="AH338" s="1733"/>
      <c r="AI338" s="1733"/>
      <c r="AJ338" s="1733"/>
      <c r="AK338" s="1733"/>
      <c r="AL338" s="1733"/>
      <c r="AM338" s="1733"/>
      <c r="AN338" s="1733"/>
      <c r="AO338" s="1733"/>
      <c r="AP338" s="1733"/>
      <c r="AQ338" s="1733"/>
      <c r="AR338" s="1733"/>
      <c r="AS338" s="1733"/>
      <c r="AT338" s="1733"/>
      <c r="AU338" s="1733"/>
      <c r="AV338" s="1733"/>
      <c r="AW338" s="1733"/>
      <c r="AX338" s="469"/>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663"/>
      <c r="CQ338" s="663"/>
      <c r="CR338" s="438"/>
      <c r="CS338" s="663"/>
      <c r="CV338" s="391"/>
      <c r="CW338" s="391"/>
      <c r="CX338" s="207"/>
      <c r="CY338" s="208"/>
      <c r="CZ338" s="208"/>
      <c r="DA338" s="208"/>
      <c r="DB338" s="209"/>
      <c r="DC338" s="209"/>
      <c r="DD338" s="209"/>
      <c r="DF338" s="664"/>
      <c r="DG338" s="665"/>
      <c r="DH338" s="666"/>
      <c r="DI338" s="667"/>
      <c r="DJ338" s="668"/>
      <c r="DK338" s="668"/>
      <c r="DN338" s="208"/>
      <c r="DO338" s="664"/>
      <c r="DQ338" s="664"/>
      <c r="DR338" s="669"/>
      <c r="DS338" s="391"/>
      <c r="DT338" s="664"/>
      <c r="DU338" s="664"/>
      <c r="DV338" s="664"/>
      <c r="DX338" s="664"/>
      <c r="DY338" s="664"/>
      <c r="DZ338" s="664"/>
      <c r="EA338" s="664"/>
      <c r="EC338" s="670"/>
      <c r="ED338" s="670"/>
      <c r="EF338" s="668"/>
      <c r="EG338" s="668"/>
      <c r="EH338" s="208"/>
      <c r="EI338" s="668"/>
      <c r="EJ338" s="668"/>
      <c r="EK338" s="207"/>
      <c r="EL338" s="207"/>
      <c r="EM338" s="666"/>
      <c r="EN338" s="671"/>
      <c r="EO338" s="671"/>
      <c r="EP338" s="672"/>
      <c r="EQ338" s="672"/>
      <c r="ER338" s="666"/>
      <c r="ES338" s="666"/>
      <c r="ET338" s="666"/>
      <c r="EV338" s="664"/>
      <c r="EX338" s="391"/>
      <c r="EY338" s="391"/>
      <c r="EZ338" s="391"/>
      <c r="FA338" s="391"/>
      <c r="FB338" s="391"/>
      <c r="FC338" s="391"/>
      <c r="FE338" s="569"/>
      <c r="FG338" s="391"/>
      <c r="FH338" s="391"/>
      <c r="FI338" s="391"/>
      <c r="FS338" s="664"/>
      <c r="FT338" s="391"/>
      <c r="FU338" s="391"/>
      <c r="FV338" s="664"/>
      <c r="FW338" s="664"/>
      <c r="GA338" s="663"/>
      <c r="GB338" s="663"/>
      <c r="GC338" s="663"/>
      <c r="GD338" s="663"/>
      <c r="GE338" s="663"/>
      <c r="GF338" s="663"/>
      <c r="GG338" s="663"/>
      <c r="GH338" s="663"/>
      <c r="GI338" s="665"/>
      <c r="GJ338" s="664"/>
      <c r="GK338" s="664"/>
    </row>
    <row r="339" spans="1:288" s="78" customFormat="1" ht="14.95" customHeight="1">
      <c r="B339" s="1845" t="str">
        <f>ID342</f>
        <v xml:space="preserve"> </v>
      </c>
      <c r="C339" s="1846">
        <f>C334+1</f>
        <v>57</v>
      </c>
      <c r="D339" s="1847"/>
      <c r="E339" s="1799" t="s">
        <v>295</v>
      </c>
      <c r="F339" s="1800"/>
      <c r="G339" s="1741"/>
      <c r="H339" s="1742"/>
      <c r="I339" s="1742"/>
      <c r="J339" s="1742"/>
      <c r="K339" s="1742"/>
      <c r="L339" s="1742"/>
      <c r="M339" s="1742"/>
      <c r="N339" s="1742"/>
      <c r="O339" s="1742"/>
      <c r="P339" s="1742"/>
      <c r="Q339" s="1742"/>
      <c r="R339" s="1742"/>
      <c r="S339" s="1791" t="s">
        <v>344</v>
      </c>
      <c r="T339" s="590"/>
      <c r="U339" s="1743"/>
      <c r="V339" s="1744"/>
      <c r="W339" s="1744"/>
      <c r="X339" s="1744"/>
      <c r="Y339" s="1744"/>
      <c r="Z339" s="1744"/>
      <c r="AA339" s="1744"/>
      <c r="AB339" s="961" t="str">
        <f>IFERROR(IF(__Retrofit_TI_NC=0,VLOOKUP(U340,Fixtures_Existing_List,2,FALSE),ROUND(N341*R341/T341,10)),"")</f>
        <v/>
      </c>
      <c r="AC339" s="935" t="str">
        <f>IFERROR(IF(__Retrofit_TI_NC=0,ROUND(T340*AB339*N340*R340/1000,0),IF(CQ339="Interior",N341*R341*R340*N340*_C406_reduction/1000,N341*R341*R340*N340/1000)),"")</f>
        <v/>
      </c>
      <c r="AD339" s="936" t="str">
        <f>IFERROR(IF(C$43=0,ROUND(T340*AB339/1000,2),N341*R341/1000),"")</f>
        <v/>
      </c>
      <c r="AE339" s="997"/>
      <c r="AF339" s="937"/>
      <c r="AG339" s="1745" t="str">
        <f>IF(__Retrofit_TI_NC=0," Control","Select Advanced Control for New System")</f>
        <v xml:space="preserve"> Control</v>
      </c>
      <c r="AH339" s="1745"/>
      <c r="AI339" s="1745"/>
      <c r="AJ339" s="1745"/>
      <c r="AK339" s="1745"/>
      <c r="AL339" s="1745"/>
      <c r="AM339" s="1746">
        <f>IFERROR(DI339,"")</f>
        <v>0</v>
      </c>
      <c r="AN339" s="1774" t="str">
        <f>IFERROR(ROUND(AM339*AC339,0),"")</f>
        <v/>
      </c>
      <c r="AO339" s="1776">
        <f>IFERROR(IF(IB339=FALSE,0,AC339-AN339),0)</f>
        <v>0</v>
      </c>
      <c r="AP339" s="1778">
        <f>AO339-AO341</f>
        <v>0</v>
      </c>
      <c r="AQ339" s="1779"/>
      <c r="AR339" s="1793">
        <f>IFERROR(IF(IB339=FALSE,0,(T341*U342)+(AF341*AG342)),0)</f>
        <v>0</v>
      </c>
      <c r="AS339" s="1793"/>
      <c r="AT339" s="1794"/>
      <c r="AU339" s="1734" t="s">
        <v>237</v>
      </c>
      <c r="AV339" s="1751">
        <f>IF(AU339="Yes",1,0)</f>
        <v>1</v>
      </c>
      <c r="AW339" s="1704" t="str">
        <f>IF(OR(DQ339=4,DQ339=5,DQ339=6,DQ339=12),CONCATENATE("$",IF(GH339=TRUE,Lookup!$K$10,Lookup!$K$2)," /lamp"),CONCATENATE(TEXT(ED339,"$0.00"),"/ kWh"))</f>
        <v>$0.00/ kWh</v>
      </c>
      <c r="AX339" s="467"/>
      <c r="AY339" s="1748">
        <f ca="1">IFERROR(IF(GM340=TRUE,(AB342*T341)/R341,0),"NA")</f>
        <v>0</v>
      </c>
      <c r="AZ339" s="1748"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696" t="str">
        <f>N340</f>
        <v/>
      </c>
      <c r="CQ339" s="1696" t="str">
        <f>IFERROR(VLOOKUP(G340,_Lookup_Heat_Type_Table_New,3,FALSE),"")</f>
        <v/>
      </c>
      <c r="CR339" s="1808" t="str">
        <f>CQ339</f>
        <v/>
      </c>
      <c r="CS339" s="1810" t="str">
        <f>IFERROR(VLOOKUP(G341,'Space Table'!$B$3:$L$163,9,FALSE),"")</f>
        <v/>
      </c>
      <c r="CU339" s="1688" t="s">
        <v>344</v>
      </c>
      <c r="CV339" s="1702">
        <f>IF(IB339=TRUE,T340,0)</f>
        <v>0</v>
      </c>
      <c r="CW339" s="1702" t="str">
        <f>IF(IB339=TRUE,U340,"")</f>
        <v/>
      </c>
      <c r="CX339" s="1702"/>
      <c r="CY339" s="1814">
        <f>IF(IB339=TRUE,AB339,0)</f>
        <v>0</v>
      </c>
      <c r="CZ339" s="1710">
        <f>IF(AND(__Retrofit_TI_NC&gt;0,CR339="interior"),0,IF(IB339=TRUE,AC339,0))</f>
        <v>0</v>
      </c>
      <c r="DA339" s="1814">
        <f>IFERROR(IF(IB339=TRUE,CZ339-CZ341,0),0)</f>
        <v>0</v>
      </c>
      <c r="DB339" s="1819">
        <f>IF(IB339=TRUE,AD339,0)</f>
        <v>0</v>
      </c>
      <c r="DC339" s="1819">
        <f>IF(IB339=TRUE,AD342,0)</f>
        <v>0</v>
      </c>
      <c r="DD339" s="1819">
        <f>IFERROR(DB339-DC339,0)</f>
        <v>0</v>
      </c>
      <c r="DF339" s="1702">
        <f>IF(IB339=TRUE,AF340,0)</f>
        <v>0</v>
      </c>
      <c r="DG339" s="1830">
        <f>IFERROR(IF(__Retrofit_TI_NC=2,IF(CQ339="Exterior",O342,FQ339),FN339),"")</f>
        <v>0</v>
      </c>
      <c r="DH339" s="1702"/>
      <c r="DI339" s="1837">
        <f>JE339</f>
        <v>0</v>
      </c>
      <c r="DJ339" s="1710">
        <f>IF(AND(__Retrofit_TI_NC&gt;0,CR339="interior"),0,IF(IB339=TRUE,AN339,0))</f>
        <v>0</v>
      </c>
      <c r="DK339" s="1712">
        <f>IFERROR(IF(IB339=TRUE,DJ341-DJ339,0),0)</f>
        <v>0</v>
      </c>
      <c r="DM339" s="1717">
        <f>IFERROR(CZ339-DJ339,0)</f>
        <v>0</v>
      </c>
      <c r="DO339" s="1708">
        <f>DM339-DN341</f>
        <v>0</v>
      </c>
      <c r="DQ339" s="1715" t="str">
        <f>IFERROR(IF(AND(OR(GC339=4,GC339=5,GC339=6),OR(GF339=4,GF339=5,GF339=6)),GC339+8,VLOOKUP(CW341,Fixtures!R$31:Y$78,8,FALSE)),"")</f>
        <v/>
      </c>
      <c r="DR339" s="1829" t="str">
        <f>DQ339</f>
        <v/>
      </c>
      <c r="DS339" s="1702" t="str">
        <f>IFERROR(VLOOKUP(DG341,Lookup!BB$3:BC$20,2,FALSE),"")</f>
        <v/>
      </c>
      <c r="DT339" s="1713" t="str">
        <f>IF(OR(DS339=7,DS339=8,DS339=9),"ALC","")</f>
        <v/>
      </c>
      <c r="DU339" s="1715">
        <f>IFERROR(IF(OR(DQ339=4,DQ339=5,DQ339=6,DQ339=12,DQ339=13,DQ339=14),VLOOKUP(CW341,Fixtures!DN$27:EG$77,19,FALSE),1)*CV341,0)</f>
        <v>0</v>
      </c>
      <c r="DV339" s="1716">
        <f>IF(OR(DS339=7,DS339=8,DS339=9),IF(DG339=DG341,0,DF341),0)</f>
        <v>0</v>
      </c>
      <c r="DX339" s="1715" t="str">
        <f>IFERROR(IF(EZ339&lt;EZ341,"Yes","No"),"")</f>
        <v/>
      </c>
      <c r="DY339" s="1829" t="str">
        <f>DX339</f>
        <v/>
      </c>
      <c r="DZ339" s="1715">
        <f>IF(DX339="Yes",DF341,0)</f>
        <v>0</v>
      </c>
      <c r="EA339" s="1715">
        <f>DZ339-DV339</f>
        <v>0</v>
      </c>
      <c r="EC339" s="1834">
        <f>IFERROR(VLOOKUP(DQ339,Lookup!AU$3:AV$16,2,FALSE),0)</f>
        <v>0</v>
      </c>
      <c r="ED339" s="1834">
        <f>IF(IB339=FALSE,0,IF(DX339="Yes",EC339+Lookup!K$6,EC339))</f>
        <v>0</v>
      </c>
      <c r="EF339" s="1707">
        <f>IF(IB339=TRUE,DM339,0)</f>
        <v>0</v>
      </c>
      <c r="EG339" s="1712">
        <f>IF(IB339=TRUE,CZ341,0)</f>
        <v>0</v>
      </c>
      <c r="EH339" s="1814">
        <f>IFERROR(EF339-EG339,0)</f>
        <v>0</v>
      </c>
      <c r="EI339" s="1712">
        <f>IF(IB339=TRUE,DJ341,0)</f>
        <v>0</v>
      </c>
      <c r="EJ339" s="1712">
        <f>IFERROR(EF339-EG339+EI339,0)</f>
        <v>0</v>
      </c>
      <c r="EK339" s="1812">
        <f>IF(IB339=TRUE,CV341*CX341,0)</f>
        <v>0</v>
      </c>
      <c r="EL339" s="1812">
        <f>IF(IB339=TRUE,DF341*DH341,0)</f>
        <v>0</v>
      </c>
      <c r="EM339" s="1807">
        <f>AR339</f>
        <v>0</v>
      </c>
      <c r="EN339" s="1839" t="str">
        <f>IFERROR(IF(IB339=TRUE,VLOOKUP(DQ339,Lookup!AU$3:AW$16,3,FALSE)*DU339,""),0)</f>
        <v/>
      </c>
      <c r="EO339" s="1839">
        <f>IF(IB339=TRUE,DZ339*Lookup!AW$12,0)</f>
        <v>0</v>
      </c>
      <c r="EP339" s="1817">
        <f>IFERROR(IF(IB339=TRUE,EN339/EP$40,0),0)</f>
        <v>0</v>
      </c>
      <c r="EQ339" s="1817">
        <f>IF(IB339=TRUE,EO339/EQ$40,0)</f>
        <v>0</v>
      </c>
      <c r="ER339" s="1807">
        <f>IF(IB339=TRUE,ET$40*EP339,0)</f>
        <v>0</v>
      </c>
      <c r="ES339" s="1807">
        <f>IF(IB339=TRUE,ET$40*EQ339,0)</f>
        <v>0</v>
      </c>
      <c r="ET339" s="1807">
        <f>ER339+ES339</f>
        <v>0</v>
      </c>
      <c r="EV339" s="1715">
        <f>IF(G339="",0,1)</f>
        <v>0</v>
      </c>
      <c r="EX339" s="1804" t="str">
        <f>IFERROR(VLOOKUP(CS341,'Space Table'!$B$3:$L$163,8,FALSE),"")</f>
        <v/>
      </c>
      <c r="EY339" s="1804" t="str">
        <f>IFERROR(IF(FB339="Yes",VLOOKUP(DG339,Lookup_Control_Type_Table2,4,FALSE),VLOOKUP(DG339,Lookup_Control_Type_Table2,3,FALSE)),"")</f>
        <v/>
      </c>
      <c r="EZ339" s="1804" t="e">
        <f>VLOOKUP(DG339,Lookup!BB$3:BC$20,2,FALSE)</f>
        <v>#N/A</v>
      </c>
      <c r="FA339" s="1804" t="e">
        <f>VLOOKUP(EX339,Lookup_Control_Type_Table,2,FALSE)</f>
        <v>#N/A</v>
      </c>
      <c r="FB339" s="1804" t="e">
        <f>VLOOKUP(CS341,'Space Table'!$B$3:$L$163,7,FALSE)</f>
        <v>#N/A</v>
      </c>
      <c r="FC339" s="1826" t="b">
        <f>ISNUMBER(SEARCH("TLED",U341))</f>
        <v>0</v>
      </c>
      <c r="FE339" s="1698" t="str">
        <f>CONCATENATE(CQ339," - ",DG339)</f>
        <v xml:space="preserve"> - 0</v>
      </c>
      <c r="FG339" s="1702" t="str">
        <f>VLOOKUP(CW341,Fixtures!DN$27:EZ$77,38,FALSE)</f>
        <v/>
      </c>
      <c r="FH339" s="1702">
        <f>IFERROR(FG339*EH339,0)</f>
        <v>0</v>
      </c>
      <c r="FI339" s="133"/>
      <c r="FL339" s="1822" t="str">
        <f>IF(CQ339="Exterior","Not Daylighted",G342)</f>
        <v>Not Daylighted</v>
      </c>
      <c r="FM339" s="1824">
        <f>VLOOKUP(FL339,_New_Daylight_Table_Codes,2,FALSE)</f>
        <v>0</v>
      </c>
      <c r="FN339" s="1698">
        <f>IF(__Retrofit_TI_NC&gt;0,VLOOKUP(G341,'Space Table'!$B$3:$L$163,11,FALSE),AG340)</f>
        <v>0</v>
      </c>
      <c r="FO339" s="1698" t="e">
        <f>IF(__Retrofit_TI_NC=2,VLOOKUP(FQ339,_Control_Table,2,FALSE),VLOOKUP(FN339,_Control_Table,2,FALSE))</f>
        <v>#N/A</v>
      </c>
      <c r="FP339" s="1678" t="e">
        <f>VLOOKUP(CONCATENATE(FL339," ",FN339),Lookup!AY$102:AZ349,2,FALSE)</f>
        <v>#N/A</v>
      </c>
      <c r="FQ339" s="1678">
        <f>IF(__Retrofit_TI_NC=0,FN339,IF(AND(FT339&gt;0,FN339="Occupancy Sensor"),"Daylight + Occupancy",IF(AND(FT339&gt;0,VLOOKUP(FN339,_Control_Table,2,FALSE)&lt;4),"Interior Daylight Dimming",FN339)))</f>
        <v>0</v>
      </c>
      <c r="FS339" s="1686">
        <f>IF(CR339="Interior",VLOOKUP(CS339,Control_Savings_Interior,5,FALSE),0)</f>
        <v>0</v>
      </c>
      <c r="FT339" s="1687">
        <f>IF(CQ339="Exterior",0,IF(FM339=2,0.5,IF(OR(FM339=1,FM339=3),1,0)))</f>
        <v>0</v>
      </c>
      <c r="FU339" s="1685">
        <f>IF(R338&gt;FS$44,(FS339*(FS$44/R338)),FS339)*FT339</f>
        <v>0</v>
      </c>
      <c r="FV339" s="1686">
        <f>DI339</f>
        <v>0</v>
      </c>
      <c r="FW339" s="1686">
        <f>ROUND(FV339+((1-FV339)*FU339),2)</f>
        <v>0</v>
      </c>
      <c r="FX339" s="1686">
        <f>IF(__Retrofit_TI_NC=2,FW339,FV339)</f>
        <v>0</v>
      </c>
      <c r="FY339" s="1697"/>
      <c r="GA339" s="1696" t="str">
        <f>IFERROR(VLOOKUP(U340,_Exist_Fixture_Table,3,FALSE),"")</f>
        <v/>
      </c>
      <c r="GB339" s="1696" t="str">
        <f>VLOOKUP(CW339,_Exist_Fixture_Table,4,FALSE)</f>
        <v/>
      </c>
      <c r="GC339" s="1696">
        <f>IFERROR(VLOOKUP(GB339,Lookup!AT$6:AU$8,2,FALSE),0)</f>
        <v>0</v>
      </c>
      <c r="GD339" s="1696" t="b">
        <f>IFERROR(IF(OR(GF339=4,GF339=5,GF339=6),TRUE,FALSE),"")</f>
        <v>0</v>
      </c>
      <c r="GE339" s="1696" t="str">
        <f>IFERROR(VLOOKUP(GF339,GC$6:GD$10,2,FALSE),"")</f>
        <v/>
      </c>
      <c r="GF339" s="1696" t="str">
        <f>VLOOKUP(CW341,Fixtures!R$31:Y$78,8,FALSE)</f>
        <v/>
      </c>
      <c r="GG339" s="1696">
        <f>IF(AND(GA339=TRUE,GD339=TRUE,OR(DQ339=12,DQ339=13,DQ339=14)),GC339+8,0)</f>
        <v>0</v>
      </c>
      <c r="GH339" s="1696" t="b">
        <f>IF(OR(GG339=12,GG339=13,GG339=14),TRUE,FALSE)</f>
        <v>0</v>
      </c>
      <c r="GI339" s="673" t="b">
        <f>IF(ISNUMBER(SEARCH("TLED",U340)),TRUE,FALSE)</f>
        <v>0</v>
      </c>
      <c r="GJ339" s="1135" t="str">
        <f>IFERROR(VLOOKUP(U340,Fixtures!BM$93:BR$142,6,FALSE),"")</f>
        <v/>
      </c>
      <c r="GK339" s="1832" t="b">
        <f>IF(OR(GI339=FALSE,GI341=FALSE),TRUE,IF(GJ339-GJ341&lt;5,FALSE,TRUE))</f>
        <v>1</v>
      </c>
      <c r="GO339" s="674">
        <f>GP339</f>
        <v>0</v>
      </c>
      <c r="GP339" s="674">
        <f>IF(G339="",0,1)</f>
        <v>0</v>
      </c>
      <c r="GQ339" s="674">
        <f ca="1">SUM(GR339:HF339)</f>
        <v>2</v>
      </c>
      <c r="GR339" s="674">
        <f>IF(G340="",0,1)</f>
        <v>0</v>
      </c>
      <c r="GS339" s="674">
        <f>IF(N342="BAM",1,IF(G341="",0,1))</f>
        <v>0</v>
      </c>
      <c r="GT339" s="674">
        <f>IF(N342="BAM",1,IF(R340="",0,1))</f>
        <v>0</v>
      </c>
      <c r="GU339" s="674">
        <f>IF(N342="BAM",1,IF(__Retrofit_TI_NC=0,1,IF(R341="",0,1)))</f>
        <v>1</v>
      </c>
      <c r="GV339" s="674">
        <f>IF(N342="BAM",1,IF(CQ339="Exterior",1,IF(G342="",0,1)))</f>
        <v>1</v>
      </c>
      <c r="GW339" s="674">
        <f>IF(__Retrofit_TI_NC&gt;0,1,IF(T340="",0,1))</f>
        <v>0</v>
      </c>
      <c r="GX339" s="674">
        <f>IF(__Retrofit_TI_NC&gt;0,1,IF(U340="",0,1))</f>
        <v>0</v>
      </c>
      <c r="GY339" s="674">
        <f>IF(N342="BAM",1,IF(T341="",0,1))</f>
        <v>0</v>
      </c>
      <c r="GZ339" s="674">
        <f>IF(N342="BAM",1,IF(U341="",0,1))</f>
        <v>0</v>
      </c>
      <c r="HA339" s="674">
        <f ca="1">IF(N342="BAM",1,IF(__Retrofit_TI_NC&gt;0,1,IF(U342="",0,1)))</f>
        <v>0</v>
      </c>
      <c r="HB339" s="674">
        <f>IF(__Retrofit_TI_NC&lt;&gt;0,1,IF(AF340="",0,1))</f>
        <v>0</v>
      </c>
      <c r="HC339" s="674">
        <f>IF(__Retrofit_TI_NC&lt;&gt;0,1,IF(AG340="",0,1))</f>
        <v>0</v>
      </c>
      <c r="HD339" s="674">
        <f>IF(N342="BAM",1,IF(AF341="",0,1))</f>
        <v>0</v>
      </c>
      <c r="HE339" s="674">
        <f>IF(N342="BAM",1,IF(AG341="",0,1))</f>
        <v>0</v>
      </c>
      <c r="HF339" s="674">
        <f>IF(N342="BAM",1,IF(__Retrofit_TI_NC&gt;0,1,IF(AG342="",0,1)))</f>
        <v>0</v>
      </c>
      <c r="HG339" s="391"/>
      <c r="IA339" s="391"/>
      <c r="IB339" s="1693" t="b">
        <f>IF(OR(IB342=0,IB342=HY$16,IB342=HX$16,IB342=HZ$16),TRUE,FALSE)</f>
        <v>0</v>
      </c>
      <c r="IC339" s="1694" t="b">
        <f>IB339</f>
        <v>0</v>
      </c>
      <c r="ID339" s="391"/>
      <c r="IE339" s="391"/>
      <c r="IF339" s="1688" t="b">
        <f ca="1">IF(MAX(GN342:HU342)&gt;5,FALSE,TRUE)</f>
        <v>0</v>
      </c>
      <c r="IG339" s="1689">
        <f ca="1">IF(IF339=TRUE,AC339,0)</f>
        <v>0</v>
      </c>
      <c r="IH339" s="1689">
        <f ca="1">IG339-IG341</f>
        <v>0</v>
      </c>
      <c r="IK339" s="1689" t="e">
        <f>ROUND(T340*VLOOKUP(U340,Fixtures_Existing_List,2,FALSE)*N340*R340/1000,0)</f>
        <v>#N/A</v>
      </c>
      <c r="IL339" s="1690" t="e">
        <f>IK339-IK341</f>
        <v>#N/A</v>
      </c>
      <c r="IM339" s="1693" t="e">
        <f>ROUND(IF(CQ339="Interior",N341*R341*R340*N340*_C406_reduction/1000,N341*R341*R340*N340/1000),0)</f>
        <v>#N/A</v>
      </c>
      <c r="IN339" s="1693" t="e">
        <f>IM339-IM341</f>
        <v>#N/A</v>
      </c>
      <c r="IP339" s="1679"/>
      <c r="IQ339" s="1679" t="e">
        <f t="shared" ref="IQ339:IU339" si="296">IF($CR339="interior",VLOOKUP($CS339,_New_Control_Savings_Interior,IQ$30,FALSE),VLOOKUP($CS339,Control_Savings_Exterior,IQ$30,FALSE))</f>
        <v>#N/A</v>
      </c>
      <c r="IR339" s="1679" t="e">
        <f t="shared" si="296"/>
        <v>#N/A</v>
      </c>
      <c r="IS339" s="1679" t="e">
        <f t="shared" si="296"/>
        <v>#N/A</v>
      </c>
      <c r="IT339" s="1679" t="e">
        <f t="shared" si="296"/>
        <v>#N/A</v>
      </c>
      <c r="IU339" s="1679" t="e">
        <f t="shared" si="296"/>
        <v>#N/A</v>
      </c>
      <c r="IV339" s="1679" t="e">
        <f>IF($CR339="interior",IF(R340&gt;$IP$14,ROUND(($IV$18*($IP$14/R340)),2),$IV$18),VLOOKUP($CS339,Control_Savings_Exterior,IV$30,FALSE))</f>
        <v>#N/A</v>
      </c>
      <c r="IW339" s="1679" t="e">
        <f>IF($CR339="interior",ROUND(((1-IS339)*IV339)+IS339,2),VLOOKUP($CS339,Control_Savings_Exterior,IW$30,FALSE))</f>
        <v>#N/A</v>
      </c>
      <c r="IX339" s="1679" t="e">
        <f>IF($CR339="interior",ROUND(((1-IT339)*IV339)+IT339,2),VLOOKUP($CS339,Control_Savings_Exterior,IX$30,FALSE))</f>
        <v>#N/A</v>
      </c>
      <c r="IY339" s="1679" t="e">
        <f>IF($CR339="interior",IF(R340&gt;$IP$14,ROUND(($IY$18*($IP$14/R340)),2),$IY$18),VLOOKUP($CS339,Control_Savings_Exterior,IY$30,FALSE))</f>
        <v>#N/A</v>
      </c>
      <c r="IZ339" s="1679" t="e">
        <f>IF($CR339="interior",ROUND(((1-IS339)*IY339)+IS339,2),VLOOKUP($CS339,Control_Savings_Exterior,IZ$30,FALSE))</f>
        <v>#N/A</v>
      </c>
      <c r="JA339" s="1679" t="e">
        <f>IF($CR339="interior",ROUND(((1-IT339)*IY339)+IT339,2),VLOOKUP($CS339,Control_Savings_Exterior,JA$30,FALSE))</f>
        <v>#N/A</v>
      </c>
      <c r="JC339" s="1680">
        <f>IFERROR(IF(CR339="Interior",CONCATENATE(G342," ",FQ339),FQ339),"")</f>
        <v>0</v>
      </c>
      <c r="JD339" s="1670" t="str">
        <f>IFERROR(VLOOKUP(JC339,_Controls_2023,2,FALSE),"")</f>
        <v/>
      </c>
      <c r="JE339" s="1681">
        <f>IFERROR(CHOOSE(JD339-1,IQ339,IR339,IS339,IT339,IU339,IV339,IW339,IX339,IY339,IZ339,JA339),0)</f>
        <v>0</v>
      </c>
      <c r="JG339" s="1680" t="str">
        <f>FE339</f>
        <v xml:space="preserve"> - 0</v>
      </c>
      <c r="JH339" s="1670" t="e">
        <f>$FO339</f>
        <v>#N/A</v>
      </c>
      <c r="JI339" s="1060"/>
      <c r="JJ339" s="1682" t="b">
        <f>IF($JG341=CONCATENATE("Interior - ",JJ$4),TRUE,FALSE)</f>
        <v>0</v>
      </c>
      <c r="JK339" s="1061"/>
      <c r="JL339" s="1682" t="b">
        <f>IF($JG341=CONCATENATE("Interior - ",JL$4),TRUE,FALSE)</f>
        <v>0</v>
      </c>
      <c r="JM339" s="1061"/>
      <c r="JN339" s="1682" t="b">
        <f>IF($JG341=CONCATENATE("Interior - ",JN$4),TRUE,FALSE)</f>
        <v>0</v>
      </c>
      <c r="JO339" s="1061"/>
      <c r="JP339" s="1682" t="b">
        <f>IF(__Retrofit_TI_NC&gt;0,FALSE,IF($JG341=CONCATENATE("Interior - ",JP$4),TRUE,FALSE))</f>
        <v>0</v>
      </c>
      <c r="JQ339" s="1061"/>
      <c r="JR339" s="1682" t="b">
        <f>IF(__Retrofit_TI_NC&gt;0,FALSE,IF($JG341=CONCATENATE("Interior - ",JR$4),TRUE,FALSE))</f>
        <v>0</v>
      </c>
      <c r="JS339" s="1061"/>
      <c r="JT339" s="1670" t="b">
        <f>IF(__Retrofit_TI_NC&gt;0,FALSE,IF($JG341=CONCATENATE("Interior - ",JT$4),TRUE,FALSE))</f>
        <v>0</v>
      </c>
      <c r="JU339" s="1061"/>
      <c r="JV339" s="1670" t="b">
        <f>IF(JC341="AELC on Existing",TRUE,FALSE)</f>
        <v>0</v>
      </c>
      <c r="JX339" s="1670" t="b">
        <f>IF(OR(JG341="Exterior - AELC Occupancy based",JG341="Exterior - AELC Time based"),TRUE,FALSE)</f>
        <v>0</v>
      </c>
      <c r="JZ339" s="1682" t="b">
        <f>IF($JG341=CONCATENATE("Exterior - ",JZ$4),TRUE,FALSE)</f>
        <v>0</v>
      </c>
      <c r="KB339" s="1670" t="b">
        <f>IF(__Retrofit_TI_NC&gt;0,FALSE,IF($JG341=CONCATENATE("Interior - ",KB$4),TRUE,FALSE))</f>
        <v>0</v>
      </c>
    </row>
    <row r="340" spans="1:288" s="78" customFormat="1" ht="14.95" customHeight="1" thickTop="1" thickBot="1">
      <c r="B340" s="1845"/>
      <c r="C340" s="1846"/>
      <c r="D340" s="1847"/>
      <c r="E340" s="1737" t="s">
        <v>297</v>
      </c>
      <c r="F340" s="1738"/>
      <c r="G340" s="1739"/>
      <c r="H340" s="1739"/>
      <c r="I340" s="1739"/>
      <c r="J340" s="1739"/>
      <c r="K340" s="1739"/>
      <c r="L340" s="1739"/>
      <c r="M340" s="461" t="e">
        <f>IF(__Retrofit_TI_NC&lt;&gt;0,IF(VLOOKUP(G341,'Space Table'!$B$3:$L$163,3,FALSE)&gt;0,1,0),IF(__Retrofit_TI_NC=VLOOKUP(G341,'Space Table'!$B$3:$L$163,3,FALSE),1,0))</f>
        <v>#N/A</v>
      </c>
      <c r="N340" s="461" t="str">
        <f>IFERROR(VLOOKUP(G340,_Lookup_Heat_Type_Table_New,2,FALSE),"")</f>
        <v/>
      </c>
      <c r="O340" s="461">
        <f>IF(__Retrofit_TI_NC=1,CONCATENATE("TI ",G340),IF(__Retrofit_TI_NC=2,CONCATENATE("NC ",G340),G340))</f>
        <v>0</v>
      </c>
      <c r="P340" s="1740" t="s">
        <v>435</v>
      </c>
      <c r="Q340" s="1740"/>
      <c r="R340" s="595"/>
      <c r="S340" s="1792"/>
      <c r="T340" s="597"/>
      <c r="U340" s="1765"/>
      <c r="V340" s="1766"/>
      <c r="W340" s="1766"/>
      <c r="X340" s="1766"/>
      <c r="Y340" s="1766"/>
      <c r="Z340" s="1766"/>
      <c r="AA340" s="1766"/>
      <c r="AB340" s="1766"/>
      <c r="AC340" s="1766"/>
      <c r="AD340" s="1767"/>
      <c r="AE340" s="1000"/>
      <c r="AF340" s="597"/>
      <c r="AG340" s="1723"/>
      <c r="AH340" s="1724"/>
      <c r="AI340" s="1724"/>
      <c r="AJ340" s="1724"/>
      <c r="AK340" s="1725"/>
      <c r="AL340" s="996"/>
      <c r="AM340" s="1747"/>
      <c r="AN340" s="1775"/>
      <c r="AO340" s="1777"/>
      <c r="AP340" s="1780"/>
      <c r="AQ340" s="1781"/>
      <c r="AR340" s="1795"/>
      <c r="AS340" s="1795"/>
      <c r="AT340" s="1796"/>
      <c r="AU340" s="1735"/>
      <c r="AV340" s="1752"/>
      <c r="AW340" s="1705"/>
      <c r="AX340" s="467"/>
      <c r="AY340" s="1749"/>
      <c r="AZ340" s="1749"/>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696"/>
      <c r="CQ340" s="1696"/>
      <c r="CR340" s="1809"/>
      <c r="CS340" s="1811"/>
      <c r="CU340" s="1688"/>
      <c r="CV340" s="1703"/>
      <c r="CW340" s="1703"/>
      <c r="CX340" s="1703"/>
      <c r="CY340" s="1815"/>
      <c r="CZ340" s="1711"/>
      <c r="DA340" s="1818"/>
      <c r="DB340" s="1820"/>
      <c r="DC340" s="1820"/>
      <c r="DD340" s="1820"/>
      <c r="DF340" s="1703"/>
      <c r="DG340" s="1831"/>
      <c r="DH340" s="1703"/>
      <c r="DI340" s="1838"/>
      <c r="DJ340" s="1711"/>
      <c r="DK340" s="1712"/>
      <c r="DM340" s="1718"/>
      <c r="DO340" s="1708"/>
      <c r="DQ340" s="1715"/>
      <c r="DR340" s="1720"/>
      <c r="DS340" s="1816"/>
      <c r="DT340" s="1714"/>
      <c r="DU340" s="1715"/>
      <c r="DV340" s="1716"/>
      <c r="DX340" s="1715"/>
      <c r="DY340" s="1720"/>
      <c r="DZ340" s="1715"/>
      <c r="EA340" s="1715"/>
      <c r="EC340" s="1834"/>
      <c r="ED340" s="1834"/>
      <c r="EF340" s="1707"/>
      <c r="EG340" s="1712"/>
      <c r="EH340" s="1818"/>
      <c r="EI340" s="1712"/>
      <c r="EJ340" s="1712"/>
      <c r="EK340" s="1836"/>
      <c r="EL340" s="1836"/>
      <c r="EM340" s="1807"/>
      <c r="EN340" s="1839"/>
      <c r="EO340" s="1839"/>
      <c r="EP340" s="1817"/>
      <c r="EQ340" s="1817"/>
      <c r="ER340" s="1807"/>
      <c r="ES340" s="1807"/>
      <c r="ET340" s="1807"/>
      <c r="EV340" s="1715"/>
      <c r="EX340" s="1805"/>
      <c r="EY340" s="1805"/>
      <c r="EZ340" s="1805"/>
      <c r="FA340" s="1805"/>
      <c r="FB340" s="1805"/>
      <c r="FC340" s="1827"/>
      <c r="FE340" s="1698"/>
      <c r="FG340" s="1816"/>
      <c r="FH340" s="1816"/>
      <c r="FI340" s="133"/>
      <c r="FL340" s="1823"/>
      <c r="FM340" s="1825"/>
      <c r="FN340" s="1698"/>
      <c r="FO340" s="1698"/>
      <c r="FP340" s="1678"/>
      <c r="FQ340" s="1678"/>
      <c r="FS340" s="1687"/>
      <c r="FT340" s="1687"/>
      <c r="FU340" s="1685"/>
      <c r="FV340" s="1687"/>
      <c r="FW340" s="1687"/>
      <c r="FX340" s="1687"/>
      <c r="FY340" s="1697"/>
      <c r="GA340" s="1696"/>
      <c r="GB340" s="1696"/>
      <c r="GC340" s="1696"/>
      <c r="GD340" s="1696"/>
      <c r="GE340" s="1696"/>
      <c r="GF340" s="1696"/>
      <c r="GG340" s="1696"/>
      <c r="GH340" s="1696"/>
      <c r="GI340" s="673"/>
      <c r="GJ340" s="1135"/>
      <c r="GK340" s="1832"/>
      <c r="GM340" s="1693" t="b">
        <f ca="1">IF(AND(GP340=TRUE,GQ340=TRUE),TRUE,FALSE)</f>
        <v>0</v>
      </c>
      <c r="GN340" s="1684" t="b">
        <f>IFERROR(IF(__Retrofit_TI_NC=2,TRUE,IF(AU339="Yes",TRUE,FALSE)),FALSE)</f>
        <v>1</v>
      </c>
      <c r="GP340" s="1684" t="b">
        <f>IFERROR(IF(GP339=1,TRUE,FALSE),FALSE)</f>
        <v>0</v>
      </c>
      <c r="GQ340" s="1684" t="b">
        <f ca="1">IFERROR(IF(GQ339=GQ$14,TRUE,FALSE),FALSE)</f>
        <v>0</v>
      </c>
      <c r="HG340" s="1684" t="b">
        <f>IFERROR(IF(AND(__Retrofit_TI_NC&gt;0,CQ339="Interior"),FALSE,TRUE),FALSE)</f>
        <v>1</v>
      </c>
      <c r="HH340" s="1684" t="b">
        <f>IFERROR(IF(M340=1,TRUE,FALSE),FALSE)</f>
        <v>0</v>
      </c>
      <c r="HI340" s="1684" t="b">
        <f>IFERROR(IF(OR(M341=1,N342="BAM"),TRUE,FALSE),FALSE)</f>
        <v>0</v>
      </c>
      <c r="HJ340" s="1684" t="b">
        <f>IFERROR(IF(__Retrofit_TI_NC&lt;&gt;0,TRUE,IFERROR(IF(VLOOKUP(U340,Fixtures_Existing_List,2,FALSE)&lt;&gt;"",TRUE,FALSE),FALSE)),FALSE)</f>
        <v>0</v>
      </c>
      <c r="HK340" s="1684" t="b">
        <f>IFERROR(IF(VLOOKUP(U341,Fixtures_Proposed_List,2,FALSE)&lt;&gt;"",TRUE,FALSE),FALSE)</f>
        <v>0</v>
      </c>
      <c r="HL340" s="1684" t="b">
        <f>IF(AND(__Retrofit_TI_NC=2,FC339=TRUE),FALSE,TRUE)</f>
        <v>1</v>
      </c>
      <c r="HM340" s="1684" t="b">
        <f>GK339</f>
        <v>1</v>
      </c>
      <c r="HN340" s="1682" t="b">
        <f>IF(ISERROR(MATCH(FE339,_Control_Match[],0))=TRUE,FALSE,TRUE)</f>
        <v>0</v>
      </c>
      <c r="HO340" s="1693" t="b">
        <f>IFERROR(IF(EX339&lt;&gt;EY339,FALSE,TRUE),FALSE)</f>
        <v>1</v>
      </c>
      <c r="HP340" s="1693" t="b">
        <f>IFERROR(IF(EX341&lt;&gt;EY341,FALSE,TRUE),FALSE)</f>
        <v>1</v>
      </c>
      <c r="HQ340" s="1670" t="b">
        <f>IFERROR(IF(CQ339="Exterior",TRUE,IF(AND(OR(FM341=0,FM341=3),JD341&gt;6),FALSE,TRUE)),FALSE)</f>
        <v>0</v>
      </c>
      <c r="HR340" s="1684" t="b">
        <f>IFERROR(IF(AND(FO341=7,FC339=TRUE),FALSE,TRUE),FALSE)</f>
        <v>0</v>
      </c>
      <c r="HS340" s="1684" t="b">
        <f>IFERROR(IF(AND(T341&lt;&gt;AF341,OR(AG341="Interior LLLC", AG341="Interior NLC", AG341="LLLC (outside Daylight)",AG341="LLLC Controls Only"))=TRUE,FALSE,TRUE),FALSE)</f>
        <v>1</v>
      </c>
      <c r="HT340" s="1670" t="b">
        <f>IFERROR(IF(OR(AG341=Lookup!BB$17,AG341=Lookup!BB$18,AG341=Lookup!BB$19)=TRUE,IF(AF341&gt;T341,FALSE,TRUE),TRUE),FALSE)</f>
        <v>1</v>
      </c>
      <c r="HU340" s="1684" t="b">
        <f>IFERROR(IF(__Retrofit_TI_NC=2,IF(EZ341&lt;EZ339,FALSE,TRUE),TRUE),FALSE)</f>
        <v>1</v>
      </c>
      <c r="HV340" s="1684" t="b">
        <f>IF(CQ339="Interior",IL$6,TRUE)</f>
        <v>1</v>
      </c>
      <c r="HW340" s="1684" t="b">
        <f>IF(CQ339="Exterior",IL$8,TRUE)</f>
        <v>1</v>
      </c>
      <c r="HX340" s="1684" t="b">
        <f>IFERROR(IF(__Retrofit_TI_NC&lt;&gt;0,IF(AZ339&lt;AY339,FALSE,TRUE),TRUE),FALSE)</f>
        <v>1</v>
      </c>
      <c r="HY340" s="1684" t="b">
        <f>IFERROR(IF(AND(G340="Exterior",R340&gt;4200),FALSE,TRUE),FALSE)</f>
        <v>1</v>
      </c>
      <c r="HZ340" s="1684" t="b">
        <f>IFERROR(IF(AB342/AB339&lt;HZ$18,FALSE,TRUE),FALSE)</f>
        <v>0</v>
      </c>
      <c r="IB340" s="1691"/>
      <c r="IC340" s="1695"/>
      <c r="ID340" s="1694" t="str">
        <f>VLOOKUP(IB342,_Error_Table,4,FALSE)</f>
        <v>White</v>
      </c>
      <c r="IE340" s="391"/>
      <c r="IF340" s="1688"/>
      <c r="IG340" s="1689"/>
      <c r="IH340" s="1684"/>
      <c r="IK340" s="1689"/>
      <c r="IL340" s="1691"/>
      <c r="IM340" s="1691"/>
      <c r="IN340" s="1691"/>
      <c r="IP340" s="1679"/>
      <c r="IQ340" s="1679"/>
      <c r="IR340" s="1679"/>
      <c r="IS340" s="1679"/>
      <c r="IT340" s="1679"/>
      <c r="IU340" s="1679"/>
      <c r="IV340" s="1679"/>
      <c r="IW340" s="1679"/>
      <c r="IX340" s="1679"/>
      <c r="IY340" s="1679"/>
      <c r="IZ340" s="1679"/>
      <c r="JA340" s="1679"/>
      <c r="JC340" s="1680"/>
      <c r="JD340" s="1670"/>
      <c r="JE340" s="1681"/>
      <c r="JG340" s="1680"/>
      <c r="JH340" s="1670"/>
      <c r="JI340" s="1060"/>
      <c r="JJ340" s="1683"/>
      <c r="JK340" s="1061"/>
      <c r="JL340" s="1683"/>
      <c r="JM340" s="1061"/>
      <c r="JN340" s="1683"/>
      <c r="JO340" s="1061"/>
      <c r="JP340" s="1683"/>
      <c r="JQ340" s="1061"/>
      <c r="JR340" s="1683"/>
      <c r="JS340" s="1061"/>
      <c r="JT340" s="1670"/>
      <c r="JU340" s="1061"/>
      <c r="JV340" s="1670"/>
      <c r="JX340" s="1670"/>
      <c r="JZ340" s="1683"/>
      <c r="KB340" s="1670"/>
    </row>
    <row r="341" spans="1:288" s="78" customFormat="1" ht="14.95" customHeight="1" thickTop="1" thickBot="1">
      <c r="A341" s="78">
        <f>ROW()</f>
        <v>341</v>
      </c>
      <c r="B341" s="1845"/>
      <c r="C341" s="1846"/>
      <c r="D341" s="1847"/>
      <c r="E341" s="1737" t="s">
        <v>298</v>
      </c>
      <c r="F341" s="1738"/>
      <c r="G341" s="1760"/>
      <c r="H341" s="1761"/>
      <c r="I341" s="1761"/>
      <c r="J341" s="1761"/>
      <c r="K341" s="1761"/>
      <c r="L341" s="1762"/>
      <c r="M341" s="461">
        <f>IFERROR(IF(IF(__Retrofit_TI_NC&lt;&gt;0,IF(CQ339="Interior",MATCH(G341,Lookup_Interior_New,0),MATCH(G341,Lookup_Exterior_New,0)),IF(CQ339="Interior",MATCH(G341,Lookup_Interior,0),MATCH(G341,Lookup_Exterior_Areas,0)))&gt;0,1,0),0)</f>
        <v>0</v>
      </c>
      <c r="N341" s="461" t="e">
        <f>IF(__Retrofit_TI_NC=1,
VLOOKUP(G341,'Space Table'!$B$3:$L$163,4,FALSE),
IF(__Retrofit_TI_NC=2,VLOOKUP(G341,'Space Table'!$B$3:$L$163,5,FALSE),VLOOKUP(G341,'Space Table'!$B$3:$L$163,5,FALSE)))</f>
        <v>#N/A</v>
      </c>
      <c r="O341" s="461">
        <f>G341</f>
        <v>0</v>
      </c>
      <c r="P341" s="1738" t="str">
        <f>IFERROR(IF(__Retrofit_TI_NC=1,VLOOKUP(G341,'Space Table'!$B$3:$O$163,13,FALSE),IF(__Retrofit_TI_NC=2,VLOOKUP(G341,'Space Table'!$B$3:$O$163,14,FALSE),"Area (sf):")),"Area (sf):")</f>
        <v>Area (sf):</v>
      </c>
      <c r="Q341" s="1738"/>
      <c r="R341" s="596"/>
      <c r="S341" s="1763" t="s">
        <v>345</v>
      </c>
      <c r="T341" s="594"/>
      <c r="U341" s="1801"/>
      <c r="V341" s="1802"/>
      <c r="W341" s="1802"/>
      <c r="X341" s="1802"/>
      <c r="Y341" s="1802"/>
      <c r="Z341" s="1802"/>
      <c r="AA341" s="1802"/>
      <c r="AB341" s="1802"/>
      <c r="AC341" s="1802"/>
      <c r="AD341" s="1802"/>
      <c r="AE341" s="1803"/>
      <c r="AF341" s="594"/>
      <c r="AG341" s="1787"/>
      <c r="AH341" s="1787"/>
      <c r="AI341" s="1787"/>
      <c r="AJ341" s="1787"/>
      <c r="AK341" s="1787"/>
      <c r="AL341" s="1787"/>
      <c r="AM341" s="1726">
        <f>IFERROR(DI341,"")</f>
        <v>0</v>
      </c>
      <c r="AN341" s="1728" t="str">
        <f>IFERROR(ROUND(AM341*AC342,0),"")</f>
        <v/>
      </c>
      <c r="AO341" s="1730">
        <f>IFERROR(IF(IB339=FALSE,0,AC342-AN341),0)</f>
        <v>0</v>
      </c>
      <c r="AP341" s="1780"/>
      <c r="AQ341" s="1781"/>
      <c r="AR341" s="1795"/>
      <c r="AS341" s="1795"/>
      <c r="AT341" s="1796"/>
      <c r="AU341" s="1735"/>
      <c r="AV341" s="1752"/>
      <c r="AW341" s="1705"/>
      <c r="AX341" s="467"/>
      <c r="AY341" s="1749"/>
      <c r="AZ341" s="1749"/>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696"/>
      <c r="CQ341" s="1696"/>
      <c r="CR341" s="1808" t="str">
        <f>CQ339</f>
        <v/>
      </c>
      <c r="CS341" s="1810" t="str">
        <f>CS339</f>
        <v/>
      </c>
      <c r="CU341" s="1688" t="s">
        <v>345</v>
      </c>
      <c r="CV341" s="1702">
        <f>IF(IB339=TRUE,T341,0)</f>
        <v>0</v>
      </c>
      <c r="CW341" s="1702" t="str">
        <f>IF(IB339=TRUE,U341,"")</f>
        <v/>
      </c>
      <c r="CX341" s="1812">
        <f>IF(IB339=TRUE,U342,0)</f>
        <v>0</v>
      </c>
      <c r="CY341" s="1814">
        <f>IF(IB339=TRUE,AB342,0)</f>
        <v>0</v>
      </c>
      <c r="CZ341" s="1710">
        <f>IF(AND(__Retrofit_TI_NC&gt;0,CR339="interior"),0,IF(IB339=TRUE,AC342,0))</f>
        <v>0</v>
      </c>
      <c r="DA341" s="1818"/>
      <c r="DB341" s="1820"/>
      <c r="DC341" s="1820"/>
      <c r="DD341" s="1820"/>
      <c r="DF341" s="1702">
        <f>IF(IB339=TRUE,AF341,0)</f>
        <v>0</v>
      </c>
      <c r="DG341" s="1830" t="str">
        <f>IF(IB339=TRUE,AG341,"")</f>
        <v/>
      </c>
      <c r="DH341" s="1812">
        <f>AG342</f>
        <v>0</v>
      </c>
      <c r="DI341" s="1837">
        <f>JE341</f>
        <v>0</v>
      </c>
      <c r="DJ341" s="1710">
        <f>IF(AND(__Retrofit_TI_NC&gt;0,CR339="interior"),0,IF(IB339=TRUE,AN341,0))</f>
        <v>0</v>
      </c>
      <c r="DK341" s="1712"/>
      <c r="DN341" s="1717">
        <f>IFERROR(CZ341-DJ341,0)</f>
        <v>0</v>
      </c>
      <c r="DO341" s="1709"/>
      <c r="DQ341" s="1715"/>
      <c r="DR341" s="1719" t="str">
        <f>DQ339</f>
        <v/>
      </c>
      <c r="DS341" s="1816"/>
      <c r="DT341" s="1835" t="str">
        <f>IF(OR(DS339=7,DS339=8,DS339=9),"ALC","")</f>
        <v/>
      </c>
      <c r="DU341" s="1715"/>
      <c r="DV341" s="1716"/>
      <c r="DX341" s="1715"/>
      <c r="DY341" s="1829" t="str">
        <f>DX339</f>
        <v/>
      </c>
      <c r="DZ341" s="1715"/>
      <c r="EA341" s="1715"/>
      <c r="EC341" s="1834"/>
      <c r="ED341" s="1834"/>
      <c r="EF341" s="1707"/>
      <c r="EG341" s="1712"/>
      <c r="EH341" s="1818"/>
      <c r="EI341" s="1712"/>
      <c r="EJ341" s="1712"/>
      <c r="EK341" s="1836"/>
      <c r="EL341" s="1836"/>
      <c r="EM341" s="1807"/>
      <c r="EN341" s="1839"/>
      <c r="EO341" s="1839"/>
      <c r="EP341" s="1817"/>
      <c r="EQ341" s="1817"/>
      <c r="ER341" s="1807"/>
      <c r="ES341" s="1807"/>
      <c r="ET341" s="1807"/>
      <c r="EV341" s="1715"/>
      <c r="EX341" s="1805" t="str">
        <f>IFERROR(VLOOKUP(CS341,'Space Table'!$B$3:$L$163,8,FALSE),"")</f>
        <v/>
      </c>
      <c r="EY341" s="1805" t="str">
        <f>IFERROR(IF(FB341="Yes",VLOOKUP(AG341,Lookup_Control_Type_Table2,4,FALSE),VLOOKUP(AG341,Lookup_Control_Type_Table2,3,FALSE)),"")</f>
        <v/>
      </c>
      <c r="EZ341" s="1805" t="e">
        <f>VLOOKUP(AG341,Lookup!BB$3:BC$20,2,FALSE)</f>
        <v>#N/A</v>
      </c>
      <c r="FA341" s="1805" t="e">
        <f>VLOOKUP(EX339,Lookup_Control_Type_Table,2,FALSE)</f>
        <v>#N/A</v>
      </c>
      <c r="FB341" s="1805" t="e">
        <f>VLOOKUP(CS341,'Space Table'!$B$3:$L$163,7,FALSE)</f>
        <v>#N/A</v>
      </c>
      <c r="FC341" s="1827"/>
      <c r="FE341" s="1698" t="str">
        <f>CONCATENATE(CQ339," - ",AG341)</f>
        <v xml:space="preserve"> - </v>
      </c>
      <c r="FG341" s="1816"/>
      <c r="FH341" s="1816"/>
      <c r="FI341" s="133"/>
      <c r="FL341" s="1822" t="str">
        <f>IF(CQ339="Exterior","Not Daylighted",G342)</f>
        <v>Not Daylighted</v>
      </c>
      <c r="FM341" s="1824">
        <f>VLOOKUP(FL341,_New_Daylight_Table_Codes,2,FALSE)</f>
        <v>0</v>
      </c>
      <c r="FN341" s="1698">
        <f>AG341</f>
        <v>0</v>
      </c>
      <c r="FO341" s="1698" t="e">
        <f>VLOOKUP(FN341,_Control_Table,2,FALSE)</f>
        <v>#N/A</v>
      </c>
      <c r="FP341" s="1678" t="e">
        <f>VLOOKUP(CONCATENATE(FL341," ",FN341),Lookup!AY$102:AZ352,2,FALSE)</f>
        <v>#N/A</v>
      </c>
      <c r="FQ341" s="1698">
        <f>IF(__Retrofit_TI_NC=0,FN341,IF(AND(FT341&gt;0,FN341="Occupancy Sensor"),"Daylight + Occupancy",IF(AND(FT341&gt;0,FO341&lt;4),"Interior Daylight Dimming",FN341)))</f>
        <v>0</v>
      </c>
      <c r="FS341" s="1686">
        <f>IF(CQ339="Interior",VLOOKUP(CS339,Control_Savings_Interior,5,FALSE),0)</f>
        <v>0</v>
      </c>
      <c r="FT341" s="1687">
        <f>IF(CQ341="Exterior",0,IF(FM341=2,0.5,IF(OR(FM341=1,FM341=3),1,0)))</f>
        <v>0</v>
      </c>
      <c r="FU341" s="1685">
        <f>IF(R340&gt;FS$44,(FS341*(FS$44/R340)),FS341)*FT341</f>
        <v>0</v>
      </c>
      <c r="FV341" s="1686">
        <f>DI341</f>
        <v>0</v>
      </c>
      <c r="FW341" s="1686">
        <f>ROUND(FV341+((1-FV341)*FU341),2)</f>
        <v>0</v>
      </c>
      <c r="FX341" s="1686">
        <f>IF(__Retrofit_TI_NC=2,FW341,FV341)</f>
        <v>0</v>
      </c>
      <c r="FY341" s="1697">
        <f>IF(CR341="Interior",VLOOKUP(CS341,Control_Savings_Interior,4,FALSE),0)</f>
        <v>0</v>
      </c>
      <c r="GA341" s="1696"/>
      <c r="GB341" s="1696"/>
      <c r="GC341" s="1696"/>
      <c r="GD341" s="1696"/>
      <c r="GE341" s="1696"/>
      <c r="GF341" s="1696"/>
      <c r="GG341" s="1696"/>
      <c r="GH341" s="1696"/>
      <c r="GI341" s="673" t="b">
        <f>IF(ISNUMBER(SEARCH("TLED",U341)),TRUE,FALSE)</f>
        <v>0</v>
      </c>
      <c r="GJ341" s="1135" t="str">
        <f>IFERROR(VLOOKUP(U341,Fixtures!DM$93:DR$142,6,FALSE),"")</f>
        <v/>
      </c>
      <c r="GK341" s="1832"/>
      <c r="GM341" s="1692"/>
      <c r="GN341" s="1684"/>
      <c r="GP341" s="1684"/>
      <c r="GQ341" s="1684"/>
      <c r="HG341" s="1684"/>
      <c r="HH341" s="1684"/>
      <c r="HI341" s="1684"/>
      <c r="HJ341" s="1684"/>
      <c r="HK341" s="1684"/>
      <c r="HL341" s="1684"/>
      <c r="HM341" s="1684"/>
      <c r="HN341" s="1683"/>
      <c r="HO341" s="1692"/>
      <c r="HP341" s="1692"/>
      <c r="HQ341" s="1670"/>
      <c r="HR341" s="1684"/>
      <c r="HS341" s="1684"/>
      <c r="HT341" s="1670"/>
      <c r="HU341" s="1684"/>
      <c r="HV341" s="1684"/>
      <c r="HW341" s="1684"/>
      <c r="HX341" s="1684"/>
      <c r="HY341" s="1684"/>
      <c r="HZ341" s="1684"/>
      <c r="IB341" s="1692"/>
      <c r="IC341" s="1693" t="b">
        <f>IB339</f>
        <v>0</v>
      </c>
      <c r="ID341" s="1695"/>
      <c r="IE341" s="391"/>
      <c r="IF341" s="1688"/>
      <c r="IG341" s="1689">
        <f ca="1">IF(IF339=TRUE,AC342,0)</f>
        <v>0</v>
      </c>
      <c r="IH341" s="1684"/>
      <c r="IK341" s="1689" t="e">
        <f>ROUND(T341*AB342*N340*R340/1000,0)</f>
        <v>#VALUE!</v>
      </c>
      <c r="IL341" s="1691"/>
      <c r="IM341" s="1693" t="e">
        <f>ROUND(T341*AB342*N340*R340/1000,0)</f>
        <v>#VALUE!</v>
      </c>
      <c r="IN341" s="1691"/>
      <c r="IP341" s="1679"/>
      <c r="IQ341" s="1679" t="e">
        <f t="shared" ref="IQ341:IU341" si="297">IF($CR341="interior",VLOOKUP($CS341,_New_Control_Savings_Interior,IQ$30,FALSE),VLOOKUP($CS341,Control_Savings_Exterior,IQ$30,FALSE))</f>
        <v>#N/A</v>
      </c>
      <c r="IR341" s="1679" t="e">
        <f t="shared" si="297"/>
        <v>#N/A</v>
      </c>
      <c r="IS341" s="1679" t="e">
        <f t="shared" si="297"/>
        <v>#N/A</v>
      </c>
      <c r="IT341" s="1679" t="e">
        <f t="shared" si="297"/>
        <v>#N/A</v>
      </c>
      <c r="IU341" s="1679" t="e">
        <f t="shared" si="297"/>
        <v>#N/A</v>
      </c>
      <c r="IV341" s="1679" t="e">
        <f>IF($CR341="interior",IF(R340&gt;$IP$14,ROUND(($IV$18*($IP$14/R340)),2),$IV$18),VLOOKUP($CS341,Control_Savings_Exterior,IV$30,FALSE))</f>
        <v>#N/A</v>
      </c>
      <c r="IW341" s="1679" t="e">
        <f>IF($CR341="interior",ROUND(((1-IS341)*IV341)+IS341,2),VLOOKUP($CS341,Control_Savings_Exterior,IW$30,FALSE))</f>
        <v>#N/A</v>
      </c>
      <c r="IX341" s="1679" t="e">
        <f>IF($CR341="interior",ROUND(((1-IT341)*IV341)+IT341,2),VLOOKUP($CS341,Control_Savings_Exterior,IX$30,FALSE))</f>
        <v>#N/A</v>
      </c>
      <c r="IY341" s="1679" t="e">
        <f>IF($CR341="interior",IF(R340&gt;$IP$14,ROUND(($IY$18*($IP$14/R340)),2),$IY$18),VLOOKUP($CS341,Control_Savings_Exterior,IY$30,FALSE))</f>
        <v>#N/A</v>
      </c>
      <c r="IZ341" s="1679" t="e">
        <f>IF($CR341="interior",ROUND(((1-IS341)*IY341)+IS341,2),VLOOKUP($CS341,Control_Savings_Exterior,IZ$30,FALSE))</f>
        <v>#N/A</v>
      </c>
      <c r="JA341" s="1679" t="e">
        <f>IF($CR341="interior",ROUND(((1-IT341)*IY341)+IT341,2),VLOOKUP($CS341,Control_Savings_Exterior,JA$30,FALSE))</f>
        <v>#N/A</v>
      </c>
      <c r="JC341" s="1680">
        <f>IFERROR(IF(CR341="Interior",CONCATENATE(G342," ",FQ341),AG341),"")</f>
        <v>0</v>
      </c>
      <c r="JD341" s="1670" t="str">
        <f>IFERROR(VLOOKUP(JC341,_Controls_2023,2,FALSE),"")</f>
        <v/>
      </c>
      <c r="JE341" s="1681">
        <f>IFERROR(CHOOSE(JD341-1,IQ341,IR341,IS341,IT341,IU341,IV341,IW341,IX341,IY341,IZ341,JA341),0)</f>
        <v>0</v>
      </c>
      <c r="JG341" s="1680" t="str">
        <f>FE341</f>
        <v xml:space="preserve"> - </v>
      </c>
      <c r="JH341" s="1670" t="e">
        <f>$FO341</f>
        <v>#N/A</v>
      </c>
      <c r="JI341" s="1060"/>
      <c r="JJ341" s="1670">
        <f>IFERROR(IF($IB339=TRUE,IF(OR(JJ$14="No",JJ339=FALSE,JH341&lt;=JH339,AND(_kWh_Grant=0,GD339=FALSE)),0,IF(JJ$8="Per Line",1,$AF341)),0),0)</f>
        <v>0</v>
      </c>
      <c r="JK341" s="1061"/>
      <c r="JL341" s="1670">
        <f>IFERROR(IF(_kWh_Grant=0,0,IF($IB339=TRUE,IF(OR(JL$14="No",JL339=FALSE,JH341&lt;=JH339),0,IF(JL$8="Per Line",1,$T341)),0)),0)</f>
        <v>0</v>
      </c>
      <c r="JM341" s="1061"/>
      <c r="JN341" s="1670">
        <f>IFERROR(IF(_kWh_Grant=0,0,IF($IB339=TRUE,IF(OR(JN$14="No",JN339=FALSE,JH341&lt;=JH339),0,IF(JN$8="Per Line",1,$AF341)),0)),0)</f>
        <v>0</v>
      </c>
      <c r="JO341" s="1061"/>
      <c r="JP341" s="1670">
        <f>IFERROR(IF(__Retrofit_TI_NC=0,IF(_kWh_Grant=0,0,IF($IB339=TRUE,IF(OR(JP$14="No",JP339=FALSE,$JH341&lt;=$JH339),0,IF(JP$8="Per Line",1,$AF341)),0)),IF($IB339=TRUE,IF(OR(JP$14="No",JP339=FALSE,$JH341&lt;=$JH339),0,IF(JP$8="Per Line",1,$AF341)))),0)</f>
        <v>0</v>
      </c>
      <c r="JQ341" s="1061"/>
      <c r="JR341" s="1670">
        <f>IFERROR(IF(__Retrofit_TI_NC=0,IF(_kWh_Grant=0,0,IF($IB339=TRUE,IF(OR(JR$14="No",JR339=FALSE,$JH341&lt;=$JH339),0,IF(JR$8="Per Line",1,$AF341)),0)),IF($IB339=TRUE,IF(OR(JR$14="No",JR339=FALSE,$JH341&lt;=$JH339),0,IF(JR$8="Per Line",1,$AF341)))),0)</f>
        <v>0</v>
      </c>
      <c r="JS341" s="1061"/>
      <c r="JT341" s="1670">
        <f>IFERROR(IF(__Retrofit_TI_NC=0,IF(_kWh_Grant=0,0,IF($IB339=TRUE,IF(OR(JT$14="No",JT339=FALSE,$JH341&lt;=$JH339),0,IF(JT$8="Per Line",1,$AF341)),0)),IF($IB339=TRUE,IF(OR(JT$14="No",JT339=FALSE,$JH341&lt;=$JH339),0,IF(JT$8="Per Line",1,$AF341)))),0)</f>
        <v>0</v>
      </c>
      <c r="JU341" s="1061"/>
      <c r="JV341" s="1670">
        <f>IFERROR(IF(__Retrofit_TI_NC=0,IF(_kWh_Grant=0,0,IF($IB339=TRUE,IF(OR(JV$14="No",JV339=FALSE,$JH341&lt;=$JH339),0,IF(JV$8="Per Line",1,$AF341)),0)),IF($IB339=TRUE,IF(OR(JV$14="No",JV339=FALSE,$JH341&lt;=$JH339),0,IF(JV$8="Per Line",1,$AF341)))),0)</f>
        <v>0</v>
      </c>
      <c r="JX341" s="1670">
        <f>IFERROR(IF(__Retrofit_TI_NC=0,IF(_kWh_Grant=0,0,IF($IB339=TRUE,IF(OR(JX$14="No",JX339=FALSE,$JH341&lt;=$JH339),0,IF(JX$8="Per Line",1,$AF341)),0)),IF($IB339=TRUE,IF(OR(JX$14="No",JX339=FALSE,$JH341&lt;=$JH339),0,IF(JX$8="Per Line",1,$AF341)))),0)</f>
        <v>0</v>
      </c>
      <c r="JZ341" s="1670">
        <f>IFERROR(IF($IB339=TRUE,IF(OR(JZ$14="No",JZ339=FALSE,$JH341&lt;=$JH339,AND(_kWh_Grant=0,$GD339=FALSE)),0,IF(JZ$8="Per Line",1,$AF341)),0),0)</f>
        <v>0</v>
      </c>
      <c r="KB341" s="1670">
        <f>IFERROR(IF(__Retrofit_TI_NC=0,IF(_kWh_Grant=0,0,IF($IB339=TRUE,IF(OR(KB$14="No",KB339=FALSE,$JH341&lt;=$JH339),0,IF(KB$8="Per Line",1,$AF341)),0)),IF($IB339=TRUE,IF(OR(KB$14="No",KB339=FALSE,$JH341&lt;=$JH339),0,IF(KB$8="Per Line",1,$AF341)))),0)</f>
        <v>0</v>
      </c>
    </row>
    <row r="342" spans="1:288" s="78" customFormat="1" ht="14.95" customHeight="1" thickTop="1" thickBot="1">
      <c r="B342" s="1845"/>
      <c r="C342" s="1846"/>
      <c r="D342" s="1847"/>
      <c r="E342" s="1771" t="s">
        <v>436</v>
      </c>
      <c r="F342" s="1772"/>
      <c r="G342" s="1784" t="s">
        <v>437</v>
      </c>
      <c r="H342" s="1785"/>
      <c r="I342" s="1785"/>
      <c r="J342" s="1785"/>
      <c r="K342" s="1785"/>
      <c r="L342" s="1786"/>
      <c r="M342" s="591">
        <f>IFERROR(VLOOKUP(G342,_Daylight_Table[],2,FALSE),0)</f>
        <v>0</v>
      </c>
      <c r="N342" s="592" t="str">
        <f>IF(AND(__Retrofit_TI_NC&gt;0,CQ339="Interior"),"BAM","")</f>
        <v/>
      </c>
      <c r="O342" s="591" t="e">
        <f>VLOOKUP(G341,'Space Table'!$B$3:$L$163,11,FALSE)</f>
        <v>#N/A</v>
      </c>
      <c r="P342" s="1789"/>
      <c r="Q342" s="1790"/>
      <c r="R342" s="1790"/>
      <c r="S342" s="1788"/>
      <c r="T342" s="593" t="s">
        <v>342</v>
      </c>
      <c r="U342" s="1756" t="str" cm="1">
        <f t="array" aca="1" ref="U342" ca="1">IFERROR(VLOOKUP(INDIRECT("U" &amp; ROW()-1),Fixtures!DM$93:DP$142,4,FALSE),"")</f>
        <v/>
      </c>
      <c r="V342" s="1757"/>
      <c r="W342" s="1757"/>
      <c r="X342" s="1757"/>
      <c r="Y342" s="1757"/>
      <c r="Z342" s="1757"/>
      <c r="AA342" s="1758"/>
      <c r="AB342" s="939" t="str">
        <f>IFERROR(VLOOKUP(U341,Fixtures_Proposed_List,2,FALSE),"")</f>
        <v/>
      </c>
      <c r="AC342" s="933" t="str">
        <f>IFERROR(ROUND(T341*AB342*N340*R340/1000,0),"")</f>
        <v/>
      </c>
      <c r="AD342" s="934" t="str">
        <f>IFERROR(ROUND(T341*AB342/1000,2),"")</f>
        <v/>
      </c>
      <c r="AE342" s="998"/>
      <c r="AF342" s="938" t="s">
        <v>342</v>
      </c>
      <c r="AG342" s="1770"/>
      <c r="AH342" s="1770"/>
      <c r="AI342" s="1770"/>
      <c r="AJ342" s="1770"/>
      <c r="AK342" s="1770"/>
      <c r="AL342" s="1770"/>
      <c r="AM342" s="1727"/>
      <c r="AN342" s="1729"/>
      <c r="AO342" s="1731"/>
      <c r="AP342" s="1782"/>
      <c r="AQ342" s="1783"/>
      <c r="AR342" s="1797"/>
      <c r="AS342" s="1797"/>
      <c r="AT342" s="1798"/>
      <c r="AU342" s="1736"/>
      <c r="AV342" s="1753"/>
      <c r="AW342" s="1706"/>
      <c r="AX342" s="468"/>
      <c r="AY342" s="1750"/>
      <c r="AZ342" s="1750"/>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696"/>
      <c r="CQ342" s="1696"/>
      <c r="CR342" s="1809"/>
      <c r="CS342" s="1811"/>
      <c r="CU342" s="1688"/>
      <c r="CV342" s="1703"/>
      <c r="CW342" s="1703"/>
      <c r="CX342" s="1813"/>
      <c r="CY342" s="1815"/>
      <c r="CZ342" s="1711"/>
      <c r="DA342" s="1815"/>
      <c r="DB342" s="1821"/>
      <c r="DC342" s="1821"/>
      <c r="DD342" s="1821"/>
      <c r="DF342" s="1703"/>
      <c r="DG342" s="1831"/>
      <c r="DH342" s="1813"/>
      <c r="DI342" s="1838"/>
      <c r="DJ342" s="1711"/>
      <c r="DK342" s="1712"/>
      <c r="DN342" s="1718"/>
      <c r="DO342" s="1709"/>
      <c r="DQ342" s="1715"/>
      <c r="DR342" s="1720"/>
      <c r="DS342" s="1703"/>
      <c r="DT342" s="1714"/>
      <c r="DU342" s="1715"/>
      <c r="DV342" s="1716"/>
      <c r="DX342" s="1715"/>
      <c r="DY342" s="1720"/>
      <c r="DZ342" s="1715"/>
      <c r="EA342" s="1715"/>
      <c r="EC342" s="1834"/>
      <c r="ED342" s="1834"/>
      <c r="EF342" s="1707"/>
      <c r="EG342" s="1712"/>
      <c r="EH342" s="1815"/>
      <c r="EI342" s="1712"/>
      <c r="EJ342" s="1712"/>
      <c r="EK342" s="1813"/>
      <c r="EL342" s="1813"/>
      <c r="EM342" s="1807"/>
      <c r="EN342" s="1839"/>
      <c r="EO342" s="1839"/>
      <c r="EP342" s="1817"/>
      <c r="EQ342" s="1817"/>
      <c r="ER342" s="1807"/>
      <c r="ES342" s="1807"/>
      <c r="ET342" s="1807"/>
      <c r="EV342" s="1715"/>
      <c r="EX342" s="1806"/>
      <c r="EY342" s="1806"/>
      <c r="EZ342" s="1806"/>
      <c r="FA342" s="1806"/>
      <c r="FB342" s="1806"/>
      <c r="FC342" s="1828"/>
      <c r="FE342" s="1698"/>
      <c r="FG342" s="1703"/>
      <c r="FH342" s="1703"/>
      <c r="FI342" s="133"/>
      <c r="FL342" s="1823"/>
      <c r="FM342" s="1825"/>
      <c r="FN342" s="1698"/>
      <c r="FO342" s="1698"/>
      <c r="FP342" s="1678"/>
      <c r="FQ342" s="1698"/>
      <c r="FS342" s="1687"/>
      <c r="FT342" s="1687"/>
      <c r="FU342" s="1685"/>
      <c r="FV342" s="1687"/>
      <c r="FW342" s="1687"/>
      <c r="FX342" s="1687"/>
      <c r="FY342" s="1697"/>
      <c r="GA342" s="1696"/>
      <c r="GB342" s="1696"/>
      <c r="GC342" s="1696"/>
      <c r="GD342" s="1696"/>
      <c r="GE342" s="1696"/>
      <c r="GF342" s="1696"/>
      <c r="GG342" s="1696"/>
      <c r="GH342" s="1696"/>
      <c r="GI342" s="673"/>
      <c r="GJ342" s="1135"/>
      <c r="GK342" s="1832"/>
      <c r="GN342" s="674">
        <f>IF(GN340=TRUE,0,GN$16)</f>
        <v>0</v>
      </c>
      <c r="GP342" s="674">
        <f>IF(GP340=TRUE,0,GP$16)</f>
        <v>36</v>
      </c>
      <c r="GQ342" s="674">
        <f ca="1">IF(GQ340=TRUE,0,GQ$16)</f>
        <v>35</v>
      </c>
      <c r="GR342" s="391"/>
      <c r="GS342" s="391"/>
      <c r="GT342" s="391"/>
      <c r="GU342" s="391"/>
      <c r="GV342" s="391"/>
      <c r="HG342" s="674">
        <f>IF(HG340=TRUE,0,HG$16)</f>
        <v>0</v>
      </c>
      <c r="HH342" s="674">
        <f t="shared" ref="HH342:HM342" si="298">IF(HH340=TRUE,0,HH$16)</f>
        <v>19</v>
      </c>
      <c r="HI342" s="674">
        <f t="shared" si="298"/>
        <v>18</v>
      </c>
      <c r="HJ342" s="674">
        <f t="shared" si="298"/>
        <v>17</v>
      </c>
      <c r="HK342" s="674">
        <f t="shared" si="298"/>
        <v>16</v>
      </c>
      <c r="HL342" s="674">
        <f t="shared" si="298"/>
        <v>0</v>
      </c>
      <c r="HM342" s="674">
        <f t="shared" si="298"/>
        <v>0</v>
      </c>
      <c r="HN342" s="674">
        <f>IF(HN340=TRUE,0,HN$16)</f>
        <v>13</v>
      </c>
      <c r="HO342" s="674">
        <f t="shared" ref="HO342:HQ342" si="299">IF(HO340=TRUE,0,HO$16)</f>
        <v>0</v>
      </c>
      <c r="HP342" s="674">
        <f t="shared" si="299"/>
        <v>0</v>
      </c>
      <c r="HQ342" s="674">
        <f t="shared" si="299"/>
        <v>10</v>
      </c>
      <c r="HR342" s="674">
        <f>IF(HR340=TRUE,0,HR$16)</f>
        <v>9</v>
      </c>
      <c r="HS342" s="674">
        <f t="shared" ref="HS342:HW342" si="300">IF(HS340=TRUE,0,HS$16)</f>
        <v>0</v>
      </c>
      <c r="HT342" s="674">
        <f t="shared" si="300"/>
        <v>0</v>
      </c>
      <c r="HU342" s="674">
        <f t="shared" si="300"/>
        <v>0</v>
      </c>
      <c r="HV342" s="674">
        <f t="shared" si="300"/>
        <v>0</v>
      </c>
      <c r="HW342" s="674">
        <f t="shared" si="300"/>
        <v>0</v>
      </c>
      <c r="HX342" s="674">
        <f>IF(HX340=TRUE,0,HX$16)</f>
        <v>0</v>
      </c>
      <c r="HY342" s="674">
        <f>IF(HY340=TRUE,0,HY$16)</f>
        <v>0</v>
      </c>
      <c r="HZ342" s="674">
        <f>IF(HZ340=TRUE,0,HZ$16)</f>
        <v>1</v>
      </c>
      <c r="IB342" s="674">
        <f>IF(GP340=FALSE,GP342,IF(GQ340=FALSE,GQ342,MAX(GN342:HZ342)))</f>
        <v>36</v>
      </c>
      <c r="IC342" s="1692"/>
      <c r="ID342" s="205" t="str">
        <f>VLOOKUP(IB342,_Error_Table,3,FALSE)</f>
        <v xml:space="preserve"> </v>
      </c>
      <c r="IE342" s="205"/>
      <c r="IF342" s="1688"/>
      <c r="IG342" s="1689"/>
      <c r="IH342" s="1684"/>
      <c r="IK342" s="1689"/>
      <c r="IL342" s="1692"/>
      <c r="IM342" s="1692"/>
      <c r="IN342" s="1692"/>
      <c r="IP342" s="1679"/>
      <c r="IQ342" s="1679"/>
      <c r="IR342" s="1679"/>
      <c r="IS342" s="1679"/>
      <c r="IT342" s="1679"/>
      <c r="IU342" s="1679"/>
      <c r="IV342" s="1679"/>
      <c r="IW342" s="1679"/>
      <c r="IX342" s="1679"/>
      <c r="IY342" s="1679"/>
      <c r="IZ342" s="1679"/>
      <c r="JA342" s="1679"/>
      <c r="JC342" s="1680"/>
      <c r="JD342" s="1670"/>
      <c r="JE342" s="1681"/>
      <c r="JG342" s="1680"/>
      <c r="JH342" s="1670"/>
      <c r="JI342" s="1060"/>
      <c r="JJ342" s="1670"/>
      <c r="JK342" s="1061"/>
      <c r="JL342" s="1670"/>
      <c r="JM342" s="1061"/>
      <c r="JN342" s="1670"/>
      <c r="JO342" s="1061"/>
      <c r="JP342" s="1670"/>
      <c r="JQ342" s="1061"/>
      <c r="JR342" s="1670"/>
      <c r="JS342" s="1061"/>
      <c r="JT342" s="1670"/>
      <c r="JU342" s="1061"/>
      <c r="JV342" s="1670"/>
      <c r="JX342" s="1670"/>
      <c r="JZ342" s="1670"/>
      <c r="KB342" s="1670"/>
    </row>
    <row r="343" spans="1:288" s="78" customFormat="1" ht="5.0999999999999996" customHeight="1">
      <c r="B343" s="676"/>
      <c r="C343" s="392"/>
      <c r="D343" s="392"/>
      <c r="E343" s="1733"/>
      <c r="F343" s="1733"/>
      <c r="G343" s="1733"/>
      <c r="H343" s="1733"/>
      <c r="I343" s="1733"/>
      <c r="J343" s="1733"/>
      <c r="K343" s="1733"/>
      <c r="L343" s="1733"/>
      <c r="M343" s="1733"/>
      <c r="N343" s="1733"/>
      <c r="O343" s="1733"/>
      <c r="P343" s="1733"/>
      <c r="Q343" s="1733"/>
      <c r="R343" s="1733"/>
      <c r="S343" s="1733"/>
      <c r="T343" s="1733"/>
      <c r="U343" s="1733"/>
      <c r="V343" s="1733"/>
      <c r="W343" s="1733"/>
      <c r="X343" s="1733"/>
      <c r="Y343" s="1733"/>
      <c r="Z343" s="1733"/>
      <c r="AA343" s="1733"/>
      <c r="AB343" s="1733"/>
      <c r="AC343" s="1733"/>
      <c r="AD343" s="1733"/>
      <c r="AE343" s="1733"/>
      <c r="AF343" s="1733"/>
      <c r="AG343" s="1733"/>
      <c r="AH343" s="1733"/>
      <c r="AI343" s="1733"/>
      <c r="AJ343" s="1733"/>
      <c r="AK343" s="1733"/>
      <c r="AL343" s="1733"/>
      <c r="AM343" s="1733"/>
      <c r="AN343" s="1733"/>
      <c r="AO343" s="1733"/>
      <c r="AP343" s="1733"/>
      <c r="AQ343" s="1733"/>
      <c r="AR343" s="1733"/>
      <c r="AS343" s="1733"/>
      <c r="AT343" s="1733"/>
      <c r="AU343" s="1733"/>
      <c r="AV343" s="1733"/>
      <c r="AW343" s="1733"/>
      <c r="AX343" s="469"/>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663"/>
      <c r="CQ343" s="663"/>
      <c r="CR343" s="438"/>
      <c r="CS343" s="663"/>
      <c r="CV343" s="391"/>
      <c r="CW343" s="391"/>
      <c r="CX343" s="207"/>
      <c r="CY343" s="208"/>
      <c r="CZ343" s="208"/>
      <c r="DA343" s="208"/>
      <c r="DB343" s="209"/>
      <c r="DC343" s="209"/>
      <c r="DD343" s="209"/>
      <c r="DF343" s="664"/>
      <c r="DG343" s="665"/>
      <c r="DH343" s="666"/>
      <c r="DI343" s="667"/>
      <c r="DJ343" s="668"/>
      <c r="DK343" s="668"/>
      <c r="DN343" s="208"/>
      <c r="DO343" s="664"/>
      <c r="DQ343" s="664"/>
      <c r="DR343" s="669"/>
      <c r="DS343" s="391"/>
      <c r="DT343" s="664"/>
      <c r="DU343" s="664"/>
      <c r="DV343" s="664"/>
      <c r="DX343" s="664"/>
      <c r="DY343" s="664"/>
      <c r="DZ343" s="664"/>
      <c r="EA343" s="664"/>
      <c r="EC343" s="670"/>
      <c r="ED343" s="670"/>
      <c r="EF343" s="668"/>
      <c r="EG343" s="668"/>
      <c r="EH343" s="208"/>
      <c r="EI343" s="668"/>
      <c r="EJ343" s="668"/>
      <c r="EK343" s="207"/>
      <c r="EL343" s="207"/>
      <c r="EM343" s="666"/>
      <c r="EN343" s="671"/>
      <c r="EO343" s="671"/>
      <c r="EP343" s="672"/>
      <c r="EQ343" s="672"/>
      <c r="ER343" s="666"/>
      <c r="ES343" s="666"/>
      <c r="ET343" s="666"/>
      <c r="EV343" s="664"/>
      <c r="EX343" s="391"/>
      <c r="EY343" s="391"/>
      <c r="EZ343" s="391"/>
      <c r="FA343" s="391"/>
      <c r="FB343" s="391"/>
      <c r="FC343" s="391"/>
      <c r="FE343" s="569"/>
      <c r="FG343" s="391"/>
      <c r="FH343" s="391"/>
      <c r="FI343" s="391"/>
      <c r="FS343" s="664"/>
      <c r="FT343" s="391"/>
      <c r="FU343" s="391"/>
      <c r="FV343" s="664"/>
      <c r="FW343" s="664"/>
      <c r="GA343" s="663"/>
      <c r="GB343" s="663"/>
      <c r="GC343" s="663"/>
      <c r="GD343" s="663"/>
      <c r="GE343" s="663"/>
      <c r="GF343" s="663"/>
      <c r="GG343" s="663"/>
      <c r="GH343" s="663"/>
      <c r="GI343" s="665"/>
      <c r="GJ343" s="664"/>
      <c r="GK343" s="664"/>
    </row>
    <row r="344" spans="1:288" s="78" customFormat="1" ht="14.95" customHeight="1">
      <c r="B344" s="1845" t="str">
        <f>ID347</f>
        <v xml:space="preserve"> </v>
      </c>
      <c r="C344" s="1846">
        <f>C339+1</f>
        <v>58</v>
      </c>
      <c r="D344" s="1847"/>
      <c r="E344" s="1799" t="s">
        <v>295</v>
      </c>
      <c r="F344" s="1800"/>
      <c r="G344" s="1741"/>
      <c r="H344" s="1742"/>
      <c r="I344" s="1742"/>
      <c r="J344" s="1742"/>
      <c r="K344" s="1742"/>
      <c r="L344" s="1742"/>
      <c r="M344" s="1742"/>
      <c r="N344" s="1742"/>
      <c r="O344" s="1742"/>
      <c r="P344" s="1742"/>
      <c r="Q344" s="1742"/>
      <c r="R344" s="1742"/>
      <c r="S344" s="1791" t="s">
        <v>344</v>
      </c>
      <c r="T344" s="590"/>
      <c r="U344" s="1743"/>
      <c r="V344" s="1744"/>
      <c r="W344" s="1744"/>
      <c r="X344" s="1744"/>
      <c r="Y344" s="1744"/>
      <c r="Z344" s="1744"/>
      <c r="AA344" s="1744"/>
      <c r="AB344" s="961" t="str">
        <f>IFERROR(IF(__Retrofit_TI_NC=0,VLOOKUP(U345,Fixtures_Existing_List,2,FALSE),ROUND(N346*R346/T346,10)),"")</f>
        <v/>
      </c>
      <c r="AC344" s="935" t="str">
        <f>IFERROR(IF(__Retrofit_TI_NC=0,ROUND(T345*AB344*N345*R345/1000,0),IF(CQ344="Interior",N346*R346*R345*N345*_C406_reduction/1000,N346*R346*R345*N345/1000)),"")</f>
        <v/>
      </c>
      <c r="AD344" s="936" t="str">
        <f>IFERROR(IF(C$43=0,ROUND(T345*AB344/1000,2),N346*R346/1000),"")</f>
        <v/>
      </c>
      <c r="AE344" s="997"/>
      <c r="AF344" s="937"/>
      <c r="AG344" s="1745" t="str">
        <f>IF(__Retrofit_TI_NC=0," Control","Select Advanced Control for New System")</f>
        <v xml:space="preserve"> Control</v>
      </c>
      <c r="AH344" s="1745"/>
      <c r="AI344" s="1745"/>
      <c r="AJ344" s="1745"/>
      <c r="AK344" s="1745"/>
      <c r="AL344" s="1745"/>
      <c r="AM344" s="1746">
        <f>IFERROR(DI344,"")</f>
        <v>0</v>
      </c>
      <c r="AN344" s="1774" t="str">
        <f>IFERROR(ROUND(AM344*AC344,0),"")</f>
        <v/>
      </c>
      <c r="AO344" s="1776">
        <f>IFERROR(IF(IB344=FALSE,0,AC344-AN344),0)</f>
        <v>0</v>
      </c>
      <c r="AP344" s="1778">
        <f>AO344-AO346</f>
        <v>0</v>
      </c>
      <c r="AQ344" s="1779"/>
      <c r="AR344" s="1793">
        <f>IFERROR(IF(IB344=FALSE,0,(T346*U347)+(AF346*AG347)),0)</f>
        <v>0</v>
      </c>
      <c r="AS344" s="1793"/>
      <c r="AT344" s="1794"/>
      <c r="AU344" s="1734" t="s">
        <v>237</v>
      </c>
      <c r="AV344" s="1751">
        <f>IF(AU344="Yes",1,0)</f>
        <v>1</v>
      </c>
      <c r="AW344" s="1704" t="str">
        <f>IF(OR(DQ344=4,DQ344=5,DQ344=6,DQ344=12),CONCATENATE("$",IF(GH344=TRUE,Lookup!$K$10,Lookup!$K$2)," /lamp"),CONCATENATE(TEXT(ED344,"$0.00"),"/ kWh"))</f>
        <v>$0.00/ kWh</v>
      </c>
      <c r="AX344" s="467"/>
      <c r="AY344" s="1748">
        <f ca="1">IFERROR(IF(GM345=TRUE,(AB347*T346)/R346,0),"NA")</f>
        <v>0</v>
      </c>
      <c r="AZ344" s="1748"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696" t="str">
        <f>N345</f>
        <v/>
      </c>
      <c r="CQ344" s="1696" t="str">
        <f>IFERROR(VLOOKUP(G345,_Lookup_Heat_Type_Table_New,3,FALSE),"")</f>
        <v/>
      </c>
      <c r="CR344" s="1808" t="str">
        <f>CQ344</f>
        <v/>
      </c>
      <c r="CS344" s="1810" t="str">
        <f>IFERROR(VLOOKUP(G346,'Space Table'!$B$3:$L$163,9,FALSE),"")</f>
        <v/>
      </c>
      <c r="CU344" s="1688" t="s">
        <v>344</v>
      </c>
      <c r="CV344" s="1702">
        <f>IF(IB344=TRUE,T345,0)</f>
        <v>0</v>
      </c>
      <c r="CW344" s="1702" t="str">
        <f>IF(IB344=TRUE,U345,"")</f>
        <v/>
      </c>
      <c r="CX344" s="1702"/>
      <c r="CY344" s="1814">
        <f>IF(IB344=TRUE,AB344,0)</f>
        <v>0</v>
      </c>
      <c r="CZ344" s="1710">
        <f>IF(AND(__Retrofit_TI_NC&gt;0,CR344="interior"),0,IF(IB344=TRUE,AC344,0))</f>
        <v>0</v>
      </c>
      <c r="DA344" s="1814">
        <f>IFERROR(IF(IB344=TRUE,CZ344-CZ346,0),0)</f>
        <v>0</v>
      </c>
      <c r="DB344" s="1819">
        <f>IF(IB344=TRUE,AD344,0)</f>
        <v>0</v>
      </c>
      <c r="DC344" s="1819">
        <f>IF(IB344=TRUE,AD347,0)</f>
        <v>0</v>
      </c>
      <c r="DD344" s="1819">
        <f>IFERROR(DB344-DC344,0)</f>
        <v>0</v>
      </c>
      <c r="DF344" s="1702">
        <f>IF(IB344=TRUE,AF345,0)</f>
        <v>0</v>
      </c>
      <c r="DG344" s="1830">
        <f>IFERROR(IF(__Retrofit_TI_NC=2,IF(CQ344="Exterior",O347,FQ344),FN344),"")</f>
        <v>0</v>
      </c>
      <c r="DH344" s="1702"/>
      <c r="DI344" s="1837">
        <f>JE344</f>
        <v>0</v>
      </c>
      <c r="DJ344" s="1710">
        <f>IF(AND(__Retrofit_TI_NC&gt;0,CR344="interior"),0,IF(IB344=TRUE,AN344,0))</f>
        <v>0</v>
      </c>
      <c r="DK344" s="1712">
        <f>IFERROR(IF(IB344=TRUE,DJ346-DJ344,0),0)</f>
        <v>0</v>
      </c>
      <c r="DM344" s="1717">
        <f>IFERROR(CZ344-DJ344,0)</f>
        <v>0</v>
      </c>
      <c r="DO344" s="1708">
        <f>DM344-DN346</f>
        <v>0</v>
      </c>
      <c r="DQ344" s="1715" t="str">
        <f>IFERROR(IF(AND(OR(GC344=4,GC344=5,GC344=6),OR(GF344=4,GF344=5,GF344=6)),GC344+8,VLOOKUP(CW346,Fixtures!R$31:Y$78,8,FALSE)),"")</f>
        <v/>
      </c>
      <c r="DR344" s="1829" t="str">
        <f>DQ344</f>
        <v/>
      </c>
      <c r="DS344" s="1702" t="str">
        <f>IFERROR(VLOOKUP(DG346,Lookup!BB$3:BC$20,2,FALSE),"")</f>
        <v/>
      </c>
      <c r="DT344" s="1713" t="str">
        <f>IF(OR(DS344=7,DS344=8,DS344=9),"ALC","")</f>
        <v/>
      </c>
      <c r="DU344" s="1715">
        <f>IFERROR(IF(OR(DQ344=4,DQ344=5,DQ344=6,DQ344=12,DQ344=13,DQ344=14),VLOOKUP(CW346,Fixtures!DN$27:EG$77,19,FALSE),1)*CV346,0)</f>
        <v>0</v>
      </c>
      <c r="DV344" s="1716">
        <f>IF(OR(DS344=7,DS344=8,DS344=9),IF(DG344=DG346,0,DF346),0)</f>
        <v>0</v>
      </c>
      <c r="DX344" s="1715" t="str">
        <f>IFERROR(IF(EZ344&lt;EZ346,"Yes","No"),"")</f>
        <v/>
      </c>
      <c r="DY344" s="1829" t="str">
        <f>DX344</f>
        <v/>
      </c>
      <c r="DZ344" s="1715">
        <f>IF(DX344="Yes",DF346,0)</f>
        <v>0</v>
      </c>
      <c r="EA344" s="1715">
        <f>DZ344-DV344</f>
        <v>0</v>
      </c>
      <c r="EC344" s="1834">
        <f>IFERROR(VLOOKUP(DQ344,Lookup!AU$3:AV$16,2,FALSE),0)</f>
        <v>0</v>
      </c>
      <c r="ED344" s="1834">
        <f>IF(IB344=FALSE,0,IF(DX344="Yes",EC344+Lookup!K$6,EC344))</f>
        <v>0</v>
      </c>
      <c r="EF344" s="1707">
        <f>IF(IB344=TRUE,DM344,0)</f>
        <v>0</v>
      </c>
      <c r="EG344" s="1712">
        <f>IF(IB344=TRUE,CZ346,0)</f>
        <v>0</v>
      </c>
      <c r="EH344" s="1814">
        <f>IFERROR(EF344-EG344,0)</f>
        <v>0</v>
      </c>
      <c r="EI344" s="1712">
        <f>IF(IB344=TRUE,DJ346,0)</f>
        <v>0</v>
      </c>
      <c r="EJ344" s="1712">
        <f>IFERROR(EF344-EG344+EI344,0)</f>
        <v>0</v>
      </c>
      <c r="EK344" s="1812">
        <f>IF(IB344=TRUE,CV346*CX346,0)</f>
        <v>0</v>
      </c>
      <c r="EL344" s="1812">
        <f>IF(IB344=TRUE,DF346*DH346,0)</f>
        <v>0</v>
      </c>
      <c r="EM344" s="1807">
        <f>AR344</f>
        <v>0</v>
      </c>
      <c r="EN344" s="1839" t="str">
        <f>IFERROR(IF(IB344=TRUE,VLOOKUP(DQ344,Lookup!AU$3:AW$16,3,FALSE)*DU344,""),0)</f>
        <v/>
      </c>
      <c r="EO344" s="1839">
        <f>IF(IB344=TRUE,DZ344*Lookup!AW$12,0)</f>
        <v>0</v>
      </c>
      <c r="EP344" s="1817">
        <f>IFERROR(IF(IB344=TRUE,EN344/EP$40,0),0)</f>
        <v>0</v>
      </c>
      <c r="EQ344" s="1817">
        <f>IF(IB344=TRUE,EO344/EQ$40,0)</f>
        <v>0</v>
      </c>
      <c r="ER344" s="1807">
        <f>IF(IB344=TRUE,ET$40*EP344,0)</f>
        <v>0</v>
      </c>
      <c r="ES344" s="1807">
        <f>IF(IB344=TRUE,ET$40*EQ344,0)</f>
        <v>0</v>
      </c>
      <c r="ET344" s="1807">
        <f>ER344+ES344</f>
        <v>0</v>
      </c>
      <c r="EV344" s="1715">
        <f>IF(G344="",0,1)</f>
        <v>0</v>
      </c>
      <c r="EX344" s="1804" t="str">
        <f>IFERROR(VLOOKUP(CS346,'Space Table'!$B$3:$L$163,8,FALSE),"")</f>
        <v/>
      </c>
      <c r="EY344" s="1804" t="str">
        <f>IFERROR(IF(FB344="Yes",VLOOKUP(DG344,Lookup_Control_Type_Table2,4,FALSE),VLOOKUP(DG344,Lookup_Control_Type_Table2,3,FALSE)),"")</f>
        <v/>
      </c>
      <c r="EZ344" s="1804" t="e">
        <f>VLOOKUP(DG344,Lookup!BB$3:BC$20,2,FALSE)</f>
        <v>#N/A</v>
      </c>
      <c r="FA344" s="1804" t="e">
        <f>VLOOKUP(EX344,Lookup_Control_Type_Table,2,FALSE)</f>
        <v>#N/A</v>
      </c>
      <c r="FB344" s="1804" t="e">
        <f>VLOOKUP(CS346,'Space Table'!$B$3:$L$163,7,FALSE)</f>
        <v>#N/A</v>
      </c>
      <c r="FC344" s="1826" t="b">
        <f>ISNUMBER(SEARCH("TLED",U346))</f>
        <v>0</v>
      </c>
      <c r="FE344" s="1698" t="str">
        <f>CONCATENATE(CQ344," - ",DG344)</f>
        <v xml:space="preserve"> - 0</v>
      </c>
      <c r="FG344" s="1702" t="str">
        <f>VLOOKUP(CW346,Fixtures!DN$27:EZ$77,38,FALSE)</f>
        <v/>
      </c>
      <c r="FH344" s="1702">
        <f>IFERROR(FG344*EH344,0)</f>
        <v>0</v>
      </c>
      <c r="FI344" s="133"/>
      <c r="FL344" s="1822" t="str">
        <f>IF(CQ344="Exterior","Not Daylighted",G347)</f>
        <v>Not Daylighted</v>
      </c>
      <c r="FM344" s="1824">
        <f>VLOOKUP(FL344,_New_Daylight_Table_Codes,2,FALSE)</f>
        <v>0</v>
      </c>
      <c r="FN344" s="1698">
        <f>IF(__Retrofit_TI_NC&gt;0,VLOOKUP(G346,'Space Table'!$B$3:$L$163,11,FALSE),AG345)</f>
        <v>0</v>
      </c>
      <c r="FO344" s="1698" t="e">
        <f>IF(__Retrofit_TI_NC=2,VLOOKUP(FQ344,_Control_Table,2,FALSE),VLOOKUP(FN344,_Control_Table,2,FALSE))</f>
        <v>#N/A</v>
      </c>
      <c r="FP344" s="1678" t="e">
        <f>VLOOKUP(CONCATENATE(FL344," ",FN344),Lookup!AY$102:AZ354,2,FALSE)</f>
        <v>#N/A</v>
      </c>
      <c r="FQ344" s="1678">
        <f>IF(__Retrofit_TI_NC=0,FN344,IF(AND(FT344&gt;0,FN344="Occupancy Sensor"),"Daylight + Occupancy",IF(AND(FT344&gt;0,VLOOKUP(FN344,_Control_Table,2,FALSE)&lt;4),"Interior Daylight Dimming",FN344)))</f>
        <v>0</v>
      </c>
      <c r="FS344" s="1686">
        <f>IF(CR344="Interior",VLOOKUP(CS344,Control_Savings_Interior,5,FALSE),0)</f>
        <v>0</v>
      </c>
      <c r="FT344" s="1687">
        <f>IF(CQ344="Exterior",0,IF(FM344=2,0.5,IF(OR(FM344=1,FM344=3),1,0)))</f>
        <v>0</v>
      </c>
      <c r="FU344" s="1685">
        <f>IF(R343&gt;FS$44,(FS344*(FS$44/R343)),FS344)*FT344</f>
        <v>0</v>
      </c>
      <c r="FV344" s="1686">
        <f>DI344</f>
        <v>0</v>
      </c>
      <c r="FW344" s="1686">
        <f>ROUND(FV344+((1-FV344)*FU344),2)</f>
        <v>0</v>
      </c>
      <c r="FX344" s="1686">
        <f>IF(__Retrofit_TI_NC=2,FW344,FV344)</f>
        <v>0</v>
      </c>
      <c r="FY344" s="1697"/>
      <c r="GA344" s="1696" t="str">
        <f>IFERROR(VLOOKUP(U345,_Exist_Fixture_Table,3,FALSE),"")</f>
        <v/>
      </c>
      <c r="GB344" s="1696" t="str">
        <f>VLOOKUP(CW344,_Exist_Fixture_Table,4,FALSE)</f>
        <v/>
      </c>
      <c r="GC344" s="1696">
        <f>IFERROR(VLOOKUP(GB344,Lookup!AT$6:AU$8,2,FALSE),0)</f>
        <v>0</v>
      </c>
      <c r="GD344" s="1696" t="b">
        <f>IFERROR(IF(OR(GF344=4,GF344=5,GF344=6),TRUE,FALSE),"")</f>
        <v>0</v>
      </c>
      <c r="GE344" s="1696" t="str">
        <f>IFERROR(VLOOKUP(GF344,GC$6:GD$10,2,FALSE),"")</f>
        <v/>
      </c>
      <c r="GF344" s="1696" t="str">
        <f>VLOOKUP(CW346,Fixtures!R$31:Y$78,8,FALSE)</f>
        <v/>
      </c>
      <c r="GG344" s="1696">
        <f>IF(AND(GA344=TRUE,GD344=TRUE,OR(DQ344=12,DQ344=13,DQ344=14)),GC344+8,0)</f>
        <v>0</v>
      </c>
      <c r="GH344" s="1696" t="b">
        <f>IF(OR(GG344=12,GG344=13,GG344=14),TRUE,FALSE)</f>
        <v>0</v>
      </c>
      <c r="GI344" s="673" t="b">
        <f>IF(ISNUMBER(SEARCH("TLED",U345)),TRUE,FALSE)</f>
        <v>0</v>
      </c>
      <c r="GJ344" s="1135" t="str">
        <f>IFERROR(VLOOKUP(U345,Fixtures!BM$93:BR$142,6,FALSE),"")</f>
        <v/>
      </c>
      <c r="GK344" s="1832" t="b">
        <f>IF(OR(GI344=FALSE,GI346=FALSE),TRUE,IF(GJ344-GJ346&lt;5,FALSE,TRUE))</f>
        <v>1</v>
      </c>
      <c r="GO344" s="674">
        <f>GP344</f>
        <v>0</v>
      </c>
      <c r="GP344" s="674">
        <f>IF(G344="",0,1)</f>
        <v>0</v>
      </c>
      <c r="GQ344" s="674">
        <f ca="1">SUM(GR344:HF344)</f>
        <v>2</v>
      </c>
      <c r="GR344" s="674">
        <f>IF(G345="",0,1)</f>
        <v>0</v>
      </c>
      <c r="GS344" s="674">
        <f>IF(N347="BAM",1,IF(G346="",0,1))</f>
        <v>0</v>
      </c>
      <c r="GT344" s="674">
        <f>IF(N347="BAM",1,IF(R345="",0,1))</f>
        <v>0</v>
      </c>
      <c r="GU344" s="674">
        <f>IF(N347="BAM",1,IF(__Retrofit_TI_NC=0,1,IF(R346="",0,1)))</f>
        <v>1</v>
      </c>
      <c r="GV344" s="674">
        <f>IF(N347="BAM",1,IF(CQ344="Exterior",1,IF(G347="",0,1)))</f>
        <v>1</v>
      </c>
      <c r="GW344" s="674">
        <f>IF(__Retrofit_TI_NC&gt;0,1,IF(T345="",0,1))</f>
        <v>0</v>
      </c>
      <c r="GX344" s="674">
        <f>IF(__Retrofit_TI_NC&gt;0,1,IF(U345="",0,1))</f>
        <v>0</v>
      </c>
      <c r="GY344" s="674">
        <f>IF(N347="BAM",1,IF(T346="",0,1))</f>
        <v>0</v>
      </c>
      <c r="GZ344" s="674">
        <f>IF(N347="BAM",1,IF(U346="",0,1))</f>
        <v>0</v>
      </c>
      <c r="HA344" s="674">
        <f ca="1">IF(N347="BAM",1,IF(__Retrofit_TI_NC&gt;0,1,IF(U347="",0,1)))</f>
        <v>0</v>
      </c>
      <c r="HB344" s="674">
        <f>IF(__Retrofit_TI_NC&lt;&gt;0,1,IF(AF345="",0,1))</f>
        <v>0</v>
      </c>
      <c r="HC344" s="674">
        <f>IF(__Retrofit_TI_NC&lt;&gt;0,1,IF(AG345="",0,1))</f>
        <v>0</v>
      </c>
      <c r="HD344" s="674">
        <f>IF(N347="BAM",1,IF(AF346="",0,1))</f>
        <v>0</v>
      </c>
      <c r="HE344" s="674">
        <f>IF(N347="BAM",1,IF(AG346="",0,1))</f>
        <v>0</v>
      </c>
      <c r="HF344" s="674">
        <f>IF(N347="BAM",1,IF(__Retrofit_TI_NC&gt;0,1,IF(AG347="",0,1)))</f>
        <v>0</v>
      </c>
      <c r="HG344" s="391"/>
      <c r="IA344" s="391"/>
      <c r="IB344" s="1693" t="b">
        <f>IF(OR(IB347=0,IB347=HY$16,IB347=HX$16,IB347=HZ$16),TRUE,FALSE)</f>
        <v>0</v>
      </c>
      <c r="IC344" s="1694" t="b">
        <f>IB344</f>
        <v>0</v>
      </c>
      <c r="ID344" s="391"/>
      <c r="IE344" s="391"/>
      <c r="IF344" s="1688" t="b">
        <f ca="1">IF(MAX(GN347:HU347)&gt;5,FALSE,TRUE)</f>
        <v>0</v>
      </c>
      <c r="IG344" s="1689">
        <f ca="1">IF(IF344=TRUE,AC344,0)</f>
        <v>0</v>
      </c>
      <c r="IH344" s="1689">
        <f ca="1">IG344-IG346</f>
        <v>0</v>
      </c>
      <c r="IK344" s="1689" t="e">
        <f>ROUND(T345*VLOOKUP(U345,Fixtures_Existing_List,2,FALSE)*N345*R345/1000,0)</f>
        <v>#N/A</v>
      </c>
      <c r="IL344" s="1690" t="e">
        <f>IK344-IK346</f>
        <v>#N/A</v>
      </c>
      <c r="IM344" s="1693" t="e">
        <f>ROUND(IF(CQ344="Interior",N346*R346*R345*N345*_C406_reduction/1000,N346*R346*R345*N345/1000),0)</f>
        <v>#N/A</v>
      </c>
      <c r="IN344" s="1693" t="e">
        <f>IM344-IM346</f>
        <v>#N/A</v>
      </c>
      <c r="IP344" s="1679"/>
      <c r="IQ344" s="1679" t="e">
        <f t="shared" ref="IQ344:IU344" si="301">IF($CR344="interior",VLOOKUP($CS344,_New_Control_Savings_Interior,IQ$30,FALSE),VLOOKUP($CS344,Control_Savings_Exterior,IQ$30,FALSE))</f>
        <v>#N/A</v>
      </c>
      <c r="IR344" s="1679" t="e">
        <f t="shared" si="301"/>
        <v>#N/A</v>
      </c>
      <c r="IS344" s="1679" t="e">
        <f t="shared" si="301"/>
        <v>#N/A</v>
      </c>
      <c r="IT344" s="1679" t="e">
        <f t="shared" si="301"/>
        <v>#N/A</v>
      </c>
      <c r="IU344" s="1679" t="e">
        <f t="shared" si="301"/>
        <v>#N/A</v>
      </c>
      <c r="IV344" s="1679" t="e">
        <f>IF($CR344="interior",IF(R345&gt;$IP$14,ROUND(($IV$18*($IP$14/R345)),2),$IV$18),VLOOKUP($CS344,Control_Savings_Exterior,IV$30,FALSE))</f>
        <v>#N/A</v>
      </c>
      <c r="IW344" s="1679" t="e">
        <f>IF($CR344="interior",ROUND(((1-IS344)*IV344)+IS344,2),VLOOKUP($CS344,Control_Savings_Exterior,IW$30,FALSE))</f>
        <v>#N/A</v>
      </c>
      <c r="IX344" s="1679" t="e">
        <f>IF($CR344="interior",ROUND(((1-IT344)*IV344)+IT344,2),VLOOKUP($CS344,Control_Savings_Exterior,IX$30,FALSE))</f>
        <v>#N/A</v>
      </c>
      <c r="IY344" s="1679" t="e">
        <f>IF($CR344="interior",IF(R345&gt;$IP$14,ROUND(($IY$18*($IP$14/R345)),2),$IY$18),VLOOKUP($CS344,Control_Savings_Exterior,IY$30,FALSE))</f>
        <v>#N/A</v>
      </c>
      <c r="IZ344" s="1679" t="e">
        <f>IF($CR344="interior",ROUND(((1-IS344)*IY344)+IS344,2),VLOOKUP($CS344,Control_Savings_Exterior,IZ$30,FALSE))</f>
        <v>#N/A</v>
      </c>
      <c r="JA344" s="1679" t="e">
        <f>IF($CR344="interior",ROUND(((1-IT344)*IY344)+IT344,2),VLOOKUP($CS344,Control_Savings_Exterior,JA$30,FALSE))</f>
        <v>#N/A</v>
      </c>
      <c r="JC344" s="1680">
        <f>IFERROR(IF(CR344="Interior",CONCATENATE(G347," ",FQ344),FQ344),"")</f>
        <v>0</v>
      </c>
      <c r="JD344" s="1670" t="str">
        <f>IFERROR(VLOOKUP(JC344,_Controls_2023,2,FALSE),"")</f>
        <v/>
      </c>
      <c r="JE344" s="1681">
        <f>IFERROR(CHOOSE(JD344-1,IQ344,IR344,IS344,IT344,IU344,IV344,IW344,IX344,IY344,IZ344,JA344),0)</f>
        <v>0</v>
      </c>
      <c r="JG344" s="1680" t="str">
        <f>FE344</f>
        <v xml:space="preserve"> - 0</v>
      </c>
      <c r="JH344" s="1670" t="e">
        <f>$FO344</f>
        <v>#N/A</v>
      </c>
      <c r="JI344" s="1060"/>
      <c r="JJ344" s="1682" t="b">
        <f>IF($JG346=CONCATENATE("Interior - ",JJ$4),TRUE,FALSE)</f>
        <v>0</v>
      </c>
      <c r="JK344" s="1061"/>
      <c r="JL344" s="1682" t="b">
        <f>IF($JG346=CONCATENATE("Interior - ",JL$4),TRUE,FALSE)</f>
        <v>0</v>
      </c>
      <c r="JM344" s="1061"/>
      <c r="JN344" s="1682" t="b">
        <f>IF($JG346=CONCATENATE("Interior - ",JN$4),TRUE,FALSE)</f>
        <v>0</v>
      </c>
      <c r="JO344" s="1061"/>
      <c r="JP344" s="1682" t="b">
        <f>IF(__Retrofit_TI_NC&gt;0,FALSE,IF($JG346=CONCATENATE("Interior - ",JP$4),TRUE,FALSE))</f>
        <v>0</v>
      </c>
      <c r="JQ344" s="1061"/>
      <c r="JR344" s="1682" t="b">
        <f>IF(__Retrofit_TI_NC&gt;0,FALSE,IF($JG346=CONCATENATE("Interior - ",JR$4),TRUE,FALSE))</f>
        <v>0</v>
      </c>
      <c r="JS344" s="1061"/>
      <c r="JT344" s="1670" t="b">
        <f>IF(__Retrofit_TI_NC&gt;0,FALSE,IF($JG346=CONCATENATE("Interior - ",JT$4),TRUE,FALSE))</f>
        <v>0</v>
      </c>
      <c r="JU344" s="1061"/>
      <c r="JV344" s="1670" t="b">
        <f>IF(JC346="AELC on Existing",TRUE,FALSE)</f>
        <v>0</v>
      </c>
      <c r="JX344" s="1670" t="b">
        <f>IF(OR(JG346="Exterior - AELC Occupancy based",JG346="Exterior - AELC Time based"),TRUE,FALSE)</f>
        <v>0</v>
      </c>
      <c r="JZ344" s="1682" t="b">
        <f>IF($JG346=CONCATENATE("Exterior - ",JZ$4),TRUE,FALSE)</f>
        <v>0</v>
      </c>
      <c r="KB344" s="1670" t="b">
        <f>IF(__Retrofit_TI_NC&gt;0,FALSE,IF($JG346=CONCATENATE("Interior - ",KB$4),TRUE,FALSE))</f>
        <v>0</v>
      </c>
    </row>
    <row r="345" spans="1:288" s="78" customFormat="1" ht="14.95" customHeight="1" thickTop="1" thickBot="1">
      <c r="B345" s="1845"/>
      <c r="C345" s="1846"/>
      <c r="D345" s="1847"/>
      <c r="E345" s="1737" t="s">
        <v>297</v>
      </c>
      <c r="F345" s="1738"/>
      <c r="G345" s="1739"/>
      <c r="H345" s="1739"/>
      <c r="I345" s="1739"/>
      <c r="J345" s="1739"/>
      <c r="K345" s="1739"/>
      <c r="L345" s="1739"/>
      <c r="M345" s="461" t="e">
        <f>IF(__Retrofit_TI_NC&lt;&gt;0,IF(VLOOKUP(G346,'Space Table'!$B$3:$L$163,3,FALSE)&gt;0,1,0),IF(__Retrofit_TI_NC=VLOOKUP(G346,'Space Table'!$B$3:$L$163,3,FALSE),1,0))</f>
        <v>#N/A</v>
      </c>
      <c r="N345" s="461" t="str">
        <f>IFERROR(VLOOKUP(G345,_Lookup_Heat_Type_Table_New,2,FALSE),"")</f>
        <v/>
      </c>
      <c r="O345" s="461">
        <f>IF(__Retrofit_TI_NC=1,CONCATENATE("TI ",G345),IF(__Retrofit_TI_NC=2,CONCATENATE("NC ",G345),G345))</f>
        <v>0</v>
      </c>
      <c r="P345" s="1740" t="s">
        <v>435</v>
      </c>
      <c r="Q345" s="1740"/>
      <c r="R345" s="595"/>
      <c r="S345" s="1792"/>
      <c r="T345" s="597"/>
      <c r="U345" s="1765"/>
      <c r="V345" s="1766"/>
      <c r="W345" s="1766"/>
      <c r="X345" s="1766"/>
      <c r="Y345" s="1766"/>
      <c r="Z345" s="1766"/>
      <c r="AA345" s="1766"/>
      <c r="AB345" s="1766"/>
      <c r="AC345" s="1766"/>
      <c r="AD345" s="1767"/>
      <c r="AE345" s="1000"/>
      <c r="AF345" s="597"/>
      <c r="AG345" s="1723"/>
      <c r="AH345" s="1724"/>
      <c r="AI345" s="1724"/>
      <c r="AJ345" s="1724"/>
      <c r="AK345" s="1725"/>
      <c r="AL345" s="996"/>
      <c r="AM345" s="1747"/>
      <c r="AN345" s="1775"/>
      <c r="AO345" s="1777"/>
      <c r="AP345" s="1780"/>
      <c r="AQ345" s="1781"/>
      <c r="AR345" s="1795"/>
      <c r="AS345" s="1795"/>
      <c r="AT345" s="1796"/>
      <c r="AU345" s="1735"/>
      <c r="AV345" s="1752"/>
      <c r="AW345" s="1705"/>
      <c r="AX345" s="467"/>
      <c r="AY345" s="1749"/>
      <c r="AZ345" s="1749"/>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696"/>
      <c r="CQ345" s="1696"/>
      <c r="CR345" s="1809"/>
      <c r="CS345" s="1811"/>
      <c r="CU345" s="1688"/>
      <c r="CV345" s="1703"/>
      <c r="CW345" s="1703"/>
      <c r="CX345" s="1703"/>
      <c r="CY345" s="1815"/>
      <c r="CZ345" s="1711"/>
      <c r="DA345" s="1818"/>
      <c r="DB345" s="1820"/>
      <c r="DC345" s="1820"/>
      <c r="DD345" s="1820"/>
      <c r="DF345" s="1703"/>
      <c r="DG345" s="1831"/>
      <c r="DH345" s="1703"/>
      <c r="DI345" s="1838"/>
      <c r="DJ345" s="1711"/>
      <c r="DK345" s="1712"/>
      <c r="DM345" s="1718"/>
      <c r="DO345" s="1708"/>
      <c r="DQ345" s="1715"/>
      <c r="DR345" s="1720"/>
      <c r="DS345" s="1816"/>
      <c r="DT345" s="1714"/>
      <c r="DU345" s="1715"/>
      <c r="DV345" s="1716"/>
      <c r="DX345" s="1715"/>
      <c r="DY345" s="1720"/>
      <c r="DZ345" s="1715"/>
      <c r="EA345" s="1715"/>
      <c r="EC345" s="1834"/>
      <c r="ED345" s="1834"/>
      <c r="EF345" s="1707"/>
      <c r="EG345" s="1712"/>
      <c r="EH345" s="1818"/>
      <c r="EI345" s="1712"/>
      <c r="EJ345" s="1712"/>
      <c r="EK345" s="1836"/>
      <c r="EL345" s="1836"/>
      <c r="EM345" s="1807"/>
      <c r="EN345" s="1839"/>
      <c r="EO345" s="1839"/>
      <c r="EP345" s="1817"/>
      <c r="EQ345" s="1817"/>
      <c r="ER345" s="1807"/>
      <c r="ES345" s="1807"/>
      <c r="ET345" s="1807"/>
      <c r="EV345" s="1715"/>
      <c r="EX345" s="1805"/>
      <c r="EY345" s="1805"/>
      <c r="EZ345" s="1805"/>
      <c r="FA345" s="1805"/>
      <c r="FB345" s="1805"/>
      <c r="FC345" s="1827"/>
      <c r="FE345" s="1698"/>
      <c r="FG345" s="1816"/>
      <c r="FH345" s="1816"/>
      <c r="FI345" s="133"/>
      <c r="FL345" s="1823"/>
      <c r="FM345" s="1825"/>
      <c r="FN345" s="1698"/>
      <c r="FO345" s="1698"/>
      <c r="FP345" s="1678"/>
      <c r="FQ345" s="1678"/>
      <c r="FS345" s="1687"/>
      <c r="FT345" s="1687"/>
      <c r="FU345" s="1685"/>
      <c r="FV345" s="1687"/>
      <c r="FW345" s="1687"/>
      <c r="FX345" s="1687"/>
      <c r="FY345" s="1697"/>
      <c r="GA345" s="1696"/>
      <c r="GB345" s="1696"/>
      <c r="GC345" s="1696"/>
      <c r="GD345" s="1696"/>
      <c r="GE345" s="1696"/>
      <c r="GF345" s="1696"/>
      <c r="GG345" s="1696"/>
      <c r="GH345" s="1696"/>
      <c r="GI345" s="673"/>
      <c r="GJ345" s="1135"/>
      <c r="GK345" s="1832"/>
      <c r="GM345" s="1693" t="b">
        <f ca="1">IF(AND(GP345=TRUE,GQ345=TRUE),TRUE,FALSE)</f>
        <v>0</v>
      </c>
      <c r="GN345" s="1684" t="b">
        <f>IFERROR(IF(__Retrofit_TI_NC=2,TRUE,IF(AU344="Yes",TRUE,FALSE)),FALSE)</f>
        <v>1</v>
      </c>
      <c r="GP345" s="1684" t="b">
        <f>IFERROR(IF(GP344=1,TRUE,FALSE),FALSE)</f>
        <v>0</v>
      </c>
      <c r="GQ345" s="1684" t="b">
        <f ca="1">IFERROR(IF(GQ344=GQ$14,TRUE,FALSE),FALSE)</f>
        <v>0</v>
      </c>
      <c r="HG345" s="1684" t="b">
        <f>IFERROR(IF(AND(__Retrofit_TI_NC&gt;0,CQ344="Interior"),FALSE,TRUE),FALSE)</f>
        <v>1</v>
      </c>
      <c r="HH345" s="1684" t="b">
        <f>IFERROR(IF(M345=1,TRUE,FALSE),FALSE)</f>
        <v>0</v>
      </c>
      <c r="HI345" s="1684" t="b">
        <f>IFERROR(IF(OR(M346=1,N347="BAM"),TRUE,FALSE),FALSE)</f>
        <v>0</v>
      </c>
      <c r="HJ345" s="1684" t="b">
        <f>IFERROR(IF(__Retrofit_TI_NC&lt;&gt;0,TRUE,IFERROR(IF(VLOOKUP(U345,Fixtures_Existing_List,2,FALSE)&lt;&gt;"",TRUE,FALSE),FALSE)),FALSE)</f>
        <v>0</v>
      </c>
      <c r="HK345" s="1684" t="b">
        <f>IFERROR(IF(VLOOKUP(U346,Fixtures_Proposed_List,2,FALSE)&lt;&gt;"",TRUE,FALSE),FALSE)</f>
        <v>0</v>
      </c>
      <c r="HL345" s="1684" t="b">
        <f>IF(AND(__Retrofit_TI_NC=2,FC344=TRUE),FALSE,TRUE)</f>
        <v>1</v>
      </c>
      <c r="HM345" s="1684" t="b">
        <f>GK344</f>
        <v>1</v>
      </c>
      <c r="HN345" s="1682" t="b">
        <f>IF(ISERROR(MATCH(FE344,_Control_Match[],0))=TRUE,FALSE,TRUE)</f>
        <v>0</v>
      </c>
      <c r="HO345" s="1693" t="b">
        <f>IFERROR(IF(EX344&lt;&gt;EY344,FALSE,TRUE),FALSE)</f>
        <v>1</v>
      </c>
      <c r="HP345" s="1693" t="b">
        <f>IFERROR(IF(EX346&lt;&gt;EY346,FALSE,TRUE),FALSE)</f>
        <v>1</v>
      </c>
      <c r="HQ345" s="1670" t="b">
        <f>IFERROR(IF(CQ344="Exterior",TRUE,IF(AND(OR(FM346=0,FM346=3),JD346&gt;6),FALSE,TRUE)),FALSE)</f>
        <v>0</v>
      </c>
      <c r="HR345" s="1684" t="b">
        <f>IFERROR(IF(AND(FO346=7,FC344=TRUE),FALSE,TRUE),FALSE)</f>
        <v>0</v>
      </c>
      <c r="HS345" s="1684" t="b">
        <f>IFERROR(IF(AND(T346&lt;&gt;AF346,OR(AG346="Interior LLLC", AG346="Interior NLC", AG346="LLLC (outside Daylight)",AG346="LLLC Controls Only"))=TRUE,FALSE,TRUE),FALSE)</f>
        <v>1</v>
      </c>
      <c r="HT345" s="1670" t="b">
        <f>IFERROR(IF(OR(AG346=Lookup!BB$17,AG346=Lookup!BB$18,AG346=Lookup!BB$19)=TRUE,IF(AF346&gt;T346,FALSE,TRUE),TRUE),FALSE)</f>
        <v>1</v>
      </c>
      <c r="HU345" s="1684" t="b">
        <f>IFERROR(IF(__Retrofit_TI_NC=2,IF(EZ346&lt;EZ344,FALSE,TRUE),TRUE),FALSE)</f>
        <v>1</v>
      </c>
      <c r="HV345" s="1684" t="b">
        <f>IF(CQ344="Interior",IL$6,TRUE)</f>
        <v>1</v>
      </c>
      <c r="HW345" s="1684" t="b">
        <f>IF(CQ344="Exterior",IL$8,TRUE)</f>
        <v>1</v>
      </c>
      <c r="HX345" s="1684" t="b">
        <f>IFERROR(IF(__Retrofit_TI_NC&lt;&gt;0,IF(AZ344&lt;AY344,FALSE,TRUE),TRUE),FALSE)</f>
        <v>1</v>
      </c>
      <c r="HY345" s="1684" t="b">
        <f>IFERROR(IF(AND(G345="Exterior",R345&gt;4200),FALSE,TRUE),FALSE)</f>
        <v>1</v>
      </c>
      <c r="HZ345" s="1684" t="b">
        <f>IFERROR(IF(AB347/AB344&lt;HZ$18,FALSE,TRUE),FALSE)</f>
        <v>0</v>
      </c>
      <c r="IB345" s="1691"/>
      <c r="IC345" s="1695"/>
      <c r="ID345" s="1694" t="str">
        <f>VLOOKUP(IB347,_Error_Table,4,FALSE)</f>
        <v>White</v>
      </c>
      <c r="IE345" s="391"/>
      <c r="IF345" s="1688"/>
      <c r="IG345" s="1689"/>
      <c r="IH345" s="1684"/>
      <c r="IK345" s="1689"/>
      <c r="IL345" s="1691"/>
      <c r="IM345" s="1691"/>
      <c r="IN345" s="1691"/>
      <c r="IP345" s="1679"/>
      <c r="IQ345" s="1679"/>
      <c r="IR345" s="1679"/>
      <c r="IS345" s="1679"/>
      <c r="IT345" s="1679"/>
      <c r="IU345" s="1679"/>
      <c r="IV345" s="1679"/>
      <c r="IW345" s="1679"/>
      <c r="IX345" s="1679"/>
      <c r="IY345" s="1679"/>
      <c r="IZ345" s="1679"/>
      <c r="JA345" s="1679"/>
      <c r="JC345" s="1680"/>
      <c r="JD345" s="1670"/>
      <c r="JE345" s="1681"/>
      <c r="JG345" s="1680"/>
      <c r="JH345" s="1670"/>
      <c r="JI345" s="1060"/>
      <c r="JJ345" s="1683"/>
      <c r="JK345" s="1061"/>
      <c r="JL345" s="1683"/>
      <c r="JM345" s="1061"/>
      <c r="JN345" s="1683"/>
      <c r="JO345" s="1061"/>
      <c r="JP345" s="1683"/>
      <c r="JQ345" s="1061"/>
      <c r="JR345" s="1683"/>
      <c r="JS345" s="1061"/>
      <c r="JT345" s="1670"/>
      <c r="JU345" s="1061"/>
      <c r="JV345" s="1670"/>
      <c r="JX345" s="1670"/>
      <c r="JZ345" s="1683"/>
      <c r="KB345" s="1670"/>
    </row>
    <row r="346" spans="1:288" s="78" customFormat="1" ht="14.95" customHeight="1" thickTop="1" thickBot="1">
      <c r="A346" s="78">
        <f>ROW()</f>
        <v>346</v>
      </c>
      <c r="B346" s="1845"/>
      <c r="C346" s="1846"/>
      <c r="D346" s="1847"/>
      <c r="E346" s="1737" t="s">
        <v>298</v>
      </c>
      <c r="F346" s="1738"/>
      <c r="G346" s="1760"/>
      <c r="H346" s="1761"/>
      <c r="I346" s="1761"/>
      <c r="J346" s="1761"/>
      <c r="K346" s="1761"/>
      <c r="L346" s="1762"/>
      <c r="M346" s="461">
        <f>IFERROR(IF(IF(__Retrofit_TI_NC&lt;&gt;0,IF(CQ344="Interior",MATCH(G346,Lookup_Interior_New,0),MATCH(G346,Lookup_Exterior_New,0)),IF(CQ344="Interior",MATCH(G346,Lookup_Interior,0),MATCH(G346,Lookup_Exterior_Areas,0)))&gt;0,1,0),0)</f>
        <v>0</v>
      </c>
      <c r="N346" s="461" t="e">
        <f>IF(__Retrofit_TI_NC=1,
VLOOKUP(G346,'Space Table'!$B$3:$L$163,4,FALSE),
IF(__Retrofit_TI_NC=2,VLOOKUP(G346,'Space Table'!$B$3:$L$163,5,FALSE),VLOOKUP(G346,'Space Table'!$B$3:$L$163,5,FALSE)))</f>
        <v>#N/A</v>
      </c>
      <c r="O346" s="461">
        <f>G346</f>
        <v>0</v>
      </c>
      <c r="P346" s="1738" t="str">
        <f>IFERROR(IF(__Retrofit_TI_NC=1,VLOOKUP(G346,'Space Table'!$B$3:$O$163,13,FALSE),IF(__Retrofit_TI_NC=2,VLOOKUP(G346,'Space Table'!$B$3:$O$163,14,FALSE),"Area (sf):")),"Area (sf):")</f>
        <v>Area (sf):</v>
      </c>
      <c r="Q346" s="1738"/>
      <c r="R346" s="596"/>
      <c r="S346" s="1763" t="s">
        <v>345</v>
      </c>
      <c r="T346" s="594"/>
      <c r="U346" s="1801"/>
      <c r="V346" s="1802"/>
      <c r="W346" s="1802"/>
      <c r="X346" s="1802"/>
      <c r="Y346" s="1802"/>
      <c r="Z346" s="1802"/>
      <c r="AA346" s="1802"/>
      <c r="AB346" s="1802"/>
      <c r="AC346" s="1802"/>
      <c r="AD346" s="1802"/>
      <c r="AE346" s="1803"/>
      <c r="AF346" s="594"/>
      <c r="AG346" s="1787"/>
      <c r="AH346" s="1787"/>
      <c r="AI346" s="1787"/>
      <c r="AJ346" s="1787"/>
      <c r="AK346" s="1787"/>
      <c r="AL346" s="1787"/>
      <c r="AM346" s="1726">
        <f>IFERROR(DI346,"")</f>
        <v>0</v>
      </c>
      <c r="AN346" s="1728" t="str">
        <f>IFERROR(ROUND(AM346*AC347,0),"")</f>
        <v/>
      </c>
      <c r="AO346" s="1730">
        <f>IFERROR(IF(IB344=FALSE,0,AC347-AN346),0)</f>
        <v>0</v>
      </c>
      <c r="AP346" s="1780"/>
      <c r="AQ346" s="1781"/>
      <c r="AR346" s="1795"/>
      <c r="AS346" s="1795"/>
      <c r="AT346" s="1796"/>
      <c r="AU346" s="1735"/>
      <c r="AV346" s="1752"/>
      <c r="AW346" s="1705"/>
      <c r="AX346" s="467"/>
      <c r="AY346" s="1749"/>
      <c r="AZ346" s="1749"/>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696"/>
      <c r="CQ346" s="1696"/>
      <c r="CR346" s="1808" t="str">
        <f>CQ344</f>
        <v/>
      </c>
      <c r="CS346" s="1810" t="str">
        <f>CS344</f>
        <v/>
      </c>
      <c r="CU346" s="1688" t="s">
        <v>345</v>
      </c>
      <c r="CV346" s="1702">
        <f>IF(IB344=TRUE,T346,0)</f>
        <v>0</v>
      </c>
      <c r="CW346" s="1702" t="str">
        <f>IF(IB344=TRUE,U346,"")</f>
        <v/>
      </c>
      <c r="CX346" s="1812">
        <f>IF(IB344=TRUE,U347,0)</f>
        <v>0</v>
      </c>
      <c r="CY346" s="1814">
        <f>IF(IB344=TRUE,AB347,0)</f>
        <v>0</v>
      </c>
      <c r="CZ346" s="1710">
        <f>IF(AND(__Retrofit_TI_NC&gt;0,CR344="interior"),0,IF(IB344=TRUE,AC347,0))</f>
        <v>0</v>
      </c>
      <c r="DA346" s="1818"/>
      <c r="DB346" s="1820"/>
      <c r="DC346" s="1820"/>
      <c r="DD346" s="1820"/>
      <c r="DF346" s="1702">
        <f>IF(IB344=TRUE,AF346,0)</f>
        <v>0</v>
      </c>
      <c r="DG346" s="1830" t="str">
        <f>IF(IB344=TRUE,AG346,"")</f>
        <v/>
      </c>
      <c r="DH346" s="1812">
        <f>AG347</f>
        <v>0</v>
      </c>
      <c r="DI346" s="1837">
        <f>JE346</f>
        <v>0</v>
      </c>
      <c r="DJ346" s="1710">
        <f>IF(AND(__Retrofit_TI_NC&gt;0,CR344="interior"),0,IF(IB344=TRUE,AN346,0))</f>
        <v>0</v>
      </c>
      <c r="DK346" s="1712"/>
      <c r="DN346" s="1717">
        <f>IFERROR(CZ346-DJ346,0)</f>
        <v>0</v>
      </c>
      <c r="DO346" s="1709"/>
      <c r="DQ346" s="1715"/>
      <c r="DR346" s="1719" t="str">
        <f>DQ344</f>
        <v/>
      </c>
      <c r="DS346" s="1816"/>
      <c r="DT346" s="1835" t="str">
        <f>IF(OR(DS344=7,DS344=8,DS344=9),"ALC","")</f>
        <v/>
      </c>
      <c r="DU346" s="1715"/>
      <c r="DV346" s="1716"/>
      <c r="DX346" s="1715"/>
      <c r="DY346" s="1829" t="str">
        <f>DX344</f>
        <v/>
      </c>
      <c r="DZ346" s="1715"/>
      <c r="EA346" s="1715"/>
      <c r="EC346" s="1834"/>
      <c r="ED346" s="1834"/>
      <c r="EF346" s="1707"/>
      <c r="EG346" s="1712"/>
      <c r="EH346" s="1818"/>
      <c r="EI346" s="1712"/>
      <c r="EJ346" s="1712"/>
      <c r="EK346" s="1836"/>
      <c r="EL346" s="1836"/>
      <c r="EM346" s="1807"/>
      <c r="EN346" s="1839"/>
      <c r="EO346" s="1839"/>
      <c r="EP346" s="1817"/>
      <c r="EQ346" s="1817"/>
      <c r="ER346" s="1807"/>
      <c r="ES346" s="1807"/>
      <c r="ET346" s="1807"/>
      <c r="EV346" s="1715"/>
      <c r="EX346" s="1805" t="str">
        <f>IFERROR(VLOOKUP(CS346,'Space Table'!$B$3:$L$163,8,FALSE),"")</f>
        <v/>
      </c>
      <c r="EY346" s="1805" t="str">
        <f>IFERROR(IF(FB346="Yes",VLOOKUP(AG346,Lookup_Control_Type_Table2,4,FALSE),VLOOKUP(AG346,Lookup_Control_Type_Table2,3,FALSE)),"")</f>
        <v/>
      </c>
      <c r="EZ346" s="1805" t="e">
        <f>VLOOKUP(AG346,Lookup!BB$3:BC$20,2,FALSE)</f>
        <v>#N/A</v>
      </c>
      <c r="FA346" s="1805" t="e">
        <f>VLOOKUP(EX344,Lookup_Control_Type_Table,2,FALSE)</f>
        <v>#N/A</v>
      </c>
      <c r="FB346" s="1805" t="e">
        <f>VLOOKUP(CS346,'Space Table'!$B$3:$L$163,7,FALSE)</f>
        <v>#N/A</v>
      </c>
      <c r="FC346" s="1827"/>
      <c r="FE346" s="1698" t="str">
        <f>CONCATENATE(CQ344," - ",AG346)</f>
        <v xml:space="preserve"> - </v>
      </c>
      <c r="FG346" s="1816"/>
      <c r="FH346" s="1816"/>
      <c r="FI346" s="133"/>
      <c r="FL346" s="1822" t="str">
        <f>IF(CQ344="Exterior","Not Daylighted",G347)</f>
        <v>Not Daylighted</v>
      </c>
      <c r="FM346" s="1824">
        <f>VLOOKUP(FL346,_New_Daylight_Table_Codes,2,FALSE)</f>
        <v>0</v>
      </c>
      <c r="FN346" s="1698">
        <f>AG346</f>
        <v>0</v>
      </c>
      <c r="FO346" s="1698" t="e">
        <f>VLOOKUP(FN346,_Control_Table,2,FALSE)</f>
        <v>#N/A</v>
      </c>
      <c r="FP346" s="1678" t="e">
        <f>VLOOKUP(CONCATENATE(FL346," ",FN346),Lookup!AY$102:AZ357,2,FALSE)</f>
        <v>#N/A</v>
      </c>
      <c r="FQ346" s="1698">
        <f>IF(__Retrofit_TI_NC=0,FN346,IF(AND(FT346&gt;0,FN346="Occupancy Sensor"),"Daylight + Occupancy",IF(AND(FT346&gt;0,FO346&lt;4),"Interior Daylight Dimming",FN346)))</f>
        <v>0</v>
      </c>
      <c r="FS346" s="1686">
        <f>IF(CQ344="Interior",VLOOKUP(CS344,Control_Savings_Interior,5,FALSE),0)</f>
        <v>0</v>
      </c>
      <c r="FT346" s="1687">
        <f>IF(CQ346="Exterior",0,IF(FM346=2,0.5,IF(OR(FM346=1,FM346=3),1,0)))</f>
        <v>0</v>
      </c>
      <c r="FU346" s="1685">
        <f>IF(R345&gt;FS$44,(FS346*(FS$44/R345)),FS346)*FT346</f>
        <v>0</v>
      </c>
      <c r="FV346" s="1686">
        <f>DI346</f>
        <v>0</v>
      </c>
      <c r="FW346" s="1686">
        <f>ROUND(FV346+((1-FV346)*FU346),2)</f>
        <v>0</v>
      </c>
      <c r="FX346" s="1686">
        <f>IF(__Retrofit_TI_NC=2,FW346,FV346)</f>
        <v>0</v>
      </c>
      <c r="FY346" s="1697">
        <f>IF(CR346="Interior",VLOOKUP(CS346,Control_Savings_Interior,4,FALSE),0)</f>
        <v>0</v>
      </c>
      <c r="GA346" s="1696"/>
      <c r="GB346" s="1696"/>
      <c r="GC346" s="1696"/>
      <c r="GD346" s="1696"/>
      <c r="GE346" s="1696"/>
      <c r="GF346" s="1696"/>
      <c r="GG346" s="1696"/>
      <c r="GH346" s="1696"/>
      <c r="GI346" s="673" t="b">
        <f>IF(ISNUMBER(SEARCH("TLED",U346)),TRUE,FALSE)</f>
        <v>0</v>
      </c>
      <c r="GJ346" s="1135" t="str">
        <f>IFERROR(VLOOKUP(U346,Fixtures!DM$93:DR$142,6,FALSE),"")</f>
        <v/>
      </c>
      <c r="GK346" s="1832"/>
      <c r="GM346" s="1692"/>
      <c r="GN346" s="1684"/>
      <c r="GP346" s="1684"/>
      <c r="GQ346" s="1684"/>
      <c r="HG346" s="1684"/>
      <c r="HH346" s="1684"/>
      <c r="HI346" s="1684"/>
      <c r="HJ346" s="1684"/>
      <c r="HK346" s="1684"/>
      <c r="HL346" s="1684"/>
      <c r="HM346" s="1684"/>
      <c r="HN346" s="1683"/>
      <c r="HO346" s="1692"/>
      <c r="HP346" s="1692"/>
      <c r="HQ346" s="1670"/>
      <c r="HR346" s="1684"/>
      <c r="HS346" s="1684"/>
      <c r="HT346" s="1670"/>
      <c r="HU346" s="1684"/>
      <c r="HV346" s="1684"/>
      <c r="HW346" s="1684"/>
      <c r="HX346" s="1684"/>
      <c r="HY346" s="1684"/>
      <c r="HZ346" s="1684"/>
      <c r="IB346" s="1692"/>
      <c r="IC346" s="1693" t="b">
        <f>IB344</f>
        <v>0</v>
      </c>
      <c r="ID346" s="1695"/>
      <c r="IE346" s="391"/>
      <c r="IF346" s="1688"/>
      <c r="IG346" s="1689">
        <f ca="1">IF(IF344=TRUE,AC347,0)</f>
        <v>0</v>
      </c>
      <c r="IH346" s="1684"/>
      <c r="IK346" s="1689" t="e">
        <f>ROUND(T346*AB347*N345*R345/1000,0)</f>
        <v>#VALUE!</v>
      </c>
      <c r="IL346" s="1691"/>
      <c r="IM346" s="1693" t="e">
        <f>ROUND(T346*AB347*N345*R345/1000,0)</f>
        <v>#VALUE!</v>
      </c>
      <c r="IN346" s="1691"/>
      <c r="IP346" s="1679"/>
      <c r="IQ346" s="1679" t="e">
        <f t="shared" ref="IQ346:IU346" si="302">IF($CR346="interior",VLOOKUP($CS346,_New_Control_Savings_Interior,IQ$30,FALSE),VLOOKUP($CS346,Control_Savings_Exterior,IQ$30,FALSE))</f>
        <v>#N/A</v>
      </c>
      <c r="IR346" s="1679" t="e">
        <f t="shared" si="302"/>
        <v>#N/A</v>
      </c>
      <c r="IS346" s="1679" t="e">
        <f t="shared" si="302"/>
        <v>#N/A</v>
      </c>
      <c r="IT346" s="1679" t="e">
        <f t="shared" si="302"/>
        <v>#N/A</v>
      </c>
      <c r="IU346" s="1679" t="e">
        <f t="shared" si="302"/>
        <v>#N/A</v>
      </c>
      <c r="IV346" s="1679" t="e">
        <f>IF($CR346="interior",IF(R345&gt;$IP$14,ROUND(($IV$18*($IP$14/R345)),2),$IV$18),VLOOKUP($CS346,Control_Savings_Exterior,IV$30,FALSE))</f>
        <v>#N/A</v>
      </c>
      <c r="IW346" s="1679" t="e">
        <f>IF($CR346="interior",ROUND(((1-IS346)*IV346)+IS346,2),VLOOKUP($CS346,Control_Savings_Exterior,IW$30,FALSE))</f>
        <v>#N/A</v>
      </c>
      <c r="IX346" s="1679" t="e">
        <f>IF($CR346="interior",ROUND(((1-IT346)*IV346)+IT346,2),VLOOKUP($CS346,Control_Savings_Exterior,IX$30,FALSE))</f>
        <v>#N/A</v>
      </c>
      <c r="IY346" s="1679" t="e">
        <f>IF($CR346="interior",IF(R345&gt;$IP$14,ROUND(($IY$18*($IP$14/R345)),2),$IY$18),VLOOKUP($CS346,Control_Savings_Exterior,IY$30,FALSE))</f>
        <v>#N/A</v>
      </c>
      <c r="IZ346" s="1679" t="e">
        <f>IF($CR346="interior",ROUND(((1-IS346)*IY346)+IS346,2),VLOOKUP($CS346,Control_Savings_Exterior,IZ$30,FALSE))</f>
        <v>#N/A</v>
      </c>
      <c r="JA346" s="1679" t="e">
        <f>IF($CR346="interior",ROUND(((1-IT346)*IY346)+IT346,2),VLOOKUP($CS346,Control_Savings_Exterior,JA$30,FALSE))</f>
        <v>#N/A</v>
      </c>
      <c r="JC346" s="1680">
        <f>IFERROR(IF(CR346="Interior",CONCATENATE(G347," ",FQ346),AG346),"")</f>
        <v>0</v>
      </c>
      <c r="JD346" s="1670" t="str">
        <f>IFERROR(VLOOKUP(JC346,_Controls_2023,2,FALSE),"")</f>
        <v/>
      </c>
      <c r="JE346" s="1681">
        <f>IFERROR(CHOOSE(JD346-1,IQ346,IR346,IS346,IT346,IU346,IV346,IW346,IX346,IY346,IZ346,JA346),0)</f>
        <v>0</v>
      </c>
      <c r="JG346" s="1680" t="str">
        <f>FE346</f>
        <v xml:space="preserve"> - </v>
      </c>
      <c r="JH346" s="1670" t="e">
        <f>$FO346</f>
        <v>#N/A</v>
      </c>
      <c r="JI346" s="1060"/>
      <c r="JJ346" s="1670">
        <f>IFERROR(IF($IB344=TRUE,IF(OR(JJ$14="No",JJ344=FALSE,JH346&lt;=JH344,AND(_kWh_Grant=0,GD344=FALSE)),0,IF(JJ$8="Per Line",1,$AF346)),0),0)</f>
        <v>0</v>
      </c>
      <c r="JK346" s="1061"/>
      <c r="JL346" s="1670">
        <f>IFERROR(IF(_kWh_Grant=0,0,IF($IB344=TRUE,IF(OR(JL$14="No",JL344=FALSE,JH346&lt;=JH344),0,IF(JL$8="Per Line",1,$T346)),0)),0)</f>
        <v>0</v>
      </c>
      <c r="JM346" s="1061"/>
      <c r="JN346" s="1670">
        <f>IFERROR(IF(_kWh_Grant=0,0,IF($IB344=TRUE,IF(OR(JN$14="No",JN344=FALSE,JH346&lt;=JH344),0,IF(JN$8="Per Line",1,$AF346)),0)),0)</f>
        <v>0</v>
      </c>
      <c r="JO346" s="1061"/>
      <c r="JP346" s="1670">
        <f>IFERROR(IF(__Retrofit_TI_NC=0,IF(_kWh_Grant=0,0,IF($IB344=TRUE,IF(OR(JP$14="No",JP344=FALSE,$JH346&lt;=$JH344),0,IF(JP$8="Per Line",1,$AF346)),0)),IF($IB344=TRUE,IF(OR(JP$14="No",JP344=FALSE,$JH346&lt;=$JH344),0,IF(JP$8="Per Line",1,$AF346)))),0)</f>
        <v>0</v>
      </c>
      <c r="JQ346" s="1061"/>
      <c r="JR346" s="1670">
        <f>IFERROR(IF(__Retrofit_TI_NC=0,IF(_kWh_Grant=0,0,IF($IB344=TRUE,IF(OR(JR$14="No",JR344=FALSE,$JH346&lt;=$JH344),0,IF(JR$8="Per Line",1,$AF346)),0)),IF($IB344=TRUE,IF(OR(JR$14="No",JR344=FALSE,$JH346&lt;=$JH344),0,IF(JR$8="Per Line",1,$AF346)))),0)</f>
        <v>0</v>
      </c>
      <c r="JS346" s="1061"/>
      <c r="JT346" s="1670">
        <f>IFERROR(IF(__Retrofit_TI_NC=0,IF(_kWh_Grant=0,0,IF($IB344=TRUE,IF(OR(JT$14="No",JT344=FALSE,$JH346&lt;=$JH344),0,IF(JT$8="Per Line",1,$AF346)),0)),IF($IB344=TRUE,IF(OR(JT$14="No",JT344=FALSE,$JH346&lt;=$JH344),0,IF(JT$8="Per Line",1,$AF346)))),0)</f>
        <v>0</v>
      </c>
      <c r="JU346" s="1061"/>
      <c r="JV346" s="1670">
        <f>IFERROR(IF(__Retrofit_TI_NC=0,IF(_kWh_Grant=0,0,IF($IB344=TRUE,IF(OR(JV$14="No",JV344=FALSE,$JH346&lt;=$JH344),0,IF(JV$8="Per Line",1,$AF346)),0)),IF($IB344=TRUE,IF(OR(JV$14="No",JV344=FALSE,$JH346&lt;=$JH344),0,IF(JV$8="Per Line",1,$AF346)))),0)</f>
        <v>0</v>
      </c>
      <c r="JX346" s="1670">
        <f>IFERROR(IF(__Retrofit_TI_NC=0,IF(_kWh_Grant=0,0,IF($IB344=TRUE,IF(OR(JX$14="No",JX344=FALSE,$JH346&lt;=$JH344),0,IF(JX$8="Per Line",1,$AF346)),0)),IF($IB344=TRUE,IF(OR(JX$14="No",JX344=FALSE,$JH346&lt;=$JH344),0,IF(JX$8="Per Line",1,$AF346)))),0)</f>
        <v>0</v>
      </c>
      <c r="JZ346" s="1670">
        <f>IFERROR(IF($IB344=TRUE,IF(OR(JZ$14="No",JZ344=FALSE,$JH346&lt;=$JH344,AND(_kWh_Grant=0,$GD344=FALSE)),0,IF(JZ$8="Per Line",1,$AF346)),0),0)</f>
        <v>0</v>
      </c>
      <c r="KB346" s="1670">
        <f>IFERROR(IF(__Retrofit_TI_NC=0,IF(_kWh_Grant=0,0,IF($IB344=TRUE,IF(OR(KB$14="No",KB344=FALSE,$JH346&lt;=$JH344),0,IF(KB$8="Per Line",1,$AF346)),0)),IF($IB344=TRUE,IF(OR(KB$14="No",KB344=FALSE,$JH346&lt;=$JH344),0,IF(KB$8="Per Line",1,$AF346)))),0)</f>
        <v>0</v>
      </c>
    </row>
    <row r="347" spans="1:288" s="78" customFormat="1" ht="14.95" customHeight="1" thickTop="1" thickBot="1">
      <c r="B347" s="1845"/>
      <c r="C347" s="1846"/>
      <c r="D347" s="1847"/>
      <c r="E347" s="1771" t="s">
        <v>436</v>
      </c>
      <c r="F347" s="1772"/>
      <c r="G347" s="1784" t="s">
        <v>437</v>
      </c>
      <c r="H347" s="1785"/>
      <c r="I347" s="1785"/>
      <c r="J347" s="1785"/>
      <c r="K347" s="1785"/>
      <c r="L347" s="1786"/>
      <c r="M347" s="591">
        <f>IFERROR(VLOOKUP(G347,_Daylight_Table[],2,FALSE),0)</f>
        <v>0</v>
      </c>
      <c r="N347" s="592" t="str">
        <f>IF(AND(__Retrofit_TI_NC&gt;0,CQ344="Interior"),"BAM","")</f>
        <v/>
      </c>
      <c r="O347" s="591" t="e">
        <f>VLOOKUP(G346,'Space Table'!$B$3:$L$163,11,FALSE)</f>
        <v>#N/A</v>
      </c>
      <c r="P347" s="1789"/>
      <c r="Q347" s="1790"/>
      <c r="R347" s="1790"/>
      <c r="S347" s="1788"/>
      <c r="T347" s="593" t="s">
        <v>342</v>
      </c>
      <c r="U347" s="1756" t="str" cm="1">
        <f t="array" aca="1" ref="U347" ca="1">IFERROR(VLOOKUP(INDIRECT("U" &amp; ROW()-1),Fixtures!DM$93:DP$142,4,FALSE),"")</f>
        <v/>
      </c>
      <c r="V347" s="1757"/>
      <c r="W347" s="1757"/>
      <c r="X347" s="1757"/>
      <c r="Y347" s="1757"/>
      <c r="Z347" s="1757"/>
      <c r="AA347" s="1758"/>
      <c r="AB347" s="939" t="str">
        <f>IFERROR(VLOOKUP(U346,Fixtures_Proposed_List,2,FALSE),"")</f>
        <v/>
      </c>
      <c r="AC347" s="933" t="str">
        <f>IFERROR(ROUND(T346*AB347*N345*R345/1000,0),"")</f>
        <v/>
      </c>
      <c r="AD347" s="934" t="str">
        <f>IFERROR(ROUND(T346*AB347/1000,2),"")</f>
        <v/>
      </c>
      <c r="AE347" s="998"/>
      <c r="AF347" s="938" t="s">
        <v>342</v>
      </c>
      <c r="AG347" s="1770"/>
      <c r="AH347" s="1770"/>
      <c r="AI347" s="1770"/>
      <c r="AJ347" s="1770"/>
      <c r="AK347" s="1770"/>
      <c r="AL347" s="1770"/>
      <c r="AM347" s="1727"/>
      <c r="AN347" s="1729"/>
      <c r="AO347" s="1731"/>
      <c r="AP347" s="1782"/>
      <c r="AQ347" s="1783"/>
      <c r="AR347" s="1797"/>
      <c r="AS347" s="1797"/>
      <c r="AT347" s="1798"/>
      <c r="AU347" s="1736"/>
      <c r="AV347" s="1753"/>
      <c r="AW347" s="1706"/>
      <c r="AX347" s="468"/>
      <c r="AY347" s="1750"/>
      <c r="AZ347" s="1750"/>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696"/>
      <c r="CQ347" s="1696"/>
      <c r="CR347" s="1809"/>
      <c r="CS347" s="1811"/>
      <c r="CU347" s="1688"/>
      <c r="CV347" s="1703"/>
      <c r="CW347" s="1703"/>
      <c r="CX347" s="1813"/>
      <c r="CY347" s="1815"/>
      <c r="CZ347" s="1711"/>
      <c r="DA347" s="1815"/>
      <c r="DB347" s="1821"/>
      <c r="DC347" s="1821"/>
      <c r="DD347" s="1821"/>
      <c r="DF347" s="1703"/>
      <c r="DG347" s="1831"/>
      <c r="DH347" s="1813"/>
      <c r="DI347" s="1838"/>
      <c r="DJ347" s="1711"/>
      <c r="DK347" s="1712"/>
      <c r="DN347" s="1718"/>
      <c r="DO347" s="1709"/>
      <c r="DQ347" s="1715"/>
      <c r="DR347" s="1720"/>
      <c r="DS347" s="1703"/>
      <c r="DT347" s="1714"/>
      <c r="DU347" s="1715"/>
      <c r="DV347" s="1716"/>
      <c r="DX347" s="1715"/>
      <c r="DY347" s="1720"/>
      <c r="DZ347" s="1715"/>
      <c r="EA347" s="1715"/>
      <c r="EC347" s="1834"/>
      <c r="ED347" s="1834"/>
      <c r="EF347" s="1707"/>
      <c r="EG347" s="1712"/>
      <c r="EH347" s="1815"/>
      <c r="EI347" s="1712"/>
      <c r="EJ347" s="1712"/>
      <c r="EK347" s="1813"/>
      <c r="EL347" s="1813"/>
      <c r="EM347" s="1807"/>
      <c r="EN347" s="1839"/>
      <c r="EO347" s="1839"/>
      <c r="EP347" s="1817"/>
      <c r="EQ347" s="1817"/>
      <c r="ER347" s="1807"/>
      <c r="ES347" s="1807"/>
      <c r="ET347" s="1807"/>
      <c r="EV347" s="1715"/>
      <c r="EX347" s="1806"/>
      <c r="EY347" s="1806"/>
      <c r="EZ347" s="1806"/>
      <c r="FA347" s="1806"/>
      <c r="FB347" s="1806"/>
      <c r="FC347" s="1828"/>
      <c r="FE347" s="1698"/>
      <c r="FG347" s="1703"/>
      <c r="FH347" s="1703"/>
      <c r="FI347" s="133"/>
      <c r="FL347" s="1823"/>
      <c r="FM347" s="1825"/>
      <c r="FN347" s="1698"/>
      <c r="FO347" s="1698"/>
      <c r="FP347" s="1678"/>
      <c r="FQ347" s="1698"/>
      <c r="FS347" s="1687"/>
      <c r="FT347" s="1687"/>
      <c r="FU347" s="1685"/>
      <c r="FV347" s="1687"/>
      <c r="FW347" s="1687"/>
      <c r="FX347" s="1687"/>
      <c r="FY347" s="1697"/>
      <c r="GA347" s="1696"/>
      <c r="GB347" s="1696"/>
      <c r="GC347" s="1696"/>
      <c r="GD347" s="1696"/>
      <c r="GE347" s="1696"/>
      <c r="GF347" s="1696"/>
      <c r="GG347" s="1696"/>
      <c r="GH347" s="1696"/>
      <c r="GI347" s="673"/>
      <c r="GJ347" s="1135"/>
      <c r="GK347" s="1832"/>
      <c r="GN347" s="674">
        <f>IF(GN345=TRUE,0,GN$16)</f>
        <v>0</v>
      </c>
      <c r="GP347" s="674">
        <f>IF(GP345=TRUE,0,GP$16)</f>
        <v>36</v>
      </c>
      <c r="GQ347" s="674">
        <f ca="1">IF(GQ345=TRUE,0,GQ$16)</f>
        <v>35</v>
      </c>
      <c r="GR347" s="391"/>
      <c r="GS347" s="391"/>
      <c r="GT347" s="391"/>
      <c r="GU347" s="391"/>
      <c r="GV347" s="391"/>
      <c r="HG347" s="674">
        <f>IF(HG345=TRUE,0,HG$16)</f>
        <v>0</v>
      </c>
      <c r="HH347" s="674">
        <f t="shared" ref="HH347:HM347" si="303">IF(HH345=TRUE,0,HH$16)</f>
        <v>19</v>
      </c>
      <c r="HI347" s="674">
        <f t="shared" si="303"/>
        <v>18</v>
      </c>
      <c r="HJ347" s="674">
        <f t="shared" si="303"/>
        <v>17</v>
      </c>
      <c r="HK347" s="674">
        <f t="shared" si="303"/>
        <v>16</v>
      </c>
      <c r="HL347" s="674">
        <f t="shared" si="303"/>
        <v>0</v>
      </c>
      <c r="HM347" s="674">
        <f t="shared" si="303"/>
        <v>0</v>
      </c>
      <c r="HN347" s="674">
        <f>IF(HN345=TRUE,0,HN$16)</f>
        <v>13</v>
      </c>
      <c r="HO347" s="674">
        <f t="shared" ref="HO347:HQ347" si="304">IF(HO345=TRUE,0,HO$16)</f>
        <v>0</v>
      </c>
      <c r="HP347" s="674">
        <f t="shared" si="304"/>
        <v>0</v>
      </c>
      <c r="HQ347" s="674">
        <f t="shared" si="304"/>
        <v>10</v>
      </c>
      <c r="HR347" s="674">
        <f>IF(HR345=TRUE,0,HR$16)</f>
        <v>9</v>
      </c>
      <c r="HS347" s="674">
        <f t="shared" ref="HS347:HW347" si="305">IF(HS345=TRUE,0,HS$16)</f>
        <v>0</v>
      </c>
      <c r="HT347" s="674">
        <f t="shared" si="305"/>
        <v>0</v>
      </c>
      <c r="HU347" s="674">
        <f t="shared" si="305"/>
        <v>0</v>
      </c>
      <c r="HV347" s="674">
        <f t="shared" si="305"/>
        <v>0</v>
      </c>
      <c r="HW347" s="674">
        <f t="shared" si="305"/>
        <v>0</v>
      </c>
      <c r="HX347" s="674">
        <f>IF(HX345=TRUE,0,HX$16)</f>
        <v>0</v>
      </c>
      <c r="HY347" s="674">
        <f>IF(HY345=TRUE,0,HY$16)</f>
        <v>0</v>
      </c>
      <c r="HZ347" s="674">
        <f>IF(HZ345=TRUE,0,HZ$16)</f>
        <v>1</v>
      </c>
      <c r="IB347" s="674">
        <f>IF(GP345=FALSE,GP347,IF(GQ345=FALSE,GQ347,MAX(GN347:HZ347)))</f>
        <v>36</v>
      </c>
      <c r="IC347" s="1692"/>
      <c r="ID347" s="205" t="str">
        <f>VLOOKUP(IB347,_Error_Table,3,FALSE)</f>
        <v xml:space="preserve"> </v>
      </c>
      <c r="IE347" s="205"/>
      <c r="IF347" s="1688"/>
      <c r="IG347" s="1689"/>
      <c r="IH347" s="1684"/>
      <c r="IK347" s="1689"/>
      <c r="IL347" s="1692"/>
      <c r="IM347" s="1692"/>
      <c r="IN347" s="1692"/>
      <c r="IP347" s="1679"/>
      <c r="IQ347" s="1679"/>
      <c r="IR347" s="1679"/>
      <c r="IS347" s="1679"/>
      <c r="IT347" s="1679"/>
      <c r="IU347" s="1679"/>
      <c r="IV347" s="1679"/>
      <c r="IW347" s="1679"/>
      <c r="IX347" s="1679"/>
      <c r="IY347" s="1679"/>
      <c r="IZ347" s="1679"/>
      <c r="JA347" s="1679"/>
      <c r="JC347" s="1680"/>
      <c r="JD347" s="1670"/>
      <c r="JE347" s="1681"/>
      <c r="JG347" s="1680"/>
      <c r="JH347" s="1670"/>
      <c r="JI347" s="1060"/>
      <c r="JJ347" s="1670"/>
      <c r="JK347" s="1061"/>
      <c r="JL347" s="1670"/>
      <c r="JM347" s="1061"/>
      <c r="JN347" s="1670"/>
      <c r="JO347" s="1061"/>
      <c r="JP347" s="1670"/>
      <c r="JQ347" s="1061"/>
      <c r="JR347" s="1670"/>
      <c r="JS347" s="1061"/>
      <c r="JT347" s="1670"/>
      <c r="JU347" s="1061"/>
      <c r="JV347" s="1670"/>
      <c r="JX347" s="1670"/>
      <c r="JZ347" s="1670"/>
      <c r="KB347" s="1670"/>
    </row>
    <row r="348" spans="1:288" s="78" customFormat="1" ht="5.0999999999999996" customHeight="1">
      <c r="B348" s="676"/>
      <c r="C348" s="392"/>
      <c r="D348" s="392"/>
      <c r="E348" s="1733"/>
      <c r="F348" s="1733"/>
      <c r="G348" s="1733"/>
      <c r="H348" s="1733"/>
      <c r="I348" s="1733"/>
      <c r="J348" s="1733"/>
      <c r="K348" s="1733"/>
      <c r="L348" s="1733"/>
      <c r="M348" s="1733"/>
      <c r="N348" s="1733"/>
      <c r="O348" s="1733"/>
      <c r="P348" s="1733"/>
      <c r="Q348" s="1733"/>
      <c r="R348" s="1733"/>
      <c r="S348" s="1733"/>
      <c r="T348" s="1733"/>
      <c r="U348" s="1733"/>
      <c r="V348" s="1733"/>
      <c r="W348" s="1733"/>
      <c r="X348" s="1733"/>
      <c r="Y348" s="1733"/>
      <c r="Z348" s="1733"/>
      <c r="AA348" s="1733"/>
      <c r="AB348" s="1733"/>
      <c r="AC348" s="1733"/>
      <c r="AD348" s="1733"/>
      <c r="AE348" s="1733"/>
      <c r="AF348" s="1733"/>
      <c r="AG348" s="1733"/>
      <c r="AH348" s="1733"/>
      <c r="AI348" s="1733"/>
      <c r="AJ348" s="1733"/>
      <c r="AK348" s="1733"/>
      <c r="AL348" s="1733"/>
      <c r="AM348" s="1733"/>
      <c r="AN348" s="1733"/>
      <c r="AO348" s="1733"/>
      <c r="AP348" s="1733"/>
      <c r="AQ348" s="1733"/>
      <c r="AR348" s="1733"/>
      <c r="AS348" s="1733"/>
      <c r="AT348" s="1733"/>
      <c r="AU348" s="1733"/>
      <c r="AV348" s="1733"/>
      <c r="AW348" s="1733"/>
      <c r="AX348" s="469"/>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663"/>
      <c r="CQ348" s="663"/>
      <c r="CR348" s="438"/>
      <c r="CS348" s="663"/>
      <c r="CV348" s="391"/>
      <c r="CW348" s="391"/>
      <c r="CX348" s="207"/>
      <c r="CY348" s="208"/>
      <c r="CZ348" s="208"/>
      <c r="DA348" s="208"/>
      <c r="DB348" s="209"/>
      <c r="DC348" s="209"/>
      <c r="DD348" s="209"/>
      <c r="DF348" s="664"/>
      <c r="DG348" s="665"/>
      <c r="DH348" s="666"/>
      <c r="DI348" s="667"/>
      <c r="DJ348" s="668"/>
      <c r="DK348" s="668"/>
      <c r="DN348" s="208"/>
      <c r="DO348" s="664"/>
      <c r="DQ348" s="664"/>
      <c r="DR348" s="669"/>
      <c r="DS348" s="391"/>
      <c r="DT348" s="664"/>
      <c r="DU348" s="664"/>
      <c r="DV348" s="664"/>
      <c r="DX348" s="664"/>
      <c r="DY348" s="664"/>
      <c r="DZ348" s="664"/>
      <c r="EA348" s="664"/>
      <c r="EC348" s="670"/>
      <c r="ED348" s="670"/>
      <c r="EF348" s="668"/>
      <c r="EG348" s="668"/>
      <c r="EH348" s="208"/>
      <c r="EI348" s="668"/>
      <c r="EJ348" s="668"/>
      <c r="EK348" s="207"/>
      <c r="EL348" s="207"/>
      <c r="EM348" s="666"/>
      <c r="EN348" s="671"/>
      <c r="EO348" s="671"/>
      <c r="EP348" s="672"/>
      <c r="EQ348" s="672"/>
      <c r="ER348" s="666"/>
      <c r="ES348" s="666"/>
      <c r="ET348" s="666"/>
      <c r="EV348" s="664"/>
      <c r="EX348" s="391"/>
      <c r="EY348" s="391"/>
      <c r="EZ348" s="391"/>
      <c r="FA348" s="391"/>
      <c r="FB348" s="391"/>
      <c r="FC348" s="391"/>
      <c r="FE348" s="569"/>
      <c r="FG348" s="391"/>
      <c r="FH348" s="391"/>
      <c r="FI348" s="391"/>
      <c r="FS348" s="664"/>
      <c r="FT348" s="391"/>
      <c r="FU348" s="391"/>
      <c r="FV348" s="664"/>
      <c r="FW348" s="664"/>
      <c r="GA348" s="663"/>
      <c r="GB348" s="663"/>
      <c r="GC348" s="663"/>
      <c r="GD348" s="663"/>
      <c r="GE348" s="663"/>
      <c r="GF348" s="663"/>
      <c r="GG348" s="663"/>
      <c r="GH348" s="663"/>
      <c r="GI348" s="665"/>
      <c r="GJ348" s="664"/>
      <c r="GK348" s="664"/>
    </row>
    <row r="349" spans="1:288" s="78" customFormat="1" ht="14.95" customHeight="1">
      <c r="B349" s="1845" t="str">
        <f>ID352</f>
        <v xml:space="preserve"> </v>
      </c>
      <c r="C349" s="1846">
        <f>C344+1</f>
        <v>59</v>
      </c>
      <c r="D349" s="1847"/>
      <c r="E349" s="1799" t="s">
        <v>295</v>
      </c>
      <c r="F349" s="1800"/>
      <c r="G349" s="1741"/>
      <c r="H349" s="1742"/>
      <c r="I349" s="1742"/>
      <c r="J349" s="1742"/>
      <c r="K349" s="1742"/>
      <c r="L349" s="1742"/>
      <c r="M349" s="1742"/>
      <c r="N349" s="1742"/>
      <c r="O349" s="1742"/>
      <c r="P349" s="1742"/>
      <c r="Q349" s="1742"/>
      <c r="R349" s="1742"/>
      <c r="S349" s="1791" t="s">
        <v>344</v>
      </c>
      <c r="T349" s="590"/>
      <c r="U349" s="1743"/>
      <c r="V349" s="1744"/>
      <c r="W349" s="1744"/>
      <c r="X349" s="1744"/>
      <c r="Y349" s="1744"/>
      <c r="Z349" s="1744"/>
      <c r="AA349" s="1744"/>
      <c r="AB349" s="961" t="str">
        <f>IFERROR(IF(__Retrofit_TI_NC=0,VLOOKUP(U350,Fixtures_Existing_List,2,FALSE),ROUND(N351*R351/T351,10)),"")</f>
        <v/>
      </c>
      <c r="AC349" s="935" t="str">
        <f>IFERROR(IF(__Retrofit_TI_NC=0,ROUND(T350*AB349*N350*R350/1000,0),IF(CQ349="Interior",N351*R351*R350*N350*_C406_reduction/1000,N351*R351*R350*N350/1000)),"")</f>
        <v/>
      </c>
      <c r="AD349" s="936" t="str">
        <f>IFERROR(IF(C$43=0,ROUND(T350*AB349/1000,2),N351*R351/1000),"")</f>
        <v/>
      </c>
      <c r="AE349" s="997"/>
      <c r="AF349" s="937"/>
      <c r="AG349" s="1745" t="str">
        <f>IF(__Retrofit_TI_NC=0," Control","Select Advanced Control for New System")</f>
        <v xml:space="preserve"> Control</v>
      </c>
      <c r="AH349" s="1745"/>
      <c r="AI349" s="1745"/>
      <c r="AJ349" s="1745"/>
      <c r="AK349" s="1745"/>
      <c r="AL349" s="1745"/>
      <c r="AM349" s="1746">
        <f>IFERROR(DI349,"")</f>
        <v>0</v>
      </c>
      <c r="AN349" s="1774" t="str">
        <f>IFERROR(ROUND(AM349*AC349,0),"")</f>
        <v/>
      </c>
      <c r="AO349" s="1776">
        <f>IFERROR(IF(IB349=FALSE,0,AC349-AN349),0)</f>
        <v>0</v>
      </c>
      <c r="AP349" s="1778">
        <f>AO349-AO351</f>
        <v>0</v>
      </c>
      <c r="AQ349" s="1779"/>
      <c r="AR349" s="1793">
        <f>IFERROR(IF(IB349=FALSE,0,(T351*U352)+(AF351*AG352)),0)</f>
        <v>0</v>
      </c>
      <c r="AS349" s="1793"/>
      <c r="AT349" s="1794"/>
      <c r="AU349" s="1734" t="s">
        <v>237</v>
      </c>
      <c r="AV349" s="1751">
        <f>IF(AU349="Yes",1,0)</f>
        <v>1</v>
      </c>
      <c r="AW349" s="1704" t="str">
        <f>IF(OR(DQ349=4,DQ349=5,DQ349=6,DQ349=12),CONCATENATE("$",IF(GH349=TRUE,Lookup!$K$10,Lookup!$K$2)," /lamp"),CONCATENATE(TEXT(ED349,"$0.00"),"/ kWh"))</f>
        <v>$0.00/ kWh</v>
      </c>
      <c r="AX349" s="467"/>
      <c r="AY349" s="1748">
        <f ca="1">IFERROR(IF(GM350=TRUE,(AB352*T351)/R351,0),"NA")</f>
        <v>0</v>
      </c>
      <c r="AZ349" s="1748"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696" t="str">
        <f>N350</f>
        <v/>
      </c>
      <c r="CQ349" s="1696" t="str">
        <f>IFERROR(VLOOKUP(G350,_Lookup_Heat_Type_Table_New,3,FALSE),"")</f>
        <v/>
      </c>
      <c r="CR349" s="1808" t="str">
        <f>CQ349</f>
        <v/>
      </c>
      <c r="CS349" s="1810" t="str">
        <f>IFERROR(VLOOKUP(G351,'Space Table'!$B$3:$L$163,9,FALSE),"")</f>
        <v/>
      </c>
      <c r="CU349" s="1688" t="s">
        <v>344</v>
      </c>
      <c r="CV349" s="1702">
        <f>IF(IB349=TRUE,T350,0)</f>
        <v>0</v>
      </c>
      <c r="CW349" s="1702" t="str">
        <f>IF(IB349=TRUE,U350,"")</f>
        <v/>
      </c>
      <c r="CX349" s="1702"/>
      <c r="CY349" s="1814">
        <f>IF(IB349=TRUE,AB349,0)</f>
        <v>0</v>
      </c>
      <c r="CZ349" s="1710">
        <f>IF(AND(__Retrofit_TI_NC&gt;0,CR349="interior"),0,IF(IB349=TRUE,AC349,0))</f>
        <v>0</v>
      </c>
      <c r="DA349" s="1814">
        <f>IFERROR(IF(IB349=TRUE,CZ349-CZ351,0),0)</f>
        <v>0</v>
      </c>
      <c r="DB349" s="1819">
        <f>IF(IB349=TRUE,AD349,0)</f>
        <v>0</v>
      </c>
      <c r="DC349" s="1819">
        <f>IF(IB349=TRUE,AD352,0)</f>
        <v>0</v>
      </c>
      <c r="DD349" s="1819">
        <f>IFERROR(DB349-DC349,0)</f>
        <v>0</v>
      </c>
      <c r="DF349" s="1702">
        <f>IF(IB349=TRUE,AF350,0)</f>
        <v>0</v>
      </c>
      <c r="DG349" s="1830">
        <f>IFERROR(IF(__Retrofit_TI_NC=2,IF(CQ349="Exterior",O352,FQ349),FN349),"")</f>
        <v>0</v>
      </c>
      <c r="DH349" s="1702"/>
      <c r="DI349" s="1837">
        <f>JE349</f>
        <v>0</v>
      </c>
      <c r="DJ349" s="1710">
        <f>IF(AND(__Retrofit_TI_NC&gt;0,CR349="interior"),0,IF(IB349=TRUE,AN349,0))</f>
        <v>0</v>
      </c>
      <c r="DK349" s="1712">
        <f>IFERROR(IF(IB349=TRUE,DJ351-DJ349,0),0)</f>
        <v>0</v>
      </c>
      <c r="DM349" s="1717">
        <f>IFERROR(CZ349-DJ349,0)</f>
        <v>0</v>
      </c>
      <c r="DO349" s="1708">
        <f>DM349-DN351</f>
        <v>0</v>
      </c>
      <c r="DQ349" s="1715" t="str">
        <f>IFERROR(IF(AND(OR(GC349=4,GC349=5,GC349=6),OR(GF349=4,GF349=5,GF349=6)),GC349+8,VLOOKUP(CW351,Fixtures!R$31:Y$78,8,FALSE)),"")</f>
        <v/>
      </c>
      <c r="DR349" s="1829" t="str">
        <f>DQ349</f>
        <v/>
      </c>
      <c r="DS349" s="1702" t="str">
        <f>IFERROR(VLOOKUP(DG351,Lookup!BB$3:BC$20,2,FALSE),"")</f>
        <v/>
      </c>
      <c r="DT349" s="1713" t="str">
        <f>IF(OR(DS349=7,DS349=8,DS349=9),"ALC","")</f>
        <v/>
      </c>
      <c r="DU349" s="1715">
        <f>IFERROR(IF(OR(DQ349=4,DQ349=5,DQ349=6,DQ349=12,DQ349=13,DQ349=14),VLOOKUP(CW351,Fixtures!DN$27:EG$77,19,FALSE),1)*CV351,0)</f>
        <v>0</v>
      </c>
      <c r="DV349" s="1716">
        <f>IF(OR(DS349=7,DS349=8,DS349=9),IF(DG349=DG351,0,DF351),0)</f>
        <v>0</v>
      </c>
      <c r="DX349" s="1715" t="str">
        <f>IFERROR(IF(EZ349&lt;EZ351,"Yes","No"),"")</f>
        <v/>
      </c>
      <c r="DY349" s="1829" t="str">
        <f>DX349</f>
        <v/>
      </c>
      <c r="DZ349" s="1715">
        <f>IF(DX349="Yes",DF351,0)</f>
        <v>0</v>
      </c>
      <c r="EA349" s="1715">
        <f>DZ349-DV349</f>
        <v>0</v>
      </c>
      <c r="EC349" s="1834">
        <f>IFERROR(VLOOKUP(DQ349,Lookup!AU$3:AV$16,2,FALSE),0)</f>
        <v>0</v>
      </c>
      <c r="ED349" s="1834">
        <f>IF(IB349=FALSE,0,IF(DX349="Yes",EC349+Lookup!K$6,EC349))</f>
        <v>0</v>
      </c>
      <c r="EF349" s="1707">
        <f>IF(IB349=TRUE,DM349,0)</f>
        <v>0</v>
      </c>
      <c r="EG349" s="1712">
        <f>IF(IB349=TRUE,CZ351,0)</f>
        <v>0</v>
      </c>
      <c r="EH349" s="1814">
        <f>IFERROR(EF349-EG349,0)</f>
        <v>0</v>
      </c>
      <c r="EI349" s="1712">
        <f>IF(IB349=TRUE,DJ351,0)</f>
        <v>0</v>
      </c>
      <c r="EJ349" s="1712">
        <f>IFERROR(EF349-EG349+EI349,0)</f>
        <v>0</v>
      </c>
      <c r="EK349" s="1812">
        <f>IF(IB349=TRUE,CV351*CX351,0)</f>
        <v>0</v>
      </c>
      <c r="EL349" s="1812">
        <f>IF(IB349=TRUE,DF351*DH351,0)</f>
        <v>0</v>
      </c>
      <c r="EM349" s="1807">
        <f>AR349</f>
        <v>0</v>
      </c>
      <c r="EN349" s="1839" t="str">
        <f>IFERROR(IF(IB349=TRUE,VLOOKUP(DQ349,Lookup!AU$3:AW$16,3,FALSE)*DU349,""),0)</f>
        <v/>
      </c>
      <c r="EO349" s="1839">
        <f>IF(IB349=TRUE,DZ349*Lookup!AW$12,0)</f>
        <v>0</v>
      </c>
      <c r="EP349" s="1817">
        <f>IFERROR(IF(IB349=TRUE,EN349/EP$40,0),0)</f>
        <v>0</v>
      </c>
      <c r="EQ349" s="1817">
        <f>IF(IB349=TRUE,EO349/EQ$40,0)</f>
        <v>0</v>
      </c>
      <c r="ER349" s="1807">
        <f>IF(IB349=TRUE,ET$40*EP349,0)</f>
        <v>0</v>
      </c>
      <c r="ES349" s="1807">
        <f>IF(IB349=TRUE,ET$40*EQ349,0)</f>
        <v>0</v>
      </c>
      <c r="ET349" s="1807">
        <f>ER349+ES349</f>
        <v>0</v>
      </c>
      <c r="EV349" s="1715">
        <f>IF(G349="",0,1)</f>
        <v>0</v>
      </c>
      <c r="EX349" s="1804" t="str">
        <f>IFERROR(VLOOKUP(CS351,'Space Table'!$B$3:$L$163,8,FALSE),"")</f>
        <v/>
      </c>
      <c r="EY349" s="1804" t="str">
        <f>IFERROR(IF(FB349="Yes",VLOOKUP(DG349,Lookup_Control_Type_Table2,4,FALSE),VLOOKUP(DG349,Lookup_Control_Type_Table2,3,FALSE)),"")</f>
        <v/>
      </c>
      <c r="EZ349" s="1804" t="e">
        <f>VLOOKUP(DG349,Lookup!BB$3:BC$20,2,FALSE)</f>
        <v>#N/A</v>
      </c>
      <c r="FA349" s="1804" t="e">
        <f>VLOOKUP(EX349,Lookup_Control_Type_Table,2,FALSE)</f>
        <v>#N/A</v>
      </c>
      <c r="FB349" s="1804" t="e">
        <f>VLOOKUP(CS351,'Space Table'!$B$3:$L$163,7,FALSE)</f>
        <v>#N/A</v>
      </c>
      <c r="FC349" s="1826" t="b">
        <f>ISNUMBER(SEARCH("TLED",U351))</f>
        <v>0</v>
      </c>
      <c r="FE349" s="1698" t="str">
        <f>CONCATENATE(CQ349," - ",DG349)</f>
        <v xml:space="preserve"> - 0</v>
      </c>
      <c r="FG349" s="1702" t="str">
        <f>VLOOKUP(CW351,Fixtures!DN$27:EZ$77,38,FALSE)</f>
        <v/>
      </c>
      <c r="FH349" s="1702">
        <f>IFERROR(FG349*EH349,0)</f>
        <v>0</v>
      </c>
      <c r="FI349" s="133"/>
      <c r="FL349" s="1822" t="str">
        <f>IF(CQ349="Exterior","Not Daylighted",G352)</f>
        <v>Not Daylighted</v>
      </c>
      <c r="FM349" s="1824">
        <f>VLOOKUP(FL349,_New_Daylight_Table_Codes,2,FALSE)</f>
        <v>0</v>
      </c>
      <c r="FN349" s="1698">
        <f>IF(__Retrofit_TI_NC&gt;0,VLOOKUP(G351,'Space Table'!$B$3:$L$163,11,FALSE),AG350)</f>
        <v>0</v>
      </c>
      <c r="FO349" s="1698" t="e">
        <f>IF(__Retrofit_TI_NC=2,VLOOKUP(FQ349,_Control_Table,2,FALSE),VLOOKUP(FN349,_Control_Table,2,FALSE))</f>
        <v>#N/A</v>
      </c>
      <c r="FP349" s="1678" t="e">
        <f>VLOOKUP(CONCATENATE(FL349," ",FN349),Lookup!AY$102:AZ359,2,FALSE)</f>
        <v>#N/A</v>
      </c>
      <c r="FQ349" s="1678">
        <f>IF(__Retrofit_TI_NC=0,FN349,IF(AND(FT349&gt;0,FN349="Occupancy Sensor"),"Daylight + Occupancy",IF(AND(FT349&gt;0,VLOOKUP(FN349,_Control_Table,2,FALSE)&lt;4),"Interior Daylight Dimming",FN349)))</f>
        <v>0</v>
      </c>
      <c r="FS349" s="1686">
        <f>IF(CR349="Interior",VLOOKUP(CS349,Control_Savings_Interior,5,FALSE),0)</f>
        <v>0</v>
      </c>
      <c r="FT349" s="1687">
        <f>IF(CQ349="Exterior",0,IF(FM349=2,0.5,IF(OR(FM349=1,FM349=3),1,0)))</f>
        <v>0</v>
      </c>
      <c r="FU349" s="1685">
        <f>IF(R348&gt;FS$44,(FS349*(FS$44/R348)),FS349)*FT349</f>
        <v>0</v>
      </c>
      <c r="FV349" s="1686">
        <f>DI349</f>
        <v>0</v>
      </c>
      <c r="FW349" s="1686">
        <f>ROUND(FV349+((1-FV349)*FU349),2)</f>
        <v>0</v>
      </c>
      <c r="FX349" s="1686">
        <f>IF(__Retrofit_TI_NC=2,FW349,FV349)</f>
        <v>0</v>
      </c>
      <c r="FY349" s="1697"/>
      <c r="GA349" s="1696" t="str">
        <f>IFERROR(VLOOKUP(U350,_Exist_Fixture_Table,3,FALSE),"")</f>
        <v/>
      </c>
      <c r="GB349" s="1696" t="str">
        <f>VLOOKUP(CW349,_Exist_Fixture_Table,4,FALSE)</f>
        <v/>
      </c>
      <c r="GC349" s="1696">
        <f>IFERROR(VLOOKUP(GB349,Lookup!AT$6:AU$8,2,FALSE),0)</f>
        <v>0</v>
      </c>
      <c r="GD349" s="1696" t="b">
        <f>IFERROR(IF(OR(GF349=4,GF349=5,GF349=6),TRUE,FALSE),"")</f>
        <v>0</v>
      </c>
      <c r="GE349" s="1696" t="str">
        <f>IFERROR(VLOOKUP(GF349,GC$6:GD$10,2,FALSE),"")</f>
        <v/>
      </c>
      <c r="GF349" s="1696" t="str">
        <f>VLOOKUP(CW351,Fixtures!R$31:Y$78,8,FALSE)</f>
        <v/>
      </c>
      <c r="GG349" s="1696">
        <f>IF(AND(GA349=TRUE,GD349=TRUE,OR(DQ349=12,DQ349=13,DQ349=14)),GC349+8,0)</f>
        <v>0</v>
      </c>
      <c r="GH349" s="1696" t="b">
        <f>IF(OR(GG349=12,GG349=13,GG349=14),TRUE,FALSE)</f>
        <v>0</v>
      </c>
      <c r="GI349" s="673" t="b">
        <f>IF(ISNUMBER(SEARCH("TLED",U350)),TRUE,FALSE)</f>
        <v>0</v>
      </c>
      <c r="GJ349" s="1135" t="str">
        <f>IFERROR(VLOOKUP(U350,Fixtures!BM$93:BR$142,6,FALSE),"")</f>
        <v/>
      </c>
      <c r="GK349" s="1832" t="b">
        <f>IF(OR(GI349=FALSE,GI351=FALSE),TRUE,IF(GJ349-GJ351&lt;5,FALSE,TRUE))</f>
        <v>1</v>
      </c>
      <c r="GO349" s="674">
        <f>GP349</f>
        <v>0</v>
      </c>
      <c r="GP349" s="674">
        <f>IF(G349="",0,1)</f>
        <v>0</v>
      </c>
      <c r="GQ349" s="674">
        <f ca="1">SUM(GR349:HF349)</f>
        <v>2</v>
      </c>
      <c r="GR349" s="674">
        <f>IF(G350="",0,1)</f>
        <v>0</v>
      </c>
      <c r="GS349" s="674">
        <f>IF(N352="BAM",1,IF(G351="",0,1))</f>
        <v>0</v>
      </c>
      <c r="GT349" s="674">
        <f>IF(N352="BAM",1,IF(R350="",0,1))</f>
        <v>0</v>
      </c>
      <c r="GU349" s="674">
        <f>IF(N352="BAM",1,IF(__Retrofit_TI_NC=0,1,IF(R351="",0,1)))</f>
        <v>1</v>
      </c>
      <c r="GV349" s="674">
        <f>IF(N352="BAM",1,IF(CQ349="Exterior",1,IF(G352="",0,1)))</f>
        <v>1</v>
      </c>
      <c r="GW349" s="674">
        <f>IF(__Retrofit_TI_NC&gt;0,1,IF(T350="",0,1))</f>
        <v>0</v>
      </c>
      <c r="GX349" s="674">
        <f>IF(__Retrofit_TI_NC&gt;0,1,IF(U350="",0,1))</f>
        <v>0</v>
      </c>
      <c r="GY349" s="674">
        <f>IF(N352="BAM",1,IF(T351="",0,1))</f>
        <v>0</v>
      </c>
      <c r="GZ349" s="674">
        <f>IF(N352="BAM",1,IF(U351="",0,1))</f>
        <v>0</v>
      </c>
      <c r="HA349" s="674">
        <f ca="1">IF(N352="BAM",1,IF(__Retrofit_TI_NC&gt;0,1,IF(U352="",0,1)))</f>
        <v>0</v>
      </c>
      <c r="HB349" s="674">
        <f>IF(__Retrofit_TI_NC&lt;&gt;0,1,IF(AF350="",0,1))</f>
        <v>0</v>
      </c>
      <c r="HC349" s="674">
        <f>IF(__Retrofit_TI_NC&lt;&gt;0,1,IF(AG350="",0,1))</f>
        <v>0</v>
      </c>
      <c r="HD349" s="674">
        <f>IF(N352="BAM",1,IF(AF351="",0,1))</f>
        <v>0</v>
      </c>
      <c r="HE349" s="674">
        <f>IF(N352="BAM",1,IF(AG351="",0,1))</f>
        <v>0</v>
      </c>
      <c r="HF349" s="674">
        <f>IF(N352="BAM",1,IF(__Retrofit_TI_NC&gt;0,1,IF(AG352="",0,1)))</f>
        <v>0</v>
      </c>
      <c r="HG349" s="391"/>
      <c r="IA349" s="391"/>
      <c r="IB349" s="1693" t="b">
        <f>IF(OR(IB352=0,IB352=HY$16,IB352=HX$16,IB352=HZ$16),TRUE,FALSE)</f>
        <v>0</v>
      </c>
      <c r="IC349" s="1694" t="b">
        <f>IB349</f>
        <v>0</v>
      </c>
      <c r="ID349" s="391"/>
      <c r="IE349" s="391"/>
      <c r="IF349" s="1688" t="b">
        <f ca="1">IF(MAX(GN352:HU352)&gt;5,FALSE,TRUE)</f>
        <v>0</v>
      </c>
      <c r="IG349" s="1689">
        <f ca="1">IF(IF349=TRUE,AC349,0)</f>
        <v>0</v>
      </c>
      <c r="IH349" s="1689">
        <f ca="1">IG349-IG351</f>
        <v>0</v>
      </c>
      <c r="IK349" s="1689" t="e">
        <f>ROUND(T350*VLOOKUP(U350,Fixtures_Existing_List,2,FALSE)*N350*R350/1000,0)</f>
        <v>#N/A</v>
      </c>
      <c r="IL349" s="1690" t="e">
        <f>IK349-IK351</f>
        <v>#N/A</v>
      </c>
      <c r="IM349" s="1693" t="e">
        <f>ROUND(IF(CQ349="Interior",N351*R351*R350*N350*_C406_reduction/1000,N351*R351*R350*N350/1000),0)</f>
        <v>#N/A</v>
      </c>
      <c r="IN349" s="1693" t="e">
        <f>IM349-IM351</f>
        <v>#N/A</v>
      </c>
      <c r="IP349" s="1679"/>
      <c r="IQ349" s="1679" t="e">
        <f t="shared" ref="IQ349:IU349" si="306">IF($CR349="interior",VLOOKUP($CS349,_New_Control_Savings_Interior,IQ$30,FALSE),VLOOKUP($CS349,Control_Savings_Exterior,IQ$30,FALSE))</f>
        <v>#N/A</v>
      </c>
      <c r="IR349" s="1679" t="e">
        <f t="shared" si="306"/>
        <v>#N/A</v>
      </c>
      <c r="IS349" s="1679" t="e">
        <f t="shared" si="306"/>
        <v>#N/A</v>
      </c>
      <c r="IT349" s="1679" t="e">
        <f t="shared" si="306"/>
        <v>#N/A</v>
      </c>
      <c r="IU349" s="1679" t="e">
        <f t="shared" si="306"/>
        <v>#N/A</v>
      </c>
      <c r="IV349" s="1679" t="e">
        <f>IF($CR349="interior",IF(R350&gt;$IP$14,ROUND(($IV$18*($IP$14/R350)),2),$IV$18),VLOOKUP($CS349,Control_Savings_Exterior,IV$30,FALSE))</f>
        <v>#N/A</v>
      </c>
      <c r="IW349" s="1679" t="e">
        <f>IF($CR349="interior",ROUND(((1-IS349)*IV349)+IS349,2),VLOOKUP($CS349,Control_Savings_Exterior,IW$30,FALSE))</f>
        <v>#N/A</v>
      </c>
      <c r="IX349" s="1679" t="e">
        <f>IF($CR349="interior",ROUND(((1-IT349)*IV349)+IT349,2),VLOOKUP($CS349,Control_Savings_Exterior,IX$30,FALSE))</f>
        <v>#N/A</v>
      </c>
      <c r="IY349" s="1679" t="e">
        <f>IF($CR349="interior",IF(R350&gt;$IP$14,ROUND(($IY$18*($IP$14/R350)),2),$IY$18),VLOOKUP($CS349,Control_Savings_Exterior,IY$30,FALSE))</f>
        <v>#N/A</v>
      </c>
      <c r="IZ349" s="1679" t="e">
        <f>IF($CR349="interior",ROUND(((1-IS349)*IY349)+IS349,2),VLOOKUP($CS349,Control_Savings_Exterior,IZ$30,FALSE))</f>
        <v>#N/A</v>
      </c>
      <c r="JA349" s="1679" t="e">
        <f>IF($CR349="interior",ROUND(((1-IT349)*IY349)+IT349,2),VLOOKUP($CS349,Control_Savings_Exterior,JA$30,FALSE))</f>
        <v>#N/A</v>
      </c>
      <c r="JC349" s="1680">
        <f>IFERROR(IF(CR349="Interior",CONCATENATE(G352," ",FQ349),FQ349),"")</f>
        <v>0</v>
      </c>
      <c r="JD349" s="1670" t="str">
        <f>IFERROR(VLOOKUP(JC349,_Controls_2023,2,FALSE),"")</f>
        <v/>
      </c>
      <c r="JE349" s="1681">
        <f>IFERROR(CHOOSE(JD349-1,IQ349,IR349,IS349,IT349,IU349,IV349,IW349,IX349,IY349,IZ349,JA349),0)</f>
        <v>0</v>
      </c>
      <c r="JG349" s="1680" t="str">
        <f>FE349</f>
        <v xml:space="preserve"> - 0</v>
      </c>
      <c r="JH349" s="1670" t="e">
        <f>$FO349</f>
        <v>#N/A</v>
      </c>
      <c r="JI349" s="1060"/>
      <c r="JJ349" s="1682" t="b">
        <f>IF($JG351=CONCATENATE("Interior - ",JJ$4),TRUE,FALSE)</f>
        <v>0</v>
      </c>
      <c r="JK349" s="1061"/>
      <c r="JL349" s="1682" t="b">
        <f>IF($JG351=CONCATENATE("Interior - ",JL$4),TRUE,FALSE)</f>
        <v>0</v>
      </c>
      <c r="JM349" s="1061"/>
      <c r="JN349" s="1682" t="b">
        <f>IF($JG351=CONCATENATE("Interior - ",JN$4),TRUE,FALSE)</f>
        <v>0</v>
      </c>
      <c r="JO349" s="1061"/>
      <c r="JP349" s="1682" t="b">
        <f>IF(__Retrofit_TI_NC&gt;0,FALSE,IF($JG351=CONCATENATE("Interior - ",JP$4),TRUE,FALSE))</f>
        <v>0</v>
      </c>
      <c r="JQ349" s="1061"/>
      <c r="JR349" s="1682" t="b">
        <f>IF(__Retrofit_TI_NC&gt;0,FALSE,IF($JG351=CONCATENATE("Interior - ",JR$4),TRUE,FALSE))</f>
        <v>0</v>
      </c>
      <c r="JS349" s="1061"/>
      <c r="JT349" s="1670" t="b">
        <f>IF(__Retrofit_TI_NC&gt;0,FALSE,IF($JG351=CONCATENATE("Interior - ",JT$4),TRUE,FALSE))</f>
        <v>0</v>
      </c>
      <c r="JU349" s="1061"/>
      <c r="JV349" s="1670" t="b">
        <f>IF(JC351="AELC on Existing",TRUE,FALSE)</f>
        <v>0</v>
      </c>
      <c r="JX349" s="1670" t="b">
        <f>IF(OR(JG351="Exterior - AELC Occupancy based",JG351="Exterior - AELC Time based"),TRUE,FALSE)</f>
        <v>0</v>
      </c>
      <c r="JZ349" s="1682" t="b">
        <f>IF($JG351=CONCATENATE("Exterior - ",JZ$4),TRUE,FALSE)</f>
        <v>0</v>
      </c>
      <c r="KB349" s="1670" t="b">
        <f>IF(__Retrofit_TI_NC&gt;0,FALSE,IF($JG351=CONCATENATE("Interior - ",KB$4),TRUE,FALSE))</f>
        <v>0</v>
      </c>
    </row>
    <row r="350" spans="1:288" s="78" customFormat="1" ht="14.95" customHeight="1" thickTop="1" thickBot="1">
      <c r="B350" s="1845"/>
      <c r="C350" s="1846"/>
      <c r="D350" s="1847"/>
      <c r="E350" s="1737" t="s">
        <v>297</v>
      </c>
      <c r="F350" s="1738"/>
      <c r="G350" s="1739"/>
      <c r="H350" s="1739"/>
      <c r="I350" s="1739"/>
      <c r="J350" s="1739"/>
      <c r="K350" s="1739"/>
      <c r="L350" s="1739"/>
      <c r="M350" s="461" t="e">
        <f>IF(__Retrofit_TI_NC&lt;&gt;0,IF(VLOOKUP(G351,'Space Table'!$B$3:$L$163,3,FALSE)&gt;0,1,0),IF(__Retrofit_TI_NC=VLOOKUP(G351,'Space Table'!$B$3:$L$163,3,FALSE),1,0))</f>
        <v>#N/A</v>
      </c>
      <c r="N350" s="461" t="str">
        <f>IFERROR(VLOOKUP(G350,_Lookup_Heat_Type_Table_New,2,FALSE),"")</f>
        <v/>
      </c>
      <c r="O350" s="461">
        <f>IF(__Retrofit_TI_NC=1,CONCATENATE("TI ",G350),IF(__Retrofit_TI_NC=2,CONCATENATE("NC ",G350),G350))</f>
        <v>0</v>
      </c>
      <c r="P350" s="1740" t="s">
        <v>435</v>
      </c>
      <c r="Q350" s="1740"/>
      <c r="R350" s="595"/>
      <c r="S350" s="1792"/>
      <c r="T350" s="597"/>
      <c r="U350" s="1765"/>
      <c r="V350" s="1766"/>
      <c r="W350" s="1766"/>
      <c r="X350" s="1766"/>
      <c r="Y350" s="1766"/>
      <c r="Z350" s="1766"/>
      <c r="AA350" s="1766"/>
      <c r="AB350" s="1766"/>
      <c r="AC350" s="1766"/>
      <c r="AD350" s="1767"/>
      <c r="AE350" s="1000"/>
      <c r="AF350" s="597"/>
      <c r="AG350" s="1723"/>
      <c r="AH350" s="1724"/>
      <c r="AI350" s="1724"/>
      <c r="AJ350" s="1724"/>
      <c r="AK350" s="1725"/>
      <c r="AL350" s="996"/>
      <c r="AM350" s="1747"/>
      <c r="AN350" s="1775"/>
      <c r="AO350" s="1777"/>
      <c r="AP350" s="1780"/>
      <c r="AQ350" s="1781"/>
      <c r="AR350" s="1795"/>
      <c r="AS350" s="1795"/>
      <c r="AT350" s="1796"/>
      <c r="AU350" s="1735"/>
      <c r="AV350" s="1752"/>
      <c r="AW350" s="1705"/>
      <c r="AX350" s="467"/>
      <c r="AY350" s="1749"/>
      <c r="AZ350" s="1749"/>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696"/>
      <c r="CQ350" s="1696"/>
      <c r="CR350" s="1809"/>
      <c r="CS350" s="1811"/>
      <c r="CU350" s="1688"/>
      <c r="CV350" s="1703"/>
      <c r="CW350" s="1703"/>
      <c r="CX350" s="1703"/>
      <c r="CY350" s="1815"/>
      <c r="CZ350" s="1711"/>
      <c r="DA350" s="1818"/>
      <c r="DB350" s="1820"/>
      <c r="DC350" s="1820"/>
      <c r="DD350" s="1820"/>
      <c r="DF350" s="1703"/>
      <c r="DG350" s="1831"/>
      <c r="DH350" s="1703"/>
      <c r="DI350" s="1838"/>
      <c r="DJ350" s="1711"/>
      <c r="DK350" s="1712"/>
      <c r="DM350" s="1718"/>
      <c r="DO350" s="1708"/>
      <c r="DQ350" s="1715"/>
      <c r="DR350" s="1720"/>
      <c r="DS350" s="1816"/>
      <c r="DT350" s="1714"/>
      <c r="DU350" s="1715"/>
      <c r="DV350" s="1716"/>
      <c r="DX350" s="1715"/>
      <c r="DY350" s="1720"/>
      <c r="DZ350" s="1715"/>
      <c r="EA350" s="1715"/>
      <c r="EC350" s="1834"/>
      <c r="ED350" s="1834"/>
      <c r="EF350" s="1707"/>
      <c r="EG350" s="1712"/>
      <c r="EH350" s="1818"/>
      <c r="EI350" s="1712"/>
      <c r="EJ350" s="1712"/>
      <c r="EK350" s="1836"/>
      <c r="EL350" s="1836"/>
      <c r="EM350" s="1807"/>
      <c r="EN350" s="1839"/>
      <c r="EO350" s="1839"/>
      <c r="EP350" s="1817"/>
      <c r="EQ350" s="1817"/>
      <c r="ER350" s="1807"/>
      <c r="ES350" s="1807"/>
      <c r="ET350" s="1807"/>
      <c r="EV350" s="1715"/>
      <c r="EX350" s="1805"/>
      <c r="EY350" s="1805"/>
      <c r="EZ350" s="1805"/>
      <c r="FA350" s="1805"/>
      <c r="FB350" s="1805"/>
      <c r="FC350" s="1827"/>
      <c r="FE350" s="1698"/>
      <c r="FG350" s="1816"/>
      <c r="FH350" s="1816"/>
      <c r="FI350" s="133"/>
      <c r="FL350" s="1823"/>
      <c r="FM350" s="1825"/>
      <c r="FN350" s="1698"/>
      <c r="FO350" s="1698"/>
      <c r="FP350" s="1678"/>
      <c r="FQ350" s="1678"/>
      <c r="FS350" s="1687"/>
      <c r="FT350" s="1687"/>
      <c r="FU350" s="1685"/>
      <c r="FV350" s="1687"/>
      <c r="FW350" s="1687"/>
      <c r="FX350" s="1687"/>
      <c r="FY350" s="1697"/>
      <c r="GA350" s="1696"/>
      <c r="GB350" s="1696"/>
      <c r="GC350" s="1696"/>
      <c r="GD350" s="1696"/>
      <c r="GE350" s="1696"/>
      <c r="GF350" s="1696"/>
      <c r="GG350" s="1696"/>
      <c r="GH350" s="1696"/>
      <c r="GI350" s="673"/>
      <c r="GJ350" s="1135"/>
      <c r="GK350" s="1832"/>
      <c r="GM350" s="1693" t="b">
        <f ca="1">IF(AND(GP350=TRUE,GQ350=TRUE),TRUE,FALSE)</f>
        <v>0</v>
      </c>
      <c r="GN350" s="1684" t="b">
        <f>IFERROR(IF(__Retrofit_TI_NC=2,TRUE,IF(AU349="Yes",TRUE,FALSE)),FALSE)</f>
        <v>1</v>
      </c>
      <c r="GP350" s="1684" t="b">
        <f>IFERROR(IF(GP349=1,TRUE,FALSE),FALSE)</f>
        <v>0</v>
      </c>
      <c r="GQ350" s="1684" t="b">
        <f ca="1">IFERROR(IF(GQ349=GQ$14,TRUE,FALSE),FALSE)</f>
        <v>0</v>
      </c>
      <c r="HG350" s="1684" t="b">
        <f>IFERROR(IF(AND(__Retrofit_TI_NC&gt;0,CQ349="Interior"),FALSE,TRUE),FALSE)</f>
        <v>1</v>
      </c>
      <c r="HH350" s="1684" t="b">
        <f>IFERROR(IF(M350=1,TRUE,FALSE),FALSE)</f>
        <v>0</v>
      </c>
      <c r="HI350" s="1684" t="b">
        <f>IFERROR(IF(OR(M351=1,N352="BAM"),TRUE,FALSE),FALSE)</f>
        <v>0</v>
      </c>
      <c r="HJ350" s="1684" t="b">
        <f>IFERROR(IF(__Retrofit_TI_NC&lt;&gt;0,TRUE,IFERROR(IF(VLOOKUP(U350,Fixtures_Existing_List,2,FALSE)&lt;&gt;"",TRUE,FALSE),FALSE)),FALSE)</f>
        <v>0</v>
      </c>
      <c r="HK350" s="1684" t="b">
        <f>IFERROR(IF(VLOOKUP(U351,Fixtures_Proposed_List,2,FALSE)&lt;&gt;"",TRUE,FALSE),FALSE)</f>
        <v>0</v>
      </c>
      <c r="HL350" s="1684" t="b">
        <f>IF(AND(__Retrofit_TI_NC=2,FC349=TRUE),FALSE,TRUE)</f>
        <v>1</v>
      </c>
      <c r="HM350" s="1684" t="b">
        <f>GK349</f>
        <v>1</v>
      </c>
      <c r="HN350" s="1682" t="b">
        <f>IF(ISERROR(MATCH(FE349,_Control_Match[],0))=TRUE,FALSE,TRUE)</f>
        <v>0</v>
      </c>
      <c r="HO350" s="1693" t="b">
        <f>IFERROR(IF(EX349&lt;&gt;EY349,FALSE,TRUE),FALSE)</f>
        <v>1</v>
      </c>
      <c r="HP350" s="1693" t="b">
        <f>IFERROR(IF(EX351&lt;&gt;EY351,FALSE,TRUE),FALSE)</f>
        <v>1</v>
      </c>
      <c r="HQ350" s="1670" t="b">
        <f>IFERROR(IF(CQ349="Exterior",TRUE,IF(AND(OR(FM351=0,FM351=3),JD351&gt;6),FALSE,TRUE)),FALSE)</f>
        <v>0</v>
      </c>
      <c r="HR350" s="1684" t="b">
        <f>IFERROR(IF(AND(FO351=7,FC349=TRUE),FALSE,TRUE),FALSE)</f>
        <v>0</v>
      </c>
      <c r="HS350" s="1684" t="b">
        <f>IFERROR(IF(AND(T351&lt;&gt;AF351,OR(AG351="Interior LLLC", AG351="Interior NLC", AG351="LLLC (outside Daylight)",AG351="LLLC Controls Only"))=TRUE,FALSE,TRUE),FALSE)</f>
        <v>1</v>
      </c>
      <c r="HT350" s="1670" t="b">
        <f>IFERROR(IF(OR(AG351=Lookup!BB$17,AG351=Lookup!BB$18,AG351=Lookup!BB$19)=TRUE,IF(AF351&gt;T351,FALSE,TRUE),TRUE),FALSE)</f>
        <v>1</v>
      </c>
      <c r="HU350" s="1684" t="b">
        <f>IFERROR(IF(__Retrofit_TI_NC=2,IF(EZ351&lt;EZ349,FALSE,TRUE),TRUE),FALSE)</f>
        <v>1</v>
      </c>
      <c r="HV350" s="1684" t="b">
        <f>IF(CQ349="Interior",IL$6,TRUE)</f>
        <v>1</v>
      </c>
      <c r="HW350" s="1684" t="b">
        <f>IF(CQ349="Exterior",IL$8,TRUE)</f>
        <v>1</v>
      </c>
      <c r="HX350" s="1684" t="b">
        <f>IFERROR(IF(__Retrofit_TI_NC&lt;&gt;0,IF(AZ349&lt;AY349,FALSE,TRUE),TRUE),FALSE)</f>
        <v>1</v>
      </c>
      <c r="HY350" s="1684" t="b">
        <f>IFERROR(IF(AND(G350="Exterior",R350&gt;4200),FALSE,TRUE),FALSE)</f>
        <v>1</v>
      </c>
      <c r="HZ350" s="1684" t="b">
        <f>IFERROR(IF(AB352/AB349&lt;HZ$18,FALSE,TRUE),FALSE)</f>
        <v>0</v>
      </c>
      <c r="IB350" s="1691"/>
      <c r="IC350" s="1695"/>
      <c r="ID350" s="1694" t="str">
        <f>VLOOKUP(IB352,_Error_Table,4,FALSE)</f>
        <v>White</v>
      </c>
      <c r="IE350" s="391"/>
      <c r="IF350" s="1688"/>
      <c r="IG350" s="1689"/>
      <c r="IH350" s="1684"/>
      <c r="IK350" s="1689"/>
      <c r="IL350" s="1691"/>
      <c r="IM350" s="1691"/>
      <c r="IN350" s="1691"/>
      <c r="IP350" s="1679"/>
      <c r="IQ350" s="1679"/>
      <c r="IR350" s="1679"/>
      <c r="IS350" s="1679"/>
      <c r="IT350" s="1679"/>
      <c r="IU350" s="1679"/>
      <c r="IV350" s="1679"/>
      <c r="IW350" s="1679"/>
      <c r="IX350" s="1679"/>
      <c r="IY350" s="1679"/>
      <c r="IZ350" s="1679"/>
      <c r="JA350" s="1679"/>
      <c r="JC350" s="1680"/>
      <c r="JD350" s="1670"/>
      <c r="JE350" s="1681"/>
      <c r="JG350" s="1680"/>
      <c r="JH350" s="1670"/>
      <c r="JI350" s="1060"/>
      <c r="JJ350" s="1683"/>
      <c r="JK350" s="1061"/>
      <c r="JL350" s="1683"/>
      <c r="JM350" s="1061"/>
      <c r="JN350" s="1683"/>
      <c r="JO350" s="1061"/>
      <c r="JP350" s="1683"/>
      <c r="JQ350" s="1061"/>
      <c r="JR350" s="1683"/>
      <c r="JS350" s="1061"/>
      <c r="JT350" s="1670"/>
      <c r="JU350" s="1061"/>
      <c r="JV350" s="1670"/>
      <c r="JX350" s="1670"/>
      <c r="JZ350" s="1683"/>
      <c r="KB350" s="1670"/>
    </row>
    <row r="351" spans="1:288" s="78" customFormat="1" ht="14.95" customHeight="1" thickTop="1" thickBot="1">
      <c r="A351" s="78">
        <f>ROW()</f>
        <v>351</v>
      </c>
      <c r="B351" s="1845"/>
      <c r="C351" s="1846"/>
      <c r="D351" s="1847"/>
      <c r="E351" s="1737" t="s">
        <v>298</v>
      </c>
      <c r="F351" s="1738"/>
      <c r="G351" s="1760"/>
      <c r="H351" s="1761"/>
      <c r="I351" s="1761"/>
      <c r="J351" s="1761"/>
      <c r="K351" s="1761"/>
      <c r="L351" s="1762"/>
      <c r="M351" s="461">
        <f>IFERROR(IF(IF(__Retrofit_TI_NC&lt;&gt;0,IF(CQ349="Interior",MATCH(G351,Lookup_Interior_New,0),MATCH(G351,Lookup_Exterior_New,0)),IF(CQ349="Interior",MATCH(G351,Lookup_Interior,0),MATCH(G351,Lookup_Exterior_Areas,0)))&gt;0,1,0),0)</f>
        <v>0</v>
      </c>
      <c r="N351" s="461" t="e">
        <f>IF(__Retrofit_TI_NC=1,
VLOOKUP(G351,'Space Table'!$B$3:$L$163,4,FALSE),
IF(__Retrofit_TI_NC=2,VLOOKUP(G351,'Space Table'!$B$3:$L$163,5,FALSE),VLOOKUP(G351,'Space Table'!$B$3:$L$163,5,FALSE)))</f>
        <v>#N/A</v>
      </c>
      <c r="O351" s="461">
        <f>G351</f>
        <v>0</v>
      </c>
      <c r="P351" s="1738" t="str">
        <f>IFERROR(IF(__Retrofit_TI_NC=1,VLOOKUP(G351,'Space Table'!$B$3:$O$163,13,FALSE),IF(__Retrofit_TI_NC=2,VLOOKUP(G351,'Space Table'!$B$3:$O$163,14,FALSE),"Area (sf):")),"Area (sf):")</f>
        <v>Area (sf):</v>
      </c>
      <c r="Q351" s="1738"/>
      <c r="R351" s="596"/>
      <c r="S351" s="1763" t="s">
        <v>345</v>
      </c>
      <c r="T351" s="594"/>
      <c r="U351" s="1801"/>
      <c r="V351" s="1802"/>
      <c r="W351" s="1802"/>
      <c r="X351" s="1802"/>
      <c r="Y351" s="1802"/>
      <c r="Z351" s="1802"/>
      <c r="AA351" s="1802"/>
      <c r="AB351" s="1802"/>
      <c r="AC351" s="1802"/>
      <c r="AD351" s="1802"/>
      <c r="AE351" s="1803"/>
      <c r="AF351" s="594"/>
      <c r="AG351" s="1787"/>
      <c r="AH351" s="1787"/>
      <c r="AI351" s="1787"/>
      <c r="AJ351" s="1787"/>
      <c r="AK351" s="1787"/>
      <c r="AL351" s="1787"/>
      <c r="AM351" s="1726">
        <f>IFERROR(DI351,"")</f>
        <v>0</v>
      </c>
      <c r="AN351" s="1728" t="str">
        <f>IFERROR(ROUND(AM351*AC352,0),"")</f>
        <v/>
      </c>
      <c r="AO351" s="1730">
        <f>IFERROR(IF(IB349=FALSE,0,AC352-AN351),0)</f>
        <v>0</v>
      </c>
      <c r="AP351" s="1780"/>
      <c r="AQ351" s="1781"/>
      <c r="AR351" s="1795"/>
      <c r="AS351" s="1795"/>
      <c r="AT351" s="1796"/>
      <c r="AU351" s="1735"/>
      <c r="AV351" s="1752"/>
      <c r="AW351" s="1705"/>
      <c r="AX351" s="467"/>
      <c r="AY351" s="1749"/>
      <c r="AZ351" s="1749"/>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696"/>
      <c r="CQ351" s="1696"/>
      <c r="CR351" s="1808" t="str">
        <f>CQ349</f>
        <v/>
      </c>
      <c r="CS351" s="1810" t="str">
        <f>CS349</f>
        <v/>
      </c>
      <c r="CU351" s="1688" t="s">
        <v>345</v>
      </c>
      <c r="CV351" s="1702">
        <f>IF(IB349=TRUE,T351,0)</f>
        <v>0</v>
      </c>
      <c r="CW351" s="1702" t="str">
        <f>IF(IB349=TRUE,U351,"")</f>
        <v/>
      </c>
      <c r="CX351" s="1812">
        <f>IF(IB349=TRUE,U352,0)</f>
        <v>0</v>
      </c>
      <c r="CY351" s="1814">
        <f>IF(IB349=TRUE,AB352,0)</f>
        <v>0</v>
      </c>
      <c r="CZ351" s="1710">
        <f>IF(AND(__Retrofit_TI_NC&gt;0,CR349="interior"),0,IF(IB349=TRUE,AC352,0))</f>
        <v>0</v>
      </c>
      <c r="DA351" s="1818"/>
      <c r="DB351" s="1820"/>
      <c r="DC351" s="1820"/>
      <c r="DD351" s="1820"/>
      <c r="DF351" s="1702">
        <f>IF(IB349=TRUE,AF351,0)</f>
        <v>0</v>
      </c>
      <c r="DG351" s="1830" t="str">
        <f>IF(IB349=TRUE,AG351,"")</f>
        <v/>
      </c>
      <c r="DH351" s="1812">
        <f>AG352</f>
        <v>0</v>
      </c>
      <c r="DI351" s="1837">
        <f>JE351</f>
        <v>0</v>
      </c>
      <c r="DJ351" s="1710">
        <f>IF(AND(__Retrofit_TI_NC&gt;0,CR349="interior"),0,IF(IB349=TRUE,AN351,0))</f>
        <v>0</v>
      </c>
      <c r="DK351" s="1712"/>
      <c r="DN351" s="1717">
        <f>IFERROR(CZ351-DJ351,0)</f>
        <v>0</v>
      </c>
      <c r="DO351" s="1709"/>
      <c r="DQ351" s="1715"/>
      <c r="DR351" s="1719" t="str">
        <f>DQ349</f>
        <v/>
      </c>
      <c r="DS351" s="1816"/>
      <c r="DT351" s="1835" t="str">
        <f>IF(OR(DS349=7,DS349=8,DS349=9),"ALC","")</f>
        <v/>
      </c>
      <c r="DU351" s="1715"/>
      <c r="DV351" s="1716"/>
      <c r="DX351" s="1715"/>
      <c r="DY351" s="1829" t="str">
        <f>DX349</f>
        <v/>
      </c>
      <c r="DZ351" s="1715"/>
      <c r="EA351" s="1715"/>
      <c r="EC351" s="1834"/>
      <c r="ED351" s="1834"/>
      <c r="EF351" s="1707"/>
      <c r="EG351" s="1712"/>
      <c r="EH351" s="1818"/>
      <c r="EI351" s="1712"/>
      <c r="EJ351" s="1712"/>
      <c r="EK351" s="1836"/>
      <c r="EL351" s="1836"/>
      <c r="EM351" s="1807"/>
      <c r="EN351" s="1839"/>
      <c r="EO351" s="1839"/>
      <c r="EP351" s="1817"/>
      <c r="EQ351" s="1817"/>
      <c r="ER351" s="1807"/>
      <c r="ES351" s="1807"/>
      <c r="ET351" s="1807"/>
      <c r="EV351" s="1715"/>
      <c r="EX351" s="1805" t="str">
        <f>IFERROR(VLOOKUP(CS351,'Space Table'!$B$3:$L$163,8,FALSE),"")</f>
        <v/>
      </c>
      <c r="EY351" s="1805" t="str">
        <f>IFERROR(IF(FB351="Yes",VLOOKUP(AG351,Lookup_Control_Type_Table2,4,FALSE),VLOOKUP(AG351,Lookup_Control_Type_Table2,3,FALSE)),"")</f>
        <v/>
      </c>
      <c r="EZ351" s="1805" t="e">
        <f>VLOOKUP(AG351,Lookup!BB$3:BC$20,2,FALSE)</f>
        <v>#N/A</v>
      </c>
      <c r="FA351" s="1805" t="e">
        <f>VLOOKUP(EX349,Lookup_Control_Type_Table,2,FALSE)</f>
        <v>#N/A</v>
      </c>
      <c r="FB351" s="1805" t="e">
        <f>VLOOKUP(CS351,'Space Table'!$B$3:$L$163,7,FALSE)</f>
        <v>#N/A</v>
      </c>
      <c r="FC351" s="1827"/>
      <c r="FE351" s="1698" t="str">
        <f>CONCATENATE(CQ349," - ",AG351)</f>
        <v xml:space="preserve"> - </v>
      </c>
      <c r="FG351" s="1816"/>
      <c r="FH351" s="1816"/>
      <c r="FI351" s="133"/>
      <c r="FL351" s="1822" t="str">
        <f>IF(CQ349="Exterior","Not Daylighted",G352)</f>
        <v>Not Daylighted</v>
      </c>
      <c r="FM351" s="1824">
        <f>VLOOKUP(FL351,_New_Daylight_Table_Codes,2,FALSE)</f>
        <v>0</v>
      </c>
      <c r="FN351" s="1698">
        <f>AG351</f>
        <v>0</v>
      </c>
      <c r="FO351" s="1698" t="e">
        <f>VLOOKUP(FN351,_Control_Table,2,FALSE)</f>
        <v>#N/A</v>
      </c>
      <c r="FP351" s="1678" t="e">
        <f>VLOOKUP(CONCATENATE(FL351," ",FN351),Lookup!AY$102:AZ362,2,FALSE)</f>
        <v>#N/A</v>
      </c>
      <c r="FQ351" s="1698">
        <f>IF(__Retrofit_TI_NC=0,FN351,IF(AND(FT351&gt;0,FN351="Occupancy Sensor"),"Daylight + Occupancy",IF(AND(FT351&gt;0,FO351&lt;4),"Interior Daylight Dimming",FN351)))</f>
        <v>0</v>
      </c>
      <c r="FS351" s="1686">
        <f>IF(CQ349="Interior",VLOOKUP(CS349,Control_Savings_Interior,5,FALSE),0)</f>
        <v>0</v>
      </c>
      <c r="FT351" s="1687">
        <f>IF(CQ351="Exterior",0,IF(FM351=2,0.5,IF(OR(FM351=1,FM351=3),1,0)))</f>
        <v>0</v>
      </c>
      <c r="FU351" s="1685">
        <f>IF(R350&gt;FS$44,(FS351*(FS$44/R350)),FS351)*FT351</f>
        <v>0</v>
      </c>
      <c r="FV351" s="1686">
        <f>DI351</f>
        <v>0</v>
      </c>
      <c r="FW351" s="1686">
        <f>ROUND(FV351+((1-FV351)*FU351),2)</f>
        <v>0</v>
      </c>
      <c r="FX351" s="1686">
        <f>IF(__Retrofit_TI_NC=2,FW351,FV351)</f>
        <v>0</v>
      </c>
      <c r="FY351" s="1697">
        <f>IF(CR351="Interior",VLOOKUP(CS351,Control_Savings_Interior,4,FALSE),0)</f>
        <v>0</v>
      </c>
      <c r="GA351" s="1696"/>
      <c r="GB351" s="1696"/>
      <c r="GC351" s="1696"/>
      <c r="GD351" s="1696"/>
      <c r="GE351" s="1696"/>
      <c r="GF351" s="1696"/>
      <c r="GG351" s="1696"/>
      <c r="GH351" s="1696"/>
      <c r="GI351" s="673" t="b">
        <f>IF(ISNUMBER(SEARCH("TLED",U351)),TRUE,FALSE)</f>
        <v>0</v>
      </c>
      <c r="GJ351" s="1135" t="str">
        <f>IFERROR(VLOOKUP(U351,Fixtures!DM$93:DR$142,6,FALSE),"")</f>
        <v/>
      </c>
      <c r="GK351" s="1832"/>
      <c r="GM351" s="1692"/>
      <c r="GN351" s="1684"/>
      <c r="GP351" s="1684"/>
      <c r="GQ351" s="1684"/>
      <c r="HG351" s="1684"/>
      <c r="HH351" s="1684"/>
      <c r="HI351" s="1684"/>
      <c r="HJ351" s="1684"/>
      <c r="HK351" s="1684"/>
      <c r="HL351" s="1684"/>
      <c r="HM351" s="1684"/>
      <c r="HN351" s="1683"/>
      <c r="HO351" s="1692"/>
      <c r="HP351" s="1692"/>
      <c r="HQ351" s="1670"/>
      <c r="HR351" s="1684"/>
      <c r="HS351" s="1684"/>
      <c r="HT351" s="1670"/>
      <c r="HU351" s="1684"/>
      <c r="HV351" s="1684"/>
      <c r="HW351" s="1684"/>
      <c r="HX351" s="1684"/>
      <c r="HY351" s="1684"/>
      <c r="HZ351" s="1684"/>
      <c r="IB351" s="1692"/>
      <c r="IC351" s="1693" t="b">
        <f>IB349</f>
        <v>0</v>
      </c>
      <c r="ID351" s="1695"/>
      <c r="IE351" s="391"/>
      <c r="IF351" s="1688"/>
      <c r="IG351" s="1689">
        <f ca="1">IF(IF349=TRUE,AC352,0)</f>
        <v>0</v>
      </c>
      <c r="IH351" s="1684"/>
      <c r="IK351" s="1689" t="e">
        <f>ROUND(T351*AB352*N350*R350/1000,0)</f>
        <v>#VALUE!</v>
      </c>
      <c r="IL351" s="1691"/>
      <c r="IM351" s="1693" t="e">
        <f>ROUND(T351*AB352*N350*R350/1000,0)</f>
        <v>#VALUE!</v>
      </c>
      <c r="IN351" s="1691"/>
      <c r="IP351" s="1679"/>
      <c r="IQ351" s="1679" t="e">
        <f t="shared" ref="IQ351:IU351" si="307">IF($CR351="interior",VLOOKUP($CS351,_New_Control_Savings_Interior,IQ$30,FALSE),VLOOKUP($CS351,Control_Savings_Exterior,IQ$30,FALSE))</f>
        <v>#N/A</v>
      </c>
      <c r="IR351" s="1679" t="e">
        <f t="shared" si="307"/>
        <v>#N/A</v>
      </c>
      <c r="IS351" s="1679" t="e">
        <f t="shared" si="307"/>
        <v>#N/A</v>
      </c>
      <c r="IT351" s="1679" t="e">
        <f t="shared" si="307"/>
        <v>#N/A</v>
      </c>
      <c r="IU351" s="1679" t="e">
        <f t="shared" si="307"/>
        <v>#N/A</v>
      </c>
      <c r="IV351" s="1679" t="e">
        <f>IF($CR351="interior",IF(R350&gt;$IP$14,ROUND(($IV$18*($IP$14/R350)),2),$IV$18),VLOOKUP($CS351,Control_Savings_Exterior,IV$30,FALSE))</f>
        <v>#N/A</v>
      </c>
      <c r="IW351" s="1679" t="e">
        <f>IF($CR351="interior",ROUND(((1-IS351)*IV351)+IS351,2),VLOOKUP($CS351,Control_Savings_Exterior,IW$30,FALSE))</f>
        <v>#N/A</v>
      </c>
      <c r="IX351" s="1679" t="e">
        <f>IF($CR351="interior",ROUND(((1-IT351)*IV351)+IT351,2),VLOOKUP($CS351,Control_Savings_Exterior,IX$30,FALSE))</f>
        <v>#N/A</v>
      </c>
      <c r="IY351" s="1679" t="e">
        <f>IF($CR351="interior",IF(R350&gt;$IP$14,ROUND(($IY$18*($IP$14/R350)),2),$IY$18),VLOOKUP($CS351,Control_Savings_Exterior,IY$30,FALSE))</f>
        <v>#N/A</v>
      </c>
      <c r="IZ351" s="1679" t="e">
        <f>IF($CR351="interior",ROUND(((1-IS351)*IY351)+IS351,2),VLOOKUP($CS351,Control_Savings_Exterior,IZ$30,FALSE))</f>
        <v>#N/A</v>
      </c>
      <c r="JA351" s="1679" t="e">
        <f>IF($CR351="interior",ROUND(((1-IT351)*IY351)+IT351,2),VLOOKUP($CS351,Control_Savings_Exterior,JA$30,FALSE))</f>
        <v>#N/A</v>
      </c>
      <c r="JC351" s="1680">
        <f>IFERROR(IF(CR351="Interior",CONCATENATE(G352," ",FQ351),AG351),"")</f>
        <v>0</v>
      </c>
      <c r="JD351" s="1670" t="str">
        <f>IFERROR(VLOOKUP(JC351,_Controls_2023,2,FALSE),"")</f>
        <v/>
      </c>
      <c r="JE351" s="1681">
        <f>IFERROR(CHOOSE(JD351-1,IQ351,IR351,IS351,IT351,IU351,IV351,IW351,IX351,IY351,IZ351,JA351),0)</f>
        <v>0</v>
      </c>
      <c r="JG351" s="1680" t="str">
        <f>FE351</f>
        <v xml:space="preserve"> - </v>
      </c>
      <c r="JH351" s="1670" t="e">
        <f>$FO351</f>
        <v>#N/A</v>
      </c>
      <c r="JI351" s="1060"/>
      <c r="JJ351" s="1670">
        <f>IFERROR(IF($IB349=TRUE,IF(OR(JJ$14="No",JJ349=FALSE,JH351&lt;=JH349,AND(_kWh_Grant=0,GD349=FALSE)),0,IF(JJ$8="Per Line",1,$AF351)),0),0)</f>
        <v>0</v>
      </c>
      <c r="JK351" s="1061"/>
      <c r="JL351" s="1670">
        <f>IFERROR(IF(_kWh_Grant=0,0,IF($IB349=TRUE,IF(OR(JL$14="No",JL349=FALSE,JH351&lt;=JH349),0,IF(JL$8="Per Line",1,$T351)),0)),0)</f>
        <v>0</v>
      </c>
      <c r="JM351" s="1061"/>
      <c r="JN351" s="1670">
        <f>IFERROR(IF(_kWh_Grant=0,0,IF($IB349=TRUE,IF(OR(JN$14="No",JN349=FALSE,JH351&lt;=JH349),0,IF(JN$8="Per Line",1,$AF351)),0)),0)</f>
        <v>0</v>
      </c>
      <c r="JO351" s="1061"/>
      <c r="JP351" s="1670">
        <f>IFERROR(IF(__Retrofit_TI_NC=0,IF(_kWh_Grant=0,0,IF($IB349=TRUE,IF(OR(JP$14="No",JP349=FALSE,$JH351&lt;=$JH349),0,IF(JP$8="Per Line",1,$AF351)),0)),IF($IB349=TRUE,IF(OR(JP$14="No",JP349=FALSE,$JH351&lt;=$JH349),0,IF(JP$8="Per Line",1,$AF351)))),0)</f>
        <v>0</v>
      </c>
      <c r="JQ351" s="1061"/>
      <c r="JR351" s="1670">
        <f>IFERROR(IF(__Retrofit_TI_NC=0,IF(_kWh_Grant=0,0,IF($IB349=TRUE,IF(OR(JR$14="No",JR349=FALSE,$JH351&lt;=$JH349),0,IF(JR$8="Per Line",1,$AF351)),0)),IF($IB349=TRUE,IF(OR(JR$14="No",JR349=FALSE,$JH351&lt;=$JH349),0,IF(JR$8="Per Line",1,$AF351)))),0)</f>
        <v>0</v>
      </c>
      <c r="JS351" s="1061"/>
      <c r="JT351" s="1670">
        <f>IFERROR(IF(__Retrofit_TI_NC=0,IF(_kWh_Grant=0,0,IF($IB349=TRUE,IF(OR(JT$14="No",JT349=FALSE,$JH351&lt;=$JH349),0,IF(JT$8="Per Line",1,$AF351)),0)),IF($IB349=TRUE,IF(OR(JT$14="No",JT349=FALSE,$JH351&lt;=$JH349),0,IF(JT$8="Per Line",1,$AF351)))),0)</f>
        <v>0</v>
      </c>
      <c r="JU351" s="1061"/>
      <c r="JV351" s="1670">
        <f>IFERROR(IF(__Retrofit_TI_NC=0,IF(_kWh_Grant=0,0,IF($IB349=TRUE,IF(OR(JV$14="No",JV349=FALSE,$JH351&lt;=$JH349),0,IF(JV$8="Per Line",1,$AF351)),0)),IF($IB349=TRUE,IF(OR(JV$14="No",JV349=FALSE,$JH351&lt;=$JH349),0,IF(JV$8="Per Line",1,$AF351)))),0)</f>
        <v>0</v>
      </c>
      <c r="JX351" s="1670">
        <f>IFERROR(IF(__Retrofit_TI_NC=0,IF(_kWh_Grant=0,0,IF($IB349=TRUE,IF(OR(JX$14="No",JX349=FALSE,$JH351&lt;=$JH349),0,IF(JX$8="Per Line",1,$AF351)),0)),IF($IB349=TRUE,IF(OR(JX$14="No",JX349=FALSE,$JH351&lt;=$JH349),0,IF(JX$8="Per Line",1,$AF351)))),0)</f>
        <v>0</v>
      </c>
      <c r="JZ351" s="1670">
        <f>IFERROR(IF($IB349=TRUE,IF(OR(JZ$14="No",JZ349=FALSE,$JH351&lt;=$JH349,AND(_kWh_Grant=0,$GD349=FALSE)),0,IF(JZ$8="Per Line",1,$AF351)),0),0)</f>
        <v>0</v>
      </c>
      <c r="KB351" s="1670">
        <f>IFERROR(IF(__Retrofit_TI_NC=0,IF(_kWh_Grant=0,0,IF($IB349=TRUE,IF(OR(KB$14="No",KB349=FALSE,$JH351&lt;=$JH349),0,IF(KB$8="Per Line",1,$AF351)),0)),IF($IB349=TRUE,IF(OR(KB$14="No",KB349=FALSE,$JH351&lt;=$JH349),0,IF(KB$8="Per Line",1,$AF351)))),0)</f>
        <v>0</v>
      </c>
    </row>
    <row r="352" spans="1:288" s="78" customFormat="1" ht="14.95" customHeight="1" thickTop="1" thickBot="1">
      <c r="B352" s="1845"/>
      <c r="C352" s="1846"/>
      <c r="D352" s="1847"/>
      <c r="E352" s="1771" t="s">
        <v>436</v>
      </c>
      <c r="F352" s="1772"/>
      <c r="G352" s="1784" t="s">
        <v>437</v>
      </c>
      <c r="H352" s="1785"/>
      <c r="I352" s="1785"/>
      <c r="J352" s="1785"/>
      <c r="K352" s="1785"/>
      <c r="L352" s="1786"/>
      <c r="M352" s="591">
        <f>IFERROR(VLOOKUP(G352,_Daylight_Table[],2,FALSE),0)</f>
        <v>0</v>
      </c>
      <c r="N352" s="592" t="str">
        <f>IF(AND(__Retrofit_TI_NC&gt;0,CQ349="Interior"),"BAM","")</f>
        <v/>
      </c>
      <c r="O352" s="591" t="e">
        <f>VLOOKUP(G351,'Space Table'!$B$3:$L$163,11,FALSE)</f>
        <v>#N/A</v>
      </c>
      <c r="P352" s="1789"/>
      <c r="Q352" s="1790"/>
      <c r="R352" s="1790"/>
      <c r="S352" s="1788"/>
      <c r="T352" s="593" t="s">
        <v>342</v>
      </c>
      <c r="U352" s="1756" t="str" cm="1">
        <f t="array" aca="1" ref="U352" ca="1">IFERROR(VLOOKUP(INDIRECT("U" &amp; ROW()-1),Fixtures!DM$93:DP$142,4,FALSE),"")</f>
        <v/>
      </c>
      <c r="V352" s="1757"/>
      <c r="W352" s="1757"/>
      <c r="X352" s="1757"/>
      <c r="Y352" s="1757"/>
      <c r="Z352" s="1757"/>
      <c r="AA352" s="1758"/>
      <c r="AB352" s="939" t="str">
        <f>IFERROR(VLOOKUP(U351,Fixtures_Proposed_List,2,FALSE),"")</f>
        <v/>
      </c>
      <c r="AC352" s="933" t="str">
        <f>IFERROR(ROUND(T351*AB352*N350*R350/1000,0),"")</f>
        <v/>
      </c>
      <c r="AD352" s="934" t="str">
        <f>IFERROR(ROUND(T351*AB352/1000,2),"")</f>
        <v/>
      </c>
      <c r="AE352" s="998"/>
      <c r="AF352" s="938" t="s">
        <v>342</v>
      </c>
      <c r="AG352" s="1770"/>
      <c r="AH352" s="1770"/>
      <c r="AI352" s="1770"/>
      <c r="AJ352" s="1770"/>
      <c r="AK352" s="1770"/>
      <c r="AL352" s="1770"/>
      <c r="AM352" s="1727"/>
      <c r="AN352" s="1729"/>
      <c r="AO352" s="1731"/>
      <c r="AP352" s="1782"/>
      <c r="AQ352" s="1783"/>
      <c r="AR352" s="1797"/>
      <c r="AS352" s="1797"/>
      <c r="AT352" s="1798"/>
      <c r="AU352" s="1736"/>
      <c r="AV352" s="1753"/>
      <c r="AW352" s="1706"/>
      <c r="AX352" s="468"/>
      <c r="AY352" s="1750"/>
      <c r="AZ352" s="1750"/>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696"/>
      <c r="CQ352" s="1696"/>
      <c r="CR352" s="1809"/>
      <c r="CS352" s="1811"/>
      <c r="CU352" s="1688"/>
      <c r="CV352" s="1703"/>
      <c r="CW352" s="1703"/>
      <c r="CX352" s="1813"/>
      <c r="CY352" s="1815"/>
      <c r="CZ352" s="1711"/>
      <c r="DA352" s="1815"/>
      <c r="DB352" s="1821"/>
      <c r="DC352" s="1821"/>
      <c r="DD352" s="1821"/>
      <c r="DF352" s="1703"/>
      <c r="DG352" s="1831"/>
      <c r="DH352" s="1813"/>
      <c r="DI352" s="1838"/>
      <c r="DJ352" s="1711"/>
      <c r="DK352" s="1712"/>
      <c r="DN352" s="1718"/>
      <c r="DO352" s="1709"/>
      <c r="DQ352" s="1715"/>
      <c r="DR352" s="1720"/>
      <c r="DS352" s="1703"/>
      <c r="DT352" s="1714"/>
      <c r="DU352" s="1715"/>
      <c r="DV352" s="1716"/>
      <c r="DX352" s="1715"/>
      <c r="DY352" s="1720"/>
      <c r="DZ352" s="1715"/>
      <c r="EA352" s="1715"/>
      <c r="EC352" s="1834"/>
      <c r="ED352" s="1834"/>
      <c r="EF352" s="1707"/>
      <c r="EG352" s="1712"/>
      <c r="EH352" s="1815"/>
      <c r="EI352" s="1712"/>
      <c r="EJ352" s="1712"/>
      <c r="EK352" s="1813"/>
      <c r="EL352" s="1813"/>
      <c r="EM352" s="1807"/>
      <c r="EN352" s="1839"/>
      <c r="EO352" s="1839"/>
      <c r="EP352" s="1817"/>
      <c r="EQ352" s="1817"/>
      <c r="ER352" s="1807"/>
      <c r="ES352" s="1807"/>
      <c r="ET352" s="1807"/>
      <c r="EV352" s="1715"/>
      <c r="EX352" s="1806"/>
      <c r="EY352" s="1806"/>
      <c r="EZ352" s="1806"/>
      <c r="FA352" s="1806"/>
      <c r="FB352" s="1806"/>
      <c r="FC352" s="1828"/>
      <c r="FE352" s="1698"/>
      <c r="FG352" s="1703"/>
      <c r="FH352" s="1703"/>
      <c r="FI352" s="133"/>
      <c r="FL352" s="1823"/>
      <c r="FM352" s="1825"/>
      <c r="FN352" s="1698"/>
      <c r="FO352" s="1698"/>
      <c r="FP352" s="1678"/>
      <c r="FQ352" s="1698"/>
      <c r="FS352" s="1687"/>
      <c r="FT352" s="1687"/>
      <c r="FU352" s="1685"/>
      <c r="FV352" s="1687"/>
      <c r="FW352" s="1687"/>
      <c r="FX352" s="1687"/>
      <c r="FY352" s="1697"/>
      <c r="GA352" s="1696"/>
      <c r="GB352" s="1696"/>
      <c r="GC352" s="1696"/>
      <c r="GD352" s="1696"/>
      <c r="GE352" s="1696"/>
      <c r="GF352" s="1696"/>
      <c r="GG352" s="1696"/>
      <c r="GH352" s="1696"/>
      <c r="GI352" s="673"/>
      <c r="GJ352" s="1135"/>
      <c r="GK352" s="1832"/>
      <c r="GN352" s="674">
        <f>IF(GN350=TRUE,0,GN$16)</f>
        <v>0</v>
      </c>
      <c r="GP352" s="674">
        <f>IF(GP350=TRUE,0,GP$16)</f>
        <v>36</v>
      </c>
      <c r="GQ352" s="674">
        <f ca="1">IF(GQ350=TRUE,0,GQ$16)</f>
        <v>35</v>
      </c>
      <c r="GR352" s="391"/>
      <c r="GS352" s="391"/>
      <c r="GT352" s="391"/>
      <c r="GU352" s="391"/>
      <c r="GV352" s="391"/>
      <c r="HG352" s="674">
        <f>IF(HG350=TRUE,0,HG$16)</f>
        <v>0</v>
      </c>
      <c r="HH352" s="674">
        <f t="shared" ref="HH352:HM352" si="308">IF(HH350=TRUE,0,HH$16)</f>
        <v>19</v>
      </c>
      <c r="HI352" s="674">
        <f t="shared" si="308"/>
        <v>18</v>
      </c>
      <c r="HJ352" s="674">
        <f t="shared" si="308"/>
        <v>17</v>
      </c>
      <c r="HK352" s="674">
        <f t="shared" si="308"/>
        <v>16</v>
      </c>
      <c r="HL352" s="674">
        <f t="shared" si="308"/>
        <v>0</v>
      </c>
      <c r="HM352" s="674">
        <f t="shared" si="308"/>
        <v>0</v>
      </c>
      <c r="HN352" s="674">
        <f>IF(HN350=TRUE,0,HN$16)</f>
        <v>13</v>
      </c>
      <c r="HO352" s="674">
        <f t="shared" ref="HO352:HQ352" si="309">IF(HO350=TRUE,0,HO$16)</f>
        <v>0</v>
      </c>
      <c r="HP352" s="674">
        <f t="shared" si="309"/>
        <v>0</v>
      </c>
      <c r="HQ352" s="674">
        <f t="shared" si="309"/>
        <v>10</v>
      </c>
      <c r="HR352" s="674">
        <f>IF(HR350=TRUE,0,HR$16)</f>
        <v>9</v>
      </c>
      <c r="HS352" s="674">
        <f t="shared" ref="HS352:HW352" si="310">IF(HS350=TRUE,0,HS$16)</f>
        <v>0</v>
      </c>
      <c r="HT352" s="674">
        <f t="shared" si="310"/>
        <v>0</v>
      </c>
      <c r="HU352" s="674">
        <f t="shared" si="310"/>
        <v>0</v>
      </c>
      <c r="HV352" s="674">
        <f t="shared" si="310"/>
        <v>0</v>
      </c>
      <c r="HW352" s="674">
        <f t="shared" si="310"/>
        <v>0</v>
      </c>
      <c r="HX352" s="674">
        <f>IF(HX350=TRUE,0,HX$16)</f>
        <v>0</v>
      </c>
      <c r="HY352" s="674">
        <f>IF(HY350=TRUE,0,HY$16)</f>
        <v>0</v>
      </c>
      <c r="HZ352" s="674">
        <f>IF(HZ350=TRUE,0,HZ$16)</f>
        <v>1</v>
      </c>
      <c r="IB352" s="674">
        <f>IF(GP350=FALSE,GP352,IF(GQ350=FALSE,GQ352,MAX(GN352:HZ352)))</f>
        <v>36</v>
      </c>
      <c r="IC352" s="1692"/>
      <c r="ID352" s="205" t="str">
        <f>VLOOKUP(IB352,_Error_Table,3,FALSE)</f>
        <v xml:space="preserve"> </v>
      </c>
      <c r="IE352" s="205"/>
      <c r="IF352" s="1688"/>
      <c r="IG352" s="1689"/>
      <c r="IH352" s="1684"/>
      <c r="IK352" s="1689"/>
      <c r="IL352" s="1692"/>
      <c r="IM352" s="1692"/>
      <c r="IN352" s="1692"/>
      <c r="IP352" s="1679"/>
      <c r="IQ352" s="1679"/>
      <c r="IR352" s="1679"/>
      <c r="IS352" s="1679"/>
      <c r="IT352" s="1679"/>
      <c r="IU352" s="1679"/>
      <c r="IV352" s="1679"/>
      <c r="IW352" s="1679"/>
      <c r="IX352" s="1679"/>
      <c r="IY352" s="1679"/>
      <c r="IZ352" s="1679"/>
      <c r="JA352" s="1679"/>
      <c r="JC352" s="1680"/>
      <c r="JD352" s="1670"/>
      <c r="JE352" s="1681"/>
      <c r="JG352" s="1680"/>
      <c r="JH352" s="1670"/>
      <c r="JI352" s="1060"/>
      <c r="JJ352" s="1670"/>
      <c r="JK352" s="1061"/>
      <c r="JL352" s="1670"/>
      <c r="JM352" s="1061"/>
      <c r="JN352" s="1670"/>
      <c r="JO352" s="1061"/>
      <c r="JP352" s="1670"/>
      <c r="JQ352" s="1061"/>
      <c r="JR352" s="1670"/>
      <c r="JS352" s="1061"/>
      <c r="JT352" s="1670"/>
      <c r="JU352" s="1061"/>
      <c r="JV352" s="1670"/>
      <c r="JX352" s="1670"/>
      <c r="JZ352" s="1670"/>
      <c r="KB352" s="1670"/>
    </row>
    <row r="353" spans="1:288" s="78" customFormat="1" ht="5.0999999999999996" customHeight="1">
      <c r="B353" s="676"/>
      <c r="C353" s="392"/>
      <c r="D353" s="392"/>
      <c r="E353" s="1733"/>
      <c r="F353" s="1733"/>
      <c r="G353" s="1733"/>
      <c r="H353" s="1733"/>
      <c r="I353" s="1733"/>
      <c r="J353" s="1733"/>
      <c r="K353" s="1733"/>
      <c r="L353" s="1733"/>
      <c r="M353" s="1733"/>
      <c r="N353" s="1733"/>
      <c r="O353" s="1733"/>
      <c r="P353" s="1733"/>
      <c r="Q353" s="1733"/>
      <c r="R353" s="1733"/>
      <c r="S353" s="1733"/>
      <c r="T353" s="1733"/>
      <c r="U353" s="1733"/>
      <c r="V353" s="1733"/>
      <c r="W353" s="1733"/>
      <c r="X353" s="1733"/>
      <c r="Y353" s="1733"/>
      <c r="Z353" s="1733"/>
      <c r="AA353" s="1733"/>
      <c r="AB353" s="1733"/>
      <c r="AC353" s="1733"/>
      <c r="AD353" s="1733"/>
      <c r="AE353" s="1733"/>
      <c r="AF353" s="1733"/>
      <c r="AG353" s="1733"/>
      <c r="AH353" s="1733"/>
      <c r="AI353" s="1733"/>
      <c r="AJ353" s="1733"/>
      <c r="AK353" s="1733"/>
      <c r="AL353" s="1733"/>
      <c r="AM353" s="1733"/>
      <c r="AN353" s="1733"/>
      <c r="AO353" s="1733"/>
      <c r="AP353" s="1733"/>
      <c r="AQ353" s="1733"/>
      <c r="AR353" s="1733"/>
      <c r="AS353" s="1733"/>
      <c r="AT353" s="1733"/>
      <c r="AU353" s="1733"/>
      <c r="AV353" s="1733"/>
      <c r="AW353" s="1733"/>
      <c r="AX353" s="469"/>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663"/>
      <c r="CQ353" s="663"/>
      <c r="CR353" s="438"/>
      <c r="CS353" s="663"/>
      <c r="CV353" s="391"/>
      <c r="CW353" s="391"/>
      <c r="CX353" s="207"/>
      <c r="CY353" s="208"/>
      <c r="CZ353" s="208"/>
      <c r="DA353" s="208"/>
      <c r="DB353" s="209"/>
      <c r="DC353" s="209"/>
      <c r="DD353" s="209"/>
      <c r="DF353" s="664"/>
      <c r="DG353" s="665"/>
      <c r="DH353" s="666"/>
      <c r="DI353" s="667"/>
      <c r="DJ353" s="668"/>
      <c r="DK353" s="668"/>
      <c r="DN353" s="208"/>
      <c r="DO353" s="664"/>
      <c r="DQ353" s="664"/>
      <c r="DR353" s="669"/>
      <c r="DS353" s="391"/>
      <c r="DT353" s="664"/>
      <c r="DU353" s="664"/>
      <c r="DV353" s="664"/>
      <c r="DX353" s="664"/>
      <c r="DY353" s="664"/>
      <c r="DZ353" s="664"/>
      <c r="EA353" s="664"/>
      <c r="EC353" s="670"/>
      <c r="ED353" s="670"/>
      <c r="EF353" s="668"/>
      <c r="EG353" s="668"/>
      <c r="EH353" s="208"/>
      <c r="EI353" s="668"/>
      <c r="EJ353" s="668"/>
      <c r="EK353" s="207"/>
      <c r="EL353" s="207"/>
      <c r="EM353" s="666"/>
      <c r="EN353" s="671"/>
      <c r="EO353" s="671"/>
      <c r="EP353" s="672"/>
      <c r="EQ353" s="672"/>
      <c r="ER353" s="666"/>
      <c r="ES353" s="666"/>
      <c r="ET353" s="666"/>
      <c r="EV353" s="664"/>
      <c r="EX353" s="391"/>
      <c r="EY353" s="391"/>
      <c r="EZ353" s="391"/>
      <c r="FA353" s="391"/>
      <c r="FB353" s="391"/>
      <c r="FC353" s="391"/>
      <c r="FE353" s="569"/>
      <c r="FG353" s="391"/>
      <c r="FH353" s="391"/>
      <c r="FI353" s="391"/>
      <c r="FS353" s="664"/>
      <c r="FT353" s="391"/>
      <c r="FU353" s="391"/>
      <c r="FV353" s="664"/>
      <c r="FW353" s="664"/>
      <c r="GA353" s="663"/>
      <c r="GB353" s="663"/>
      <c r="GC353" s="663"/>
      <c r="GD353" s="663"/>
      <c r="GE353" s="663"/>
      <c r="GF353" s="663"/>
      <c r="GG353" s="663"/>
      <c r="GH353" s="663"/>
      <c r="GI353" s="665"/>
      <c r="GJ353" s="664"/>
      <c r="GK353" s="664"/>
    </row>
    <row r="354" spans="1:288" s="78" customFormat="1" ht="14.95" customHeight="1">
      <c r="B354" s="1845" t="str">
        <f>ID357</f>
        <v xml:space="preserve"> </v>
      </c>
      <c r="C354" s="1846">
        <f>C349+1</f>
        <v>60</v>
      </c>
      <c r="D354" s="1847"/>
      <c r="E354" s="1799" t="s">
        <v>295</v>
      </c>
      <c r="F354" s="1800"/>
      <c r="G354" s="1741"/>
      <c r="H354" s="1742"/>
      <c r="I354" s="1742"/>
      <c r="J354" s="1742"/>
      <c r="K354" s="1742"/>
      <c r="L354" s="1742"/>
      <c r="M354" s="1742"/>
      <c r="N354" s="1742"/>
      <c r="O354" s="1742"/>
      <c r="P354" s="1742"/>
      <c r="Q354" s="1742"/>
      <c r="R354" s="1742"/>
      <c r="S354" s="1791" t="s">
        <v>344</v>
      </c>
      <c r="T354" s="590"/>
      <c r="U354" s="1743"/>
      <c r="V354" s="1744"/>
      <c r="W354" s="1744"/>
      <c r="X354" s="1744"/>
      <c r="Y354" s="1744"/>
      <c r="Z354" s="1744"/>
      <c r="AA354" s="1744"/>
      <c r="AB354" s="961" t="str">
        <f>IFERROR(IF(__Retrofit_TI_NC=0,VLOOKUP(U355,Fixtures_Existing_List,2,FALSE),ROUND(N356*R356/T356,10)),"")</f>
        <v/>
      </c>
      <c r="AC354" s="935" t="str">
        <f>IFERROR(IF(__Retrofit_TI_NC=0,ROUND(T355*AB354*N355*R355/1000,0),IF(CQ354="Interior",N356*R356*R355*N355*_C406_reduction/1000,N356*R356*R355*N355/1000)),"")</f>
        <v/>
      </c>
      <c r="AD354" s="936" t="str">
        <f>IFERROR(IF(C$43=0,ROUND(T355*AB354/1000,2),N356*R356/1000),"")</f>
        <v/>
      </c>
      <c r="AE354" s="997"/>
      <c r="AF354" s="937"/>
      <c r="AG354" s="1745" t="str">
        <f>IF(__Retrofit_TI_NC=0," Control","Select Advanced Control for New System")</f>
        <v xml:space="preserve"> Control</v>
      </c>
      <c r="AH354" s="1745"/>
      <c r="AI354" s="1745"/>
      <c r="AJ354" s="1745"/>
      <c r="AK354" s="1745"/>
      <c r="AL354" s="1745"/>
      <c r="AM354" s="1746">
        <f>IFERROR(DI354,"")</f>
        <v>0</v>
      </c>
      <c r="AN354" s="1774" t="str">
        <f>IFERROR(ROUND(AM354*AC354,0),"")</f>
        <v/>
      </c>
      <c r="AO354" s="1776">
        <f>IFERROR(IF(IB354=FALSE,0,AC354-AN354),0)</f>
        <v>0</v>
      </c>
      <c r="AP354" s="1778">
        <f>AO354-AO356</f>
        <v>0</v>
      </c>
      <c r="AQ354" s="1779"/>
      <c r="AR354" s="1793">
        <f>IFERROR(IF(IB354=FALSE,0,(T356*U357)+(AF356*AG357)),0)</f>
        <v>0</v>
      </c>
      <c r="AS354" s="1793"/>
      <c r="AT354" s="1794"/>
      <c r="AU354" s="1734" t="s">
        <v>237</v>
      </c>
      <c r="AV354" s="1751">
        <f>IF(AU354="Yes",1,0)</f>
        <v>1</v>
      </c>
      <c r="AW354" s="1704" t="str">
        <f>IF(OR(DQ354=4,DQ354=5,DQ354=6,DQ354=12),CONCATENATE("$",IF(GH354=TRUE,Lookup!$K$10,Lookup!$K$2)," /lamp"),CONCATENATE(TEXT(ED354,"$0.00"),"/ kWh"))</f>
        <v>$0.00/ kWh</v>
      </c>
      <c r="AX354" s="467"/>
      <c r="AY354" s="1748">
        <f ca="1">IFERROR(IF(GM355=TRUE,(AB357*T356)/R356,0),"NA")</f>
        <v>0</v>
      </c>
      <c r="AZ354" s="1748"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696" t="str">
        <f>N355</f>
        <v/>
      </c>
      <c r="CQ354" s="1696" t="str">
        <f>IFERROR(VLOOKUP(G355,_Lookup_Heat_Type_Table_New,3,FALSE),"")</f>
        <v/>
      </c>
      <c r="CR354" s="1808" t="str">
        <f>CQ354</f>
        <v/>
      </c>
      <c r="CS354" s="1810" t="str">
        <f>IFERROR(VLOOKUP(G356,'Space Table'!$B$3:$L$163,9,FALSE),"")</f>
        <v/>
      </c>
      <c r="CU354" s="1688" t="s">
        <v>344</v>
      </c>
      <c r="CV354" s="1702">
        <f>IF(IB354=TRUE,T355,0)</f>
        <v>0</v>
      </c>
      <c r="CW354" s="1702" t="str">
        <f>IF(IB354=TRUE,U355,"")</f>
        <v/>
      </c>
      <c r="CX354" s="1702"/>
      <c r="CY354" s="1814">
        <f>IF(IB354=TRUE,AB354,0)</f>
        <v>0</v>
      </c>
      <c r="CZ354" s="1710">
        <f>IF(AND(__Retrofit_TI_NC&gt;0,CR354="interior"),0,IF(IB354=TRUE,AC354,0))</f>
        <v>0</v>
      </c>
      <c r="DA354" s="1814">
        <f>IFERROR(IF(IB354=TRUE,CZ354-CZ356,0),0)</f>
        <v>0</v>
      </c>
      <c r="DB354" s="1819">
        <f>IF(IB354=TRUE,AD354,0)</f>
        <v>0</v>
      </c>
      <c r="DC354" s="1819">
        <f>IF(IB354=TRUE,AD357,0)</f>
        <v>0</v>
      </c>
      <c r="DD354" s="1819">
        <f>IFERROR(DB354-DC354,0)</f>
        <v>0</v>
      </c>
      <c r="DF354" s="1702">
        <f>IF(IB354=TRUE,AF355,0)</f>
        <v>0</v>
      </c>
      <c r="DG354" s="1830">
        <f>IFERROR(IF(__Retrofit_TI_NC=2,IF(CQ354="Exterior",O357,FQ354),FN354),"")</f>
        <v>0</v>
      </c>
      <c r="DH354" s="1702"/>
      <c r="DI354" s="1837">
        <f>JE354</f>
        <v>0</v>
      </c>
      <c r="DJ354" s="1710">
        <f>IF(AND(__Retrofit_TI_NC&gt;0,CR354="interior"),0,IF(IB354=TRUE,AN354,0))</f>
        <v>0</v>
      </c>
      <c r="DK354" s="1712">
        <f>IFERROR(IF(IB354=TRUE,DJ356-DJ354,0),0)</f>
        <v>0</v>
      </c>
      <c r="DM354" s="1717">
        <f>IFERROR(CZ354-DJ354,0)</f>
        <v>0</v>
      </c>
      <c r="DO354" s="1708">
        <f>DM354-DN356</f>
        <v>0</v>
      </c>
      <c r="DQ354" s="1715" t="str">
        <f>IFERROR(IF(AND(OR(GC354=4,GC354=5,GC354=6),OR(GF354=4,GF354=5,GF354=6)),GC354+8,VLOOKUP(CW356,Fixtures!R$31:Y$78,8,FALSE)),"")</f>
        <v/>
      </c>
      <c r="DR354" s="1829" t="str">
        <f>DQ354</f>
        <v/>
      </c>
      <c r="DS354" s="1702" t="str">
        <f>IFERROR(VLOOKUP(DG356,Lookup!BB$3:BC$20,2,FALSE),"")</f>
        <v/>
      </c>
      <c r="DT354" s="1713" t="str">
        <f>IF(OR(DS354=7,DS354=8,DS354=9),"ALC","")</f>
        <v/>
      </c>
      <c r="DU354" s="1715">
        <f>IFERROR(IF(OR(DQ354=4,DQ354=5,DQ354=6,DQ354=12,DQ354=13,DQ354=14),VLOOKUP(CW356,Fixtures!DN$27:EG$77,19,FALSE),1)*CV356,0)</f>
        <v>0</v>
      </c>
      <c r="DV354" s="1716">
        <f>IF(OR(DS354=7,DS354=8,DS354=9),IF(DG354=DG356,0,DF356),0)</f>
        <v>0</v>
      </c>
      <c r="DX354" s="1715" t="str">
        <f>IFERROR(IF(EZ354&lt;EZ356,"Yes","No"),"")</f>
        <v/>
      </c>
      <c r="DY354" s="1829" t="str">
        <f>DX354</f>
        <v/>
      </c>
      <c r="DZ354" s="1715">
        <f>IF(DX354="Yes",DF356,0)</f>
        <v>0</v>
      </c>
      <c r="EA354" s="1715">
        <f>DZ354-DV354</f>
        <v>0</v>
      </c>
      <c r="EC354" s="1834">
        <f>IFERROR(VLOOKUP(DQ354,Lookup!AU$3:AV$16,2,FALSE),0)</f>
        <v>0</v>
      </c>
      <c r="ED354" s="1834">
        <f>IF(IB354=FALSE,0,IF(DX354="Yes",EC354+Lookup!K$6,EC354))</f>
        <v>0</v>
      </c>
      <c r="EF354" s="1707">
        <f>IF(IB354=TRUE,DM354,0)</f>
        <v>0</v>
      </c>
      <c r="EG354" s="1712">
        <f>IF(IB354=TRUE,CZ356,0)</f>
        <v>0</v>
      </c>
      <c r="EH354" s="1814">
        <f>IFERROR(EF354-EG354,0)</f>
        <v>0</v>
      </c>
      <c r="EI354" s="1712">
        <f>IF(IB354=TRUE,DJ356,0)</f>
        <v>0</v>
      </c>
      <c r="EJ354" s="1712">
        <f>IFERROR(EF354-EG354+EI354,0)</f>
        <v>0</v>
      </c>
      <c r="EK354" s="1812">
        <f>IF(IB354=TRUE,CV356*CX356,0)</f>
        <v>0</v>
      </c>
      <c r="EL354" s="1812">
        <f>IF(IB354=TRUE,DF356*DH356,0)</f>
        <v>0</v>
      </c>
      <c r="EM354" s="1807">
        <f>AR354</f>
        <v>0</v>
      </c>
      <c r="EN354" s="1839" t="str">
        <f>IFERROR(IF(IB354=TRUE,VLOOKUP(DQ354,Lookup!AU$3:AW$16,3,FALSE)*DU354,""),0)</f>
        <v/>
      </c>
      <c r="EO354" s="1839">
        <f>IF(IB354=TRUE,DZ354*Lookup!AW$12,0)</f>
        <v>0</v>
      </c>
      <c r="EP354" s="1817">
        <f>IFERROR(IF(IB354=TRUE,EN354/EP$40,0),0)</f>
        <v>0</v>
      </c>
      <c r="EQ354" s="1817">
        <f>IF(IB354=TRUE,EO354/EQ$40,0)</f>
        <v>0</v>
      </c>
      <c r="ER354" s="1807">
        <f>IF(IB354=TRUE,ET$40*EP354,0)</f>
        <v>0</v>
      </c>
      <c r="ES354" s="1807">
        <f>IF(IB354=TRUE,ET$40*EQ354,0)</f>
        <v>0</v>
      </c>
      <c r="ET354" s="1807">
        <f>ER354+ES354</f>
        <v>0</v>
      </c>
      <c r="EV354" s="1715">
        <f>IF(G354="",0,1)</f>
        <v>0</v>
      </c>
      <c r="EX354" s="1804" t="str">
        <f>IFERROR(VLOOKUP(CS356,'Space Table'!$B$3:$L$163,8,FALSE),"")</f>
        <v/>
      </c>
      <c r="EY354" s="1804" t="str">
        <f>IFERROR(IF(FB354="Yes",VLOOKUP(DG354,Lookup_Control_Type_Table2,4,FALSE),VLOOKUP(DG354,Lookup_Control_Type_Table2,3,FALSE)),"")</f>
        <v/>
      </c>
      <c r="EZ354" s="1804" t="e">
        <f>VLOOKUP(DG354,Lookup!BB$3:BC$20,2,FALSE)</f>
        <v>#N/A</v>
      </c>
      <c r="FA354" s="1804" t="e">
        <f>VLOOKUP(EX354,Lookup_Control_Type_Table,2,FALSE)</f>
        <v>#N/A</v>
      </c>
      <c r="FB354" s="1804" t="e">
        <f>VLOOKUP(CS356,'Space Table'!$B$3:$L$163,7,FALSE)</f>
        <v>#N/A</v>
      </c>
      <c r="FC354" s="1826" t="b">
        <f>ISNUMBER(SEARCH("TLED",U356))</f>
        <v>0</v>
      </c>
      <c r="FE354" s="1698" t="str">
        <f>CONCATENATE(CQ354," - ",DG354)</f>
        <v xml:space="preserve"> - 0</v>
      </c>
      <c r="FG354" s="1702" t="str">
        <f>VLOOKUP(CW356,Fixtures!DN$27:EZ$77,38,FALSE)</f>
        <v/>
      </c>
      <c r="FH354" s="1702">
        <f>IFERROR(FG354*EH354,0)</f>
        <v>0</v>
      </c>
      <c r="FI354" s="133"/>
      <c r="FL354" s="1822" t="str">
        <f>IF(CQ354="Exterior","Not Daylighted",G357)</f>
        <v>Not Daylighted</v>
      </c>
      <c r="FM354" s="1824">
        <f>VLOOKUP(FL354,_New_Daylight_Table_Codes,2,FALSE)</f>
        <v>0</v>
      </c>
      <c r="FN354" s="1698">
        <f>IF(__Retrofit_TI_NC&gt;0,VLOOKUP(G356,'Space Table'!$B$3:$L$163,11,FALSE),AG355)</f>
        <v>0</v>
      </c>
      <c r="FO354" s="1698" t="e">
        <f>IF(__Retrofit_TI_NC=2,VLOOKUP(FQ354,_Control_Table,2,FALSE),VLOOKUP(FN354,_Control_Table,2,FALSE))</f>
        <v>#N/A</v>
      </c>
      <c r="FP354" s="1678" t="e">
        <f>VLOOKUP(CONCATENATE(FL354," ",FN354),Lookup!AY$102:AZ364,2,FALSE)</f>
        <v>#N/A</v>
      </c>
      <c r="FQ354" s="1678">
        <f>IF(__Retrofit_TI_NC=0,FN354,IF(AND(FT354&gt;0,FN354="Occupancy Sensor"),"Daylight + Occupancy",IF(AND(FT354&gt;0,VLOOKUP(FN354,_Control_Table,2,FALSE)&lt;4),"Interior Daylight Dimming",FN354)))</f>
        <v>0</v>
      </c>
      <c r="FS354" s="1686">
        <f>IF(CR354="Interior",VLOOKUP(CS354,Control_Savings_Interior,5,FALSE),0)</f>
        <v>0</v>
      </c>
      <c r="FT354" s="1687">
        <f>IF(CQ354="Exterior",0,IF(FM354=2,0.5,IF(OR(FM354=1,FM354=3),1,0)))</f>
        <v>0</v>
      </c>
      <c r="FU354" s="1685">
        <f>IF(R353&gt;FS$44,(FS354*(FS$44/R353)),FS354)*FT354</f>
        <v>0</v>
      </c>
      <c r="FV354" s="1686">
        <f>DI354</f>
        <v>0</v>
      </c>
      <c r="FW354" s="1686">
        <f>ROUND(FV354+((1-FV354)*FU354),2)</f>
        <v>0</v>
      </c>
      <c r="FX354" s="1686">
        <f>IF(__Retrofit_TI_NC=2,FW354,FV354)</f>
        <v>0</v>
      </c>
      <c r="FY354" s="1697"/>
      <c r="GA354" s="1696" t="str">
        <f>IFERROR(VLOOKUP(U355,_Exist_Fixture_Table,3,FALSE),"")</f>
        <v/>
      </c>
      <c r="GB354" s="1696" t="str">
        <f>VLOOKUP(CW354,_Exist_Fixture_Table,4,FALSE)</f>
        <v/>
      </c>
      <c r="GC354" s="1696">
        <f>IFERROR(VLOOKUP(GB354,Lookup!AT$6:AU$8,2,FALSE),0)</f>
        <v>0</v>
      </c>
      <c r="GD354" s="1696" t="b">
        <f>IFERROR(IF(OR(GF354=4,GF354=5,GF354=6),TRUE,FALSE),"")</f>
        <v>0</v>
      </c>
      <c r="GE354" s="1696" t="str">
        <f>IFERROR(VLOOKUP(GF354,GC$6:GD$10,2,FALSE),"")</f>
        <v/>
      </c>
      <c r="GF354" s="1696" t="str">
        <f>VLOOKUP(CW356,Fixtures!R$31:Y$78,8,FALSE)</f>
        <v/>
      </c>
      <c r="GG354" s="1696">
        <f>IF(AND(GA354=TRUE,GD354=TRUE,OR(DQ354=12,DQ354=13,DQ354=14)),GC354+8,0)</f>
        <v>0</v>
      </c>
      <c r="GH354" s="1696" t="b">
        <f>IF(OR(GG354=12,GG354=13,GG354=14),TRUE,FALSE)</f>
        <v>0</v>
      </c>
      <c r="GI354" s="673" t="b">
        <f>IF(ISNUMBER(SEARCH("TLED",U355)),TRUE,FALSE)</f>
        <v>0</v>
      </c>
      <c r="GJ354" s="1135" t="str">
        <f>IFERROR(VLOOKUP(U355,Fixtures!BM$93:BR$142,6,FALSE),"")</f>
        <v/>
      </c>
      <c r="GK354" s="1832" t="b">
        <f>IF(OR(GI354=FALSE,GI356=FALSE),TRUE,IF(GJ354-GJ356&lt;5,FALSE,TRUE))</f>
        <v>1</v>
      </c>
      <c r="GO354" s="674">
        <f>GP354</f>
        <v>0</v>
      </c>
      <c r="GP354" s="674">
        <f>IF(G354="",0,1)</f>
        <v>0</v>
      </c>
      <c r="GQ354" s="674">
        <f ca="1">SUM(GR354:HF354)</f>
        <v>2</v>
      </c>
      <c r="GR354" s="674">
        <f>IF(G355="",0,1)</f>
        <v>0</v>
      </c>
      <c r="GS354" s="674">
        <f>IF(N357="BAM",1,IF(G356="",0,1))</f>
        <v>0</v>
      </c>
      <c r="GT354" s="674">
        <f>IF(N357="BAM",1,IF(R355="",0,1))</f>
        <v>0</v>
      </c>
      <c r="GU354" s="674">
        <f>IF(N357="BAM",1,IF(__Retrofit_TI_NC=0,1,IF(R356="",0,1)))</f>
        <v>1</v>
      </c>
      <c r="GV354" s="674">
        <f>IF(N357="BAM",1,IF(CQ354="Exterior",1,IF(G357="",0,1)))</f>
        <v>1</v>
      </c>
      <c r="GW354" s="674">
        <f>IF(__Retrofit_TI_NC&gt;0,1,IF(T355="",0,1))</f>
        <v>0</v>
      </c>
      <c r="GX354" s="674">
        <f>IF(__Retrofit_TI_NC&gt;0,1,IF(U355="",0,1))</f>
        <v>0</v>
      </c>
      <c r="GY354" s="674">
        <f>IF(N357="BAM",1,IF(T356="",0,1))</f>
        <v>0</v>
      </c>
      <c r="GZ354" s="674">
        <f>IF(N357="BAM",1,IF(U356="",0,1))</f>
        <v>0</v>
      </c>
      <c r="HA354" s="674">
        <f ca="1">IF(N357="BAM",1,IF(__Retrofit_TI_NC&gt;0,1,IF(U357="",0,1)))</f>
        <v>0</v>
      </c>
      <c r="HB354" s="674">
        <f>IF(__Retrofit_TI_NC&lt;&gt;0,1,IF(AF355="",0,1))</f>
        <v>0</v>
      </c>
      <c r="HC354" s="674">
        <f>IF(__Retrofit_TI_NC&lt;&gt;0,1,IF(AG355="",0,1))</f>
        <v>0</v>
      </c>
      <c r="HD354" s="674">
        <f>IF(N357="BAM",1,IF(AF356="",0,1))</f>
        <v>0</v>
      </c>
      <c r="HE354" s="674">
        <f>IF(N357="BAM",1,IF(AG356="",0,1))</f>
        <v>0</v>
      </c>
      <c r="HF354" s="674">
        <f>IF(N357="BAM",1,IF(__Retrofit_TI_NC&gt;0,1,IF(AG357="",0,1)))</f>
        <v>0</v>
      </c>
      <c r="HG354" s="391"/>
      <c r="IA354" s="391"/>
      <c r="IB354" s="1693" t="b">
        <f>IF(OR(IB357=0,IB357=HY$16,IB357=HX$16,IB357=HZ$16),TRUE,FALSE)</f>
        <v>0</v>
      </c>
      <c r="IC354" s="1694" t="b">
        <f>IB354</f>
        <v>0</v>
      </c>
      <c r="ID354" s="391"/>
      <c r="IE354" s="391"/>
      <c r="IF354" s="1688" t="b">
        <f ca="1">IF(MAX(GN357:HU357)&gt;5,FALSE,TRUE)</f>
        <v>0</v>
      </c>
      <c r="IG354" s="1689">
        <f ca="1">IF(IF354=TRUE,AC354,0)</f>
        <v>0</v>
      </c>
      <c r="IH354" s="1689">
        <f ca="1">IG354-IG356</f>
        <v>0</v>
      </c>
      <c r="IK354" s="1689" t="e">
        <f>ROUND(T355*VLOOKUP(U355,Fixtures_Existing_List,2,FALSE)*N355*R355/1000,0)</f>
        <v>#N/A</v>
      </c>
      <c r="IL354" s="1690" t="e">
        <f>IK354-IK356</f>
        <v>#N/A</v>
      </c>
      <c r="IM354" s="1693" t="e">
        <f>ROUND(IF(CQ354="Interior",N356*R356*R355*N355*_C406_reduction/1000,N356*R356*R355*N355/1000),0)</f>
        <v>#N/A</v>
      </c>
      <c r="IN354" s="1693" t="e">
        <f>IM354-IM356</f>
        <v>#N/A</v>
      </c>
      <c r="IP354" s="1679"/>
      <c r="IQ354" s="1679" t="e">
        <f t="shared" ref="IQ354:IU354" si="311">IF($CR354="interior",VLOOKUP($CS354,_New_Control_Savings_Interior,IQ$30,FALSE),VLOOKUP($CS354,Control_Savings_Exterior,IQ$30,FALSE))</f>
        <v>#N/A</v>
      </c>
      <c r="IR354" s="1679" t="e">
        <f t="shared" si="311"/>
        <v>#N/A</v>
      </c>
      <c r="IS354" s="1679" t="e">
        <f t="shared" si="311"/>
        <v>#N/A</v>
      </c>
      <c r="IT354" s="1679" t="e">
        <f t="shared" si="311"/>
        <v>#N/A</v>
      </c>
      <c r="IU354" s="1679" t="e">
        <f t="shared" si="311"/>
        <v>#N/A</v>
      </c>
      <c r="IV354" s="1679" t="e">
        <f>IF($CR354="interior",IF(R355&gt;$IP$14,ROUND(($IV$18*($IP$14/R355)),2),$IV$18),VLOOKUP($CS354,Control_Savings_Exterior,IV$30,FALSE))</f>
        <v>#N/A</v>
      </c>
      <c r="IW354" s="1679" t="e">
        <f>IF($CR354="interior",ROUND(((1-IS354)*IV354)+IS354,2),VLOOKUP($CS354,Control_Savings_Exterior,IW$30,FALSE))</f>
        <v>#N/A</v>
      </c>
      <c r="IX354" s="1679" t="e">
        <f>IF($CR354="interior",ROUND(((1-IT354)*IV354)+IT354,2),VLOOKUP($CS354,Control_Savings_Exterior,IX$30,FALSE))</f>
        <v>#N/A</v>
      </c>
      <c r="IY354" s="1679" t="e">
        <f>IF($CR354="interior",IF(R355&gt;$IP$14,ROUND(($IY$18*($IP$14/R355)),2),$IY$18),VLOOKUP($CS354,Control_Savings_Exterior,IY$30,FALSE))</f>
        <v>#N/A</v>
      </c>
      <c r="IZ354" s="1679" t="e">
        <f>IF($CR354="interior",ROUND(((1-IS354)*IY354)+IS354,2),VLOOKUP($CS354,Control_Savings_Exterior,IZ$30,FALSE))</f>
        <v>#N/A</v>
      </c>
      <c r="JA354" s="1679" t="e">
        <f>IF($CR354="interior",ROUND(((1-IT354)*IY354)+IT354,2),VLOOKUP($CS354,Control_Savings_Exterior,JA$30,FALSE))</f>
        <v>#N/A</v>
      </c>
      <c r="JC354" s="1680">
        <f>IFERROR(IF(CR354="Interior",CONCATENATE(G357," ",FQ354),FQ354),"")</f>
        <v>0</v>
      </c>
      <c r="JD354" s="1670" t="str">
        <f>IFERROR(VLOOKUP(JC354,_Controls_2023,2,FALSE),"")</f>
        <v/>
      </c>
      <c r="JE354" s="1681">
        <f>IFERROR(CHOOSE(JD354-1,IQ354,IR354,IS354,IT354,IU354,IV354,IW354,IX354,IY354,IZ354,JA354),0)</f>
        <v>0</v>
      </c>
      <c r="JG354" s="1680" t="str">
        <f>FE354</f>
        <v xml:space="preserve"> - 0</v>
      </c>
      <c r="JH354" s="1670" t="e">
        <f>$FO354</f>
        <v>#N/A</v>
      </c>
      <c r="JI354" s="1060"/>
      <c r="JJ354" s="1682" t="b">
        <f>IF($JG356=CONCATENATE("Interior - ",JJ$4),TRUE,FALSE)</f>
        <v>0</v>
      </c>
      <c r="JK354" s="1061"/>
      <c r="JL354" s="1682" t="b">
        <f>IF($JG356=CONCATENATE("Interior - ",JL$4),TRUE,FALSE)</f>
        <v>0</v>
      </c>
      <c r="JM354" s="1061"/>
      <c r="JN354" s="1682" t="b">
        <f>IF($JG356=CONCATENATE("Interior - ",JN$4),TRUE,FALSE)</f>
        <v>0</v>
      </c>
      <c r="JO354" s="1061"/>
      <c r="JP354" s="1682" t="b">
        <f>IF(__Retrofit_TI_NC&gt;0,FALSE,IF($JG356=CONCATENATE("Interior - ",JP$4),TRUE,FALSE))</f>
        <v>0</v>
      </c>
      <c r="JQ354" s="1061"/>
      <c r="JR354" s="1682" t="b">
        <f>IF(__Retrofit_TI_NC&gt;0,FALSE,IF($JG356=CONCATENATE("Interior - ",JR$4),TRUE,FALSE))</f>
        <v>0</v>
      </c>
      <c r="JS354" s="1061"/>
      <c r="JT354" s="1670" t="b">
        <f>IF(__Retrofit_TI_NC&gt;0,FALSE,IF($JG356=CONCATENATE("Interior - ",JT$4),TRUE,FALSE))</f>
        <v>0</v>
      </c>
      <c r="JU354" s="1061"/>
      <c r="JV354" s="1670" t="b">
        <f>IF(JC356="AELC on Existing",TRUE,FALSE)</f>
        <v>0</v>
      </c>
      <c r="JX354" s="1670" t="b">
        <f>IF(OR(JG356="Exterior - AELC Occupancy based",JG356="Exterior - AELC Time based"),TRUE,FALSE)</f>
        <v>0</v>
      </c>
      <c r="JZ354" s="1682" t="b">
        <f>IF($JG356=CONCATENATE("Exterior - ",JZ$4),TRUE,FALSE)</f>
        <v>0</v>
      </c>
      <c r="KB354" s="1670" t="b">
        <f>IF(__Retrofit_TI_NC&gt;0,FALSE,IF($JG356=CONCATENATE("Interior - ",KB$4),TRUE,FALSE))</f>
        <v>0</v>
      </c>
    </row>
    <row r="355" spans="1:288" s="78" customFormat="1" ht="14.95" customHeight="1" thickTop="1" thickBot="1">
      <c r="B355" s="1845"/>
      <c r="C355" s="1846"/>
      <c r="D355" s="1847"/>
      <c r="E355" s="1737" t="s">
        <v>297</v>
      </c>
      <c r="F355" s="1738"/>
      <c r="G355" s="1739"/>
      <c r="H355" s="1739"/>
      <c r="I355" s="1739"/>
      <c r="J355" s="1739"/>
      <c r="K355" s="1739"/>
      <c r="L355" s="1739"/>
      <c r="M355" s="461" t="e">
        <f>IF(__Retrofit_TI_NC&lt;&gt;0,IF(VLOOKUP(G356,'Space Table'!$B$3:$L$163,3,FALSE)&gt;0,1,0),IF(__Retrofit_TI_NC=VLOOKUP(G356,'Space Table'!$B$3:$L$163,3,FALSE),1,0))</f>
        <v>#N/A</v>
      </c>
      <c r="N355" s="461" t="str">
        <f>IFERROR(VLOOKUP(G355,_Lookup_Heat_Type_Table_New,2,FALSE),"")</f>
        <v/>
      </c>
      <c r="O355" s="461">
        <f>IF(__Retrofit_TI_NC=1,CONCATENATE("TI ",G355),IF(__Retrofit_TI_NC=2,CONCATENATE("NC ",G355),G355))</f>
        <v>0</v>
      </c>
      <c r="P355" s="1740" t="s">
        <v>435</v>
      </c>
      <c r="Q355" s="1740"/>
      <c r="R355" s="595"/>
      <c r="S355" s="1792"/>
      <c r="T355" s="597"/>
      <c r="U355" s="1765"/>
      <c r="V355" s="1766"/>
      <c r="W355" s="1766"/>
      <c r="X355" s="1766"/>
      <c r="Y355" s="1766"/>
      <c r="Z355" s="1766"/>
      <c r="AA355" s="1766"/>
      <c r="AB355" s="1766"/>
      <c r="AC355" s="1766"/>
      <c r="AD355" s="1767"/>
      <c r="AE355" s="1000"/>
      <c r="AF355" s="597"/>
      <c r="AG355" s="1723"/>
      <c r="AH355" s="1724"/>
      <c r="AI355" s="1724"/>
      <c r="AJ355" s="1724"/>
      <c r="AK355" s="1725"/>
      <c r="AL355" s="996"/>
      <c r="AM355" s="1747"/>
      <c r="AN355" s="1775"/>
      <c r="AO355" s="1777"/>
      <c r="AP355" s="1780"/>
      <c r="AQ355" s="1781"/>
      <c r="AR355" s="1795"/>
      <c r="AS355" s="1795"/>
      <c r="AT355" s="1796"/>
      <c r="AU355" s="1735"/>
      <c r="AV355" s="1752"/>
      <c r="AW355" s="1705"/>
      <c r="AX355" s="467"/>
      <c r="AY355" s="1749"/>
      <c r="AZ355" s="1749"/>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696"/>
      <c r="CQ355" s="1696"/>
      <c r="CR355" s="1809"/>
      <c r="CS355" s="1811"/>
      <c r="CU355" s="1688"/>
      <c r="CV355" s="1703"/>
      <c r="CW355" s="1703"/>
      <c r="CX355" s="1703"/>
      <c r="CY355" s="1815"/>
      <c r="CZ355" s="1711"/>
      <c r="DA355" s="1818"/>
      <c r="DB355" s="1820"/>
      <c r="DC355" s="1820"/>
      <c r="DD355" s="1820"/>
      <c r="DF355" s="1703"/>
      <c r="DG355" s="1831"/>
      <c r="DH355" s="1703"/>
      <c r="DI355" s="1838"/>
      <c r="DJ355" s="1711"/>
      <c r="DK355" s="1712"/>
      <c r="DM355" s="1718"/>
      <c r="DO355" s="1708"/>
      <c r="DQ355" s="1715"/>
      <c r="DR355" s="1720"/>
      <c r="DS355" s="1816"/>
      <c r="DT355" s="1714"/>
      <c r="DU355" s="1715"/>
      <c r="DV355" s="1716"/>
      <c r="DX355" s="1715"/>
      <c r="DY355" s="1720"/>
      <c r="DZ355" s="1715"/>
      <c r="EA355" s="1715"/>
      <c r="EC355" s="1834"/>
      <c r="ED355" s="1834"/>
      <c r="EF355" s="1707"/>
      <c r="EG355" s="1712"/>
      <c r="EH355" s="1818"/>
      <c r="EI355" s="1712"/>
      <c r="EJ355" s="1712"/>
      <c r="EK355" s="1836"/>
      <c r="EL355" s="1836"/>
      <c r="EM355" s="1807"/>
      <c r="EN355" s="1839"/>
      <c r="EO355" s="1839"/>
      <c r="EP355" s="1817"/>
      <c r="EQ355" s="1817"/>
      <c r="ER355" s="1807"/>
      <c r="ES355" s="1807"/>
      <c r="ET355" s="1807"/>
      <c r="EV355" s="1715"/>
      <c r="EX355" s="1805"/>
      <c r="EY355" s="1805"/>
      <c r="EZ355" s="1805"/>
      <c r="FA355" s="1805"/>
      <c r="FB355" s="1805"/>
      <c r="FC355" s="1827"/>
      <c r="FE355" s="1698"/>
      <c r="FG355" s="1816"/>
      <c r="FH355" s="1816"/>
      <c r="FI355" s="133"/>
      <c r="FL355" s="1823"/>
      <c r="FM355" s="1825"/>
      <c r="FN355" s="1698"/>
      <c r="FO355" s="1698"/>
      <c r="FP355" s="1678"/>
      <c r="FQ355" s="1678"/>
      <c r="FS355" s="1687"/>
      <c r="FT355" s="1687"/>
      <c r="FU355" s="1685"/>
      <c r="FV355" s="1687"/>
      <c r="FW355" s="1687"/>
      <c r="FX355" s="1687"/>
      <c r="FY355" s="1697"/>
      <c r="GA355" s="1696"/>
      <c r="GB355" s="1696"/>
      <c r="GC355" s="1696"/>
      <c r="GD355" s="1696"/>
      <c r="GE355" s="1696"/>
      <c r="GF355" s="1696"/>
      <c r="GG355" s="1696"/>
      <c r="GH355" s="1696"/>
      <c r="GI355" s="673"/>
      <c r="GJ355" s="1135"/>
      <c r="GK355" s="1832"/>
      <c r="GM355" s="1693" t="b">
        <f ca="1">IF(AND(GP355=TRUE,GQ355=TRUE),TRUE,FALSE)</f>
        <v>0</v>
      </c>
      <c r="GN355" s="1684" t="b">
        <f>IFERROR(IF(__Retrofit_TI_NC=2,TRUE,IF(AU354="Yes",TRUE,FALSE)),FALSE)</f>
        <v>1</v>
      </c>
      <c r="GP355" s="1684" t="b">
        <f>IFERROR(IF(GP354=1,TRUE,FALSE),FALSE)</f>
        <v>0</v>
      </c>
      <c r="GQ355" s="1684" t="b">
        <f ca="1">IFERROR(IF(GQ354=GQ$14,TRUE,FALSE),FALSE)</f>
        <v>0</v>
      </c>
      <c r="HG355" s="1684" t="b">
        <f>IFERROR(IF(AND(__Retrofit_TI_NC&gt;0,CQ354="Interior"),FALSE,TRUE),FALSE)</f>
        <v>1</v>
      </c>
      <c r="HH355" s="1684" t="b">
        <f>IFERROR(IF(M355=1,TRUE,FALSE),FALSE)</f>
        <v>0</v>
      </c>
      <c r="HI355" s="1684" t="b">
        <f>IFERROR(IF(OR(M356=1,N357="BAM"),TRUE,FALSE),FALSE)</f>
        <v>0</v>
      </c>
      <c r="HJ355" s="1684" t="b">
        <f>IFERROR(IF(__Retrofit_TI_NC&lt;&gt;0,TRUE,IFERROR(IF(VLOOKUP(U355,Fixtures_Existing_List,2,FALSE)&lt;&gt;"",TRUE,FALSE),FALSE)),FALSE)</f>
        <v>0</v>
      </c>
      <c r="HK355" s="1684" t="b">
        <f>IFERROR(IF(VLOOKUP(U356,Fixtures_Proposed_List,2,FALSE)&lt;&gt;"",TRUE,FALSE),FALSE)</f>
        <v>0</v>
      </c>
      <c r="HL355" s="1684" t="b">
        <f>IF(AND(__Retrofit_TI_NC=2,FC354=TRUE),FALSE,TRUE)</f>
        <v>1</v>
      </c>
      <c r="HM355" s="1684" t="b">
        <f>GK354</f>
        <v>1</v>
      </c>
      <c r="HN355" s="1682" t="b">
        <f>IF(ISERROR(MATCH(FE354,_Control_Match[],0))=TRUE,FALSE,TRUE)</f>
        <v>0</v>
      </c>
      <c r="HO355" s="1693" t="b">
        <f>IFERROR(IF(EX354&lt;&gt;EY354,FALSE,TRUE),FALSE)</f>
        <v>1</v>
      </c>
      <c r="HP355" s="1693" t="b">
        <f>IFERROR(IF(EX356&lt;&gt;EY356,FALSE,TRUE),FALSE)</f>
        <v>1</v>
      </c>
      <c r="HQ355" s="1670" t="b">
        <f>IFERROR(IF(CQ354="Exterior",TRUE,IF(AND(OR(FM356=0,FM356=3),JD356&gt;6),FALSE,TRUE)),FALSE)</f>
        <v>0</v>
      </c>
      <c r="HR355" s="1684" t="b">
        <f>IFERROR(IF(AND(FO356=7,FC354=TRUE),FALSE,TRUE),FALSE)</f>
        <v>0</v>
      </c>
      <c r="HS355" s="1684" t="b">
        <f>IFERROR(IF(AND(T356&lt;&gt;AF356,OR(AG356="Interior LLLC", AG356="Interior NLC", AG356="LLLC (outside Daylight)",AG356="LLLC Controls Only"))=TRUE,FALSE,TRUE),FALSE)</f>
        <v>1</v>
      </c>
      <c r="HT355" s="1670" t="b">
        <f>IFERROR(IF(OR(AG356=Lookup!BB$17,AG356=Lookup!BB$18,AG356=Lookup!BB$19)=TRUE,IF(AF356&gt;T356,FALSE,TRUE),TRUE),FALSE)</f>
        <v>1</v>
      </c>
      <c r="HU355" s="1684" t="b">
        <f>IFERROR(IF(__Retrofit_TI_NC=2,IF(EZ356&lt;EZ354,FALSE,TRUE),TRUE),FALSE)</f>
        <v>1</v>
      </c>
      <c r="HV355" s="1684" t="b">
        <f>IF(CQ354="Interior",IL$6,TRUE)</f>
        <v>1</v>
      </c>
      <c r="HW355" s="1684" t="b">
        <f>IF(CQ354="Exterior",IL$8,TRUE)</f>
        <v>1</v>
      </c>
      <c r="HX355" s="1684" t="b">
        <f>IFERROR(IF(__Retrofit_TI_NC&lt;&gt;0,IF(AZ354&lt;AY354,FALSE,TRUE),TRUE),FALSE)</f>
        <v>1</v>
      </c>
      <c r="HY355" s="1684" t="b">
        <f>IFERROR(IF(AND(G355="Exterior",R355&gt;4200),FALSE,TRUE),FALSE)</f>
        <v>1</v>
      </c>
      <c r="HZ355" s="1684" t="b">
        <f>IFERROR(IF(AB357/AB354&lt;HZ$18,FALSE,TRUE),FALSE)</f>
        <v>0</v>
      </c>
      <c r="IB355" s="1691"/>
      <c r="IC355" s="1695"/>
      <c r="ID355" s="1694" t="str">
        <f>VLOOKUP(IB357,_Error_Table,4,FALSE)</f>
        <v>White</v>
      </c>
      <c r="IE355" s="391"/>
      <c r="IF355" s="1688"/>
      <c r="IG355" s="1689"/>
      <c r="IH355" s="1684"/>
      <c r="IK355" s="1689"/>
      <c r="IL355" s="1691"/>
      <c r="IM355" s="1691"/>
      <c r="IN355" s="1691"/>
      <c r="IP355" s="1679"/>
      <c r="IQ355" s="1679"/>
      <c r="IR355" s="1679"/>
      <c r="IS355" s="1679"/>
      <c r="IT355" s="1679"/>
      <c r="IU355" s="1679"/>
      <c r="IV355" s="1679"/>
      <c r="IW355" s="1679"/>
      <c r="IX355" s="1679"/>
      <c r="IY355" s="1679"/>
      <c r="IZ355" s="1679"/>
      <c r="JA355" s="1679"/>
      <c r="JC355" s="1680"/>
      <c r="JD355" s="1670"/>
      <c r="JE355" s="1681"/>
      <c r="JG355" s="1680"/>
      <c r="JH355" s="1670"/>
      <c r="JI355" s="1060"/>
      <c r="JJ355" s="1683"/>
      <c r="JK355" s="1061"/>
      <c r="JL355" s="1683"/>
      <c r="JM355" s="1061"/>
      <c r="JN355" s="1683"/>
      <c r="JO355" s="1061"/>
      <c r="JP355" s="1683"/>
      <c r="JQ355" s="1061"/>
      <c r="JR355" s="1683"/>
      <c r="JS355" s="1061"/>
      <c r="JT355" s="1670"/>
      <c r="JU355" s="1061"/>
      <c r="JV355" s="1670"/>
      <c r="JX355" s="1670"/>
      <c r="JZ355" s="1683"/>
      <c r="KB355" s="1670"/>
    </row>
    <row r="356" spans="1:288" s="78" customFormat="1" ht="14.95" customHeight="1" thickTop="1" thickBot="1">
      <c r="A356" s="78">
        <f>ROW()</f>
        <v>356</v>
      </c>
      <c r="B356" s="1845"/>
      <c r="C356" s="1846"/>
      <c r="D356" s="1847"/>
      <c r="E356" s="1737" t="s">
        <v>298</v>
      </c>
      <c r="F356" s="1738"/>
      <c r="G356" s="1760"/>
      <c r="H356" s="1761"/>
      <c r="I356" s="1761"/>
      <c r="J356" s="1761"/>
      <c r="K356" s="1761"/>
      <c r="L356" s="1762"/>
      <c r="M356" s="461">
        <f>IFERROR(IF(IF(__Retrofit_TI_NC&lt;&gt;0,IF(CQ354="Interior",MATCH(G356,Lookup_Interior_New,0),MATCH(G356,Lookup_Exterior_New,0)),IF(CQ354="Interior",MATCH(G356,Lookup_Interior,0),MATCH(G356,Lookup_Exterior_Areas,0)))&gt;0,1,0),0)</f>
        <v>0</v>
      </c>
      <c r="N356" s="461" t="e">
        <f>IF(__Retrofit_TI_NC=1,
VLOOKUP(G356,'Space Table'!$B$3:$L$163,4,FALSE),
IF(__Retrofit_TI_NC=2,VLOOKUP(G356,'Space Table'!$B$3:$L$163,5,FALSE),VLOOKUP(G356,'Space Table'!$B$3:$L$163,5,FALSE)))</f>
        <v>#N/A</v>
      </c>
      <c r="O356" s="461">
        <f>G356</f>
        <v>0</v>
      </c>
      <c r="P356" s="1738" t="str">
        <f>IFERROR(IF(__Retrofit_TI_NC=1,VLOOKUP(G356,'Space Table'!$B$3:$O$163,13,FALSE),IF(__Retrofit_TI_NC=2,VLOOKUP(G356,'Space Table'!$B$3:$O$163,14,FALSE),"Area (sf):")),"Area (sf):")</f>
        <v>Area (sf):</v>
      </c>
      <c r="Q356" s="1738"/>
      <c r="R356" s="596"/>
      <c r="S356" s="1763" t="s">
        <v>345</v>
      </c>
      <c r="T356" s="594"/>
      <c r="U356" s="1801"/>
      <c r="V356" s="1802"/>
      <c r="W356" s="1802"/>
      <c r="X356" s="1802"/>
      <c r="Y356" s="1802"/>
      <c r="Z356" s="1802"/>
      <c r="AA356" s="1802"/>
      <c r="AB356" s="1802"/>
      <c r="AC356" s="1802"/>
      <c r="AD356" s="1802"/>
      <c r="AE356" s="1803"/>
      <c r="AF356" s="594"/>
      <c r="AG356" s="1787"/>
      <c r="AH356" s="1787"/>
      <c r="AI356" s="1787"/>
      <c r="AJ356" s="1787"/>
      <c r="AK356" s="1787"/>
      <c r="AL356" s="1787"/>
      <c r="AM356" s="1726">
        <f>IFERROR(DI356,"")</f>
        <v>0</v>
      </c>
      <c r="AN356" s="1728" t="str">
        <f>IFERROR(ROUND(AM356*AC357,0),"")</f>
        <v/>
      </c>
      <c r="AO356" s="1730">
        <f>IFERROR(IF(IB354=FALSE,0,AC357-AN356),0)</f>
        <v>0</v>
      </c>
      <c r="AP356" s="1780"/>
      <c r="AQ356" s="1781"/>
      <c r="AR356" s="1795"/>
      <c r="AS356" s="1795"/>
      <c r="AT356" s="1796"/>
      <c r="AU356" s="1735"/>
      <c r="AV356" s="1752"/>
      <c r="AW356" s="1705"/>
      <c r="AX356" s="467"/>
      <c r="AY356" s="1749"/>
      <c r="AZ356" s="1749"/>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696"/>
      <c r="CQ356" s="1696"/>
      <c r="CR356" s="1808" t="str">
        <f>CQ354</f>
        <v/>
      </c>
      <c r="CS356" s="1810" t="str">
        <f>CS354</f>
        <v/>
      </c>
      <c r="CU356" s="1688" t="s">
        <v>345</v>
      </c>
      <c r="CV356" s="1702">
        <f>IF(IB354=TRUE,T356,0)</f>
        <v>0</v>
      </c>
      <c r="CW356" s="1702" t="str">
        <f>IF(IB354=TRUE,U356,"")</f>
        <v/>
      </c>
      <c r="CX356" s="1812">
        <f>IF(IB354=TRUE,U357,0)</f>
        <v>0</v>
      </c>
      <c r="CY356" s="1814">
        <f>IF(IB354=TRUE,AB357,0)</f>
        <v>0</v>
      </c>
      <c r="CZ356" s="1710">
        <f>IF(AND(__Retrofit_TI_NC&gt;0,CR354="interior"),0,IF(IB354=TRUE,AC357,0))</f>
        <v>0</v>
      </c>
      <c r="DA356" s="1818"/>
      <c r="DB356" s="1820"/>
      <c r="DC356" s="1820"/>
      <c r="DD356" s="1820"/>
      <c r="DF356" s="1702">
        <f>IF(IB354=TRUE,AF356,0)</f>
        <v>0</v>
      </c>
      <c r="DG356" s="1830" t="str">
        <f>IF(IB354=TRUE,AG356,"")</f>
        <v/>
      </c>
      <c r="DH356" s="1812">
        <f>AG357</f>
        <v>0</v>
      </c>
      <c r="DI356" s="1837">
        <f>JE356</f>
        <v>0</v>
      </c>
      <c r="DJ356" s="1710">
        <f>IF(AND(__Retrofit_TI_NC&gt;0,CR354="interior"),0,IF(IB354=TRUE,AN356,0))</f>
        <v>0</v>
      </c>
      <c r="DK356" s="1712"/>
      <c r="DN356" s="1717">
        <f>IFERROR(CZ356-DJ356,0)</f>
        <v>0</v>
      </c>
      <c r="DO356" s="1709"/>
      <c r="DQ356" s="1715"/>
      <c r="DR356" s="1719" t="str">
        <f>DQ354</f>
        <v/>
      </c>
      <c r="DS356" s="1816"/>
      <c r="DT356" s="1835" t="str">
        <f>IF(OR(DS354=7,DS354=8,DS354=9),"ALC","")</f>
        <v/>
      </c>
      <c r="DU356" s="1715"/>
      <c r="DV356" s="1716"/>
      <c r="DX356" s="1715"/>
      <c r="DY356" s="1829" t="str">
        <f>DX354</f>
        <v/>
      </c>
      <c r="DZ356" s="1715"/>
      <c r="EA356" s="1715"/>
      <c r="EC356" s="1834"/>
      <c r="ED356" s="1834"/>
      <c r="EF356" s="1707"/>
      <c r="EG356" s="1712"/>
      <c r="EH356" s="1818"/>
      <c r="EI356" s="1712"/>
      <c r="EJ356" s="1712"/>
      <c r="EK356" s="1836"/>
      <c r="EL356" s="1836"/>
      <c r="EM356" s="1807"/>
      <c r="EN356" s="1839"/>
      <c r="EO356" s="1839"/>
      <c r="EP356" s="1817"/>
      <c r="EQ356" s="1817"/>
      <c r="ER356" s="1807"/>
      <c r="ES356" s="1807"/>
      <c r="ET356" s="1807"/>
      <c r="EV356" s="1715"/>
      <c r="EX356" s="1805" t="str">
        <f>IFERROR(VLOOKUP(CS356,'Space Table'!$B$3:$L$163,8,FALSE),"")</f>
        <v/>
      </c>
      <c r="EY356" s="1805" t="str">
        <f>IFERROR(IF(FB356="Yes",VLOOKUP(AG356,Lookup_Control_Type_Table2,4,FALSE),VLOOKUP(AG356,Lookup_Control_Type_Table2,3,FALSE)),"")</f>
        <v/>
      </c>
      <c r="EZ356" s="1805" t="e">
        <f>VLOOKUP(AG356,Lookup!BB$3:BC$20,2,FALSE)</f>
        <v>#N/A</v>
      </c>
      <c r="FA356" s="1805" t="e">
        <f>VLOOKUP(EX354,Lookup_Control_Type_Table,2,FALSE)</f>
        <v>#N/A</v>
      </c>
      <c r="FB356" s="1805" t="e">
        <f>VLOOKUP(CS356,'Space Table'!$B$3:$L$163,7,FALSE)</f>
        <v>#N/A</v>
      </c>
      <c r="FC356" s="1827"/>
      <c r="FE356" s="1698" t="str">
        <f>CONCATENATE(CQ354," - ",AG356)</f>
        <v xml:space="preserve"> - </v>
      </c>
      <c r="FG356" s="1816"/>
      <c r="FH356" s="1816"/>
      <c r="FI356" s="133"/>
      <c r="FL356" s="1822" t="str">
        <f>IF(CQ354="Exterior","Not Daylighted",G357)</f>
        <v>Not Daylighted</v>
      </c>
      <c r="FM356" s="1824">
        <f>VLOOKUP(FL356,_New_Daylight_Table_Codes,2,FALSE)</f>
        <v>0</v>
      </c>
      <c r="FN356" s="1698">
        <f>AG356</f>
        <v>0</v>
      </c>
      <c r="FO356" s="1698" t="e">
        <f>VLOOKUP(FN356,_Control_Table,2,FALSE)</f>
        <v>#N/A</v>
      </c>
      <c r="FP356" s="1678" t="e">
        <f>VLOOKUP(CONCATENATE(FL356," ",FN356),Lookup!AY$102:AZ367,2,FALSE)</f>
        <v>#N/A</v>
      </c>
      <c r="FQ356" s="1698">
        <f>IF(__Retrofit_TI_NC=0,FN356,IF(AND(FT356&gt;0,FN356="Occupancy Sensor"),"Daylight + Occupancy",IF(AND(FT356&gt;0,FO356&lt;4),"Interior Daylight Dimming",FN356)))</f>
        <v>0</v>
      </c>
      <c r="FS356" s="1686">
        <f>IF(CQ354="Interior",VLOOKUP(CS354,Control_Savings_Interior,5,FALSE),0)</f>
        <v>0</v>
      </c>
      <c r="FT356" s="1687">
        <f>IF(CQ356="Exterior",0,IF(FM356=2,0.5,IF(OR(FM356=1,FM356=3),1,0)))</f>
        <v>0</v>
      </c>
      <c r="FU356" s="1685">
        <f>IF(R355&gt;FS$44,(FS356*(FS$44/R355)),FS356)*FT356</f>
        <v>0</v>
      </c>
      <c r="FV356" s="1686">
        <f>DI356</f>
        <v>0</v>
      </c>
      <c r="FW356" s="1686">
        <f>ROUND(FV356+((1-FV356)*FU356),2)</f>
        <v>0</v>
      </c>
      <c r="FX356" s="1686">
        <f>IF(__Retrofit_TI_NC=2,FW356,FV356)</f>
        <v>0</v>
      </c>
      <c r="FY356" s="1697">
        <f>IF(CR356="Interior",VLOOKUP(CS356,Control_Savings_Interior,4,FALSE),0)</f>
        <v>0</v>
      </c>
      <c r="GA356" s="1696"/>
      <c r="GB356" s="1696"/>
      <c r="GC356" s="1696"/>
      <c r="GD356" s="1696"/>
      <c r="GE356" s="1696"/>
      <c r="GF356" s="1696"/>
      <c r="GG356" s="1696"/>
      <c r="GH356" s="1696"/>
      <c r="GI356" s="673" t="b">
        <f>IF(ISNUMBER(SEARCH("TLED",U356)),TRUE,FALSE)</f>
        <v>0</v>
      </c>
      <c r="GJ356" s="1135" t="str">
        <f>IFERROR(VLOOKUP(U356,Fixtures!DM$93:DR$142,6,FALSE),"")</f>
        <v/>
      </c>
      <c r="GK356" s="1832"/>
      <c r="GM356" s="1692"/>
      <c r="GN356" s="1684"/>
      <c r="GP356" s="1684"/>
      <c r="GQ356" s="1684"/>
      <c r="HG356" s="1684"/>
      <c r="HH356" s="1684"/>
      <c r="HI356" s="1684"/>
      <c r="HJ356" s="1684"/>
      <c r="HK356" s="1684"/>
      <c r="HL356" s="1684"/>
      <c r="HM356" s="1684"/>
      <c r="HN356" s="1683"/>
      <c r="HO356" s="1692"/>
      <c r="HP356" s="1692"/>
      <c r="HQ356" s="1670"/>
      <c r="HR356" s="1684"/>
      <c r="HS356" s="1684"/>
      <c r="HT356" s="1670"/>
      <c r="HU356" s="1684"/>
      <c r="HV356" s="1684"/>
      <c r="HW356" s="1684"/>
      <c r="HX356" s="1684"/>
      <c r="HY356" s="1684"/>
      <c r="HZ356" s="1684"/>
      <c r="IB356" s="1692"/>
      <c r="IC356" s="1693" t="b">
        <f>IB354</f>
        <v>0</v>
      </c>
      <c r="ID356" s="1695"/>
      <c r="IE356" s="391"/>
      <c r="IF356" s="1688"/>
      <c r="IG356" s="1689">
        <f ca="1">IF(IF354=TRUE,AC357,0)</f>
        <v>0</v>
      </c>
      <c r="IH356" s="1684"/>
      <c r="IK356" s="1689" t="e">
        <f>ROUND(T356*AB357*N355*R355/1000,0)</f>
        <v>#VALUE!</v>
      </c>
      <c r="IL356" s="1691"/>
      <c r="IM356" s="1693" t="e">
        <f>ROUND(T356*AB357*N355*R355/1000,0)</f>
        <v>#VALUE!</v>
      </c>
      <c r="IN356" s="1691"/>
      <c r="IP356" s="1679"/>
      <c r="IQ356" s="1679" t="e">
        <f t="shared" ref="IQ356:IU356" si="312">IF($CR356="interior",VLOOKUP($CS356,_New_Control_Savings_Interior,IQ$30,FALSE),VLOOKUP($CS356,Control_Savings_Exterior,IQ$30,FALSE))</f>
        <v>#N/A</v>
      </c>
      <c r="IR356" s="1679" t="e">
        <f t="shared" si="312"/>
        <v>#N/A</v>
      </c>
      <c r="IS356" s="1679" t="e">
        <f t="shared" si="312"/>
        <v>#N/A</v>
      </c>
      <c r="IT356" s="1679" t="e">
        <f t="shared" si="312"/>
        <v>#N/A</v>
      </c>
      <c r="IU356" s="1679" t="e">
        <f t="shared" si="312"/>
        <v>#N/A</v>
      </c>
      <c r="IV356" s="1679" t="e">
        <f>IF($CR356="interior",IF(R355&gt;$IP$14,ROUND(($IV$18*($IP$14/R355)),2),$IV$18),VLOOKUP($CS356,Control_Savings_Exterior,IV$30,FALSE))</f>
        <v>#N/A</v>
      </c>
      <c r="IW356" s="1679" t="e">
        <f>IF($CR356="interior",ROUND(((1-IS356)*IV356)+IS356,2),VLOOKUP($CS356,Control_Savings_Exterior,IW$30,FALSE))</f>
        <v>#N/A</v>
      </c>
      <c r="IX356" s="1679" t="e">
        <f>IF($CR356="interior",ROUND(((1-IT356)*IV356)+IT356,2),VLOOKUP($CS356,Control_Savings_Exterior,IX$30,FALSE))</f>
        <v>#N/A</v>
      </c>
      <c r="IY356" s="1679" t="e">
        <f>IF($CR356="interior",IF(R355&gt;$IP$14,ROUND(($IY$18*($IP$14/R355)),2),$IY$18),VLOOKUP($CS356,Control_Savings_Exterior,IY$30,FALSE))</f>
        <v>#N/A</v>
      </c>
      <c r="IZ356" s="1679" t="e">
        <f>IF($CR356="interior",ROUND(((1-IS356)*IY356)+IS356,2),VLOOKUP($CS356,Control_Savings_Exterior,IZ$30,FALSE))</f>
        <v>#N/A</v>
      </c>
      <c r="JA356" s="1679" t="e">
        <f>IF($CR356="interior",ROUND(((1-IT356)*IY356)+IT356,2),VLOOKUP($CS356,Control_Savings_Exterior,JA$30,FALSE))</f>
        <v>#N/A</v>
      </c>
      <c r="JC356" s="1680">
        <f>IFERROR(IF(CR356="Interior",CONCATENATE(G357," ",FQ356),AG356),"")</f>
        <v>0</v>
      </c>
      <c r="JD356" s="1670" t="str">
        <f>IFERROR(VLOOKUP(JC356,_Controls_2023,2,FALSE),"")</f>
        <v/>
      </c>
      <c r="JE356" s="1681">
        <f>IFERROR(CHOOSE(JD356-1,IQ356,IR356,IS356,IT356,IU356,IV356,IW356,IX356,IY356,IZ356,JA356),0)</f>
        <v>0</v>
      </c>
      <c r="JG356" s="1680" t="str">
        <f>FE356</f>
        <v xml:space="preserve"> - </v>
      </c>
      <c r="JH356" s="1670" t="e">
        <f>$FO356</f>
        <v>#N/A</v>
      </c>
      <c r="JI356" s="1060"/>
      <c r="JJ356" s="1670">
        <f>IFERROR(IF($IB354=TRUE,IF(OR(JJ$14="No",JJ354=FALSE,JH356&lt;=JH354,AND(_kWh_Grant=0,GD354=FALSE)),0,IF(JJ$8="Per Line",1,$AF356)),0),0)</f>
        <v>0</v>
      </c>
      <c r="JK356" s="1061"/>
      <c r="JL356" s="1670">
        <f>IFERROR(IF(_kWh_Grant=0,0,IF($IB354=TRUE,IF(OR(JL$14="No",JL354=FALSE,JH356&lt;=JH354),0,IF(JL$8="Per Line",1,$T356)),0)),0)</f>
        <v>0</v>
      </c>
      <c r="JM356" s="1061"/>
      <c r="JN356" s="1670">
        <f>IFERROR(IF(_kWh_Grant=0,0,IF($IB354=TRUE,IF(OR(JN$14="No",JN354=FALSE,JH356&lt;=JH354),0,IF(JN$8="Per Line",1,$AF356)),0)),0)</f>
        <v>0</v>
      </c>
      <c r="JO356" s="1061"/>
      <c r="JP356" s="1670">
        <f>IFERROR(IF(__Retrofit_TI_NC=0,IF(_kWh_Grant=0,0,IF($IB354=TRUE,IF(OR(JP$14="No",JP354=FALSE,$JH356&lt;=$JH354),0,IF(JP$8="Per Line",1,$AF356)),0)),IF($IB354=TRUE,IF(OR(JP$14="No",JP354=FALSE,$JH356&lt;=$JH354),0,IF(JP$8="Per Line",1,$AF356)))),0)</f>
        <v>0</v>
      </c>
      <c r="JQ356" s="1061"/>
      <c r="JR356" s="1670">
        <f>IFERROR(IF(__Retrofit_TI_NC=0,IF(_kWh_Grant=0,0,IF($IB354=TRUE,IF(OR(JR$14="No",JR354=FALSE,$JH356&lt;=$JH354),0,IF(JR$8="Per Line",1,$AF356)),0)),IF($IB354=TRUE,IF(OR(JR$14="No",JR354=FALSE,$JH356&lt;=$JH354),0,IF(JR$8="Per Line",1,$AF356)))),0)</f>
        <v>0</v>
      </c>
      <c r="JS356" s="1061"/>
      <c r="JT356" s="1670">
        <f>IFERROR(IF(__Retrofit_TI_NC=0,IF(_kWh_Grant=0,0,IF($IB354=TRUE,IF(OR(JT$14="No",JT354=FALSE,$JH356&lt;=$JH354),0,IF(JT$8="Per Line",1,$AF356)),0)),IF($IB354=TRUE,IF(OR(JT$14="No",JT354=FALSE,$JH356&lt;=$JH354),0,IF(JT$8="Per Line",1,$AF356)))),0)</f>
        <v>0</v>
      </c>
      <c r="JU356" s="1061"/>
      <c r="JV356" s="1670">
        <f>IFERROR(IF(__Retrofit_TI_NC=0,IF(_kWh_Grant=0,0,IF($IB354=TRUE,IF(OR(JV$14="No",JV354=FALSE,$JH356&lt;=$JH354),0,IF(JV$8="Per Line",1,$AF356)),0)),IF($IB354=TRUE,IF(OR(JV$14="No",JV354=FALSE,$JH356&lt;=$JH354),0,IF(JV$8="Per Line",1,$AF356)))),0)</f>
        <v>0</v>
      </c>
      <c r="JX356" s="1670">
        <f>IFERROR(IF(__Retrofit_TI_NC=0,IF(_kWh_Grant=0,0,IF($IB354=TRUE,IF(OR(JX$14="No",JX354=FALSE,$JH356&lt;=$JH354),0,IF(JX$8="Per Line",1,$AF356)),0)),IF($IB354=TRUE,IF(OR(JX$14="No",JX354=FALSE,$JH356&lt;=$JH354),0,IF(JX$8="Per Line",1,$AF356)))),0)</f>
        <v>0</v>
      </c>
      <c r="JZ356" s="1670">
        <f>IFERROR(IF($IB354=TRUE,IF(OR(JZ$14="No",JZ354=FALSE,$JH356&lt;=$JH354,AND(_kWh_Grant=0,$GD354=FALSE)),0,IF(JZ$8="Per Line",1,$AF356)),0),0)</f>
        <v>0</v>
      </c>
      <c r="KB356" s="1670">
        <f>IFERROR(IF(__Retrofit_TI_NC=0,IF(_kWh_Grant=0,0,IF($IB354=TRUE,IF(OR(KB$14="No",KB354=FALSE,$JH356&lt;=$JH354),0,IF(KB$8="Per Line",1,$AF356)),0)),IF($IB354=TRUE,IF(OR(KB$14="No",KB354=FALSE,$JH356&lt;=$JH354),0,IF(KB$8="Per Line",1,$AF356)))),0)</f>
        <v>0</v>
      </c>
    </row>
    <row r="357" spans="1:288" s="78" customFormat="1" ht="14.95" customHeight="1" thickTop="1" thickBot="1">
      <c r="B357" s="1845"/>
      <c r="C357" s="1846"/>
      <c r="D357" s="1847"/>
      <c r="E357" s="1771" t="s">
        <v>436</v>
      </c>
      <c r="F357" s="1772"/>
      <c r="G357" s="1784" t="s">
        <v>437</v>
      </c>
      <c r="H357" s="1785"/>
      <c r="I357" s="1785"/>
      <c r="J357" s="1785"/>
      <c r="K357" s="1785"/>
      <c r="L357" s="1786"/>
      <c r="M357" s="591">
        <f>IFERROR(VLOOKUP(G357,_Daylight_Table[],2,FALSE),0)</f>
        <v>0</v>
      </c>
      <c r="N357" s="592" t="str">
        <f>IF(AND(__Retrofit_TI_NC&gt;0,CQ354="Interior"),"BAM","")</f>
        <v/>
      </c>
      <c r="O357" s="591" t="e">
        <f>VLOOKUP(G356,'Space Table'!$B$3:$L$163,11,FALSE)</f>
        <v>#N/A</v>
      </c>
      <c r="P357" s="1789"/>
      <c r="Q357" s="1790"/>
      <c r="R357" s="1790"/>
      <c r="S357" s="1788"/>
      <c r="T357" s="593" t="s">
        <v>342</v>
      </c>
      <c r="U357" s="1756" t="str" cm="1">
        <f t="array" aca="1" ref="U357" ca="1">IFERROR(VLOOKUP(INDIRECT("U" &amp; ROW()-1),Fixtures!DM$93:DP$142,4,FALSE),"")</f>
        <v/>
      </c>
      <c r="V357" s="1757"/>
      <c r="W357" s="1757"/>
      <c r="X357" s="1757"/>
      <c r="Y357" s="1757"/>
      <c r="Z357" s="1757"/>
      <c r="AA357" s="1758"/>
      <c r="AB357" s="939" t="str">
        <f>IFERROR(VLOOKUP(U356,Fixtures_Proposed_List,2,FALSE),"")</f>
        <v/>
      </c>
      <c r="AC357" s="933" t="str">
        <f>IFERROR(ROUND(T356*AB357*N355*R355/1000,0),"")</f>
        <v/>
      </c>
      <c r="AD357" s="934" t="str">
        <f>IFERROR(ROUND(T356*AB357/1000,2),"")</f>
        <v/>
      </c>
      <c r="AE357" s="998"/>
      <c r="AF357" s="938" t="s">
        <v>342</v>
      </c>
      <c r="AG357" s="1770"/>
      <c r="AH357" s="1770"/>
      <c r="AI357" s="1770"/>
      <c r="AJ357" s="1770"/>
      <c r="AK357" s="1770"/>
      <c r="AL357" s="1770"/>
      <c r="AM357" s="1727"/>
      <c r="AN357" s="1729"/>
      <c r="AO357" s="1731"/>
      <c r="AP357" s="1782"/>
      <c r="AQ357" s="1783"/>
      <c r="AR357" s="1797"/>
      <c r="AS357" s="1797"/>
      <c r="AT357" s="1798"/>
      <c r="AU357" s="1736"/>
      <c r="AV357" s="1753"/>
      <c r="AW357" s="1706"/>
      <c r="AX357" s="468"/>
      <c r="AY357" s="1750"/>
      <c r="AZ357" s="1750"/>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696"/>
      <c r="CQ357" s="1696"/>
      <c r="CR357" s="1809"/>
      <c r="CS357" s="1811"/>
      <c r="CU357" s="1688"/>
      <c r="CV357" s="1703"/>
      <c r="CW357" s="1703"/>
      <c r="CX357" s="1813"/>
      <c r="CY357" s="1815"/>
      <c r="CZ357" s="1711"/>
      <c r="DA357" s="1815"/>
      <c r="DB357" s="1821"/>
      <c r="DC357" s="1821"/>
      <c r="DD357" s="1821"/>
      <c r="DF357" s="1703"/>
      <c r="DG357" s="1831"/>
      <c r="DH357" s="1813"/>
      <c r="DI357" s="1838"/>
      <c r="DJ357" s="1711"/>
      <c r="DK357" s="1712"/>
      <c r="DN357" s="1718"/>
      <c r="DO357" s="1709"/>
      <c r="DQ357" s="1715"/>
      <c r="DR357" s="1720"/>
      <c r="DS357" s="1703"/>
      <c r="DT357" s="1714"/>
      <c r="DU357" s="1715"/>
      <c r="DV357" s="1716"/>
      <c r="DX357" s="1715"/>
      <c r="DY357" s="1720"/>
      <c r="DZ357" s="1715"/>
      <c r="EA357" s="1715"/>
      <c r="EC357" s="1834"/>
      <c r="ED357" s="1834"/>
      <c r="EF357" s="1707"/>
      <c r="EG357" s="1712"/>
      <c r="EH357" s="1815"/>
      <c r="EI357" s="1712"/>
      <c r="EJ357" s="1712"/>
      <c r="EK357" s="1813"/>
      <c r="EL357" s="1813"/>
      <c r="EM357" s="1807"/>
      <c r="EN357" s="1839"/>
      <c r="EO357" s="1839"/>
      <c r="EP357" s="1817"/>
      <c r="EQ357" s="1817"/>
      <c r="ER357" s="1807"/>
      <c r="ES357" s="1807"/>
      <c r="ET357" s="1807"/>
      <c r="EV357" s="1715"/>
      <c r="EX357" s="1806"/>
      <c r="EY357" s="1806"/>
      <c r="EZ357" s="1806"/>
      <c r="FA357" s="1806"/>
      <c r="FB357" s="1806"/>
      <c r="FC357" s="1828"/>
      <c r="FE357" s="1698"/>
      <c r="FG357" s="1703"/>
      <c r="FH357" s="1703"/>
      <c r="FI357" s="133"/>
      <c r="FL357" s="1823"/>
      <c r="FM357" s="1825"/>
      <c r="FN357" s="1698"/>
      <c r="FO357" s="1698"/>
      <c r="FP357" s="1678"/>
      <c r="FQ357" s="1698"/>
      <c r="FS357" s="1687"/>
      <c r="FT357" s="1687"/>
      <c r="FU357" s="1685"/>
      <c r="FV357" s="1687"/>
      <c r="FW357" s="1687"/>
      <c r="FX357" s="1687"/>
      <c r="FY357" s="1697"/>
      <c r="GA357" s="1696"/>
      <c r="GB357" s="1696"/>
      <c r="GC357" s="1696"/>
      <c r="GD357" s="1696"/>
      <c r="GE357" s="1696"/>
      <c r="GF357" s="1696"/>
      <c r="GG357" s="1696"/>
      <c r="GH357" s="1696"/>
      <c r="GI357" s="673"/>
      <c r="GJ357" s="1135"/>
      <c r="GK357" s="1832"/>
      <c r="GN357" s="674">
        <f>IF(GN355=TRUE,0,GN$16)</f>
        <v>0</v>
      </c>
      <c r="GP357" s="674">
        <f>IF(GP355=TRUE,0,GP$16)</f>
        <v>36</v>
      </c>
      <c r="GQ357" s="674">
        <f ca="1">IF(GQ355=TRUE,0,GQ$16)</f>
        <v>35</v>
      </c>
      <c r="GR357" s="391"/>
      <c r="GS357" s="391"/>
      <c r="GT357" s="391"/>
      <c r="GU357" s="391"/>
      <c r="GV357" s="391"/>
      <c r="HG357" s="674">
        <f>IF(HG355=TRUE,0,HG$16)</f>
        <v>0</v>
      </c>
      <c r="HH357" s="674">
        <f t="shared" ref="HH357:HM357" si="313">IF(HH355=TRUE,0,HH$16)</f>
        <v>19</v>
      </c>
      <c r="HI357" s="674">
        <f t="shared" si="313"/>
        <v>18</v>
      </c>
      <c r="HJ357" s="674">
        <f t="shared" si="313"/>
        <v>17</v>
      </c>
      <c r="HK357" s="674">
        <f t="shared" si="313"/>
        <v>16</v>
      </c>
      <c r="HL357" s="674">
        <f t="shared" si="313"/>
        <v>0</v>
      </c>
      <c r="HM357" s="674">
        <f t="shared" si="313"/>
        <v>0</v>
      </c>
      <c r="HN357" s="674">
        <f>IF(HN355=TRUE,0,HN$16)</f>
        <v>13</v>
      </c>
      <c r="HO357" s="674">
        <f t="shared" ref="HO357:HQ357" si="314">IF(HO355=TRUE,0,HO$16)</f>
        <v>0</v>
      </c>
      <c r="HP357" s="674">
        <f t="shared" si="314"/>
        <v>0</v>
      </c>
      <c r="HQ357" s="674">
        <f t="shared" si="314"/>
        <v>10</v>
      </c>
      <c r="HR357" s="674">
        <f>IF(HR355=TRUE,0,HR$16)</f>
        <v>9</v>
      </c>
      <c r="HS357" s="674">
        <f t="shared" ref="HS357:HW357" si="315">IF(HS355=TRUE,0,HS$16)</f>
        <v>0</v>
      </c>
      <c r="HT357" s="674">
        <f t="shared" si="315"/>
        <v>0</v>
      </c>
      <c r="HU357" s="674">
        <f t="shared" si="315"/>
        <v>0</v>
      </c>
      <c r="HV357" s="674">
        <f t="shared" si="315"/>
        <v>0</v>
      </c>
      <c r="HW357" s="674">
        <f t="shared" si="315"/>
        <v>0</v>
      </c>
      <c r="HX357" s="674">
        <f>IF(HX355=TRUE,0,HX$16)</f>
        <v>0</v>
      </c>
      <c r="HY357" s="674">
        <f>IF(HY355=TRUE,0,HY$16)</f>
        <v>0</v>
      </c>
      <c r="HZ357" s="674">
        <f>IF(HZ355=TRUE,0,HZ$16)</f>
        <v>1</v>
      </c>
      <c r="IB357" s="674">
        <f>IF(GP355=FALSE,GP357,IF(GQ355=FALSE,GQ357,MAX(GN357:HZ357)))</f>
        <v>36</v>
      </c>
      <c r="IC357" s="1692"/>
      <c r="ID357" s="205" t="str">
        <f>VLOOKUP(IB357,_Error_Table,3,FALSE)</f>
        <v xml:space="preserve"> </v>
      </c>
      <c r="IE357" s="205"/>
      <c r="IF357" s="1688"/>
      <c r="IG357" s="1689"/>
      <c r="IH357" s="1684"/>
      <c r="IK357" s="1689"/>
      <c r="IL357" s="1692"/>
      <c r="IM357" s="1692"/>
      <c r="IN357" s="1692"/>
      <c r="IP357" s="1679"/>
      <c r="IQ357" s="1679"/>
      <c r="IR357" s="1679"/>
      <c r="IS357" s="1679"/>
      <c r="IT357" s="1679"/>
      <c r="IU357" s="1679"/>
      <c r="IV357" s="1679"/>
      <c r="IW357" s="1679"/>
      <c r="IX357" s="1679"/>
      <c r="IY357" s="1679"/>
      <c r="IZ357" s="1679"/>
      <c r="JA357" s="1679"/>
      <c r="JC357" s="1680"/>
      <c r="JD357" s="1670"/>
      <c r="JE357" s="1681"/>
      <c r="JG357" s="1680"/>
      <c r="JH357" s="1670"/>
      <c r="JI357" s="1060"/>
      <c r="JJ357" s="1670"/>
      <c r="JK357" s="1061"/>
      <c r="JL357" s="1670"/>
      <c r="JM357" s="1061"/>
      <c r="JN357" s="1670"/>
      <c r="JO357" s="1061"/>
      <c r="JP357" s="1670"/>
      <c r="JQ357" s="1061"/>
      <c r="JR357" s="1670"/>
      <c r="JS357" s="1061"/>
      <c r="JT357" s="1670"/>
      <c r="JU357" s="1061"/>
      <c r="JV357" s="1670"/>
      <c r="JX357" s="1670"/>
      <c r="JZ357" s="1670"/>
      <c r="KB357" s="1670"/>
    </row>
    <row r="358" spans="1:288" s="78" customFormat="1" ht="5.0999999999999996" customHeight="1">
      <c r="B358" s="676"/>
      <c r="C358" s="392"/>
      <c r="D358" s="392"/>
      <c r="E358" s="1733"/>
      <c r="F358" s="1733"/>
      <c r="G358" s="1733"/>
      <c r="H358" s="1733"/>
      <c r="I358" s="1733"/>
      <c r="J358" s="1733"/>
      <c r="K358" s="1733"/>
      <c r="L358" s="1733"/>
      <c r="M358" s="1733"/>
      <c r="N358" s="1733"/>
      <c r="O358" s="1733"/>
      <c r="P358" s="1733"/>
      <c r="Q358" s="1733"/>
      <c r="R358" s="1733"/>
      <c r="S358" s="1733"/>
      <c r="T358" s="1733"/>
      <c r="U358" s="1733"/>
      <c r="V358" s="1733"/>
      <c r="W358" s="1733"/>
      <c r="X358" s="1733"/>
      <c r="Y358" s="1733"/>
      <c r="Z358" s="1733"/>
      <c r="AA358" s="1733"/>
      <c r="AB358" s="1733"/>
      <c r="AC358" s="1733"/>
      <c r="AD358" s="1733"/>
      <c r="AE358" s="1733"/>
      <c r="AF358" s="1733"/>
      <c r="AG358" s="1733"/>
      <c r="AH358" s="1733"/>
      <c r="AI358" s="1733"/>
      <c r="AJ358" s="1733"/>
      <c r="AK358" s="1733"/>
      <c r="AL358" s="1733"/>
      <c r="AM358" s="1733"/>
      <c r="AN358" s="1733"/>
      <c r="AO358" s="1733"/>
      <c r="AP358" s="1733"/>
      <c r="AQ358" s="1733"/>
      <c r="AR358" s="1733"/>
      <c r="AS358" s="1733"/>
      <c r="AT358" s="1733"/>
      <c r="AU358" s="1733"/>
      <c r="AV358" s="1733"/>
      <c r="AW358" s="1733"/>
      <c r="AX358" s="469"/>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663"/>
      <c r="CQ358" s="663"/>
      <c r="CR358" s="438"/>
      <c r="CS358" s="663"/>
      <c r="CV358" s="391"/>
      <c r="CW358" s="391"/>
      <c r="CX358" s="207"/>
      <c r="CY358" s="208"/>
      <c r="CZ358" s="208"/>
      <c r="DA358" s="208"/>
      <c r="DB358" s="209"/>
      <c r="DC358" s="209"/>
      <c r="DD358" s="209"/>
      <c r="DF358" s="664"/>
      <c r="DG358" s="665"/>
      <c r="DH358" s="666"/>
      <c r="DI358" s="667"/>
      <c r="DJ358" s="668"/>
      <c r="DK358" s="668"/>
      <c r="DN358" s="208"/>
      <c r="DO358" s="664"/>
      <c r="DQ358" s="664"/>
      <c r="DR358" s="669"/>
      <c r="DS358" s="391"/>
      <c r="DT358" s="664"/>
      <c r="DU358" s="664"/>
      <c r="DV358" s="664"/>
      <c r="DX358" s="664"/>
      <c r="DY358" s="664"/>
      <c r="DZ358" s="664"/>
      <c r="EA358" s="664"/>
      <c r="EC358" s="670"/>
      <c r="ED358" s="670"/>
      <c r="EF358" s="668"/>
      <c r="EG358" s="668"/>
      <c r="EH358" s="208"/>
      <c r="EI358" s="668"/>
      <c r="EJ358" s="668"/>
      <c r="EK358" s="207"/>
      <c r="EL358" s="207"/>
      <c r="EM358" s="666"/>
      <c r="EN358" s="671"/>
      <c r="EO358" s="671"/>
      <c r="EP358" s="672"/>
      <c r="EQ358" s="672"/>
      <c r="ER358" s="666"/>
      <c r="ES358" s="666"/>
      <c r="ET358" s="666"/>
      <c r="EV358" s="664"/>
      <c r="EX358" s="391"/>
      <c r="EY358" s="391"/>
      <c r="EZ358" s="391"/>
      <c r="FA358" s="391"/>
      <c r="FB358" s="391"/>
      <c r="FC358" s="391"/>
      <c r="FE358" s="569"/>
      <c r="FG358" s="391"/>
      <c r="FH358" s="391"/>
      <c r="FI358" s="391"/>
      <c r="FS358" s="664"/>
      <c r="FT358" s="391"/>
      <c r="FU358" s="391"/>
      <c r="FV358" s="664"/>
      <c r="FW358" s="664"/>
      <c r="GA358" s="663"/>
      <c r="GB358" s="663"/>
      <c r="GC358" s="663"/>
      <c r="GD358" s="663"/>
      <c r="GE358" s="663"/>
      <c r="GF358" s="663"/>
      <c r="GG358" s="663"/>
      <c r="GH358" s="663"/>
      <c r="GI358" s="665"/>
      <c r="GJ358" s="664"/>
      <c r="GK358" s="664"/>
    </row>
    <row r="359" spans="1:288" s="78" customFormat="1" ht="14.95" customHeight="1">
      <c r="B359" s="1845" t="str">
        <f>ID362</f>
        <v xml:space="preserve"> </v>
      </c>
      <c r="C359" s="1846">
        <f>C354+1</f>
        <v>61</v>
      </c>
      <c r="D359" s="1847"/>
      <c r="E359" s="1799" t="s">
        <v>295</v>
      </c>
      <c r="F359" s="1800"/>
      <c r="G359" s="1741"/>
      <c r="H359" s="1742"/>
      <c r="I359" s="1742"/>
      <c r="J359" s="1742"/>
      <c r="K359" s="1742"/>
      <c r="L359" s="1742"/>
      <c r="M359" s="1742"/>
      <c r="N359" s="1742"/>
      <c r="O359" s="1742"/>
      <c r="P359" s="1742"/>
      <c r="Q359" s="1742"/>
      <c r="R359" s="1742"/>
      <c r="S359" s="1791" t="s">
        <v>344</v>
      </c>
      <c r="T359" s="590"/>
      <c r="U359" s="1743"/>
      <c r="V359" s="1744"/>
      <c r="W359" s="1744"/>
      <c r="X359" s="1744"/>
      <c r="Y359" s="1744"/>
      <c r="Z359" s="1744"/>
      <c r="AA359" s="1744"/>
      <c r="AB359" s="961" t="str">
        <f>IFERROR(IF(__Retrofit_TI_NC=0,VLOOKUP(U360,Fixtures_Existing_List,2,FALSE),ROUND(N361*R361/T361,10)),"")</f>
        <v/>
      </c>
      <c r="AC359" s="935" t="str">
        <f>IFERROR(IF(__Retrofit_TI_NC=0,ROUND(T360*AB359*N360*R360/1000,0),IF(CQ359="Interior",N361*R361*R360*N360*_C406_reduction/1000,N361*R361*R360*N360/1000)),"")</f>
        <v/>
      </c>
      <c r="AD359" s="936" t="str">
        <f>IFERROR(IF(C$43=0,ROUND(T360*AB359/1000,2),N361*R361/1000),"")</f>
        <v/>
      </c>
      <c r="AE359" s="997"/>
      <c r="AF359" s="937"/>
      <c r="AG359" s="1745" t="str">
        <f>IF(__Retrofit_TI_NC=0," Control","Select Advanced Control for New System")</f>
        <v xml:space="preserve"> Control</v>
      </c>
      <c r="AH359" s="1745"/>
      <c r="AI359" s="1745"/>
      <c r="AJ359" s="1745"/>
      <c r="AK359" s="1745"/>
      <c r="AL359" s="1745"/>
      <c r="AM359" s="1746">
        <f>IFERROR(DI359,"")</f>
        <v>0</v>
      </c>
      <c r="AN359" s="1774" t="str">
        <f>IFERROR(ROUND(AM359*AC359,0),"")</f>
        <v/>
      </c>
      <c r="AO359" s="1776">
        <f>IFERROR(IF(IB359=FALSE,0,AC359-AN359),0)</f>
        <v>0</v>
      </c>
      <c r="AP359" s="1778">
        <f>AO359-AO361</f>
        <v>0</v>
      </c>
      <c r="AQ359" s="1779"/>
      <c r="AR359" s="1793">
        <f>IFERROR(IF(IB359=FALSE,0,(T361*U362)+(AF361*AG362)),0)</f>
        <v>0</v>
      </c>
      <c r="AS359" s="1793"/>
      <c r="AT359" s="1794"/>
      <c r="AU359" s="1734" t="s">
        <v>237</v>
      </c>
      <c r="AV359" s="1751">
        <f>IF(AU359="Yes",1,0)</f>
        <v>1</v>
      </c>
      <c r="AW359" s="1704" t="str">
        <f>IF(OR(DQ359=4,DQ359=5,DQ359=6,DQ359=12),CONCATENATE("$",IF(GH359=TRUE,Lookup!$K$10,Lookup!$K$2)," /lamp"),CONCATENATE(TEXT(ED359,"$0.00"),"/ kWh"))</f>
        <v>$0.00/ kWh</v>
      </c>
      <c r="AX359" s="467"/>
      <c r="AY359" s="1748">
        <f ca="1">IFERROR(IF(GM360=TRUE,(AB362*T361)/R361,0),"NA")</f>
        <v>0</v>
      </c>
      <c r="AZ359" s="1748"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696" t="str">
        <f>N360</f>
        <v/>
      </c>
      <c r="CQ359" s="1696" t="str">
        <f>IFERROR(VLOOKUP(G360,_Lookup_Heat_Type_Table_New,3,FALSE),"")</f>
        <v/>
      </c>
      <c r="CR359" s="1808" t="str">
        <f>CQ359</f>
        <v/>
      </c>
      <c r="CS359" s="1810" t="str">
        <f>IFERROR(VLOOKUP(G361,'Space Table'!$B$3:$L$163,9,FALSE),"")</f>
        <v/>
      </c>
      <c r="CU359" s="1688" t="s">
        <v>344</v>
      </c>
      <c r="CV359" s="1702">
        <f>IF(IB359=TRUE,T360,0)</f>
        <v>0</v>
      </c>
      <c r="CW359" s="1702" t="str">
        <f>IF(IB359=TRUE,U360,"")</f>
        <v/>
      </c>
      <c r="CX359" s="1702"/>
      <c r="CY359" s="1814">
        <f>IF(IB359=TRUE,AB359,0)</f>
        <v>0</v>
      </c>
      <c r="CZ359" s="1710">
        <f>IF(AND(__Retrofit_TI_NC&gt;0,CR359="interior"),0,IF(IB359=TRUE,AC359,0))</f>
        <v>0</v>
      </c>
      <c r="DA359" s="1814">
        <f>IFERROR(IF(IB359=TRUE,CZ359-CZ361,0),0)</f>
        <v>0</v>
      </c>
      <c r="DB359" s="1819">
        <f>IF(IB359=TRUE,AD359,0)</f>
        <v>0</v>
      </c>
      <c r="DC359" s="1819">
        <f>IF(IB359=TRUE,AD362,0)</f>
        <v>0</v>
      </c>
      <c r="DD359" s="1819">
        <f>IFERROR(DB359-DC359,0)</f>
        <v>0</v>
      </c>
      <c r="DF359" s="1702">
        <f>IF(IB359=TRUE,AF360,0)</f>
        <v>0</v>
      </c>
      <c r="DG359" s="1830">
        <f>IFERROR(IF(__Retrofit_TI_NC=2,IF(CQ359="Exterior",O362,FQ359),FN359),"")</f>
        <v>0</v>
      </c>
      <c r="DH359" s="1702"/>
      <c r="DI359" s="1837">
        <f>JE359</f>
        <v>0</v>
      </c>
      <c r="DJ359" s="1710">
        <f>IF(AND(__Retrofit_TI_NC&gt;0,CR359="interior"),0,IF(IB359=TRUE,AN359,0))</f>
        <v>0</v>
      </c>
      <c r="DK359" s="1712">
        <f>IFERROR(IF(IB359=TRUE,DJ361-DJ359,0),0)</f>
        <v>0</v>
      </c>
      <c r="DM359" s="1717">
        <f>IFERROR(CZ359-DJ359,0)</f>
        <v>0</v>
      </c>
      <c r="DO359" s="1708">
        <f>DM359-DN361</f>
        <v>0</v>
      </c>
      <c r="DQ359" s="1715" t="str">
        <f>IFERROR(IF(AND(OR(GC359=4,GC359=5,GC359=6),OR(GF359=4,GF359=5,GF359=6)),GC359+8,VLOOKUP(CW361,Fixtures!R$31:Y$78,8,FALSE)),"")</f>
        <v/>
      </c>
      <c r="DR359" s="1829" t="str">
        <f>DQ359</f>
        <v/>
      </c>
      <c r="DS359" s="1702" t="str">
        <f>IFERROR(VLOOKUP(DG361,Lookup!BB$3:BC$20,2,FALSE),"")</f>
        <v/>
      </c>
      <c r="DT359" s="1713" t="str">
        <f>IF(OR(DS359=7,DS359=8,DS359=9),"ALC","")</f>
        <v/>
      </c>
      <c r="DU359" s="1715">
        <f>IFERROR(IF(OR(DQ359=4,DQ359=5,DQ359=6,DQ359=12,DQ359=13,DQ359=14),VLOOKUP(CW361,Fixtures!DN$27:EG$77,19,FALSE),1)*CV361,0)</f>
        <v>0</v>
      </c>
      <c r="DV359" s="1716">
        <f>IF(OR(DS359=7,DS359=8,DS359=9),IF(DG359=DG361,0,DF361),0)</f>
        <v>0</v>
      </c>
      <c r="DX359" s="1715" t="str">
        <f>IFERROR(IF(EZ359&lt;EZ361,"Yes","No"),"")</f>
        <v/>
      </c>
      <c r="DY359" s="1829" t="str">
        <f>DX359</f>
        <v/>
      </c>
      <c r="DZ359" s="1715">
        <f>IF(DX359="Yes",DF361,0)</f>
        <v>0</v>
      </c>
      <c r="EA359" s="1715">
        <f>DZ359-DV359</f>
        <v>0</v>
      </c>
      <c r="EC359" s="1834">
        <f>IFERROR(VLOOKUP(DQ359,Lookup!AU$3:AV$16,2,FALSE),0)</f>
        <v>0</v>
      </c>
      <c r="ED359" s="1834">
        <f>IF(IB359=FALSE,0,IF(DX359="Yes",EC359+Lookup!K$6,EC359))</f>
        <v>0</v>
      </c>
      <c r="EF359" s="1707">
        <f>IF(IB359=TRUE,DM359,0)</f>
        <v>0</v>
      </c>
      <c r="EG359" s="1712">
        <f>IF(IB359=TRUE,CZ361,0)</f>
        <v>0</v>
      </c>
      <c r="EH359" s="1814">
        <f>IFERROR(EF359-EG359,0)</f>
        <v>0</v>
      </c>
      <c r="EI359" s="1712">
        <f>IF(IB359=TRUE,DJ361,0)</f>
        <v>0</v>
      </c>
      <c r="EJ359" s="1712">
        <f>IFERROR(EF359-EG359+EI359,0)</f>
        <v>0</v>
      </c>
      <c r="EK359" s="1812">
        <f>IF(IB359=TRUE,CV361*CX361,0)</f>
        <v>0</v>
      </c>
      <c r="EL359" s="1812">
        <f>IF(IB359=TRUE,DF361*DH361,0)</f>
        <v>0</v>
      </c>
      <c r="EM359" s="1807">
        <f>AR359</f>
        <v>0</v>
      </c>
      <c r="EN359" s="1839" t="str">
        <f>IFERROR(IF(IB359=TRUE,VLOOKUP(DQ359,Lookup!AU$3:AW$16,3,FALSE)*DU359,""),0)</f>
        <v/>
      </c>
      <c r="EO359" s="1839">
        <f>IF(IB359=TRUE,DZ359*Lookup!AW$12,0)</f>
        <v>0</v>
      </c>
      <c r="EP359" s="1817">
        <f>IFERROR(IF(IB359=TRUE,EN359/EP$40,0),0)</f>
        <v>0</v>
      </c>
      <c r="EQ359" s="1817">
        <f>IF(IB359=TRUE,EO359/EQ$40,0)</f>
        <v>0</v>
      </c>
      <c r="ER359" s="1807">
        <f>IF(IB359=TRUE,ET$40*EP359,0)</f>
        <v>0</v>
      </c>
      <c r="ES359" s="1807">
        <f>IF(IB359=TRUE,ET$40*EQ359,0)</f>
        <v>0</v>
      </c>
      <c r="ET359" s="1807">
        <f>ER359+ES359</f>
        <v>0</v>
      </c>
      <c r="EV359" s="1715">
        <f>IF(G359="",0,1)</f>
        <v>0</v>
      </c>
      <c r="EX359" s="1804" t="str">
        <f>IFERROR(VLOOKUP(CS361,'Space Table'!$B$3:$L$163,8,FALSE),"")</f>
        <v/>
      </c>
      <c r="EY359" s="1804" t="str">
        <f>IFERROR(IF(FB359="Yes",VLOOKUP(DG359,Lookup_Control_Type_Table2,4,FALSE),VLOOKUP(DG359,Lookup_Control_Type_Table2,3,FALSE)),"")</f>
        <v/>
      </c>
      <c r="EZ359" s="1804" t="e">
        <f>VLOOKUP(DG359,Lookup!BB$3:BC$20,2,FALSE)</f>
        <v>#N/A</v>
      </c>
      <c r="FA359" s="1804" t="e">
        <f>VLOOKUP(EX359,Lookup_Control_Type_Table,2,FALSE)</f>
        <v>#N/A</v>
      </c>
      <c r="FB359" s="1804" t="e">
        <f>VLOOKUP(CS361,'Space Table'!$B$3:$L$163,7,FALSE)</f>
        <v>#N/A</v>
      </c>
      <c r="FC359" s="1826" t="b">
        <f>ISNUMBER(SEARCH("TLED",U361))</f>
        <v>0</v>
      </c>
      <c r="FE359" s="1698" t="str">
        <f>CONCATENATE(CQ359," - ",DG359)</f>
        <v xml:space="preserve"> - 0</v>
      </c>
      <c r="FG359" s="1702" t="str">
        <f>VLOOKUP(CW361,Fixtures!DN$27:EZ$77,38,FALSE)</f>
        <v/>
      </c>
      <c r="FH359" s="1702">
        <f>IFERROR(FG359*EH359,0)</f>
        <v>0</v>
      </c>
      <c r="FI359" s="133"/>
      <c r="FL359" s="1822" t="str">
        <f>IF(CQ359="Exterior","Not Daylighted",G362)</f>
        <v>Not Daylighted</v>
      </c>
      <c r="FM359" s="1824">
        <f>VLOOKUP(FL359,_New_Daylight_Table_Codes,2,FALSE)</f>
        <v>0</v>
      </c>
      <c r="FN359" s="1698">
        <f>IF(__Retrofit_TI_NC&gt;0,VLOOKUP(G361,'Space Table'!$B$3:$L$163,11,FALSE),AG360)</f>
        <v>0</v>
      </c>
      <c r="FO359" s="1698" t="e">
        <f>IF(__Retrofit_TI_NC=2,VLOOKUP(FQ359,_Control_Table,2,FALSE),VLOOKUP(FN359,_Control_Table,2,FALSE))</f>
        <v>#N/A</v>
      </c>
      <c r="FP359" s="1678" t="e">
        <f>VLOOKUP(CONCATENATE(FL359," ",FN359),Lookup!AY$102:AZ369,2,FALSE)</f>
        <v>#N/A</v>
      </c>
      <c r="FQ359" s="1678">
        <f>IF(__Retrofit_TI_NC=0,FN359,IF(AND(FT359&gt;0,FN359="Occupancy Sensor"),"Daylight + Occupancy",IF(AND(FT359&gt;0,VLOOKUP(FN359,_Control_Table,2,FALSE)&lt;4),"Interior Daylight Dimming",FN359)))</f>
        <v>0</v>
      </c>
      <c r="FS359" s="1686">
        <f>IF(CR359="Interior",VLOOKUP(CS359,Control_Savings_Interior,5,FALSE),0)</f>
        <v>0</v>
      </c>
      <c r="FT359" s="1687">
        <f>IF(CQ359="Exterior",0,IF(FM359=2,0.5,IF(OR(FM359=1,FM359=3),1,0)))</f>
        <v>0</v>
      </c>
      <c r="FU359" s="1685">
        <f>IF(R358&gt;FS$44,(FS359*(FS$44/R358)),FS359)*FT359</f>
        <v>0</v>
      </c>
      <c r="FV359" s="1686">
        <f>DI359</f>
        <v>0</v>
      </c>
      <c r="FW359" s="1686">
        <f>ROUND(FV359+((1-FV359)*FU359),2)</f>
        <v>0</v>
      </c>
      <c r="FX359" s="1686">
        <f>IF(__Retrofit_TI_NC=2,FW359,FV359)</f>
        <v>0</v>
      </c>
      <c r="FY359" s="1697"/>
      <c r="GA359" s="1696" t="str">
        <f>IFERROR(VLOOKUP(U360,_Exist_Fixture_Table,3,FALSE),"")</f>
        <v/>
      </c>
      <c r="GB359" s="1696" t="str">
        <f>VLOOKUP(CW359,_Exist_Fixture_Table,4,FALSE)</f>
        <v/>
      </c>
      <c r="GC359" s="1696">
        <f>IFERROR(VLOOKUP(GB359,Lookup!AT$6:AU$8,2,FALSE),0)</f>
        <v>0</v>
      </c>
      <c r="GD359" s="1696" t="b">
        <f>IFERROR(IF(OR(GF359=4,GF359=5,GF359=6),TRUE,FALSE),"")</f>
        <v>0</v>
      </c>
      <c r="GE359" s="1696" t="str">
        <f>IFERROR(VLOOKUP(GF359,GC$6:GD$10,2,FALSE),"")</f>
        <v/>
      </c>
      <c r="GF359" s="1696" t="str">
        <f>VLOOKUP(CW361,Fixtures!R$31:Y$78,8,FALSE)</f>
        <v/>
      </c>
      <c r="GG359" s="1696">
        <f>IF(AND(GA359=TRUE,GD359=TRUE,OR(DQ359=12,DQ359=13,DQ359=14)),GC359+8,0)</f>
        <v>0</v>
      </c>
      <c r="GH359" s="1696" t="b">
        <f>IF(OR(GG359=12,GG359=13,GG359=14),TRUE,FALSE)</f>
        <v>0</v>
      </c>
      <c r="GI359" s="673" t="b">
        <f>IF(ISNUMBER(SEARCH("TLED",U360)),TRUE,FALSE)</f>
        <v>0</v>
      </c>
      <c r="GJ359" s="1135" t="str">
        <f>IFERROR(VLOOKUP(U360,Fixtures!BM$93:BR$142,6,FALSE),"")</f>
        <v/>
      </c>
      <c r="GK359" s="1832" t="b">
        <f>IF(OR(GI359=FALSE,GI361=FALSE),TRUE,IF(GJ359-GJ361&lt;5,FALSE,TRUE))</f>
        <v>1</v>
      </c>
      <c r="GO359" s="674">
        <f>GP359</f>
        <v>0</v>
      </c>
      <c r="GP359" s="674">
        <f>IF(G359="",0,1)</f>
        <v>0</v>
      </c>
      <c r="GQ359" s="674">
        <f ca="1">SUM(GR359:HF359)</f>
        <v>2</v>
      </c>
      <c r="GR359" s="674">
        <f>IF(G360="",0,1)</f>
        <v>0</v>
      </c>
      <c r="GS359" s="674">
        <f>IF(N362="BAM",1,IF(G361="",0,1))</f>
        <v>0</v>
      </c>
      <c r="GT359" s="674">
        <f>IF(N362="BAM",1,IF(R360="",0,1))</f>
        <v>0</v>
      </c>
      <c r="GU359" s="674">
        <f>IF(N362="BAM",1,IF(__Retrofit_TI_NC=0,1,IF(R361="",0,1)))</f>
        <v>1</v>
      </c>
      <c r="GV359" s="674">
        <f>IF(N362="BAM",1,IF(CQ359="Exterior",1,IF(G362="",0,1)))</f>
        <v>1</v>
      </c>
      <c r="GW359" s="674">
        <f>IF(__Retrofit_TI_NC&gt;0,1,IF(T360="",0,1))</f>
        <v>0</v>
      </c>
      <c r="GX359" s="674">
        <f>IF(__Retrofit_TI_NC&gt;0,1,IF(U360="",0,1))</f>
        <v>0</v>
      </c>
      <c r="GY359" s="674">
        <f>IF(N362="BAM",1,IF(T361="",0,1))</f>
        <v>0</v>
      </c>
      <c r="GZ359" s="674">
        <f>IF(N362="BAM",1,IF(U361="",0,1))</f>
        <v>0</v>
      </c>
      <c r="HA359" s="674">
        <f ca="1">IF(N362="BAM",1,IF(__Retrofit_TI_NC&gt;0,1,IF(U362="",0,1)))</f>
        <v>0</v>
      </c>
      <c r="HB359" s="674">
        <f>IF(__Retrofit_TI_NC&lt;&gt;0,1,IF(AF360="",0,1))</f>
        <v>0</v>
      </c>
      <c r="HC359" s="674">
        <f>IF(__Retrofit_TI_NC&lt;&gt;0,1,IF(AG360="",0,1))</f>
        <v>0</v>
      </c>
      <c r="HD359" s="674">
        <f>IF(N362="BAM",1,IF(AF361="",0,1))</f>
        <v>0</v>
      </c>
      <c r="HE359" s="674">
        <f>IF(N362="BAM",1,IF(AG361="",0,1))</f>
        <v>0</v>
      </c>
      <c r="HF359" s="674">
        <f>IF(N362="BAM",1,IF(__Retrofit_TI_NC&gt;0,1,IF(AG362="",0,1)))</f>
        <v>0</v>
      </c>
      <c r="HG359" s="391"/>
      <c r="IA359" s="391"/>
      <c r="IB359" s="1693" t="b">
        <f>IF(OR(IB362=0,IB362=HY$16,IB362=HX$16,IB362=HZ$16),TRUE,FALSE)</f>
        <v>0</v>
      </c>
      <c r="IC359" s="1694" t="b">
        <f>IB359</f>
        <v>0</v>
      </c>
      <c r="ID359" s="391"/>
      <c r="IE359" s="391"/>
      <c r="IF359" s="1688" t="b">
        <f ca="1">IF(MAX(GN362:HU362)&gt;5,FALSE,TRUE)</f>
        <v>0</v>
      </c>
      <c r="IG359" s="1689">
        <f ca="1">IF(IF359=TRUE,AC359,0)</f>
        <v>0</v>
      </c>
      <c r="IH359" s="1689">
        <f ca="1">IG359-IG361</f>
        <v>0</v>
      </c>
      <c r="IK359" s="1689" t="e">
        <f>ROUND(T360*VLOOKUP(U360,Fixtures_Existing_List,2,FALSE)*N360*R360/1000,0)</f>
        <v>#N/A</v>
      </c>
      <c r="IL359" s="1690" t="e">
        <f>IK359-IK361</f>
        <v>#N/A</v>
      </c>
      <c r="IM359" s="1693" t="e">
        <f>ROUND(IF(CQ359="Interior",N361*R361*R360*N360*_C406_reduction/1000,N361*R361*R360*N360/1000),0)</f>
        <v>#N/A</v>
      </c>
      <c r="IN359" s="1693" t="e">
        <f>IM359-IM361</f>
        <v>#N/A</v>
      </c>
      <c r="IP359" s="1679"/>
      <c r="IQ359" s="1679" t="e">
        <f t="shared" ref="IQ359:IU359" si="316">IF($CR359="interior",VLOOKUP($CS359,_New_Control_Savings_Interior,IQ$30,FALSE),VLOOKUP($CS359,Control_Savings_Exterior,IQ$30,FALSE))</f>
        <v>#N/A</v>
      </c>
      <c r="IR359" s="1679" t="e">
        <f t="shared" si="316"/>
        <v>#N/A</v>
      </c>
      <c r="IS359" s="1679" t="e">
        <f t="shared" si="316"/>
        <v>#N/A</v>
      </c>
      <c r="IT359" s="1679" t="e">
        <f t="shared" si="316"/>
        <v>#N/A</v>
      </c>
      <c r="IU359" s="1679" t="e">
        <f t="shared" si="316"/>
        <v>#N/A</v>
      </c>
      <c r="IV359" s="1679" t="e">
        <f>IF($CR359="interior",IF(R360&gt;$IP$14,ROUND(($IV$18*($IP$14/R360)),2),$IV$18),VLOOKUP($CS359,Control_Savings_Exterior,IV$30,FALSE))</f>
        <v>#N/A</v>
      </c>
      <c r="IW359" s="1679" t="e">
        <f>IF($CR359="interior",ROUND(((1-IS359)*IV359)+IS359,2),VLOOKUP($CS359,Control_Savings_Exterior,IW$30,FALSE))</f>
        <v>#N/A</v>
      </c>
      <c r="IX359" s="1679" t="e">
        <f>IF($CR359="interior",ROUND(((1-IT359)*IV359)+IT359,2),VLOOKUP($CS359,Control_Savings_Exterior,IX$30,FALSE))</f>
        <v>#N/A</v>
      </c>
      <c r="IY359" s="1679" t="e">
        <f>IF($CR359="interior",IF(R360&gt;$IP$14,ROUND(($IY$18*($IP$14/R360)),2),$IY$18),VLOOKUP($CS359,Control_Savings_Exterior,IY$30,FALSE))</f>
        <v>#N/A</v>
      </c>
      <c r="IZ359" s="1679" t="e">
        <f>IF($CR359="interior",ROUND(((1-IS359)*IY359)+IS359,2),VLOOKUP($CS359,Control_Savings_Exterior,IZ$30,FALSE))</f>
        <v>#N/A</v>
      </c>
      <c r="JA359" s="1679" t="e">
        <f>IF($CR359="interior",ROUND(((1-IT359)*IY359)+IT359,2),VLOOKUP($CS359,Control_Savings_Exterior,JA$30,FALSE))</f>
        <v>#N/A</v>
      </c>
      <c r="JC359" s="1680">
        <f>IFERROR(IF(CR359="Interior",CONCATENATE(G362," ",FQ359),FQ359),"")</f>
        <v>0</v>
      </c>
      <c r="JD359" s="1670" t="str">
        <f>IFERROR(VLOOKUP(JC359,_Controls_2023,2,FALSE),"")</f>
        <v/>
      </c>
      <c r="JE359" s="1681">
        <f>IFERROR(CHOOSE(JD359-1,IQ359,IR359,IS359,IT359,IU359,IV359,IW359,IX359,IY359,IZ359,JA359),0)</f>
        <v>0</v>
      </c>
      <c r="JG359" s="1680" t="str">
        <f>FE359</f>
        <v xml:space="preserve"> - 0</v>
      </c>
      <c r="JH359" s="1670" t="e">
        <f>$FO359</f>
        <v>#N/A</v>
      </c>
      <c r="JI359" s="1060"/>
      <c r="JJ359" s="1682" t="b">
        <f>IF($JG361=CONCATENATE("Interior - ",JJ$4),TRUE,FALSE)</f>
        <v>0</v>
      </c>
      <c r="JK359" s="1061"/>
      <c r="JL359" s="1682" t="b">
        <f>IF($JG361=CONCATENATE("Interior - ",JL$4),TRUE,FALSE)</f>
        <v>0</v>
      </c>
      <c r="JM359" s="1061"/>
      <c r="JN359" s="1682" t="b">
        <f>IF($JG361=CONCATENATE("Interior - ",JN$4),TRUE,FALSE)</f>
        <v>0</v>
      </c>
      <c r="JO359" s="1061"/>
      <c r="JP359" s="1682" t="b">
        <f>IF(__Retrofit_TI_NC&gt;0,FALSE,IF($JG361=CONCATENATE("Interior - ",JP$4),TRUE,FALSE))</f>
        <v>0</v>
      </c>
      <c r="JQ359" s="1061"/>
      <c r="JR359" s="1682" t="b">
        <f>IF(__Retrofit_TI_NC&gt;0,FALSE,IF($JG361=CONCATENATE("Interior - ",JR$4),TRUE,FALSE))</f>
        <v>0</v>
      </c>
      <c r="JS359" s="1061"/>
      <c r="JT359" s="1670" t="b">
        <f>IF(__Retrofit_TI_NC&gt;0,FALSE,IF($JG361=CONCATENATE("Interior - ",JT$4),TRUE,FALSE))</f>
        <v>0</v>
      </c>
      <c r="JU359" s="1061"/>
      <c r="JV359" s="1670" t="b">
        <f>IF(JC361="AELC on Existing",TRUE,FALSE)</f>
        <v>0</v>
      </c>
      <c r="JX359" s="1670" t="b">
        <f>IF(OR(JG361="Exterior - AELC Occupancy based",JG361="Exterior - AELC Time based"),TRUE,FALSE)</f>
        <v>0</v>
      </c>
      <c r="JZ359" s="1682" t="b">
        <f>IF($JG361=CONCATENATE("Exterior - ",JZ$4),TRUE,FALSE)</f>
        <v>0</v>
      </c>
      <c r="KB359" s="1670" t="b">
        <f>IF(__Retrofit_TI_NC&gt;0,FALSE,IF($JG361=CONCATENATE("Interior - ",KB$4),TRUE,FALSE))</f>
        <v>0</v>
      </c>
    </row>
    <row r="360" spans="1:288" s="78" customFormat="1" ht="14.95" customHeight="1" thickTop="1" thickBot="1">
      <c r="B360" s="1845"/>
      <c r="C360" s="1846"/>
      <c r="D360" s="1847"/>
      <c r="E360" s="1737" t="s">
        <v>297</v>
      </c>
      <c r="F360" s="1738"/>
      <c r="G360" s="1739"/>
      <c r="H360" s="1739"/>
      <c r="I360" s="1739"/>
      <c r="J360" s="1739"/>
      <c r="K360" s="1739"/>
      <c r="L360" s="1739"/>
      <c r="M360" s="461" t="e">
        <f>IF(__Retrofit_TI_NC&lt;&gt;0,IF(VLOOKUP(G361,'Space Table'!$B$3:$L$163,3,FALSE)&gt;0,1,0),IF(__Retrofit_TI_NC=VLOOKUP(G361,'Space Table'!$B$3:$L$163,3,FALSE),1,0))</f>
        <v>#N/A</v>
      </c>
      <c r="N360" s="461" t="str">
        <f>IFERROR(VLOOKUP(G360,_Lookup_Heat_Type_Table_New,2,FALSE),"")</f>
        <v/>
      </c>
      <c r="O360" s="461">
        <f>IF(__Retrofit_TI_NC=1,CONCATENATE("TI ",G360),IF(__Retrofit_TI_NC=2,CONCATENATE("NC ",G360),G360))</f>
        <v>0</v>
      </c>
      <c r="P360" s="1740" t="s">
        <v>435</v>
      </c>
      <c r="Q360" s="1740"/>
      <c r="R360" s="595"/>
      <c r="S360" s="1792"/>
      <c r="T360" s="597"/>
      <c r="U360" s="1765"/>
      <c r="V360" s="1766"/>
      <c r="W360" s="1766"/>
      <c r="X360" s="1766"/>
      <c r="Y360" s="1766"/>
      <c r="Z360" s="1766"/>
      <c r="AA360" s="1766"/>
      <c r="AB360" s="1766"/>
      <c r="AC360" s="1766"/>
      <c r="AD360" s="1767"/>
      <c r="AE360" s="1000"/>
      <c r="AF360" s="597"/>
      <c r="AG360" s="1723"/>
      <c r="AH360" s="1724"/>
      <c r="AI360" s="1724"/>
      <c r="AJ360" s="1724"/>
      <c r="AK360" s="1725"/>
      <c r="AL360" s="996"/>
      <c r="AM360" s="1747"/>
      <c r="AN360" s="1775"/>
      <c r="AO360" s="1777"/>
      <c r="AP360" s="1780"/>
      <c r="AQ360" s="1781"/>
      <c r="AR360" s="1795"/>
      <c r="AS360" s="1795"/>
      <c r="AT360" s="1796"/>
      <c r="AU360" s="1735"/>
      <c r="AV360" s="1752"/>
      <c r="AW360" s="1705"/>
      <c r="AX360" s="467"/>
      <c r="AY360" s="1749"/>
      <c r="AZ360" s="1749"/>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696"/>
      <c r="CQ360" s="1696"/>
      <c r="CR360" s="1809"/>
      <c r="CS360" s="1811"/>
      <c r="CU360" s="1688"/>
      <c r="CV360" s="1703"/>
      <c r="CW360" s="1703"/>
      <c r="CX360" s="1703"/>
      <c r="CY360" s="1815"/>
      <c r="CZ360" s="1711"/>
      <c r="DA360" s="1818"/>
      <c r="DB360" s="1820"/>
      <c r="DC360" s="1820"/>
      <c r="DD360" s="1820"/>
      <c r="DF360" s="1703"/>
      <c r="DG360" s="1831"/>
      <c r="DH360" s="1703"/>
      <c r="DI360" s="1838"/>
      <c r="DJ360" s="1711"/>
      <c r="DK360" s="1712"/>
      <c r="DM360" s="1718"/>
      <c r="DO360" s="1708"/>
      <c r="DQ360" s="1715"/>
      <c r="DR360" s="1720"/>
      <c r="DS360" s="1816"/>
      <c r="DT360" s="1714"/>
      <c r="DU360" s="1715"/>
      <c r="DV360" s="1716"/>
      <c r="DX360" s="1715"/>
      <c r="DY360" s="1720"/>
      <c r="DZ360" s="1715"/>
      <c r="EA360" s="1715"/>
      <c r="EC360" s="1834"/>
      <c r="ED360" s="1834"/>
      <c r="EF360" s="1707"/>
      <c r="EG360" s="1712"/>
      <c r="EH360" s="1818"/>
      <c r="EI360" s="1712"/>
      <c r="EJ360" s="1712"/>
      <c r="EK360" s="1836"/>
      <c r="EL360" s="1836"/>
      <c r="EM360" s="1807"/>
      <c r="EN360" s="1839"/>
      <c r="EO360" s="1839"/>
      <c r="EP360" s="1817"/>
      <c r="EQ360" s="1817"/>
      <c r="ER360" s="1807"/>
      <c r="ES360" s="1807"/>
      <c r="ET360" s="1807"/>
      <c r="EV360" s="1715"/>
      <c r="EX360" s="1805"/>
      <c r="EY360" s="1805"/>
      <c r="EZ360" s="1805"/>
      <c r="FA360" s="1805"/>
      <c r="FB360" s="1805"/>
      <c r="FC360" s="1827"/>
      <c r="FE360" s="1698"/>
      <c r="FG360" s="1816"/>
      <c r="FH360" s="1816"/>
      <c r="FI360" s="133"/>
      <c r="FL360" s="1823"/>
      <c r="FM360" s="1825"/>
      <c r="FN360" s="1698"/>
      <c r="FO360" s="1698"/>
      <c r="FP360" s="1678"/>
      <c r="FQ360" s="1678"/>
      <c r="FS360" s="1687"/>
      <c r="FT360" s="1687"/>
      <c r="FU360" s="1685"/>
      <c r="FV360" s="1687"/>
      <c r="FW360" s="1687"/>
      <c r="FX360" s="1687"/>
      <c r="FY360" s="1697"/>
      <c r="GA360" s="1696"/>
      <c r="GB360" s="1696"/>
      <c r="GC360" s="1696"/>
      <c r="GD360" s="1696"/>
      <c r="GE360" s="1696"/>
      <c r="GF360" s="1696"/>
      <c r="GG360" s="1696"/>
      <c r="GH360" s="1696"/>
      <c r="GI360" s="673"/>
      <c r="GJ360" s="1135"/>
      <c r="GK360" s="1832"/>
      <c r="GM360" s="1693" t="b">
        <f ca="1">IF(AND(GP360=TRUE,GQ360=TRUE),TRUE,FALSE)</f>
        <v>0</v>
      </c>
      <c r="GN360" s="1684" t="b">
        <f>IFERROR(IF(__Retrofit_TI_NC=2,TRUE,IF(AU359="Yes",TRUE,FALSE)),FALSE)</f>
        <v>1</v>
      </c>
      <c r="GP360" s="1684" t="b">
        <f>IFERROR(IF(GP359=1,TRUE,FALSE),FALSE)</f>
        <v>0</v>
      </c>
      <c r="GQ360" s="1684" t="b">
        <f ca="1">IFERROR(IF(GQ359=GQ$14,TRUE,FALSE),FALSE)</f>
        <v>0</v>
      </c>
      <c r="HG360" s="1684" t="b">
        <f>IFERROR(IF(AND(__Retrofit_TI_NC&gt;0,CQ359="Interior"),FALSE,TRUE),FALSE)</f>
        <v>1</v>
      </c>
      <c r="HH360" s="1684" t="b">
        <f>IFERROR(IF(M360=1,TRUE,FALSE),FALSE)</f>
        <v>0</v>
      </c>
      <c r="HI360" s="1684" t="b">
        <f>IFERROR(IF(OR(M361=1,N362="BAM"),TRUE,FALSE),FALSE)</f>
        <v>0</v>
      </c>
      <c r="HJ360" s="1684" t="b">
        <f>IFERROR(IF(__Retrofit_TI_NC&lt;&gt;0,TRUE,IFERROR(IF(VLOOKUP(U360,Fixtures_Existing_List,2,FALSE)&lt;&gt;"",TRUE,FALSE),FALSE)),FALSE)</f>
        <v>0</v>
      </c>
      <c r="HK360" s="1684" t="b">
        <f>IFERROR(IF(VLOOKUP(U361,Fixtures_Proposed_List,2,FALSE)&lt;&gt;"",TRUE,FALSE),FALSE)</f>
        <v>0</v>
      </c>
      <c r="HL360" s="1684" t="b">
        <f>IF(AND(__Retrofit_TI_NC=2,FC359=TRUE),FALSE,TRUE)</f>
        <v>1</v>
      </c>
      <c r="HM360" s="1684" t="b">
        <f>GK359</f>
        <v>1</v>
      </c>
      <c r="HN360" s="1682" t="b">
        <f>IF(ISERROR(MATCH(FE359,_Control_Match[],0))=TRUE,FALSE,TRUE)</f>
        <v>0</v>
      </c>
      <c r="HO360" s="1693" t="b">
        <f>IFERROR(IF(EX359&lt;&gt;EY359,FALSE,TRUE),FALSE)</f>
        <v>1</v>
      </c>
      <c r="HP360" s="1693" t="b">
        <f>IFERROR(IF(EX361&lt;&gt;EY361,FALSE,TRUE),FALSE)</f>
        <v>1</v>
      </c>
      <c r="HQ360" s="1670" t="b">
        <f>IFERROR(IF(CQ359="Exterior",TRUE,IF(AND(OR(FM361=0,FM361=3),JD361&gt;6),FALSE,TRUE)),FALSE)</f>
        <v>0</v>
      </c>
      <c r="HR360" s="1684" t="b">
        <f>IFERROR(IF(AND(FO361=7,FC359=TRUE),FALSE,TRUE),FALSE)</f>
        <v>0</v>
      </c>
      <c r="HS360" s="1684" t="b">
        <f>IFERROR(IF(AND(T361&lt;&gt;AF361,OR(AG361="Interior LLLC", AG361="Interior NLC", AG361="LLLC (outside Daylight)",AG361="LLLC Controls Only"))=TRUE,FALSE,TRUE),FALSE)</f>
        <v>1</v>
      </c>
      <c r="HT360" s="1670" t="b">
        <f>IFERROR(IF(OR(AG361=Lookup!BB$17,AG361=Lookup!BB$18,AG361=Lookup!BB$19)=TRUE,IF(AF361&gt;T361,FALSE,TRUE),TRUE),FALSE)</f>
        <v>1</v>
      </c>
      <c r="HU360" s="1684" t="b">
        <f>IFERROR(IF(__Retrofit_TI_NC=2,IF(EZ361&lt;EZ359,FALSE,TRUE),TRUE),FALSE)</f>
        <v>1</v>
      </c>
      <c r="HV360" s="1684" t="b">
        <f>IF(CQ359="Interior",IL$6,TRUE)</f>
        <v>1</v>
      </c>
      <c r="HW360" s="1684" t="b">
        <f>IF(CQ359="Exterior",IL$8,TRUE)</f>
        <v>1</v>
      </c>
      <c r="HX360" s="1684" t="b">
        <f>IFERROR(IF(__Retrofit_TI_NC&lt;&gt;0,IF(AZ359&lt;AY359,FALSE,TRUE),TRUE),FALSE)</f>
        <v>1</v>
      </c>
      <c r="HY360" s="1684" t="b">
        <f>IFERROR(IF(AND(G360="Exterior",R360&gt;4200),FALSE,TRUE),FALSE)</f>
        <v>1</v>
      </c>
      <c r="HZ360" s="1684" t="b">
        <f>IFERROR(IF(AB362/AB359&lt;HZ$18,FALSE,TRUE),FALSE)</f>
        <v>0</v>
      </c>
      <c r="IB360" s="1691"/>
      <c r="IC360" s="1695"/>
      <c r="ID360" s="1694" t="str">
        <f>VLOOKUP(IB362,_Error_Table,4,FALSE)</f>
        <v>White</v>
      </c>
      <c r="IE360" s="391"/>
      <c r="IF360" s="1688"/>
      <c r="IG360" s="1689"/>
      <c r="IH360" s="1684"/>
      <c r="IK360" s="1689"/>
      <c r="IL360" s="1691"/>
      <c r="IM360" s="1691"/>
      <c r="IN360" s="1691"/>
      <c r="IP360" s="1679"/>
      <c r="IQ360" s="1679"/>
      <c r="IR360" s="1679"/>
      <c r="IS360" s="1679"/>
      <c r="IT360" s="1679"/>
      <c r="IU360" s="1679"/>
      <c r="IV360" s="1679"/>
      <c r="IW360" s="1679"/>
      <c r="IX360" s="1679"/>
      <c r="IY360" s="1679"/>
      <c r="IZ360" s="1679"/>
      <c r="JA360" s="1679"/>
      <c r="JC360" s="1680"/>
      <c r="JD360" s="1670"/>
      <c r="JE360" s="1681"/>
      <c r="JG360" s="1680"/>
      <c r="JH360" s="1670"/>
      <c r="JI360" s="1060"/>
      <c r="JJ360" s="1683"/>
      <c r="JK360" s="1061"/>
      <c r="JL360" s="1683"/>
      <c r="JM360" s="1061"/>
      <c r="JN360" s="1683"/>
      <c r="JO360" s="1061"/>
      <c r="JP360" s="1683"/>
      <c r="JQ360" s="1061"/>
      <c r="JR360" s="1683"/>
      <c r="JS360" s="1061"/>
      <c r="JT360" s="1670"/>
      <c r="JU360" s="1061"/>
      <c r="JV360" s="1670"/>
      <c r="JX360" s="1670"/>
      <c r="JZ360" s="1683"/>
      <c r="KB360" s="1670"/>
    </row>
    <row r="361" spans="1:288" s="78" customFormat="1" ht="14.95" customHeight="1" thickTop="1" thickBot="1">
      <c r="A361" s="78">
        <f>ROW()</f>
        <v>361</v>
      </c>
      <c r="B361" s="1845"/>
      <c r="C361" s="1846"/>
      <c r="D361" s="1847"/>
      <c r="E361" s="1737" t="s">
        <v>298</v>
      </c>
      <c r="F361" s="1738"/>
      <c r="G361" s="1760"/>
      <c r="H361" s="1761"/>
      <c r="I361" s="1761"/>
      <c r="J361" s="1761"/>
      <c r="K361" s="1761"/>
      <c r="L361" s="1762"/>
      <c r="M361" s="461">
        <f>IFERROR(IF(IF(__Retrofit_TI_NC&lt;&gt;0,IF(CQ359="Interior",MATCH(G361,Lookup_Interior_New,0),MATCH(G361,Lookup_Exterior_New,0)),IF(CQ359="Interior",MATCH(G361,Lookup_Interior,0),MATCH(G361,Lookup_Exterior_Areas,0)))&gt;0,1,0),0)</f>
        <v>0</v>
      </c>
      <c r="N361" s="461" t="e">
        <f>IF(__Retrofit_TI_NC=1,
VLOOKUP(G361,'Space Table'!$B$3:$L$163,4,FALSE),
IF(__Retrofit_TI_NC=2,VLOOKUP(G361,'Space Table'!$B$3:$L$163,5,FALSE),VLOOKUP(G361,'Space Table'!$B$3:$L$163,5,FALSE)))</f>
        <v>#N/A</v>
      </c>
      <c r="O361" s="461">
        <f>G361</f>
        <v>0</v>
      </c>
      <c r="P361" s="1738" t="str">
        <f>IFERROR(IF(__Retrofit_TI_NC=1,VLOOKUP(G361,'Space Table'!$B$3:$O$163,13,FALSE),IF(__Retrofit_TI_NC=2,VLOOKUP(G361,'Space Table'!$B$3:$O$163,14,FALSE),"Area (sf):")),"Area (sf):")</f>
        <v>Area (sf):</v>
      </c>
      <c r="Q361" s="1738"/>
      <c r="R361" s="596"/>
      <c r="S361" s="1763" t="s">
        <v>345</v>
      </c>
      <c r="T361" s="594"/>
      <c r="U361" s="1801"/>
      <c r="V361" s="1802"/>
      <c r="W361" s="1802"/>
      <c r="X361" s="1802"/>
      <c r="Y361" s="1802"/>
      <c r="Z361" s="1802"/>
      <c r="AA361" s="1802"/>
      <c r="AB361" s="1802"/>
      <c r="AC361" s="1802"/>
      <c r="AD361" s="1802"/>
      <c r="AE361" s="1803"/>
      <c r="AF361" s="594"/>
      <c r="AG361" s="1787"/>
      <c r="AH361" s="1787"/>
      <c r="AI361" s="1787"/>
      <c r="AJ361" s="1787"/>
      <c r="AK361" s="1787"/>
      <c r="AL361" s="1787"/>
      <c r="AM361" s="1726">
        <f>IFERROR(DI361,"")</f>
        <v>0</v>
      </c>
      <c r="AN361" s="1728" t="str">
        <f>IFERROR(ROUND(AM361*AC362,0),"")</f>
        <v/>
      </c>
      <c r="AO361" s="1730">
        <f>IFERROR(IF(IB359=FALSE,0,AC362-AN361),0)</f>
        <v>0</v>
      </c>
      <c r="AP361" s="1780"/>
      <c r="AQ361" s="1781"/>
      <c r="AR361" s="1795"/>
      <c r="AS361" s="1795"/>
      <c r="AT361" s="1796"/>
      <c r="AU361" s="1735"/>
      <c r="AV361" s="1752"/>
      <c r="AW361" s="1705"/>
      <c r="AX361" s="467"/>
      <c r="AY361" s="1749"/>
      <c r="AZ361" s="1749"/>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696"/>
      <c r="CQ361" s="1696"/>
      <c r="CR361" s="1808" t="str">
        <f>CQ359</f>
        <v/>
      </c>
      <c r="CS361" s="1810" t="str">
        <f>CS359</f>
        <v/>
      </c>
      <c r="CU361" s="1688" t="s">
        <v>345</v>
      </c>
      <c r="CV361" s="1702">
        <f>IF(IB359=TRUE,T361,0)</f>
        <v>0</v>
      </c>
      <c r="CW361" s="1702" t="str">
        <f>IF(IB359=TRUE,U361,"")</f>
        <v/>
      </c>
      <c r="CX361" s="1812">
        <f>IF(IB359=TRUE,U362,0)</f>
        <v>0</v>
      </c>
      <c r="CY361" s="1814">
        <f>IF(IB359=TRUE,AB362,0)</f>
        <v>0</v>
      </c>
      <c r="CZ361" s="1710">
        <f>IF(AND(__Retrofit_TI_NC&gt;0,CR359="interior"),0,IF(IB359=TRUE,AC362,0))</f>
        <v>0</v>
      </c>
      <c r="DA361" s="1818"/>
      <c r="DB361" s="1820"/>
      <c r="DC361" s="1820"/>
      <c r="DD361" s="1820"/>
      <c r="DF361" s="1702">
        <f>IF(IB359=TRUE,AF361,0)</f>
        <v>0</v>
      </c>
      <c r="DG361" s="1830" t="str">
        <f>IF(IB359=TRUE,AG361,"")</f>
        <v/>
      </c>
      <c r="DH361" s="1812">
        <f>AG362</f>
        <v>0</v>
      </c>
      <c r="DI361" s="1837">
        <f>JE361</f>
        <v>0</v>
      </c>
      <c r="DJ361" s="1710">
        <f>IF(AND(__Retrofit_TI_NC&gt;0,CR359="interior"),0,IF(IB359=TRUE,AN361,0))</f>
        <v>0</v>
      </c>
      <c r="DK361" s="1712"/>
      <c r="DN361" s="1717">
        <f>IFERROR(CZ361-DJ361,0)</f>
        <v>0</v>
      </c>
      <c r="DO361" s="1709"/>
      <c r="DQ361" s="1715"/>
      <c r="DR361" s="1719" t="str">
        <f>DQ359</f>
        <v/>
      </c>
      <c r="DS361" s="1816"/>
      <c r="DT361" s="1835" t="str">
        <f>IF(OR(DS359=7,DS359=8,DS359=9),"ALC","")</f>
        <v/>
      </c>
      <c r="DU361" s="1715"/>
      <c r="DV361" s="1716"/>
      <c r="DX361" s="1715"/>
      <c r="DY361" s="1829" t="str">
        <f>DX359</f>
        <v/>
      </c>
      <c r="DZ361" s="1715"/>
      <c r="EA361" s="1715"/>
      <c r="EC361" s="1834"/>
      <c r="ED361" s="1834"/>
      <c r="EF361" s="1707"/>
      <c r="EG361" s="1712"/>
      <c r="EH361" s="1818"/>
      <c r="EI361" s="1712"/>
      <c r="EJ361" s="1712"/>
      <c r="EK361" s="1836"/>
      <c r="EL361" s="1836"/>
      <c r="EM361" s="1807"/>
      <c r="EN361" s="1839"/>
      <c r="EO361" s="1839"/>
      <c r="EP361" s="1817"/>
      <c r="EQ361" s="1817"/>
      <c r="ER361" s="1807"/>
      <c r="ES361" s="1807"/>
      <c r="ET361" s="1807"/>
      <c r="EV361" s="1715"/>
      <c r="EX361" s="1805" t="str">
        <f>IFERROR(VLOOKUP(CS361,'Space Table'!$B$3:$L$163,8,FALSE),"")</f>
        <v/>
      </c>
      <c r="EY361" s="1805" t="str">
        <f>IFERROR(IF(FB361="Yes",VLOOKUP(AG361,Lookup_Control_Type_Table2,4,FALSE),VLOOKUP(AG361,Lookup_Control_Type_Table2,3,FALSE)),"")</f>
        <v/>
      </c>
      <c r="EZ361" s="1805" t="e">
        <f>VLOOKUP(AG361,Lookup!BB$3:BC$20,2,FALSE)</f>
        <v>#N/A</v>
      </c>
      <c r="FA361" s="1805" t="e">
        <f>VLOOKUP(EX359,Lookup_Control_Type_Table,2,FALSE)</f>
        <v>#N/A</v>
      </c>
      <c r="FB361" s="1805" t="e">
        <f>VLOOKUP(CS361,'Space Table'!$B$3:$L$163,7,FALSE)</f>
        <v>#N/A</v>
      </c>
      <c r="FC361" s="1827"/>
      <c r="FE361" s="1698" t="str">
        <f>CONCATENATE(CQ359," - ",AG361)</f>
        <v xml:space="preserve"> - </v>
      </c>
      <c r="FG361" s="1816"/>
      <c r="FH361" s="1816"/>
      <c r="FI361" s="133"/>
      <c r="FL361" s="1822" t="str">
        <f>IF(CQ359="Exterior","Not Daylighted",G362)</f>
        <v>Not Daylighted</v>
      </c>
      <c r="FM361" s="1824">
        <f>VLOOKUP(FL361,_New_Daylight_Table_Codes,2,FALSE)</f>
        <v>0</v>
      </c>
      <c r="FN361" s="1698">
        <f>AG361</f>
        <v>0</v>
      </c>
      <c r="FO361" s="1698" t="e">
        <f>VLOOKUP(FN361,_Control_Table,2,FALSE)</f>
        <v>#N/A</v>
      </c>
      <c r="FP361" s="1678" t="e">
        <f>VLOOKUP(CONCATENATE(FL361," ",FN361),Lookup!AY$102:AZ372,2,FALSE)</f>
        <v>#N/A</v>
      </c>
      <c r="FQ361" s="1698">
        <f>IF(__Retrofit_TI_NC=0,FN361,IF(AND(FT361&gt;0,FN361="Occupancy Sensor"),"Daylight + Occupancy",IF(AND(FT361&gt;0,FO361&lt;4),"Interior Daylight Dimming",FN361)))</f>
        <v>0</v>
      </c>
      <c r="FS361" s="1686">
        <f>IF(CQ359="Interior",VLOOKUP(CS359,Control_Savings_Interior,5,FALSE),0)</f>
        <v>0</v>
      </c>
      <c r="FT361" s="1687">
        <f>IF(CQ361="Exterior",0,IF(FM361=2,0.5,IF(OR(FM361=1,FM361=3),1,0)))</f>
        <v>0</v>
      </c>
      <c r="FU361" s="1685">
        <f>IF(R360&gt;FS$44,(FS361*(FS$44/R360)),FS361)*FT361</f>
        <v>0</v>
      </c>
      <c r="FV361" s="1686">
        <f>DI361</f>
        <v>0</v>
      </c>
      <c r="FW361" s="1686">
        <f>ROUND(FV361+((1-FV361)*FU361),2)</f>
        <v>0</v>
      </c>
      <c r="FX361" s="1686">
        <f>IF(__Retrofit_TI_NC=2,FW361,FV361)</f>
        <v>0</v>
      </c>
      <c r="FY361" s="1697">
        <f>IF(CR361="Interior",VLOOKUP(CS361,Control_Savings_Interior,4,FALSE),0)</f>
        <v>0</v>
      </c>
      <c r="GA361" s="1696"/>
      <c r="GB361" s="1696"/>
      <c r="GC361" s="1696"/>
      <c r="GD361" s="1696"/>
      <c r="GE361" s="1696"/>
      <c r="GF361" s="1696"/>
      <c r="GG361" s="1696"/>
      <c r="GH361" s="1696"/>
      <c r="GI361" s="673" t="b">
        <f>IF(ISNUMBER(SEARCH("TLED",U361)),TRUE,FALSE)</f>
        <v>0</v>
      </c>
      <c r="GJ361" s="1135" t="str">
        <f>IFERROR(VLOOKUP(U361,Fixtures!DM$93:DR$142,6,FALSE),"")</f>
        <v/>
      </c>
      <c r="GK361" s="1832"/>
      <c r="GM361" s="1692"/>
      <c r="GN361" s="1684"/>
      <c r="GP361" s="1684"/>
      <c r="GQ361" s="1684"/>
      <c r="HG361" s="1684"/>
      <c r="HH361" s="1684"/>
      <c r="HI361" s="1684"/>
      <c r="HJ361" s="1684"/>
      <c r="HK361" s="1684"/>
      <c r="HL361" s="1684"/>
      <c r="HM361" s="1684"/>
      <c r="HN361" s="1683"/>
      <c r="HO361" s="1692"/>
      <c r="HP361" s="1692"/>
      <c r="HQ361" s="1670"/>
      <c r="HR361" s="1684"/>
      <c r="HS361" s="1684"/>
      <c r="HT361" s="1670"/>
      <c r="HU361" s="1684"/>
      <c r="HV361" s="1684"/>
      <c r="HW361" s="1684"/>
      <c r="HX361" s="1684"/>
      <c r="HY361" s="1684"/>
      <c r="HZ361" s="1684"/>
      <c r="IB361" s="1692"/>
      <c r="IC361" s="1693" t="b">
        <f>IB359</f>
        <v>0</v>
      </c>
      <c r="ID361" s="1695"/>
      <c r="IE361" s="391"/>
      <c r="IF361" s="1688"/>
      <c r="IG361" s="1689">
        <f ca="1">IF(IF359=TRUE,AC362,0)</f>
        <v>0</v>
      </c>
      <c r="IH361" s="1684"/>
      <c r="IK361" s="1689" t="e">
        <f>ROUND(T361*AB362*N360*R360/1000,0)</f>
        <v>#VALUE!</v>
      </c>
      <c r="IL361" s="1691"/>
      <c r="IM361" s="1693" t="e">
        <f>ROUND(T361*AB362*N360*R360/1000,0)</f>
        <v>#VALUE!</v>
      </c>
      <c r="IN361" s="1691"/>
      <c r="IP361" s="1679"/>
      <c r="IQ361" s="1679" t="e">
        <f t="shared" ref="IQ361:IU361" si="317">IF($CR361="interior",VLOOKUP($CS361,_New_Control_Savings_Interior,IQ$30,FALSE),VLOOKUP($CS361,Control_Savings_Exterior,IQ$30,FALSE))</f>
        <v>#N/A</v>
      </c>
      <c r="IR361" s="1679" t="e">
        <f t="shared" si="317"/>
        <v>#N/A</v>
      </c>
      <c r="IS361" s="1679" t="e">
        <f t="shared" si="317"/>
        <v>#N/A</v>
      </c>
      <c r="IT361" s="1679" t="e">
        <f t="shared" si="317"/>
        <v>#N/A</v>
      </c>
      <c r="IU361" s="1679" t="e">
        <f t="shared" si="317"/>
        <v>#N/A</v>
      </c>
      <c r="IV361" s="1679" t="e">
        <f>IF($CR361="interior",IF(R360&gt;$IP$14,ROUND(($IV$18*($IP$14/R360)),2),$IV$18),VLOOKUP($CS361,Control_Savings_Exterior,IV$30,FALSE))</f>
        <v>#N/A</v>
      </c>
      <c r="IW361" s="1679" t="e">
        <f>IF($CR361="interior",ROUND(((1-IS361)*IV361)+IS361,2),VLOOKUP($CS361,Control_Savings_Exterior,IW$30,FALSE))</f>
        <v>#N/A</v>
      </c>
      <c r="IX361" s="1679" t="e">
        <f>IF($CR361="interior",ROUND(((1-IT361)*IV361)+IT361,2),VLOOKUP($CS361,Control_Savings_Exterior,IX$30,FALSE))</f>
        <v>#N/A</v>
      </c>
      <c r="IY361" s="1679" t="e">
        <f>IF($CR361="interior",IF(R360&gt;$IP$14,ROUND(($IY$18*($IP$14/R360)),2),$IY$18),VLOOKUP($CS361,Control_Savings_Exterior,IY$30,FALSE))</f>
        <v>#N/A</v>
      </c>
      <c r="IZ361" s="1679" t="e">
        <f>IF($CR361="interior",ROUND(((1-IS361)*IY361)+IS361,2),VLOOKUP($CS361,Control_Savings_Exterior,IZ$30,FALSE))</f>
        <v>#N/A</v>
      </c>
      <c r="JA361" s="1679" t="e">
        <f>IF($CR361="interior",ROUND(((1-IT361)*IY361)+IT361,2),VLOOKUP($CS361,Control_Savings_Exterior,JA$30,FALSE))</f>
        <v>#N/A</v>
      </c>
      <c r="JC361" s="1680">
        <f>IFERROR(IF(CR361="Interior",CONCATENATE(G362," ",FQ361),AG361),"")</f>
        <v>0</v>
      </c>
      <c r="JD361" s="1670" t="str">
        <f>IFERROR(VLOOKUP(JC361,_Controls_2023,2,FALSE),"")</f>
        <v/>
      </c>
      <c r="JE361" s="1681">
        <f>IFERROR(CHOOSE(JD361-1,IQ361,IR361,IS361,IT361,IU361,IV361,IW361,IX361,IY361,IZ361,JA361),0)</f>
        <v>0</v>
      </c>
      <c r="JG361" s="1680" t="str">
        <f>FE361</f>
        <v xml:space="preserve"> - </v>
      </c>
      <c r="JH361" s="1670" t="e">
        <f>$FO361</f>
        <v>#N/A</v>
      </c>
      <c r="JI361" s="1060"/>
      <c r="JJ361" s="1670">
        <f>IFERROR(IF($IB359=TRUE,IF(OR(JJ$14="No",JJ359=FALSE,JH361&lt;=JH359,AND(_kWh_Grant=0,GD359=FALSE)),0,IF(JJ$8="Per Line",1,$AF361)),0),0)</f>
        <v>0</v>
      </c>
      <c r="JK361" s="1061"/>
      <c r="JL361" s="1670">
        <f>IFERROR(IF(_kWh_Grant=0,0,IF($IB359=TRUE,IF(OR(JL$14="No",JL359=FALSE,JH361&lt;=JH359),0,IF(JL$8="Per Line",1,$T361)),0)),0)</f>
        <v>0</v>
      </c>
      <c r="JM361" s="1061"/>
      <c r="JN361" s="1670">
        <f>IFERROR(IF(_kWh_Grant=0,0,IF($IB359=TRUE,IF(OR(JN$14="No",JN359=FALSE,JH361&lt;=JH359),0,IF(JN$8="Per Line",1,$AF361)),0)),0)</f>
        <v>0</v>
      </c>
      <c r="JO361" s="1061"/>
      <c r="JP361" s="1670">
        <f>IFERROR(IF(__Retrofit_TI_NC=0,IF(_kWh_Grant=0,0,IF($IB359=TRUE,IF(OR(JP$14="No",JP359=FALSE,$JH361&lt;=$JH359),0,IF(JP$8="Per Line",1,$AF361)),0)),IF($IB359=TRUE,IF(OR(JP$14="No",JP359=FALSE,$JH361&lt;=$JH359),0,IF(JP$8="Per Line",1,$AF361)))),0)</f>
        <v>0</v>
      </c>
      <c r="JQ361" s="1061"/>
      <c r="JR361" s="1670">
        <f>IFERROR(IF(__Retrofit_TI_NC=0,IF(_kWh_Grant=0,0,IF($IB359=TRUE,IF(OR(JR$14="No",JR359=FALSE,$JH361&lt;=$JH359),0,IF(JR$8="Per Line",1,$AF361)),0)),IF($IB359=TRUE,IF(OR(JR$14="No",JR359=FALSE,$JH361&lt;=$JH359),0,IF(JR$8="Per Line",1,$AF361)))),0)</f>
        <v>0</v>
      </c>
      <c r="JS361" s="1061"/>
      <c r="JT361" s="1670">
        <f>IFERROR(IF(__Retrofit_TI_NC=0,IF(_kWh_Grant=0,0,IF($IB359=TRUE,IF(OR(JT$14="No",JT359=FALSE,$JH361&lt;=$JH359),0,IF(JT$8="Per Line",1,$AF361)),0)),IF($IB359=TRUE,IF(OR(JT$14="No",JT359=FALSE,$JH361&lt;=$JH359),0,IF(JT$8="Per Line",1,$AF361)))),0)</f>
        <v>0</v>
      </c>
      <c r="JU361" s="1061"/>
      <c r="JV361" s="1670">
        <f>IFERROR(IF(__Retrofit_TI_NC=0,IF(_kWh_Grant=0,0,IF($IB359=TRUE,IF(OR(JV$14="No",JV359=FALSE,$JH361&lt;=$JH359),0,IF(JV$8="Per Line",1,$AF361)),0)),IF($IB359=TRUE,IF(OR(JV$14="No",JV359=FALSE,$JH361&lt;=$JH359),0,IF(JV$8="Per Line",1,$AF361)))),0)</f>
        <v>0</v>
      </c>
      <c r="JX361" s="1670">
        <f>IFERROR(IF(__Retrofit_TI_NC=0,IF(_kWh_Grant=0,0,IF($IB359=TRUE,IF(OR(JX$14="No",JX359=FALSE,$JH361&lt;=$JH359),0,IF(JX$8="Per Line",1,$AF361)),0)),IF($IB359=TRUE,IF(OR(JX$14="No",JX359=FALSE,$JH361&lt;=$JH359),0,IF(JX$8="Per Line",1,$AF361)))),0)</f>
        <v>0</v>
      </c>
      <c r="JZ361" s="1670">
        <f>IFERROR(IF($IB359=TRUE,IF(OR(JZ$14="No",JZ359=FALSE,$JH361&lt;=$JH359,AND(_kWh_Grant=0,$GD359=FALSE)),0,IF(JZ$8="Per Line",1,$AF361)),0),0)</f>
        <v>0</v>
      </c>
      <c r="KB361" s="1670">
        <f>IFERROR(IF(__Retrofit_TI_NC=0,IF(_kWh_Grant=0,0,IF($IB359=TRUE,IF(OR(KB$14="No",KB359=FALSE,$JH361&lt;=$JH359),0,IF(KB$8="Per Line",1,$AF361)),0)),IF($IB359=TRUE,IF(OR(KB$14="No",KB359=FALSE,$JH361&lt;=$JH359),0,IF(KB$8="Per Line",1,$AF361)))),0)</f>
        <v>0</v>
      </c>
    </row>
    <row r="362" spans="1:288" s="78" customFormat="1" ht="14.95" customHeight="1" thickTop="1" thickBot="1">
      <c r="B362" s="1845"/>
      <c r="C362" s="1846"/>
      <c r="D362" s="1847"/>
      <c r="E362" s="1771" t="s">
        <v>436</v>
      </c>
      <c r="F362" s="1772"/>
      <c r="G362" s="1784" t="s">
        <v>437</v>
      </c>
      <c r="H362" s="1785"/>
      <c r="I362" s="1785"/>
      <c r="J362" s="1785"/>
      <c r="K362" s="1785"/>
      <c r="L362" s="1786"/>
      <c r="M362" s="591">
        <f>IFERROR(VLOOKUP(G362,_Daylight_Table[],2,FALSE),0)</f>
        <v>0</v>
      </c>
      <c r="N362" s="592" t="str">
        <f>IF(AND(__Retrofit_TI_NC&gt;0,CQ359="Interior"),"BAM","")</f>
        <v/>
      </c>
      <c r="O362" s="591" t="e">
        <f>VLOOKUP(G361,'Space Table'!$B$3:$L$163,11,FALSE)</f>
        <v>#N/A</v>
      </c>
      <c r="P362" s="1789"/>
      <c r="Q362" s="1790"/>
      <c r="R362" s="1790"/>
      <c r="S362" s="1788"/>
      <c r="T362" s="593" t="s">
        <v>342</v>
      </c>
      <c r="U362" s="1756" t="str" cm="1">
        <f t="array" aca="1" ref="U362" ca="1">IFERROR(VLOOKUP(INDIRECT("U" &amp; ROW()-1),Fixtures!DM$93:DP$142,4,FALSE),"")</f>
        <v/>
      </c>
      <c r="V362" s="1757"/>
      <c r="W362" s="1757"/>
      <c r="X362" s="1757"/>
      <c r="Y362" s="1757"/>
      <c r="Z362" s="1757"/>
      <c r="AA362" s="1758"/>
      <c r="AB362" s="939" t="str">
        <f>IFERROR(VLOOKUP(U361,Fixtures_Proposed_List,2,FALSE),"")</f>
        <v/>
      </c>
      <c r="AC362" s="933" t="str">
        <f>IFERROR(ROUND(T361*AB362*N360*R360/1000,0),"")</f>
        <v/>
      </c>
      <c r="AD362" s="934" t="str">
        <f>IFERROR(ROUND(T361*AB362/1000,2),"")</f>
        <v/>
      </c>
      <c r="AE362" s="998"/>
      <c r="AF362" s="938" t="s">
        <v>342</v>
      </c>
      <c r="AG362" s="1770"/>
      <c r="AH362" s="1770"/>
      <c r="AI362" s="1770"/>
      <c r="AJ362" s="1770"/>
      <c r="AK362" s="1770"/>
      <c r="AL362" s="1770"/>
      <c r="AM362" s="1727"/>
      <c r="AN362" s="1729"/>
      <c r="AO362" s="1731"/>
      <c r="AP362" s="1782"/>
      <c r="AQ362" s="1783"/>
      <c r="AR362" s="1797"/>
      <c r="AS362" s="1797"/>
      <c r="AT362" s="1798"/>
      <c r="AU362" s="1736"/>
      <c r="AV362" s="1753"/>
      <c r="AW362" s="1706"/>
      <c r="AX362" s="468"/>
      <c r="AY362" s="1750"/>
      <c r="AZ362" s="1750"/>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696"/>
      <c r="CQ362" s="1696"/>
      <c r="CR362" s="1809"/>
      <c r="CS362" s="1811"/>
      <c r="CU362" s="1688"/>
      <c r="CV362" s="1703"/>
      <c r="CW362" s="1703"/>
      <c r="CX362" s="1813"/>
      <c r="CY362" s="1815"/>
      <c r="CZ362" s="1711"/>
      <c r="DA362" s="1815"/>
      <c r="DB362" s="1821"/>
      <c r="DC362" s="1821"/>
      <c r="DD362" s="1821"/>
      <c r="DF362" s="1703"/>
      <c r="DG362" s="1831"/>
      <c r="DH362" s="1813"/>
      <c r="DI362" s="1838"/>
      <c r="DJ362" s="1711"/>
      <c r="DK362" s="1712"/>
      <c r="DN362" s="1718"/>
      <c r="DO362" s="1709"/>
      <c r="DQ362" s="1715"/>
      <c r="DR362" s="1720"/>
      <c r="DS362" s="1703"/>
      <c r="DT362" s="1714"/>
      <c r="DU362" s="1715"/>
      <c r="DV362" s="1716"/>
      <c r="DX362" s="1715"/>
      <c r="DY362" s="1720"/>
      <c r="DZ362" s="1715"/>
      <c r="EA362" s="1715"/>
      <c r="EC362" s="1834"/>
      <c r="ED362" s="1834"/>
      <c r="EF362" s="1707"/>
      <c r="EG362" s="1712"/>
      <c r="EH362" s="1815"/>
      <c r="EI362" s="1712"/>
      <c r="EJ362" s="1712"/>
      <c r="EK362" s="1813"/>
      <c r="EL362" s="1813"/>
      <c r="EM362" s="1807"/>
      <c r="EN362" s="1839"/>
      <c r="EO362" s="1839"/>
      <c r="EP362" s="1817"/>
      <c r="EQ362" s="1817"/>
      <c r="ER362" s="1807"/>
      <c r="ES362" s="1807"/>
      <c r="ET362" s="1807"/>
      <c r="EV362" s="1715"/>
      <c r="EX362" s="1806"/>
      <c r="EY362" s="1806"/>
      <c r="EZ362" s="1806"/>
      <c r="FA362" s="1806"/>
      <c r="FB362" s="1806"/>
      <c r="FC362" s="1828"/>
      <c r="FE362" s="1698"/>
      <c r="FG362" s="1703"/>
      <c r="FH362" s="1703"/>
      <c r="FI362" s="133"/>
      <c r="FL362" s="1823"/>
      <c r="FM362" s="1825"/>
      <c r="FN362" s="1698"/>
      <c r="FO362" s="1698"/>
      <c r="FP362" s="1678"/>
      <c r="FQ362" s="1698"/>
      <c r="FS362" s="1687"/>
      <c r="FT362" s="1687"/>
      <c r="FU362" s="1685"/>
      <c r="FV362" s="1687"/>
      <c r="FW362" s="1687"/>
      <c r="FX362" s="1687"/>
      <c r="FY362" s="1697"/>
      <c r="GA362" s="1696"/>
      <c r="GB362" s="1696"/>
      <c r="GC362" s="1696"/>
      <c r="GD362" s="1696"/>
      <c r="GE362" s="1696"/>
      <c r="GF362" s="1696"/>
      <c r="GG362" s="1696"/>
      <c r="GH362" s="1696"/>
      <c r="GI362" s="673"/>
      <c r="GJ362" s="1135"/>
      <c r="GK362" s="1832"/>
      <c r="GN362" s="674">
        <f>IF(GN360=TRUE,0,GN$16)</f>
        <v>0</v>
      </c>
      <c r="GP362" s="674">
        <f>IF(GP360=TRUE,0,GP$16)</f>
        <v>36</v>
      </c>
      <c r="GQ362" s="674">
        <f ca="1">IF(GQ360=TRUE,0,GQ$16)</f>
        <v>35</v>
      </c>
      <c r="GR362" s="391"/>
      <c r="GS362" s="391"/>
      <c r="GT362" s="391"/>
      <c r="GU362" s="391"/>
      <c r="GV362" s="391"/>
      <c r="HG362" s="674">
        <f>IF(HG360=TRUE,0,HG$16)</f>
        <v>0</v>
      </c>
      <c r="HH362" s="674">
        <f t="shared" ref="HH362:HM362" si="318">IF(HH360=TRUE,0,HH$16)</f>
        <v>19</v>
      </c>
      <c r="HI362" s="674">
        <f t="shared" si="318"/>
        <v>18</v>
      </c>
      <c r="HJ362" s="674">
        <f t="shared" si="318"/>
        <v>17</v>
      </c>
      <c r="HK362" s="674">
        <f t="shared" si="318"/>
        <v>16</v>
      </c>
      <c r="HL362" s="674">
        <f t="shared" si="318"/>
        <v>0</v>
      </c>
      <c r="HM362" s="674">
        <f t="shared" si="318"/>
        <v>0</v>
      </c>
      <c r="HN362" s="674">
        <f>IF(HN360=TRUE,0,HN$16)</f>
        <v>13</v>
      </c>
      <c r="HO362" s="674">
        <f t="shared" ref="HO362:HQ362" si="319">IF(HO360=TRUE,0,HO$16)</f>
        <v>0</v>
      </c>
      <c r="HP362" s="674">
        <f t="shared" si="319"/>
        <v>0</v>
      </c>
      <c r="HQ362" s="674">
        <f t="shared" si="319"/>
        <v>10</v>
      </c>
      <c r="HR362" s="674">
        <f>IF(HR360=TRUE,0,HR$16)</f>
        <v>9</v>
      </c>
      <c r="HS362" s="674">
        <f t="shared" ref="HS362:HW362" si="320">IF(HS360=TRUE,0,HS$16)</f>
        <v>0</v>
      </c>
      <c r="HT362" s="674">
        <f t="shared" si="320"/>
        <v>0</v>
      </c>
      <c r="HU362" s="674">
        <f t="shared" si="320"/>
        <v>0</v>
      </c>
      <c r="HV362" s="674">
        <f t="shared" si="320"/>
        <v>0</v>
      </c>
      <c r="HW362" s="674">
        <f t="shared" si="320"/>
        <v>0</v>
      </c>
      <c r="HX362" s="674">
        <f>IF(HX360=TRUE,0,HX$16)</f>
        <v>0</v>
      </c>
      <c r="HY362" s="674">
        <f>IF(HY360=TRUE,0,HY$16)</f>
        <v>0</v>
      </c>
      <c r="HZ362" s="674">
        <f>IF(HZ360=TRUE,0,HZ$16)</f>
        <v>1</v>
      </c>
      <c r="IB362" s="674">
        <f>IF(GP360=FALSE,GP362,IF(GQ360=FALSE,GQ362,MAX(GN362:HZ362)))</f>
        <v>36</v>
      </c>
      <c r="IC362" s="1692"/>
      <c r="ID362" s="205" t="str">
        <f>VLOOKUP(IB362,_Error_Table,3,FALSE)</f>
        <v xml:space="preserve"> </v>
      </c>
      <c r="IE362" s="205"/>
      <c r="IF362" s="1688"/>
      <c r="IG362" s="1689"/>
      <c r="IH362" s="1684"/>
      <c r="IK362" s="1689"/>
      <c r="IL362" s="1692"/>
      <c r="IM362" s="1692"/>
      <c r="IN362" s="1692"/>
      <c r="IP362" s="1679"/>
      <c r="IQ362" s="1679"/>
      <c r="IR362" s="1679"/>
      <c r="IS362" s="1679"/>
      <c r="IT362" s="1679"/>
      <c r="IU362" s="1679"/>
      <c r="IV362" s="1679"/>
      <c r="IW362" s="1679"/>
      <c r="IX362" s="1679"/>
      <c r="IY362" s="1679"/>
      <c r="IZ362" s="1679"/>
      <c r="JA362" s="1679"/>
      <c r="JC362" s="1680"/>
      <c r="JD362" s="1670"/>
      <c r="JE362" s="1681"/>
      <c r="JG362" s="1680"/>
      <c r="JH362" s="1670"/>
      <c r="JI362" s="1060"/>
      <c r="JJ362" s="1670"/>
      <c r="JK362" s="1061"/>
      <c r="JL362" s="1670"/>
      <c r="JM362" s="1061"/>
      <c r="JN362" s="1670"/>
      <c r="JO362" s="1061"/>
      <c r="JP362" s="1670"/>
      <c r="JQ362" s="1061"/>
      <c r="JR362" s="1670"/>
      <c r="JS362" s="1061"/>
      <c r="JT362" s="1670"/>
      <c r="JU362" s="1061"/>
      <c r="JV362" s="1670"/>
      <c r="JX362" s="1670"/>
      <c r="JZ362" s="1670"/>
      <c r="KB362" s="1670"/>
    </row>
    <row r="363" spans="1:288" s="78" customFormat="1" ht="5.0999999999999996" customHeight="1">
      <c r="B363" s="676"/>
      <c r="C363" s="392"/>
      <c r="D363" s="392"/>
      <c r="E363" s="1733"/>
      <c r="F363" s="1733"/>
      <c r="G363" s="1733"/>
      <c r="H363" s="1733"/>
      <c r="I363" s="1733"/>
      <c r="J363" s="1733"/>
      <c r="K363" s="1733"/>
      <c r="L363" s="1733"/>
      <c r="M363" s="1733"/>
      <c r="N363" s="1733"/>
      <c r="O363" s="1733"/>
      <c r="P363" s="1733"/>
      <c r="Q363" s="1733"/>
      <c r="R363" s="1733"/>
      <c r="S363" s="1733"/>
      <c r="T363" s="1733"/>
      <c r="U363" s="1733"/>
      <c r="V363" s="1733"/>
      <c r="W363" s="1733"/>
      <c r="X363" s="1733"/>
      <c r="Y363" s="1733"/>
      <c r="Z363" s="1733"/>
      <c r="AA363" s="1733"/>
      <c r="AB363" s="1733"/>
      <c r="AC363" s="1733"/>
      <c r="AD363" s="1733"/>
      <c r="AE363" s="1733"/>
      <c r="AF363" s="1733"/>
      <c r="AG363" s="1733"/>
      <c r="AH363" s="1733"/>
      <c r="AI363" s="1733"/>
      <c r="AJ363" s="1733"/>
      <c r="AK363" s="1733"/>
      <c r="AL363" s="1733"/>
      <c r="AM363" s="1733"/>
      <c r="AN363" s="1733"/>
      <c r="AO363" s="1733"/>
      <c r="AP363" s="1733"/>
      <c r="AQ363" s="1733"/>
      <c r="AR363" s="1733"/>
      <c r="AS363" s="1733"/>
      <c r="AT363" s="1733"/>
      <c r="AU363" s="1733"/>
      <c r="AV363" s="1733"/>
      <c r="AW363" s="1733"/>
      <c r="AX363" s="469"/>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663"/>
      <c r="CQ363" s="663"/>
      <c r="CR363" s="438"/>
      <c r="CS363" s="663"/>
      <c r="CV363" s="391"/>
      <c r="CW363" s="391"/>
      <c r="CX363" s="207"/>
      <c r="CY363" s="208"/>
      <c r="CZ363" s="208"/>
      <c r="DA363" s="208"/>
      <c r="DB363" s="209"/>
      <c r="DC363" s="209"/>
      <c r="DD363" s="209"/>
      <c r="DF363" s="664"/>
      <c r="DG363" s="665"/>
      <c r="DH363" s="666"/>
      <c r="DI363" s="667"/>
      <c r="DJ363" s="668"/>
      <c r="DK363" s="668"/>
      <c r="DN363" s="208"/>
      <c r="DO363" s="664"/>
      <c r="DQ363" s="664"/>
      <c r="DR363" s="669"/>
      <c r="DS363" s="391"/>
      <c r="DT363" s="664"/>
      <c r="DU363" s="664"/>
      <c r="DV363" s="664"/>
      <c r="DX363" s="664"/>
      <c r="DY363" s="664"/>
      <c r="DZ363" s="664"/>
      <c r="EA363" s="664"/>
      <c r="EC363" s="670"/>
      <c r="ED363" s="670"/>
      <c r="EF363" s="668"/>
      <c r="EG363" s="668"/>
      <c r="EH363" s="208"/>
      <c r="EI363" s="668"/>
      <c r="EJ363" s="668"/>
      <c r="EK363" s="207"/>
      <c r="EL363" s="207"/>
      <c r="EM363" s="666"/>
      <c r="EN363" s="671"/>
      <c r="EO363" s="671"/>
      <c r="EP363" s="672"/>
      <c r="EQ363" s="672"/>
      <c r="ER363" s="666"/>
      <c r="ES363" s="666"/>
      <c r="ET363" s="666"/>
      <c r="EV363" s="664"/>
      <c r="EX363" s="391"/>
      <c r="EY363" s="391"/>
      <c r="EZ363" s="391"/>
      <c r="FA363" s="391"/>
      <c r="FB363" s="391"/>
      <c r="FC363" s="391"/>
      <c r="FE363" s="569"/>
      <c r="FG363" s="391"/>
      <c r="FH363" s="391"/>
      <c r="FI363" s="391"/>
      <c r="FS363" s="664"/>
      <c r="FT363" s="391"/>
      <c r="FU363" s="391"/>
      <c r="FV363" s="664"/>
      <c r="FW363" s="664"/>
      <c r="GA363" s="663"/>
      <c r="GB363" s="663"/>
      <c r="GC363" s="663"/>
      <c r="GD363" s="663"/>
      <c r="GE363" s="663"/>
      <c r="GF363" s="663"/>
      <c r="GG363" s="663"/>
      <c r="GH363" s="663"/>
      <c r="GI363" s="665"/>
      <c r="GJ363" s="664"/>
      <c r="GK363" s="664"/>
    </row>
    <row r="364" spans="1:288" s="78" customFormat="1" ht="14.95" customHeight="1">
      <c r="B364" s="1845" t="str">
        <f>ID367</f>
        <v xml:space="preserve"> </v>
      </c>
      <c r="C364" s="1846">
        <f>C359+1</f>
        <v>62</v>
      </c>
      <c r="D364" s="1847"/>
      <c r="E364" s="1799" t="s">
        <v>295</v>
      </c>
      <c r="F364" s="1800"/>
      <c r="G364" s="1741"/>
      <c r="H364" s="1742"/>
      <c r="I364" s="1742"/>
      <c r="J364" s="1742"/>
      <c r="K364" s="1742"/>
      <c r="L364" s="1742"/>
      <c r="M364" s="1742"/>
      <c r="N364" s="1742"/>
      <c r="O364" s="1742"/>
      <c r="P364" s="1742"/>
      <c r="Q364" s="1742"/>
      <c r="R364" s="1742"/>
      <c r="S364" s="1791" t="s">
        <v>344</v>
      </c>
      <c r="T364" s="590"/>
      <c r="U364" s="1743"/>
      <c r="V364" s="1744"/>
      <c r="W364" s="1744"/>
      <c r="X364" s="1744"/>
      <c r="Y364" s="1744"/>
      <c r="Z364" s="1744"/>
      <c r="AA364" s="1744"/>
      <c r="AB364" s="961" t="str">
        <f>IFERROR(IF(__Retrofit_TI_NC=0,VLOOKUP(U365,Fixtures_Existing_List,2,FALSE),ROUND(N366*R366/T366,10)),"")</f>
        <v/>
      </c>
      <c r="AC364" s="935" t="str">
        <f>IFERROR(IF(__Retrofit_TI_NC=0,ROUND(T365*AB364*N365*R365/1000,0),IF(CQ364="Interior",N366*R366*R365*N365*_C406_reduction/1000,N366*R366*R365*N365/1000)),"")</f>
        <v/>
      </c>
      <c r="AD364" s="936" t="str">
        <f>IFERROR(IF(C$43=0,ROUND(T365*AB364/1000,2),N366*R366/1000),"")</f>
        <v/>
      </c>
      <c r="AE364" s="997"/>
      <c r="AF364" s="937"/>
      <c r="AG364" s="1745" t="str">
        <f>IF(__Retrofit_TI_NC=0," Control","Select Advanced Control for New System")</f>
        <v xml:space="preserve"> Control</v>
      </c>
      <c r="AH364" s="1745"/>
      <c r="AI364" s="1745"/>
      <c r="AJ364" s="1745"/>
      <c r="AK364" s="1745"/>
      <c r="AL364" s="1745"/>
      <c r="AM364" s="1746">
        <f>IFERROR(DI364,"")</f>
        <v>0</v>
      </c>
      <c r="AN364" s="1774" t="str">
        <f>IFERROR(ROUND(AM364*AC364,0),"")</f>
        <v/>
      </c>
      <c r="AO364" s="1776">
        <f>IFERROR(IF(IB364=FALSE,0,AC364-AN364),0)</f>
        <v>0</v>
      </c>
      <c r="AP364" s="1778">
        <f>AO364-AO366</f>
        <v>0</v>
      </c>
      <c r="AQ364" s="1779"/>
      <c r="AR364" s="1793">
        <f>IFERROR(IF(IB364=FALSE,0,(T366*U367)+(AF366*AG367)),0)</f>
        <v>0</v>
      </c>
      <c r="AS364" s="1793"/>
      <c r="AT364" s="1794"/>
      <c r="AU364" s="1734" t="s">
        <v>237</v>
      </c>
      <c r="AV364" s="1751">
        <f>IF(AU364="Yes",1,0)</f>
        <v>1</v>
      </c>
      <c r="AW364" s="1704" t="str">
        <f>IF(OR(DQ364=4,DQ364=5,DQ364=6,DQ364=12),CONCATENATE("$",IF(GH364=TRUE,Lookup!$K$10,Lookup!$K$2)," /lamp"),CONCATENATE(TEXT(ED364,"$0.00"),"/ kWh"))</f>
        <v>$0.00/ kWh</v>
      </c>
      <c r="AX364" s="467"/>
      <c r="AY364" s="1748">
        <f ca="1">IFERROR(IF(GM365=TRUE,(AB367*T366)/R366,0),"NA")</f>
        <v>0</v>
      </c>
      <c r="AZ364" s="1748"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696" t="str">
        <f>N365</f>
        <v/>
      </c>
      <c r="CQ364" s="1696" t="str">
        <f>IFERROR(VLOOKUP(G365,_Lookup_Heat_Type_Table_New,3,FALSE),"")</f>
        <v/>
      </c>
      <c r="CR364" s="1808" t="str">
        <f>CQ364</f>
        <v/>
      </c>
      <c r="CS364" s="1810" t="str">
        <f>IFERROR(VLOOKUP(G366,'Space Table'!$B$3:$L$163,9,FALSE),"")</f>
        <v/>
      </c>
      <c r="CU364" s="1688" t="s">
        <v>344</v>
      </c>
      <c r="CV364" s="1702">
        <f>IF(IB364=TRUE,T365,0)</f>
        <v>0</v>
      </c>
      <c r="CW364" s="1702" t="str">
        <f>IF(IB364=TRUE,U365,"")</f>
        <v/>
      </c>
      <c r="CX364" s="1702"/>
      <c r="CY364" s="1814">
        <f>IF(IB364=TRUE,AB364,0)</f>
        <v>0</v>
      </c>
      <c r="CZ364" s="1710">
        <f>IF(AND(__Retrofit_TI_NC&gt;0,CR364="interior"),0,IF(IB364=TRUE,AC364,0))</f>
        <v>0</v>
      </c>
      <c r="DA364" s="1814">
        <f>IFERROR(IF(IB364=TRUE,CZ364-CZ366,0),0)</f>
        <v>0</v>
      </c>
      <c r="DB364" s="1819">
        <f>IF(IB364=TRUE,AD364,0)</f>
        <v>0</v>
      </c>
      <c r="DC364" s="1819">
        <f>IF(IB364=TRUE,AD367,0)</f>
        <v>0</v>
      </c>
      <c r="DD364" s="1819">
        <f>IFERROR(DB364-DC364,0)</f>
        <v>0</v>
      </c>
      <c r="DF364" s="1702">
        <f>IF(IB364=TRUE,AF365,0)</f>
        <v>0</v>
      </c>
      <c r="DG364" s="1830">
        <f>IFERROR(IF(__Retrofit_TI_NC=2,IF(CQ364="Exterior",O367,FQ364),FN364),"")</f>
        <v>0</v>
      </c>
      <c r="DH364" s="1702"/>
      <c r="DI364" s="1837">
        <f>JE364</f>
        <v>0</v>
      </c>
      <c r="DJ364" s="1710">
        <f>IF(AND(__Retrofit_TI_NC&gt;0,CR364="interior"),0,IF(IB364=TRUE,AN364,0))</f>
        <v>0</v>
      </c>
      <c r="DK364" s="1712">
        <f>IFERROR(IF(IB364=TRUE,DJ366-DJ364,0),0)</f>
        <v>0</v>
      </c>
      <c r="DM364" s="1717">
        <f>IFERROR(CZ364-DJ364,0)</f>
        <v>0</v>
      </c>
      <c r="DO364" s="1708">
        <f>DM364-DN366</f>
        <v>0</v>
      </c>
      <c r="DQ364" s="1715" t="str">
        <f>IFERROR(IF(AND(OR(GC364=4,GC364=5,GC364=6),OR(GF364=4,GF364=5,GF364=6)),GC364+8,VLOOKUP(CW366,Fixtures!R$31:Y$78,8,FALSE)),"")</f>
        <v/>
      </c>
      <c r="DR364" s="1829" t="str">
        <f>DQ364</f>
        <v/>
      </c>
      <c r="DS364" s="1702" t="str">
        <f>IFERROR(VLOOKUP(DG366,Lookup!BB$3:BC$20,2,FALSE),"")</f>
        <v/>
      </c>
      <c r="DT364" s="1713" t="str">
        <f>IF(OR(DS364=7,DS364=8,DS364=9),"ALC","")</f>
        <v/>
      </c>
      <c r="DU364" s="1715">
        <f>IFERROR(IF(OR(DQ364=4,DQ364=5,DQ364=6,DQ364=12,DQ364=13,DQ364=14),VLOOKUP(CW366,Fixtures!DN$27:EG$77,19,FALSE),1)*CV366,0)</f>
        <v>0</v>
      </c>
      <c r="DV364" s="1716">
        <f>IF(OR(DS364=7,DS364=8,DS364=9),IF(DG364=DG366,0,DF366),0)</f>
        <v>0</v>
      </c>
      <c r="DX364" s="1715" t="str">
        <f>IFERROR(IF(EZ364&lt;EZ366,"Yes","No"),"")</f>
        <v/>
      </c>
      <c r="DY364" s="1829" t="str">
        <f>DX364</f>
        <v/>
      </c>
      <c r="DZ364" s="1715">
        <f>IF(DX364="Yes",DF366,0)</f>
        <v>0</v>
      </c>
      <c r="EA364" s="1715">
        <f>DZ364-DV364</f>
        <v>0</v>
      </c>
      <c r="EC364" s="1834">
        <f>IFERROR(VLOOKUP(DQ364,Lookup!AU$3:AV$16,2,FALSE),0)</f>
        <v>0</v>
      </c>
      <c r="ED364" s="1834">
        <f>IF(IB364=FALSE,0,IF(DX364="Yes",EC364+Lookup!K$6,EC364))</f>
        <v>0</v>
      </c>
      <c r="EF364" s="1707">
        <f>IF(IB364=TRUE,DM364,0)</f>
        <v>0</v>
      </c>
      <c r="EG364" s="1712">
        <f>IF(IB364=TRUE,CZ366,0)</f>
        <v>0</v>
      </c>
      <c r="EH364" s="1814">
        <f>IFERROR(EF364-EG364,0)</f>
        <v>0</v>
      </c>
      <c r="EI364" s="1712">
        <f>IF(IB364=TRUE,DJ366,0)</f>
        <v>0</v>
      </c>
      <c r="EJ364" s="1712">
        <f>IFERROR(EF364-EG364+EI364,0)</f>
        <v>0</v>
      </c>
      <c r="EK364" s="1812">
        <f>IF(IB364=TRUE,CV366*CX366,0)</f>
        <v>0</v>
      </c>
      <c r="EL364" s="1812">
        <f>IF(IB364=TRUE,DF366*DH366,0)</f>
        <v>0</v>
      </c>
      <c r="EM364" s="1807">
        <f>AR364</f>
        <v>0</v>
      </c>
      <c r="EN364" s="1839" t="str">
        <f>IFERROR(IF(IB364=TRUE,VLOOKUP(DQ364,Lookup!AU$3:AW$16,3,FALSE)*DU364,""),0)</f>
        <v/>
      </c>
      <c r="EO364" s="1839">
        <f>IF(IB364=TRUE,DZ364*Lookup!AW$12,0)</f>
        <v>0</v>
      </c>
      <c r="EP364" s="1817">
        <f>IFERROR(IF(IB364=TRUE,EN364/EP$40,0),0)</f>
        <v>0</v>
      </c>
      <c r="EQ364" s="1817">
        <f>IF(IB364=TRUE,EO364/EQ$40,0)</f>
        <v>0</v>
      </c>
      <c r="ER364" s="1807">
        <f>IF(IB364=TRUE,ET$40*EP364,0)</f>
        <v>0</v>
      </c>
      <c r="ES364" s="1807">
        <f>IF(IB364=TRUE,ET$40*EQ364,0)</f>
        <v>0</v>
      </c>
      <c r="ET364" s="1807">
        <f>ER364+ES364</f>
        <v>0</v>
      </c>
      <c r="EV364" s="1715">
        <f>IF(G364="",0,1)</f>
        <v>0</v>
      </c>
      <c r="EX364" s="1804" t="str">
        <f>IFERROR(VLOOKUP(CS366,'Space Table'!$B$3:$L$163,8,FALSE),"")</f>
        <v/>
      </c>
      <c r="EY364" s="1804" t="str">
        <f>IFERROR(IF(FB364="Yes",VLOOKUP(DG364,Lookup_Control_Type_Table2,4,FALSE),VLOOKUP(DG364,Lookup_Control_Type_Table2,3,FALSE)),"")</f>
        <v/>
      </c>
      <c r="EZ364" s="1804" t="e">
        <f>VLOOKUP(DG364,Lookup!BB$3:BC$20,2,FALSE)</f>
        <v>#N/A</v>
      </c>
      <c r="FA364" s="1804" t="e">
        <f>VLOOKUP(EX364,Lookup_Control_Type_Table,2,FALSE)</f>
        <v>#N/A</v>
      </c>
      <c r="FB364" s="1804" t="e">
        <f>VLOOKUP(CS366,'Space Table'!$B$3:$L$163,7,FALSE)</f>
        <v>#N/A</v>
      </c>
      <c r="FC364" s="1826" t="b">
        <f>ISNUMBER(SEARCH("TLED",U366))</f>
        <v>0</v>
      </c>
      <c r="FE364" s="1698" t="str">
        <f>CONCATENATE(CQ364," - ",DG364)</f>
        <v xml:space="preserve"> - 0</v>
      </c>
      <c r="FG364" s="1702" t="str">
        <f>VLOOKUP(CW366,Fixtures!DN$27:EZ$77,38,FALSE)</f>
        <v/>
      </c>
      <c r="FH364" s="1702">
        <f>IFERROR(FG364*EH364,0)</f>
        <v>0</v>
      </c>
      <c r="FI364" s="133"/>
      <c r="FL364" s="1822" t="str">
        <f>IF(CQ364="Exterior","Not Daylighted",G367)</f>
        <v>Not Daylighted</v>
      </c>
      <c r="FM364" s="1824">
        <f>VLOOKUP(FL364,_New_Daylight_Table_Codes,2,FALSE)</f>
        <v>0</v>
      </c>
      <c r="FN364" s="1698">
        <f>IF(__Retrofit_TI_NC&gt;0,VLOOKUP(G366,'Space Table'!$B$3:$L$163,11,FALSE),AG365)</f>
        <v>0</v>
      </c>
      <c r="FO364" s="1698" t="e">
        <f>IF(__Retrofit_TI_NC=2,VLOOKUP(FQ364,_Control_Table,2,FALSE),VLOOKUP(FN364,_Control_Table,2,FALSE))</f>
        <v>#N/A</v>
      </c>
      <c r="FP364" s="1678" t="e">
        <f>VLOOKUP(CONCATENATE(FL364," ",FN364),Lookup!AY$102:AZ374,2,FALSE)</f>
        <v>#N/A</v>
      </c>
      <c r="FQ364" s="1678">
        <f>IF(__Retrofit_TI_NC=0,FN364,IF(AND(FT364&gt;0,FN364="Occupancy Sensor"),"Daylight + Occupancy",IF(AND(FT364&gt;0,VLOOKUP(FN364,_Control_Table,2,FALSE)&lt;4),"Interior Daylight Dimming",FN364)))</f>
        <v>0</v>
      </c>
      <c r="FS364" s="1686">
        <f>IF(CR364="Interior",VLOOKUP(CS364,Control_Savings_Interior,5,FALSE),0)</f>
        <v>0</v>
      </c>
      <c r="FT364" s="1687">
        <f>IF(CQ364="Exterior",0,IF(FM364=2,0.5,IF(OR(FM364=1,FM364=3),1,0)))</f>
        <v>0</v>
      </c>
      <c r="FU364" s="1685">
        <f>IF(R363&gt;FS$44,(FS364*(FS$44/R363)),FS364)*FT364</f>
        <v>0</v>
      </c>
      <c r="FV364" s="1686">
        <f>DI364</f>
        <v>0</v>
      </c>
      <c r="FW364" s="1686">
        <f>ROUND(FV364+((1-FV364)*FU364),2)</f>
        <v>0</v>
      </c>
      <c r="FX364" s="1686">
        <f>IF(__Retrofit_TI_NC=2,FW364,FV364)</f>
        <v>0</v>
      </c>
      <c r="FY364" s="1697"/>
      <c r="GA364" s="1696" t="str">
        <f>IFERROR(VLOOKUP(U365,_Exist_Fixture_Table,3,FALSE),"")</f>
        <v/>
      </c>
      <c r="GB364" s="1696" t="str">
        <f>VLOOKUP(CW364,_Exist_Fixture_Table,4,FALSE)</f>
        <v/>
      </c>
      <c r="GC364" s="1696">
        <f>IFERROR(VLOOKUP(GB364,Lookup!AT$6:AU$8,2,FALSE),0)</f>
        <v>0</v>
      </c>
      <c r="GD364" s="1696" t="b">
        <f>IFERROR(IF(OR(GF364=4,GF364=5,GF364=6),TRUE,FALSE),"")</f>
        <v>0</v>
      </c>
      <c r="GE364" s="1696" t="str">
        <f>IFERROR(VLOOKUP(GF364,GC$6:GD$10,2,FALSE),"")</f>
        <v/>
      </c>
      <c r="GF364" s="1696" t="str">
        <f>VLOOKUP(CW366,Fixtures!R$31:Y$78,8,FALSE)</f>
        <v/>
      </c>
      <c r="GG364" s="1696">
        <f>IF(AND(GA364=TRUE,GD364=TRUE,OR(DQ364=12,DQ364=13,DQ364=14)),GC364+8,0)</f>
        <v>0</v>
      </c>
      <c r="GH364" s="1696" t="b">
        <f>IF(OR(GG364=12,GG364=13,GG364=14),TRUE,FALSE)</f>
        <v>0</v>
      </c>
      <c r="GI364" s="673" t="b">
        <f>IF(ISNUMBER(SEARCH("TLED",U365)),TRUE,FALSE)</f>
        <v>0</v>
      </c>
      <c r="GJ364" s="1135" t="str">
        <f>IFERROR(VLOOKUP(U365,Fixtures!BM$93:BR$142,6,FALSE),"")</f>
        <v/>
      </c>
      <c r="GK364" s="1832" t="b">
        <f>IF(OR(GI364=FALSE,GI366=FALSE),TRUE,IF(GJ364-GJ366&lt;5,FALSE,TRUE))</f>
        <v>1</v>
      </c>
      <c r="GO364" s="674">
        <f>GP364</f>
        <v>0</v>
      </c>
      <c r="GP364" s="674">
        <f>IF(G364="",0,1)</f>
        <v>0</v>
      </c>
      <c r="GQ364" s="674">
        <f ca="1">SUM(GR364:HF364)</f>
        <v>2</v>
      </c>
      <c r="GR364" s="674">
        <f>IF(G365="",0,1)</f>
        <v>0</v>
      </c>
      <c r="GS364" s="674">
        <f>IF(N367="BAM",1,IF(G366="",0,1))</f>
        <v>0</v>
      </c>
      <c r="GT364" s="674">
        <f>IF(N367="BAM",1,IF(R365="",0,1))</f>
        <v>0</v>
      </c>
      <c r="GU364" s="674">
        <f>IF(N367="BAM",1,IF(__Retrofit_TI_NC=0,1,IF(R366="",0,1)))</f>
        <v>1</v>
      </c>
      <c r="GV364" s="674">
        <f>IF(N367="BAM",1,IF(CQ364="Exterior",1,IF(G367="",0,1)))</f>
        <v>1</v>
      </c>
      <c r="GW364" s="674">
        <f>IF(__Retrofit_TI_NC&gt;0,1,IF(T365="",0,1))</f>
        <v>0</v>
      </c>
      <c r="GX364" s="674">
        <f>IF(__Retrofit_TI_NC&gt;0,1,IF(U365="",0,1))</f>
        <v>0</v>
      </c>
      <c r="GY364" s="674">
        <f>IF(N367="BAM",1,IF(T366="",0,1))</f>
        <v>0</v>
      </c>
      <c r="GZ364" s="674">
        <f>IF(N367="BAM",1,IF(U366="",0,1))</f>
        <v>0</v>
      </c>
      <c r="HA364" s="674">
        <f ca="1">IF(N367="BAM",1,IF(__Retrofit_TI_NC&gt;0,1,IF(U367="",0,1)))</f>
        <v>0</v>
      </c>
      <c r="HB364" s="674">
        <f>IF(__Retrofit_TI_NC&lt;&gt;0,1,IF(AF365="",0,1))</f>
        <v>0</v>
      </c>
      <c r="HC364" s="674">
        <f>IF(__Retrofit_TI_NC&lt;&gt;0,1,IF(AG365="",0,1))</f>
        <v>0</v>
      </c>
      <c r="HD364" s="674">
        <f>IF(N367="BAM",1,IF(AF366="",0,1))</f>
        <v>0</v>
      </c>
      <c r="HE364" s="674">
        <f>IF(N367="BAM",1,IF(AG366="",0,1))</f>
        <v>0</v>
      </c>
      <c r="HF364" s="674">
        <f>IF(N367="BAM",1,IF(__Retrofit_TI_NC&gt;0,1,IF(AG367="",0,1)))</f>
        <v>0</v>
      </c>
      <c r="HG364" s="391"/>
      <c r="IA364" s="391"/>
      <c r="IB364" s="1693" t="b">
        <f>IF(OR(IB367=0,IB367=HY$16,IB367=HX$16,IB367=HZ$16),TRUE,FALSE)</f>
        <v>0</v>
      </c>
      <c r="IC364" s="1694" t="b">
        <f>IB364</f>
        <v>0</v>
      </c>
      <c r="ID364" s="391"/>
      <c r="IE364" s="391"/>
      <c r="IF364" s="1688" t="b">
        <f ca="1">IF(MAX(GN367:HU367)&gt;5,FALSE,TRUE)</f>
        <v>0</v>
      </c>
      <c r="IG364" s="1689">
        <f ca="1">IF(IF364=TRUE,AC364,0)</f>
        <v>0</v>
      </c>
      <c r="IH364" s="1689">
        <f ca="1">IG364-IG366</f>
        <v>0</v>
      </c>
      <c r="IK364" s="1689" t="e">
        <f>ROUND(T365*VLOOKUP(U365,Fixtures_Existing_List,2,FALSE)*N365*R365/1000,0)</f>
        <v>#N/A</v>
      </c>
      <c r="IL364" s="1690" t="e">
        <f>IK364-IK366</f>
        <v>#N/A</v>
      </c>
      <c r="IM364" s="1693" t="e">
        <f>ROUND(IF(CQ364="Interior",N366*R366*R365*N365*_C406_reduction/1000,N366*R366*R365*N365/1000),0)</f>
        <v>#N/A</v>
      </c>
      <c r="IN364" s="1693" t="e">
        <f>IM364-IM366</f>
        <v>#N/A</v>
      </c>
      <c r="IP364" s="1679"/>
      <c r="IQ364" s="1679" t="e">
        <f t="shared" ref="IQ364:IU364" si="321">IF($CR364="interior",VLOOKUP($CS364,_New_Control_Savings_Interior,IQ$30,FALSE),VLOOKUP($CS364,Control_Savings_Exterior,IQ$30,FALSE))</f>
        <v>#N/A</v>
      </c>
      <c r="IR364" s="1679" t="e">
        <f t="shared" si="321"/>
        <v>#N/A</v>
      </c>
      <c r="IS364" s="1679" t="e">
        <f t="shared" si="321"/>
        <v>#N/A</v>
      </c>
      <c r="IT364" s="1679" t="e">
        <f t="shared" si="321"/>
        <v>#N/A</v>
      </c>
      <c r="IU364" s="1679" t="e">
        <f t="shared" si="321"/>
        <v>#N/A</v>
      </c>
      <c r="IV364" s="1679" t="e">
        <f>IF($CR364="interior",IF(R365&gt;$IP$14,ROUND(($IV$18*($IP$14/R365)),2),$IV$18),VLOOKUP($CS364,Control_Savings_Exterior,IV$30,FALSE))</f>
        <v>#N/A</v>
      </c>
      <c r="IW364" s="1679" t="e">
        <f>IF($CR364="interior",ROUND(((1-IS364)*IV364)+IS364,2),VLOOKUP($CS364,Control_Savings_Exterior,IW$30,FALSE))</f>
        <v>#N/A</v>
      </c>
      <c r="IX364" s="1679" t="e">
        <f>IF($CR364="interior",ROUND(((1-IT364)*IV364)+IT364,2),VLOOKUP($CS364,Control_Savings_Exterior,IX$30,FALSE))</f>
        <v>#N/A</v>
      </c>
      <c r="IY364" s="1679" t="e">
        <f>IF($CR364="interior",IF(R365&gt;$IP$14,ROUND(($IY$18*($IP$14/R365)),2),$IY$18),VLOOKUP($CS364,Control_Savings_Exterior,IY$30,FALSE))</f>
        <v>#N/A</v>
      </c>
      <c r="IZ364" s="1679" t="e">
        <f>IF($CR364="interior",ROUND(((1-IS364)*IY364)+IS364,2),VLOOKUP($CS364,Control_Savings_Exterior,IZ$30,FALSE))</f>
        <v>#N/A</v>
      </c>
      <c r="JA364" s="1679" t="e">
        <f>IF($CR364="interior",ROUND(((1-IT364)*IY364)+IT364,2),VLOOKUP($CS364,Control_Savings_Exterior,JA$30,FALSE))</f>
        <v>#N/A</v>
      </c>
      <c r="JC364" s="1680">
        <f>IFERROR(IF(CR364="Interior",CONCATENATE(G367," ",FQ364),FQ364),"")</f>
        <v>0</v>
      </c>
      <c r="JD364" s="1670" t="str">
        <f>IFERROR(VLOOKUP(JC364,_Controls_2023,2,FALSE),"")</f>
        <v/>
      </c>
      <c r="JE364" s="1681">
        <f>IFERROR(CHOOSE(JD364-1,IQ364,IR364,IS364,IT364,IU364,IV364,IW364,IX364,IY364,IZ364,JA364),0)</f>
        <v>0</v>
      </c>
      <c r="JG364" s="1680" t="str">
        <f>FE364</f>
        <v xml:space="preserve"> - 0</v>
      </c>
      <c r="JH364" s="1670" t="e">
        <f>$FO364</f>
        <v>#N/A</v>
      </c>
      <c r="JI364" s="1060"/>
      <c r="JJ364" s="1682" t="b">
        <f>IF($JG366=CONCATENATE("Interior - ",JJ$4),TRUE,FALSE)</f>
        <v>0</v>
      </c>
      <c r="JK364" s="1061"/>
      <c r="JL364" s="1682" t="b">
        <f>IF($JG366=CONCATENATE("Interior - ",JL$4),TRUE,FALSE)</f>
        <v>0</v>
      </c>
      <c r="JM364" s="1061"/>
      <c r="JN364" s="1682" t="b">
        <f>IF($JG366=CONCATENATE("Interior - ",JN$4),TRUE,FALSE)</f>
        <v>0</v>
      </c>
      <c r="JO364" s="1061"/>
      <c r="JP364" s="1682" t="b">
        <f>IF(__Retrofit_TI_NC&gt;0,FALSE,IF($JG366=CONCATENATE("Interior - ",JP$4),TRUE,FALSE))</f>
        <v>0</v>
      </c>
      <c r="JQ364" s="1061"/>
      <c r="JR364" s="1682" t="b">
        <f>IF(__Retrofit_TI_NC&gt;0,FALSE,IF($JG366=CONCATENATE("Interior - ",JR$4),TRUE,FALSE))</f>
        <v>0</v>
      </c>
      <c r="JS364" s="1061"/>
      <c r="JT364" s="1670" t="b">
        <f>IF(__Retrofit_TI_NC&gt;0,FALSE,IF($JG366=CONCATENATE("Interior - ",JT$4),TRUE,FALSE))</f>
        <v>0</v>
      </c>
      <c r="JU364" s="1061"/>
      <c r="JV364" s="1670" t="b">
        <f>IF(JC366="AELC on Existing",TRUE,FALSE)</f>
        <v>0</v>
      </c>
      <c r="JX364" s="1670" t="b">
        <f>IF(OR(JG366="Exterior - AELC Occupancy based",JG366="Exterior - AELC Time based"),TRUE,FALSE)</f>
        <v>0</v>
      </c>
      <c r="JZ364" s="1682" t="b">
        <f>IF($JG366=CONCATENATE("Exterior - ",JZ$4),TRUE,FALSE)</f>
        <v>0</v>
      </c>
      <c r="KB364" s="1670" t="b">
        <f>IF(__Retrofit_TI_NC&gt;0,FALSE,IF($JG366=CONCATENATE("Interior - ",KB$4),TRUE,FALSE))</f>
        <v>0</v>
      </c>
    </row>
    <row r="365" spans="1:288" s="78" customFormat="1" ht="14.95" customHeight="1" thickTop="1" thickBot="1">
      <c r="B365" s="1845"/>
      <c r="C365" s="1846"/>
      <c r="D365" s="1847"/>
      <c r="E365" s="1737" t="s">
        <v>297</v>
      </c>
      <c r="F365" s="1738"/>
      <c r="G365" s="1739"/>
      <c r="H365" s="1739"/>
      <c r="I365" s="1739"/>
      <c r="J365" s="1739"/>
      <c r="K365" s="1739"/>
      <c r="L365" s="1739"/>
      <c r="M365" s="461" t="e">
        <f>IF(__Retrofit_TI_NC&lt;&gt;0,IF(VLOOKUP(G366,'Space Table'!$B$3:$L$163,3,FALSE)&gt;0,1,0),IF(__Retrofit_TI_NC=VLOOKUP(G366,'Space Table'!$B$3:$L$163,3,FALSE),1,0))</f>
        <v>#N/A</v>
      </c>
      <c r="N365" s="461" t="str">
        <f>IFERROR(VLOOKUP(G365,_Lookup_Heat_Type_Table_New,2,FALSE),"")</f>
        <v/>
      </c>
      <c r="O365" s="461">
        <f>IF(__Retrofit_TI_NC=1,CONCATENATE("TI ",G365),IF(__Retrofit_TI_NC=2,CONCATENATE("NC ",G365),G365))</f>
        <v>0</v>
      </c>
      <c r="P365" s="1740" t="s">
        <v>435</v>
      </c>
      <c r="Q365" s="1740"/>
      <c r="R365" s="595"/>
      <c r="S365" s="1792"/>
      <c r="T365" s="597"/>
      <c r="U365" s="1765"/>
      <c r="V365" s="1766"/>
      <c r="W365" s="1766"/>
      <c r="X365" s="1766"/>
      <c r="Y365" s="1766"/>
      <c r="Z365" s="1766"/>
      <c r="AA365" s="1766"/>
      <c r="AB365" s="1766"/>
      <c r="AC365" s="1766"/>
      <c r="AD365" s="1767"/>
      <c r="AE365" s="1000"/>
      <c r="AF365" s="597"/>
      <c r="AG365" s="1723"/>
      <c r="AH365" s="1724"/>
      <c r="AI365" s="1724"/>
      <c r="AJ365" s="1724"/>
      <c r="AK365" s="1725"/>
      <c r="AL365" s="996"/>
      <c r="AM365" s="1747"/>
      <c r="AN365" s="1775"/>
      <c r="AO365" s="1777"/>
      <c r="AP365" s="1780"/>
      <c r="AQ365" s="1781"/>
      <c r="AR365" s="1795"/>
      <c r="AS365" s="1795"/>
      <c r="AT365" s="1796"/>
      <c r="AU365" s="1735"/>
      <c r="AV365" s="1752"/>
      <c r="AW365" s="1705"/>
      <c r="AX365" s="467"/>
      <c r="AY365" s="1749"/>
      <c r="AZ365" s="1749"/>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696"/>
      <c r="CQ365" s="1696"/>
      <c r="CR365" s="1809"/>
      <c r="CS365" s="1811"/>
      <c r="CU365" s="1688"/>
      <c r="CV365" s="1703"/>
      <c r="CW365" s="1703"/>
      <c r="CX365" s="1703"/>
      <c r="CY365" s="1815"/>
      <c r="CZ365" s="1711"/>
      <c r="DA365" s="1818"/>
      <c r="DB365" s="1820"/>
      <c r="DC365" s="1820"/>
      <c r="DD365" s="1820"/>
      <c r="DF365" s="1703"/>
      <c r="DG365" s="1831"/>
      <c r="DH365" s="1703"/>
      <c r="DI365" s="1838"/>
      <c r="DJ365" s="1711"/>
      <c r="DK365" s="1712"/>
      <c r="DM365" s="1718"/>
      <c r="DO365" s="1708"/>
      <c r="DQ365" s="1715"/>
      <c r="DR365" s="1720"/>
      <c r="DS365" s="1816"/>
      <c r="DT365" s="1714"/>
      <c r="DU365" s="1715"/>
      <c r="DV365" s="1716"/>
      <c r="DX365" s="1715"/>
      <c r="DY365" s="1720"/>
      <c r="DZ365" s="1715"/>
      <c r="EA365" s="1715"/>
      <c r="EC365" s="1834"/>
      <c r="ED365" s="1834"/>
      <c r="EF365" s="1707"/>
      <c r="EG365" s="1712"/>
      <c r="EH365" s="1818"/>
      <c r="EI365" s="1712"/>
      <c r="EJ365" s="1712"/>
      <c r="EK365" s="1836"/>
      <c r="EL365" s="1836"/>
      <c r="EM365" s="1807"/>
      <c r="EN365" s="1839"/>
      <c r="EO365" s="1839"/>
      <c r="EP365" s="1817"/>
      <c r="EQ365" s="1817"/>
      <c r="ER365" s="1807"/>
      <c r="ES365" s="1807"/>
      <c r="ET365" s="1807"/>
      <c r="EV365" s="1715"/>
      <c r="EX365" s="1805"/>
      <c r="EY365" s="1805"/>
      <c r="EZ365" s="1805"/>
      <c r="FA365" s="1805"/>
      <c r="FB365" s="1805"/>
      <c r="FC365" s="1827"/>
      <c r="FE365" s="1698"/>
      <c r="FG365" s="1816"/>
      <c r="FH365" s="1816"/>
      <c r="FI365" s="133"/>
      <c r="FL365" s="1823"/>
      <c r="FM365" s="1825"/>
      <c r="FN365" s="1698"/>
      <c r="FO365" s="1698"/>
      <c r="FP365" s="1678"/>
      <c r="FQ365" s="1678"/>
      <c r="FS365" s="1687"/>
      <c r="FT365" s="1687"/>
      <c r="FU365" s="1685"/>
      <c r="FV365" s="1687"/>
      <c r="FW365" s="1687"/>
      <c r="FX365" s="1687"/>
      <c r="FY365" s="1697"/>
      <c r="GA365" s="1696"/>
      <c r="GB365" s="1696"/>
      <c r="GC365" s="1696"/>
      <c r="GD365" s="1696"/>
      <c r="GE365" s="1696"/>
      <c r="GF365" s="1696"/>
      <c r="GG365" s="1696"/>
      <c r="GH365" s="1696"/>
      <c r="GI365" s="673"/>
      <c r="GJ365" s="1135"/>
      <c r="GK365" s="1832"/>
      <c r="GM365" s="1693" t="b">
        <f ca="1">IF(AND(GP365=TRUE,GQ365=TRUE),TRUE,FALSE)</f>
        <v>0</v>
      </c>
      <c r="GN365" s="1684" t="b">
        <f>IFERROR(IF(__Retrofit_TI_NC=2,TRUE,IF(AU364="Yes",TRUE,FALSE)),FALSE)</f>
        <v>1</v>
      </c>
      <c r="GP365" s="1684" t="b">
        <f>IFERROR(IF(GP364=1,TRUE,FALSE),FALSE)</f>
        <v>0</v>
      </c>
      <c r="GQ365" s="1684" t="b">
        <f ca="1">IFERROR(IF(GQ364=GQ$14,TRUE,FALSE),FALSE)</f>
        <v>0</v>
      </c>
      <c r="HG365" s="1684" t="b">
        <f>IFERROR(IF(AND(__Retrofit_TI_NC&gt;0,CQ364="Interior"),FALSE,TRUE),FALSE)</f>
        <v>1</v>
      </c>
      <c r="HH365" s="1684" t="b">
        <f>IFERROR(IF(M365=1,TRUE,FALSE),FALSE)</f>
        <v>0</v>
      </c>
      <c r="HI365" s="1684" t="b">
        <f>IFERROR(IF(OR(M366=1,N367="BAM"),TRUE,FALSE),FALSE)</f>
        <v>0</v>
      </c>
      <c r="HJ365" s="1684" t="b">
        <f>IFERROR(IF(__Retrofit_TI_NC&lt;&gt;0,TRUE,IFERROR(IF(VLOOKUP(U365,Fixtures_Existing_List,2,FALSE)&lt;&gt;"",TRUE,FALSE),FALSE)),FALSE)</f>
        <v>0</v>
      </c>
      <c r="HK365" s="1684" t="b">
        <f>IFERROR(IF(VLOOKUP(U366,Fixtures_Proposed_List,2,FALSE)&lt;&gt;"",TRUE,FALSE),FALSE)</f>
        <v>0</v>
      </c>
      <c r="HL365" s="1684" t="b">
        <f>IF(AND(__Retrofit_TI_NC=2,FC364=TRUE),FALSE,TRUE)</f>
        <v>1</v>
      </c>
      <c r="HM365" s="1684" t="b">
        <f>GK364</f>
        <v>1</v>
      </c>
      <c r="HN365" s="1682" t="b">
        <f>IF(ISERROR(MATCH(FE364,_Control_Match[],0))=TRUE,FALSE,TRUE)</f>
        <v>0</v>
      </c>
      <c r="HO365" s="1693" t="b">
        <f>IFERROR(IF(EX364&lt;&gt;EY364,FALSE,TRUE),FALSE)</f>
        <v>1</v>
      </c>
      <c r="HP365" s="1693" t="b">
        <f>IFERROR(IF(EX366&lt;&gt;EY366,FALSE,TRUE),FALSE)</f>
        <v>1</v>
      </c>
      <c r="HQ365" s="1670" t="b">
        <f>IFERROR(IF(CQ364="Exterior",TRUE,IF(AND(OR(FM366=0,FM366=3),JD366&gt;6),FALSE,TRUE)),FALSE)</f>
        <v>0</v>
      </c>
      <c r="HR365" s="1684" t="b">
        <f>IFERROR(IF(AND(FO366=7,FC364=TRUE),FALSE,TRUE),FALSE)</f>
        <v>0</v>
      </c>
      <c r="HS365" s="1684" t="b">
        <f>IFERROR(IF(AND(T366&lt;&gt;AF366,OR(AG366="Interior LLLC", AG366="Interior NLC", AG366="LLLC (outside Daylight)",AG366="LLLC Controls Only"))=TRUE,FALSE,TRUE),FALSE)</f>
        <v>1</v>
      </c>
      <c r="HT365" s="1670" t="b">
        <f>IFERROR(IF(OR(AG366=Lookup!BB$17,AG366=Lookup!BB$18,AG366=Lookup!BB$19)=TRUE,IF(AF366&gt;T366,FALSE,TRUE),TRUE),FALSE)</f>
        <v>1</v>
      </c>
      <c r="HU365" s="1684" t="b">
        <f>IFERROR(IF(__Retrofit_TI_NC=2,IF(EZ366&lt;EZ364,FALSE,TRUE),TRUE),FALSE)</f>
        <v>1</v>
      </c>
      <c r="HV365" s="1684" t="b">
        <f>IF(CQ364="Interior",IL$6,TRUE)</f>
        <v>1</v>
      </c>
      <c r="HW365" s="1684" t="b">
        <f>IF(CQ364="Exterior",IL$8,TRUE)</f>
        <v>1</v>
      </c>
      <c r="HX365" s="1684" t="b">
        <f>IFERROR(IF(__Retrofit_TI_NC&lt;&gt;0,IF(AZ364&lt;AY364,FALSE,TRUE),TRUE),FALSE)</f>
        <v>1</v>
      </c>
      <c r="HY365" s="1684" t="b">
        <f>IFERROR(IF(AND(G365="Exterior",R365&gt;4200),FALSE,TRUE),FALSE)</f>
        <v>1</v>
      </c>
      <c r="HZ365" s="1684" t="b">
        <f>IFERROR(IF(AB367/AB364&lt;HZ$18,FALSE,TRUE),FALSE)</f>
        <v>0</v>
      </c>
      <c r="IB365" s="1691"/>
      <c r="IC365" s="1695"/>
      <c r="ID365" s="1694" t="str">
        <f>VLOOKUP(IB367,_Error_Table,4,FALSE)</f>
        <v>White</v>
      </c>
      <c r="IE365" s="391"/>
      <c r="IF365" s="1688"/>
      <c r="IG365" s="1689"/>
      <c r="IH365" s="1684"/>
      <c r="IK365" s="1689"/>
      <c r="IL365" s="1691"/>
      <c r="IM365" s="1691"/>
      <c r="IN365" s="1691"/>
      <c r="IP365" s="1679"/>
      <c r="IQ365" s="1679"/>
      <c r="IR365" s="1679"/>
      <c r="IS365" s="1679"/>
      <c r="IT365" s="1679"/>
      <c r="IU365" s="1679"/>
      <c r="IV365" s="1679"/>
      <c r="IW365" s="1679"/>
      <c r="IX365" s="1679"/>
      <c r="IY365" s="1679"/>
      <c r="IZ365" s="1679"/>
      <c r="JA365" s="1679"/>
      <c r="JC365" s="1680"/>
      <c r="JD365" s="1670"/>
      <c r="JE365" s="1681"/>
      <c r="JG365" s="1680"/>
      <c r="JH365" s="1670"/>
      <c r="JI365" s="1060"/>
      <c r="JJ365" s="1683"/>
      <c r="JK365" s="1061"/>
      <c r="JL365" s="1683"/>
      <c r="JM365" s="1061"/>
      <c r="JN365" s="1683"/>
      <c r="JO365" s="1061"/>
      <c r="JP365" s="1683"/>
      <c r="JQ365" s="1061"/>
      <c r="JR365" s="1683"/>
      <c r="JS365" s="1061"/>
      <c r="JT365" s="1670"/>
      <c r="JU365" s="1061"/>
      <c r="JV365" s="1670"/>
      <c r="JX365" s="1670"/>
      <c r="JZ365" s="1683"/>
      <c r="KB365" s="1670"/>
    </row>
    <row r="366" spans="1:288" s="78" customFormat="1" ht="14.95" customHeight="1" thickTop="1" thickBot="1">
      <c r="A366" s="78">
        <f>ROW()</f>
        <v>366</v>
      </c>
      <c r="B366" s="1845"/>
      <c r="C366" s="1846"/>
      <c r="D366" s="1847"/>
      <c r="E366" s="1737" t="s">
        <v>298</v>
      </c>
      <c r="F366" s="1738"/>
      <c r="G366" s="1760"/>
      <c r="H366" s="1761"/>
      <c r="I366" s="1761"/>
      <c r="J366" s="1761"/>
      <c r="K366" s="1761"/>
      <c r="L366" s="1762"/>
      <c r="M366" s="461">
        <f>IFERROR(IF(IF(__Retrofit_TI_NC&lt;&gt;0,IF(CQ364="Interior",MATCH(G366,Lookup_Interior_New,0),MATCH(G366,Lookup_Exterior_New,0)),IF(CQ364="Interior",MATCH(G366,Lookup_Interior,0),MATCH(G366,Lookup_Exterior_Areas,0)))&gt;0,1,0),0)</f>
        <v>0</v>
      </c>
      <c r="N366" s="461" t="e">
        <f>IF(__Retrofit_TI_NC=1,
VLOOKUP(G366,'Space Table'!$B$3:$L$163,4,FALSE),
IF(__Retrofit_TI_NC=2,VLOOKUP(G366,'Space Table'!$B$3:$L$163,5,FALSE),VLOOKUP(G366,'Space Table'!$B$3:$L$163,5,FALSE)))</f>
        <v>#N/A</v>
      </c>
      <c r="O366" s="461">
        <f>G366</f>
        <v>0</v>
      </c>
      <c r="P366" s="1738" t="str">
        <f>IFERROR(IF(__Retrofit_TI_NC=1,VLOOKUP(G366,'Space Table'!$B$3:$O$163,13,FALSE),IF(__Retrofit_TI_NC=2,VLOOKUP(G366,'Space Table'!$B$3:$O$163,14,FALSE),"Area (sf):")),"Area (sf):")</f>
        <v>Area (sf):</v>
      </c>
      <c r="Q366" s="1738"/>
      <c r="R366" s="596"/>
      <c r="S366" s="1763" t="s">
        <v>345</v>
      </c>
      <c r="T366" s="594"/>
      <c r="U366" s="1801"/>
      <c r="V366" s="1802"/>
      <c r="W366" s="1802"/>
      <c r="X366" s="1802"/>
      <c r="Y366" s="1802"/>
      <c r="Z366" s="1802"/>
      <c r="AA366" s="1802"/>
      <c r="AB366" s="1802"/>
      <c r="AC366" s="1802"/>
      <c r="AD366" s="1802"/>
      <c r="AE366" s="1803"/>
      <c r="AF366" s="594"/>
      <c r="AG366" s="1787"/>
      <c r="AH366" s="1787"/>
      <c r="AI366" s="1787"/>
      <c r="AJ366" s="1787"/>
      <c r="AK366" s="1787"/>
      <c r="AL366" s="1787"/>
      <c r="AM366" s="1726">
        <f>IFERROR(DI366,"")</f>
        <v>0</v>
      </c>
      <c r="AN366" s="1728" t="str">
        <f>IFERROR(ROUND(AM366*AC367,0),"")</f>
        <v/>
      </c>
      <c r="AO366" s="1730">
        <f>IFERROR(IF(IB364=FALSE,0,AC367-AN366),0)</f>
        <v>0</v>
      </c>
      <c r="AP366" s="1780"/>
      <c r="AQ366" s="1781"/>
      <c r="AR366" s="1795"/>
      <c r="AS366" s="1795"/>
      <c r="AT366" s="1796"/>
      <c r="AU366" s="1735"/>
      <c r="AV366" s="1752"/>
      <c r="AW366" s="1705"/>
      <c r="AX366" s="467"/>
      <c r="AY366" s="1749"/>
      <c r="AZ366" s="1749"/>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696"/>
      <c r="CQ366" s="1696"/>
      <c r="CR366" s="1808" t="str">
        <f>CQ364</f>
        <v/>
      </c>
      <c r="CS366" s="1810" t="str">
        <f>CS364</f>
        <v/>
      </c>
      <c r="CU366" s="1688" t="s">
        <v>345</v>
      </c>
      <c r="CV366" s="1702">
        <f>IF(IB364=TRUE,T366,0)</f>
        <v>0</v>
      </c>
      <c r="CW366" s="1702" t="str">
        <f>IF(IB364=TRUE,U366,"")</f>
        <v/>
      </c>
      <c r="CX366" s="1812">
        <f>IF(IB364=TRUE,U367,0)</f>
        <v>0</v>
      </c>
      <c r="CY366" s="1814">
        <f>IF(IB364=TRUE,AB367,0)</f>
        <v>0</v>
      </c>
      <c r="CZ366" s="1710">
        <f>IF(AND(__Retrofit_TI_NC&gt;0,CR364="interior"),0,IF(IB364=TRUE,AC367,0))</f>
        <v>0</v>
      </c>
      <c r="DA366" s="1818"/>
      <c r="DB366" s="1820"/>
      <c r="DC366" s="1820"/>
      <c r="DD366" s="1820"/>
      <c r="DF366" s="1702">
        <f>IF(IB364=TRUE,AF366,0)</f>
        <v>0</v>
      </c>
      <c r="DG366" s="1830" t="str">
        <f>IF(IB364=TRUE,AG366,"")</f>
        <v/>
      </c>
      <c r="DH366" s="1812">
        <f>AG367</f>
        <v>0</v>
      </c>
      <c r="DI366" s="1837">
        <f>JE366</f>
        <v>0</v>
      </c>
      <c r="DJ366" s="1710">
        <f>IF(AND(__Retrofit_TI_NC&gt;0,CR364="interior"),0,IF(IB364=TRUE,AN366,0))</f>
        <v>0</v>
      </c>
      <c r="DK366" s="1712"/>
      <c r="DN366" s="1717">
        <f>IFERROR(CZ366-DJ366,0)</f>
        <v>0</v>
      </c>
      <c r="DO366" s="1709"/>
      <c r="DQ366" s="1715"/>
      <c r="DR366" s="1719" t="str">
        <f>DQ364</f>
        <v/>
      </c>
      <c r="DS366" s="1816"/>
      <c r="DT366" s="1835" t="str">
        <f>IF(OR(DS364=7,DS364=8,DS364=9),"ALC","")</f>
        <v/>
      </c>
      <c r="DU366" s="1715"/>
      <c r="DV366" s="1716"/>
      <c r="DX366" s="1715"/>
      <c r="DY366" s="1829" t="str">
        <f>DX364</f>
        <v/>
      </c>
      <c r="DZ366" s="1715"/>
      <c r="EA366" s="1715"/>
      <c r="EC366" s="1834"/>
      <c r="ED366" s="1834"/>
      <c r="EF366" s="1707"/>
      <c r="EG366" s="1712"/>
      <c r="EH366" s="1818"/>
      <c r="EI366" s="1712"/>
      <c r="EJ366" s="1712"/>
      <c r="EK366" s="1836"/>
      <c r="EL366" s="1836"/>
      <c r="EM366" s="1807"/>
      <c r="EN366" s="1839"/>
      <c r="EO366" s="1839"/>
      <c r="EP366" s="1817"/>
      <c r="EQ366" s="1817"/>
      <c r="ER366" s="1807"/>
      <c r="ES366" s="1807"/>
      <c r="ET366" s="1807"/>
      <c r="EV366" s="1715"/>
      <c r="EX366" s="1805" t="str">
        <f>IFERROR(VLOOKUP(CS366,'Space Table'!$B$3:$L$163,8,FALSE),"")</f>
        <v/>
      </c>
      <c r="EY366" s="1805" t="str">
        <f>IFERROR(IF(FB366="Yes",VLOOKUP(AG366,Lookup_Control_Type_Table2,4,FALSE),VLOOKUP(AG366,Lookup_Control_Type_Table2,3,FALSE)),"")</f>
        <v/>
      </c>
      <c r="EZ366" s="1805" t="e">
        <f>VLOOKUP(AG366,Lookup!BB$3:BC$20,2,FALSE)</f>
        <v>#N/A</v>
      </c>
      <c r="FA366" s="1805" t="e">
        <f>VLOOKUP(EX364,Lookup_Control_Type_Table,2,FALSE)</f>
        <v>#N/A</v>
      </c>
      <c r="FB366" s="1805" t="e">
        <f>VLOOKUP(CS366,'Space Table'!$B$3:$L$163,7,FALSE)</f>
        <v>#N/A</v>
      </c>
      <c r="FC366" s="1827"/>
      <c r="FE366" s="1698" t="str">
        <f>CONCATENATE(CQ364," - ",AG366)</f>
        <v xml:space="preserve"> - </v>
      </c>
      <c r="FG366" s="1816"/>
      <c r="FH366" s="1816"/>
      <c r="FI366" s="133"/>
      <c r="FL366" s="1822" t="str">
        <f>IF(CQ364="Exterior","Not Daylighted",G367)</f>
        <v>Not Daylighted</v>
      </c>
      <c r="FM366" s="1824">
        <f>VLOOKUP(FL366,_New_Daylight_Table_Codes,2,FALSE)</f>
        <v>0</v>
      </c>
      <c r="FN366" s="1698">
        <f>AG366</f>
        <v>0</v>
      </c>
      <c r="FO366" s="1698" t="e">
        <f>VLOOKUP(FN366,_Control_Table,2,FALSE)</f>
        <v>#N/A</v>
      </c>
      <c r="FP366" s="1678" t="e">
        <f>VLOOKUP(CONCATENATE(FL366," ",FN366),Lookup!AY$102:AZ377,2,FALSE)</f>
        <v>#N/A</v>
      </c>
      <c r="FQ366" s="1698">
        <f>IF(__Retrofit_TI_NC=0,FN366,IF(AND(FT366&gt;0,FN366="Occupancy Sensor"),"Daylight + Occupancy",IF(AND(FT366&gt;0,FO366&lt;4),"Interior Daylight Dimming",FN366)))</f>
        <v>0</v>
      </c>
      <c r="FS366" s="1686">
        <f>IF(CQ364="Interior",VLOOKUP(CS364,Control_Savings_Interior,5,FALSE),0)</f>
        <v>0</v>
      </c>
      <c r="FT366" s="1687">
        <f>IF(CQ366="Exterior",0,IF(FM366=2,0.5,IF(OR(FM366=1,FM366=3),1,0)))</f>
        <v>0</v>
      </c>
      <c r="FU366" s="1685">
        <f>IF(R365&gt;FS$44,(FS366*(FS$44/R365)),FS366)*FT366</f>
        <v>0</v>
      </c>
      <c r="FV366" s="1686">
        <f>DI366</f>
        <v>0</v>
      </c>
      <c r="FW366" s="1686">
        <f>ROUND(FV366+((1-FV366)*FU366),2)</f>
        <v>0</v>
      </c>
      <c r="FX366" s="1686">
        <f>IF(__Retrofit_TI_NC=2,FW366,FV366)</f>
        <v>0</v>
      </c>
      <c r="FY366" s="1697">
        <f>IF(CR366="Interior",VLOOKUP(CS366,Control_Savings_Interior,4,FALSE),0)</f>
        <v>0</v>
      </c>
      <c r="GA366" s="1696"/>
      <c r="GB366" s="1696"/>
      <c r="GC366" s="1696"/>
      <c r="GD366" s="1696"/>
      <c r="GE366" s="1696"/>
      <c r="GF366" s="1696"/>
      <c r="GG366" s="1696"/>
      <c r="GH366" s="1696"/>
      <c r="GI366" s="673" t="b">
        <f>IF(ISNUMBER(SEARCH("TLED",U366)),TRUE,FALSE)</f>
        <v>0</v>
      </c>
      <c r="GJ366" s="1135" t="str">
        <f>IFERROR(VLOOKUP(U366,Fixtures!DM$93:DR$142,6,FALSE),"")</f>
        <v/>
      </c>
      <c r="GK366" s="1832"/>
      <c r="GM366" s="1692"/>
      <c r="GN366" s="1684"/>
      <c r="GP366" s="1684"/>
      <c r="GQ366" s="1684"/>
      <c r="HG366" s="1684"/>
      <c r="HH366" s="1684"/>
      <c r="HI366" s="1684"/>
      <c r="HJ366" s="1684"/>
      <c r="HK366" s="1684"/>
      <c r="HL366" s="1684"/>
      <c r="HM366" s="1684"/>
      <c r="HN366" s="1683"/>
      <c r="HO366" s="1692"/>
      <c r="HP366" s="1692"/>
      <c r="HQ366" s="1670"/>
      <c r="HR366" s="1684"/>
      <c r="HS366" s="1684"/>
      <c r="HT366" s="1670"/>
      <c r="HU366" s="1684"/>
      <c r="HV366" s="1684"/>
      <c r="HW366" s="1684"/>
      <c r="HX366" s="1684"/>
      <c r="HY366" s="1684"/>
      <c r="HZ366" s="1684"/>
      <c r="IB366" s="1692"/>
      <c r="IC366" s="1693" t="b">
        <f>IB364</f>
        <v>0</v>
      </c>
      <c r="ID366" s="1695"/>
      <c r="IE366" s="391"/>
      <c r="IF366" s="1688"/>
      <c r="IG366" s="1689">
        <f ca="1">IF(IF364=TRUE,AC367,0)</f>
        <v>0</v>
      </c>
      <c r="IH366" s="1684"/>
      <c r="IK366" s="1689" t="e">
        <f>ROUND(T366*AB367*N365*R365/1000,0)</f>
        <v>#VALUE!</v>
      </c>
      <c r="IL366" s="1691"/>
      <c r="IM366" s="1693" t="e">
        <f>ROUND(T366*AB367*N365*R365/1000,0)</f>
        <v>#VALUE!</v>
      </c>
      <c r="IN366" s="1691"/>
      <c r="IP366" s="1679"/>
      <c r="IQ366" s="1679" t="e">
        <f t="shared" ref="IQ366:IU366" si="322">IF($CR366="interior",VLOOKUP($CS366,_New_Control_Savings_Interior,IQ$30,FALSE),VLOOKUP($CS366,Control_Savings_Exterior,IQ$30,FALSE))</f>
        <v>#N/A</v>
      </c>
      <c r="IR366" s="1679" t="e">
        <f t="shared" si="322"/>
        <v>#N/A</v>
      </c>
      <c r="IS366" s="1679" t="e">
        <f t="shared" si="322"/>
        <v>#N/A</v>
      </c>
      <c r="IT366" s="1679" t="e">
        <f t="shared" si="322"/>
        <v>#N/A</v>
      </c>
      <c r="IU366" s="1679" t="e">
        <f t="shared" si="322"/>
        <v>#N/A</v>
      </c>
      <c r="IV366" s="1679" t="e">
        <f>IF($CR366="interior",IF(R365&gt;$IP$14,ROUND(($IV$18*($IP$14/R365)),2),$IV$18),VLOOKUP($CS366,Control_Savings_Exterior,IV$30,FALSE))</f>
        <v>#N/A</v>
      </c>
      <c r="IW366" s="1679" t="e">
        <f>IF($CR366="interior",ROUND(((1-IS366)*IV366)+IS366,2),VLOOKUP($CS366,Control_Savings_Exterior,IW$30,FALSE))</f>
        <v>#N/A</v>
      </c>
      <c r="IX366" s="1679" t="e">
        <f>IF($CR366="interior",ROUND(((1-IT366)*IV366)+IT366,2),VLOOKUP($CS366,Control_Savings_Exterior,IX$30,FALSE))</f>
        <v>#N/A</v>
      </c>
      <c r="IY366" s="1679" t="e">
        <f>IF($CR366="interior",IF(R365&gt;$IP$14,ROUND(($IY$18*($IP$14/R365)),2),$IY$18),VLOOKUP($CS366,Control_Savings_Exterior,IY$30,FALSE))</f>
        <v>#N/A</v>
      </c>
      <c r="IZ366" s="1679" t="e">
        <f>IF($CR366="interior",ROUND(((1-IS366)*IY366)+IS366,2),VLOOKUP($CS366,Control_Savings_Exterior,IZ$30,FALSE))</f>
        <v>#N/A</v>
      </c>
      <c r="JA366" s="1679" t="e">
        <f>IF($CR366="interior",ROUND(((1-IT366)*IY366)+IT366,2),VLOOKUP($CS366,Control_Savings_Exterior,JA$30,FALSE))</f>
        <v>#N/A</v>
      </c>
      <c r="JC366" s="1680">
        <f>IFERROR(IF(CR366="Interior",CONCATENATE(G367," ",FQ366),AG366),"")</f>
        <v>0</v>
      </c>
      <c r="JD366" s="1670" t="str">
        <f>IFERROR(VLOOKUP(JC366,_Controls_2023,2,FALSE),"")</f>
        <v/>
      </c>
      <c r="JE366" s="1681">
        <f>IFERROR(CHOOSE(JD366-1,IQ366,IR366,IS366,IT366,IU366,IV366,IW366,IX366,IY366,IZ366,JA366),0)</f>
        <v>0</v>
      </c>
      <c r="JG366" s="1680" t="str">
        <f>FE366</f>
        <v xml:space="preserve"> - </v>
      </c>
      <c r="JH366" s="1670" t="e">
        <f>$FO366</f>
        <v>#N/A</v>
      </c>
      <c r="JI366" s="1060"/>
      <c r="JJ366" s="1670">
        <f>IFERROR(IF($IB364=TRUE,IF(OR(JJ$14="No",JJ364=FALSE,JH366&lt;=JH364,AND(_kWh_Grant=0,GD364=FALSE)),0,IF(JJ$8="Per Line",1,$AF366)),0),0)</f>
        <v>0</v>
      </c>
      <c r="JK366" s="1061"/>
      <c r="JL366" s="1670">
        <f>IFERROR(IF(_kWh_Grant=0,0,IF($IB364=TRUE,IF(OR(JL$14="No",JL364=FALSE,JH366&lt;=JH364),0,IF(JL$8="Per Line",1,$T366)),0)),0)</f>
        <v>0</v>
      </c>
      <c r="JM366" s="1061"/>
      <c r="JN366" s="1670">
        <f>IFERROR(IF(_kWh_Grant=0,0,IF($IB364=TRUE,IF(OR(JN$14="No",JN364=FALSE,JH366&lt;=JH364),0,IF(JN$8="Per Line",1,$AF366)),0)),0)</f>
        <v>0</v>
      </c>
      <c r="JO366" s="1061"/>
      <c r="JP366" s="1670">
        <f>IFERROR(IF(__Retrofit_TI_NC=0,IF(_kWh_Grant=0,0,IF($IB364=TRUE,IF(OR(JP$14="No",JP364=FALSE,$JH366&lt;=$JH364),0,IF(JP$8="Per Line",1,$AF366)),0)),IF($IB364=TRUE,IF(OR(JP$14="No",JP364=FALSE,$JH366&lt;=$JH364),0,IF(JP$8="Per Line",1,$AF366)))),0)</f>
        <v>0</v>
      </c>
      <c r="JQ366" s="1061"/>
      <c r="JR366" s="1670">
        <f>IFERROR(IF(__Retrofit_TI_NC=0,IF(_kWh_Grant=0,0,IF($IB364=TRUE,IF(OR(JR$14="No",JR364=FALSE,$JH366&lt;=$JH364),0,IF(JR$8="Per Line",1,$AF366)),0)),IF($IB364=TRUE,IF(OR(JR$14="No",JR364=FALSE,$JH366&lt;=$JH364),0,IF(JR$8="Per Line",1,$AF366)))),0)</f>
        <v>0</v>
      </c>
      <c r="JS366" s="1061"/>
      <c r="JT366" s="1670">
        <f>IFERROR(IF(__Retrofit_TI_NC=0,IF(_kWh_Grant=0,0,IF($IB364=TRUE,IF(OR(JT$14="No",JT364=FALSE,$JH366&lt;=$JH364),0,IF(JT$8="Per Line",1,$AF366)),0)),IF($IB364=TRUE,IF(OR(JT$14="No",JT364=FALSE,$JH366&lt;=$JH364),0,IF(JT$8="Per Line",1,$AF366)))),0)</f>
        <v>0</v>
      </c>
      <c r="JU366" s="1061"/>
      <c r="JV366" s="1670">
        <f>IFERROR(IF(__Retrofit_TI_NC=0,IF(_kWh_Grant=0,0,IF($IB364=TRUE,IF(OR(JV$14="No",JV364=FALSE,$JH366&lt;=$JH364),0,IF(JV$8="Per Line",1,$AF366)),0)),IF($IB364=TRUE,IF(OR(JV$14="No",JV364=FALSE,$JH366&lt;=$JH364),0,IF(JV$8="Per Line",1,$AF366)))),0)</f>
        <v>0</v>
      </c>
      <c r="JX366" s="1670">
        <f>IFERROR(IF(__Retrofit_TI_NC=0,IF(_kWh_Grant=0,0,IF($IB364=TRUE,IF(OR(JX$14="No",JX364=FALSE,$JH366&lt;=$JH364),0,IF(JX$8="Per Line",1,$AF366)),0)),IF($IB364=TRUE,IF(OR(JX$14="No",JX364=FALSE,$JH366&lt;=$JH364),0,IF(JX$8="Per Line",1,$AF366)))),0)</f>
        <v>0</v>
      </c>
      <c r="JZ366" s="1670">
        <f>IFERROR(IF($IB364=TRUE,IF(OR(JZ$14="No",JZ364=FALSE,$JH366&lt;=$JH364,AND(_kWh_Grant=0,$GD364=FALSE)),0,IF(JZ$8="Per Line",1,$AF366)),0),0)</f>
        <v>0</v>
      </c>
      <c r="KB366" s="1670">
        <f>IFERROR(IF(__Retrofit_TI_NC=0,IF(_kWh_Grant=0,0,IF($IB364=TRUE,IF(OR(KB$14="No",KB364=FALSE,$JH366&lt;=$JH364),0,IF(KB$8="Per Line",1,$AF366)),0)),IF($IB364=TRUE,IF(OR(KB$14="No",KB364=FALSE,$JH366&lt;=$JH364),0,IF(KB$8="Per Line",1,$AF366)))),0)</f>
        <v>0</v>
      </c>
    </row>
    <row r="367" spans="1:288" s="78" customFormat="1" ht="14.95" customHeight="1" thickTop="1" thickBot="1">
      <c r="B367" s="1845"/>
      <c r="C367" s="1846"/>
      <c r="D367" s="1847"/>
      <c r="E367" s="1771" t="s">
        <v>436</v>
      </c>
      <c r="F367" s="1772"/>
      <c r="G367" s="1784" t="s">
        <v>437</v>
      </c>
      <c r="H367" s="1785"/>
      <c r="I367" s="1785"/>
      <c r="J367" s="1785"/>
      <c r="K367" s="1785"/>
      <c r="L367" s="1786"/>
      <c r="M367" s="591">
        <f>IFERROR(VLOOKUP(G367,_Daylight_Table[],2,FALSE),0)</f>
        <v>0</v>
      </c>
      <c r="N367" s="592" t="str">
        <f>IF(AND(__Retrofit_TI_NC&gt;0,CQ364="Interior"),"BAM","")</f>
        <v/>
      </c>
      <c r="O367" s="591" t="e">
        <f>VLOOKUP(G366,'Space Table'!$B$3:$L$163,11,FALSE)</f>
        <v>#N/A</v>
      </c>
      <c r="P367" s="1789"/>
      <c r="Q367" s="1790"/>
      <c r="R367" s="1790"/>
      <c r="S367" s="1788"/>
      <c r="T367" s="593" t="s">
        <v>342</v>
      </c>
      <c r="U367" s="1756" t="str" cm="1">
        <f t="array" aca="1" ref="U367" ca="1">IFERROR(VLOOKUP(INDIRECT("U" &amp; ROW()-1),Fixtures!DM$93:DP$142,4,FALSE),"")</f>
        <v/>
      </c>
      <c r="V367" s="1757"/>
      <c r="W367" s="1757"/>
      <c r="X367" s="1757"/>
      <c r="Y367" s="1757"/>
      <c r="Z367" s="1757"/>
      <c r="AA367" s="1758"/>
      <c r="AB367" s="939" t="str">
        <f>IFERROR(VLOOKUP(U366,Fixtures_Proposed_List,2,FALSE),"")</f>
        <v/>
      </c>
      <c r="AC367" s="933" t="str">
        <f>IFERROR(ROUND(T366*AB367*N365*R365/1000,0),"")</f>
        <v/>
      </c>
      <c r="AD367" s="934" t="str">
        <f>IFERROR(ROUND(T366*AB367/1000,2),"")</f>
        <v/>
      </c>
      <c r="AE367" s="998"/>
      <c r="AF367" s="938" t="s">
        <v>342</v>
      </c>
      <c r="AG367" s="1770"/>
      <c r="AH367" s="1770"/>
      <c r="AI367" s="1770"/>
      <c r="AJ367" s="1770"/>
      <c r="AK367" s="1770"/>
      <c r="AL367" s="1770"/>
      <c r="AM367" s="1727"/>
      <c r="AN367" s="1729"/>
      <c r="AO367" s="1731"/>
      <c r="AP367" s="1782"/>
      <c r="AQ367" s="1783"/>
      <c r="AR367" s="1797"/>
      <c r="AS367" s="1797"/>
      <c r="AT367" s="1798"/>
      <c r="AU367" s="1736"/>
      <c r="AV367" s="1753"/>
      <c r="AW367" s="1706"/>
      <c r="AX367" s="468"/>
      <c r="AY367" s="1750"/>
      <c r="AZ367" s="1750"/>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696"/>
      <c r="CQ367" s="1696"/>
      <c r="CR367" s="1809"/>
      <c r="CS367" s="1811"/>
      <c r="CU367" s="1688"/>
      <c r="CV367" s="1703"/>
      <c r="CW367" s="1703"/>
      <c r="CX367" s="1813"/>
      <c r="CY367" s="1815"/>
      <c r="CZ367" s="1711"/>
      <c r="DA367" s="1815"/>
      <c r="DB367" s="1821"/>
      <c r="DC367" s="1821"/>
      <c r="DD367" s="1821"/>
      <c r="DF367" s="1703"/>
      <c r="DG367" s="1831"/>
      <c r="DH367" s="1813"/>
      <c r="DI367" s="1838"/>
      <c r="DJ367" s="1711"/>
      <c r="DK367" s="1712"/>
      <c r="DN367" s="1718"/>
      <c r="DO367" s="1709"/>
      <c r="DQ367" s="1715"/>
      <c r="DR367" s="1720"/>
      <c r="DS367" s="1703"/>
      <c r="DT367" s="1714"/>
      <c r="DU367" s="1715"/>
      <c r="DV367" s="1716"/>
      <c r="DX367" s="1715"/>
      <c r="DY367" s="1720"/>
      <c r="DZ367" s="1715"/>
      <c r="EA367" s="1715"/>
      <c r="EC367" s="1834"/>
      <c r="ED367" s="1834"/>
      <c r="EF367" s="1707"/>
      <c r="EG367" s="1712"/>
      <c r="EH367" s="1815"/>
      <c r="EI367" s="1712"/>
      <c r="EJ367" s="1712"/>
      <c r="EK367" s="1813"/>
      <c r="EL367" s="1813"/>
      <c r="EM367" s="1807"/>
      <c r="EN367" s="1839"/>
      <c r="EO367" s="1839"/>
      <c r="EP367" s="1817"/>
      <c r="EQ367" s="1817"/>
      <c r="ER367" s="1807"/>
      <c r="ES367" s="1807"/>
      <c r="ET367" s="1807"/>
      <c r="EV367" s="1715"/>
      <c r="EX367" s="1806"/>
      <c r="EY367" s="1806"/>
      <c r="EZ367" s="1806"/>
      <c r="FA367" s="1806"/>
      <c r="FB367" s="1806"/>
      <c r="FC367" s="1828"/>
      <c r="FE367" s="1698"/>
      <c r="FG367" s="1703"/>
      <c r="FH367" s="1703"/>
      <c r="FI367" s="133"/>
      <c r="FL367" s="1823"/>
      <c r="FM367" s="1825"/>
      <c r="FN367" s="1698"/>
      <c r="FO367" s="1698"/>
      <c r="FP367" s="1678"/>
      <c r="FQ367" s="1698"/>
      <c r="FS367" s="1687"/>
      <c r="FT367" s="1687"/>
      <c r="FU367" s="1685"/>
      <c r="FV367" s="1687"/>
      <c r="FW367" s="1687"/>
      <c r="FX367" s="1687"/>
      <c r="FY367" s="1697"/>
      <c r="GA367" s="1696"/>
      <c r="GB367" s="1696"/>
      <c r="GC367" s="1696"/>
      <c r="GD367" s="1696"/>
      <c r="GE367" s="1696"/>
      <c r="GF367" s="1696"/>
      <c r="GG367" s="1696"/>
      <c r="GH367" s="1696"/>
      <c r="GI367" s="673"/>
      <c r="GJ367" s="1135"/>
      <c r="GK367" s="1832"/>
      <c r="GN367" s="674">
        <f>IF(GN365=TRUE,0,GN$16)</f>
        <v>0</v>
      </c>
      <c r="GP367" s="674">
        <f>IF(GP365=TRUE,0,GP$16)</f>
        <v>36</v>
      </c>
      <c r="GQ367" s="674">
        <f ca="1">IF(GQ365=TRUE,0,GQ$16)</f>
        <v>35</v>
      </c>
      <c r="GR367" s="391"/>
      <c r="GS367" s="391"/>
      <c r="GT367" s="391"/>
      <c r="GU367" s="391"/>
      <c r="GV367" s="391"/>
      <c r="HG367" s="674">
        <f>IF(HG365=TRUE,0,HG$16)</f>
        <v>0</v>
      </c>
      <c r="HH367" s="674">
        <f t="shared" ref="HH367:HM367" si="323">IF(HH365=TRUE,0,HH$16)</f>
        <v>19</v>
      </c>
      <c r="HI367" s="674">
        <f t="shared" si="323"/>
        <v>18</v>
      </c>
      <c r="HJ367" s="674">
        <f t="shared" si="323"/>
        <v>17</v>
      </c>
      <c r="HK367" s="674">
        <f t="shared" si="323"/>
        <v>16</v>
      </c>
      <c r="HL367" s="674">
        <f t="shared" si="323"/>
        <v>0</v>
      </c>
      <c r="HM367" s="674">
        <f t="shared" si="323"/>
        <v>0</v>
      </c>
      <c r="HN367" s="674">
        <f>IF(HN365=TRUE,0,HN$16)</f>
        <v>13</v>
      </c>
      <c r="HO367" s="674">
        <f t="shared" ref="HO367:HQ367" si="324">IF(HO365=TRUE,0,HO$16)</f>
        <v>0</v>
      </c>
      <c r="HP367" s="674">
        <f t="shared" si="324"/>
        <v>0</v>
      </c>
      <c r="HQ367" s="674">
        <f t="shared" si="324"/>
        <v>10</v>
      </c>
      <c r="HR367" s="674">
        <f>IF(HR365=TRUE,0,HR$16)</f>
        <v>9</v>
      </c>
      <c r="HS367" s="674">
        <f t="shared" ref="HS367:HW367" si="325">IF(HS365=TRUE,0,HS$16)</f>
        <v>0</v>
      </c>
      <c r="HT367" s="674">
        <f t="shared" si="325"/>
        <v>0</v>
      </c>
      <c r="HU367" s="674">
        <f t="shared" si="325"/>
        <v>0</v>
      </c>
      <c r="HV367" s="674">
        <f t="shared" si="325"/>
        <v>0</v>
      </c>
      <c r="HW367" s="674">
        <f t="shared" si="325"/>
        <v>0</v>
      </c>
      <c r="HX367" s="674">
        <f>IF(HX365=TRUE,0,HX$16)</f>
        <v>0</v>
      </c>
      <c r="HY367" s="674">
        <f>IF(HY365=TRUE,0,HY$16)</f>
        <v>0</v>
      </c>
      <c r="HZ367" s="674">
        <f>IF(HZ365=TRUE,0,HZ$16)</f>
        <v>1</v>
      </c>
      <c r="IB367" s="674">
        <f>IF(GP365=FALSE,GP367,IF(GQ365=FALSE,GQ367,MAX(GN367:HZ367)))</f>
        <v>36</v>
      </c>
      <c r="IC367" s="1692"/>
      <c r="ID367" s="205" t="str">
        <f>VLOOKUP(IB367,_Error_Table,3,FALSE)</f>
        <v xml:space="preserve"> </v>
      </c>
      <c r="IE367" s="205"/>
      <c r="IF367" s="1688"/>
      <c r="IG367" s="1689"/>
      <c r="IH367" s="1684"/>
      <c r="IK367" s="1689"/>
      <c r="IL367" s="1692"/>
      <c r="IM367" s="1692"/>
      <c r="IN367" s="1692"/>
      <c r="IP367" s="1679"/>
      <c r="IQ367" s="1679"/>
      <c r="IR367" s="1679"/>
      <c r="IS367" s="1679"/>
      <c r="IT367" s="1679"/>
      <c r="IU367" s="1679"/>
      <c r="IV367" s="1679"/>
      <c r="IW367" s="1679"/>
      <c r="IX367" s="1679"/>
      <c r="IY367" s="1679"/>
      <c r="IZ367" s="1679"/>
      <c r="JA367" s="1679"/>
      <c r="JC367" s="1680"/>
      <c r="JD367" s="1670"/>
      <c r="JE367" s="1681"/>
      <c r="JG367" s="1680"/>
      <c r="JH367" s="1670"/>
      <c r="JI367" s="1060"/>
      <c r="JJ367" s="1670"/>
      <c r="JK367" s="1061"/>
      <c r="JL367" s="1670"/>
      <c r="JM367" s="1061"/>
      <c r="JN367" s="1670"/>
      <c r="JO367" s="1061"/>
      <c r="JP367" s="1670"/>
      <c r="JQ367" s="1061"/>
      <c r="JR367" s="1670"/>
      <c r="JS367" s="1061"/>
      <c r="JT367" s="1670"/>
      <c r="JU367" s="1061"/>
      <c r="JV367" s="1670"/>
      <c r="JX367" s="1670"/>
      <c r="JZ367" s="1670"/>
      <c r="KB367" s="1670"/>
    </row>
    <row r="368" spans="1:288" s="78" customFormat="1" ht="5.0999999999999996" customHeight="1">
      <c r="B368" s="676"/>
      <c r="C368" s="392"/>
      <c r="D368" s="392"/>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c r="AI368" s="1733"/>
      <c r="AJ368" s="1733"/>
      <c r="AK368" s="1733"/>
      <c r="AL368" s="1733"/>
      <c r="AM368" s="1733"/>
      <c r="AN368" s="1733"/>
      <c r="AO368" s="1733"/>
      <c r="AP368" s="1733"/>
      <c r="AQ368" s="1733"/>
      <c r="AR368" s="1733"/>
      <c r="AS368" s="1733"/>
      <c r="AT368" s="1733"/>
      <c r="AU368" s="1733"/>
      <c r="AV368" s="1733"/>
      <c r="AW368" s="1733"/>
      <c r="AX368" s="469"/>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663"/>
      <c r="CQ368" s="663"/>
      <c r="CR368" s="438"/>
      <c r="CS368" s="663"/>
      <c r="CV368" s="391"/>
      <c r="CW368" s="391"/>
      <c r="CX368" s="207"/>
      <c r="CY368" s="208"/>
      <c r="CZ368" s="208"/>
      <c r="DA368" s="208"/>
      <c r="DB368" s="209"/>
      <c r="DC368" s="209"/>
      <c r="DD368" s="209"/>
      <c r="DF368" s="664"/>
      <c r="DG368" s="665"/>
      <c r="DH368" s="666"/>
      <c r="DI368" s="667"/>
      <c r="DJ368" s="668"/>
      <c r="DK368" s="668"/>
      <c r="DN368" s="208"/>
      <c r="DO368" s="664"/>
      <c r="DQ368" s="664"/>
      <c r="DR368" s="669"/>
      <c r="DS368" s="391"/>
      <c r="DT368" s="664"/>
      <c r="DU368" s="664"/>
      <c r="DV368" s="664"/>
      <c r="DX368" s="664"/>
      <c r="DY368" s="664"/>
      <c r="DZ368" s="664"/>
      <c r="EA368" s="664"/>
      <c r="EC368" s="670"/>
      <c r="ED368" s="670"/>
      <c r="EF368" s="668"/>
      <c r="EG368" s="668"/>
      <c r="EH368" s="208"/>
      <c r="EI368" s="668"/>
      <c r="EJ368" s="668"/>
      <c r="EK368" s="207"/>
      <c r="EL368" s="207"/>
      <c r="EM368" s="666"/>
      <c r="EN368" s="671"/>
      <c r="EO368" s="671"/>
      <c r="EP368" s="672"/>
      <c r="EQ368" s="672"/>
      <c r="ER368" s="666"/>
      <c r="ES368" s="666"/>
      <c r="ET368" s="666"/>
      <c r="EV368" s="664"/>
      <c r="EX368" s="391"/>
      <c r="EY368" s="391"/>
      <c r="EZ368" s="391"/>
      <c r="FA368" s="391"/>
      <c r="FB368" s="391"/>
      <c r="FC368" s="391"/>
      <c r="FE368" s="569"/>
      <c r="FG368" s="391"/>
      <c r="FH368" s="391"/>
      <c r="FI368" s="391"/>
      <c r="FS368" s="664"/>
      <c r="FT368" s="391"/>
      <c r="FU368" s="391"/>
      <c r="FV368" s="664"/>
      <c r="FW368" s="664"/>
      <c r="GA368" s="663"/>
      <c r="GB368" s="663"/>
      <c r="GC368" s="663"/>
      <c r="GD368" s="663"/>
      <c r="GE368" s="663"/>
      <c r="GF368" s="663"/>
      <c r="GG368" s="663"/>
      <c r="GH368" s="663"/>
      <c r="GI368" s="665"/>
      <c r="GJ368" s="664"/>
      <c r="GK368" s="664"/>
    </row>
    <row r="369" spans="1:288" s="78" customFormat="1" ht="14.95" customHeight="1">
      <c r="B369" s="1845" t="str">
        <f>ID372</f>
        <v xml:space="preserve"> </v>
      </c>
      <c r="C369" s="1846">
        <f>C364+1</f>
        <v>63</v>
      </c>
      <c r="D369" s="1847"/>
      <c r="E369" s="1799" t="s">
        <v>295</v>
      </c>
      <c r="F369" s="1800"/>
      <c r="G369" s="1741"/>
      <c r="H369" s="1742"/>
      <c r="I369" s="1742"/>
      <c r="J369" s="1742"/>
      <c r="K369" s="1742"/>
      <c r="L369" s="1742"/>
      <c r="M369" s="1742"/>
      <c r="N369" s="1742"/>
      <c r="O369" s="1742"/>
      <c r="P369" s="1742"/>
      <c r="Q369" s="1742"/>
      <c r="R369" s="1742"/>
      <c r="S369" s="1791" t="s">
        <v>344</v>
      </c>
      <c r="T369" s="590"/>
      <c r="U369" s="1743"/>
      <c r="V369" s="1744"/>
      <c r="W369" s="1744"/>
      <c r="X369" s="1744"/>
      <c r="Y369" s="1744"/>
      <c r="Z369" s="1744"/>
      <c r="AA369" s="1744"/>
      <c r="AB369" s="961" t="str">
        <f>IFERROR(IF(__Retrofit_TI_NC=0,VLOOKUP(U370,Fixtures_Existing_List,2,FALSE),ROUND(N371*R371/T371,10)),"")</f>
        <v/>
      </c>
      <c r="AC369" s="935" t="str">
        <f>IFERROR(IF(__Retrofit_TI_NC=0,ROUND(T370*AB369*N370*R370/1000,0),IF(CQ369="Interior",N371*R371*R370*N370*_C406_reduction/1000,N371*R371*R370*N370/1000)),"")</f>
        <v/>
      </c>
      <c r="AD369" s="936" t="str">
        <f>IFERROR(IF(C$43=0,ROUND(T370*AB369/1000,2),N371*R371/1000),"")</f>
        <v/>
      </c>
      <c r="AE369" s="997"/>
      <c r="AF369" s="937"/>
      <c r="AG369" s="1745" t="str">
        <f>IF(__Retrofit_TI_NC=0," Control","Select Advanced Control for New System")</f>
        <v xml:space="preserve"> Control</v>
      </c>
      <c r="AH369" s="1745"/>
      <c r="AI369" s="1745"/>
      <c r="AJ369" s="1745"/>
      <c r="AK369" s="1745"/>
      <c r="AL369" s="1745"/>
      <c r="AM369" s="1746">
        <f>IFERROR(DI369,"")</f>
        <v>0</v>
      </c>
      <c r="AN369" s="1774" t="str">
        <f>IFERROR(ROUND(AM369*AC369,0),"")</f>
        <v/>
      </c>
      <c r="AO369" s="1776">
        <f>IFERROR(IF(IB369=FALSE,0,AC369-AN369),0)</f>
        <v>0</v>
      </c>
      <c r="AP369" s="1778">
        <f>AO369-AO371</f>
        <v>0</v>
      </c>
      <c r="AQ369" s="1779"/>
      <c r="AR369" s="1793">
        <f>IFERROR(IF(IB369=FALSE,0,(T371*U372)+(AF371*AG372)),0)</f>
        <v>0</v>
      </c>
      <c r="AS369" s="1793"/>
      <c r="AT369" s="1794"/>
      <c r="AU369" s="1734" t="s">
        <v>237</v>
      </c>
      <c r="AV369" s="1751">
        <f>IF(AU369="Yes",1,0)</f>
        <v>1</v>
      </c>
      <c r="AW369" s="1704" t="str">
        <f>IF(OR(DQ369=4,DQ369=5,DQ369=6,DQ369=12),CONCATENATE("$",IF(GH369=TRUE,Lookup!$K$10,Lookup!$K$2)," /lamp"),CONCATENATE(TEXT(ED369,"$0.00"),"/ kWh"))</f>
        <v>$0.00/ kWh</v>
      </c>
      <c r="AX369" s="467"/>
      <c r="AY369" s="1748">
        <f ca="1">IFERROR(IF(GM370=TRUE,(AB372*T371)/R371,0),"NA")</f>
        <v>0</v>
      </c>
      <c r="AZ369" s="1748"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696" t="str">
        <f>N370</f>
        <v/>
      </c>
      <c r="CQ369" s="1696" t="str">
        <f>IFERROR(VLOOKUP(G370,_Lookup_Heat_Type_Table_New,3,FALSE),"")</f>
        <v/>
      </c>
      <c r="CR369" s="1808" t="str">
        <f>CQ369</f>
        <v/>
      </c>
      <c r="CS369" s="1810" t="str">
        <f>IFERROR(VLOOKUP(G371,'Space Table'!$B$3:$L$163,9,FALSE),"")</f>
        <v/>
      </c>
      <c r="CU369" s="1688" t="s">
        <v>344</v>
      </c>
      <c r="CV369" s="1702">
        <f>IF(IB369=TRUE,T370,0)</f>
        <v>0</v>
      </c>
      <c r="CW369" s="1702" t="str">
        <f>IF(IB369=TRUE,U370,"")</f>
        <v/>
      </c>
      <c r="CX369" s="1702"/>
      <c r="CY369" s="1814">
        <f>IF(IB369=TRUE,AB369,0)</f>
        <v>0</v>
      </c>
      <c r="CZ369" s="1710">
        <f>IF(AND(__Retrofit_TI_NC&gt;0,CR369="interior"),0,IF(IB369=TRUE,AC369,0))</f>
        <v>0</v>
      </c>
      <c r="DA369" s="1814">
        <f>IFERROR(IF(IB369=TRUE,CZ369-CZ371,0),0)</f>
        <v>0</v>
      </c>
      <c r="DB369" s="1819">
        <f>IF(IB369=TRUE,AD369,0)</f>
        <v>0</v>
      </c>
      <c r="DC369" s="1819">
        <f>IF(IB369=TRUE,AD372,0)</f>
        <v>0</v>
      </c>
      <c r="DD369" s="1819">
        <f>IFERROR(DB369-DC369,0)</f>
        <v>0</v>
      </c>
      <c r="DF369" s="1702">
        <f>IF(IB369=TRUE,AF370,0)</f>
        <v>0</v>
      </c>
      <c r="DG369" s="1830">
        <f>IFERROR(IF(__Retrofit_TI_NC=2,IF(CQ369="Exterior",O372,FQ369),FN369),"")</f>
        <v>0</v>
      </c>
      <c r="DH369" s="1702"/>
      <c r="DI369" s="1837">
        <f>JE369</f>
        <v>0</v>
      </c>
      <c r="DJ369" s="1710">
        <f>IF(AND(__Retrofit_TI_NC&gt;0,CR369="interior"),0,IF(IB369=TRUE,AN369,0))</f>
        <v>0</v>
      </c>
      <c r="DK369" s="1712">
        <f>IFERROR(IF(IB369=TRUE,DJ371-DJ369,0),0)</f>
        <v>0</v>
      </c>
      <c r="DM369" s="1717">
        <f>IFERROR(CZ369-DJ369,0)</f>
        <v>0</v>
      </c>
      <c r="DO369" s="1708">
        <f>DM369-DN371</f>
        <v>0</v>
      </c>
      <c r="DQ369" s="1715" t="str">
        <f>IFERROR(IF(AND(OR(GC369=4,GC369=5,GC369=6),OR(GF369=4,GF369=5,GF369=6)),GC369+8,VLOOKUP(CW371,Fixtures!R$31:Y$78,8,FALSE)),"")</f>
        <v/>
      </c>
      <c r="DR369" s="1829" t="str">
        <f>DQ369</f>
        <v/>
      </c>
      <c r="DS369" s="1702" t="str">
        <f>IFERROR(VLOOKUP(DG371,Lookup!BB$3:BC$20,2,FALSE),"")</f>
        <v/>
      </c>
      <c r="DT369" s="1713" t="str">
        <f>IF(OR(DS369=7,DS369=8,DS369=9),"ALC","")</f>
        <v/>
      </c>
      <c r="DU369" s="1715">
        <f>IFERROR(IF(OR(DQ369=4,DQ369=5,DQ369=6,DQ369=12,DQ369=13,DQ369=14),VLOOKUP(CW371,Fixtures!DN$27:EG$77,19,FALSE),1)*CV371,0)</f>
        <v>0</v>
      </c>
      <c r="DV369" s="1716">
        <f>IF(OR(DS369=7,DS369=8,DS369=9),IF(DG369=DG371,0,DF371),0)</f>
        <v>0</v>
      </c>
      <c r="DX369" s="1715" t="str">
        <f>IFERROR(IF(EZ369&lt;EZ371,"Yes","No"),"")</f>
        <v/>
      </c>
      <c r="DY369" s="1829" t="str">
        <f>DX369</f>
        <v/>
      </c>
      <c r="DZ369" s="1715">
        <f>IF(DX369="Yes",DF371,0)</f>
        <v>0</v>
      </c>
      <c r="EA369" s="1715">
        <f>DZ369-DV369</f>
        <v>0</v>
      </c>
      <c r="EC369" s="1834">
        <f>IFERROR(VLOOKUP(DQ369,Lookup!AU$3:AV$16,2,FALSE),0)</f>
        <v>0</v>
      </c>
      <c r="ED369" s="1834">
        <f>IF(IB369=FALSE,0,IF(DX369="Yes",EC369+Lookup!K$6,EC369))</f>
        <v>0</v>
      </c>
      <c r="EF369" s="1707">
        <f>IF(IB369=TRUE,DM369,0)</f>
        <v>0</v>
      </c>
      <c r="EG369" s="1712">
        <f>IF(IB369=TRUE,CZ371,0)</f>
        <v>0</v>
      </c>
      <c r="EH369" s="1814">
        <f>IFERROR(EF369-EG369,0)</f>
        <v>0</v>
      </c>
      <c r="EI369" s="1712">
        <f>IF(IB369=TRUE,DJ371,0)</f>
        <v>0</v>
      </c>
      <c r="EJ369" s="1712">
        <f>IFERROR(EF369-EG369+EI369,0)</f>
        <v>0</v>
      </c>
      <c r="EK369" s="1812">
        <f>IF(IB369=TRUE,CV371*CX371,0)</f>
        <v>0</v>
      </c>
      <c r="EL369" s="1812">
        <f>IF(IB369=TRUE,DF371*DH371,0)</f>
        <v>0</v>
      </c>
      <c r="EM369" s="1807">
        <f>AR369</f>
        <v>0</v>
      </c>
      <c r="EN369" s="1839" t="str">
        <f>IFERROR(IF(IB369=TRUE,VLOOKUP(DQ369,Lookup!AU$3:AW$16,3,FALSE)*DU369,""),0)</f>
        <v/>
      </c>
      <c r="EO369" s="1839">
        <f>IF(IB369=TRUE,DZ369*Lookup!AW$12,0)</f>
        <v>0</v>
      </c>
      <c r="EP369" s="1817">
        <f>IFERROR(IF(IB369=TRUE,EN369/EP$40,0),0)</f>
        <v>0</v>
      </c>
      <c r="EQ369" s="1817">
        <f>IF(IB369=TRUE,EO369/EQ$40,0)</f>
        <v>0</v>
      </c>
      <c r="ER369" s="1807">
        <f>IF(IB369=TRUE,ET$40*EP369,0)</f>
        <v>0</v>
      </c>
      <c r="ES369" s="1807">
        <f>IF(IB369=TRUE,ET$40*EQ369,0)</f>
        <v>0</v>
      </c>
      <c r="ET369" s="1807">
        <f>ER369+ES369</f>
        <v>0</v>
      </c>
      <c r="EV369" s="1715">
        <f>IF(G369="",0,1)</f>
        <v>0</v>
      </c>
      <c r="EX369" s="1804" t="str">
        <f>IFERROR(VLOOKUP(CS371,'Space Table'!$B$3:$L$163,8,FALSE),"")</f>
        <v/>
      </c>
      <c r="EY369" s="1804" t="str">
        <f>IFERROR(IF(FB369="Yes",VLOOKUP(DG369,Lookup_Control_Type_Table2,4,FALSE),VLOOKUP(DG369,Lookup_Control_Type_Table2,3,FALSE)),"")</f>
        <v/>
      </c>
      <c r="EZ369" s="1804" t="e">
        <f>VLOOKUP(DG369,Lookup!BB$3:BC$20,2,FALSE)</f>
        <v>#N/A</v>
      </c>
      <c r="FA369" s="1804" t="e">
        <f>VLOOKUP(EX369,Lookup_Control_Type_Table,2,FALSE)</f>
        <v>#N/A</v>
      </c>
      <c r="FB369" s="1804" t="e">
        <f>VLOOKUP(CS371,'Space Table'!$B$3:$L$163,7,FALSE)</f>
        <v>#N/A</v>
      </c>
      <c r="FC369" s="1826" t="b">
        <f>ISNUMBER(SEARCH("TLED",U371))</f>
        <v>0</v>
      </c>
      <c r="FE369" s="1698" t="str">
        <f>CONCATENATE(CQ369," - ",DG369)</f>
        <v xml:space="preserve"> - 0</v>
      </c>
      <c r="FG369" s="1702" t="str">
        <f>VLOOKUP(CW371,Fixtures!DN$27:EZ$77,38,FALSE)</f>
        <v/>
      </c>
      <c r="FH369" s="1702">
        <f>IFERROR(FG369*EH369,0)</f>
        <v>0</v>
      </c>
      <c r="FI369" s="133"/>
      <c r="FL369" s="1822" t="str">
        <f>IF(CQ369="Exterior","Not Daylighted",G372)</f>
        <v>Not Daylighted</v>
      </c>
      <c r="FM369" s="1824">
        <f>VLOOKUP(FL369,_New_Daylight_Table_Codes,2,FALSE)</f>
        <v>0</v>
      </c>
      <c r="FN369" s="1698">
        <f>IF(__Retrofit_TI_NC&gt;0,VLOOKUP(G371,'Space Table'!$B$3:$L$163,11,FALSE),AG370)</f>
        <v>0</v>
      </c>
      <c r="FO369" s="1698" t="e">
        <f>IF(__Retrofit_TI_NC=2,VLOOKUP(FQ369,_Control_Table,2,FALSE),VLOOKUP(FN369,_Control_Table,2,FALSE))</f>
        <v>#N/A</v>
      </c>
      <c r="FP369" s="1678" t="e">
        <f>VLOOKUP(CONCATENATE(FL369," ",FN369),Lookup!AY$102:AZ379,2,FALSE)</f>
        <v>#N/A</v>
      </c>
      <c r="FQ369" s="1678">
        <f>IF(__Retrofit_TI_NC=0,FN369,IF(AND(FT369&gt;0,FN369="Occupancy Sensor"),"Daylight + Occupancy",IF(AND(FT369&gt;0,VLOOKUP(FN369,_Control_Table,2,FALSE)&lt;4),"Interior Daylight Dimming",FN369)))</f>
        <v>0</v>
      </c>
      <c r="FS369" s="1686">
        <f>IF(CR369="Interior",VLOOKUP(CS369,Control_Savings_Interior,5,FALSE),0)</f>
        <v>0</v>
      </c>
      <c r="FT369" s="1687">
        <f>IF(CQ369="Exterior",0,IF(FM369=2,0.5,IF(OR(FM369=1,FM369=3),1,0)))</f>
        <v>0</v>
      </c>
      <c r="FU369" s="1685">
        <f>IF(R368&gt;FS$44,(FS369*(FS$44/R368)),FS369)*FT369</f>
        <v>0</v>
      </c>
      <c r="FV369" s="1686">
        <f>DI369</f>
        <v>0</v>
      </c>
      <c r="FW369" s="1686">
        <f>ROUND(FV369+((1-FV369)*FU369),2)</f>
        <v>0</v>
      </c>
      <c r="FX369" s="1686">
        <f>IF(__Retrofit_TI_NC=2,FW369,FV369)</f>
        <v>0</v>
      </c>
      <c r="FY369" s="1697"/>
      <c r="GA369" s="1696" t="str">
        <f>IFERROR(VLOOKUP(U370,_Exist_Fixture_Table,3,FALSE),"")</f>
        <v/>
      </c>
      <c r="GB369" s="1696" t="str">
        <f>VLOOKUP(CW369,_Exist_Fixture_Table,4,FALSE)</f>
        <v/>
      </c>
      <c r="GC369" s="1696">
        <f>IFERROR(VLOOKUP(GB369,Lookup!AT$6:AU$8,2,FALSE),0)</f>
        <v>0</v>
      </c>
      <c r="GD369" s="1696" t="b">
        <f>IFERROR(IF(OR(GF369=4,GF369=5,GF369=6),TRUE,FALSE),"")</f>
        <v>0</v>
      </c>
      <c r="GE369" s="1696" t="str">
        <f>IFERROR(VLOOKUP(GF369,GC$6:GD$10,2,FALSE),"")</f>
        <v/>
      </c>
      <c r="GF369" s="1696" t="str">
        <f>VLOOKUP(CW371,Fixtures!R$31:Y$78,8,FALSE)</f>
        <v/>
      </c>
      <c r="GG369" s="1696">
        <f>IF(AND(GA369=TRUE,GD369=TRUE,OR(DQ369=12,DQ369=13,DQ369=14)),GC369+8,0)</f>
        <v>0</v>
      </c>
      <c r="GH369" s="1696" t="b">
        <f>IF(OR(GG369=12,GG369=13,GG369=14),TRUE,FALSE)</f>
        <v>0</v>
      </c>
      <c r="GI369" s="673" t="b">
        <f>IF(ISNUMBER(SEARCH("TLED",U370)),TRUE,FALSE)</f>
        <v>0</v>
      </c>
      <c r="GJ369" s="1135" t="str">
        <f>IFERROR(VLOOKUP(U370,Fixtures!BM$93:BR$142,6,FALSE),"")</f>
        <v/>
      </c>
      <c r="GK369" s="1832" t="b">
        <f>IF(OR(GI369=FALSE,GI371=FALSE),TRUE,IF(GJ369-GJ371&lt;5,FALSE,TRUE))</f>
        <v>1</v>
      </c>
      <c r="GO369" s="674">
        <f>GP369</f>
        <v>0</v>
      </c>
      <c r="GP369" s="674">
        <f>IF(G369="",0,1)</f>
        <v>0</v>
      </c>
      <c r="GQ369" s="674">
        <f ca="1">SUM(GR369:HF369)</f>
        <v>2</v>
      </c>
      <c r="GR369" s="674">
        <f>IF(G370="",0,1)</f>
        <v>0</v>
      </c>
      <c r="GS369" s="674">
        <f>IF(N372="BAM",1,IF(G371="",0,1))</f>
        <v>0</v>
      </c>
      <c r="GT369" s="674">
        <f>IF(N372="BAM",1,IF(R370="",0,1))</f>
        <v>0</v>
      </c>
      <c r="GU369" s="674">
        <f>IF(N372="BAM",1,IF(__Retrofit_TI_NC=0,1,IF(R371="",0,1)))</f>
        <v>1</v>
      </c>
      <c r="GV369" s="674">
        <f>IF(N372="BAM",1,IF(CQ369="Exterior",1,IF(G372="",0,1)))</f>
        <v>1</v>
      </c>
      <c r="GW369" s="674">
        <f>IF(__Retrofit_TI_NC&gt;0,1,IF(T370="",0,1))</f>
        <v>0</v>
      </c>
      <c r="GX369" s="674">
        <f>IF(__Retrofit_TI_NC&gt;0,1,IF(U370="",0,1))</f>
        <v>0</v>
      </c>
      <c r="GY369" s="674">
        <f>IF(N372="BAM",1,IF(T371="",0,1))</f>
        <v>0</v>
      </c>
      <c r="GZ369" s="674">
        <f>IF(N372="BAM",1,IF(U371="",0,1))</f>
        <v>0</v>
      </c>
      <c r="HA369" s="674">
        <f ca="1">IF(N372="BAM",1,IF(__Retrofit_TI_NC&gt;0,1,IF(U372="",0,1)))</f>
        <v>0</v>
      </c>
      <c r="HB369" s="674">
        <f>IF(__Retrofit_TI_NC&lt;&gt;0,1,IF(AF370="",0,1))</f>
        <v>0</v>
      </c>
      <c r="HC369" s="674">
        <f>IF(__Retrofit_TI_NC&lt;&gt;0,1,IF(AG370="",0,1))</f>
        <v>0</v>
      </c>
      <c r="HD369" s="674">
        <f>IF(N372="BAM",1,IF(AF371="",0,1))</f>
        <v>0</v>
      </c>
      <c r="HE369" s="674">
        <f>IF(N372="BAM",1,IF(AG371="",0,1))</f>
        <v>0</v>
      </c>
      <c r="HF369" s="674">
        <f>IF(N372="BAM",1,IF(__Retrofit_TI_NC&gt;0,1,IF(AG372="",0,1)))</f>
        <v>0</v>
      </c>
      <c r="HG369" s="391"/>
      <c r="IA369" s="391"/>
      <c r="IB369" s="1693" t="b">
        <f>IF(OR(IB372=0,IB372=HY$16,IB372=HX$16,IB372=HZ$16),TRUE,FALSE)</f>
        <v>0</v>
      </c>
      <c r="IC369" s="1694" t="b">
        <f>IB369</f>
        <v>0</v>
      </c>
      <c r="ID369" s="391"/>
      <c r="IE369" s="391"/>
      <c r="IF369" s="1688" t="b">
        <f ca="1">IF(MAX(GN372:HU372)&gt;5,FALSE,TRUE)</f>
        <v>0</v>
      </c>
      <c r="IG369" s="1689">
        <f ca="1">IF(IF369=TRUE,AC369,0)</f>
        <v>0</v>
      </c>
      <c r="IH369" s="1689">
        <f ca="1">IG369-IG371</f>
        <v>0</v>
      </c>
      <c r="IK369" s="1689" t="e">
        <f>ROUND(T370*VLOOKUP(U370,Fixtures_Existing_List,2,FALSE)*N370*R370/1000,0)</f>
        <v>#N/A</v>
      </c>
      <c r="IL369" s="1690" t="e">
        <f>IK369-IK371</f>
        <v>#N/A</v>
      </c>
      <c r="IM369" s="1693" t="e">
        <f>ROUND(IF(CQ369="Interior",N371*R371*R370*N370*_C406_reduction/1000,N371*R371*R370*N370/1000),0)</f>
        <v>#N/A</v>
      </c>
      <c r="IN369" s="1693" t="e">
        <f>IM369-IM371</f>
        <v>#N/A</v>
      </c>
      <c r="IP369" s="1679"/>
      <c r="IQ369" s="1679" t="e">
        <f t="shared" ref="IQ369:IU369" si="326">IF($CR369="interior",VLOOKUP($CS369,_New_Control_Savings_Interior,IQ$30,FALSE),VLOOKUP($CS369,Control_Savings_Exterior,IQ$30,FALSE))</f>
        <v>#N/A</v>
      </c>
      <c r="IR369" s="1679" t="e">
        <f t="shared" si="326"/>
        <v>#N/A</v>
      </c>
      <c r="IS369" s="1679" t="e">
        <f t="shared" si="326"/>
        <v>#N/A</v>
      </c>
      <c r="IT369" s="1679" t="e">
        <f t="shared" si="326"/>
        <v>#N/A</v>
      </c>
      <c r="IU369" s="1679" t="e">
        <f t="shared" si="326"/>
        <v>#N/A</v>
      </c>
      <c r="IV369" s="1679" t="e">
        <f>IF($CR369="interior",IF(R370&gt;$IP$14,ROUND(($IV$18*($IP$14/R370)),2),$IV$18),VLOOKUP($CS369,Control_Savings_Exterior,IV$30,FALSE))</f>
        <v>#N/A</v>
      </c>
      <c r="IW369" s="1679" t="e">
        <f>IF($CR369="interior",ROUND(((1-IS369)*IV369)+IS369,2),VLOOKUP($CS369,Control_Savings_Exterior,IW$30,FALSE))</f>
        <v>#N/A</v>
      </c>
      <c r="IX369" s="1679" t="e">
        <f>IF($CR369="interior",ROUND(((1-IT369)*IV369)+IT369,2),VLOOKUP($CS369,Control_Savings_Exterior,IX$30,FALSE))</f>
        <v>#N/A</v>
      </c>
      <c r="IY369" s="1679" t="e">
        <f>IF($CR369="interior",IF(R370&gt;$IP$14,ROUND(($IY$18*($IP$14/R370)),2),$IY$18),VLOOKUP($CS369,Control_Savings_Exterior,IY$30,FALSE))</f>
        <v>#N/A</v>
      </c>
      <c r="IZ369" s="1679" t="e">
        <f>IF($CR369="interior",ROUND(((1-IS369)*IY369)+IS369,2),VLOOKUP($CS369,Control_Savings_Exterior,IZ$30,FALSE))</f>
        <v>#N/A</v>
      </c>
      <c r="JA369" s="1679" t="e">
        <f>IF($CR369="interior",ROUND(((1-IT369)*IY369)+IT369,2),VLOOKUP($CS369,Control_Savings_Exterior,JA$30,FALSE))</f>
        <v>#N/A</v>
      </c>
      <c r="JC369" s="1680">
        <f>IFERROR(IF(CR369="Interior",CONCATENATE(G372," ",FQ369),FQ369),"")</f>
        <v>0</v>
      </c>
      <c r="JD369" s="1670" t="str">
        <f>IFERROR(VLOOKUP(JC369,_Controls_2023,2,FALSE),"")</f>
        <v/>
      </c>
      <c r="JE369" s="1681">
        <f>IFERROR(CHOOSE(JD369-1,IQ369,IR369,IS369,IT369,IU369,IV369,IW369,IX369,IY369,IZ369,JA369),0)</f>
        <v>0</v>
      </c>
      <c r="JG369" s="1680" t="str">
        <f>FE369</f>
        <v xml:space="preserve"> - 0</v>
      </c>
      <c r="JH369" s="1670" t="e">
        <f>$FO369</f>
        <v>#N/A</v>
      </c>
      <c r="JI369" s="1060"/>
      <c r="JJ369" s="1682" t="b">
        <f>IF($JG371=CONCATENATE("Interior - ",JJ$4),TRUE,FALSE)</f>
        <v>0</v>
      </c>
      <c r="JK369" s="1061"/>
      <c r="JL369" s="1682" t="b">
        <f>IF($JG371=CONCATENATE("Interior - ",JL$4),TRUE,FALSE)</f>
        <v>0</v>
      </c>
      <c r="JM369" s="1061"/>
      <c r="JN369" s="1682" t="b">
        <f>IF($JG371=CONCATENATE("Interior - ",JN$4),TRUE,FALSE)</f>
        <v>0</v>
      </c>
      <c r="JO369" s="1061"/>
      <c r="JP369" s="1682" t="b">
        <f>IF(__Retrofit_TI_NC&gt;0,FALSE,IF($JG371=CONCATENATE("Interior - ",JP$4),TRUE,FALSE))</f>
        <v>0</v>
      </c>
      <c r="JQ369" s="1061"/>
      <c r="JR369" s="1682" t="b">
        <f>IF(__Retrofit_TI_NC&gt;0,FALSE,IF($JG371=CONCATENATE("Interior - ",JR$4),TRUE,FALSE))</f>
        <v>0</v>
      </c>
      <c r="JS369" s="1061"/>
      <c r="JT369" s="1670" t="b">
        <f>IF(__Retrofit_TI_NC&gt;0,FALSE,IF($JG371=CONCATENATE("Interior - ",JT$4),TRUE,FALSE))</f>
        <v>0</v>
      </c>
      <c r="JU369" s="1061"/>
      <c r="JV369" s="1670" t="b">
        <f>IF(JC371="AELC on Existing",TRUE,FALSE)</f>
        <v>0</v>
      </c>
      <c r="JX369" s="1670" t="b">
        <f>IF(OR(JG371="Exterior - AELC Occupancy based",JG371="Exterior - AELC Time based"),TRUE,FALSE)</f>
        <v>0</v>
      </c>
      <c r="JZ369" s="1682" t="b">
        <f>IF($JG371=CONCATENATE("Exterior - ",JZ$4),TRUE,FALSE)</f>
        <v>0</v>
      </c>
      <c r="KB369" s="1670" t="b">
        <f>IF(__Retrofit_TI_NC&gt;0,FALSE,IF($JG371=CONCATENATE("Interior - ",KB$4),TRUE,FALSE))</f>
        <v>0</v>
      </c>
    </row>
    <row r="370" spans="1:288" s="78" customFormat="1" ht="14.95" customHeight="1" thickTop="1" thickBot="1">
      <c r="B370" s="1845"/>
      <c r="C370" s="1846"/>
      <c r="D370" s="1847"/>
      <c r="E370" s="1737" t="s">
        <v>297</v>
      </c>
      <c r="F370" s="1738"/>
      <c r="G370" s="1739"/>
      <c r="H370" s="1739"/>
      <c r="I370" s="1739"/>
      <c r="J370" s="1739"/>
      <c r="K370" s="1739"/>
      <c r="L370" s="1739"/>
      <c r="M370" s="461" t="e">
        <f>IF(__Retrofit_TI_NC&lt;&gt;0,IF(VLOOKUP(G371,'Space Table'!$B$3:$L$163,3,FALSE)&gt;0,1,0),IF(__Retrofit_TI_NC=VLOOKUP(G371,'Space Table'!$B$3:$L$163,3,FALSE),1,0))</f>
        <v>#N/A</v>
      </c>
      <c r="N370" s="461" t="str">
        <f>IFERROR(VLOOKUP(G370,_Lookup_Heat_Type_Table_New,2,FALSE),"")</f>
        <v/>
      </c>
      <c r="O370" s="461">
        <f>IF(__Retrofit_TI_NC=1,CONCATENATE("TI ",G370),IF(__Retrofit_TI_NC=2,CONCATENATE("NC ",G370),G370))</f>
        <v>0</v>
      </c>
      <c r="P370" s="1740" t="s">
        <v>435</v>
      </c>
      <c r="Q370" s="1740"/>
      <c r="R370" s="595"/>
      <c r="S370" s="1792"/>
      <c r="T370" s="597"/>
      <c r="U370" s="1765"/>
      <c r="V370" s="1766"/>
      <c r="W370" s="1766"/>
      <c r="X370" s="1766"/>
      <c r="Y370" s="1766"/>
      <c r="Z370" s="1766"/>
      <c r="AA370" s="1766"/>
      <c r="AB370" s="1766"/>
      <c r="AC370" s="1766"/>
      <c r="AD370" s="1767"/>
      <c r="AE370" s="1000"/>
      <c r="AF370" s="597"/>
      <c r="AG370" s="1723"/>
      <c r="AH370" s="1724"/>
      <c r="AI370" s="1724"/>
      <c r="AJ370" s="1724"/>
      <c r="AK370" s="1725"/>
      <c r="AL370" s="996"/>
      <c r="AM370" s="1747"/>
      <c r="AN370" s="1775"/>
      <c r="AO370" s="1777"/>
      <c r="AP370" s="1780"/>
      <c r="AQ370" s="1781"/>
      <c r="AR370" s="1795"/>
      <c r="AS370" s="1795"/>
      <c r="AT370" s="1796"/>
      <c r="AU370" s="1735"/>
      <c r="AV370" s="1752"/>
      <c r="AW370" s="1705"/>
      <c r="AX370" s="467"/>
      <c r="AY370" s="1749"/>
      <c r="AZ370" s="1749"/>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696"/>
      <c r="CQ370" s="1696"/>
      <c r="CR370" s="1809"/>
      <c r="CS370" s="1811"/>
      <c r="CU370" s="1688"/>
      <c r="CV370" s="1703"/>
      <c r="CW370" s="1703"/>
      <c r="CX370" s="1703"/>
      <c r="CY370" s="1815"/>
      <c r="CZ370" s="1711"/>
      <c r="DA370" s="1818"/>
      <c r="DB370" s="1820"/>
      <c r="DC370" s="1820"/>
      <c r="DD370" s="1820"/>
      <c r="DF370" s="1703"/>
      <c r="DG370" s="1831"/>
      <c r="DH370" s="1703"/>
      <c r="DI370" s="1838"/>
      <c r="DJ370" s="1711"/>
      <c r="DK370" s="1712"/>
      <c r="DM370" s="1718"/>
      <c r="DO370" s="1708"/>
      <c r="DQ370" s="1715"/>
      <c r="DR370" s="1720"/>
      <c r="DS370" s="1816"/>
      <c r="DT370" s="1714"/>
      <c r="DU370" s="1715"/>
      <c r="DV370" s="1716"/>
      <c r="DX370" s="1715"/>
      <c r="DY370" s="1720"/>
      <c r="DZ370" s="1715"/>
      <c r="EA370" s="1715"/>
      <c r="EC370" s="1834"/>
      <c r="ED370" s="1834"/>
      <c r="EF370" s="1707"/>
      <c r="EG370" s="1712"/>
      <c r="EH370" s="1818"/>
      <c r="EI370" s="1712"/>
      <c r="EJ370" s="1712"/>
      <c r="EK370" s="1836"/>
      <c r="EL370" s="1836"/>
      <c r="EM370" s="1807"/>
      <c r="EN370" s="1839"/>
      <c r="EO370" s="1839"/>
      <c r="EP370" s="1817"/>
      <c r="EQ370" s="1817"/>
      <c r="ER370" s="1807"/>
      <c r="ES370" s="1807"/>
      <c r="ET370" s="1807"/>
      <c r="EV370" s="1715"/>
      <c r="EX370" s="1805"/>
      <c r="EY370" s="1805"/>
      <c r="EZ370" s="1805"/>
      <c r="FA370" s="1805"/>
      <c r="FB370" s="1805"/>
      <c r="FC370" s="1827"/>
      <c r="FE370" s="1698"/>
      <c r="FG370" s="1816"/>
      <c r="FH370" s="1816"/>
      <c r="FI370" s="133"/>
      <c r="FL370" s="1823"/>
      <c r="FM370" s="1825"/>
      <c r="FN370" s="1698"/>
      <c r="FO370" s="1698"/>
      <c r="FP370" s="1678"/>
      <c r="FQ370" s="1678"/>
      <c r="FS370" s="1687"/>
      <c r="FT370" s="1687"/>
      <c r="FU370" s="1685"/>
      <c r="FV370" s="1687"/>
      <c r="FW370" s="1687"/>
      <c r="FX370" s="1687"/>
      <c r="FY370" s="1697"/>
      <c r="GA370" s="1696"/>
      <c r="GB370" s="1696"/>
      <c r="GC370" s="1696"/>
      <c r="GD370" s="1696"/>
      <c r="GE370" s="1696"/>
      <c r="GF370" s="1696"/>
      <c r="GG370" s="1696"/>
      <c r="GH370" s="1696"/>
      <c r="GI370" s="673"/>
      <c r="GJ370" s="1135"/>
      <c r="GK370" s="1832"/>
      <c r="GM370" s="1693" t="b">
        <f ca="1">IF(AND(GP370=TRUE,GQ370=TRUE),TRUE,FALSE)</f>
        <v>0</v>
      </c>
      <c r="GN370" s="1684" t="b">
        <f>IFERROR(IF(__Retrofit_TI_NC=2,TRUE,IF(AU369="Yes",TRUE,FALSE)),FALSE)</f>
        <v>1</v>
      </c>
      <c r="GP370" s="1684" t="b">
        <f>IFERROR(IF(GP369=1,TRUE,FALSE),FALSE)</f>
        <v>0</v>
      </c>
      <c r="GQ370" s="1684" t="b">
        <f ca="1">IFERROR(IF(GQ369=GQ$14,TRUE,FALSE),FALSE)</f>
        <v>0</v>
      </c>
      <c r="HG370" s="1684" t="b">
        <f>IFERROR(IF(AND(__Retrofit_TI_NC&gt;0,CQ369="Interior"),FALSE,TRUE),FALSE)</f>
        <v>1</v>
      </c>
      <c r="HH370" s="1684" t="b">
        <f>IFERROR(IF(M370=1,TRUE,FALSE),FALSE)</f>
        <v>0</v>
      </c>
      <c r="HI370" s="1684" t="b">
        <f>IFERROR(IF(OR(M371=1,N372="BAM"),TRUE,FALSE),FALSE)</f>
        <v>0</v>
      </c>
      <c r="HJ370" s="1684" t="b">
        <f>IFERROR(IF(__Retrofit_TI_NC&lt;&gt;0,TRUE,IFERROR(IF(VLOOKUP(U370,Fixtures_Existing_List,2,FALSE)&lt;&gt;"",TRUE,FALSE),FALSE)),FALSE)</f>
        <v>0</v>
      </c>
      <c r="HK370" s="1684" t="b">
        <f>IFERROR(IF(VLOOKUP(U371,Fixtures_Proposed_List,2,FALSE)&lt;&gt;"",TRUE,FALSE),FALSE)</f>
        <v>0</v>
      </c>
      <c r="HL370" s="1684" t="b">
        <f>IF(AND(__Retrofit_TI_NC=2,FC369=TRUE),FALSE,TRUE)</f>
        <v>1</v>
      </c>
      <c r="HM370" s="1684" t="b">
        <f>GK369</f>
        <v>1</v>
      </c>
      <c r="HN370" s="1682" t="b">
        <f>IF(ISERROR(MATCH(FE369,_Control_Match[],0))=TRUE,FALSE,TRUE)</f>
        <v>0</v>
      </c>
      <c r="HO370" s="1693" t="b">
        <f>IFERROR(IF(EX369&lt;&gt;EY369,FALSE,TRUE),FALSE)</f>
        <v>1</v>
      </c>
      <c r="HP370" s="1693" t="b">
        <f>IFERROR(IF(EX371&lt;&gt;EY371,FALSE,TRUE),FALSE)</f>
        <v>1</v>
      </c>
      <c r="HQ370" s="1670" t="b">
        <f>IFERROR(IF(CQ369="Exterior",TRUE,IF(AND(OR(FM371=0,FM371=3),JD371&gt;6),FALSE,TRUE)),FALSE)</f>
        <v>0</v>
      </c>
      <c r="HR370" s="1684" t="b">
        <f>IFERROR(IF(AND(FO371=7,FC369=TRUE),FALSE,TRUE),FALSE)</f>
        <v>0</v>
      </c>
      <c r="HS370" s="1684" t="b">
        <f>IFERROR(IF(AND(T371&lt;&gt;AF371,OR(AG371="Interior LLLC", AG371="Interior NLC", AG371="LLLC (outside Daylight)",AG371="LLLC Controls Only"))=TRUE,FALSE,TRUE),FALSE)</f>
        <v>1</v>
      </c>
      <c r="HT370" s="1670" t="b">
        <f>IFERROR(IF(OR(AG371=Lookup!BB$17,AG371=Lookup!BB$18,AG371=Lookup!BB$19)=TRUE,IF(AF371&gt;T371,FALSE,TRUE),TRUE),FALSE)</f>
        <v>1</v>
      </c>
      <c r="HU370" s="1684" t="b">
        <f>IFERROR(IF(__Retrofit_TI_NC=2,IF(EZ371&lt;EZ369,FALSE,TRUE),TRUE),FALSE)</f>
        <v>1</v>
      </c>
      <c r="HV370" s="1684" t="b">
        <f>IF(CQ369="Interior",IL$6,TRUE)</f>
        <v>1</v>
      </c>
      <c r="HW370" s="1684" t="b">
        <f>IF(CQ369="Exterior",IL$8,TRUE)</f>
        <v>1</v>
      </c>
      <c r="HX370" s="1684" t="b">
        <f>IFERROR(IF(__Retrofit_TI_NC&lt;&gt;0,IF(AZ369&lt;AY369,FALSE,TRUE),TRUE),FALSE)</f>
        <v>1</v>
      </c>
      <c r="HY370" s="1684" t="b">
        <f>IFERROR(IF(AND(G370="Exterior",R370&gt;4200),FALSE,TRUE),FALSE)</f>
        <v>1</v>
      </c>
      <c r="HZ370" s="1684" t="b">
        <f>IFERROR(IF(AB372/AB369&lt;HZ$18,FALSE,TRUE),FALSE)</f>
        <v>0</v>
      </c>
      <c r="IB370" s="1691"/>
      <c r="IC370" s="1695"/>
      <c r="ID370" s="1694" t="str">
        <f>VLOOKUP(IB372,_Error_Table,4,FALSE)</f>
        <v>White</v>
      </c>
      <c r="IE370" s="391"/>
      <c r="IF370" s="1688"/>
      <c r="IG370" s="1689"/>
      <c r="IH370" s="1684"/>
      <c r="IK370" s="1689"/>
      <c r="IL370" s="1691"/>
      <c r="IM370" s="1691"/>
      <c r="IN370" s="1691"/>
      <c r="IP370" s="1679"/>
      <c r="IQ370" s="1679"/>
      <c r="IR370" s="1679"/>
      <c r="IS370" s="1679"/>
      <c r="IT370" s="1679"/>
      <c r="IU370" s="1679"/>
      <c r="IV370" s="1679"/>
      <c r="IW370" s="1679"/>
      <c r="IX370" s="1679"/>
      <c r="IY370" s="1679"/>
      <c r="IZ370" s="1679"/>
      <c r="JA370" s="1679"/>
      <c r="JC370" s="1680"/>
      <c r="JD370" s="1670"/>
      <c r="JE370" s="1681"/>
      <c r="JG370" s="1680"/>
      <c r="JH370" s="1670"/>
      <c r="JI370" s="1060"/>
      <c r="JJ370" s="1683"/>
      <c r="JK370" s="1061"/>
      <c r="JL370" s="1683"/>
      <c r="JM370" s="1061"/>
      <c r="JN370" s="1683"/>
      <c r="JO370" s="1061"/>
      <c r="JP370" s="1683"/>
      <c r="JQ370" s="1061"/>
      <c r="JR370" s="1683"/>
      <c r="JS370" s="1061"/>
      <c r="JT370" s="1670"/>
      <c r="JU370" s="1061"/>
      <c r="JV370" s="1670"/>
      <c r="JX370" s="1670"/>
      <c r="JZ370" s="1683"/>
      <c r="KB370" s="1670"/>
    </row>
    <row r="371" spans="1:288" s="78" customFormat="1" ht="14.95" customHeight="1" thickTop="1" thickBot="1">
      <c r="A371" s="78">
        <f>ROW()</f>
        <v>371</v>
      </c>
      <c r="B371" s="1845"/>
      <c r="C371" s="1846"/>
      <c r="D371" s="1847"/>
      <c r="E371" s="1737" t="s">
        <v>298</v>
      </c>
      <c r="F371" s="1738"/>
      <c r="G371" s="1760"/>
      <c r="H371" s="1761"/>
      <c r="I371" s="1761"/>
      <c r="J371" s="1761"/>
      <c r="K371" s="1761"/>
      <c r="L371" s="1762"/>
      <c r="M371" s="461">
        <f>IFERROR(IF(IF(__Retrofit_TI_NC&lt;&gt;0,IF(CQ369="Interior",MATCH(G371,Lookup_Interior_New,0),MATCH(G371,Lookup_Exterior_New,0)),IF(CQ369="Interior",MATCH(G371,Lookup_Interior,0),MATCH(G371,Lookup_Exterior_Areas,0)))&gt;0,1,0),0)</f>
        <v>0</v>
      </c>
      <c r="N371" s="461" t="e">
        <f>IF(__Retrofit_TI_NC=1,
VLOOKUP(G371,'Space Table'!$B$3:$L$163,4,FALSE),
IF(__Retrofit_TI_NC=2,VLOOKUP(G371,'Space Table'!$B$3:$L$163,5,FALSE),VLOOKUP(G371,'Space Table'!$B$3:$L$163,5,FALSE)))</f>
        <v>#N/A</v>
      </c>
      <c r="O371" s="461">
        <f>G371</f>
        <v>0</v>
      </c>
      <c r="P371" s="1738" t="str">
        <f>IFERROR(IF(__Retrofit_TI_NC=1,VLOOKUP(G371,'Space Table'!$B$3:$O$163,13,FALSE),IF(__Retrofit_TI_NC=2,VLOOKUP(G371,'Space Table'!$B$3:$O$163,14,FALSE),"Area (sf):")),"Area (sf):")</f>
        <v>Area (sf):</v>
      </c>
      <c r="Q371" s="1738"/>
      <c r="R371" s="596"/>
      <c r="S371" s="1763" t="s">
        <v>345</v>
      </c>
      <c r="T371" s="594"/>
      <c r="U371" s="1801"/>
      <c r="V371" s="1802"/>
      <c r="W371" s="1802"/>
      <c r="X371" s="1802"/>
      <c r="Y371" s="1802"/>
      <c r="Z371" s="1802"/>
      <c r="AA371" s="1802"/>
      <c r="AB371" s="1802"/>
      <c r="AC371" s="1802"/>
      <c r="AD371" s="1802"/>
      <c r="AE371" s="1803"/>
      <c r="AF371" s="594"/>
      <c r="AG371" s="1787"/>
      <c r="AH371" s="1787"/>
      <c r="AI371" s="1787"/>
      <c r="AJ371" s="1787"/>
      <c r="AK371" s="1787"/>
      <c r="AL371" s="1787"/>
      <c r="AM371" s="1726">
        <f>IFERROR(DI371,"")</f>
        <v>0</v>
      </c>
      <c r="AN371" s="1728" t="str">
        <f>IFERROR(ROUND(AM371*AC372,0),"")</f>
        <v/>
      </c>
      <c r="AO371" s="1730">
        <f>IFERROR(IF(IB369=FALSE,0,AC372-AN371),0)</f>
        <v>0</v>
      </c>
      <c r="AP371" s="1780"/>
      <c r="AQ371" s="1781"/>
      <c r="AR371" s="1795"/>
      <c r="AS371" s="1795"/>
      <c r="AT371" s="1796"/>
      <c r="AU371" s="1735"/>
      <c r="AV371" s="1752"/>
      <c r="AW371" s="1705"/>
      <c r="AX371" s="467"/>
      <c r="AY371" s="1749"/>
      <c r="AZ371" s="1749"/>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696"/>
      <c r="CQ371" s="1696"/>
      <c r="CR371" s="1808" t="str">
        <f>CQ369</f>
        <v/>
      </c>
      <c r="CS371" s="1810" t="str">
        <f>CS369</f>
        <v/>
      </c>
      <c r="CU371" s="1688" t="s">
        <v>345</v>
      </c>
      <c r="CV371" s="1702">
        <f>IF(IB369=TRUE,T371,0)</f>
        <v>0</v>
      </c>
      <c r="CW371" s="1702" t="str">
        <f>IF(IB369=TRUE,U371,"")</f>
        <v/>
      </c>
      <c r="CX371" s="1812">
        <f>IF(IB369=TRUE,U372,0)</f>
        <v>0</v>
      </c>
      <c r="CY371" s="1814">
        <f>IF(IB369=TRUE,AB372,0)</f>
        <v>0</v>
      </c>
      <c r="CZ371" s="1710">
        <f>IF(AND(__Retrofit_TI_NC&gt;0,CR369="interior"),0,IF(IB369=TRUE,AC372,0))</f>
        <v>0</v>
      </c>
      <c r="DA371" s="1818"/>
      <c r="DB371" s="1820"/>
      <c r="DC371" s="1820"/>
      <c r="DD371" s="1820"/>
      <c r="DF371" s="1702">
        <f>IF(IB369=TRUE,AF371,0)</f>
        <v>0</v>
      </c>
      <c r="DG371" s="1830" t="str">
        <f>IF(IB369=TRUE,AG371,"")</f>
        <v/>
      </c>
      <c r="DH371" s="1812">
        <f>AG372</f>
        <v>0</v>
      </c>
      <c r="DI371" s="1837">
        <f>JE371</f>
        <v>0</v>
      </c>
      <c r="DJ371" s="1710">
        <f>IF(AND(__Retrofit_TI_NC&gt;0,CR369="interior"),0,IF(IB369=TRUE,AN371,0))</f>
        <v>0</v>
      </c>
      <c r="DK371" s="1712"/>
      <c r="DN371" s="1717">
        <f>IFERROR(CZ371-DJ371,0)</f>
        <v>0</v>
      </c>
      <c r="DO371" s="1709"/>
      <c r="DQ371" s="1715"/>
      <c r="DR371" s="1719" t="str">
        <f>DQ369</f>
        <v/>
      </c>
      <c r="DS371" s="1816"/>
      <c r="DT371" s="1835" t="str">
        <f>IF(OR(DS369=7,DS369=8,DS369=9),"ALC","")</f>
        <v/>
      </c>
      <c r="DU371" s="1715"/>
      <c r="DV371" s="1716"/>
      <c r="DX371" s="1715"/>
      <c r="DY371" s="1829" t="str">
        <f>DX369</f>
        <v/>
      </c>
      <c r="DZ371" s="1715"/>
      <c r="EA371" s="1715"/>
      <c r="EC371" s="1834"/>
      <c r="ED371" s="1834"/>
      <c r="EF371" s="1707"/>
      <c r="EG371" s="1712"/>
      <c r="EH371" s="1818"/>
      <c r="EI371" s="1712"/>
      <c r="EJ371" s="1712"/>
      <c r="EK371" s="1836"/>
      <c r="EL371" s="1836"/>
      <c r="EM371" s="1807"/>
      <c r="EN371" s="1839"/>
      <c r="EO371" s="1839"/>
      <c r="EP371" s="1817"/>
      <c r="EQ371" s="1817"/>
      <c r="ER371" s="1807"/>
      <c r="ES371" s="1807"/>
      <c r="ET371" s="1807"/>
      <c r="EV371" s="1715"/>
      <c r="EX371" s="1805" t="str">
        <f>IFERROR(VLOOKUP(CS371,'Space Table'!$B$3:$L$163,8,FALSE),"")</f>
        <v/>
      </c>
      <c r="EY371" s="1805" t="str">
        <f>IFERROR(IF(FB371="Yes",VLOOKUP(AG371,Lookup_Control_Type_Table2,4,FALSE),VLOOKUP(AG371,Lookup_Control_Type_Table2,3,FALSE)),"")</f>
        <v/>
      </c>
      <c r="EZ371" s="1805" t="e">
        <f>VLOOKUP(AG371,Lookup!BB$3:BC$20,2,FALSE)</f>
        <v>#N/A</v>
      </c>
      <c r="FA371" s="1805" t="e">
        <f>VLOOKUP(EX369,Lookup_Control_Type_Table,2,FALSE)</f>
        <v>#N/A</v>
      </c>
      <c r="FB371" s="1805" t="e">
        <f>VLOOKUP(CS371,'Space Table'!$B$3:$L$163,7,FALSE)</f>
        <v>#N/A</v>
      </c>
      <c r="FC371" s="1827"/>
      <c r="FE371" s="1698" t="str">
        <f>CONCATENATE(CQ369," - ",AG371)</f>
        <v xml:space="preserve"> - </v>
      </c>
      <c r="FG371" s="1816"/>
      <c r="FH371" s="1816"/>
      <c r="FI371" s="133"/>
      <c r="FL371" s="1822" t="str">
        <f>IF(CQ369="Exterior","Not Daylighted",G372)</f>
        <v>Not Daylighted</v>
      </c>
      <c r="FM371" s="1824">
        <f>VLOOKUP(FL371,_New_Daylight_Table_Codes,2,FALSE)</f>
        <v>0</v>
      </c>
      <c r="FN371" s="1698">
        <f>AG371</f>
        <v>0</v>
      </c>
      <c r="FO371" s="1698" t="e">
        <f>VLOOKUP(FN371,_Control_Table,2,FALSE)</f>
        <v>#N/A</v>
      </c>
      <c r="FP371" s="1678" t="e">
        <f>VLOOKUP(CONCATENATE(FL371," ",FN371),Lookup!AY$102:AZ382,2,FALSE)</f>
        <v>#N/A</v>
      </c>
      <c r="FQ371" s="1698">
        <f>IF(__Retrofit_TI_NC=0,FN371,IF(AND(FT371&gt;0,FN371="Occupancy Sensor"),"Daylight + Occupancy",IF(AND(FT371&gt;0,FO371&lt;4),"Interior Daylight Dimming",FN371)))</f>
        <v>0</v>
      </c>
      <c r="FS371" s="1686">
        <f>IF(CQ369="Interior",VLOOKUP(CS369,Control_Savings_Interior,5,FALSE),0)</f>
        <v>0</v>
      </c>
      <c r="FT371" s="1687">
        <f>IF(CQ371="Exterior",0,IF(FM371=2,0.5,IF(OR(FM371=1,FM371=3),1,0)))</f>
        <v>0</v>
      </c>
      <c r="FU371" s="1685">
        <f>IF(R370&gt;FS$44,(FS371*(FS$44/R370)),FS371)*FT371</f>
        <v>0</v>
      </c>
      <c r="FV371" s="1686">
        <f>DI371</f>
        <v>0</v>
      </c>
      <c r="FW371" s="1686">
        <f>ROUND(FV371+((1-FV371)*FU371),2)</f>
        <v>0</v>
      </c>
      <c r="FX371" s="1686">
        <f>IF(__Retrofit_TI_NC=2,FW371,FV371)</f>
        <v>0</v>
      </c>
      <c r="FY371" s="1697">
        <f>IF(CR371="Interior",VLOOKUP(CS371,Control_Savings_Interior,4,FALSE),0)</f>
        <v>0</v>
      </c>
      <c r="GA371" s="1696"/>
      <c r="GB371" s="1696"/>
      <c r="GC371" s="1696"/>
      <c r="GD371" s="1696"/>
      <c r="GE371" s="1696"/>
      <c r="GF371" s="1696"/>
      <c r="GG371" s="1696"/>
      <c r="GH371" s="1696"/>
      <c r="GI371" s="673" t="b">
        <f>IF(ISNUMBER(SEARCH("TLED",U371)),TRUE,FALSE)</f>
        <v>0</v>
      </c>
      <c r="GJ371" s="1135" t="str">
        <f>IFERROR(VLOOKUP(U371,Fixtures!DM$93:DR$142,6,FALSE),"")</f>
        <v/>
      </c>
      <c r="GK371" s="1832"/>
      <c r="GM371" s="1692"/>
      <c r="GN371" s="1684"/>
      <c r="GP371" s="1684"/>
      <c r="GQ371" s="1684"/>
      <c r="HG371" s="1684"/>
      <c r="HH371" s="1684"/>
      <c r="HI371" s="1684"/>
      <c r="HJ371" s="1684"/>
      <c r="HK371" s="1684"/>
      <c r="HL371" s="1684"/>
      <c r="HM371" s="1684"/>
      <c r="HN371" s="1683"/>
      <c r="HO371" s="1692"/>
      <c r="HP371" s="1692"/>
      <c r="HQ371" s="1670"/>
      <c r="HR371" s="1684"/>
      <c r="HS371" s="1684"/>
      <c r="HT371" s="1670"/>
      <c r="HU371" s="1684"/>
      <c r="HV371" s="1684"/>
      <c r="HW371" s="1684"/>
      <c r="HX371" s="1684"/>
      <c r="HY371" s="1684"/>
      <c r="HZ371" s="1684"/>
      <c r="IB371" s="1692"/>
      <c r="IC371" s="1693" t="b">
        <f>IB369</f>
        <v>0</v>
      </c>
      <c r="ID371" s="1695"/>
      <c r="IE371" s="391"/>
      <c r="IF371" s="1688"/>
      <c r="IG371" s="1689">
        <f ca="1">IF(IF369=TRUE,AC372,0)</f>
        <v>0</v>
      </c>
      <c r="IH371" s="1684"/>
      <c r="IK371" s="1689" t="e">
        <f>ROUND(T371*AB372*N370*R370/1000,0)</f>
        <v>#VALUE!</v>
      </c>
      <c r="IL371" s="1691"/>
      <c r="IM371" s="1693" t="e">
        <f>ROUND(T371*AB372*N370*R370/1000,0)</f>
        <v>#VALUE!</v>
      </c>
      <c r="IN371" s="1691"/>
      <c r="IP371" s="1679"/>
      <c r="IQ371" s="1679" t="e">
        <f t="shared" ref="IQ371:IU371" si="327">IF($CR371="interior",VLOOKUP($CS371,_New_Control_Savings_Interior,IQ$30,FALSE),VLOOKUP($CS371,Control_Savings_Exterior,IQ$30,FALSE))</f>
        <v>#N/A</v>
      </c>
      <c r="IR371" s="1679" t="e">
        <f t="shared" si="327"/>
        <v>#N/A</v>
      </c>
      <c r="IS371" s="1679" t="e">
        <f t="shared" si="327"/>
        <v>#N/A</v>
      </c>
      <c r="IT371" s="1679" t="e">
        <f t="shared" si="327"/>
        <v>#N/A</v>
      </c>
      <c r="IU371" s="1679" t="e">
        <f t="shared" si="327"/>
        <v>#N/A</v>
      </c>
      <c r="IV371" s="1679" t="e">
        <f>IF($CR371="interior",IF(R370&gt;$IP$14,ROUND(($IV$18*($IP$14/R370)),2),$IV$18),VLOOKUP($CS371,Control_Savings_Exterior,IV$30,FALSE))</f>
        <v>#N/A</v>
      </c>
      <c r="IW371" s="1679" t="e">
        <f>IF($CR371="interior",ROUND(((1-IS371)*IV371)+IS371,2),VLOOKUP($CS371,Control_Savings_Exterior,IW$30,FALSE))</f>
        <v>#N/A</v>
      </c>
      <c r="IX371" s="1679" t="e">
        <f>IF($CR371="interior",ROUND(((1-IT371)*IV371)+IT371,2),VLOOKUP($CS371,Control_Savings_Exterior,IX$30,FALSE))</f>
        <v>#N/A</v>
      </c>
      <c r="IY371" s="1679" t="e">
        <f>IF($CR371="interior",IF(R370&gt;$IP$14,ROUND(($IY$18*($IP$14/R370)),2),$IY$18),VLOOKUP($CS371,Control_Savings_Exterior,IY$30,FALSE))</f>
        <v>#N/A</v>
      </c>
      <c r="IZ371" s="1679" t="e">
        <f>IF($CR371="interior",ROUND(((1-IS371)*IY371)+IS371,2),VLOOKUP($CS371,Control_Savings_Exterior,IZ$30,FALSE))</f>
        <v>#N/A</v>
      </c>
      <c r="JA371" s="1679" t="e">
        <f>IF($CR371="interior",ROUND(((1-IT371)*IY371)+IT371,2),VLOOKUP($CS371,Control_Savings_Exterior,JA$30,FALSE))</f>
        <v>#N/A</v>
      </c>
      <c r="JC371" s="1680">
        <f>IFERROR(IF(CR371="Interior",CONCATENATE(G372," ",FQ371),AG371),"")</f>
        <v>0</v>
      </c>
      <c r="JD371" s="1670" t="str">
        <f>IFERROR(VLOOKUP(JC371,_Controls_2023,2,FALSE),"")</f>
        <v/>
      </c>
      <c r="JE371" s="1681">
        <f>IFERROR(CHOOSE(JD371-1,IQ371,IR371,IS371,IT371,IU371,IV371,IW371,IX371,IY371,IZ371,JA371),0)</f>
        <v>0</v>
      </c>
      <c r="JG371" s="1680" t="str">
        <f>FE371</f>
        <v xml:space="preserve"> - </v>
      </c>
      <c r="JH371" s="1670" t="e">
        <f>$FO371</f>
        <v>#N/A</v>
      </c>
      <c r="JI371" s="1060"/>
      <c r="JJ371" s="1670">
        <f>IFERROR(IF($IB369=TRUE,IF(OR(JJ$14="No",JJ369=FALSE,JH371&lt;=JH369,AND(_kWh_Grant=0,GD369=FALSE)),0,IF(JJ$8="Per Line",1,$AF371)),0),0)</f>
        <v>0</v>
      </c>
      <c r="JK371" s="1061"/>
      <c r="JL371" s="1670">
        <f>IFERROR(IF(_kWh_Grant=0,0,IF($IB369=TRUE,IF(OR(JL$14="No",JL369=FALSE,JH371&lt;=JH369),0,IF(JL$8="Per Line",1,$T371)),0)),0)</f>
        <v>0</v>
      </c>
      <c r="JM371" s="1061"/>
      <c r="JN371" s="1670">
        <f>IFERROR(IF(_kWh_Grant=0,0,IF($IB369=TRUE,IF(OR(JN$14="No",JN369=FALSE,JH371&lt;=JH369),0,IF(JN$8="Per Line",1,$AF371)),0)),0)</f>
        <v>0</v>
      </c>
      <c r="JO371" s="1061"/>
      <c r="JP371" s="1670">
        <f>IFERROR(IF(__Retrofit_TI_NC=0,IF(_kWh_Grant=0,0,IF($IB369=TRUE,IF(OR(JP$14="No",JP369=FALSE,$JH371&lt;=$JH369),0,IF(JP$8="Per Line",1,$AF371)),0)),IF($IB369=TRUE,IF(OR(JP$14="No",JP369=FALSE,$JH371&lt;=$JH369),0,IF(JP$8="Per Line",1,$AF371)))),0)</f>
        <v>0</v>
      </c>
      <c r="JQ371" s="1061"/>
      <c r="JR371" s="1670">
        <f>IFERROR(IF(__Retrofit_TI_NC=0,IF(_kWh_Grant=0,0,IF($IB369=TRUE,IF(OR(JR$14="No",JR369=FALSE,$JH371&lt;=$JH369),0,IF(JR$8="Per Line",1,$AF371)),0)),IF($IB369=TRUE,IF(OR(JR$14="No",JR369=FALSE,$JH371&lt;=$JH369),0,IF(JR$8="Per Line",1,$AF371)))),0)</f>
        <v>0</v>
      </c>
      <c r="JS371" s="1061"/>
      <c r="JT371" s="1670">
        <f>IFERROR(IF(__Retrofit_TI_NC=0,IF(_kWh_Grant=0,0,IF($IB369=TRUE,IF(OR(JT$14="No",JT369=FALSE,$JH371&lt;=$JH369),0,IF(JT$8="Per Line",1,$AF371)),0)),IF($IB369=TRUE,IF(OR(JT$14="No",JT369=FALSE,$JH371&lt;=$JH369),0,IF(JT$8="Per Line",1,$AF371)))),0)</f>
        <v>0</v>
      </c>
      <c r="JU371" s="1061"/>
      <c r="JV371" s="1670">
        <f>IFERROR(IF(__Retrofit_TI_NC=0,IF(_kWh_Grant=0,0,IF($IB369=TRUE,IF(OR(JV$14="No",JV369=FALSE,$JH371&lt;=$JH369),0,IF(JV$8="Per Line",1,$AF371)),0)),IF($IB369=TRUE,IF(OR(JV$14="No",JV369=FALSE,$JH371&lt;=$JH369),0,IF(JV$8="Per Line",1,$AF371)))),0)</f>
        <v>0</v>
      </c>
      <c r="JX371" s="1670">
        <f>IFERROR(IF(__Retrofit_TI_NC=0,IF(_kWh_Grant=0,0,IF($IB369=TRUE,IF(OR(JX$14="No",JX369=FALSE,$JH371&lt;=$JH369),0,IF(JX$8="Per Line",1,$AF371)),0)),IF($IB369=TRUE,IF(OR(JX$14="No",JX369=FALSE,$JH371&lt;=$JH369),0,IF(JX$8="Per Line",1,$AF371)))),0)</f>
        <v>0</v>
      </c>
      <c r="JZ371" s="1670">
        <f>IFERROR(IF($IB369=TRUE,IF(OR(JZ$14="No",JZ369=FALSE,$JH371&lt;=$JH369,AND(_kWh_Grant=0,$GD369=FALSE)),0,IF(JZ$8="Per Line",1,$AF371)),0),0)</f>
        <v>0</v>
      </c>
      <c r="KB371" s="1670">
        <f>IFERROR(IF(__Retrofit_TI_NC=0,IF(_kWh_Grant=0,0,IF($IB369=TRUE,IF(OR(KB$14="No",KB369=FALSE,$JH371&lt;=$JH369),0,IF(KB$8="Per Line",1,$AF371)),0)),IF($IB369=TRUE,IF(OR(KB$14="No",KB369=FALSE,$JH371&lt;=$JH369),0,IF(KB$8="Per Line",1,$AF371)))),0)</f>
        <v>0</v>
      </c>
    </row>
    <row r="372" spans="1:288" s="78" customFormat="1" ht="14.95" customHeight="1" thickTop="1" thickBot="1">
      <c r="B372" s="1845"/>
      <c r="C372" s="1846"/>
      <c r="D372" s="1847"/>
      <c r="E372" s="1771" t="s">
        <v>436</v>
      </c>
      <c r="F372" s="1772"/>
      <c r="G372" s="1784" t="s">
        <v>437</v>
      </c>
      <c r="H372" s="1785"/>
      <c r="I372" s="1785"/>
      <c r="J372" s="1785"/>
      <c r="K372" s="1785"/>
      <c r="L372" s="1786"/>
      <c r="M372" s="591">
        <f>IFERROR(VLOOKUP(G372,_Daylight_Table[],2,FALSE),0)</f>
        <v>0</v>
      </c>
      <c r="N372" s="592" t="str">
        <f>IF(AND(__Retrofit_TI_NC&gt;0,CQ369="Interior"),"BAM","")</f>
        <v/>
      </c>
      <c r="O372" s="591" t="e">
        <f>VLOOKUP(G371,'Space Table'!$B$3:$L$163,11,FALSE)</f>
        <v>#N/A</v>
      </c>
      <c r="P372" s="1789"/>
      <c r="Q372" s="1790"/>
      <c r="R372" s="1790"/>
      <c r="S372" s="1788"/>
      <c r="T372" s="593" t="s">
        <v>342</v>
      </c>
      <c r="U372" s="1756" t="str" cm="1">
        <f t="array" aca="1" ref="U372" ca="1">IFERROR(VLOOKUP(INDIRECT("U" &amp; ROW()-1),Fixtures!DM$93:DP$142,4,FALSE),"")</f>
        <v/>
      </c>
      <c r="V372" s="1757"/>
      <c r="W372" s="1757"/>
      <c r="X372" s="1757"/>
      <c r="Y372" s="1757"/>
      <c r="Z372" s="1757"/>
      <c r="AA372" s="1758"/>
      <c r="AB372" s="939" t="str">
        <f>IFERROR(VLOOKUP(U371,Fixtures_Proposed_List,2,FALSE),"")</f>
        <v/>
      </c>
      <c r="AC372" s="933" t="str">
        <f>IFERROR(ROUND(T371*AB372*N370*R370/1000,0),"")</f>
        <v/>
      </c>
      <c r="AD372" s="934" t="str">
        <f>IFERROR(ROUND(T371*AB372/1000,2),"")</f>
        <v/>
      </c>
      <c r="AE372" s="998"/>
      <c r="AF372" s="938" t="s">
        <v>342</v>
      </c>
      <c r="AG372" s="1770"/>
      <c r="AH372" s="1770"/>
      <c r="AI372" s="1770"/>
      <c r="AJ372" s="1770"/>
      <c r="AK372" s="1770"/>
      <c r="AL372" s="1770"/>
      <c r="AM372" s="1727"/>
      <c r="AN372" s="1729"/>
      <c r="AO372" s="1731"/>
      <c r="AP372" s="1782"/>
      <c r="AQ372" s="1783"/>
      <c r="AR372" s="1797"/>
      <c r="AS372" s="1797"/>
      <c r="AT372" s="1798"/>
      <c r="AU372" s="1736"/>
      <c r="AV372" s="1753"/>
      <c r="AW372" s="1706"/>
      <c r="AX372" s="468"/>
      <c r="AY372" s="1750"/>
      <c r="AZ372" s="1750"/>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696"/>
      <c r="CQ372" s="1696"/>
      <c r="CR372" s="1809"/>
      <c r="CS372" s="1811"/>
      <c r="CU372" s="1688"/>
      <c r="CV372" s="1703"/>
      <c r="CW372" s="1703"/>
      <c r="CX372" s="1813"/>
      <c r="CY372" s="1815"/>
      <c r="CZ372" s="1711"/>
      <c r="DA372" s="1815"/>
      <c r="DB372" s="1821"/>
      <c r="DC372" s="1821"/>
      <c r="DD372" s="1821"/>
      <c r="DF372" s="1703"/>
      <c r="DG372" s="1831"/>
      <c r="DH372" s="1813"/>
      <c r="DI372" s="1838"/>
      <c r="DJ372" s="1711"/>
      <c r="DK372" s="1712"/>
      <c r="DN372" s="1718"/>
      <c r="DO372" s="1709"/>
      <c r="DQ372" s="1715"/>
      <c r="DR372" s="1720"/>
      <c r="DS372" s="1703"/>
      <c r="DT372" s="1714"/>
      <c r="DU372" s="1715"/>
      <c r="DV372" s="1716"/>
      <c r="DX372" s="1715"/>
      <c r="DY372" s="1720"/>
      <c r="DZ372" s="1715"/>
      <c r="EA372" s="1715"/>
      <c r="EC372" s="1834"/>
      <c r="ED372" s="1834"/>
      <c r="EF372" s="1707"/>
      <c r="EG372" s="1712"/>
      <c r="EH372" s="1815"/>
      <c r="EI372" s="1712"/>
      <c r="EJ372" s="1712"/>
      <c r="EK372" s="1813"/>
      <c r="EL372" s="1813"/>
      <c r="EM372" s="1807"/>
      <c r="EN372" s="1839"/>
      <c r="EO372" s="1839"/>
      <c r="EP372" s="1817"/>
      <c r="EQ372" s="1817"/>
      <c r="ER372" s="1807"/>
      <c r="ES372" s="1807"/>
      <c r="ET372" s="1807"/>
      <c r="EV372" s="1715"/>
      <c r="EX372" s="1806"/>
      <c r="EY372" s="1806"/>
      <c r="EZ372" s="1806"/>
      <c r="FA372" s="1806"/>
      <c r="FB372" s="1806"/>
      <c r="FC372" s="1828"/>
      <c r="FE372" s="1698"/>
      <c r="FG372" s="1703"/>
      <c r="FH372" s="1703"/>
      <c r="FI372" s="133"/>
      <c r="FL372" s="1823"/>
      <c r="FM372" s="1825"/>
      <c r="FN372" s="1698"/>
      <c r="FO372" s="1698"/>
      <c r="FP372" s="1678"/>
      <c r="FQ372" s="1698"/>
      <c r="FS372" s="1687"/>
      <c r="FT372" s="1687"/>
      <c r="FU372" s="1685"/>
      <c r="FV372" s="1687"/>
      <c r="FW372" s="1687"/>
      <c r="FX372" s="1687"/>
      <c r="FY372" s="1697"/>
      <c r="GA372" s="1696"/>
      <c r="GB372" s="1696"/>
      <c r="GC372" s="1696"/>
      <c r="GD372" s="1696"/>
      <c r="GE372" s="1696"/>
      <c r="GF372" s="1696"/>
      <c r="GG372" s="1696"/>
      <c r="GH372" s="1696"/>
      <c r="GI372" s="673"/>
      <c r="GJ372" s="1135"/>
      <c r="GK372" s="1832"/>
      <c r="GN372" s="674">
        <f>IF(GN370=TRUE,0,GN$16)</f>
        <v>0</v>
      </c>
      <c r="GP372" s="674">
        <f>IF(GP370=TRUE,0,GP$16)</f>
        <v>36</v>
      </c>
      <c r="GQ372" s="674">
        <f ca="1">IF(GQ370=TRUE,0,GQ$16)</f>
        <v>35</v>
      </c>
      <c r="GR372" s="391"/>
      <c r="GS372" s="391"/>
      <c r="GT372" s="391"/>
      <c r="GU372" s="391"/>
      <c r="GV372" s="391"/>
      <c r="HG372" s="674">
        <f>IF(HG370=TRUE,0,HG$16)</f>
        <v>0</v>
      </c>
      <c r="HH372" s="674">
        <f t="shared" ref="HH372:HM372" si="328">IF(HH370=TRUE,0,HH$16)</f>
        <v>19</v>
      </c>
      <c r="HI372" s="674">
        <f t="shared" si="328"/>
        <v>18</v>
      </c>
      <c r="HJ372" s="674">
        <f t="shared" si="328"/>
        <v>17</v>
      </c>
      <c r="HK372" s="674">
        <f t="shared" si="328"/>
        <v>16</v>
      </c>
      <c r="HL372" s="674">
        <f t="shared" si="328"/>
        <v>0</v>
      </c>
      <c r="HM372" s="674">
        <f t="shared" si="328"/>
        <v>0</v>
      </c>
      <c r="HN372" s="674">
        <f>IF(HN370=TRUE,0,HN$16)</f>
        <v>13</v>
      </c>
      <c r="HO372" s="674">
        <f t="shared" ref="HO372:HQ372" si="329">IF(HO370=TRUE,0,HO$16)</f>
        <v>0</v>
      </c>
      <c r="HP372" s="674">
        <f t="shared" si="329"/>
        <v>0</v>
      </c>
      <c r="HQ372" s="674">
        <f t="shared" si="329"/>
        <v>10</v>
      </c>
      <c r="HR372" s="674">
        <f>IF(HR370=TRUE,0,HR$16)</f>
        <v>9</v>
      </c>
      <c r="HS372" s="674">
        <f t="shared" ref="HS372:HW372" si="330">IF(HS370=TRUE,0,HS$16)</f>
        <v>0</v>
      </c>
      <c r="HT372" s="674">
        <f t="shared" si="330"/>
        <v>0</v>
      </c>
      <c r="HU372" s="674">
        <f t="shared" si="330"/>
        <v>0</v>
      </c>
      <c r="HV372" s="674">
        <f t="shared" si="330"/>
        <v>0</v>
      </c>
      <c r="HW372" s="674">
        <f t="shared" si="330"/>
        <v>0</v>
      </c>
      <c r="HX372" s="674">
        <f>IF(HX370=TRUE,0,HX$16)</f>
        <v>0</v>
      </c>
      <c r="HY372" s="674">
        <f>IF(HY370=TRUE,0,HY$16)</f>
        <v>0</v>
      </c>
      <c r="HZ372" s="674">
        <f>IF(HZ370=TRUE,0,HZ$16)</f>
        <v>1</v>
      </c>
      <c r="IB372" s="674">
        <f>IF(GP370=FALSE,GP372,IF(GQ370=FALSE,GQ372,MAX(GN372:HZ372)))</f>
        <v>36</v>
      </c>
      <c r="IC372" s="1692"/>
      <c r="ID372" s="205" t="str">
        <f>VLOOKUP(IB372,_Error_Table,3,FALSE)</f>
        <v xml:space="preserve"> </v>
      </c>
      <c r="IE372" s="205"/>
      <c r="IF372" s="1688"/>
      <c r="IG372" s="1689"/>
      <c r="IH372" s="1684"/>
      <c r="IK372" s="1689"/>
      <c r="IL372" s="1692"/>
      <c r="IM372" s="1692"/>
      <c r="IN372" s="1692"/>
      <c r="IP372" s="1679"/>
      <c r="IQ372" s="1679"/>
      <c r="IR372" s="1679"/>
      <c r="IS372" s="1679"/>
      <c r="IT372" s="1679"/>
      <c r="IU372" s="1679"/>
      <c r="IV372" s="1679"/>
      <c r="IW372" s="1679"/>
      <c r="IX372" s="1679"/>
      <c r="IY372" s="1679"/>
      <c r="IZ372" s="1679"/>
      <c r="JA372" s="1679"/>
      <c r="JC372" s="1680"/>
      <c r="JD372" s="1670"/>
      <c r="JE372" s="1681"/>
      <c r="JG372" s="1680"/>
      <c r="JH372" s="1670"/>
      <c r="JI372" s="1060"/>
      <c r="JJ372" s="1670"/>
      <c r="JK372" s="1061"/>
      <c r="JL372" s="1670"/>
      <c r="JM372" s="1061"/>
      <c r="JN372" s="1670"/>
      <c r="JO372" s="1061"/>
      <c r="JP372" s="1670"/>
      <c r="JQ372" s="1061"/>
      <c r="JR372" s="1670"/>
      <c r="JS372" s="1061"/>
      <c r="JT372" s="1670"/>
      <c r="JU372" s="1061"/>
      <c r="JV372" s="1670"/>
      <c r="JX372" s="1670"/>
      <c r="JZ372" s="1670"/>
      <c r="KB372" s="1670"/>
    </row>
    <row r="373" spans="1:288" s="78" customFormat="1" ht="5.0999999999999996" customHeight="1">
      <c r="B373" s="676"/>
      <c r="C373" s="392"/>
      <c r="D373" s="392"/>
      <c r="E373" s="1733"/>
      <c r="F373" s="1733"/>
      <c r="G373" s="1733"/>
      <c r="H373" s="1733"/>
      <c r="I373" s="1733"/>
      <c r="J373" s="1733"/>
      <c r="K373" s="1733"/>
      <c r="L373" s="1733"/>
      <c r="M373" s="1733"/>
      <c r="N373" s="1733"/>
      <c r="O373" s="1733"/>
      <c r="P373" s="1733"/>
      <c r="Q373" s="1733"/>
      <c r="R373" s="1733"/>
      <c r="S373" s="1733"/>
      <c r="T373" s="1733"/>
      <c r="U373" s="1733"/>
      <c r="V373" s="1733"/>
      <c r="W373" s="1733"/>
      <c r="X373" s="1733"/>
      <c r="Y373" s="1733"/>
      <c r="Z373" s="1733"/>
      <c r="AA373" s="1733"/>
      <c r="AB373" s="1733"/>
      <c r="AC373" s="1733"/>
      <c r="AD373" s="1733"/>
      <c r="AE373" s="1733"/>
      <c r="AF373" s="1733"/>
      <c r="AG373" s="1733"/>
      <c r="AH373" s="1733"/>
      <c r="AI373" s="1733"/>
      <c r="AJ373" s="1733"/>
      <c r="AK373" s="1733"/>
      <c r="AL373" s="1733"/>
      <c r="AM373" s="1733"/>
      <c r="AN373" s="1733"/>
      <c r="AO373" s="1733"/>
      <c r="AP373" s="1733"/>
      <c r="AQ373" s="1733"/>
      <c r="AR373" s="1733"/>
      <c r="AS373" s="1733"/>
      <c r="AT373" s="1733"/>
      <c r="AU373" s="1733"/>
      <c r="AV373" s="1733"/>
      <c r="AW373" s="1733"/>
      <c r="AX373" s="469"/>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663"/>
      <c r="CQ373" s="663"/>
      <c r="CR373" s="438"/>
      <c r="CS373" s="663"/>
      <c r="CV373" s="391"/>
      <c r="CW373" s="391"/>
      <c r="CX373" s="207"/>
      <c r="CY373" s="208"/>
      <c r="CZ373" s="208"/>
      <c r="DA373" s="208"/>
      <c r="DB373" s="209"/>
      <c r="DC373" s="209"/>
      <c r="DD373" s="209"/>
      <c r="DF373" s="664"/>
      <c r="DG373" s="665"/>
      <c r="DH373" s="666"/>
      <c r="DI373" s="667"/>
      <c r="DJ373" s="668"/>
      <c r="DK373" s="668"/>
      <c r="DN373" s="208"/>
      <c r="DO373" s="664"/>
      <c r="DQ373" s="664"/>
      <c r="DR373" s="669"/>
      <c r="DS373" s="391"/>
      <c r="DT373" s="664"/>
      <c r="DU373" s="664"/>
      <c r="DV373" s="664"/>
      <c r="DX373" s="664"/>
      <c r="DY373" s="664"/>
      <c r="DZ373" s="664"/>
      <c r="EA373" s="664"/>
      <c r="EC373" s="670"/>
      <c r="ED373" s="670"/>
      <c r="EF373" s="668"/>
      <c r="EG373" s="668"/>
      <c r="EH373" s="208"/>
      <c r="EI373" s="668"/>
      <c r="EJ373" s="668"/>
      <c r="EK373" s="207"/>
      <c r="EL373" s="207"/>
      <c r="EM373" s="666"/>
      <c r="EN373" s="671"/>
      <c r="EO373" s="671"/>
      <c r="EP373" s="672"/>
      <c r="EQ373" s="672"/>
      <c r="ER373" s="666"/>
      <c r="ES373" s="666"/>
      <c r="ET373" s="666"/>
      <c r="EV373" s="664"/>
      <c r="EX373" s="391"/>
      <c r="EY373" s="391"/>
      <c r="EZ373" s="391"/>
      <c r="FA373" s="391"/>
      <c r="FB373" s="391"/>
      <c r="FC373" s="391"/>
      <c r="FE373" s="569"/>
      <c r="FG373" s="391"/>
      <c r="FH373" s="391"/>
      <c r="FI373" s="391"/>
      <c r="FS373" s="664"/>
      <c r="FT373" s="391"/>
      <c r="FU373" s="391"/>
      <c r="FV373" s="664"/>
      <c r="FW373" s="664"/>
      <c r="GA373" s="663"/>
      <c r="GB373" s="663"/>
      <c r="GC373" s="663"/>
      <c r="GD373" s="663"/>
      <c r="GE373" s="663"/>
      <c r="GF373" s="663"/>
      <c r="GG373" s="663"/>
      <c r="GH373" s="663"/>
      <c r="GI373" s="665"/>
      <c r="GJ373" s="664"/>
      <c r="GK373" s="664"/>
    </row>
    <row r="374" spans="1:288" s="78" customFormat="1" ht="14.95" customHeight="1">
      <c r="B374" s="1845" t="str">
        <f>ID377</f>
        <v xml:space="preserve"> </v>
      </c>
      <c r="C374" s="1846">
        <f>C369+1</f>
        <v>64</v>
      </c>
      <c r="D374" s="1847"/>
      <c r="E374" s="1799" t="s">
        <v>295</v>
      </c>
      <c r="F374" s="1800"/>
      <c r="G374" s="1741"/>
      <c r="H374" s="1742"/>
      <c r="I374" s="1742"/>
      <c r="J374" s="1742"/>
      <c r="K374" s="1742"/>
      <c r="L374" s="1742"/>
      <c r="M374" s="1742"/>
      <c r="N374" s="1742"/>
      <c r="O374" s="1742"/>
      <c r="P374" s="1742"/>
      <c r="Q374" s="1742"/>
      <c r="R374" s="1742"/>
      <c r="S374" s="1791" t="s">
        <v>344</v>
      </c>
      <c r="T374" s="590"/>
      <c r="U374" s="1743"/>
      <c r="V374" s="1744"/>
      <c r="W374" s="1744"/>
      <c r="X374" s="1744"/>
      <c r="Y374" s="1744"/>
      <c r="Z374" s="1744"/>
      <c r="AA374" s="1744"/>
      <c r="AB374" s="961" t="str">
        <f>IFERROR(IF(__Retrofit_TI_NC=0,VLOOKUP(U375,Fixtures_Existing_List,2,FALSE),ROUND(N376*R376/T376,10)),"")</f>
        <v/>
      </c>
      <c r="AC374" s="935" t="str">
        <f>IFERROR(IF(__Retrofit_TI_NC=0,ROUND(T375*AB374*N375*R375/1000,0),IF(CQ374="Interior",N376*R376*R375*N375*_C406_reduction/1000,N376*R376*R375*N375/1000)),"")</f>
        <v/>
      </c>
      <c r="AD374" s="936" t="str">
        <f>IFERROR(IF(C$43=0,ROUND(T375*AB374/1000,2),N376*R376/1000),"")</f>
        <v/>
      </c>
      <c r="AE374" s="997"/>
      <c r="AF374" s="937"/>
      <c r="AG374" s="1745" t="str">
        <f>IF(__Retrofit_TI_NC=0," Control","Select Advanced Control for New System")</f>
        <v xml:space="preserve"> Control</v>
      </c>
      <c r="AH374" s="1745"/>
      <c r="AI374" s="1745"/>
      <c r="AJ374" s="1745"/>
      <c r="AK374" s="1745"/>
      <c r="AL374" s="1745"/>
      <c r="AM374" s="1746">
        <f>IFERROR(DI374,"")</f>
        <v>0</v>
      </c>
      <c r="AN374" s="1774" t="str">
        <f>IFERROR(ROUND(AM374*AC374,0),"")</f>
        <v/>
      </c>
      <c r="AO374" s="1776">
        <f>IFERROR(IF(IB374=FALSE,0,AC374-AN374),0)</f>
        <v>0</v>
      </c>
      <c r="AP374" s="1778">
        <f>AO374-AO376</f>
        <v>0</v>
      </c>
      <c r="AQ374" s="1779"/>
      <c r="AR374" s="1793">
        <f>IFERROR(IF(IB374=FALSE,0,(T376*U377)+(AF376*AG377)),0)</f>
        <v>0</v>
      </c>
      <c r="AS374" s="1793"/>
      <c r="AT374" s="1794"/>
      <c r="AU374" s="1734" t="s">
        <v>237</v>
      </c>
      <c r="AV374" s="1751">
        <f>IF(AU374="Yes",1,0)</f>
        <v>1</v>
      </c>
      <c r="AW374" s="1704" t="str">
        <f>IF(OR(DQ374=4,DQ374=5,DQ374=6,DQ374=12),CONCATENATE("$",IF(GH374=TRUE,Lookup!$K$10,Lookup!$K$2)," /lamp"),CONCATENATE(TEXT(ED374,"$0.00"),"/ kWh"))</f>
        <v>$0.00/ kWh</v>
      </c>
      <c r="AX374" s="467"/>
      <c r="AY374" s="1748">
        <f ca="1">IFERROR(IF(GM375=TRUE,(AB377*T376)/R376,0),"NA")</f>
        <v>0</v>
      </c>
      <c r="AZ374" s="1748"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696" t="str">
        <f>N375</f>
        <v/>
      </c>
      <c r="CQ374" s="1696" t="str">
        <f>IFERROR(VLOOKUP(G375,_Lookup_Heat_Type_Table_New,3,FALSE),"")</f>
        <v/>
      </c>
      <c r="CR374" s="1808" t="str">
        <f>CQ374</f>
        <v/>
      </c>
      <c r="CS374" s="1810" t="str">
        <f>IFERROR(VLOOKUP(G376,'Space Table'!$B$3:$L$163,9,FALSE),"")</f>
        <v/>
      </c>
      <c r="CU374" s="1688" t="s">
        <v>344</v>
      </c>
      <c r="CV374" s="1702">
        <f>IF(IB374=TRUE,T375,0)</f>
        <v>0</v>
      </c>
      <c r="CW374" s="1702" t="str">
        <f>IF(IB374=TRUE,U375,"")</f>
        <v/>
      </c>
      <c r="CX374" s="1702"/>
      <c r="CY374" s="1814">
        <f>IF(IB374=TRUE,AB374,0)</f>
        <v>0</v>
      </c>
      <c r="CZ374" s="1710">
        <f>IF(AND(__Retrofit_TI_NC&gt;0,CR374="interior"),0,IF(IB374=TRUE,AC374,0))</f>
        <v>0</v>
      </c>
      <c r="DA374" s="1814">
        <f>IFERROR(IF(IB374=TRUE,CZ374-CZ376,0),0)</f>
        <v>0</v>
      </c>
      <c r="DB374" s="1819">
        <f>IF(IB374=TRUE,AD374,0)</f>
        <v>0</v>
      </c>
      <c r="DC374" s="1819">
        <f>IF(IB374=TRUE,AD377,0)</f>
        <v>0</v>
      </c>
      <c r="DD374" s="1819">
        <f>IFERROR(DB374-DC374,0)</f>
        <v>0</v>
      </c>
      <c r="DF374" s="1702">
        <f>IF(IB374=TRUE,AF375,0)</f>
        <v>0</v>
      </c>
      <c r="DG374" s="1830">
        <f>IFERROR(IF(__Retrofit_TI_NC=2,IF(CQ374="Exterior",O377,FQ374),FN374),"")</f>
        <v>0</v>
      </c>
      <c r="DH374" s="1702"/>
      <c r="DI374" s="1837">
        <f>JE374</f>
        <v>0</v>
      </c>
      <c r="DJ374" s="1710">
        <f>IF(AND(__Retrofit_TI_NC&gt;0,CR374="interior"),0,IF(IB374=TRUE,AN374,0))</f>
        <v>0</v>
      </c>
      <c r="DK374" s="1712">
        <f>IFERROR(IF(IB374=TRUE,DJ376-DJ374,0),0)</f>
        <v>0</v>
      </c>
      <c r="DM374" s="1717">
        <f>IFERROR(CZ374-DJ374,0)</f>
        <v>0</v>
      </c>
      <c r="DO374" s="1708">
        <f>DM374-DN376</f>
        <v>0</v>
      </c>
      <c r="DQ374" s="1715" t="str">
        <f>IFERROR(IF(AND(OR(GC374=4,GC374=5,GC374=6),OR(GF374=4,GF374=5,GF374=6)),GC374+8,VLOOKUP(CW376,Fixtures!R$31:Y$78,8,FALSE)),"")</f>
        <v/>
      </c>
      <c r="DR374" s="1829" t="str">
        <f>DQ374</f>
        <v/>
      </c>
      <c r="DS374" s="1702" t="str">
        <f>IFERROR(VLOOKUP(DG376,Lookup!BB$3:BC$20,2,FALSE),"")</f>
        <v/>
      </c>
      <c r="DT374" s="1713" t="str">
        <f>IF(OR(DS374=7,DS374=8,DS374=9),"ALC","")</f>
        <v/>
      </c>
      <c r="DU374" s="1715">
        <f>IFERROR(IF(OR(DQ374=4,DQ374=5,DQ374=6,DQ374=12,DQ374=13,DQ374=14),VLOOKUP(CW376,Fixtures!DN$27:EG$77,19,FALSE),1)*CV376,0)</f>
        <v>0</v>
      </c>
      <c r="DV374" s="1716">
        <f>IF(OR(DS374=7,DS374=8,DS374=9),IF(DG374=DG376,0,DF376),0)</f>
        <v>0</v>
      </c>
      <c r="DX374" s="1715" t="str">
        <f>IFERROR(IF(EZ374&lt;EZ376,"Yes","No"),"")</f>
        <v/>
      </c>
      <c r="DY374" s="1829" t="str">
        <f>DX374</f>
        <v/>
      </c>
      <c r="DZ374" s="1715">
        <f>IF(DX374="Yes",DF376,0)</f>
        <v>0</v>
      </c>
      <c r="EA374" s="1715">
        <f>DZ374-DV374</f>
        <v>0</v>
      </c>
      <c r="EC374" s="1834">
        <f>IFERROR(VLOOKUP(DQ374,Lookup!AU$3:AV$16,2,FALSE),0)</f>
        <v>0</v>
      </c>
      <c r="ED374" s="1834">
        <f>IF(IB374=FALSE,0,IF(DX374="Yes",EC374+Lookup!K$6,EC374))</f>
        <v>0</v>
      </c>
      <c r="EF374" s="1707">
        <f>IF(IB374=TRUE,DM374,0)</f>
        <v>0</v>
      </c>
      <c r="EG374" s="1712">
        <f>IF(IB374=TRUE,CZ376,0)</f>
        <v>0</v>
      </c>
      <c r="EH374" s="1814">
        <f>IFERROR(EF374-EG374,0)</f>
        <v>0</v>
      </c>
      <c r="EI374" s="1712">
        <f>IF(IB374=TRUE,DJ376,0)</f>
        <v>0</v>
      </c>
      <c r="EJ374" s="1712">
        <f>IFERROR(EF374-EG374+EI374,0)</f>
        <v>0</v>
      </c>
      <c r="EK374" s="1812">
        <f>IF(IB374=TRUE,CV376*CX376,0)</f>
        <v>0</v>
      </c>
      <c r="EL374" s="1812">
        <f>IF(IB374=TRUE,DF376*DH376,0)</f>
        <v>0</v>
      </c>
      <c r="EM374" s="1807">
        <f>AR374</f>
        <v>0</v>
      </c>
      <c r="EN374" s="1839" t="str">
        <f>IFERROR(IF(IB374=TRUE,VLOOKUP(DQ374,Lookup!AU$3:AW$16,3,FALSE)*DU374,""),0)</f>
        <v/>
      </c>
      <c r="EO374" s="1839">
        <f>IF(IB374=TRUE,DZ374*Lookup!AW$12,0)</f>
        <v>0</v>
      </c>
      <c r="EP374" s="1817">
        <f>IFERROR(IF(IB374=TRUE,EN374/EP$40,0),0)</f>
        <v>0</v>
      </c>
      <c r="EQ374" s="1817">
        <f>IF(IB374=TRUE,EO374/EQ$40,0)</f>
        <v>0</v>
      </c>
      <c r="ER374" s="1807">
        <f>IF(IB374=TRUE,ET$40*EP374,0)</f>
        <v>0</v>
      </c>
      <c r="ES374" s="1807">
        <f>IF(IB374=TRUE,ET$40*EQ374,0)</f>
        <v>0</v>
      </c>
      <c r="ET374" s="1807">
        <f>ER374+ES374</f>
        <v>0</v>
      </c>
      <c r="EV374" s="1715">
        <f>IF(G374="",0,1)</f>
        <v>0</v>
      </c>
      <c r="EX374" s="1804" t="str">
        <f>IFERROR(VLOOKUP(CS376,'Space Table'!$B$3:$L$163,8,FALSE),"")</f>
        <v/>
      </c>
      <c r="EY374" s="1804" t="str">
        <f>IFERROR(IF(FB374="Yes",VLOOKUP(DG374,Lookup_Control_Type_Table2,4,FALSE),VLOOKUP(DG374,Lookup_Control_Type_Table2,3,FALSE)),"")</f>
        <v/>
      </c>
      <c r="EZ374" s="1804" t="e">
        <f>VLOOKUP(DG374,Lookup!BB$3:BC$20,2,FALSE)</f>
        <v>#N/A</v>
      </c>
      <c r="FA374" s="1804" t="e">
        <f>VLOOKUP(EX374,Lookup_Control_Type_Table,2,FALSE)</f>
        <v>#N/A</v>
      </c>
      <c r="FB374" s="1804" t="e">
        <f>VLOOKUP(CS376,'Space Table'!$B$3:$L$163,7,FALSE)</f>
        <v>#N/A</v>
      </c>
      <c r="FC374" s="1826" t="b">
        <f>ISNUMBER(SEARCH("TLED",U376))</f>
        <v>0</v>
      </c>
      <c r="FE374" s="1698" t="str">
        <f>CONCATENATE(CQ374," - ",DG374)</f>
        <v xml:space="preserve"> - 0</v>
      </c>
      <c r="FG374" s="1702" t="str">
        <f>VLOOKUP(CW376,Fixtures!DN$27:EZ$77,38,FALSE)</f>
        <v/>
      </c>
      <c r="FH374" s="1702">
        <f>IFERROR(FG374*EH374,0)</f>
        <v>0</v>
      </c>
      <c r="FI374" s="133"/>
      <c r="FL374" s="1822" t="str">
        <f>IF(CQ374="Exterior","Not Daylighted",G377)</f>
        <v>Not Daylighted</v>
      </c>
      <c r="FM374" s="1824">
        <f>VLOOKUP(FL374,_New_Daylight_Table_Codes,2,FALSE)</f>
        <v>0</v>
      </c>
      <c r="FN374" s="1698">
        <f>IF(__Retrofit_TI_NC&gt;0,VLOOKUP(G376,'Space Table'!$B$3:$L$163,11,FALSE),AG375)</f>
        <v>0</v>
      </c>
      <c r="FO374" s="1698" t="e">
        <f>IF(__Retrofit_TI_NC=2,VLOOKUP(FQ374,_Control_Table,2,FALSE),VLOOKUP(FN374,_Control_Table,2,FALSE))</f>
        <v>#N/A</v>
      </c>
      <c r="FP374" s="1678" t="e">
        <f>VLOOKUP(CONCATENATE(FL374," ",FN374),Lookup!AY$102:AZ384,2,FALSE)</f>
        <v>#N/A</v>
      </c>
      <c r="FQ374" s="1678">
        <f>IF(__Retrofit_TI_NC=0,FN374,IF(AND(FT374&gt;0,FN374="Occupancy Sensor"),"Daylight + Occupancy",IF(AND(FT374&gt;0,VLOOKUP(FN374,_Control_Table,2,FALSE)&lt;4),"Interior Daylight Dimming",FN374)))</f>
        <v>0</v>
      </c>
      <c r="FS374" s="1686">
        <f>IF(CR374="Interior",VLOOKUP(CS374,Control_Savings_Interior,5,FALSE),0)</f>
        <v>0</v>
      </c>
      <c r="FT374" s="1687">
        <f>IF(CQ374="Exterior",0,IF(FM374=2,0.5,IF(OR(FM374=1,FM374=3),1,0)))</f>
        <v>0</v>
      </c>
      <c r="FU374" s="1685">
        <f>IF(R373&gt;FS$44,(FS374*(FS$44/R373)),FS374)*FT374</f>
        <v>0</v>
      </c>
      <c r="FV374" s="1686">
        <f>DI374</f>
        <v>0</v>
      </c>
      <c r="FW374" s="1686">
        <f>ROUND(FV374+((1-FV374)*FU374),2)</f>
        <v>0</v>
      </c>
      <c r="FX374" s="1686">
        <f>IF(__Retrofit_TI_NC=2,FW374,FV374)</f>
        <v>0</v>
      </c>
      <c r="FY374" s="1697"/>
      <c r="GA374" s="1696" t="str">
        <f>IFERROR(VLOOKUP(U375,_Exist_Fixture_Table,3,FALSE),"")</f>
        <v/>
      </c>
      <c r="GB374" s="1696" t="str">
        <f>VLOOKUP(CW374,_Exist_Fixture_Table,4,FALSE)</f>
        <v/>
      </c>
      <c r="GC374" s="1696">
        <f>IFERROR(VLOOKUP(GB374,Lookup!AT$6:AU$8,2,FALSE),0)</f>
        <v>0</v>
      </c>
      <c r="GD374" s="1696" t="b">
        <f>IFERROR(IF(OR(GF374=4,GF374=5,GF374=6),TRUE,FALSE),"")</f>
        <v>0</v>
      </c>
      <c r="GE374" s="1696" t="str">
        <f>IFERROR(VLOOKUP(GF374,GC$6:GD$10,2,FALSE),"")</f>
        <v/>
      </c>
      <c r="GF374" s="1696" t="str">
        <f>VLOOKUP(CW376,Fixtures!R$31:Y$78,8,FALSE)</f>
        <v/>
      </c>
      <c r="GG374" s="1696">
        <f>IF(AND(GA374=TRUE,GD374=TRUE,OR(DQ374=12,DQ374=13,DQ374=14)),GC374+8,0)</f>
        <v>0</v>
      </c>
      <c r="GH374" s="1696" t="b">
        <f>IF(OR(GG374=12,GG374=13,GG374=14),TRUE,FALSE)</f>
        <v>0</v>
      </c>
      <c r="GI374" s="673" t="b">
        <f>IF(ISNUMBER(SEARCH("TLED",U375)),TRUE,FALSE)</f>
        <v>0</v>
      </c>
      <c r="GJ374" s="1135" t="str">
        <f>IFERROR(VLOOKUP(U375,Fixtures!BM$93:BR$142,6,FALSE),"")</f>
        <v/>
      </c>
      <c r="GK374" s="1832" t="b">
        <f>IF(OR(GI374=FALSE,GI376=FALSE),TRUE,IF(GJ374-GJ376&lt;5,FALSE,TRUE))</f>
        <v>1</v>
      </c>
      <c r="GO374" s="674">
        <f>GP374</f>
        <v>0</v>
      </c>
      <c r="GP374" s="674">
        <f>IF(G374="",0,1)</f>
        <v>0</v>
      </c>
      <c r="GQ374" s="674">
        <f ca="1">SUM(GR374:HF374)</f>
        <v>2</v>
      </c>
      <c r="GR374" s="674">
        <f>IF(G375="",0,1)</f>
        <v>0</v>
      </c>
      <c r="GS374" s="674">
        <f>IF(N377="BAM",1,IF(G376="",0,1))</f>
        <v>0</v>
      </c>
      <c r="GT374" s="674">
        <f>IF(N377="BAM",1,IF(R375="",0,1))</f>
        <v>0</v>
      </c>
      <c r="GU374" s="674">
        <f>IF(N377="BAM",1,IF(__Retrofit_TI_NC=0,1,IF(R376="",0,1)))</f>
        <v>1</v>
      </c>
      <c r="GV374" s="674">
        <f>IF(N377="BAM",1,IF(CQ374="Exterior",1,IF(G377="",0,1)))</f>
        <v>1</v>
      </c>
      <c r="GW374" s="674">
        <f>IF(__Retrofit_TI_NC&gt;0,1,IF(T375="",0,1))</f>
        <v>0</v>
      </c>
      <c r="GX374" s="674">
        <f>IF(__Retrofit_TI_NC&gt;0,1,IF(U375="",0,1))</f>
        <v>0</v>
      </c>
      <c r="GY374" s="674">
        <f>IF(N377="BAM",1,IF(T376="",0,1))</f>
        <v>0</v>
      </c>
      <c r="GZ374" s="674">
        <f>IF(N377="BAM",1,IF(U376="",0,1))</f>
        <v>0</v>
      </c>
      <c r="HA374" s="674">
        <f ca="1">IF(N377="BAM",1,IF(__Retrofit_TI_NC&gt;0,1,IF(U377="",0,1)))</f>
        <v>0</v>
      </c>
      <c r="HB374" s="674">
        <f>IF(__Retrofit_TI_NC&lt;&gt;0,1,IF(AF375="",0,1))</f>
        <v>0</v>
      </c>
      <c r="HC374" s="674">
        <f>IF(__Retrofit_TI_NC&lt;&gt;0,1,IF(AG375="",0,1))</f>
        <v>0</v>
      </c>
      <c r="HD374" s="674">
        <f>IF(N377="BAM",1,IF(AF376="",0,1))</f>
        <v>0</v>
      </c>
      <c r="HE374" s="674">
        <f>IF(N377="BAM",1,IF(AG376="",0,1))</f>
        <v>0</v>
      </c>
      <c r="HF374" s="674">
        <f>IF(N377="BAM",1,IF(__Retrofit_TI_NC&gt;0,1,IF(AG377="",0,1)))</f>
        <v>0</v>
      </c>
      <c r="HG374" s="391"/>
      <c r="IA374" s="391"/>
      <c r="IB374" s="1693" t="b">
        <f>IF(OR(IB377=0,IB377=HY$16,IB377=HX$16,IB377=HZ$16),TRUE,FALSE)</f>
        <v>0</v>
      </c>
      <c r="IC374" s="1694" t="b">
        <f>IB374</f>
        <v>0</v>
      </c>
      <c r="ID374" s="391"/>
      <c r="IE374" s="391"/>
      <c r="IF374" s="1688" t="b">
        <f ca="1">IF(MAX(GN377:HU377)&gt;5,FALSE,TRUE)</f>
        <v>0</v>
      </c>
      <c r="IG374" s="1689">
        <f ca="1">IF(IF374=TRUE,AC374,0)</f>
        <v>0</v>
      </c>
      <c r="IH374" s="1689">
        <f ca="1">IG374-IG376</f>
        <v>0</v>
      </c>
      <c r="IK374" s="1689" t="e">
        <f>ROUND(T375*VLOOKUP(U375,Fixtures_Existing_List,2,FALSE)*N375*R375/1000,0)</f>
        <v>#N/A</v>
      </c>
      <c r="IL374" s="1690" t="e">
        <f>IK374-IK376</f>
        <v>#N/A</v>
      </c>
      <c r="IM374" s="1693" t="e">
        <f>ROUND(IF(CQ374="Interior",N376*R376*R375*N375*_C406_reduction/1000,N376*R376*R375*N375/1000),0)</f>
        <v>#N/A</v>
      </c>
      <c r="IN374" s="1693" t="e">
        <f>IM374-IM376</f>
        <v>#N/A</v>
      </c>
      <c r="IP374" s="1679"/>
      <c r="IQ374" s="1679" t="e">
        <f t="shared" ref="IQ374:IU374" si="331">IF($CR374="interior",VLOOKUP($CS374,_New_Control_Savings_Interior,IQ$30,FALSE),VLOOKUP($CS374,Control_Savings_Exterior,IQ$30,FALSE))</f>
        <v>#N/A</v>
      </c>
      <c r="IR374" s="1679" t="e">
        <f t="shared" si="331"/>
        <v>#N/A</v>
      </c>
      <c r="IS374" s="1679" t="e">
        <f t="shared" si="331"/>
        <v>#N/A</v>
      </c>
      <c r="IT374" s="1679" t="e">
        <f t="shared" si="331"/>
        <v>#N/A</v>
      </c>
      <c r="IU374" s="1679" t="e">
        <f t="shared" si="331"/>
        <v>#N/A</v>
      </c>
      <c r="IV374" s="1679" t="e">
        <f>IF($CR374="interior",IF(R375&gt;$IP$14,ROUND(($IV$18*($IP$14/R375)),2),$IV$18),VLOOKUP($CS374,Control_Savings_Exterior,IV$30,FALSE))</f>
        <v>#N/A</v>
      </c>
      <c r="IW374" s="1679" t="e">
        <f>IF($CR374="interior",ROUND(((1-IS374)*IV374)+IS374,2),VLOOKUP($CS374,Control_Savings_Exterior,IW$30,FALSE))</f>
        <v>#N/A</v>
      </c>
      <c r="IX374" s="1679" t="e">
        <f>IF($CR374="interior",ROUND(((1-IT374)*IV374)+IT374,2),VLOOKUP($CS374,Control_Savings_Exterior,IX$30,FALSE))</f>
        <v>#N/A</v>
      </c>
      <c r="IY374" s="1679" t="e">
        <f>IF($CR374="interior",IF(R375&gt;$IP$14,ROUND(($IY$18*($IP$14/R375)),2),$IY$18),VLOOKUP($CS374,Control_Savings_Exterior,IY$30,FALSE))</f>
        <v>#N/A</v>
      </c>
      <c r="IZ374" s="1679" t="e">
        <f>IF($CR374="interior",ROUND(((1-IS374)*IY374)+IS374,2),VLOOKUP($CS374,Control_Savings_Exterior,IZ$30,FALSE))</f>
        <v>#N/A</v>
      </c>
      <c r="JA374" s="1679" t="e">
        <f>IF($CR374="interior",ROUND(((1-IT374)*IY374)+IT374,2),VLOOKUP($CS374,Control_Savings_Exterior,JA$30,FALSE))</f>
        <v>#N/A</v>
      </c>
      <c r="JC374" s="1680">
        <f>IFERROR(IF(CR374="Interior",CONCATENATE(G377," ",FQ374),FQ374),"")</f>
        <v>0</v>
      </c>
      <c r="JD374" s="1670" t="str">
        <f>IFERROR(VLOOKUP(JC374,_Controls_2023,2,FALSE),"")</f>
        <v/>
      </c>
      <c r="JE374" s="1681">
        <f>IFERROR(CHOOSE(JD374-1,IQ374,IR374,IS374,IT374,IU374,IV374,IW374,IX374,IY374,IZ374,JA374),0)</f>
        <v>0</v>
      </c>
      <c r="JG374" s="1680" t="str">
        <f>FE374</f>
        <v xml:space="preserve"> - 0</v>
      </c>
      <c r="JH374" s="1670" t="e">
        <f>$FO374</f>
        <v>#N/A</v>
      </c>
      <c r="JI374" s="1060"/>
      <c r="JJ374" s="1682" t="b">
        <f>IF($JG376=CONCATENATE("Interior - ",JJ$4),TRUE,FALSE)</f>
        <v>0</v>
      </c>
      <c r="JK374" s="1061"/>
      <c r="JL374" s="1682" t="b">
        <f>IF($JG376=CONCATENATE("Interior - ",JL$4),TRUE,FALSE)</f>
        <v>0</v>
      </c>
      <c r="JM374" s="1061"/>
      <c r="JN374" s="1682" t="b">
        <f>IF($JG376=CONCATENATE("Interior - ",JN$4),TRUE,FALSE)</f>
        <v>0</v>
      </c>
      <c r="JO374" s="1061"/>
      <c r="JP374" s="1682" t="b">
        <f>IF(__Retrofit_TI_NC&gt;0,FALSE,IF($JG376=CONCATENATE("Interior - ",JP$4),TRUE,FALSE))</f>
        <v>0</v>
      </c>
      <c r="JQ374" s="1061"/>
      <c r="JR374" s="1682" t="b">
        <f>IF(__Retrofit_TI_NC&gt;0,FALSE,IF($JG376=CONCATENATE("Interior - ",JR$4),TRUE,FALSE))</f>
        <v>0</v>
      </c>
      <c r="JS374" s="1061"/>
      <c r="JT374" s="1670" t="b">
        <f>IF(__Retrofit_TI_NC&gt;0,FALSE,IF($JG376=CONCATENATE("Interior - ",JT$4),TRUE,FALSE))</f>
        <v>0</v>
      </c>
      <c r="JU374" s="1061"/>
      <c r="JV374" s="1670" t="b">
        <f>IF(JC376="AELC on Existing",TRUE,FALSE)</f>
        <v>0</v>
      </c>
      <c r="JX374" s="1670" t="b">
        <f>IF(OR(JG376="Exterior - AELC Occupancy based",JG376="Exterior - AELC Time based"),TRUE,FALSE)</f>
        <v>0</v>
      </c>
      <c r="JZ374" s="1682" t="b">
        <f>IF($JG376=CONCATENATE("Exterior - ",JZ$4),TRUE,FALSE)</f>
        <v>0</v>
      </c>
      <c r="KB374" s="1670" t="b">
        <f>IF(__Retrofit_TI_NC&gt;0,FALSE,IF($JG376=CONCATENATE("Interior - ",KB$4),TRUE,FALSE))</f>
        <v>0</v>
      </c>
    </row>
    <row r="375" spans="1:288" s="78" customFormat="1" ht="14.95" customHeight="1" thickTop="1" thickBot="1">
      <c r="B375" s="1845"/>
      <c r="C375" s="1846"/>
      <c r="D375" s="1847"/>
      <c r="E375" s="1737" t="s">
        <v>297</v>
      </c>
      <c r="F375" s="1738"/>
      <c r="G375" s="1739"/>
      <c r="H375" s="1739"/>
      <c r="I375" s="1739"/>
      <c r="J375" s="1739"/>
      <c r="K375" s="1739"/>
      <c r="L375" s="1739"/>
      <c r="M375" s="461" t="e">
        <f>IF(__Retrofit_TI_NC&lt;&gt;0,IF(VLOOKUP(G376,'Space Table'!$B$3:$L$163,3,FALSE)&gt;0,1,0),IF(__Retrofit_TI_NC=VLOOKUP(G376,'Space Table'!$B$3:$L$163,3,FALSE),1,0))</f>
        <v>#N/A</v>
      </c>
      <c r="N375" s="461" t="str">
        <f>IFERROR(VLOOKUP(G375,_Lookup_Heat_Type_Table_New,2,FALSE),"")</f>
        <v/>
      </c>
      <c r="O375" s="461">
        <f>IF(__Retrofit_TI_NC=1,CONCATENATE("TI ",G375),IF(__Retrofit_TI_NC=2,CONCATENATE("NC ",G375),G375))</f>
        <v>0</v>
      </c>
      <c r="P375" s="1740" t="s">
        <v>435</v>
      </c>
      <c r="Q375" s="1740"/>
      <c r="R375" s="595"/>
      <c r="S375" s="1792"/>
      <c r="T375" s="597"/>
      <c r="U375" s="1765"/>
      <c r="V375" s="1766"/>
      <c r="W375" s="1766"/>
      <c r="X375" s="1766"/>
      <c r="Y375" s="1766"/>
      <c r="Z375" s="1766"/>
      <c r="AA375" s="1766"/>
      <c r="AB375" s="1766"/>
      <c r="AC375" s="1766"/>
      <c r="AD375" s="1767"/>
      <c r="AE375" s="1000"/>
      <c r="AF375" s="597"/>
      <c r="AG375" s="1723"/>
      <c r="AH375" s="1724"/>
      <c r="AI375" s="1724"/>
      <c r="AJ375" s="1724"/>
      <c r="AK375" s="1725"/>
      <c r="AL375" s="996"/>
      <c r="AM375" s="1747"/>
      <c r="AN375" s="1775"/>
      <c r="AO375" s="1777"/>
      <c r="AP375" s="1780"/>
      <c r="AQ375" s="1781"/>
      <c r="AR375" s="1795"/>
      <c r="AS375" s="1795"/>
      <c r="AT375" s="1796"/>
      <c r="AU375" s="1735"/>
      <c r="AV375" s="1752"/>
      <c r="AW375" s="1705"/>
      <c r="AX375" s="467"/>
      <c r="AY375" s="1749"/>
      <c r="AZ375" s="1749"/>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696"/>
      <c r="CQ375" s="1696"/>
      <c r="CR375" s="1809"/>
      <c r="CS375" s="1811"/>
      <c r="CU375" s="1688"/>
      <c r="CV375" s="1703"/>
      <c r="CW375" s="1703"/>
      <c r="CX375" s="1703"/>
      <c r="CY375" s="1815"/>
      <c r="CZ375" s="1711"/>
      <c r="DA375" s="1818"/>
      <c r="DB375" s="1820"/>
      <c r="DC375" s="1820"/>
      <c r="DD375" s="1820"/>
      <c r="DF375" s="1703"/>
      <c r="DG375" s="1831"/>
      <c r="DH375" s="1703"/>
      <c r="DI375" s="1838"/>
      <c r="DJ375" s="1711"/>
      <c r="DK375" s="1712"/>
      <c r="DM375" s="1718"/>
      <c r="DO375" s="1708"/>
      <c r="DQ375" s="1715"/>
      <c r="DR375" s="1720"/>
      <c r="DS375" s="1816"/>
      <c r="DT375" s="1714"/>
      <c r="DU375" s="1715"/>
      <c r="DV375" s="1716"/>
      <c r="DX375" s="1715"/>
      <c r="DY375" s="1720"/>
      <c r="DZ375" s="1715"/>
      <c r="EA375" s="1715"/>
      <c r="EC375" s="1834"/>
      <c r="ED375" s="1834"/>
      <c r="EF375" s="1707"/>
      <c r="EG375" s="1712"/>
      <c r="EH375" s="1818"/>
      <c r="EI375" s="1712"/>
      <c r="EJ375" s="1712"/>
      <c r="EK375" s="1836"/>
      <c r="EL375" s="1836"/>
      <c r="EM375" s="1807"/>
      <c r="EN375" s="1839"/>
      <c r="EO375" s="1839"/>
      <c r="EP375" s="1817"/>
      <c r="EQ375" s="1817"/>
      <c r="ER375" s="1807"/>
      <c r="ES375" s="1807"/>
      <c r="ET375" s="1807"/>
      <c r="EV375" s="1715"/>
      <c r="EX375" s="1805"/>
      <c r="EY375" s="1805"/>
      <c r="EZ375" s="1805"/>
      <c r="FA375" s="1805"/>
      <c r="FB375" s="1805"/>
      <c r="FC375" s="1827"/>
      <c r="FE375" s="1698"/>
      <c r="FG375" s="1816"/>
      <c r="FH375" s="1816"/>
      <c r="FI375" s="133"/>
      <c r="FL375" s="1823"/>
      <c r="FM375" s="1825"/>
      <c r="FN375" s="1698"/>
      <c r="FO375" s="1698"/>
      <c r="FP375" s="1678"/>
      <c r="FQ375" s="1678"/>
      <c r="FS375" s="1687"/>
      <c r="FT375" s="1687"/>
      <c r="FU375" s="1685"/>
      <c r="FV375" s="1687"/>
      <c r="FW375" s="1687"/>
      <c r="FX375" s="1687"/>
      <c r="FY375" s="1697"/>
      <c r="GA375" s="1696"/>
      <c r="GB375" s="1696"/>
      <c r="GC375" s="1696"/>
      <c r="GD375" s="1696"/>
      <c r="GE375" s="1696"/>
      <c r="GF375" s="1696"/>
      <c r="GG375" s="1696"/>
      <c r="GH375" s="1696"/>
      <c r="GI375" s="673"/>
      <c r="GJ375" s="1135"/>
      <c r="GK375" s="1832"/>
      <c r="GM375" s="1693" t="b">
        <f ca="1">IF(AND(GP375=TRUE,GQ375=TRUE),TRUE,FALSE)</f>
        <v>0</v>
      </c>
      <c r="GN375" s="1684" t="b">
        <f>IFERROR(IF(__Retrofit_TI_NC=2,TRUE,IF(AU374="Yes",TRUE,FALSE)),FALSE)</f>
        <v>1</v>
      </c>
      <c r="GP375" s="1684" t="b">
        <f>IFERROR(IF(GP374=1,TRUE,FALSE),FALSE)</f>
        <v>0</v>
      </c>
      <c r="GQ375" s="1684" t="b">
        <f ca="1">IFERROR(IF(GQ374=GQ$14,TRUE,FALSE),FALSE)</f>
        <v>0</v>
      </c>
      <c r="HG375" s="1684" t="b">
        <f>IFERROR(IF(AND(__Retrofit_TI_NC&gt;0,CQ374="Interior"),FALSE,TRUE),FALSE)</f>
        <v>1</v>
      </c>
      <c r="HH375" s="1684" t="b">
        <f>IFERROR(IF(M375=1,TRUE,FALSE),FALSE)</f>
        <v>0</v>
      </c>
      <c r="HI375" s="1684" t="b">
        <f>IFERROR(IF(OR(M376=1,N377="BAM"),TRUE,FALSE),FALSE)</f>
        <v>0</v>
      </c>
      <c r="HJ375" s="1684" t="b">
        <f>IFERROR(IF(__Retrofit_TI_NC&lt;&gt;0,TRUE,IFERROR(IF(VLOOKUP(U375,Fixtures_Existing_List,2,FALSE)&lt;&gt;"",TRUE,FALSE),FALSE)),FALSE)</f>
        <v>0</v>
      </c>
      <c r="HK375" s="1684" t="b">
        <f>IFERROR(IF(VLOOKUP(U376,Fixtures_Proposed_List,2,FALSE)&lt;&gt;"",TRUE,FALSE),FALSE)</f>
        <v>0</v>
      </c>
      <c r="HL375" s="1684" t="b">
        <f>IF(AND(__Retrofit_TI_NC=2,FC374=TRUE),FALSE,TRUE)</f>
        <v>1</v>
      </c>
      <c r="HM375" s="1684" t="b">
        <f>GK374</f>
        <v>1</v>
      </c>
      <c r="HN375" s="1682" t="b">
        <f>IF(ISERROR(MATCH(FE374,_Control_Match[],0))=TRUE,FALSE,TRUE)</f>
        <v>0</v>
      </c>
      <c r="HO375" s="1693" t="b">
        <f>IFERROR(IF(EX374&lt;&gt;EY374,FALSE,TRUE),FALSE)</f>
        <v>1</v>
      </c>
      <c r="HP375" s="1693" t="b">
        <f>IFERROR(IF(EX376&lt;&gt;EY376,FALSE,TRUE),FALSE)</f>
        <v>1</v>
      </c>
      <c r="HQ375" s="1670" t="b">
        <f>IFERROR(IF(CQ374="Exterior",TRUE,IF(AND(OR(FM376=0,FM376=3),JD376&gt;6),FALSE,TRUE)),FALSE)</f>
        <v>0</v>
      </c>
      <c r="HR375" s="1684" t="b">
        <f>IFERROR(IF(AND(FO376=7,FC374=TRUE),FALSE,TRUE),FALSE)</f>
        <v>0</v>
      </c>
      <c r="HS375" s="1684" t="b">
        <f>IFERROR(IF(AND(T376&lt;&gt;AF376,OR(AG376="Interior LLLC", AG376="Interior NLC", AG376="LLLC (outside Daylight)",AG376="LLLC Controls Only"))=TRUE,FALSE,TRUE),FALSE)</f>
        <v>1</v>
      </c>
      <c r="HT375" s="1670" t="b">
        <f>IFERROR(IF(OR(AG376=Lookup!BB$17,AG376=Lookup!BB$18,AG376=Lookup!BB$19)=TRUE,IF(AF376&gt;T376,FALSE,TRUE),TRUE),FALSE)</f>
        <v>1</v>
      </c>
      <c r="HU375" s="1684" t="b">
        <f>IFERROR(IF(__Retrofit_TI_NC=2,IF(EZ376&lt;EZ374,FALSE,TRUE),TRUE),FALSE)</f>
        <v>1</v>
      </c>
      <c r="HV375" s="1684" t="b">
        <f>IF(CQ374="Interior",IL$6,TRUE)</f>
        <v>1</v>
      </c>
      <c r="HW375" s="1684" t="b">
        <f>IF(CQ374="Exterior",IL$8,TRUE)</f>
        <v>1</v>
      </c>
      <c r="HX375" s="1684" t="b">
        <f>IFERROR(IF(__Retrofit_TI_NC&lt;&gt;0,IF(AZ374&lt;AY374,FALSE,TRUE),TRUE),FALSE)</f>
        <v>1</v>
      </c>
      <c r="HY375" s="1684" t="b">
        <f>IFERROR(IF(AND(G375="Exterior",R375&gt;4200),FALSE,TRUE),FALSE)</f>
        <v>1</v>
      </c>
      <c r="HZ375" s="1684" t="b">
        <f>IFERROR(IF(AB377/AB374&lt;HZ$18,FALSE,TRUE),FALSE)</f>
        <v>0</v>
      </c>
      <c r="IB375" s="1691"/>
      <c r="IC375" s="1695"/>
      <c r="ID375" s="1694" t="str">
        <f>VLOOKUP(IB377,_Error_Table,4,FALSE)</f>
        <v>White</v>
      </c>
      <c r="IE375" s="391"/>
      <c r="IF375" s="1688"/>
      <c r="IG375" s="1689"/>
      <c r="IH375" s="1684"/>
      <c r="IK375" s="1689"/>
      <c r="IL375" s="1691"/>
      <c r="IM375" s="1691"/>
      <c r="IN375" s="1691"/>
      <c r="IP375" s="1679"/>
      <c r="IQ375" s="1679"/>
      <c r="IR375" s="1679"/>
      <c r="IS375" s="1679"/>
      <c r="IT375" s="1679"/>
      <c r="IU375" s="1679"/>
      <c r="IV375" s="1679"/>
      <c r="IW375" s="1679"/>
      <c r="IX375" s="1679"/>
      <c r="IY375" s="1679"/>
      <c r="IZ375" s="1679"/>
      <c r="JA375" s="1679"/>
      <c r="JC375" s="1680"/>
      <c r="JD375" s="1670"/>
      <c r="JE375" s="1681"/>
      <c r="JG375" s="1680"/>
      <c r="JH375" s="1670"/>
      <c r="JI375" s="1060"/>
      <c r="JJ375" s="1683"/>
      <c r="JK375" s="1061"/>
      <c r="JL375" s="1683"/>
      <c r="JM375" s="1061"/>
      <c r="JN375" s="1683"/>
      <c r="JO375" s="1061"/>
      <c r="JP375" s="1683"/>
      <c r="JQ375" s="1061"/>
      <c r="JR375" s="1683"/>
      <c r="JS375" s="1061"/>
      <c r="JT375" s="1670"/>
      <c r="JU375" s="1061"/>
      <c r="JV375" s="1670"/>
      <c r="JX375" s="1670"/>
      <c r="JZ375" s="1683"/>
      <c r="KB375" s="1670"/>
    </row>
    <row r="376" spans="1:288" s="78" customFormat="1" ht="14.95" customHeight="1" thickTop="1" thickBot="1">
      <c r="A376" s="78">
        <f>ROW()</f>
        <v>376</v>
      </c>
      <c r="B376" s="1845"/>
      <c r="C376" s="1846"/>
      <c r="D376" s="1847"/>
      <c r="E376" s="1737" t="s">
        <v>298</v>
      </c>
      <c r="F376" s="1738"/>
      <c r="G376" s="1760"/>
      <c r="H376" s="1761"/>
      <c r="I376" s="1761"/>
      <c r="J376" s="1761"/>
      <c r="K376" s="1761"/>
      <c r="L376" s="1762"/>
      <c r="M376" s="461">
        <f>IFERROR(IF(IF(__Retrofit_TI_NC&lt;&gt;0,IF(CQ374="Interior",MATCH(G376,Lookup_Interior_New,0),MATCH(G376,Lookup_Exterior_New,0)),IF(CQ374="Interior",MATCH(G376,Lookup_Interior,0),MATCH(G376,Lookup_Exterior_Areas,0)))&gt;0,1,0),0)</f>
        <v>0</v>
      </c>
      <c r="N376" s="461" t="e">
        <f>IF(__Retrofit_TI_NC=1,
VLOOKUP(G376,'Space Table'!$B$3:$L$163,4,FALSE),
IF(__Retrofit_TI_NC=2,VLOOKUP(G376,'Space Table'!$B$3:$L$163,5,FALSE),VLOOKUP(G376,'Space Table'!$B$3:$L$163,5,FALSE)))</f>
        <v>#N/A</v>
      </c>
      <c r="O376" s="461">
        <f>G376</f>
        <v>0</v>
      </c>
      <c r="P376" s="1738" t="str">
        <f>IFERROR(IF(__Retrofit_TI_NC=1,VLOOKUP(G376,'Space Table'!$B$3:$O$163,13,FALSE),IF(__Retrofit_TI_NC=2,VLOOKUP(G376,'Space Table'!$B$3:$O$163,14,FALSE),"Area (sf):")),"Area (sf):")</f>
        <v>Area (sf):</v>
      </c>
      <c r="Q376" s="1738"/>
      <c r="R376" s="596"/>
      <c r="S376" s="1763" t="s">
        <v>345</v>
      </c>
      <c r="T376" s="594"/>
      <c r="U376" s="1801"/>
      <c r="V376" s="1802"/>
      <c r="W376" s="1802"/>
      <c r="X376" s="1802"/>
      <c r="Y376" s="1802"/>
      <c r="Z376" s="1802"/>
      <c r="AA376" s="1802"/>
      <c r="AB376" s="1802"/>
      <c r="AC376" s="1802"/>
      <c r="AD376" s="1802"/>
      <c r="AE376" s="1803"/>
      <c r="AF376" s="594"/>
      <c r="AG376" s="1787"/>
      <c r="AH376" s="1787"/>
      <c r="AI376" s="1787"/>
      <c r="AJ376" s="1787"/>
      <c r="AK376" s="1787"/>
      <c r="AL376" s="1787"/>
      <c r="AM376" s="1726">
        <f>IFERROR(DI376,"")</f>
        <v>0</v>
      </c>
      <c r="AN376" s="1728" t="str">
        <f>IFERROR(ROUND(AM376*AC377,0),"")</f>
        <v/>
      </c>
      <c r="AO376" s="1730">
        <f>IFERROR(IF(IB374=FALSE,0,AC377-AN376),0)</f>
        <v>0</v>
      </c>
      <c r="AP376" s="1780"/>
      <c r="AQ376" s="1781"/>
      <c r="AR376" s="1795"/>
      <c r="AS376" s="1795"/>
      <c r="AT376" s="1796"/>
      <c r="AU376" s="1735"/>
      <c r="AV376" s="1752"/>
      <c r="AW376" s="1705"/>
      <c r="AX376" s="467"/>
      <c r="AY376" s="1749"/>
      <c r="AZ376" s="1749"/>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696"/>
      <c r="CQ376" s="1696"/>
      <c r="CR376" s="1808" t="str">
        <f>CQ374</f>
        <v/>
      </c>
      <c r="CS376" s="1810" t="str">
        <f>CS374</f>
        <v/>
      </c>
      <c r="CU376" s="1688" t="s">
        <v>345</v>
      </c>
      <c r="CV376" s="1702">
        <f>IF(IB374=TRUE,T376,0)</f>
        <v>0</v>
      </c>
      <c r="CW376" s="1702" t="str">
        <f>IF(IB374=TRUE,U376,"")</f>
        <v/>
      </c>
      <c r="CX376" s="1812">
        <f>IF(IB374=TRUE,U377,0)</f>
        <v>0</v>
      </c>
      <c r="CY376" s="1814">
        <f>IF(IB374=TRUE,AB377,0)</f>
        <v>0</v>
      </c>
      <c r="CZ376" s="1710">
        <f>IF(AND(__Retrofit_TI_NC&gt;0,CR374="interior"),0,IF(IB374=TRUE,AC377,0))</f>
        <v>0</v>
      </c>
      <c r="DA376" s="1818"/>
      <c r="DB376" s="1820"/>
      <c r="DC376" s="1820"/>
      <c r="DD376" s="1820"/>
      <c r="DF376" s="1702">
        <f>IF(IB374=TRUE,AF376,0)</f>
        <v>0</v>
      </c>
      <c r="DG376" s="1830" t="str">
        <f>IF(IB374=TRUE,AG376,"")</f>
        <v/>
      </c>
      <c r="DH376" s="1812">
        <f>AG377</f>
        <v>0</v>
      </c>
      <c r="DI376" s="1837">
        <f>JE376</f>
        <v>0</v>
      </c>
      <c r="DJ376" s="1710">
        <f>IF(AND(__Retrofit_TI_NC&gt;0,CR374="interior"),0,IF(IB374=TRUE,AN376,0))</f>
        <v>0</v>
      </c>
      <c r="DK376" s="1712"/>
      <c r="DN376" s="1717">
        <f>IFERROR(CZ376-DJ376,0)</f>
        <v>0</v>
      </c>
      <c r="DO376" s="1709"/>
      <c r="DQ376" s="1715"/>
      <c r="DR376" s="1719" t="str">
        <f>DQ374</f>
        <v/>
      </c>
      <c r="DS376" s="1816"/>
      <c r="DT376" s="1835" t="str">
        <f>IF(OR(DS374=7,DS374=8,DS374=9),"ALC","")</f>
        <v/>
      </c>
      <c r="DU376" s="1715"/>
      <c r="DV376" s="1716"/>
      <c r="DX376" s="1715"/>
      <c r="DY376" s="1829" t="str">
        <f>DX374</f>
        <v/>
      </c>
      <c r="DZ376" s="1715"/>
      <c r="EA376" s="1715"/>
      <c r="EC376" s="1834"/>
      <c r="ED376" s="1834"/>
      <c r="EF376" s="1707"/>
      <c r="EG376" s="1712"/>
      <c r="EH376" s="1818"/>
      <c r="EI376" s="1712"/>
      <c r="EJ376" s="1712"/>
      <c r="EK376" s="1836"/>
      <c r="EL376" s="1836"/>
      <c r="EM376" s="1807"/>
      <c r="EN376" s="1839"/>
      <c r="EO376" s="1839"/>
      <c r="EP376" s="1817"/>
      <c r="EQ376" s="1817"/>
      <c r="ER376" s="1807"/>
      <c r="ES376" s="1807"/>
      <c r="ET376" s="1807"/>
      <c r="EV376" s="1715"/>
      <c r="EX376" s="1805" t="str">
        <f>IFERROR(VLOOKUP(CS376,'Space Table'!$B$3:$L$163,8,FALSE),"")</f>
        <v/>
      </c>
      <c r="EY376" s="1805" t="str">
        <f>IFERROR(IF(FB376="Yes",VLOOKUP(AG376,Lookup_Control_Type_Table2,4,FALSE),VLOOKUP(AG376,Lookup_Control_Type_Table2,3,FALSE)),"")</f>
        <v/>
      </c>
      <c r="EZ376" s="1805" t="e">
        <f>VLOOKUP(AG376,Lookup!BB$3:BC$20,2,FALSE)</f>
        <v>#N/A</v>
      </c>
      <c r="FA376" s="1805" t="e">
        <f>VLOOKUP(EX374,Lookup_Control_Type_Table,2,FALSE)</f>
        <v>#N/A</v>
      </c>
      <c r="FB376" s="1805" t="e">
        <f>VLOOKUP(CS376,'Space Table'!$B$3:$L$163,7,FALSE)</f>
        <v>#N/A</v>
      </c>
      <c r="FC376" s="1827"/>
      <c r="FE376" s="1698" t="str">
        <f>CONCATENATE(CQ374," - ",AG376)</f>
        <v xml:space="preserve"> - </v>
      </c>
      <c r="FG376" s="1816"/>
      <c r="FH376" s="1816"/>
      <c r="FI376" s="133"/>
      <c r="FL376" s="1822" t="str">
        <f>IF(CQ374="Exterior","Not Daylighted",G377)</f>
        <v>Not Daylighted</v>
      </c>
      <c r="FM376" s="1824">
        <f>VLOOKUP(FL376,_New_Daylight_Table_Codes,2,FALSE)</f>
        <v>0</v>
      </c>
      <c r="FN376" s="1698">
        <f>AG376</f>
        <v>0</v>
      </c>
      <c r="FO376" s="1698" t="e">
        <f>VLOOKUP(FN376,_Control_Table,2,FALSE)</f>
        <v>#N/A</v>
      </c>
      <c r="FP376" s="1678" t="e">
        <f>VLOOKUP(CONCATENATE(FL376," ",FN376),Lookup!AY$102:AZ387,2,FALSE)</f>
        <v>#N/A</v>
      </c>
      <c r="FQ376" s="1698">
        <f>IF(__Retrofit_TI_NC=0,FN376,IF(AND(FT376&gt;0,FN376="Occupancy Sensor"),"Daylight + Occupancy",IF(AND(FT376&gt;0,FO376&lt;4),"Interior Daylight Dimming",FN376)))</f>
        <v>0</v>
      </c>
      <c r="FS376" s="1686">
        <f>IF(CQ374="Interior",VLOOKUP(CS374,Control_Savings_Interior,5,FALSE),0)</f>
        <v>0</v>
      </c>
      <c r="FT376" s="1687">
        <f>IF(CQ376="Exterior",0,IF(FM376=2,0.5,IF(OR(FM376=1,FM376=3),1,0)))</f>
        <v>0</v>
      </c>
      <c r="FU376" s="1685">
        <f>IF(R375&gt;FS$44,(FS376*(FS$44/R375)),FS376)*FT376</f>
        <v>0</v>
      </c>
      <c r="FV376" s="1686">
        <f>DI376</f>
        <v>0</v>
      </c>
      <c r="FW376" s="1686">
        <f>ROUND(FV376+((1-FV376)*FU376),2)</f>
        <v>0</v>
      </c>
      <c r="FX376" s="1686">
        <f>IF(__Retrofit_TI_NC=2,FW376,FV376)</f>
        <v>0</v>
      </c>
      <c r="FY376" s="1697">
        <f>IF(CR376="Interior",VLOOKUP(CS376,Control_Savings_Interior,4,FALSE),0)</f>
        <v>0</v>
      </c>
      <c r="GA376" s="1696"/>
      <c r="GB376" s="1696"/>
      <c r="GC376" s="1696"/>
      <c r="GD376" s="1696"/>
      <c r="GE376" s="1696"/>
      <c r="GF376" s="1696"/>
      <c r="GG376" s="1696"/>
      <c r="GH376" s="1696"/>
      <c r="GI376" s="673" t="b">
        <f>IF(ISNUMBER(SEARCH("TLED",U376)),TRUE,FALSE)</f>
        <v>0</v>
      </c>
      <c r="GJ376" s="1135" t="str">
        <f>IFERROR(VLOOKUP(U376,Fixtures!DM$93:DR$142,6,FALSE),"")</f>
        <v/>
      </c>
      <c r="GK376" s="1832"/>
      <c r="GM376" s="1692"/>
      <c r="GN376" s="1684"/>
      <c r="GP376" s="1684"/>
      <c r="GQ376" s="1684"/>
      <c r="HG376" s="1684"/>
      <c r="HH376" s="1684"/>
      <c r="HI376" s="1684"/>
      <c r="HJ376" s="1684"/>
      <c r="HK376" s="1684"/>
      <c r="HL376" s="1684"/>
      <c r="HM376" s="1684"/>
      <c r="HN376" s="1683"/>
      <c r="HO376" s="1692"/>
      <c r="HP376" s="1692"/>
      <c r="HQ376" s="1670"/>
      <c r="HR376" s="1684"/>
      <c r="HS376" s="1684"/>
      <c r="HT376" s="1670"/>
      <c r="HU376" s="1684"/>
      <c r="HV376" s="1684"/>
      <c r="HW376" s="1684"/>
      <c r="HX376" s="1684"/>
      <c r="HY376" s="1684"/>
      <c r="HZ376" s="1684"/>
      <c r="IB376" s="1692"/>
      <c r="IC376" s="1693" t="b">
        <f>IB374</f>
        <v>0</v>
      </c>
      <c r="ID376" s="1695"/>
      <c r="IE376" s="391"/>
      <c r="IF376" s="1688"/>
      <c r="IG376" s="1689">
        <f ca="1">IF(IF374=TRUE,AC377,0)</f>
        <v>0</v>
      </c>
      <c r="IH376" s="1684"/>
      <c r="IK376" s="1689" t="e">
        <f>ROUND(T376*AB377*N375*R375/1000,0)</f>
        <v>#VALUE!</v>
      </c>
      <c r="IL376" s="1691"/>
      <c r="IM376" s="1693" t="e">
        <f>ROUND(T376*AB377*N375*R375/1000,0)</f>
        <v>#VALUE!</v>
      </c>
      <c r="IN376" s="1691"/>
      <c r="IP376" s="1679"/>
      <c r="IQ376" s="1679" t="e">
        <f t="shared" ref="IQ376:IU376" si="332">IF($CR376="interior",VLOOKUP($CS376,_New_Control_Savings_Interior,IQ$30,FALSE),VLOOKUP($CS376,Control_Savings_Exterior,IQ$30,FALSE))</f>
        <v>#N/A</v>
      </c>
      <c r="IR376" s="1679" t="e">
        <f t="shared" si="332"/>
        <v>#N/A</v>
      </c>
      <c r="IS376" s="1679" t="e">
        <f t="shared" si="332"/>
        <v>#N/A</v>
      </c>
      <c r="IT376" s="1679" t="e">
        <f t="shared" si="332"/>
        <v>#N/A</v>
      </c>
      <c r="IU376" s="1679" t="e">
        <f t="shared" si="332"/>
        <v>#N/A</v>
      </c>
      <c r="IV376" s="1679" t="e">
        <f>IF($CR376="interior",IF(R375&gt;$IP$14,ROUND(($IV$18*($IP$14/R375)),2),$IV$18),VLOOKUP($CS376,Control_Savings_Exterior,IV$30,FALSE))</f>
        <v>#N/A</v>
      </c>
      <c r="IW376" s="1679" t="e">
        <f>IF($CR376="interior",ROUND(((1-IS376)*IV376)+IS376,2),VLOOKUP($CS376,Control_Savings_Exterior,IW$30,FALSE))</f>
        <v>#N/A</v>
      </c>
      <c r="IX376" s="1679" t="e">
        <f>IF($CR376="interior",ROUND(((1-IT376)*IV376)+IT376,2),VLOOKUP($CS376,Control_Savings_Exterior,IX$30,FALSE))</f>
        <v>#N/A</v>
      </c>
      <c r="IY376" s="1679" t="e">
        <f>IF($CR376="interior",IF(R375&gt;$IP$14,ROUND(($IY$18*($IP$14/R375)),2),$IY$18),VLOOKUP($CS376,Control_Savings_Exterior,IY$30,FALSE))</f>
        <v>#N/A</v>
      </c>
      <c r="IZ376" s="1679" t="e">
        <f>IF($CR376="interior",ROUND(((1-IS376)*IY376)+IS376,2),VLOOKUP($CS376,Control_Savings_Exterior,IZ$30,FALSE))</f>
        <v>#N/A</v>
      </c>
      <c r="JA376" s="1679" t="e">
        <f>IF($CR376="interior",ROUND(((1-IT376)*IY376)+IT376,2),VLOOKUP($CS376,Control_Savings_Exterior,JA$30,FALSE))</f>
        <v>#N/A</v>
      </c>
      <c r="JC376" s="1680">
        <f>IFERROR(IF(CR376="Interior",CONCATENATE(G377," ",FQ376),AG376),"")</f>
        <v>0</v>
      </c>
      <c r="JD376" s="1670" t="str">
        <f>IFERROR(VLOOKUP(JC376,_Controls_2023,2,FALSE),"")</f>
        <v/>
      </c>
      <c r="JE376" s="1681">
        <f>IFERROR(CHOOSE(JD376-1,IQ376,IR376,IS376,IT376,IU376,IV376,IW376,IX376,IY376,IZ376,JA376),0)</f>
        <v>0</v>
      </c>
      <c r="JG376" s="1680" t="str">
        <f>FE376</f>
        <v xml:space="preserve"> - </v>
      </c>
      <c r="JH376" s="1670" t="e">
        <f>$FO376</f>
        <v>#N/A</v>
      </c>
      <c r="JI376" s="1060"/>
      <c r="JJ376" s="1670">
        <f>IFERROR(IF($IB374=TRUE,IF(OR(JJ$14="No",JJ374=FALSE,JH376&lt;=JH374,AND(_kWh_Grant=0,GD374=FALSE)),0,IF(JJ$8="Per Line",1,$AF376)),0),0)</f>
        <v>0</v>
      </c>
      <c r="JK376" s="1061"/>
      <c r="JL376" s="1670">
        <f>IFERROR(IF(_kWh_Grant=0,0,IF($IB374=TRUE,IF(OR(JL$14="No",JL374=FALSE,JH376&lt;=JH374),0,IF(JL$8="Per Line",1,$T376)),0)),0)</f>
        <v>0</v>
      </c>
      <c r="JM376" s="1061"/>
      <c r="JN376" s="1670">
        <f>IFERROR(IF(_kWh_Grant=0,0,IF($IB374=TRUE,IF(OR(JN$14="No",JN374=FALSE,JH376&lt;=JH374),0,IF(JN$8="Per Line",1,$AF376)),0)),0)</f>
        <v>0</v>
      </c>
      <c r="JO376" s="1061"/>
      <c r="JP376" s="1670">
        <f>IFERROR(IF(__Retrofit_TI_NC=0,IF(_kWh_Grant=0,0,IF($IB374=TRUE,IF(OR(JP$14="No",JP374=FALSE,$JH376&lt;=$JH374),0,IF(JP$8="Per Line",1,$AF376)),0)),IF($IB374=TRUE,IF(OR(JP$14="No",JP374=FALSE,$JH376&lt;=$JH374),0,IF(JP$8="Per Line",1,$AF376)))),0)</f>
        <v>0</v>
      </c>
      <c r="JQ376" s="1061"/>
      <c r="JR376" s="1670">
        <f>IFERROR(IF(__Retrofit_TI_NC=0,IF(_kWh_Grant=0,0,IF($IB374=TRUE,IF(OR(JR$14="No",JR374=FALSE,$JH376&lt;=$JH374),0,IF(JR$8="Per Line",1,$AF376)),0)),IF($IB374=TRUE,IF(OR(JR$14="No",JR374=FALSE,$JH376&lt;=$JH374),0,IF(JR$8="Per Line",1,$AF376)))),0)</f>
        <v>0</v>
      </c>
      <c r="JS376" s="1061"/>
      <c r="JT376" s="1670">
        <f>IFERROR(IF(__Retrofit_TI_NC=0,IF(_kWh_Grant=0,0,IF($IB374=TRUE,IF(OR(JT$14="No",JT374=FALSE,$JH376&lt;=$JH374),0,IF(JT$8="Per Line",1,$AF376)),0)),IF($IB374=TRUE,IF(OR(JT$14="No",JT374=FALSE,$JH376&lt;=$JH374),0,IF(JT$8="Per Line",1,$AF376)))),0)</f>
        <v>0</v>
      </c>
      <c r="JU376" s="1061"/>
      <c r="JV376" s="1670">
        <f>IFERROR(IF(__Retrofit_TI_NC=0,IF(_kWh_Grant=0,0,IF($IB374=TRUE,IF(OR(JV$14="No",JV374=FALSE,$JH376&lt;=$JH374),0,IF(JV$8="Per Line",1,$AF376)),0)),IF($IB374=TRUE,IF(OR(JV$14="No",JV374=FALSE,$JH376&lt;=$JH374),0,IF(JV$8="Per Line",1,$AF376)))),0)</f>
        <v>0</v>
      </c>
      <c r="JX376" s="1670">
        <f>IFERROR(IF(__Retrofit_TI_NC=0,IF(_kWh_Grant=0,0,IF($IB374=TRUE,IF(OR(JX$14="No",JX374=FALSE,$JH376&lt;=$JH374),0,IF(JX$8="Per Line",1,$AF376)),0)),IF($IB374=TRUE,IF(OR(JX$14="No",JX374=FALSE,$JH376&lt;=$JH374),0,IF(JX$8="Per Line",1,$AF376)))),0)</f>
        <v>0</v>
      </c>
      <c r="JZ376" s="1670">
        <f>IFERROR(IF($IB374=TRUE,IF(OR(JZ$14="No",JZ374=FALSE,$JH376&lt;=$JH374,AND(_kWh_Grant=0,$GD374=FALSE)),0,IF(JZ$8="Per Line",1,$AF376)),0),0)</f>
        <v>0</v>
      </c>
      <c r="KB376" s="1670">
        <f>IFERROR(IF(__Retrofit_TI_NC=0,IF(_kWh_Grant=0,0,IF($IB374=TRUE,IF(OR(KB$14="No",KB374=FALSE,$JH376&lt;=$JH374),0,IF(KB$8="Per Line",1,$AF376)),0)),IF($IB374=TRUE,IF(OR(KB$14="No",KB374=FALSE,$JH376&lt;=$JH374),0,IF(KB$8="Per Line",1,$AF376)))),0)</f>
        <v>0</v>
      </c>
    </row>
    <row r="377" spans="1:288" s="78" customFormat="1" ht="14.95" customHeight="1" thickTop="1" thickBot="1">
      <c r="B377" s="1845"/>
      <c r="C377" s="1846"/>
      <c r="D377" s="1847"/>
      <c r="E377" s="1771" t="s">
        <v>436</v>
      </c>
      <c r="F377" s="1772"/>
      <c r="G377" s="1784" t="s">
        <v>437</v>
      </c>
      <c r="H377" s="1785"/>
      <c r="I377" s="1785"/>
      <c r="J377" s="1785"/>
      <c r="K377" s="1785"/>
      <c r="L377" s="1786"/>
      <c r="M377" s="591">
        <f>IFERROR(VLOOKUP(G377,_Daylight_Table[],2,FALSE),0)</f>
        <v>0</v>
      </c>
      <c r="N377" s="592" t="str">
        <f>IF(AND(__Retrofit_TI_NC&gt;0,CQ374="Interior"),"BAM","")</f>
        <v/>
      </c>
      <c r="O377" s="591" t="e">
        <f>VLOOKUP(G376,'Space Table'!$B$3:$L$163,11,FALSE)</f>
        <v>#N/A</v>
      </c>
      <c r="P377" s="1789"/>
      <c r="Q377" s="1790"/>
      <c r="R377" s="1790"/>
      <c r="S377" s="1788"/>
      <c r="T377" s="593" t="s">
        <v>342</v>
      </c>
      <c r="U377" s="1756" t="str" cm="1">
        <f t="array" aca="1" ref="U377" ca="1">IFERROR(VLOOKUP(INDIRECT("U" &amp; ROW()-1),Fixtures!DM$93:DP$142,4,FALSE),"")</f>
        <v/>
      </c>
      <c r="V377" s="1757"/>
      <c r="W377" s="1757"/>
      <c r="X377" s="1757"/>
      <c r="Y377" s="1757"/>
      <c r="Z377" s="1757"/>
      <c r="AA377" s="1758"/>
      <c r="AB377" s="939" t="str">
        <f>IFERROR(VLOOKUP(U376,Fixtures_Proposed_List,2,FALSE),"")</f>
        <v/>
      </c>
      <c r="AC377" s="933" t="str">
        <f>IFERROR(ROUND(T376*AB377*N375*R375/1000,0),"")</f>
        <v/>
      </c>
      <c r="AD377" s="934" t="str">
        <f>IFERROR(ROUND(T376*AB377/1000,2),"")</f>
        <v/>
      </c>
      <c r="AE377" s="998"/>
      <c r="AF377" s="938" t="s">
        <v>342</v>
      </c>
      <c r="AG377" s="1770"/>
      <c r="AH377" s="1770"/>
      <c r="AI377" s="1770"/>
      <c r="AJ377" s="1770"/>
      <c r="AK377" s="1770"/>
      <c r="AL377" s="1770"/>
      <c r="AM377" s="1727"/>
      <c r="AN377" s="1729"/>
      <c r="AO377" s="1731"/>
      <c r="AP377" s="1782"/>
      <c r="AQ377" s="1783"/>
      <c r="AR377" s="1797"/>
      <c r="AS377" s="1797"/>
      <c r="AT377" s="1798"/>
      <c r="AU377" s="1736"/>
      <c r="AV377" s="1753"/>
      <c r="AW377" s="1706"/>
      <c r="AX377" s="468"/>
      <c r="AY377" s="1750"/>
      <c r="AZ377" s="1750"/>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696"/>
      <c r="CQ377" s="1696"/>
      <c r="CR377" s="1809"/>
      <c r="CS377" s="1811"/>
      <c r="CU377" s="1688"/>
      <c r="CV377" s="1703"/>
      <c r="CW377" s="1703"/>
      <c r="CX377" s="1813"/>
      <c r="CY377" s="1815"/>
      <c r="CZ377" s="1711"/>
      <c r="DA377" s="1815"/>
      <c r="DB377" s="1821"/>
      <c r="DC377" s="1821"/>
      <c r="DD377" s="1821"/>
      <c r="DF377" s="1703"/>
      <c r="DG377" s="1831"/>
      <c r="DH377" s="1813"/>
      <c r="DI377" s="1838"/>
      <c r="DJ377" s="1711"/>
      <c r="DK377" s="1712"/>
      <c r="DN377" s="1718"/>
      <c r="DO377" s="1709"/>
      <c r="DQ377" s="1715"/>
      <c r="DR377" s="1720"/>
      <c r="DS377" s="1703"/>
      <c r="DT377" s="1714"/>
      <c r="DU377" s="1715"/>
      <c r="DV377" s="1716"/>
      <c r="DX377" s="1715"/>
      <c r="DY377" s="1720"/>
      <c r="DZ377" s="1715"/>
      <c r="EA377" s="1715"/>
      <c r="EC377" s="1834"/>
      <c r="ED377" s="1834"/>
      <c r="EF377" s="1707"/>
      <c r="EG377" s="1712"/>
      <c r="EH377" s="1815"/>
      <c r="EI377" s="1712"/>
      <c r="EJ377" s="1712"/>
      <c r="EK377" s="1813"/>
      <c r="EL377" s="1813"/>
      <c r="EM377" s="1807"/>
      <c r="EN377" s="1839"/>
      <c r="EO377" s="1839"/>
      <c r="EP377" s="1817"/>
      <c r="EQ377" s="1817"/>
      <c r="ER377" s="1807"/>
      <c r="ES377" s="1807"/>
      <c r="ET377" s="1807"/>
      <c r="EV377" s="1715"/>
      <c r="EX377" s="1806"/>
      <c r="EY377" s="1806"/>
      <c r="EZ377" s="1806"/>
      <c r="FA377" s="1806"/>
      <c r="FB377" s="1806"/>
      <c r="FC377" s="1828"/>
      <c r="FE377" s="1698"/>
      <c r="FG377" s="1703"/>
      <c r="FH377" s="1703"/>
      <c r="FI377" s="133"/>
      <c r="FL377" s="1823"/>
      <c r="FM377" s="1825"/>
      <c r="FN377" s="1698"/>
      <c r="FO377" s="1698"/>
      <c r="FP377" s="1678"/>
      <c r="FQ377" s="1698"/>
      <c r="FS377" s="1687"/>
      <c r="FT377" s="1687"/>
      <c r="FU377" s="1685"/>
      <c r="FV377" s="1687"/>
      <c r="FW377" s="1687"/>
      <c r="FX377" s="1687"/>
      <c r="FY377" s="1697"/>
      <c r="GA377" s="1696"/>
      <c r="GB377" s="1696"/>
      <c r="GC377" s="1696"/>
      <c r="GD377" s="1696"/>
      <c r="GE377" s="1696"/>
      <c r="GF377" s="1696"/>
      <c r="GG377" s="1696"/>
      <c r="GH377" s="1696"/>
      <c r="GI377" s="673"/>
      <c r="GJ377" s="1135"/>
      <c r="GK377" s="1832"/>
      <c r="GN377" s="674">
        <f>IF(GN375=TRUE,0,GN$16)</f>
        <v>0</v>
      </c>
      <c r="GP377" s="674">
        <f>IF(GP375=TRUE,0,GP$16)</f>
        <v>36</v>
      </c>
      <c r="GQ377" s="674">
        <f ca="1">IF(GQ375=TRUE,0,GQ$16)</f>
        <v>35</v>
      </c>
      <c r="GR377" s="391"/>
      <c r="GS377" s="391"/>
      <c r="GT377" s="391"/>
      <c r="GU377" s="391"/>
      <c r="GV377" s="391"/>
      <c r="HG377" s="674">
        <f>IF(HG375=TRUE,0,HG$16)</f>
        <v>0</v>
      </c>
      <c r="HH377" s="674">
        <f t="shared" ref="HH377:HM377" si="333">IF(HH375=TRUE,0,HH$16)</f>
        <v>19</v>
      </c>
      <c r="HI377" s="674">
        <f t="shared" si="333"/>
        <v>18</v>
      </c>
      <c r="HJ377" s="674">
        <f t="shared" si="333"/>
        <v>17</v>
      </c>
      <c r="HK377" s="674">
        <f t="shared" si="333"/>
        <v>16</v>
      </c>
      <c r="HL377" s="674">
        <f t="shared" si="333"/>
        <v>0</v>
      </c>
      <c r="HM377" s="674">
        <f t="shared" si="333"/>
        <v>0</v>
      </c>
      <c r="HN377" s="674">
        <f>IF(HN375=TRUE,0,HN$16)</f>
        <v>13</v>
      </c>
      <c r="HO377" s="674">
        <f t="shared" ref="HO377:HQ377" si="334">IF(HO375=TRUE,0,HO$16)</f>
        <v>0</v>
      </c>
      <c r="HP377" s="674">
        <f t="shared" si="334"/>
        <v>0</v>
      </c>
      <c r="HQ377" s="674">
        <f t="shared" si="334"/>
        <v>10</v>
      </c>
      <c r="HR377" s="674">
        <f>IF(HR375=TRUE,0,HR$16)</f>
        <v>9</v>
      </c>
      <c r="HS377" s="674">
        <f t="shared" ref="HS377:HW377" si="335">IF(HS375=TRUE,0,HS$16)</f>
        <v>0</v>
      </c>
      <c r="HT377" s="674">
        <f t="shared" si="335"/>
        <v>0</v>
      </c>
      <c r="HU377" s="674">
        <f t="shared" si="335"/>
        <v>0</v>
      </c>
      <c r="HV377" s="674">
        <f t="shared" si="335"/>
        <v>0</v>
      </c>
      <c r="HW377" s="674">
        <f t="shared" si="335"/>
        <v>0</v>
      </c>
      <c r="HX377" s="674">
        <f>IF(HX375=TRUE,0,HX$16)</f>
        <v>0</v>
      </c>
      <c r="HY377" s="674">
        <f>IF(HY375=TRUE,0,HY$16)</f>
        <v>0</v>
      </c>
      <c r="HZ377" s="674">
        <f>IF(HZ375=TRUE,0,HZ$16)</f>
        <v>1</v>
      </c>
      <c r="IB377" s="674">
        <f>IF(GP375=FALSE,GP377,IF(GQ375=FALSE,GQ377,MAX(GN377:HZ377)))</f>
        <v>36</v>
      </c>
      <c r="IC377" s="1692"/>
      <c r="ID377" s="205" t="str">
        <f>VLOOKUP(IB377,_Error_Table,3,FALSE)</f>
        <v xml:space="preserve"> </v>
      </c>
      <c r="IE377" s="205"/>
      <c r="IF377" s="1688"/>
      <c r="IG377" s="1689"/>
      <c r="IH377" s="1684"/>
      <c r="IK377" s="1689"/>
      <c r="IL377" s="1692"/>
      <c r="IM377" s="1692"/>
      <c r="IN377" s="1692"/>
      <c r="IP377" s="1679"/>
      <c r="IQ377" s="1679"/>
      <c r="IR377" s="1679"/>
      <c r="IS377" s="1679"/>
      <c r="IT377" s="1679"/>
      <c r="IU377" s="1679"/>
      <c r="IV377" s="1679"/>
      <c r="IW377" s="1679"/>
      <c r="IX377" s="1679"/>
      <c r="IY377" s="1679"/>
      <c r="IZ377" s="1679"/>
      <c r="JA377" s="1679"/>
      <c r="JC377" s="1680"/>
      <c r="JD377" s="1670"/>
      <c r="JE377" s="1681"/>
      <c r="JG377" s="1680"/>
      <c r="JH377" s="1670"/>
      <c r="JI377" s="1060"/>
      <c r="JJ377" s="1670"/>
      <c r="JK377" s="1061"/>
      <c r="JL377" s="1670"/>
      <c r="JM377" s="1061"/>
      <c r="JN377" s="1670"/>
      <c r="JO377" s="1061"/>
      <c r="JP377" s="1670"/>
      <c r="JQ377" s="1061"/>
      <c r="JR377" s="1670"/>
      <c r="JS377" s="1061"/>
      <c r="JT377" s="1670"/>
      <c r="JU377" s="1061"/>
      <c r="JV377" s="1670"/>
      <c r="JX377" s="1670"/>
      <c r="JZ377" s="1670"/>
      <c r="KB377" s="1670"/>
    </row>
    <row r="378" spans="1:288" s="78" customFormat="1" ht="5.0999999999999996" customHeight="1">
      <c r="B378" s="676"/>
      <c r="C378" s="392"/>
      <c r="D378" s="392"/>
      <c r="E378" s="1733"/>
      <c r="F378" s="1733"/>
      <c r="G378" s="1733"/>
      <c r="H378" s="1733"/>
      <c r="I378" s="1733"/>
      <c r="J378" s="1733"/>
      <c r="K378" s="1733"/>
      <c r="L378" s="1733"/>
      <c r="M378" s="1733"/>
      <c r="N378" s="1733"/>
      <c r="O378" s="1733"/>
      <c r="P378" s="1733"/>
      <c r="Q378" s="1733"/>
      <c r="R378" s="1733"/>
      <c r="S378" s="1733"/>
      <c r="T378" s="1733"/>
      <c r="U378" s="1733"/>
      <c r="V378" s="1733"/>
      <c r="W378" s="1733"/>
      <c r="X378" s="1733"/>
      <c r="Y378" s="1733"/>
      <c r="Z378" s="1733"/>
      <c r="AA378" s="1733"/>
      <c r="AB378" s="1733"/>
      <c r="AC378" s="1733"/>
      <c r="AD378" s="1733"/>
      <c r="AE378" s="1733"/>
      <c r="AF378" s="1733"/>
      <c r="AG378" s="1733"/>
      <c r="AH378" s="1733"/>
      <c r="AI378" s="1733"/>
      <c r="AJ378" s="1733"/>
      <c r="AK378" s="1733"/>
      <c r="AL378" s="1733"/>
      <c r="AM378" s="1733"/>
      <c r="AN378" s="1733"/>
      <c r="AO378" s="1733"/>
      <c r="AP378" s="1733"/>
      <c r="AQ378" s="1733"/>
      <c r="AR378" s="1733"/>
      <c r="AS378" s="1733"/>
      <c r="AT378" s="1733"/>
      <c r="AU378" s="1733"/>
      <c r="AV378" s="1733"/>
      <c r="AW378" s="1733"/>
      <c r="AX378" s="469"/>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663"/>
      <c r="CQ378" s="663"/>
      <c r="CR378" s="438"/>
      <c r="CS378" s="663"/>
      <c r="CV378" s="391"/>
      <c r="CW378" s="391"/>
      <c r="CX378" s="207"/>
      <c r="CY378" s="208"/>
      <c r="CZ378" s="208"/>
      <c r="DA378" s="208"/>
      <c r="DB378" s="209"/>
      <c r="DC378" s="209"/>
      <c r="DD378" s="209"/>
      <c r="DF378" s="664"/>
      <c r="DG378" s="665"/>
      <c r="DH378" s="666"/>
      <c r="DI378" s="667"/>
      <c r="DJ378" s="668"/>
      <c r="DK378" s="668"/>
      <c r="DN378" s="208"/>
      <c r="DO378" s="664"/>
      <c r="DQ378" s="664"/>
      <c r="DR378" s="669"/>
      <c r="DS378" s="391"/>
      <c r="DT378" s="664"/>
      <c r="DU378" s="664"/>
      <c r="DV378" s="664"/>
      <c r="DX378" s="664"/>
      <c r="DY378" s="664"/>
      <c r="DZ378" s="664"/>
      <c r="EA378" s="664"/>
      <c r="EC378" s="670"/>
      <c r="ED378" s="670"/>
      <c r="EF378" s="668"/>
      <c r="EG378" s="668"/>
      <c r="EH378" s="208"/>
      <c r="EI378" s="668"/>
      <c r="EJ378" s="668"/>
      <c r="EK378" s="207"/>
      <c r="EL378" s="207"/>
      <c r="EM378" s="666"/>
      <c r="EN378" s="671"/>
      <c r="EO378" s="671"/>
      <c r="EP378" s="672"/>
      <c r="EQ378" s="672"/>
      <c r="ER378" s="666"/>
      <c r="ES378" s="666"/>
      <c r="ET378" s="666"/>
      <c r="EV378" s="664"/>
      <c r="EX378" s="391"/>
      <c r="EY378" s="391"/>
      <c r="EZ378" s="391"/>
      <c r="FA378" s="391"/>
      <c r="FB378" s="391"/>
      <c r="FC378" s="391"/>
      <c r="FE378" s="569"/>
      <c r="FG378" s="391"/>
      <c r="FH378" s="391"/>
      <c r="FI378" s="391"/>
      <c r="FS378" s="664"/>
      <c r="FT378" s="391"/>
      <c r="FU378" s="391"/>
      <c r="FV378" s="664"/>
      <c r="FW378" s="664"/>
      <c r="GA378" s="663"/>
      <c r="GB378" s="663"/>
      <c r="GC378" s="663"/>
      <c r="GD378" s="663"/>
      <c r="GE378" s="663"/>
      <c r="GF378" s="663"/>
      <c r="GG378" s="663"/>
      <c r="GH378" s="663"/>
      <c r="GI378" s="665"/>
      <c r="GJ378" s="664"/>
      <c r="GK378" s="664"/>
    </row>
    <row r="379" spans="1:288" s="78" customFormat="1" ht="14.95" customHeight="1">
      <c r="B379" s="1845" t="str">
        <f>ID382</f>
        <v xml:space="preserve"> </v>
      </c>
      <c r="C379" s="1846">
        <f>C374+1</f>
        <v>65</v>
      </c>
      <c r="D379" s="1847"/>
      <c r="E379" s="1799" t="s">
        <v>295</v>
      </c>
      <c r="F379" s="1800"/>
      <c r="G379" s="1741"/>
      <c r="H379" s="1742"/>
      <c r="I379" s="1742"/>
      <c r="J379" s="1742"/>
      <c r="K379" s="1742"/>
      <c r="L379" s="1742"/>
      <c r="M379" s="1742"/>
      <c r="N379" s="1742"/>
      <c r="O379" s="1742"/>
      <c r="P379" s="1742"/>
      <c r="Q379" s="1742"/>
      <c r="R379" s="1742"/>
      <c r="S379" s="1791" t="s">
        <v>344</v>
      </c>
      <c r="T379" s="590"/>
      <c r="U379" s="1743"/>
      <c r="V379" s="1744"/>
      <c r="W379" s="1744"/>
      <c r="X379" s="1744"/>
      <c r="Y379" s="1744"/>
      <c r="Z379" s="1744"/>
      <c r="AA379" s="1744"/>
      <c r="AB379" s="961" t="str">
        <f>IFERROR(IF(__Retrofit_TI_NC=0,VLOOKUP(U380,Fixtures_Existing_List,2,FALSE),ROUND(N381*R381/T381,10)),"")</f>
        <v/>
      </c>
      <c r="AC379" s="935" t="str">
        <f>IFERROR(IF(__Retrofit_TI_NC=0,ROUND(T380*AB379*N380*R380/1000,0),IF(CQ379="Interior",N381*R381*R380*N380*_C406_reduction/1000,N381*R381*R380*N380/1000)),"")</f>
        <v/>
      </c>
      <c r="AD379" s="936" t="str">
        <f>IFERROR(IF(C$43=0,ROUND(T380*AB379/1000,2),N381*R381/1000),"")</f>
        <v/>
      </c>
      <c r="AE379" s="997"/>
      <c r="AF379" s="937"/>
      <c r="AG379" s="1745" t="str">
        <f>IF(__Retrofit_TI_NC=0," Control","Select Advanced Control for New System")</f>
        <v xml:space="preserve"> Control</v>
      </c>
      <c r="AH379" s="1745"/>
      <c r="AI379" s="1745"/>
      <c r="AJ379" s="1745"/>
      <c r="AK379" s="1745"/>
      <c r="AL379" s="1745"/>
      <c r="AM379" s="1746">
        <f>IFERROR(DI379,"")</f>
        <v>0</v>
      </c>
      <c r="AN379" s="1774" t="str">
        <f>IFERROR(ROUND(AM379*AC379,0),"")</f>
        <v/>
      </c>
      <c r="AO379" s="1776">
        <f>IFERROR(IF(IB379=FALSE,0,AC379-AN379),0)</f>
        <v>0</v>
      </c>
      <c r="AP379" s="1778">
        <f>AO379-AO381</f>
        <v>0</v>
      </c>
      <c r="AQ379" s="1779"/>
      <c r="AR379" s="1793">
        <f>IFERROR(IF(IB379=FALSE,0,(T381*U382)+(AF381*AG382)),0)</f>
        <v>0</v>
      </c>
      <c r="AS379" s="1793"/>
      <c r="AT379" s="1794"/>
      <c r="AU379" s="1734" t="s">
        <v>237</v>
      </c>
      <c r="AV379" s="1751">
        <f>IF(AU379="Yes",1,0)</f>
        <v>1</v>
      </c>
      <c r="AW379" s="1704" t="str">
        <f>IF(OR(DQ379=4,DQ379=5,DQ379=6,DQ379=12),CONCATENATE("$",IF(GH379=TRUE,Lookup!$K$10,Lookup!$K$2)," /lamp"),CONCATENATE(TEXT(ED379,"$0.00"),"/ kWh"))</f>
        <v>$0.00/ kWh</v>
      </c>
      <c r="AX379" s="467"/>
      <c r="AY379" s="1748">
        <f ca="1">IFERROR(IF(GM380=TRUE,(AB382*T381)/R381,0),"NA")</f>
        <v>0</v>
      </c>
      <c r="AZ379" s="1748"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696" t="str">
        <f>N380</f>
        <v/>
      </c>
      <c r="CQ379" s="1696" t="str">
        <f>IFERROR(VLOOKUP(G380,_Lookup_Heat_Type_Table_New,3,FALSE),"")</f>
        <v/>
      </c>
      <c r="CR379" s="1808" t="str">
        <f>CQ379</f>
        <v/>
      </c>
      <c r="CS379" s="1810" t="str">
        <f>IFERROR(VLOOKUP(G381,'Space Table'!$B$3:$L$163,9,FALSE),"")</f>
        <v/>
      </c>
      <c r="CU379" s="1688" t="s">
        <v>344</v>
      </c>
      <c r="CV379" s="1702">
        <f>IF(IB379=TRUE,T380,0)</f>
        <v>0</v>
      </c>
      <c r="CW379" s="1702" t="str">
        <f>IF(IB379=TRUE,U380,"")</f>
        <v/>
      </c>
      <c r="CX379" s="1702"/>
      <c r="CY379" s="1814">
        <f>IF(IB379=TRUE,AB379,0)</f>
        <v>0</v>
      </c>
      <c r="CZ379" s="1710">
        <f>IF(AND(__Retrofit_TI_NC&gt;0,CR379="interior"),0,IF(IB379=TRUE,AC379,0))</f>
        <v>0</v>
      </c>
      <c r="DA379" s="1814">
        <f>IFERROR(IF(IB379=TRUE,CZ379-CZ381,0),0)</f>
        <v>0</v>
      </c>
      <c r="DB379" s="1819">
        <f>IF(IB379=TRUE,AD379,0)</f>
        <v>0</v>
      </c>
      <c r="DC379" s="1819">
        <f>IF(IB379=TRUE,AD382,0)</f>
        <v>0</v>
      </c>
      <c r="DD379" s="1819">
        <f>IFERROR(DB379-DC379,0)</f>
        <v>0</v>
      </c>
      <c r="DF379" s="1702">
        <f>IF(IB379=TRUE,AF380,0)</f>
        <v>0</v>
      </c>
      <c r="DG379" s="1830">
        <f>IFERROR(IF(__Retrofit_TI_NC=2,IF(CQ379="Exterior",O382,FQ379),FN379),"")</f>
        <v>0</v>
      </c>
      <c r="DH379" s="1702"/>
      <c r="DI379" s="1837">
        <f>JE379</f>
        <v>0</v>
      </c>
      <c r="DJ379" s="1710">
        <f>IF(AND(__Retrofit_TI_NC&gt;0,CR379="interior"),0,IF(IB379=TRUE,AN379,0))</f>
        <v>0</v>
      </c>
      <c r="DK379" s="1712">
        <f>IFERROR(IF(IB379=TRUE,DJ381-DJ379,0),0)</f>
        <v>0</v>
      </c>
      <c r="DM379" s="1717">
        <f>IFERROR(CZ379-DJ379,0)</f>
        <v>0</v>
      </c>
      <c r="DO379" s="1708">
        <f>DM379-DN381</f>
        <v>0</v>
      </c>
      <c r="DQ379" s="1715" t="str">
        <f>IFERROR(IF(AND(OR(GC379=4,GC379=5,GC379=6),OR(GF379=4,GF379=5,GF379=6)),GC379+8,VLOOKUP(CW381,Fixtures!R$31:Y$78,8,FALSE)),"")</f>
        <v/>
      </c>
      <c r="DR379" s="1829" t="str">
        <f>DQ379</f>
        <v/>
      </c>
      <c r="DS379" s="1702" t="str">
        <f>IFERROR(VLOOKUP(DG381,Lookup!BB$3:BC$20,2,FALSE),"")</f>
        <v/>
      </c>
      <c r="DT379" s="1713" t="str">
        <f>IF(OR(DS379=7,DS379=8,DS379=9),"ALC","")</f>
        <v/>
      </c>
      <c r="DU379" s="1715">
        <f>IFERROR(IF(OR(DQ379=4,DQ379=5,DQ379=6,DQ379=12,DQ379=13,DQ379=14),VLOOKUP(CW381,Fixtures!DN$27:EG$77,19,FALSE),1)*CV381,0)</f>
        <v>0</v>
      </c>
      <c r="DV379" s="1716">
        <f>IF(OR(DS379=7,DS379=8,DS379=9),IF(DG379=DG381,0,DF381),0)</f>
        <v>0</v>
      </c>
      <c r="DX379" s="1715" t="str">
        <f>IFERROR(IF(EZ379&lt;EZ381,"Yes","No"),"")</f>
        <v/>
      </c>
      <c r="DY379" s="1829" t="str">
        <f>DX379</f>
        <v/>
      </c>
      <c r="DZ379" s="1715">
        <f>IF(DX379="Yes",DF381,0)</f>
        <v>0</v>
      </c>
      <c r="EA379" s="1715">
        <f>DZ379-DV379</f>
        <v>0</v>
      </c>
      <c r="EC379" s="1834">
        <f>IFERROR(VLOOKUP(DQ379,Lookup!AU$3:AV$16,2,FALSE),0)</f>
        <v>0</v>
      </c>
      <c r="ED379" s="1834">
        <f>IF(IB379=FALSE,0,IF(DX379="Yes",EC379+Lookup!K$6,EC379))</f>
        <v>0</v>
      </c>
      <c r="EF379" s="1707">
        <f>IF(IB379=TRUE,DM379,0)</f>
        <v>0</v>
      </c>
      <c r="EG379" s="1712">
        <f>IF(IB379=TRUE,CZ381,0)</f>
        <v>0</v>
      </c>
      <c r="EH379" s="1814">
        <f>IFERROR(EF379-EG379,0)</f>
        <v>0</v>
      </c>
      <c r="EI379" s="1712">
        <f>IF(IB379=TRUE,DJ381,0)</f>
        <v>0</v>
      </c>
      <c r="EJ379" s="1712">
        <f>IFERROR(EF379-EG379+EI379,0)</f>
        <v>0</v>
      </c>
      <c r="EK379" s="1812">
        <f>IF(IB379=TRUE,CV381*CX381,0)</f>
        <v>0</v>
      </c>
      <c r="EL379" s="1812">
        <f>IF(IB379=TRUE,DF381*DH381,0)</f>
        <v>0</v>
      </c>
      <c r="EM379" s="1807">
        <f>AR379</f>
        <v>0</v>
      </c>
      <c r="EN379" s="1839" t="str">
        <f>IFERROR(IF(IB379=TRUE,VLOOKUP(DQ379,Lookup!AU$3:AW$16,3,FALSE)*DU379,""),0)</f>
        <v/>
      </c>
      <c r="EO379" s="1839">
        <f>IF(IB379=TRUE,DZ379*Lookup!AW$12,0)</f>
        <v>0</v>
      </c>
      <c r="EP379" s="1817">
        <f>IFERROR(IF(IB379=TRUE,EN379/EP$40,0),0)</f>
        <v>0</v>
      </c>
      <c r="EQ379" s="1817">
        <f>IF(IB379=TRUE,EO379/EQ$40,0)</f>
        <v>0</v>
      </c>
      <c r="ER379" s="1807">
        <f>IF(IB379=TRUE,ET$40*EP379,0)</f>
        <v>0</v>
      </c>
      <c r="ES379" s="1807">
        <f>IF(IB379=TRUE,ET$40*EQ379,0)</f>
        <v>0</v>
      </c>
      <c r="ET379" s="1807">
        <f>ER379+ES379</f>
        <v>0</v>
      </c>
      <c r="EV379" s="1715">
        <f>IF(G379="",0,1)</f>
        <v>0</v>
      </c>
      <c r="EX379" s="1804" t="str">
        <f>IFERROR(VLOOKUP(CS381,'Space Table'!$B$3:$L$163,8,FALSE),"")</f>
        <v/>
      </c>
      <c r="EY379" s="1804" t="str">
        <f>IFERROR(IF(FB379="Yes",VLOOKUP(DG379,Lookup_Control_Type_Table2,4,FALSE),VLOOKUP(DG379,Lookup_Control_Type_Table2,3,FALSE)),"")</f>
        <v/>
      </c>
      <c r="EZ379" s="1804" t="e">
        <f>VLOOKUP(DG379,Lookup!BB$3:BC$20,2,FALSE)</f>
        <v>#N/A</v>
      </c>
      <c r="FA379" s="1804" t="e">
        <f>VLOOKUP(EX379,Lookup_Control_Type_Table,2,FALSE)</f>
        <v>#N/A</v>
      </c>
      <c r="FB379" s="1804" t="e">
        <f>VLOOKUP(CS381,'Space Table'!$B$3:$L$163,7,FALSE)</f>
        <v>#N/A</v>
      </c>
      <c r="FC379" s="1826" t="b">
        <f>ISNUMBER(SEARCH("TLED",U381))</f>
        <v>0</v>
      </c>
      <c r="FE379" s="1698" t="str">
        <f>CONCATENATE(CQ379," - ",DG379)</f>
        <v xml:space="preserve"> - 0</v>
      </c>
      <c r="FG379" s="1702" t="str">
        <f>VLOOKUP(CW381,Fixtures!DN$27:EZ$77,38,FALSE)</f>
        <v/>
      </c>
      <c r="FH379" s="1702">
        <f>IFERROR(FG379*EH379,0)</f>
        <v>0</v>
      </c>
      <c r="FI379" s="133"/>
      <c r="FL379" s="1822" t="str">
        <f>IF(CQ379="Exterior","Not Daylighted",G382)</f>
        <v>Not Daylighted</v>
      </c>
      <c r="FM379" s="1824">
        <f>VLOOKUP(FL379,_New_Daylight_Table_Codes,2,FALSE)</f>
        <v>0</v>
      </c>
      <c r="FN379" s="1698">
        <f>IF(__Retrofit_TI_NC&gt;0,VLOOKUP(G381,'Space Table'!$B$3:$L$163,11,FALSE),AG380)</f>
        <v>0</v>
      </c>
      <c r="FO379" s="1698" t="e">
        <f>IF(__Retrofit_TI_NC=2,VLOOKUP(FQ379,_Control_Table,2,FALSE),VLOOKUP(FN379,_Control_Table,2,FALSE))</f>
        <v>#N/A</v>
      </c>
      <c r="FP379" s="1678" t="e">
        <f>VLOOKUP(CONCATENATE(FL379," ",FN379),Lookup!AY$102:AZ389,2,FALSE)</f>
        <v>#N/A</v>
      </c>
      <c r="FQ379" s="1678">
        <f>IF(__Retrofit_TI_NC=0,FN379,IF(AND(FT379&gt;0,FN379="Occupancy Sensor"),"Daylight + Occupancy",IF(AND(FT379&gt;0,VLOOKUP(FN379,_Control_Table,2,FALSE)&lt;4),"Interior Daylight Dimming",FN379)))</f>
        <v>0</v>
      </c>
      <c r="FS379" s="1686">
        <f>IF(CR379="Interior",VLOOKUP(CS379,Control_Savings_Interior,5,FALSE),0)</f>
        <v>0</v>
      </c>
      <c r="FT379" s="1687">
        <f>IF(CQ379="Exterior",0,IF(FM379=2,0.5,IF(OR(FM379=1,FM379=3),1,0)))</f>
        <v>0</v>
      </c>
      <c r="FU379" s="1685">
        <f>IF(R378&gt;FS$44,(FS379*(FS$44/R378)),FS379)*FT379</f>
        <v>0</v>
      </c>
      <c r="FV379" s="1686">
        <f>DI379</f>
        <v>0</v>
      </c>
      <c r="FW379" s="1686">
        <f>ROUND(FV379+((1-FV379)*FU379),2)</f>
        <v>0</v>
      </c>
      <c r="FX379" s="1686">
        <f>IF(__Retrofit_TI_NC=2,FW379,FV379)</f>
        <v>0</v>
      </c>
      <c r="FY379" s="1697"/>
      <c r="GA379" s="1696" t="str">
        <f>IFERROR(VLOOKUP(U380,_Exist_Fixture_Table,3,FALSE),"")</f>
        <v/>
      </c>
      <c r="GB379" s="1696" t="str">
        <f>VLOOKUP(CW379,_Exist_Fixture_Table,4,FALSE)</f>
        <v/>
      </c>
      <c r="GC379" s="1696">
        <f>IFERROR(VLOOKUP(GB379,Lookup!AT$6:AU$8,2,FALSE),0)</f>
        <v>0</v>
      </c>
      <c r="GD379" s="1696" t="b">
        <f>IFERROR(IF(OR(GF379=4,GF379=5,GF379=6),TRUE,FALSE),"")</f>
        <v>0</v>
      </c>
      <c r="GE379" s="1696" t="str">
        <f>IFERROR(VLOOKUP(GF379,GC$6:GD$10,2,FALSE),"")</f>
        <v/>
      </c>
      <c r="GF379" s="1696" t="str">
        <f>VLOOKUP(CW381,Fixtures!R$31:Y$78,8,FALSE)</f>
        <v/>
      </c>
      <c r="GG379" s="1696">
        <f>IF(AND(GA379=TRUE,GD379=TRUE,OR(DQ379=12,DQ379=13,DQ379=14)),GC379+8,0)</f>
        <v>0</v>
      </c>
      <c r="GH379" s="1696" t="b">
        <f>IF(OR(GG379=12,GG379=13,GG379=14),TRUE,FALSE)</f>
        <v>0</v>
      </c>
      <c r="GI379" s="673" t="b">
        <f>IF(ISNUMBER(SEARCH("TLED",U380)),TRUE,FALSE)</f>
        <v>0</v>
      </c>
      <c r="GJ379" s="1135" t="str">
        <f>IFERROR(VLOOKUP(U380,Fixtures!BM$93:BR$142,6,FALSE),"")</f>
        <v/>
      </c>
      <c r="GK379" s="1832" t="b">
        <f>IF(OR(GI379=FALSE,GI381=FALSE),TRUE,IF(GJ379-GJ381&lt;5,FALSE,TRUE))</f>
        <v>1</v>
      </c>
      <c r="GO379" s="674">
        <f>GP379</f>
        <v>0</v>
      </c>
      <c r="GP379" s="674">
        <f>IF(G379="",0,1)</f>
        <v>0</v>
      </c>
      <c r="GQ379" s="674">
        <f ca="1">SUM(GR379:HF379)</f>
        <v>2</v>
      </c>
      <c r="GR379" s="674">
        <f>IF(G380="",0,1)</f>
        <v>0</v>
      </c>
      <c r="GS379" s="674">
        <f>IF(N382="BAM",1,IF(G381="",0,1))</f>
        <v>0</v>
      </c>
      <c r="GT379" s="674">
        <f>IF(N382="BAM",1,IF(R380="",0,1))</f>
        <v>0</v>
      </c>
      <c r="GU379" s="674">
        <f>IF(N382="BAM",1,IF(__Retrofit_TI_NC=0,1,IF(R381="",0,1)))</f>
        <v>1</v>
      </c>
      <c r="GV379" s="674">
        <f>IF(N382="BAM",1,IF(CQ379="Exterior",1,IF(G382="",0,1)))</f>
        <v>1</v>
      </c>
      <c r="GW379" s="674">
        <f>IF(__Retrofit_TI_NC&gt;0,1,IF(T380="",0,1))</f>
        <v>0</v>
      </c>
      <c r="GX379" s="674">
        <f>IF(__Retrofit_TI_NC&gt;0,1,IF(U380="",0,1))</f>
        <v>0</v>
      </c>
      <c r="GY379" s="674">
        <f>IF(N382="BAM",1,IF(T381="",0,1))</f>
        <v>0</v>
      </c>
      <c r="GZ379" s="674">
        <f>IF(N382="BAM",1,IF(U381="",0,1))</f>
        <v>0</v>
      </c>
      <c r="HA379" s="674">
        <f ca="1">IF(N382="BAM",1,IF(__Retrofit_TI_NC&gt;0,1,IF(U382="",0,1)))</f>
        <v>0</v>
      </c>
      <c r="HB379" s="674">
        <f>IF(__Retrofit_TI_NC&lt;&gt;0,1,IF(AF380="",0,1))</f>
        <v>0</v>
      </c>
      <c r="HC379" s="674">
        <f>IF(__Retrofit_TI_NC&lt;&gt;0,1,IF(AG380="",0,1))</f>
        <v>0</v>
      </c>
      <c r="HD379" s="674">
        <f>IF(N382="BAM",1,IF(AF381="",0,1))</f>
        <v>0</v>
      </c>
      <c r="HE379" s="674">
        <f>IF(N382="BAM",1,IF(AG381="",0,1))</f>
        <v>0</v>
      </c>
      <c r="HF379" s="674">
        <f>IF(N382="BAM",1,IF(__Retrofit_TI_NC&gt;0,1,IF(AG382="",0,1)))</f>
        <v>0</v>
      </c>
      <c r="HG379" s="391"/>
      <c r="IA379" s="391"/>
      <c r="IB379" s="1693" t="b">
        <f>IF(OR(IB382=0,IB382=HY$16,IB382=HX$16,IB382=HZ$16),TRUE,FALSE)</f>
        <v>0</v>
      </c>
      <c r="IC379" s="1694" t="b">
        <f>IB379</f>
        <v>0</v>
      </c>
      <c r="ID379" s="391"/>
      <c r="IE379" s="391"/>
      <c r="IF379" s="1688" t="b">
        <f ca="1">IF(MAX(GN382:HU382)&gt;5,FALSE,TRUE)</f>
        <v>0</v>
      </c>
      <c r="IG379" s="1689">
        <f ca="1">IF(IF379=TRUE,AC379,0)</f>
        <v>0</v>
      </c>
      <c r="IH379" s="1689">
        <f ca="1">IG379-IG381</f>
        <v>0</v>
      </c>
      <c r="IK379" s="1689" t="e">
        <f>ROUND(T380*VLOOKUP(U380,Fixtures_Existing_List,2,FALSE)*N380*R380/1000,0)</f>
        <v>#N/A</v>
      </c>
      <c r="IL379" s="1690" t="e">
        <f>IK379-IK381</f>
        <v>#N/A</v>
      </c>
      <c r="IM379" s="1693" t="e">
        <f>ROUND(IF(CQ379="Interior",N381*R381*R380*N380*_C406_reduction/1000,N381*R381*R380*N380/1000),0)</f>
        <v>#N/A</v>
      </c>
      <c r="IN379" s="1693" t="e">
        <f>IM379-IM381</f>
        <v>#N/A</v>
      </c>
      <c r="IP379" s="1679"/>
      <c r="IQ379" s="1679" t="e">
        <f t="shared" ref="IQ379:IU379" si="336">IF($CR379="interior",VLOOKUP($CS379,_New_Control_Savings_Interior,IQ$30,FALSE),VLOOKUP($CS379,Control_Savings_Exterior,IQ$30,FALSE))</f>
        <v>#N/A</v>
      </c>
      <c r="IR379" s="1679" t="e">
        <f t="shared" si="336"/>
        <v>#N/A</v>
      </c>
      <c r="IS379" s="1679" t="e">
        <f t="shared" si="336"/>
        <v>#N/A</v>
      </c>
      <c r="IT379" s="1679" t="e">
        <f t="shared" si="336"/>
        <v>#N/A</v>
      </c>
      <c r="IU379" s="1679" t="e">
        <f t="shared" si="336"/>
        <v>#N/A</v>
      </c>
      <c r="IV379" s="1679" t="e">
        <f>IF($CR379="interior",IF(R380&gt;$IP$14,ROUND(($IV$18*($IP$14/R380)),2),$IV$18),VLOOKUP($CS379,Control_Savings_Exterior,IV$30,FALSE))</f>
        <v>#N/A</v>
      </c>
      <c r="IW379" s="1679" t="e">
        <f>IF($CR379="interior",ROUND(((1-IS379)*IV379)+IS379,2),VLOOKUP($CS379,Control_Savings_Exterior,IW$30,FALSE))</f>
        <v>#N/A</v>
      </c>
      <c r="IX379" s="1679" t="e">
        <f>IF($CR379="interior",ROUND(((1-IT379)*IV379)+IT379,2),VLOOKUP($CS379,Control_Savings_Exterior,IX$30,FALSE))</f>
        <v>#N/A</v>
      </c>
      <c r="IY379" s="1679" t="e">
        <f>IF($CR379="interior",IF(R380&gt;$IP$14,ROUND(($IY$18*($IP$14/R380)),2),$IY$18),VLOOKUP($CS379,Control_Savings_Exterior,IY$30,FALSE))</f>
        <v>#N/A</v>
      </c>
      <c r="IZ379" s="1679" t="e">
        <f>IF($CR379="interior",ROUND(((1-IS379)*IY379)+IS379,2),VLOOKUP($CS379,Control_Savings_Exterior,IZ$30,FALSE))</f>
        <v>#N/A</v>
      </c>
      <c r="JA379" s="1679" t="e">
        <f>IF($CR379="interior",ROUND(((1-IT379)*IY379)+IT379,2),VLOOKUP($CS379,Control_Savings_Exterior,JA$30,FALSE))</f>
        <v>#N/A</v>
      </c>
      <c r="JC379" s="1680">
        <f>IFERROR(IF(CR379="Interior",CONCATENATE(G382," ",FQ379),FQ379),"")</f>
        <v>0</v>
      </c>
      <c r="JD379" s="1670" t="str">
        <f>IFERROR(VLOOKUP(JC379,_Controls_2023,2,FALSE),"")</f>
        <v/>
      </c>
      <c r="JE379" s="1681">
        <f>IFERROR(CHOOSE(JD379-1,IQ379,IR379,IS379,IT379,IU379,IV379,IW379,IX379,IY379,IZ379,JA379),0)</f>
        <v>0</v>
      </c>
      <c r="JG379" s="1680" t="str">
        <f>FE379</f>
        <v xml:space="preserve"> - 0</v>
      </c>
      <c r="JH379" s="1670" t="e">
        <f>$FO379</f>
        <v>#N/A</v>
      </c>
      <c r="JI379" s="1060"/>
      <c r="JJ379" s="1682" t="b">
        <f>IF($JG381=CONCATENATE("Interior - ",JJ$4),TRUE,FALSE)</f>
        <v>0</v>
      </c>
      <c r="JK379" s="1061"/>
      <c r="JL379" s="1682" t="b">
        <f>IF($JG381=CONCATENATE("Interior - ",JL$4),TRUE,FALSE)</f>
        <v>0</v>
      </c>
      <c r="JM379" s="1061"/>
      <c r="JN379" s="1682" t="b">
        <f>IF($JG381=CONCATENATE("Interior - ",JN$4),TRUE,FALSE)</f>
        <v>0</v>
      </c>
      <c r="JO379" s="1061"/>
      <c r="JP379" s="1682" t="b">
        <f>IF(__Retrofit_TI_NC&gt;0,FALSE,IF($JG381=CONCATENATE("Interior - ",JP$4),TRUE,FALSE))</f>
        <v>0</v>
      </c>
      <c r="JQ379" s="1061"/>
      <c r="JR379" s="1682" t="b">
        <f>IF(__Retrofit_TI_NC&gt;0,FALSE,IF($JG381=CONCATENATE("Interior - ",JR$4),TRUE,FALSE))</f>
        <v>0</v>
      </c>
      <c r="JS379" s="1061"/>
      <c r="JT379" s="1670" t="b">
        <f>IF(__Retrofit_TI_NC&gt;0,FALSE,IF($JG381=CONCATENATE("Interior - ",JT$4),TRUE,FALSE))</f>
        <v>0</v>
      </c>
      <c r="JU379" s="1061"/>
      <c r="JV379" s="1670" t="b">
        <f>IF(JC381="AELC on Existing",TRUE,FALSE)</f>
        <v>0</v>
      </c>
      <c r="JX379" s="1670" t="b">
        <f>IF(OR(JG381="Exterior - AELC Occupancy based",JG381="Exterior - AELC Time based"),TRUE,FALSE)</f>
        <v>0</v>
      </c>
      <c r="JZ379" s="1682" t="b">
        <f>IF($JG381=CONCATENATE("Exterior - ",JZ$4),TRUE,FALSE)</f>
        <v>0</v>
      </c>
      <c r="KB379" s="1670" t="b">
        <f>IF(__Retrofit_TI_NC&gt;0,FALSE,IF($JG381=CONCATENATE("Interior - ",KB$4),TRUE,FALSE))</f>
        <v>0</v>
      </c>
    </row>
    <row r="380" spans="1:288" s="78" customFormat="1" ht="14.95" customHeight="1" thickTop="1" thickBot="1">
      <c r="B380" s="1845"/>
      <c r="C380" s="1846"/>
      <c r="D380" s="1847"/>
      <c r="E380" s="1737" t="s">
        <v>297</v>
      </c>
      <c r="F380" s="1738"/>
      <c r="G380" s="1739"/>
      <c r="H380" s="1739"/>
      <c r="I380" s="1739"/>
      <c r="J380" s="1739"/>
      <c r="K380" s="1739"/>
      <c r="L380" s="1739"/>
      <c r="M380" s="461" t="e">
        <f>IF(__Retrofit_TI_NC&lt;&gt;0,IF(VLOOKUP(G381,'Space Table'!$B$3:$L$163,3,FALSE)&gt;0,1,0),IF(__Retrofit_TI_NC=VLOOKUP(G381,'Space Table'!$B$3:$L$163,3,FALSE),1,0))</f>
        <v>#N/A</v>
      </c>
      <c r="N380" s="461" t="str">
        <f>IFERROR(VLOOKUP(G380,_Lookup_Heat_Type_Table_New,2,FALSE),"")</f>
        <v/>
      </c>
      <c r="O380" s="461">
        <f>IF(__Retrofit_TI_NC=1,CONCATENATE("TI ",G380),IF(__Retrofit_TI_NC=2,CONCATENATE("NC ",G380),G380))</f>
        <v>0</v>
      </c>
      <c r="P380" s="1740" t="s">
        <v>435</v>
      </c>
      <c r="Q380" s="1740"/>
      <c r="R380" s="595"/>
      <c r="S380" s="1792"/>
      <c r="T380" s="597"/>
      <c r="U380" s="1765"/>
      <c r="V380" s="1766"/>
      <c r="W380" s="1766"/>
      <c r="X380" s="1766"/>
      <c r="Y380" s="1766"/>
      <c r="Z380" s="1766"/>
      <c r="AA380" s="1766"/>
      <c r="AB380" s="1766"/>
      <c r="AC380" s="1766"/>
      <c r="AD380" s="1767"/>
      <c r="AE380" s="1000"/>
      <c r="AF380" s="597"/>
      <c r="AG380" s="1723"/>
      <c r="AH380" s="1724"/>
      <c r="AI380" s="1724"/>
      <c r="AJ380" s="1724"/>
      <c r="AK380" s="1725"/>
      <c r="AL380" s="996"/>
      <c r="AM380" s="1747"/>
      <c r="AN380" s="1775"/>
      <c r="AO380" s="1777"/>
      <c r="AP380" s="1780"/>
      <c r="AQ380" s="1781"/>
      <c r="AR380" s="1795"/>
      <c r="AS380" s="1795"/>
      <c r="AT380" s="1796"/>
      <c r="AU380" s="1735"/>
      <c r="AV380" s="1752"/>
      <c r="AW380" s="1705"/>
      <c r="AX380" s="467"/>
      <c r="AY380" s="1749"/>
      <c r="AZ380" s="1749"/>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696"/>
      <c r="CQ380" s="1696"/>
      <c r="CR380" s="1809"/>
      <c r="CS380" s="1811"/>
      <c r="CU380" s="1688"/>
      <c r="CV380" s="1703"/>
      <c r="CW380" s="1703"/>
      <c r="CX380" s="1703"/>
      <c r="CY380" s="1815"/>
      <c r="CZ380" s="1711"/>
      <c r="DA380" s="1818"/>
      <c r="DB380" s="1820"/>
      <c r="DC380" s="1820"/>
      <c r="DD380" s="1820"/>
      <c r="DF380" s="1703"/>
      <c r="DG380" s="1831"/>
      <c r="DH380" s="1703"/>
      <c r="DI380" s="1838"/>
      <c r="DJ380" s="1711"/>
      <c r="DK380" s="1712"/>
      <c r="DM380" s="1718"/>
      <c r="DO380" s="1708"/>
      <c r="DQ380" s="1715"/>
      <c r="DR380" s="1720"/>
      <c r="DS380" s="1816"/>
      <c r="DT380" s="1714"/>
      <c r="DU380" s="1715"/>
      <c r="DV380" s="1716"/>
      <c r="DX380" s="1715"/>
      <c r="DY380" s="1720"/>
      <c r="DZ380" s="1715"/>
      <c r="EA380" s="1715"/>
      <c r="EC380" s="1834"/>
      <c r="ED380" s="1834"/>
      <c r="EF380" s="1707"/>
      <c r="EG380" s="1712"/>
      <c r="EH380" s="1818"/>
      <c r="EI380" s="1712"/>
      <c r="EJ380" s="1712"/>
      <c r="EK380" s="1836"/>
      <c r="EL380" s="1836"/>
      <c r="EM380" s="1807"/>
      <c r="EN380" s="1839"/>
      <c r="EO380" s="1839"/>
      <c r="EP380" s="1817"/>
      <c r="EQ380" s="1817"/>
      <c r="ER380" s="1807"/>
      <c r="ES380" s="1807"/>
      <c r="ET380" s="1807"/>
      <c r="EV380" s="1715"/>
      <c r="EX380" s="1805"/>
      <c r="EY380" s="1805"/>
      <c r="EZ380" s="1805"/>
      <c r="FA380" s="1805"/>
      <c r="FB380" s="1805"/>
      <c r="FC380" s="1827"/>
      <c r="FE380" s="1698"/>
      <c r="FG380" s="1816"/>
      <c r="FH380" s="1816"/>
      <c r="FI380" s="133"/>
      <c r="FL380" s="1823"/>
      <c r="FM380" s="1825"/>
      <c r="FN380" s="1698"/>
      <c r="FO380" s="1698"/>
      <c r="FP380" s="1678"/>
      <c r="FQ380" s="1678"/>
      <c r="FS380" s="1687"/>
      <c r="FT380" s="1687"/>
      <c r="FU380" s="1685"/>
      <c r="FV380" s="1687"/>
      <c r="FW380" s="1687"/>
      <c r="FX380" s="1687"/>
      <c r="FY380" s="1697"/>
      <c r="GA380" s="1696"/>
      <c r="GB380" s="1696"/>
      <c r="GC380" s="1696"/>
      <c r="GD380" s="1696"/>
      <c r="GE380" s="1696"/>
      <c r="GF380" s="1696"/>
      <c r="GG380" s="1696"/>
      <c r="GH380" s="1696"/>
      <c r="GI380" s="673"/>
      <c r="GJ380" s="1135"/>
      <c r="GK380" s="1832"/>
      <c r="GM380" s="1693" t="b">
        <f ca="1">IF(AND(GP380=TRUE,GQ380=TRUE),TRUE,FALSE)</f>
        <v>0</v>
      </c>
      <c r="GN380" s="1684" t="b">
        <f>IFERROR(IF(__Retrofit_TI_NC=2,TRUE,IF(AU379="Yes",TRUE,FALSE)),FALSE)</f>
        <v>1</v>
      </c>
      <c r="GP380" s="1684" t="b">
        <f>IFERROR(IF(GP379=1,TRUE,FALSE),FALSE)</f>
        <v>0</v>
      </c>
      <c r="GQ380" s="1684" t="b">
        <f ca="1">IFERROR(IF(GQ379=GQ$14,TRUE,FALSE),FALSE)</f>
        <v>0</v>
      </c>
      <c r="HG380" s="1684" t="b">
        <f>IFERROR(IF(AND(__Retrofit_TI_NC&gt;0,CQ379="Interior"),FALSE,TRUE),FALSE)</f>
        <v>1</v>
      </c>
      <c r="HH380" s="1684" t="b">
        <f>IFERROR(IF(M380=1,TRUE,FALSE),FALSE)</f>
        <v>0</v>
      </c>
      <c r="HI380" s="1684" t="b">
        <f>IFERROR(IF(OR(M381=1,N382="BAM"),TRUE,FALSE),FALSE)</f>
        <v>0</v>
      </c>
      <c r="HJ380" s="1684" t="b">
        <f>IFERROR(IF(__Retrofit_TI_NC&lt;&gt;0,TRUE,IFERROR(IF(VLOOKUP(U380,Fixtures_Existing_List,2,FALSE)&lt;&gt;"",TRUE,FALSE),FALSE)),FALSE)</f>
        <v>0</v>
      </c>
      <c r="HK380" s="1684" t="b">
        <f>IFERROR(IF(VLOOKUP(U381,Fixtures_Proposed_List,2,FALSE)&lt;&gt;"",TRUE,FALSE),FALSE)</f>
        <v>0</v>
      </c>
      <c r="HL380" s="1684" t="b">
        <f>IF(AND(__Retrofit_TI_NC=2,FC379=TRUE),FALSE,TRUE)</f>
        <v>1</v>
      </c>
      <c r="HM380" s="1684" t="b">
        <f>GK379</f>
        <v>1</v>
      </c>
      <c r="HN380" s="1682" t="b">
        <f>IF(ISERROR(MATCH(FE379,_Control_Match[],0))=TRUE,FALSE,TRUE)</f>
        <v>0</v>
      </c>
      <c r="HO380" s="1693" t="b">
        <f>IFERROR(IF(EX379&lt;&gt;EY379,FALSE,TRUE),FALSE)</f>
        <v>1</v>
      </c>
      <c r="HP380" s="1693" t="b">
        <f>IFERROR(IF(EX381&lt;&gt;EY381,FALSE,TRUE),FALSE)</f>
        <v>1</v>
      </c>
      <c r="HQ380" s="1670" t="b">
        <f>IFERROR(IF(CQ379="Exterior",TRUE,IF(AND(OR(FM381=0,FM381=3),JD381&gt;6),FALSE,TRUE)),FALSE)</f>
        <v>0</v>
      </c>
      <c r="HR380" s="1684" t="b">
        <f>IFERROR(IF(AND(FO381=7,FC379=TRUE),FALSE,TRUE),FALSE)</f>
        <v>0</v>
      </c>
      <c r="HS380" s="1684" t="b">
        <f>IFERROR(IF(AND(T381&lt;&gt;AF381,OR(AG381="Interior LLLC", AG381="Interior NLC", AG381="LLLC (outside Daylight)",AG381="LLLC Controls Only"))=TRUE,FALSE,TRUE),FALSE)</f>
        <v>1</v>
      </c>
      <c r="HT380" s="1670" t="b">
        <f>IFERROR(IF(OR(AG381=Lookup!BB$17,AG381=Lookup!BB$18,AG381=Lookup!BB$19)=TRUE,IF(AF381&gt;T381,FALSE,TRUE),TRUE),FALSE)</f>
        <v>1</v>
      </c>
      <c r="HU380" s="1684" t="b">
        <f>IFERROR(IF(__Retrofit_TI_NC=2,IF(EZ381&lt;EZ379,FALSE,TRUE),TRUE),FALSE)</f>
        <v>1</v>
      </c>
      <c r="HV380" s="1684" t="b">
        <f>IF(CQ379="Interior",IL$6,TRUE)</f>
        <v>1</v>
      </c>
      <c r="HW380" s="1684" t="b">
        <f>IF(CQ379="Exterior",IL$8,TRUE)</f>
        <v>1</v>
      </c>
      <c r="HX380" s="1684" t="b">
        <f>IFERROR(IF(__Retrofit_TI_NC&lt;&gt;0,IF(AZ379&lt;AY379,FALSE,TRUE),TRUE),FALSE)</f>
        <v>1</v>
      </c>
      <c r="HY380" s="1684" t="b">
        <f>IFERROR(IF(AND(G380="Exterior",R380&gt;4200),FALSE,TRUE),FALSE)</f>
        <v>1</v>
      </c>
      <c r="HZ380" s="1684" t="b">
        <f>IFERROR(IF(AB382/AB379&lt;HZ$18,FALSE,TRUE),FALSE)</f>
        <v>0</v>
      </c>
      <c r="IB380" s="1691"/>
      <c r="IC380" s="1695"/>
      <c r="ID380" s="1694" t="str">
        <f>VLOOKUP(IB382,_Error_Table,4,FALSE)</f>
        <v>White</v>
      </c>
      <c r="IE380" s="391"/>
      <c r="IF380" s="1688"/>
      <c r="IG380" s="1689"/>
      <c r="IH380" s="1684"/>
      <c r="IK380" s="1689"/>
      <c r="IL380" s="1691"/>
      <c r="IM380" s="1691"/>
      <c r="IN380" s="1691"/>
      <c r="IP380" s="1679"/>
      <c r="IQ380" s="1679"/>
      <c r="IR380" s="1679"/>
      <c r="IS380" s="1679"/>
      <c r="IT380" s="1679"/>
      <c r="IU380" s="1679"/>
      <c r="IV380" s="1679"/>
      <c r="IW380" s="1679"/>
      <c r="IX380" s="1679"/>
      <c r="IY380" s="1679"/>
      <c r="IZ380" s="1679"/>
      <c r="JA380" s="1679"/>
      <c r="JC380" s="1680"/>
      <c r="JD380" s="1670"/>
      <c r="JE380" s="1681"/>
      <c r="JG380" s="1680"/>
      <c r="JH380" s="1670"/>
      <c r="JI380" s="1060"/>
      <c r="JJ380" s="1683"/>
      <c r="JK380" s="1061"/>
      <c r="JL380" s="1683"/>
      <c r="JM380" s="1061"/>
      <c r="JN380" s="1683"/>
      <c r="JO380" s="1061"/>
      <c r="JP380" s="1683"/>
      <c r="JQ380" s="1061"/>
      <c r="JR380" s="1683"/>
      <c r="JS380" s="1061"/>
      <c r="JT380" s="1670"/>
      <c r="JU380" s="1061"/>
      <c r="JV380" s="1670"/>
      <c r="JX380" s="1670"/>
      <c r="JZ380" s="1683"/>
      <c r="KB380" s="1670"/>
    </row>
    <row r="381" spans="1:288" s="78" customFormat="1" ht="14.95" customHeight="1" thickTop="1" thickBot="1">
      <c r="A381" s="78">
        <f>ROW()</f>
        <v>381</v>
      </c>
      <c r="B381" s="1845"/>
      <c r="C381" s="1846"/>
      <c r="D381" s="1847"/>
      <c r="E381" s="1737" t="s">
        <v>298</v>
      </c>
      <c r="F381" s="1738"/>
      <c r="G381" s="1760"/>
      <c r="H381" s="1761"/>
      <c r="I381" s="1761"/>
      <c r="J381" s="1761"/>
      <c r="K381" s="1761"/>
      <c r="L381" s="1762"/>
      <c r="M381" s="461">
        <f>IFERROR(IF(IF(__Retrofit_TI_NC&lt;&gt;0,IF(CQ379="Interior",MATCH(G381,Lookup_Interior_New,0),MATCH(G381,Lookup_Exterior_New,0)),IF(CQ379="Interior",MATCH(G381,Lookup_Interior,0),MATCH(G381,Lookup_Exterior_Areas,0)))&gt;0,1,0),0)</f>
        <v>0</v>
      </c>
      <c r="N381" s="461" t="e">
        <f>IF(__Retrofit_TI_NC=1,
VLOOKUP(G381,'Space Table'!$B$3:$L$163,4,FALSE),
IF(__Retrofit_TI_NC=2,VLOOKUP(G381,'Space Table'!$B$3:$L$163,5,FALSE),VLOOKUP(G381,'Space Table'!$B$3:$L$163,5,FALSE)))</f>
        <v>#N/A</v>
      </c>
      <c r="O381" s="461">
        <f>G381</f>
        <v>0</v>
      </c>
      <c r="P381" s="1738" t="str">
        <f>IFERROR(IF(__Retrofit_TI_NC=1,VLOOKUP(G381,'Space Table'!$B$3:$O$163,13,FALSE),IF(__Retrofit_TI_NC=2,VLOOKUP(G381,'Space Table'!$B$3:$O$163,14,FALSE),"Area (sf):")),"Area (sf):")</f>
        <v>Area (sf):</v>
      </c>
      <c r="Q381" s="1738"/>
      <c r="R381" s="596"/>
      <c r="S381" s="1763" t="s">
        <v>345</v>
      </c>
      <c r="T381" s="594"/>
      <c r="U381" s="1801"/>
      <c r="V381" s="1802"/>
      <c r="W381" s="1802"/>
      <c r="X381" s="1802"/>
      <c r="Y381" s="1802"/>
      <c r="Z381" s="1802"/>
      <c r="AA381" s="1802"/>
      <c r="AB381" s="1802"/>
      <c r="AC381" s="1802"/>
      <c r="AD381" s="1802"/>
      <c r="AE381" s="1803"/>
      <c r="AF381" s="594"/>
      <c r="AG381" s="1787"/>
      <c r="AH381" s="1787"/>
      <c r="AI381" s="1787"/>
      <c r="AJ381" s="1787"/>
      <c r="AK381" s="1787"/>
      <c r="AL381" s="1787"/>
      <c r="AM381" s="1726">
        <f>IFERROR(DI381,"")</f>
        <v>0</v>
      </c>
      <c r="AN381" s="1728" t="str">
        <f>IFERROR(ROUND(AM381*AC382,0),"")</f>
        <v/>
      </c>
      <c r="AO381" s="1730">
        <f>IFERROR(IF(IB379=FALSE,0,AC382-AN381),0)</f>
        <v>0</v>
      </c>
      <c r="AP381" s="1780"/>
      <c r="AQ381" s="1781"/>
      <c r="AR381" s="1795"/>
      <c r="AS381" s="1795"/>
      <c r="AT381" s="1796"/>
      <c r="AU381" s="1735"/>
      <c r="AV381" s="1752"/>
      <c r="AW381" s="1705"/>
      <c r="AX381" s="467"/>
      <c r="AY381" s="1749"/>
      <c r="AZ381" s="1749"/>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696"/>
      <c r="CQ381" s="1696"/>
      <c r="CR381" s="1808" t="str">
        <f>CQ379</f>
        <v/>
      </c>
      <c r="CS381" s="1810" t="str">
        <f>CS379</f>
        <v/>
      </c>
      <c r="CU381" s="1688" t="s">
        <v>345</v>
      </c>
      <c r="CV381" s="1702">
        <f>IF(IB379=TRUE,T381,0)</f>
        <v>0</v>
      </c>
      <c r="CW381" s="1702" t="str">
        <f>IF(IB379=TRUE,U381,"")</f>
        <v/>
      </c>
      <c r="CX381" s="1812">
        <f>IF(IB379=TRUE,U382,0)</f>
        <v>0</v>
      </c>
      <c r="CY381" s="1814">
        <f>IF(IB379=TRUE,AB382,0)</f>
        <v>0</v>
      </c>
      <c r="CZ381" s="1710">
        <f>IF(AND(__Retrofit_TI_NC&gt;0,CR379="interior"),0,IF(IB379=TRUE,AC382,0))</f>
        <v>0</v>
      </c>
      <c r="DA381" s="1818"/>
      <c r="DB381" s="1820"/>
      <c r="DC381" s="1820"/>
      <c r="DD381" s="1820"/>
      <c r="DF381" s="1702">
        <f>IF(IB379=TRUE,AF381,0)</f>
        <v>0</v>
      </c>
      <c r="DG381" s="1830" t="str">
        <f>IF(IB379=TRUE,AG381,"")</f>
        <v/>
      </c>
      <c r="DH381" s="1812">
        <f>AG382</f>
        <v>0</v>
      </c>
      <c r="DI381" s="1837">
        <f>JE381</f>
        <v>0</v>
      </c>
      <c r="DJ381" s="1710">
        <f>IF(AND(__Retrofit_TI_NC&gt;0,CR379="interior"),0,IF(IB379=TRUE,AN381,0))</f>
        <v>0</v>
      </c>
      <c r="DK381" s="1712"/>
      <c r="DN381" s="1717">
        <f>IFERROR(CZ381-DJ381,0)</f>
        <v>0</v>
      </c>
      <c r="DO381" s="1709"/>
      <c r="DQ381" s="1715"/>
      <c r="DR381" s="1719" t="str">
        <f>DQ379</f>
        <v/>
      </c>
      <c r="DS381" s="1816"/>
      <c r="DT381" s="1835" t="str">
        <f>IF(OR(DS379=7,DS379=8,DS379=9),"ALC","")</f>
        <v/>
      </c>
      <c r="DU381" s="1715"/>
      <c r="DV381" s="1716"/>
      <c r="DX381" s="1715"/>
      <c r="DY381" s="1829" t="str">
        <f>DX379</f>
        <v/>
      </c>
      <c r="DZ381" s="1715"/>
      <c r="EA381" s="1715"/>
      <c r="EC381" s="1834"/>
      <c r="ED381" s="1834"/>
      <c r="EF381" s="1707"/>
      <c r="EG381" s="1712"/>
      <c r="EH381" s="1818"/>
      <c r="EI381" s="1712"/>
      <c r="EJ381" s="1712"/>
      <c r="EK381" s="1836"/>
      <c r="EL381" s="1836"/>
      <c r="EM381" s="1807"/>
      <c r="EN381" s="1839"/>
      <c r="EO381" s="1839"/>
      <c r="EP381" s="1817"/>
      <c r="EQ381" s="1817"/>
      <c r="ER381" s="1807"/>
      <c r="ES381" s="1807"/>
      <c r="ET381" s="1807"/>
      <c r="EV381" s="1715"/>
      <c r="EX381" s="1805" t="str">
        <f>IFERROR(VLOOKUP(CS381,'Space Table'!$B$3:$L$163,8,FALSE),"")</f>
        <v/>
      </c>
      <c r="EY381" s="1805" t="str">
        <f>IFERROR(IF(FB381="Yes",VLOOKUP(AG381,Lookup_Control_Type_Table2,4,FALSE),VLOOKUP(AG381,Lookup_Control_Type_Table2,3,FALSE)),"")</f>
        <v/>
      </c>
      <c r="EZ381" s="1805" t="e">
        <f>VLOOKUP(AG381,Lookup!BB$3:BC$20,2,FALSE)</f>
        <v>#N/A</v>
      </c>
      <c r="FA381" s="1805" t="e">
        <f>VLOOKUP(EX379,Lookup_Control_Type_Table,2,FALSE)</f>
        <v>#N/A</v>
      </c>
      <c r="FB381" s="1805" t="e">
        <f>VLOOKUP(CS381,'Space Table'!$B$3:$L$163,7,FALSE)</f>
        <v>#N/A</v>
      </c>
      <c r="FC381" s="1827"/>
      <c r="FE381" s="1698" t="str">
        <f>CONCATENATE(CQ379," - ",AG381)</f>
        <v xml:space="preserve"> - </v>
      </c>
      <c r="FG381" s="1816"/>
      <c r="FH381" s="1816"/>
      <c r="FI381" s="133"/>
      <c r="FL381" s="1822" t="str">
        <f>IF(CQ379="Exterior","Not Daylighted",G382)</f>
        <v>Not Daylighted</v>
      </c>
      <c r="FM381" s="1824">
        <f>VLOOKUP(FL381,_New_Daylight_Table_Codes,2,FALSE)</f>
        <v>0</v>
      </c>
      <c r="FN381" s="1698">
        <f>AG381</f>
        <v>0</v>
      </c>
      <c r="FO381" s="1698" t="e">
        <f>VLOOKUP(FN381,_Control_Table,2,FALSE)</f>
        <v>#N/A</v>
      </c>
      <c r="FP381" s="1678" t="e">
        <f>VLOOKUP(CONCATENATE(FL381," ",FN381),Lookup!AY$102:AZ392,2,FALSE)</f>
        <v>#N/A</v>
      </c>
      <c r="FQ381" s="1698">
        <f>IF(__Retrofit_TI_NC=0,FN381,IF(AND(FT381&gt;0,FN381="Occupancy Sensor"),"Daylight + Occupancy",IF(AND(FT381&gt;0,FO381&lt;4),"Interior Daylight Dimming",FN381)))</f>
        <v>0</v>
      </c>
      <c r="FS381" s="1686">
        <f>IF(CQ379="Interior",VLOOKUP(CS379,Control_Savings_Interior,5,FALSE),0)</f>
        <v>0</v>
      </c>
      <c r="FT381" s="1687">
        <f>IF(CQ381="Exterior",0,IF(FM381=2,0.5,IF(OR(FM381=1,FM381=3),1,0)))</f>
        <v>0</v>
      </c>
      <c r="FU381" s="1685">
        <f>IF(R380&gt;FS$44,(FS381*(FS$44/R380)),FS381)*FT381</f>
        <v>0</v>
      </c>
      <c r="FV381" s="1686">
        <f>DI381</f>
        <v>0</v>
      </c>
      <c r="FW381" s="1686">
        <f>ROUND(FV381+((1-FV381)*FU381),2)</f>
        <v>0</v>
      </c>
      <c r="FX381" s="1686">
        <f>IF(__Retrofit_TI_NC=2,FW381,FV381)</f>
        <v>0</v>
      </c>
      <c r="FY381" s="1697">
        <f>IF(CR381="Interior",VLOOKUP(CS381,Control_Savings_Interior,4,FALSE),0)</f>
        <v>0</v>
      </c>
      <c r="GA381" s="1696"/>
      <c r="GB381" s="1696"/>
      <c r="GC381" s="1696"/>
      <c r="GD381" s="1696"/>
      <c r="GE381" s="1696"/>
      <c r="GF381" s="1696"/>
      <c r="GG381" s="1696"/>
      <c r="GH381" s="1696"/>
      <c r="GI381" s="673" t="b">
        <f>IF(ISNUMBER(SEARCH("TLED",U381)),TRUE,FALSE)</f>
        <v>0</v>
      </c>
      <c r="GJ381" s="1135" t="str">
        <f>IFERROR(VLOOKUP(U381,Fixtures!DM$93:DR$142,6,FALSE),"")</f>
        <v/>
      </c>
      <c r="GK381" s="1832"/>
      <c r="GM381" s="1692"/>
      <c r="GN381" s="1684"/>
      <c r="GP381" s="1684"/>
      <c r="GQ381" s="1684"/>
      <c r="HG381" s="1684"/>
      <c r="HH381" s="1684"/>
      <c r="HI381" s="1684"/>
      <c r="HJ381" s="1684"/>
      <c r="HK381" s="1684"/>
      <c r="HL381" s="1684"/>
      <c r="HM381" s="1684"/>
      <c r="HN381" s="1683"/>
      <c r="HO381" s="1692"/>
      <c r="HP381" s="1692"/>
      <c r="HQ381" s="1670"/>
      <c r="HR381" s="1684"/>
      <c r="HS381" s="1684"/>
      <c r="HT381" s="1670"/>
      <c r="HU381" s="1684"/>
      <c r="HV381" s="1684"/>
      <c r="HW381" s="1684"/>
      <c r="HX381" s="1684"/>
      <c r="HY381" s="1684"/>
      <c r="HZ381" s="1684"/>
      <c r="IB381" s="1692"/>
      <c r="IC381" s="1693" t="b">
        <f>IB379</f>
        <v>0</v>
      </c>
      <c r="ID381" s="1695"/>
      <c r="IE381" s="391"/>
      <c r="IF381" s="1688"/>
      <c r="IG381" s="1689">
        <f ca="1">IF(IF379=TRUE,AC382,0)</f>
        <v>0</v>
      </c>
      <c r="IH381" s="1684"/>
      <c r="IK381" s="1689" t="e">
        <f>ROUND(T381*AB382*N380*R380/1000,0)</f>
        <v>#VALUE!</v>
      </c>
      <c r="IL381" s="1691"/>
      <c r="IM381" s="1693" t="e">
        <f>ROUND(T381*AB382*N380*R380/1000,0)</f>
        <v>#VALUE!</v>
      </c>
      <c r="IN381" s="1691"/>
      <c r="IP381" s="1679"/>
      <c r="IQ381" s="1679" t="e">
        <f t="shared" ref="IQ381:IU381" si="337">IF($CR381="interior",VLOOKUP($CS381,_New_Control_Savings_Interior,IQ$30,FALSE),VLOOKUP($CS381,Control_Savings_Exterior,IQ$30,FALSE))</f>
        <v>#N/A</v>
      </c>
      <c r="IR381" s="1679" t="e">
        <f t="shared" si="337"/>
        <v>#N/A</v>
      </c>
      <c r="IS381" s="1679" t="e">
        <f t="shared" si="337"/>
        <v>#N/A</v>
      </c>
      <c r="IT381" s="1679" t="e">
        <f t="shared" si="337"/>
        <v>#N/A</v>
      </c>
      <c r="IU381" s="1679" t="e">
        <f t="shared" si="337"/>
        <v>#N/A</v>
      </c>
      <c r="IV381" s="1679" t="e">
        <f>IF($CR381="interior",IF(R380&gt;$IP$14,ROUND(($IV$18*($IP$14/R380)),2),$IV$18),VLOOKUP($CS381,Control_Savings_Exterior,IV$30,FALSE))</f>
        <v>#N/A</v>
      </c>
      <c r="IW381" s="1679" t="e">
        <f>IF($CR381="interior",ROUND(((1-IS381)*IV381)+IS381,2),VLOOKUP($CS381,Control_Savings_Exterior,IW$30,FALSE))</f>
        <v>#N/A</v>
      </c>
      <c r="IX381" s="1679" t="e">
        <f>IF($CR381="interior",ROUND(((1-IT381)*IV381)+IT381,2),VLOOKUP($CS381,Control_Savings_Exterior,IX$30,FALSE))</f>
        <v>#N/A</v>
      </c>
      <c r="IY381" s="1679" t="e">
        <f>IF($CR381="interior",IF(R380&gt;$IP$14,ROUND(($IY$18*($IP$14/R380)),2),$IY$18),VLOOKUP($CS381,Control_Savings_Exterior,IY$30,FALSE))</f>
        <v>#N/A</v>
      </c>
      <c r="IZ381" s="1679" t="e">
        <f>IF($CR381="interior",ROUND(((1-IS381)*IY381)+IS381,2),VLOOKUP($CS381,Control_Savings_Exterior,IZ$30,FALSE))</f>
        <v>#N/A</v>
      </c>
      <c r="JA381" s="1679" t="e">
        <f>IF($CR381="interior",ROUND(((1-IT381)*IY381)+IT381,2),VLOOKUP($CS381,Control_Savings_Exterior,JA$30,FALSE))</f>
        <v>#N/A</v>
      </c>
      <c r="JC381" s="1680">
        <f>IFERROR(IF(CR381="Interior",CONCATENATE(G382," ",FQ381),AG381),"")</f>
        <v>0</v>
      </c>
      <c r="JD381" s="1670" t="str">
        <f>IFERROR(VLOOKUP(JC381,_Controls_2023,2,FALSE),"")</f>
        <v/>
      </c>
      <c r="JE381" s="1681">
        <f>IFERROR(CHOOSE(JD381-1,IQ381,IR381,IS381,IT381,IU381,IV381,IW381,IX381,IY381,IZ381,JA381),0)</f>
        <v>0</v>
      </c>
      <c r="JG381" s="1680" t="str">
        <f>FE381</f>
        <v xml:space="preserve"> - </v>
      </c>
      <c r="JH381" s="1670" t="e">
        <f>$FO381</f>
        <v>#N/A</v>
      </c>
      <c r="JI381" s="1060"/>
      <c r="JJ381" s="1670">
        <f>IFERROR(IF($IB379=TRUE,IF(OR(JJ$14="No",JJ379=FALSE,JH381&lt;=JH379,AND(_kWh_Grant=0,GD379=FALSE)),0,IF(JJ$8="Per Line",1,$AF381)),0),0)</f>
        <v>0</v>
      </c>
      <c r="JK381" s="1061"/>
      <c r="JL381" s="1670">
        <f>IFERROR(IF(_kWh_Grant=0,0,IF($IB379=TRUE,IF(OR(JL$14="No",JL379=FALSE,JH381&lt;=JH379),0,IF(JL$8="Per Line",1,$T381)),0)),0)</f>
        <v>0</v>
      </c>
      <c r="JM381" s="1061"/>
      <c r="JN381" s="1670">
        <f>IFERROR(IF(_kWh_Grant=0,0,IF($IB379=TRUE,IF(OR(JN$14="No",JN379=FALSE,JH381&lt;=JH379),0,IF(JN$8="Per Line",1,$AF381)),0)),0)</f>
        <v>0</v>
      </c>
      <c r="JO381" s="1061"/>
      <c r="JP381" s="1670">
        <f>IFERROR(IF(__Retrofit_TI_NC=0,IF(_kWh_Grant=0,0,IF($IB379=TRUE,IF(OR(JP$14="No",JP379=FALSE,$JH381&lt;=$JH379),0,IF(JP$8="Per Line",1,$AF381)),0)),IF($IB379=TRUE,IF(OR(JP$14="No",JP379=FALSE,$JH381&lt;=$JH379),0,IF(JP$8="Per Line",1,$AF381)))),0)</f>
        <v>0</v>
      </c>
      <c r="JQ381" s="1061"/>
      <c r="JR381" s="1670">
        <f>IFERROR(IF(__Retrofit_TI_NC=0,IF(_kWh_Grant=0,0,IF($IB379=TRUE,IF(OR(JR$14="No",JR379=FALSE,$JH381&lt;=$JH379),0,IF(JR$8="Per Line",1,$AF381)),0)),IF($IB379=TRUE,IF(OR(JR$14="No",JR379=FALSE,$JH381&lt;=$JH379),0,IF(JR$8="Per Line",1,$AF381)))),0)</f>
        <v>0</v>
      </c>
      <c r="JS381" s="1061"/>
      <c r="JT381" s="1670">
        <f>IFERROR(IF(__Retrofit_TI_NC=0,IF(_kWh_Grant=0,0,IF($IB379=TRUE,IF(OR(JT$14="No",JT379=FALSE,$JH381&lt;=$JH379),0,IF(JT$8="Per Line",1,$AF381)),0)),IF($IB379=TRUE,IF(OR(JT$14="No",JT379=FALSE,$JH381&lt;=$JH379),0,IF(JT$8="Per Line",1,$AF381)))),0)</f>
        <v>0</v>
      </c>
      <c r="JU381" s="1061"/>
      <c r="JV381" s="1670">
        <f>IFERROR(IF(__Retrofit_TI_NC=0,IF(_kWh_Grant=0,0,IF($IB379=TRUE,IF(OR(JV$14="No",JV379=FALSE,$JH381&lt;=$JH379),0,IF(JV$8="Per Line",1,$AF381)),0)),IF($IB379=TRUE,IF(OR(JV$14="No",JV379=FALSE,$JH381&lt;=$JH379),0,IF(JV$8="Per Line",1,$AF381)))),0)</f>
        <v>0</v>
      </c>
      <c r="JX381" s="1670">
        <f>IFERROR(IF(__Retrofit_TI_NC=0,IF(_kWh_Grant=0,0,IF($IB379=TRUE,IF(OR(JX$14="No",JX379=FALSE,$JH381&lt;=$JH379),0,IF(JX$8="Per Line",1,$AF381)),0)),IF($IB379=TRUE,IF(OR(JX$14="No",JX379=FALSE,$JH381&lt;=$JH379),0,IF(JX$8="Per Line",1,$AF381)))),0)</f>
        <v>0</v>
      </c>
      <c r="JZ381" s="1670">
        <f>IFERROR(IF($IB379=TRUE,IF(OR(JZ$14="No",JZ379=FALSE,$JH381&lt;=$JH379,AND(_kWh_Grant=0,$GD379=FALSE)),0,IF(JZ$8="Per Line",1,$AF381)),0),0)</f>
        <v>0</v>
      </c>
      <c r="KB381" s="1670">
        <f>IFERROR(IF(__Retrofit_TI_NC=0,IF(_kWh_Grant=0,0,IF($IB379=TRUE,IF(OR(KB$14="No",KB379=FALSE,$JH381&lt;=$JH379),0,IF(KB$8="Per Line",1,$AF381)),0)),IF($IB379=TRUE,IF(OR(KB$14="No",KB379=FALSE,$JH381&lt;=$JH379),0,IF(KB$8="Per Line",1,$AF381)))),0)</f>
        <v>0</v>
      </c>
    </row>
    <row r="382" spans="1:288" s="78" customFormat="1" ht="14.95" customHeight="1" thickTop="1" thickBot="1">
      <c r="B382" s="1845"/>
      <c r="C382" s="1846"/>
      <c r="D382" s="1847"/>
      <c r="E382" s="1771" t="s">
        <v>436</v>
      </c>
      <c r="F382" s="1772"/>
      <c r="G382" s="1784" t="s">
        <v>437</v>
      </c>
      <c r="H382" s="1785"/>
      <c r="I382" s="1785"/>
      <c r="J382" s="1785"/>
      <c r="K382" s="1785"/>
      <c r="L382" s="1786"/>
      <c r="M382" s="591">
        <f>IFERROR(VLOOKUP(G382,_Daylight_Table[],2,FALSE),0)</f>
        <v>0</v>
      </c>
      <c r="N382" s="592" t="str">
        <f>IF(AND(__Retrofit_TI_NC&gt;0,CQ379="Interior"),"BAM","")</f>
        <v/>
      </c>
      <c r="O382" s="591" t="e">
        <f>VLOOKUP(G381,'Space Table'!$B$3:$L$163,11,FALSE)</f>
        <v>#N/A</v>
      </c>
      <c r="P382" s="1789"/>
      <c r="Q382" s="1790"/>
      <c r="R382" s="1790"/>
      <c r="S382" s="1788"/>
      <c r="T382" s="593" t="s">
        <v>342</v>
      </c>
      <c r="U382" s="1756" t="str" cm="1">
        <f t="array" aca="1" ref="U382" ca="1">IFERROR(VLOOKUP(INDIRECT("U" &amp; ROW()-1),Fixtures!DM$93:DP$142,4,FALSE),"")</f>
        <v/>
      </c>
      <c r="V382" s="1757"/>
      <c r="W382" s="1757"/>
      <c r="X382" s="1757"/>
      <c r="Y382" s="1757"/>
      <c r="Z382" s="1757"/>
      <c r="AA382" s="1758"/>
      <c r="AB382" s="939" t="str">
        <f>IFERROR(VLOOKUP(U381,Fixtures_Proposed_List,2,FALSE),"")</f>
        <v/>
      </c>
      <c r="AC382" s="933" t="str">
        <f>IFERROR(ROUND(T381*AB382*N380*R380/1000,0),"")</f>
        <v/>
      </c>
      <c r="AD382" s="934" t="str">
        <f>IFERROR(ROUND(T381*AB382/1000,2),"")</f>
        <v/>
      </c>
      <c r="AE382" s="998"/>
      <c r="AF382" s="938" t="s">
        <v>342</v>
      </c>
      <c r="AG382" s="1770"/>
      <c r="AH382" s="1770"/>
      <c r="AI382" s="1770"/>
      <c r="AJ382" s="1770"/>
      <c r="AK382" s="1770"/>
      <c r="AL382" s="1770"/>
      <c r="AM382" s="1727"/>
      <c r="AN382" s="1729"/>
      <c r="AO382" s="1731"/>
      <c r="AP382" s="1782"/>
      <c r="AQ382" s="1783"/>
      <c r="AR382" s="1797"/>
      <c r="AS382" s="1797"/>
      <c r="AT382" s="1798"/>
      <c r="AU382" s="1736"/>
      <c r="AV382" s="1753"/>
      <c r="AW382" s="1706"/>
      <c r="AX382" s="468"/>
      <c r="AY382" s="1750"/>
      <c r="AZ382" s="1750"/>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696"/>
      <c r="CQ382" s="1696"/>
      <c r="CR382" s="1809"/>
      <c r="CS382" s="1811"/>
      <c r="CU382" s="1688"/>
      <c r="CV382" s="1703"/>
      <c r="CW382" s="1703"/>
      <c r="CX382" s="1813"/>
      <c r="CY382" s="1815"/>
      <c r="CZ382" s="1711"/>
      <c r="DA382" s="1815"/>
      <c r="DB382" s="1821"/>
      <c r="DC382" s="1821"/>
      <c r="DD382" s="1821"/>
      <c r="DF382" s="1703"/>
      <c r="DG382" s="1831"/>
      <c r="DH382" s="1813"/>
      <c r="DI382" s="1838"/>
      <c r="DJ382" s="1711"/>
      <c r="DK382" s="1712"/>
      <c r="DN382" s="1718"/>
      <c r="DO382" s="1709"/>
      <c r="DQ382" s="1715"/>
      <c r="DR382" s="1720"/>
      <c r="DS382" s="1703"/>
      <c r="DT382" s="1714"/>
      <c r="DU382" s="1715"/>
      <c r="DV382" s="1716"/>
      <c r="DX382" s="1715"/>
      <c r="DY382" s="1720"/>
      <c r="DZ382" s="1715"/>
      <c r="EA382" s="1715"/>
      <c r="EC382" s="1834"/>
      <c r="ED382" s="1834"/>
      <c r="EF382" s="1707"/>
      <c r="EG382" s="1712"/>
      <c r="EH382" s="1815"/>
      <c r="EI382" s="1712"/>
      <c r="EJ382" s="1712"/>
      <c r="EK382" s="1813"/>
      <c r="EL382" s="1813"/>
      <c r="EM382" s="1807"/>
      <c r="EN382" s="1839"/>
      <c r="EO382" s="1839"/>
      <c r="EP382" s="1817"/>
      <c r="EQ382" s="1817"/>
      <c r="ER382" s="1807"/>
      <c r="ES382" s="1807"/>
      <c r="ET382" s="1807"/>
      <c r="EV382" s="1715"/>
      <c r="EX382" s="1806"/>
      <c r="EY382" s="1806"/>
      <c r="EZ382" s="1806"/>
      <c r="FA382" s="1806"/>
      <c r="FB382" s="1806"/>
      <c r="FC382" s="1828"/>
      <c r="FE382" s="1698"/>
      <c r="FG382" s="1703"/>
      <c r="FH382" s="1703"/>
      <c r="FI382" s="133"/>
      <c r="FL382" s="1823"/>
      <c r="FM382" s="1825"/>
      <c r="FN382" s="1698"/>
      <c r="FO382" s="1698"/>
      <c r="FP382" s="1678"/>
      <c r="FQ382" s="1698"/>
      <c r="FS382" s="1687"/>
      <c r="FT382" s="1687"/>
      <c r="FU382" s="1685"/>
      <c r="FV382" s="1687"/>
      <c r="FW382" s="1687"/>
      <c r="FX382" s="1687"/>
      <c r="FY382" s="1697"/>
      <c r="GA382" s="1696"/>
      <c r="GB382" s="1696"/>
      <c r="GC382" s="1696"/>
      <c r="GD382" s="1696"/>
      <c r="GE382" s="1696"/>
      <c r="GF382" s="1696"/>
      <c r="GG382" s="1696"/>
      <c r="GH382" s="1696"/>
      <c r="GI382" s="673"/>
      <c r="GJ382" s="1135"/>
      <c r="GK382" s="1832"/>
      <c r="GN382" s="674">
        <f>IF(GN380=TRUE,0,GN$16)</f>
        <v>0</v>
      </c>
      <c r="GP382" s="674">
        <f>IF(GP380=TRUE,0,GP$16)</f>
        <v>36</v>
      </c>
      <c r="GQ382" s="674">
        <f ca="1">IF(GQ380=TRUE,0,GQ$16)</f>
        <v>35</v>
      </c>
      <c r="GR382" s="391"/>
      <c r="GS382" s="391"/>
      <c r="GT382" s="391"/>
      <c r="GU382" s="391"/>
      <c r="GV382" s="391"/>
      <c r="HG382" s="674">
        <f>IF(HG380=TRUE,0,HG$16)</f>
        <v>0</v>
      </c>
      <c r="HH382" s="674">
        <f t="shared" ref="HH382:HM382" si="338">IF(HH380=TRUE,0,HH$16)</f>
        <v>19</v>
      </c>
      <c r="HI382" s="674">
        <f t="shared" si="338"/>
        <v>18</v>
      </c>
      <c r="HJ382" s="674">
        <f t="shared" si="338"/>
        <v>17</v>
      </c>
      <c r="HK382" s="674">
        <f t="shared" si="338"/>
        <v>16</v>
      </c>
      <c r="HL382" s="674">
        <f t="shared" si="338"/>
        <v>0</v>
      </c>
      <c r="HM382" s="674">
        <f t="shared" si="338"/>
        <v>0</v>
      </c>
      <c r="HN382" s="674">
        <f>IF(HN380=TRUE,0,HN$16)</f>
        <v>13</v>
      </c>
      <c r="HO382" s="674">
        <f t="shared" ref="HO382:HQ382" si="339">IF(HO380=TRUE,0,HO$16)</f>
        <v>0</v>
      </c>
      <c r="HP382" s="674">
        <f t="shared" si="339"/>
        <v>0</v>
      </c>
      <c r="HQ382" s="674">
        <f t="shared" si="339"/>
        <v>10</v>
      </c>
      <c r="HR382" s="674">
        <f>IF(HR380=TRUE,0,HR$16)</f>
        <v>9</v>
      </c>
      <c r="HS382" s="674">
        <f t="shared" ref="HS382:HW382" si="340">IF(HS380=TRUE,0,HS$16)</f>
        <v>0</v>
      </c>
      <c r="HT382" s="674">
        <f t="shared" si="340"/>
        <v>0</v>
      </c>
      <c r="HU382" s="674">
        <f t="shared" si="340"/>
        <v>0</v>
      </c>
      <c r="HV382" s="674">
        <f t="shared" si="340"/>
        <v>0</v>
      </c>
      <c r="HW382" s="674">
        <f t="shared" si="340"/>
        <v>0</v>
      </c>
      <c r="HX382" s="674">
        <f>IF(HX380=TRUE,0,HX$16)</f>
        <v>0</v>
      </c>
      <c r="HY382" s="674">
        <f>IF(HY380=TRUE,0,HY$16)</f>
        <v>0</v>
      </c>
      <c r="HZ382" s="674">
        <f>IF(HZ380=TRUE,0,HZ$16)</f>
        <v>1</v>
      </c>
      <c r="IB382" s="674">
        <f>IF(GP380=FALSE,GP382,IF(GQ380=FALSE,GQ382,MAX(GN382:HZ382)))</f>
        <v>36</v>
      </c>
      <c r="IC382" s="1692"/>
      <c r="ID382" s="205" t="str">
        <f>VLOOKUP(IB382,_Error_Table,3,FALSE)</f>
        <v xml:space="preserve"> </v>
      </c>
      <c r="IE382" s="205"/>
      <c r="IF382" s="1688"/>
      <c r="IG382" s="1689"/>
      <c r="IH382" s="1684"/>
      <c r="IK382" s="1689"/>
      <c r="IL382" s="1692"/>
      <c r="IM382" s="1692"/>
      <c r="IN382" s="1692"/>
      <c r="IP382" s="1679"/>
      <c r="IQ382" s="1679"/>
      <c r="IR382" s="1679"/>
      <c r="IS382" s="1679"/>
      <c r="IT382" s="1679"/>
      <c r="IU382" s="1679"/>
      <c r="IV382" s="1679"/>
      <c r="IW382" s="1679"/>
      <c r="IX382" s="1679"/>
      <c r="IY382" s="1679"/>
      <c r="IZ382" s="1679"/>
      <c r="JA382" s="1679"/>
      <c r="JC382" s="1680"/>
      <c r="JD382" s="1670"/>
      <c r="JE382" s="1681"/>
      <c r="JG382" s="1680"/>
      <c r="JH382" s="1670"/>
      <c r="JI382" s="1060"/>
      <c r="JJ382" s="1670"/>
      <c r="JK382" s="1061"/>
      <c r="JL382" s="1670"/>
      <c r="JM382" s="1061"/>
      <c r="JN382" s="1670"/>
      <c r="JO382" s="1061"/>
      <c r="JP382" s="1670"/>
      <c r="JQ382" s="1061"/>
      <c r="JR382" s="1670"/>
      <c r="JS382" s="1061"/>
      <c r="JT382" s="1670"/>
      <c r="JU382" s="1061"/>
      <c r="JV382" s="1670"/>
      <c r="JX382" s="1670"/>
      <c r="JZ382" s="1670"/>
      <c r="KB382" s="1670"/>
    </row>
    <row r="383" spans="1:288" s="78" customFormat="1" ht="5.0999999999999996" customHeight="1">
      <c r="B383" s="676"/>
      <c r="C383" s="392"/>
      <c r="D383" s="392"/>
      <c r="E383" s="1733"/>
      <c r="F383" s="1733"/>
      <c r="G383" s="1733"/>
      <c r="H383" s="1733"/>
      <c r="I383" s="1733"/>
      <c r="J383" s="1733"/>
      <c r="K383" s="1733"/>
      <c r="L383" s="1733"/>
      <c r="M383" s="1733"/>
      <c r="N383" s="1733"/>
      <c r="O383" s="1733"/>
      <c r="P383" s="1733"/>
      <c r="Q383" s="1733"/>
      <c r="R383" s="1733"/>
      <c r="S383" s="1733"/>
      <c r="T383" s="1733"/>
      <c r="U383" s="1733"/>
      <c r="V383" s="1733"/>
      <c r="W383" s="1733"/>
      <c r="X383" s="1733"/>
      <c r="Y383" s="1733"/>
      <c r="Z383" s="1733"/>
      <c r="AA383" s="1733"/>
      <c r="AB383" s="1733"/>
      <c r="AC383" s="1733"/>
      <c r="AD383" s="1733"/>
      <c r="AE383" s="1733"/>
      <c r="AF383" s="1733"/>
      <c r="AG383" s="1733"/>
      <c r="AH383" s="1733"/>
      <c r="AI383" s="1733"/>
      <c r="AJ383" s="1733"/>
      <c r="AK383" s="1733"/>
      <c r="AL383" s="1733"/>
      <c r="AM383" s="1733"/>
      <c r="AN383" s="1733"/>
      <c r="AO383" s="1733"/>
      <c r="AP383" s="1733"/>
      <c r="AQ383" s="1733"/>
      <c r="AR383" s="1733"/>
      <c r="AS383" s="1733"/>
      <c r="AT383" s="1733"/>
      <c r="AU383" s="1733"/>
      <c r="AV383" s="1733"/>
      <c r="AW383" s="1733"/>
      <c r="AX383" s="469"/>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663"/>
      <c r="CQ383" s="663"/>
      <c r="CR383" s="438"/>
      <c r="CS383" s="663"/>
      <c r="CV383" s="391"/>
      <c r="CW383" s="391"/>
      <c r="CX383" s="207"/>
      <c r="CY383" s="208"/>
      <c r="CZ383" s="208"/>
      <c r="DA383" s="208"/>
      <c r="DB383" s="209"/>
      <c r="DC383" s="209"/>
      <c r="DD383" s="209"/>
      <c r="DF383" s="664"/>
      <c r="DG383" s="665"/>
      <c r="DH383" s="666"/>
      <c r="DI383" s="667"/>
      <c r="DJ383" s="668"/>
      <c r="DK383" s="668"/>
      <c r="DN383" s="208"/>
      <c r="DO383" s="664"/>
      <c r="DQ383" s="664"/>
      <c r="DR383" s="669"/>
      <c r="DS383" s="391"/>
      <c r="DT383" s="664"/>
      <c r="DU383" s="664"/>
      <c r="DV383" s="664"/>
      <c r="DX383" s="664"/>
      <c r="DY383" s="664"/>
      <c r="DZ383" s="664"/>
      <c r="EA383" s="664"/>
      <c r="EC383" s="670"/>
      <c r="ED383" s="670"/>
      <c r="EF383" s="668"/>
      <c r="EG383" s="668"/>
      <c r="EH383" s="208"/>
      <c r="EI383" s="668"/>
      <c r="EJ383" s="668"/>
      <c r="EK383" s="207"/>
      <c r="EL383" s="207"/>
      <c r="EM383" s="666"/>
      <c r="EN383" s="671"/>
      <c r="EO383" s="671"/>
      <c r="EP383" s="672"/>
      <c r="EQ383" s="672"/>
      <c r="ER383" s="666"/>
      <c r="ES383" s="666"/>
      <c r="ET383" s="666"/>
      <c r="EV383" s="664"/>
      <c r="EX383" s="391"/>
      <c r="EY383" s="391"/>
      <c r="EZ383" s="391"/>
      <c r="FA383" s="391"/>
      <c r="FB383" s="391"/>
      <c r="FC383" s="391"/>
      <c r="FE383" s="569"/>
      <c r="FG383" s="391"/>
      <c r="FH383" s="391"/>
      <c r="FI383" s="391"/>
      <c r="FS383" s="664"/>
      <c r="FT383" s="391"/>
      <c r="FU383" s="391"/>
      <c r="FV383" s="664"/>
      <c r="FW383" s="664"/>
      <c r="GA383" s="663"/>
      <c r="GB383" s="663"/>
      <c r="GC383" s="663"/>
      <c r="GD383" s="663"/>
      <c r="GE383" s="663"/>
      <c r="GF383" s="663"/>
      <c r="GG383" s="663"/>
      <c r="GH383" s="663"/>
      <c r="GI383" s="665"/>
      <c r="GJ383" s="664"/>
      <c r="GK383" s="664"/>
    </row>
    <row r="384" spans="1:288" s="78" customFormat="1" ht="14.95" customHeight="1">
      <c r="B384" s="1845" t="str">
        <f>ID387</f>
        <v xml:space="preserve"> </v>
      </c>
      <c r="C384" s="1846">
        <f>C379+1</f>
        <v>66</v>
      </c>
      <c r="D384" s="1847"/>
      <c r="E384" s="1799" t="s">
        <v>295</v>
      </c>
      <c r="F384" s="1800"/>
      <c r="G384" s="1741"/>
      <c r="H384" s="1742"/>
      <c r="I384" s="1742"/>
      <c r="J384" s="1742"/>
      <c r="K384" s="1742"/>
      <c r="L384" s="1742"/>
      <c r="M384" s="1742"/>
      <c r="N384" s="1742"/>
      <c r="O384" s="1742"/>
      <c r="P384" s="1742"/>
      <c r="Q384" s="1742"/>
      <c r="R384" s="1742"/>
      <c r="S384" s="1791" t="s">
        <v>344</v>
      </c>
      <c r="T384" s="590"/>
      <c r="U384" s="1743"/>
      <c r="V384" s="1744"/>
      <c r="W384" s="1744"/>
      <c r="X384" s="1744"/>
      <c r="Y384" s="1744"/>
      <c r="Z384" s="1744"/>
      <c r="AA384" s="1744"/>
      <c r="AB384" s="961" t="str">
        <f>IFERROR(IF(__Retrofit_TI_NC=0,VLOOKUP(U385,Fixtures_Existing_List,2,FALSE),ROUND(N386*R386/T386,10)),"")</f>
        <v/>
      </c>
      <c r="AC384" s="935" t="str">
        <f>IFERROR(IF(__Retrofit_TI_NC=0,ROUND(T385*AB384*N385*R385/1000,0),IF(CQ384="Interior",N386*R386*R385*N385*_C406_reduction/1000,N386*R386*R385*N385/1000)),"")</f>
        <v/>
      </c>
      <c r="AD384" s="936" t="str">
        <f>IFERROR(IF(C$43=0,ROUND(T385*AB384/1000,2),N386*R386/1000),"")</f>
        <v/>
      </c>
      <c r="AE384" s="997"/>
      <c r="AF384" s="937"/>
      <c r="AG384" s="1745" t="str">
        <f>IF(__Retrofit_TI_NC=0," Control","Select Advanced Control for New System")</f>
        <v xml:space="preserve"> Control</v>
      </c>
      <c r="AH384" s="1745"/>
      <c r="AI384" s="1745"/>
      <c r="AJ384" s="1745"/>
      <c r="AK384" s="1745"/>
      <c r="AL384" s="1745"/>
      <c r="AM384" s="1746">
        <f>IFERROR(DI384,"")</f>
        <v>0</v>
      </c>
      <c r="AN384" s="1774" t="str">
        <f>IFERROR(ROUND(AM384*AC384,0),"")</f>
        <v/>
      </c>
      <c r="AO384" s="1776">
        <f>IFERROR(IF(IB384=FALSE,0,AC384-AN384),0)</f>
        <v>0</v>
      </c>
      <c r="AP384" s="1778">
        <f>AO384-AO386</f>
        <v>0</v>
      </c>
      <c r="AQ384" s="1779"/>
      <c r="AR384" s="1793">
        <f>IFERROR(IF(IB384=FALSE,0,(T386*U387)+(AF386*AG387)),0)</f>
        <v>0</v>
      </c>
      <c r="AS384" s="1793"/>
      <c r="AT384" s="1794"/>
      <c r="AU384" s="1734" t="s">
        <v>237</v>
      </c>
      <c r="AV384" s="1751">
        <f>IF(AU384="Yes",1,0)</f>
        <v>1</v>
      </c>
      <c r="AW384" s="1704" t="str">
        <f>IF(OR(DQ384=4,DQ384=5,DQ384=6,DQ384=12),CONCATENATE("$",IF(GH384=TRUE,Lookup!$K$10,Lookup!$K$2)," /lamp"),CONCATENATE(TEXT(ED384,"$0.00"),"/ kWh"))</f>
        <v>$0.00/ kWh</v>
      </c>
      <c r="AX384" s="467"/>
      <c r="AY384" s="1748">
        <f ca="1">IFERROR(IF(GM385=TRUE,(AB387*T386)/R386,0),"NA")</f>
        <v>0</v>
      </c>
      <c r="AZ384" s="1748"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696" t="str">
        <f>N385</f>
        <v/>
      </c>
      <c r="CQ384" s="1696" t="str">
        <f>IFERROR(VLOOKUP(G385,_Lookup_Heat_Type_Table_New,3,FALSE),"")</f>
        <v/>
      </c>
      <c r="CR384" s="1808" t="str">
        <f>CQ384</f>
        <v/>
      </c>
      <c r="CS384" s="1810" t="str">
        <f>IFERROR(VLOOKUP(G386,'Space Table'!$B$3:$L$163,9,FALSE),"")</f>
        <v/>
      </c>
      <c r="CU384" s="1688" t="s">
        <v>344</v>
      </c>
      <c r="CV384" s="1702">
        <f>IF(IB384=TRUE,T385,0)</f>
        <v>0</v>
      </c>
      <c r="CW384" s="1702" t="str">
        <f>IF(IB384=TRUE,U385,"")</f>
        <v/>
      </c>
      <c r="CX384" s="1702"/>
      <c r="CY384" s="1814">
        <f>IF(IB384=TRUE,AB384,0)</f>
        <v>0</v>
      </c>
      <c r="CZ384" s="1710">
        <f>IF(AND(__Retrofit_TI_NC&gt;0,CR384="interior"),0,IF(IB384=TRUE,AC384,0))</f>
        <v>0</v>
      </c>
      <c r="DA384" s="1814">
        <f>IFERROR(IF(IB384=TRUE,CZ384-CZ386,0),0)</f>
        <v>0</v>
      </c>
      <c r="DB384" s="1819">
        <f>IF(IB384=TRUE,AD384,0)</f>
        <v>0</v>
      </c>
      <c r="DC384" s="1819">
        <f>IF(IB384=TRUE,AD387,0)</f>
        <v>0</v>
      </c>
      <c r="DD384" s="1819">
        <f>IFERROR(DB384-DC384,0)</f>
        <v>0</v>
      </c>
      <c r="DF384" s="1702">
        <f>IF(IB384=TRUE,AF385,0)</f>
        <v>0</v>
      </c>
      <c r="DG384" s="1830">
        <f>IFERROR(IF(__Retrofit_TI_NC=2,IF(CQ384="Exterior",O387,FQ384),FN384),"")</f>
        <v>0</v>
      </c>
      <c r="DH384" s="1702"/>
      <c r="DI384" s="1837">
        <f>JE384</f>
        <v>0</v>
      </c>
      <c r="DJ384" s="1710">
        <f>IF(AND(__Retrofit_TI_NC&gt;0,CR384="interior"),0,IF(IB384=TRUE,AN384,0))</f>
        <v>0</v>
      </c>
      <c r="DK384" s="1712">
        <f>IFERROR(IF(IB384=TRUE,DJ386-DJ384,0),0)</f>
        <v>0</v>
      </c>
      <c r="DM384" s="1717">
        <f>IFERROR(CZ384-DJ384,0)</f>
        <v>0</v>
      </c>
      <c r="DO384" s="1708">
        <f>DM384-DN386</f>
        <v>0</v>
      </c>
      <c r="DQ384" s="1715" t="str">
        <f>IFERROR(IF(AND(OR(GC384=4,GC384=5,GC384=6),OR(GF384=4,GF384=5,GF384=6)),GC384+8,VLOOKUP(CW386,Fixtures!R$31:Y$78,8,FALSE)),"")</f>
        <v/>
      </c>
      <c r="DR384" s="1829" t="str">
        <f>DQ384</f>
        <v/>
      </c>
      <c r="DS384" s="1702" t="str">
        <f>IFERROR(VLOOKUP(DG386,Lookup!BB$3:BC$20,2,FALSE),"")</f>
        <v/>
      </c>
      <c r="DT384" s="1713" t="str">
        <f>IF(OR(DS384=7,DS384=8,DS384=9),"ALC","")</f>
        <v/>
      </c>
      <c r="DU384" s="1715">
        <f>IFERROR(IF(OR(DQ384=4,DQ384=5,DQ384=6,DQ384=12,DQ384=13,DQ384=14),VLOOKUP(CW386,Fixtures!DN$27:EG$77,19,FALSE),1)*CV386,0)</f>
        <v>0</v>
      </c>
      <c r="DV384" s="1716">
        <f>IF(OR(DS384=7,DS384=8,DS384=9),IF(DG384=DG386,0,DF386),0)</f>
        <v>0</v>
      </c>
      <c r="DX384" s="1715" t="str">
        <f>IFERROR(IF(EZ384&lt;EZ386,"Yes","No"),"")</f>
        <v/>
      </c>
      <c r="DY384" s="1829" t="str">
        <f>DX384</f>
        <v/>
      </c>
      <c r="DZ384" s="1715">
        <f>IF(DX384="Yes",DF386,0)</f>
        <v>0</v>
      </c>
      <c r="EA384" s="1715">
        <f>DZ384-DV384</f>
        <v>0</v>
      </c>
      <c r="EC384" s="1834">
        <f>IFERROR(VLOOKUP(DQ384,Lookup!AU$3:AV$16,2,FALSE),0)</f>
        <v>0</v>
      </c>
      <c r="ED384" s="1834">
        <f>IF(IB384=FALSE,0,IF(DX384="Yes",EC384+Lookup!K$6,EC384))</f>
        <v>0</v>
      </c>
      <c r="EF384" s="1707">
        <f>IF(IB384=TRUE,DM384,0)</f>
        <v>0</v>
      </c>
      <c r="EG384" s="1712">
        <f>IF(IB384=TRUE,CZ386,0)</f>
        <v>0</v>
      </c>
      <c r="EH384" s="1814">
        <f>IFERROR(EF384-EG384,0)</f>
        <v>0</v>
      </c>
      <c r="EI384" s="1712">
        <f>IF(IB384=TRUE,DJ386,0)</f>
        <v>0</v>
      </c>
      <c r="EJ384" s="1712">
        <f>IFERROR(EF384-EG384+EI384,0)</f>
        <v>0</v>
      </c>
      <c r="EK384" s="1812">
        <f>IF(IB384=TRUE,CV386*CX386,0)</f>
        <v>0</v>
      </c>
      <c r="EL384" s="1812">
        <f>IF(IB384=TRUE,DF386*DH386,0)</f>
        <v>0</v>
      </c>
      <c r="EM384" s="1807">
        <f>AR384</f>
        <v>0</v>
      </c>
      <c r="EN384" s="1839" t="str">
        <f>IFERROR(IF(IB384=TRUE,VLOOKUP(DQ384,Lookup!AU$3:AW$16,3,FALSE)*DU384,""),0)</f>
        <v/>
      </c>
      <c r="EO384" s="1839">
        <f>IF(IB384=TRUE,DZ384*Lookup!AW$12,0)</f>
        <v>0</v>
      </c>
      <c r="EP384" s="1817">
        <f>IFERROR(IF(IB384=TRUE,EN384/EP$40,0),0)</f>
        <v>0</v>
      </c>
      <c r="EQ384" s="1817">
        <f>IF(IB384=TRUE,EO384/EQ$40,0)</f>
        <v>0</v>
      </c>
      <c r="ER384" s="1807">
        <f>IF(IB384=TRUE,ET$40*EP384,0)</f>
        <v>0</v>
      </c>
      <c r="ES384" s="1807">
        <f>IF(IB384=TRUE,ET$40*EQ384,0)</f>
        <v>0</v>
      </c>
      <c r="ET384" s="1807">
        <f>ER384+ES384</f>
        <v>0</v>
      </c>
      <c r="EV384" s="1715">
        <f>IF(G384="",0,1)</f>
        <v>0</v>
      </c>
      <c r="EX384" s="1804" t="str">
        <f>IFERROR(VLOOKUP(CS386,'Space Table'!$B$3:$L$163,8,FALSE),"")</f>
        <v/>
      </c>
      <c r="EY384" s="1804" t="str">
        <f>IFERROR(IF(FB384="Yes",VLOOKUP(DG384,Lookup_Control_Type_Table2,4,FALSE),VLOOKUP(DG384,Lookup_Control_Type_Table2,3,FALSE)),"")</f>
        <v/>
      </c>
      <c r="EZ384" s="1804" t="e">
        <f>VLOOKUP(DG384,Lookup!BB$3:BC$20,2,FALSE)</f>
        <v>#N/A</v>
      </c>
      <c r="FA384" s="1804" t="e">
        <f>VLOOKUP(EX384,Lookup_Control_Type_Table,2,FALSE)</f>
        <v>#N/A</v>
      </c>
      <c r="FB384" s="1804" t="e">
        <f>VLOOKUP(CS386,'Space Table'!$B$3:$L$163,7,FALSE)</f>
        <v>#N/A</v>
      </c>
      <c r="FC384" s="1826" t="b">
        <f>ISNUMBER(SEARCH("TLED",U386))</f>
        <v>0</v>
      </c>
      <c r="FE384" s="1698" t="str">
        <f>CONCATENATE(CQ384," - ",DG384)</f>
        <v xml:space="preserve"> - 0</v>
      </c>
      <c r="FG384" s="1702" t="str">
        <f>VLOOKUP(CW386,Fixtures!DN$27:EZ$77,38,FALSE)</f>
        <v/>
      </c>
      <c r="FH384" s="1702">
        <f>IFERROR(FG384*EH384,0)</f>
        <v>0</v>
      </c>
      <c r="FI384" s="133"/>
      <c r="FL384" s="1822" t="str">
        <f>IF(CQ384="Exterior","Not Daylighted",G387)</f>
        <v>Not Daylighted</v>
      </c>
      <c r="FM384" s="1824">
        <f>VLOOKUP(FL384,_New_Daylight_Table_Codes,2,FALSE)</f>
        <v>0</v>
      </c>
      <c r="FN384" s="1698">
        <f>IF(__Retrofit_TI_NC&gt;0,VLOOKUP(G386,'Space Table'!$B$3:$L$163,11,FALSE),AG385)</f>
        <v>0</v>
      </c>
      <c r="FO384" s="1698" t="e">
        <f>IF(__Retrofit_TI_NC=2,VLOOKUP(FQ384,_Control_Table,2,FALSE),VLOOKUP(FN384,_Control_Table,2,FALSE))</f>
        <v>#N/A</v>
      </c>
      <c r="FP384" s="1678" t="e">
        <f>VLOOKUP(CONCATENATE(FL384," ",FN384),Lookup!AY$102:AZ394,2,FALSE)</f>
        <v>#N/A</v>
      </c>
      <c r="FQ384" s="1678">
        <f>IF(__Retrofit_TI_NC=0,FN384,IF(AND(FT384&gt;0,FN384="Occupancy Sensor"),"Daylight + Occupancy",IF(AND(FT384&gt;0,VLOOKUP(FN384,_Control_Table,2,FALSE)&lt;4),"Interior Daylight Dimming",FN384)))</f>
        <v>0</v>
      </c>
      <c r="FS384" s="1686">
        <f>IF(CR384="Interior",VLOOKUP(CS384,Control_Savings_Interior,5,FALSE),0)</f>
        <v>0</v>
      </c>
      <c r="FT384" s="1687">
        <f>IF(CQ384="Exterior",0,IF(FM384=2,0.5,IF(OR(FM384=1,FM384=3),1,0)))</f>
        <v>0</v>
      </c>
      <c r="FU384" s="1685">
        <f>IF(R383&gt;FS$44,(FS384*(FS$44/R383)),FS384)*FT384</f>
        <v>0</v>
      </c>
      <c r="FV384" s="1686">
        <f>DI384</f>
        <v>0</v>
      </c>
      <c r="FW384" s="1686">
        <f>ROUND(FV384+((1-FV384)*FU384),2)</f>
        <v>0</v>
      </c>
      <c r="FX384" s="1686">
        <f>IF(__Retrofit_TI_NC=2,FW384,FV384)</f>
        <v>0</v>
      </c>
      <c r="FY384" s="1697"/>
      <c r="GA384" s="1696" t="str">
        <f>IFERROR(VLOOKUP(U385,_Exist_Fixture_Table,3,FALSE),"")</f>
        <v/>
      </c>
      <c r="GB384" s="1696" t="str">
        <f>VLOOKUP(CW384,_Exist_Fixture_Table,4,FALSE)</f>
        <v/>
      </c>
      <c r="GC384" s="1696">
        <f>IFERROR(VLOOKUP(GB384,Lookup!AT$6:AU$8,2,FALSE),0)</f>
        <v>0</v>
      </c>
      <c r="GD384" s="1696" t="b">
        <f>IFERROR(IF(OR(GF384=4,GF384=5,GF384=6),TRUE,FALSE),"")</f>
        <v>0</v>
      </c>
      <c r="GE384" s="1696" t="str">
        <f>IFERROR(VLOOKUP(GF384,GC$6:GD$10,2,FALSE),"")</f>
        <v/>
      </c>
      <c r="GF384" s="1696" t="str">
        <f>VLOOKUP(CW386,Fixtures!R$31:Y$78,8,FALSE)</f>
        <v/>
      </c>
      <c r="GG384" s="1696">
        <f>IF(AND(GA384=TRUE,GD384=TRUE,OR(DQ384=12,DQ384=13,DQ384=14)),GC384+8,0)</f>
        <v>0</v>
      </c>
      <c r="GH384" s="1696" t="b">
        <f>IF(OR(GG384=12,GG384=13,GG384=14),TRUE,FALSE)</f>
        <v>0</v>
      </c>
      <c r="GI384" s="673" t="b">
        <f>IF(ISNUMBER(SEARCH("TLED",U385)),TRUE,FALSE)</f>
        <v>0</v>
      </c>
      <c r="GJ384" s="1135" t="str">
        <f>IFERROR(VLOOKUP(U385,Fixtures!BM$93:BR$142,6,FALSE),"")</f>
        <v/>
      </c>
      <c r="GK384" s="1832" t="b">
        <f>IF(OR(GI384=FALSE,GI386=FALSE),TRUE,IF(GJ384-GJ386&lt;5,FALSE,TRUE))</f>
        <v>1</v>
      </c>
      <c r="GO384" s="674">
        <f>GP384</f>
        <v>0</v>
      </c>
      <c r="GP384" s="674">
        <f>IF(G384="",0,1)</f>
        <v>0</v>
      </c>
      <c r="GQ384" s="674">
        <f ca="1">SUM(GR384:HF384)</f>
        <v>2</v>
      </c>
      <c r="GR384" s="674">
        <f>IF(G385="",0,1)</f>
        <v>0</v>
      </c>
      <c r="GS384" s="674">
        <f>IF(N387="BAM",1,IF(G386="",0,1))</f>
        <v>0</v>
      </c>
      <c r="GT384" s="674">
        <f>IF(N387="BAM",1,IF(R385="",0,1))</f>
        <v>0</v>
      </c>
      <c r="GU384" s="674">
        <f>IF(N387="BAM",1,IF(__Retrofit_TI_NC=0,1,IF(R386="",0,1)))</f>
        <v>1</v>
      </c>
      <c r="GV384" s="674">
        <f>IF(N387="BAM",1,IF(CQ384="Exterior",1,IF(G387="",0,1)))</f>
        <v>1</v>
      </c>
      <c r="GW384" s="674">
        <f>IF(__Retrofit_TI_NC&gt;0,1,IF(T385="",0,1))</f>
        <v>0</v>
      </c>
      <c r="GX384" s="674">
        <f>IF(__Retrofit_TI_NC&gt;0,1,IF(U385="",0,1))</f>
        <v>0</v>
      </c>
      <c r="GY384" s="674">
        <f>IF(N387="BAM",1,IF(T386="",0,1))</f>
        <v>0</v>
      </c>
      <c r="GZ384" s="674">
        <f>IF(N387="BAM",1,IF(U386="",0,1))</f>
        <v>0</v>
      </c>
      <c r="HA384" s="674">
        <f ca="1">IF(N387="BAM",1,IF(__Retrofit_TI_NC&gt;0,1,IF(U387="",0,1)))</f>
        <v>0</v>
      </c>
      <c r="HB384" s="674">
        <f>IF(__Retrofit_TI_NC&lt;&gt;0,1,IF(AF385="",0,1))</f>
        <v>0</v>
      </c>
      <c r="HC384" s="674">
        <f>IF(__Retrofit_TI_NC&lt;&gt;0,1,IF(AG385="",0,1))</f>
        <v>0</v>
      </c>
      <c r="HD384" s="674">
        <f>IF(N387="BAM",1,IF(AF386="",0,1))</f>
        <v>0</v>
      </c>
      <c r="HE384" s="674">
        <f>IF(N387="BAM",1,IF(AG386="",0,1))</f>
        <v>0</v>
      </c>
      <c r="HF384" s="674">
        <f>IF(N387="BAM",1,IF(__Retrofit_TI_NC&gt;0,1,IF(AG387="",0,1)))</f>
        <v>0</v>
      </c>
      <c r="HG384" s="391"/>
      <c r="IA384" s="391"/>
      <c r="IB384" s="1693" t="b">
        <f>IF(OR(IB387=0,IB387=HY$16,IB387=HX$16,IB387=HZ$16),TRUE,FALSE)</f>
        <v>0</v>
      </c>
      <c r="IC384" s="1694" t="b">
        <f>IB384</f>
        <v>0</v>
      </c>
      <c r="ID384" s="391"/>
      <c r="IE384" s="391"/>
      <c r="IF384" s="1688" t="b">
        <f ca="1">IF(MAX(GN387:HU387)&gt;5,FALSE,TRUE)</f>
        <v>0</v>
      </c>
      <c r="IG384" s="1689">
        <f ca="1">IF(IF384=TRUE,AC384,0)</f>
        <v>0</v>
      </c>
      <c r="IH384" s="1689">
        <f ca="1">IG384-IG386</f>
        <v>0</v>
      </c>
      <c r="IK384" s="1689" t="e">
        <f>ROUND(T385*VLOOKUP(U385,Fixtures_Existing_List,2,FALSE)*N385*R385/1000,0)</f>
        <v>#N/A</v>
      </c>
      <c r="IL384" s="1690" t="e">
        <f>IK384-IK386</f>
        <v>#N/A</v>
      </c>
      <c r="IM384" s="1693" t="e">
        <f>ROUND(IF(CQ384="Interior",N386*R386*R385*N385*_C406_reduction/1000,N386*R386*R385*N385/1000),0)</f>
        <v>#N/A</v>
      </c>
      <c r="IN384" s="1693" t="e">
        <f>IM384-IM386</f>
        <v>#N/A</v>
      </c>
      <c r="IP384" s="1679"/>
      <c r="IQ384" s="1679" t="e">
        <f t="shared" ref="IQ384:IU384" si="341">IF($CR384="interior",VLOOKUP($CS384,_New_Control_Savings_Interior,IQ$30,FALSE),VLOOKUP($CS384,Control_Savings_Exterior,IQ$30,FALSE))</f>
        <v>#N/A</v>
      </c>
      <c r="IR384" s="1679" t="e">
        <f t="shared" si="341"/>
        <v>#N/A</v>
      </c>
      <c r="IS384" s="1679" t="e">
        <f t="shared" si="341"/>
        <v>#N/A</v>
      </c>
      <c r="IT384" s="1679" t="e">
        <f t="shared" si="341"/>
        <v>#N/A</v>
      </c>
      <c r="IU384" s="1679" t="e">
        <f t="shared" si="341"/>
        <v>#N/A</v>
      </c>
      <c r="IV384" s="1679" t="e">
        <f>IF($CR384="interior",IF(R385&gt;$IP$14,ROUND(($IV$18*($IP$14/R385)),2),$IV$18),VLOOKUP($CS384,Control_Savings_Exterior,IV$30,FALSE))</f>
        <v>#N/A</v>
      </c>
      <c r="IW384" s="1679" t="e">
        <f>IF($CR384="interior",ROUND(((1-IS384)*IV384)+IS384,2),VLOOKUP($CS384,Control_Savings_Exterior,IW$30,FALSE))</f>
        <v>#N/A</v>
      </c>
      <c r="IX384" s="1679" t="e">
        <f>IF($CR384="interior",ROUND(((1-IT384)*IV384)+IT384,2),VLOOKUP($CS384,Control_Savings_Exterior,IX$30,FALSE))</f>
        <v>#N/A</v>
      </c>
      <c r="IY384" s="1679" t="e">
        <f>IF($CR384="interior",IF(R385&gt;$IP$14,ROUND(($IY$18*($IP$14/R385)),2),$IY$18),VLOOKUP($CS384,Control_Savings_Exterior,IY$30,FALSE))</f>
        <v>#N/A</v>
      </c>
      <c r="IZ384" s="1679" t="e">
        <f>IF($CR384="interior",ROUND(((1-IS384)*IY384)+IS384,2),VLOOKUP($CS384,Control_Savings_Exterior,IZ$30,FALSE))</f>
        <v>#N/A</v>
      </c>
      <c r="JA384" s="1679" t="e">
        <f>IF($CR384="interior",ROUND(((1-IT384)*IY384)+IT384,2),VLOOKUP($CS384,Control_Savings_Exterior,JA$30,FALSE))</f>
        <v>#N/A</v>
      </c>
      <c r="JC384" s="1680">
        <f>IFERROR(IF(CR384="Interior",CONCATENATE(G387," ",FQ384),FQ384),"")</f>
        <v>0</v>
      </c>
      <c r="JD384" s="1670" t="str">
        <f>IFERROR(VLOOKUP(JC384,_Controls_2023,2,FALSE),"")</f>
        <v/>
      </c>
      <c r="JE384" s="1681">
        <f>IFERROR(CHOOSE(JD384-1,IQ384,IR384,IS384,IT384,IU384,IV384,IW384,IX384,IY384,IZ384,JA384),0)</f>
        <v>0</v>
      </c>
      <c r="JG384" s="1680" t="str">
        <f>FE384</f>
        <v xml:space="preserve"> - 0</v>
      </c>
      <c r="JH384" s="1670" t="e">
        <f>$FO384</f>
        <v>#N/A</v>
      </c>
      <c r="JI384" s="1060"/>
      <c r="JJ384" s="1682" t="b">
        <f>IF($JG386=CONCATENATE("Interior - ",JJ$4),TRUE,FALSE)</f>
        <v>0</v>
      </c>
      <c r="JK384" s="1061"/>
      <c r="JL384" s="1682" t="b">
        <f>IF($JG386=CONCATENATE("Interior - ",JL$4),TRUE,FALSE)</f>
        <v>0</v>
      </c>
      <c r="JM384" s="1061"/>
      <c r="JN384" s="1682" t="b">
        <f>IF($JG386=CONCATENATE("Interior - ",JN$4),TRUE,FALSE)</f>
        <v>0</v>
      </c>
      <c r="JO384" s="1061"/>
      <c r="JP384" s="1682" t="b">
        <f>IF(__Retrofit_TI_NC&gt;0,FALSE,IF($JG386=CONCATENATE("Interior - ",JP$4),TRUE,FALSE))</f>
        <v>0</v>
      </c>
      <c r="JQ384" s="1061"/>
      <c r="JR384" s="1682" t="b">
        <f>IF(__Retrofit_TI_NC&gt;0,FALSE,IF($JG386=CONCATENATE("Interior - ",JR$4),TRUE,FALSE))</f>
        <v>0</v>
      </c>
      <c r="JS384" s="1061"/>
      <c r="JT384" s="1670" t="b">
        <f>IF(__Retrofit_TI_NC&gt;0,FALSE,IF($JG386=CONCATENATE("Interior - ",JT$4),TRUE,FALSE))</f>
        <v>0</v>
      </c>
      <c r="JU384" s="1061"/>
      <c r="JV384" s="1670" t="b">
        <f>IF(JC386="AELC on Existing",TRUE,FALSE)</f>
        <v>0</v>
      </c>
      <c r="JX384" s="1670" t="b">
        <f>IF(OR(JG386="Exterior - AELC Occupancy based",JG386="Exterior - AELC Time based"),TRUE,FALSE)</f>
        <v>0</v>
      </c>
      <c r="JZ384" s="1682" t="b">
        <f>IF($JG386=CONCATENATE("Exterior - ",JZ$4),TRUE,FALSE)</f>
        <v>0</v>
      </c>
      <c r="KB384" s="1670" t="b">
        <f>IF(__Retrofit_TI_NC&gt;0,FALSE,IF($JG386=CONCATENATE("Interior - ",KB$4),TRUE,FALSE))</f>
        <v>0</v>
      </c>
    </row>
    <row r="385" spans="1:288" s="78" customFormat="1" ht="14.95" customHeight="1" thickTop="1" thickBot="1">
      <c r="B385" s="1845"/>
      <c r="C385" s="1846"/>
      <c r="D385" s="1847"/>
      <c r="E385" s="1737" t="s">
        <v>297</v>
      </c>
      <c r="F385" s="1738"/>
      <c r="G385" s="1739"/>
      <c r="H385" s="1739"/>
      <c r="I385" s="1739"/>
      <c r="J385" s="1739"/>
      <c r="K385" s="1739"/>
      <c r="L385" s="1739"/>
      <c r="M385" s="461" t="e">
        <f>IF(__Retrofit_TI_NC&lt;&gt;0,IF(VLOOKUP(G386,'Space Table'!$B$3:$L$163,3,FALSE)&gt;0,1,0),IF(__Retrofit_TI_NC=VLOOKUP(G386,'Space Table'!$B$3:$L$163,3,FALSE),1,0))</f>
        <v>#N/A</v>
      </c>
      <c r="N385" s="461" t="str">
        <f>IFERROR(VLOOKUP(G385,_Lookup_Heat_Type_Table_New,2,FALSE),"")</f>
        <v/>
      </c>
      <c r="O385" s="461">
        <f>IF(__Retrofit_TI_NC=1,CONCATENATE("TI ",G385),IF(__Retrofit_TI_NC=2,CONCATENATE("NC ",G385),G385))</f>
        <v>0</v>
      </c>
      <c r="P385" s="1740" t="s">
        <v>435</v>
      </c>
      <c r="Q385" s="1740"/>
      <c r="R385" s="595"/>
      <c r="S385" s="1792"/>
      <c r="T385" s="597"/>
      <c r="U385" s="1765"/>
      <c r="V385" s="1766"/>
      <c r="W385" s="1766"/>
      <c r="X385" s="1766"/>
      <c r="Y385" s="1766"/>
      <c r="Z385" s="1766"/>
      <c r="AA385" s="1766"/>
      <c r="AB385" s="1766"/>
      <c r="AC385" s="1766"/>
      <c r="AD385" s="1767"/>
      <c r="AE385" s="1000"/>
      <c r="AF385" s="597"/>
      <c r="AG385" s="1723"/>
      <c r="AH385" s="1724"/>
      <c r="AI385" s="1724"/>
      <c r="AJ385" s="1724"/>
      <c r="AK385" s="1725"/>
      <c r="AL385" s="996"/>
      <c r="AM385" s="1747"/>
      <c r="AN385" s="1775"/>
      <c r="AO385" s="1777"/>
      <c r="AP385" s="1780"/>
      <c r="AQ385" s="1781"/>
      <c r="AR385" s="1795"/>
      <c r="AS385" s="1795"/>
      <c r="AT385" s="1796"/>
      <c r="AU385" s="1735"/>
      <c r="AV385" s="1752"/>
      <c r="AW385" s="1705"/>
      <c r="AX385" s="467"/>
      <c r="AY385" s="1749"/>
      <c r="AZ385" s="1749"/>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696"/>
      <c r="CQ385" s="1696"/>
      <c r="CR385" s="1809"/>
      <c r="CS385" s="1811"/>
      <c r="CU385" s="1688"/>
      <c r="CV385" s="1703"/>
      <c r="CW385" s="1703"/>
      <c r="CX385" s="1703"/>
      <c r="CY385" s="1815"/>
      <c r="CZ385" s="1711"/>
      <c r="DA385" s="1818"/>
      <c r="DB385" s="1820"/>
      <c r="DC385" s="1820"/>
      <c r="DD385" s="1820"/>
      <c r="DF385" s="1703"/>
      <c r="DG385" s="1831"/>
      <c r="DH385" s="1703"/>
      <c r="DI385" s="1838"/>
      <c r="DJ385" s="1711"/>
      <c r="DK385" s="1712"/>
      <c r="DM385" s="1718"/>
      <c r="DO385" s="1708"/>
      <c r="DQ385" s="1715"/>
      <c r="DR385" s="1720"/>
      <c r="DS385" s="1816"/>
      <c r="DT385" s="1714"/>
      <c r="DU385" s="1715"/>
      <c r="DV385" s="1716"/>
      <c r="DX385" s="1715"/>
      <c r="DY385" s="1720"/>
      <c r="DZ385" s="1715"/>
      <c r="EA385" s="1715"/>
      <c r="EC385" s="1834"/>
      <c r="ED385" s="1834"/>
      <c r="EF385" s="1707"/>
      <c r="EG385" s="1712"/>
      <c r="EH385" s="1818"/>
      <c r="EI385" s="1712"/>
      <c r="EJ385" s="1712"/>
      <c r="EK385" s="1836"/>
      <c r="EL385" s="1836"/>
      <c r="EM385" s="1807"/>
      <c r="EN385" s="1839"/>
      <c r="EO385" s="1839"/>
      <c r="EP385" s="1817"/>
      <c r="EQ385" s="1817"/>
      <c r="ER385" s="1807"/>
      <c r="ES385" s="1807"/>
      <c r="ET385" s="1807"/>
      <c r="EV385" s="1715"/>
      <c r="EX385" s="1805"/>
      <c r="EY385" s="1805"/>
      <c r="EZ385" s="1805"/>
      <c r="FA385" s="1805"/>
      <c r="FB385" s="1805"/>
      <c r="FC385" s="1827"/>
      <c r="FE385" s="1698"/>
      <c r="FG385" s="1816"/>
      <c r="FH385" s="1816"/>
      <c r="FI385" s="133"/>
      <c r="FL385" s="1823"/>
      <c r="FM385" s="1825"/>
      <c r="FN385" s="1698"/>
      <c r="FO385" s="1698"/>
      <c r="FP385" s="1678"/>
      <c r="FQ385" s="1678"/>
      <c r="FS385" s="1687"/>
      <c r="FT385" s="1687"/>
      <c r="FU385" s="1685"/>
      <c r="FV385" s="1687"/>
      <c r="FW385" s="1687"/>
      <c r="FX385" s="1687"/>
      <c r="FY385" s="1697"/>
      <c r="GA385" s="1696"/>
      <c r="GB385" s="1696"/>
      <c r="GC385" s="1696"/>
      <c r="GD385" s="1696"/>
      <c r="GE385" s="1696"/>
      <c r="GF385" s="1696"/>
      <c r="GG385" s="1696"/>
      <c r="GH385" s="1696"/>
      <c r="GI385" s="673"/>
      <c r="GJ385" s="1135"/>
      <c r="GK385" s="1832"/>
      <c r="GM385" s="1693" t="b">
        <f ca="1">IF(AND(GP385=TRUE,GQ385=TRUE),TRUE,FALSE)</f>
        <v>0</v>
      </c>
      <c r="GN385" s="1684" t="b">
        <f>IFERROR(IF(__Retrofit_TI_NC=2,TRUE,IF(AU384="Yes",TRUE,FALSE)),FALSE)</f>
        <v>1</v>
      </c>
      <c r="GP385" s="1684" t="b">
        <f>IFERROR(IF(GP384=1,TRUE,FALSE),FALSE)</f>
        <v>0</v>
      </c>
      <c r="GQ385" s="1684" t="b">
        <f ca="1">IFERROR(IF(GQ384=GQ$14,TRUE,FALSE),FALSE)</f>
        <v>0</v>
      </c>
      <c r="HG385" s="1684" t="b">
        <f>IFERROR(IF(AND(__Retrofit_TI_NC&gt;0,CQ384="Interior"),FALSE,TRUE),FALSE)</f>
        <v>1</v>
      </c>
      <c r="HH385" s="1684" t="b">
        <f>IFERROR(IF(M385=1,TRUE,FALSE),FALSE)</f>
        <v>0</v>
      </c>
      <c r="HI385" s="1684" t="b">
        <f>IFERROR(IF(OR(M386=1,N387="BAM"),TRUE,FALSE),FALSE)</f>
        <v>0</v>
      </c>
      <c r="HJ385" s="1684" t="b">
        <f>IFERROR(IF(__Retrofit_TI_NC&lt;&gt;0,TRUE,IFERROR(IF(VLOOKUP(U385,Fixtures_Existing_List,2,FALSE)&lt;&gt;"",TRUE,FALSE),FALSE)),FALSE)</f>
        <v>0</v>
      </c>
      <c r="HK385" s="1684" t="b">
        <f>IFERROR(IF(VLOOKUP(U386,Fixtures_Proposed_List,2,FALSE)&lt;&gt;"",TRUE,FALSE),FALSE)</f>
        <v>0</v>
      </c>
      <c r="HL385" s="1684" t="b">
        <f>IF(AND(__Retrofit_TI_NC=2,FC384=TRUE),FALSE,TRUE)</f>
        <v>1</v>
      </c>
      <c r="HM385" s="1684" t="b">
        <f>GK384</f>
        <v>1</v>
      </c>
      <c r="HN385" s="1682" t="b">
        <f>IF(ISERROR(MATCH(FE384,_Control_Match[],0))=TRUE,FALSE,TRUE)</f>
        <v>0</v>
      </c>
      <c r="HO385" s="1693" t="b">
        <f>IFERROR(IF(EX384&lt;&gt;EY384,FALSE,TRUE),FALSE)</f>
        <v>1</v>
      </c>
      <c r="HP385" s="1693" t="b">
        <f>IFERROR(IF(EX386&lt;&gt;EY386,FALSE,TRUE),FALSE)</f>
        <v>1</v>
      </c>
      <c r="HQ385" s="1670" t="b">
        <f>IFERROR(IF(CQ384="Exterior",TRUE,IF(AND(OR(FM386=0,FM386=3),JD386&gt;6),FALSE,TRUE)),FALSE)</f>
        <v>0</v>
      </c>
      <c r="HR385" s="1684" t="b">
        <f>IFERROR(IF(AND(FO386=7,FC384=TRUE),FALSE,TRUE),FALSE)</f>
        <v>0</v>
      </c>
      <c r="HS385" s="1684" t="b">
        <f>IFERROR(IF(AND(T386&lt;&gt;AF386,OR(AG386="Interior LLLC", AG386="Interior NLC", AG386="LLLC (outside Daylight)",AG386="LLLC Controls Only"))=TRUE,FALSE,TRUE),FALSE)</f>
        <v>1</v>
      </c>
      <c r="HT385" s="1670" t="b">
        <f>IFERROR(IF(OR(AG386=Lookup!BB$17,AG386=Lookup!BB$18,AG386=Lookup!BB$19)=TRUE,IF(AF386&gt;T386,FALSE,TRUE),TRUE),FALSE)</f>
        <v>1</v>
      </c>
      <c r="HU385" s="1684" t="b">
        <f>IFERROR(IF(__Retrofit_TI_NC=2,IF(EZ386&lt;EZ384,FALSE,TRUE),TRUE),FALSE)</f>
        <v>1</v>
      </c>
      <c r="HV385" s="1684" t="b">
        <f>IF(CQ384="Interior",IL$6,TRUE)</f>
        <v>1</v>
      </c>
      <c r="HW385" s="1684" t="b">
        <f>IF(CQ384="Exterior",IL$8,TRUE)</f>
        <v>1</v>
      </c>
      <c r="HX385" s="1684" t="b">
        <f>IFERROR(IF(__Retrofit_TI_NC&lt;&gt;0,IF(AZ384&lt;AY384,FALSE,TRUE),TRUE),FALSE)</f>
        <v>1</v>
      </c>
      <c r="HY385" s="1684" t="b">
        <f>IFERROR(IF(AND(G385="Exterior",R385&gt;4200),FALSE,TRUE),FALSE)</f>
        <v>1</v>
      </c>
      <c r="HZ385" s="1684" t="b">
        <f>IFERROR(IF(AB387/AB384&lt;HZ$18,FALSE,TRUE),FALSE)</f>
        <v>0</v>
      </c>
      <c r="IB385" s="1691"/>
      <c r="IC385" s="1695"/>
      <c r="ID385" s="1694" t="str">
        <f>VLOOKUP(IB387,_Error_Table,4,FALSE)</f>
        <v>White</v>
      </c>
      <c r="IE385" s="391"/>
      <c r="IF385" s="1688"/>
      <c r="IG385" s="1689"/>
      <c r="IH385" s="1684"/>
      <c r="IK385" s="1689"/>
      <c r="IL385" s="1691"/>
      <c r="IM385" s="1691"/>
      <c r="IN385" s="1691"/>
      <c r="IP385" s="1679"/>
      <c r="IQ385" s="1679"/>
      <c r="IR385" s="1679"/>
      <c r="IS385" s="1679"/>
      <c r="IT385" s="1679"/>
      <c r="IU385" s="1679"/>
      <c r="IV385" s="1679"/>
      <c r="IW385" s="1679"/>
      <c r="IX385" s="1679"/>
      <c r="IY385" s="1679"/>
      <c r="IZ385" s="1679"/>
      <c r="JA385" s="1679"/>
      <c r="JC385" s="1680"/>
      <c r="JD385" s="1670"/>
      <c r="JE385" s="1681"/>
      <c r="JG385" s="1680"/>
      <c r="JH385" s="1670"/>
      <c r="JI385" s="1060"/>
      <c r="JJ385" s="1683"/>
      <c r="JK385" s="1061"/>
      <c r="JL385" s="1683"/>
      <c r="JM385" s="1061"/>
      <c r="JN385" s="1683"/>
      <c r="JO385" s="1061"/>
      <c r="JP385" s="1683"/>
      <c r="JQ385" s="1061"/>
      <c r="JR385" s="1683"/>
      <c r="JS385" s="1061"/>
      <c r="JT385" s="1670"/>
      <c r="JU385" s="1061"/>
      <c r="JV385" s="1670"/>
      <c r="JX385" s="1670"/>
      <c r="JZ385" s="1683"/>
      <c r="KB385" s="1670"/>
    </row>
    <row r="386" spans="1:288" s="78" customFormat="1" ht="14.95" customHeight="1" thickTop="1" thickBot="1">
      <c r="A386" s="78">
        <f>ROW()</f>
        <v>386</v>
      </c>
      <c r="B386" s="1845"/>
      <c r="C386" s="1846"/>
      <c r="D386" s="1847"/>
      <c r="E386" s="1737" t="s">
        <v>298</v>
      </c>
      <c r="F386" s="1738"/>
      <c r="G386" s="1760"/>
      <c r="H386" s="1761"/>
      <c r="I386" s="1761"/>
      <c r="J386" s="1761"/>
      <c r="K386" s="1761"/>
      <c r="L386" s="1762"/>
      <c r="M386" s="461">
        <f>IFERROR(IF(IF(__Retrofit_TI_NC&lt;&gt;0,IF(CQ384="Interior",MATCH(G386,Lookup_Interior_New,0),MATCH(G386,Lookup_Exterior_New,0)),IF(CQ384="Interior",MATCH(G386,Lookup_Interior,0),MATCH(G386,Lookup_Exterior_Areas,0)))&gt;0,1,0),0)</f>
        <v>0</v>
      </c>
      <c r="N386" s="461" t="e">
        <f>IF(__Retrofit_TI_NC=1,
VLOOKUP(G386,'Space Table'!$B$3:$L$163,4,FALSE),
IF(__Retrofit_TI_NC=2,VLOOKUP(G386,'Space Table'!$B$3:$L$163,5,FALSE),VLOOKUP(G386,'Space Table'!$B$3:$L$163,5,FALSE)))</f>
        <v>#N/A</v>
      </c>
      <c r="O386" s="461">
        <f>G386</f>
        <v>0</v>
      </c>
      <c r="P386" s="1738" t="str">
        <f>IFERROR(IF(__Retrofit_TI_NC=1,VLOOKUP(G386,'Space Table'!$B$3:$O$163,13,FALSE),IF(__Retrofit_TI_NC=2,VLOOKUP(G386,'Space Table'!$B$3:$O$163,14,FALSE),"Area (sf):")),"Area (sf):")</f>
        <v>Area (sf):</v>
      </c>
      <c r="Q386" s="1738"/>
      <c r="R386" s="596"/>
      <c r="S386" s="1763" t="s">
        <v>345</v>
      </c>
      <c r="T386" s="594"/>
      <c r="U386" s="1801"/>
      <c r="V386" s="1802"/>
      <c r="W386" s="1802"/>
      <c r="X386" s="1802"/>
      <c r="Y386" s="1802"/>
      <c r="Z386" s="1802"/>
      <c r="AA386" s="1802"/>
      <c r="AB386" s="1802"/>
      <c r="AC386" s="1802"/>
      <c r="AD386" s="1802"/>
      <c r="AE386" s="1803"/>
      <c r="AF386" s="594"/>
      <c r="AG386" s="1787"/>
      <c r="AH386" s="1787"/>
      <c r="AI386" s="1787"/>
      <c r="AJ386" s="1787"/>
      <c r="AK386" s="1787"/>
      <c r="AL386" s="1787"/>
      <c r="AM386" s="1726">
        <f>IFERROR(DI386,"")</f>
        <v>0</v>
      </c>
      <c r="AN386" s="1728" t="str">
        <f>IFERROR(ROUND(AM386*AC387,0),"")</f>
        <v/>
      </c>
      <c r="AO386" s="1730">
        <f>IFERROR(IF(IB384=FALSE,0,AC387-AN386),0)</f>
        <v>0</v>
      </c>
      <c r="AP386" s="1780"/>
      <c r="AQ386" s="1781"/>
      <c r="AR386" s="1795"/>
      <c r="AS386" s="1795"/>
      <c r="AT386" s="1796"/>
      <c r="AU386" s="1735"/>
      <c r="AV386" s="1752"/>
      <c r="AW386" s="1705"/>
      <c r="AX386" s="467"/>
      <c r="AY386" s="1749"/>
      <c r="AZ386" s="1749"/>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696"/>
      <c r="CQ386" s="1696"/>
      <c r="CR386" s="1808" t="str">
        <f>CQ384</f>
        <v/>
      </c>
      <c r="CS386" s="1810" t="str">
        <f>CS384</f>
        <v/>
      </c>
      <c r="CU386" s="1688" t="s">
        <v>345</v>
      </c>
      <c r="CV386" s="1702">
        <f>IF(IB384=TRUE,T386,0)</f>
        <v>0</v>
      </c>
      <c r="CW386" s="1702" t="str">
        <f>IF(IB384=TRUE,U386,"")</f>
        <v/>
      </c>
      <c r="CX386" s="1812">
        <f>IF(IB384=TRUE,U387,0)</f>
        <v>0</v>
      </c>
      <c r="CY386" s="1814">
        <f>IF(IB384=TRUE,AB387,0)</f>
        <v>0</v>
      </c>
      <c r="CZ386" s="1710">
        <f>IF(AND(__Retrofit_TI_NC&gt;0,CR384="interior"),0,IF(IB384=TRUE,AC387,0))</f>
        <v>0</v>
      </c>
      <c r="DA386" s="1818"/>
      <c r="DB386" s="1820"/>
      <c r="DC386" s="1820"/>
      <c r="DD386" s="1820"/>
      <c r="DF386" s="1702">
        <f>IF(IB384=TRUE,AF386,0)</f>
        <v>0</v>
      </c>
      <c r="DG386" s="1830" t="str">
        <f>IF(IB384=TRUE,AG386,"")</f>
        <v/>
      </c>
      <c r="DH386" s="1812">
        <f>AG387</f>
        <v>0</v>
      </c>
      <c r="DI386" s="1837">
        <f>JE386</f>
        <v>0</v>
      </c>
      <c r="DJ386" s="1710">
        <f>IF(AND(__Retrofit_TI_NC&gt;0,CR384="interior"),0,IF(IB384=TRUE,AN386,0))</f>
        <v>0</v>
      </c>
      <c r="DK386" s="1712"/>
      <c r="DN386" s="1717">
        <f>IFERROR(CZ386-DJ386,0)</f>
        <v>0</v>
      </c>
      <c r="DO386" s="1709"/>
      <c r="DQ386" s="1715"/>
      <c r="DR386" s="1719" t="str">
        <f>DQ384</f>
        <v/>
      </c>
      <c r="DS386" s="1816"/>
      <c r="DT386" s="1835" t="str">
        <f>IF(OR(DS384=7,DS384=8,DS384=9),"ALC","")</f>
        <v/>
      </c>
      <c r="DU386" s="1715"/>
      <c r="DV386" s="1716"/>
      <c r="DX386" s="1715"/>
      <c r="DY386" s="1829" t="str">
        <f>DX384</f>
        <v/>
      </c>
      <c r="DZ386" s="1715"/>
      <c r="EA386" s="1715"/>
      <c r="EC386" s="1834"/>
      <c r="ED386" s="1834"/>
      <c r="EF386" s="1707"/>
      <c r="EG386" s="1712"/>
      <c r="EH386" s="1818"/>
      <c r="EI386" s="1712"/>
      <c r="EJ386" s="1712"/>
      <c r="EK386" s="1836"/>
      <c r="EL386" s="1836"/>
      <c r="EM386" s="1807"/>
      <c r="EN386" s="1839"/>
      <c r="EO386" s="1839"/>
      <c r="EP386" s="1817"/>
      <c r="EQ386" s="1817"/>
      <c r="ER386" s="1807"/>
      <c r="ES386" s="1807"/>
      <c r="ET386" s="1807"/>
      <c r="EV386" s="1715"/>
      <c r="EX386" s="1805" t="str">
        <f>IFERROR(VLOOKUP(CS386,'Space Table'!$B$3:$L$163,8,FALSE),"")</f>
        <v/>
      </c>
      <c r="EY386" s="1805" t="str">
        <f>IFERROR(IF(FB386="Yes",VLOOKUP(AG386,Lookup_Control_Type_Table2,4,FALSE),VLOOKUP(AG386,Lookup_Control_Type_Table2,3,FALSE)),"")</f>
        <v/>
      </c>
      <c r="EZ386" s="1805" t="e">
        <f>VLOOKUP(AG386,Lookup!BB$3:BC$20,2,FALSE)</f>
        <v>#N/A</v>
      </c>
      <c r="FA386" s="1805" t="e">
        <f>VLOOKUP(EX384,Lookup_Control_Type_Table,2,FALSE)</f>
        <v>#N/A</v>
      </c>
      <c r="FB386" s="1805" t="e">
        <f>VLOOKUP(CS386,'Space Table'!$B$3:$L$163,7,FALSE)</f>
        <v>#N/A</v>
      </c>
      <c r="FC386" s="1827"/>
      <c r="FE386" s="1698" t="str">
        <f>CONCATENATE(CQ384," - ",AG386)</f>
        <v xml:space="preserve"> - </v>
      </c>
      <c r="FG386" s="1816"/>
      <c r="FH386" s="1816"/>
      <c r="FI386" s="133"/>
      <c r="FL386" s="1822" t="str">
        <f>IF(CQ384="Exterior","Not Daylighted",G387)</f>
        <v>Not Daylighted</v>
      </c>
      <c r="FM386" s="1824">
        <f>VLOOKUP(FL386,_New_Daylight_Table_Codes,2,FALSE)</f>
        <v>0</v>
      </c>
      <c r="FN386" s="1698">
        <f>AG386</f>
        <v>0</v>
      </c>
      <c r="FO386" s="1698" t="e">
        <f>VLOOKUP(FN386,_Control_Table,2,FALSE)</f>
        <v>#N/A</v>
      </c>
      <c r="FP386" s="1678" t="e">
        <f>VLOOKUP(CONCATENATE(FL386," ",FN386),Lookup!AY$102:AZ397,2,FALSE)</f>
        <v>#N/A</v>
      </c>
      <c r="FQ386" s="1698">
        <f>IF(__Retrofit_TI_NC=0,FN386,IF(AND(FT386&gt;0,FN386="Occupancy Sensor"),"Daylight + Occupancy",IF(AND(FT386&gt;0,FO386&lt;4),"Interior Daylight Dimming",FN386)))</f>
        <v>0</v>
      </c>
      <c r="FS386" s="1686">
        <f>IF(CQ384="Interior",VLOOKUP(CS384,Control_Savings_Interior,5,FALSE),0)</f>
        <v>0</v>
      </c>
      <c r="FT386" s="1687">
        <f>IF(CQ386="Exterior",0,IF(FM386=2,0.5,IF(OR(FM386=1,FM386=3),1,0)))</f>
        <v>0</v>
      </c>
      <c r="FU386" s="1685">
        <f>IF(R385&gt;FS$44,(FS386*(FS$44/R385)),FS386)*FT386</f>
        <v>0</v>
      </c>
      <c r="FV386" s="1686">
        <f>DI386</f>
        <v>0</v>
      </c>
      <c r="FW386" s="1686">
        <f>ROUND(FV386+((1-FV386)*FU386),2)</f>
        <v>0</v>
      </c>
      <c r="FX386" s="1686">
        <f>IF(__Retrofit_TI_NC=2,FW386,FV386)</f>
        <v>0</v>
      </c>
      <c r="FY386" s="1697">
        <f>IF(CR386="Interior",VLOOKUP(CS386,Control_Savings_Interior,4,FALSE),0)</f>
        <v>0</v>
      </c>
      <c r="GA386" s="1696"/>
      <c r="GB386" s="1696"/>
      <c r="GC386" s="1696"/>
      <c r="GD386" s="1696"/>
      <c r="GE386" s="1696"/>
      <c r="GF386" s="1696"/>
      <c r="GG386" s="1696"/>
      <c r="GH386" s="1696"/>
      <c r="GI386" s="673" t="b">
        <f>IF(ISNUMBER(SEARCH("TLED",U386)),TRUE,FALSE)</f>
        <v>0</v>
      </c>
      <c r="GJ386" s="1135" t="str">
        <f>IFERROR(VLOOKUP(U386,Fixtures!DM$93:DR$142,6,FALSE),"")</f>
        <v/>
      </c>
      <c r="GK386" s="1832"/>
      <c r="GM386" s="1692"/>
      <c r="GN386" s="1684"/>
      <c r="GP386" s="1684"/>
      <c r="GQ386" s="1684"/>
      <c r="HG386" s="1684"/>
      <c r="HH386" s="1684"/>
      <c r="HI386" s="1684"/>
      <c r="HJ386" s="1684"/>
      <c r="HK386" s="1684"/>
      <c r="HL386" s="1684"/>
      <c r="HM386" s="1684"/>
      <c r="HN386" s="1683"/>
      <c r="HO386" s="1692"/>
      <c r="HP386" s="1692"/>
      <c r="HQ386" s="1670"/>
      <c r="HR386" s="1684"/>
      <c r="HS386" s="1684"/>
      <c r="HT386" s="1670"/>
      <c r="HU386" s="1684"/>
      <c r="HV386" s="1684"/>
      <c r="HW386" s="1684"/>
      <c r="HX386" s="1684"/>
      <c r="HY386" s="1684"/>
      <c r="HZ386" s="1684"/>
      <c r="IB386" s="1692"/>
      <c r="IC386" s="1693" t="b">
        <f>IB384</f>
        <v>0</v>
      </c>
      <c r="ID386" s="1695"/>
      <c r="IE386" s="391"/>
      <c r="IF386" s="1688"/>
      <c r="IG386" s="1689">
        <f ca="1">IF(IF384=TRUE,AC387,0)</f>
        <v>0</v>
      </c>
      <c r="IH386" s="1684"/>
      <c r="IK386" s="1689" t="e">
        <f>ROUND(T386*AB387*N385*R385/1000,0)</f>
        <v>#VALUE!</v>
      </c>
      <c r="IL386" s="1691"/>
      <c r="IM386" s="1693" t="e">
        <f>ROUND(T386*AB387*N385*R385/1000,0)</f>
        <v>#VALUE!</v>
      </c>
      <c r="IN386" s="1691"/>
      <c r="IP386" s="1679"/>
      <c r="IQ386" s="1679" t="e">
        <f t="shared" ref="IQ386:IU386" si="342">IF($CR386="interior",VLOOKUP($CS386,_New_Control_Savings_Interior,IQ$30,FALSE),VLOOKUP($CS386,Control_Savings_Exterior,IQ$30,FALSE))</f>
        <v>#N/A</v>
      </c>
      <c r="IR386" s="1679" t="e">
        <f t="shared" si="342"/>
        <v>#N/A</v>
      </c>
      <c r="IS386" s="1679" t="e">
        <f t="shared" si="342"/>
        <v>#N/A</v>
      </c>
      <c r="IT386" s="1679" t="e">
        <f t="shared" si="342"/>
        <v>#N/A</v>
      </c>
      <c r="IU386" s="1679" t="e">
        <f t="shared" si="342"/>
        <v>#N/A</v>
      </c>
      <c r="IV386" s="1679" t="e">
        <f>IF($CR386="interior",IF(R385&gt;$IP$14,ROUND(($IV$18*($IP$14/R385)),2),$IV$18),VLOOKUP($CS386,Control_Savings_Exterior,IV$30,FALSE))</f>
        <v>#N/A</v>
      </c>
      <c r="IW386" s="1679" t="e">
        <f>IF($CR386="interior",ROUND(((1-IS386)*IV386)+IS386,2),VLOOKUP($CS386,Control_Savings_Exterior,IW$30,FALSE))</f>
        <v>#N/A</v>
      </c>
      <c r="IX386" s="1679" t="e">
        <f>IF($CR386="interior",ROUND(((1-IT386)*IV386)+IT386,2),VLOOKUP($CS386,Control_Savings_Exterior,IX$30,FALSE))</f>
        <v>#N/A</v>
      </c>
      <c r="IY386" s="1679" t="e">
        <f>IF($CR386="interior",IF(R385&gt;$IP$14,ROUND(($IY$18*($IP$14/R385)),2),$IY$18),VLOOKUP($CS386,Control_Savings_Exterior,IY$30,FALSE))</f>
        <v>#N/A</v>
      </c>
      <c r="IZ386" s="1679" t="e">
        <f>IF($CR386="interior",ROUND(((1-IS386)*IY386)+IS386,2),VLOOKUP($CS386,Control_Savings_Exterior,IZ$30,FALSE))</f>
        <v>#N/A</v>
      </c>
      <c r="JA386" s="1679" t="e">
        <f>IF($CR386="interior",ROUND(((1-IT386)*IY386)+IT386,2),VLOOKUP($CS386,Control_Savings_Exterior,JA$30,FALSE))</f>
        <v>#N/A</v>
      </c>
      <c r="JC386" s="1680">
        <f>IFERROR(IF(CR386="Interior",CONCATENATE(G387," ",FQ386),AG386),"")</f>
        <v>0</v>
      </c>
      <c r="JD386" s="1670" t="str">
        <f>IFERROR(VLOOKUP(JC386,_Controls_2023,2,FALSE),"")</f>
        <v/>
      </c>
      <c r="JE386" s="1681">
        <f>IFERROR(CHOOSE(JD386-1,IQ386,IR386,IS386,IT386,IU386,IV386,IW386,IX386,IY386,IZ386,JA386),0)</f>
        <v>0</v>
      </c>
      <c r="JG386" s="1680" t="str">
        <f>FE386</f>
        <v xml:space="preserve"> - </v>
      </c>
      <c r="JH386" s="1670" t="e">
        <f>$FO386</f>
        <v>#N/A</v>
      </c>
      <c r="JI386" s="1060"/>
      <c r="JJ386" s="1670">
        <f>IFERROR(IF($IB384=TRUE,IF(OR(JJ$14="No",JJ384=FALSE,JH386&lt;=JH384,AND(_kWh_Grant=0,GD384=FALSE)),0,IF(JJ$8="Per Line",1,$AF386)),0),0)</f>
        <v>0</v>
      </c>
      <c r="JK386" s="1061"/>
      <c r="JL386" s="1670">
        <f>IFERROR(IF(_kWh_Grant=0,0,IF($IB384=TRUE,IF(OR(JL$14="No",JL384=FALSE,JH386&lt;=JH384),0,IF(JL$8="Per Line",1,$T386)),0)),0)</f>
        <v>0</v>
      </c>
      <c r="JM386" s="1061"/>
      <c r="JN386" s="1670">
        <f>IFERROR(IF(_kWh_Grant=0,0,IF($IB384=TRUE,IF(OR(JN$14="No",JN384=FALSE,JH386&lt;=JH384),0,IF(JN$8="Per Line",1,$AF386)),0)),0)</f>
        <v>0</v>
      </c>
      <c r="JO386" s="1061"/>
      <c r="JP386" s="1670">
        <f>IFERROR(IF(__Retrofit_TI_NC=0,IF(_kWh_Grant=0,0,IF($IB384=TRUE,IF(OR(JP$14="No",JP384=FALSE,$JH386&lt;=$JH384),0,IF(JP$8="Per Line",1,$AF386)),0)),IF($IB384=TRUE,IF(OR(JP$14="No",JP384=FALSE,$JH386&lt;=$JH384),0,IF(JP$8="Per Line",1,$AF386)))),0)</f>
        <v>0</v>
      </c>
      <c r="JQ386" s="1061"/>
      <c r="JR386" s="1670">
        <f>IFERROR(IF(__Retrofit_TI_NC=0,IF(_kWh_Grant=0,0,IF($IB384=TRUE,IF(OR(JR$14="No",JR384=FALSE,$JH386&lt;=$JH384),0,IF(JR$8="Per Line",1,$AF386)),0)),IF($IB384=TRUE,IF(OR(JR$14="No",JR384=FALSE,$JH386&lt;=$JH384),0,IF(JR$8="Per Line",1,$AF386)))),0)</f>
        <v>0</v>
      </c>
      <c r="JS386" s="1061"/>
      <c r="JT386" s="1670">
        <f>IFERROR(IF(__Retrofit_TI_NC=0,IF(_kWh_Grant=0,0,IF($IB384=TRUE,IF(OR(JT$14="No",JT384=FALSE,$JH386&lt;=$JH384),0,IF(JT$8="Per Line",1,$AF386)),0)),IF($IB384=TRUE,IF(OR(JT$14="No",JT384=FALSE,$JH386&lt;=$JH384),0,IF(JT$8="Per Line",1,$AF386)))),0)</f>
        <v>0</v>
      </c>
      <c r="JU386" s="1061"/>
      <c r="JV386" s="1670">
        <f>IFERROR(IF(__Retrofit_TI_NC=0,IF(_kWh_Grant=0,0,IF($IB384=TRUE,IF(OR(JV$14="No",JV384=FALSE,$JH386&lt;=$JH384),0,IF(JV$8="Per Line",1,$AF386)),0)),IF($IB384=TRUE,IF(OR(JV$14="No",JV384=FALSE,$JH386&lt;=$JH384),0,IF(JV$8="Per Line",1,$AF386)))),0)</f>
        <v>0</v>
      </c>
      <c r="JX386" s="1670">
        <f>IFERROR(IF(__Retrofit_TI_NC=0,IF(_kWh_Grant=0,0,IF($IB384=TRUE,IF(OR(JX$14="No",JX384=FALSE,$JH386&lt;=$JH384),0,IF(JX$8="Per Line",1,$AF386)),0)),IF($IB384=TRUE,IF(OR(JX$14="No",JX384=FALSE,$JH386&lt;=$JH384),0,IF(JX$8="Per Line",1,$AF386)))),0)</f>
        <v>0</v>
      </c>
      <c r="JZ386" s="1670">
        <f>IFERROR(IF($IB384=TRUE,IF(OR(JZ$14="No",JZ384=FALSE,$JH386&lt;=$JH384,AND(_kWh_Grant=0,$GD384=FALSE)),0,IF(JZ$8="Per Line",1,$AF386)),0),0)</f>
        <v>0</v>
      </c>
      <c r="KB386" s="1670">
        <f>IFERROR(IF(__Retrofit_TI_NC=0,IF(_kWh_Grant=0,0,IF($IB384=TRUE,IF(OR(KB$14="No",KB384=FALSE,$JH386&lt;=$JH384),0,IF(KB$8="Per Line",1,$AF386)),0)),IF($IB384=TRUE,IF(OR(KB$14="No",KB384=FALSE,$JH386&lt;=$JH384),0,IF(KB$8="Per Line",1,$AF386)))),0)</f>
        <v>0</v>
      </c>
    </row>
    <row r="387" spans="1:288" s="78" customFormat="1" ht="14.95" customHeight="1" thickTop="1" thickBot="1">
      <c r="B387" s="1845"/>
      <c r="C387" s="1846"/>
      <c r="D387" s="1847"/>
      <c r="E387" s="1771" t="s">
        <v>436</v>
      </c>
      <c r="F387" s="1772"/>
      <c r="G387" s="1784" t="s">
        <v>437</v>
      </c>
      <c r="H387" s="1785"/>
      <c r="I387" s="1785"/>
      <c r="J387" s="1785"/>
      <c r="K387" s="1785"/>
      <c r="L387" s="1786"/>
      <c r="M387" s="591">
        <f>IFERROR(VLOOKUP(G387,_Daylight_Table[],2,FALSE),0)</f>
        <v>0</v>
      </c>
      <c r="N387" s="592" t="str">
        <f>IF(AND(__Retrofit_TI_NC&gt;0,CQ384="Interior"),"BAM","")</f>
        <v/>
      </c>
      <c r="O387" s="591" t="e">
        <f>VLOOKUP(G386,'Space Table'!$B$3:$L$163,11,FALSE)</f>
        <v>#N/A</v>
      </c>
      <c r="P387" s="1789"/>
      <c r="Q387" s="1790"/>
      <c r="R387" s="1790"/>
      <c r="S387" s="1788"/>
      <c r="T387" s="593" t="s">
        <v>342</v>
      </c>
      <c r="U387" s="1756" t="str" cm="1">
        <f t="array" aca="1" ref="U387" ca="1">IFERROR(VLOOKUP(INDIRECT("U" &amp; ROW()-1),Fixtures!DM$93:DP$142,4,FALSE),"")</f>
        <v/>
      </c>
      <c r="V387" s="1757"/>
      <c r="W387" s="1757"/>
      <c r="X387" s="1757"/>
      <c r="Y387" s="1757"/>
      <c r="Z387" s="1757"/>
      <c r="AA387" s="1758"/>
      <c r="AB387" s="939" t="str">
        <f>IFERROR(VLOOKUP(U386,Fixtures_Proposed_List,2,FALSE),"")</f>
        <v/>
      </c>
      <c r="AC387" s="933" t="str">
        <f>IFERROR(ROUND(T386*AB387*N385*R385/1000,0),"")</f>
        <v/>
      </c>
      <c r="AD387" s="934" t="str">
        <f>IFERROR(ROUND(T386*AB387/1000,2),"")</f>
        <v/>
      </c>
      <c r="AE387" s="998"/>
      <c r="AF387" s="938" t="s">
        <v>342</v>
      </c>
      <c r="AG387" s="1770"/>
      <c r="AH387" s="1770"/>
      <c r="AI387" s="1770"/>
      <c r="AJ387" s="1770"/>
      <c r="AK387" s="1770"/>
      <c r="AL387" s="1770"/>
      <c r="AM387" s="1727"/>
      <c r="AN387" s="1729"/>
      <c r="AO387" s="1731"/>
      <c r="AP387" s="1782"/>
      <c r="AQ387" s="1783"/>
      <c r="AR387" s="1797"/>
      <c r="AS387" s="1797"/>
      <c r="AT387" s="1798"/>
      <c r="AU387" s="1736"/>
      <c r="AV387" s="1753"/>
      <c r="AW387" s="1706"/>
      <c r="AX387" s="468"/>
      <c r="AY387" s="1750"/>
      <c r="AZ387" s="1750"/>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696"/>
      <c r="CQ387" s="1696"/>
      <c r="CR387" s="1809"/>
      <c r="CS387" s="1811"/>
      <c r="CU387" s="1688"/>
      <c r="CV387" s="1703"/>
      <c r="CW387" s="1703"/>
      <c r="CX387" s="1813"/>
      <c r="CY387" s="1815"/>
      <c r="CZ387" s="1711"/>
      <c r="DA387" s="1815"/>
      <c r="DB387" s="1821"/>
      <c r="DC387" s="1821"/>
      <c r="DD387" s="1821"/>
      <c r="DF387" s="1703"/>
      <c r="DG387" s="1831"/>
      <c r="DH387" s="1813"/>
      <c r="DI387" s="1838"/>
      <c r="DJ387" s="1711"/>
      <c r="DK387" s="1712"/>
      <c r="DN387" s="1718"/>
      <c r="DO387" s="1709"/>
      <c r="DQ387" s="1715"/>
      <c r="DR387" s="1720"/>
      <c r="DS387" s="1703"/>
      <c r="DT387" s="1714"/>
      <c r="DU387" s="1715"/>
      <c r="DV387" s="1716"/>
      <c r="DX387" s="1715"/>
      <c r="DY387" s="1720"/>
      <c r="DZ387" s="1715"/>
      <c r="EA387" s="1715"/>
      <c r="EC387" s="1834"/>
      <c r="ED387" s="1834"/>
      <c r="EF387" s="1707"/>
      <c r="EG387" s="1712"/>
      <c r="EH387" s="1815"/>
      <c r="EI387" s="1712"/>
      <c r="EJ387" s="1712"/>
      <c r="EK387" s="1813"/>
      <c r="EL387" s="1813"/>
      <c r="EM387" s="1807"/>
      <c r="EN387" s="1839"/>
      <c r="EO387" s="1839"/>
      <c r="EP387" s="1817"/>
      <c r="EQ387" s="1817"/>
      <c r="ER387" s="1807"/>
      <c r="ES387" s="1807"/>
      <c r="ET387" s="1807"/>
      <c r="EV387" s="1715"/>
      <c r="EX387" s="1806"/>
      <c r="EY387" s="1806"/>
      <c r="EZ387" s="1806"/>
      <c r="FA387" s="1806"/>
      <c r="FB387" s="1806"/>
      <c r="FC387" s="1828"/>
      <c r="FE387" s="1698"/>
      <c r="FG387" s="1703"/>
      <c r="FH387" s="1703"/>
      <c r="FI387" s="133"/>
      <c r="FL387" s="1823"/>
      <c r="FM387" s="1825"/>
      <c r="FN387" s="1698"/>
      <c r="FO387" s="1698"/>
      <c r="FP387" s="1678"/>
      <c r="FQ387" s="1698"/>
      <c r="FS387" s="1687"/>
      <c r="FT387" s="1687"/>
      <c r="FU387" s="1685"/>
      <c r="FV387" s="1687"/>
      <c r="FW387" s="1687"/>
      <c r="FX387" s="1687"/>
      <c r="FY387" s="1697"/>
      <c r="GA387" s="1696"/>
      <c r="GB387" s="1696"/>
      <c r="GC387" s="1696"/>
      <c r="GD387" s="1696"/>
      <c r="GE387" s="1696"/>
      <c r="GF387" s="1696"/>
      <c r="GG387" s="1696"/>
      <c r="GH387" s="1696"/>
      <c r="GI387" s="673"/>
      <c r="GJ387" s="1135"/>
      <c r="GK387" s="1832"/>
      <c r="GN387" s="674">
        <f>IF(GN385=TRUE,0,GN$16)</f>
        <v>0</v>
      </c>
      <c r="GP387" s="674">
        <f>IF(GP385=TRUE,0,GP$16)</f>
        <v>36</v>
      </c>
      <c r="GQ387" s="674">
        <f ca="1">IF(GQ385=TRUE,0,GQ$16)</f>
        <v>35</v>
      </c>
      <c r="GR387" s="391"/>
      <c r="GS387" s="391"/>
      <c r="GT387" s="391"/>
      <c r="GU387" s="391"/>
      <c r="GV387" s="391"/>
      <c r="HG387" s="674">
        <f>IF(HG385=TRUE,0,HG$16)</f>
        <v>0</v>
      </c>
      <c r="HH387" s="674">
        <f t="shared" ref="HH387:HM387" si="343">IF(HH385=TRUE,0,HH$16)</f>
        <v>19</v>
      </c>
      <c r="HI387" s="674">
        <f t="shared" si="343"/>
        <v>18</v>
      </c>
      <c r="HJ387" s="674">
        <f t="shared" si="343"/>
        <v>17</v>
      </c>
      <c r="HK387" s="674">
        <f t="shared" si="343"/>
        <v>16</v>
      </c>
      <c r="HL387" s="674">
        <f t="shared" si="343"/>
        <v>0</v>
      </c>
      <c r="HM387" s="674">
        <f t="shared" si="343"/>
        <v>0</v>
      </c>
      <c r="HN387" s="674">
        <f>IF(HN385=TRUE,0,HN$16)</f>
        <v>13</v>
      </c>
      <c r="HO387" s="674">
        <f t="shared" ref="HO387:HQ387" si="344">IF(HO385=TRUE,0,HO$16)</f>
        <v>0</v>
      </c>
      <c r="HP387" s="674">
        <f t="shared" si="344"/>
        <v>0</v>
      </c>
      <c r="HQ387" s="674">
        <f t="shared" si="344"/>
        <v>10</v>
      </c>
      <c r="HR387" s="674">
        <f>IF(HR385=TRUE,0,HR$16)</f>
        <v>9</v>
      </c>
      <c r="HS387" s="674">
        <f t="shared" ref="HS387:HW387" si="345">IF(HS385=TRUE,0,HS$16)</f>
        <v>0</v>
      </c>
      <c r="HT387" s="674">
        <f t="shared" si="345"/>
        <v>0</v>
      </c>
      <c r="HU387" s="674">
        <f t="shared" si="345"/>
        <v>0</v>
      </c>
      <c r="HV387" s="674">
        <f t="shared" si="345"/>
        <v>0</v>
      </c>
      <c r="HW387" s="674">
        <f t="shared" si="345"/>
        <v>0</v>
      </c>
      <c r="HX387" s="674">
        <f>IF(HX385=TRUE,0,HX$16)</f>
        <v>0</v>
      </c>
      <c r="HY387" s="674">
        <f>IF(HY385=TRUE,0,HY$16)</f>
        <v>0</v>
      </c>
      <c r="HZ387" s="674">
        <f>IF(HZ385=TRUE,0,HZ$16)</f>
        <v>1</v>
      </c>
      <c r="IB387" s="674">
        <f>IF(GP385=FALSE,GP387,IF(GQ385=FALSE,GQ387,MAX(GN387:HZ387)))</f>
        <v>36</v>
      </c>
      <c r="IC387" s="1692"/>
      <c r="ID387" s="205" t="str">
        <f>VLOOKUP(IB387,_Error_Table,3,FALSE)</f>
        <v xml:space="preserve"> </v>
      </c>
      <c r="IE387" s="205"/>
      <c r="IF387" s="1688"/>
      <c r="IG387" s="1689"/>
      <c r="IH387" s="1684"/>
      <c r="IK387" s="1689"/>
      <c r="IL387" s="1692"/>
      <c r="IM387" s="1692"/>
      <c r="IN387" s="1692"/>
      <c r="IP387" s="1679"/>
      <c r="IQ387" s="1679"/>
      <c r="IR387" s="1679"/>
      <c r="IS387" s="1679"/>
      <c r="IT387" s="1679"/>
      <c r="IU387" s="1679"/>
      <c r="IV387" s="1679"/>
      <c r="IW387" s="1679"/>
      <c r="IX387" s="1679"/>
      <c r="IY387" s="1679"/>
      <c r="IZ387" s="1679"/>
      <c r="JA387" s="1679"/>
      <c r="JC387" s="1680"/>
      <c r="JD387" s="1670"/>
      <c r="JE387" s="1681"/>
      <c r="JG387" s="1680"/>
      <c r="JH387" s="1670"/>
      <c r="JI387" s="1060"/>
      <c r="JJ387" s="1670"/>
      <c r="JK387" s="1061"/>
      <c r="JL387" s="1670"/>
      <c r="JM387" s="1061"/>
      <c r="JN387" s="1670"/>
      <c r="JO387" s="1061"/>
      <c r="JP387" s="1670"/>
      <c r="JQ387" s="1061"/>
      <c r="JR387" s="1670"/>
      <c r="JS387" s="1061"/>
      <c r="JT387" s="1670"/>
      <c r="JU387" s="1061"/>
      <c r="JV387" s="1670"/>
      <c r="JX387" s="1670"/>
      <c r="JZ387" s="1670"/>
      <c r="KB387" s="1670"/>
    </row>
    <row r="388" spans="1:288" s="78" customFormat="1" ht="5.0999999999999996" customHeight="1">
      <c r="B388" s="676"/>
      <c r="C388" s="392"/>
      <c r="D388" s="392"/>
      <c r="E388" s="1733"/>
      <c r="F388" s="1733"/>
      <c r="G388" s="1733"/>
      <c r="H388" s="1733"/>
      <c r="I388" s="1733"/>
      <c r="J388" s="1733"/>
      <c r="K388" s="1733"/>
      <c r="L388" s="1733"/>
      <c r="M388" s="1733"/>
      <c r="N388" s="1733"/>
      <c r="O388" s="1733"/>
      <c r="P388" s="1733"/>
      <c r="Q388" s="1733"/>
      <c r="R388" s="1733"/>
      <c r="S388" s="1733"/>
      <c r="T388" s="1733"/>
      <c r="U388" s="1733"/>
      <c r="V388" s="1733"/>
      <c r="W388" s="1733"/>
      <c r="X388" s="1733"/>
      <c r="Y388" s="1733"/>
      <c r="Z388" s="1733"/>
      <c r="AA388" s="1733"/>
      <c r="AB388" s="1733"/>
      <c r="AC388" s="1733"/>
      <c r="AD388" s="1733"/>
      <c r="AE388" s="1733"/>
      <c r="AF388" s="1733"/>
      <c r="AG388" s="1733"/>
      <c r="AH388" s="1733"/>
      <c r="AI388" s="1733"/>
      <c r="AJ388" s="1733"/>
      <c r="AK388" s="1733"/>
      <c r="AL388" s="1733"/>
      <c r="AM388" s="1733"/>
      <c r="AN388" s="1733"/>
      <c r="AO388" s="1733"/>
      <c r="AP388" s="1733"/>
      <c r="AQ388" s="1733"/>
      <c r="AR388" s="1733"/>
      <c r="AS388" s="1733"/>
      <c r="AT388" s="1733"/>
      <c r="AU388" s="1733"/>
      <c r="AV388" s="1733"/>
      <c r="AW388" s="1733"/>
      <c r="AX388" s="469"/>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663"/>
      <c r="CQ388" s="663"/>
      <c r="CR388" s="438"/>
      <c r="CS388" s="663"/>
      <c r="CV388" s="391"/>
      <c r="CW388" s="391"/>
      <c r="CX388" s="207"/>
      <c r="CY388" s="208"/>
      <c r="CZ388" s="208"/>
      <c r="DA388" s="208"/>
      <c r="DB388" s="209"/>
      <c r="DC388" s="209"/>
      <c r="DD388" s="209"/>
      <c r="DF388" s="664"/>
      <c r="DG388" s="665"/>
      <c r="DH388" s="666"/>
      <c r="DI388" s="667"/>
      <c r="DJ388" s="668"/>
      <c r="DK388" s="668"/>
      <c r="DN388" s="208"/>
      <c r="DO388" s="664"/>
      <c r="DQ388" s="664"/>
      <c r="DR388" s="669"/>
      <c r="DS388" s="391"/>
      <c r="DT388" s="664"/>
      <c r="DU388" s="664"/>
      <c r="DV388" s="664"/>
      <c r="DX388" s="664"/>
      <c r="DY388" s="664"/>
      <c r="DZ388" s="664"/>
      <c r="EA388" s="664"/>
      <c r="EC388" s="670"/>
      <c r="ED388" s="670"/>
      <c r="EF388" s="668"/>
      <c r="EG388" s="668"/>
      <c r="EH388" s="208"/>
      <c r="EI388" s="668"/>
      <c r="EJ388" s="668"/>
      <c r="EK388" s="207"/>
      <c r="EL388" s="207"/>
      <c r="EM388" s="666"/>
      <c r="EN388" s="671"/>
      <c r="EO388" s="671"/>
      <c r="EP388" s="672"/>
      <c r="EQ388" s="672"/>
      <c r="ER388" s="666"/>
      <c r="ES388" s="666"/>
      <c r="ET388" s="666"/>
      <c r="EV388" s="664"/>
      <c r="EX388" s="391"/>
      <c r="EY388" s="391"/>
      <c r="EZ388" s="391"/>
      <c r="FA388" s="391"/>
      <c r="FB388" s="391"/>
      <c r="FC388" s="391"/>
      <c r="FE388" s="569"/>
      <c r="FG388" s="391"/>
      <c r="FH388" s="391"/>
      <c r="FI388" s="391"/>
      <c r="FS388" s="664"/>
      <c r="FT388" s="391"/>
      <c r="FU388" s="391"/>
      <c r="FV388" s="664"/>
      <c r="FW388" s="664"/>
      <c r="GA388" s="663"/>
      <c r="GB388" s="663"/>
      <c r="GC388" s="663"/>
      <c r="GD388" s="663"/>
      <c r="GE388" s="663"/>
      <c r="GF388" s="663"/>
      <c r="GG388" s="663"/>
      <c r="GH388" s="663"/>
      <c r="GI388" s="665"/>
      <c r="GJ388" s="664"/>
      <c r="GK388" s="664"/>
    </row>
    <row r="389" spans="1:288" s="78" customFormat="1" ht="14.95" customHeight="1">
      <c r="B389" s="1845" t="str">
        <f>ID392</f>
        <v xml:space="preserve"> </v>
      </c>
      <c r="C389" s="1846">
        <f>C384+1</f>
        <v>67</v>
      </c>
      <c r="D389" s="1847"/>
      <c r="E389" s="1799" t="s">
        <v>295</v>
      </c>
      <c r="F389" s="1800"/>
      <c r="G389" s="1741"/>
      <c r="H389" s="1742"/>
      <c r="I389" s="1742"/>
      <c r="J389" s="1742"/>
      <c r="K389" s="1742"/>
      <c r="L389" s="1742"/>
      <c r="M389" s="1742"/>
      <c r="N389" s="1742"/>
      <c r="O389" s="1742"/>
      <c r="P389" s="1742"/>
      <c r="Q389" s="1742"/>
      <c r="R389" s="1742"/>
      <c r="S389" s="1791" t="s">
        <v>344</v>
      </c>
      <c r="T389" s="590"/>
      <c r="U389" s="1743"/>
      <c r="V389" s="1744"/>
      <c r="W389" s="1744"/>
      <c r="X389" s="1744"/>
      <c r="Y389" s="1744"/>
      <c r="Z389" s="1744"/>
      <c r="AA389" s="1744"/>
      <c r="AB389" s="961" t="str">
        <f>IFERROR(IF(__Retrofit_TI_NC=0,VLOOKUP(U390,Fixtures_Existing_List,2,FALSE),ROUND(N391*R391/T391,10)),"")</f>
        <v/>
      </c>
      <c r="AC389" s="935" t="str">
        <f>IFERROR(IF(__Retrofit_TI_NC=0,ROUND(T390*AB389*N390*R390/1000,0),IF(CQ389="Interior",N391*R391*R390*N390*_C406_reduction/1000,N391*R391*R390*N390/1000)),"")</f>
        <v/>
      </c>
      <c r="AD389" s="936" t="str">
        <f>IFERROR(IF(C$43=0,ROUND(T390*AB389/1000,2),N391*R391/1000),"")</f>
        <v/>
      </c>
      <c r="AE389" s="997"/>
      <c r="AF389" s="937"/>
      <c r="AG389" s="1745" t="str">
        <f>IF(__Retrofit_TI_NC=0," Control","Select Advanced Control for New System")</f>
        <v xml:space="preserve"> Control</v>
      </c>
      <c r="AH389" s="1745"/>
      <c r="AI389" s="1745"/>
      <c r="AJ389" s="1745"/>
      <c r="AK389" s="1745"/>
      <c r="AL389" s="1745"/>
      <c r="AM389" s="1746">
        <f>IFERROR(DI389,"")</f>
        <v>0</v>
      </c>
      <c r="AN389" s="1774" t="str">
        <f>IFERROR(ROUND(AM389*AC389,0),"")</f>
        <v/>
      </c>
      <c r="AO389" s="1776">
        <f>IFERROR(IF(IB389=FALSE,0,AC389-AN389),0)</f>
        <v>0</v>
      </c>
      <c r="AP389" s="1778">
        <f>AO389-AO391</f>
        <v>0</v>
      </c>
      <c r="AQ389" s="1779"/>
      <c r="AR389" s="1793">
        <f>IFERROR(IF(IB389=FALSE,0,(T391*U392)+(AF391*AG392)),0)</f>
        <v>0</v>
      </c>
      <c r="AS389" s="1793"/>
      <c r="AT389" s="1794"/>
      <c r="AU389" s="1734" t="s">
        <v>237</v>
      </c>
      <c r="AV389" s="1751">
        <f>IF(AU389="Yes",1,0)</f>
        <v>1</v>
      </c>
      <c r="AW389" s="1704" t="str">
        <f>IF(OR(DQ389=4,DQ389=5,DQ389=6,DQ389=12),CONCATENATE("$",IF(GH389=TRUE,Lookup!$K$10,Lookup!$K$2)," /lamp"),CONCATENATE(TEXT(ED389,"$0.00"),"/ kWh"))</f>
        <v>$0.00/ kWh</v>
      </c>
      <c r="AX389" s="467"/>
      <c r="AY389" s="1748">
        <f ca="1">IFERROR(IF(GM390=TRUE,(AB392*T391)/R391,0),"NA")</f>
        <v>0</v>
      </c>
      <c r="AZ389" s="1748"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696" t="str">
        <f>N390</f>
        <v/>
      </c>
      <c r="CQ389" s="1696" t="str">
        <f>IFERROR(VLOOKUP(G390,_Lookup_Heat_Type_Table_New,3,FALSE),"")</f>
        <v/>
      </c>
      <c r="CR389" s="1808" t="str">
        <f>CQ389</f>
        <v/>
      </c>
      <c r="CS389" s="1810" t="str">
        <f>IFERROR(VLOOKUP(G391,'Space Table'!$B$3:$L$163,9,FALSE),"")</f>
        <v/>
      </c>
      <c r="CU389" s="1688" t="s">
        <v>344</v>
      </c>
      <c r="CV389" s="1702">
        <f>IF(IB389=TRUE,T390,0)</f>
        <v>0</v>
      </c>
      <c r="CW389" s="1702" t="str">
        <f>IF(IB389=TRUE,U390,"")</f>
        <v/>
      </c>
      <c r="CX389" s="1702"/>
      <c r="CY389" s="1814">
        <f>IF(IB389=TRUE,AB389,0)</f>
        <v>0</v>
      </c>
      <c r="CZ389" s="1710">
        <f>IF(AND(__Retrofit_TI_NC&gt;0,CR389="interior"),0,IF(IB389=TRUE,AC389,0))</f>
        <v>0</v>
      </c>
      <c r="DA389" s="1814">
        <f>IFERROR(IF(IB389=TRUE,CZ389-CZ391,0),0)</f>
        <v>0</v>
      </c>
      <c r="DB389" s="1819">
        <f>IF(IB389=TRUE,AD389,0)</f>
        <v>0</v>
      </c>
      <c r="DC389" s="1819">
        <f>IF(IB389=TRUE,AD392,0)</f>
        <v>0</v>
      </c>
      <c r="DD389" s="1819">
        <f>IFERROR(DB389-DC389,0)</f>
        <v>0</v>
      </c>
      <c r="DF389" s="1702">
        <f>IF(IB389=TRUE,AF390,0)</f>
        <v>0</v>
      </c>
      <c r="DG389" s="1830">
        <f>IFERROR(IF(__Retrofit_TI_NC=2,IF(CQ389="Exterior",O392,FQ389),FN389),"")</f>
        <v>0</v>
      </c>
      <c r="DH389" s="1702"/>
      <c r="DI389" s="1837">
        <f>JE389</f>
        <v>0</v>
      </c>
      <c r="DJ389" s="1710">
        <f>IF(AND(__Retrofit_TI_NC&gt;0,CR389="interior"),0,IF(IB389=TRUE,AN389,0))</f>
        <v>0</v>
      </c>
      <c r="DK389" s="1712">
        <f>IFERROR(IF(IB389=TRUE,DJ391-DJ389,0),0)</f>
        <v>0</v>
      </c>
      <c r="DM389" s="1717">
        <f>IFERROR(CZ389-DJ389,0)</f>
        <v>0</v>
      </c>
      <c r="DO389" s="1708">
        <f>DM389-DN391</f>
        <v>0</v>
      </c>
      <c r="DQ389" s="1715" t="str">
        <f>IFERROR(IF(AND(OR(GC389=4,GC389=5,GC389=6),OR(GF389=4,GF389=5,GF389=6)),GC389+8,VLOOKUP(CW391,Fixtures!R$31:Y$78,8,FALSE)),"")</f>
        <v/>
      </c>
      <c r="DR389" s="1829" t="str">
        <f>DQ389</f>
        <v/>
      </c>
      <c r="DS389" s="1702" t="str">
        <f>IFERROR(VLOOKUP(DG391,Lookup!BB$3:BC$20,2,FALSE),"")</f>
        <v/>
      </c>
      <c r="DT389" s="1713" t="str">
        <f>IF(OR(DS389=7,DS389=8,DS389=9),"ALC","")</f>
        <v/>
      </c>
      <c r="DU389" s="1715">
        <f>IFERROR(IF(OR(DQ389=4,DQ389=5,DQ389=6,DQ389=12,DQ389=13,DQ389=14),VLOOKUP(CW391,Fixtures!DN$27:EG$77,19,FALSE),1)*CV391,0)</f>
        <v>0</v>
      </c>
      <c r="DV389" s="1716">
        <f>IF(OR(DS389=7,DS389=8,DS389=9),IF(DG389=DG391,0,DF391),0)</f>
        <v>0</v>
      </c>
      <c r="DX389" s="1715" t="str">
        <f>IFERROR(IF(EZ389&lt;EZ391,"Yes","No"),"")</f>
        <v/>
      </c>
      <c r="DY389" s="1829" t="str">
        <f>DX389</f>
        <v/>
      </c>
      <c r="DZ389" s="1715">
        <f>IF(DX389="Yes",DF391,0)</f>
        <v>0</v>
      </c>
      <c r="EA389" s="1715">
        <f>DZ389-DV389</f>
        <v>0</v>
      </c>
      <c r="EC389" s="1834">
        <f>IFERROR(VLOOKUP(DQ389,Lookup!AU$3:AV$16,2,FALSE),0)</f>
        <v>0</v>
      </c>
      <c r="ED389" s="1834">
        <f>IF(IB389=FALSE,0,IF(DX389="Yes",EC389+Lookup!K$6,EC389))</f>
        <v>0</v>
      </c>
      <c r="EF389" s="1707">
        <f>IF(IB389=TRUE,DM389,0)</f>
        <v>0</v>
      </c>
      <c r="EG389" s="1712">
        <f>IF(IB389=TRUE,CZ391,0)</f>
        <v>0</v>
      </c>
      <c r="EH389" s="1814">
        <f>IFERROR(EF389-EG389,0)</f>
        <v>0</v>
      </c>
      <c r="EI389" s="1712">
        <f>IF(IB389=TRUE,DJ391,0)</f>
        <v>0</v>
      </c>
      <c r="EJ389" s="1712">
        <f>IFERROR(EF389-EG389+EI389,0)</f>
        <v>0</v>
      </c>
      <c r="EK389" s="1812">
        <f>IF(IB389=TRUE,CV391*CX391,0)</f>
        <v>0</v>
      </c>
      <c r="EL389" s="1812">
        <f>IF(IB389=TRUE,DF391*DH391,0)</f>
        <v>0</v>
      </c>
      <c r="EM389" s="1807">
        <f>AR389</f>
        <v>0</v>
      </c>
      <c r="EN389" s="1839" t="str">
        <f>IFERROR(IF(IB389=TRUE,VLOOKUP(DQ389,Lookup!AU$3:AW$16,3,FALSE)*DU389,""),0)</f>
        <v/>
      </c>
      <c r="EO389" s="1839">
        <f>IF(IB389=TRUE,DZ389*Lookup!AW$12,0)</f>
        <v>0</v>
      </c>
      <c r="EP389" s="1817">
        <f>IFERROR(IF(IB389=TRUE,EN389/EP$40,0),0)</f>
        <v>0</v>
      </c>
      <c r="EQ389" s="1817">
        <f>IF(IB389=TRUE,EO389/EQ$40,0)</f>
        <v>0</v>
      </c>
      <c r="ER389" s="1807">
        <f>IF(IB389=TRUE,ET$40*EP389,0)</f>
        <v>0</v>
      </c>
      <c r="ES389" s="1807">
        <f>IF(IB389=TRUE,ET$40*EQ389,0)</f>
        <v>0</v>
      </c>
      <c r="ET389" s="1807">
        <f>ER389+ES389</f>
        <v>0</v>
      </c>
      <c r="EV389" s="1715">
        <f>IF(G389="",0,1)</f>
        <v>0</v>
      </c>
      <c r="EX389" s="1804" t="str">
        <f>IFERROR(VLOOKUP(CS391,'Space Table'!$B$3:$L$163,8,FALSE),"")</f>
        <v/>
      </c>
      <c r="EY389" s="1804" t="str">
        <f>IFERROR(IF(FB389="Yes",VLOOKUP(DG389,Lookup_Control_Type_Table2,4,FALSE),VLOOKUP(DG389,Lookup_Control_Type_Table2,3,FALSE)),"")</f>
        <v/>
      </c>
      <c r="EZ389" s="1804" t="e">
        <f>VLOOKUP(DG389,Lookup!BB$3:BC$20,2,FALSE)</f>
        <v>#N/A</v>
      </c>
      <c r="FA389" s="1804" t="e">
        <f>VLOOKUP(EX389,Lookup_Control_Type_Table,2,FALSE)</f>
        <v>#N/A</v>
      </c>
      <c r="FB389" s="1804" t="e">
        <f>VLOOKUP(CS391,'Space Table'!$B$3:$L$163,7,FALSE)</f>
        <v>#N/A</v>
      </c>
      <c r="FC389" s="1826" t="b">
        <f>ISNUMBER(SEARCH("TLED",U391))</f>
        <v>0</v>
      </c>
      <c r="FE389" s="1698" t="str">
        <f>CONCATENATE(CQ389," - ",DG389)</f>
        <v xml:space="preserve"> - 0</v>
      </c>
      <c r="FG389" s="1702" t="str">
        <f>VLOOKUP(CW391,Fixtures!DN$27:EZ$77,38,FALSE)</f>
        <v/>
      </c>
      <c r="FH389" s="1702">
        <f>IFERROR(FG389*EH389,0)</f>
        <v>0</v>
      </c>
      <c r="FI389" s="133"/>
      <c r="FL389" s="1822" t="str">
        <f>IF(CQ389="Exterior","Not Daylighted",G392)</f>
        <v>Not Daylighted</v>
      </c>
      <c r="FM389" s="1824">
        <f>VLOOKUP(FL389,_New_Daylight_Table_Codes,2,FALSE)</f>
        <v>0</v>
      </c>
      <c r="FN389" s="1698">
        <f>IF(__Retrofit_TI_NC&gt;0,VLOOKUP(G391,'Space Table'!$B$3:$L$163,11,FALSE),AG390)</f>
        <v>0</v>
      </c>
      <c r="FO389" s="1698" t="e">
        <f>IF(__Retrofit_TI_NC=2,VLOOKUP(FQ389,_Control_Table,2,FALSE),VLOOKUP(FN389,_Control_Table,2,FALSE))</f>
        <v>#N/A</v>
      </c>
      <c r="FP389" s="1678" t="e">
        <f>VLOOKUP(CONCATENATE(FL389," ",FN389),Lookup!AY$102:AZ399,2,FALSE)</f>
        <v>#N/A</v>
      </c>
      <c r="FQ389" s="1678">
        <f>IF(__Retrofit_TI_NC=0,FN389,IF(AND(FT389&gt;0,FN389="Occupancy Sensor"),"Daylight + Occupancy",IF(AND(FT389&gt;0,VLOOKUP(FN389,_Control_Table,2,FALSE)&lt;4),"Interior Daylight Dimming",FN389)))</f>
        <v>0</v>
      </c>
      <c r="FS389" s="1686">
        <f>IF(CR389="Interior",VLOOKUP(CS389,Control_Savings_Interior,5,FALSE),0)</f>
        <v>0</v>
      </c>
      <c r="FT389" s="1687">
        <f>IF(CQ389="Exterior",0,IF(FM389=2,0.5,IF(OR(FM389=1,FM389=3),1,0)))</f>
        <v>0</v>
      </c>
      <c r="FU389" s="1685">
        <f>IF(R388&gt;FS$44,(FS389*(FS$44/R388)),FS389)*FT389</f>
        <v>0</v>
      </c>
      <c r="FV389" s="1686">
        <f>DI389</f>
        <v>0</v>
      </c>
      <c r="FW389" s="1686">
        <f>ROUND(FV389+((1-FV389)*FU389),2)</f>
        <v>0</v>
      </c>
      <c r="FX389" s="1686">
        <f>IF(__Retrofit_TI_NC=2,FW389,FV389)</f>
        <v>0</v>
      </c>
      <c r="FY389" s="1697"/>
      <c r="GA389" s="1696" t="str">
        <f>IFERROR(VLOOKUP(U390,_Exist_Fixture_Table,3,FALSE),"")</f>
        <v/>
      </c>
      <c r="GB389" s="1696" t="str">
        <f>VLOOKUP(CW389,_Exist_Fixture_Table,4,FALSE)</f>
        <v/>
      </c>
      <c r="GC389" s="1696">
        <f>IFERROR(VLOOKUP(GB389,Lookup!AT$6:AU$8,2,FALSE),0)</f>
        <v>0</v>
      </c>
      <c r="GD389" s="1696" t="b">
        <f>IFERROR(IF(OR(GF389=4,GF389=5,GF389=6),TRUE,FALSE),"")</f>
        <v>0</v>
      </c>
      <c r="GE389" s="1696" t="str">
        <f>IFERROR(VLOOKUP(GF389,GC$6:GD$10,2,FALSE),"")</f>
        <v/>
      </c>
      <c r="GF389" s="1696" t="str">
        <f>VLOOKUP(CW391,Fixtures!R$31:Y$78,8,FALSE)</f>
        <v/>
      </c>
      <c r="GG389" s="1696">
        <f>IF(AND(GA389=TRUE,GD389=TRUE,OR(DQ389=12,DQ389=13,DQ389=14)),GC389+8,0)</f>
        <v>0</v>
      </c>
      <c r="GH389" s="1696" t="b">
        <f>IF(OR(GG389=12,GG389=13,GG389=14),TRUE,FALSE)</f>
        <v>0</v>
      </c>
      <c r="GI389" s="673" t="b">
        <f>IF(ISNUMBER(SEARCH("TLED",U390)),TRUE,FALSE)</f>
        <v>0</v>
      </c>
      <c r="GJ389" s="1135" t="str">
        <f>IFERROR(VLOOKUP(U390,Fixtures!BM$93:BR$142,6,FALSE),"")</f>
        <v/>
      </c>
      <c r="GK389" s="1832" t="b">
        <f>IF(OR(GI389=FALSE,GI391=FALSE),TRUE,IF(GJ389-GJ391&lt;5,FALSE,TRUE))</f>
        <v>1</v>
      </c>
      <c r="GO389" s="674">
        <f>GP389</f>
        <v>0</v>
      </c>
      <c r="GP389" s="674">
        <f>IF(G389="",0,1)</f>
        <v>0</v>
      </c>
      <c r="GQ389" s="674">
        <f ca="1">SUM(GR389:HF389)</f>
        <v>2</v>
      </c>
      <c r="GR389" s="674">
        <f>IF(G390="",0,1)</f>
        <v>0</v>
      </c>
      <c r="GS389" s="674">
        <f>IF(N392="BAM",1,IF(G391="",0,1))</f>
        <v>0</v>
      </c>
      <c r="GT389" s="674">
        <f>IF(N392="BAM",1,IF(R390="",0,1))</f>
        <v>0</v>
      </c>
      <c r="GU389" s="674">
        <f>IF(N392="BAM",1,IF(__Retrofit_TI_NC=0,1,IF(R391="",0,1)))</f>
        <v>1</v>
      </c>
      <c r="GV389" s="674">
        <f>IF(N392="BAM",1,IF(CQ389="Exterior",1,IF(G392="",0,1)))</f>
        <v>1</v>
      </c>
      <c r="GW389" s="674">
        <f>IF(__Retrofit_TI_NC&gt;0,1,IF(T390="",0,1))</f>
        <v>0</v>
      </c>
      <c r="GX389" s="674">
        <f>IF(__Retrofit_TI_NC&gt;0,1,IF(U390="",0,1))</f>
        <v>0</v>
      </c>
      <c r="GY389" s="674">
        <f>IF(N392="BAM",1,IF(T391="",0,1))</f>
        <v>0</v>
      </c>
      <c r="GZ389" s="674">
        <f>IF(N392="BAM",1,IF(U391="",0,1))</f>
        <v>0</v>
      </c>
      <c r="HA389" s="674">
        <f ca="1">IF(N392="BAM",1,IF(__Retrofit_TI_NC&gt;0,1,IF(U392="",0,1)))</f>
        <v>0</v>
      </c>
      <c r="HB389" s="674">
        <f>IF(__Retrofit_TI_NC&lt;&gt;0,1,IF(AF390="",0,1))</f>
        <v>0</v>
      </c>
      <c r="HC389" s="674">
        <f>IF(__Retrofit_TI_NC&lt;&gt;0,1,IF(AG390="",0,1))</f>
        <v>0</v>
      </c>
      <c r="HD389" s="674">
        <f>IF(N392="BAM",1,IF(AF391="",0,1))</f>
        <v>0</v>
      </c>
      <c r="HE389" s="674">
        <f>IF(N392="BAM",1,IF(AG391="",0,1))</f>
        <v>0</v>
      </c>
      <c r="HF389" s="674">
        <f>IF(N392="BAM",1,IF(__Retrofit_TI_NC&gt;0,1,IF(AG392="",0,1)))</f>
        <v>0</v>
      </c>
      <c r="HG389" s="391"/>
      <c r="IA389" s="391"/>
      <c r="IB389" s="1693" t="b">
        <f>IF(OR(IB392=0,IB392=HY$16,IB392=HX$16,IB392=HZ$16),TRUE,FALSE)</f>
        <v>0</v>
      </c>
      <c r="IC389" s="1694" t="b">
        <f>IB389</f>
        <v>0</v>
      </c>
      <c r="ID389" s="391"/>
      <c r="IE389" s="391"/>
      <c r="IF389" s="1688" t="b">
        <f ca="1">IF(MAX(GN392:HU392)&gt;5,FALSE,TRUE)</f>
        <v>0</v>
      </c>
      <c r="IG389" s="1689">
        <f ca="1">IF(IF389=TRUE,AC389,0)</f>
        <v>0</v>
      </c>
      <c r="IH389" s="1689">
        <f ca="1">IG389-IG391</f>
        <v>0</v>
      </c>
      <c r="IK389" s="1689" t="e">
        <f>ROUND(T390*VLOOKUP(U390,Fixtures_Existing_List,2,FALSE)*N390*R390/1000,0)</f>
        <v>#N/A</v>
      </c>
      <c r="IL389" s="1690" t="e">
        <f>IK389-IK391</f>
        <v>#N/A</v>
      </c>
      <c r="IM389" s="1693" t="e">
        <f>ROUND(IF(CQ389="Interior",N391*R391*R390*N390*_C406_reduction/1000,N391*R391*R390*N390/1000),0)</f>
        <v>#N/A</v>
      </c>
      <c r="IN389" s="1693" t="e">
        <f>IM389-IM391</f>
        <v>#N/A</v>
      </c>
      <c r="IP389" s="1679"/>
      <c r="IQ389" s="1679" t="e">
        <f t="shared" ref="IQ389:IU389" si="346">IF($CR389="interior",VLOOKUP($CS389,_New_Control_Savings_Interior,IQ$30,FALSE),VLOOKUP($CS389,Control_Savings_Exterior,IQ$30,FALSE))</f>
        <v>#N/A</v>
      </c>
      <c r="IR389" s="1679" t="e">
        <f t="shared" si="346"/>
        <v>#N/A</v>
      </c>
      <c r="IS389" s="1679" t="e">
        <f t="shared" si="346"/>
        <v>#N/A</v>
      </c>
      <c r="IT389" s="1679" t="e">
        <f t="shared" si="346"/>
        <v>#N/A</v>
      </c>
      <c r="IU389" s="1679" t="e">
        <f t="shared" si="346"/>
        <v>#N/A</v>
      </c>
      <c r="IV389" s="1679" t="e">
        <f>IF($CR389="interior",IF(R390&gt;$IP$14,ROUND(($IV$18*($IP$14/R390)),2),$IV$18),VLOOKUP($CS389,Control_Savings_Exterior,IV$30,FALSE))</f>
        <v>#N/A</v>
      </c>
      <c r="IW389" s="1679" t="e">
        <f>IF($CR389="interior",ROUND(((1-IS389)*IV389)+IS389,2),VLOOKUP($CS389,Control_Savings_Exterior,IW$30,FALSE))</f>
        <v>#N/A</v>
      </c>
      <c r="IX389" s="1679" t="e">
        <f>IF($CR389="interior",ROUND(((1-IT389)*IV389)+IT389,2),VLOOKUP($CS389,Control_Savings_Exterior,IX$30,FALSE))</f>
        <v>#N/A</v>
      </c>
      <c r="IY389" s="1679" t="e">
        <f>IF($CR389="interior",IF(R390&gt;$IP$14,ROUND(($IY$18*($IP$14/R390)),2),$IY$18),VLOOKUP($CS389,Control_Savings_Exterior,IY$30,FALSE))</f>
        <v>#N/A</v>
      </c>
      <c r="IZ389" s="1679" t="e">
        <f>IF($CR389="interior",ROUND(((1-IS389)*IY389)+IS389,2),VLOOKUP($CS389,Control_Savings_Exterior,IZ$30,FALSE))</f>
        <v>#N/A</v>
      </c>
      <c r="JA389" s="1679" t="e">
        <f>IF($CR389="interior",ROUND(((1-IT389)*IY389)+IT389,2),VLOOKUP($CS389,Control_Savings_Exterior,JA$30,FALSE))</f>
        <v>#N/A</v>
      </c>
      <c r="JC389" s="1680">
        <f>IFERROR(IF(CR389="Interior",CONCATENATE(G392," ",FQ389),FQ389),"")</f>
        <v>0</v>
      </c>
      <c r="JD389" s="1670" t="str">
        <f>IFERROR(VLOOKUP(JC389,_Controls_2023,2,FALSE),"")</f>
        <v/>
      </c>
      <c r="JE389" s="1681">
        <f>IFERROR(CHOOSE(JD389-1,IQ389,IR389,IS389,IT389,IU389,IV389,IW389,IX389,IY389,IZ389,JA389),0)</f>
        <v>0</v>
      </c>
      <c r="JG389" s="1680" t="str">
        <f>FE389</f>
        <v xml:space="preserve"> - 0</v>
      </c>
      <c r="JH389" s="1670" t="e">
        <f>$FO389</f>
        <v>#N/A</v>
      </c>
      <c r="JI389" s="1060"/>
      <c r="JJ389" s="1682" t="b">
        <f>IF($JG391=CONCATENATE("Interior - ",JJ$4),TRUE,FALSE)</f>
        <v>0</v>
      </c>
      <c r="JK389" s="1061"/>
      <c r="JL389" s="1682" t="b">
        <f>IF($JG391=CONCATENATE("Interior - ",JL$4),TRUE,FALSE)</f>
        <v>0</v>
      </c>
      <c r="JM389" s="1061"/>
      <c r="JN389" s="1682" t="b">
        <f>IF($JG391=CONCATENATE("Interior - ",JN$4),TRUE,FALSE)</f>
        <v>0</v>
      </c>
      <c r="JO389" s="1061"/>
      <c r="JP389" s="1682" t="b">
        <f>IF(__Retrofit_TI_NC&gt;0,FALSE,IF($JG391=CONCATENATE("Interior - ",JP$4),TRUE,FALSE))</f>
        <v>0</v>
      </c>
      <c r="JQ389" s="1061"/>
      <c r="JR389" s="1682" t="b">
        <f>IF(__Retrofit_TI_NC&gt;0,FALSE,IF($JG391=CONCATENATE("Interior - ",JR$4),TRUE,FALSE))</f>
        <v>0</v>
      </c>
      <c r="JS389" s="1061"/>
      <c r="JT389" s="1670" t="b">
        <f>IF(__Retrofit_TI_NC&gt;0,FALSE,IF($JG391=CONCATENATE("Interior - ",JT$4),TRUE,FALSE))</f>
        <v>0</v>
      </c>
      <c r="JU389" s="1061"/>
      <c r="JV389" s="1670" t="b">
        <f>IF(JC391="AELC on Existing",TRUE,FALSE)</f>
        <v>0</v>
      </c>
      <c r="JX389" s="1670" t="b">
        <f>IF(OR(JG391="Exterior - AELC Occupancy based",JG391="Exterior - AELC Time based"),TRUE,FALSE)</f>
        <v>0</v>
      </c>
      <c r="JZ389" s="1682" t="b">
        <f>IF($JG391=CONCATENATE("Exterior - ",JZ$4),TRUE,FALSE)</f>
        <v>0</v>
      </c>
      <c r="KB389" s="1670" t="b">
        <f>IF(__Retrofit_TI_NC&gt;0,FALSE,IF($JG391=CONCATENATE("Interior - ",KB$4),TRUE,FALSE))</f>
        <v>0</v>
      </c>
    </row>
    <row r="390" spans="1:288" s="78" customFormat="1" ht="14.95" customHeight="1" thickTop="1" thickBot="1">
      <c r="B390" s="1845"/>
      <c r="C390" s="1846"/>
      <c r="D390" s="1847"/>
      <c r="E390" s="1737" t="s">
        <v>297</v>
      </c>
      <c r="F390" s="1738"/>
      <c r="G390" s="1739"/>
      <c r="H390" s="1739"/>
      <c r="I390" s="1739"/>
      <c r="J390" s="1739"/>
      <c r="K390" s="1739"/>
      <c r="L390" s="1739"/>
      <c r="M390" s="461" t="e">
        <f>IF(__Retrofit_TI_NC&lt;&gt;0,IF(VLOOKUP(G391,'Space Table'!$B$3:$L$163,3,FALSE)&gt;0,1,0),IF(__Retrofit_TI_NC=VLOOKUP(G391,'Space Table'!$B$3:$L$163,3,FALSE),1,0))</f>
        <v>#N/A</v>
      </c>
      <c r="N390" s="461" t="str">
        <f>IFERROR(VLOOKUP(G390,_Lookup_Heat_Type_Table_New,2,FALSE),"")</f>
        <v/>
      </c>
      <c r="O390" s="461">
        <f>IF(__Retrofit_TI_NC=1,CONCATENATE("TI ",G390),IF(__Retrofit_TI_NC=2,CONCATENATE("NC ",G390),G390))</f>
        <v>0</v>
      </c>
      <c r="P390" s="1740" t="s">
        <v>435</v>
      </c>
      <c r="Q390" s="1740"/>
      <c r="R390" s="595"/>
      <c r="S390" s="1792"/>
      <c r="T390" s="597"/>
      <c r="U390" s="1765"/>
      <c r="V390" s="1766"/>
      <c r="W390" s="1766"/>
      <c r="X390" s="1766"/>
      <c r="Y390" s="1766"/>
      <c r="Z390" s="1766"/>
      <c r="AA390" s="1766"/>
      <c r="AB390" s="1766"/>
      <c r="AC390" s="1766"/>
      <c r="AD390" s="1767"/>
      <c r="AE390" s="1000"/>
      <c r="AF390" s="597"/>
      <c r="AG390" s="1723"/>
      <c r="AH390" s="1724"/>
      <c r="AI390" s="1724"/>
      <c r="AJ390" s="1724"/>
      <c r="AK390" s="1725"/>
      <c r="AL390" s="996"/>
      <c r="AM390" s="1747"/>
      <c r="AN390" s="1775"/>
      <c r="AO390" s="1777"/>
      <c r="AP390" s="1780"/>
      <c r="AQ390" s="1781"/>
      <c r="AR390" s="1795"/>
      <c r="AS390" s="1795"/>
      <c r="AT390" s="1796"/>
      <c r="AU390" s="1735"/>
      <c r="AV390" s="1752"/>
      <c r="AW390" s="1705"/>
      <c r="AX390" s="467"/>
      <c r="AY390" s="1749"/>
      <c r="AZ390" s="1749"/>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696"/>
      <c r="CQ390" s="1696"/>
      <c r="CR390" s="1809"/>
      <c r="CS390" s="1811"/>
      <c r="CU390" s="1688"/>
      <c r="CV390" s="1703"/>
      <c r="CW390" s="1703"/>
      <c r="CX390" s="1703"/>
      <c r="CY390" s="1815"/>
      <c r="CZ390" s="1711"/>
      <c r="DA390" s="1818"/>
      <c r="DB390" s="1820"/>
      <c r="DC390" s="1820"/>
      <c r="DD390" s="1820"/>
      <c r="DF390" s="1703"/>
      <c r="DG390" s="1831"/>
      <c r="DH390" s="1703"/>
      <c r="DI390" s="1838"/>
      <c r="DJ390" s="1711"/>
      <c r="DK390" s="1712"/>
      <c r="DM390" s="1718"/>
      <c r="DO390" s="1708"/>
      <c r="DQ390" s="1715"/>
      <c r="DR390" s="1720"/>
      <c r="DS390" s="1816"/>
      <c r="DT390" s="1714"/>
      <c r="DU390" s="1715"/>
      <c r="DV390" s="1716"/>
      <c r="DX390" s="1715"/>
      <c r="DY390" s="1720"/>
      <c r="DZ390" s="1715"/>
      <c r="EA390" s="1715"/>
      <c r="EC390" s="1834"/>
      <c r="ED390" s="1834"/>
      <c r="EF390" s="1707"/>
      <c r="EG390" s="1712"/>
      <c r="EH390" s="1818"/>
      <c r="EI390" s="1712"/>
      <c r="EJ390" s="1712"/>
      <c r="EK390" s="1836"/>
      <c r="EL390" s="1836"/>
      <c r="EM390" s="1807"/>
      <c r="EN390" s="1839"/>
      <c r="EO390" s="1839"/>
      <c r="EP390" s="1817"/>
      <c r="EQ390" s="1817"/>
      <c r="ER390" s="1807"/>
      <c r="ES390" s="1807"/>
      <c r="ET390" s="1807"/>
      <c r="EV390" s="1715"/>
      <c r="EX390" s="1805"/>
      <c r="EY390" s="1805"/>
      <c r="EZ390" s="1805"/>
      <c r="FA390" s="1805"/>
      <c r="FB390" s="1805"/>
      <c r="FC390" s="1827"/>
      <c r="FE390" s="1698"/>
      <c r="FG390" s="1816"/>
      <c r="FH390" s="1816"/>
      <c r="FI390" s="133"/>
      <c r="FL390" s="1823"/>
      <c r="FM390" s="1825"/>
      <c r="FN390" s="1698"/>
      <c r="FO390" s="1698"/>
      <c r="FP390" s="1678"/>
      <c r="FQ390" s="1678"/>
      <c r="FS390" s="1687"/>
      <c r="FT390" s="1687"/>
      <c r="FU390" s="1685"/>
      <c r="FV390" s="1687"/>
      <c r="FW390" s="1687"/>
      <c r="FX390" s="1687"/>
      <c r="FY390" s="1697"/>
      <c r="GA390" s="1696"/>
      <c r="GB390" s="1696"/>
      <c r="GC390" s="1696"/>
      <c r="GD390" s="1696"/>
      <c r="GE390" s="1696"/>
      <c r="GF390" s="1696"/>
      <c r="GG390" s="1696"/>
      <c r="GH390" s="1696"/>
      <c r="GI390" s="673"/>
      <c r="GJ390" s="1135"/>
      <c r="GK390" s="1832"/>
      <c r="GM390" s="1693" t="b">
        <f ca="1">IF(AND(GP390=TRUE,GQ390=TRUE),TRUE,FALSE)</f>
        <v>0</v>
      </c>
      <c r="GN390" s="1684" t="b">
        <f>IFERROR(IF(__Retrofit_TI_NC=2,TRUE,IF(AU389="Yes",TRUE,FALSE)),FALSE)</f>
        <v>1</v>
      </c>
      <c r="GP390" s="1684" t="b">
        <f>IFERROR(IF(GP389=1,TRUE,FALSE),FALSE)</f>
        <v>0</v>
      </c>
      <c r="GQ390" s="1684" t="b">
        <f ca="1">IFERROR(IF(GQ389=GQ$14,TRUE,FALSE),FALSE)</f>
        <v>0</v>
      </c>
      <c r="HG390" s="1684" t="b">
        <f>IFERROR(IF(AND(__Retrofit_TI_NC&gt;0,CQ389="Interior"),FALSE,TRUE),FALSE)</f>
        <v>1</v>
      </c>
      <c r="HH390" s="1684" t="b">
        <f>IFERROR(IF(M390=1,TRUE,FALSE),FALSE)</f>
        <v>0</v>
      </c>
      <c r="HI390" s="1684" t="b">
        <f>IFERROR(IF(OR(M391=1,N392="BAM"),TRUE,FALSE),FALSE)</f>
        <v>0</v>
      </c>
      <c r="HJ390" s="1684" t="b">
        <f>IFERROR(IF(__Retrofit_TI_NC&lt;&gt;0,TRUE,IFERROR(IF(VLOOKUP(U390,Fixtures_Existing_List,2,FALSE)&lt;&gt;"",TRUE,FALSE),FALSE)),FALSE)</f>
        <v>0</v>
      </c>
      <c r="HK390" s="1684" t="b">
        <f>IFERROR(IF(VLOOKUP(U391,Fixtures_Proposed_List,2,FALSE)&lt;&gt;"",TRUE,FALSE),FALSE)</f>
        <v>0</v>
      </c>
      <c r="HL390" s="1684" t="b">
        <f>IF(AND(__Retrofit_TI_NC=2,FC389=TRUE),FALSE,TRUE)</f>
        <v>1</v>
      </c>
      <c r="HM390" s="1684" t="b">
        <f>GK389</f>
        <v>1</v>
      </c>
      <c r="HN390" s="1682" t="b">
        <f>IF(ISERROR(MATCH(FE389,_Control_Match[],0))=TRUE,FALSE,TRUE)</f>
        <v>0</v>
      </c>
      <c r="HO390" s="1693" t="b">
        <f>IFERROR(IF(EX389&lt;&gt;EY389,FALSE,TRUE),FALSE)</f>
        <v>1</v>
      </c>
      <c r="HP390" s="1693" t="b">
        <f>IFERROR(IF(EX391&lt;&gt;EY391,FALSE,TRUE),FALSE)</f>
        <v>1</v>
      </c>
      <c r="HQ390" s="1670" t="b">
        <f>IFERROR(IF(CQ389="Exterior",TRUE,IF(AND(OR(FM391=0,FM391=3),JD391&gt;6),FALSE,TRUE)),FALSE)</f>
        <v>0</v>
      </c>
      <c r="HR390" s="1684" t="b">
        <f>IFERROR(IF(AND(FO391=7,FC389=TRUE),FALSE,TRUE),FALSE)</f>
        <v>0</v>
      </c>
      <c r="HS390" s="1684" t="b">
        <f>IFERROR(IF(AND(T391&lt;&gt;AF391,OR(AG391="Interior LLLC", AG391="Interior NLC", AG391="LLLC (outside Daylight)",AG391="LLLC Controls Only"))=TRUE,FALSE,TRUE),FALSE)</f>
        <v>1</v>
      </c>
      <c r="HT390" s="1670" t="b">
        <f>IFERROR(IF(OR(AG391=Lookup!BB$17,AG391=Lookup!BB$18,AG391=Lookup!BB$19)=TRUE,IF(AF391&gt;T391,FALSE,TRUE),TRUE),FALSE)</f>
        <v>1</v>
      </c>
      <c r="HU390" s="1684" t="b">
        <f>IFERROR(IF(__Retrofit_TI_NC=2,IF(EZ391&lt;EZ389,FALSE,TRUE),TRUE),FALSE)</f>
        <v>1</v>
      </c>
      <c r="HV390" s="1684" t="b">
        <f>IF(CQ389="Interior",IL$6,TRUE)</f>
        <v>1</v>
      </c>
      <c r="HW390" s="1684" t="b">
        <f>IF(CQ389="Exterior",IL$8,TRUE)</f>
        <v>1</v>
      </c>
      <c r="HX390" s="1684" t="b">
        <f>IFERROR(IF(__Retrofit_TI_NC&lt;&gt;0,IF(AZ389&lt;AY389,FALSE,TRUE),TRUE),FALSE)</f>
        <v>1</v>
      </c>
      <c r="HY390" s="1684" t="b">
        <f>IFERROR(IF(AND(G390="Exterior",R390&gt;4200),FALSE,TRUE),FALSE)</f>
        <v>1</v>
      </c>
      <c r="HZ390" s="1684" t="b">
        <f>IFERROR(IF(AB392/AB389&lt;HZ$18,FALSE,TRUE),FALSE)</f>
        <v>0</v>
      </c>
      <c r="IB390" s="1691"/>
      <c r="IC390" s="1695"/>
      <c r="ID390" s="1694" t="str">
        <f>VLOOKUP(IB392,_Error_Table,4,FALSE)</f>
        <v>White</v>
      </c>
      <c r="IE390" s="391"/>
      <c r="IF390" s="1688"/>
      <c r="IG390" s="1689"/>
      <c r="IH390" s="1684"/>
      <c r="IK390" s="1689"/>
      <c r="IL390" s="1691"/>
      <c r="IM390" s="1691"/>
      <c r="IN390" s="1691"/>
      <c r="IP390" s="1679"/>
      <c r="IQ390" s="1679"/>
      <c r="IR390" s="1679"/>
      <c r="IS390" s="1679"/>
      <c r="IT390" s="1679"/>
      <c r="IU390" s="1679"/>
      <c r="IV390" s="1679"/>
      <c r="IW390" s="1679"/>
      <c r="IX390" s="1679"/>
      <c r="IY390" s="1679"/>
      <c r="IZ390" s="1679"/>
      <c r="JA390" s="1679"/>
      <c r="JC390" s="1680"/>
      <c r="JD390" s="1670"/>
      <c r="JE390" s="1681"/>
      <c r="JG390" s="1680"/>
      <c r="JH390" s="1670"/>
      <c r="JI390" s="1060"/>
      <c r="JJ390" s="1683"/>
      <c r="JK390" s="1061"/>
      <c r="JL390" s="1683"/>
      <c r="JM390" s="1061"/>
      <c r="JN390" s="1683"/>
      <c r="JO390" s="1061"/>
      <c r="JP390" s="1683"/>
      <c r="JQ390" s="1061"/>
      <c r="JR390" s="1683"/>
      <c r="JS390" s="1061"/>
      <c r="JT390" s="1670"/>
      <c r="JU390" s="1061"/>
      <c r="JV390" s="1670"/>
      <c r="JX390" s="1670"/>
      <c r="JZ390" s="1683"/>
      <c r="KB390" s="1670"/>
    </row>
    <row r="391" spans="1:288" s="78" customFormat="1" ht="14.95" customHeight="1" thickTop="1" thickBot="1">
      <c r="A391" s="78">
        <f>ROW()</f>
        <v>391</v>
      </c>
      <c r="B391" s="1845"/>
      <c r="C391" s="1846"/>
      <c r="D391" s="1847"/>
      <c r="E391" s="1737" t="s">
        <v>298</v>
      </c>
      <c r="F391" s="1738"/>
      <c r="G391" s="1760"/>
      <c r="H391" s="1761"/>
      <c r="I391" s="1761"/>
      <c r="J391" s="1761"/>
      <c r="K391" s="1761"/>
      <c r="L391" s="1762"/>
      <c r="M391" s="461">
        <f>IFERROR(IF(IF(__Retrofit_TI_NC&lt;&gt;0,IF(CQ389="Interior",MATCH(G391,Lookup_Interior_New,0),MATCH(G391,Lookup_Exterior_New,0)),IF(CQ389="Interior",MATCH(G391,Lookup_Interior,0),MATCH(G391,Lookup_Exterior_Areas,0)))&gt;0,1,0),0)</f>
        <v>0</v>
      </c>
      <c r="N391" s="461" t="e">
        <f>IF(__Retrofit_TI_NC=1,
VLOOKUP(G391,'Space Table'!$B$3:$L$163,4,FALSE),
IF(__Retrofit_TI_NC=2,VLOOKUP(G391,'Space Table'!$B$3:$L$163,5,FALSE),VLOOKUP(G391,'Space Table'!$B$3:$L$163,5,FALSE)))</f>
        <v>#N/A</v>
      </c>
      <c r="O391" s="461">
        <f>G391</f>
        <v>0</v>
      </c>
      <c r="P391" s="1738" t="str">
        <f>IFERROR(IF(__Retrofit_TI_NC=1,VLOOKUP(G391,'Space Table'!$B$3:$O$163,13,FALSE),IF(__Retrofit_TI_NC=2,VLOOKUP(G391,'Space Table'!$B$3:$O$163,14,FALSE),"Area (sf):")),"Area (sf):")</f>
        <v>Area (sf):</v>
      </c>
      <c r="Q391" s="1738"/>
      <c r="R391" s="596"/>
      <c r="S391" s="1763" t="s">
        <v>345</v>
      </c>
      <c r="T391" s="594"/>
      <c r="U391" s="1801"/>
      <c r="V391" s="1802"/>
      <c r="W391" s="1802"/>
      <c r="X391" s="1802"/>
      <c r="Y391" s="1802"/>
      <c r="Z391" s="1802"/>
      <c r="AA391" s="1802"/>
      <c r="AB391" s="1802"/>
      <c r="AC391" s="1802"/>
      <c r="AD391" s="1802"/>
      <c r="AE391" s="1803"/>
      <c r="AF391" s="594"/>
      <c r="AG391" s="1787"/>
      <c r="AH391" s="1787"/>
      <c r="AI391" s="1787"/>
      <c r="AJ391" s="1787"/>
      <c r="AK391" s="1787"/>
      <c r="AL391" s="1787"/>
      <c r="AM391" s="1726">
        <f>IFERROR(DI391,"")</f>
        <v>0</v>
      </c>
      <c r="AN391" s="1728" t="str">
        <f>IFERROR(ROUND(AM391*AC392,0),"")</f>
        <v/>
      </c>
      <c r="AO391" s="1730">
        <f>IFERROR(IF(IB389=FALSE,0,AC392-AN391),0)</f>
        <v>0</v>
      </c>
      <c r="AP391" s="1780"/>
      <c r="AQ391" s="1781"/>
      <c r="AR391" s="1795"/>
      <c r="AS391" s="1795"/>
      <c r="AT391" s="1796"/>
      <c r="AU391" s="1735"/>
      <c r="AV391" s="1752"/>
      <c r="AW391" s="1705"/>
      <c r="AX391" s="467"/>
      <c r="AY391" s="1749"/>
      <c r="AZ391" s="1749"/>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696"/>
      <c r="CQ391" s="1696"/>
      <c r="CR391" s="1808" t="str">
        <f>CQ389</f>
        <v/>
      </c>
      <c r="CS391" s="1810" t="str">
        <f>CS389</f>
        <v/>
      </c>
      <c r="CU391" s="1688" t="s">
        <v>345</v>
      </c>
      <c r="CV391" s="1702">
        <f>IF(IB389=TRUE,T391,0)</f>
        <v>0</v>
      </c>
      <c r="CW391" s="1702" t="str">
        <f>IF(IB389=TRUE,U391,"")</f>
        <v/>
      </c>
      <c r="CX391" s="1812">
        <f>IF(IB389=TRUE,U392,0)</f>
        <v>0</v>
      </c>
      <c r="CY391" s="1814">
        <f>IF(IB389=TRUE,AB392,0)</f>
        <v>0</v>
      </c>
      <c r="CZ391" s="1710">
        <f>IF(AND(__Retrofit_TI_NC&gt;0,CR389="interior"),0,IF(IB389=TRUE,AC392,0))</f>
        <v>0</v>
      </c>
      <c r="DA391" s="1818"/>
      <c r="DB391" s="1820"/>
      <c r="DC391" s="1820"/>
      <c r="DD391" s="1820"/>
      <c r="DF391" s="1702">
        <f>IF(IB389=TRUE,AF391,0)</f>
        <v>0</v>
      </c>
      <c r="DG391" s="1830" t="str">
        <f>IF(IB389=TRUE,AG391,"")</f>
        <v/>
      </c>
      <c r="DH391" s="1812">
        <f>AG392</f>
        <v>0</v>
      </c>
      <c r="DI391" s="1837">
        <f>JE391</f>
        <v>0</v>
      </c>
      <c r="DJ391" s="1710">
        <f>IF(AND(__Retrofit_TI_NC&gt;0,CR389="interior"),0,IF(IB389=TRUE,AN391,0))</f>
        <v>0</v>
      </c>
      <c r="DK391" s="1712"/>
      <c r="DN391" s="1717">
        <f>IFERROR(CZ391-DJ391,0)</f>
        <v>0</v>
      </c>
      <c r="DO391" s="1709"/>
      <c r="DQ391" s="1715"/>
      <c r="DR391" s="1719" t="str">
        <f>DQ389</f>
        <v/>
      </c>
      <c r="DS391" s="1816"/>
      <c r="DT391" s="1835" t="str">
        <f>IF(OR(DS389=7,DS389=8,DS389=9),"ALC","")</f>
        <v/>
      </c>
      <c r="DU391" s="1715"/>
      <c r="DV391" s="1716"/>
      <c r="DX391" s="1715"/>
      <c r="DY391" s="1829" t="str">
        <f>DX389</f>
        <v/>
      </c>
      <c r="DZ391" s="1715"/>
      <c r="EA391" s="1715"/>
      <c r="EC391" s="1834"/>
      <c r="ED391" s="1834"/>
      <c r="EF391" s="1707"/>
      <c r="EG391" s="1712"/>
      <c r="EH391" s="1818"/>
      <c r="EI391" s="1712"/>
      <c r="EJ391" s="1712"/>
      <c r="EK391" s="1836"/>
      <c r="EL391" s="1836"/>
      <c r="EM391" s="1807"/>
      <c r="EN391" s="1839"/>
      <c r="EO391" s="1839"/>
      <c r="EP391" s="1817"/>
      <c r="EQ391" s="1817"/>
      <c r="ER391" s="1807"/>
      <c r="ES391" s="1807"/>
      <c r="ET391" s="1807"/>
      <c r="EV391" s="1715"/>
      <c r="EX391" s="1805" t="str">
        <f>IFERROR(VLOOKUP(CS391,'Space Table'!$B$3:$L$163,8,FALSE),"")</f>
        <v/>
      </c>
      <c r="EY391" s="1805" t="str">
        <f>IFERROR(IF(FB391="Yes",VLOOKUP(AG391,Lookup_Control_Type_Table2,4,FALSE),VLOOKUP(AG391,Lookup_Control_Type_Table2,3,FALSE)),"")</f>
        <v/>
      </c>
      <c r="EZ391" s="1805" t="e">
        <f>VLOOKUP(AG391,Lookup!BB$3:BC$20,2,FALSE)</f>
        <v>#N/A</v>
      </c>
      <c r="FA391" s="1805" t="e">
        <f>VLOOKUP(EX389,Lookup_Control_Type_Table,2,FALSE)</f>
        <v>#N/A</v>
      </c>
      <c r="FB391" s="1805" t="e">
        <f>VLOOKUP(CS391,'Space Table'!$B$3:$L$163,7,FALSE)</f>
        <v>#N/A</v>
      </c>
      <c r="FC391" s="1827"/>
      <c r="FE391" s="1698" t="str">
        <f>CONCATENATE(CQ389," - ",AG391)</f>
        <v xml:space="preserve"> - </v>
      </c>
      <c r="FG391" s="1816"/>
      <c r="FH391" s="1816"/>
      <c r="FI391" s="133"/>
      <c r="FL391" s="1822" t="str">
        <f>IF(CQ389="Exterior","Not Daylighted",G392)</f>
        <v>Not Daylighted</v>
      </c>
      <c r="FM391" s="1824">
        <f>VLOOKUP(FL391,_New_Daylight_Table_Codes,2,FALSE)</f>
        <v>0</v>
      </c>
      <c r="FN391" s="1698">
        <f>AG391</f>
        <v>0</v>
      </c>
      <c r="FO391" s="1698" t="e">
        <f>VLOOKUP(FN391,_Control_Table,2,FALSE)</f>
        <v>#N/A</v>
      </c>
      <c r="FP391" s="1678" t="e">
        <f>VLOOKUP(CONCATENATE(FL391," ",FN391),Lookup!AY$102:AZ402,2,FALSE)</f>
        <v>#N/A</v>
      </c>
      <c r="FQ391" s="1698">
        <f>IF(__Retrofit_TI_NC=0,FN391,IF(AND(FT391&gt;0,FN391="Occupancy Sensor"),"Daylight + Occupancy",IF(AND(FT391&gt;0,FO391&lt;4),"Interior Daylight Dimming",FN391)))</f>
        <v>0</v>
      </c>
      <c r="FS391" s="1686">
        <f>IF(CQ389="Interior",VLOOKUP(CS389,Control_Savings_Interior,5,FALSE),0)</f>
        <v>0</v>
      </c>
      <c r="FT391" s="1687">
        <f>IF(CQ391="Exterior",0,IF(FM391=2,0.5,IF(OR(FM391=1,FM391=3),1,0)))</f>
        <v>0</v>
      </c>
      <c r="FU391" s="1685">
        <f>IF(R390&gt;FS$44,(FS391*(FS$44/R390)),FS391)*FT391</f>
        <v>0</v>
      </c>
      <c r="FV391" s="1686">
        <f>DI391</f>
        <v>0</v>
      </c>
      <c r="FW391" s="1686">
        <f>ROUND(FV391+((1-FV391)*FU391),2)</f>
        <v>0</v>
      </c>
      <c r="FX391" s="1686">
        <f>IF(__Retrofit_TI_NC=2,FW391,FV391)</f>
        <v>0</v>
      </c>
      <c r="FY391" s="1697">
        <f>IF(CR391="Interior",VLOOKUP(CS391,Control_Savings_Interior,4,FALSE),0)</f>
        <v>0</v>
      </c>
      <c r="GA391" s="1696"/>
      <c r="GB391" s="1696"/>
      <c r="GC391" s="1696"/>
      <c r="GD391" s="1696"/>
      <c r="GE391" s="1696"/>
      <c r="GF391" s="1696"/>
      <c r="GG391" s="1696"/>
      <c r="GH391" s="1696"/>
      <c r="GI391" s="673" t="b">
        <f>IF(ISNUMBER(SEARCH("TLED",U391)),TRUE,FALSE)</f>
        <v>0</v>
      </c>
      <c r="GJ391" s="1135" t="str">
        <f>IFERROR(VLOOKUP(U391,Fixtures!DM$93:DR$142,6,FALSE),"")</f>
        <v/>
      </c>
      <c r="GK391" s="1832"/>
      <c r="GM391" s="1692"/>
      <c r="GN391" s="1684"/>
      <c r="GP391" s="1684"/>
      <c r="GQ391" s="1684"/>
      <c r="HG391" s="1684"/>
      <c r="HH391" s="1684"/>
      <c r="HI391" s="1684"/>
      <c r="HJ391" s="1684"/>
      <c r="HK391" s="1684"/>
      <c r="HL391" s="1684"/>
      <c r="HM391" s="1684"/>
      <c r="HN391" s="1683"/>
      <c r="HO391" s="1692"/>
      <c r="HP391" s="1692"/>
      <c r="HQ391" s="1670"/>
      <c r="HR391" s="1684"/>
      <c r="HS391" s="1684"/>
      <c r="HT391" s="1670"/>
      <c r="HU391" s="1684"/>
      <c r="HV391" s="1684"/>
      <c r="HW391" s="1684"/>
      <c r="HX391" s="1684"/>
      <c r="HY391" s="1684"/>
      <c r="HZ391" s="1684"/>
      <c r="IB391" s="1692"/>
      <c r="IC391" s="1693" t="b">
        <f>IB389</f>
        <v>0</v>
      </c>
      <c r="ID391" s="1695"/>
      <c r="IE391" s="391"/>
      <c r="IF391" s="1688"/>
      <c r="IG391" s="1689">
        <f ca="1">IF(IF389=TRUE,AC392,0)</f>
        <v>0</v>
      </c>
      <c r="IH391" s="1684"/>
      <c r="IK391" s="1689" t="e">
        <f>ROUND(T391*AB392*N390*R390/1000,0)</f>
        <v>#VALUE!</v>
      </c>
      <c r="IL391" s="1691"/>
      <c r="IM391" s="1693" t="e">
        <f>ROUND(T391*AB392*N390*R390/1000,0)</f>
        <v>#VALUE!</v>
      </c>
      <c r="IN391" s="1691"/>
      <c r="IP391" s="1679"/>
      <c r="IQ391" s="1679" t="e">
        <f t="shared" ref="IQ391:IU391" si="347">IF($CR391="interior",VLOOKUP($CS391,_New_Control_Savings_Interior,IQ$30,FALSE),VLOOKUP($CS391,Control_Savings_Exterior,IQ$30,FALSE))</f>
        <v>#N/A</v>
      </c>
      <c r="IR391" s="1679" t="e">
        <f t="shared" si="347"/>
        <v>#N/A</v>
      </c>
      <c r="IS391" s="1679" t="e">
        <f t="shared" si="347"/>
        <v>#N/A</v>
      </c>
      <c r="IT391" s="1679" t="e">
        <f t="shared" si="347"/>
        <v>#N/A</v>
      </c>
      <c r="IU391" s="1679" t="e">
        <f t="shared" si="347"/>
        <v>#N/A</v>
      </c>
      <c r="IV391" s="1679" t="e">
        <f>IF($CR391="interior",IF(R390&gt;$IP$14,ROUND(($IV$18*($IP$14/R390)),2),$IV$18),VLOOKUP($CS391,Control_Savings_Exterior,IV$30,FALSE))</f>
        <v>#N/A</v>
      </c>
      <c r="IW391" s="1679" t="e">
        <f>IF($CR391="interior",ROUND(((1-IS391)*IV391)+IS391,2),VLOOKUP($CS391,Control_Savings_Exterior,IW$30,FALSE))</f>
        <v>#N/A</v>
      </c>
      <c r="IX391" s="1679" t="e">
        <f>IF($CR391="interior",ROUND(((1-IT391)*IV391)+IT391,2),VLOOKUP($CS391,Control_Savings_Exterior,IX$30,FALSE))</f>
        <v>#N/A</v>
      </c>
      <c r="IY391" s="1679" t="e">
        <f>IF($CR391="interior",IF(R390&gt;$IP$14,ROUND(($IY$18*($IP$14/R390)),2),$IY$18),VLOOKUP($CS391,Control_Savings_Exterior,IY$30,FALSE))</f>
        <v>#N/A</v>
      </c>
      <c r="IZ391" s="1679" t="e">
        <f>IF($CR391="interior",ROUND(((1-IS391)*IY391)+IS391,2),VLOOKUP($CS391,Control_Savings_Exterior,IZ$30,FALSE))</f>
        <v>#N/A</v>
      </c>
      <c r="JA391" s="1679" t="e">
        <f>IF($CR391="interior",ROUND(((1-IT391)*IY391)+IT391,2),VLOOKUP($CS391,Control_Savings_Exterior,JA$30,FALSE))</f>
        <v>#N/A</v>
      </c>
      <c r="JC391" s="1680">
        <f>IFERROR(IF(CR391="Interior",CONCATENATE(G392," ",FQ391),AG391),"")</f>
        <v>0</v>
      </c>
      <c r="JD391" s="1670" t="str">
        <f>IFERROR(VLOOKUP(JC391,_Controls_2023,2,FALSE),"")</f>
        <v/>
      </c>
      <c r="JE391" s="1681">
        <f>IFERROR(CHOOSE(JD391-1,IQ391,IR391,IS391,IT391,IU391,IV391,IW391,IX391,IY391,IZ391,JA391),0)</f>
        <v>0</v>
      </c>
      <c r="JG391" s="1680" t="str">
        <f>FE391</f>
        <v xml:space="preserve"> - </v>
      </c>
      <c r="JH391" s="1670" t="e">
        <f>$FO391</f>
        <v>#N/A</v>
      </c>
      <c r="JI391" s="1060"/>
      <c r="JJ391" s="1670">
        <f>IFERROR(IF($IB389=TRUE,IF(OR(JJ$14="No",JJ389=FALSE,JH391&lt;=JH389,AND(_kWh_Grant=0,GD389=FALSE)),0,IF(JJ$8="Per Line",1,$AF391)),0),0)</f>
        <v>0</v>
      </c>
      <c r="JK391" s="1061"/>
      <c r="JL391" s="1670">
        <f>IFERROR(IF(_kWh_Grant=0,0,IF($IB389=TRUE,IF(OR(JL$14="No",JL389=FALSE,JH391&lt;=JH389),0,IF(JL$8="Per Line",1,$T391)),0)),0)</f>
        <v>0</v>
      </c>
      <c r="JM391" s="1061"/>
      <c r="JN391" s="1670">
        <f>IFERROR(IF(_kWh_Grant=0,0,IF($IB389=TRUE,IF(OR(JN$14="No",JN389=FALSE,JH391&lt;=JH389),0,IF(JN$8="Per Line",1,$AF391)),0)),0)</f>
        <v>0</v>
      </c>
      <c r="JO391" s="1061"/>
      <c r="JP391" s="1670">
        <f>IFERROR(IF(__Retrofit_TI_NC=0,IF(_kWh_Grant=0,0,IF($IB389=TRUE,IF(OR(JP$14="No",JP389=FALSE,$JH391&lt;=$JH389),0,IF(JP$8="Per Line",1,$AF391)),0)),IF($IB389=TRUE,IF(OR(JP$14="No",JP389=FALSE,$JH391&lt;=$JH389),0,IF(JP$8="Per Line",1,$AF391)))),0)</f>
        <v>0</v>
      </c>
      <c r="JQ391" s="1061"/>
      <c r="JR391" s="1670">
        <f>IFERROR(IF(__Retrofit_TI_NC=0,IF(_kWh_Grant=0,0,IF($IB389=TRUE,IF(OR(JR$14="No",JR389=FALSE,$JH391&lt;=$JH389),0,IF(JR$8="Per Line",1,$AF391)),0)),IF($IB389=TRUE,IF(OR(JR$14="No",JR389=FALSE,$JH391&lt;=$JH389),0,IF(JR$8="Per Line",1,$AF391)))),0)</f>
        <v>0</v>
      </c>
      <c r="JS391" s="1061"/>
      <c r="JT391" s="1670">
        <f>IFERROR(IF(__Retrofit_TI_NC=0,IF(_kWh_Grant=0,0,IF($IB389=TRUE,IF(OR(JT$14="No",JT389=FALSE,$JH391&lt;=$JH389),0,IF(JT$8="Per Line",1,$AF391)),0)),IF($IB389=TRUE,IF(OR(JT$14="No",JT389=FALSE,$JH391&lt;=$JH389),0,IF(JT$8="Per Line",1,$AF391)))),0)</f>
        <v>0</v>
      </c>
      <c r="JU391" s="1061"/>
      <c r="JV391" s="1670">
        <f>IFERROR(IF(__Retrofit_TI_NC=0,IF(_kWh_Grant=0,0,IF($IB389=TRUE,IF(OR(JV$14="No",JV389=FALSE,$JH391&lt;=$JH389),0,IF(JV$8="Per Line",1,$AF391)),0)),IF($IB389=TRUE,IF(OR(JV$14="No",JV389=FALSE,$JH391&lt;=$JH389),0,IF(JV$8="Per Line",1,$AF391)))),0)</f>
        <v>0</v>
      </c>
      <c r="JX391" s="1670">
        <f>IFERROR(IF(__Retrofit_TI_NC=0,IF(_kWh_Grant=0,0,IF($IB389=TRUE,IF(OR(JX$14="No",JX389=FALSE,$JH391&lt;=$JH389),0,IF(JX$8="Per Line",1,$AF391)),0)),IF($IB389=TRUE,IF(OR(JX$14="No",JX389=FALSE,$JH391&lt;=$JH389),0,IF(JX$8="Per Line",1,$AF391)))),0)</f>
        <v>0</v>
      </c>
      <c r="JZ391" s="1670">
        <f>IFERROR(IF($IB389=TRUE,IF(OR(JZ$14="No",JZ389=FALSE,$JH391&lt;=$JH389,AND(_kWh_Grant=0,$GD389=FALSE)),0,IF(JZ$8="Per Line",1,$AF391)),0),0)</f>
        <v>0</v>
      </c>
      <c r="KB391" s="1670">
        <f>IFERROR(IF(__Retrofit_TI_NC=0,IF(_kWh_Grant=0,0,IF($IB389=TRUE,IF(OR(KB$14="No",KB389=FALSE,$JH391&lt;=$JH389),0,IF(KB$8="Per Line",1,$AF391)),0)),IF($IB389=TRUE,IF(OR(KB$14="No",KB389=FALSE,$JH391&lt;=$JH389),0,IF(KB$8="Per Line",1,$AF391)))),0)</f>
        <v>0</v>
      </c>
    </row>
    <row r="392" spans="1:288" s="78" customFormat="1" ht="14.95" customHeight="1" thickTop="1" thickBot="1">
      <c r="B392" s="1845"/>
      <c r="C392" s="1846"/>
      <c r="D392" s="1847"/>
      <c r="E392" s="1771" t="s">
        <v>436</v>
      </c>
      <c r="F392" s="1772"/>
      <c r="G392" s="1784" t="s">
        <v>437</v>
      </c>
      <c r="H392" s="1785"/>
      <c r="I392" s="1785"/>
      <c r="J392" s="1785"/>
      <c r="K392" s="1785"/>
      <c r="L392" s="1786"/>
      <c r="M392" s="591">
        <f>IFERROR(VLOOKUP(G392,_Daylight_Table[],2,FALSE),0)</f>
        <v>0</v>
      </c>
      <c r="N392" s="592" t="str">
        <f>IF(AND(__Retrofit_TI_NC&gt;0,CQ389="Interior"),"BAM","")</f>
        <v/>
      </c>
      <c r="O392" s="591" t="e">
        <f>VLOOKUP(G391,'Space Table'!$B$3:$L$163,11,FALSE)</f>
        <v>#N/A</v>
      </c>
      <c r="P392" s="1789"/>
      <c r="Q392" s="1790"/>
      <c r="R392" s="1790"/>
      <c r="S392" s="1788"/>
      <c r="T392" s="593" t="s">
        <v>342</v>
      </c>
      <c r="U392" s="1756" t="str" cm="1">
        <f t="array" aca="1" ref="U392" ca="1">IFERROR(VLOOKUP(INDIRECT("U" &amp; ROW()-1),Fixtures!DM$93:DP$142,4,FALSE),"")</f>
        <v/>
      </c>
      <c r="V392" s="1757"/>
      <c r="W392" s="1757"/>
      <c r="X392" s="1757"/>
      <c r="Y392" s="1757"/>
      <c r="Z392" s="1757"/>
      <c r="AA392" s="1758"/>
      <c r="AB392" s="939" t="str">
        <f>IFERROR(VLOOKUP(U391,Fixtures_Proposed_List,2,FALSE),"")</f>
        <v/>
      </c>
      <c r="AC392" s="933" t="str">
        <f>IFERROR(ROUND(T391*AB392*N390*R390/1000,0),"")</f>
        <v/>
      </c>
      <c r="AD392" s="934" t="str">
        <f>IFERROR(ROUND(T391*AB392/1000,2),"")</f>
        <v/>
      </c>
      <c r="AE392" s="998"/>
      <c r="AF392" s="938" t="s">
        <v>342</v>
      </c>
      <c r="AG392" s="1770"/>
      <c r="AH392" s="1770"/>
      <c r="AI392" s="1770"/>
      <c r="AJ392" s="1770"/>
      <c r="AK392" s="1770"/>
      <c r="AL392" s="1770"/>
      <c r="AM392" s="1727"/>
      <c r="AN392" s="1729"/>
      <c r="AO392" s="1731"/>
      <c r="AP392" s="1782"/>
      <c r="AQ392" s="1783"/>
      <c r="AR392" s="1797"/>
      <c r="AS392" s="1797"/>
      <c r="AT392" s="1798"/>
      <c r="AU392" s="1736"/>
      <c r="AV392" s="1753"/>
      <c r="AW392" s="1706"/>
      <c r="AX392" s="468"/>
      <c r="AY392" s="1750"/>
      <c r="AZ392" s="1750"/>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696"/>
      <c r="CQ392" s="1696"/>
      <c r="CR392" s="1809"/>
      <c r="CS392" s="1811"/>
      <c r="CU392" s="1688"/>
      <c r="CV392" s="1703"/>
      <c r="CW392" s="1703"/>
      <c r="CX392" s="1813"/>
      <c r="CY392" s="1815"/>
      <c r="CZ392" s="1711"/>
      <c r="DA392" s="1815"/>
      <c r="DB392" s="1821"/>
      <c r="DC392" s="1821"/>
      <c r="DD392" s="1821"/>
      <c r="DF392" s="1703"/>
      <c r="DG392" s="1831"/>
      <c r="DH392" s="1813"/>
      <c r="DI392" s="1838"/>
      <c r="DJ392" s="1711"/>
      <c r="DK392" s="1712"/>
      <c r="DN392" s="1718"/>
      <c r="DO392" s="1709"/>
      <c r="DQ392" s="1715"/>
      <c r="DR392" s="1720"/>
      <c r="DS392" s="1703"/>
      <c r="DT392" s="1714"/>
      <c r="DU392" s="1715"/>
      <c r="DV392" s="1716"/>
      <c r="DX392" s="1715"/>
      <c r="DY392" s="1720"/>
      <c r="DZ392" s="1715"/>
      <c r="EA392" s="1715"/>
      <c r="EC392" s="1834"/>
      <c r="ED392" s="1834"/>
      <c r="EF392" s="1707"/>
      <c r="EG392" s="1712"/>
      <c r="EH392" s="1815"/>
      <c r="EI392" s="1712"/>
      <c r="EJ392" s="1712"/>
      <c r="EK392" s="1813"/>
      <c r="EL392" s="1813"/>
      <c r="EM392" s="1807"/>
      <c r="EN392" s="1839"/>
      <c r="EO392" s="1839"/>
      <c r="EP392" s="1817"/>
      <c r="EQ392" s="1817"/>
      <c r="ER392" s="1807"/>
      <c r="ES392" s="1807"/>
      <c r="ET392" s="1807"/>
      <c r="EV392" s="1715"/>
      <c r="EX392" s="1806"/>
      <c r="EY392" s="1806"/>
      <c r="EZ392" s="1806"/>
      <c r="FA392" s="1806"/>
      <c r="FB392" s="1806"/>
      <c r="FC392" s="1828"/>
      <c r="FE392" s="1698"/>
      <c r="FG392" s="1703"/>
      <c r="FH392" s="1703"/>
      <c r="FI392" s="133"/>
      <c r="FL392" s="1823"/>
      <c r="FM392" s="1825"/>
      <c r="FN392" s="1698"/>
      <c r="FO392" s="1698"/>
      <c r="FP392" s="1678"/>
      <c r="FQ392" s="1698"/>
      <c r="FS392" s="1687"/>
      <c r="FT392" s="1687"/>
      <c r="FU392" s="1685"/>
      <c r="FV392" s="1687"/>
      <c r="FW392" s="1687"/>
      <c r="FX392" s="1687"/>
      <c r="FY392" s="1697"/>
      <c r="GA392" s="1696"/>
      <c r="GB392" s="1696"/>
      <c r="GC392" s="1696"/>
      <c r="GD392" s="1696"/>
      <c r="GE392" s="1696"/>
      <c r="GF392" s="1696"/>
      <c r="GG392" s="1696"/>
      <c r="GH392" s="1696"/>
      <c r="GI392" s="673"/>
      <c r="GJ392" s="1135"/>
      <c r="GK392" s="1832"/>
      <c r="GN392" s="674">
        <f>IF(GN390=TRUE,0,GN$16)</f>
        <v>0</v>
      </c>
      <c r="GP392" s="674">
        <f>IF(GP390=TRUE,0,GP$16)</f>
        <v>36</v>
      </c>
      <c r="GQ392" s="674">
        <f ca="1">IF(GQ390=TRUE,0,GQ$16)</f>
        <v>35</v>
      </c>
      <c r="GR392" s="391"/>
      <c r="GS392" s="391"/>
      <c r="GT392" s="391"/>
      <c r="GU392" s="391"/>
      <c r="GV392" s="391"/>
      <c r="HG392" s="674">
        <f>IF(HG390=TRUE,0,HG$16)</f>
        <v>0</v>
      </c>
      <c r="HH392" s="674">
        <f t="shared" ref="HH392:HM392" si="348">IF(HH390=TRUE,0,HH$16)</f>
        <v>19</v>
      </c>
      <c r="HI392" s="674">
        <f t="shared" si="348"/>
        <v>18</v>
      </c>
      <c r="HJ392" s="674">
        <f t="shared" si="348"/>
        <v>17</v>
      </c>
      <c r="HK392" s="674">
        <f t="shared" si="348"/>
        <v>16</v>
      </c>
      <c r="HL392" s="674">
        <f t="shared" si="348"/>
        <v>0</v>
      </c>
      <c r="HM392" s="674">
        <f t="shared" si="348"/>
        <v>0</v>
      </c>
      <c r="HN392" s="674">
        <f>IF(HN390=TRUE,0,HN$16)</f>
        <v>13</v>
      </c>
      <c r="HO392" s="674">
        <f t="shared" ref="HO392:HQ392" si="349">IF(HO390=TRUE,0,HO$16)</f>
        <v>0</v>
      </c>
      <c r="HP392" s="674">
        <f t="shared" si="349"/>
        <v>0</v>
      </c>
      <c r="HQ392" s="674">
        <f t="shared" si="349"/>
        <v>10</v>
      </c>
      <c r="HR392" s="674">
        <f>IF(HR390=TRUE,0,HR$16)</f>
        <v>9</v>
      </c>
      <c r="HS392" s="674">
        <f t="shared" ref="HS392:HW392" si="350">IF(HS390=TRUE,0,HS$16)</f>
        <v>0</v>
      </c>
      <c r="HT392" s="674">
        <f t="shared" si="350"/>
        <v>0</v>
      </c>
      <c r="HU392" s="674">
        <f t="shared" si="350"/>
        <v>0</v>
      </c>
      <c r="HV392" s="674">
        <f t="shared" si="350"/>
        <v>0</v>
      </c>
      <c r="HW392" s="674">
        <f t="shared" si="350"/>
        <v>0</v>
      </c>
      <c r="HX392" s="674">
        <f>IF(HX390=TRUE,0,HX$16)</f>
        <v>0</v>
      </c>
      <c r="HY392" s="674">
        <f>IF(HY390=TRUE,0,HY$16)</f>
        <v>0</v>
      </c>
      <c r="HZ392" s="674">
        <f>IF(HZ390=TRUE,0,HZ$16)</f>
        <v>1</v>
      </c>
      <c r="IB392" s="674">
        <f>IF(GP390=FALSE,GP392,IF(GQ390=FALSE,GQ392,MAX(GN392:HZ392)))</f>
        <v>36</v>
      </c>
      <c r="IC392" s="1692"/>
      <c r="ID392" s="205" t="str">
        <f>VLOOKUP(IB392,_Error_Table,3,FALSE)</f>
        <v xml:space="preserve"> </v>
      </c>
      <c r="IE392" s="205"/>
      <c r="IF392" s="1688"/>
      <c r="IG392" s="1689"/>
      <c r="IH392" s="1684"/>
      <c r="IK392" s="1689"/>
      <c r="IL392" s="1692"/>
      <c r="IM392" s="1692"/>
      <c r="IN392" s="1692"/>
      <c r="IP392" s="1679"/>
      <c r="IQ392" s="1679"/>
      <c r="IR392" s="1679"/>
      <c r="IS392" s="1679"/>
      <c r="IT392" s="1679"/>
      <c r="IU392" s="1679"/>
      <c r="IV392" s="1679"/>
      <c r="IW392" s="1679"/>
      <c r="IX392" s="1679"/>
      <c r="IY392" s="1679"/>
      <c r="IZ392" s="1679"/>
      <c r="JA392" s="1679"/>
      <c r="JC392" s="1680"/>
      <c r="JD392" s="1670"/>
      <c r="JE392" s="1681"/>
      <c r="JG392" s="1680"/>
      <c r="JH392" s="1670"/>
      <c r="JI392" s="1060"/>
      <c r="JJ392" s="1670"/>
      <c r="JK392" s="1061"/>
      <c r="JL392" s="1670"/>
      <c r="JM392" s="1061"/>
      <c r="JN392" s="1670"/>
      <c r="JO392" s="1061"/>
      <c r="JP392" s="1670"/>
      <c r="JQ392" s="1061"/>
      <c r="JR392" s="1670"/>
      <c r="JS392" s="1061"/>
      <c r="JT392" s="1670"/>
      <c r="JU392" s="1061"/>
      <c r="JV392" s="1670"/>
      <c r="JX392" s="1670"/>
      <c r="JZ392" s="1670"/>
      <c r="KB392" s="1670"/>
    </row>
    <row r="393" spans="1:288" s="78" customFormat="1" ht="5.0999999999999996" customHeight="1">
      <c r="B393" s="676"/>
      <c r="C393" s="392"/>
      <c r="D393" s="392"/>
      <c r="E393" s="1733"/>
      <c r="F393" s="1733"/>
      <c r="G393" s="1733"/>
      <c r="H393" s="1733"/>
      <c r="I393" s="1733"/>
      <c r="J393" s="1733"/>
      <c r="K393" s="1733"/>
      <c r="L393" s="1733"/>
      <c r="M393" s="1733"/>
      <c r="N393" s="1733"/>
      <c r="O393" s="1733"/>
      <c r="P393" s="1733"/>
      <c r="Q393" s="1733"/>
      <c r="R393" s="1733"/>
      <c r="S393" s="1733"/>
      <c r="T393" s="1733"/>
      <c r="U393" s="1733"/>
      <c r="V393" s="1733"/>
      <c r="W393" s="1733"/>
      <c r="X393" s="1733"/>
      <c r="Y393" s="1733"/>
      <c r="Z393" s="1733"/>
      <c r="AA393" s="1733"/>
      <c r="AB393" s="1733"/>
      <c r="AC393" s="1733"/>
      <c r="AD393" s="1733"/>
      <c r="AE393" s="1733"/>
      <c r="AF393" s="1733"/>
      <c r="AG393" s="1733"/>
      <c r="AH393" s="1733"/>
      <c r="AI393" s="1733"/>
      <c r="AJ393" s="1733"/>
      <c r="AK393" s="1733"/>
      <c r="AL393" s="1733"/>
      <c r="AM393" s="1733"/>
      <c r="AN393" s="1733"/>
      <c r="AO393" s="1733"/>
      <c r="AP393" s="1733"/>
      <c r="AQ393" s="1733"/>
      <c r="AR393" s="1733"/>
      <c r="AS393" s="1733"/>
      <c r="AT393" s="1733"/>
      <c r="AU393" s="1733"/>
      <c r="AV393" s="1733"/>
      <c r="AW393" s="1733"/>
      <c r="AX393" s="469"/>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663"/>
      <c r="CQ393" s="663"/>
      <c r="CR393" s="438"/>
      <c r="CS393" s="663"/>
      <c r="CV393" s="391"/>
      <c r="CW393" s="391"/>
      <c r="CX393" s="207"/>
      <c r="CY393" s="208"/>
      <c r="CZ393" s="208"/>
      <c r="DA393" s="208"/>
      <c r="DB393" s="209"/>
      <c r="DC393" s="209"/>
      <c r="DD393" s="209"/>
      <c r="DF393" s="664"/>
      <c r="DG393" s="665"/>
      <c r="DH393" s="666"/>
      <c r="DI393" s="667"/>
      <c r="DJ393" s="668"/>
      <c r="DK393" s="668"/>
      <c r="DN393" s="208"/>
      <c r="DO393" s="664"/>
      <c r="DQ393" s="664"/>
      <c r="DR393" s="669"/>
      <c r="DS393" s="391"/>
      <c r="DT393" s="664"/>
      <c r="DU393" s="664"/>
      <c r="DV393" s="664"/>
      <c r="DX393" s="664"/>
      <c r="DY393" s="664"/>
      <c r="DZ393" s="664"/>
      <c r="EA393" s="664"/>
      <c r="EC393" s="670"/>
      <c r="ED393" s="670"/>
      <c r="EF393" s="668"/>
      <c r="EG393" s="668"/>
      <c r="EH393" s="208"/>
      <c r="EI393" s="668"/>
      <c r="EJ393" s="668"/>
      <c r="EK393" s="207"/>
      <c r="EL393" s="207"/>
      <c r="EM393" s="666"/>
      <c r="EN393" s="671"/>
      <c r="EO393" s="671"/>
      <c r="EP393" s="672"/>
      <c r="EQ393" s="672"/>
      <c r="ER393" s="666"/>
      <c r="ES393" s="666"/>
      <c r="ET393" s="666"/>
      <c r="EV393" s="664"/>
      <c r="EX393" s="391"/>
      <c r="EY393" s="391"/>
      <c r="EZ393" s="391"/>
      <c r="FA393" s="391"/>
      <c r="FB393" s="391"/>
      <c r="FC393" s="391"/>
      <c r="FE393" s="569"/>
      <c r="FG393" s="391"/>
      <c r="FH393" s="391"/>
      <c r="FI393" s="391"/>
      <c r="FS393" s="664"/>
      <c r="FT393" s="391"/>
      <c r="FU393" s="391"/>
      <c r="FV393" s="664"/>
      <c r="FW393" s="664"/>
      <c r="GA393" s="663"/>
      <c r="GB393" s="663"/>
      <c r="GC393" s="663"/>
      <c r="GD393" s="663"/>
      <c r="GE393" s="663"/>
      <c r="GF393" s="663"/>
      <c r="GG393" s="663"/>
      <c r="GH393" s="663"/>
      <c r="GI393" s="665"/>
      <c r="GJ393" s="664"/>
      <c r="GK393" s="664"/>
    </row>
    <row r="394" spans="1:288" s="78" customFormat="1" ht="14.95" customHeight="1">
      <c r="B394" s="1845" t="str">
        <f>ID397</f>
        <v xml:space="preserve"> </v>
      </c>
      <c r="C394" s="1846">
        <f>C389+1</f>
        <v>68</v>
      </c>
      <c r="D394" s="1847"/>
      <c r="E394" s="1799" t="s">
        <v>295</v>
      </c>
      <c r="F394" s="1800"/>
      <c r="G394" s="1741"/>
      <c r="H394" s="1742"/>
      <c r="I394" s="1742"/>
      <c r="J394" s="1742"/>
      <c r="K394" s="1742"/>
      <c r="L394" s="1742"/>
      <c r="M394" s="1742"/>
      <c r="N394" s="1742"/>
      <c r="O394" s="1742"/>
      <c r="P394" s="1742"/>
      <c r="Q394" s="1742"/>
      <c r="R394" s="1742"/>
      <c r="S394" s="1791" t="s">
        <v>344</v>
      </c>
      <c r="T394" s="590"/>
      <c r="U394" s="1743"/>
      <c r="V394" s="1744"/>
      <c r="W394" s="1744"/>
      <c r="X394" s="1744"/>
      <c r="Y394" s="1744"/>
      <c r="Z394" s="1744"/>
      <c r="AA394" s="1744"/>
      <c r="AB394" s="961" t="str">
        <f>IFERROR(IF(__Retrofit_TI_NC=0,VLOOKUP(U395,Fixtures_Existing_List,2,FALSE),ROUND(N396*R396/T396,10)),"")</f>
        <v/>
      </c>
      <c r="AC394" s="935" t="str">
        <f>IFERROR(IF(__Retrofit_TI_NC=0,ROUND(T395*AB394*N395*R395/1000,0),IF(CQ394="Interior",N396*R396*R395*N395*_C406_reduction/1000,N396*R396*R395*N395/1000)),"")</f>
        <v/>
      </c>
      <c r="AD394" s="936" t="str">
        <f>IFERROR(IF(C$43=0,ROUND(T395*AB394/1000,2),N396*R396/1000),"")</f>
        <v/>
      </c>
      <c r="AE394" s="997"/>
      <c r="AF394" s="937"/>
      <c r="AG394" s="1745" t="str">
        <f>IF(__Retrofit_TI_NC=0," Control","Select Advanced Control for New System")</f>
        <v xml:space="preserve"> Control</v>
      </c>
      <c r="AH394" s="1745"/>
      <c r="AI394" s="1745"/>
      <c r="AJ394" s="1745"/>
      <c r="AK394" s="1745"/>
      <c r="AL394" s="1745"/>
      <c r="AM394" s="1746">
        <f>IFERROR(DI394,"")</f>
        <v>0</v>
      </c>
      <c r="AN394" s="1774" t="str">
        <f>IFERROR(ROUND(AM394*AC394,0),"")</f>
        <v/>
      </c>
      <c r="AO394" s="1776">
        <f>IFERROR(IF(IB394=FALSE,0,AC394-AN394),0)</f>
        <v>0</v>
      </c>
      <c r="AP394" s="1778">
        <f>AO394-AO396</f>
        <v>0</v>
      </c>
      <c r="AQ394" s="1779"/>
      <c r="AR394" s="1793">
        <f>IFERROR(IF(IB394=FALSE,0,(T396*U397)+(AF396*AG397)),0)</f>
        <v>0</v>
      </c>
      <c r="AS394" s="1793"/>
      <c r="AT394" s="1794"/>
      <c r="AU394" s="1734" t="s">
        <v>237</v>
      </c>
      <c r="AV394" s="1751">
        <f>IF(AU394="Yes",1,0)</f>
        <v>1</v>
      </c>
      <c r="AW394" s="1704" t="str">
        <f>IF(OR(DQ394=4,DQ394=5,DQ394=6,DQ394=12),CONCATENATE("$",IF(GH394=TRUE,Lookup!$K$10,Lookup!$K$2)," /lamp"),CONCATENATE(TEXT(ED394,"$0.00"),"/ kWh"))</f>
        <v>$0.00/ kWh</v>
      </c>
      <c r="AX394" s="467"/>
      <c r="AY394" s="1748">
        <f ca="1">IFERROR(IF(GM395=TRUE,(AB397*T396)/R396,0),"NA")</f>
        <v>0</v>
      </c>
      <c r="AZ394" s="1748"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696" t="str">
        <f>N395</f>
        <v/>
      </c>
      <c r="CQ394" s="1696" t="str">
        <f>IFERROR(VLOOKUP(G395,_Lookup_Heat_Type_Table_New,3,FALSE),"")</f>
        <v/>
      </c>
      <c r="CR394" s="1808" t="str">
        <f>CQ394</f>
        <v/>
      </c>
      <c r="CS394" s="1810" t="str">
        <f>IFERROR(VLOOKUP(G396,'Space Table'!$B$3:$L$163,9,FALSE),"")</f>
        <v/>
      </c>
      <c r="CU394" s="1688" t="s">
        <v>344</v>
      </c>
      <c r="CV394" s="1702">
        <f>IF(IB394=TRUE,T395,0)</f>
        <v>0</v>
      </c>
      <c r="CW394" s="1702" t="str">
        <f>IF(IB394=TRUE,U395,"")</f>
        <v/>
      </c>
      <c r="CX394" s="1702"/>
      <c r="CY394" s="1814">
        <f>IF(IB394=TRUE,AB394,0)</f>
        <v>0</v>
      </c>
      <c r="CZ394" s="1710">
        <f>IF(AND(__Retrofit_TI_NC&gt;0,CR394="interior"),0,IF(IB394=TRUE,AC394,0))</f>
        <v>0</v>
      </c>
      <c r="DA394" s="1814">
        <f>IFERROR(IF(IB394=TRUE,CZ394-CZ396,0),0)</f>
        <v>0</v>
      </c>
      <c r="DB394" s="1819">
        <f>IF(IB394=TRUE,AD394,0)</f>
        <v>0</v>
      </c>
      <c r="DC394" s="1819">
        <f>IF(IB394=TRUE,AD397,0)</f>
        <v>0</v>
      </c>
      <c r="DD394" s="1819">
        <f>IFERROR(DB394-DC394,0)</f>
        <v>0</v>
      </c>
      <c r="DF394" s="1702">
        <f>IF(IB394=TRUE,AF395,0)</f>
        <v>0</v>
      </c>
      <c r="DG394" s="1830">
        <f>IFERROR(IF(__Retrofit_TI_NC=2,IF(CQ394="Exterior",O397,FQ394),FN394),"")</f>
        <v>0</v>
      </c>
      <c r="DH394" s="1702"/>
      <c r="DI394" s="1837">
        <f>JE394</f>
        <v>0</v>
      </c>
      <c r="DJ394" s="1710">
        <f>IF(AND(__Retrofit_TI_NC&gt;0,CR394="interior"),0,IF(IB394=TRUE,AN394,0))</f>
        <v>0</v>
      </c>
      <c r="DK394" s="1712">
        <f>IFERROR(IF(IB394=TRUE,DJ396-DJ394,0),0)</f>
        <v>0</v>
      </c>
      <c r="DM394" s="1717">
        <f>IFERROR(CZ394-DJ394,0)</f>
        <v>0</v>
      </c>
      <c r="DO394" s="1708">
        <f>DM394-DN396</f>
        <v>0</v>
      </c>
      <c r="DQ394" s="1715" t="str">
        <f>IFERROR(IF(AND(OR(GC394=4,GC394=5,GC394=6),OR(GF394=4,GF394=5,GF394=6)),GC394+8,VLOOKUP(CW396,Fixtures!R$31:Y$78,8,FALSE)),"")</f>
        <v/>
      </c>
      <c r="DR394" s="1829" t="str">
        <f>DQ394</f>
        <v/>
      </c>
      <c r="DS394" s="1702" t="str">
        <f>IFERROR(VLOOKUP(DG396,Lookup!BB$3:BC$20,2,FALSE),"")</f>
        <v/>
      </c>
      <c r="DT394" s="1713" t="str">
        <f>IF(OR(DS394=7,DS394=8,DS394=9),"ALC","")</f>
        <v/>
      </c>
      <c r="DU394" s="1715">
        <f>IFERROR(IF(OR(DQ394=4,DQ394=5,DQ394=6,DQ394=12,DQ394=13,DQ394=14),VLOOKUP(CW396,Fixtures!DN$27:EG$77,19,FALSE),1)*CV396,0)</f>
        <v>0</v>
      </c>
      <c r="DV394" s="1716">
        <f>IF(OR(DS394=7,DS394=8,DS394=9),IF(DG394=DG396,0,DF396),0)</f>
        <v>0</v>
      </c>
      <c r="DX394" s="1715" t="str">
        <f>IFERROR(IF(EZ394&lt;EZ396,"Yes","No"),"")</f>
        <v/>
      </c>
      <c r="DY394" s="1829" t="str">
        <f>DX394</f>
        <v/>
      </c>
      <c r="DZ394" s="1715">
        <f>IF(DX394="Yes",DF396,0)</f>
        <v>0</v>
      </c>
      <c r="EA394" s="1715">
        <f>DZ394-DV394</f>
        <v>0</v>
      </c>
      <c r="EC394" s="1834">
        <f>IFERROR(VLOOKUP(DQ394,Lookup!AU$3:AV$16,2,FALSE),0)</f>
        <v>0</v>
      </c>
      <c r="ED394" s="1834">
        <f>IF(IB394=FALSE,0,IF(DX394="Yes",EC394+Lookup!K$6,EC394))</f>
        <v>0</v>
      </c>
      <c r="EF394" s="1707">
        <f>IF(IB394=TRUE,DM394,0)</f>
        <v>0</v>
      </c>
      <c r="EG394" s="1712">
        <f>IF(IB394=TRUE,CZ396,0)</f>
        <v>0</v>
      </c>
      <c r="EH394" s="1814">
        <f>IFERROR(EF394-EG394,0)</f>
        <v>0</v>
      </c>
      <c r="EI394" s="1712">
        <f>IF(IB394=TRUE,DJ396,0)</f>
        <v>0</v>
      </c>
      <c r="EJ394" s="1712">
        <f>IFERROR(EF394-EG394+EI394,0)</f>
        <v>0</v>
      </c>
      <c r="EK394" s="1812">
        <f>IF(IB394=TRUE,CV396*CX396,0)</f>
        <v>0</v>
      </c>
      <c r="EL394" s="1812">
        <f>IF(IB394=TRUE,DF396*DH396,0)</f>
        <v>0</v>
      </c>
      <c r="EM394" s="1807">
        <f>AR394</f>
        <v>0</v>
      </c>
      <c r="EN394" s="1839" t="str">
        <f>IFERROR(IF(IB394=TRUE,VLOOKUP(DQ394,Lookup!AU$3:AW$16,3,FALSE)*DU394,""),0)</f>
        <v/>
      </c>
      <c r="EO394" s="1839">
        <f>IF(IB394=TRUE,DZ394*Lookup!AW$12,0)</f>
        <v>0</v>
      </c>
      <c r="EP394" s="1817">
        <f>IFERROR(IF(IB394=TRUE,EN394/EP$40,0),0)</f>
        <v>0</v>
      </c>
      <c r="EQ394" s="1817">
        <f>IF(IB394=TRUE,EO394/EQ$40,0)</f>
        <v>0</v>
      </c>
      <c r="ER394" s="1807">
        <f>IF(IB394=TRUE,ET$40*EP394,0)</f>
        <v>0</v>
      </c>
      <c r="ES394" s="1807">
        <f>IF(IB394=TRUE,ET$40*EQ394,0)</f>
        <v>0</v>
      </c>
      <c r="ET394" s="1807">
        <f>ER394+ES394</f>
        <v>0</v>
      </c>
      <c r="EV394" s="1715">
        <f>IF(G394="",0,1)</f>
        <v>0</v>
      </c>
      <c r="EX394" s="1804" t="str">
        <f>IFERROR(VLOOKUP(CS396,'Space Table'!$B$3:$L$163,8,FALSE),"")</f>
        <v/>
      </c>
      <c r="EY394" s="1804" t="str">
        <f>IFERROR(IF(FB394="Yes",VLOOKUP(DG394,Lookup_Control_Type_Table2,4,FALSE),VLOOKUP(DG394,Lookup_Control_Type_Table2,3,FALSE)),"")</f>
        <v/>
      </c>
      <c r="EZ394" s="1804" t="e">
        <f>VLOOKUP(DG394,Lookup!BB$3:BC$20,2,FALSE)</f>
        <v>#N/A</v>
      </c>
      <c r="FA394" s="1804" t="e">
        <f>VLOOKUP(EX394,Lookup_Control_Type_Table,2,FALSE)</f>
        <v>#N/A</v>
      </c>
      <c r="FB394" s="1804" t="e">
        <f>VLOOKUP(CS396,'Space Table'!$B$3:$L$163,7,FALSE)</f>
        <v>#N/A</v>
      </c>
      <c r="FC394" s="1826" t="b">
        <f>ISNUMBER(SEARCH("TLED",U396))</f>
        <v>0</v>
      </c>
      <c r="FE394" s="1698" t="str">
        <f>CONCATENATE(CQ394," - ",DG394)</f>
        <v xml:space="preserve"> - 0</v>
      </c>
      <c r="FG394" s="1702" t="str">
        <f>VLOOKUP(CW396,Fixtures!DN$27:EZ$77,38,FALSE)</f>
        <v/>
      </c>
      <c r="FH394" s="1702">
        <f>IFERROR(FG394*EH394,0)</f>
        <v>0</v>
      </c>
      <c r="FI394" s="133"/>
      <c r="FL394" s="1822" t="str">
        <f>IF(CQ394="Exterior","Not Daylighted",G397)</f>
        <v>Not Daylighted</v>
      </c>
      <c r="FM394" s="1824">
        <f>VLOOKUP(FL394,_New_Daylight_Table_Codes,2,FALSE)</f>
        <v>0</v>
      </c>
      <c r="FN394" s="1698">
        <f>IF(__Retrofit_TI_NC&gt;0,VLOOKUP(G396,'Space Table'!$B$3:$L$163,11,FALSE),AG395)</f>
        <v>0</v>
      </c>
      <c r="FO394" s="1698" t="e">
        <f>IF(__Retrofit_TI_NC=2,VLOOKUP(FQ394,_Control_Table,2,FALSE),VLOOKUP(FN394,_Control_Table,2,FALSE))</f>
        <v>#N/A</v>
      </c>
      <c r="FP394" s="1678" t="e">
        <f>VLOOKUP(CONCATENATE(FL394," ",FN394),Lookup!AY$102:AZ404,2,FALSE)</f>
        <v>#N/A</v>
      </c>
      <c r="FQ394" s="1678">
        <f>IF(__Retrofit_TI_NC=0,FN394,IF(AND(FT394&gt;0,FN394="Occupancy Sensor"),"Daylight + Occupancy",IF(AND(FT394&gt;0,VLOOKUP(FN394,_Control_Table,2,FALSE)&lt;4),"Interior Daylight Dimming",FN394)))</f>
        <v>0</v>
      </c>
      <c r="FS394" s="1686">
        <f>IF(CR394="Interior",VLOOKUP(CS394,Control_Savings_Interior,5,FALSE),0)</f>
        <v>0</v>
      </c>
      <c r="FT394" s="1687">
        <f>IF(CQ394="Exterior",0,IF(FM394=2,0.5,IF(OR(FM394=1,FM394=3),1,0)))</f>
        <v>0</v>
      </c>
      <c r="FU394" s="1685">
        <f>IF(R393&gt;FS$44,(FS394*(FS$44/R393)),FS394)*FT394</f>
        <v>0</v>
      </c>
      <c r="FV394" s="1686">
        <f>DI394</f>
        <v>0</v>
      </c>
      <c r="FW394" s="1686">
        <f>ROUND(FV394+((1-FV394)*FU394),2)</f>
        <v>0</v>
      </c>
      <c r="FX394" s="1686">
        <f>IF(__Retrofit_TI_NC=2,FW394,FV394)</f>
        <v>0</v>
      </c>
      <c r="FY394" s="1697"/>
      <c r="GA394" s="1696" t="str">
        <f>IFERROR(VLOOKUP(U395,_Exist_Fixture_Table,3,FALSE),"")</f>
        <v/>
      </c>
      <c r="GB394" s="1696" t="str">
        <f>VLOOKUP(CW394,_Exist_Fixture_Table,4,FALSE)</f>
        <v/>
      </c>
      <c r="GC394" s="1696">
        <f>IFERROR(VLOOKUP(GB394,Lookup!AT$6:AU$8,2,FALSE),0)</f>
        <v>0</v>
      </c>
      <c r="GD394" s="1696" t="b">
        <f>IFERROR(IF(OR(GF394=4,GF394=5,GF394=6),TRUE,FALSE),"")</f>
        <v>0</v>
      </c>
      <c r="GE394" s="1696" t="str">
        <f>IFERROR(VLOOKUP(GF394,GC$6:GD$10,2,FALSE),"")</f>
        <v/>
      </c>
      <c r="GF394" s="1696" t="str">
        <f>VLOOKUP(CW396,Fixtures!R$31:Y$78,8,FALSE)</f>
        <v/>
      </c>
      <c r="GG394" s="1696">
        <f>IF(AND(GA394=TRUE,GD394=TRUE,OR(DQ394=12,DQ394=13,DQ394=14)),GC394+8,0)</f>
        <v>0</v>
      </c>
      <c r="GH394" s="1696" t="b">
        <f>IF(OR(GG394=12,GG394=13,GG394=14),TRUE,FALSE)</f>
        <v>0</v>
      </c>
      <c r="GI394" s="673" t="b">
        <f>IF(ISNUMBER(SEARCH("TLED",U395)),TRUE,FALSE)</f>
        <v>0</v>
      </c>
      <c r="GJ394" s="1135" t="str">
        <f>IFERROR(VLOOKUP(U395,Fixtures!BM$93:BR$142,6,FALSE),"")</f>
        <v/>
      </c>
      <c r="GK394" s="1832" t="b">
        <f>IF(OR(GI394=FALSE,GI396=FALSE),TRUE,IF(GJ394-GJ396&lt;5,FALSE,TRUE))</f>
        <v>1</v>
      </c>
      <c r="GO394" s="674">
        <f>GP394</f>
        <v>0</v>
      </c>
      <c r="GP394" s="674">
        <f>IF(G394="",0,1)</f>
        <v>0</v>
      </c>
      <c r="GQ394" s="674">
        <f ca="1">SUM(GR394:HF394)</f>
        <v>2</v>
      </c>
      <c r="GR394" s="674">
        <f>IF(G395="",0,1)</f>
        <v>0</v>
      </c>
      <c r="GS394" s="674">
        <f>IF(N397="BAM",1,IF(G396="",0,1))</f>
        <v>0</v>
      </c>
      <c r="GT394" s="674">
        <f>IF(N397="BAM",1,IF(R395="",0,1))</f>
        <v>0</v>
      </c>
      <c r="GU394" s="674">
        <f>IF(N397="BAM",1,IF(__Retrofit_TI_NC=0,1,IF(R396="",0,1)))</f>
        <v>1</v>
      </c>
      <c r="GV394" s="674">
        <f>IF(N397="BAM",1,IF(CQ394="Exterior",1,IF(G397="",0,1)))</f>
        <v>1</v>
      </c>
      <c r="GW394" s="674">
        <f>IF(__Retrofit_TI_NC&gt;0,1,IF(T395="",0,1))</f>
        <v>0</v>
      </c>
      <c r="GX394" s="674">
        <f>IF(__Retrofit_TI_NC&gt;0,1,IF(U395="",0,1))</f>
        <v>0</v>
      </c>
      <c r="GY394" s="674">
        <f>IF(N397="BAM",1,IF(T396="",0,1))</f>
        <v>0</v>
      </c>
      <c r="GZ394" s="674">
        <f>IF(N397="BAM",1,IF(U396="",0,1))</f>
        <v>0</v>
      </c>
      <c r="HA394" s="674">
        <f ca="1">IF(N397="BAM",1,IF(__Retrofit_TI_NC&gt;0,1,IF(U397="",0,1)))</f>
        <v>0</v>
      </c>
      <c r="HB394" s="674">
        <f>IF(__Retrofit_TI_NC&lt;&gt;0,1,IF(AF395="",0,1))</f>
        <v>0</v>
      </c>
      <c r="HC394" s="674">
        <f>IF(__Retrofit_TI_NC&lt;&gt;0,1,IF(AG395="",0,1))</f>
        <v>0</v>
      </c>
      <c r="HD394" s="674">
        <f>IF(N397="BAM",1,IF(AF396="",0,1))</f>
        <v>0</v>
      </c>
      <c r="HE394" s="674">
        <f>IF(N397="BAM",1,IF(AG396="",0,1))</f>
        <v>0</v>
      </c>
      <c r="HF394" s="674">
        <f>IF(N397="BAM",1,IF(__Retrofit_TI_NC&gt;0,1,IF(AG397="",0,1)))</f>
        <v>0</v>
      </c>
      <c r="HG394" s="391"/>
      <c r="IA394" s="391"/>
      <c r="IB394" s="1693" t="b">
        <f>IF(OR(IB397=0,IB397=HY$16,IB397=HX$16,IB397=HZ$16),TRUE,FALSE)</f>
        <v>0</v>
      </c>
      <c r="IC394" s="1694" t="b">
        <f>IB394</f>
        <v>0</v>
      </c>
      <c r="ID394" s="391"/>
      <c r="IE394" s="391"/>
      <c r="IF394" s="1688" t="b">
        <f ca="1">IF(MAX(GN397:HU397)&gt;5,FALSE,TRUE)</f>
        <v>0</v>
      </c>
      <c r="IG394" s="1689">
        <f ca="1">IF(IF394=TRUE,AC394,0)</f>
        <v>0</v>
      </c>
      <c r="IH394" s="1689">
        <f ca="1">IG394-IG396</f>
        <v>0</v>
      </c>
      <c r="IK394" s="1689" t="e">
        <f>ROUND(T395*VLOOKUP(U395,Fixtures_Existing_List,2,FALSE)*N395*R395/1000,0)</f>
        <v>#N/A</v>
      </c>
      <c r="IL394" s="1690" t="e">
        <f>IK394-IK396</f>
        <v>#N/A</v>
      </c>
      <c r="IM394" s="1693" t="e">
        <f>ROUND(IF(CQ394="Interior",N396*R396*R395*N395*_C406_reduction/1000,N396*R396*R395*N395/1000),0)</f>
        <v>#N/A</v>
      </c>
      <c r="IN394" s="1693" t="e">
        <f>IM394-IM396</f>
        <v>#N/A</v>
      </c>
      <c r="IP394" s="1679"/>
      <c r="IQ394" s="1679" t="e">
        <f t="shared" ref="IQ394:IU394" si="351">IF($CR394="interior",VLOOKUP($CS394,_New_Control_Savings_Interior,IQ$30,FALSE),VLOOKUP($CS394,Control_Savings_Exterior,IQ$30,FALSE))</f>
        <v>#N/A</v>
      </c>
      <c r="IR394" s="1679" t="e">
        <f t="shared" si="351"/>
        <v>#N/A</v>
      </c>
      <c r="IS394" s="1679" t="e">
        <f t="shared" si="351"/>
        <v>#N/A</v>
      </c>
      <c r="IT394" s="1679" t="e">
        <f t="shared" si="351"/>
        <v>#N/A</v>
      </c>
      <c r="IU394" s="1679" t="e">
        <f t="shared" si="351"/>
        <v>#N/A</v>
      </c>
      <c r="IV394" s="1679" t="e">
        <f>IF($CR394="interior",IF(R395&gt;$IP$14,ROUND(($IV$18*($IP$14/R395)),2),$IV$18),VLOOKUP($CS394,Control_Savings_Exterior,IV$30,FALSE))</f>
        <v>#N/A</v>
      </c>
      <c r="IW394" s="1679" t="e">
        <f>IF($CR394="interior",ROUND(((1-IS394)*IV394)+IS394,2),VLOOKUP($CS394,Control_Savings_Exterior,IW$30,FALSE))</f>
        <v>#N/A</v>
      </c>
      <c r="IX394" s="1679" t="e">
        <f>IF($CR394="interior",ROUND(((1-IT394)*IV394)+IT394,2),VLOOKUP($CS394,Control_Savings_Exterior,IX$30,FALSE))</f>
        <v>#N/A</v>
      </c>
      <c r="IY394" s="1679" t="e">
        <f>IF($CR394="interior",IF(R395&gt;$IP$14,ROUND(($IY$18*($IP$14/R395)),2),$IY$18),VLOOKUP($CS394,Control_Savings_Exterior,IY$30,FALSE))</f>
        <v>#N/A</v>
      </c>
      <c r="IZ394" s="1679" t="e">
        <f>IF($CR394="interior",ROUND(((1-IS394)*IY394)+IS394,2),VLOOKUP($CS394,Control_Savings_Exterior,IZ$30,FALSE))</f>
        <v>#N/A</v>
      </c>
      <c r="JA394" s="1679" t="e">
        <f>IF($CR394="interior",ROUND(((1-IT394)*IY394)+IT394,2),VLOOKUP($CS394,Control_Savings_Exterior,JA$30,FALSE))</f>
        <v>#N/A</v>
      </c>
      <c r="JC394" s="1680">
        <f>IFERROR(IF(CR394="Interior",CONCATENATE(G397," ",FQ394),FQ394),"")</f>
        <v>0</v>
      </c>
      <c r="JD394" s="1670" t="str">
        <f>IFERROR(VLOOKUP(JC394,_Controls_2023,2,FALSE),"")</f>
        <v/>
      </c>
      <c r="JE394" s="1681">
        <f>IFERROR(CHOOSE(JD394-1,IQ394,IR394,IS394,IT394,IU394,IV394,IW394,IX394,IY394,IZ394,JA394),0)</f>
        <v>0</v>
      </c>
      <c r="JG394" s="1680" t="str">
        <f>FE394</f>
        <v xml:space="preserve"> - 0</v>
      </c>
      <c r="JH394" s="1670" t="e">
        <f>$FO394</f>
        <v>#N/A</v>
      </c>
      <c r="JI394" s="1060"/>
      <c r="JJ394" s="1682" t="b">
        <f>IF($JG396=CONCATENATE("Interior - ",JJ$4),TRUE,FALSE)</f>
        <v>0</v>
      </c>
      <c r="JK394" s="1061"/>
      <c r="JL394" s="1682" t="b">
        <f>IF($JG396=CONCATENATE("Interior - ",JL$4),TRUE,FALSE)</f>
        <v>0</v>
      </c>
      <c r="JM394" s="1061"/>
      <c r="JN394" s="1682" t="b">
        <f>IF($JG396=CONCATENATE("Interior - ",JN$4),TRUE,FALSE)</f>
        <v>0</v>
      </c>
      <c r="JO394" s="1061"/>
      <c r="JP394" s="1682" t="b">
        <f>IF(__Retrofit_TI_NC&gt;0,FALSE,IF($JG396=CONCATENATE("Interior - ",JP$4),TRUE,FALSE))</f>
        <v>0</v>
      </c>
      <c r="JQ394" s="1061"/>
      <c r="JR394" s="1682" t="b">
        <f>IF(__Retrofit_TI_NC&gt;0,FALSE,IF($JG396=CONCATENATE("Interior - ",JR$4),TRUE,FALSE))</f>
        <v>0</v>
      </c>
      <c r="JS394" s="1061"/>
      <c r="JT394" s="1670" t="b">
        <f>IF(__Retrofit_TI_NC&gt;0,FALSE,IF($JG396=CONCATENATE("Interior - ",JT$4),TRUE,FALSE))</f>
        <v>0</v>
      </c>
      <c r="JU394" s="1061"/>
      <c r="JV394" s="1670" t="b">
        <f>IF(JC396="AELC on Existing",TRUE,FALSE)</f>
        <v>0</v>
      </c>
      <c r="JX394" s="1670" t="b">
        <f>IF(OR(JG396="Exterior - AELC Occupancy based",JG396="Exterior - AELC Time based"),TRUE,FALSE)</f>
        <v>0</v>
      </c>
      <c r="JZ394" s="1682" t="b">
        <f>IF($JG396=CONCATENATE("Exterior - ",JZ$4),TRUE,FALSE)</f>
        <v>0</v>
      </c>
      <c r="KB394" s="1670" t="b">
        <f>IF(__Retrofit_TI_NC&gt;0,FALSE,IF($JG396=CONCATENATE("Interior - ",KB$4),TRUE,FALSE))</f>
        <v>0</v>
      </c>
    </row>
    <row r="395" spans="1:288" s="78" customFormat="1" ht="14.95" customHeight="1" thickTop="1" thickBot="1">
      <c r="B395" s="1845"/>
      <c r="C395" s="1846"/>
      <c r="D395" s="1847"/>
      <c r="E395" s="1737" t="s">
        <v>297</v>
      </c>
      <c r="F395" s="1738"/>
      <c r="G395" s="1739"/>
      <c r="H395" s="1739"/>
      <c r="I395" s="1739"/>
      <c r="J395" s="1739"/>
      <c r="K395" s="1739"/>
      <c r="L395" s="1739"/>
      <c r="M395" s="461" t="e">
        <f>IF(__Retrofit_TI_NC&lt;&gt;0,IF(VLOOKUP(G396,'Space Table'!$B$3:$L$163,3,FALSE)&gt;0,1,0),IF(__Retrofit_TI_NC=VLOOKUP(G396,'Space Table'!$B$3:$L$163,3,FALSE),1,0))</f>
        <v>#N/A</v>
      </c>
      <c r="N395" s="461" t="str">
        <f>IFERROR(VLOOKUP(G395,_Lookup_Heat_Type_Table_New,2,FALSE),"")</f>
        <v/>
      </c>
      <c r="O395" s="461">
        <f>IF(__Retrofit_TI_NC=1,CONCATENATE("TI ",G395),IF(__Retrofit_TI_NC=2,CONCATENATE("NC ",G395),G395))</f>
        <v>0</v>
      </c>
      <c r="P395" s="1740" t="s">
        <v>435</v>
      </c>
      <c r="Q395" s="1740"/>
      <c r="R395" s="595"/>
      <c r="S395" s="1792"/>
      <c r="T395" s="597"/>
      <c r="U395" s="1765"/>
      <c r="V395" s="1766"/>
      <c r="W395" s="1766"/>
      <c r="X395" s="1766"/>
      <c r="Y395" s="1766"/>
      <c r="Z395" s="1766"/>
      <c r="AA395" s="1766"/>
      <c r="AB395" s="1766"/>
      <c r="AC395" s="1766"/>
      <c r="AD395" s="1767"/>
      <c r="AE395" s="1000"/>
      <c r="AF395" s="597"/>
      <c r="AG395" s="1723"/>
      <c r="AH395" s="1724"/>
      <c r="AI395" s="1724"/>
      <c r="AJ395" s="1724"/>
      <c r="AK395" s="1725"/>
      <c r="AL395" s="996"/>
      <c r="AM395" s="1747"/>
      <c r="AN395" s="1775"/>
      <c r="AO395" s="1777"/>
      <c r="AP395" s="1780"/>
      <c r="AQ395" s="1781"/>
      <c r="AR395" s="1795"/>
      <c r="AS395" s="1795"/>
      <c r="AT395" s="1796"/>
      <c r="AU395" s="1735"/>
      <c r="AV395" s="1752"/>
      <c r="AW395" s="1705"/>
      <c r="AX395" s="467"/>
      <c r="AY395" s="1749"/>
      <c r="AZ395" s="1749"/>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696"/>
      <c r="CQ395" s="1696"/>
      <c r="CR395" s="1809"/>
      <c r="CS395" s="1811"/>
      <c r="CU395" s="1688"/>
      <c r="CV395" s="1703"/>
      <c r="CW395" s="1703"/>
      <c r="CX395" s="1703"/>
      <c r="CY395" s="1815"/>
      <c r="CZ395" s="1711"/>
      <c r="DA395" s="1818"/>
      <c r="DB395" s="1820"/>
      <c r="DC395" s="1820"/>
      <c r="DD395" s="1820"/>
      <c r="DF395" s="1703"/>
      <c r="DG395" s="1831"/>
      <c r="DH395" s="1703"/>
      <c r="DI395" s="1838"/>
      <c r="DJ395" s="1711"/>
      <c r="DK395" s="1712"/>
      <c r="DM395" s="1718"/>
      <c r="DO395" s="1708"/>
      <c r="DQ395" s="1715"/>
      <c r="DR395" s="1720"/>
      <c r="DS395" s="1816"/>
      <c r="DT395" s="1714"/>
      <c r="DU395" s="1715"/>
      <c r="DV395" s="1716"/>
      <c r="DX395" s="1715"/>
      <c r="DY395" s="1720"/>
      <c r="DZ395" s="1715"/>
      <c r="EA395" s="1715"/>
      <c r="EC395" s="1834"/>
      <c r="ED395" s="1834"/>
      <c r="EF395" s="1707"/>
      <c r="EG395" s="1712"/>
      <c r="EH395" s="1818"/>
      <c r="EI395" s="1712"/>
      <c r="EJ395" s="1712"/>
      <c r="EK395" s="1836"/>
      <c r="EL395" s="1836"/>
      <c r="EM395" s="1807"/>
      <c r="EN395" s="1839"/>
      <c r="EO395" s="1839"/>
      <c r="EP395" s="1817"/>
      <c r="EQ395" s="1817"/>
      <c r="ER395" s="1807"/>
      <c r="ES395" s="1807"/>
      <c r="ET395" s="1807"/>
      <c r="EV395" s="1715"/>
      <c r="EX395" s="1805"/>
      <c r="EY395" s="1805"/>
      <c r="EZ395" s="1805"/>
      <c r="FA395" s="1805"/>
      <c r="FB395" s="1805"/>
      <c r="FC395" s="1827"/>
      <c r="FE395" s="1698"/>
      <c r="FG395" s="1816"/>
      <c r="FH395" s="1816"/>
      <c r="FI395" s="133"/>
      <c r="FL395" s="1823"/>
      <c r="FM395" s="1825"/>
      <c r="FN395" s="1698"/>
      <c r="FO395" s="1698"/>
      <c r="FP395" s="1678"/>
      <c r="FQ395" s="1678"/>
      <c r="FS395" s="1687"/>
      <c r="FT395" s="1687"/>
      <c r="FU395" s="1685"/>
      <c r="FV395" s="1687"/>
      <c r="FW395" s="1687"/>
      <c r="FX395" s="1687"/>
      <c r="FY395" s="1697"/>
      <c r="GA395" s="1696"/>
      <c r="GB395" s="1696"/>
      <c r="GC395" s="1696"/>
      <c r="GD395" s="1696"/>
      <c r="GE395" s="1696"/>
      <c r="GF395" s="1696"/>
      <c r="GG395" s="1696"/>
      <c r="GH395" s="1696"/>
      <c r="GI395" s="673"/>
      <c r="GJ395" s="1135"/>
      <c r="GK395" s="1832"/>
      <c r="GM395" s="1693" t="b">
        <f ca="1">IF(AND(GP395=TRUE,GQ395=TRUE),TRUE,FALSE)</f>
        <v>0</v>
      </c>
      <c r="GN395" s="1684" t="b">
        <f>IFERROR(IF(__Retrofit_TI_NC=2,TRUE,IF(AU394="Yes",TRUE,FALSE)),FALSE)</f>
        <v>1</v>
      </c>
      <c r="GP395" s="1684" t="b">
        <f>IFERROR(IF(GP394=1,TRUE,FALSE),FALSE)</f>
        <v>0</v>
      </c>
      <c r="GQ395" s="1684" t="b">
        <f ca="1">IFERROR(IF(GQ394=GQ$14,TRUE,FALSE),FALSE)</f>
        <v>0</v>
      </c>
      <c r="HG395" s="1684" t="b">
        <f>IFERROR(IF(AND(__Retrofit_TI_NC&gt;0,CQ394="Interior"),FALSE,TRUE),FALSE)</f>
        <v>1</v>
      </c>
      <c r="HH395" s="1684" t="b">
        <f>IFERROR(IF(M395=1,TRUE,FALSE),FALSE)</f>
        <v>0</v>
      </c>
      <c r="HI395" s="1684" t="b">
        <f>IFERROR(IF(OR(M396=1,N397="BAM"),TRUE,FALSE),FALSE)</f>
        <v>0</v>
      </c>
      <c r="HJ395" s="1684" t="b">
        <f>IFERROR(IF(__Retrofit_TI_NC&lt;&gt;0,TRUE,IFERROR(IF(VLOOKUP(U395,Fixtures_Existing_List,2,FALSE)&lt;&gt;"",TRUE,FALSE),FALSE)),FALSE)</f>
        <v>0</v>
      </c>
      <c r="HK395" s="1684" t="b">
        <f>IFERROR(IF(VLOOKUP(U396,Fixtures_Proposed_List,2,FALSE)&lt;&gt;"",TRUE,FALSE),FALSE)</f>
        <v>0</v>
      </c>
      <c r="HL395" s="1684" t="b">
        <f>IF(AND(__Retrofit_TI_NC=2,FC394=TRUE),FALSE,TRUE)</f>
        <v>1</v>
      </c>
      <c r="HM395" s="1684" t="b">
        <f>GK394</f>
        <v>1</v>
      </c>
      <c r="HN395" s="1682" t="b">
        <f>IF(ISERROR(MATCH(FE394,_Control_Match[],0))=TRUE,FALSE,TRUE)</f>
        <v>0</v>
      </c>
      <c r="HO395" s="1693" t="b">
        <f>IFERROR(IF(EX394&lt;&gt;EY394,FALSE,TRUE),FALSE)</f>
        <v>1</v>
      </c>
      <c r="HP395" s="1693" t="b">
        <f>IFERROR(IF(EX396&lt;&gt;EY396,FALSE,TRUE),FALSE)</f>
        <v>1</v>
      </c>
      <c r="HQ395" s="1670" t="b">
        <f>IFERROR(IF(CQ394="Exterior",TRUE,IF(AND(OR(FM396=0,FM396=3),JD396&gt;6),FALSE,TRUE)),FALSE)</f>
        <v>0</v>
      </c>
      <c r="HR395" s="1684" t="b">
        <f>IFERROR(IF(AND(FO396=7,FC394=TRUE),FALSE,TRUE),FALSE)</f>
        <v>0</v>
      </c>
      <c r="HS395" s="1684" t="b">
        <f>IFERROR(IF(AND(T396&lt;&gt;AF396,OR(AG396="Interior LLLC", AG396="Interior NLC", AG396="LLLC (outside Daylight)",AG396="LLLC Controls Only"))=TRUE,FALSE,TRUE),FALSE)</f>
        <v>1</v>
      </c>
      <c r="HT395" s="1670" t="b">
        <f>IFERROR(IF(OR(AG396=Lookup!BB$17,AG396=Lookup!BB$18,AG396=Lookup!BB$19)=TRUE,IF(AF396&gt;T396,FALSE,TRUE),TRUE),FALSE)</f>
        <v>1</v>
      </c>
      <c r="HU395" s="1684" t="b">
        <f>IFERROR(IF(__Retrofit_TI_NC=2,IF(EZ396&lt;EZ394,FALSE,TRUE),TRUE),FALSE)</f>
        <v>1</v>
      </c>
      <c r="HV395" s="1684" t="b">
        <f>IF(CQ394="Interior",IL$6,TRUE)</f>
        <v>1</v>
      </c>
      <c r="HW395" s="1684" t="b">
        <f>IF(CQ394="Exterior",IL$8,TRUE)</f>
        <v>1</v>
      </c>
      <c r="HX395" s="1684" t="b">
        <f>IFERROR(IF(__Retrofit_TI_NC&lt;&gt;0,IF(AZ394&lt;AY394,FALSE,TRUE),TRUE),FALSE)</f>
        <v>1</v>
      </c>
      <c r="HY395" s="1684" t="b">
        <f>IFERROR(IF(AND(G395="Exterior",R395&gt;4200),FALSE,TRUE),FALSE)</f>
        <v>1</v>
      </c>
      <c r="HZ395" s="1684" t="b">
        <f>IFERROR(IF(AB397/AB394&lt;HZ$18,FALSE,TRUE),FALSE)</f>
        <v>0</v>
      </c>
      <c r="IB395" s="1691"/>
      <c r="IC395" s="1695"/>
      <c r="ID395" s="1694" t="str">
        <f>VLOOKUP(IB397,_Error_Table,4,FALSE)</f>
        <v>White</v>
      </c>
      <c r="IE395" s="391"/>
      <c r="IF395" s="1688"/>
      <c r="IG395" s="1689"/>
      <c r="IH395" s="1684"/>
      <c r="IK395" s="1689"/>
      <c r="IL395" s="1691"/>
      <c r="IM395" s="1691"/>
      <c r="IN395" s="1691"/>
      <c r="IP395" s="1679"/>
      <c r="IQ395" s="1679"/>
      <c r="IR395" s="1679"/>
      <c r="IS395" s="1679"/>
      <c r="IT395" s="1679"/>
      <c r="IU395" s="1679"/>
      <c r="IV395" s="1679"/>
      <c r="IW395" s="1679"/>
      <c r="IX395" s="1679"/>
      <c r="IY395" s="1679"/>
      <c r="IZ395" s="1679"/>
      <c r="JA395" s="1679"/>
      <c r="JC395" s="1680"/>
      <c r="JD395" s="1670"/>
      <c r="JE395" s="1681"/>
      <c r="JG395" s="1680"/>
      <c r="JH395" s="1670"/>
      <c r="JI395" s="1060"/>
      <c r="JJ395" s="1683"/>
      <c r="JK395" s="1061"/>
      <c r="JL395" s="1683"/>
      <c r="JM395" s="1061"/>
      <c r="JN395" s="1683"/>
      <c r="JO395" s="1061"/>
      <c r="JP395" s="1683"/>
      <c r="JQ395" s="1061"/>
      <c r="JR395" s="1683"/>
      <c r="JS395" s="1061"/>
      <c r="JT395" s="1670"/>
      <c r="JU395" s="1061"/>
      <c r="JV395" s="1670"/>
      <c r="JX395" s="1670"/>
      <c r="JZ395" s="1683"/>
      <c r="KB395" s="1670"/>
    </row>
    <row r="396" spans="1:288" s="78" customFormat="1" ht="14.95" customHeight="1" thickTop="1" thickBot="1">
      <c r="A396" s="78">
        <f>ROW()</f>
        <v>396</v>
      </c>
      <c r="B396" s="1845"/>
      <c r="C396" s="1846"/>
      <c r="D396" s="1847"/>
      <c r="E396" s="1737" t="s">
        <v>298</v>
      </c>
      <c r="F396" s="1738"/>
      <c r="G396" s="1760"/>
      <c r="H396" s="1761"/>
      <c r="I396" s="1761"/>
      <c r="J396" s="1761"/>
      <c r="K396" s="1761"/>
      <c r="L396" s="1762"/>
      <c r="M396" s="461">
        <f>IFERROR(IF(IF(__Retrofit_TI_NC&lt;&gt;0,IF(CQ394="Interior",MATCH(G396,Lookup_Interior_New,0),MATCH(G396,Lookup_Exterior_New,0)),IF(CQ394="Interior",MATCH(G396,Lookup_Interior,0),MATCH(G396,Lookup_Exterior_Areas,0)))&gt;0,1,0),0)</f>
        <v>0</v>
      </c>
      <c r="N396" s="461" t="e">
        <f>IF(__Retrofit_TI_NC=1,
VLOOKUP(G396,'Space Table'!$B$3:$L$163,4,FALSE),
IF(__Retrofit_TI_NC=2,VLOOKUP(G396,'Space Table'!$B$3:$L$163,5,FALSE),VLOOKUP(G396,'Space Table'!$B$3:$L$163,5,FALSE)))</f>
        <v>#N/A</v>
      </c>
      <c r="O396" s="461">
        <f>G396</f>
        <v>0</v>
      </c>
      <c r="P396" s="1738" t="str">
        <f>IFERROR(IF(__Retrofit_TI_NC=1,VLOOKUP(G396,'Space Table'!$B$3:$O$163,13,FALSE),IF(__Retrofit_TI_NC=2,VLOOKUP(G396,'Space Table'!$B$3:$O$163,14,FALSE),"Area (sf):")),"Area (sf):")</f>
        <v>Area (sf):</v>
      </c>
      <c r="Q396" s="1738"/>
      <c r="R396" s="596"/>
      <c r="S396" s="1763" t="s">
        <v>345</v>
      </c>
      <c r="T396" s="594"/>
      <c r="U396" s="1801"/>
      <c r="V396" s="1802"/>
      <c r="W396" s="1802"/>
      <c r="X396" s="1802"/>
      <c r="Y396" s="1802"/>
      <c r="Z396" s="1802"/>
      <c r="AA396" s="1802"/>
      <c r="AB396" s="1802"/>
      <c r="AC396" s="1802"/>
      <c r="AD396" s="1802"/>
      <c r="AE396" s="1803"/>
      <c r="AF396" s="594"/>
      <c r="AG396" s="1787"/>
      <c r="AH396" s="1787"/>
      <c r="AI396" s="1787"/>
      <c r="AJ396" s="1787"/>
      <c r="AK396" s="1787"/>
      <c r="AL396" s="1787"/>
      <c r="AM396" s="1726">
        <f>IFERROR(DI396,"")</f>
        <v>0</v>
      </c>
      <c r="AN396" s="1728" t="str">
        <f>IFERROR(ROUND(AM396*AC397,0),"")</f>
        <v/>
      </c>
      <c r="AO396" s="1730">
        <f>IFERROR(IF(IB394=FALSE,0,AC397-AN396),0)</f>
        <v>0</v>
      </c>
      <c r="AP396" s="1780"/>
      <c r="AQ396" s="1781"/>
      <c r="AR396" s="1795"/>
      <c r="AS396" s="1795"/>
      <c r="AT396" s="1796"/>
      <c r="AU396" s="1735"/>
      <c r="AV396" s="1752"/>
      <c r="AW396" s="1705"/>
      <c r="AX396" s="467"/>
      <c r="AY396" s="1749"/>
      <c r="AZ396" s="1749"/>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696"/>
      <c r="CQ396" s="1696"/>
      <c r="CR396" s="1808" t="str">
        <f>CQ394</f>
        <v/>
      </c>
      <c r="CS396" s="1810" t="str">
        <f>CS394</f>
        <v/>
      </c>
      <c r="CU396" s="1688" t="s">
        <v>345</v>
      </c>
      <c r="CV396" s="1702">
        <f>IF(IB394=TRUE,T396,0)</f>
        <v>0</v>
      </c>
      <c r="CW396" s="1702" t="str">
        <f>IF(IB394=TRUE,U396,"")</f>
        <v/>
      </c>
      <c r="CX396" s="1812">
        <f>IF(IB394=TRUE,U397,0)</f>
        <v>0</v>
      </c>
      <c r="CY396" s="1814">
        <f>IF(IB394=TRUE,AB397,0)</f>
        <v>0</v>
      </c>
      <c r="CZ396" s="1710">
        <f>IF(AND(__Retrofit_TI_NC&gt;0,CR394="interior"),0,IF(IB394=TRUE,AC397,0))</f>
        <v>0</v>
      </c>
      <c r="DA396" s="1818"/>
      <c r="DB396" s="1820"/>
      <c r="DC396" s="1820"/>
      <c r="DD396" s="1820"/>
      <c r="DF396" s="1702">
        <f>IF(IB394=TRUE,AF396,0)</f>
        <v>0</v>
      </c>
      <c r="DG396" s="1830" t="str">
        <f>IF(IB394=TRUE,AG396,"")</f>
        <v/>
      </c>
      <c r="DH396" s="1812">
        <f>AG397</f>
        <v>0</v>
      </c>
      <c r="DI396" s="1837">
        <f>JE396</f>
        <v>0</v>
      </c>
      <c r="DJ396" s="1710">
        <f>IF(AND(__Retrofit_TI_NC&gt;0,CR394="interior"),0,IF(IB394=TRUE,AN396,0))</f>
        <v>0</v>
      </c>
      <c r="DK396" s="1712"/>
      <c r="DN396" s="1717">
        <f>IFERROR(CZ396-DJ396,0)</f>
        <v>0</v>
      </c>
      <c r="DO396" s="1709"/>
      <c r="DQ396" s="1715"/>
      <c r="DR396" s="1719" t="str">
        <f>DQ394</f>
        <v/>
      </c>
      <c r="DS396" s="1816"/>
      <c r="DT396" s="1835" t="str">
        <f>IF(OR(DS394=7,DS394=8,DS394=9),"ALC","")</f>
        <v/>
      </c>
      <c r="DU396" s="1715"/>
      <c r="DV396" s="1716"/>
      <c r="DX396" s="1715"/>
      <c r="DY396" s="1829" t="str">
        <f>DX394</f>
        <v/>
      </c>
      <c r="DZ396" s="1715"/>
      <c r="EA396" s="1715"/>
      <c r="EC396" s="1834"/>
      <c r="ED396" s="1834"/>
      <c r="EF396" s="1707"/>
      <c r="EG396" s="1712"/>
      <c r="EH396" s="1818"/>
      <c r="EI396" s="1712"/>
      <c r="EJ396" s="1712"/>
      <c r="EK396" s="1836"/>
      <c r="EL396" s="1836"/>
      <c r="EM396" s="1807"/>
      <c r="EN396" s="1839"/>
      <c r="EO396" s="1839"/>
      <c r="EP396" s="1817"/>
      <c r="EQ396" s="1817"/>
      <c r="ER396" s="1807"/>
      <c r="ES396" s="1807"/>
      <c r="ET396" s="1807"/>
      <c r="EV396" s="1715"/>
      <c r="EX396" s="1805" t="str">
        <f>IFERROR(VLOOKUP(CS396,'Space Table'!$B$3:$L$163,8,FALSE),"")</f>
        <v/>
      </c>
      <c r="EY396" s="1805" t="str">
        <f>IFERROR(IF(FB396="Yes",VLOOKUP(AG396,Lookup_Control_Type_Table2,4,FALSE),VLOOKUP(AG396,Lookup_Control_Type_Table2,3,FALSE)),"")</f>
        <v/>
      </c>
      <c r="EZ396" s="1805" t="e">
        <f>VLOOKUP(AG396,Lookup!BB$3:BC$20,2,FALSE)</f>
        <v>#N/A</v>
      </c>
      <c r="FA396" s="1805" t="e">
        <f>VLOOKUP(EX394,Lookup_Control_Type_Table,2,FALSE)</f>
        <v>#N/A</v>
      </c>
      <c r="FB396" s="1805" t="e">
        <f>VLOOKUP(CS396,'Space Table'!$B$3:$L$163,7,FALSE)</f>
        <v>#N/A</v>
      </c>
      <c r="FC396" s="1827"/>
      <c r="FE396" s="1698" t="str">
        <f>CONCATENATE(CQ394," - ",AG396)</f>
        <v xml:space="preserve"> - </v>
      </c>
      <c r="FG396" s="1816"/>
      <c r="FH396" s="1816"/>
      <c r="FI396" s="133"/>
      <c r="FL396" s="1822" t="str">
        <f>IF(CQ394="Exterior","Not Daylighted",G397)</f>
        <v>Not Daylighted</v>
      </c>
      <c r="FM396" s="1824">
        <f>VLOOKUP(FL396,_New_Daylight_Table_Codes,2,FALSE)</f>
        <v>0</v>
      </c>
      <c r="FN396" s="1698">
        <f>AG396</f>
        <v>0</v>
      </c>
      <c r="FO396" s="1698" t="e">
        <f>VLOOKUP(FN396,_Control_Table,2,FALSE)</f>
        <v>#N/A</v>
      </c>
      <c r="FP396" s="1678" t="e">
        <f>VLOOKUP(CONCATENATE(FL396," ",FN396),Lookup!AY$102:AZ407,2,FALSE)</f>
        <v>#N/A</v>
      </c>
      <c r="FQ396" s="1698">
        <f>IF(__Retrofit_TI_NC=0,FN396,IF(AND(FT396&gt;0,FN396="Occupancy Sensor"),"Daylight + Occupancy",IF(AND(FT396&gt;0,FO396&lt;4),"Interior Daylight Dimming",FN396)))</f>
        <v>0</v>
      </c>
      <c r="FS396" s="1686">
        <f>IF(CQ394="Interior",VLOOKUP(CS394,Control_Savings_Interior,5,FALSE),0)</f>
        <v>0</v>
      </c>
      <c r="FT396" s="1687">
        <f>IF(CQ396="Exterior",0,IF(FM396=2,0.5,IF(OR(FM396=1,FM396=3),1,0)))</f>
        <v>0</v>
      </c>
      <c r="FU396" s="1685">
        <f>IF(R395&gt;FS$44,(FS396*(FS$44/R395)),FS396)*FT396</f>
        <v>0</v>
      </c>
      <c r="FV396" s="1686">
        <f>DI396</f>
        <v>0</v>
      </c>
      <c r="FW396" s="1686">
        <f>ROUND(FV396+((1-FV396)*FU396),2)</f>
        <v>0</v>
      </c>
      <c r="FX396" s="1686">
        <f>IF(__Retrofit_TI_NC=2,FW396,FV396)</f>
        <v>0</v>
      </c>
      <c r="FY396" s="1697">
        <f>IF(CR396="Interior",VLOOKUP(CS396,Control_Savings_Interior,4,FALSE),0)</f>
        <v>0</v>
      </c>
      <c r="GA396" s="1696"/>
      <c r="GB396" s="1696"/>
      <c r="GC396" s="1696"/>
      <c r="GD396" s="1696"/>
      <c r="GE396" s="1696"/>
      <c r="GF396" s="1696"/>
      <c r="GG396" s="1696"/>
      <c r="GH396" s="1696"/>
      <c r="GI396" s="673" t="b">
        <f>IF(ISNUMBER(SEARCH("TLED",U396)),TRUE,FALSE)</f>
        <v>0</v>
      </c>
      <c r="GJ396" s="1135" t="str">
        <f>IFERROR(VLOOKUP(U396,Fixtures!DM$93:DR$142,6,FALSE),"")</f>
        <v/>
      </c>
      <c r="GK396" s="1832"/>
      <c r="GM396" s="1692"/>
      <c r="GN396" s="1684"/>
      <c r="GP396" s="1684"/>
      <c r="GQ396" s="1684"/>
      <c r="HG396" s="1684"/>
      <c r="HH396" s="1684"/>
      <c r="HI396" s="1684"/>
      <c r="HJ396" s="1684"/>
      <c r="HK396" s="1684"/>
      <c r="HL396" s="1684"/>
      <c r="HM396" s="1684"/>
      <c r="HN396" s="1683"/>
      <c r="HO396" s="1692"/>
      <c r="HP396" s="1692"/>
      <c r="HQ396" s="1670"/>
      <c r="HR396" s="1684"/>
      <c r="HS396" s="1684"/>
      <c r="HT396" s="1670"/>
      <c r="HU396" s="1684"/>
      <c r="HV396" s="1684"/>
      <c r="HW396" s="1684"/>
      <c r="HX396" s="1684"/>
      <c r="HY396" s="1684"/>
      <c r="HZ396" s="1684"/>
      <c r="IB396" s="1692"/>
      <c r="IC396" s="1693" t="b">
        <f>IB394</f>
        <v>0</v>
      </c>
      <c r="ID396" s="1695"/>
      <c r="IE396" s="391"/>
      <c r="IF396" s="1688"/>
      <c r="IG396" s="1689">
        <f ca="1">IF(IF394=TRUE,AC397,0)</f>
        <v>0</v>
      </c>
      <c r="IH396" s="1684"/>
      <c r="IK396" s="1689" t="e">
        <f>ROUND(T396*AB397*N395*R395/1000,0)</f>
        <v>#VALUE!</v>
      </c>
      <c r="IL396" s="1691"/>
      <c r="IM396" s="1693" t="e">
        <f>ROUND(T396*AB397*N395*R395/1000,0)</f>
        <v>#VALUE!</v>
      </c>
      <c r="IN396" s="1691"/>
      <c r="IP396" s="1679"/>
      <c r="IQ396" s="1679" t="e">
        <f t="shared" ref="IQ396:IU396" si="352">IF($CR396="interior",VLOOKUP($CS396,_New_Control_Savings_Interior,IQ$30,FALSE),VLOOKUP($CS396,Control_Savings_Exterior,IQ$30,FALSE))</f>
        <v>#N/A</v>
      </c>
      <c r="IR396" s="1679" t="e">
        <f t="shared" si="352"/>
        <v>#N/A</v>
      </c>
      <c r="IS396" s="1679" t="e">
        <f t="shared" si="352"/>
        <v>#N/A</v>
      </c>
      <c r="IT396" s="1679" t="e">
        <f t="shared" si="352"/>
        <v>#N/A</v>
      </c>
      <c r="IU396" s="1679" t="e">
        <f t="shared" si="352"/>
        <v>#N/A</v>
      </c>
      <c r="IV396" s="1679" t="e">
        <f>IF($CR396="interior",IF(R395&gt;$IP$14,ROUND(($IV$18*($IP$14/R395)),2),$IV$18),VLOOKUP($CS396,Control_Savings_Exterior,IV$30,FALSE))</f>
        <v>#N/A</v>
      </c>
      <c r="IW396" s="1679" t="e">
        <f>IF($CR396="interior",ROUND(((1-IS396)*IV396)+IS396,2),VLOOKUP($CS396,Control_Savings_Exterior,IW$30,FALSE))</f>
        <v>#N/A</v>
      </c>
      <c r="IX396" s="1679" t="e">
        <f>IF($CR396="interior",ROUND(((1-IT396)*IV396)+IT396,2),VLOOKUP($CS396,Control_Savings_Exterior,IX$30,FALSE))</f>
        <v>#N/A</v>
      </c>
      <c r="IY396" s="1679" t="e">
        <f>IF($CR396="interior",IF(R395&gt;$IP$14,ROUND(($IY$18*($IP$14/R395)),2),$IY$18),VLOOKUP($CS396,Control_Savings_Exterior,IY$30,FALSE))</f>
        <v>#N/A</v>
      </c>
      <c r="IZ396" s="1679" t="e">
        <f>IF($CR396="interior",ROUND(((1-IS396)*IY396)+IS396,2),VLOOKUP($CS396,Control_Savings_Exterior,IZ$30,FALSE))</f>
        <v>#N/A</v>
      </c>
      <c r="JA396" s="1679" t="e">
        <f>IF($CR396="interior",ROUND(((1-IT396)*IY396)+IT396,2),VLOOKUP($CS396,Control_Savings_Exterior,JA$30,FALSE))</f>
        <v>#N/A</v>
      </c>
      <c r="JC396" s="1680">
        <f>IFERROR(IF(CR396="Interior",CONCATENATE(G397," ",FQ396),AG396),"")</f>
        <v>0</v>
      </c>
      <c r="JD396" s="1670" t="str">
        <f>IFERROR(VLOOKUP(JC396,_Controls_2023,2,FALSE),"")</f>
        <v/>
      </c>
      <c r="JE396" s="1681">
        <f>IFERROR(CHOOSE(JD396-1,IQ396,IR396,IS396,IT396,IU396,IV396,IW396,IX396,IY396,IZ396,JA396),0)</f>
        <v>0</v>
      </c>
      <c r="JG396" s="1680" t="str">
        <f>FE396</f>
        <v xml:space="preserve"> - </v>
      </c>
      <c r="JH396" s="1670" t="e">
        <f>$FO396</f>
        <v>#N/A</v>
      </c>
      <c r="JI396" s="1060"/>
      <c r="JJ396" s="1670">
        <f>IFERROR(IF($IB394=TRUE,IF(OR(JJ$14="No",JJ394=FALSE,JH396&lt;=JH394,AND(_kWh_Grant=0,GD394=FALSE)),0,IF(JJ$8="Per Line",1,$AF396)),0),0)</f>
        <v>0</v>
      </c>
      <c r="JK396" s="1061"/>
      <c r="JL396" s="1670">
        <f>IFERROR(IF(_kWh_Grant=0,0,IF($IB394=TRUE,IF(OR(JL$14="No",JL394=FALSE,JH396&lt;=JH394),0,IF(JL$8="Per Line",1,$T396)),0)),0)</f>
        <v>0</v>
      </c>
      <c r="JM396" s="1061"/>
      <c r="JN396" s="1670">
        <f>IFERROR(IF(_kWh_Grant=0,0,IF($IB394=TRUE,IF(OR(JN$14="No",JN394=FALSE,JH396&lt;=JH394),0,IF(JN$8="Per Line",1,$AF396)),0)),0)</f>
        <v>0</v>
      </c>
      <c r="JO396" s="1061"/>
      <c r="JP396" s="1670">
        <f>IFERROR(IF(__Retrofit_TI_NC=0,IF(_kWh_Grant=0,0,IF($IB394=TRUE,IF(OR(JP$14="No",JP394=FALSE,$JH396&lt;=$JH394),0,IF(JP$8="Per Line",1,$AF396)),0)),IF($IB394=TRUE,IF(OR(JP$14="No",JP394=FALSE,$JH396&lt;=$JH394),0,IF(JP$8="Per Line",1,$AF396)))),0)</f>
        <v>0</v>
      </c>
      <c r="JQ396" s="1061"/>
      <c r="JR396" s="1670">
        <f>IFERROR(IF(__Retrofit_TI_NC=0,IF(_kWh_Grant=0,0,IF($IB394=TRUE,IF(OR(JR$14="No",JR394=FALSE,$JH396&lt;=$JH394),0,IF(JR$8="Per Line",1,$AF396)),0)),IF($IB394=TRUE,IF(OR(JR$14="No",JR394=FALSE,$JH396&lt;=$JH394),0,IF(JR$8="Per Line",1,$AF396)))),0)</f>
        <v>0</v>
      </c>
      <c r="JS396" s="1061"/>
      <c r="JT396" s="1670">
        <f>IFERROR(IF(__Retrofit_TI_NC=0,IF(_kWh_Grant=0,0,IF($IB394=TRUE,IF(OR(JT$14="No",JT394=FALSE,$JH396&lt;=$JH394),0,IF(JT$8="Per Line",1,$AF396)),0)),IF($IB394=TRUE,IF(OR(JT$14="No",JT394=FALSE,$JH396&lt;=$JH394),0,IF(JT$8="Per Line",1,$AF396)))),0)</f>
        <v>0</v>
      </c>
      <c r="JU396" s="1061"/>
      <c r="JV396" s="1670">
        <f>IFERROR(IF(__Retrofit_TI_NC=0,IF(_kWh_Grant=0,0,IF($IB394=TRUE,IF(OR(JV$14="No",JV394=FALSE,$JH396&lt;=$JH394),0,IF(JV$8="Per Line",1,$AF396)),0)),IF($IB394=TRUE,IF(OR(JV$14="No",JV394=FALSE,$JH396&lt;=$JH394),0,IF(JV$8="Per Line",1,$AF396)))),0)</f>
        <v>0</v>
      </c>
      <c r="JX396" s="1670">
        <f>IFERROR(IF(__Retrofit_TI_NC=0,IF(_kWh_Grant=0,0,IF($IB394=TRUE,IF(OR(JX$14="No",JX394=FALSE,$JH396&lt;=$JH394),0,IF(JX$8="Per Line",1,$AF396)),0)),IF($IB394=TRUE,IF(OR(JX$14="No",JX394=FALSE,$JH396&lt;=$JH394),0,IF(JX$8="Per Line",1,$AF396)))),0)</f>
        <v>0</v>
      </c>
      <c r="JZ396" s="1670">
        <f>IFERROR(IF($IB394=TRUE,IF(OR(JZ$14="No",JZ394=FALSE,$JH396&lt;=$JH394,AND(_kWh_Grant=0,$GD394=FALSE)),0,IF(JZ$8="Per Line",1,$AF396)),0),0)</f>
        <v>0</v>
      </c>
      <c r="KB396" s="1670">
        <f>IFERROR(IF(__Retrofit_TI_NC=0,IF(_kWh_Grant=0,0,IF($IB394=TRUE,IF(OR(KB$14="No",KB394=FALSE,$JH396&lt;=$JH394),0,IF(KB$8="Per Line",1,$AF396)),0)),IF($IB394=TRUE,IF(OR(KB$14="No",KB394=FALSE,$JH396&lt;=$JH394),0,IF(KB$8="Per Line",1,$AF396)))),0)</f>
        <v>0</v>
      </c>
    </row>
    <row r="397" spans="1:288" s="78" customFormat="1" ht="14.95" customHeight="1" thickTop="1" thickBot="1">
      <c r="B397" s="1845"/>
      <c r="C397" s="1846"/>
      <c r="D397" s="1847"/>
      <c r="E397" s="1902" t="s">
        <v>436</v>
      </c>
      <c r="F397" s="1903"/>
      <c r="G397" s="1904" t="s">
        <v>437</v>
      </c>
      <c r="H397" s="1905"/>
      <c r="I397" s="1905"/>
      <c r="J397" s="1905"/>
      <c r="K397" s="1905"/>
      <c r="L397" s="1906"/>
      <c r="M397" s="1145">
        <f>IFERROR(VLOOKUP(G397,_Daylight_Table[],2,FALSE),0)</f>
        <v>0</v>
      </c>
      <c r="N397" s="1146" t="str">
        <f>IF(AND(__Retrofit_TI_NC&gt;0,CQ394="Interior"),"BAM","")</f>
        <v/>
      </c>
      <c r="O397" s="1145" t="e">
        <f>VLOOKUP(G396,'Space Table'!$B$3:$L$163,11,FALSE)</f>
        <v>#N/A</v>
      </c>
      <c r="P397" s="1754"/>
      <c r="Q397" s="1755"/>
      <c r="R397" s="1755"/>
      <c r="S397" s="1764"/>
      <c r="T397" s="1147" t="s">
        <v>342</v>
      </c>
      <c r="U397" s="1756" t="str" cm="1">
        <f t="array" aca="1" ref="U397" ca="1">IFERROR(VLOOKUP(INDIRECT("U" &amp; ROW()-1),Fixtures!DM$93:DP$142,4,FALSE),"")</f>
        <v/>
      </c>
      <c r="V397" s="1757"/>
      <c r="W397" s="1757"/>
      <c r="X397" s="1757"/>
      <c r="Y397" s="1757"/>
      <c r="Z397" s="1757"/>
      <c r="AA397" s="1758"/>
      <c r="AB397" s="939" t="str">
        <f>IFERROR(VLOOKUP(U396,Fixtures_Proposed_List,2,FALSE),"")</f>
        <v/>
      </c>
      <c r="AC397" s="1148" t="str">
        <f>IFERROR(ROUND(T396*AB397*N395*R395/1000,0),"")</f>
        <v/>
      </c>
      <c r="AD397" s="1149" t="str">
        <f>IFERROR(ROUND(T396*AB397/1000,2),"")</f>
        <v/>
      </c>
      <c r="AE397" s="1150"/>
      <c r="AF397" s="1151" t="s">
        <v>342</v>
      </c>
      <c r="AG397" s="1759"/>
      <c r="AH397" s="1759"/>
      <c r="AI397" s="1759"/>
      <c r="AJ397" s="1759"/>
      <c r="AK397" s="1759"/>
      <c r="AL397" s="1759"/>
      <c r="AM397" s="1899"/>
      <c r="AN397" s="1900"/>
      <c r="AO397" s="1901"/>
      <c r="AP397" s="1780"/>
      <c r="AQ397" s="1781"/>
      <c r="AR397" s="1795"/>
      <c r="AS397" s="1795"/>
      <c r="AT397" s="1796"/>
      <c r="AU397" s="1907"/>
      <c r="AV397" s="1752"/>
      <c r="AW397" s="1706"/>
      <c r="AX397" s="468"/>
      <c r="AY397" s="1750"/>
      <c r="AZ397" s="1750"/>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696"/>
      <c r="CQ397" s="1696"/>
      <c r="CR397" s="1809"/>
      <c r="CS397" s="1811"/>
      <c r="CU397" s="1688"/>
      <c r="CV397" s="1703"/>
      <c r="CW397" s="1703"/>
      <c r="CX397" s="1813"/>
      <c r="CY397" s="1815"/>
      <c r="CZ397" s="1711"/>
      <c r="DA397" s="1815"/>
      <c r="DB397" s="1821"/>
      <c r="DC397" s="1821"/>
      <c r="DD397" s="1821"/>
      <c r="DF397" s="1703"/>
      <c r="DG397" s="1831"/>
      <c r="DH397" s="1813"/>
      <c r="DI397" s="1838"/>
      <c r="DJ397" s="1711"/>
      <c r="DK397" s="1712"/>
      <c r="DN397" s="1718"/>
      <c r="DO397" s="1709"/>
      <c r="DQ397" s="1715"/>
      <c r="DR397" s="1720"/>
      <c r="DS397" s="1703"/>
      <c r="DT397" s="1714"/>
      <c r="DU397" s="1715"/>
      <c r="DV397" s="1716"/>
      <c r="DX397" s="1715"/>
      <c r="DY397" s="1720"/>
      <c r="DZ397" s="1715"/>
      <c r="EA397" s="1715"/>
      <c r="EC397" s="1834"/>
      <c r="ED397" s="1834"/>
      <c r="EF397" s="1707"/>
      <c r="EG397" s="1712"/>
      <c r="EH397" s="1815"/>
      <c r="EI397" s="1712"/>
      <c r="EJ397" s="1712"/>
      <c r="EK397" s="1813"/>
      <c r="EL397" s="1813"/>
      <c r="EM397" s="1807"/>
      <c r="EN397" s="1839"/>
      <c r="EO397" s="1839"/>
      <c r="EP397" s="1817"/>
      <c r="EQ397" s="1817"/>
      <c r="ER397" s="1807"/>
      <c r="ES397" s="1807"/>
      <c r="ET397" s="1807"/>
      <c r="EV397" s="1715"/>
      <c r="EX397" s="1806"/>
      <c r="EY397" s="1806"/>
      <c r="EZ397" s="1806"/>
      <c r="FA397" s="1806"/>
      <c r="FB397" s="1806"/>
      <c r="FC397" s="1828"/>
      <c r="FE397" s="1698"/>
      <c r="FG397" s="1703"/>
      <c r="FH397" s="1703"/>
      <c r="FI397" s="133"/>
      <c r="FL397" s="1823"/>
      <c r="FM397" s="1825"/>
      <c r="FN397" s="1698"/>
      <c r="FO397" s="1698"/>
      <c r="FP397" s="1678"/>
      <c r="FQ397" s="1698"/>
      <c r="FS397" s="1687"/>
      <c r="FT397" s="1687"/>
      <c r="FU397" s="1685"/>
      <c r="FV397" s="1687"/>
      <c r="FW397" s="1687"/>
      <c r="FX397" s="1687"/>
      <c r="FY397" s="1697"/>
      <c r="GA397" s="1696"/>
      <c r="GB397" s="1696"/>
      <c r="GC397" s="1696"/>
      <c r="GD397" s="1696"/>
      <c r="GE397" s="1696"/>
      <c r="GF397" s="1696"/>
      <c r="GG397" s="1696"/>
      <c r="GH397" s="1696"/>
      <c r="GI397" s="673"/>
      <c r="GJ397" s="1135"/>
      <c r="GK397" s="1832"/>
      <c r="GN397" s="674">
        <f>IF(GN395=TRUE,0,GN$16)</f>
        <v>0</v>
      </c>
      <c r="GP397" s="674">
        <f>IF(GP395=TRUE,0,GP$16)</f>
        <v>36</v>
      </c>
      <c r="GQ397" s="674">
        <f ca="1">IF(GQ395=TRUE,0,GQ$16)</f>
        <v>35</v>
      </c>
      <c r="GR397" s="391"/>
      <c r="GS397" s="391"/>
      <c r="GT397" s="391"/>
      <c r="GU397" s="391"/>
      <c r="GV397" s="391"/>
      <c r="HG397" s="674">
        <f>IF(HG395=TRUE,0,HG$16)</f>
        <v>0</v>
      </c>
      <c r="HH397" s="674">
        <f t="shared" ref="HH397:HM397" si="353">IF(HH395=TRUE,0,HH$16)</f>
        <v>19</v>
      </c>
      <c r="HI397" s="674">
        <f t="shared" si="353"/>
        <v>18</v>
      </c>
      <c r="HJ397" s="674">
        <f t="shared" si="353"/>
        <v>17</v>
      </c>
      <c r="HK397" s="674">
        <f t="shared" si="353"/>
        <v>16</v>
      </c>
      <c r="HL397" s="674">
        <f t="shared" si="353"/>
        <v>0</v>
      </c>
      <c r="HM397" s="674">
        <f t="shared" si="353"/>
        <v>0</v>
      </c>
      <c r="HN397" s="674">
        <f>IF(HN395=TRUE,0,HN$16)</f>
        <v>13</v>
      </c>
      <c r="HO397" s="674">
        <f t="shared" ref="HO397:HQ397" si="354">IF(HO395=TRUE,0,HO$16)</f>
        <v>0</v>
      </c>
      <c r="HP397" s="674">
        <f t="shared" si="354"/>
        <v>0</v>
      </c>
      <c r="HQ397" s="674">
        <f t="shared" si="354"/>
        <v>10</v>
      </c>
      <c r="HR397" s="674">
        <f>IF(HR395=TRUE,0,HR$16)</f>
        <v>9</v>
      </c>
      <c r="HS397" s="674">
        <f t="shared" ref="HS397:HW397" si="355">IF(HS395=TRUE,0,HS$16)</f>
        <v>0</v>
      </c>
      <c r="HT397" s="674">
        <f t="shared" si="355"/>
        <v>0</v>
      </c>
      <c r="HU397" s="674">
        <f t="shared" si="355"/>
        <v>0</v>
      </c>
      <c r="HV397" s="674">
        <f t="shared" si="355"/>
        <v>0</v>
      </c>
      <c r="HW397" s="674">
        <f t="shared" si="355"/>
        <v>0</v>
      </c>
      <c r="HX397" s="674">
        <f>IF(HX395=TRUE,0,HX$16)</f>
        <v>0</v>
      </c>
      <c r="HY397" s="674">
        <f>IF(HY395=TRUE,0,HY$16)</f>
        <v>0</v>
      </c>
      <c r="HZ397" s="674">
        <f>IF(HZ395=TRUE,0,HZ$16)</f>
        <v>1</v>
      </c>
      <c r="IB397" s="674">
        <f>IF(GP395=FALSE,GP397,IF(GQ395=FALSE,GQ397,MAX(GN397:HZ397)))</f>
        <v>36</v>
      </c>
      <c r="IC397" s="1692"/>
      <c r="ID397" s="205" t="str">
        <f>VLOOKUP(IB397,_Error_Table,3,FALSE)</f>
        <v xml:space="preserve"> </v>
      </c>
      <c r="IE397" s="205"/>
      <c r="IF397" s="1688"/>
      <c r="IG397" s="1689"/>
      <c r="IH397" s="1684"/>
      <c r="IK397" s="1689"/>
      <c r="IL397" s="1692"/>
      <c r="IM397" s="1692"/>
      <c r="IN397" s="1692"/>
      <c r="IP397" s="1679"/>
      <c r="IQ397" s="1679"/>
      <c r="IR397" s="1679"/>
      <c r="IS397" s="1679"/>
      <c r="IT397" s="1679"/>
      <c r="IU397" s="1679"/>
      <c r="IV397" s="1679"/>
      <c r="IW397" s="1679"/>
      <c r="IX397" s="1679"/>
      <c r="IY397" s="1679"/>
      <c r="IZ397" s="1679"/>
      <c r="JA397" s="1679"/>
      <c r="JC397" s="1680"/>
      <c r="JD397" s="1670"/>
      <c r="JE397" s="1681"/>
      <c r="JG397" s="1680"/>
      <c r="JH397" s="1670"/>
      <c r="JI397" s="1060"/>
      <c r="JJ397" s="1670"/>
      <c r="JK397" s="1061"/>
      <c r="JL397" s="1670"/>
      <c r="JM397" s="1061"/>
      <c r="JN397" s="1670"/>
      <c r="JO397" s="1061"/>
      <c r="JP397" s="1670"/>
      <c r="JQ397" s="1061"/>
      <c r="JR397" s="1670"/>
      <c r="JS397" s="1061"/>
      <c r="JT397" s="1670"/>
      <c r="JU397" s="1061"/>
      <c r="JV397" s="1670"/>
      <c r="JX397" s="1670"/>
      <c r="JZ397" s="1670"/>
      <c r="KB397" s="1670"/>
    </row>
    <row r="398" spans="1:288" s="78" customFormat="1" ht="5.0999999999999996" customHeight="1">
      <c r="B398" s="676"/>
      <c r="C398" s="392"/>
      <c r="D398" s="392"/>
      <c r="E398" s="1773"/>
      <c r="F398" s="1773"/>
      <c r="G398" s="1773"/>
      <c r="H398" s="1773"/>
      <c r="I398" s="1773"/>
      <c r="J398" s="1773"/>
      <c r="K398" s="1773"/>
      <c r="L398" s="1773"/>
      <c r="M398" s="1773"/>
      <c r="N398" s="1773"/>
      <c r="O398" s="1773"/>
      <c r="P398" s="1773"/>
      <c r="Q398" s="1773"/>
      <c r="R398" s="1773"/>
      <c r="S398" s="1773"/>
      <c r="T398" s="1773"/>
      <c r="U398" s="1773"/>
      <c r="V398" s="1773"/>
      <c r="W398" s="1773"/>
      <c r="X398" s="1773"/>
      <c r="Y398" s="1773"/>
      <c r="Z398" s="1773"/>
      <c r="AA398" s="1773"/>
      <c r="AB398" s="1773"/>
      <c r="AC398" s="1773"/>
      <c r="AD398" s="1773"/>
      <c r="AE398" s="1773"/>
      <c r="AF398" s="1773"/>
      <c r="AG398" s="1773"/>
      <c r="AH398" s="1773"/>
      <c r="AI398" s="1773"/>
      <c r="AJ398" s="1773"/>
      <c r="AK398" s="1773"/>
      <c r="AL398" s="1773"/>
      <c r="AM398" s="1773"/>
      <c r="AN398" s="1773"/>
      <c r="AO398" s="1773"/>
      <c r="AP398" s="1773"/>
      <c r="AQ398" s="1773"/>
      <c r="AR398" s="1773"/>
      <c r="AS398" s="1773"/>
      <c r="AT398" s="1773"/>
      <c r="AU398" s="1773"/>
      <c r="AV398" s="1773"/>
      <c r="AW398" s="1773"/>
      <c r="AX398" s="469"/>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663"/>
      <c r="CQ398" s="663"/>
      <c r="CR398" s="438"/>
      <c r="CS398" s="663"/>
      <c r="CV398" s="391"/>
      <c r="CW398" s="391"/>
      <c r="CX398" s="207"/>
      <c r="CY398" s="208"/>
      <c r="CZ398" s="208"/>
      <c r="DA398" s="208"/>
      <c r="DB398" s="209"/>
      <c r="DC398" s="209"/>
      <c r="DD398" s="209"/>
      <c r="DF398" s="664"/>
      <c r="DG398" s="665"/>
      <c r="DH398" s="666"/>
      <c r="DI398" s="667"/>
      <c r="DJ398" s="668"/>
      <c r="DK398" s="668"/>
      <c r="DN398" s="208"/>
      <c r="DO398" s="664"/>
      <c r="DQ398" s="664"/>
      <c r="DR398" s="669"/>
      <c r="DS398" s="391"/>
      <c r="DT398" s="664"/>
      <c r="DU398" s="664"/>
      <c r="DV398" s="664"/>
      <c r="DX398" s="664"/>
      <c r="DY398" s="664"/>
      <c r="DZ398" s="664"/>
      <c r="EA398" s="664"/>
      <c r="EC398" s="670"/>
      <c r="ED398" s="670"/>
      <c r="EF398" s="668"/>
      <c r="EG398" s="668"/>
      <c r="EH398" s="208"/>
      <c r="EI398" s="668"/>
      <c r="EJ398" s="668"/>
      <c r="EK398" s="207"/>
      <c r="EL398" s="207"/>
      <c r="EM398" s="666"/>
      <c r="EN398" s="671"/>
      <c r="EO398" s="671"/>
      <c r="EP398" s="672"/>
      <c r="EQ398" s="672"/>
      <c r="ER398" s="666"/>
      <c r="ES398" s="666"/>
      <c r="ET398" s="666"/>
      <c r="EV398" s="664"/>
      <c r="EX398" s="391"/>
      <c r="EY398" s="391"/>
      <c r="EZ398" s="391"/>
      <c r="FA398" s="391"/>
      <c r="FB398" s="391"/>
      <c r="FC398" s="391"/>
      <c r="FE398" s="569"/>
      <c r="FG398" s="391"/>
      <c r="FH398" s="391"/>
      <c r="FI398" s="391"/>
      <c r="FS398" s="664"/>
      <c r="FT398" s="391"/>
      <c r="FU398" s="391"/>
      <c r="FV398" s="664"/>
      <c r="FW398" s="664"/>
      <c r="GA398" s="663"/>
      <c r="GB398" s="663"/>
      <c r="GC398" s="663"/>
      <c r="GD398" s="663"/>
      <c r="GE398" s="663"/>
      <c r="GF398" s="663"/>
      <c r="GG398" s="663"/>
      <c r="GH398" s="663"/>
      <c r="GI398" s="665"/>
      <c r="GJ398" s="664"/>
      <c r="GK398" s="664"/>
    </row>
    <row r="399" spans="1:288" s="78" customFormat="1" ht="14.95" customHeight="1">
      <c r="B399" s="1845" t="str">
        <f>ID402</f>
        <v xml:space="preserve"> </v>
      </c>
      <c r="C399" s="1846">
        <f>C394+1</f>
        <v>69</v>
      </c>
      <c r="D399" s="1847"/>
      <c r="E399" s="1799" t="s">
        <v>295</v>
      </c>
      <c r="F399" s="1800"/>
      <c r="G399" s="1741"/>
      <c r="H399" s="1742"/>
      <c r="I399" s="1742"/>
      <c r="J399" s="1742"/>
      <c r="K399" s="1742"/>
      <c r="L399" s="1742"/>
      <c r="M399" s="1742"/>
      <c r="N399" s="1742"/>
      <c r="O399" s="1742"/>
      <c r="P399" s="1742"/>
      <c r="Q399" s="1742"/>
      <c r="R399" s="1742"/>
      <c r="S399" s="1791" t="s">
        <v>344</v>
      </c>
      <c r="T399" s="590"/>
      <c r="U399" s="1743"/>
      <c r="V399" s="1744"/>
      <c r="W399" s="1744"/>
      <c r="X399" s="1744"/>
      <c r="Y399" s="1744"/>
      <c r="Z399" s="1744"/>
      <c r="AA399" s="1744"/>
      <c r="AB399" s="961" t="str">
        <f>IFERROR(IF(__Retrofit_TI_NC=0,VLOOKUP(U400,Fixtures_Existing_List,2,FALSE),ROUND(N401*R401/T401,10)),"")</f>
        <v/>
      </c>
      <c r="AC399" s="935" t="str">
        <f>IFERROR(IF(__Retrofit_TI_NC=0,ROUND(T400*AB399*N400*R400/1000,0),IF(CQ399="Interior",N401*R401*R400*N400*_C406_reduction/1000,N401*R401*R400*N400/1000)),"")</f>
        <v/>
      </c>
      <c r="AD399" s="936" t="str">
        <f>IFERROR(IF(C$43=0,ROUND(T400*AB399/1000,2),N401*R401/1000),"")</f>
        <v/>
      </c>
      <c r="AE399" s="997"/>
      <c r="AF399" s="937"/>
      <c r="AG399" s="1745" t="str">
        <f>IF(__Retrofit_TI_NC=0," Control","Select Advanced Control for New System")</f>
        <v xml:space="preserve"> Control</v>
      </c>
      <c r="AH399" s="1745"/>
      <c r="AI399" s="1745"/>
      <c r="AJ399" s="1745"/>
      <c r="AK399" s="1745"/>
      <c r="AL399" s="1745"/>
      <c r="AM399" s="1746">
        <f>IFERROR(DI399,"")</f>
        <v>0</v>
      </c>
      <c r="AN399" s="1774" t="str">
        <f>IFERROR(ROUND(AM399*AC399,0),"")</f>
        <v/>
      </c>
      <c r="AO399" s="1776">
        <f>IFERROR(IF(IB399=FALSE,0,AC399-AN399),0)</f>
        <v>0</v>
      </c>
      <c r="AP399" s="1778">
        <f>AO399-AO401</f>
        <v>0</v>
      </c>
      <c r="AQ399" s="1779"/>
      <c r="AR399" s="1793">
        <f>IFERROR(IF(IB399=FALSE,0,(T401*U402)+(AF401*AG402)),0)</f>
        <v>0</v>
      </c>
      <c r="AS399" s="1793"/>
      <c r="AT399" s="1794"/>
      <c r="AU399" s="1734" t="s">
        <v>237</v>
      </c>
      <c r="AV399" s="1751">
        <f>IF(AU399="Yes",1,0)</f>
        <v>1</v>
      </c>
      <c r="AW399" s="1704" t="str">
        <f>IF(OR(DQ399=4,DQ399=5,DQ399=6,DQ399=12),CONCATENATE("$",IF(GH399=TRUE,Lookup!$K$10,Lookup!$K$2)," /lamp"),CONCATENATE(TEXT(ED399,"$0.00"),"/ kWh"))</f>
        <v>$0.00/ kWh</v>
      </c>
      <c r="AX399" s="467"/>
      <c r="AY399" s="1748">
        <f ca="1">IFERROR(IF(GM400=TRUE,(AB402*T401)/R401,0),"NA")</f>
        <v>0</v>
      </c>
      <c r="AZ399" s="1748"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696" t="str">
        <f>N400</f>
        <v/>
      </c>
      <c r="CQ399" s="1696" t="str">
        <f>IFERROR(VLOOKUP(G400,_Lookup_Heat_Type_Table_New,3,FALSE),"")</f>
        <v/>
      </c>
      <c r="CR399" s="1808" t="str">
        <f>CQ399</f>
        <v/>
      </c>
      <c r="CS399" s="1810" t="str">
        <f>IFERROR(VLOOKUP(G401,'Space Table'!$B$3:$L$163,9,FALSE),"")</f>
        <v/>
      </c>
      <c r="CU399" s="1688" t="s">
        <v>344</v>
      </c>
      <c r="CV399" s="1702">
        <f>IF(IB399=TRUE,T400,0)</f>
        <v>0</v>
      </c>
      <c r="CW399" s="1702" t="str">
        <f>IF(IB399=TRUE,U400,"")</f>
        <v/>
      </c>
      <c r="CX399" s="1702"/>
      <c r="CY399" s="1814">
        <f>IF(IB399=TRUE,AB399,0)</f>
        <v>0</v>
      </c>
      <c r="CZ399" s="1710">
        <f>IF(AND(__Retrofit_TI_NC&gt;0,CR399="interior"),0,IF(IB399=TRUE,AC399,0))</f>
        <v>0</v>
      </c>
      <c r="DA399" s="1814">
        <f>IFERROR(IF(IB399=TRUE,CZ399-CZ401,0),0)</f>
        <v>0</v>
      </c>
      <c r="DB399" s="1819">
        <f>IF(IB399=TRUE,AD399,0)</f>
        <v>0</v>
      </c>
      <c r="DC399" s="1819">
        <f>IF(IB399=TRUE,AD402,0)</f>
        <v>0</v>
      </c>
      <c r="DD399" s="1819">
        <f>IFERROR(DB399-DC399,0)</f>
        <v>0</v>
      </c>
      <c r="DF399" s="1702">
        <f>IF(IB399=TRUE,AF400,0)</f>
        <v>0</v>
      </c>
      <c r="DG399" s="1830">
        <f>IFERROR(IF(__Retrofit_TI_NC=2,IF(CQ399="Exterior",O402,FQ399),FN399),"")</f>
        <v>0</v>
      </c>
      <c r="DH399" s="1702"/>
      <c r="DI399" s="1837">
        <f>JE399</f>
        <v>0</v>
      </c>
      <c r="DJ399" s="1710">
        <f>IF(AND(__Retrofit_TI_NC&gt;0,CR399="interior"),0,IF(IB399=TRUE,AN399,0))</f>
        <v>0</v>
      </c>
      <c r="DK399" s="1712">
        <f>IFERROR(IF(IB399=TRUE,DJ401-DJ399,0),0)</f>
        <v>0</v>
      </c>
      <c r="DM399" s="1717">
        <f>IFERROR(CZ399-DJ399,0)</f>
        <v>0</v>
      </c>
      <c r="DO399" s="1708">
        <f>DM399-DN401</f>
        <v>0</v>
      </c>
      <c r="DQ399" s="1715" t="str">
        <f>IFERROR(IF(AND(OR(GC399=4,GC399=5,GC399=6),OR(GF399=4,GF399=5,GF399=6)),GC399+8,VLOOKUP(CW401,Fixtures!R$31:Y$78,8,FALSE)),"")</f>
        <v/>
      </c>
      <c r="DR399" s="1829" t="str">
        <f>DQ399</f>
        <v/>
      </c>
      <c r="DS399" s="1702" t="str">
        <f>IFERROR(VLOOKUP(DG401,Lookup!BB$3:BC$20,2,FALSE),"")</f>
        <v/>
      </c>
      <c r="DT399" s="1713" t="str">
        <f>IF(OR(DS399=7,DS399=8,DS399=9),"ALC","")</f>
        <v/>
      </c>
      <c r="DU399" s="1715">
        <f>IFERROR(IF(OR(DQ399=4,DQ399=5,DQ399=6,DQ399=12,DQ399=13,DQ399=14),VLOOKUP(CW401,Fixtures!DN$27:EG$77,19,FALSE),1)*CV401,0)</f>
        <v>0</v>
      </c>
      <c r="DV399" s="1716">
        <f>IF(OR(DS399=7,DS399=8,DS399=9),IF(DG399=DG401,0,DF401),0)</f>
        <v>0</v>
      </c>
      <c r="DX399" s="1715" t="str">
        <f>IFERROR(IF(EZ399&lt;EZ401,"Yes","No"),"")</f>
        <v/>
      </c>
      <c r="DY399" s="1829" t="str">
        <f>DX399</f>
        <v/>
      </c>
      <c r="DZ399" s="1715">
        <f>IF(DX399="Yes",DF401,0)</f>
        <v>0</v>
      </c>
      <c r="EA399" s="1715">
        <f>DZ399-DV399</f>
        <v>0</v>
      </c>
      <c r="EC399" s="1834">
        <f>IFERROR(VLOOKUP(DQ399,Lookup!AU$3:AV$16,2,FALSE),0)</f>
        <v>0</v>
      </c>
      <c r="ED399" s="1834">
        <f>IF(IB399=FALSE,0,IF(DX399="Yes",EC399+Lookup!K$6,EC399))</f>
        <v>0</v>
      </c>
      <c r="EF399" s="1707">
        <f>IF(IB399=TRUE,DM399,0)</f>
        <v>0</v>
      </c>
      <c r="EG399" s="1712">
        <f>IF(IB399=TRUE,CZ401,0)</f>
        <v>0</v>
      </c>
      <c r="EH399" s="1814">
        <f>IFERROR(EF399-EG399,0)</f>
        <v>0</v>
      </c>
      <c r="EI399" s="1712">
        <f>IF(IB399=TRUE,DJ401,0)</f>
        <v>0</v>
      </c>
      <c r="EJ399" s="1712">
        <f>IFERROR(EF399-EG399+EI399,0)</f>
        <v>0</v>
      </c>
      <c r="EK399" s="1812">
        <f>IF(IB399=TRUE,CV401*CX401,0)</f>
        <v>0</v>
      </c>
      <c r="EL399" s="1812">
        <f>IF(IB399=TRUE,DF401*DH401,0)</f>
        <v>0</v>
      </c>
      <c r="EM399" s="1807">
        <f>AR399</f>
        <v>0</v>
      </c>
      <c r="EN399" s="1839" t="str">
        <f>IFERROR(IF(IB399=TRUE,VLOOKUP(DQ399,Lookup!AU$3:AW$16,3,FALSE)*DU399,""),0)</f>
        <v/>
      </c>
      <c r="EO399" s="1839">
        <f>IF(IB399=TRUE,DZ399*Lookup!AW$12,0)</f>
        <v>0</v>
      </c>
      <c r="EP399" s="1817">
        <f>IFERROR(IF(IB399=TRUE,EN399/EP$40,0),0)</f>
        <v>0</v>
      </c>
      <c r="EQ399" s="1817">
        <f>IF(IB399=TRUE,EO399/EQ$40,0)</f>
        <v>0</v>
      </c>
      <c r="ER399" s="1807">
        <f>IF(IB399=TRUE,ET$40*EP399,0)</f>
        <v>0</v>
      </c>
      <c r="ES399" s="1807">
        <f>IF(IB399=TRUE,ET$40*EQ399,0)</f>
        <v>0</v>
      </c>
      <c r="ET399" s="1807">
        <f>ER399+ES399</f>
        <v>0</v>
      </c>
      <c r="EV399" s="1715">
        <f>IF(G399="",0,1)</f>
        <v>0</v>
      </c>
      <c r="EX399" s="1804" t="str">
        <f>IFERROR(VLOOKUP(CS401,'Space Table'!$B$3:$L$163,8,FALSE),"")</f>
        <v/>
      </c>
      <c r="EY399" s="1804" t="str">
        <f>IFERROR(IF(FB399="Yes",VLOOKUP(DG399,Lookup_Control_Type_Table2,4,FALSE),VLOOKUP(DG399,Lookup_Control_Type_Table2,3,FALSE)),"")</f>
        <v/>
      </c>
      <c r="EZ399" s="1804" t="e">
        <f>VLOOKUP(DG399,Lookup!BB$3:BC$20,2,FALSE)</f>
        <v>#N/A</v>
      </c>
      <c r="FA399" s="1804" t="e">
        <f>VLOOKUP(EX399,Lookup_Control_Type_Table,2,FALSE)</f>
        <v>#N/A</v>
      </c>
      <c r="FB399" s="1804" t="e">
        <f>VLOOKUP(CS401,'Space Table'!$B$3:$L$163,7,FALSE)</f>
        <v>#N/A</v>
      </c>
      <c r="FC399" s="1826" t="b">
        <f>ISNUMBER(SEARCH("TLED",U401))</f>
        <v>0</v>
      </c>
      <c r="FE399" s="1698" t="str">
        <f>CONCATENATE(CQ399," - ",DG399)</f>
        <v xml:space="preserve"> - 0</v>
      </c>
      <c r="FG399" s="1702" t="str">
        <f>VLOOKUP(CW401,Fixtures!DN$27:EZ$77,38,FALSE)</f>
        <v/>
      </c>
      <c r="FH399" s="1702">
        <f>IFERROR(FG399*EH399,0)</f>
        <v>0</v>
      </c>
      <c r="FI399" s="133"/>
      <c r="FL399" s="1822" t="str">
        <f>IF(CQ399="Exterior","Not Daylighted",G402)</f>
        <v>Not Daylighted</v>
      </c>
      <c r="FM399" s="1824">
        <f>VLOOKUP(FL399,_New_Daylight_Table_Codes,2,FALSE)</f>
        <v>0</v>
      </c>
      <c r="FN399" s="1698">
        <f>IF(__Retrofit_TI_NC&gt;0,VLOOKUP(G401,'Space Table'!$B$3:$L$163,11,FALSE),AG400)</f>
        <v>0</v>
      </c>
      <c r="FO399" s="1698" t="e">
        <f>IF(__Retrofit_TI_NC=2,VLOOKUP(FQ399,_Control_Table,2,FALSE),VLOOKUP(FN399,_Control_Table,2,FALSE))</f>
        <v>#N/A</v>
      </c>
      <c r="FP399" s="1678" t="e">
        <f>VLOOKUP(CONCATENATE(FL399," ",FN399),Lookup!AY$102:AZ409,2,FALSE)</f>
        <v>#N/A</v>
      </c>
      <c r="FQ399" s="1678">
        <f>IF(__Retrofit_TI_NC=0,FN399,IF(AND(FT399&gt;0,FN399="Occupancy Sensor"),"Daylight + Occupancy",IF(AND(FT399&gt;0,VLOOKUP(FN399,_Control_Table,2,FALSE)&lt;4),"Interior Daylight Dimming",FN399)))</f>
        <v>0</v>
      </c>
      <c r="FS399" s="1686">
        <f>IF(CR399="Interior",VLOOKUP(CS399,Control_Savings_Interior,5,FALSE),0)</f>
        <v>0</v>
      </c>
      <c r="FT399" s="1687">
        <f>IF(CQ399="Exterior",0,IF(FM399=2,0.5,IF(OR(FM399=1,FM399=3),1,0)))</f>
        <v>0</v>
      </c>
      <c r="FU399" s="1685">
        <f>IF(R398&gt;FS$44,(FS399*(FS$44/R398)),FS399)*FT399</f>
        <v>0</v>
      </c>
      <c r="FV399" s="1686">
        <f>DI399</f>
        <v>0</v>
      </c>
      <c r="FW399" s="1686">
        <f>ROUND(FV399+((1-FV399)*FU399),2)</f>
        <v>0</v>
      </c>
      <c r="FX399" s="1686">
        <f>IF(__Retrofit_TI_NC=2,FW399,FV399)</f>
        <v>0</v>
      </c>
      <c r="FY399" s="1697"/>
      <c r="GA399" s="1696" t="str">
        <f>IFERROR(VLOOKUP(U400,_Exist_Fixture_Table,3,FALSE),"")</f>
        <v/>
      </c>
      <c r="GB399" s="1696" t="str">
        <f>VLOOKUP(CW399,_Exist_Fixture_Table,4,FALSE)</f>
        <v/>
      </c>
      <c r="GC399" s="1696">
        <f>IFERROR(VLOOKUP(GB399,Lookup!AT$6:AU$8,2,FALSE),0)</f>
        <v>0</v>
      </c>
      <c r="GD399" s="1696" t="b">
        <f>IFERROR(IF(OR(GF399=4,GF399=5,GF399=6),TRUE,FALSE),"")</f>
        <v>0</v>
      </c>
      <c r="GE399" s="1696" t="str">
        <f>IFERROR(VLOOKUP(GF399,GC$6:GD$10,2,FALSE),"")</f>
        <v/>
      </c>
      <c r="GF399" s="1696" t="str">
        <f>VLOOKUP(CW401,Fixtures!R$31:Y$78,8,FALSE)</f>
        <v/>
      </c>
      <c r="GG399" s="1696">
        <f>IF(AND(GA399=TRUE,GD399=TRUE,OR(DQ399=12,DQ399=13,DQ399=14)),GC399+8,0)</f>
        <v>0</v>
      </c>
      <c r="GH399" s="1696" t="b">
        <f>IF(OR(GG399=12,GG399=13,GG399=14),TRUE,FALSE)</f>
        <v>0</v>
      </c>
      <c r="GI399" s="673" t="b">
        <f>IF(ISNUMBER(SEARCH("TLED",U400)),TRUE,FALSE)</f>
        <v>0</v>
      </c>
      <c r="GJ399" s="1135" t="str">
        <f>IFERROR(VLOOKUP(U400,Fixtures!BM$93:BR$142,6,FALSE),"")</f>
        <v/>
      </c>
      <c r="GK399" s="1832" t="b">
        <f>IF(OR(GI399=FALSE,GI401=FALSE),TRUE,IF(GJ399-GJ401&lt;5,FALSE,TRUE))</f>
        <v>1</v>
      </c>
      <c r="GO399" s="674">
        <f>GP399</f>
        <v>0</v>
      </c>
      <c r="GP399" s="674">
        <f>IF(G399="",0,1)</f>
        <v>0</v>
      </c>
      <c r="GQ399" s="674">
        <f ca="1">SUM(GR399:HF399)</f>
        <v>2</v>
      </c>
      <c r="GR399" s="674">
        <f>IF(G400="",0,1)</f>
        <v>0</v>
      </c>
      <c r="GS399" s="674">
        <f>IF(N402="BAM",1,IF(G401="",0,1))</f>
        <v>0</v>
      </c>
      <c r="GT399" s="674">
        <f>IF(N402="BAM",1,IF(R400="",0,1))</f>
        <v>0</v>
      </c>
      <c r="GU399" s="674">
        <f>IF(N402="BAM",1,IF(__Retrofit_TI_NC=0,1,IF(R401="",0,1)))</f>
        <v>1</v>
      </c>
      <c r="GV399" s="674">
        <f>IF(N402="BAM",1,IF(CQ399="Exterior",1,IF(G402="",0,1)))</f>
        <v>1</v>
      </c>
      <c r="GW399" s="674">
        <f>IF(__Retrofit_TI_NC&gt;0,1,IF(T400="",0,1))</f>
        <v>0</v>
      </c>
      <c r="GX399" s="674">
        <f>IF(__Retrofit_TI_NC&gt;0,1,IF(U400="",0,1))</f>
        <v>0</v>
      </c>
      <c r="GY399" s="674">
        <f>IF(N402="BAM",1,IF(T401="",0,1))</f>
        <v>0</v>
      </c>
      <c r="GZ399" s="674">
        <f>IF(N402="BAM",1,IF(U401="",0,1))</f>
        <v>0</v>
      </c>
      <c r="HA399" s="674">
        <f ca="1">IF(N402="BAM",1,IF(__Retrofit_TI_NC&gt;0,1,IF(U402="",0,1)))</f>
        <v>0</v>
      </c>
      <c r="HB399" s="674">
        <f>IF(__Retrofit_TI_NC&lt;&gt;0,1,IF(AF400="",0,1))</f>
        <v>0</v>
      </c>
      <c r="HC399" s="674">
        <f>IF(__Retrofit_TI_NC&lt;&gt;0,1,IF(AG400="",0,1))</f>
        <v>0</v>
      </c>
      <c r="HD399" s="674">
        <f>IF(N402="BAM",1,IF(AF401="",0,1))</f>
        <v>0</v>
      </c>
      <c r="HE399" s="674">
        <f>IF(N402="BAM",1,IF(AG401="",0,1))</f>
        <v>0</v>
      </c>
      <c r="HF399" s="674">
        <f>IF(N402="BAM",1,IF(__Retrofit_TI_NC&gt;0,1,IF(AG402="",0,1)))</f>
        <v>0</v>
      </c>
      <c r="HG399" s="391"/>
      <c r="IA399" s="391"/>
      <c r="IB399" s="1693" t="b">
        <f>IF(OR(IB402=0,IB402=HY$16,IB402=HX$16,IB402=HZ$16),TRUE,FALSE)</f>
        <v>0</v>
      </c>
      <c r="IC399" s="1694" t="b">
        <f>IB399</f>
        <v>0</v>
      </c>
      <c r="ID399" s="391"/>
      <c r="IE399" s="391"/>
      <c r="IF399" s="1688" t="b">
        <f ca="1">IF(MAX(GN402:HU402)&gt;5,FALSE,TRUE)</f>
        <v>0</v>
      </c>
      <c r="IG399" s="1689">
        <f ca="1">IF(IF399=TRUE,AC399,0)</f>
        <v>0</v>
      </c>
      <c r="IH399" s="1689">
        <f ca="1">IG399-IG401</f>
        <v>0</v>
      </c>
      <c r="IK399" s="1689" t="e">
        <f>ROUND(T400*VLOOKUP(U400,Fixtures_Existing_List,2,FALSE)*N400*R400/1000,0)</f>
        <v>#N/A</v>
      </c>
      <c r="IL399" s="1690" t="e">
        <f>IK399-IK401</f>
        <v>#N/A</v>
      </c>
      <c r="IM399" s="1693" t="e">
        <f>ROUND(IF(CQ399="Interior",N401*R401*R400*N400*_C406_reduction/1000,N401*R401*R400*N400/1000),0)</f>
        <v>#N/A</v>
      </c>
      <c r="IN399" s="1693" t="e">
        <f>IM399-IM401</f>
        <v>#N/A</v>
      </c>
      <c r="IP399" s="1679"/>
      <c r="IQ399" s="1679" t="e">
        <f t="shared" ref="IQ399:IU399" si="356">IF($CR399="interior",VLOOKUP($CS399,_New_Control_Savings_Interior,IQ$30,FALSE),VLOOKUP($CS399,Control_Savings_Exterior,IQ$30,FALSE))</f>
        <v>#N/A</v>
      </c>
      <c r="IR399" s="1679" t="e">
        <f t="shared" si="356"/>
        <v>#N/A</v>
      </c>
      <c r="IS399" s="1679" t="e">
        <f t="shared" si="356"/>
        <v>#N/A</v>
      </c>
      <c r="IT399" s="1679" t="e">
        <f t="shared" si="356"/>
        <v>#N/A</v>
      </c>
      <c r="IU399" s="1679" t="e">
        <f t="shared" si="356"/>
        <v>#N/A</v>
      </c>
      <c r="IV399" s="1679" t="e">
        <f>IF($CR399="interior",IF(R400&gt;$IP$14,ROUND(($IV$18*($IP$14/R400)),2),$IV$18),VLOOKUP($CS399,Control_Savings_Exterior,IV$30,FALSE))</f>
        <v>#N/A</v>
      </c>
      <c r="IW399" s="1679" t="e">
        <f>IF($CR399="interior",ROUND(((1-IS399)*IV399)+IS399,2),VLOOKUP($CS399,Control_Savings_Exterior,IW$30,FALSE))</f>
        <v>#N/A</v>
      </c>
      <c r="IX399" s="1679" t="e">
        <f>IF($CR399="interior",ROUND(((1-IT399)*IV399)+IT399,2),VLOOKUP($CS399,Control_Savings_Exterior,IX$30,FALSE))</f>
        <v>#N/A</v>
      </c>
      <c r="IY399" s="1679" t="e">
        <f>IF($CR399="interior",IF(R400&gt;$IP$14,ROUND(($IY$18*($IP$14/R400)),2),$IY$18),VLOOKUP($CS399,Control_Savings_Exterior,IY$30,FALSE))</f>
        <v>#N/A</v>
      </c>
      <c r="IZ399" s="1679" t="e">
        <f>IF($CR399="interior",ROUND(((1-IS399)*IY399)+IS399,2),VLOOKUP($CS399,Control_Savings_Exterior,IZ$30,FALSE))</f>
        <v>#N/A</v>
      </c>
      <c r="JA399" s="1679" t="e">
        <f>IF($CR399="interior",ROUND(((1-IT399)*IY399)+IT399,2),VLOOKUP($CS399,Control_Savings_Exterior,JA$30,FALSE))</f>
        <v>#N/A</v>
      </c>
      <c r="JC399" s="1680">
        <f>IFERROR(IF(CR399="Interior",CONCATENATE(G402," ",FQ399),FQ399),"")</f>
        <v>0</v>
      </c>
      <c r="JD399" s="1670" t="str">
        <f>IFERROR(VLOOKUP(JC399,_Controls_2023,2,FALSE),"")</f>
        <v/>
      </c>
      <c r="JE399" s="1681">
        <f>IFERROR(CHOOSE(JD399-1,IQ399,IR399,IS399,IT399,IU399,IV399,IW399,IX399,IY399,IZ399,JA399),0)</f>
        <v>0</v>
      </c>
      <c r="JG399" s="1680" t="str">
        <f>FE399</f>
        <v xml:space="preserve"> - 0</v>
      </c>
      <c r="JH399" s="1670" t="e">
        <f>$FO399</f>
        <v>#N/A</v>
      </c>
      <c r="JI399" s="1060"/>
      <c r="JJ399" s="1682" t="b">
        <f>IF($JG401=CONCATENATE("Interior - ",JJ$4),TRUE,FALSE)</f>
        <v>0</v>
      </c>
      <c r="JK399" s="1061"/>
      <c r="JL399" s="1682" t="b">
        <f>IF($JG401=CONCATENATE("Interior - ",JL$4),TRUE,FALSE)</f>
        <v>0</v>
      </c>
      <c r="JM399" s="1061"/>
      <c r="JN399" s="1682" t="b">
        <f>IF($JG401=CONCATENATE("Interior - ",JN$4),TRUE,FALSE)</f>
        <v>0</v>
      </c>
      <c r="JO399" s="1061"/>
      <c r="JP399" s="1682" t="b">
        <f>IF(__Retrofit_TI_NC&gt;0,FALSE,IF($JG401=CONCATENATE("Interior - ",JP$4),TRUE,FALSE))</f>
        <v>0</v>
      </c>
      <c r="JQ399" s="1061"/>
      <c r="JR399" s="1682" t="b">
        <f>IF(__Retrofit_TI_NC&gt;0,FALSE,IF($JG401=CONCATENATE("Interior - ",JR$4),TRUE,FALSE))</f>
        <v>0</v>
      </c>
      <c r="JS399" s="1061"/>
      <c r="JT399" s="1670" t="b">
        <f>IF(__Retrofit_TI_NC&gt;0,FALSE,IF($JG401=CONCATENATE("Interior - ",JT$4),TRUE,FALSE))</f>
        <v>0</v>
      </c>
      <c r="JU399" s="1061"/>
      <c r="JV399" s="1670" t="b">
        <f>IF(JC401="AELC on Existing",TRUE,FALSE)</f>
        <v>0</v>
      </c>
      <c r="JX399" s="1670" t="b">
        <f>IF(OR(JG401="Exterior - AELC Occupancy based",JG401="Exterior - AELC Time based"),TRUE,FALSE)</f>
        <v>0</v>
      </c>
      <c r="JZ399" s="1682" t="b">
        <f>IF($JG401=CONCATENATE("Exterior - ",JZ$4),TRUE,FALSE)</f>
        <v>0</v>
      </c>
      <c r="KB399" s="1670" t="b">
        <f>IF(__Retrofit_TI_NC&gt;0,FALSE,IF($JG401=CONCATENATE("Interior - ",KB$4),TRUE,FALSE))</f>
        <v>0</v>
      </c>
    </row>
    <row r="400" spans="1:288" s="78" customFormat="1" ht="14.95" customHeight="1" thickTop="1" thickBot="1">
      <c r="B400" s="1845"/>
      <c r="C400" s="1846"/>
      <c r="D400" s="1847"/>
      <c r="E400" s="1737" t="s">
        <v>297</v>
      </c>
      <c r="F400" s="1738"/>
      <c r="G400" s="1739"/>
      <c r="H400" s="1739"/>
      <c r="I400" s="1739"/>
      <c r="J400" s="1739"/>
      <c r="K400" s="1739"/>
      <c r="L400" s="1739"/>
      <c r="M400" s="461" t="e">
        <f>IF(__Retrofit_TI_NC&lt;&gt;0,IF(VLOOKUP(G401,'Space Table'!$B$3:$L$163,3,FALSE)&gt;0,1,0),IF(__Retrofit_TI_NC=VLOOKUP(G401,'Space Table'!$B$3:$L$163,3,FALSE),1,0))</f>
        <v>#N/A</v>
      </c>
      <c r="N400" s="461" t="str">
        <f>IFERROR(VLOOKUP(G400,_Lookup_Heat_Type_Table_New,2,FALSE),"")</f>
        <v/>
      </c>
      <c r="O400" s="461">
        <f>IF(__Retrofit_TI_NC=1,CONCATENATE("TI ",G400),IF(__Retrofit_TI_NC=2,CONCATENATE("NC ",G400),G400))</f>
        <v>0</v>
      </c>
      <c r="P400" s="1740" t="s">
        <v>435</v>
      </c>
      <c r="Q400" s="1740"/>
      <c r="R400" s="595"/>
      <c r="S400" s="1792"/>
      <c r="T400" s="597"/>
      <c r="U400" s="1765"/>
      <c r="V400" s="1766"/>
      <c r="W400" s="1766"/>
      <c r="X400" s="1766"/>
      <c r="Y400" s="1766"/>
      <c r="Z400" s="1766"/>
      <c r="AA400" s="1766"/>
      <c r="AB400" s="1766"/>
      <c r="AC400" s="1766"/>
      <c r="AD400" s="1767"/>
      <c r="AE400" s="1000"/>
      <c r="AF400" s="597"/>
      <c r="AG400" s="1723"/>
      <c r="AH400" s="1724"/>
      <c r="AI400" s="1724"/>
      <c r="AJ400" s="1724"/>
      <c r="AK400" s="1725"/>
      <c r="AL400" s="996"/>
      <c r="AM400" s="1747"/>
      <c r="AN400" s="1775"/>
      <c r="AO400" s="1777"/>
      <c r="AP400" s="1780"/>
      <c r="AQ400" s="1781"/>
      <c r="AR400" s="1795"/>
      <c r="AS400" s="1795"/>
      <c r="AT400" s="1796"/>
      <c r="AU400" s="1735"/>
      <c r="AV400" s="1752"/>
      <c r="AW400" s="1705"/>
      <c r="AX400" s="467"/>
      <c r="AY400" s="1749"/>
      <c r="AZ400" s="1749"/>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696"/>
      <c r="CQ400" s="1696"/>
      <c r="CR400" s="1809"/>
      <c r="CS400" s="1811"/>
      <c r="CU400" s="1688"/>
      <c r="CV400" s="1703"/>
      <c r="CW400" s="1703"/>
      <c r="CX400" s="1703"/>
      <c r="CY400" s="1815"/>
      <c r="CZ400" s="1711"/>
      <c r="DA400" s="1818"/>
      <c r="DB400" s="1820"/>
      <c r="DC400" s="1820"/>
      <c r="DD400" s="1820"/>
      <c r="DF400" s="1703"/>
      <c r="DG400" s="1831"/>
      <c r="DH400" s="1703"/>
      <c r="DI400" s="1838"/>
      <c r="DJ400" s="1711"/>
      <c r="DK400" s="1712"/>
      <c r="DM400" s="1718"/>
      <c r="DO400" s="1708"/>
      <c r="DQ400" s="1715"/>
      <c r="DR400" s="1720"/>
      <c r="DS400" s="1816"/>
      <c r="DT400" s="1714"/>
      <c r="DU400" s="1715"/>
      <c r="DV400" s="1716"/>
      <c r="DX400" s="1715"/>
      <c r="DY400" s="1720"/>
      <c r="DZ400" s="1715"/>
      <c r="EA400" s="1715"/>
      <c r="EC400" s="1834"/>
      <c r="ED400" s="1834"/>
      <c r="EF400" s="1707"/>
      <c r="EG400" s="1712"/>
      <c r="EH400" s="1818"/>
      <c r="EI400" s="1712"/>
      <c r="EJ400" s="1712"/>
      <c r="EK400" s="1836"/>
      <c r="EL400" s="1836"/>
      <c r="EM400" s="1807"/>
      <c r="EN400" s="1839"/>
      <c r="EO400" s="1839"/>
      <c r="EP400" s="1817"/>
      <c r="EQ400" s="1817"/>
      <c r="ER400" s="1807"/>
      <c r="ES400" s="1807"/>
      <c r="ET400" s="1807"/>
      <c r="EV400" s="1715"/>
      <c r="EX400" s="1805"/>
      <c r="EY400" s="1805"/>
      <c r="EZ400" s="1805"/>
      <c r="FA400" s="1805"/>
      <c r="FB400" s="1805"/>
      <c r="FC400" s="1827"/>
      <c r="FE400" s="1698"/>
      <c r="FG400" s="1816"/>
      <c r="FH400" s="1816"/>
      <c r="FI400" s="133"/>
      <c r="FL400" s="1823"/>
      <c r="FM400" s="1825"/>
      <c r="FN400" s="1698"/>
      <c r="FO400" s="1698"/>
      <c r="FP400" s="1678"/>
      <c r="FQ400" s="1678"/>
      <c r="FS400" s="1687"/>
      <c r="FT400" s="1687"/>
      <c r="FU400" s="1685"/>
      <c r="FV400" s="1687"/>
      <c r="FW400" s="1687"/>
      <c r="FX400" s="1687"/>
      <c r="FY400" s="1697"/>
      <c r="GA400" s="1696"/>
      <c r="GB400" s="1696"/>
      <c r="GC400" s="1696"/>
      <c r="GD400" s="1696"/>
      <c r="GE400" s="1696"/>
      <c r="GF400" s="1696"/>
      <c r="GG400" s="1696"/>
      <c r="GH400" s="1696"/>
      <c r="GI400" s="673"/>
      <c r="GJ400" s="1135"/>
      <c r="GK400" s="1832"/>
      <c r="GM400" s="1693" t="b">
        <f ca="1">IF(AND(GP400=TRUE,GQ400=TRUE),TRUE,FALSE)</f>
        <v>0</v>
      </c>
      <c r="GN400" s="1684" t="b">
        <f>IFERROR(IF(__Retrofit_TI_NC=2,TRUE,IF(AU399="Yes",TRUE,FALSE)),FALSE)</f>
        <v>1</v>
      </c>
      <c r="GP400" s="1684" t="b">
        <f>IFERROR(IF(GP399=1,TRUE,FALSE),FALSE)</f>
        <v>0</v>
      </c>
      <c r="GQ400" s="1684" t="b">
        <f ca="1">IFERROR(IF(GQ399=GQ$14,TRUE,FALSE),FALSE)</f>
        <v>0</v>
      </c>
      <c r="HG400" s="1684" t="b">
        <f>IFERROR(IF(AND(__Retrofit_TI_NC&gt;0,CQ399="Interior"),FALSE,TRUE),FALSE)</f>
        <v>1</v>
      </c>
      <c r="HH400" s="1684" t="b">
        <f>IFERROR(IF(M400=1,TRUE,FALSE),FALSE)</f>
        <v>0</v>
      </c>
      <c r="HI400" s="1684" t="b">
        <f>IFERROR(IF(OR(M401=1,N402="BAM"),TRUE,FALSE),FALSE)</f>
        <v>0</v>
      </c>
      <c r="HJ400" s="1684" t="b">
        <f>IFERROR(IF(__Retrofit_TI_NC&lt;&gt;0,TRUE,IFERROR(IF(VLOOKUP(U400,Fixtures_Existing_List,2,FALSE)&lt;&gt;"",TRUE,FALSE),FALSE)),FALSE)</f>
        <v>0</v>
      </c>
      <c r="HK400" s="1684" t="b">
        <f>IFERROR(IF(VLOOKUP(U401,Fixtures_Proposed_List,2,FALSE)&lt;&gt;"",TRUE,FALSE),FALSE)</f>
        <v>0</v>
      </c>
      <c r="HL400" s="1684" t="b">
        <f>IF(AND(__Retrofit_TI_NC=2,FC399=TRUE),FALSE,TRUE)</f>
        <v>1</v>
      </c>
      <c r="HM400" s="1684" t="b">
        <f>GK399</f>
        <v>1</v>
      </c>
      <c r="HN400" s="1682" t="b">
        <f>IF(ISERROR(MATCH(FE399,_Control_Match[],0))=TRUE,FALSE,TRUE)</f>
        <v>0</v>
      </c>
      <c r="HO400" s="1693" t="b">
        <f>IFERROR(IF(EX399&lt;&gt;EY399,FALSE,TRUE),FALSE)</f>
        <v>1</v>
      </c>
      <c r="HP400" s="1693" t="b">
        <f>IFERROR(IF(EX401&lt;&gt;EY401,FALSE,TRUE),FALSE)</f>
        <v>1</v>
      </c>
      <c r="HQ400" s="1670" t="b">
        <f>IFERROR(IF(CQ399="Exterior",TRUE,IF(AND(OR(FM401=0,FM401=3),JD401&gt;6),FALSE,TRUE)),FALSE)</f>
        <v>0</v>
      </c>
      <c r="HR400" s="1684" t="b">
        <f>IFERROR(IF(AND(FO401=7,FC399=TRUE),FALSE,TRUE),FALSE)</f>
        <v>0</v>
      </c>
      <c r="HS400" s="1684" t="b">
        <f>IFERROR(IF(AND(T401&lt;&gt;AF401,OR(AG401="Interior LLLC", AG401="Interior NLC", AG401="LLLC (outside Daylight)",AG401="LLLC Controls Only"))=TRUE,FALSE,TRUE),FALSE)</f>
        <v>1</v>
      </c>
      <c r="HT400" s="1670" t="b">
        <f>IFERROR(IF(OR(AG401=Lookup!BB$17,AG401=Lookup!BB$18,AG401=Lookup!BB$19)=TRUE,IF(AF401&gt;T401,FALSE,TRUE),TRUE),FALSE)</f>
        <v>1</v>
      </c>
      <c r="HU400" s="1684" t="b">
        <f>IFERROR(IF(__Retrofit_TI_NC=2,IF(EZ401&lt;EZ399,FALSE,TRUE),TRUE),FALSE)</f>
        <v>1</v>
      </c>
      <c r="HV400" s="1684" t="b">
        <f>IF(CQ399="Interior",IL$6,TRUE)</f>
        <v>1</v>
      </c>
      <c r="HW400" s="1684" t="b">
        <f>IF(CQ399="Exterior",IL$8,TRUE)</f>
        <v>1</v>
      </c>
      <c r="HX400" s="1684" t="b">
        <f>IFERROR(IF(__Retrofit_TI_NC&lt;&gt;0,IF(AZ399&lt;AY399,FALSE,TRUE),TRUE),FALSE)</f>
        <v>1</v>
      </c>
      <c r="HY400" s="1684" t="b">
        <f>IFERROR(IF(AND(G400="Exterior",R400&gt;4200),FALSE,TRUE),FALSE)</f>
        <v>1</v>
      </c>
      <c r="HZ400" s="1684" t="b">
        <f>IFERROR(IF(AB402/AB399&lt;HZ$18,FALSE,TRUE),FALSE)</f>
        <v>0</v>
      </c>
      <c r="IB400" s="1691"/>
      <c r="IC400" s="1695"/>
      <c r="ID400" s="1694" t="str">
        <f>VLOOKUP(IB402,_Error_Table,4,FALSE)</f>
        <v>White</v>
      </c>
      <c r="IE400" s="391"/>
      <c r="IF400" s="1688"/>
      <c r="IG400" s="1689"/>
      <c r="IH400" s="1684"/>
      <c r="IK400" s="1689"/>
      <c r="IL400" s="1691"/>
      <c r="IM400" s="1691"/>
      <c r="IN400" s="1691"/>
      <c r="IP400" s="1679"/>
      <c r="IQ400" s="1679"/>
      <c r="IR400" s="1679"/>
      <c r="IS400" s="1679"/>
      <c r="IT400" s="1679"/>
      <c r="IU400" s="1679"/>
      <c r="IV400" s="1679"/>
      <c r="IW400" s="1679"/>
      <c r="IX400" s="1679"/>
      <c r="IY400" s="1679"/>
      <c r="IZ400" s="1679"/>
      <c r="JA400" s="1679"/>
      <c r="JC400" s="1680"/>
      <c r="JD400" s="1670"/>
      <c r="JE400" s="1681"/>
      <c r="JG400" s="1680"/>
      <c r="JH400" s="1670"/>
      <c r="JI400" s="1060"/>
      <c r="JJ400" s="1683"/>
      <c r="JK400" s="1061"/>
      <c r="JL400" s="1683"/>
      <c r="JM400" s="1061"/>
      <c r="JN400" s="1683"/>
      <c r="JO400" s="1061"/>
      <c r="JP400" s="1683"/>
      <c r="JQ400" s="1061"/>
      <c r="JR400" s="1683"/>
      <c r="JS400" s="1061"/>
      <c r="JT400" s="1670"/>
      <c r="JU400" s="1061"/>
      <c r="JV400" s="1670"/>
      <c r="JX400" s="1670"/>
      <c r="JZ400" s="1683"/>
      <c r="KB400" s="1670"/>
    </row>
    <row r="401" spans="1:288" s="78" customFormat="1" ht="14.95" customHeight="1" thickTop="1" thickBot="1">
      <c r="A401" s="78">
        <f>ROW()</f>
        <v>401</v>
      </c>
      <c r="B401" s="1845"/>
      <c r="C401" s="1846"/>
      <c r="D401" s="1847"/>
      <c r="E401" s="1737" t="s">
        <v>298</v>
      </c>
      <c r="F401" s="1738"/>
      <c r="G401" s="1760"/>
      <c r="H401" s="1761"/>
      <c r="I401" s="1761"/>
      <c r="J401" s="1761"/>
      <c r="K401" s="1761"/>
      <c r="L401" s="1762"/>
      <c r="M401" s="461">
        <f>IFERROR(IF(IF(__Retrofit_TI_NC&lt;&gt;0,IF(CQ399="Interior",MATCH(G401,Lookup_Interior_New,0),MATCH(G401,Lookup_Exterior_New,0)),IF(CQ399="Interior",MATCH(G401,Lookup_Interior,0),MATCH(G401,Lookup_Exterior_Areas,0)))&gt;0,1,0),0)</f>
        <v>0</v>
      </c>
      <c r="N401" s="461" t="e">
        <f>IF(__Retrofit_TI_NC=1,
VLOOKUP(G401,'Space Table'!$B$3:$L$163,4,FALSE),
IF(__Retrofit_TI_NC=2,VLOOKUP(G401,'Space Table'!$B$3:$L$163,5,FALSE),VLOOKUP(G401,'Space Table'!$B$3:$L$163,5,FALSE)))</f>
        <v>#N/A</v>
      </c>
      <c r="O401" s="461">
        <f>G401</f>
        <v>0</v>
      </c>
      <c r="P401" s="1738" t="str">
        <f>IFERROR(IF(__Retrofit_TI_NC=1,VLOOKUP(G401,'Space Table'!$B$3:$O$163,13,FALSE),IF(__Retrofit_TI_NC=2,VLOOKUP(G401,'Space Table'!$B$3:$O$163,14,FALSE),"Area (sf):")),"Area (sf):")</f>
        <v>Area (sf):</v>
      </c>
      <c r="Q401" s="1738"/>
      <c r="R401" s="596"/>
      <c r="S401" s="1763" t="s">
        <v>345</v>
      </c>
      <c r="T401" s="594"/>
      <c r="U401" s="1801"/>
      <c r="V401" s="1802"/>
      <c r="W401" s="1802"/>
      <c r="X401" s="1802"/>
      <c r="Y401" s="1802"/>
      <c r="Z401" s="1802"/>
      <c r="AA401" s="1802"/>
      <c r="AB401" s="1802"/>
      <c r="AC401" s="1802"/>
      <c r="AD401" s="1802"/>
      <c r="AE401" s="1803"/>
      <c r="AF401" s="594"/>
      <c r="AG401" s="1787"/>
      <c r="AH401" s="1787"/>
      <c r="AI401" s="1787"/>
      <c r="AJ401" s="1787"/>
      <c r="AK401" s="1787"/>
      <c r="AL401" s="1787"/>
      <c r="AM401" s="1726">
        <f>IFERROR(DI401,"")</f>
        <v>0</v>
      </c>
      <c r="AN401" s="1728" t="str">
        <f>IFERROR(ROUND(AM401*AC402,0),"")</f>
        <v/>
      </c>
      <c r="AO401" s="1730">
        <f>IFERROR(IF(IB399=FALSE,0,AC402-AN401),0)</f>
        <v>0</v>
      </c>
      <c r="AP401" s="1780"/>
      <c r="AQ401" s="1781"/>
      <c r="AR401" s="1795"/>
      <c r="AS401" s="1795"/>
      <c r="AT401" s="1796"/>
      <c r="AU401" s="1735"/>
      <c r="AV401" s="1752"/>
      <c r="AW401" s="1705"/>
      <c r="AX401" s="467"/>
      <c r="AY401" s="1749"/>
      <c r="AZ401" s="1749"/>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696"/>
      <c r="CQ401" s="1696"/>
      <c r="CR401" s="1808" t="str">
        <f>CQ399</f>
        <v/>
      </c>
      <c r="CS401" s="1810" t="str">
        <f>CS399</f>
        <v/>
      </c>
      <c r="CU401" s="1688" t="s">
        <v>345</v>
      </c>
      <c r="CV401" s="1702">
        <f>IF(IB399=TRUE,T401,0)</f>
        <v>0</v>
      </c>
      <c r="CW401" s="1702" t="str">
        <f>IF(IB399=TRUE,U401,"")</f>
        <v/>
      </c>
      <c r="CX401" s="1812">
        <f>IF(IB399=TRUE,U402,0)</f>
        <v>0</v>
      </c>
      <c r="CY401" s="1814">
        <f>IF(IB399=TRUE,AB402,0)</f>
        <v>0</v>
      </c>
      <c r="CZ401" s="1710">
        <f>IF(AND(__Retrofit_TI_NC&gt;0,CR399="interior"),0,IF(IB399=TRUE,AC402,0))</f>
        <v>0</v>
      </c>
      <c r="DA401" s="1818"/>
      <c r="DB401" s="1820"/>
      <c r="DC401" s="1820"/>
      <c r="DD401" s="1820"/>
      <c r="DF401" s="1702">
        <f>IF(IB399=TRUE,AF401,0)</f>
        <v>0</v>
      </c>
      <c r="DG401" s="1830" t="str">
        <f>IF(IB399=TRUE,AG401,"")</f>
        <v/>
      </c>
      <c r="DH401" s="1812">
        <f>AG402</f>
        <v>0</v>
      </c>
      <c r="DI401" s="1837">
        <f>JE401</f>
        <v>0</v>
      </c>
      <c r="DJ401" s="1710">
        <f>IF(AND(__Retrofit_TI_NC&gt;0,CR399="interior"),0,IF(IB399=TRUE,AN401,0))</f>
        <v>0</v>
      </c>
      <c r="DK401" s="1712"/>
      <c r="DN401" s="1717">
        <f>IFERROR(CZ401-DJ401,0)</f>
        <v>0</v>
      </c>
      <c r="DO401" s="1709"/>
      <c r="DQ401" s="1715"/>
      <c r="DR401" s="1719" t="str">
        <f>DQ399</f>
        <v/>
      </c>
      <c r="DS401" s="1816"/>
      <c r="DT401" s="1835" t="str">
        <f>IF(OR(DS399=7,DS399=8,DS399=9),"ALC","")</f>
        <v/>
      </c>
      <c r="DU401" s="1715"/>
      <c r="DV401" s="1716"/>
      <c r="DX401" s="1715"/>
      <c r="DY401" s="1829" t="str">
        <f>DX399</f>
        <v/>
      </c>
      <c r="DZ401" s="1715"/>
      <c r="EA401" s="1715"/>
      <c r="EC401" s="1834"/>
      <c r="ED401" s="1834"/>
      <c r="EF401" s="1707"/>
      <c r="EG401" s="1712"/>
      <c r="EH401" s="1818"/>
      <c r="EI401" s="1712"/>
      <c r="EJ401" s="1712"/>
      <c r="EK401" s="1836"/>
      <c r="EL401" s="1836"/>
      <c r="EM401" s="1807"/>
      <c r="EN401" s="1839"/>
      <c r="EO401" s="1839"/>
      <c r="EP401" s="1817"/>
      <c r="EQ401" s="1817"/>
      <c r="ER401" s="1807"/>
      <c r="ES401" s="1807"/>
      <c r="ET401" s="1807"/>
      <c r="EV401" s="1715"/>
      <c r="EX401" s="1805" t="str">
        <f>IFERROR(VLOOKUP(CS401,'Space Table'!$B$3:$L$163,8,FALSE),"")</f>
        <v/>
      </c>
      <c r="EY401" s="1805" t="str">
        <f>IFERROR(IF(FB401="Yes",VLOOKUP(AG401,Lookup_Control_Type_Table2,4,FALSE),VLOOKUP(AG401,Lookup_Control_Type_Table2,3,FALSE)),"")</f>
        <v/>
      </c>
      <c r="EZ401" s="1805" t="e">
        <f>VLOOKUP(AG401,Lookup!BB$3:BC$20,2,FALSE)</f>
        <v>#N/A</v>
      </c>
      <c r="FA401" s="1805" t="e">
        <f>VLOOKUP(EX399,Lookup_Control_Type_Table,2,FALSE)</f>
        <v>#N/A</v>
      </c>
      <c r="FB401" s="1805" t="e">
        <f>VLOOKUP(CS401,'Space Table'!$B$3:$L$163,7,FALSE)</f>
        <v>#N/A</v>
      </c>
      <c r="FC401" s="1827"/>
      <c r="FE401" s="1698" t="str">
        <f>CONCATENATE(CQ399," - ",AG401)</f>
        <v xml:space="preserve"> - </v>
      </c>
      <c r="FG401" s="1816"/>
      <c r="FH401" s="1816"/>
      <c r="FI401" s="133"/>
      <c r="FL401" s="1822" t="str">
        <f>IF(CQ399="Exterior","Not Daylighted",G402)</f>
        <v>Not Daylighted</v>
      </c>
      <c r="FM401" s="1824">
        <f>VLOOKUP(FL401,_New_Daylight_Table_Codes,2,FALSE)</f>
        <v>0</v>
      </c>
      <c r="FN401" s="1698">
        <f>AG401</f>
        <v>0</v>
      </c>
      <c r="FO401" s="1698" t="e">
        <f>VLOOKUP(FN401,_Control_Table,2,FALSE)</f>
        <v>#N/A</v>
      </c>
      <c r="FP401" s="1678" t="e">
        <f>VLOOKUP(CONCATENATE(FL401," ",FN401),Lookup!AY$102:AZ412,2,FALSE)</f>
        <v>#N/A</v>
      </c>
      <c r="FQ401" s="1698">
        <f>IF(__Retrofit_TI_NC=0,FN401,IF(AND(FT401&gt;0,FN401="Occupancy Sensor"),"Daylight + Occupancy",IF(AND(FT401&gt;0,FO401&lt;4),"Interior Daylight Dimming",FN401)))</f>
        <v>0</v>
      </c>
      <c r="FS401" s="1686">
        <f>IF(CQ399="Interior",VLOOKUP(CS399,Control_Savings_Interior,5,FALSE),0)</f>
        <v>0</v>
      </c>
      <c r="FT401" s="1687">
        <f>IF(CQ401="Exterior",0,IF(FM401=2,0.5,IF(OR(FM401=1,FM401=3),1,0)))</f>
        <v>0</v>
      </c>
      <c r="FU401" s="1685">
        <f>IF(R400&gt;FS$44,(FS401*(FS$44/R400)),FS401)*FT401</f>
        <v>0</v>
      </c>
      <c r="FV401" s="1686">
        <f>DI401</f>
        <v>0</v>
      </c>
      <c r="FW401" s="1686">
        <f>ROUND(FV401+((1-FV401)*FU401),2)</f>
        <v>0</v>
      </c>
      <c r="FX401" s="1686">
        <f>IF(__Retrofit_TI_NC=2,FW401,FV401)</f>
        <v>0</v>
      </c>
      <c r="FY401" s="1697">
        <f>IF(CR401="Interior",VLOOKUP(CS401,Control_Savings_Interior,4,FALSE),0)</f>
        <v>0</v>
      </c>
      <c r="GA401" s="1696"/>
      <c r="GB401" s="1696"/>
      <c r="GC401" s="1696"/>
      <c r="GD401" s="1696"/>
      <c r="GE401" s="1696"/>
      <c r="GF401" s="1696"/>
      <c r="GG401" s="1696"/>
      <c r="GH401" s="1696"/>
      <c r="GI401" s="673" t="b">
        <f>IF(ISNUMBER(SEARCH("TLED",U401)),TRUE,FALSE)</f>
        <v>0</v>
      </c>
      <c r="GJ401" s="1135" t="str">
        <f>IFERROR(VLOOKUP(U401,Fixtures!DM$93:DR$142,6,FALSE),"")</f>
        <v/>
      </c>
      <c r="GK401" s="1832"/>
      <c r="GM401" s="1692"/>
      <c r="GN401" s="1684"/>
      <c r="GP401" s="1684"/>
      <c r="GQ401" s="1684"/>
      <c r="HG401" s="1684"/>
      <c r="HH401" s="1684"/>
      <c r="HI401" s="1684"/>
      <c r="HJ401" s="1684"/>
      <c r="HK401" s="1684"/>
      <c r="HL401" s="1684"/>
      <c r="HM401" s="1684"/>
      <c r="HN401" s="1683"/>
      <c r="HO401" s="1692"/>
      <c r="HP401" s="1692"/>
      <c r="HQ401" s="1670"/>
      <c r="HR401" s="1684"/>
      <c r="HS401" s="1684"/>
      <c r="HT401" s="1670"/>
      <c r="HU401" s="1684"/>
      <c r="HV401" s="1684"/>
      <c r="HW401" s="1684"/>
      <c r="HX401" s="1684"/>
      <c r="HY401" s="1684"/>
      <c r="HZ401" s="1684"/>
      <c r="IB401" s="1692"/>
      <c r="IC401" s="1693" t="b">
        <f>IB399</f>
        <v>0</v>
      </c>
      <c r="ID401" s="1695"/>
      <c r="IE401" s="391"/>
      <c r="IF401" s="1688"/>
      <c r="IG401" s="1689">
        <f ca="1">IF(IF399=TRUE,AC402,0)</f>
        <v>0</v>
      </c>
      <c r="IH401" s="1684"/>
      <c r="IK401" s="1689" t="e">
        <f>ROUND(T401*AB402*N400*R400/1000,0)</f>
        <v>#VALUE!</v>
      </c>
      <c r="IL401" s="1691"/>
      <c r="IM401" s="1693" t="e">
        <f>ROUND(T401*AB402*N400*R400/1000,0)</f>
        <v>#VALUE!</v>
      </c>
      <c r="IN401" s="1691"/>
      <c r="IP401" s="1679"/>
      <c r="IQ401" s="1679" t="e">
        <f t="shared" ref="IQ401:IU401" si="357">IF($CR401="interior",VLOOKUP($CS401,_New_Control_Savings_Interior,IQ$30,FALSE),VLOOKUP($CS401,Control_Savings_Exterior,IQ$30,FALSE))</f>
        <v>#N/A</v>
      </c>
      <c r="IR401" s="1679" t="e">
        <f t="shared" si="357"/>
        <v>#N/A</v>
      </c>
      <c r="IS401" s="1679" t="e">
        <f t="shared" si="357"/>
        <v>#N/A</v>
      </c>
      <c r="IT401" s="1679" t="e">
        <f t="shared" si="357"/>
        <v>#N/A</v>
      </c>
      <c r="IU401" s="1679" t="e">
        <f t="shared" si="357"/>
        <v>#N/A</v>
      </c>
      <c r="IV401" s="1679" t="e">
        <f>IF($CR401="interior",IF(R400&gt;$IP$14,ROUND(($IV$18*($IP$14/R400)),2),$IV$18),VLOOKUP($CS401,Control_Savings_Exterior,IV$30,FALSE))</f>
        <v>#N/A</v>
      </c>
      <c r="IW401" s="1679" t="e">
        <f>IF($CR401="interior",ROUND(((1-IS401)*IV401)+IS401,2),VLOOKUP($CS401,Control_Savings_Exterior,IW$30,FALSE))</f>
        <v>#N/A</v>
      </c>
      <c r="IX401" s="1679" t="e">
        <f>IF($CR401="interior",ROUND(((1-IT401)*IV401)+IT401,2),VLOOKUP($CS401,Control_Savings_Exterior,IX$30,FALSE))</f>
        <v>#N/A</v>
      </c>
      <c r="IY401" s="1679" t="e">
        <f>IF($CR401="interior",IF(R400&gt;$IP$14,ROUND(($IY$18*($IP$14/R400)),2),$IY$18),VLOOKUP($CS401,Control_Savings_Exterior,IY$30,FALSE))</f>
        <v>#N/A</v>
      </c>
      <c r="IZ401" s="1679" t="e">
        <f>IF($CR401="interior",ROUND(((1-IS401)*IY401)+IS401,2),VLOOKUP($CS401,Control_Savings_Exterior,IZ$30,FALSE))</f>
        <v>#N/A</v>
      </c>
      <c r="JA401" s="1679" t="e">
        <f>IF($CR401="interior",ROUND(((1-IT401)*IY401)+IT401,2),VLOOKUP($CS401,Control_Savings_Exterior,JA$30,FALSE))</f>
        <v>#N/A</v>
      </c>
      <c r="JC401" s="1680">
        <f>IFERROR(IF(CR401="Interior",CONCATENATE(G402," ",FQ401),AG401),"")</f>
        <v>0</v>
      </c>
      <c r="JD401" s="1670" t="str">
        <f>IFERROR(VLOOKUP(JC401,_Controls_2023,2,FALSE),"")</f>
        <v/>
      </c>
      <c r="JE401" s="1681">
        <f>IFERROR(CHOOSE(JD401-1,IQ401,IR401,IS401,IT401,IU401,IV401,IW401,IX401,IY401,IZ401,JA401),0)</f>
        <v>0</v>
      </c>
      <c r="JG401" s="1680" t="str">
        <f>FE401</f>
        <v xml:space="preserve"> - </v>
      </c>
      <c r="JH401" s="1670" t="e">
        <f>$FO401</f>
        <v>#N/A</v>
      </c>
      <c r="JI401" s="1060"/>
      <c r="JJ401" s="1670">
        <f>IFERROR(IF($IB399=TRUE,IF(OR(JJ$14="No",JJ399=FALSE,JH401&lt;=JH399,AND(_kWh_Grant=0,GD399=FALSE)),0,IF(JJ$8="Per Line",1,$AF401)),0),0)</f>
        <v>0</v>
      </c>
      <c r="JK401" s="1061"/>
      <c r="JL401" s="1670">
        <f>IFERROR(IF(_kWh_Grant=0,0,IF($IB399=TRUE,IF(OR(JL$14="No",JL399=FALSE,JH401&lt;=JH399),0,IF(JL$8="Per Line",1,$T401)),0)),0)</f>
        <v>0</v>
      </c>
      <c r="JM401" s="1061"/>
      <c r="JN401" s="1670">
        <f>IFERROR(IF(_kWh_Grant=0,0,IF($IB399=TRUE,IF(OR(JN$14="No",JN399=FALSE,JH401&lt;=JH399),0,IF(JN$8="Per Line",1,$AF401)),0)),0)</f>
        <v>0</v>
      </c>
      <c r="JO401" s="1061"/>
      <c r="JP401" s="1670">
        <f>IFERROR(IF(__Retrofit_TI_NC=0,IF(_kWh_Grant=0,0,IF($IB399=TRUE,IF(OR(JP$14="No",JP399=FALSE,$JH401&lt;=$JH399),0,IF(JP$8="Per Line",1,$AF401)),0)),IF($IB399=TRUE,IF(OR(JP$14="No",JP399=FALSE,$JH401&lt;=$JH399),0,IF(JP$8="Per Line",1,$AF401)))),0)</f>
        <v>0</v>
      </c>
      <c r="JQ401" s="1061"/>
      <c r="JR401" s="1670">
        <f>IFERROR(IF(__Retrofit_TI_NC=0,IF(_kWh_Grant=0,0,IF($IB399=TRUE,IF(OR(JR$14="No",JR399=FALSE,$JH401&lt;=$JH399),0,IF(JR$8="Per Line",1,$AF401)),0)),IF($IB399=TRUE,IF(OR(JR$14="No",JR399=FALSE,$JH401&lt;=$JH399),0,IF(JR$8="Per Line",1,$AF401)))),0)</f>
        <v>0</v>
      </c>
      <c r="JS401" s="1061"/>
      <c r="JT401" s="1670">
        <f>IFERROR(IF(__Retrofit_TI_NC=0,IF(_kWh_Grant=0,0,IF($IB399=TRUE,IF(OR(JT$14="No",JT399=FALSE,$JH401&lt;=$JH399),0,IF(JT$8="Per Line",1,$AF401)),0)),IF($IB399=TRUE,IF(OR(JT$14="No",JT399=FALSE,$JH401&lt;=$JH399),0,IF(JT$8="Per Line",1,$AF401)))),0)</f>
        <v>0</v>
      </c>
      <c r="JU401" s="1061"/>
      <c r="JV401" s="1670">
        <f>IFERROR(IF(__Retrofit_TI_NC=0,IF(_kWh_Grant=0,0,IF($IB399=TRUE,IF(OR(JV$14="No",JV399=FALSE,$JH401&lt;=$JH399),0,IF(JV$8="Per Line",1,$AF401)),0)),IF($IB399=TRUE,IF(OR(JV$14="No",JV399=FALSE,$JH401&lt;=$JH399),0,IF(JV$8="Per Line",1,$AF401)))),0)</f>
        <v>0</v>
      </c>
      <c r="JX401" s="1670">
        <f>IFERROR(IF(__Retrofit_TI_NC=0,IF(_kWh_Grant=0,0,IF($IB399=TRUE,IF(OR(JX$14="No",JX399=FALSE,$JH401&lt;=$JH399),0,IF(JX$8="Per Line",1,$AF401)),0)),IF($IB399=TRUE,IF(OR(JX$14="No",JX399=FALSE,$JH401&lt;=$JH399),0,IF(JX$8="Per Line",1,$AF401)))),0)</f>
        <v>0</v>
      </c>
      <c r="JZ401" s="1670">
        <f>IFERROR(IF($IB399=TRUE,IF(OR(JZ$14="No",JZ399=FALSE,$JH401&lt;=$JH399,AND(_kWh_Grant=0,$GD399=FALSE)),0,IF(JZ$8="Per Line",1,$AF401)),0),0)</f>
        <v>0</v>
      </c>
      <c r="KB401" s="1670">
        <f>IFERROR(IF(__Retrofit_TI_NC=0,IF(_kWh_Grant=0,0,IF($IB399=TRUE,IF(OR(KB$14="No",KB399=FALSE,$JH401&lt;=$JH399),0,IF(KB$8="Per Line",1,$AF401)),0)),IF($IB399=TRUE,IF(OR(KB$14="No",KB399=FALSE,$JH401&lt;=$JH399),0,IF(KB$8="Per Line",1,$AF401)))),0)</f>
        <v>0</v>
      </c>
    </row>
    <row r="402" spans="1:288" s="78" customFormat="1" ht="14.95" customHeight="1" thickTop="1" thickBot="1">
      <c r="B402" s="1845"/>
      <c r="C402" s="1846"/>
      <c r="D402" s="1847"/>
      <c r="E402" s="1771" t="s">
        <v>436</v>
      </c>
      <c r="F402" s="1772"/>
      <c r="G402" s="1784" t="s">
        <v>437</v>
      </c>
      <c r="H402" s="1785"/>
      <c r="I402" s="1785"/>
      <c r="J402" s="1785"/>
      <c r="K402" s="1785"/>
      <c r="L402" s="1786"/>
      <c r="M402" s="591">
        <f>IFERROR(VLOOKUP(G402,_Daylight_Table[],2,FALSE),0)</f>
        <v>0</v>
      </c>
      <c r="N402" s="592" t="str">
        <f>IF(AND(__Retrofit_TI_NC&gt;0,CQ399="Interior"),"BAM","")</f>
        <v/>
      </c>
      <c r="O402" s="591" t="e">
        <f>VLOOKUP(G401,'Space Table'!$B$3:$L$163,11,FALSE)</f>
        <v>#N/A</v>
      </c>
      <c r="P402" s="1789"/>
      <c r="Q402" s="1790"/>
      <c r="R402" s="1790"/>
      <c r="S402" s="1788"/>
      <c r="T402" s="593" t="s">
        <v>342</v>
      </c>
      <c r="U402" s="1756" t="str" cm="1">
        <f t="array" aca="1" ref="U402" ca="1">IFERROR(VLOOKUP(INDIRECT("U" &amp; ROW()-1),Fixtures!DM$93:DP$142,4,FALSE),"")</f>
        <v/>
      </c>
      <c r="V402" s="1757"/>
      <c r="W402" s="1757"/>
      <c r="X402" s="1757"/>
      <c r="Y402" s="1757"/>
      <c r="Z402" s="1757"/>
      <c r="AA402" s="1758"/>
      <c r="AB402" s="939" t="str">
        <f>IFERROR(VLOOKUP(U401,Fixtures_Proposed_List,2,FALSE),"")</f>
        <v/>
      </c>
      <c r="AC402" s="933" t="str">
        <f>IFERROR(ROUND(T401*AB402*N400*R400/1000,0),"")</f>
        <v/>
      </c>
      <c r="AD402" s="934" t="str">
        <f>IFERROR(ROUND(T401*AB402/1000,2),"")</f>
        <v/>
      </c>
      <c r="AE402" s="998"/>
      <c r="AF402" s="938" t="s">
        <v>342</v>
      </c>
      <c r="AG402" s="1770"/>
      <c r="AH402" s="1770"/>
      <c r="AI402" s="1770"/>
      <c r="AJ402" s="1770"/>
      <c r="AK402" s="1770"/>
      <c r="AL402" s="1770"/>
      <c r="AM402" s="1727"/>
      <c r="AN402" s="1729"/>
      <c r="AO402" s="1731"/>
      <c r="AP402" s="1782"/>
      <c r="AQ402" s="1783"/>
      <c r="AR402" s="1797"/>
      <c r="AS402" s="1797"/>
      <c r="AT402" s="1798"/>
      <c r="AU402" s="1736"/>
      <c r="AV402" s="1753"/>
      <c r="AW402" s="1706"/>
      <c r="AX402" s="468"/>
      <c r="AY402" s="1750"/>
      <c r="AZ402" s="1750"/>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696"/>
      <c r="CQ402" s="1696"/>
      <c r="CR402" s="1809"/>
      <c r="CS402" s="1811"/>
      <c r="CU402" s="1688"/>
      <c r="CV402" s="1703"/>
      <c r="CW402" s="1703"/>
      <c r="CX402" s="1813"/>
      <c r="CY402" s="1815"/>
      <c r="CZ402" s="1711"/>
      <c r="DA402" s="1815"/>
      <c r="DB402" s="1821"/>
      <c r="DC402" s="1821"/>
      <c r="DD402" s="1821"/>
      <c r="DF402" s="1703"/>
      <c r="DG402" s="1831"/>
      <c r="DH402" s="1813"/>
      <c r="DI402" s="1838"/>
      <c r="DJ402" s="1711"/>
      <c r="DK402" s="1712"/>
      <c r="DN402" s="1718"/>
      <c r="DO402" s="1709"/>
      <c r="DQ402" s="1715"/>
      <c r="DR402" s="1720"/>
      <c r="DS402" s="1703"/>
      <c r="DT402" s="1714"/>
      <c r="DU402" s="1715"/>
      <c r="DV402" s="1716"/>
      <c r="DX402" s="1715"/>
      <c r="DY402" s="1720"/>
      <c r="DZ402" s="1715"/>
      <c r="EA402" s="1715"/>
      <c r="EC402" s="1834"/>
      <c r="ED402" s="1834"/>
      <c r="EF402" s="1707"/>
      <c r="EG402" s="1712"/>
      <c r="EH402" s="1815"/>
      <c r="EI402" s="1712"/>
      <c r="EJ402" s="1712"/>
      <c r="EK402" s="1813"/>
      <c r="EL402" s="1813"/>
      <c r="EM402" s="1807"/>
      <c r="EN402" s="1839"/>
      <c r="EO402" s="1839"/>
      <c r="EP402" s="1817"/>
      <c r="EQ402" s="1817"/>
      <c r="ER402" s="1807"/>
      <c r="ES402" s="1807"/>
      <c r="ET402" s="1807"/>
      <c r="EV402" s="1715"/>
      <c r="EX402" s="1806"/>
      <c r="EY402" s="1806"/>
      <c r="EZ402" s="1806"/>
      <c r="FA402" s="1806"/>
      <c r="FB402" s="1806"/>
      <c r="FC402" s="1828"/>
      <c r="FE402" s="1698"/>
      <c r="FG402" s="1703"/>
      <c r="FH402" s="1703"/>
      <c r="FI402" s="133"/>
      <c r="FL402" s="1823"/>
      <c r="FM402" s="1825"/>
      <c r="FN402" s="1698"/>
      <c r="FO402" s="1698"/>
      <c r="FP402" s="1678"/>
      <c r="FQ402" s="1698"/>
      <c r="FS402" s="1687"/>
      <c r="FT402" s="1687"/>
      <c r="FU402" s="1685"/>
      <c r="FV402" s="1687"/>
      <c r="FW402" s="1687"/>
      <c r="FX402" s="1687"/>
      <c r="FY402" s="1697"/>
      <c r="GA402" s="1696"/>
      <c r="GB402" s="1696"/>
      <c r="GC402" s="1696"/>
      <c r="GD402" s="1696"/>
      <c r="GE402" s="1696"/>
      <c r="GF402" s="1696"/>
      <c r="GG402" s="1696"/>
      <c r="GH402" s="1696"/>
      <c r="GI402" s="673"/>
      <c r="GJ402" s="1135"/>
      <c r="GK402" s="1832"/>
      <c r="GN402" s="674">
        <f>IF(GN400=TRUE,0,GN$16)</f>
        <v>0</v>
      </c>
      <c r="GP402" s="674">
        <f>IF(GP400=TRUE,0,GP$16)</f>
        <v>36</v>
      </c>
      <c r="GQ402" s="674">
        <f ca="1">IF(GQ400=TRUE,0,GQ$16)</f>
        <v>35</v>
      </c>
      <c r="GR402" s="391"/>
      <c r="GS402" s="391"/>
      <c r="GT402" s="391"/>
      <c r="GU402" s="391"/>
      <c r="GV402" s="391"/>
      <c r="HG402" s="674">
        <f>IF(HG400=TRUE,0,HG$16)</f>
        <v>0</v>
      </c>
      <c r="HH402" s="674">
        <f t="shared" ref="HH402:HM402" si="358">IF(HH400=TRUE,0,HH$16)</f>
        <v>19</v>
      </c>
      <c r="HI402" s="674">
        <f t="shared" si="358"/>
        <v>18</v>
      </c>
      <c r="HJ402" s="674">
        <f t="shared" si="358"/>
        <v>17</v>
      </c>
      <c r="HK402" s="674">
        <f t="shared" si="358"/>
        <v>16</v>
      </c>
      <c r="HL402" s="674">
        <f t="shared" si="358"/>
        <v>0</v>
      </c>
      <c r="HM402" s="674">
        <f t="shared" si="358"/>
        <v>0</v>
      </c>
      <c r="HN402" s="674">
        <f>IF(HN400=TRUE,0,HN$16)</f>
        <v>13</v>
      </c>
      <c r="HO402" s="674">
        <f t="shared" ref="HO402:HQ402" si="359">IF(HO400=TRUE,0,HO$16)</f>
        <v>0</v>
      </c>
      <c r="HP402" s="674">
        <f t="shared" si="359"/>
        <v>0</v>
      </c>
      <c r="HQ402" s="674">
        <f t="shared" si="359"/>
        <v>10</v>
      </c>
      <c r="HR402" s="674">
        <f>IF(HR400=TRUE,0,HR$16)</f>
        <v>9</v>
      </c>
      <c r="HS402" s="674">
        <f t="shared" ref="HS402:HW402" si="360">IF(HS400=TRUE,0,HS$16)</f>
        <v>0</v>
      </c>
      <c r="HT402" s="674">
        <f t="shared" si="360"/>
        <v>0</v>
      </c>
      <c r="HU402" s="674">
        <f t="shared" si="360"/>
        <v>0</v>
      </c>
      <c r="HV402" s="674">
        <f t="shared" si="360"/>
        <v>0</v>
      </c>
      <c r="HW402" s="674">
        <f t="shared" si="360"/>
        <v>0</v>
      </c>
      <c r="HX402" s="674">
        <f>IF(HX400=TRUE,0,HX$16)</f>
        <v>0</v>
      </c>
      <c r="HY402" s="674">
        <f>IF(HY400=TRUE,0,HY$16)</f>
        <v>0</v>
      </c>
      <c r="HZ402" s="674">
        <f>IF(HZ400=TRUE,0,HZ$16)</f>
        <v>1</v>
      </c>
      <c r="IB402" s="674">
        <f>IF(GP400=FALSE,GP402,IF(GQ400=FALSE,GQ402,MAX(GN402:HZ402)))</f>
        <v>36</v>
      </c>
      <c r="IC402" s="1692"/>
      <c r="ID402" s="205" t="str">
        <f>VLOOKUP(IB402,_Error_Table,3,FALSE)</f>
        <v xml:space="preserve"> </v>
      </c>
      <c r="IE402" s="205"/>
      <c r="IF402" s="1688"/>
      <c r="IG402" s="1689"/>
      <c r="IH402" s="1684"/>
      <c r="IK402" s="1689"/>
      <c r="IL402" s="1692"/>
      <c r="IM402" s="1692"/>
      <c r="IN402" s="1692"/>
      <c r="IP402" s="1679"/>
      <c r="IQ402" s="1679"/>
      <c r="IR402" s="1679"/>
      <c r="IS402" s="1679"/>
      <c r="IT402" s="1679"/>
      <c r="IU402" s="1679"/>
      <c r="IV402" s="1679"/>
      <c r="IW402" s="1679"/>
      <c r="IX402" s="1679"/>
      <c r="IY402" s="1679"/>
      <c r="IZ402" s="1679"/>
      <c r="JA402" s="1679"/>
      <c r="JC402" s="1680"/>
      <c r="JD402" s="1670"/>
      <c r="JE402" s="1681"/>
      <c r="JG402" s="1680"/>
      <c r="JH402" s="1670"/>
      <c r="JI402" s="1060"/>
      <c r="JJ402" s="1670"/>
      <c r="JK402" s="1061"/>
      <c r="JL402" s="1670"/>
      <c r="JM402" s="1061"/>
      <c r="JN402" s="1670"/>
      <c r="JO402" s="1061"/>
      <c r="JP402" s="1670"/>
      <c r="JQ402" s="1061"/>
      <c r="JR402" s="1670"/>
      <c r="JS402" s="1061"/>
      <c r="JT402" s="1670"/>
      <c r="JU402" s="1061"/>
      <c r="JV402" s="1670"/>
      <c r="JX402" s="1670"/>
      <c r="JZ402" s="1670"/>
      <c r="KB402" s="1670"/>
    </row>
    <row r="403" spans="1:288" s="78" customFormat="1" ht="5.0999999999999996" customHeight="1">
      <c r="B403" s="676"/>
      <c r="C403" s="392"/>
      <c r="D403" s="392"/>
      <c r="E403" s="1733"/>
      <c r="F403" s="1733"/>
      <c r="G403" s="1733"/>
      <c r="H403" s="1733"/>
      <c r="I403" s="1733"/>
      <c r="J403" s="1733"/>
      <c r="K403" s="1733"/>
      <c r="L403" s="1733"/>
      <c r="M403" s="1733"/>
      <c r="N403" s="1733"/>
      <c r="O403" s="1733"/>
      <c r="P403" s="1733"/>
      <c r="Q403" s="1733"/>
      <c r="R403" s="1733"/>
      <c r="S403" s="1733"/>
      <c r="T403" s="1733"/>
      <c r="U403" s="1733"/>
      <c r="V403" s="1733"/>
      <c r="W403" s="1733"/>
      <c r="X403" s="1733"/>
      <c r="Y403" s="1733"/>
      <c r="Z403" s="1733"/>
      <c r="AA403" s="1733"/>
      <c r="AB403" s="1733"/>
      <c r="AC403" s="1733"/>
      <c r="AD403" s="1733"/>
      <c r="AE403" s="1733"/>
      <c r="AF403" s="1733"/>
      <c r="AG403" s="1733"/>
      <c r="AH403" s="1733"/>
      <c r="AI403" s="1733"/>
      <c r="AJ403" s="1733"/>
      <c r="AK403" s="1733"/>
      <c r="AL403" s="1733"/>
      <c r="AM403" s="1733"/>
      <c r="AN403" s="1733"/>
      <c r="AO403" s="1733"/>
      <c r="AP403" s="1733"/>
      <c r="AQ403" s="1733"/>
      <c r="AR403" s="1733"/>
      <c r="AS403" s="1733"/>
      <c r="AT403" s="1733"/>
      <c r="AU403" s="1733"/>
      <c r="AV403" s="1733"/>
      <c r="AW403" s="1733"/>
      <c r="AX403" s="469"/>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663"/>
      <c r="CQ403" s="663"/>
      <c r="CR403" s="438"/>
      <c r="CS403" s="663"/>
      <c r="CV403" s="391"/>
      <c r="CW403" s="391"/>
      <c r="CX403" s="207"/>
      <c r="CY403" s="208"/>
      <c r="CZ403" s="208"/>
      <c r="DA403" s="208"/>
      <c r="DB403" s="209"/>
      <c r="DC403" s="209"/>
      <c r="DD403" s="209"/>
      <c r="DF403" s="664"/>
      <c r="DG403" s="665"/>
      <c r="DH403" s="666"/>
      <c r="DI403" s="667"/>
      <c r="DJ403" s="668"/>
      <c r="DK403" s="668"/>
      <c r="DN403" s="208"/>
      <c r="DO403" s="664"/>
      <c r="DQ403" s="664"/>
      <c r="DR403" s="669"/>
      <c r="DS403" s="391"/>
      <c r="DT403" s="664"/>
      <c r="DU403" s="664"/>
      <c r="DV403" s="664"/>
      <c r="DX403" s="664"/>
      <c r="DY403" s="664"/>
      <c r="DZ403" s="664"/>
      <c r="EA403" s="664"/>
      <c r="EC403" s="670"/>
      <c r="ED403" s="670"/>
      <c r="EF403" s="668"/>
      <c r="EG403" s="668"/>
      <c r="EH403" s="208"/>
      <c r="EI403" s="668"/>
      <c r="EJ403" s="668"/>
      <c r="EK403" s="207"/>
      <c r="EL403" s="207"/>
      <c r="EM403" s="666"/>
      <c r="EN403" s="671"/>
      <c r="EO403" s="671"/>
      <c r="EP403" s="672"/>
      <c r="EQ403" s="672"/>
      <c r="ER403" s="666"/>
      <c r="ES403" s="666"/>
      <c r="ET403" s="666"/>
      <c r="EV403" s="664"/>
      <c r="EX403" s="391"/>
      <c r="EY403" s="391"/>
      <c r="EZ403" s="391"/>
      <c r="FA403" s="391"/>
      <c r="FB403" s="391"/>
      <c r="FC403" s="391"/>
      <c r="FE403" s="569"/>
      <c r="FG403" s="391"/>
      <c r="FH403" s="391"/>
      <c r="FI403" s="391"/>
      <c r="FS403" s="664"/>
      <c r="FT403" s="391"/>
      <c r="FU403" s="391"/>
      <c r="FV403" s="664"/>
      <c r="FW403" s="664"/>
      <c r="GA403" s="663"/>
      <c r="GB403" s="663"/>
      <c r="GC403" s="663"/>
      <c r="GD403" s="663"/>
      <c r="GE403" s="663"/>
      <c r="GF403" s="663"/>
      <c r="GG403" s="663"/>
      <c r="GH403" s="663"/>
      <c r="GI403" s="665"/>
      <c r="GJ403" s="664"/>
      <c r="GK403" s="664"/>
    </row>
    <row r="404" spans="1:288">
      <c r="DX404" s="669"/>
      <c r="DY404" s="669"/>
      <c r="DZ404" s="669"/>
      <c r="EA404" s="669"/>
      <c r="EB404" s="669"/>
      <c r="EC404" s="669"/>
      <c r="ED404" s="669"/>
      <c r="EE404" s="669"/>
      <c r="EF404" s="677" t="s">
        <v>344</v>
      </c>
      <c r="EG404" s="677" t="s">
        <v>345</v>
      </c>
      <c r="EH404" s="677" t="s">
        <v>234</v>
      </c>
      <c r="EI404" s="677" t="s">
        <v>347</v>
      </c>
      <c r="EJ404" s="677" t="s">
        <v>348</v>
      </c>
      <c r="EK404" s="677"/>
      <c r="EL404" s="677"/>
      <c r="EM404" s="677" t="s">
        <v>349</v>
      </c>
      <c r="EN404" s="677" t="s">
        <v>234</v>
      </c>
      <c r="EO404" s="677" t="s">
        <v>347</v>
      </c>
      <c r="EP404" s="677" t="s">
        <v>234</v>
      </c>
      <c r="EQ404" s="677" t="s">
        <v>347</v>
      </c>
      <c r="ER404" s="677" t="s">
        <v>234</v>
      </c>
      <c r="ES404" s="677" t="s">
        <v>347</v>
      </c>
      <c r="ET404" s="677"/>
      <c r="EV404" s="38">
        <f>ROW()</f>
        <v>404</v>
      </c>
    </row>
    <row r="405" spans="1:288" s="78" customFormat="1" ht="20.05" customHeight="1">
      <c r="B405" s="211"/>
      <c r="C405" s="392"/>
      <c r="D405" s="392"/>
      <c r="E405" s="211"/>
      <c r="F405" s="211"/>
      <c r="G405" s="211"/>
      <c r="H405" s="211"/>
      <c r="I405" s="438"/>
      <c r="J405" s="438"/>
      <c r="K405" s="438"/>
      <c r="L405" s="438"/>
      <c r="M405" s="438"/>
      <c r="N405" s="438"/>
      <c r="O405" s="438"/>
      <c r="P405" s="438"/>
      <c r="Q405" s="438"/>
      <c r="R405" s="391"/>
      <c r="S405" s="206"/>
      <c r="T405" s="391"/>
      <c r="U405" s="205"/>
      <c r="V405" s="205"/>
      <c r="W405" s="205"/>
      <c r="X405" s="205"/>
      <c r="Y405" s="205"/>
      <c r="Z405" s="205"/>
      <c r="AA405" s="207"/>
      <c r="AB405" s="391"/>
      <c r="AC405" s="208"/>
      <c r="AD405" s="209"/>
      <c r="AE405" s="209"/>
      <c r="AF405" s="391"/>
      <c r="AG405" s="205"/>
      <c r="AH405" s="205"/>
      <c r="AI405" s="205"/>
      <c r="AJ405" s="205"/>
      <c r="AK405" s="205"/>
      <c r="AL405" s="207"/>
      <c r="AM405" s="210"/>
      <c r="AN405" s="208"/>
      <c r="AO405" s="208"/>
      <c r="AP405" s="1768" t="s">
        <v>407</v>
      </c>
      <c r="AQ405" s="1769"/>
      <c r="AR405" s="1867" t="s">
        <v>433</v>
      </c>
      <c r="AS405" s="1867"/>
      <c r="AT405" s="1867" t="s">
        <v>257</v>
      </c>
      <c r="AU405" s="1867"/>
      <c r="AV405" s="1867"/>
      <c r="AW405" s="1867"/>
      <c r="AX405" s="4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101" t="s">
        <v>354</v>
      </c>
      <c r="CQ405" s="101" t="s">
        <v>355</v>
      </c>
      <c r="CR405" s="101"/>
      <c r="CS405" s="101" t="s">
        <v>356</v>
      </c>
      <c r="CT405" s="38"/>
      <c r="CU405" s="38"/>
      <c r="CV405" s="37" t="s">
        <v>341</v>
      </c>
      <c r="CW405" s="38"/>
      <c r="CX405" s="101" t="s">
        <v>342</v>
      </c>
      <c r="CY405" s="38"/>
      <c r="CZ405" s="38"/>
      <c r="DA405" s="101" t="s">
        <v>343</v>
      </c>
      <c r="DB405" s="101" t="s">
        <v>344</v>
      </c>
      <c r="DC405" s="101" t="s">
        <v>345</v>
      </c>
      <c r="DD405" s="101" t="s">
        <v>346</v>
      </c>
      <c r="DE405" s="391"/>
      <c r="DF405" s="37" t="s">
        <v>357</v>
      </c>
      <c r="DG405" s="38"/>
      <c r="DH405" s="101" t="s">
        <v>342</v>
      </c>
      <c r="DI405" s="37"/>
      <c r="DJ405" s="101" t="s">
        <v>343</v>
      </c>
      <c r="DK405" s="101" t="s">
        <v>343</v>
      </c>
      <c r="DL405" s="38"/>
      <c r="DM405" s="101" t="s">
        <v>430</v>
      </c>
      <c r="DN405" s="101" t="s">
        <v>430</v>
      </c>
      <c r="DO405" s="101" t="s">
        <v>286</v>
      </c>
      <c r="DP405" s="38"/>
      <c r="DQ405" s="1732" t="s">
        <v>234</v>
      </c>
      <c r="DR405" s="1732"/>
      <c r="DS405" s="101" t="s">
        <v>347</v>
      </c>
      <c r="DT405" s="101"/>
      <c r="DU405" s="101" t="s">
        <v>358</v>
      </c>
      <c r="DV405" s="101" t="s">
        <v>358</v>
      </c>
      <c r="DW405" s="38"/>
      <c r="DX405" s="1732" t="s">
        <v>347</v>
      </c>
      <c r="DY405" s="1732"/>
      <c r="DZ405" s="101" t="s">
        <v>358</v>
      </c>
      <c r="EA405" s="101" t="s">
        <v>359</v>
      </c>
      <c r="EB405" s="38"/>
      <c r="EC405" s="101" t="s">
        <v>360</v>
      </c>
      <c r="ED405" s="101" t="s">
        <v>361</v>
      </c>
      <c r="EE405" s="391"/>
      <c r="EF405" s="609" t="s">
        <v>234</v>
      </c>
      <c r="EG405" s="609" t="s">
        <v>234</v>
      </c>
      <c r="EH405" s="609" t="s">
        <v>362</v>
      </c>
      <c r="EI405" s="609" t="s">
        <v>362</v>
      </c>
      <c r="EJ405" s="609" t="s">
        <v>362</v>
      </c>
      <c r="EK405" s="609" t="s">
        <v>234</v>
      </c>
      <c r="EL405" s="609" t="s">
        <v>347</v>
      </c>
      <c r="EM405" s="609" t="s">
        <v>347</v>
      </c>
      <c r="EN405" s="609" t="s">
        <v>363</v>
      </c>
      <c r="EO405" s="609" t="s">
        <v>363</v>
      </c>
      <c r="EP405" s="609" t="s">
        <v>363</v>
      </c>
      <c r="EQ405" s="609" t="s">
        <v>363</v>
      </c>
      <c r="ER405" s="609" t="s">
        <v>363</v>
      </c>
      <c r="ES405" s="609" t="s">
        <v>363</v>
      </c>
      <c r="ET405" s="609" t="s">
        <v>363</v>
      </c>
      <c r="EU405" s="391"/>
      <c r="EV405" s="391"/>
      <c r="EX405" s="391"/>
      <c r="EY405" s="391"/>
      <c r="EZ405" s="391"/>
      <c r="FA405" s="391"/>
      <c r="FB405" s="391"/>
      <c r="FC405" s="391"/>
      <c r="FG405" s="391"/>
      <c r="FH405" s="391"/>
      <c r="FI405" s="391"/>
      <c r="FL405" s="101" t="s">
        <v>364</v>
      </c>
      <c r="FM405" s="101" t="s">
        <v>365</v>
      </c>
      <c r="FN405" s="101" t="s">
        <v>366</v>
      </c>
      <c r="FO405" s="101" t="s">
        <v>367</v>
      </c>
      <c r="FP405" s="101"/>
      <c r="FQ405" s="38"/>
      <c r="FR405" s="38" t="s">
        <v>368</v>
      </c>
      <c r="FS405" s="101">
        <v>3200</v>
      </c>
      <c r="FT405" s="101" t="s">
        <v>369</v>
      </c>
      <c r="FU405" s="101" t="s">
        <v>370</v>
      </c>
      <c r="FV405" s="101" t="s">
        <v>371</v>
      </c>
      <c r="FW405" s="101" t="s">
        <v>370</v>
      </c>
      <c r="FX405" s="38"/>
      <c r="FY405" s="38"/>
    </row>
    <row r="406" spans="1:288" s="78" customFormat="1" ht="20.05" customHeight="1">
      <c r="B406" s="211"/>
      <c r="C406" s="585">
        <f>1+C328</f>
        <v>6</v>
      </c>
      <c r="D406" s="392"/>
      <c r="E406" s="205" t="str">
        <f>CONCATENATE(AH$20," - page ",C406)</f>
        <v xml:space="preserve"> - page 6</v>
      </c>
      <c r="F406" s="211"/>
      <c r="G406" s="211"/>
      <c r="H406" s="211"/>
      <c r="I406" s="438"/>
      <c r="J406" s="438"/>
      <c r="K406" s="438"/>
      <c r="L406" s="438"/>
      <c r="M406" s="438"/>
      <c r="N406" s="438"/>
      <c r="O406" s="438"/>
      <c r="P406" s="438"/>
      <c r="Q406" s="438"/>
      <c r="R406" s="391"/>
      <c r="S406" s="206"/>
      <c r="T406" s="391"/>
      <c r="U406" s="205"/>
      <c r="V406" s="205"/>
      <c r="W406" s="205"/>
      <c r="X406" s="205"/>
      <c r="Y406" s="205"/>
      <c r="Z406" s="205"/>
      <c r="AA406" s="207"/>
      <c r="AB406" s="599" t="s">
        <v>194</v>
      </c>
      <c r="AC406" s="599" t="s">
        <v>343</v>
      </c>
      <c r="AD406" s="599" t="s">
        <v>383</v>
      </c>
      <c r="AE406" s="999"/>
      <c r="AF406" s="391"/>
      <c r="AG406" s="205"/>
      <c r="AH406" s="205"/>
      <c r="AI406" s="205"/>
      <c r="AJ406" s="205"/>
      <c r="AK406" s="205"/>
      <c r="AL406" s="207"/>
      <c r="AM406" s="600" t="s">
        <v>286</v>
      </c>
      <c r="AN406" s="600" t="s">
        <v>407</v>
      </c>
      <c r="AO406" s="601" t="s">
        <v>432</v>
      </c>
      <c r="AP406" s="1840">
        <f>BA$4</f>
        <v>0</v>
      </c>
      <c r="AQ406" s="1841"/>
      <c r="AR406" s="1842">
        <f>BA$6</f>
        <v>0</v>
      </c>
      <c r="AS406" s="1843"/>
      <c r="AT406" s="1844"/>
      <c r="AU406" s="1898" t="str">
        <f>BA$2</f>
        <v>Rate Sch?</v>
      </c>
      <c r="AV406" s="1898"/>
      <c r="AW406" s="1684"/>
      <c r="AX406" s="391"/>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101" t="s">
        <v>381</v>
      </c>
      <c r="CQ406" s="101" t="s">
        <v>333</v>
      </c>
      <c r="CR406" s="101"/>
      <c r="CS406" s="101" t="s">
        <v>221</v>
      </c>
      <c r="CT406" s="38"/>
      <c r="CU406" s="38"/>
      <c r="CV406" s="101" t="s">
        <v>239</v>
      </c>
      <c r="CW406" s="101" t="s">
        <v>234</v>
      </c>
      <c r="CX406" s="101" t="s">
        <v>382</v>
      </c>
      <c r="CY406" s="101" t="s">
        <v>194</v>
      </c>
      <c r="CZ406" s="101" t="s">
        <v>343</v>
      </c>
      <c r="DA406" s="101" t="s">
        <v>346</v>
      </c>
      <c r="DB406" s="101" t="s">
        <v>383</v>
      </c>
      <c r="DC406" s="101" t="s">
        <v>383</v>
      </c>
      <c r="DD406" s="101" t="s">
        <v>383</v>
      </c>
      <c r="DE406" s="391"/>
      <c r="DF406" s="101" t="s">
        <v>239</v>
      </c>
      <c r="DG406" s="37" t="s">
        <v>347</v>
      </c>
      <c r="DH406" s="101" t="s">
        <v>382</v>
      </c>
      <c r="DI406" s="101" t="s">
        <v>384</v>
      </c>
      <c r="DJ406" s="101" t="s">
        <v>346</v>
      </c>
      <c r="DK406" s="101" t="s">
        <v>346</v>
      </c>
      <c r="DL406" s="38"/>
      <c r="DM406" s="101" t="s">
        <v>432</v>
      </c>
      <c r="DN406" s="101" t="s">
        <v>345</v>
      </c>
      <c r="DO406" s="38"/>
      <c r="DP406" s="38"/>
      <c r="DQ406" s="1833" t="s">
        <v>221</v>
      </c>
      <c r="DR406" s="1833"/>
      <c r="DS406" s="101" t="s">
        <v>221</v>
      </c>
      <c r="DT406" s="101"/>
      <c r="DU406" s="101" t="s">
        <v>234</v>
      </c>
      <c r="DV406" s="101" t="s">
        <v>385</v>
      </c>
      <c r="DW406" s="38"/>
      <c r="DX406" s="1833" t="s">
        <v>386</v>
      </c>
      <c r="DY406" s="1833"/>
      <c r="DZ406" s="101" t="s">
        <v>387</v>
      </c>
      <c r="EA406" s="101" t="s">
        <v>385</v>
      </c>
      <c r="EB406" s="38"/>
      <c r="EC406" s="101" t="s">
        <v>257</v>
      </c>
      <c r="ED406" s="101" t="s">
        <v>257</v>
      </c>
      <c r="EE406" s="391"/>
      <c r="EF406" s="609" t="s">
        <v>343</v>
      </c>
      <c r="EG406" s="609" t="s">
        <v>343</v>
      </c>
      <c r="EH406" s="609" t="s">
        <v>343</v>
      </c>
      <c r="EI406" s="609" t="s">
        <v>343</v>
      </c>
      <c r="EJ406" s="609" t="s">
        <v>343</v>
      </c>
      <c r="EK406" s="609" t="s">
        <v>342</v>
      </c>
      <c r="EL406" s="609" t="s">
        <v>342</v>
      </c>
      <c r="EM406" s="609" t="s">
        <v>342</v>
      </c>
      <c r="EN406" s="609" t="s">
        <v>388</v>
      </c>
      <c r="EO406" s="609" t="s">
        <v>388</v>
      </c>
      <c r="EP406" s="609" t="s">
        <v>389</v>
      </c>
      <c r="EQ406" s="609" t="s">
        <v>389</v>
      </c>
      <c r="ER406" s="609" t="s">
        <v>342</v>
      </c>
      <c r="ES406" s="609" t="s">
        <v>342</v>
      </c>
      <c r="ET406" s="609" t="s">
        <v>342</v>
      </c>
      <c r="EU406" s="391"/>
      <c r="EV406" s="391">
        <f>SUM(EV407:EV480)</f>
        <v>0</v>
      </c>
      <c r="EX406" s="391"/>
      <c r="EY406" s="391"/>
      <c r="EZ406" s="391"/>
      <c r="FA406" s="391"/>
      <c r="FB406" s="85" t="s">
        <v>385</v>
      </c>
      <c r="FC406" s="85" t="s">
        <v>218</v>
      </c>
      <c r="FG406" s="391"/>
      <c r="FH406" s="391"/>
      <c r="FI406" s="391"/>
      <c r="FL406" s="38"/>
      <c r="FM406" s="101" t="s">
        <v>328</v>
      </c>
      <c r="FN406" s="38"/>
      <c r="FO406" s="38"/>
      <c r="FP406" s="38"/>
      <c r="FQ406" s="38"/>
      <c r="FR406" s="38" t="s">
        <v>286</v>
      </c>
      <c r="FS406" s="101" t="s">
        <v>369</v>
      </c>
      <c r="FT406" s="101" t="s">
        <v>391</v>
      </c>
      <c r="FU406" s="101" t="s">
        <v>369</v>
      </c>
      <c r="FV406" s="101" t="s">
        <v>347</v>
      </c>
      <c r="FW406" s="37" t="s">
        <v>392</v>
      </c>
      <c r="FX406" s="38"/>
      <c r="FY406" s="101" t="s">
        <v>393</v>
      </c>
    </row>
    <row r="407" spans="1:288" s="78" customFormat="1" ht="14.95" customHeight="1">
      <c r="B407" s="1845" t="str">
        <f>ID410</f>
        <v xml:space="preserve"> </v>
      </c>
      <c r="C407" s="1846">
        <f>C399+1</f>
        <v>70</v>
      </c>
      <c r="D407" s="1847"/>
      <c r="E407" s="1799" t="s">
        <v>295</v>
      </c>
      <c r="F407" s="1800"/>
      <c r="G407" s="1741"/>
      <c r="H407" s="1742"/>
      <c r="I407" s="1742"/>
      <c r="J407" s="1742"/>
      <c r="K407" s="1742"/>
      <c r="L407" s="1742"/>
      <c r="M407" s="1742"/>
      <c r="N407" s="1742"/>
      <c r="O407" s="1742"/>
      <c r="P407" s="1742"/>
      <c r="Q407" s="1742"/>
      <c r="R407" s="1742"/>
      <c r="S407" s="1791" t="s">
        <v>344</v>
      </c>
      <c r="T407" s="590"/>
      <c r="U407" s="1743"/>
      <c r="V407" s="1744"/>
      <c r="W407" s="1744"/>
      <c r="X407" s="1744"/>
      <c r="Y407" s="1744"/>
      <c r="Z407" s="1744"/>
      <c r="AA407" s="1744"/>
      <c r="AB407" s="961" t="str">
        <f>IFERROR(IF(__Retrofit_TI_NC=0,VLOOKUP(U408,Fixtures_Existing_List,2,FALSE),ROUND(N409*R409/T409,10)),"")</f>
        <v/>
      </c>
      <c r="AC407" s="935" t="str">
        <f>IFERROR(IF(__Retrofit_TI_NC=0,ROUND(T408*AB407*N408*R408/1000,0),IF(CQ407="Interior",N409*R409*R408*N408*_C406_reduction/1000,N409*R409*R408*N408/1000)),"")</f>
        <v/>
      </c>
      <c r="AD407" s="936" t="str">
        <f>IFERROR(IF(C$43=0,ROUND(T408*AB407/1000,2),N409*R409/1000),"")</f>
        <v/>
      </c>
      <c r="AE407" s="997"/>
      <c r="AF407" s="937"/>
      <c r="AG407" s="1745" t="str">
        <f>IF(__Retrofit_TI_NC=0," Control","Select Advanced Control for New System")</f>
        <v xml:space="preserve"> Control</v>
      </c>
      <c r="AH407" s="1745"/>
      <c r="AI407" s="1745"/>
      <c r="AJ407" s="1745"/>
      <c r="AK407" s="1745"/>
      <c r="AL407" s="1745"/>
      <c r="AM407" s="1746">
        <f>IFERROR(DI407,"")</f>
        <v>0</v>
      </c>
      <c r="AN407" s="1774" t="str">
        <f>IFERROR(ROUND(AM407*AC407,0),"")</f>
        <v/>
      </c>
      <c r="AO407" s="1776">
        <f>IFERROR(IF(IB407=FALSE,0,AC407-AN407),0)</f>
        <v>0</v>
      </c>
      <c r="AP407" s="1778">
        <f>AO407-AO409</f>
        <v>0</v>
      </c>
      <c r="AQ407" s="1779"/>
      <c r="AR407" s="1793">
        <f>IFERROR(IF(IB407=FALSE,0,(T409*U410)+(AF409*AG410)),0)</f>
        <v>0</v>
      </c>
      <c r="AS407" s="1793"/>
      <c r="AT407" s="1794"/>
      <c r="AU407" s="1734" t="s">
        <v>237</v>
      </c>
      <c r="AV407" s="1751">
        <f>IF(AU407="Yes",1,0)</f>
        <v>1</v>
      </c>
      <c r="AW407" s="1704" t="str">
        <f>IF(OR(DQ407=4,DQ407=5,DQ407=6,DQ407=12),CONCATENATE("$",IF(GH407=TRUE,Lookup!$K$10,Lookup!$K$2)," /lamp"),CONCATENATE(TEXT(ED407,"$0.00"),"/ kWh"))</f>
        <v>$0.00/ kWh</v>
      </c>
      <c r="AX407" s="467"/>
      <c r="AY407" s="1748">
        <f ca="1">IFERROR(IF(GM408=TRUE,(AB410*T409)/R409,0),"NA")</f>
        <v>0</v>
      </c>
      <c r="AZ407" s="1748"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696" t="str">
        <f>N408</f>
        <v/>
      </c>
      <c r="CQ407" s="1696" t="str">
        <f>IFERROR(VLOOKUP(G408,_Lookup_Heat_Type_Table_New,3,FALSE),"")</f>
        <v/>
      </c>
      <c r="CR407" s="1808" t="str">
        <f>CQ407</f>
        <v/>
      </c>
      <c r="CS407" s="1810" t="str">
        <f>IFERROR(VLOOKUP(G409,'Space Table'!$B$3:$L$163,9,FALSE),"")</f>
        <v/>
      </c>
      <c r="CU407" s="1688" t="s">
        <v>344</v>
      </c>
      <c r="CV407" s="1702">
        <f>IF(IB407=TRUE,T408,0)</f>
        <v>0</v>
      </c>
      <c r="CW407" s="1702" t="str">
        <f>IF(IB407=TRUE,U408,"")</f>
        <v/>
      </c>
      <c r="CX407" s="1702"/>
      <c r="CY407" s="1814">
        <f>IF(IB407=TRUE,AB407,0)</f>
        <v>0</v>
      </c>
      <c r="CZ407" s="1710">
        <f>IF(AND(__Retrofit_TI_NC&gt;0,CR407="interior"),0,IF(IB407=TRUE,AC407,0))</f>
        <v>0</v>
      </c>
      <c r="DA407" s="1814">
        <f>IFERROR(IF(IB407=TRUE,CZ407-CZ409,0),0)</f>
        <v>0</v>
      </c>
      <c r="DB407" s="1819">
        <f>IF(IB407=TRUE,AD407,0)</f>
        <v>0</v>
      </c>
      <c r="DC407" s="1819">
        <f>IF(IB407=TRUE,AD410,0)</f>
        <v>0</v>
      </c>
      <c r="DD407" s="1819">
        <f>IFERROR(DB407-DC407,0)</f>
        <v>0</v>
      </c>
      <c r="DF407" s="1702">
        <f>IF(IB407=TRUE,AF408,0)</f>
        <v>0</v>
      </c>
      <c r="DG407" s="1830">
        <f>IFERROR(IF(__Retrofit_TI_NC=2,IF(CQ407="Exterior",O410,FQ407),FN407),"")</f>
        <v>0</v>
      </c>
      <c r="DH407" s="1702"/>
      <c r="DI407" s="1837">
        <f>JE407</f>
        <v>0</v>
      </c>
      <c r="DJ407" s="1710">
        <f>IF(AND(__Retrofit_TI_NC&gt;0,CR407="interior"),0,IF(IB407=TRUE,AN407,0))</f>
        <v>0</v>
      </c>
      <c r="DK407" s="1712">
        <f>IFERROR(IF(IB407=TRUE,DJ409-DJ407,0),0)</f>
        <v>0</v>
      </c>
      <c r="DM407" s="1717">
        <f>IFERROR(CZ407-DJ407,0)</f>
        <v>0</v>
      </c>
      <c r="DO407" s="1708">
        <f>DM407-DN409</f>
        <v>0</v>
      </c>
      <c r="DQ407" s="1715" t="str">
        <f>IFERROR(IF(AND(OR(GC407=4,GC407=5,GC407=6),OR(GF407=4,GF407=5,GF407=6)),GC407+8,VLOOKUP(CW409,Fixtures!R$31:Y$78,8,FALSE)),"")</f>
        <v/>
      </c>
      <c r="DR407" s="1829" t="str">
        <f>DQ407</f>
        <v/>
      </c>
      <c r="DS407" s="1702" t="str">
        <f>IFERROR(VLOOKUP(DG409,Lookup!BB$3:BC$20,2,FALSE),"")</f>
        <v/>
      </c>
      <c r="DT407" s="1713" t="str">
        <f>IF(OR(DS407=7,DS407=8,DS407=9),"ALC","")</f>
        <v/>
      </c>
      <c r="DU407" s="1715">
        <f>IFERROR(IF(OR(DQ407=4,DQ407=5,DQ407=6,DQ407=12,DQ407=13,DQ407=14),VLOOKUP(CW409,Fixtures!DN$27:EG$77,19,FALSE),1)*CV409,0)</f>
        <v>0</v>
      </c>
      <c r="DV407" s="1716">
        <f>IF(OR(DS407=7,DS407=8,DS407=9),IF(DG407=DG409,0,DF409),0)</f>
        <v>0</v>
      </c>
      <c r="DX407" s="1715" t="str">
        <f>IFERROR(IF(EZ407&lt;EZ409,"Yes","No"),"")</f>
        <v/>
      </c>
      <c r="DY407" s="1829" t="str">
        <f>DX407</f>
        <v/>
      </c>
      <c r="DZ407" s="1715">
        <f>IF(DX407="Yes",DF409,0)</f>
        <v>0</v>
      </c>
      <c r="EA407" s="1715">
        <f>DZ407-DV407</f>
        <v>0</v>
      </c>
      <c r="EC407" s="1834">
        <f>IFERROR(VLOOKUP(DQ407,Lookup!AU$3:AV$16,2,FALSE),0)</f>
        <v>0</v>
      </c>
      <c r="ED407" s="1834">
        <f>IF(IB407=FALSE,0,IF(DX407="Yes",EC407+Lookup!K$6,EC407))</f>
        <v>0</v>
      </c>
      <c r="EF407" s="1707">
        <f>IF(IB407=TRUE,DM407,0)</f>
        <v>0</v>
      </c>
      <c r="EG407" s="1712">
        <f>IF(IB407=TRUE,CZ409,0)</f>
        <v>0</v>
      </c>
      <c r="EH407" s="1814">
        <f>IFERROR(EF407-EG407,0)</f>
        <v>0</v>
      </c>
      <c r="EI407" s="1712">
        <f>IF(IB407=TRUE,DJ409,0)</f>
        <v>0</v>
      </c>
      <c r="EJ407" s="1712">
        <f>IFERROR(EF407-EG407+EI407,0)</f>
        <v>0</v>
      </c>
      <c r="EK407" s="1812">
        <f>IF(IB407=TRUE,CV409*CX409,0)</f>
        <v>0</v>
      </c>
      <c r="EL407" s="1812">
        <f>IF(IB407=TRUE,DF409*DH409,0)</f>
        <v>0</v>
      </c>
      <c r="EM407" s="1807">
        <f>AR407</f>
        <v>0</v>
      </c>
      <c r="EN407" s="1839" t="str">
        <f>IFERROR(IF(IB407=TRUE,VLOOKUP(DQ407,Lookup!AU$3:AW$16,3,FALSE)*DU407,""),0)</f>
        <v/>
      </c>
      <c r="EO407" s="1839">
        <f>IF(IB407=TRUE,DZ407*Lookup!AW$12,0)</f>
        <v>0</v>
      </c>
      <c r="EP407" s="1817">
        <f>IFERROR(IF(IB407=TRUE,EN407/EP$40,0),0)</f>
        <v>0</v>
      </c>
      <c r="EQ407" s="1817">
        <f>IF(IB407=TRUE,EO407/EQ$40,0)</f>
        <v>0</v>
      </c>
      <c r="ER407" s="1807">
        <f>IF(IB407=TRUE,ET$40*EP407,0)</f>
        <v>0</v>
      </c>
      <c r="ES407" s="1807">
        <f>IF(IB407=TRUE,ET$40*EQ407,0)</f>
        <v>0</v>
      </c>
      <c r="ET407" s="1807">
        <f>ER407+ES407</f>
        <v>0</v>
      </c>
      <c r="EV407" s="1715">
        <f>IF(G407="",0,1)</f>
        <v>0</v>
      </c>
      <c r="EX407" s="1804" t="str">
        <f>IFERROR(VLOOKUP(CS409,'Space Table'!$B$3:$L$163,8,FALSE),"")</f>
        <v/>
      </c>
      <c r="EY407" s="1804" t="str">
        <f>IFERROR(IF(FB407="Yes",VLOOKUP(DG407,Lookup_Control_Type_Table2,4,FALSE),VLOOKUP(DG407,Lookup_Control_Type_Table2,3,FALSE)),"")</f>
        <v/>
      </c>
      <c r="EZ407" s="1804" t="e">
        <f>VLOOKUP(DG407,Lookup!BB$3:BC$20,2,FALSE)</f>
        <v>#N/A</v>
      </c>
      <c r="FA407" s="1804" t="e">
        <f>VLOOKUP(EX407,Lookup_Control_Type_Table,2,FALSE)</f>
        <v>#N/A</v>
      </c>
      <c r="FB407" s="1804" t="e">
        <f>VLOOKUP(CS409,'Space Table'!$B$3:$L$163,7,FALSE)</f>
        <v>#N/A</v>
      </c>
      <c r="FC407" s="1826" t="b">
        <f>ISNUMBER(SEARCH("TLED",U409))</f>
        <v>0</v>
      </c>
      <c r="FE407" s="1698" t="str">
        <f>CONCATENATE(CQ407," - ",DG407)</f>
        <v xml:space="preserve"> - 0</v>
      </c>
      <c r="FG407" s="1702" t="str">
        <f>VLOOKUP(CW409,Fixtures!DN$27:EZ$77,38,FALSE)</f>
        <v/>
      </c>
      <c r="FH407" s="1702">
        <f>IFERROR(FG407*EH407,0)</f>
        <v>0</v>
      </c>
      <c r="FI407" s="133"/>
      <c r="FL407" s="1822" t="str">
        <f>IF(CQ407="Exterior","Not Daylighted",G410)</f>
        <v>Not Daylighted</v>
      </c>
      <c r="FM407" s="1824">
        <f>VLOOKUP(FL407,_New_Daylight_Table_Codes,2,FALSE)</f>
        <v>0</v>
      </c>
      <c r="FN407" s="1698">
        <f>IF(__Retrofit_TI_NC&gt;0,VLOOKUP(G409,'Space Table'!$B$3:$L$163,11,FALSE),AG408)</f>
        <v>0</v>
      </c>
      <c r="FO407" s="1698" t="e">
        <f>IF(__Retrofit_TI_NC=2,VLOOKUP(FQ407,_Control_Table,2,FALSE),VLOOKUP(FN407,_Control_Table,2,FALSE))</f>
        <v>#N/A</v>
      </c>
      <c r="FP407" s="1678" t="e">
        <f>VLOOKUP(CONCATENATE(FL407," ",FN407),Lookup!AY$102:AZ417,2,FALSE)</f>
        <v>#N/A</v>
      </c>
      <c r="FQ407" s="1678">
        <f>IF(__Retrofit_TI_NC=0,FN407,IF(AND(FT407&gt;0,FN407="Occupancy Sensor"),"Daylight + Occupancy",IF(AND(FT407&gt;0,VLOOKUP(FN407,_Control_Table,2,FALSE)&lt;4),"Interior Daylight Dimming",FN407)))</f>
        <v>0</v>
      </c>
      <c r="FS407" s="1686">
        <f>IF(CR407="Interior",VLOOKUP(CS407,Control_Savings_Interior,5,FALSE),0)</f>
        <v>0</v>
      </c>
      <c r="FT407" s="1687">
        <f>IF(CQ407="Exterior",0,IF(FM407=2,0.5,IF(OR(FM407=1,FM407=3),1,0)))</f>
        <v>0</v>
      </c>
      <c r="FU407" s="1685">
        <f>IF(R406&gt;FS$44,(FS407*(FS$44/R406)),FS407)*FT407</f>
        <v>0</v>
      </c>
      <c r="FV407" s="1686">
        <f>DI407</f>
        <v>0</v>
      </c>
      <c r="FW407" s="1686">
        <f>ROUND(FV407+((1-FV407)*FU407),2)</f>
        <v>0</v>
      </c>
      <c r="FX407" s="1686">
        <f>IF(__Retrofit_TI_NC=2,FW407,FV407)</f>
        <v>0</v>
      </c>
      <c r="FY407" s="1697"/>
      <c r="GA407" s="1696" t="str">
        <f>IFERROR(VLOOKUP(U408,_Exist_Fixture_Table,3,FALSE),"")</f>
        <v/>
      </c>
      <c r="GB407" s="1696" t="str">
        <f>VLOOKUP(CW407,_Exist_Fixture_Table,4,FALSE)</f>
        <v/>
      </c>
      <c r="GC407" s="1696">
        <f>IFERROR(VLOOKUP(GB407,Lookup!AT$6:AU$8,2,FALSE),0)</f>
        <v>0</v>
      </c>
      <c r="GD407" s="1696" t="b">
        <f>IFERROR(IF(OR(GF407=4,GF407=5,GF407=6),TRUE,FALSE),"")</f>
        <v>0</v>
      </c>
      <c r="GE407" s="1696" t="str">
        <f>IFERROR(VLOOKUP(GF407,GC$6:GD$10,2,FALSE),"")</f>
        <v/>
      </c>
      <c r="GF407" s="1696" t="str">
        <f>VLOOKUP(CW409,Fixtures!R$31:Y$78,8,FALSE)</f>
        <v/>
      </c>
      <c r="GG407" s="1696">
        <f>IF(AND(GA407=TRUE,GD407=TRUE,OR(DQ407=12,DQ407=13,DQ407=14)),GC407+8,0)</f>
        <v>0</v>
      </c>
      <c r="GH407" s="1696" t="b">
        <f>IF(OR(GG407=12,GG407=13,GG407=14),TRUE,FALSE)</f>
        <v>0</v>
      </c>
      <c r="GI407" s="673" t="b">
        <f>IF(ISNUMBER(SEARCH("TLED",U408)),TRUE,FALSE)</f>
        <v>0</v>
      </c>
      <c r="GJ407" s="1135" t="str">
        <f>IFERROR(VLOOKUP(U408,Fixtures!BM$93:BR$142,6,FALSE),"")</f>
        <v/>
      </c>
      <c r="GK407" s="1832" t="b">
        <f>IF(OR(GI407=FALSE,GI409=FALSE),TRUE,IF(GJ407-GJ409&lt;5,FALSE,TRUE))</f>
        <v>1</v>
      </c>
      <c r="GO407" s="674">
        <f>GP407</f>
        <v>0</v>
      </c>
      <c r="GP407" s="674">
        <f>IF(G407="",0,1)</f>
        <v>0</v>
      </c>
      <c r="GQ407" s="674">
        <f ca="1">SUM(GR407:HF407)</f>
        <v>2</v>
      </c>
      <c r="GR407" s="674">
        <f>IF(G408="",0,1)</f>
        <v>0</v>
      </c>
      <c r="GS407" s="674">
        <f>IF(N410="BAM",1,IF(G409="",0,1))</f>
        <v>0</v>
      </c>
      <c r="GT407" s="674">
        <f>IF(N410="BAM",1,IF(R408="",0,1))</f>
        <v>0</v>
      </c>
      <c r="GU407" s="674">
        <f>IF(N410="BAM",1,IF(__Retrofit_TI_NC=0,1,IF(R409="",0,1)))</f>
        <v>1</v>
      </c>
      <c r="GV407" s="674">
        <f>IF(N410="BAM",1,IF(CQ407="Exterior",1,IF(G410="",0,1)))</f>
        <v>1</v>
      </c>
      <c r="GW407" s="674">
        <f>IF(__Retrofit_TI_NC&gt;0,1,IF(T408="",0,1))</f>
        <v>0</v>
      </c>
      <c r="GX407" s="674">
        <f>IF(__Retrofit_TI_NC&gt;0,1,IF(U408="",0,1))</f>
        <v>0</v>
      </c>
      <c r="GY407" s="674">
        <f>IF(N410="BAM",1,IF(T409="",0,1))</f>
        <v>0</v>
      </c>
      <c r="GZ407" s="674">
        <f>IF(N410="BAM",1,IF(U409="",0,1))</f>
        <v>0</v>
      </c>
      <c r="HA407" s="674">
        <f ca="1">IF(N410="BAM",1,IF(__Retrofit_TI_NC&gt;0,1,IF(U410="",0,1)))</f>
        <v>0</v>
      </c>
      <c r="HB407" s="674">
        <f>IF(__Retrofit_TI_NC&lt;&gt;0,1,IF(AF408="",0,1))</f>
        <v>0</v>
      </c>
      <c r="HC407" s="674">
        <f>IF(__Retrofit_TI_NC&lt;&gt;0,1,IF(AG408="",0,1))</f>
        <v>0</v>
      </c>
      <c r="HD407" s="674">
        <f>IF(N410="BAM",1,IF(AF409="",0,1))</f>
        <v>0</v>
      </c>
      <c r="HE407" s="674">
        <f>IF(N410="BAM",1,IF(AG409="",0,1))</f>
        <v>0</v>
      </c>
      <c r="HF407" s="674">
        <f>IF(N410="BAM",1,IF(__Retrofit_TI_NC&gt;0,1,IF(AG410="",0,1)))</f>
        <v>0</v>
      </c>
      <c r="HG407" s="391"/>
      <c r="IA407" s="391"/>
      <c r="IB407" s="1693" t="b">
        <f>IF(OR(IB410=0,IB410=HY$16,IB410=HX$16,IB410=HZ$16),TRUE,FALSE)</f>
        <v>0</v>
      </c>
      <c r="IC407" s="1694" t="b">
        <f>IB407</f>
        <v>0</v>
      </c>
      <c r="ID407" s="391"/>
      <c r="IE407" s="391"/>
      <c r="IF407" s="1688" t="b">
        <f ca="1">IF(MAX(GN410:HU410)&gt;5,FALSE,TRUE)</f>
        <v>0</v>
      </c>
      <c r="IG407" s="1689">
        <f ca="1">IF(IF407=TRUE,AC407,0)</f>
        <v>0</v>
      </c>
      <c r="IH407" s="1689">
        <f ca="1">IG407-IG409</f>
        <v>0</v>
      </c>
      <c r="IK407" s="1689" t="e">
        <f>ROUND(T408*VLOOKUP(U408,Fixtures_Existing_List,2,FALSE)*N408*R408/1000,0)</f>
        <v>#N/A</v>
      </c>
      <c r="IL407" s="1690" t="e">
        <f>IK407-IK409</f>
        <v>#N/A</v>
      </c>
      <c r="IM407" s="1693" t="e">
        <f>ROUND(IF(CQ407="Interior",N409*R409*R408*N408*_C406_reduction/1000,N409*R409*R408*N408/1000),0)</f>
        <v>#N/A</v>
      </c>
      <c r="IN407" s="1693" t="e">
        <f>IM407-IM409</f>
        <v>#N/A</v>
      </c>
      <c r="IP407" s="1679"/>
      <c r="IQ407" s="1679" t="e">
        <f t="shared" ref="IQ407:IU407" si="361">IF($CR407="interior",VLOOKUP($CS407,_New_Control_Savings_Interior,IQ$30,FALSE),VLOOKUP($CS407,Control_Savings_Exterior,IQ$30,FALSE))</f>
        <v>#N/A</v>
      </c>
      <c r="IR407" s="1679" t="e">
        <f t="shared" si="361"/>
        <v>#N/A</v>
      </c>
      <c r="IS407" s="1679" t="e">
        <f t="shared" si="361"/>
        <v>#N/A</v>
      </c>
      <c r="IT407" s="1679" t="e">
        <f t="shared" si="361"/>
        <v>#N/A</v>
      </c>
      <c r="IU407" s="1679" t="e">
        <f t="shared" si="361"/>
        <v>#N/A</v>
      </c>
      <c r="IV407" s="1679" t="e">
        <f>IF($CR407="interior",IF(R408&gt;$IP$14,ROUND(($IV$18*($IP$14/R408)),2),$IV$18),VLOOKUP($CS407,Control_Savings_Exterior,IV$30,FALSE))</f>
        <v>#N/A</v>
      </c>
      <c r="IW407" s="1679" t="e">
        <f>IF($CR407="interior",ROUND(((1-IS407)*IV407)+IS407,2),VLOOKUP($CS407,Control_Savings_Exterior,IW$30,FALSE))</f>
        <v>#N/A</v>
      </c>
      <c r="IX407" s="1679" t="e">
        <f>IF($CR407="interior",ROUND(((1-IT407)*IV407)+IT407,2),VLOOKUP($CS407,Control_Savings_Exterior,IX$30,FALSE))</f>
        <v>#N/A</v>
      </c>
      <c r="IY407" s="1679" t="e">
        <f>IF($CR407="interior",IF(R408&gt;$IP$14,ROUND(($IY$18*($IP$14/R408)),2),$IY$18),VLOOKUP($CS407,Control_Savings_Exterior,IY$30,FALSE))</f>
        <v>#N/A</v>
      </c>
      <c r="IZ407" s="1679" t="e">
        <f>IF($CR407="interior",ROUND(((1-IS407)*IY407)+IS407,2),VLOOKUP($CS407,Control_Savings_Exterior,IZ$30,FALSE))</f>
        <v>#N/A</v>
      </c>
      <c r="JA407" s="1679" t="e">
        <f>IF($CR407="interior",ROUND(((1-IT407)*IY407)+IT407,2),VLOOKUP($CS407,Control_Savings_Exterior,JA$30,FALSE))</f>
        <v>#N/A</v>
      </c>
      <c r="JC407" s="1680">
        <f>IFERROR(IF(CR407="Interior",CONCATENATE(G410," ",FQ407),FQ407),"")</f>
        <v>0</v>
      </c>
      <c r="JD407" s="1670" t="str">
        <f>IFERROR(VLOOKUP(JC407,_Controls_2023,2,FALSE),"")</f>
        <v/>
      </c>
      <c r="JE407" s="1681">
        <f>IFERROR(CHOOSE(JD407-1,IQ407,IR407,IS407,IT407,IU407,IV407,IW407,IX407,IY407,IZ407,JA407),0)</f>
        <v>0</v>
      </c>
      <c r="JG407" s="1680" t="str">
        <f>FE407</f>
        <v xml:space="preserve"> - 0</v>
      </c>
      <c r="JH407" s="1670" t="e">
        <f>$FO407</f>
        <v>#N/A</v>
      </c>
      <c r="JI407" s="1060"/>
      <c r="JJ407" s="1682" t="b">
        <f>IF($JG409=CONCATENATE("Interior - ",JJ$4),TRUE,FALSE)</f>
        <v>0</v>
      </c>
      <c r="JK407" s="1061"/>
      <c r="JL407" s="1682" t="b">
        <f>IF($JG409=CONCATENATE("Interior - ",JL$4),TRUE,FALSE)</f>
        <v>0</v>
      </c>
      <c r="JM407" s="1061"/>
      <c r="JN407" s="1682" t="b">
        <f>IF($JG409=CONCATENATE("Interior - ",JN$4),TRUE,FALSE)</f>
        <v>0</v>
      </c>
      <c r="JO407" s="1061"/>
      <c r="JP407" s="1682" t="b">
        <f>IF(__Retrofit_TI_NC&gt;0,FALSE,IF($JG409=CONCATENATE("Interior - ",JP$4),TRUE,FALSE))</f>
        <v>0</v>
      </c>
      <c r="JQ407" s="1061"/>
      <c r="JR407" s="1682" t="b">
        <f>IF(__Retrofit_TI_NC&gt;0,FALSE,IF($JG409=CONCATENATE("Interior - ",JR$4),TRUE,FALSE))</f>
        <v>0</v>
      </c>
      <c r="JS407" s="1061"/>
      <c r="JT407" s="1670" t="b">
        <f>IF(__Retrofit_TI_NC&gt;0,FALSE,IF($JG409=CONCATENATE("Interior - ",JT$4),TRUE,FALSE))</f>
        <v>0</v>
      </c>
      <c r="JU407" s="1061"/>
      <c r="JV407" s="1670" t="b">
        <f>IF(JC409="AELC on Existing",TRUE,FALSE)</f>
        <v>0</v>
      </c>
      <c r="JX407" s="1670" t="b">
        <f>IF(OR(JG409="Exterior - AELC Occupancy based",JG409="Exterior - AELC Time based"),TRUE,FALSE)</f>
        <v>0</v>
      </c>
      <c r="JZ407" s="1682" t="b">
        <f>IF($JG409=CONCATENATE("Exterior - ",JZ$4),TRUE,FALSE)</f>
        <v>0</v>
      </c>
      <c r="KB407" s="1670" t="b">
        <f>IF(__Retrofit_TI_NC&gt;0,FALSE,IF($JG409=CONCATENATE("Interior - ",KB$4),TRUE,FALSE))</f>
        <v>0</v>
      </c>
    </row>
    <row r="408" spans="1:288" s="78" customFormat="1" ht="14.95" customHeight="1" thickTop="1" thickBot="1">
      <c r="B408" s="1845"/>
      <c r="C408" s="1846"/>
      <c r="D408" s="1847"/>
      <c r="E408" s="1737" t="s">
        <v>297</v>
      </c>
      <c r="F408" s="1738"/>
      <c r="G408" s="1739"/>
      <c r="H408" s="1739"/>
      <c r="I408" s="1739"/>
      <c r="J408" s="1739"/>
      <c r="K408" s="1739"/>
      <c r="L408" s="1739"/>
      <c r="M408" s="461" t="e">
        <f>IF(__Retrofit_TI_NC&lt;&gt;0,IF(VLOOKUP(G409,'Space Table'!$B$3:$L$163,3,FALSE)&gt;0,1,0),IF(__Retrofit_TI_NC=VLOOKUP(G409,'Space Table'!$B$3:$L$163,3,FALSE),1,0))</f>
        <v>#N/A</v>
      </c>
      <c r="N408" s="461" t="str">
        <f>IFERROR(VLOOKUP(G408,_Lookup_Heat_Type_Table_New,2,FALSE),"")</f>
        <v/>
      </c>
      <c r="O408" s="461">
        <f>IF(__Retrofit_TI_NC=1,CONCATENATE("TI ",G408),IF(__Retrofit_TI_NC=2,CONCATENATE("NC ",G408),G408))</f>
        <v>0</v>
      </c>
      <c r="P408" s="1740" t="s">
        <v>435</v>
      </c>
      <c r="Q408" s="1740"/>
      <c r="R408" s="595"/>
      <c r="S408" s="1792"/>
      <c r="T408" s="597"/>
      <c r="U408" s="1765"/>
      <c r="V408" s="1766"/>
      <c r="W408" s="1766"/>
      <c r="X408" s="1766"/>
      <c r="Y408" s="1766"/>
      <c r="Z408" s="1766"/>
      <c r="AA408" s="1766"/>
      <c r="AB408" s="1766"/>
      <c r="AC408" s="1766"/>
      <c r="AD408" s="1767"/>
      <c r="AE408" s="1000"/>
      <c r="AF408" s="597"/>
      <c r="AG408" s="1723"/>
      <c r="AH408" s="1724"/>
      <c r="AI408" s="1724"/>
      <c r="AJ408" s="1724"/>
      <c r="AK408" s="1725"/>
      <c r="AL408" s="996"/>
      <c r="AM408" s="1747"/>
      <c r="AN408" s="1775"/>
      <c r="AO408" s="1777"/>
      <c r="AP408" s="1780"/>
      <c r="AQ408" s="1781"/>
      <c r="AR408" s="1795"/>
      <c r="AS408" s="1795"/>
      <c r="AT408" s="1796"/>
      <c r="AU408" s="1735"/>
      <c r="AV408" s="1752"/>
      <c r="AW408" s="1705"/>
      <c r="AX408" s="467"/>
      <c r="AY408" s="1749"/>
      <c r="AZ408" s="1749"/>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696"/>
      <c r="CQ408" s="1696"/>
      <c r="CR408" s="1809"/>
      <c r="CS408" s="1811"/>
      <c r="CU408" s="1688"/>
      <c r="CV408" s="1703"/>
      <c r="CW408" s="1703"/>
      <c r="CX408" s="1703"/>
      <c r="CY408" s="1815"/>
      <c r="CZ408" s="1711"/>
      <c r="DA408" s="1818"/>
      <c r="DB408" s="1820"/>
      <c r="DC408" s="1820"/>
      <c r="DD408" s="1820"/>
      <c r="DF408" s="1703"/>
      <c r="DG408" s="1831"/>
      <c r="DH408" s="1703"/>
      <c r="DI408" s="1838"/>
      <c r="DJ408" s="1711"/>
      <c r="DK408" s="1712"/>
      <c r="DM408" s="1718"/>
      <c r="DO408" s="1708"/>
      <c r="DQ408" s="1715"/>
      <c r="DR408" s="1720"/>
      <c r="DS408" s="1816"/>
      <c r="DT408" s="1714"/>
      <c r="DU408" s="1715"/>
      <c r="DV408" s="1716"/>
      <c r="DX408" s="1715"/>
      <c r="DY408" s="1720"/>
      <c r="DZ408" s="1715"/>
      <c r="EA408" s="1715"/>
      <c r="EC408" s="1834"/>
      <c r="ED408" s="1834"/>
      <c r="EF408" s="1707"/>
      <c r="EG408" s="1712"/>
      <c r="EH408" s="1818"/>
      <c r="EI408" s="1712"/>
      <c r="EJ408" s="1712"/>
      <c r="EK408" s="1836"/>
      <c r="EL408" s="1836"/>
      <c r="EM408" s="1807"/>
      <c r="EN408" s="1839"/>
      <c r="EO408" s="1839"/>
      <c r="EP408" s="1817"/>
      <c r="EQ408" s="1817"/>
      <c r="ER408" s="1807"/>
      <c r="ES408" s="1807"/>
      <c r="ET408" s="1807"/>
      <c r="EV408" s="1715"/>
      <c r="EX408" s="1805"/>
      <c r="EY408" s="1805"/>
      <c r="EZ408" s="1805"/>
      <c r="FA408" s="1805"/>
      <c r="FB408" s="1805"/>
      <c r="FC408" s="1827"/>
      <c r="FE408" s="1698"/>
      <c r="FG408" s="1816"/>
      <c r="FH408" s="1816"/>
      <c r="FI408" s="133"/>
      <c r="FL408" s="1823"/>
      <c r="FM408" s="1825"/>
      <c r="FN408" s="1698"/>
      <c r="FO408" s="1698"/>
      <c r="FP408" s="1678"/>
      <c r="FQ408" s="1678"/>
      <c r="FS408" s="1687"/>
      <c r="FT408" s="1687"/>
      <c r="FU408" s="1685"/>
      <c r="FV408" s="1687"/>
      <c r="FW408" s="1687"/>
      <c r="FX408" s="1687"/>
      <c r="FY408" s="1697"/>
      <c r="GA408" s="1696"/>
      <c r="GB408" s="1696"/>
      <c r="GC408" s="1696"/>
      <c r="GD408" s="1696"/>
      <c r="GE408" s="1696"/>
      <c r="GF408" s="1696"/>
      <c r="GG408" s="1696"/>
      <c r="GH408" s="1696"/>
      <c r="GI408" s="673"/>
      <c r="GJ408" s="1135"/>
      <c r="GK408" s="1832"/>
      <c r="GM408" s="1693" t="b">
        <f ca="1">IF(AND(GP408=TRUE,GQ408=TRUE),TRUE,FALSE)</f>
        <v>0</v>
      </c>
      <c r="GN408" s="1684" t="b">
        <f>IFERROR(IF(__Retrofit_TI_NC=2,TRUE,IF(AU407="Yes",TRUE,FALSE)),FALSE)</f>
        <v>1</v>
      </c>
      <c r="GP408" s="1684" t="b">
        <f>IFERROR(IF(GP407=1,TRUE,FALSE),FALSE)</f>
        <v>0</v>
      </c>
      <c r="GQ408" s="1684" t="b">
        <f ca="1">IFERROR(IF(GQ407=GQ$14,TRUE,FALSE),FALSE)</f>
        <v>0</v>
      </c>
      <c r="HG408" s="1684" t="b">
        <f>IFERROR(IF(AND(__Retrofit_TI_NC&gt;0,CQ407="Interior"),FALSE,TRUE),FALSE)</f>
        <v>1</v>
      </c>
      <c r="HH408" s="1684" t="b">
        <f>IFERROR(IF(M408=1,TRUE,FALSE),FALSE)</f>
        <v>0</v>
      </c>
      <c r="HI408" s="1684" t="b">
        <f>IFERROR(IF(OR(M409=1,N410="BAM"),TRUE,FALSE),FALSE)</f>
        <v>0</v>
      </c>
      <c r="HJ408" s="1684" t="b">
        <f>IFERROR(IF(__Retrofit_TI_NC&lt;&gt;0,TRUE,IFERROR(IF(VLOOKUP(U408,Fixtures_Existing_List,2,FALSE)&lt;&gt;"",TRUE,FALSE),FALSE)),FALSE)</f>
        <v>0</v>
      </c>
      <c r="HK408" s="1684" t="b">
        <f>IFERROR(IF(VLOOKUP(U409,Fixtures_Proposed_List,2,FALSE)&lt;&gt;"",TRUE,FALSE),FALSE)</f>
        <v>0</v>
      </c>
      <c r="HL408" s="1684" t="b">
        <f>IF(AND(__Retrofit_TI_NC=2,FC407=TRUE),FALSE,TRUE)</f>
        <v>1</v>
      </c>
      <c r="HM408" s="1684" t="b">
        <f>GK407</f>
        <v>1</v>
      </c>
      <c r="HN408" s="1682" t="b">
        <f>IF(ISERROR(MATCH(FE407,_Control_Match[],0))=TRUE,FALSE,TRUE)</f>
        <v>0</v>
      </c>
      <c r="HO408" s="1693" t="b">
        <f>IFERROR(IF(EX407&lt;&gt;EY407,FALSE,TRUE),FALSE)</f>
        <v>1</v>
      </c>
      <c r="HP408" s="1693" t="b">
        <f>IFERROR(IF(EX409&lt;&gt;EY409,FALSE,TRUE),FALSE)</f>
        <v>1</v>
      </c>
      <c r="HQ408" s="1670" t="b">
        <f>IFERROR(IF(CQ407="Exterior",TRUE,IF(AND(OR(FM409=0,FM409=3),JD409&gt;6),FALSE,TRUE)),FALSE)</f>
        <v>0</v>
      </c>
      <c r="HR408" s="1684" t="b">
        <f>IFERROR(IF(AND(FO409=7,FC407=TRUE),FALSE,TRUE),FALSE)</f>
        <v>0</v>
      </c>
      <c r="HS408" s="1684" t="b">
        <f>IFERROR(IF(AND(T409&lt;&gt;AF409,OR(AG409="Interior LLLC", AG409="Interior NLC", AG409="LLLC (outside Daylight)",AG409="LLLC Controls Only"))=TRUE,FALSE,TRUE),FALSE)</f>
        <v>1</v>
      </c>
      <c r="HT408" s="1670" t="b">
        <f>IFERROR(IF(OR(AG409=Lookup!BB$17,AG409=Lookup!BB$18,AG409=Lookup!BB$19)=TRUE,IF(AF409&gt;T409,FALSE,TRUE),TRUE),FALSE)</f>
        <v>1</v>
      </c>
      <c r="HU408" s="1684" t="b">
        <f>IFERROR(IF(__Retrofit_TI_NC=2,IF(EZ409&lt;EZ407,FALSE,TRUE),TRUE),FALSE)</f>
        <v>1</v>
      </c>
      <c r="HV408" s="1684" t="b">
        <f>IF(CQ407="Interior",IL$6,TRUE)</f>
        <v>1</v>
      </c>
      <c r="HW408" s="1684" t="b">
        <f>IF(CQ407="Exterior",IL$8,TRUE)</f>
        <v>1</v>
      </c>
      <c r="HX408" s="1684" t="b">
        <f>IFERROR(IF(__Retrofit_TI_NC&lt;&gt;0,IF(AZ407&lt;AY407,FALSE,TRUE),TRUE),FALSE)</f>
        <v>1</v>
      </c>
      <c r="HY408" s="1684" t="b">
        <f>IFERROR(IF(AND(G408="Exterior",R408&gt;4200),FALSE,TRUE),FALSE)</f>
        <v>1</v>
      </c>
      <c r="HZ408" s="1684" t="b">
        <f>IFERROR(IF(AB410/AB407&lt;HZ$18,FALSE,TRUE),FALSE)</f>
        <v>0</v>
      </c>
      <c r="IB408" s="1691"/>
      <c r="IC408" s="1695"/>
      <c r="ID408" s="1694" t="str">
        <f>VLOOKUP(IB410,_Error_Table,4,FALSE)</f>
        <v>White</v>
      </c>
      <c r="IE408" s="391"/>
      <c r="IF408" s="1688"/>
      <c r="IG408" s="1689"/>
      <c r="IH408" s="1684"/>
      <c r="IK408" s="1689"/>
      <c r="IL408" s="1691"/>
      <c r="IM408" s="1691"/>
      <c r="IN408" s="1691"/>
      <c r="IP408" s="1679"/>
      <c r="IQ408" s="1679"/>
      <c r="IR408" s="1679"/>
      <c r="IS408" s="1679"/>
      <c r="IT408" s="1679"/>
      <c r="IU408" s="1679"/>
      <c r="IV408" s="1679"/>
      <c r="IW408" s="1679"/>
      <c r="IX408" s="1679"/>
      <c r="IY408" s="1679"/>
      <c r="IZ408" s="1679"/>
      <c r="JA408" s="1679"/>
      <c r="JC408" s="1680"/>
      <c r="JD408" s="1670"/>
      <c r="JE408" s="1681"/>
      <c r="JG408" s="1680"/>
      <c r="JH408" s="1670"/>
      <c r="JI408" s="1060"/>
      <c r="JJ408" s="1683"/>
      <c r="JK408" s="1061"/>
      <c r="JL408" s="1683"/>
      <c r="JM408" s="1061"/>
      <c r="JN408" s="1683"/>
      <c r="JO408" s="1061"/>
      <c r="JP408" s="1683"/>
      <c r="JQ408" s="1061"/>
      <c r="JR408" s="1683"/>
      <c r="JS408" s="1061"/>
      <c r="JT408" s="1670"/>
      <c r="JU408" s="1061"/>
      <c r="JV408" s="1670"/>
      <c r="JX408" s="1670"/>
      <c r="JZ408" s="1683"/>
      <c r="KB408" s="1670"/>
    </row>
    <row r="409" spans="1:288" s="78" customFormat="1" ht="14.95" customHeight="1" thickTop="1" thickBot="1">
      <c r="A409" s="78">
        <f>ROW()</f>
        <v>409</v>
      </c>
      <c r="B409" s="1845"/>
      <c r="C409" s="1846"/>
      <c r="D409" s="1847"/>
      <c r="E409" s="1737" t="s">
        <v>298</v>
      </c>
      <c r="F409" s="1738"/>
      <c r="G409" s="1760"/>
      <c r="H409" s="1761"/>
      <c r="I409" s="1761"/>
      <c r="J409" s="1761"/>
      <c r="K409" s="1761"/>
      <c r="L409" s="1762"/>
      <c r="M409" s="461">
        <f>IFERROR(IF(IF(__Retrofit_TI_NC&lt;&gt;0,IF(CQ407="Interior",MATCH(G409,Lookup_Interior_New,0),MATCH(G409,Lookup_Exterior_New,0)),IF(CQ407="Interior",MATCH(G409,Lookup_Interior,0),MATCH(G409,Lookup_Exterior_Areas,0)))&gt;0,1,0),0)</f>
        <v>0</v>
      </c>
      <c r="N409" s="461" t="e">
        <f>IF(__Retrofit_TI_NC=1,
VLOOKUP(G409,'Space Table'!$B$3:$L$163,4,FALSE),
IF(__Retrofit_TI_NC=2,VLOOKUP(G409,'Space Table'!$B$3:$L$163,5,FALSE),VLOOKUP(G409,'Space Table'!$B$3:$L$163,5,FALSE)))</f>
        <v>#N/A</v>
      </c>
      <c r="O409" s="461">
        <f>G409</f>
        <v>0</v>
      </c>
      <c r="P409" s="1738" t="str">
        <f>IFERROR(IF(__Retrofit_TI_NC=1,VLOOKUP(G409,'Space Table'!$B$3:$O$163,13,FALSE),IF(__Retrofit_TI_NC=2,VLOOKUP(G409,'Space Table'!$B$3:$O$163,14,FALSE),"Area (sf):")),"Area (sf):")</f>
        <v>Area (sf):</v>
      </c>
      <c r="Q409" s="1738"/>
      <c r="R409" s="596"/>
      <c r="S409" s="1763" t="s">
        <v>345</v>
      </c>
      <c r="T409" s="594"/>
      <c r="U409" s="1801"/>
      <c r="V409" s="1802"/>
      <c r="W409" s="1802"/>
      <c r="X409" s="1802"/>
      <c r="Y409" s="1802"/>
      <c r="Z409" s="1802"/>
      <c r="AA409" s="1802"/>
      <c r="AB409" s="1802"/>
      <c r="AC409" s="1802"/>
      <c r="AD409" s="1802"/>
      <c r="AE409" s="1803"/>
      <c r="AF409" s="594"/>
      <c r="AG409" s="1787"/>
      <c r="AH409" s="1787"/>
      <c r="AI409" s="1787"/>
      <c r="AJ409" s="1787"/>
      <c r="AK409" s="1787"/>
      <c r="AL409" s="1787"/>
      <c r="AM409" s="1726">
        <f>IFERROR(DI409,"")</f>
        <v>0</v>
      </c>
      <c r="AN409" s="1728" t="str">
        <f>IFERROR(ROUND(AM409*AC410,0),"")</f>
        <v/>
      </c>
      <c r="AO409" s="1730">
        <f>IFERROR(IF(IB407=FALSE,0,AC410-AN409),0)</f>
        <v>0</v>
      </c>
      <c r="AP409" s="1780"/>
      <c r="AQ409" s="1781"/>
      <c r="AR409" s="1795"/>
      <c r="AS409" s="1795"/>
      <c r="AT409" s="1796"/>
      <c r="AU409" s="1735"/>
      <c r="AV409" s="1752"/>
      <c r="AW409" s="1705"/>
      <c r="AX409" s="467"/>
      <c r="AY409" s="1749"/>
      <c r="AZ409" s="1749"/>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696"/>
      <c r="CQ409" s="1696"/>
      <c r="CR409" s="1808" t="str">
        <f>CQ407</f>
        <v/>
      </c>
      <c r="CS409" s="1810" t="str">
        <f>CS407</f>
        <v/>
      </c>
      <c r="CU409" s="1688" t="s">
        <v>345</v>
      </c>
      <c r="CV409" s="1702">
        <f>IF(IB407=TRUE,T409,0)</f>
        <v>0</v>
      </c>
      <c r="CW409" s="1702" t="str">
        <f>IF(IB407=TRUE,U409,"")</f>
        <v/>
      </c>
      <c r="CX409" s="1812">
        <f>IF(IB407=TRUE,U410,0)</f>
        <v>0</v>
      </c>
      <c r="CY409" s="1814">
        <f>IF(IB407=TRUE,AB410,0)</f>
        <v>0</v>
      </c>
      <c r="CZ409" s="1710">
        <f>IF(AND(__Retrofit_TI_NC&gt;0,CR407="interior"),0,IF(IB407=TRUE,AC410,0))</f>
        <v>0</v>
      </c>
      <c r="DA409" s="1818"/>
      <c r="DB409" s="1820"/>
      <c r="DC409" s="1820"/>
      <c r="DD409" s="1820"/>
      <c r="DF409" s="1702">
        <f>IF(IB407=TRUE,AF409,0)</f>
        <v>0</v>
      </c>
      <c r="DG409" s="1830" t="str">
        <f>IF(IB407=TRUE,AG409,"")</f>
        <v/>
      </c>
      <c r="DH409" s="1812">
        <f>AG410</f>
        <v>0</v>
      </c>
      <c r="DI409" s="1837">
        <f>JE409</f>
        <v>0</v>
      </c>
      <c r="DJ409" s="1710">
        <f>IF(AND(__Retrofit_TI_NC&gt;0,CR407="interior"),0,IF(IB407=TRUE,AN409,0))</f>
        <v>0</v>
      </c>
      <c r="DK409" s="1712"/>
      <c r="DN409" s="1717">
        <f>IFERROR(CZ409-DJ409,0)</f>
        <v>0</v>
      </c>
      <c r="DO409" s="1709"/>
      <c r="DQ409" s="1715"/>
      <c r="DR409" s="1719" t="str">
        <f>DQ407</f>
        <v/>
      </c>
      <c r="DS409" s="1816"/>
      <c r="DT409" s="1835" t="str">
        <f>IF(OR(DS407=7,DS407=8,DS407=9),"ALC","")</f>
        <v/>
      </c>
      <c r="DU409" s="1715"/>
      <c r="DV409" s="1716"/>
      <c r="DX409" s="1715"/>
      <c r="DY409" s="1829" t="str">
        <f>DX407</f>
        <v/>
      </c>
      <c r="DZ409" s="1715"/>
      <c r="EA409" s="1715"/>
      <c r="EC409" s="1834"/>
      <c r="ED409" s="1834"/>
      <c r="EF409" s="1707"/>
      <c r="EG409" s="1712"/>
      <c r="EH409" s="1818"/>
      <c r="EI409" s="1712"/>
      <c r="EJ409" s="1712"/>
      <c r="EK409" s="1836"/>
      <c r="EL409" s="1836"/>
      <c r="EM409" s="1807"/>
      <c r="EN409" s="1839"/>
      <c r="EO409" s="1839"/>
      <c r="EP409" s="1817"/>
      <c r="EQ409" s="1817"/>
      <c r="ER409" s="1807"/>
      <c r="ES409" s="1807"/>
      <c r="ET409" s="1807"/>
      <c r="EV409" s="1715"/>
      <c r="EX409" s="1805" t="str">
        <f>IFERROR(VLOOKUP(CS409,'Space Table'!$B$3:$L$163,8,FALSE),"")</f>
        <v/>
      </c>
      <c r="EY409" s="1805" t="str">
        <f>IFERROR(IF(FB409="Yes",VLOOKUP(AG409,Lookup_Control_Type_Table2,4,FALSE),VLOOKUP(AG409,Lookup_Control_Type_Table2,3,FALSE)),"")</f>
        <v/>
      </c>
      <c r="EZ409" s="1805" t="e">
        <f>VLOOKUP(AG409,Lookup!BB$3:BC$20,2,FALSE)</f>
        <v>#N/A</v>
      </c>
      <c r="FA409" s="1805" t="e">
        <f>VLOOKUP(EX407,Lookup_Control_Type_Table,2,FALSE)</f>
        <v>#N/A</v>
      </c>
      <c r="FB409" s="1805" t="e">
        <f>VLOOKUP(CS409,'Space Table'!$B$3:$L$163,7,FALSE)</f>
        <v>#N/A</v>
      </c>
      <c r="FC409" s="1827"/>
      <c r="FE409" s="1698" t="str">
        <f>CONCATENATE(CQ407," - ",AG409)</f>
        <v xml:space="preserve"> - </v>
      </c>
      <c r="FG409" s="1816"/>
      <c r="FH409" s="1816"/>
      <c r="FI409" s="133"/>
      <c r="FL409" s="1822" t="str">
        <f>IF(CQ407="Exterior","Not Daylighted",G410)</f>
        <v>Not Daylighted</v>
      </c>
      <c r="FM409" s="1824">
        <f>VLOOKUP(FL409,_New_Daylight_Table_Codes,2,FALSE)</f>
        <v>0</v>
      </c>
      <c r="FN409" s="1698">
        <f>AG409</f>
        <v>0</v>
      </c>
      <c r="FO409" s="1698" t="e">
        <f>VLOOKUP(FN409,_Control_Table,2,FALSE)</f>
        <v>#N/A</v>
      </c>
      <c r="FP409" s="1678" t="e">
        <f>VLOOKUP(CONCATENATE(FL409," ",FN409),Lookup!AY$102:AZ420,2,FALSE)</f>
        <v>#N/A</v>
      </c>
      <c r="FQ409" s="1698">
        <f>IF(__Retrofit_TI_NC=0,FN409,IF(AND(FT409&gt;0,FN409="Occupancy Sensor"),"Daylight + Occupancy",IF(AND(FT409&gt;0,FO409&lt;4),"Interior Daylight Dimming",FN409)))</f>
        <v>0</v>
      </c>
      <c r="FS409" s="1686">
        <f>IF(CQ407="Interior",VLOOKUP(CS407,Control_Savings_Interior,5,FALSE),0)</f>
        <v>0</v>
      </c>
      <c r="FT409" s="1687">
        <f>IF(CQ409="Exterior",0,IF(FM409=2,0.5,IF(OR(FM409=1,FM409=3),1,0)))</f>
        <v>0</v>
      </c>
      <c r="FU409" s="1685">
        <f>IF(R408&gt;FS$44,(FS409*(FS$44/R408)),FS409)*FT409</f>
        <v>0</v>
      </c>
      <c r="FV409" s="1686">
        <f>DI409</f>
        <v>0</v>
      </c>
      <c r="FW409" s="1686">
        <f>ROUND(FV409+((1-FV409)*FU409),2)</f>
        <v>0</v>
      </c>
      <c r="FX409" s="1686">
        <f>IF(__Retrofit_TI_NC=2,FW409,FV409)</f>
        <v>0</v>
      </c>
      <c r="FY409" s="1697">
        <f>IF(CR409="Interior",VLOOKUP(CS409,Control_Savings_Interior,4,FALSE),0)</f>
        <v>0</v>
      </c>
      <c r="GA409" s="1696"/>
      <c r="GB409" s="1696"/>
      <c r="GC409" s="1696"/>
      <c r="GD409" s="1696"/>
      <c r="GE409" s="1696"/>
      <c r="GF409" s="1696"/>
      <c r="GG409" s="1696"/>
      <c r="GH409" s="1696"/>
      <c r="GI409" s="673" t="b">
        <f>IF(ISNUMBER(SEARCH("TLED",U409)),TRUE,FALSE)</f>
        <v>0</v>
      </c>
      <c r="GJ409" s="1135" t="str">
        <f>IFERROR(VLOOKUP(U409,Fixtures!DM$93:DR$142,6,FALSE),"")</f>
        <v/>
      </c>
      <c r="GK409" s="1832"/>
      <c r="GM409" s="1692"/>
      <c r="GN409" s="1684"/>
      <c r="GP409" s="1684"/>
      <c r="GQ409" s="1684"/>
      <c r="HG409" s="1684"/>
      <c r="HH409" s="1684"/>
      <c r="HI409" s="1684"/>
      <c r="HJ409" s="1684"/>
      <c r="HK409" s="1684"/>
      <c r="HL409" s="1684"/>
      <c r="HM409" s="1684"/>
      <c r="HN409" s="1683"/>
      <c r="HO409" s="1692"/>
      <c r="HP409" s="1692"/>
      <c r="HQ409" s="1670"/>
      <c r="HR409" s="1684"/>
      <c r="HS409" s="1684"/>
      <c r="HT409" s="1670"/>
      <c r="HU409" s="1684"/>
      <c r="HV409" s="1684"/>
      <c r="HW409" s="1684"/>
      <c r="HX409" s="1684"/>
      <c r="HY409" s="1684"/>
      <c r="HZ409" s="1684"/>
      <c r="IB409" s="1692"/>
      <c r="IC409" s="1693" t="b">
        <f>IB407</f>
        <v>0</v>
      </c>
      <c r="ID409" s="1695"/>
      <c r="IE409" s="391"/>
      <c r="IF409" s="1688"/>
      <c r="IG409" s="1689">
        <f ca="1">IF(IF407=TRUE,AC410,0)</f>
        <v>0</v>
      </c>
      <c r="IH409" s="1684"/>
      <c r="IK409" s="1689" t="e">
        <f>ROUND(T409*AB410*N408*R408/1000,0)</f>
        <v>#VALUE!</v>
      </c>
      <c r="IL409" s="1691"/>
      <c r="IM409" s="1693" t="e">
        <f>ROUND(T409*AB410*N408*R408/1000,0)</f>
        <v>#VALUE!</v>
      </c>
      <c r="IN409" s="1691"/>
      <c r="IP409" s="1679"/>
      <c r="IQ409" s="1679" t="e">
        <f t="shared" ref="IQ409:IU409" si="362">IF($CR409="interior",VLOOKUP($CS409,_New_Control_Savings_Interior,IQ$30,FALSE),VLOOKUP($CS409,Control_Savings_Exterior,IQ$30,FALSE))</f>
        <v>#N/A</v>
      </c>
      <c r="IR409" s="1679" t="e">
        <f t="shared" si="362"/>
        <v>#N/A</v>
      </c>
      <c r="IS409" s="1679" t="e">
        <f t="shared" si="362"/>
        <v>#N/A</v>
      </c>
      <c r="IT409" s="1679" t="e">
        <f t="shared" si="362"/>
        <v>#N/A</v>
      </c>
      <c r="IU409" s="1679" t="e">
        <f t="shared" si="362"/>
        <v>#N/A</v>
      </c>
      <c r="IV409" s="1679" t="e">
        <f>IF($CR409="interior",IF(R408&gt;$IP$14,ROUND(($IV$18*($IP$14/R408)),2),$IV$18),VLOOKUP($CS409,Control_Savings_Exterior,IV$30,FALSE))</f>
        <v>#N/A</v>
      </c>
      <c r="IW409" s="1679" t="e">
        <f>IF($CR409="interior",ROUND(((1-IS409)*IV409)+IS409,2),VLOOKUP($CS409,Control_Savings_Exterior,IW$30,FALSE))</f>
        <v>#N/A</v>
      </c>
      <c r="IX409" s="1679" t="e">
        <f>IF($CR409="interior",ROUND(((1-IT409)*IV409)+IT409,2),VLOOKUP($CS409,Control_Savings_Exterior,IX$30,FALSE))</f>
        <v>#N/A</v>
      </c>
      <c r="IY409" s="1679" t="e">
        <f>IF($CR409="interior",IF(R408&gt;$IP$14,ROUND(($IY$18*($IP$14/R408)),2),$IY$18),VLOOKUP($CS409,Control_Savings_Exterior,IY$30,FALSE))</f>
        <v>#N/A</v>
      </c>
      <c r="IZ409" s="1679" t="e">
        <f>IF($CR409="interior",ROUND(((1-IS409)*IY409)+IS409,2),VLOOKUP($CS409,Control_Savings_Exterior,IZ$30,FALSE))</f>
        <v>#N/A</v>
      </c>
      <c r="JA409" s="1679" t="e">
        <f>IF($CR409="interior",ROUND(((1-IT409)*IY409)+IT409,2),VLOOKUP($CS409,Control_Savings_Exterior,JA$30,FALSE))</f>
        <v>#N/A</v>
      </c>
      <c r="JC409" s="1680">
        <f>IFERROR(IF(CR409="Interior",CONCATENATE(G410," ",FQ409),AG409),"")</f>
        <v>0</v>
      </c>
      <c r="JD409" s="1670" t="str">
        <f>IFERROR(VLOOKUP(JC409,_Controls_2023,2,FALSE),"")</f>
        <v/>
      </c>
      <c r="JE409" s="1681">
        <f>IFERROR(CHOOSE(JD409-1,IQ409,IR409,IS409,IT409,IU409,IV409,IW409,IX409,IY409,IZ409,JA409),0)</f>
        <v>0</v>
      </c>
      <c r="JG409" s="1680" t="str">
        <f>FE409</f>
        <v xml:space="preserve"> - </v>
      </c>
      <c r="JH409" s="1670" t="e">
        <f>$FO409</f>
        <v>#N/A</v>
      </c>
      <c r="JI409" s="1060"/>
      <c r="JJ409" s="1670">
        <f>IFERROR(IF($IB407=TRUE,IF(OR(JJ$14="No",JJ407=FALSE,JH409&lt;=JH407,AND(_kWh_Grant=0,GD407=FALSE)),0,IF(JJ$8="Per Line",1,$AF409)),0),0)</f>
        <v>0</v>
      </c>
      <c r="JK409" s="1061"/>
      <c r="JL409" s="1670">
        <f>IFERROR(IF(_kWh_Grant=0,0,IF($IB407=TRUE,IF(OR(JL$14="No",JL407=FALSE,JH409&lt;=JH407),0,IF(JL$8="Per Line",1,$T409)),0)),0)</f>
        <v>0</v>
      </c>
      <c r="JM409" s="1061"/>
      <c r="JN409" s="1670">
        <f>IFERROR(IF(_kWh_Grant=0,0,IF($IB407=TRUE,IF(OR(JN$14="No",JN407=FALSE,JH409&lt;=JH407),0,IF(JN$8="Per Line",1,$AF409)),0)),0)</f>
        <v>0</v>
      </c>
      <c r="JO409" s="1061"/>
      <c r="JP409" s="1670">
        <f>IFERROR(IF(__Retrofit_TI_NC=0,IF(_kWh_Grant=0,0,IF($IB407=TRUE,IF(OR(JP$14="No",JP407=FALSE,$JH409&lt;=$JH407),0,IF(JP$8="Per Line",1,$AF409)),0)),IF($IB407=TRUE,IF(OR(JP$14="No",JP407=FALSE,$JH409&lt;=$JH407),0,IF(JP$8="Per Line",1,$AF409)))),0)</f>
        <v>0</v>
      </c>
      <c r="JQ409" s="1061"/>
      <c r="JR409" s="1670">
        <f>IFERROR(IF(__Retrofit_TI_NC=0,IF(_kWh_Grant=0,0,IF($IB407=TRUE,IF(OR(JR$14="No",JR407=FALSE,$JH409&lt;=$JH407),0,IF(JR$8="Per Line",1,$AF409)),0)),IF($IB407=TRUE,IF(OR(JR$14="No",JR407=FALSE,$JH409&lt;=$JH407),0,IF(JR$8="Per Line",1,$AF409)))),0)</f>
        <v>0</v>
      </c>
      <c r="JS409" s="1061"/>
      <c r="JT409" s="1670">
        <f>IFERROR(IF(__Retrofit_TI_NC=0,IF(_kWh_Grant=0,0,IF($IB407=TRUE,IF(OR(JT$14="No",JT407=FALSE,$JH409&lt;=$JH407),0,IF(JT$8="Per Line",1,$AF409)),0)),IF($IB407=TRUE,IF(OR(JT$14="No",JT407=FALSE,$JH409&lt;=$JH407),0,IF(JT$8="Per Line",1,$AF409)))),0)</f>
        <v>0</v>
      </c>
      <c r="JU409" s="1061"/>
      <c r="JV409" s="1670">
        <f>IFERROR(IF(__Retrofit_TI_NC=0,IF(_kWh_Grant=0,0,IF($IB407=TRUE,IF(OR(JV$14="No",JV407=FALSE,$JH409&lt;=$JH407),0,IF(JV$8="Per Line",1,$AF409)),0)),IF($IB407=TRUE,IF(OR(JV$14="No",JV407=FALSE,$JH409&lt;=$JH407),0,IF(JV$8="Per Line",1,$AF409)))),0)</f>
        <v>0</v>
      </c>
      <c r="JX409" s="1670">
        <f>IFERROR(IF(__Retrofit_TI_NC=0,IF(_kWh_Grant=0,0,IF($IB407=TRUE,IF(OR(JX$14="No",JX407=FALSE,$JH409&lt;=$JH407),0,IF(JX$8="Per Line",1,$AF409)),0)),IF($IB407=TRUE,IF(OR(JX$14="No",JX407=FALSE,$JH409&lt;=$JH407),0,IF(JX$8="Per Line",1,$AF409)))),0)</f>
        <v>0</v>
      </c>
      <c r="JZ409" s="1670">
        <f>IFERROR(IF($IB407=TRUE,IF(OR(JZ$14="No",JZ407=FALSE,$JH409&lt;=$JH407,AND(_kWh_Grant=0,$GD407=FALSE)),0,IF(JZ$8="Per Line",1,$AF409)),0),0)</f>
        <v>0</v>
      </c>
      <c r="KB409" s="1670">
        <f>IFERROR(IF(__Retrofit_TI_NC=0,IF(_kWh_Grant=0,0,IF($IB407=TRUE,IF(OR(KB$14="No",KB407=FALSE,$JH409&lt;=$JH407),0,IF(KB$8="Per Line",1,$AF409)),0)),IF($IB407=TRUE,IF(OR(KB$14="No",KB407=FALSE,$JH409&lt;=$JH407),0,IF(KB$8="Per Line",1,$AF409)))),0)</f>
        <v>0</v>
      </c>
    </row>
    <row r="410" spans="1:288" s="78" customFormat="1" ht="14.95" customHeight="1" thickTop="1" thickBot="1">
      <c r="B410" s="1845"/>
      <c r="C410" s="1846"/>
      <c r="D410" s="1847"/>
      <c r="E410" s="1771" t="s">
        <v>436</v>
      </c>
      <c r="F410" s="1772"/>
      <c r="G410" s="1784" t="s">
        <v>437</v>
      </c>
      <c r="H410" s="1785"/>
      <c r="I410" s="1785"/>
      <c r="J410" s="1785"/>
      <c r="K410" s="1785"/>
      <c r="L410" s="1786"/>
      <c r="M410" s="591">
        <f>IFERROR(VLOOKUP(G410,_Daylight_Table[],2,FALSE),0)</f>
        <v>0</v>
      </c>
      <c r="N410" s="592" t="str">
        <f>IF(AND(__Retrofit_TI_NC&gt;0,CQ407="Interior"),"BAM","")</f>
        <v/>
      </c>
      <c r="O410" s="591" t="e">
        <f>VLOOKUP(G409,'Space Table'!$B$3:$L$163,11,FALSE)</f>
        <v>#N/A</v>
      </c>
      <c r="P410" s="1789"/>
      <c r="Q410" s="1790"/>
      <c r="R410" s="1790"/>
      <c r="S410" s="1788"/>
      <c r="T410" s="593" t="s">
        <v>342</v>
      </c>
      <c r="U410" s="1756" t="str" cm="1">
        <f t="array" aca="1" ref="U410" ca="1">IFERROR(VLOOKUP(INDIRECT("U" &amp; ROW()-1),Fixtures!DM$93:DP$142,4,FALSE),"")</f>
        <v/>
      </c>
      <c r="V410" s="1757"/>
      <c r="W410" s="1757"/>
      <c r="X410" s="1757"/>
      <c r="Y410" s="1757"/>
      <c r="Z410" s="1757"/>
      <c r="AA410" s="1758"/>
      <c r="AB410" s="939" t="str">
        <f>IFERROR(VLOOKUP(U409,Fixtures_Proposed_List,2,FALSE),"")</f>
        <v/>
      </c>
      <c r="AC410" s="933" t="str">
        <f>IFERROR(ROUND(T409*AB410*N408*R408/1000,0),"")</f>
        <v/>
      </c>
      <c r="AD410" s="934" t="str">
        <f>IFERROR(ROUND(T409*AB410/1000,2),"")</f>
        <v/>
      </c>
      <c r="AE410" s="998"/>
      <c r="AF410" s="938" t="s">
        <v>342</v>
      </c>
      <c r="AG410" s="1770"/>
      <c r="AH410" s="1770"/>
      <c r="AI410" s="1770"/>
      <c r="AJ410" s="1770"/>
      <c r="AK410" s="1770"/>
      <c r="AL410" s="1770"/>
      <c r="AM410" s="1727"/>
      <c r="AN410" s="1729"/>
      <c r="AO410" s="1731"/>
      <c r="AP410" s="1782"/>
      <c r="AQ410" s="1783"/>
      <c r="AR410" s="1797"/>
      <c r="AS410" s="1797"/>
      <c r="AT410" s="1798"/>
      <c r="AU410" s="1736"/>
      <c r="AV410" s="1753"/>
      <c r="AW410" s="1706"/>
      <c r="AX410" s="468"/>
      <c r="AY410" s="1750"/>
      <c r="AZ410" s="1750"/>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696"/>
      <c r="CQ410" s="1696"/>
      <c r="CR410" s="1809"/>
      <c r="CS410" s="1811"/>
      <c r="CU410" s="1688"/>
      <c r="CV410" s="1703"/>
      <c r="CW410" s="1703"/>
      <c r="CX410" s="1813"/>
      <c r="CY410" s="1815"/>
      <c r="CZ410" s="1711"/>
      <c r="DA410" s="1815"/>
      <c r="DB410" s="1821"/>
      <c r="DC410" s="1821"/>
      <c r="DD410" s="1821"/>
      <c r="DF410" s="1703"/>
      <c r="DG410" s="1831"/>
      <c r="DH410" s="1813"/>
      <c r="DI410" s="1838"/>
      <c r="DJ410" s="1711"/>
      <c r="DK410" s="1712"/>
      <c r="DN410" s="1718"/>
      <c r="DO410" s="1709"/>
      <c r="DQ410" s="1715"/>
      <c r="DR410" s="1720"/>
      <c r="DS410" s="1703"/>
      <c r="DT410" s="1714"/>
      <c r="DU410" s="1715"/>
      <c r="DV410" s="1716"/>
      <c r="DX410" s="1715"/>
      <c r="DY410" s="1720"/>
      <c r="DZ410" s="1715"/>
      <c r="EA410" s="1715"/>
      <c r="EC410" s="1834"/>
      <c r="ED410" s="1834"/>
      <c r="EF410" s="1707"/>
      <c r="EG410" s="1712"/>
      <c r="EH410" s="1815"/>
      <c r="EI410" s="1712"/>
      <c r="EJ410" s="1712"/>
      <c r="EK410" s="1813"/>
      <c r="EL410" s="1813"/>
      <c r="EM410" s="1807"/>
      <c r="EN410" s="1839"/>
      <c r="EO410" s="1839"/>
      <c r="EP410" s="1817"/>
      <c r="EQ410" s="1817"/>
      <c r="ER410" s="1807"/>
      <c r="ES410" s="1807"/>
      <c r="ET410" s="1807"/>
      <c r="EV410" s="1715"/>
      <c r="EX410" s="1806"/>
      <c r="EY410" s="1806"/>
      <c r="EZ410" s="1806"/>
      <c r="FA410" s="1806"/>
      <c r="FB410" s="1806"/>
      <c r="FC410" s="1828"/>
      <c r="FE410" s="1698"/>
      <c r="FG410" s="1703"/>
      <c r="FH410" s="1703"/>
      <c r="FI410" s="133"/>
      <c r="FL410" s="1823"/>
      <c r="FM410" s="1825"/>
      <c r="FN410" s="1698"/>
      <c r="FO410" s="1698"/>
      <c r="FP410" s="1678"/>
      <c r="FQ410" s="1698"/>
      <c r="FS410" s="1687"/>
      <c r="FT410" s="1687"/>
      <c r="FU410" s="1685"/>
      <c r="FV410" s="1687"/>
      <c r="FW410" s="1687"/>
      <c r="FX410" s="1687"/>
      <c r="FY410" s="1697"/>
      <c r="GA410" s="1696"/>
      <c r="GB410" s="1696"/>
      <c r="GC410" s="1696"/>
      <c r="GD410" s="1696"/>
      <c r="GE410" s="1696"/>
      <c r="GF410" s="1696"/>
      <c r="GG410" s="1696"/>
      <c r="GH410" s="1696"/>
      <c r="GI410" s="673"/>
      <c r="GJ410" s="1135"/>
      <c r="GK410" s="1832"/>
      <c r="GN410" s="674">
        <f>IF(GN408=TRUE,0,GN$16)</f>
        <v>0</v>
      </c>
      <c r="GP410" s="674">
        <f>IF(GP408=TRUE,0,GP$16)</f>
        <v>36</v>
      </c>
      <c r="GQ410" s="674">
        <f ca="1">IF(GQ408=TRUE,0,GQ$16)</f>
        <v>35</v>
      </c>
      <c r="GR410" s="391"/>
      <c r="GS410" s="391"/>
      <c r="GT410" s="391"/>
      <c r="GU410" s="391"/>
      <c r="GV410" s="391"/>
      <c r="HG410" s="674">
        <f>IF(HG408=TRUE,0,HG$16)</f>
        <v>0</v>
      </c>
      <c r="HH410" s="674">
        <f t="shared" ref="HH410:HM410" si="363">IF(HH408=TRUE,0,HH$16)</f>
        <v>19</v>
      </c>
      <c r="HI410" s="674">
        <f t="shared" si="363"/>
        <v>18</v>
      </c>
      <c r="HJ410" s="674">
        <f t="shared" si="363"/>
        <v>17</v>
      </c>
      <c r="HK410" s="674">
        <f t="shared" si="363"/>
        <v>16</v>
      </c>
      <c r="HL410" s="674">
        <f t="shared" si="363"/>
        <v>0</v>
      </c>
      <c r="HM410" s="674">
        <f t="shared" si="363"/>
        <v>0</v>
      </c>
      <c r="HN410" s="674">
        <f>IF(HN408=TRUE,0,HN$16)</f>
        <v>13</v>
      </c>
      <c r="HO410" s="674">
        <f t="shared" ref="HO410:HQ410" si="364">IF(HO408=TRUE,0,HO$16)</f>
        <v>0</v>
      </c>
      <c r="HP410" s="674">
        <f t="shared" si="364"/>
        <v>0</v>
      </c>
      <c r="HQ410" s="674">
        <f t="shared" si="364"/>
        <v>10</v>
      </c>
      <c r="HR410" s="674">
        <f>IF(HR408=TRUE,0,HR$16)</f>
        <v>9</v>
      </c>
      <c r="HS410" s="674">
        <f t="shared" ref="HS410:HW410" si="365">IF(HS408=TRUE,0,HS$16)</f>
        <v>0</v>
      </c>
      <c r="HT410" s="674">
        <f t="shared" si="365"/>
        <v>0</v>
      </c>
      <c r="HU410" s="674">
        <f t="shared" si="365"/>
        <v>0</v>
      </c>
      <c r="HV410" s="674">
        <f t="shared" si="365"/>
        <v>0</v>
      </c>
      <c r="HW410" s="674">
        <f t="shared" si="365"/>
        <v>0</v>
      </c>
      <c r="HX410" s="674">
        <f>IF(HX408=TRUE,0,HX$16)</f>
        <v>0</v>
      </c>
      <c r="HY410" s="674">
        <f>IF(HY408=TRUE,0,HY$16)</f>
        <v>0</v>
      </c>
      <c r="HZ410" s="674">
        <f>IF(HZ408=TRUE,0,HZ$16)</f>
        <v>1</v>
      </c>
      <c r="IB410" s="674">
        <f>IF(GP408=FALSE,GP410,IF(GQ408=FALSE,GQ410,MAX(GN410:HZ410)))</f>
        <v>36</v>
      </c>
      <c r="IC410" s="1692"/>
      <c r="ID410" s="205" t="str">
        <f>VLOOKUP(IB410,_Error_Table,3,FALSE)</f>
        <v xml:space="preserve"> </v>
      </c>
      <c r="IE410" s="205"/>
      <c r="IF410" s="1688"/>
      <c r="IG410" s="1689"/>
      <c r="IH410" s="1684"/>
      <c r="IK410" s="1689"/>
      <c r="IL410" s="1692"/>
      <c r="IM410" s="1692"/>
      <c r="IN410" s="1692"/>
      <c r="IP410" s="1679"/>
      <c r="IQ410" s="1679"/>
      <c r="IR410" s="1679"/>
      <c r="IS410" s="1679"/>
      <c r="IT410" s="1679"/>
      <c r="IU410" s="1679"/>
      <c r="IV410" s="1679"/>
      <c r="IW410" s="1679"/>
      <c r="IX410" s="1679"/>
      <c r="IY410" s="1679"/>
      <c r="IZ410" s="1679"/>
      <c r="JA410" s="1679"/>
      <c r="JC410" s="1680"/>
      <c r="JD410" s="1670"/>
      <c r="JE410" s="1681"/>
      <c r="JG410" s="1680"/>
      <c r="JH410" s="1670"/>
      <c r="JI410" s="1060"/>
      <c r="JJ410" s="1670"/>
      <c r="JK410" s="1061"/>
      <c r="JL410" s="1670"/>
      <c r="JM410" s="1061"/>
      <c r="JN410" s="1670"/>
      <c r="JO410" s="1061"/>
      <c r="JP410" s="1670"/>
      <c r="JQ410" s="1061"/>
      <c r="JR410" s="1670"/>
      <c r="JS410" s="1061"/>
      <c r="JT410" s="1670"/>
      <c r="JU410" s="1061"/>
      <c r="JV410" s="1670"/>
      <c r="JX410" s="1670"/>
      <c r="JZ410" s="1670"/>
      <c r="KB410" s="1670"/>
    </row>
    <row r="411" spans="1:288" s="78" customFormat="1" ht="4.95" customHeight="1">
      <c r="B411" s="676"/>
      <c r="C411" s="392"/>
      <c r="D411" s="392"/>
      <c r="E411" s="1733"/>
      <c r="F411" s="1733"/>
      <c r="G411" s="1733"/>
      <c r="H411" s="1733"/>
      <c r="I411" s="1733"/>
      <c r="J411" s="1733"/>
      <c r="K411" s="1733"/>
      <c r="L411" s="1733"/>
      <c r="M411" s="1733"/>
      <c r="N411" s="1733"/>
      <c r="O411" s="1733"/>
      <c r="P411" s="1733"/>
      <c r="Q411" s="1733"/>
      <c r="R411" s="1733"/>
      <c r="S411" s="1733"/>
      <c r="T411" s="1733"/>
      <c r="U411" s="1733"/>
      <c r="V411" s="1733"/>
      <c r="W411" s="1733"/>
      <c r="X411" s="1733"/>
      <c r="Y411" s="1733"/>
      <c r="Z411" s="1733"/>
      <c r="AA411" s="1733"/>
      <c r="AB411" s="1733"/>
      <c r="AC411" s="1733"/>
      <c r="AD411" s="1733"/>
      <c r="AE411" s="1733"/>
      <c r="AF411" s="1733"/>
      <c r="AG411" s="1733"/>
      <c r="AH411" s="1733"/>
      <c r="AI411" s="1733"/>
      <c r="AJ411" s="1733"/>
      <c r="AK411" s="1733"/>
      <c r="AL411" s="1733"/>
      <c r="AM411" s="1733"/>
      <c r="AN411" s="1733"/>
      <c r="AO411" s="1733"/>
      <c r="AP411" s="1733"/>
      <c r="AQ411" s="1733"/>
      <c r="AR411" s="1733"/>
      <c r="AS411" s="1733"/>
      <c r="AT411" s="1733"/>
      <c r="AU411" s="1733"/>
      <c r="AV411" s="1733"/>
      <c r="AW411" s="1733"/>
      <c r="AX411" s="469"/>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663"/>
      <c r="CQ411" s="663"/>
      <c r="CR411" s="438"/>
      <c r="CS411" s="663"/>
      <c r="CV411" s="391"/>
      <c r="CW411" s="391"/>
      <c r="CX411" s="207"/>
      <c r="CY411" s="208"/>
      <c r="CZ411" s="208"/>
      <c r="DA411" s="208"/>
      <c r="DB411" s="209"/>
      <c r="DC411" s="209"/>
      <c r="DD411" s="209"/>
      <c r="DF411" s="664"/>
      <c r="DG411" s="665"/>
      <c r="DH411" s="666"/>
      <c r="DI411" s="667"/>
      <c r="DJ411" s="668"/>
      <c r="DK411" s="668"/>
      <c r="DN411" s="208"/>
      <c r="DO411" s="664"/>
      <c r="DQ411" s="664"/>
      <c r="DR411" s="669"/>
      <c r="DS411" s="391"/>
      <c r="DT411" s="664"/>
      <c r="DU411" s="664"/>
      <c r="DV411" s="664"/>
      <c r="DX411" s="664"/>
      <c r="DY411" s="664"/>
      <c r="DZ411" s="664"/>
      <c r="EA411" s="664"/>
      <c r="EC411" s="670"/>
      <c r="ED411" s="670"/>
      <c r="EF411" s="668"/>
      <c r="EG411" s="668"/>
      <c r="EH411" s="208"/>
      <c r="EI411" s="668"/>
      <c r="EJ411" s="668"/>
      <c r="EK411" s="207"/>
      <c r="EL411" s="207"/>
      <c r="EM411" s="666"/>
      <c r="EN411" s="671"/>
      <c r="EO411" s="671"/>
      <c r="EP411" s="672"/>
      <c r="EQ411" s="672"/>
      <c r="ER411" s="666"/>
      <c r="ES411" s="666"/>
      <c r="ET411" s="666"/>
      <c r="EV411" s="664"/>
      <c r="EX411" s="391"/>
      <c r="EY411" s="391"/>
      <c r="EZ411" s="391"/>
      <c r="FA411" s="391"/>
      <c r="FB411" s="391"/>
      <c r="FC411" s="391"/>
      <c r="FE411" s="569"/>
      <c r="FG411" s="391"/>
      <c r="FH411" s="391"/>
      <c r="FI411" s="391"/>
      <c r="FS411" s="664"/>
      <c r="FT411" s="391"/>
      <c r="FU411" s="391"/>
      <c r="FV411" s="664"/>
      <c r="FW411" s="664"/>
      <c r="GA411" s="663"/>
      <c r="GB411" s="663"/>
      <c r="GC411" s="663"/>
      <c r="GD411" s="663"/>
      <c r="GE411" s="663"/>
      <c r="GF411" s="663"/>
      <c r="GG411" s="663"/>
      <c r="GH411" s="663"/>
      <c r="GI411" s="665"/>
      <c r="GJ411" s="664"/>
      <c r="GK411" s="664"/>
    </row>
    <row r="412" spans="1:288" s="78" customFormat="1" ht="14.95" customHeight="1">
      <c r="B412" s="1845" t="str">
        <f>ID415</f>
        <v xml:space="preserve"> </v>
      </c>
      <c r="C412" s="1846">
        <f>C407+1</f>
        <v>71</v>
      </c>
      <c r="D412" s="1847"/>
      <c r="E412" s="1799" t="s">
        <v>295</v>
      </c>
      <c r="F412" s="1800"/>
      <c r="G412" s="1741"/>
      <c r="H412" s="1742"/>
      <c r="I412" s="1742"/>
      <c r="J412" s="1742"/>
      <c r="K412" s="1742"/>
      <c r="L412" s="1742"/>
      <c r="M412" s="1742"/>
      <c r="N412" s="1742"/>
      <c r="O412" s="1742"/>
      <c r="P412" s="1742"/>
      <c r="Q412" s="1742"/>
      <c r="R412" s="1742"/>
      <c r="S412" s="1791" t="s">
        <v>344</v>
      </c>
      <c r="T412" s="590"/>
      <c r="U412" s="1743"/>
      <c r="V412" s="1744"/>
      <c r="W412" s="1744"/>
      <c r="X412" s="1744"/>
      <c r="Y412" s="1744"/>
      <c r="Z412" s="1744"/>
      <c r="AA412" s="1744"/>
      <c r="AB412" s="961" t="str">
        <f>IFERROR(IF(__Retrofit_TI_NC=0,VLOOKUP(U413,Fixtures_Existing_List,2,FALSE),ROUND(N414*R414/T414,10)),"")</f>
        <v/>
      </c>
      <c r="AC412" s="935" t="str">
        <f>IFERROR(IF(__Retrofit_TI_NC=0,ROUND(T413*AB412*N413*R413/1000,0),IF(CQ412="Interior",N414*R414*R413*N413*_C406_reduction/1000,N414*R414*R413*N413/1000)),"")</f>
        <v/>
      </c>
      <c r="AD412" s="936" t="str">
        <f>IFERROR(IF(C$43=0,ROUND(T413*AB412/1000,2),N414*R414/1000),"")</f>
        <v/>
      </c>
      <c r="AE412" s="997"/>
      <c r="AF412" s="937"/>
      <c r="AG412" s="1745" t="str">
        <f>IF(__Retrofit_TI_NC=0," Control","Select Advanced Control for New System")</f>
        <v xml:space="preserve"> Control</v>
      </c>
      <c r="AH412" s="1745"/>
      <c r="AI412" s="1745"/>
      <c r="AJ412" s="1745"/>
      <c r="AK412" s="1745"/>
      <c r="AL412" s="1745"/>
      <c r="AM412" s="1746">
        <f>IFERROR(DI412,"")</f>
        <v>0</v>
      </c>
      <c r="AN412" s="1774" t="str">
        <f>IFERROR(ROUND(AM412*AC412,0),"")</f>
        <v/>
      </c>
      <c r="AO412" s="1776">
        <f>IFERROR(IF(IB412=FALSE,0,AC412-AN412),0)</f>
        <v>0</v>
      </c>
      <c r="AP412" s="1778">
        <f>AO412-AO414</f>
        <v>0</v>
      </c>
      <c r="AQ412" s="1779"/>
      <c r="AR412" s="1793">
        <f>IFERROR(IF(IB412=FALSE,0,(T414*U415)+(AF414*AG415)),0)</f>
        <v>0</v>
      </c>
      <c r="AS412" s="1793"/>
      <c r="AT412" s="1794"/>
      <c r="AU412" s="1734" t="s">
        <v>237</v>
      </c>
      <c r="AV412" s="1751">
        <f>IF(AU412="Yes",1,0)</f>
        <v>1</v>
      </c>
      <c r="AW412" s="1704" t="str">
        <f>IF(OR(DQ412=4,DQ412=5,DQ412=6,DQ412=12),CONCATENATE("$",IF(GH412=TRUE,Lookup!$K$10,Lookup!$K$2)," /lamp"),CONCATENATE(TEXT(ED412,"$0.00"),"/ kWh"))</f>
        <v>$0.00/ kWh</v>
      </c>
      <c r="AX412" s="467"/>
      <c r="AY412" s="1748">
        <f ca="1">IFERROR(IF(GM413=TRUE,(AB415*T414)/R414,0),"NA")</f>
        <v>0</v>
      </c>
      <c r="AZ412" s="1748"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696" t="str">
        <f>N413</f>
        <v/>
      </c>
      <c r="CQ412" s="1696" t="str">
        <f>IFERROR(VLOOKUP(G413,_Lookup_Heat_Type_Table_New,3,FALSE),"")</f>
        <v/>
      </c>
      <c r="CR412" s="1808" t="str">
        <f>CQ412</f>
        <v/>
      </c>
      <c r="CS412" s="1810" t="str">
        <f>IFERROR(VLOOKUP(G414,'Space Table'!$B$3:$L$163,9,FALSE),"")</f>
        <v/>
      </c>
      <c r="CU412" s="1688" t="s">
        <v>344</v>
      </c>
      <c r="CV412" s="1702">
        <f>IF(IB412=TRUE,T413,0)</f>
        <v>0</v>
      </c>
      <c r="CW412" s="1702" t="str">
        <f>IF(IB412=TRUE,U413,"")</f>
        <v/>
      </c>
      <c r="CX412" s="1702"/>
      <c r="CY412" s="1814">
        <f>IF(IB412=TRUE,AB412,0)</f>
        <v>0</v>
      </c>
      <c r="CZ412" s="1710">
        <f>IF(AND(__Retrofit_TI_NC&gt;0,CR412="interior"),0,IF(IB412=TRUE,AC412,0))</f>
        <v>0</v>
      </c>
      <c r="DA412" s="1814">
        <f>IFERROR(IF(IB412=TRUE,CZ412-CZ414,0),0)</f>
        <v>0</v>
      </c>
      <c r="DB412" s="1819">
        <f>IF(IB412=TRUE,AD412,0)</f>
        <v>0</v>
      </c>
      <c r="DC412" s="1819">
        <f>IF(IB412=TRUE,AD415,0)</f>
        <v>0</v>
      </c>
      <c r="DD412" s="1819">
        <f>IFERROR(DB412-DC412,0)</f>
        <v>0</v>
      </c>
      <c r="DF412" s="1702">
        <f>IF(IB412=TRUE,AF413,0)</f>
        <v>0</v>
      </c>
      <c r="DG412" s="1830">
        <f>IFERROR(IF(__Retrofit_TI_NC=2,IF(CQ412="Exterior",O415,FQ412),FN412),"")</f>
        <v>0</v>
      </c>
      <c r="DH412" s="1702"/>
      <c r="DI412" s="1837">
        <f>JE412</f>
        <v>0</v>
      </c>
      <c r="DJ412" s="1710">
        <f>IF(AND(__Retrofit_TI_NC&gt;0,CR412="interior"),0,IF(IB412=TRUE,AN412,0))</f>
        <v>0</v>
      </c>
      <c r="DK412" s="1712">
        <f>IFERROR(IF(IB412=TRUE,DJ414-DJ412,0),0)</f>
        <v>0</v>
      </c>
      <c r="DM412" s="1717">
        <f>IFERROR(CZ412-DJ412,0)</f>
        <v>0</v>
      </c>
      <c r="DO412" s="1708">
        <f>DM412-DN414</f>
        <v>0</v>
      </c>
      <c r="DQ412" s="1715" t="str">
        <f>IFERROR(IF(AND(OR(GC412=4,GC412=5,GC412=6),OR(GF412=4,GF412=5,GF412=6)),GC412+8,VLOOKUP(CW414,Fixtures!R$31:Y$78,8,FALSE)),"")</f>
        <v/>
      </c>
      <c r="DR412" s="1829" t="str">
        <f>DQ412</f>
        <v/>
      </c>
      <c r="DS412" s="1702" t="str">
        <f>IFERROR(VLOOKUP(DG414,Lookup!BB$3:BC$20,2,FALSE),"")</f>
        <v/>
      </c>
      <c r="DT412" s="1713" t="str">
        <f>IF(OR(DS412=7,DS412=8,DS412=9),"ALC","")</f>
        <v/>
      </c>
      <c r="DU412" s="1715">
        <f>IFERROR(IF(OR(DQ412=4,DQ412=5,DQ412=6,DQ412=12,DQ412=13,DQ412=14),VLOOKUP(CW414,Fixtures!DN$27:EG$77,19,FALSE),1)*CV414,0)</f>
        <v>0</v>
      </c>
      <c r="DV412" s="1716">
        <f>IF(OR(DS412=7,DS412=8,DS412=9),IF(DG412=DG414,0,DF414),0)</f>
        <v>0</v>
      </c>
      <c r="DX412" s="1715" t="str">
        <f>IFERROR(IF(EZ412&lt;EZ414,"Yes","No"),"")</f>
        <v/>
      </c>
      <c r="DY412" s="1829" t="str">
        <f>DX412</f>
        <v/>
      </c>
      <c r="DZ412" s="1715">
        <f>IF(DX412="Yes",DF414,0)</f>
        <v>0</v>
      </c>
      <c r="EA412" s="1715">
        <f>DZ412-DV412</f>
        <v>0</v>
      </c>
      <c r="EC412" s="1834">
        <f>IFERROR(VLOOKUP(DQ412,Lookup!AU$3:AV$16,2,FALSE),0)</f>
        <v>0</v>
      </c>
      <c r="ED412" s="1834">
        <f>IF(IB412=FALSE,0,IF(DX412="Yes",EC412+Lookup!K$6,EC412))</f>
        <v>0</v>
      </c>
      <c r="EF412" s="1707">
        <f>IF(IB412=TRUE,DM412,0)</f>
        <v>0</v>
      </c>
      <c r="EG412" s="1712">
        <f>IF(IB412=TRUE,CZ414,0)</f>
        <v>0</v>
      </c>
      <c r="EH412" s="1814">
        <f>IFERROR(EF412-EG412,0)</f>
        <v>0</v>
      </c>
      <c r="EI412" s="1712">
        <f>IF(IB412=TRUE,DJ414,0)</f>
        <v>0</v>
      </c>
      <c r="EJ412" s="1712">
        <f>IFERROR(EF412-EG412+EI412,0)</f>
        <v>0</v>
      </c>
      <c r="EK412" s="1812">
        <f>IF(IB412=TRUE,CV414*CX414,0)</f>
        <v>0</v>
      </c>
      <c r="EL412" s="1812">
        <f>IF(IB412=TRUE,DF414*DH414,0)</f>
        <v>0</v>
      </c>
      <c r="EM412" s="1807">
        <f>AR412</f>
        <v>0</v>
      </c>
      <c r="EN412" s="1839" t="str">
        <f>IFERROR(IF(IB412=TRUE,VLOOKUP(DQ412,Lookup!AU$3:AW$16,3,FALSE)*DU412,""),0)</f>
        <v/>
      </c>
      <c r="EO412" s="1839">
        <f>IF(IB412=TRUE,DZ412*Lookup!AW$12,0)</f>
        <v>0</v>
      </c>
      <c r="EP412" s="1817">
        <f>IFERROR(IF(IB412=TRUE,EN412/EP$40,0),0)</f>
        <v>0</v>
      </c>
      <c r="EQ412" s="1817">
        <f>IF(IB412=TRUE,EO412/EQ$40,0)</f>
        <v>0</v>
      </c>
      <c r="ER412" s="1807">
        <f>IF(IB412=TRUE,ET$40*EP412,0)</f>
        <v>0</v>
      </c>
      <c r="ES412" s="1807">
        <f>IF(IB412=TRUE,ET$40*EQ412,0)</f>
        <v>0</v>
      </c>
      <c r="ET412" s="1807">
        <f>ER412+ES412</f>
        <v>0</v>
      </c>
      <c r="EV412" s="1715">
        <f>IF(G412="",0,1)</f>
        <v>0</v>
      </c>
      <c r="EX412" s="1804" t="str">
        <f>IFERROR(VLOOKUP(CS414,'Space Table'!$B$3:$L$163,8,FALSE),"")</f>
        <v/>
      </c>
      <c r="EY412" s="1804" t="str">
        <f>IFERROR(IF(FB412="Yes",VLOOKUP(DG412,Lookup_Control_Type_Table2,4,FALSE),VLOOKUP(DG412,Lookup_Control_Type_Table2,3,FALSE)),"")</f>
        <v/>
      </c>
      <c r="EZ412" s="1804" t="e">
        <f>VLOOKUP(DG412,Lookup!BB$3:BC$20,2,FALSE)</f>
        <v>#N/A</v>
      </c>
      <c r="FA412" s="1804" t="e">
        <f>VLOOKUP(EX412,Lookup_Control_Type_Table,2,FALSE)</f>
        <v>#N/A</v>
      </c>
      <c r="FB412" s="1804" t="e">
        <f>VLOOKUP(CS414,'Space Table'!$B$3:$L$163,7,FALSE)</f>
        <v>#N/A</v>
      </c>
      <c r="FC412" s="1826" t="b">
        <f>ISNUMBER(SEARCH("TLED",U414))</f>
        <v>0</v>
      </c>
      <c r="FE412" s="1698" t="str">
        <f>CONCATENATE(CQ412," - ",DG412)</f>
        <v xml:space="preserve"> - 0</v>
      </c>
      <c r="FG412" s="1702" t="str">
        <f>VLOOKUP(CW414,Fixtures!DN$27:EZ$77,38,FALSE)</f>
        <v/>
      </c>
      <c r="FH412" s="1702">
        <f>IFERROR(FG412*EH412,0)</f>
        <v>0</v>
      </c>
      <c r="FI412" s="133"/>
      <c r="FL412" s="1822" t="str">
        <f>IF(CQ412="Exterior","Not Daylighted",G415)</f>
        <v>Not Daylighted</v>
      </c>
      <c r="FM412" s="1824">
        <f>VLOOKUP(FL412,_New_Daylight_Table_Codes,2,FALSE)</f>
        <v>0</v>
      </c>
      <c r="FN412" s="1698">
        <f>IF(__Retrofit_TI_NC&gt;0,VLOOKUP(G414,'Space Table'!$B$3:$L$163,11,FALSE),AG413)</f>
        <v>0</v>
      </c>
      <c r="FO412" s="1698" t="e">
        <f>IF(__Retrofit_TI_NC=2,VLOOKUP(FQ412,_Control_Table,2,FALSE),VLOOKUP(FN412,_Control_Table,2,FALSE))</f>
        <v>#N/A</v>
      </c>
      <c r="FP412" s="1678" t="e">
        <f>VLOOKUP(CONCATENATE(FL412," ",FN412),Lookup!AY$102:AZ422,2,FALSE)</f>
        <v>#N/A</v>
      </c>
      <c r="FQ412" s="1678">
        <f>IF(__Retrofit_TI_NC=0,FN412,IF(AND(FT412&gt;0,FN412="Occupancy Sensor"),"Daylight + Occupancy",IF(AND(FT412&gt;0,VLOOKUP(FN412,_Control_Table,2,FALSE)&lt;4),"Interior Daylight Dimming",FN412)))</f>
        <v>0</v>
      </c>
      <c r="FS412" s="1686">
        <f>IF(CR412="Interior",VLOOKUP(CS412,Control_Savings_Interior,5,FALSE),0)</f>
        <v>0</v>
      </c>
      <c r="FT412" s="1687">
        <f>IF(CQ412="Exterior",0,IF(FM412=2,0.5,IF(OR(FM412=1,FM412=3),1,0)))</f>
        <v>0</v>
      </c>
      <c r="FU412" s="1685">
        <f>IF(R411&gt;FS$44,(FS412*(FS$44/R411)),FS412)*FT412</f>
        <v>0</v>
      </c>
      <c r="FV412" s="1686">
        <f>DI412</f>
        <v>0</v>
      </c>
      <c r="FW412" s="1686">
        <f>ROUND(FV412+((1-FV412)*FU412),2)</f>
        <v>0</v>
      </c>
      <c r="FX412" s="1686">
        <f>IF(__Retrofit_TI_NC=2,FW412,FV412)</f>
        <v>0</v>
      </c>
      <c r="FY412" s="1697"/>
      <c r="GA412" s="1696" t="str">
        <f>IFERROR(VLOOKUP(U413,_Exist_Fixture_Table,3,FALSE),"")</f>
        <v/>
      </c>
      <c r="GB412" s="1696" t="str">
        <f>VLOOKUP(CW412,_Exist_Fixture_Table,4,FALSE)</f>
        <v/>
      </c>
      <c r="GC412" s="1696">
        <f>IFERROR(VLOOKUP(GB412,Lookup!AT$6:AU$8,2,FALSE),0)</f>
        <v>0</v>
      </c>
      <c r="GD412" s="1696" t="b">
        <f>IFERROR(IF(OR(GF412=4,GF412=5,GF412=6),TRUE,FALSE),"")</f>
        <v>0</v>
      </c>
      <c r="GE412" s="1696" t="str">
        <f>IFERROR(VLOOKUP(GF412,GC$6:GD$10,2,FALSE),"")</f>
        <v/>
      </c>
      <c r="GF412" s="1696" t="str">
        <f>VLOOKUP(CW414,Fixtures!R$31:Y$78,8,FALSE)</f>
        <v/>
      </c>
      <c r="GG412" s="1696">
        <f>IF(AND(GA412=TRUE,GD412=TRUE,OR(DQ412=12,DQ412=13,DQ412=14)),GC412+8,0)</f>
        <v>0</v>
      </c>
      <c r="GH412" s="1696" t="b">
        <f>IF(OR(GG412=12,GG412=13,GG412=14),TRUE,FALSE)</f>
        <v>0</v>
      </c>
      <c r="GI412" s="673" t="b">
        <f>IF(ISNUMBER(SEARCH("TLED",U413)),TRUE,FALSE)</f>
        <v>0</v>
      </c>
      <c r="GJ412" s="1135" t="str">
        <f>IFERROR(VLOOKUP(U413,Fixtures!BM$93:BR$142,6,FALSE),"")</f>
        <v/>
      </c>
      <c r="GK412" s="1832" t="b">
        <f>IF(OR(GI412=FALSE,GI414=FALSE),TRUE,IF(GJ412-GJ414&lt;5,FALSE,TRUE))</f>
        <v>1</v>
      </c>
      <c r="GO412" s="674">
        <f>GP412</f>
        <v>0</v>
      </c>
      <c r="GP412" s="674">
        <f>IF(G412="",0,1)</f>
        <v>0</v>
      </c>
      <c r="GQ412" s="674">
        <f ca="1">SUM(GR412:HF412)</f>
        <v>2</v>
      </c>
      <c r="GR412" s="674">
        <f>IF(G413="",0,1)</f>
        <v>0</v>
      </c>
      <c r="GS412" s="674">
        <f>IF(N415="BAM",1,IF(G414="",0,1))</f>
        <v>0</v>
      </c>
      <c r="GT412" s="674">
        <f>IF(N415="BAM",1,IF(R413="",0,1))</f>
        <v>0</v>
      </c>
      <c r="GU412" s="674">
        <f>IF(N415="BAM",1,IF(__Retrofit_TI_NC=0,1,IF(R414="",0,1)))</f>
        <v>1</v>
      </c>
      <c r="GV412" s="674">
        <f>IF(N415="BAM",1,IF(CQ412="Exterior",1,IF(G415="",0,1)))</f>
        <v>1</v>
      </c>
      <c r="GW412" s="674">
        <f>IF(__Retrofit_TI_NC&gt;0,1,IF(T413="",0,1))</f>
        <v>0</v>
      </c>
      <c r="GX412" s="674">
        <f>IF(__Retrofit_TI_NC&gt;0,1,IF(U413="",0,1))</f>
        <v>0</v>
      </c>
      <c r="GY412" s="674">
        <f>IF(N415="BAM",1,IF(T414="",0,1))</f>
        <v>0</v>
      </c>
      <c r="GZ412" s="674">
        <f>IF(N415="BAM",1,IF(U414="",0,1))</f>
        <v>0</v>
      </c>
      <c r="HA412" s="674">
        <f ca="1">IF(N415="BAM",1,IF(__Retrofit_TI_NC&gt;0,1,IF(U415="",0,1)))</f>
        <v>0</v>
      </c>
      <c r="HB412" s="674">
        <f>IF(__Retrofit_TI_NC&lt;&gt;0,1,IF(AF413="",0,1))</f>
        <v>0</v>
      </c>
      <c r="HC412" s="674">
        <f>IF(__Retrofit_TI_NC&lt;&gt;0,1,IF(AG413="",0,1))</f>
        <v>0</v>
      </c>
      <c r="HD412" s="674">
        <f>IF(N415="BAM",1,IF(AF414="",0,1))</f>
        <v>0</v>
      </c>
      <c r="HE412" s="674">
        <f>IF(N415="BAM",1,IF(AG414="",0,1))</f>
        <v>0</v>
      </c>
      <c r="HF412" s="674">
        <f>IF(N415="BAM",1,IF(__Retrofit_TI_NC&gt;0,1,IF(AG415="",0,1)))</f>
        <v>0</v>
      </c>
      <c r="HG412" s="391"/>
      <c r="IA412" s="391"/>
      <c r="IB412" s="1693" t="b">
        <f>IF(OR(IB415=0,IB415=HY$16,IB415=HX$16,IB415=HZ$16),TRUE,FALSE)</f>
        <v>0</v>
      </c>
      <c r="IC412" s="1694" t="b">
        <f>IB412</f>
        <v>0</v>
      </c>
      <c r="ID412" s="391"/>
      <c r="IE412" s="391"/>
      <c r="IF412" s="1688" t="b">
        <f ca="1">IF(MAX(GN415:HU415)&gt;5,FALSE,TRUE)</f>
        <v>0</v>
      </c>
      <c r="IG412" s="1689">
        <f ca="1">IF(IF412=TRUE,AC412,0)</f>
        <v>0</v>
      </c>
      <c r="IH412" s="1689">
        <f ca="1">IG412-IG414</f>
        <v>0</v>
      </c>
      <c r="IK412" s="1689" t="e">
        <f>ROUND(T413*VLOOKUP(U413,Fixtures_Existing_List,2,FALSE)*N413*R413/1000,0)</f>
        <v>#N/A</v>
      </c>
      <c r="IL412" s="1690" t="e">
        <f>IK412-IK414</f>
        <v>#N/A</v>
      </c>
      <c r="IM412" s="1693" t="e">
        <f>ROUND(IF(CQ412="Interior",N414*R414*R413*N413*_C406_reduction/1000,N414*R414*R413*N413/1000),0)</f>
        <v>#N/A</v>
      </c>
      <c r="IN412" s="1693" t="e">
        <f>IM412-IM414</f>
        <v>#N/A</v>
      </c>
      <c r="IP412" s="1679"/>
      <c r="IQ412" s="1679" t="e">
        <f t="shared" ref="IQ412:IU412" si="366">IF($CR412="interior",VLOOKUP($CS412,_New_Control_Savings_Interior,IQ$30,FALSE),VLOOKUP($CS412,Control_Savings_Exterior,IQ$30,FALSE))</f>
        <v>#N/A</v>
      </c>
      <c r="IR412" s="1679" t="e">
        <f t="shared" si="366"/>
        <v>#N/A</v>
      </c>
      <c r="IS412" s="1679" t="e">
        <f t="shared" si="366"/>
        <v>#N/A</v>
      </c>
      <c r="IT412" s="1679" t="e">
        <f t="shared" si="366"/>
        <v>#N/A</v>
      </c>
      <c r="IU412" s="1679" t="e">
        <f t="shared" si="366"/>
        <v>#N/A</v>
      </c>
      <c r="IV412" s="1679" t="e">
        <f>IF($CR412="interior",IF(R413&gt;$IP$14,ROUND(($IV$18*($IP$14/R413)),2),$IV$18),VLOOKUP($CS412,Control_Savings_Exterior,IV$30,FALSE))</f>
        <v>#N/A</v>
      </c>
      <c r="IW412" s="1679" t="e">
        <f>IF($CR412="interior",ROUND(((1-IS412)*IV412)+IS412,2),VLOOKUP($CS412,Control_Savings_Exterior,IW$30,FALSE))</f>
        <v>#N/A</v>
      </c>
      <c r="IX412" s="1679" t="e">
        <f>IF($CR412="interior",ROUND(((1-IT412)*IV412)+IT412,2),VLOOKUP($CS412,Control_Savings_Exterior,IX$30,FALSE))</f>
        <v>#N/A</v>
      </c>
      <c r="IY412" s="1679" t="e">
        <f>IF($CR412="interior",IF(R413&gt;$IP$14,ROUND(($IY$18*($IP$14/R413)),2),$IY$18),VLOOKUP($CS412,Control_Savings_Exterior,IY$30,FALSE))</f>
        <v>#N/A</v>
      </c>
      <c r="IZ412" s="1679" t="e">
        <f>IF($CR412="interior",ROUND(((1-IS412)*IY412)+IS412,2),VLOOKUP($CS412,Control_Savings_Exterior,IZ$30,FALSE))</f>
        <v>#N/A</v>
      </c>
      <c r="JA412" s="1679" t="e">
        <f>IF($CR412="interior",ROUND(((1-IT412)*IY412)+IT412,2),VLOOKUP($CS412,Control_Savings_Exterior,JA$30,FALSE))</f>
        <v>#N/A</v>
      </c>
      <c r="JC412" s="1680">
        <f>IFERROR(IF(CR412="Interior",CONCATENATE(G415," ",FQ412),FQ412),"")</f>
        <v>0</v>
      </c>
      <c r="JD412" s="1670" t="str">
        <f>IFERROR(VLOOKUP(JC412,_Controls_2023,2,FALSE),"")</f>
        <v/>
      </c>
      <c r="JE412" s="1681">
        <f>IFERROR(CHOOSE(JD412-1,IQ412,IR412,IS412,IT412,IU412,IV412,IW412,IX412,IY412,IZ412,JA412),0)</f>
        <v>0</v>
      </c>
      <c r="JG412" s="1680" t="str">
        <f>FE412</f>
        <v xml:space="preserve"> - 0</v>
      </c>
      <c r="JH412" s="1670" t="e">
        <f>$FO412</f>
        <v>#N/A</v>
      </c>
      <c r="JI412" s="1060"/>
      <c r="JJ412" s="1682" t="b">
        <f>IF($JG414=CONCATENATE("Interior - ",JJ$4),TRUE,FALSE)</f>
        <v>0</v>
      </c>
      <c r="JK412" s="1061"/>
      <c r="JL412" s="1682" t="b">
        <f>IF($JG414=CONCATENATE("Interior - ",JL$4),TRUE,FALSE)</f>
        <v>0</v>
      </c>
      <c r="JM412" s="1061"/>
      <c r="JN412" s="1682" t="b">
        <f>IF($JG414=CONCATENATE("Interior - ",JN$4),TRUE,FALSE)</f>
        <v>0</v>
      </c>
      <c r="JO412" s="1061"/>
      <c r="JP412" s="1682" t="b">
        <f>IF(__Retrofit_TI_NC&gt;0,FALSE,IF($JG414=CONCATENATE("Interior - ",JP$4),TRUE,FALSE))</f>
        <v>0</v>
      </c>
      <c r="JQ412" s="1061"/>
      <c r="JR412" s="1682" t="b">
        <f>IF(__Retrofit_TI_NC&gt;0,FALSE,IF($JG414=CONCATENATE("Interior - ",JR$4),TRUE,FALSE))</f>
        <v>0</v>
      </c>
      <c r="JS412" s="1061"/>
      <c r="JT412" s="1670" t="b">
        <f>IF(__Retrofit_TI_NC&gt;0,FALSE,IF($JG414=CONCATENATE("Interior - ",JT$4),TRUE,FALSE))</f>
        <v>0</v>
      </c>
      <c r="JU412" s="1061"/>
      <c r="JV412" s="1670" t="b">
        <f>IF(JC414="AELC on Existing",TRUE,FALSE)</f>
        <v>0</v>
      </c>
      <c r="JX412" s="1670" t="b">
        <f>IF(OR(JG414="Exterior - AELC Occupancy based",JG414="Exterior - AELC Time based"),TRUE,FALSE)</f>
        <v>0</v>
      </c>
      <c r="JZ412" s="1682" t="b">
        <f>IF($JG414=CONCATENATE("Exterior - ",JZ$4),TRUE,FALSE)</f>
        <v>0</v>
      </c>
      <c r="KB412" s="1670" t="b">
        <f>IF(__Retrofit_TI_NC&gt;0,FALSE,IF($JG414=CONCATENATE("Interior - ",KB$4),TRUE,FALSE))</f>
        <v>0</v>
      </c>
    </row>
    <row r="413" spans="1:288" s="78" customFormat="1" ht="14.95" customHeight="1" thickTop="1" thickBot="1">
      <c r="B413" s="1845"/>
      <c r="C413" s="1846"/>
      <c r="D413" s="1847"/>
      <c r="E413" s="1737" t="s">
        <v>297</v>
      </c>
      <c r="F413" s="1738"/>
      <c r="G413" s="1739"/>
      <c r="H413" s="1739"/>
      <c r="I413" s="1739"/>
      <c r="J413" s="1739"/>
      <c r="K413" s="1739"/>
      <c r="L413" s="1739"/>
      <c r="M413" s="461" t="e">
        <f>IF(__Retrofit_TI_NC&lt;&gt;0,IF(VLOOKUP(G414,'Space Table'!$B$3:$L$163,3,FALSE)&gt;0,1,0),IF(__Retrofit_TI_NC=VLOOKUP(G414,'Space Table'!$B$3:$L$163,3,FALSE),1,0))</f>
        <v>#N/A</v>
      </c>
      <c r="N413" s="461" t="str">
        <f>IFERROR(VLOOKUP(G413,_Lookup_Heat_Type_Table_New,2,FALSE),"")</f>
        <v/>
      </c>
      <c r="O413" s="461">
        <f>IF(__Retrofit_TI_NC=1,CONCATENATE("TI ",G413),IF(__Retrofit_TI_NC=2,CONCATENATE("NC ",G413),G413))</f>
        <v>0</v>
      </c>
      <c r="P413" s="1740" t="s">
        <v>435</v>
      </c>
      <c r="Q413" s="1740"/>
      <c r="R413" s="595"/>
      <c r="S413" s="1792"/>
      <c r="T413" s="597"/>
      <c r="U413" s="1765"/>
      <c r="V413" s="1766"/>
      <c r="W413" s="1766"/>
      <c r="X413" s="1766"/>
      <c r="Y413" s="1766"/>
      <c r="Z413" s="1766"/>
      <c r="AA413" s="1766"/>
      <c r="AB413" s="1766"/>
      <c r="AC413" s="1766"/>
      <c r="AD413" s="1767"/>
      <c r="AE413" s="1000"/>
      <c r="AF413" s="597"/>
      <c r="AG413" s="1723"/>
      <c r="AH413" s="1724"/>
      <c r="AI413" s="1724"/>
      <c r="AJ413" s="1724"/>
      <c r="AK413" s="1725"/>
      <c r="AL413" s="996"/>
      <c r="AM413" s="1747"/>
      <c r="AN413" s="1775"/>
      <c r="AO413" s="1777"/>
      <c r="AP413" s="1780"/>
      <c r="AQ413" s="1781"/>
      <c r="AR413" s="1795"/>
      <c r="AS413" s="1795"/>
      <c r="AT413" s="1796"/>
      <c r="AU413" s="1735"/>
      <c r="AV413" s="1752"/>
      <c r="AW413" s="1705"/>
      <c r="AX413" s="467"/>
      <c r="AY413" s="1749"/>
      <c r="AZ413" s="1749"/>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696"/>
      <c r="CQ413" s="1696"/>
      <c r="CR413" s="1809"/>
      <c r="CS413" s="1811"/>
      <c r="CU413" s="1688"/>
      <c r="CV413" s="1703"/>
      <c r="CW413" s="1703"/>
      <c r="CX413" s="1703"/>
      <c r="CY413" s="1815"/>
      <c r="CZ413" s="1711"/>
      <c r="DA413" s="1818"/>
      <c r="DB413" s="1820"/>
      <c r="DC413" s="1820"/>
      <c r="DD413" s="1820"/>
      <c r="DF413" s="1703"/>
      <c r="DG413" s="1831"/>
      <c r="DH413" s="1703"/>
      <c r="DI413" s="1838"/>
      <c r="DJ413" s="1711"/>
      <c r="DK413" s="1712"/>
      <c r="DM413" s="1718"/>
      <c r="DO413" s="1708"/>
      <c r="DQ413" s="1715"/>
      <c r="DR413" s="1720"/>
      <c r="DS413" s="1816"/>
      <c r="DT413" s="1714"/>
      <c r="DU413" s="1715"/>
      <c r="DV413" s="1716"/>
      <c r="DX413" s="1715"/>
      <c r="DY413" s="1720"/>
      <c r="DZ413" s="1715"/>
      <c r="EA413" s="1715"/>
      <c r="EC413" s="1834"/>
      <c r="ED413" s="1834"/>
      <c r="EF413" s="1707"/>
      <c r="EG413" s="1712"/>
      <c r="EH413" s="1818"/>
      <c r="EI413" s="1712"/>
      <c r="EJ413" s="1712"/>
      <c r="EK413" s="1836"/>
      <c r="EL413" s="1836"/>
      <c r="EM413" s="1807"/>
      <c r="EN413" s="1839"/>
      <c r="EO413" s="1839"/>
      <c r="EP413" s="1817"/>
      <c r="EQ413" s="1817"/>
      <c r="ER413" s="1807"/>
      <c r="ES413" s="1807"/>
      <c r="ET413" s="1807"/>
      <c r="EV413" s="1715"/>
      <c r="EX413" s="1805"/>
      <c r="EY413" s="1805"/>
      <c r="EZ413" s="1805"/>
      <c r="FA413" s="1805"/>
      <c r="FB413" s="1805"/>
      <c r="FC413" s="1827"/>
      <c r="FE413" s="1698"/>
      <c r="FG413" s="1816"/>
      <c r="FH413" s="1816"/>
      <c r="FI413" s="133"/>
      <c r="FL413" s="1823"/>
      <c r="FM413" s="1825"/>
      <c r="FN413" s="1698"/>
      <c r="FO413" s="1698"/>
      <c r="FP413" s="1678"/>
      <c r="FQ413" s="1678"/>
      <c r="FS413" s="1687"/>
      <c r="FT413" s="1687"/>
      <c r="FU413" s="1685"/>
      <c r="FV413" s="1687"/>
      <c r="FW413" s="1687"/>
      <c r="FX413" s="1687"/>
      <c r="FY413" s="1697"/>
      <c r="GA413" s="1696"/>
      <c r="GB413" s="1696"/>
      <c r="GC413" s="1696"/>
      <c r="GD413" s="1696"/>
      <c r="GE413" s="1696"/>
      <c r="GF413" s="1696"/>
      <c r="GG413" s="1696"/>
      <c r="GH413" s="1696"/>
      <c r="GI413" s="673"/>
      <c r="GJ413" s="1135"/>
      <c r="GK413" s="1832"/>
      <c r="GM413" s="1693" t="b">
        <f ca="1">IF(AND(GP413=TRUE,GQ413=TRUE),TRUE,FALSE)</f>
        <v>0</v>
      </c>
      <c r="GN413" s="1684" t="b">
        <f>IFERROR(IF(__Retrofit_TI_NC=2,TRUE,IF(AU412="Yes",TRUE,FALSE)),FALSE)</f>
        <v>1</v>
      </c>
      <c r="GP413" s="1684" t="b">
        <f>IFERROR(IF(GP412=1,TRUE,FALSE),FALSE)</f>
        <v>0</v>
      </c>
      <c r="GQ413" s="1684" t="b">
        <f ca="1">IFERROR(IF(GQ412=GQ$14,TRUE,FALSE),FALSE)</f>
        <v>0</v>
      </c>
      <c r="HG413" s="1684" t="b">
        <f>IFERROR(IF(AND(__Retrofit_TI_NC&gt;0,CQ412="Interior"),FALSE,TRUE),FALSE)</f>
        <v>1</v>
      </c>
      <c r="HH413" s="1684" t="b">
        <f>IFERROR(IF(M413=1,TRUE,FALSE),FALSE)</f>
        <v>0</v>
      </c>
      <c r="HI413" s="1684" t="b">
        <f>IFERROR(IF(OR(M414=1,N415="BAM"),TRUE,FALSE),FALSE)</f>
        <v>0</v>
      </c>
      <c r="HJ413" s="1684" t="b">
        <f>IFERROR(IF(__Retrofit_TI_NC&lt;&gt;0,TRUE,IFERROR(IF(VLOOKUP(U413,Fixtures_Existing_List,2,FALSE)&lt;&gt;"",TRUE,FALSE),FALSE)),FALSE)</f>
        <v>0</v>
      </c>
      <c r="HK413" s="1684" t="b">
        <f>IFERROR(IF(VLOOKUP(U414,Fixtures_Proposed_List,2,FALSE)&lt;&gt;"",TRUE,FALSE),FALSE)</f>
        <v>0</v>
      </c>
      <c r="HL413" s="1684" t="b">
        <f>IF(AND(__Retrofit_TI_NC=2,FC412=TRUE),FALSE,TRUE)</f>
        <v>1</v>
      </c>
      <c r="HM413" s="1684" t="b">
        <f>GK412</f>
        <v>1</v>
      </c>
      <c r="HN413" s="1682" t="b">
        <f>IF(ISERROR(MATCH(FE412,_Control_Match[],0))=TRUE,FALSE,TRUE)</f>
        <v>0</v>
      </c>
      <c r="HO413" s="1693" t="b">
        <f>IFERROR(IF(EX412&lt;&gt;EY412,FALSE,TRUE),FALSE)</f>
        <v>1</v>
      </c>
      <c r="HP413" s="1693" t="b">
        <f>IFERROR(IF(EX414&lt;&gt;EY414,FALSE,TRUE),FALSE)</f>
        <v>1</v>
      </c>
      <c r="HQ413" s="1670" t="b">
        <f>IFERROR(IF(CQ412="Exterior",TRUE,IF(AND(OR(FM414=0,FM414=3),JD414&gt;6),FALSE,TRUE)),FALSE)</f>
        <v>0</v>
      </c>
      <c r="HR413" s="1684" t="b">
        <f>IFERROR(IF(AND(FO414=7,FC412=TRUE),FALSE,TRUE),FALSE)</f>
        <v>0</v>
      </c>
      <c r="HS413" s="1684" t="b">
        <f>IFERROR(IF(AND(T414&lt;&gt;AF414,OR(AG414="Interior LLLC", AG414="Interior NLC", AG414="LLLC (outside Daylight)",AG414="LLLC Controls Only"))=TRUE,FALSE,TRUE),FALSE)</f>
        <v>1</v>
      </c>
      <c r="HT413" s="1670" t="b">
        <f>IFERROR(IF(OR(AG414=Lookup!BB$17,AG414=Lookup!BB$18,AG414=Lookup!BB$19)=TRUE,IF(AF414&gt;T414,FALSE,TRUE),TRUE),FALSE)</f>
        <v>1</v>
      </c>
      <c r="HU413" s="1684" t="b">
        <f>IFERROR(IF(__Retrofit_TI_NC=2,IF(EZ414&lt;EZ412,FALSE,TRUE),TRUE),FALSE)</f>
        <v>1</v>
      </c>
      <c r="HV413" s="1684" t="b">
        <f>IF(CQ412="Interior",IL$6,TRUE)</f>
        <v>1</v>
      </c>
      <c r="HW413" s="1684" t="b">
        <f>IF(CQ412="Exterior",IL$8,TRUE)</f>
        <v>1</v>
      </c>
      <c r="HX413" s="1684" t="b">
        <f>IFERROR(IF(__Retrofit_TI_NC&lt;&gt;0,IF(AZ412&lt;AY412,FALSE,TRUE),TRUE),FALSE)</f>
        <v>1</v>
      </c>
      <c r="HY413" s="1684" t="b">
        <f>IFERROR(IF(AND(G413="Exterior",R413&gt;4200),FALSE,TRUE),FALSE)</f>
        <v>1</v>
      </c>
      <c r="HZ413" s="1684" t="b">
        <f>IFERROR(IF(AB415/AB412&lt;HZ$18,FALSE,TRUE),FALSE)</f>
        <v>0</v>
      </c>
      <c r="IB413" s="1691"/>
      <c r="IC413" s="1695"/>
      <c r="ID413" s="1694" t="str">
        <f>VLOOKUP(IB415,_Error_Table,4,FALSE)</f>
        <v>White</v>
      </c>
      <c r="IE413" s="391"/>
      <c r="IF413" s="1688"/>
      <c r="IG413" s="1689"/>
      <c r="IH413" s="1684"/>
      <c r="IK413" s="1689"/>
      <c r="IL413" s="1691"/>
      <c r="IM413" s="1691"/>
      <c r="IN413" s="1691"/>
      <c r="IP413" s="1679"/>
      <c r="IQ413" s="1679"/>
      <c r="IR413" s="1679"/>
      <c r="IS413" s="1679"/>
      <c r="IT413" s="1679"/>
      <c r="IU413" s="1679"/>
      <c r="IV413" s="1679"/>
      <c r="IW413" s="1679"/>
      <c r="IX413" s="1679"/>
      <c r="IY413" s="1679"/>
      <c r="IZ413" s="1679"/>
      <c r="JA413" s="1679"/>
      <c r="JC413" s="1680"/>
      <c r="JD413" s="1670"/>
      <c r="JE413" s="1681"/>
      <c r="JG413" s="1680"/>
      <c r="JH413" s="1670"/>
      <c r="JI413" s="1060"/>
      <c r="JJ413" s="1683"/>
      <c r="JK413" s="1061"/>
      <c r="JL413" s="1683"/>
      <c r="JM413" s="1061"/>
      <c r="JN413" s="1683"/>
      <c r="JO413" s="1061"/>
      <c r="JP413" s="1683"/>
      <c r="JQ413" s="1061"/>
      <c r="JR413" s="1683"/>
      <c r="JS413" s="1061"/>
      <c r="JT413" s="1670"/>
      <c r="JU413" s="1061"/>
      <c r="JV413" s="1670"/>
      <c r="JX413" s="1670"/>
      <c r="JZ413" s="1683"/>
      <c r="KB413" s="1670"/>
    </row>
    <row r="414" spans="1:288" s="78" customFormat="1" ht="14.95" customHeight="1" thickTop="1" thickBot="1">
      <c r="A414" s="78">
        <f>ROW()</f>
        <v>414</v>
      </c>
      <c r="B414" s="1845"/>
      <c r="C414" s="1846"/>
      <c r="D414" s="1847"/>
      <c r="E414" s="1737" t="s">
        <v>298</v>
      </c>
      <c r="F414" s="1738"/>
      <c r="G414" s="1760"/>
      <c r="H414" s="1761"/>
      <c r="I414" s="1761"/>
      <c r="J414" s="1761"/>
      <c r="K414" s="1761"/>
      <c r="L414" s="1762"/>
      <c r="M414" s="461">
        <f>IFERROR(IF(IF(__Retrofit_TI_NC&lt;&gt;0,IF(CQ412="Interior",MATCH(G414,Lookup_Interior_New,0),MATCH(G414,Lookup_Exterior_New,0)),IF(CQ412="Interior",MATCH(G414,Lookup_Interior,0),MATCH(G414,Lookup_Exterior_Areas,0)))&gt;0,1,0),0)</f>
        <v>0</v>
      </c>
      <c r="N414" s="461" t="e">
        <f>IF(__Retrofit_TI_NC=1,
VLOOKUP(G414,'Space Table'!$B$3:$L$163,4,FALSE),
IF(__Retrofit_TI_NC=2,VLOOKUP(G414,'Space Table'!$B$3:$L$163,5,FALSE),VLOOKUP(G414,'Space Table'!$B$3:$L$163,5,FALSE)))</f>
        <v>#N/A</v>
      </c>
      <c r="O414" s="461">
        <f>G414</f>
        <v>0</v>
      </c>
      <c r="P414" s="1738" t="str">
        <f>IFERROR(IF(__Retrofit_TI_NC=1,VLOOKUP(G414,'Space Table'!$B$3:$O$163,13,FALSE),IF(__Retrofit_TI_NC=2,VLOOKUP(G414,'Space Table'!$B$3:$O$163,14,FALSE),"Area (sf):")),"Area (sf):")</f>
        <v>Area (sf):</v>
      </c>
      <c r="Q414" s="1738"/>
      <c r="R414" s="596"/>
      <c r="S414" s="1763" t="s">
        <v>345</v>
      </c>
      <c r="T414" s="594"/>
      <c r="U414" s="1801"/>
      <c r="V414" s="1802"/>
      <c r="W414" s="1802"/>
      <c r="X414" s="1802"/>
      <c r="Y414" s="1802"/>
      <c r="Z414" s="1802"/>
      <c r="AA414" s="1802"/>
      <c r="AB414" s="1802"/>
      <c r="AC414" s="1802"/>
      <c r="AD414" s="1802"/>
      <c r="AE414" s="1803"/>
      <c r="AF414" s="594"/>
      <c r="AG414" s="1787"/>
      <c r="AH414" s="1787"/>
      <c r="AI414" s="1787"/>
      <c r="AJ414" s="1787"/>
      <c r="AK414" s="1787"/>
      <c r="AL414" s="1787"/>
      <c r="AM414" s="1726">
        <f>IFERROR(DI414,"")</f>
        <v>0</v>
      </c>
      <c r="AN414" s="1728" t="str">
        <f>IFERROR(ROUND(AM414*AC415,0),"")</f>
        <v/>
      </c>
      <c r="AO414" s="1730">
        <f>IFERROR(IF(IB412=FALSE,0,AC415-AN414),0)</f>
        <v>0</v>
      </c>
      <c r="AP414" s="1780"/>
      <c r="AQ414" s="1781"/>
      <c r="AR414" s="1795"/>
      <c r="AS414" s="1795"/>
      <c r="AT414" s="1796"/>
      <c r="AU414" s="1735"/>
      <c r="AV414" s="1752"/>
      <c r="AW414" s="1705"/>
      <c r="AX414" s="467"/>
      <c r="AY414" s="1749"/>
      <c r="AZ414" s="1749"/>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696"/>
      <c r="CQ414" s="1696"/>
      <c r="CR414" s="1808" t="str">
        <f>CQ412</f>
        <v/>
      </c>
      <c r="CS414" s="1810" t="str">
        <f>CS412</f>
        <v/>
      </c>
      <c r="CU414" s="1688" t="s">
        <v>345</v>
      </c>
      <c r="CV414" s="1702">
        <f>IF(IB412=TRUE,T414,0)</f>
        <v>0</v>
      </c>
      <c r="CW414" s="1702" t="str">
        <f>IF(IB412=TRUE,U414,"")</f>
        <v/>
      </c>
      <c r="CX414" s="1812">
        <f>IF(IB412=TRUE,U415,0)</f>
        <v>0</v>
      </c>
      <c r="CY414" s="1814">
        <f>IF(IB412=TRUE,AB415,0)</f>
        <v>0</v>
      </c>
      <c r="CZ414" s="1710">
        <f>IF(AND(__Retrofit_TI_NC&gt;0,CR412="interior"),0,IF(IB412=TRUE,AC415,0))</f>
        <v>0</v>
      </c>
      <c r="DA414" s="1818"/>
      <c r="DB414" s="1820"/>
      <c r="DC414" s="1820"/>
      <c r="DD414" s="1820"/>
      <c r="DF414" s="1702">
        <f>IF(IB412=TRUE,AF414,0)</f>
        <v>0</v>
      </c>
      <c r="DG414" s="1830" t="str">
        <f>IF(IB412=TRUE,AG414,"")</f>
        <v/>
      </c>
      <c r="DH414" s="1812">
        <f>AG415</f>
        <v>0</v>
      </c>
      <c r="DI414" s="1837">
        <f>JE414</f>
        <v>0</v>
      </c>
      <c r="DJ414" s="1710">
        <f>IF(AND(__Retrofit_TI_NC&gt;0,CR412="interior"),0,IF(IB412=TRUE,AN414,0))</f>
        <v>0</v>
      </c>
      <c r="DK414" s="1712"/>
      <c r="DN414" s="1717">
        <f>IFERROR(CZ414-DJ414,0)</f>
        <v>0</v>
      </c>
      <c r="DO414" s="1709"/>
      <c r="DQ414" s="1715"/>
      <c r="DR414" s="1719" t="str">
        <f>DQ412</f>
        <v/>
      </c>
      <c r="DS414" s="1816"/>
      <c r="DT414" s="1835" t="str">
        <f>IF(OR(DS412=7,DS412=8,DS412=9),"ALC","")</f>
        <v/>
      </c>
      <c r="DU414" s="1715"/>
      <c r="DV414" s="1716"/>
      <c r="DX414" s="1715"/>
      <c r="DY414" s="1829" t="str">
        <f>DX412</f>
        <v/>
      </c>
      <c r="DZ414" s="1715"/>
      <c r="EA414" s="1715"/>
      <c r="EC414" s="1834"/>
      <c r="ED414" s="1834"/>
      <c r="EF414" s="1707"/>
      <c r="EG414" s="1712"/>
      <c r="EH414" s="1818"/>
      <c r="EI414" s="1712"/>
      <c r="EJ414" s="1712"/>
      <c r="EK414" s="1836"/>
      <c r="EL414" s="1836"/>
      <c r="EM414" s="1807"/>
      <c r="EN414" s="1839"/>
      <c r="EO414" s="1839"/>
      <c r="EP414" s="1817"/>
      <c r="EQ414" s="1817"/>
      <c r="ER414" s="1807"/>
      <c r="ES414" s="1807"/>
      <c r="ET414" s="1807"/>
      <c r="EV414" s="1715"/>
      <c r="EX414" s="1805" t="str">
        <f>IFERROR(VLOOKUP(CS414,'Space Table'!$B$3:$L$163,8,FALSE),"")</f>
        <v/>
      </c>
      <c r="EY414" s="1805" t="str">
        <f>IFERROR(IF(FB414="Yes",VLOOKUP(AG414,Lookup_Control_Type_Table2,4,FALSE),VLOOKUP(AG414,Lookup_Control_Type_Table2,3,FALSE)),"")</f>
        <v/>
      </c>
      <c r="EZ414" s="1805" t="e">
        <f>VLOOKUP(AG414,Lookup!BB$3:BC$20,2,FALSE)</f>
        <v>#N/A</v>
      </c>
      <c r="FA414" s="1805" t="e">
        <f>VLOOKUP(EX412,Lookup_Control_Type_Table,2,FALSE)</f>
        <v>#N/A</v>
      </c>
      <c r="FB414" s="1805" t="e">
        <f>VLOOKUP(CS414,'Space Table'!$B$3:$L$163,7,FALSE)</f>
        <v>#N/A</v>
      </c>
      <c r="FC414" s="1827"/>
      <c r="FE414" s="1698" t="str">
        <f>CONCATENATE(CQ412," - ",AG414)</f>
        <v xml:space="preserve"> - </v>
      </c>
      <c r="FG414" s="1816"/>
      <c r="FH414" s="1816"/>
      <c r="FI414" s="133"/>
      <c r="FL414" s="1822" t="str">
        <f>IF(CQ412="Exterior","Not Daylighted",G415)</f>
        <v>Not Daylighted</v>
      </c>
      <c r="FM414" s="1824">
        <f>VLOOKUP(FL414,_New_Daylight_Table_Codes,2,FALSE)</f>
        <v>0</v>
      </c>
      <c r="FN414" s="1698">
        <f>AG414</f>
        <v>0</v>
      </c>
      <c r="FO414" s="1698" t="e">
        <f>VLOOKUP(FN414,_Control_Table,2,FALSE)</f>
        <v>#N/A</v>
      </c>
      <c r="FP414" s="1678" t="e">
        <f>VLOOKUP(CONCATENATE(FL414," ",FN414),Lookup!AY$102:AZ425,2,FALSE)</f>
        <v>#N/A</v>
      </c>
      <c r="FQ414" s="1698">
        <f>IF(__Retrofit_TI_NC=0,FN414,IF(AND(FT414&gt;0,FN414="Occupancy Sensor"),"Daylight + Occupancy",IF(AND(FT414&gt;0,FO414&lt;4),"Interior Daylight Dimming",FN414)))</f>
        <v>0</v>
      </c>
      <c r="FS414" s="1686">
        <f>IF(CQ412="Interior",VLOOKUP(CS412,Control_Savings_Interior,5,FALSE),0)</f>
        <v>0</v>
      </c>
      <c r="FT414" s="1687">
        <f>IF(CQ414="Exterior",0,IF(FM414=2,0.5,IF(OR(FM414=1,FM414=3),1,0)))</f>
        <v>0</v>
      </c>
      <c r="FU414" s="1685">
        <f>IF(R413&gt;FS$44,(FS414*(FS$44/R413)),FS414)*FT414</f>
        <v>0</v>
      </c>
      <c r="FV414" s="1686">
        <f>DI414</f>
        <v>0</v>
      </c>
      <c r="FW414" s="1686">
        <f>ROUND(FV414+((1-FV414)*FU414),2)</f>
        <v>0</v>
      </c>
      <c r="FX414" s="1686">
        <f>IF(__Retrofit_TI_NC=2,FW414,FV414)</f>
        <v>0</v>
      </c>
      <c r="FY414" s="1697">
        <f>IF(CR414="Interior",VLOOKUP(CS414,Control_Savings_Interior,4,FALSE),0)</f>
        <v>0</v>
      </c>
      <c r="GA414" s="1696"/>
      <c r="GB414" s="1696"/>
      <c r="GC414" s="1696"/>
      <c r="GD414" s="1696"/>
      <c r="GE414" s="1696"/>
      <c r="GF414" s="1696"/>
      <c r="GG414" s="1696"/>
      <c r="GH414" s="1696"/>
      <c r="GI414" s="673" t="b">
        <f>IF(ISNUMBER(SEARCH("TLED",U414)),TRUE,FALSE)</f>
        <v>0</v>
      </c>
      <c r="GJ414" s="1135" t="str">
        <f>IFERROR(VLOOKUP(U414,Fixtures!DM$93:DR$142,6,FALSE),"")</f>
        <v/>
      </c>
      <c r="GK414" s="1832"/>
      <c r="GM414" s="1692"/>
      <c r="GN414" s="1684"/>
      <c r="GP414" s="1684"/>
      <c r="GQ414" s="1684"/>
      <c r="HG414" s="1684"/>
      <c r="HH414" s="1684"/>
      <c r="HI414" s="1684"/>
      <c r="HJ414" s="1684"/>
      <c r="HK414" s="1684"/>
      <c r="HL414" s="1684"/>
      <c r="HM414" s="1684"/>
      <c r="HN414" s="1683"/>
      <c r="HO414" s="1692"/>
      <c r="HP414" s="1692"/>
      <c r="HQ414" s="1670"/>
      <c r="HR414" s="1684"/>
      <c r="HS414" s="1684"/>
      <c r="HT414" s="1670"/>
      <c r="HU414" s="1684"/>
      <c r="HV414" s="1684"/>
      <c r="HW414" s="1684"/>
      <c r="HX414" s="1684"/>
      <c r="HY414" s="1684"/>
      <c r="HZ414" s="1684"/>
      <c r="IB414" s="1692"/>
      <c r="IC414" s="1693" t="b">
        <f>IB412</f>
        <v>0</v>
      </c>
      <c r="ID414" s="1695"/>
      <c r="IE414" s="391"/>
      <c r="IF414" s="1688"/>
      <c r="IG414" s="1689">
        <f ca="1">IF(IF412=TRUE,AC415,0)</f>
        <v>0</v>
      </c>
      <c r="IH414" s="1684"/>
      <c r="IK414" s="1689" t="e">
        <f>ROUND(T414*AB415*N413*R413/1000,0)</f>
        <v>#VALUE!</v>
      </c>
      <c r="IL414" s="1691"/>
      <c r="IM414" s="1693" t="e">
        <f>ROUND(T414*AB415*N413*R413/1000,0)</f>
        <v>#VALUE!</v>
      </c>
      <c r="IN414" s="1691"/>
      <c r="IP414" s="1679"/>
      <c r="IQ414" s="1679" t="e">
        <f t="shared" ref="IQ414:IU414" si="367">IF($CR414="interior",VLOOKUP($CS414,_New_Control_Savings_Interior,IQ$30,FALSE),VLOOKUP($CS414,Control_Savings_Exterior,IQ$30,FALSE))</f>
        <v>#N/A</v>
      </c>
      <c r="IR414" s="1679" t="e">
        <f t="shared" si="367"/>
        <v>#N/A</v>
      </c>
      <c r="IS414" s="1679" t="e">
        <f t="shared" si="367"/>
        <v>#N/A</v>
      </c>
      <c r="IT414" s="1679" t="e">
        <f t="shared" si="367"/>
        <v>#N/A</v>
      </c>
      <c r="IU414" s="1679" t="e">
        <f t="shared" si="367"/>
        <v>#N/A</v>
      </c>
      <c r="IV414" s="1679" t="e">
        <f>IF($CR414="interior",IF(R413&gt;$IP$14,ROUND(($IV$18*($IP$14/R413)),2),$IV$18),VLOOKUP($CS414,Control_Savings_Exterior,IV$30,FALSE))</f>
        <v>#N/A</v>
      </c>
      <c r="IW414" s="1679" t="e">
        <f>IF($CR414="interior",ROUND(((1-IS414)*IV414)+IS414,2),VLOOKUP($CS414,Control_Savings_Exterior,IW$30,FALSE))</f>
        <v>#N/A</v>
      </c>
      <c r="IX414" s="1679" t="e">
        <f>IF($CR414="interior",ROUND(((1-IT414)*IV414)+IT414,2),VLOOKUP($CS414,Control_Savings_Exterior,IX$30,FALSE))</f>
        <v>#N/A</v>
      </c>
      <c r="IY414" s="1679" t="e">
        <f>IF($CR414="interior",IF(R413&gt;$IP$14,ROUND(($IY$18*($IP$14/R413)),2),$IY$18),VLOOKUP($CS414,Control_Savings_Exterior,IY$30,FALSE))</f>
        <v>#N/A</v>
      </c>
      <c r="IZ414" s="1679" t="e">
        <f>IF($CR414="interior",ROUND(((1-IS414)*IY414)+IS414,2),VLOOKUP($CS414,Control_Savings_Exterior,IZ$30,FALSE))</f>
        <v>#N/A</v>
      </c>
      <c r="JA414" s="1679" t="e">
        <f>IF($CR414="interior",ROUND(((1-IT414)*IY414)+IT414,2),VLOOKUP($CS414,Control_Savings_Exterior,JA$30,FALSE))</f>
        <v>#N/A</v>
      </c>
      <c r="JC414" s="1680">
        <f>IFERROR(IF(CR414="Interior",CONCATENATE(G415," ",FQ414),AG414),"")</f>
        <v>0</v>
      </c>
      <c r="JD414" s="1670" t="str">
        <f>IFERROR(VLOOKUP(JC414,_Controls_2023,2,FALSE),"")</f>
        <v/>
      </c>
      <c r="JE414" s="1681">
        <f>IFERROR(CHOOSE(JD414-1,IQ414,IR414,IS414,IT414,IU414,IV414,IW414,IX414,IY414,IZ414,JA414),0)</f>
        <v>0</v>
      </c>
      <c r="JG414" s="1680" t="str">
        <f>FE414</f>
        <v xml:space="preserve"> - </v>
      </c>
      <c r="JH414" s="1670" t="e">
        <f>$FO414</f>
        <v>#N/A</v>
      </c>
      <c r="JI414" s="1060"/>
      <c r="JJ414" s="1670">
        <f>IFERROR(IF($IB412=TRUE,IF(OR(JJ$14="No",JJ412=FALSE,JH414&lt;=JH412,AND(_kWh_Grant=0,GD412=FALSE)),0,IF(JJ$8="Per Line",1,$AF414)),0),0)</f>
        <v>0</v>
      </c>
      <c r="JK414" s="1061"/>
      <c r="JL414" s="1670">
        <f>IFERROR(IF(_kWh_Grant=0,0,IF($IB412=TRUE,IF(OR(JL$14="No",JL412=FALSE,JH414&lt;=JH412),0,IF(JL$8="Per Line",1,$T414)),0)),0)</f>
        <v>0</v>
      </c>
      <c r="JM414" s="1061"/>
      <c r="JN414" s="1670">
        <f>IFERROR(IF(_kWh_Grant=0,0,IF($IB412=TRUE,IF(OR(JN$14="No",JN412=FALSE,JH414&lt;=JH412),0,IF(JN$8="Per Line",1,$AF414)),0)),0)</f>
        <v>0</v>
      </c>
      <c r="JO414" s="1061"/>
      <c r="JP414" s="1670">
        <f>IFERROR(IF(__Retrofit_TI_NC=0,IF(_kWh_Grant=0,0,IF($IB412=TRUE,IF(OR(JP$14="No",JP412=FALSE,$JH414&lt;=$JH412),0,IF(JP$8="Per Line",1,$AF414)),0)),IF($IB412=TRUE,IF(OR(JP$14="No",JP412=FALSE,$JH414&lt;=$JH412),0,IF(JP$8="Per Line",1,$AF414)))),0)</f>
        <v>0</v>
      </c>
      <c r="JQ414" s="1061"/>
      <c r="JR414" s="1670">
        <f>IFERROR(IF(__Retrofit_TI_NC=0,IF(_kWh_Grant=0,0,IF($IB412=TRUE,IF(OR(JR$14="No",JR412=FALSE,$JH414&lt;=$JH412),0,IF(JR$8="Per Line",1,$AF414)),0)),IF($IB412=TRUE,IF(OR(JR$14="No",JR412=FALSE,$JH414&lt;=$JH412),0,IF(JR$8="Per Line",1,$AF414)))),0)</f>
        <v>0</v>
      </c>
      <c r="JS414" s="1061"/>
      <c r="JT414" s="1670">
        <f>IFERROR(IF(__Retrofit_TI_NC=0,IF(_kWh_Grant=0,0,IF($IB412=TRUE,IF(OR(JT$14="No",JT412=FALSE,$JH414&lt;=$JH412),0,IF(JT$8="Per Line",1,$AF414)),0)),IF($IB412=TRUE,IF(OR(JT$14="No",JT412=FALSE,$JH414&lt;=$JH412),0,IF(JT$8="Per Line",1,$AF414)))),0)</f>
        <v>0</v>
      </c>
      <c r="JU414" s="1061"/>
      <c r="JV414" s="1670">
        <f>IFERROR(IF(__Retrofit_TI_NC=0,IF(_kWh_Grant=0,0,IF($IB412=TRUE,IF(OR(JV$14="No",JV412=FALSE,$JH414&lt;=$JH412),0,IF(JV$8="Per Line",1,$AF414)),0)),IF($IB412=TRUE,IF(OR(JV$14="No",JV412=FALSE,$JH414&lt;=$JH412),0,IF(JV$8="Per Line",1,$AF414)))),0)</f>
        <v>0</v>
      </c>
      <c r="JX414" s="1670">
        <f>IFERROR(IF(__Retrofit_TI_NC=0,IF(_kWh_Grant=0,0,IF($IB412=TRUE,IF(OR(JX$14="No",JX412=FALSE,$JH414&lt;=$JH412),0,IF(JX$8="Per Line",1,$AF414)),0)),IF($IB412=TRUE,IF(OR(JX$14="No",JX412=FALSE,$JH414&lt;=$JH412),0,IF(JX$8="Per Line",1,$AF414)))),0)</f>
        <v>0</v>
      </c>
      <c r="JZ414" s="1670">
        <f>IFERROR(IF($IB412=TRUE,IF(OR(JZ$14="No",JZ412=FALSE,$JH414&lt;=$JH412,AND(_kWh_Grant=0,$GD412=FALSE)),0,IF(JZ$8="Per Line",1,$AF414)),0),0)</f>
        <v>0</v>
      </c>
      <c r="KB414" s="1670">
        <f>IFERROR(IF(__Retrofit_TI_NC=0,IF(_kWh_Grant=0,0,IF($IB412=TRUE,IF(OR(KB$14="No",KB412=FALSE,$JH414&lt;=$JH412),0,IF(KB$8="Per Line",1,$AF414)),0)),IF($IB412=TRUE,IF(OR(KB$14="No",KB412=FALSE,$JH414&lt;=$JH412),0,IF(KB$8="Per Line",1,$AF414)))),0)</f>
        <v>0</v>
      </c>
    </row>
    <row r="415" spans="1:288" s="78" customFormat="1" ht="14.95" customHeight="1" thickTop="1" thickBot="1">
      <c r="B415" s="1845"/>
      <c r="C415" s="1846"/>
      <c r="D415" s="1847"/>
      <c r="E415" s="1771" t="s">
        <v>436</v>
      </c>
      <c r="F415" s="1772"/>
      <c r="G415" s="1784" t="s">
        <v>437</v>
      </c>
      <c r="H415" s="1785"/>
      <c r="I415" s="1785"/>
      <c r="J415" s="1785"/>
      <c r="K415" s="1785"/>
      <c r="L415" s="1786"/>
      <c r="M415" s="591">
        <f>IFERROR(VLOOKUP(G415,_Daylight_Table[],2,FALSE),0)</f>
        <v>0</v>
      </c>
      <c r="N415" s="592" t="str">
        <f>IF(AND(__Retrofit_TI_NC&gt;0,CQ412="Interior"),"BAM","")</f>
        <v/>
      </c>
      <c r="O415" s="591" t="e">
        <f>VLOOKUP(G414,'Space Table'!$B$3:$L$163,11,FALSE)</f>
        <v>#N/A</v>
      </c>
      <c r="P415" s="1789"/>
      <c r="Q415" s="1790"/>
      <c r="R415" s="1790"/>
      <c r="S415" s="1788"/>
      <c r="T415" s="593" t="s">
        <v>342</v>
      </c>
      <c r="U415" s="1756" t="str" cm="1">
        <f t="array" aca="1" ref="U415" ca="1">IFERROR(VLOOKUP(INDIRECT("U" &amp; ROW()-1),Fixtures!DM$93:DP$142,4,FALSE),"")</f>
        <v/>
      </c>
      <c r="V415" s="1757"/>
      <c r="W415" s="1757"/>
      <c r="X415" s="1757"/>
      <c r="Y415" s="1757"/>
      <c r="Z415" s="1757"/>
      <c r="AA415" s="1758"/>
      <c r="AB415" s="939" t="str">
        <f>IFERROR(VLOOKUP(U414,Fixtures_Proposed_List,2,FALSE),"")</f>
        <v/>
      </c>
      <c r="AC415" s="933" t="str">
        <f>IFERROR(ROUND(T414*AB415*N413*R413/1000,0),"")</f>
        <v/>
      </c>
      <c r="AD415" s="934" t="str">
        <f>IFERROR(ROUND(T414*AB415/1000,2),"")</f>
        <v/>
      </c>
      <c r="AE415" s="998"/>
      <c r="AF415" s="938" t="s">
        <v>342</v>
      </c>
      <c r="AG415" s="1770"/>
      <c r="AH415" s="1770"/>
      <c r="AI415" s="1770"/>
      <c r="AJ415" s="1770"/>
      <c r="AK415" s="1770"/>
      <c r="AL415" s="1770"/>
      <c r="AM415" s="1727"/>
      <c r="AN415" s="1729"/>
      <c r="AO415" s="1731"/>
      <c r="AP415" s="1782"/>
      <c r="AQ415" s="1783"/>
      <c r="AR415" s="1797"/>
      <c r="AS415" s="1797"/>
      <c r="AT415" s="1798"/>
      <c r="AU415" s="1736"/>
      <c r="AV415" s="1753"/>
      <c r="AW415" s="1706"/>
      <c r="AX415" s="468"/>
      <c r="AY415" s="1750"/>
      <c r="AZ415" s="1750"/>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696"/>
      <c r="CQ415" s="1696"/>
      <c r="CR415" s="1809"/>
      <c r="CS415" s="1811"/>
      <c r="CU415" s="1688"/>
      <c r="CV415" s="1703"/>
      <c r="CW415" s="1703"/>
      <c r="CX415" s="1813"/>
      <c r="CY415" s="1815"/>
      <c r="CZ415" s="1711"/>
      <c r="DA415" s="1815"/>
      <c r="DB415" s="1821"/>
      <c r="DC415" s="1821"/>
      <c r="DD415" s="1821"/>
      <c r="DF415" s="1703"/>
      <c r="DG415" s="1831"/>
      <c r="DH415" s="1813"/>
      <c r="DI415" s="1838"/>
      <c r="DJ415" s="1711"/>
      <c r="DK415" s="1712"/>
      <c r="DN415" s="1718"/>
      <c r="DO415" s="1709"/>
      <c r="DQ415" s="1715"/>
      <c r="DR415" s="1720"/>
      <c r="DS415" s="1703"/>
      <c r="DT415" s="1714"/>
      <c r="DU415" s="1715"/>
      <c r="DV415" s="1716"/>
      <c r="DX415" s="1715"/>
      <c r="DY415" s="1720"/>
      <c r="DZ415" s="1715"/>
      <c r="EA415" s="1715"/>
      <c r="EC415" s="1834"/>
      <c r="ED415" s="1834"/>
      <c r="EF415" s="1707"/>
      <c r="EG415" s="1712"/>
      <c r="EH415" s="1815"/>
      <c r="EI415" s="1712"/>
      <c r="EJ415" s="1712"/>
      <c r="EK415" s="1813"/>
      <c r="EL415" s="1813"/>
      <c r="EM415" s="1807"/>
      <c r="EN415" s="1839"/>
      <c r="EO415" s="1839"/>
      <c r="EP415" s="1817"/>
      <c r="EQ415" s="1817"/>
      <c r="ER415" s="1807"/>
      <c r="ES415" s="1807"/>
      <c r="ET415" s="1807"/>
      <c r="EV415" s="1715"/>
      <c r="EX415" s="1806"/>
      <c r="EY415" s="1806"/>
      <c r="EZ415" s="1806"/>
      <c r="FA415" s="1806"/>
      <c r="FB415" s="1806"/>
      <c r="FC415" s="1828"/>
      <c r="FE415" s="1698"/>
      <c r="FG415" s="1703"/>
      <c r="FH415" s="1703"/>
      <c r="FI415" s="133"/>
      <c r="FL415" s="1823"/>
      <c r="FM415" s="1825"/>
      <c r="FN415" s="1698"/>
      <c r="FO415" s="1698"/>
      <c r="FP415" s="1678"/>
      <c r="FQ415" s="1698"/>
      <c r="FS415" s="1687"/>
      <c r="FT415" s="1687"/>
      <c r="FU415" s="1685"/>
      <c r="FV415" s="1687"/>
      <c r="FW415" s="1687"/>
      <c r="FX415" s="1687"/>
      <c r="FY415" s="1697"/>
      <c r="GA415" s="1696"/>
      <c r="GB415" s="1696"/>
      <c r="GC415" s="1696"/>
      <c r="GD415" s="1696"/>
      <c r="GE415" s="1696"/>
      <c r="GF415" s="1696"/>
      <c r="GG415" s="1696"/>
      <c r="GH415" s="1696"/>
      <c r="GI415" s="673"/>
      <c r="GJ415" s="1135"/>
      <c r="GK415" s="1832"/>
      <c r="GN415" s="674">
        <f>IF(GN413=TRUE,0,GN$16)</f>
        <v>0</v>
      </c>
      <c r="GP415" s="674">
        <f>IF(GP413=TRUE,0,GP$16)</f>
        <v>36</v>
      </c>
      <c r="GQ415" s="674">
        <f ca="1">IF(GQ413=TRUE,0,GQ$16)</f>
        <v>35</v>
      </c>
      <c r="GR415" s="391"/>
      <c r="GS415" s="391"/>
      <c r="GT415" s="391"/>
      <c r="GU415" s="391"/>
      <c r="GV415" s="391"/>
      <c r="HG415" s="674">
        <f>IF(HG413=TRUE,0,HG$16)</f>
        <v>0</v>
      </c>
      <c r="HH415" s="674">
        <f t="shared" ref="HH415:HM415" si="368">IF(HH413=TRUE,0,HH$16)</f>
        <v>19</v>
      </c>
      <c r="HI415" s="674">
        <f t="shared" si="368"/>
        <v>18</v>
      </c>
      <c r="HJ415" s="674">
        <f t="shared" si="368"/>
        <v>17</v>
      </c>
      <c r="HK415" s="674">
        <f t="shared" si="368"/>
        <v>16</v>
      </c>
      <c r="HL415" s="674">
        <f t="shared" si="368"/>
        <v>0</v>
      </c>
      <c r="HM415" s="674">
        <f t="shared" si="368"/>
        <v>0</v>
      </c>
      <c r="HN415" s="674">
        <f>IF(HN413=TRUE,0,HN$16)</f>
        <v>13</v>
      </c>
      <c r="HO415" s="674">
        <f t="shared" ref="HO415:HQ415" si="369">IF(HO413=TRUE,0,HO$16)</f>
        <v>0</v>
      </c>
      <c r="HP415" s="674">
        <f t="shared" si="369"/>
        <v>0</v>
      </c>
      <c r="HQ415" s="674">
        <f t="shared" si="369"/>
        <v>10</v>
      </c>
      <c r="HR415" s="674">
        <f>IF(HR413=TRUE,0,HR$16)</f>
        <v>9</v>
      </c>
      <c r="HS415" s="674">
        <f t="shared" ref="HS415:HW415" si="370">IF(HS413=TRUE,0,HS$16)</f>
        <v>0</v>
      </c>
      <c r="HT415" s="674">
        <f t="shared" si="370"/>
        <v>0</v>
      </c>
      <c r="HU415" s="674">
        <f t="shared" si="370"/>
        <v>0</v>
      </c>
      <c r="HV415" s="674">
        <f t="shared" si="370"/>
        <v>0</v>
      </c>
      <c r="HW415" s="674">
        <f t="shared" si="370"/>
        <v>0</v>
      </c>
      <c r="HX415" s="674">
        <f>IF(HX413=TRUE,0,HX$16)</f>
        <v>0</v>
      </c>
      <c r="HY415" s="674">
        <f>IF(HY413=TRUE,0,HY$16)</f>
        <v>0</v>
      </c>
      <c r="HZ415" s="674">
        <f>IF(HZ413=TRUE,0,HZ$16)</f>
        <v>1</v>
      </c>
      <c r="IB415" s="674">
        <f>IF(GP413=FALSE,GP415,IF(GQ413=FALSE,GQ415,MAX(GN415:HZ415)))</f>
        <v>36</v>
      </c>
      <c r="IC415" s="1692"/>
      <c r="ID415" s="205" t="str">
        <f>VLOOKUP(IB415,_Error_Table,3,FALSE)</f>
        <v xml:space="preserve"> </v>
      </c>
      <c r="IE415" s="205"/>
      <c r="IF415" s="1688"/>
      <c r="IG415" s="1689"/>
      <c r="IH415" s="1684"/>
      <c r="IK415" s="1689"/>
      <c r="IL415" s="1692"/>
      <c r="IM415" s="1692"/>
      <c r="IN415" s="1692"/>
      <c r="IP415" s="1679"/>
      <c r="IQ415" s="1679"/>
      <c r="IR415" s="1679"/>
      <c r="IS415" s="1679"/>
      <c r="IT415" s="1679"/>
      <c r="IU415" s="1679"/>
      <c r="IV415" s="1679"/>
      <c r="IW415" s="1679"/>
      <c r="IX415" s="1679"/>
      <c r="IY415" s="1679"/>
      <c r="IZ415" s="1679"/>
      <c r="JA415" s="1679"/>
      <c r="JC415" s="1680"/>
      <c r="JD415" s="1670"/>
      <c r="JE415" s="1681"/>
      <c r="JG415" s="1680"/>
      <c r="JH415" s="1670"/>
      <c r="JI415" s="1060"/>
      <c r="JJ415" s="1670"/>
      <c r="JK415" s="1061"/>
      <c r="JL415" s="1670"/>
      <c r="JM415" s="1061"/>
      <c r="JN415" s="1670"/>
      <c r="JO415" s="1061"/>
      <c r="JP415" s="1670"/>
      <c r="JQ415" s="1061"/>
      <c r="JR415" s="1670"/>
      <c r="JS415" s="1061"/>
      <c r="JT415" s="1670"/>
      <c r="JU415" s="1061"/>
      <c r="JV415" s="1670"/>
      <c r="JX415" s="1670"/>
      <c r="JZ415" s="1670"/>
      <c r="KB415" s="1670"/>
    </row>
    <row r="416" spans="1:288" s="78" customFormat="1" ht="5.0999999999999996" customHeight="1">
      <c r="B416" s="676"/>
      <c r="C416" s="392"/>
      <c r="D416" s="392"/>
      <c r="E416" s="1733"/>
      <c r="F416" s="1733"/>
      <c r="G416" s="1733"/>
      <c r="H416" s="1733"/>
      <c r="I416" s="1733"/>
      <c r="J416" s="1733"/>
      <c r="K416" s="1733"/>
      <c r="L416" s="1733"/>
      <c r="M416" s="1733"/>
      <c r="N416" s="1733"/>
      <c r="O416" s="1733"/>
      <c r="P416" s="1733"/>
      <c r="Q416" s="1733"/>
      <c r="R416" s="1733"/>
      <c r="S416" s="1733"/>
      <c r="T416" s="1733"/>
      <c r="U416" s="1733"/>
      <c r="V416" s="1733"/>
      <c r="W416" s="1733"/>
      <c r="X416" s="1733"/>
      <c r="Y416" s="1733"/>
      <c r="Z416" s="1733"/>
      <c r="AA416" s="1733"/>
      <c r="AB416" s="1733"/>
      <c r="AC416" s="1733"/>
      <c r="AD416" s="1733"/>
      <c r="AE416" s="1733"/>
      <c r="AF416" s="1733"/>
      <c r="AG416" s="1733"/>
      <c r="AH416" s="1733"/>
      <c r="AI416" s="1733"/>
      <c r="AJ416" s="1733"/>
      <c r="AK416" s="1733"/>
      <c r="AL416" s="1733"/>
      <c r="AM416" s="1733"/>
      <c r="AN416" s="1733"/>
      <c r="AO416" s="1733"/>
      <c r="AP416" s="1733"/>
      <c r="AQ416" s="1733"/>
      <c r="AR416" s="1733"/>
      <c r="AS416" s="1733"/>
      <c r="AT416" s="1733"/>
      <c r="AU416" s="1733"/>
      <c r="AV416" s="1733"/>
      <c r="AW416" s="1733"/>
      <c r="AX416" s="469"/>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663"/>
      <c r="CQ416" s="663"/>
      <c r="CR416" s="438"/>
      <c r="CS416" s="663"/>
      <c r="CV416" s="391"/>
      <c r="CW416" s="391"/>
      <c r="CX416" s="207"/>
      <c r="CY416" s="208"/>
      <c r="CZ416" s="208"/>
      <c r="DA416" s="208"/>
      <c r="DB416" s="209"/>
      <c r="DC416" s="209"/>
      <c r="DD416" s="209"/>
      <c r="DF416" s="664"/>
      <c r="DG416" s="665"/>
      <c r="DH416" s="666"/>
      <c r="DI416" s="667"/>
      <c r="DJ416" s="668"/>
      <c r="DK416" s="668"/>
      <c r="DN416" s="208"/>
      <c r="DO416" s="664"/>
      <c r="DQ416" s="664"/>
      <c r="DR416" s="669"/>
      <c r="DS416" s="391"/>
      <c r="DT416" s="664"/>
      <c r="DU416" s="664"/>
      <c r="DV416" s="664"/>
      <c r="DX416" s="664"/>
      <c r="DY416" s="664"/>
      <c r="DZ416" s="664"/>
      <c r="EA416" s="664"/>
      <c r="EC416" s="670"/>
      <c r="ED416" s="670"/>
      <c r="EF416" s="668"/>
      <c r="EG416" s="668"/>
      <c r="EH416" s="208"/>
      <c r="EI416" s="668"/>
      <c r="EJ416" s="668"/>
      <c r="EK416" s="207"/>
      <c r="EL416" s="207"/>
      <c r="EM416" s="666"/>
      <c r="EN416" s="671"/>
      <c r="EO416" s="671"/>
      <c r="EP416" s="672"/>
      <c r="EQ416" s="672"/>
      <c r="ER416" s="666"/>
      <c r="ES416" s="666"/>
      <c r="ET416" s="666"/>
      <c r="EV416" s="664"/>
      <c r="EX416" s="391"/>
      <c r="EY416" s="391"/>
      <c r="EZ416" s="391"/>
      <c r="FA416" s="391"/>
      <c r="FB416" s="391"/>
      <c r="FC416" s="391"/>
      <c r="FE416" s="569"/>
      <c r="FG416" s="391"/>
      <c r="FH416" s="391"/>
      <c r="FI416" s="391"/>
      <c r="FS416" s="664"/>
      <c r="FT416" s="391"/>
      <c r="FU416" s="391"/>
      <c r="FV416" s="664"/>
      <c r="FW416" s="664"/>
      <c r="GA416" s="663"/>
      <c r="GB416" s="663"/>
      <c r="GC416" s="663"/>
      <c r="GD416" s="663"/>
      <c r="GE416" s="663"/>
      <c r="GF416" s="663"/>
      <c r="GG416" s="663"/>
      <c r="GH416" s="663"/>
      <c r="GI416" s="665"/>
      <c r="GJ416" s="664"/>
      <c r="GK416" s="664"/>
    </row>
    <row r="417" spans="1:288" s="78" customFormat="1" ht="14.95" customHeight="1">
      <c r="B417" s="1845" t="str">
        <f>ID420</f>
        <v xml:space="preserve"> </v>
      </c>
      <c r="C417" s="1846">
        <f>C412+1</f>
        <v>72</v>
      </c>
      <c r="D417" s="1847"/>
      <c r="E417" s="1799" t="s">
        <v>295</v>
      </c>
      <c r="F417" s="1800"/>
      <c r="G417" s="1741"/>
      <c r="H417" s="1742"/>
      <c r="I417" s="1742"/>
      <c r="J417" s="1742"/>
      <c r="K417" s="1742"/>
      <c r="L417" s="1742"/>
      <c r="M417" s="1742"/>
      <c r="N417" s="1742"/>
      <c r="O417" s="1742"/>
      <c r="P417" s="1742"/>
      <c r="Q417" s="1742"/>
      <c r="R417" s="1742"/>
      <c r="S417" s="1791" t="s">
        <v>344</v>
      </c>
      <c r="T417" s="590"/>
      <c r="U417" s="1743"/>
      <c r="V417" s="1744"/>
      <c r="W417" s="1744"/>
      <c r="X417" s="1744"/>
      <c r="Y417" s="1744"/>
      <c r="Z417" s="1744"/>
      <c r="AA417" s="1744"/>
      <c r="AB417" s="961" t="str">
        <f>IFERROR(IF(__Retrofit_TI_NC=0,VLOOKUP(U418,Fixtures_Existing_List,2,FALSE),ROUND(N419*R419/T419,10)),"")</f>
        <v/>
      </c>
      <c r="AC417" s="935" t="str">
        <f>IFERROR(IF(__Retrofit_TI_NC=0,ROUND(T418*AB417*N418*R418/1000,0),IF(CQ417="Interior",N419*R419*R418*N418*_C406_reduction/1000,N419*R419*R418*N418/1000)),"")</f>
        <v/>
      </c>
      <c r="AD417" s="936" t="str">
        <f>IFERROR(IF(C$43=0,ROUND(T418*AB417/1000,2),N419*R419/1000),"")</f>
        <v/>
      </c>
      <c r="AE417" s="997"/>
      <c r="AF417" s="937"/>
      <c r="AG417" s="1745" t="str">
        <f>IF(__Retrofit_TI_NC=0," Control","Select Advanced Control for New System")</f>
        <v xml:space="preserve"> Control</v>
      </c>
      <c r="AH417" s="1745"/>
      <c r="AI417" s="1745"/>
      <c r="AJ417" s="1745"/>
      <c r="AK417" s="1745"/>
      <c r="AL417" s="1745"/>
      <c r="AM417" s="1746">
        <f>IFERROR(DI417,"")</f>
        <v>0</v>
      </c>
      <c r="AN417" s="1774" t="str">
        <f>IFERROR(ROUND(AM417*AC417,0),"")</f>
        <v/>
      </c>
      <c r="AO417" s="1776">
        <f>IFERROR(IF(IB417=FALSE,0,AC417-AN417),0)</f>
        <v>0</v>
      </c>
      <c r="AP417" s="1778">
        <f>AO417-AO419</f>
        <v>0</v>
      </c>
      <c r="AQ417" s="1779"/>
      <c r="AR417" s="1793">
        <f>IFERROR(IF(IB417=FALSE,0,(T419*U420)+(AF419*AG420)),0)</f>
        <v>0</v>
      </c>
      <c r="AS417" s="1793"/>
      <c r="AT417" s="1794"/>
      <c r="AU417" s="1734" t="s">
        <v>237</v>
      </c>
      <c r="AV417" s="1751">
        <f>IF(AU417="Yes",1,0)</f>
        <v>1</v>
      </c>
      <c r="AW417" s="1704" t="str">
        <f>IF(OR(DQ417=4,DQ417=5,DQ417=6,DQ417=12),CONCATENATE("$",IF(GH417=TRUE,Lookup!$K$10,Lookup!$K$2)," /lamp"),CONCATENATE(TEXT(ED417,"$0.00"),"/ kWh"))</f>
        <v>$0.00/ kWh</v>
      </c>
      <c r="AX417" s="467"/>
      <c r="AY417" s="1748">
        <f ca="1">IFERROR(IF(GM418=TRUE,(AB420*T419)/R419,0),"NA")</f>
        <v>0</v>
      </c>
      <c r="AZ417" s="1748"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696" t="str">
        <f>N418</f>
        <v/>
      </c>
      <c r="CQ417" s="1696" t="str">
        <f>IFERROR(VLOOKUP(G418,_Lookup_Heat_Type_Table_New,3,FALSE),"")</f>
        <v/>
      </c>
      <c r="CR417" s="1808" t="str">
        <f>CQ417</f>
        <v/>
      </c>
      <c r="CS417" s="1810" t="str">
        <f>IFERROR(VLOOKUP(G419,'Space Table'!$B$3:$L$163,9,FALSE),"")</f>
        <v/>
      </c>
      <c r="CU417" s="1688" t="s">
        <v>344</v>
      </c>
      <c r="CV417" s="1702">
        <f>IF(IB417=TRUE,T418,0)</f>
        <v>0</v>
      </c>
      <c r="CW417" s="1702" t="str">
        <f>IF(IB417=TRUE,U418,"")</f>
        <v/>
      </c>
      <c r="CX417" s="1702"/>
      <c r="CY417" s="1814">
        <f>IF(IB417=TRUE,AB417,0)</f>
        <v>0</v>
      </c>
      <c r="CZ417" s="1710">
        <f>IF(AND(__Retrofit_TI_NC&gt;0,CR417="interior"),0,IF(IB417=TRUE,AC417,0))</f>
        <v>0</v>
      </c>
      <c r="DA417" s="1814">
        <f>IFERROR(IF(IB417=TRUE,CZ417-CZ419,0),0)</f>
        <v>0</v>
      </c>
      <c r="DB417" s="1819">
        <f>IF(IB417=TRUE,AD417,0)</f>
        <v>0</v>
      </c>
      <c r="DC417" s="1819">
        <f>IF(IB417=TRUE,AD420,0)</f>
        <v>0</v>
      </c>
      <c r="DD417" s="1819">
        <f>IFERROR(DB417-DC417,0)</f>
        <v>0</v>
      </c>
      <c r="DF417" s="1702">
        <f>IF(IB417=TRUE,AF418,0)</f>
        <v>0</v>
      </c>
      <c r="DG417" s="1830">
        <f>IFERROR(IF(__Retrofit_TI_NC=2,IF(CQ417="Exterior",O420,FQ417),FN417),"")</f>
        <v>0</v>
      </c>
      <c r="DH417" s="1702"/>
      <c r="DI417" s="1837">
        <f>JE417</f>
        <v>0</v>
      </c>
      <c r="DJ417" s="1710">
        <f>IF(AND(__Retrofit_TI_NC&gt;0,CR417="interior"),0,IF(IB417=TRUE,AN417,0))</f>
        <v>0</v>
      </c>
      <c r="DK417" s="1712">
        <f>IFERROR(IF(IB417=TRUE,DJ419-DJ417,0),0)</f>
        <v>0</v>
      </c>
      <c r="DM417" s="1717">
        <f>IFERROR(CZ417-DJ417,0)</f>
        <v>0</v>
      </c>
      <c r="DO417" s="1708">
        <f>DM417-DN419</f>
        <v>0</v>
      </c>
      <c r="DQ417" s="1715" t="str">
        <f>IFERROR(IF(AND(OR(GC417=4,GC417=5,GC417=6),OR(GF417=4,GF417=5,GF417=6)),GC417+8,VLOOKUP(CW419,Fixtures!R$31:Y$78,8,FALSE)),"")</f>
        <v/>
      </c>
      <c r="DR417" s="1829" t="str">
        <f>DQ417</f>
        <v/>
      </c>
      <c r="DS417" s="1702" t="str">
        <f>IFERROR(VLOOKUP(DG419,Lookup!BB$3:BC$20,2,FALSE),"")</f>
        <v/>
      </c>
      <c r="DT417" s="1713" t="str">
        <f>IF(OR(DS417=7,DS417=8,DS417=9),"ALC","")</f>
        <v/>
      </c>
      <c r="DU417" s="1715">
        <f>IFERROR(IF(OR(DQ417=4,DQ417=5,DQ417=6,DQ417=12,DQ417=13,DQ417=14),VLOOKUP(CW419,Fixtures!DN$27:EG$77,19,FALSE),1)*CV419,0)</f>
        <v>0</v>
      </c>
      <c r="DV417" s="1716">
        <f>IF(OR(DS417=7,DS417=8,DS417=9),IF(DG417=DG419,0,DF419),0)</f>
        <v>0</v>
      </c>
      <c r="DX417" s="1715" t="str">
        <f>IFERROR(IF(EZ417&lt;EZ419,"Yes","No"),"")</f>
        <v/>
      </c>
      <c r="DY417" s="1829" t="str">
        <f>DX417</f>
        <v/>
      </c>
      <c r="DZ417" s="1715">
        <f>IF(DX417="Yes",DF419,0)</f>
        <v>0</v>
      </c>
      <c r="EA417" s="1715">
        <f>DZ417-DV417</f>
        <v>0</v>
      </c>
      <c r="EC417" s="1834">
        <f>IFERROR(VLOOKUP(DQ417,Lookup!AU$3:AV$16,2,FALSE),0)</f>
        <v>0</v>
      </c>
      <c r="ED417" s="1834">
        <f>IF(IB417=FALSE,0,IF(DX417="Yes",EC417+Lookup!K$6,EC417))</f>
        <v>0</v>
      </c>
      <c r="EF417" s="1707">
        <f>IF(IB417=TRUE,DM417,0)</f>
        <v>0</v>
      </c>
      <c r="EG417" s="1712">
        <f>IF(IB417=TRUE,CZ419,0)</f>
        <v>0</v>
      </c>
      <c r="EH417" s="1814">
        <f>IFERROR(EF417-EG417,0)</f>
        <v>0</v>
      </c>
      <c r="EI417" s="1712">
        <f>IF(IB417=TRUE,DJ419,0)</f>
        <v>0</v>
      </c>
      <c r="EJ417" s="1712">
        <f>IFERROR(EF417-EG417+EI417,0)</f>
        <v>0</v>
      </c>
      <c r="EK417" s="1812">
        <f>IF(IB417=TRUE,CV419*CX419,0)</f>
        <v>0</v>
      </c>
      <c r="EL417" s="1812">
        <f>IF(IB417=TRUE,DF419*DH419,0)</f>
        <v>0</v>
      </c>
      <c r="EM417" s="1807">
        <f>AR417</f>
        <v>0</v>
      </c>
      <c r="EN417" s="1839" t="str">
        <f>IFERROR(IF(IB417=TRUE,VLOOKUP(DQ417,Lookup!AU$3:AW$16,3,FALSE)*DU417,""),0)</f>
        <v/>
      </c>
      <c r="EO417" s="1839">
        <f>IF(IB417=TRUE,DZ417*Lookup!AW$12,0)</f>
        <v>0</v>
      </c>
      <c r="EP417" s="1817">
        <f>IFERROR(IF(IB417=TRUE,EN417/EP$40,0),0)</f>
        <v>0</v>
      </c>
      <c r="EQ417" s="1817">
        <f>IF(IB417=TRUE,EO417/EQ$40,0)</f>
        <v>0</v>
      </c>
      <c r="ER417" s="1807">
        <f>IF(IB417=TRUE,ET$40*EP417,0)</f>
        <v>0</v>
      </c>
      <c r="ES417" s="1807">
        <f>IF(IB417=TRUE,ET$40*EQ417,0)</f>
        <v>0</v>
      </c>
      <c r="ET417" s="1807">
        <f>ER417+ES417</f>
        <v>0</v>
      </c>
      <c r="EV417" s="1715">
        <f>IF(G417="",0,1)</f>
        <v>0</v>
      </c>
      <c r="EX417" s="1804" t="str">
        <f>IFERROR(VLOOKUP(CS419,'Space Table'!$B$3:$L$163,8,FALSE),"")</f>
        <v/>
      </c>
      <c r="EY417" s="1804" t="str">
        <f>IFERROR(IF(FB417="Yes",VLOOKUP(DG417,Lookup_Control_Type_Table2,4,FALSE),VLOOKUP(DG417,Lookup_Control_Type_Table2,3,FALSE)),"")</f>
        <v/>
      </c>
      <c r="EZ417" s="1804" t="e">
        <f>VLOOKUP(DG417,Lookup!BB$3:BC$20,2,FALSE)</f>
        <v>#N/A</v>
      </c>
      <c r="FA417" s="1804" t="e">
        <f>VLOOKUP(EX417,Lookup_Control_Type_Table,2,FALSE)</f>
        <v>#N/A</v>
      </c>
      <c r="FB417" s="1804" t="e">
        <f>VLOOKUP(CS419,'Space Table'!$B$3:$L$163,7,FALSE)</f>
        <v>#N/A</v>
      </c>
      <c r="FC417" s="1826" t="b">
        <f>ISNUMBER(SEARCH("TLED",U419))</f>
        <v>0</v>
      </c>
      <c r="FE417" s="1698" t="str">
        <f>CONCATENATE(CQ417," - ",DG417)</f>
        <v xml:space="preserve"> - 0</v>
      </c>
      <c r="FG417" s="1702" t="str">
        <f>VLOOKUP(CW419,Fixtures!DN$27:EZ$77,38,FALSE)</f>
        <v/>
      </c>
      <c r="FH417" s="1702">
        <f>IFERROR(FG417*EH417,0)</f>
        <v>0</v>
      </c>
      <c r="FI417" s="133"/>
      <c r="FL417" s="1822" t="str">
        <f>IF(CQ417="Exterior","Not Daylighted",G420)</f>
        <v>Not Daylighted</v>
      </c>
      <c r="FM417" s="1824">
        <f>VLOOKUP(FL417,_New_Daylight_Table_Codes,2,FALSE)</f>
        <v>0</v>
      </c>
      <c r="FN417" s="1698">
        <f>IF(__Retrofit_TI_NC&gt;0,VLOOKUP(G419,'Space Table'!$B$3:$L$163,11,FALSE),AG418)</f>
        <v>0</v>
      </c>
      <c r="FO417" s="1698" t="e">
        <f>IF(__Retrofit_TI_NC=2,VLOOKUP(FQ417,_Control_Table,2,FALSE),VLOOKUP(FN417,_Control_Table,2,FALSE))</f>
        <v>#N/A</v>
      </c>
      <c r="FP417" s="1678" t="e">
        <f>VLOOKUP(CONCATENATE(FL417," ",FN417),Lookup!AY$102:AZ427,2,FALSE)</f>
        <v>#N/A</v>
      </c>
      <c r="FQ417" s="1678">
        <f>IF(__Retrofit_TI_NC=0,FN417,IF(AND(FT417&gt;0,FN417="Occupancy Sensor"),"Daylight + Occupancy",IF(AND(FT417&gt;0,VLOOKUP(FN417,_Control_Table,2,FALSE)&lt;4),"Interior Daylight Dimming",FN417)))</f>
        <v>0</v>
      </c>
      <c r="FS417" s="1686">
        <f>IF(CR417="Interior",VLOOKUP(CS417,Control_Savings_Interior,5,FALSE),0)</f>
        <v>0</v>
      </c>
      <c r="FT417" s="1687">
        <f>IF(CQ417="Exterior",0,IF(FM417=2,0.5,IF(OR(FM417=1,FM417=3),1,0)))</f>
        <v>0</v>
      </c>
      <c r="FU417" s="1685">
        <f>IF(R416&gt;FS$44,(FS417*(FS$44/R416)),FS417)*FT417</f>
        <v>0</v>
      </c>
      <c r="FV417" s="1686">
        <f>DI417</f>
        <v>0</v>
      </c>
      <c r="FW417" s="1686">
        <f>ROUND(FV417+((1-FV417)*FU417),2)</f>
        <v>0</v>
      </c>
      <c r="FX417" s="1686">
        <f>IF(__Retrofit_TI_NC=2,FW417,FV417)</f>
        <v>0</v>
      </c>
      <c r="FY417" s="1697"/>
      <c r="GA417" s="1696" t="str">
        <f>IFERROR(VLOOKUP(U418,_Exist_Fixture_Table,3,FALSE),"")</f>
        <v/>
      </c>
      <c r="GB417" s="1696" t="str">
        <f>VLOOKUP(CW417,_Exist_Fixture_Table,4,FALSE)</f>
        <v/>
      </c>
      <c r="GC417" s="1696">
        <f>IFERROR(VLOOKUP(GB417,Lookup!AT$6:AU$8,2,FALSE),0)</f>
        <v>0</v>
      </c>
      <c r="GD417" s="1696" t="b">
        <f>IFERROR(IF(OR(GF417=4,GF417=5,GF417=6),TRUE,FALSE),"")</f>
        <v>0</v>
      </c>
      <c r="GE417" s="1696" t="str">
        <f>IFERROR(VLOOKUP(GF417,GC$6:GD$10,2,FALSE),"")</f>
        <v/>
      </c>
      <c r="GF417" s="1696" t="str">
        <f>VLOOKUP(CW419,Fixtures!R$31:Y$78,8,FALSE)</f>
        <v/>
      </c>
      <c r="GG417" s="1696">
        <f>IF(AND(GA417=TRUE,GD417=TRUE,OR(DQ417=12,DQ417=13,DQ417=14)),GC417+8,0)</f>
        <v>0</v>
      </c>
      <c r="GH417" s="1696" t="b">
        <f>IF(OR(GG417=12,GG417=13,GG417=14),TRUE,FALSE)</f>
        <v>0</v>
      </c>
      <c r="GI417" s="673" t="b">
        <f>IF(ISNUMBER(SEARCH("TLED",U418)),TRUE,FALSE)</f>
        <v>0</v>
      </c>
      <c r="GJ417" s="1135" t="str">
        <f>IFERROR(VLOOKUP(U418,Fixtures!BM$93:BR$142,6,FALSE),"")</f>
        <v/>
      </c>
      <c r="GK417" s="1832" t="b">
        <f>IF(OR(GI417=FALSE,GI419=FALSE),TRUE,IF(GJ417-GJ419&lt;5,FALSE,TRUE))</f>
        <v>1</v>
      </c>
      <c r="GO417" s="674">
        <f>GP417</f>
        <v>0</v>
      </c>
      <c r="GP417" s="674">
        <f>IF(G417="",0,1)</f>
        <v>0</v>
      </c>
      <c r="GQ417" s="674">
        <f ca="1">SUM(GR417:HF417)</f>
        <v>2</v>
      </c>
      <c r="GR417" s="674">
        <f>IF(G418="",0,1)</f>
        <v>0</v>
      </c>
      <c r="GS417" s="674">
        <f>IF(N420="BAM",1,IF(G419="",0,1))</f>
        <v>0</v>
      </c>
      <c r="GT417" s="674">
        <f>IF(N420="BAM",1,IF(R418="",0,1))</f>
        <v>0</v>
      </c>
      <c r="GU417" s="674">
        <f>IF(N420="BAM",1,IF(__Retrofit_TI_NC=0,1,IF(R419="",0,1)))</f>
        <v>1</v>
      </c>
      <c r="GV417" s="674">
        <f>IF(N420="BAM",1,IF(CQ417="Exterior",1,IF(G420="",0,1)))</f>
        <v>1</v>
      </c>
      <c r="GW417" s="674">
        <f>IF(__Retrofit_TI_NC&gt;0,1,IF(T418="",0,1))</f>
        <v>0</v>
      </c>
      <c r="GX417" s="674">
        <f>IF(__Retrofit_TI_NC&gt;0,1,IF(U418="",0,1))</f>
        <v>0</v>
      </c>
      <c r="GY417" s="674">
        <f>IF(N420="BAM",1,IF(T419="",0,1))</f>
        <v>0</v>
      </c>
      <c r="GZ417" s="674">
        <f>IF(N420="BAM",1,IF(U419="",0,1))</f>
        <v>0</v>
      </c>
      <c r="HA417" s="674">
        <f ca="1">IF(N420="BAM",1,IF(__Retrofit_TI_NC&gt;0,1,IF(U420="",0,1)))</f>
        <v>0</v>
      </c>
      <c r="HB417" s="674">
        <f>IF(__Retrofit_TI_NC&lt;&gt;0,1,IF(AF418="",0,1))</f>
        <v>0</v>
      </c>
      <c r="HC417" s="674">
        <f>IF(__Retrofit_TI_NC&lt;&gt;0,1,IF(AG418="",0,1))</f>
        <v>0</v>
      </c>
      <c r="HD417" s="674">
        <f>IF(N420="BAM",1,IF(AF419="",0,1))</f>
        <v>0</v>
      </c>
      <c r="HE417" s="674">
        <f>IF(N420="BAM",1,IF(AG419="",0,1))</f>
        <v>0</v>
      </c>
      <c r="HF417" s="674">
        <f>IF(N420="BAM",1,IF(__Retrofit_TI_NC&gt;0,1,IF(AG420="",0,1)))</f>
        <v>0</v>
      </c>
      <c r="HG417" s="391"/>
      <c r="IA417" s="391"/>
      <c r="IB417" s="1693" t="b">
        <f>IF(OR(IB420=0,IB420=HY$16,IB420=HX$16,IB420=HZ$16),TRUE,FALSE)</f>
        <v>0</v>
      </c>
      <c r="IC417" s="1694" t="b">
        <f>IB417</f>
        <v>0</v>
      </c>
      <c r="ID417" s="391"/>
      <c r="IE417" s="391"/>
      <c r="IF417" s="1688" t="b">
        <f ca="1">IF(MAX(GN420:HU420)&gt;5,FALSE,TRUE)</f>
        <v>0</v>
      </c>
      <c r="IG417" s="1689">
        <f ca="1">IF(IF417=TRUE,AC417,0)</f>
        <v>0</v>
      </c>
      <c r="IH417" s="1689">
        <f ca="1">IG417-IG419</f>
        <v>0</v>
      </c>
      <c r="IK417" s="1689" t="e">
        <f>ROUND(T418*VLOOKUP(U418,Fixtures_Existing_List,2,FALSE)*N418*R418/1000,0)</f>
        <v>#N/A</v>
      </c>
      <c r="IL417" s="1690" t="e">
        <f>IK417-IK419</f>
        <v>#N/A</v>
      </c>
      <c r="IM417" s="1693" t="e">
        <f>ROUND(IF(CQ417="Interior",N419*R419*R418*N418*_C406_reduction/1000,N419*R419*R418*N418/1000),0)</f>
        <v>#N/A</v>
      </c>
      <c r="IN417" s="1693" t="e">
        <f>IM417-IM419</f>
        <v>#N/A</v>
      </c>
      <c r="IP417" s="1679"/>
      <c r="IQ417" s="1679" t="e">
        <f t="shared" ref="IQ417:IU417" si="371">IF($CR417="interior",VLOOKUP($CS417,_New_Control_Savings_Interior,IQ$30,FALSE),VLOOKUP($CS417,Control_Savings_Exterior,IQ$30,FALSE))</f>
        <v>#N/A</v>
      </c>
      <c r="IR417" s="1679" t="e">
        <f t="shared" si="371"/>
        <v>#N/A</v>
      </c>
      <c r="IS417" s="1679" t="e">
        <f t="shared" si="371"/>
        <v>#N/A</v>
      </c>
      <c r="IT417" s="1679" t="e">
        <f t="shared" si="371"/>
        <v>#N/A</v>
      </c>
      <c r="IU417" s="1679" t="e">
        <f t="shared" si="371"/>
        <v>#N/A</v>
      </c>
      <c r="IV417" s="1679" t="e">
        <f>IF($CR417="interior",IF(R418&gt;$IP$14,ROUND(($IV$18*($IP$14/R418)),2),$IV$18),VLOOKUP($CS417,Control_Savings_Exterior,IV$30,FALSE))</f>
        <v>#N/A</v>
      </c>
      <c r="IW417" s="1679" t="e">
        <f>IF($CR417="interior",ROUND(((1-IS417)*IV417)+IS417,2),VLOOKUP($CS417,Control_Savings_Exterior,IW$30,FALSE))</f>
        <v>#N/A</v>
      </c>
      <c r="IX417" s="1679" t="e">
        <f>IF($CR417="interior",ROUND(((1-IT417)*IV417)+IT417,2),VLOOKUP($CS417,Control_Savings_Exterior,IX$30,FALSE))</f>
        <v>#N/A</v>
      </c>
      <c r="IY417" s="1679" t="e">
        <f>IF($CR417="interior",IF(R418&gt;$IP$14,ROUND(($IY$18*($IP$14/R418)),2),$IY$18),VLOOKUP($CS417,Control_Savings_Exterior,IY$30,FALSE))</f>
        <v>#N/A</v>
      </c>
      <c r="IZ417" s="1679" t="e">
        <f>IF($CR417="interior",ROUND(((1-IS417)*IY417)+IS417,2),VLOOKUP($CS417,Control_Savings_Exterior,IZ$30,FALSE))</f>
        <v>#N/A</v>
      </c>
      <c r="JA417" s="1679" t="e">
        <f>IF($CR417="interior",ROUND(((1-IT417)*IY417)+IT417,2),VLOOKUP($CS417,Control_Savings_Exterior,JA$30,FALSE))</f>
        <v>#N/A</v>
      </c>
      <c r="JC417" s="1680">
        <f>IFERROR(IF(CR417="Interior",CONCATENATE(G420," ",FQ417),FQ417),"")</f>
        <v>0</v>
      </c>
      <c r="JD417" s="1670" t="str">
        <f>IFERROR(VLOOKUP(JC417,_Controls_2023,2,FALSE),"")</f>
        <v/>
      </c>
      <c r="JE417" s="1681">
        <f>IFERROR(CHOOSE(JD417-1,IQ417,IR417,IS417,IT417,IU417,IV417,IW417,IX417,IY417,IZ417,JA417),0)</f>
        <v>0</v>
      </c>
      <c r="JG417" s="1680" t="str">
        <f>FE417</f>
        <v xml:space="preserve"> - 0</v>
      </c>
      <c r="JH417" s="1670" t="e">
        <f>$FO417</f>
        <v>#N/A</v>
      </c>
      <c r="JI417" s="1060"/>
      <c r="JJ417" s="1682" t="b">
        <f>IF($JG419=CONCATENATE("Interior - ",JJ$4),TRUE,FALSE)</f>
        <v>0</v>
      </c>
      <c r="JK417" s="1061"/>
      <c r="JL417" s="1682" t="b">
        <f>IF($JG419=CONCATENATE("Interior - ",JL$4),TRUE,FALSE)</f>
        <v>0</v>
      </c>
      <c r="JM417" s="1061"/>
      <c r="JN417" s="1682" t="b">
        <f>IF($JG419=CONCATENATE("Interior - ",JN$4),TRUE,FALSE)</f>
        <v>0</v>
      </c>
      <c r="JO417" s="1061"/>
      <c r="JP417" s="1682" t="b">
        <f>IF(__Retrofit_TI_NC&gt;0,FALSE,IF($JG419=CONCATENATE("Interior - ",JP$4),TRUE,FALSE))</f>
        <v>0</v>
      </c>
      <c r="JQ417" s="1061"/>
      <c r="JR417" s="1682" t="b">
        <f>IF(__Retrofit_TI_NC&gt;0,FALSE,IF($JG419=CONCATENATE("Interior - ",JR$4),TRUE,FALSE))</f>
        <v>0</v>
      </c>
      <c r="JS417" s="1061"/>
      <c r="JT417" s="1670" t="b">
        <f>IF(__Retrofit_TI_NC&gt;0,FALSE,IF($JG419=CONCATENATE("Interior - ",JT$4),TRUE,FALSE))</f>
        <v>0</v>
      </c>
      <c r="JU417" s="1061"/>
      <c r="JV417" s="1670" t="b">
        <f>IF(JC419="AELC on Existing",TRUE,FALSE)</f>
        <v>0</v>
      </c>
      <c r="JX417" s="1670" t="b">
        <f>IF(OR(JG419="Exterior - AELC Occupancy based",JG419="Exterior - AELC Time based"),TRUE,FALSE)</f>
        <v>0</v>
      </c>
      <c r="JZ417" s="1682" t="b">
        <f>IF($JG419=CONCATENATE("Exterior - ",JZ$4),TRUE,FALSE)</f>
        <v>0</v>
      </c>
      <c r="KB417" s="1670" t="b">
        <f>IF(__Retrofit_TI_NC&gt;0,FALSE,IF($JG419=CONCATENATE("Interior - ",KB$4),TRUE,FALSE))</f>
        <v>0</v>
      </c>
    </row>
    <row r="418" spans="1:288" s="78" customFormat="1" ht="14.95" customHeight="1" thickTop="1" thickBot="1">
      <c r="B418" s="1845"/>
      <c r="C418" s="1846"/>
      <c r="D418" s="1847"/>
      <c r="E418" s="1737" t="s">
        <v>297</v>
      </c>
      <c r="F418" s="1738"/>
      <c r="G418" s="1739"/>
      <c r="H418" s="1739"/>
      <c r="I418" s="1739"/>
      <c r="J418" s="1739"/>
      <c r="K418" s="1739"/>
      <c r="L418" s="1739"/>
      <c r="M418" s="461" t="e">
        <f>IF(__Retrofit_TI_NC&lt;&gt;0,IF(VLOOKUP(G419,'Space Table'!$B$3:$L$163,3,FALSE)&gt;0,1,0),IF(__Retrofit_TI_NC=VLOOKUP(G419,'Space Table'!$B$3:$L$163,3,FALSE),1,0))</f>
        <v>#N/A</v>
      </c>
      <c r="N418" s="461" t="str">
        <f>IFERROR(VLOOKUP(G418,_Lookup_Heat_Type_Table_New,2,FALSE),"")</f>
        <v/>
      </c>
      <c r="O418" s="461">
        <f>IF(__Retrofit_TI_NC=1,CONCATENATE("TI ",G418),IF(__Retrofit_TI_NC=2,CONCATENATE("NC ",G418),G418))</f>
        <v>0</v>
      </c>
      <c r="P418" s="1740" t="s">
        <v>435</v>
      </c>
      <c r="Q418" s="1740"/>
      <c r="R418" s="595"/>
      <c r="S418" s="1792"/>
      <c r="T418" s="597"/>
      <c r="U418" s="1765"/>
      <c r="V418" s="1766"/>
      <c r="W418" s="1766"/>
      <c r="X418" s="1766"/>
      <c r="Y418" s="1766"/>
      <c r="Z418" s="1766"/>
      <c r="AA418" s="1766"/>
      <c r="AB418" s="1766"/>
      <c r="AC418" s="1766"/>
      <c r="AD418" s="1767"/>
      <c r="AE418" s="1000"/>
      <c r="AF418" s="597"/>
      <c r="AG418" s="1723"/>
      <c r="AH418" s="1724"/>
      <c r="AI418" s="1724"/>
      <c r="AJ418" s="1724"/>
      <c r="AK418" s="1725"/>
      <c r="AL418" s="996"/>
      <c r="AM418" s="1747"/>
      <c r="AN418" s="1775"/>
      <c r="AO418" s="1777"/>
      <c r="AP418" s="1780"/>
      <c r="AQ418" s="1781"/>
      <c r="AR418" s="1795"/>
      <c r="AS418" s="1795"/>
      <c r="AT418" s="1796"/>
      <c r="AU418" s="1735"/>
      <c r="AV418" s="1752"/>
      <c r="AW418" s="1705"/>
      <c r="AX418" s="467"/>
      <c r="AY418" s="1749"/>
      <c r="AZ418" s="1749"/>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696"/>
      <c r="CQ418" s="1696"/>
      <c r="CR418" s="1809"/>
      <c r="CS418" s="1811"/>
      <c r="CU418" s="1688"/>
      <c r="CV418" s="1703"/>
      <c r="CW418" s="1703"/>
      <c r="CX418" s="1703"/>
      <c r="CY418" s="1815"/>
      <c r="CZ418" s="1711"/>
      <c r="DA418" s="1818"/>
      <c r="DB418" s="1820"/>
      <c r="DC418" s="1820"/>
      <c r="DD418" s="1820"/>
      <c r="DF418" s="1703"/>
      <c r="DG418" s="1831"/>
      <c r="DH418" s="1703"/>
      <c r="DI418" s="1838"/>
      <c r="DJ418" s="1711"/>
      <c r="DK418" s="1712"/>
      <c r="DM418" s="1718"/>
      <c r="DO418" s="1708"/>
      <c r="DQ418" s="1715"/>
      <c r="DR418" s="1720"/>
      <c r="DS418" s="1816"/>
      <c r="DT418" s="1714"/>
      <c r="DU418" s="1715"/>
      <c r="DV418" s="1716"/>
      <c r="DX418" s="1715"/>
      <c r="DY418" s="1720"/>
      <c r="DZ418" s="1715"/>
      <c r="EA418" s="1715"/>
      <c r="EC418" s="1834"/>
      <c r="ED418" s="1834"/>
      <c r="EF418" s="1707"/>
      <c r="EG418" s="1712"/>
      <c r="EH418" s="1818"/>
      <c r="EI418" s="1712"/>
      <c r="EJ418" s="1712"/>
      <c r="EK418" s="1836"/>
      <c r="EL418" s="1836"/>
      <c r="EM418" s="1807"/>
      <c r="EN418" s="1839"/>
      <c r="EO418" s="1839"/>
      <c r="EP418" s="1817"/>
      <c r="EQ418" s="1817"/>
      <c r="ER418" s="1807"/>
      <c r="ES418" s="1807"/>
      <c r="ET418" s="1807"/>
      <c r="EV418" s="1715"/>
      <c r="EX418" s="1805"/>
      <c r="EY418" s="1805"/>
      <c r="EZ418" s="1805"/>
      <c r="FA418" s="1805"/>
      <c r="FB418" s="1805"/>
      <c r="FC418" s="1827"/>
      <c r="FE418" s="1698"/>
      <c r="FG418" s="1816"/>
      <c r="FH418" s="1816"/>
      <c r="FI418" s="133"/>
      <c r="FL418" s="1823"/>
      <c r="FM418" s="1825"/>
      <c r="FN418" s="1698"/>
      <c r="FO418" s="1698"/>
      <c r="FP418" s="1678"/>
      <c r="FQ418" s="1678"/>
      <c r="FS418" s="1687"/>
      <c r="FT418" s="1687"/>
      <c r="FU418" s="1685"/>
      <c r="FV418" s="1687"/>
      <c r="FW418" s="1687"/>
      <c r="FX418" s="1687"/>
      <c r="FY418" s="1697"/>
      <c r="GA418" s="1696"/>
      <c r="GB418" s="1696"/>
      <c r="GC418" s="1696"/>
      <c r="GD418" s="1696"/>
      <c r="GE418" s="1696"/>
      <c r="GF418" s="1696"/>
      <c r="GG418" s="1696"/>
      <c r="GH418" s="1696"/>
      <c r="GI418" s="673"/>
      <c r="GJ418" s="1135"/>
      <c r="GK418" s="1832"/>
      <c r="GM418" s="1693" t="b">
        <f ca="1">IF(AND(GP418=TRUE,GQ418=TRUE),TRUE,FALSE)</f>
        <v>0</v>
      </c>
      <c r="GN418" s="1684" t="b">
        <f>IFERROR(IF(__Retrofit_TI_NC=2,TRUE,IF(AU417="Yes",TRUE,FALSE)),FALSE)</f>
        <v>1</v>
      </c>
      <c r="GP418" s="1684" t="b">
        <f>IFERROR(IF(GP417=1,TRUE,FALSE),FALSE)</f>
        <v>0</v>
      </c>
      <c r="GQ418" s="1684" t="b">
        <f ca="1">IFERROR(IF(GQ417=GQ$14,TRUE,FALSE),FALSE)</f>
        <v>0</v>
      </c>
      <c r="HG418" s="1684" t="b">
        <f>IFERROR(IF(AND(__Retrofit_TI_NC&gt;0,CQ417="Interior"),FALSE,TRUE),FALSE)</f>
        <v>1</v>
      </c>
      <c r="HH418" s="1684" t="b">
        <f>IFERROR(IF(M418=1,TRUE,FALSE),FALSE)</f>
        <v>0</v>
      </c>
      <c r="HI418" s="1684" t="b">
        <f>IFERROR(IF(OR(M419=1,N420="BAM"),TRUE,FALSE),FALSE)</f>
        <v>0</v>
      </c>
      <c r="HJ418" s="1684" t="b">
        <f>IFERROR(IF(__Retrofit_TI_NC&lt;&gt;0,TRUE,IFERROR(IF(VLOOKUP(U418,Fixtures_Existing_List,2,FALSE)&lt;&gt;"",TRUE,FALSE),FALSE)),FALSE)</f>
        <v>0</v>
      </c>
      <c r="HK418" s="1684" t="b">
        <f>IFERROR(IF(VLOOKUP(U419,Fixtures_Proposed_List,2,FALSE)&lt;&gt;"",TRUE,FALSE),FALSE)</f>
        <v>0</v>
      </c>
      <c r="HL418" s="1684" t="b">
        <f>IF(AND(__Retrofit_TI_NC=2,FC417=TRUE),FALSE,TRUE)</f>
        <v>1</v>
      </c>
      <c r="HM418" s="1684" t="b">
        <f>GK417</f>
        <v>1</v>
      </c>
      <c r="HN418" s="1682" t="b">
        <f>IF(ISERROR(MATCH(FE417,_Control_Match[],0))=TRUE,FALSE,TRUE)</f>
        <v>0</v>
      </c>
      <c r="HO418" s="1693" t="b">
        <f>IFERROR(IF(EX417&lt;&gt;EY417,FALSE,TRUE),FALSE)</f>
        <v>1</v>
      </c>
      <c r="HP418" s="1693" t="b">
        <f>IFERROR(IF(EX419&lt;&gt;EY419,FALSE,TRUE),FALSE)</f>
        <v>1</v>
      </c>
      <c r="HQ418" s="1670" t="b">
        <f>IFERROR(IF(CQ417="Exterior",TRUE,IF(AND(OR(FM419=0,FM419=3),JD419&gt;6),FALSE,TRUE)),FALSE)</f>
        <v>0</v>
      </c>
      <c r="HR418" s="1684" t="b">
        <f>IFERROR(IF(AND(FO419=7,FC417=TRUE),FALSE,TRUE),FALSE)</f>
        <v>0</v>
      </c>
      <c r="HS418" s="1684" t="b">
        <f>IFERROR(IF(AND(T419&lt;&gt;AF419,OR(AG419="Interior LLLC", AG419="Interior NLC", AG419="LLLC (outside Daylight)",AG419="LLLC Controls Only"))=TRUE,FALSE,TRUE),FALSE)</f>
        <v>1</v>
      </c>
      <c r="HT418" s="1670" t="b">
        <f>IFERROR(IF(OR(AG419=Lookup!BB$17,AG419=Lookup!BB$18,AG419=Lookup!BB$19)=TRUE,IF(AF419&gt;T419,FALSE,TRUE),TRUE),FALSE)</f>
        <v>1</v>
      </c>
      <c r="HU418" s="1684" t="b">
        <f>IFERROR(IF(__Retrofit_TI_NC=2,IF(EZ419&lt;EZ417,FALSE,TRUE),TRUE),FALSE)</f>
        <v>1</v>
      </c>
      <c r="HV418" s="1684" t="b">
        <f>IF(CQ417="Interior",IL$6,TRUE)</f>
        <v>1</v>
      </c>
      <c r="HW418" s="1684" t="b">
        <f>IF(CQ417="Exterior",IL$8,TRUE)</f>
        <v>1</v>
      </c>
      <c r="HX418" s="1684" t="b">
        <f>IFERROR(IF(__Retrofit_TI_NC&lt;&gt;0,IF(AZ417&lt;AY417,FALSE,TRUE),TRUE),FALSE)</f>
        <v>1</v>
      </c>
      <c r="HY418" s="1684" t="b">
        <f>IFERROR(IF(AND(G418="Exterior",R418&gt;4200),FALSE,TRUE),FALSE)</f>
        <v>1</v>
      </c>
      <c r="HZ418" s="1684" t="b">
        <f>IFERROR(IF(AB420/AB417&lt;HZ$18,FALSE,TRUE),FALSE)</f>
        <v>0</v>
      </c>
      <c r="IB418" s="1691"/>
      <c r="IC418" s="1695"/>
      <c r="ID418" s="1694" t="str">
        <f>VLOOKUP(IB420,_Error_Table,4,FALSE)</f>
        <v>White</v>
      </c>
      <c r="IE418" s="391"/>
      <c r="IF418" s="1688"/>
      <c r="IG418" s="1689"/>
      <c r="IH418" s="1684"/>
      <c r="IK418" s="1689"/>
      <c r="IL418" s="1691"/>
      <c r="IM418" s="1691"/>
      <c r="IN418" s="1691"/>
      <c r="IP418" s="1679"/>
      <c r="IQ418" s="1679"/>
      <c r="IR418" s="1679"/>
      <c r="IS418" s="1679"/>
      <c r="IT418" s="1679"/>
      <c r="IU418" s="1679"/>
      <c r="IV418" s="1679"/>
      <c r="IW418" s="1679"/>
      <c r="IX418" s="1679"/>
      <c r="IY418" s="1679"/>
      <c r="IZ418" s="1679"/>
      <c r="JA418" s="1679"/>
      <c r="JC418" s="1680"/>
      <c r="JD418" s="1670"/>
      <c r="JE418" s="1681"/>
      <c r="JG418" s="1680"/>
      <c r="JH418" s="1670"/>
      <c r="JI418" s="1060"/>
      <c r="JJ418" s="1683"/>
      <c r="JK418" s="1061"/>
      <c r="JL418" s="1683"/>
      <c r="JM418" s="1061"/>
      <c r="JN418" s="1683"/>
      <c r="JO418" s="1061"/>
      <c r="JP418" s="1683"/>
      <c r="JQ418" s="1061"/>
      <c r="JR418" s="1683"/>
      <c r="JS418" s="1061"/>
      <c r="JT418" s="1670"/>
      <c r="JU418" s="1061"/>
      <c r="JV418" s="1670"/>
      <c r="JX418" s="1670"/>
      <c r="JZ418" s="1683"/>
      <c r="KB418" s="1670"/>
    </row>
    <row r="419" spans="1:288" s="78" customFormat="1" ht="14.95" customHeight="1" thickTop="1" thickBot="1">
      <c r="A419" s="78">
        <f>ROW()</f>
        <v>419</v>
      </c>
      <c r="B419" s="1845"/>
      <c r="C419" s="1846"/>
      <c r="D419" s="1847"/>
      <c r="E419" s="1737" t="s">
        <v>298</v>
      </c>
      <c r="F419" s="1738"/>
      <c r="G419" s="1760"/>
      <c r="H419" s="1761"/>
      <c r="I419" s="1761"/>
      <c r="J419" s="1761"/>
      <c r="K419" s="1761"/>
      <c r="L419" s="1762"/>
      <c r="M419" s="461">
        <f>IFERROR(IF(IF(__Retrofit_TI_NC&lt;&gt;0,IF(CQ417="Interior",MATCH(G419,Lookup_Interior_New,0),MATCH(G419,Lookup_Exterior_New,0)),IF(CQ417="Interior",MATCH(G419,Lookup_Interior,0),MATCH(G419,Lookup_Exterior_Areas,0)))&gt;0,1,0),0)</f>
        <v>0</v>
      </c>
      <c r="N419" s="461" t="e">
        <f>IF(__Retrofit_TI_NC=1,
VLOOKUP(G419,'Space Table'!$B$3:$L$163,4,FALSE),
IF(__Retrofit_TI_NC=2,VLOOKUP(G419,'Space Table'!$B$3:$L$163,5,FALSE),VLOOKUP(G419,'Space Table'!$B$3:$L$163,5,FALSE)))</f>
        <v>#N/A</v>
      </c>
      <c r="O419" s="461">
        <f>G419</f>
        <v>0</v>
      </c>
      <c r="P419" s="1738" t="str">
        <f>IFERROR(IF(__Retrofit_TI_NC=1,VLOOKUP(G419,'Space Table'!$B$3:$O$163,13,FALSE),IF(__Retrofit_TI_NC=2,VLOOKUP(G419,'Space Table'!$B$3:$O$163,14,FALSE),"Area (sf):")),"Area (sf):")</f>
        <v>Area (sf):</v>
      </c>
      <c r="Q419" s="1738"/>
      <c r="R419" s="596"/>
      <c r="S419" s="1763" t="s">
        <v>345</v>
      </c>
      <c r="T419" s="594"/>
      <c r="U419" s="1801"/>
      <c r="V419" s="1802"/>
      <c r="W419" s="1802"/>
      <c r="X419" s="1802"/>
      <c r="Y419" s="1802"/>
      <c r="Z419" s="1802"/>
      <c r="AA419" s="1802"/>
      <c r="AB419" s="1802"/>
      <c r="AC419" s="1802"/>
      <c r="AD419" s="1802"/>
      <c r="AE419" s="1803"/>
      <c r="AF419" s="594"/>
      <c r="AG419" s="1787"/>
      <c r="AH419" s="1787"/>
      <c r="AI419" s="1787"/>
      <c r="AJ419" s="1787"/>
      <c r="AK419" s="1787"/>
      <c r="AL419" s="1787"/>
      <c r="AM419" s="1726">
        <f>IFERROR(DI419,"")</f>
        <v>0</v>
      </c>
      <c r="AN419" s="1728" t="str">
        <f>IFERROR(ROUND(AM419*AC420,0),"")</f>
        <v/>
      </c>
      <c r="AO419" s="1730">
        <f>IFERROR(IF(IB417=FALSE,0,AC420-AN419),0)</f>
        <v>0</v>
      </c>
      <c r="AP419" s="1780"/>
      <c r="AQ419" s="1781"/>
      <c r="AR419" s="1795"/>
      <c r="AS419" s="1795"/>
      <c r="AT419" s="1796"/>
      <c r="AU419" s="1735"/>
      <c r="AV419" s="1752"/>
      <c r="AW419" s="1705"/>
      <c r="AX419" s="467"/>
      <c r="AY419" s="1749"/>
      <c r="AZ419" s="1749"/>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696"/>
      <c r="CQ419" s="1696"/>
      <c r="CR419" s="1808" t="str">
        <f>CQ417</f>
        <v/>
      </c>
      <c r="CS419" s="1810" t="str">
        <f>CS417</f>
        <v/>
      </c>
      <c r="CU419" s="1688" t="s">
        <v>345</v>
      </c>
      <c r="CV419" s="1702">
        <f>IF(IB417=TRUE,T419,0)</f>
        <v>0</v>
      </c>
      <c r="CW419" s="1702" t="str">
        <f>IF(IB417=TRUE,U419,"")</f>
        <v/>
      </c>
      <c r="CX419" s="1812">
        <f>IF(IB417=TRUE,U420,0)</f>
        <v>0</v>
      </c>
      <c r="CY419" s="1814">
        <f>IF(IB417=TRUE,AB420,0)</f>
        <v>0</v>
      </c>
      <c r="CZ419" s="1710">
        <f>IF(AND(__Retrofit_TI_NC&gt;0,CR417="interior"),0,IF(IB417=TRUE,AC420,0))</f>
        <v>0</v>
      </c>
      <c r="DA419" s="1818"/>
      <c r="DB419" s="1820"/>
      <c r="DC419" s="1820"/>
      <c r="DD419" s="1820"/>
      <c r="DF419" s="1702">
        <f>IF(IB417=TRUE,AF419,0)</f>
        <v>0</v>
      </c>
      <c r="DG419" s="1830" t="str">
        <f>IF(IB417=TRUE,AG419,"")</f>
        <v/>
      </c>
      <c r="DH419" s="1812">
        <f>AG420</f>
        <v>0</v>
      </c>
      <c r="DI419" s="1837">
        <f>JE419</f>
        <v>0</v>
      </c>
      <c r="DJ419" s="1710">
        <f>IF(AND(__Retrofit_TI_NC&gt;0,CR417="interior"),0,IF(IB417=TRUE,AN419,0))</f>
        <v>0</v>
      </c>
      <c r="DK419" s="1712"/>
      <c r="DN419" s="1717">
        <f>IFERROR(CZ419-DJ419,0)</f>
        <v>0</v>
      </c>
      <c r="DO419" s="1709"/>
      <c r="DQ419" s="1715"/>
      <c r="DR419" s="1719" t="str">
        <f>DQ417</f>
        <v/>
      </c>
      <c r="DS419" s="1816"/>
      <c r="DT419" s="1835" t="str">
        <f>IF(OR(DS417=7,DS417=8,DS417=9),"ALC","")</f>
        <v/>
      </c>
      <c r="DU419" s="1715"/>
      <c r="DV419" s="1716"/>
      <c r="DX419" s="1715"/>
      <c r="DY419" s="1829" t="str">
        <f>DX417</f>
        <v/>
      </c>
      <c r="DZ419" s="1715"/>
      <c r="EA419" s="1715"/>
      <c r="EC419" s="1834"/>
      <c r="ED419" s="1834"/>
      <c r="EF419" s="1707"/>
      <c r="EG419" s="1712"/>
      <c r="EH419" s="1818"/>
      <c r="EI419" s="1712"/>
      <c r="EJ419" s="1712"/>
      <c r="EK419" s="1836"/>
      <c r="EL419" s="1836"/>
      <c r="EM419" s="1807"/>
      <c r="EN419" s="1839"/>
      <c r="EO419" s="1839"/>
      <c r="EP419" s="1817"/>
      <c r="EQ419" s="1817"/>
      <c r="ER419" s="1807"/>
      <c r="ES419" s="1807"/>
      <c r="ET419" s="1807"/>
      <c r="EV419" s="1715"/>
      <c r="EX419" s="1805" t="str">
        <f>IFERROR(VLOOKUP(CS419,'Space Table'!$B$3:$L$163,8,FALSE),"")</f>
        <v/>
      </c>
      <c r="EY419" s="1805" t="str">
        <f>IFERROR(IF(FB419="Yes",VLOOKUP(AG419,Lookup_Control_Type_Table2,4,FALSE),VLOOKUP(AG419,Lookup_Control_Type_Table2,3,FALSE)),"")</f>
        <v/>
      </c>
      <c r="EZ419" s="1805" t="e">
        <f>VLOOKUP(AG419,Lookup!BB$3:BC$20,2,FALSE)</f>
        <v>#N/A</v>
      </c>
      <c r="FA419" s="1805" t="e">
        <f>VLOOKUP(EX417,Lookup_Control_Type_Table,2,FALSE)</f>
        <v>#N/A</v>
      </c>
      <c r="FB419" s="1805" t="e">
        <f>VLOOKUP(CS419,'Space Table'!$B$3:$L$163,7,FALSE)</f>
        <v>#N/A</v>
      </c>
      <c r="FC419" s="1827"/>
      <c r="FE419" s="1698" t="str">
        <f>CONCATENATE(CQ417," - ",AG419)</f>
        <v xml:space="preserve"> - </v>
      </c>
      <c r="FG419" s="1816"/>
      <c r="FH419" s="1816"/>
      <c r="FI419" s="133"/>
      <c r="FL419" s="1822" t="str">
        <f>IF(CQ417="Exterior","Not Daylighted",G420)</f>
        <v>Not Daylighted</v>
      </c>
      <c r="FM419" s="1824">
        <f>VLOOKUP(FL419,_New_Daylight_Table_Codes,2,FALSE)</f>
        <v>0</v>
      </c>
      <c r="FN419" s="1698">
        <f>AG419</f>
        <v>0</v>
      </c>
      <c r="FO419" s="1698" t="e">
        <f>VLOOKUP(FN419,_Control_Table,2,FALSE)</f>
        <v>#N/A</v>
      </c>
      <c r="FP419" s="1678" t="e">
        <f>VLOOKUP(CONCATENATE(FL419," ",FN419),Lookup!AY$102:AZ430,2,FALSE)</f>
        <v>#N/A</v>
      </c>
      <c r="FQ419" s="1698">
        <f>IF(__Retrofit_TI_NC=0,FN419,IF(AND(FT419&gt;0,FN419="Occupancy Sensor"),"Daylight + Occupancy",IF(AND(FT419&gt;0,FO419&lt;4),"Interior Daylight Dimming",FN419)))</f>
        <v>0</v>
      </c>
      <c r="FS419" s="1686">
        <f>IF(CQ417="Interior",VLOOKUP(CS417,Control_Savings_Interior,5,FALSE),0)</f>
        <v>0</v>
      </c>
      <c r="FT419" s="1687">
        <f>IF(CQ419="Exterior",0,IF(FM419=2,0.5,IF(OR(FM419=1,FM419=3),1,0)))</f>
        <v>0</v>
      </c>
      <c r="FU419" s="1685">
        <f>IF(R418&gt;FS$44,(FS419*(FS$44/R418)),FS419)*FT419</f>
        <v>0</v>
      </c>
      <c r="FV419" s="1686">
        <f>DI419</f>
        <v>0</v>
      </c>
      <c r="FW419" s="1686">
        <f>ROUND(FV419+((1-FV419)*FU419),2)</f>
        <v>0</v>
      </c>
      <c r="FX419" s="1686">
        <f>IF(__Retrofit_TI_NC=2,FW419,FV419)</f>
        <v>0</v>
      </c>
      <c r="FY419" s="1697">
        <f>IF(CR419="Interior",VLOOKUP(CS419,Control_Savings_Interior,4,FALSE),0)</f>
        <v>0</v>
      </c>
      <c r="GA419" s="1696"/>
      <c r="GB419" s="1696"/>
      <c r="GC419" s="1696"/>
      <c r="GD419" s="1696"/>
      <c r="GE419" s="1696"/>
      <c r="GF419" s="1696"/>
      <c r="GG419" s="1696"/>
      <c r="GH419" s="1696"/>
      <c r="GI419" s="673" t="b">
        <f>IF(ISNUMBER(SEARCH("TLED",U419)),TRUE,FALSE)</f>
        <v>0</v>
      </c>
      <c r="GJ419" s="1135" t="str">
        <f>IFERROR(VLOOKUP(U419,Fixtures!DM$93:DR$142,6,FALSE),"")</f>
        <v/>
      </c>
      <c r="GK419" s="1832"/>
      <c r="GM419" s="1692"/>
      <c r="GN419" s="1684"/>
      <c r="GP419" s="1684"/>
      <c r="GQ419" s="1684"/>
      <c r="HG419" s="1684"/>
      <c r="HH419" s="1684"/>
      <c r="HI419" s="1684"/>
      <c r="HJ419" s="1684"/>
      <c r="HK419" s="1684"/>
      <c r="HL419" s="1684"/>
      <c r="HM419" s="1684"/>
      <c r="HN419" s="1683"/>
      <c r="HO419" s="1692"/>
      <c r="HP419" s="1692"/>
      <c r="HQ419" s="1670"/>
      <c r="HR419" s="1684"/>
      <c r="HS419" s="1684"/>
      <c r="HT419" s="1670"/>
      <c r="HU419" s="1684"/>
      <c r="HV419" s="1684"/>
      <c r="HW419" s="1684"/>
      <c r="HX419" s="1684"/>
      <c r="HY419" s="1684"/>
      <c r="HZ419" s="1684"/>
      <c r="IB419" s="1692"/>
      <c r="IC419" s="1693" t="b">
        <f>IB417</f>
        <v>0</v>
      </c>
      <c r="ID419" s="1695"/>
      <c r="IE419" s="391"/>
      <c r="IF419" s="1688"/>
      <c r="IG419" s="1689">
        <f ca="1">IF(IF417=TRUE,AC420,0)</f>
        <v>0</v>
      </c>
      <c r="IH419" s="1684"/>
      <c r="IK419" s="1689" t="e">
        <f>ROUND(T419*AB420*N418*R418/1000,0)</f>
        <v>#VALUE!</v>
      </c>
      <c r="IL419" s="1691"/>
      <c r="IM419" s="1693" t="e">
        <f>ROUND(T419*AB420*N418*R418/1000,0)</f>
        <v>#VALUE!</v>
      </c>
      <c r="IN419" s="1691"/>
      <c r="IP419" s="1679"/>
      <c r="IQ419" s="1679" t="e">
        <f t="shared" ref="IQ419:IU419" si="372">IF($CR419="interior",VLOOKUP($CS419,_New_Control_Savings_Interior,IQ$30,FALSE),VLOOKUP($CS419,Control_Savings_Exterior,IQ$30,FALSE))</f>
        <v>#N/A</v>
      </c>
      <c r="IR419" s="1679" t="e">
        <f t="shared" si="372"/>
        <v>#N/A</v>
      </c>
      <c r="IS419" s="1679" t="e">
        <f t="shared" si="372"/>
        <v>#N/A</v>
      </c>
      <c r="IT419" s="1679" t="e">
        <f t="shared" si="372"/>
        <v>#N/A</v>
      </c>
      <c r="IU419" s="1679" t="e">
        <f t="shared" si="372"/>
        <v>#N/A</v>
      </c>
      <c r="IV419" s="1679" t="e">
        <f>IF($CR419="interior",IF(R418&gt;$IP$14,ROUND(($IV$18*($IP$14/R418)),2),$IV$18),VLOOKUP($CS419,Control_Savings_Exterior,IV$30,FALSE))</f>
        <v>#N/A</v>
      </c>
      <c r="IW419" s="1679" t="e">
        <f>IF($CR419="interior",ROUND(((1-IS419)*IV419)+IS419,2),VLOOKUP($CS419,Control_Savings_Exterior,IW$30,FALSE))</f>
        <v>#N/A</v>
      </c>
      <c r="IX419" s="1679" t="e">
        <f>IF($CR419="interior",ROUND(((1-IT419)*IV419)+IT419,2),VLOOKUP($CS419,Control_Savings_Exterior,IX$30,FALSE))</f>
        <v>#N/A</v>
      </c>
      <c r="IY419" s="1679" t="e">
        <f>IF($CR419="interior",IF(R418&gt;$IP$14,ROUND(($IY$18*($IP$14/R418)),2),$IY$18),VLOOKUP($CS419,Control_Savings_Exterior,IY$30,FALSE))</f>
        <v>#N/A</v>
      </c>
      <c r="IZ419" s="1679" t="e">
        <f>IF($CR419="interior",ROUND(((1-IS419)*IY419)+IS419,2),VLOOKUP($CS419,Control_Savings_Exterior,IZ$30,FALSE))</f>
        <v>#N/A</v>
      </c>
      <c r="JA419" s="1679" t="e">
        <f>IF($CR419="interior",ROUND(((1-IT419)*IY419)+IT419,2),VLOOKUP($CS419,Control_Savings_Exterior,JA$30,FALSE))</f>
        <v>#N/A</v>
      </c>
      <c r="JC419" s="1680">
        <f>IFERROR(IF(CR419="Interior",CONCATENATE(G420," ",FQ419),AG419),"")</f>
        <v>0</v>
      </c>
      <c r="JD419" s="1670" t="str">
        <f>IFERROR(VLOOKUP(JC419,_Controls_2023,2,FALSE),"")</f>
        <v/>
      </c>
      <c r="JE419" s="1681">
        <f>IFERROR(CHOOSE(JD419-1,IQ419,IR419,IS419,IT419,IU419,IV419,IW419,IX419,IY419,IZ419,JA419),0)</f>
        <v>0</v>
      </c>
      <c r="JG419" s="1680" t="str">
        <f>FE419</f>
        <v xml:space="preserve"> - </v>
      </c>
      <c r="JH419" s="1670" t="e">
        <f>$FO419</f>
        <v>#N/A</v>
      </c>
      <c r="JI419" s="1060"/>
      <c r="JJ419" s="1670">
        <f>IFERROR(IF($IB417=TRUE,IF(OR(JJ$14="No",JJ417=FALSE,JH419&lt;=JH417,AND(_kWh_Grant=0,GD417=FALSE)),0,IF(JJ$8="Per Line",1,$AF419)),0),0)</f>
        <v>0</v>
      </c>
      <c r="JK419" s="1061"/>
      <c r="JL419" s="1670">
        <f>IFERROR(IF(_kWh_Grant=0,0,IF($IB417=TRUE,IF(OR(JL$14="No",JL417=FALSE,JH419&lt;=JH417),0,IF(JL$8="Per Line",1,$T419)),0)),0)</f>
        <v>0</v>
      </c>
      <c r="JM419" s="1061"/>
      <c r="JN419" s="1670">
        <f>IFERROR(IF(_kWh_Grant=0,0,IF($IB417=TRUE,IF(OR(JN$14="No",JN417=FALSE,JH419&lt;=JH417),0,IF(JN$8="Per Line",1,$AF419)),0)),0)</f>
        <v>0</v>
      </c>
      <c r="JO419" s="1061"/>
      <c r="JP419" s="1670">
        <f>IFERROR(IF(__Retrofit_TI_NC=0,IF(_kWh_Grant=0,0,IF($IB417=TRUE,IF(OR(JP$14="No",JP417=FALSE,$JH419&lt;=$JH417),0,IF(JP$8="Per Line",1,$AF419)),0)),IF($IB417=TRUE,IF(OR(JP$14="No",JP417=FALSE,$JH419&lt;=$JH417),0,IF(JP$8="Per Line",1,$AF419)))),0)</f>
        <v>0</v>
      </c>
      <c r="JQ419" s="1061"/>
      <c r="JR419" s="1670">
        <f>IFERROR(IF(__Retrofit_TI_NC=0,IF(_kWh_Grant=0,0,IF($IB417=TRUE,IF(OR(JR$14="No",JR417=FALSE,$JH419&lt;=$JH417),0,IF(JR$8="Per Line",1,$AF419)),0)),IF($IB417=TRUE,IF(OR(JR$14="No",JR417=FALSE,$JH419&lt;=$JH417),0,IF(JR$8="Per Line",1,$AF419)))),0)</f>
        <v>0</v>
      </c>
      <c r="JS419" s="1061"/>
      <c r="JT419" s="1670">
        <f>IFERROR(IF(__Retrofit_TI_NC=0,IF(_kWh_Grant=0,0,IF($IB417=TRUE,IF(OR(JT$14="No",JT417=FALSE,$JH419&lt;=$JH417),0,IF(JT$8="Per Line",1,$AF419)),0)),IF($IB417=TRUE,IF(OR(JT$14="No",JT417=FALSE,$JH419&lt;=$JH417),0,IF(JT$8="Per Line",1,$AF419)))),0)</f>
        <v>0</v>
      </c>
      <c r="JU419" s="1061"/>
      <c r="JV419" s="1670">
        <f>IFERROR(IF(__Retrofit_TI_NC=0,IF(_kWh_Grant=0,0,IF($IB417=TRUE,IF(OR(JV$14="No",JV417=FALSE,$JH419&lt;=$JH417),0,IF(JV$8="Per Line",1,$AF419)),0)),IF($IB417=TRUE,IF(OR(JV$14="No",JV417=FALSE,$JH419&lt;=$JH417),0,IF(JV$8="Per Line",1,$AF419)))),0)</f>
        <v>0</v>
      </c>
      <c r="JX419" s="1670">
        <f>IFERROR(IF(__Retrofit_TI_NC=0,IF(_kWh_Grant=0,0,IF($IB417=TRUE,IF(OR(JX$14="No",JX417=FALSE,$JH419&lt;=$JH417),0,IF(JX$8="Per Line",1,$AF419)),0)),IF($IB417=TRUE,IF(OR(JX$14="No",JX417=FALSE,$JH419&lt;=$JH417),0,IF(JX$8="Per Line",1,$AF419)))),0)</f>
        <v>0</v>
      </c>
      <c r="JZ419" s="1670">
        <f>IFERROR(IF($IB417=TRUE,IF(OR(JZ$14="No",JZ417=FALSE,$JH419&lt;=$JH417,AND(_kWh_Grant=0,$GD417=FALSE)),0,IF(JZ$8="Per Line",1,$AF419)),0),0)</f>
        <v>0</v>
      </c>
      <c r="KB419" s="1670">
        <f>IFERROR(IF(__Retrofit_TI_NC=0,IF(_kWh_Grant=0,0,IF($IB417=TRUE,IF(OR(KB$14="No",KB417=FALSE,$JH419&lt;=$JH417),0,IF(KB$8="Per Line",1,$AF419)),0)),IF($IB417=TRUE,IF(OR(KB$14="No",KB417=FALSE,$JH419&lt;=$JH417),0,IF(KB$8="Per Line",1,$AF419)))),0)</f>
        <v>0</v>
      </c>
    </row>
    <row r="420" spans="1:288" s="78" customFormat="1" ht="14.95" customHeight="1" thickTop="1" thickBot="1">
      <c r="B420" s="1845"/>
      <c r="C420" s="1846"/>
      <c r="D420" s="1847"/>
      <c r="E420" s="1771" t="s">
        <v>436</v>
      </c>
      <c r="F420" s="1772"/>
      <c r="G420" s="1784" t="s">
        <v>437</v>
      </c>
      <c r="H420" s="1785"/>
      <c r="I420" s="1785"/>
      <c r="J420" s="1785"/>
      <c r="K420" s="1785"/>
      <c r="L420" s="1786"/>
      <c r="M420" s="591">
        <f>IFERROR(VLOOKUP(G420,_Daylight_Table[],2,FALSE),0)</f>
        <v>0</v>
      </c>
      <c r="N420" s="592" t="str">
        <f>IF(AND(__Retrofit_TI_NC&gt;0,CQ417="Interior"),"BAM","")</f>
        <v/>
      </c>
      <c r="O420" s="591" t="e">
        <f>VLOOKUP(G419,'Space Table'!$B$3:$L$163,11,FALSE)</f>
        <v>#N/A</v>
      </c>
      <c r="P420" s="1789"/>
      <c r="Q420" s="1790"/>
      <c r="R420" s="1790"/>
      <c r="S420" s="1788"/>
      <c r="T420" s="593" t="s">
        <v>342</v>
      </c>
      <c r="U420" s="1756" t="str" cm="1">
        <f t="array" aca="1" ref="U420" ca="1">IFERROR(VLOOKUP(INDIRECT("U" &amp; ROW()-1),Fixtures!DM$93:DP$142,4,FALSE),"")</f>
        <v/>
      </c>
      <c r="V420" s="1757"/>
      <c r="W420" s="1757"/>
      <c r="X420" s="1757"/>
      <c r="Y420" s="1757"/>
      <c r="Z420" s="1757"/>
      <c r="AA420" s="1758"/>
      <c r="AB420" s="939" t="str">
        <f>IFERROR(VLOOKUP(U419,Fixtures_Proposed_List,2,FALSE),"")</f>
        <v/>
      </c>
      <c r="AC420" s="933" t="str">
        <f>IFERROR(ROUND(T419*AB420*N418*R418/1000,0),"")</f>
        <v/>
      </c>
      <c r="AD420" s="934" t="str">
        <f>IFERROR(ROUND(T419*AB420/1000,2),"")</f>
        <v/>
      </c>
      <c r="AE420" s="998"/>
      <c r="AF420" s="938" t="s">
        <v>342</v>
      </c>
      <c r="AG420" s="1770"/>
      <c r="AH420" s="1770"/>
      <c r="AI420" s="1770"/>
      <c r="AJ420" s="1770"/>
      <c r="AK420" s="1770"/>
      <c r="AL420" s="1770"/>
      <c r="AM420" s="1727"/>
      <c r="AN420" s="1729"/>
      <c r="AO420" s="1731"/>
      <c r="AP420" s="1782"/>
      <c r="AQ420" s="1783"/>
      <c r="AR420" s="1797"/>
      <c r="AS420" s="1797"/>
      <c r="AT420" s="1798"/>
      <c r="AU420" s="1736"/>
      <c r="AV420" s="1753"/>
      <c r="AW420" s="1706"/>
      <c r="AX420" s="468"/>
      <c r="AY420" s="1750"/>
      <c r="AZ420" s="1750"/>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696"/>
      <c r="CQ420" s="1696"/>
      <c r="CR420" s="1809"/>
      <c r="CS420" s="1811"/>
      <c r="CU420" s="1688"/>
      <c r="CV420" s="1703"/>
      <c r="CW420" s="1703"/>
      <c r="CX420" s="1813"/>
      <c r="CY420" s="1815"/>
      <c r="CZ420" s="1711"/>
      <c r="DA420" s="1815"/>
      <c r="DB420" s="1821"/>
      <c r="DC420" s="1821"/>
      <c r="DD420" s="1821"/>
      <c r="DF420" s="1703"/>
      <c r="DG420" s="1831"/>
      <c r="DH420" s="1813"/>
      <c r="DI420" s="1838"/>
      <c r="DJ420" s="1711"/>
      <c r="DK420" s="1712"/>
      <c r="DN420" s="1718"/>
      <c r="DO420" s="1709"/>
      <c r="DQ420" s="1715"/>
      <c r="DR420" s="1720"/>
      <c r="DS420" s="1703"/>
      <c r="DT420" s="1714"/>
      <c r="DU420" s="1715"/>
      <c r="DV420" s="1716"/>
      <c r="DX420" s="1715"/>
      <c r="DY420" s="1720"/>
      <c r="DZ420" s="1715"/>
      <c r="EA420" s="1715"/>
      <c r="EC420" s="1834"/>
      <c r="ED420" s="1834"/>
      <c r="EF420" s="1707"/>
      <c r="EG420" s="1712"/>
      <c r="EH420" s="1815"/>
      <c r="EI420" s="1712"/>
      <c r="EJ420" s="1712"/>
      <c r="EK420" s="1813"/>
      <c r="EL420" s="1813"/>
      <c r="EM420" s="1807"/>
      <c r="EN420" s="1839"/>
      <c r="EO420" s="1839"/>
      <c r="EP420" s="1817"/>
      <c r="EQ420" s="1817"/>
      <c r="ER420" s="1807"/>
      <c r="ES420" s="1807"/>
      <c r="ET420" s="1807"/>
      <c r="EV420" s="1715"/>
      <c r="EX420" s="1806"/>
      <c r="EY420" s="1806"/>
      <c r="EZ420" s="1806"/>
      <c r="FA420" s="1806"/>
      <c r="FB420" s="1806"/>
      <c r="FC420" s="1828"/>
      <c r="FE420" s="1698"/>
      <c r="FG420" s="1703"/>
      <c r="FH420" s="1703"/>
      <c r="FI420" s="133"/>
      <c r="FL420" s="1823"/>
      <c r="FM420" s="1825"/>
      <c r="FN420" s="1698"/>
      <c r="FO420" s="1698"/>
      <c r="FP420" s="1678"/>
      <c r="FQ420" s="1698"/>
      <c r="FS420" s="1687"/>
      <c r="FT420" s="1687"/>
      <c r="FU420" s="1685"/>
      <c r="FV420" s="1687"/>
      <c r="FW420" s="1687"/>
      <c r="FX420" s="1687"/>
      <c r="FY420" s="1697"/>
      <c r="GA420" s="1696"/>
      <c r="GB420" s="1696"/>
      <c r="GC420" s="1696"/>
      <c r="GD420" s="1696"/>
      <c r="GE420" s="1696"/>
      <c r="GF420" s="1696"/>
      <c r="GG420" s="1696"/>
      <c r="GH420" s="1696"/>
      <c r="GI420" s="673"/>
      <c r="GJ420" s="1135"/>
      <c r="GK420" s="1832"/>
      <c r="GN420" s="674">
        <f>IF(GN418=TRUE,0,GN$16)</f>
        <v>0</v>
      </c>
      <c r="GP420" s="674">
        <f>IF(GP418=TRUE,0,GP$16)</f>
        <v>36</v>
      </c>
      <c r="GQ420" s="674">
        <f ca="1">IF(GQ418=TRUE,0,GQ$16)</f>
        <v>35</v>
      </c>
      <c r="GR420" s="391"/>
      <c r="GS420" s="391"/>
      <c r="GT420" s="391"/>
      <c r="GU420" s="391"/>
      <c r="GV420" s="391"/>
      <c r="HG420" s="674">
        <f>IF(HG418=TRUE,0,HG$16)</f>
        <v>0</v>
      </c>
      <c r="HH420" s="674">
        <f t="shared" ref="HH420:HM420" si="373">IF(HH418=TRUE,0,HH$16)</f>
        <v>19</v>
      </c>
      <c r="HI420" s="674">
        <f t="shared" si="373"/>
        <v>18</v>
      </c>
      <c r="HJ420" s="674">
        <f t="shared" si="373"/>
        <v>17</v>
      </c>
      <c r="HK420" s="674">
        <f t="shared" si="373"/>
        <v>16</v>
      </c>
      <c r="HL420" s="674">
        <f t="shared" si="373"/>
        <v>0</v>
      </c>
      <c r="HM420" s="674">
        <f t="shared" si="373"/>
        <v>0</v>
      </c>
      <c r="HN420" s="674">
        <f>IF(HN418=TRUE,0,HN$16)</f>
        <v>13</v>
      </c>
      <c r="HO420" s="674">
        <f t="shared" ref="HO420:HQ420" si="374">IF(HO418=TRUE,0,HO$16)</f>
        <v>0</v>
      </c>
      <c r="HP420" s="674">
        <f t="shared" si="374"/>
        <v>0</v>
      </c>
      <c r="HQ420" s="674">
        <f t="shared" si="374"/>
        <v>10</v>
      </c>
      <c r="HR420" s="674">
        <f>IF(HR418=TRUE,0,HR$16)</f>
        <v>9</v>
      </c>
      <c r="HS420" s="674">
        <f t="shared" ref="HS420:HW420" si="375">IF(HS418=TRUE,0,HS$16)</f>
        <v>0</v>
      </c>
      <c r="HT420" s="674">
        <f t="shared" si="375"/>
        <v>0</v>
      </c>
      <c r="HU420" s="674">
        <f t="shared" si="375"/>
        <v>0</v>
      </c>
      <c r="HV420" s="674">
        <f t="shared" si="375"/>
        <v>0</v>
      </c>
      <c r="HW420" s="674">
        <f t="shared" si="375"/>
        <v>0</v>
      </c>
      <c r="HX420" s="674">
        <f>IF(HX418=TRUE,0,HX$16)</f>
        <v>0</v>
      </c>
      <c r="HY420" s="674">
        <f>IF(HY418=TRUE,0,HY$16)</f>
        <v>0</v>
      </c>
      <c r="HZ420" s="674">
        <f>IF(HZ418=TRUE,0,HZ$16)</f>
        <v>1</v>
      </c>
      <c r="IB420" s="674">
        <f>IF(GP418=FALSE,GP420,IF(GQ418=FALSE,GQ420,MAX(GN420:HZ420)))</f>
        <v>36</v>
      </c>
      <c r="IC420" s="1692"/>
      <c r="ID420" s="205" t="str">
        <f>VLOOKUP(IB420,_Error_Table,3,FALSE)</f>
        <v xml:space="preserve"> </v>
      </c>
      <c r="IE420" s="205"/>
      <c r="IF420" s="1688"/>
      <c r="IG420" s="1689"/>
      <c r="IH420" s="1684"/>
      <c r="IK420" s="1689"/>
      <c r="IL420" s="1692"/>
      <c r="IM420" s="1692"/>
      <c r="IN420" s="1692"/>
      <c r="IP420" s="1679"/>
      <c r="IQ420" s="1679"/>
      <c r="IR420" s="1679"/>
      <c r="IS420" s="1679"/>
      <c r="IT420" s="1679"/>
      <c r="IU420" s="1679"/>
      <c r="IV420" s="1679"/>
      <c r="IW420" s="1679"/>
      <c r="IX420" s="1679"/>
      <c r="IY420" s="1679"/>
      <c r="IZ420" s="1679"/>
      <c r="JA420" s="1679"/>
      <c r="JC420" s="1680"/>
      <c r="JD420" s="1670"/>
      <c r="JE420" s="1681"/>
      <c r="JG420" s="1680"/>
      <c r="JH420" s="1670"/>
      <c r="JI420" s="1060"/>
      <c r="JJ420" s="1670"/>
      <c r="JK420" s="1061"/>
      <c r="JL420" s="1670"/>
      <c r="JM420" s="1061"/>
      <c r="JN420" s="1670"/>
      <c r="JO420" s="1061"/>
      <c r="JP420" s="1670"/>
      <c r="JQ420" s="1061"/>
      <c r="JR420" s="1670"/>
      <c r="JS420" s="1061"/>
      <c r="JT420" s="1670"/>
      <c r="JU420" s="1061"/>
      <c r="JV420" s="1670"/>
      <c r="JX420" s="1670"/>
      <c r="JZ420" s="1670"/>
      <c r="KB420" s="1670"/>
    </row>
    <row r="421" spans="1:288" s="78" customFormat="1" ht="5.0999999999999996" customHeight="1">
      <c r="B421" s="676"/>
      <c r="C421" s="392"/>
      <c r="D421" s="392"/>
      <c r="E421" s="1733"/>
      <c r="F421" s="1733"/>
      <c r="G421" s="1733"/>
      <c r="H421" s="1733"/>
      <c r="I421" s="1733"/>
      <c r="J421" s="1733"/>
      <c r="K421" s="1733"/>
      <c r="L421" s="1733"/>
      <c r="M421" s="1733"/>
      <c r="N421" s="1733"/>
      <c r="O421" s="1733"/>
      <c r="P421" s="1733"/>
      <c r="Q421" s="1733"/>
      <c r="R421" s="1733"/>
      <c r="S421" s="1733"/>
      <c r="T421" s="1733"/>
      <c r="U421" s="1733"/>
      <c r="V421" s="1733"/>
      <c r="W421" s="1733"/>
      <c r="X421" s="1733"/>
      <c r="Y421" s="1733"/>
      <c r="Z421" s="1733"/>
      <c r="AA421" s="1733"/>
      <c r="AB421" s="1733"/>
      <c r="AC421" s="1733"/>
      <c r="AD421" s="1733"/>
      <c r="AE421" s="1733"/>
      <c r="AF421" s="1733"/>
      <c r="AG421" s="1733"/>
      <c r="AH421" s="1733"/>
      <c r="AI421" s="1733"/>
      <c r="AJ421" s="1733"/>
      <c r="AK421" s="1733"/>
      <c r="AL421" s="1733"/>
      <c r="AM421" s="1733"/>
      <c r="AN421" s="1733"/>
      <c r="AO421" s="1733"/>
      <c r="AP421" s="1733"/>
      <c r="AQ421" s="1733"/>
      <c r="AR421" s="1733"/>
      <c r="AS421" s="1733"/>
      <c r="AT421" s="1733"/>
      <c r="AU421" s="1733"/>
      <c r="AV421" s="1733"/>
      <c r="AW421" s="1733"/>
      <c r="AX421" s="469"/>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663"/>
      <c r="CQ421" s="663"/>
      <c r="CR421" s="438"/>
      <c r="CS421" s="663"/>
      <c r="CV421" s="391"/>
      <c r="CW421" s="391"/>
      <c r="CX421" s="207"/>
      <c r="CY421" s="208"/>
      <c r="CZ421" s="208"/>
      <c r="DA421" s="208"/>
      <c r="DB421" s="209"/>
      <c r="DC421" s="209"/>
      <c r="DD421" s="209"/>
      <c r="DF421" s="664"/>
      <c r="DG421" s="665"/>
      <c r="DH421" s="666"/>
      <c r="DI421" s="667"/>
      <c r="DJ421" s="668"/>
      <c r="DK421" s="668"/>
      <c r="DN421" s="208"/>
      <c r="DO421" s="664"/>
      <c r="DQ421" s="664"/>
      <c r="DR421" s="669"/>
      <c r="DS421" s="391"/>
      <c r="DT421" s="664"/>
      <c r="DU421" s="664"/>
      <c r="DV421" s="664"/>
      <c r="DX421" s="664"/>
      <c r="DY421" s="664"/>
      <c r="DZ421" s="664"/>
      <c r="EA421" s="664"/>
      <c r="EC421" s="670"/>
      <c r="ED421" s="670"/>
      <c r="EF421" s="668"/>
      <c r="EG421" s="668"/>
      <c r="EH421" s="208"/>
      <c r="EI421" s="668"/>
      <c r="EJ421" s="668"/>
      <c r="EK421" s="207"/>
      <c r="EL421" s="207"/>
      <c r="EM421" s="666"/>
      <c r="EN421" s="671"/>
      <c r="EO421" s="671"/>
      <c r="EP421" s="672"/>
      <c r="EQ421" s="672"/>
      <c r="ER421" s="666"/>
      <c r="ES421" s="666"/>
      <c r="ET421" s="666"/>
      <c r="EV421" s="664"/>
      <c r="EX421" s="391"/>
      <c r="EY421" s="391"/>
      <c r="EZ421" s="391"/>
      <c r="FA421" s="391"/>
      <c r="FB421" s="391"/>
      <c r="FC421" s="391"/>
      <c r="FE421" s="569"/>
      <c r="FG421" s="391"/>
      <c r="FH421" s="391"/>
      <c r="FI421" s="391"/>
      <c r="FS421" s="664"/>
      <c r="FT421" s="391"/>
      <c r="FU421" s="391"/>
      <c r="FV421" s="664"/>
      <c r="FW421" s="664"/>
      <c r="GA421" s="663"/>
      <c r="GB421" s="663"/>
      <c r="GC421" s="663"/>
      <c r="GD421" s="663"/>
      <c r="GE421" s="663"/>
      <c r="GF421" s="663"/>
      <c r="GG421" s="663"/>
      <c r="GH421" s="663"/>
      <c r="GI421" s="665"/>
      <c r="GJ421" s="664"/>
      <c r="GK421" s="664"/>
    </row>
    <row r="422" spans="1:288" s="78" customFormat="1" ht="14.95" customHeight="1">
      <c r="B422" s="1845" t="str">
        <f>ID425</f>
        <v xml:space="preserve"> </v>
      </c>
      <c r="C422" s="1846">
        <f>C417+1</f>
        <v>73</v>
      </c>
      <c r="D422" s="1847"/>
      <c r="E422" s="1799" t="s">
        <v>295</v>
      </c>
      <c r="F422" s="1800"/>
      <c r="G422" s="1741"/>
      <c r="H422" s="1742"/>
      <c r="I422" s="1742"/>
      <c r="J422" s="1742"/>
      <c r="K422" s="1742"/>
      <c r="L422" s="1742"/>
      <c r="M422" s="1742"/>
      <c r="N422" s="1742"/>
      <c r="O422" s="1742"/>
      <c r="P422" s="1742"/>
      <c r="Q422" s="1742"/>
      <c r="R422" s="1742"/>
      <c r="S422" s="1791" t="s">
        <v>344</v>
      </c>
      <c r="T422" s="590"/>
      <c r="U422" s="1743"/>
      <c r="V422" s="1744"/>
      <c r="W422" s="1744"/>
      <c r="X422" s="1744"/>
      <c r="Y422" s="1744"/>
      <c r="Z422" s="1744"/>
      <c r="AA422" s="1744"/>
      <c r="AB422" s="961" t="str">
        <f>IFERROR(IF(__Retrofit_TI_NC=0,VLOOKUP(U423,Fixtures_Existing_List,2,FALSE),ROUND(N424*R424/T424,10)),"")</f>
        <v/>
      </c>
      <c r="AC422" s="935" t="str">
        <f>IFERROR(IF(__Retrofit_TI_NC=0,ROUND(T423*AB422*N423*R423/1000,0),IF(CQ422="Interior",N424*R424*R423*N423*_C406_reduction/1000,N424*R424*R423*N423/1000)),"")</f>
        <v/>
      </c>
      <c r="AD422" s="936" t="str">
        <f>IFERROR(IF(C$43=0,ROUND(T423*AB422/1000,2),N424*R424/1000),"")</f>
        <v/>
      </c>
      <c r="AE422" s="997"/>
      <c r="AF422" s="937"/>
      <c r="AG422" s="1745" t="str">
        <f>IF(__Retrofit_TI_NC=0," Control","Select Advanced Control for New System")</f>
        <v xml:space="preserve"> Control</v>
      </c>
      <c r="AH422" s="1745"/>
      <c r="AI422" s="1745"/>
      <c r="AJ422" s="1745"/>
      <c r="AK422" s="1745"/>
      <c r="AL422" s="1745"/>
      <c r="AM422" s="1746">
        <f>IFERROR(DI422,"")</f>
        <v>0</v>
      </c>
      <c r="AN422" s="1774" t="str">
        <f>IFERROR(ROUND(AM422*AC422,0),"")</f>
        <v/>
      </c>
      <c r="AO422" s="1776">
        <f>IFERROR(IF(IB422=FALSE,0,AC422-AN422),0)</f>
        <v>0</v>
      </c>
      <c r="AP422" s="1778">
        <f>AO422-AO424</f>
        <v>0</v>
      </c>
      <c r="AQ422" s="1779"/>
      <c r="AR422" s="1793">
        <f>IFERROR(IF(IB422=FALSE,0,(T424*U425)+(AF424*AG425)),0)</f>
        <v>0</v>
      </c>
      <c r="AS422" s="1793"/>
      <c r="AT422" s="1794"/>
      <c r="AU422" s="1734" t="s">
        <v>237</v>
      </c>
      <c r="AV422" s="1751">
        <f>IF(AU422="Yes",1,0)</f>
        <v>1</v>
      </c>
      <c r="AW422" s="1704" t="str">
        <f>IF(OR(DQ422=4,DQ422=5,DQ422=6,DQ422=12),CONCATENATE("$",IF(GH422=TRUE,Lookup!$K$10,Lookup!$K$2)," /lamp"),CONCATENATE(TEXT(ED422,"$0.00"),"/ kWh"))</f>
        <v>$0.00/ kWh</v>
      </c>
      <c r="AX422" s="467"/>
      <c r="AY422" s="1748">
        <f ca="1">IFERROR(IF(GM423=TRUE,(AB425*T424)/R424,0),"NA")</f>
        <v>0</v>
      </c>
      <c r="AZ422" s="1748"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696" t="str">
        <f>N423</f>
        <v/>
      </c>
      <c r="CQ422" s="1696" t="str">
        <f>IFERROR(VLOOKUP(G423,_Lookup_Heat_Type_Table_New,3,FALSE),"")</f>
        <v/>
      </c>
      <c r="CR422" s="1808" t="str">
        <f>CQ422</f>
        <v/>
      </c>
      <c r="CS422" s="1810" t="str">
        <f>IFERROR(VLOOKUP(G424,'Space Table'!$B$3:$L$163,9,FALSE),"")</f>
        <v/>
      </c>
      <c r="CU422" s="1688" t="s">
        <v>344</v>
      </c>
      <c r="CV422" s="1702">
        <f>IF(IB422=TRUE,T423,0)</f>
        <v>0</v>
      </c>
      <c r="CW422" s="1702" t="str">
        <f>IF(IB422=TRUE,U423,"")</f>
        <v/>
      </c>
      <c r="CX422" s="1702"/>
      <c r="CY422" s="1814">
        <f>IF(IB422=TRUE,AB422,0)</f>
        <v>0</v>
      </c>
      <c r="CZ422" s="1710">
        <f>IF(AND(__Retrofit_TI_NC&gt;0,CR422="interior"),0,IF(IB422=TRUE,AC422,0))</f>
        <v>0</v>
      </c>
      <c r="DA422" s="1814">
        <f>IFERROR(IF(IB422=TRUE,CZ422-CZ424,0),0)</f>
        <v>0</v>
      </c>
      <c r="DB422" s="1819">
        <f>IF(IB422=TRUE,AD422,0)</f>
        <v>0</v>
      </c>
      <c r="DC422" s="1819">
        <f>IF(IB422=TRUE,AD425,0)</f>
        <v>0</v>
      </c>
      <c r="DD422" s="1819">
        <f>IFERROR(DB422-DC422,0)</f>
        <v>0</v>
      </c>
      <c r="DF422" s="1702">
        <f>IF(IB422=TRUE,AF423,0)</f>
        <v>0</v>
      </c>
      <c r="DG422" s="1830">
        <f>IFERROR(IF(__Retrofit_TI_NC=2,IF(CQ422="Exterior",O425,FQ422),FN422),"")</f>
        <v>0</v>
      </c>
      <c r="DH422" s="1702"/>
      <c r="DI422" s="1837">
        <f>JE422</f>
        <v>0</v>
      </c>
      <c r="DJ422" s="1710">
        <f>IF(AND(__Retrofit_TI_NC&gt;0,CR422="interior"),0,IF(IB422=TRUE,AN422,0))</f>
        <v>0</v>
      </c>
      <c r="DK422" s="1712">
        <f>IFERROR(IF(IB422=TRUE,DJ424-DJ422,0),0)</f>
        <v>0</v>
      </c>
      <c r="DM422" s="1717">
        <f>IFERROR(CZ422-DJ422,0)</f>
        <v>0</v>
      </c>
      <c r="DO422" s="1708">
        <f>DM422-DN424</f>
        <v>0</v>
      </c>
      <c r="DQ422" s="1715" t="str">
        <f>IFERROR(IF(AND(OR(GC422=4,GC422=5,GC422=6),OR(GF422=4,GF422=5,GF422=6)),GC422+8,VLOOKUP(CW424,Fixtures!R$31:Y$78,8,FALSE)),"")</f>
        <v/>
      </c>
      <c r="DR422" s="1829" t="str">
        <f>DQ422</f>
        <v/>
      </c>
      <c r="DS422" s="1702" t="str">
        <f>IFERROR(VLOOKUP(DG424,Lookup!BB$3:BC$20,2,FALSE),"")</f>
        <v/>
      </c>
      <c r="DT422" s="1713" t="str">
        <f>IF(OR(DS422=7,DS422=8,DS422=9),"ALC","")</f>
        <v/>
      </c>
      <c r="DU422" s="1715">
        <f>IFERROR(IF(OR(DQ422=4,DQ422=5,DQ422=6,DQ422=12,DQ422=13,DQ422=14),VLOOKUP(CW424,Fixtures!DN$27:EG$77,19,FALSE),1)*CV424,0)</f>
        <v>0</v>
      </c>
      <c r="DV422" s="1716">
        <f>IF(OR(DS422=7,DS422=8,DS422=9),IF(DG422=DG424,0,DF424),0)</f>
        <v>0</v>
      </c>
      <c r="DX422" s="1715" t="str">
        <f>IFERROR(IF(EZ422&lt;EZ424,"Yes","No"),"")</f>
        <v/>
      </c>
      <c r="DY422" s="1829" t="str">
        <f>DX422</f>
        <v/>
      </c>
      <c r="DZ422" s="1715">
        <f>IF(DX422="Yes",DF424,0)</f>
        <v>0</v>
      </c>
      <c r="EA422" s="1715">
        <f>DZ422-DV422</f>
        <v>0</v>
      </c>
      <c r="EC422" s="1834">
        <f>IFERROR(VLOOKUP(DQ422,Lookup!AU$3:AV$16,2,FALSE),0)</f>
        <v>0</v>
      </c>
      <c r="ED422" s="1834">
        <f>IF(IB422=FALSE,0,IF(DX422="Yes",EC422+Lookup!K$6,EC422))</f>
        <v>0</v>
      </c>
      <c r="EF422" s="1707">
        <f>IF(IB422=TRUE,DM422,0)</f>
        <v>0</v>
      </c>
      <c r="EG422" s="1712">
        <f>IF(IB422=TRUE,CZ424,0)</f>
        <v>0</v>
      </c>
      <c r="EH422" s="1814">
        <f>IFERROR(EF422-EG422,0)</f>
        <v>0</v>
      </c>
      <c r="EI422" s="1712">
        <f>IF(IB422=TRUE,DJ424,0)</f>
        <v>0</v>
      </c>
      <c r="EJ422" s="1712">
        <f>IFERROR(EF422-EG422+EI422,0)</f>
        <v>0</v>
      </c>
      <c r="EK422" s="1812">
        <f>IF(IB422=TRUE,CV424*CX424,0)</f>
        <v>0</v>
      </c>
      <c r="EL422" s="1812">
        <f>IF(IB422=TRUE,DF424*DH424,0)</f>
        <v>0</v>
      </c>
      <c r="EM422" s="1807">
        <f>AR422</f>
        <v>0</v>
      </c>
      <c r="EN422" s="1839" t="str">
        <f>IFERROR(IF(IB422=TRUE,VLOOKUP(DQ422,Lookup!AU$3:AW$16,3,FALSE)*DU422,""),0)</f>
        <v/>
      </c>
      <c r="EO422" s="1839">
        <f>IF(IB422=TRUE,DZ422*Lookup!AW$12,0)</f>
        <v>0</v>
      </c>
      <c r="EP422" s="1817">
        <f>IFERROR(IF(IB422=TRUE,EN422/EP$40,0),0)</f>
        <v>0</v>
      </c>
      <c r="EQ422" s="1817">
        <f>IF(IB422=TRUE,EO422/EQ$40,0)</f>
        <v>0</v>
      </c>
      <c r="ER422" s="1807">
        <f>IF(IB422=TRUE,ET$40*EP422,0)</f>
        <v>0</v>
      </c>
      <c r="ES422" s="1807">
        <f>IF(IB422=TRUE,ET$40*EQ422,0)</f>
        <v>0</v>
      </c>
      <c r="ET422" s="1807">
        <f>ER422+ES422</f>
        <v>0</v>
      </c>
      <c r="EV422" s="1715">
        <f>IF(G422="",0,1)</f>
        <v>0</v>
      </c>
      <c r="EX422" s="1804" t="str">
        <f>IFERROR(VLOOKUP(CS424,'Space Table'!$B$3:$L$163,8,FALSE),"")</f>
        <v/>
      </c>
      <c r="EY422" s="1804" t="str">
        <f>IFERROR(IF(FB422="Yes",VLOOKUP(DG422,Lookup_Control_Type_Table2,4,FALSE),VLOOKUP(DG422,Lookup_Control_Type_Table2,3,FALSE)),"")</f>
        <v/>
      </c>
      <c r="EZ422" s="1804" t="e">
        <f>VLOOKUP(DG422,Lookup!BB$3:BC$20,2,FALSE)</f>
        <v>#N/A</v>
      </c>
      <c r="FA422" s="1804" t="e">
        <f>VLOOKUP(EX422,Lookup_Control_Type_Table,2,FALSE)</f>
        <v>#N/A</v>
      </c>
      <c r="FB422" s="1804" t="e">
        <f>VLOOKUP(CS424,'Space Table'!$B$3:$L$163,7,FALSE)</f>
        <v>#N/A</v>
      </c>
      <c r="FC422" s="1826" t="b">
        <f>ISNUMBER(SEARCH("TLED",U424))</f>
        <v>0</v>
      </c>
      <c r="FE422" s="1698" t="str">
        <f>CONCATENATE(CQ422," - ",DG422)</f>
        <v xml:space="preserve"> - 0</v>
      </c>
      <c r="FG422" s="1702" t="str">
        <f>VLOOKUP(CW424,Fixtures!DN$27:EZ$77,38,FALSE)</f>
        <v/>
      </c>
      <c r="FH422" s="1702">
        <f>IFERROR(FG422*EH422,0)</f>
        <v>0</v>
      </c>
      <c r="FI422" s="133"/>
      <c r="FL422" s="1822" t="str">
        <f>IF(CQ422="Exterior","Not Daylighted",G425)</f>
        <v>Not Daylighted</v>
      </c>
      <c r="FM422" s="1824">
        <f>VLOOKUP(FL422,_New_Daylight_Table_Codes,2,FALSE)</f>
        <v>0</v>
      </c>
      <c r="FN422" s="1698">
        <f>IF(__Retrofit_TI_NC&gt;0,VLOOKUP(G424,'Space Table'!$B$3:$L$163,11,FALSE),AG423)</f>
        <v>0</v>
      </c>
      <c r="FO422" s="1698" t="e">
        <f>IF(__Retrofit_TI_NC=2,VLOOKUP(FQ422,_Control_Table,2,FALSE),VLOOKUP(FN422,_Control_Table,2,FALSE))</f>
        <v>#N/A</v>
      </c>
      <c r="FP422" s="1678" t="e">
        <f>VLOOKUP(CONCATENATE(FL422," ",FN422),Lookup!AY$102:AZ432,2,FALSE)</f>
        <v>#N/A</v>
      </c>
      <c r="FQ422" s="1678">
        <f>IF(__Retrofit_TI_NC=0,FN422,IF(AND(FT422&gt;0,FN422="Occupancy Sensor"),"Daylight + Occupancy",IF(AND(FT422&gt;0,VLOOKUP(FN422,_Control_Table,2,FALSE)&lt;4),"Interior Daylight Dimming",FN422)))</f>
        <v>0</v>
      </c>
      <c r="FS422" s="1686">
        <f>IF(CR422="Interior",VLOOKUP(CS422,Control_Savings_Interior,5,FALSE),0)</f>
        <v>0</v>
      </c>
      <c r="FT422" s="1687">
        <f>IF(CQ422="Exterior",0,IF(FM422=2,0.5,IF(OR(FM422=1,FM422=3),1,0)))</f>
        <v>0</v>
      </c>
      <c r="FU422" s="1685">
        <f>IF(R421&gt;FS$44,(FS422*(FS$44/R421)),FS422)*FT422</f>
        <v>0</v>
      </c>
      <c r="FV422" s="1686">
        <f>DI422</f>
        <v>0</v>
      </c>
      <c r="FW422" s="1686">
        <f>ROUND(FV422+((1-FV422)*FU422),2)</f>
        <v>0</v>
      </c>
      <c r="FX422" s="1686">
        <f>IF(__Retrofit_TI_NC=2,FW422,FV422)</f>
        <v>0</v>
      </c>
      <c r="FY422" s="1697"/>
      <c r="GA422" s="1696" t="str">
        <f>IFERROR(VLOOKUP(U423,_Exist_Fixture_Table,3,FALSE),"")</f>
        <v/>
      </c>
      <c r="GB422" s="1696" t="str">
        <f>VLOOKUP(CW422,_Exist_Fixture_Table,4,FALSE)</f>
        <v/>
      </c>
      <c r="GC422" s="1696">
        <f>IFERROR(VLOOKUP(GB422,Lookup!AT$6:AU$8,2,FALSE),0)</f>
        <v>0</v>
      </c>
      <c r="GD422" s="1696" t="b">
        <f>IFERROR(IF(OR(GF422=4,GF422=5,GF422=6),TRUE,FALSE),"")</f>
        <v>0</v>
      </c>
      <c r="GE422" s="1696" t="str">
        <f>IFERROR(VLOOKUP(GF422,GC$6:GD$10,2,FALSE),"")</f>
        <v/>
      </c>
      <c r="GF422" s="1696" t="str">
        <f>VLOOKUP(CW424,Fixtures!R$31:Y$78,8,FALSE)</f>
        <v/>
      </c>
      <c r="GG422" s="1696">
        <f>IF(AND(GA422=TRUE,GD422=TRUE,OR(DQ422=12,DQ422=13,DQ422=14)),GC422+8,0)</f>
        <v>0</v>
      </c>
      <c r="GH422" s="1696" t="b">
        <f>IF(OR(GG422=12,GG422=13,GG422=14),TRUE,FALSE)</f>
        <v>0</v>
      </c>
      <c r="GI422" s="673" t="b">
        <f>IF(ISNUMBER(SEARCH("TLED",U423)),TRUE,FALSE)</f>
        <v>0</v>
      </c>
      <c r="GJ422" s="1135" t="str">
        <f>IFERROR(VLOOKUP(U423,Fixtures!BM$93:BR$142,6,FALSE),"")</f>
        <v/>
      </c>
      <c r="GK422" s="1832" t="b">
        <f>IF(OR(GI422=FALSE,GI424=FALSE),TRUE,IF(GJ422-GJ424&lt;5,FALSE,TRUE))</f>
        <v>1</v>
      </c>
      <c r="GO422" s="674">
        <f>GP422</f>
        <v>0</v>
      </c>
      <c r="GP422" s="674">
        <f>IF(G422="",0,1)</f>
        <v>0</v>
      </c>
      <c r="GQ422" s="674">
        <f ca="1">SUM(GR422:HF422)</f>
        <v>2</v>
      </c>
      <c r="GR422" s="674">
        <f>IF(G423="",0,1)</f>
        <v>0</v>
      </c>
      <c r="GS422" s="674">
        <f>IF(N425="BAM",1,IF(G424="",0,1))</f>
        <v>0</v>
      </c>
      <c r="GT422" s="674">
        <f>IF(N425="BAM",1,IF(R423="",0,1))</f>
        <v>0</v>
      </c>
      <c r="GU422" s="674">
        <f>IF(N425="BAM",1,IF(__Retrofit_TI_NC=0,1,IF(R424="",0,1)))</f>
        <v>1</v>
      </c>
      <c r="GV422" s="674">
        <f>IF(N425="BAM",1,IF(CQ422="Exterior",1,IF(G425="",0,1)))</f>
        <v>1</v>
      </c>
      <c r="GW422" s="674">
        <f>IF(__Retrofit_TI_NC&gt;0,1,IF(T423="",0,1))</f>
        <v>0</v>
      </c>
      <c r="GX422" s="674">
        <f>IF(__Retrofit_TI_NC&gt;0,1,IF(U423="",0,1))</f>
        <v>0</v>
      </c>
      <c r="GY422" s="674">
        <f>IF(N425="BAM",1,IF(T424="",0,1))</f>
        <v>0</v>
      </c>
      <c r="GZ422" s="674">
        <f>IF(N425="BAM",1,IF(U424="",0,1))</f>
        <v>0</v>
      </c>
      <c r="HA422" s="674">
        <f ca="1">IF(N425="BAM",1,IF(__Retrofit_TI_NC&gt;0,1,IF(U425="",0,1)))</f>
        <v>0</v>
      </c>
      <c r="HB422" s="674">
        <f>IF(__Retrofit_TI_NC&lt;&gt;0,1,IF(AF423="",0,1))</f>
        <v>0</v>
      </c>
      <c r="HC422" s="674">
        <f>IF(__Retrofit_TI_NC&lt;&gt;0,1,IF(AG423="",0,1))</f>
        <v>0</v>
      </c>
      <c r="HD422" s="674">
        <f>IF(N425="BAM",1,IF(AF424="",0,1))</f>
        <v>0</v>
      </c>
      <c r="HE422" s="674">
        <f>IF(N425="BAM",1,IF(AG424="",0,1))</f>
        <v>0</v>
      </c>
      <c r="HF422" s="674">
        <f>IF(N425="BAM",1,IF(__Retrofit_TI_NC&gt;0,1,IF(AG425="",0,1)))</f>
        <v>0</v>
      </c>
      <c r="HG422" s="391"/>
      <c r="IA422" s="391"/>
      <c r="IB422" s="1693" t="b">
        <f>IF(OR(IB425=0,IB425=HY$16,IB425=HX$16,IB425=HZ$16),TRUE,FALSE)</f>
        <v>0</v>
      </c>
      <c r="IC422" s="1694" t="b">
        <f>IB422</f>
        <v>0</v>
      </c>
      <c r="ID422" s="391"/>
      <c r="IE422" s="391"/>
      <c r="IF422" s="1688" t="b">
        <f ca="1">IF(MAX(GN425:HU425)&gt;5,FALSE,TRUE)</f>
        <v>0</v>
      </c>
      <c r="IG422" s="1689">
        <f ca="1">IF(IF422=TRUE,AC422,0)</f>
        <v>0</v>
      </c>
      <c r="IH422" s="1689">
        <f ca="1">IG422-IG424</f>
        <v>0</v>
      </c>
      <c r="IK422" s="1689" t="e">
        <f>ROUND(T423*VLOOKUP(U423,Fixtures_Existing_List,2,FALSE)*N423*R423/1000,0)</f>
        <v>#N/A</v>
      </c>
      <c r="IL422" s="1690" t="e">
        <f>IK422-IK424</f>
        <v>#N/A</v>
      </c>
      <c r="IM422" s="1693" t="e">
        <f>ROUND(IF(CQ422="Interior",N424*R424*R423*N423*_C406_reduction/1000,N424*R424*R423*N423/1000),0)</f>
        <v>#N/A</v>
      </c>
      <c r="IN422" s="1693" t="e">
        <f>IM422-IM424</f>
        <v>#N/A</v>
      </c>
      <c r="IP422" s="1679"/>
      <c r="IQ422" s="1679" t="e">
        <f t="shared" ref="IQ422:IU422" si="376">IF($CR422="interior",VLOOKUP($CS422,_New_Control_Savings_Interior,IQ$30,FALSE),VLOOKUP($CS422,Control_Savings_Exterior,IQ$30,FALSE))</f>
        <v>#N/A</v>
      </c>
      <c r="IR422" s="1679" t="e">
        <f t="shared" si="376"/>
        <v>#N/A</v>
      </c>
      <c r="IS422" s="1679" t="e">
        <f t="shared" si="376"/>
        <v>#N/A</v>
      </c>
      <c r="IT422" s="1679" t="e">
        <f t="shared" si="376"/>
        <v>#N/A</v>
      </c>
      <c r="IU422" s="1679" t="e">
        <f t="shared" si="376"/>
        <v>#N/A</v>
      </c>
      <c r="IV422" s="1679" t="e">
        <f>IF($CR422="interior",IF(R423&gt;$IP$14,ROUND(($IV$18*($IP$14/R423)),2),$IV$18),VLOOKUP($CS422,Control_Savings_Exterior,IV$30,FALSE))</f>
        <v>#N/A</v>
      </c>
      <c r="IW422" s="1679" t="e">
        <f>IF($CR422="interior",ROUND(((1-IS422)*IV422)+IS422,2),VLOOKUP($CS422,Control_Savings_Exterior,IW$30,FALSE))</f>
        <v>#N/A</v>
      </c>
      <c r="IX422" s="1679" t="e">
        <f>IF($CR422="interior",ROUND(((1-IT422)*IV422)+IT422,2),VLOOKUP($CS422,Control_Savings_Exterior,IX$30,FALSE))</f>
        <v>#N/A</v>
      </c>
      <c r="IY422" s="1679" t="e">
        <f>IF($CR422="interior",IF(R423&gt;$IP$14,ROUND(($IY$18*($IP$14/R423)),2),$IY$18),VLOOKUP($CS422,Control_Savings_Exterior,IY$30,FALSE))</f>
        <v>#N/A</v>
      </c>
      <c r="IZ422" s="1679" t="e">
        <f>IF($CR422="interior",ROUND(((1-IS422)*IY422)+IS422,2),VLOOKUP($CS422,Control_Savings_Exterior,IZ$30,FALSE))</f>
        <v>#N/A</v>
      </c>
      <c r="JA422" s="1679" t="e">
        <f>IF($CR422="interior",ROUND(((1-IT422)*IY422)+IT422,2),VLOOKUP($CS422,Control_Savings_Exterior,JA$30,FALSE))</f>
        <v>#N/A</v>
      </c>
      <c r="JC422" s="1680">
        <f>IFERROR(IF(CR422="Interior",CONCATENATE(G425," ",FQ422),FQ422),"")</f>
        <v>0</v>
      </c>
      <c r="JD422" s="1670" t="str">
        <f>IFERROR(VLOOKUP(JC422,_Controls_2023,2,FALSE),"")</f>
        <v/>
      </c>
      <c r="JE422" s="1681">
        <f>IFERROR(CHOOSE(JD422-1,IQ422,IR422,IS422,IT422,IU422,IV422,IW422,IX422,IY422,IZ422,JA422),0)</f>
        <v>0</v>
      </c>
      <c r="JG422" s="1680" t="str">
        <f>FE422</f>
        <v xml:space="preserve"> - 0</v>
      </c>
      <c r="JH422" s="1670" t="e">
        <f>$FO422</f>
        <v>#N/A</v>
      </c>
      <c r="JI422" s="1060"/>
      <c r="JJ422" s="1682" t="b">
        <f>IF($JG424=CONCATENATE("Interior - ",JJ$4),TRUE,FALSE)</f>
        <v>0</v>
      </c>
      <c r="JK422" s="1061"/>
      <c r="JL422" s="1682" t="b">
        <f>IF($JG424=CONCATENATE("Interior - ",JL$4),TRUE,FALSE)</f>
        <v>0</v>
      </c>
      <c r="JM422" s="1061"/>
      <c r="JN422" s="1682" t="b">
        <f>IF($JG424=CONCATENATE("Interior - ",JN$4),TRUE,FALSE)</f>
        <v>0</v>
      </c>
      <c r="JO422" s="1061"/>
      <c r="JP422" s="1682" t="b">
        <f>IF(__Retrofit_TI_NC&gt;0,FALSE,IF($JG424=CONCATENATE("Interior - ",JP$4),TRUE,FALSE))</f>
        <v>0</v>
      </c>
      <c r="JQ422" s="1061"/>
      <c r="JR422" s="1682" t="b">
        <f>IF(__Retrofit_TI_NC&gt;0,FALSE,IF($JG424=CONCATENATE("Interior - ",JR$4),TRUE,FALSE))</f>
        <v>0</v>
      </c>
      <c r="JS422" s="1061"/>
      <c r="JT422" s="1670" t="b">
        <f>IF(__Retrofit_TI_NC&gt;0,FALSE,IF($JG424=CONCATENATE("Interior - ",JT$4),TRUE,FALSE))</f>
        <v>0</v>
      </c>
      <c r="JU422" s="1061"/>
      <c r="JV422" s="1670" t="b">
        <f>IF(JC424="AELC on Existing",TRUE,FALSE)</f>
        <v>0</v>
      </c>
      <c r="JX422" s="1670" t="b">
        <f>IF(OR(JG424="Exterior - AELC Occupancy based",JG424="Exterior - AELC Time based"),TRUE,FALSE)</f>
        <v>0</v>
      </c>
      <c r="JZ422" s="1682" t="b">
        <f>IF($JG424=CONCATENATE("Exterior - ",JZ$4),TRUE,FALSE)</f>
        <v>0</v>
      </c>
      <c r="KB422" s="1670" t="b">
        <f>IF(__Retrofit_TI_NC&gt;0,FALSE,IF($JG424=CONCATENATE("Interior - ",KB$4),TRUE,FALSE))</f>
        <v>0</v>
      </c>
    </row>
    <row r="423" spans="1:288" s="78" customFormat="1" ht="14.95" customHeight="1" thickTop="1" thickBot="1">
      <c r="B423" s="1845"/>
      <c r="C423" s="1846"/>
      <c r="D423" s="1847"/>
      <c r="E423" s="1737" t="s">
        <v>297</v>
      </c>
      <c r="F423" s="1738"/>
      <c r="G423" s="1739"/>
      <c r="H423" s="1739"/>
      <c r="I423" s="1739"/>
      <c r="J423" s="1739"/>
      <c r="K423" s="1739"/>
      <c r="L423" s="1739"/>
      <c r="M423" s="461" t="e">
        <f>IF(__Retrofit_TI_NC&lt;&gt;0,IF(VLOOKUP(G424,'Space Table'!$B$3:$L$163,3,FALSE)&gt;0,1,0),IF(__Retrofit_TI_NC=VLOOKUP(G424,'Space Table'!$B$3:$L$163,3,FALSE),1,0))</f>
        <v>#N/A</v>
      </c>
      <c r="N423" s="461" t="str">
        <f>IFERROR(VLOOKUP(G423,_Lookup_Heat_Type_Table_New,2,FALSE),"")</f>
        <v/>
      </c>
      <c r="O423" s="461">
        <f>IF(__Retrofit_TI_NC=1,CONCATENATE("TI ",G423),IF(__Retrofit_TI_NC=2,CONCATENATE("NC ",G423),G423))</f>
        <v>0</v>
      </c>
      <c r="P423" s="1740" t="s">
        <v>435</v>
      </c>
      <c r="Q423" s="1740"/>
      <c r="R423" s="595"/>
      <c r="S423" s="1792"/>
      <c r="T423" s="597"/>
      <c r="U423" s="1765"/>
      <c r="V423" s="1766"/>
      <c r="W423" s="1766"/>
      <c r="X423" s="1766"/>
      <c r="Y423" s="1766"/>
      <c r="Z423" s="1766"/>
      <c r="AA423" s="1766"/>
      <c r="AB423" s="1766"/>
      <c r="AC423" s="1766"/>
      <c r="AD423" s="1767"/>
      <c r="AE423" s="1000"/>
      <c r="AF423" s="597"/>
      <c r="AG423" s="1723"/>
      <c r="AH423" s="1724"/>
      <c r="AI423" s="1724"/>
      <c r="AJ423" s="1724"/>
      <c r="AK423" s="1725"/>
      <c r="AL423" s="996"/>
      <c r="AM423" s="1747"/>
      <c r="AN423" s="1775"/>
      <c r="AO423" s="1777"/>
      <c r="AP423" s="1780"/>
      <c r="AQ423" s="1781"/>
      <c r="AR423" s="1795"/>
      <c r="AS423" s="1795"/>
      <c r="AT423" s="1796"/>
      <c r="AU423" s="1735"/>
      <c r="AV423" s="1752"/>
      <c r="AW423" s="1705"/>
      <c r="AX423" s="467"/>
      <c r="AY423" s="1749"/>
      <c r="AZ423" s="1749"/>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696"/>
      <c r="CQ423" s="1696"/>
      <c r="CR423" s="1809"/>
      <c r="CS423" s="1811"/>
      <c r="CU423" s="1688"/>
      <c r="CV423" s="1703"/>
      <c r="CW423" s="1703"/>
      <c r="CX423" s="1703"/>
      <c r="CY423" s="1815"/>
      <c r="CZ423" s="1711"/>
      <c r="DA423" s="1818"/>
      <c r="DB423" s="1820"/>
      <c r="DC423" s="1820"/>
      <c r="DD423" s="1820"/>
      <c r="DF423" s="1703"/>
      <c r="DG423" s="1831"/>
      <c r="DH423" s="1703"/>
      <c r="DI423" s="1838"/>
      <c r="DJ423" s="1711"/>
      <c r="DK423" s="1712"/>
      <c r="DM423" s="1718"/>
      <c r="DO423" s="1708"/>
      <c r="DQ423" s="1715"/>
      <c r="DR423" s="1720"/>
      <c r="DS423" s="1816"/>
      <c r="DT423" s="1714"/>
      <c r="DU423" s="1715"/>
      <c r="DV423" s="1716"/>
      <c r="DX423" s="1715"/>
      <c r="DY423" s="1720"/>
      <c r="DZ423" s="1715"/>
      <c r="EA423" s="1715"/>
      <c r="EC423" s="1834"/>
      <c r="ED423" s="1834"/>
      <c r="EF423" s="1707"/>
      <c r="EG423" s="1712"/>
      <c r="EH423" s="1818"/>
      <c r="EI423" s="1712"/>
      <c r="EJ423" s="1712"/>
      <c r="EK423" s="1836"/>
      <c r="EL423" s="1836"/>
      <c r="EM423" s="1807"/>
      <c r="EN423" s="1839"/>
      <c r="EO423" s="1839"/>
      <c r="EP423" s="1817"/>
      <c r="EQ423" s="1817"/>
      <c r="ER423" s="1807"/>
      <c r="ES423" s="1807"/>
      <c r="ET423" s="1807"/>
      <c r="EV423" s="1715"/>
      <c r="EX423" s="1805"/>
      <c r="EY423" s="1805"/>
      <c r="EZ423" s="1805"/>
      <c r="FA423" s="1805"/>
      <c r="FB423" s="1805"/>
      <c r="FC423" s="1827"/>
      <c r="FE423" s="1698"/>
      <c r="FG423" s="1816"/>
      <c r="FH423" s="1816"/>
      <c r="FI423" s="133"/>
      <c r="FL423" s="1823"/>
      <c r="FM423" s="1825"/>
      <c r="FN423" s="1698"/>
      <c r="FO423" s="1698"/>
      <c r="FP423" s="1678"/>
      <c r="FQ423" s="1678"/>
      <c r="FS423" s="1687"/>
      <c r="FT423" s="1687"/>
      <c r="FU423" s="1685"/>
      <c r="FV423" s="1687"/>
      <c r="FW423" s="1687"/>
      <c r="FX423" s="1687"/>
      <c r="FY423" s="1697"/>
      <c r="GA423" s="1696"/>
      <c r="GB423" s="1696"/>
      <c r="GC423" s="1696"/>
      <c r="GD423" s="1696"/>
      <c r="GE423" s="1696"/>
      <c r="GF423" s="1696"/>
      <c r="GG423" s="1696"/>
      <c r="GH423" s="1696"/>
      <c r="GI423" s="673"/>
      <c r="GJ423" s="1135"/>
      <c r="GK423" s="1832"/>
      <c r="GM423" s="1693" t="b">
        <f ca="1">IF(AND(GP423=TRUE,GQ423=TRUE),TRUE,FALSE)</f>
        <v>0</v>
      </c>
      <c r="GN423" s="1684" t="b">
        <f>IFERROR(IF(__Retrofit_TI_NC=2,TRUE,IF(AU422="Yes",TRUE,FALSE)),FALSE)</f>
        <v>1</v>
      </c>
      <c r="GP423" s="1684" t="b">
        <f>IFERROR(IF(GP422=1,TRUE,FALSE),FALSE)</f>
        <v>0</v>
      </c>
      <c r="GQ423" s="1684" t="b">
        <f ca="1">IFERROR(IF(GQ422=GQ$14,TRUE,FALSE),FALSE)</f>
        <v>0</v>
      </c>
      <c r="HG423" s="1684" t="b">
        <f>IFERROR(IF(AND(__Retrofit_TI_NC&gt;0,CQ422="Interior"),FALSE,TRUE),FALSE)</f>
        <v>1</v>
      </c>
      <c r="HH423" s="1684" t="b">
        <f>IFERROR(IF(M423=1,TRUE,FALSE),FALSE)</f>
        <v>0</v>
      </c>
      <c r="HI423" s="1684" t="b">
        <f>IFERROR(IF(OR(M424=1,N425="BAM"),TRUE,FALSE),FALSE)</f>
        <v>0</v>
      </c>
      <c r="HJ423" s="1684" t="b">
        <f>IFERROR(IF(__Retrofit_TI_NC&lt;&gt;0,TRUE,IFERROR(IF(VLOOKUP(U423,Fixtures_Existing_List,2,FALSE)&lt;&gt;"",TRUE,FALSE),FALSE)),FALSE)</f>
        <v>0</v>
      </c>
      <c r="HK423" s="1684" t="b">
        <f>IFERROR(IF(VLOOKUP(U424,Fixtures_Proposed_List,2,FALSE)&lt;&gt;"",TRUE,FALSE),FALSE)</f>
        <v>0</v>
      </c>
      <c r="HL423" s="1684" t="b">
        <f>IF(AND(__Retrofit_TI_NC=2,FC422=TRUE),FALSE,TRUE)</f>
        <v>1</v>
      </c>
      <c r="HM423" s="1684" t="b">
        <f>GK422</f>
        <v>1</v>
      </c>
      <c r="HN423" s="1682" t="b">
        <f>IF(ISERROR(MATCH(FE422,_Control_Match[],0))=TRUE,FALSE,TRUE)</f>
        <v>0</v>
      </c>
      <c r="HO423" s="1693" t="b">
        <f>IFERROR(IF(EX422&lt;&gt;EY422,FALSE,TRUE),FALSE)</f>
        <v>1</v>
      </c>
      <c r="HP423" s="1693" t="b">
        <f>IFERROR(IF(EX424&lt;&gt;EY424,FALSE,TRUE),FALSE)</f>
        <v>1</v>
      </c>
      <c r="HQ423" s="1670" t="b">
        <f>IFERROR(IF(CQ422="Exterior",TRUE,IF(AND(OR(FM424=0,FM424=3),JD424&gt;6),FALSE,TRUE)),FALSE)</f>
        <v>0</v>
      </c>
      <c r="HR423" s="1684" t="b">
        <f>IFERROR(IF(AND(FO424=7,FC422=TRUE),FALSE,TRUE),FALSE)</f>
        <v>0</v>
      </c>
      <c r="HS423" s="1684" t="b">
        <f>IFERROR(IF(AND(T424&lt;&gt;AF424,OR(AG424="Interior LLLC", AG424="Interior NLC", AG424="LLLC (outside Daylight)",AG424="LLLC Controls Only"))=TRUE,FALSE,TRUE),FALSE)</f>
        <v>1</v>
      </c>
      <c r="HT423" s="1670" t="b">
        <f>IFERROR(IF(OR(AG424=Lookup!BB$17,AG424=Lookup!BB$18,AG424=Lookup!BB$19)=TRUE,IF(AF424&gt;T424,FALSE,TRUE),TRUE),FALSE)</f>
        <v>1</v>
      </c>
      <c r="HU423" s="1684" t="b">
        <f>IFERROR(IF(__Retrofit_TI_NC=2,IF(EZ424&lt;EZ422,FALSE,TRUE),TRUE),FALSE)</f>
        <v>1</v>
      </c>
      <c r="HV423" s="1684" t="b">
        <f>IF(CQ422="Interior",IL$6,TRUE)</f>
        <v>1</v>
      </c>
      <c r="HW423" s="1684" t="b">
        <f>IF(CQ422="Exterior",IL$8,TRUE)</f>
        <v>1</v>
      </c>
      <c r="HX423" s="1684" t="b">
        <f>IFERROR(IF(__Retrofit_TI_NC&lt;&gt;0,IF(AZ422&lt;AY422,FALSE,TRUE),TRUE),FALSE)</f>
        <v>1</v>
      </c>
      <c r="HY423" s="1684" t="b">
        <f>IFERROR(IF(AND(G423="Exterior",R423&gt;4200),FALSE,TRUE),FALSE)</f>
        <v>1</v>
      </c>
      <c r="HZ423" s="1684" t="b">
        <f>IFERROR(IF(AB425/AB422&lt;HZ$18,FALSE,TRUE),FALSE)</f>
        <v>0</v>
      </c>
      <c r="IB423" s="1691"/>
      <c r="IC423" s="1695"/>
      <c r="ID423" s="1694" t="str">
        <f>VLOOKUP(IB425,_Error_Table,4,FALSE)</f>
        <v>White</v>
      </c>
      <c r="IE423" s="391"/>
      <c r="IF423" s="1688"/>
      <c r="IG423" s="1689"/>
      <c r="IH423" s="1684"/>
      <c r="IK423" s="1689"/>
      <c r="IL423" s="1691"/>
      <c r="IM423" s="1691"/>
      <c r="IN423" s="1691"/>
      <c r="IP423" s="1679"/>
      <c r="IQ423" s="1679"/>
      <c r="IR423" s="1679"/>
      <c r="IS423" s="1679"/>
      <c r="IT423" s="1679"/>
      <c r="IU423" s="1679"/>
      <c r="IV423" s="1679"/>
      <c r="IW423" s="1679"/>
      <c r="IX423" s="1679"/>
      <c r="IY423" s="1679"/>
      <c r="IZ423" s="1679"/>
      <c r="JA423" s="1679"/>
      <c r="JC423" s="1680"/>
      <c r="JD423" s="1670"/>
      <c r="JE423" s="1681"/>
      <c r="JG423" s="1680"/>
      <c r="JH423" s="1670"/>
      <c r="JI423" s="1060"/>
      <c r="JJ423" s="1683"/>
      <c r="JK423" s="1061"/>
      <c r="JL423" s="1683"/>
      <c r="JM423" s="1061"/>
      <c r="JN423" s="1683"/>
      <c r="JO423" s="1061"/>
      <c r="JP423" s="1683"/>
      <c r="JQ423" s="1061"/>
      <c r="JR423" s="1683"/>
      <c r="JS423" s="1061"/>
      <c r="JT423" s="1670"/>
      <c r="JU423" s="1061"/>
      <c r="JV423" s="1670"/>
      <c r="JX423" s="1670"/>
      <c r="JZ423" s="1683"/>
      <c r="KB423" s="1670"/>
    </row>
    <row r="424" spans="1:288" s="78" customFormat="1" ht="14.95" customHeight="1" thickTop="1" thickBot="1">
      <c r="A424" s="78">
        <f>ROW()</f>
        <v>424</v>
      </c>
      <c r="B424" s="1845"/>
      <c r="C424" s="1846"/>
      <c r="D424" s="1847"/>
      <c r="E424" s="1737" t="s">
        <v>298</v>
      </c>
      <c r="F424" s="1738"/>
      <c r="G424" s="1760"/>
      <c r="H424" s="1761"/>
      <c r="I424" s="1761"/>
      <c r="J424" s="1761"/>
      <c r="K424" s="1761"/>
      <c r="L424" s="1762"/>
      <c r="M424" s="461">
        <f>IFERROR(IF(IF(__Retrofit_TI_NC&lt;&gt;0,IF(CQ422="Interior",MATCH(G424,Lookup_Interior_New,0),MATCH(G424,Lookup_Exterior_New,0)),IF(CQ422="Interior",MATCH(G424,Lookup_Interior,0),MATCH(G424,Lookup_Exterior_Areas,0)))&gt;0,1,0),0)</f>
        <v>0</v>
      </c>
      <c r="N424" s="461" t="e">
        <f>IF(__Retrofit_TI_NC=1,
VLOOKUP(G424,'Space Table'!$B$3:$L$163,4,FALSE),
IF(__Retrofit_TI_NC=2,VLOOKUP(G424,'Space Table'!$B$3:$L$163,5,FALSE),VLOOKUP(G424,'Space Table'!$B$3:$L$163,5,FALSE)))</f>
        <v>#N/A</v>
      </c>
      <c r="O424" s="461">
        <f>G424</f>
        <v>0</v>
      </c>
      <c r="P424" s="1738" t="str">
        <f>IFERROR(IF(__Retrofit_TI_NC=1,VLOOKUP(G424,'Space Table'!$B$3:$O$163,13,FALSE),IF(__Retrofit_TI_NC=2,VLOOKUP(G424,'Space Table'!$B$3:$O$163,14,FALSE),"Area (sf):")),"Area (sf):")</f>
        <v>Area (sf):</v>
      </c>
      <c r="Q424" s="1738"/>
      <c r="R424" s="596"/>
      <c r="S424" s="1763" t="s">
        <v>345</v>
      </c>
      <c r="T424" s="594"/>
      <c r="U424" s="1801"/>
      <c r="V424" s="1802"/>
      <c r="W424" s="1802"/>
      <c r="X424" s="1802"/>
      <c r="Y424" s="1802"/>
      <c r="Z424" s="1802"/>
      <c r="AA424" s="1802"/>
      <c r="AB424" s="1802"/>
      <c r="AC424" s="1802"/>
      <c r="AD424" s="1802"/>
      <c r="AE424" s="1803"/>
      <c r="AF424" s="594"/>
      <c r="AG424" s="1787"/>
      <c r="AH424" s="1787"/>
      <c r="AI424" s="1787"/>
      <c r="AJ424" s="1787"/>
      <c r="AK424" s="1787"/>
      <c r="AL424" s="1787"/>
      <c r="AM424" s="1726">
        <f>IFERROR(DI424,"")</f>
        <v>0</v>
      </c>
      <c r="AN424" s="1728" t="str">
        <f>IFERROR(ROUND(AM424*AC425,0),"")</f>
        <v/>
      </c>
      <c r="AO424" s="1730">
        <f>IFERROR(IF(IB422=FALSE,0,AC425-AN424),0)</f>
        <v>0</v>
      </c>
      <c r="AP424" s="1780"/>
      <c r="AQ424" s="1781"/>
      <c r="AR424" s="1795"/>
      <c r="AS424" s="1795"/>
      <c r="AT424" s="1796"/>
      <c r="AU424" s="1735"/>
      <c r="AV424" s="1752"/>
      <c r="AW424" s="1705"/>
      <c r="AX424" s="467"/>
      <c r="AY424" s="1749"/>
      <c r="AZ424" s="1749"/>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696"/>
      <c r="CQ424" s="1696"/>
      <c r="CR424" s="1808" t="str">
        <f>CQ422</f>
        <v/>
      </c>
      <c r="CS424" s="1810" t="str">
        <f>CS422</f>
        <v/>
      </c>
      <c r="CU424" s="1688" t="s">
        <v>345</v>
      </c>
      <c r="CV424" s="1702">
        <f>IF(IB422=TRUE,T424,0)</f>
        <v>0</v>
      </c>
      <c r="CW424" s="1702" t="str">
        <f>IF(IB422=TRUE,U424,"")</f>
        <v/>
      </c>
      <c r="CX424" s="1812">
        <f>IF(IB422=TRUE,U425,0)</f>
        <v>0</v>
      </c>
      <c r="CY424" s="1814">
        <f>IF(IB422=TRUE,AB425,0)</f>
        <v>0</v>
      </c>
      <c r="CZ424" s="1710">
        <f>IF(AND(__Retrofit_TI_NC&gt;0,CR422="interior"),0,IF(IB422=TRUE,AC425,0))</f>
        <v>0</v>
      </c>
      <c r="DA424" s="1818"/>
      <c r="DB424" s="1820"/>
      <c r="DC424" s="1820"/>
      <c r="DD424" s="1820"/>
      <c r="DF424" s="1702">
        <f>IF(IB422=TRUE,AF424,0)</f>
        <v>0</v>
      </c>
      <c r="DG424" s="1830" t="str">
        <f>IF(IB422=TRUE,AG424,"")</f>
        <v/>
      </c>
      <c r="DH424" s="1812">
        <f>AG425</f>
        <v>0</v>
      </c>
      <c r="DI424" s="1837">
        <f>JE424</f>
        <v>0</v>
      </c>
      <c r="DJ424" s="1710">
        <f>IF(AND(__Retrofit_TI_NC&gt;0,CR422="interior"),0,IF(IB422=TRUE,AN424,0))</f>
        <v>0</v>
      </c>
      <c r="DK424" s="1712"/>
      <c r="DN424" s="1717">
        <f>IFERROR(CZ424-DJ424,0)</f>
        <v>0</v>
      </c>
      <c r="DO424" s="1709"/>
      <c r="DQ424" s="1715"/>
      <c r="DR424" s="1719" t="str">
        <f>DQ422</f>
        <v/>
      </c>
      <c r="DS424" s="1816"/>
      <c r="DT424" s="1835" t="str">
        <f>IF(OR(DS422=7,DS422=8,DS422=9),"ALC","")</f>
        <v/>
      </c>
      <c r="DU424" s="1715"/>
      <c r="DV424" s="1716"/>
      <c r="DX424" s="1715"/>
      <c r="DY424" s="1829" t="str">
        <f>DX422</f>
        <v/>
      </c>
      <c r="DZ424" s="1715"/>
      <c r="EA424" s="1715"/>
      <c r="EC424" s="1834"/>
      <c r="ED424" s="1834"/>
      <c r="EF424" s="1707"/>
      <c r="EG424" s="1712"/>
      <c r="EH424" s="1818"/>
      <c r="EI424" s="1712"/>
      <c r="EJ424" s="1712"/>
      <c r="EK424" s="1836"/>
      <c r="EL424" s="1836"/>
      <c r="EM424" s="1807"/>
      <c r="EN424" s="1839"/>
      <c r="EO424" s="1839"/>
      <c r="EP424" s="1817"/>
      <c r="EQ424" s="1817"/>
      <c r="ER424" s="1807"/>
      <c r="ES424" s="1807"/>
      <c r="ET424" s="1807"/>
      <c r="EV424" s="1715"/>
      <c r="EX424" s="1805" t="str">
        <f>IFERROR(VLOOKUP(CS424,'Space Table'!$B$3:$L$163,8,FALSE),"")</f>
        <v/>
      </c>
      <c r="EY424" s="1805" t="str">
        <f>IFERROR(IF(FB424="Yes",VLOOKUP(AG424,Lookup_Control_Type_Table2,4,FALSE),VLOOKUP(AG424,Lookup_Control_Type_Table2,3,FALSE)),"")</f>
        <v/>
      </c>
      <c r="EZ424" s="1805" t="e">
        <f>VLOOKUP(AG424,Lookup!BB$3:BC$20,2,FALSE)</f>
        <v>#N/A</v>
      </c>
      <c r="FA424" s="1805" t="e">
        <f>VLOOKUP(EX422,Lookup_Control_Type_Table,2,FALSE)</f>
        <v>#N/A</v>
      </c>
      <c r="FB424" s="1805" t="e">
        <f>VLOOKUP(CS424,'Space Table'!$B$3:$L$163,7,FALSE)</f>
        <v>#N/A</v>
      </c>
      <c r="FC424" s="1827"/>
      <c r="FE424" s="1698" t="str">
        <f>CONCATENATE(CQ422," - ",AG424)</f>
        <v xml:space="preserve"> - </v>
      </c>
      <c r="FG424" s="1816"/>
      <c r="FH424" s="1816"/>
      <c r="FI424" s="133"/>
      <c r="FL424" s="1822" t="str">
        <f>IF(CQ422="Exterior","Not Daylighted",G425)</f>
        <v>Not Daylighted</v>
      </c>
      <c r="FM424" s="1824">
        <f>VLOOKUP(FL424,_New_Daylight_Table_Codes,2,FALSE)</f>
        <v>0</v>
      </c>
      <c r="FN424" s="1698">
        <f>AG424</f>
        <v>0</v>
      </c>
      <c r="FO424" s="1698" t="e">
        <f>VLOOKUP(FN424,_Control_Table,2,FALSE)</f>
        <v>#N/A</v>
      </c>
      <c r="FP424" s="1678" t="e">
        <f>VLOOKUP(CONCATENATE(FL424," ",FN424),Lookup!AY$102:AZ435,2,FALSE)</f>
        <v>#N/A</v>
      </c>
      <c r="FQ424" s="1698">
        <f>IF(__Retrofit_TI_NC=0,FN424,IF(AND(FT424&gt;0,FN424="Occupancy Sensor"),"Daylight + Occupancy",IF(AND(FT424&gt;0,FO424&lt;4),"Interior Daylight Dimming",FN424)))</f>
        <v>0</v>
      </c>
      <c r="FS424" s="1686">
        <f>IF(CQ422="Interior",VLOOKUP(CS422,Control_Savings_Interior,5,FALSE),0)</f>
        <v>0</v>
      </c>
      <c r="FT424" s="1687">
        <f>IF(CQ424="Exterior",0,IF(FM424=2,0.5,IF(OR(FM424=1,FM424=3),1,0)))</f>
        <v>0</v>
      </c>
      <c r="FU424" s="1685">
        <f>IF(R423&gt;FS$44,(FS424*(FS$44/R423)),FS424)*FT424</f>
        <v>0</v>
      </c>
      <c r="FV424" s="1686">
        <f>DI424</f>
        <v>0</v>
      </c>
      <c r="FW424" s="1686">
        <f>ROUND(FV424+((1-FV424)*FU424),2)</f>
        <v>0</v>
      </c>
      <c r="FX424" s="1686">
        <f>IF(__Retrofit_TI_NC=2,FW424,FV424)</f>
        <v>0</v>
      </c>
      <c r="FY424" s="1697">
        <f>IF(CR424="Interior",VLOOKUP(CS424,Control_Savings_Interior,4,FALSE),0)</f>
        <v>0</v>
      </c>
      <c r="GA424" s="1696"/>
      <c r="GB424" s="1696"/>
      <c r="GC424" s="1696"/>
      <c r="GD424" s="1696"/>
      <c r="GE424" s="1696"/>
      <c r="GF424" s="1696"/>
      <c r="GG424" s="1696"/>
      <c r="GH424" s="1696"/>
      <c r="GI424" s="673" t="b">
        <f>IF(ISNUMBER(SEARCH("TLED",U424)),TRUE,FALSE)</f>
        <v>0</v>
      </c>
      <c r="GJ424" s="1135" t="str">
        <f>IFERROR(VLOOKUP(U424,Fixtures!DM$93:DR$142,6,FALSE),"")</f>
        <v/>
      </c>
      <c r="GK424" s="1832"/>
      <c r="GM424" s="1692"/>
      <c r="GN424" s="1684"/>
      <c r="GP424" s="1684"/>
      <c r="GQ424" s="1684"/>
      <c r="HG424" s="1684"/>
      <c r="HH424" s="1684"/>
      <c r="HI424" s="1684"/>
      <c r="HJ424" s="1684"/>
      <c r="HK424" s="1684"/>
      <c r="HL424" s="1684"/>
      <c r="HM424" s="1684"/>
      <c r="HN424" s="1683"/>
      <c r="HO424" s="1692"/>
      <c r="HP424" s="1692"/>
      <c r="HQ424" s="1670"/>
      <c r="HR424" s="1684"/>
      <c r="HS424" s="1684"/>
      <c r="HT424" s="1670"/>
      <c r="HU424" s="1684"/>
      <c r="HV424" s="1684"/>
      <c r="HW424" s="1684"/>
      <c r="HX424" s="1684"/>
      <c r="HY424" s="1684"/>
      <c r="HZ424" s="1684"/>
      <c r="IB424" s="1692"/>
      <c r="IC424" s="1693" t="b">
        <f>IB422</f>
        <v>0</v>
      </c>
      <c r="ID424" s="1695"/>
      <c r="IE424" s="391"/>
      <c r="IF424" s="1688"/>
      <c r="IG424" s="1689">
        <f ca="1">IF(IF422=TRUE,AC425,0)</f>
        <v>0</v>
      </c>
      <c r="IH424" s="1684"/>
      <c r="IK424" s="1689" t="e">
        <f>ROUND(T424*AB425*N423*R423/1000,0)</f>
        <v>#VALUE!</v>
      </c>
      <c r="IL424" s="1691"/>
      <c r="IM424" s="1693" t="e">
        <f>ROUND(T424*AB425*N423*R423/1000,0)</f>
        <v>#VALUE!</v>
      </c>
      <c r="IN424" s="1691"/>
      <c r="IP424" s="1679"/>
      <c r="IQ424" s="1679" t="e">
        <f t="shared" ref="IQ424:IU424" si="377">IF($CR424="interior",VLOOKUP($CS424,_New_Control_Savings_Interior,IQ$30,FALSE),VLOOKUP($CS424,Control_Savings_Exterior,IQ$30,FALSE))</f>
        <v>#N/A</v>
      </c>
      <c r="IR424" s="1679" t="e">
        <f t="shared" si="377"/>
        <v>#N/A</v>
      </c>
      <c r="IS424" s="1679" t="e">
        <f t="shared" si="377"/>
        <v>#N/A</v>
      </c>
      <c r="IT424" s="1679" t="e">
        <f t="shared" si="377"/>
        <v>#N/A</v>
      </c>
      <c r="IU424" s="1679" t="e">
        <f t="shared" si="377"/>
        <v>#N/A</v>
      </c>
      <c r="IV424" s="1679" t="e">
        <f>IF($CR424="interior",IF(R423&gt;$IP$14,ROUND(($IV$18*($IP$14/R423)),2),$IV$18),VLOOKUP($CS424,Control_Savings_Exterior,IV$30,FALSE))</f>
        <v>#N/A</v>
      </c>
      <c r="IW424" s="1679" t="e">
        <f>IF($CR424="interior",ROUND(((1-IS424)*IV424)+IS424,2),VLOOKUP($CS424,Control_Savings_Exterior,IW$30,FALSE))</f>
        <v>#N/A</v>
      </c>
      <c r="IX424" s="1679" t="e">
        <f>IF($CR424="interior",ROUND(((1-IT424)*IV424)+IT424,2),VLOOKUP($CS424,Control_Savings_Exterior,IX$30,FALSE))</f>
        <v>#N/A</v>
      </c>
      <c r="IY424" s="1679" t="e">
        <f>IF($CR424="interior",IF(R423&gt;$IP$14,ROUND(($IY$18*($IP$14/R423)),2),$IY$18),VLOOKUP($CS424,Control_Savings_Exterior,IY$30,FALSE))</f>
        <v>#N/A</v>
      </c>
      <c r="IZ424" s="1679" t="e">
        <f>IF($CR424="interior",ROUND(((1-IS424)*IY424)+IS424,2),VLOOKUP($CS424,Control_Savings_Exterior,IZ$30,FALSE))</f>
        <v>#N/A</v>
      </c>
      <c r="JA424" s="1679" t="e">
        <f>IF($CR424="interior",ROUND(((1-IT424)*IY424)+IT424,2),VLOOKUP($CS424,Control_Savings_Exterior,JA$30,FALSE))</f>
        <v>#N/A</v>
      </c>
      <c r="JC424" s="1680">
        <f>IFERROR(IF(CR424="Interior",CONCATENATE(G425," ",FQ424),AG424),"")</f>
        <v>0</v>
      </c>
      <c r="JD424" s="1670" t="str">
        <f>IFERROR(VLOOKUP(JC424,_Controls_2023,2,FALSE),"")</f>
        <v/>
      </c>
      <c r="JE424" s="1681">
        <f>IFERROR(CHOOSE(JD424-1,IQ424,IR424,IS424,IT424,IU424,IV424,IW424,IX424,IY424,IZ424,JA424),0)</f>
        <v>0</v>
      </c>
      <c r="JG424" s="1680" t="str">
        <f>FE424</f>
        <v xml:space="preserve"> - </v>
      </c>
      <c r="JH424" s="1670" t="e">
        <f>$FO424</f>
        <v>#N/A</v>
      </c>
      <c r="JI424" s="1060"/>
      <c r="JJ424" s="1670">
        <f>IFERROR(IF($IB422=TRUE,IF(OR(JJ$14="No",JJ422=FALSE,JH424&lt;=JH422,AND(_kWh_Grant=0,GD422=FALSE)),0,IF(JJ$8="Per Line",1,$AF424)),0),0)</f>
        <v>0</v>
      </c>
      <c r="JK424" s="1061"/>
      <c r="JL424" s="1670">
        <f>IFERROR(IF(_kWh_Grant=0,0,IF($IB422=TRUE,IF(OR(JL$14="No",JL422=FALSE,JH424&lt;=JH422),0,IF(JL$8="Per Line",1,$T424)),0)),0)</f>
        <v>0</v>
      </c>
      <c r="JM424" s="1061"/>
      <c r="JN424" s="1670">
        <f>IFERROR(IF(_kWh_Grant=0,0,IF($IB422=TRUE,IF(OR(JN$14="No",JN422=FALSE,JH424&lt;=JH422),0,IF(JN$8="Per Line",1,$AF424)),0)),0)</f>
        <v>0</v>
      </c>
      <c r="JO424" s="1061"/>
      <c r="JP424" s="1670">
        <f>IFERROR(IF(__Retrofit_TI_NC=0,IF(_kWh_Grant=0,0,IF($IB422=TRUE,IF(OR(JP$14="No",JP422=FALSE,$JH424&lt;=$JH422),0,IF(JP$8="Per Line",1,$AF424)),0)),IF($IB422=TRUE,IF(OR(JP$14="No",JP422=FALSE,$JH424&lt;=$JH422),0,IF(JP$8="Per Line",1,$AF424)))),0)</f>
        <v>0</v>
      </c>
      <c r="JQ424" s="1061"/>
      <c r="JR424" s="1670">
        <f>IFERROR(IF(__Retrofit_TI_NC=0,IF(_kWh_Grant=0,0,IF($IB422=TRUE,IF(OR(JR$14="No",JR422=FALSE,$JH424&lt;=$JH422),0,IF(JR$8="Per Line",1,$AF424)),0)),IF($IB422=TRUE,IF(OR(JR$14="No",JR422=FALSE,$JH424&lt;=$JH422),0,IF(JR$8="Per Line",1,$AF424)))),0)</f>
        <v>0</v>
      </c>
      <c r="JS424" s="1061"/>
      <c r="JT424" s="1670">
        <f>IFERROR(IF(__Retrofit_TI_NC=0,IF(_kWh_Grant=0,0,IF($IB422=TRUE,IF(OR(JT$14="No",JT422=FALSE,$JH424&lt;=$JH422),0,IF(JT$8="Per Line",1,$AF424)),0)),IF($IB422=TRUE,IF(OR(JT$14="No",JT422=FALSE,$JH424&lt;=$JH422),0,IF(JT$8="Per Line",1,$AF424)))),0)</f>
        <v>0</v>
      </c>
      <c r="JU424" s="1061"/>
      <c r="JV424" s="1670">
        <f>IFERROR(IF(__Retrofit_TI_NC=0,IF(_kWh_Grant=0,0,IF($IB422=TRUE,IF(OR(JV$14="No",JV422=FALSE,$JH424&lt;=$JH422),0,IF(JV$8="Per Line",1,$AF424)),0)),IF($IB422=TRUE,IF(OR(JV$14="No",JV422=FALSE,$JH424&lt;=$JH422),0,IF(JV$8="Per Line",1,$AF424)))),0)</f>
        <v>0</v>
      </c>
      <c r="JX424" s="1670">
        <f>IFERROR(IF(__Retrofit_TI_NC=0,IF(_kWh_Grant=0,0,IF($IB422=TRUE,IF(OR(JX$14="No",JX422=FALSE,$JH424&lt;=$JH422),0,IF(JX$8="Per Line",1,$AF424)),0)),IF($IB422=TRUE,IF(OR(JX$14="No",JX422=FALSE,$JH424&lt;=$JH422),0,IF(JX$8="Per Line",1,$AF424)))),0)</f>
        <v>0</v>
      </c>
      <c r="JZ424" s="1670">
        <f>IFERROR(IF($IB422=TRUE,IF(OR(JZ$14="No",JZ422=FALSE,$JH424&lt;=$JH422,AND(_kWh_Grant=0,$GD422=FALSE)),0,IF(JZ$8="Per Line",1,$AF424)),0),0)</f>
        <v>0</v>
      </c>
      <c r="KB424" s="1670">
        <f>IFERROR(IF(__Retrofit_TI_NC=0,IF(_kWh_Grant=0,0,IF($IB422=TRUE,IF(OR(KB$14="No",KB422=FALSE,$JH424&lt;=$JH422),0,IF(KB$8="Per Line",1,$AF424)),0)),IF($IB422=TRUE,IF(OR(KB$14="No",KB422=FALSE,$JH424&lt;=$JH422),0,IF(KB$8="Per Line",1,$AF424)))),0)</f>
        <v>0</v>
      </c>
    </row>
    <row r="425" spans="1:288" s="78" customFormat="1" ht="14.95" customHeight="1" thickTop="1" thickBot="1">
      <c r="B425" s="1845"/>
      <c r="C425" s="1846"/>
      <c r="D425" s="1847"/>
      <c r="E425" s="1771" t="s">
        <v>436</v>
      </c>
      <c r="F425" s="1772"/>
      <c r="G425" s="1784" t="s">
        <v>437</v>
      </c>
      <c r="H425" s="1785"/>
      <c r="I425" s="1785"/>
      <c r="J425" s="1785"/>
      <c r="K425" s="1785"/>
      <c r="L425" s="1786"/>
      <c r="M425" s="591">
        <f>IFERROR(VLOOKUP(G425,_Daylight_Table[],2,FALSE),0)</f>
        <v>0</v>
      </c>
      <c r="N425" s="592" t="str">
        <f>IF(AND(__Retrofit_TI_NC&gt;0,CQ422="Interior"),"BAM","")</f>
        <v/>
      </c>
      <c r="O425" s="591" t="e">
        <f>VLOOKUP(G424,'Space Table'!$B$3:$L$163,11,FALSE)</f>
        <v>#N/A</v>
      </c>
      <c r="P425" s="1789"/>
      <c r="Q425" s="1790"/>
      <c r="R425" s="1790"/>
      <c r="S425" s="1788"/>
      <c r="T425" s="593" t="s">
        <v>342</v>
      </c>
      <c r="U425" s="1756" t="str" cm="1">
        <f t="array" aca="1" ref="U425" ca="1">IFERROR(VLOOKUP(INDIRECT("U" &amp; ROW()-1),Fixtures!DM$93:DP$142,4,FALSE),"")</f>
        <v/>
      </c>
      <c r="V425" s="1757"/>
      <c r="W425" s="1757"/>
      <c r="X425" s="1757"/>
      <c r="Y425" s="1757"/>
      <c r="Z425" s="1757"/>
      <c r="AA425" s="1758"/>
      <c r="AB425" s="939" t="str">
        <f>IFERROR(VLOOKUP(U424,Fixtures_Proposed_List,2,FALSE),"")</f>
        <v/>
      </c>
      <c r="AC425" s="933" t="str">
        <f>IFERROR(ROUND(T424*AB425*N423*R423/1000,0),"")</f>
        <v/>
      </c>
      <c r="AD425" s="934" t="str">
        <f>IFERROR(ROUND(T424*AB425/1000,2),"")</f>
        <v/>
      </c>
      <c r="AE425" s="998"/>
      <c r="AF425" s="938" t="s">
        <v>342</v>
      </c>
      <c r="AG425" s="1770"/>
      <c r="AH425" s="1770"/>
      <c r="AI425" s="1770"/>
      <c r="AJ425" s="1770"/>
      <c r="AK425" s="1770"/>
      <c r="AL425" s="1770"/>
      <c r="AM425" s="1727"/>
      <c r="AN425" s="1729"/>
      <c r="AO425" s="1731"/>
      <c r="AP425" s="1782"/>
      <c r="AQ425" s="1783"/>
      <c r="AR425" s="1797"/>
      <c r="AS425" s="1797"/>
      <c r="AT425" s="1798"/>
      <c r="AU425" s="1736"/>
      <c r="AV425" s="1753"/>
      <c r="AW425" s="1706"/>
      <c r="AX425" s="468"/>
      <c r="AY425" s="1750"/>
      <c r="AZ425" s="1750"/>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696"/>
      <c r="CQ425" s="1696"/>
      <c r="CR425" s="1809"/>
      <c r="CS425" s="1811"/>
      <c r="CU425" s="1688"/>
      <c r="CV425" s="1703"/>
      <c r="CW425" s="1703"/>
      <c r="CX425" s="1813"/>
      <c r="CY425" s="1815"/>
      <c r="CZ425" s="1711"/>
      <c r="DA425" s="1815"/>
      <c r="DB425" s="1821"/>
      <c r="DC425" s="1821"/>
      <c r="DD425" s="1821"/>
      <c r="DF425" s="1703"/>
      <c r="DG425" s="1831"/>
      <c r="DH425" s="1813"/>
      <c r="DI425" s="1838"/>
      <c r="DJ425" s="1711"/>
      <c r="DK425" s="1712"/>
      <c r="DN425" s="1718"/>
      <c r="DO425" s="1709"/>
      <c r="DQ425" s="1715"/>
      <c r="DR425" s="1720"/>
      <c r="DS425" s="1703"/>
      <c r="DT425" s="1714"/>
      <c r="DU425" s="1715"/>
      <c r="DV425" s="1716"/>
      <c r="DX425" s="1715"/>
      <c r="DY425" s="1720"/>
      <c r="DZ425" s="1715"/>
      <c r="EA425" s="1715"/>
      <c r="EC425" s="1834"/>
      <c r="ED425" s="1834"/>
      <c r="EF425" s="1707"/>
      <c r="EG425" s="1712"/>
      <c r="EH425" s="1815"/>
      <c r="EI425" s="1712"/>
      <c r="EJ425" s="1712"/>
      <c r="EK425" s="1813"/>
      <c r="EL425" s="1813"/>
      <c r="EM425" s="1807"/>
      <c r="EN425" s="1839"/>
      <c r="EO425" s="1839"/>
      <c r="EP425" s="1817"/>
      <c r="EQ425" s="1817"/>
      <c r="ER425" s="1807"/>
      <c r="ES425" s="1807"/>
      <c r="ET425" s="1807"/>
      <c r="EV425" s="1715"/>
      <c r="EX425" s="1806"/>
      <c r="EY425" s="1806"/>
      <c r="EZ425" s="1806"/>
      <c r="FA425" s="1806"/>
      <c r="FB425" s="1806"/>
      <c r="FC425" s="1828"/>
      <c r="FE425" s="1698"/>
      <c r="FG425" s="1703"/>
      <c r="FH425" s="1703"/>
      <c r="FI425" s="133"/>
      <c r="FL425" s="1823"/>
      <c r="FM425" s="1825"/>
      <c r="FN425" s="1698"/>
      <c r="FO425" s="1698"/>
      <c r="FP425" s="1678"/>
      <c r="FQ425" s="1698"/>
      <c r="FS425" s="1687"/>
      <c r="FT425" s="1687"/>
      <c r="FU425" s="1685"/>
      <c r="FV425" s="1687"/>
      <c r="FW425" s="1687"/>
      <c r="FX425" s="1687"/>
      <c r="FY425" s="1697"/>
      <c r="GA425" s="1696"/>
      <c r="GB425" s="1696"/>
      <c r="GC425" s="1696"/>
      <c r="GD425" s="1696"/>
      <c r="GE425" s="1696"/>
      <c r="GF425" s="1696"/>
      <c r="GG425" s="1696"/>
      <c r="GH425" s="1696"/>
      <c r="GI425" s="673"/>
      <c r="GJ425" s="1135"/>
      <c r="GK425" s="1832"/>
      <c r="GN425" s="674">
        <f>IF(GN423=TRUE,0,GN$16)</f>
        <v>0</v>
      </c>
      <c r="GP425" s="674">
        <f>IF(GP423=TRUE,0,GP$16)</f>
        <v>36</v>
      </c>
      <c r="GQ425" s="674">
        <f ca="1">IF(GQ423=TRUE,0,GQ$16)</f>
        <v>35</v>
      </c>
      <c r="GR425" s="391"/>
      <c r="GS425" s="391"/>
      <c r="GT425" s="391"/>
      <c r="GU425" s="391"/>
      <c r="GV425" s="391"/>
      <c r="HG425" s="674">
        <f>IF(HG423=TRUE,0,HG$16)</f>
        <v>0</v>
      </c>
      <c r="HH425" s="674">
        <f t="shared" ref="HH425:HM425" si="378">IF(HH423=TRUE,0,HH$16)</f>
        <v>19</v>
      </c>
      <c r="HI425" s="674">
        <f t="shared" si="378"/>
        <v>18</v>
      </c>
      <c r="HJ425" s="674">
        <f t="shared" si="378"/>
        <v>17</v>
      </c>
      <c r="HK425" s="674">
        <f t="shared" si="378"/>
        <v>16</v>
      </c>
      <c r="HL425" s="674">
        <f t="shared" si="378"/>
        <v>0</v>
      </c>
      <c r="HM425" s="674">
        <f t="shared" si="378"/>
        <v>0</v>
      </c>
      <c r="HN425" s="674">
        <f>IF(HN423=TRUE,0,HN$16)</f>
        <v>13</v>
      </c>
      <c r="HO425" s="674">
        <f t="shared" ref="HO425:HQ425" si="379">IF(HO423=TRUE,0,HO$16)</f>
        <v>0</v>
      </c>
      <c r="HP425" s="674">
        <f t="shared" si="379"/>
        <v>0</v>
      </c>
      <c r="HQ425" s="674">
        <f t="shared" si="379"/>
        <v>10</v>
      </c>
      <c r="HR425" s="674">
        <f>IF(HR423=TRUE,0,HR$16)</f>
        <v>9</v>
      </c>
      <c r="HS425" s="674">
        <f t="shared" ref="HS425:HW425" si="380">IF(HS423=TRUE,0,HS$16)</f>
        <v>0</v>
      </c>
      <c r="HT425" s="674">
        <f t="shared" si="380"/>
        <v>0</v>
      </c>
      <c r="HU425" s="674">
        <f t="shared" si="380"/>
        <v>0</v>
      </c>
      <c r="HV425" s="674">
        <f t="shared" si="380"/>
        <v>0</v>
      </c>
      <c r="HW425" s="674">
        <f t="shared" si="380"/>
        <v>0</v>
      </c>
      <c r="HX425" s="674">
        <f>IF(HX423=TRUE,0,HX$16)</f>
        <v>0</v>
      </c>
      <c r="HY425" s="674">
        <f>IF(HY423=TRUE,0,HY$16)</f>
        <v>0</v>
      </c>
      <c r="HZ425" s="674">
        <f>IF(HZ423=TRUE,0,HZ$16)</f>
        <v>1</v>
      </c>
      <c r="IB425" s="674">
        <f>IF(GP423=FALSE,GP425,IF(GQ423=FALSE,GQ425,MAX(GN425:HZ425)))</f>
        <v>36</v>
      </c>
      <c r="IC425" s="1692"/>
      <c r="ID425" s="205" t="str">
        <f>VLOOKUP(IB425,_Error_Table,3,FALSE)</f>
        <v xml:space="preserve"> </v>
      </c>
      <c r="IE425" s="205"/>
      <c r="IF425" s="1688"/>
      <c r="IG425" s="1689"/>
      <c r="IH425" s="1684"/>
      <c r="IK425" s="1689"/>
      <c r="IL425" s="1692"/>
      <c r="IM425" s="1692"/>
      <c r="IN425" s="1692"/>
      <c r="IP425" s="1679"/>
      <c r="IQ425" s="1679"/>
      <c r="IR425" s="1679"/>
      <c r="IS425" s="1679"/>
      <c r="IT425" s="1679"/>
      <c r="IU425" s="1679"/>
      <c r="IV425" s="1679"/>
      <c r="IW425" s="1679"/>
      <c r="IX425" s="1679"/>
      <c r="IY425" s="1679"/>
      <c r="IZ425" s="1679"/>
      <c r="JA425" s="1679"/>
      <c r="JC425" s="1680"/>
      <c r="JD425" s="1670"/>
      <c r="JE425" s="1681"/>
      <c r="JG425" s="1680"/>
      <c r="JH425" s="1670"/>
      <c r="JI425" s="1060"/>
      <c r="JJ425" s="1670"/>
      <c r="JK425" s="1061"/>
      <c r="JL425" s="1670"/>
      <c r="JM425" s="1061"/>
      <c r="JN425" s="1670"/>
      <c r="JO425" s="1061"/>
      <c r="JP425" s="1670"/>
      <c r="JQ425" s="1061"/>
      <c r="JR425" s="1670"/>
      <c r="JS425" s="1061"/>
      <c r="JT425" s="1670"/>
      <c r="JU425" s="1061"/>
      <c r="JV425" s="1670"/>
      <c r="JX425" s="1670"/>
      <c r="JZ425" s="1670"/>
      <c r="KB425" s="1670"/>
    </row>
    <row r="426" spans="1:288" s="78" customFormat="1" ht="5.0999999999999996" customHeight="1">
      <c r="B426" s="676"/>
      <c r="C426" s="392"/>
      <c r="D426" s="392"/>
      <c r="E426" s="1733"/>
      <c r="F426" s="1733"/>
      <c r="G426" s="1733"/>
      <c r="H426" s="1733"/>
      <c r="I426" s="1733"/>
      <c r="J426" s="1733"/>
      <c r="K426" s="1733"/>
      <c r="L426" s="1733"/>
      <c r="M426" s="1733"/>
      <c r="N426" s="1733"/>
      <c r="O426" s="1733"/>
      <c r="P426" s="1733"/>
      <c r="Q426" s="1733"/>
      <c r="R426" s="1733"/>
      <c r="S426" s="1733"/>
      <c r="T426" s="1733"/>
      <c r="U426" s="1733"/>
      <c r="V426" s="1733"/>
      <c r="W426" s="1733"/>
      <c r="X426" s="1733"/>
      <c r="Y426" s="1733"/>
      <c r="Z426" s="1733"/>
      <c r="AA426" s="1733"/>
      <c r="AB426" s="1733"/>
      <c r="AC426" s="1733"/>
      <c r="AD426" s="1733"/>
      <c r="AE426" s="1733"/>
      <c r="AF426" s="1733"/>
      <c r="AG426" s="1733"/>
      <c r="AH426" s="1733"/>
      <c r="AI426" s="1733"/>
      <c r="AJ426" s="1733"/>
      <c r="AK426" s="1733"/>
      <c r="AL426" s="1733"/>
      <c r="AM426" s="1733"/>
      <c r="AN426" s="1733"/>
      <c r="AO426" s="1733"/>
      <c r="AP426" s="1733"/>
      <c r="AQ426" s="1733"/>
      <c r="AR426" s="1733"/>
      <c r="AS426" s="1733"/>
      <c r="AT426" s="1733"/>
      <c r="AU426" s="1733"/>
      <c r="AV426" s="1733"/>
      <c r="AW426" s="1733"/>
      <c r="AX426" s="469"/>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663"/>
      <c r="CQ426" s="663"/>
      <c r="CR426" s="438"/>
      <c r="CS426" s="663"/>
      <c r="CV426" s="391"/>
      <c r="CW426" s="391"/>
      <c r="CX426" s="207"/>
      <c r="CY426" s="208"/>
      <c r="CZ426" s="208"/>
      <c r="DA426" s="208"/>
      <c r="DB426" s="209"/>
      <c r="DC426" s="209"/>
      <c r="DD426" s="209"/>
      <c r="DF426" s="664"/>
      <c r="DG426" s="665"/>
      <c r="DH426" s="666"/>
      <c r="DI426" s="667"/>
      <c r="DJ426" s="668"/>
      <c r="DK426" s="668"/>
      <c r="DN426" s="208"/>
      <c r="DO426" s="664"/>
      <c r="DQ426" s="664"/>
      <c r="DR426" s="669"/>
      <c r="DS426" s="391"/>
      <c r="DT426" s="664"/>
      <c r="DU426" s="664"/>
      <c r="DV426" s="664"/>
      <c r="DX426" s="664"/>
      <c r="DY426" s="664"/>
      <c r="DZ426" s="664"/>
      <c r="EA426" s="664"/>
      <c r="EC426" s="670"/>
      <c r="ED426" s="670"/>
      <c r="EF426" s="668"/>
      <c r="EG426" s="668"/>
      <c r="EH426" s="208"/>
      <c r="EI426" s="668"/>
      <c r="EJ426" s="668"/>
      <c r="EK426" s="207"/>
      <c r="EL426" s="207"/>
      <c r="EM426" s="666"/>
      <c r="EN426" s="671"/>
      <c r="EO426" s="671"/>
      <c r="EP426" s="672"/>
      <c r="EQ426" s="672"/>
      <c r="ER426" s="666"/>
      <c r="ES426" s="666"/>
      <c r="ET426" s="666"/>
      <c r="EV426" s="664"/>
      <c r="EX426" s="391"/>
      <c r="EY426" s="391"/>
      <c r="EZ426" s="391"/>
      <c r="FA426" s="391"/>
      <c r="FB426" s="391"/>
      <c r="FC426" s="391"/>
      <c r="FE426" s="569"/>
      <c r="FG426" s="391"/>
      <c r="FH426" s="391"/>
      <c r="FI426" s="391"/>
      <c r="FS426" s="664"/>
      <c r="FT426" s="391"/>
      <c r="FU426" s="391"/>
      <c r="FV426" s="664"/>
      <c r="FW426" s="664"/>
      <c r="GA426" s="663"/>
      <c r="GB426" s="663"/>
      <c r="GC426" s="663"/>
      <c r="GD426" s="663"/>
      <c r="GE426" s="663"/>
      <c r="GF426" s="663"/>
      <c r="GG426" s="663"/>
      <c r="GH426" s="663"/>
      <c r="GI426" s="665"/>
      <c r="GJ426" s="664"/>
      <c r="GK426" s="664"/>
    </row>
    <row r="427" spans="1:288" s="78" customFormat="1" ht="14.95" customHeight="1">
      <c r="B427" s="1845" t="str">
        <f>ID430</f>
        <v xml:space="preserve"> </v>
      </c>
      <c r="C427" s="1846">
        <f>C422+1</f>
        <v>74</v>
      </c>
      <c r="D427" s="1847"/>
      <c r="E427" s="1799" t="s">
        <v>295</v>
      </c>
      <c r="F427" s="1800"/>
      <c r="G427" s="1741"/>
      <c r="H427" s="1742"/>
      <c r="I427" s="1742"/>
      <c r="J427" s="1742"/>
      <c r="K427" s="1742"/>
      <c r="L427" s="1742"/>
      <c r="M427" s="1742"/>
      <c r="N427" s="1742"/>
      <c r="O427" s="1742"/>
      <c r="P427" s="1742"/>
      <c r="Q427" s="1742"/>
      <c r="R427" s="1742"/>
      <c r="S427" s="1791" t="s">
        <v>344</v>
      </c>
      <c r="T427" s="590"/>
      <c r="U427" s="1743"/>
      <c r="V427" s="1744"/>
      <c r="W427" s="1744"/>
      <c r="X427" s="1744"/>
      <c r="Y427" s="1744"/>
      <c r="Z427" s="1744"/>
      <c r="AA427" s="1744"/>
      <c r="AB427" s="961" t="str">
        <f>IFERROR(IF(__Retrofit_TI_NC=0,VLOOKUP(U428,Fixtures_Existing_List,2,FALSE),ROUND(N429*R429/T429,10)),"")</f>
        <v/>
      </c>
      <c r="AC427" s="935" t="str">
        <f>IFERROR(IF(__Retrofit_TI_NC=0,ROUND(T428*AB427*N428*R428/1000,0),IF(CQ427="Interior",N429*R429*R428*N428*_C406_reduction/1000,N429*R429*R428*N428/1000)),"")</f>
        <v/>
      </c>
      <c r="AD427" s="936" t="str">
        <f>IFERROR(IF(C$43=0,ROUND(T428*AB427/1000,2),N429*R429/1000),"")</f>
        <v/>
      </c>
      <c r="AE427" s="997"/>
      <c r="AF427" s="937"/>
      <c r="AG427" s="1745" t="str">
        <f>IF(__Retrofit_TI_NC=0," Control","Select Advanced Control for New System")</f>
        <v xml:space="preserve"> Control</v>
      </c>
      <c r="AH427" s="1745"/>
      <c r="AI427" s="1745"/>
      <c r="AJ427" s="1745"/>
      <c r="AK427" s="1745"/>
      <c r="AL427" s="1745"/>
      <c r="AM427" s="1746">
        <f>IFERROR(DI427,"")</f>
        <v>0</v>
      </c>
      <c r="AN427" s="1774" t="str">
        <f>IFERROR(ROUND(AM427*AC427,0),"")</f>
        <v/>
      </c>
      <c r="AO427" s="1776">
        <f>IFERROR(IF(IB427=FALSE,0,AC427-AN427),0)</f>
        <v>0</v>
      </c>
      <c r="AP427" s="1778">
        <f>AO427-AO429</f>
        <v>0</v>
      </c>
      <c r="AQ427" s="1779"/>
      <c r="AR427" s="1793">
        <f>IFERROR(IF(IB427=FALSE,0,(T429*U430)+(AF429*AG430)),0)</f>
        <v>0</v>
      </c>
      <c r="AS427" s="1793"/>
      <c r="AT427" s="1794"/>
      <c r="AU427" s="1734" t="s">
        <v>237</v>
      </c>
      <c r="AV427" s="1751">
        <f>IF(AU427="Yes",1,0)</f>
        <v>1</v>
      </c>
      <c r="AW427" s="1704" t="str">
        <f>IF(OR(DQ427=4,DQ427=5,DQ427=6,DQ427=12),CONCATENATE("$",IF(GH427=TRUE,Lookup!$K$10,Lookup!$K$2)," /lamp"),CONCATENATE(TEXT(ED427,"$0.00"),"/ kWh"))</f>
        <v>$0.00/ kWh</v>
      </c>
      <c r="AX427" s="467"/>
      <c r="AY427" s="1748">
        <f ca="1">IFERROR(IF(GM428=TRUE,(AB430*T429)/R429,0),"NA")</f>
        <v>0</v>
      </c>
      <c r="AZ427" s="1748"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696" t="str">
        <f>N428</f>
        <v/>
      </c>
      <c r="CQ427" s="1696" t="str">
        <f>IFERROR(VLOOKUP(G428,_Lookup_Heat_Type_Table_New,3,FALSE),"")</f>
        <v/>
      </c>
      <c r="CR427" s="1808" t="str">
        <f>CQ427</f>
        <v/>
      </c>
      <c r="CS427" s="1810" t="str">
        <f>IFERROR(VLOOKUP(G429,'Space Table'!$B$3:$L$163,9,FALSE),"")</f>
        <v/>
      </c>
      <c r="CU427" s="1688" t="s">
        <v>344</v>
      </c>
      <c r="CV427" s="1702">
        <f>IF(IB427=TRUE,T428,0)</f>
        <v>0</v>
      </c>
      <c r="CW427" s="1702" t="str">
        <f>IF(IB427=TRUE,U428,"")</f>
        <v/>
      </c>
      <c r="CX427" s="1702"/>
      <c r="CY427" s="1814">
        <f>IF(IB427=TRUE,AB427,0)</f>
        <v>0</v>
      </c>
      <c r="CZ427" s="1710">
        <f>IF(AND(__Retrofit_TI_NC&gt;0,CR427="interior"),0,IF(IB427=TRUE,AC427,0))</f>
        <v>0</v>
      </c>
      <c r="DA427" s="1814">
        <f>IFERROR(IF(IB427=TRUE,CZ427-CZ429,0),0)</f>
        <v>0</v>
      </c>
      <c r="DB427" s="1819">
        <f>IF(IB427=TRUE,AD427,0)</f>
        <v>0</v>
      </c>
      <c r="DC427" s="1819">
        <f>IF(IB427=TRUE,AD430,0)</f>
        <v>0</v>
      </c>
      <c r="DD427" s="1819">
        <f>IFERROR(DB427-DC427,0)</f>
        <v>0</v>
      </c>
      <c r="DF427" s="1702">
        <f>IF(IB427=TRUE,AF428,0)</f>
        <v>0</v>
      </c>
      <c r="DG427" s="1830">
        <f>IFERROR(IF(__Retrofit_TI_NC=2,IF(CQ427="Exterior",O430,FQ427),FN427),"")</f>
        <v>0</v>
      </c>
      <c r="DH427" s="1702"/>
      <c r="DI427" s="1837">
        <f>JE427</f>
        <v>0</v>
      </c>
      <c r="DJ427" s="1710">
        <f>IF(AND(__Retrofit_TI_NC&gt;0,CR427="interior"),0,IF(IB427=TRUE,AN427,0))</f>
        <v>0</v>
      </c>
      <c r="DK427" s="1712">
        <f>IFERROR(IF(IB427=TRUE,DJ429-DJ427,0),0)</f>
        <v>0</v>
      </c>
      <c r="DM427" s="1717">
        <f>IFERROR(CZ427-DJ427,0)</f>
        <v>0</v>
      </c>
      <c r="DO427" s="1708">
        <f>DM427-DN429</f>
        <v>0</v>
      </c>
      <c r="DQ427" s="1715" t="str">
        <f>IFERROR(IF(AND(OR(GC427=4,GC427=5,GC427=6),OR(GF427=4,GF427=5,GF427=6)),GC427+8,VLOOKUP(CW429,Fixtures!R$31:Y$78,8,FALSE)),"")</f>
        <v/>
      </c>
      <c r="DR427" s="1829" t="str">
        <f>DQ427</f>
        <v/>
      </c>
      <c r="DS427" s="1702" t="str">
        <f>IFERROR(VLOOKUP(DG429,Lookup!BB$3:BC$20,2,FALSE),"")</f>
        <v/>
      </c>
      <c r="DT427" s="1713" t="str">
        <f>IF(OR(DS427=7,DS427=8,DS427=9),"ALC","")</f>
        <v/>
      </c>
      <c r="DU427" s="1715">
        <f>IFERROR(IF(OR(DQ427=4,DQ427=5,DQ427=6,DQ427=12,DQ427=13,DQ427=14),VLOOKUP(CW429,Fixtures!DN$27:EG$77,19,FALSE),1)*CV429,0)</f>
        <v>0</v>
      </c>
      <c r="DV427" s="1716">
        <f>IF(OR(DS427=7,DS427=8,DS427=9),IF(DG427=DG429,0,DF429),0)</f>
        <v>0</v>
      </c>
      <c r="DX427" s="1715" t="str">
        <f>IFERROR(IF(EZ427&lt;EZ429,"Yes","No"),"")</f>
        <v/>
      </c>
      <c r="DY427" s="1829" t="str">
        <f>DX427</f>
        <v/>
      </c>
      <c r="DZ427" s="1715">
        <f>IF(DX427="Yes",DF429,0)</f>
        <v>0</v>
      </c>
      <c r="EA427" s="1715">
        <f>DZ427-DV427</f>
        <v>0</v>
      </c>
      <c r="EC427" s="1834">
        <f>IFERROR(VLOOKUP(DQ427,Lookup!AU$3:AV$16,2,FALSE),0)</f>
        <v>0</v>
      </c>
      <c r="ED427" s="1834">
        <f>IF(IB427=FALSE,0,IF(DX427="Yes",EC427+Lookup!K$6,EC427))</f>
        <v>0</v>
      </c>
      <c r="EF427" s="1707">
        <f>IF(IB427=TRUE,DM427,0)</f>
        <v>0</v>
      </c>
      <c r="EG427" s="1712">
        <f>IF(IB427=TRUE,CZ429,0)</f>
        <v>0</v>
      </c>
      <c r="EH427" s="1814">
        <f>IFERROR(EF427-EG427,0)</f>
        <v>0</v>
      </c>
      <c r="EI427" s="1712">
        <f>IF(IB427=TRUE,DJ429,0)</f>
        <v>0</v>
      </c>
      <c r="EJ427" s="1712">
        <f>IFERROR(EF427-EG427+EI427,0)</f>
        <v>0</v>
      </c>
      <c r="EK427" s="1812">
        <f>IF(IB427=TRUE,CV429*CX429,0)</f>
        <v>0</v>
      </c>
      <c r="EL427" s="1812">
        <f>IF(IB427=TRUE,DF429*DH429,0)</f>
        <v>0</v>
      </c>
      <c r="EM427" s="1807">
        <f>AR427</f>
        <v>0</v>
      </c>
      <c r="EN427" s="1839" t="str">
        <f>IFERROR(IF(IB427=TRUE,VLOOKUP(DQ427,Lookup!AU$3:AW$16,3,FALSE)*DU427,""),0)</f>
        <v/>
      </c>
      <c r="EO427" s="1839">
        <f>IF(IB427=TRUE,DZ427*Lookup!AW$12,0)</f>
        <v>0</v>
      </c>
      <c r="EP427" s="1817">
        <f>IFERROR(IF(IB427=TRUE,EN427/EP$40,0),0)</f>
        <v>0</v>
      </c>
      <c r="EQ427" s="1817">
        <f>IF(IB427=TRUE,EO427/EQ$40,0)</f>
        <v>0</v>
      </c>
      <c r="ER427" s="1807">
        <f>IF(IB427=TRUE,ET$40*EP427,0)</f>
        <v>0</v>
      </c>
      <c r="ES427" s="1807">
        <f>IF(IB427=TRUE,ET$40*EQ427,0)</f>
        <v>0</v>
      </c>
      <c r="ET427" s="1807">
        <f>ER427+ES427</f>
        <v>0</v>
      </c>
      <c r="EV427" s="1715">
        <f>IF(G427="",0,1)</f>
        <v>0</v>
      </c>
      <c r="EX427" s="1804" t="str">
        <f>IFERROR(VLOOKUP(CS429,'Space Table'!$B$3:$L$163,8,FALSE),"")</f>
        <v/>
      </c>
      <c r="EY427" s="1804" t="str">
        <f>IFERROR(IF(FB427="Yes",VLOOKUP(DG427,Lookup_Control_Type_Table2,4,FALSE),VLOOKUP(DG427,Lookup_Control_Type_Table2,3,FALSE)),"")</f>
        <v/>
      </c>
      <c r="EZ427" s="1804" t="e">
        <f>VLOOKUP(DG427,Lookup!BB$3:BC$20,2,FALSE)</f>
        <v>#N/A</v>
      </c>
      <c r="FA427" s="1804" t="e">
        <f>VLOOKUP(EX427,Lookup_Control_Type_Table,2,FALSE)</f>
        <v>#N/A</v>
      </c>
      <c r="FB427" s="1804" t="e">
        <f>VLOOKUP(CS429,'Space Table'!$B$3:$L$163,7,FALSE)</f>
        <v>#N/A</v>
      </c>
      <c r="FC427" s="1826" t="b">
        <f>ISNUMBER(SEARCH("TLED",U429))</f>
        <v>0</v>
      </c>
      <c r="FE427" s="1698" t="str">
        <f>CONCATENATE(CQ427," - ",DG427)</f>
        <v xml:space="preserve"> - 0</v>
      </c>
      <c r="FG427" s="1702" t="str">
        <f>VLOOKUP(CW429,Fixtures!DN$27:EZ$77,38,FALSE)</f>
        <v/>
      </c>
      <c r="FH427" s="1702">
        <f>IFERROR(FG427*EH427,0)</f>
        <v>0</v>
      </c>
      <c r="FI427" s="133"/>
      <c r="FL427" s="1822" t="str">
        <f>IF(CQ427="Exterior","Not Daylighted",G430)</f>
        <v>Not Daylighted</v>
      </c>
      <c r="FM427" s="1824">
        <f>VLOOKUP(FL427,_New_Daylight_Table_Codes,2,FALSE)</f>
        <v>0</v>
      </c>
      <c r="FN427" s="1698">
        <f>IF(__Retrofit_TI_NC&gt;0,VLOOKUP(G429,'Space Table'!$B$3:$L$163,11,FALSE),AG428)</f>
        <v>0</v>
      </c>
      <c r="FO427" s="1698" t="e">
        <f>IF(__Retrofit_TI_NC=2,VLOOKUP(FQ427,_Control_Table,2,FALSE),VLOOKUP(FN427,_Control_Table,2,FALSE))</f>
        <v>#N/A</v>
      </c>
      <c r="FP427" s="1678" t="e">
        <f>VLOOKUP(CONCATENATE(FL427," ",FN427),Lookup!AY$102:AZ437,2,FALSE)</f>
        <v>#N/A</v>
      </c>
      <c r="FQ427" s="1678">
        <f>IF(__Retrofit_TI_NC=0,FN427,IF(AND(FT427&gt;0,FN427="Occupancy Sensor"),"Daylight + Occupancy",IF(AND(FT427&gt;0,VLOOKUP(FN427,_Control_Table,2,FALSE)&lt;4),"Interior Daylight Dimming",FN427)))</f>
        <v>0</v>
      </c>
      <c r="FS427" s="1686">
        <f>IF(CR427="Interior",VLOOKUP(CS427,Control_Savings_Interior,5,FALSE),0)</f>
        <v>0</v>
      </c>
      <c r="FT427" s="1687">
        <f>IF(CQ427="Exterior",0,IF(FM427=2,0.5,IF(OR(FM427=1,FM427=3),1,0)))</f>
        <v>0</v>
      </c>
      <c r="FU427" s="1685">
        <f>IF(R426&gt;FS$44,(FS427*(FS$44/R426)),FS427)*FT427</f>
        <v>0</v>
      </c>
      <c r="FV427" s="1686">
        <f>DI427</f>
        <v>0</v>
      </c>
      <c r="FW427" s="1686">
        <f>ROUND(FV427+((1-FV427)*FU427),2)</f>
        <v>0</v>
      </c>
      <c r="FX427" s="1686">
        <f>IF(__Retrofit_TI_NC=2,FW427,FV427)</f>
        <v>0</v>
      </c>
      <c r="FY427" s="1697"/>
      <c r="GA427" s="1696" t="str">
        <f>IFERROR(VLOOKUP(U428,_Exist_Fixture_Table,3,FALSE),"")</f>
        <v/>
      </c>
      <c r="GB427" s="1696" t="str">
        <f>VLOOKUP(CW427,_Exist_Fixture_Table,4,FALSE)</f>
        <v/>
      </c>
      <c r="GC427" s="1696">
        <f>IFERROR(VLOOKUP(GB427,Lookup!AT$6:AU$8,2,FALSE),0)</f>
        <v>0</v>
      </c>
      <c r="GD427" s="1696" t="b">
        <f>IFERROR(IF(OR(GF427=4,GF427=5,GF427=6),TRUE,FALSE),"")</f>
        <v>0</v>
      </c>
      <c r="GE427" s="1696" t="str">
        <f>IFERROR(VLOOKUP(GF427,GC$6:GD$10,2,FALSE),"")</f>
        <v/>
      </c>
      <c r="GF427" s="1696" t="str">
        <f>VLOOKUP(CW429,Fixtures!R$31:Y$78,8,FALSE)</f>
        <v/>
      </c>
      <c r="GG427" s="1696">
        <f>IF(AND(GA427=TRUE,GD427=TRUE,OR(DQ427=12,DQ427=13,DQ427=14)),GC427+8,0)</f>
        <v>0</v>
      </c>
      <c r="GH427" s="1696" t="b">
        <f>IF(OR(GG427=12,GG427=13,GG427=14),TRUE,FALSE)</f>
        <v>0</v>
      </c>
      <c r="GI427" s="673" t="b">
        <f>IF(ISNUMBER(SEARCH("TLED",U428)),TRUE,FALSE)</f>
        <v>0</v>
      </c>
      <c r="GJ427" s="1135" t="str">
        <f>IFERROR(VLOOKUP(U428,Fixtures!BM$93:BR$142,6,FALSE),"")</f>
        <v/>
      </c>
      <c r="GK427" s="1832" t="b">
        <f>IF(OR(GI427=FALSE,GI429=FALSE),TRUE,IF(GJ427-GJ429&lt;5,FALSE,TRUE))</f>
        <v>1</v>
      </c>
      <c r="GO427" s="674">
        <f>GP427</f>
        <v>0</v>
      </c>
      <c r="GP427" s="674">
        <f>IF(G427="",0,1)</f>
        <v>0</v>
      </c>
      <c r="GQ427" s="674">
        <f ca="1">SUM(GR427:HF427)</f>
        <v>2</v>
      </c>
      <c r="GR427" s="674">
        <f>IF(G428="",0,1)</f>
        <v>0</v>
      </c>
      <c r="GS427" s="674">
        <f>IF(N430="BAM",1,IF(G429="",0,1))</f>
        <v>0</v>
      </c>
      <c r="GT427" s="674">
        <f>IF(N430="BAM",1,IF(R428="",0,1))</f>
        <v>0</v>
      </c>
      <c r="GU427" s="674">
        <f>IF(N430="BAM",1,IF(__Retrofit_TI_NC=0,1,IF(R429="",0,1)))</f>
        <v>1</v>
      </c>
      <c r="GV427" s="674">
        <f>IF(N430="BAM",1,IF(CQ427="Exterior",1,IF(G430="",0,1)))</f>
        <v>1</v>
      </c>
      <c r="GW427" s="674">
        <f>IF(__Retrofit_TI_NC&gt;0,1,IF(T428="",0,1))</f>
        <v>0</v>
      </c>
      <c r="GX427" s="674">
        <f>IF(__Retrofit_TI_NC&gt;0,1,IF(U428="",0,1))</f>
        <v>0</v>
      </c>
      <c r="GY427" s="674">
        <f>IF(N430="BAM",1,IF(T429="",0,1))</f>
        <v>0</v>
      </c>
      <c r="GZ427" s="674">
        <f>IF(N430="BAM",1,IF(U429="",0,1))</f>
        <v>0</v>
      </c>
      <c r="HA427" s="674">
        <f ca="1">IF(N430="BAM",1,IF(__Retrofit_TI_NC&gt;0,1,IF(U430="",0,1)))</f>
        <v>0</v>
      </c>
      <c r="HB427" s="674">
        <f>IF(__Retrofit_TI_NC&lt;&gt;0,1,IF(AF428="",0,1))</f>
        <v>0</v>
      </c>
      <c r="HC427" s="674">
        <f>IF(__Retrofit_TI_NC&lt;&gt;0,1,IF(AG428="",0,1))</f>
        <v>0</v>
      </c>
      <c r="HD427" s="674">
        <f>IF(N430="BAM",1,IF(AF429="",0,1))</f>
        <v>0</v>
      </c>
      <c r="HE427" s="674">
        <f>IF(N430="BAM",1,IF(AG429="",0,1))</f>
        <v>0</v>
      </c>
      <c r="HF427" s="674">
        <f>IF(N430="BAM",1,IF(__Retrofit_TI_NC&gt;0,1,IF(AG430="",0,1)))</f>
        <v>0</v>
      </c>
      <c r="HG427" s="391"/>
      <c r="IA427" s="391"/>
      <c r="IB427" s="1693" t="b">
        <f>IF(OR(IB430=0,IB430=HY$16,IB430=HX$16,IB430=HZ$16),TRUE,FALSE)</f>
        <v>0</v>
      </c>
      <c r="IC427" s="1694" t="b">
        <f>IB427</f>
        <v>0</v>
      </c>
      <c r="ID427" s="391"/>
      <c r="IE427" s="391"/>
      <c r="IF427" s="1688" t="b">
        <f ca="1">IF(MAX(GN430:HU430)&gt;5,FALSE,TRUE)</f>
        <v>0</v>
      </c>
      <c r="IG427" s="1689">
        <f ca="1">IF(IF427=TRUE,AC427,0)</f>
        <v>0</v>
      </c>
      <c r="IH427" s="1689">
        <f ca="1">IG427-IG429</f>
        <v>0</v>
      </c>
      <c r="IK427" s="1689" t="e">
        <f>ROUND(T428*VLOOKUP(U428,Fixtures_Existing_List,2,FALSE)*N428*R428/1000,0)</f>
        <v>#N/A</v>
      </c>
      <c r="IL427" s="1690" t="e">
        <f>IK427-IK429</f>
        <v>#N/A</v>
      </c>
      <c r="IM427" s="1693" t="e">
        <f>ROUND(IF(CQ427="Interior",N429*R429*R428*N428*_C406_reduction/1000,N429*R429*R428*N428/1000),0)</f>
        <v>#N/A</v>
      </c>
      <c r="IN427" s="1693" t="e">
        <f>IM427-IM429</f>
        <v>#N/A</v>
      </c>
      <c r="IP427" s="1679"/>
      <c r="IQ427" s="1679" t="e">
        <f t="shared" ref="IQ427:IU427" si="381">IF($CR427="interior",VLOOKUP($CS427,_New_Control_Savings_Interior,IQ$30,FALSE),VLOOKUP($CS427,Control_Savings_Exterior,IQ$30,FALSE))</f>
        <v>#N/A</v>
      </c>
      <c r="IR427" s="1679" t="e">
        <f t="shared" si="381"/>
        <v>#N/A</v>
      </c>
      <c r="IS427" s="1679" t="e">
        <f t="shared" si="381"/>
        <v>#N/A</v>
      </c>
      <c r="IT427" s="1679" t="e">
        <f t="shared" si="381"/>
        <v>#N/A</v>
      </c>
      <c r="IU427" s="1679" t="e">
        <f t="shared" si="381"/>
        <v>#N/A</v>
      </c>
      <c r="IV427" s="1679" t="e">
        <f>IF($CR427="interior",IF(R428&gt;$IP$14,ROUND(($IV$18*($IP$14/R428)),2),$IV$18),VLOOKUP($CS427,Control_Savings_Exterior,IV$30,FALSE))</f>
        <v>#N/A</v>
      </c>
      <c r="IW427" s="1679" t="e">
        <f>IF($CR427="interior",ROUND(((1-IS427)*IV427)+IS427,2),VLOOKUP($CS427,Control_Savings_Exterior,IW$30,FALSE))</f>
        <v>#N/A</v>
      </c>
      <c r="IX427" s="1679" t="e">
        <f>IF($CR427="interior",ROUND(((1-IT427)*IV427)+IT427,2),VLOOKUP($CS427,Control_Savings_Exterior,IX$30,FALSE))</f>
        <v>#N/A</v>
      </c>
      <c r="IY427" s="1679" t="e">
        <f>IF($CR427="interior",IF(R428&gt;$IP$14,ROUND(($IY$18*($IP$14/R428)),2),$IY$18),VLOOKUP($CS427,Control_Savings_Exterior,IY$30,FALSE))</f>
        <v>#N/A</v>
      </c>
      <c r="IZ427" s="1679" t="e">
        <f>IF($CR427="interior",ROUND(((1-IS427)*IY427)+IS427,2),VLOOKUP($CS427,Control_Savings_Exterior,IZ$30,FALSE))</f>
        <v>#N/A</v>
      </c>
      <c r="JA427" s="1679" t="e">
        <f>IF($CR427="interior",ROUND(((1-IT427)*IY427)+IT427,2),VLOOKUP($CS427,Control_Savings_Exterior,JA$30,FALSE))</f>
        <v>#N/A</v>
      </c>
      <c r="JC427" s="1680">
        <f>IFERROR(IF(CR427="Interior",CONCATENATE(G430," ",FQ427),FQ427),"")</f>
        <v>0</v>
      </c>
      <c r="JD427" s="1670" t="str">
        <f>IFERROR(VLOOKUP(JC427,_Controls_2023,2,FALSE),"")</f>
        <v/>
      </c>
      <c r="JE427" s="1681">
        <f>IFERROR(CHOOSE(JD427-1,IQ427,IR427,IS427,IT427,IU427,IV427,IW427,IX427,IY427,IZ427,JA427),0)</f>
        <v>0</v>
      </c>
      <c r="JG427" s="1680" t="str">
        <f>FE427</f>
        <v xml:space="preserve"> - 0</v>
      </c>
      <c r="JH427" s="1670" t="e">
        <f>$FO427</f>
        <v>#N/A</v>
      </c>
      <c r="JI427" s="1060"/>
      <c r="JJ427" s="1682" t="b">
        <f>IF($JG429=CONCATENATE("Interior - ",JJ$4),TRUE,FALSE)</f>
        <v>0</v>
      </c>
      <c r="JK427" s="1061"/>
      <c r="JL427" s="1682" t="b">
        <f>IF($JG429=CONCATENATE("Interior - ",JL$4),TRUE,FALSE)</f>
        <v>0</v>
      </c>
      <c r="JM427" s="1061"/>
      <c r="JN427" s="1682" t="b">
        <f>IF($JG429=CONCATENATE("Interior - ",JN$4),TRUE,FALSE)</f>
        <v>0</v>
      </c>
      <c r="JO427" s="1061"/>
      <c r="JP427" s="1682" t="b">
        <f>IF(__Retrofit_TI_NC&gt;0,FALSE,IF($JG429=CONCATENATE("Interior - ",JP$4),TRUE,FALSE))</f>
        <v>0</v>
      </c>
      <c r="JQ427" s="1061"/>
      <c r="JR427" s="1682" t="b">
        <f>IF(__Retrofit_TI_NC&gt;0,FALSE,IF($JG429=CONCATENATE("Interior - ",JR$4),TRUE,FALSE))</f>
        <v>0</v>
      </c>
      <c r="JS427" s="1061"/>
      <c r="JT427" s="1670" t="b">
        <f>IF(__Retrofit_TI_NC&gt;0,FALSE,IF($JG429=CONCATENATE("Interior - ",JT$4),TRUE,FALSE))</f>
        <v>0</v>
      </c>
      <c r="JU427" s="1061"/>
      <c r="JV427" s="1670" t="b">
        <f>IF(JC429="AELC on Existing",TRUE,FALSE)</f>
        <v>0</v>
      </c>
      <c r="JX427" s="1670" t="b">
        <f>IF(OR(JG429="Exterior - AELC Occupancy based",JG429="Exterior - AELC Time based"),TRUE,FALSE)</f>
        <v>0</v>
      </c>
      <c r="JZ427" s="1682" t="b">
        <f>IF($JG429=CONCATENATE("Exterior - ",JZ$4),TRUE,FALSE)</f>
        <v>0</v>
      </c>
      <c r="KB427" s="1670" t="b">
        <f>IF(__Retrofit_TI_NC&gt;0,FALSE,IF($JG429=CONCATENATE("Interior - ",KB$4),TRUE,FALSE))</f>
        <v>0</v>
      </c>
    </row>
    <row r="428" spans="1:288" s="78" customFormat="1" ht="14.95" customHeight="1" thickTop="1" thickBot="1">
      <c r="B428" s="1845"/>
      <c r="C428" s="1846"/>
      <c r="D428" s="1847"/>
      <c r="E428" s="1737" t="s">
        <v>297</v>
      </c>
      <c r="F428" s="1738"/>
      <c r="G428" s="1739"/>
      <c r="H428" s="1739"/>
      <c r="I428" s="1739"/>
      <c r="J428" s="1739"/>
      <c r="K428" s="1739"/>
      <c r="L428" s="1739"/>
      <c r="M428" s="461" t="e">
        <f>IF(__Retrofit_TI_NC&lt;&gt;0,IF(VLOOKUP(G429,'Space Table'!$B$3:$L$163,3,FALSE)&gt;0,1,0),IF(__Retrofit_TI_NC=VLOOKUP(G429,'Space Table'!$B$3:$L$163,3,FALSE),1,0))</f>
        <v>#N/A</v>
      </c>
      <c r="N428" s="461" t="str">
        <f>IFERROR(VLOOKUP(G428,_Lookup_Heat_Type_Table_New,2,FALSE),"")</f>
        <v/>
      </c>
      <c r="O428" s="461">
        <f>IF(__Retrofit_TI_NC=1,CONCATENATE("TI ",G428),IF(__Retrofit_TI_NC=2,CONCATENATE("NC ",G428),G428))</f>
        <v>0</v>
      </c>
      <c r="P428" s="1740" t="s">
        <v>435</v>
      </c>
      <c r="Q428" s="1740"/>
      <c r="R428" s="595"/>
      <c r="S428" s="1792"/>
      <c r="T428" s="597"/>
      <c r="U428" s="1765"/>
      <c r="V428" s="1766"/>
      <c r="W428" s="1766"/>
      <c r="X428" s="1766"/>
      <c r="Y428" s="1766"/>
      <c r="Z428" s="1766"/>
      <c r="AA428" s="1766"/>
      <c r="AB428" s="1766"/>
      <c r="AC428" s="1766"/>
      <c r="AD428" s="1767"/>
      <c r="AE428" s="1000"/>
      <c r="AF428" s="597"/>
      <c r="AG428" s="1723"/>
      <c r="AH428" s="1724"/>
      <c r="AI428" s="1724"/>
      <c r="AJ428" s="1724"/>
      <c r="AK428" s="1725"/>
      <c r="AL428" s="996"/>
      <c r="AM428" s="1747"/>
      <c r="AN428" s="1775"/>
      <c r="AO428" s="1777"/>
      <c r="AP428" s="1780"/>
      <c r="AQ428" s="1781"/>
      <c r="AR428" s="1795"/>
      <c r="AS428" s="1795"/>
      <c r="AT428" s="1796"/>
      <c r="AU428" s="1735"/>
      <c r="AV428" s="1752"/>
      <c r="AW428" s="1705"/>
      <c r="AX428" s="467"/>
      <c r="AY428" s="1749"/>
      <c r="AZ428" s="1749"/>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696"/>
      <c r="CQ428" s="1696"/>
      <c r="CR428" s="1809"/>
      <c r="CS428" s="1811"/>
      <c r="CU428" s="1688"/>
      <c r="CV428" s="1703"/>
      <c r="CW428" s="1703"/>
      <c r="CX428" s="1703"/>
      <c r="CY428" s="1815"/>
      <c r="CZ428" s="1711"/>
      <c r="DA428" s="1818"/>
      <c r="DB428" s="1820"/>
      <c r="DC428" s="1820"/>
      <c r="DD428" s="1820"/>
      <c r="DF428" s="1703"/>
      <c r="DG428" s="1831"/>
      <c r="DH428" s="1703"/>
      <c r="DI428" s="1838"/>
      <c r="DJ428" s="1711"/>
      <c r="DK428" s="1712"/>
      <c r="DM428" s="1718"/>
      <c r="DO428" s="1708"/>
      <c r="DQ428" s="1715"/>
      <c r="DR428" s="1720"/>
      <c r="DS428" s="1816"/>
      <c r="DT428" s="1714"/>
      <c r="DU428" s="1715"/>
      <c r="DV428" s="1716"/>
      <c r="DX428" s="1715"/>
      <c r="DY428" s="1720"/>
      <c r="DZ428" s="1715"/>
      <c r="EA428" s="1715"/>
      <c r="EC428" s="1834"/>
      <c r="ED428" s="1834"/>
      <c r="EF428" s="1707"/>
      <c r="EG428" s="1712"/>
      <c r="EH428" s="1818"/>
      <c r="EI428" s="1712"/>
      <c r="EJ428" s="1712"/>
      <c r="EK428" s="1836"/>
      <c r="EL428" s="1836"/>
      <c r="EM428" s="1807"/>
      <c r="EN428" s="1839"/>
      <c r="EO428" s="1839"/>
      <c r="EP428" s="1817"/>
      <c r="EQ428" s="1817"/>
      <c r="ER428" s="1807"/>
      <c r="ES428" s="1807"/>
      <c r="ET428" s="1807"/>
      <c r="EV428" s="1715"/>
      <c r="EX428" s="1805"/>
      <c r="EY428" s="1805"/>
      <c r="EZ428" s="1805"/>
      <c r="FA428" s="1805"/>
      <c r="FB428" s="1805"/>
      <c r="FC428" s="1827"/>
      <c r="FE428" s="1698"/>
      <c r="FG428" s="1816"/>
      <c r="FH428" s="1816"/>
      <c r="FI428" s="133"/>
      <c r="FL428" s="1823"/>
      <c r="FM428" s="1825"/>
      <c r="FN428" s="1698"/>
      <c r="FO428" s="1698"/>
      <c r="FP428" s="1678"/>
      <c r="FQ428" s="1678"/>
      <c r="FS428" s="1687"/>
      <c r="FT428" s="1687"/>
      <c r="FU428" s="1685"/>
      <c r="FV428" s="1687"/>
      <c r="FW428" s="1687"/>
      <c r="FX428" s="1687"/>
      <c r="FY428" s="1697"/>
      <c r="GA428" s="1696"/>
      <c r="GB428" s="1696"/>
      <c r="GC428" s="1696"/>
      <c r="GD428" s="1696"/>
      <c r="GE428" s="1696"/>
      <c r="GF428" s="1696"/>
      <c r="GG428" s="1696"/>
      <c r="GH428" s="1696"/>
      <c r="GI428" s="673"/>
      <c r="GJ428" s="1135"/>
      <c r="GK428" s="1832"/>
      <c r="GM428" s="1693" t="b">
        <f ca="1">IF(AND(GP428=TRUE,GQ428=TRUE),TRUE,FALSE)</f>
        <v>0</v>
      </c>
      <c r="GN428" s="1684" t="b">
        <f>IFERROR(IF(__Retrofit_TI_NC=2,TRUE,IF(AU427="Yes",TRUE,FALSE)),FALSE)</f>
        <v>1</v>
      </c>
      <c r="GP428" s="1684" t="b">
        <f>IFERROR(IF(GP427=1,TRUE,FALSE),FALSE)</f>
        <v>0</v>
      </c>
      <c r="GQ428" s="1684" t="b">
        <f ca="1">IFERROR(IF(GQ427=GQ$14,TRUE,FALSE),FALSE)</f>
        <v>0</v>
      </c>
      <c r="HG428" s="1684" t="b">
        <f>IFERROR(IF(AND(__Retrofit_TI_NC&gt;0,CQ427="Interior"),FALSE,TRUE),FALSE)</f>
        <v>1</v>
      </c>
      <c r="HH428" s="1684" t="b">
        <f>IFERROR(IF(M428=1,TRUE,FALSE),FALSE)</f>
        <v>0</v>
      </c>
      <c r="HI428" s="1684" t="b">
        <f>IFERROR(IF(OR(M429=1,N430="BAM"),TRUE,FALSE),FALSE)</f>
        <v>0</v>
      </c>
      <c r="HJ428" s="1684" t="b">
        <f>IFERROR(IF(__Retrofit_TI_NC&lt;&gt;0,TRUE,IFERROR(IF(VLOOKUP(U428,Fixtures_Existing_List,2,FALSE)&lt;&gt;"",TRUE,FALSE),FALSE)),FALSE)</f>
        <v>0</v>
      </c>
      <c r="HK428" s="1684" t="b">
        <f>IFERROR(IF(VLOOKUP(U429,Fixtures_Proposed_List,2,FALSE)&lt;&gt;"",TRUE,FALSE),FALSE)</f>
        <v>0</v>
      </c>
      <c r="HL428" s="1684" t="b">
        <f>IF(AND(__Retrofit_TI_NC=2,FC427=TRUE),FALSE,TRUE)</f>
        <v>1</v>
      </c>
      <c r="HM428" s="1684" t="b">
        <f>GK427</f>
        <v>1</v>
      </c>
      <c r="HN428" s="1682" t="b">
        <f>IF(ISERROR(MATCH(FE427,_Control_Match[],0))=TRUE,FALSE,TRUE)</f>
        <v>0</v>
      </c>
      <c r="HO428" s="1693" t="b">
        <f>IFERROR(IF(EX427&lt;&gt;EY427,FALSE,TRUE),FALSE)</f>
        <v>1</v>
      </c>
      <c r="HP428" s="1693" t="b">
        <f>IFERROR(IF(EX429&lt;&gt;EY429,FALSE,TRUE),FALSE)</f>
        <v>1</v>
      </c>
      <c r="HQ428" s="1670" t="b">
        <f>IFERROR(IF(CQ427="Exterior",TRUE,IF(AND(OR(FM429=0,FM429=3),JD429&gt;6),FALSE,TRUE)),FALSE)</f>
        <v>0</v>
      </c>
      <c r="HR428" s="1684" t="b">
        <f>IFERROR(IF(AND(FO429=7,FC427=TRUE),FALSE,TRUE),FALSE)</f>
        <v>0</v>
      </c>
      <c r="HS428" s="1684" t="b">
        <f>IFERROR(IF(AND(T429&lt;&gt;AF429,OR(AG429="Interior LLLC", AG429="Interior NLC", AG429="LLLC (outside Daylight)",AG429="LLLC Controls Only"))=TRUE,FALSE,TRUE),FALSE)</f>
        <v>1</v>
      </c>
      <c r="HT428" s="1670" t="b">
        <f>IFERROR(IF(OR(AG429=Lookup!BB$17,AG429=Lookup!BB$18,AG429=Lookup!BB$19)=TRUE,IF(AF429&gt;T429,FALSE,TRUE),TRUE),FALSE)</f>
        <v>1</v>
      </c>
      <c r="HU428" s="1684" t="b">
        <f>IFERROR(IF(__Retrofit_TI_NC=2,IF(EZ429&lt;EZ427,FALSE,TRUE),TRUE),FALSE)</f>
        <v>1</v>
      </c>
      <c r="HV428" s="1684" t="b">
        <f>IF(CQ427="Interior",IL$6,TRUE)</f>
        <v>1</v>
      </c>
      <c r="HW428" s="1684" t="b">
        <f>IF(CQ427="Exterior",IL$8,TRUE)</f>
        <v>1</v>
      </c>
      <c r="HX428" s="1684" t="b">
        <f>IFERROR(IF(__Retrofit_TI_NC&lt;&gt;0,IF(AZ427&lt;AY427,FALSE,TRUE),TRUE),FALSE)</f>
        <v>1</v>
      </c>
      <c r="HY428" s="1684" t="b">
        <f>IFERROR(IF(AND(G428="Exterior",R428&gt;4200),FALSE,TRUE),FALSE)</f>
        <v>1</v>
      </c>
      <c r="HZ428" s="1684" t="b">
        <f>IFERROR(IF(AB430/AB427&lt;HZ$18,FALSE,TRUE),FALSE)</f>
        <v>0</v>
      </c>
      <c r="IB428" s="1691"/>
      <c r="IC428" s="1695"/>
      <c r="ID428" s="1694" t="str">
        <f>VLOOKUP(IB430,_Error_Table,4,FALSE)</f>
        <v>White</v>
      </c>
      <c r="IE428" s="391"/>
      <c r="IF428" s="1688"/>
      <c r="IG428" s="1689"/>
      <c r="IH428" s="1684"/>
      <c r="IK428" s="1689"/>
      <c r="IL428" s="1691"/>
      <c r="IM428" s="1691"/>
      <c r="IN428" s="1691"/>
      <c r="IP428" s="1679"/>
      <c r="IQ428" s="1679"/>
      <c r="IR428" s="1679"/>
      <c r="IS428" s="1679"/>
      <c r="IT428" s="1679"/>
      <c r="IU428" s="1679"/>
      <c r="IV428" s="1679"/>
      <c r="IW428" s="1679"/>
      <c r="IX428" s="1679"/>
      <c r="IY428" s="1679"/>
      <c r="IZ428" s="1679"/>
      <c r="JA428" s="1679"/>
      <c r="JC428" s="1680"/>
      <c r="JD428" s="1670"/>
      <c r="JE428" s="1681"/>
      <c r="JG428" s="1680"/>
      <c r="JH428" s="1670"/>
      <c r="JI428" s="1060"/>
      <c r="JJ428" s="1683"/>
      <c r="JK428" s="1061"/>
      <c r="JL428" s="1683"/>
      <c r="JM428" s="1061"/>
      <c r="JN428" s="1683"/>
      <c r="JO428" s="1061"/>
      <c r="JP428" s="1683"/>
      <c r="JQ428" s="1061"/>
      <c r="JR428" s="1683"/>
      <c r="JS428" s="1061"/>
      <c r="JT428" s="1670"/>
      <c r="JU428" s="1061"/>
      <c r="JV428" s="1670"/>
      <c r="JX428" s="1670"/>
      <c r="JZ428" s="1683"/>
      <c r="KB428" s="1670"/>
    </row>
    <row r="429" spans="1:288" s="78" customFormat="1" ht="14.95" customHeight="1" thickTop="1" thickBot="1">
      <c r="A429" s="78">
        <f>ROW()</f>
        <v>429</v>
      </c>
      <c r="B429" s="1845"/>
      <c r="C429" s="1846"/>
      <c r="D429" s="1847"/>
      <c r="E429" s="1737" t="s">
        <v>298</v>
      </c>
      <c r="F429" s="1738"/>
      <c r="G429" s="1760"/>
      <c r="H429" s="1761"/>
      <c r="I429" s="1761"/>
      <c r="J429" s="1761"/>
      <c r="K429" s="1761"/>
      <c r="L429" s="1762"/>
      <c r="M429" s="461">
        <f>IFERROR(IF(IF(__Retrofit_TI_NC&lt;&gt;0,IF(CQ427="Interior",MATCH(G429,Lookup_Interior_New,0),MATCH(G429,Lookup_Exterior_New,0)),IF(CQ427="Interior",MATCH(G429,Lookup_Interior,0),MATCH(G429,Lookup_Exterior_Areas,0)))&gt;0,1,0),0)</f>
        <v>0</v>
      </c>
      <c r="N429" s="461" t="e">
        <f>IF(__Retrofit_TI_NC=1,
VLOOKUP(G429,'Space Table'!$B$3:$L$163,4,FALSE),
IF(__Retrofit_TI_NC=2,VLOOKUP(G429,'Space Table'!$B$3:$L$163,5,FALSE),VLOOKUP(G429,'Space Table'!$B$3:$L$163,5,FALSE)))</f>
        <v>#N/A</v>
      </c>
      <c r="O429" s="461">
        <f>G429</f>
        <v>0</v>
      </c>
      <c r="P429" s="1738" t="str">
        <f>IFERROR(IF(__Retrofit_TI_NC=1,VLOOKUP(G429,'Space Table'!$B$3:$O$163,13,FALSE),IF(__Retrofit_TI_NC=2,VLOOKUP(G429,'Space Table'!$B$3:$O$163,14,FALSE),"Area (sf):")),"Area (sf):")</f>
        <v>Area (sf):</v>
      </c>
      <c r="Q429" s="1738"/>
      <c r="R429" s="596"/>
      <c r="S429" s="1763" t="s">
        <v>345</v>
      </c>
      <c r="T429" s="594"/>
      <c r="U429" s="1801"/>
      <c r="V429" s="1802"/>
      <c r="W429" s="1802"/>
      <c r="X429" s="1802"/>
      <c r="Y429" s="1802"/>
      <c r="Z429" s="1802"/>
      <c r="AA429" s="1802"/>
      <c r="AB429" s="1802"/>
      <c r="AC429" s="1802"/>
      <c r="AD429" s="1802"/>
      <c r="AE429" s="1803"/>
      <c r="AF429" s="594"/>
      <c r="AG429" s="1787"/>
      <c r="AH429" s="1787"/>
      <c r="AI429" s="1787"/>
      <c r="AJ429" s="1787"/>
      <c r="AK429" s="1787"/>
      <c r="AL429" s="1787"/>
      <c r="AM429" s="1726">
        <f>IFERROR(DI429,"")</f>
        <v>0</v>
      </c>
      <c r="AN429" s="1728" t="str">
        <f>IFERROR(ROUND(AM429*AC430,0),"")</f>
        <v/>
      </c>
      <c r="AO429" s="1730">
        <f>IFERROR(IF(IB427=FALSE,0,AC430-AN429),0)</f>
        <v>0</v>
      </c>
      <c r="AP429" s="1780"/>
      <c r="AQ429" s="1781"/>
      <c r="AR429" s="1795"/>
      <c r="AS429" s="1795"/>
      <c r="AT429" s="1796"/>
      <c r="AU429" s="1735"/>
      <c r="AV429" s="1752"/>
      <c r="AW429" s="1705"/>
      <c r="AX429" s="467"/>
      <c r="AY429" s="1749"/>
      <c r="AZ429" s="1749"/>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696"/>
      <c r="CQ429" s="1696"/>
      <c r="CR429" s="1808" t="str">
        <f>CQ427</f>
        <v/>
      </c>
      <c r="CS429" s="1810" t="str">
        <f>CS427</f>
        <v/>
      </c>
      <c r="CU429" s="1688" t="s">
        <v>345</v>
      </c>
      <c r="CV429" s="1702">
        <f>IF(IB427=TRUE,T429,0)</f>
        <v>0</v>
      </c>
      <c r="CW429" s="1702" t="str">
        <f>IF(IB427=TRUE,U429,"")</f>
        <v/>
      </c>
      <c r="CX429" s="1812">
        <f>IF(IB427=TRUE,U430,0)</f>
        <v>0</v>
      </c>
      <c r="CY429" s="1814">
        <f>IF(IB427=TRUE,AB430,0)</f>
        <v>0</v>
      </c>
      <c r="CZ429" s="1710">
        <f>IF(AND(__Retrofit_TI_NC&gt;0,CR427="interior"),0,IF(IB427=TRUE,AC430,0))</f>
        <v>0</v>
      </c>
      <c r="DA429" s="1818"/>
      <c r="DB429" s="1820"/>
      <c r="DC429" s="1820"/>
      <c r="DD429" s="1820"/>
      <c r="DF429" s="1702">
        <f>IF(IB427=TRUE,AF429,0)</f>
        <v>0</v>
      </c>
      <c r="DG429" s="1830" t="str">
        <f>IF(IB427=TRUE,AG429,"")</f>
        <v/>
      </c>
      <c r="DH429" s="1812">
        <f>AG430</f>
        <v>0</v>
      </c>
      <c r="DI429" s="1837">
        <f>JE429</f>
        <v>0</v>
      </c>
      <c r="DJ429" s="1710">
        <f>IF(AND(__Retrofit_TI_NC&gt;0,CR427="interior"),0,IF(IB427=TRUE,AN429,0))</f>
        <v>0</v>
      </c>
      <c r="DK429" s="1712"/>
      <c r="DN429" s="1717">
        <f>IFERROR(CZ429-DJ429,0)</f>
        <v>0</v>
      </c>
      <c r="DO429" s="1709"/>
      <c r="DQ429" s="1715"/>
      <c r="DR429" s="1719" t="str">
        <f>DQ427</f>
        <v/>
      </c>
      <c r="DS429" s="1816"/>
      <c r="DT429" s="1835" t="str">
        <f>IF(OR(DS427=7,DS427=8,DS427=9),"ALC","")</f>
        <v/>
      </c>
      <c r="DU429" s="1715"/>
      <c r="DV429" s="1716"/>
      <c r="DX429" s="1715"/>
      <c r="DY429" s="1829" t="str">
        <f>DX427</f>
        <v/>
      </c>
      <c r="DZ429" s="1715"/>
      <c r="EA429" s="1715"/>
      <c r="EC429" s="1834"/>
      <c r="ED429" s="1834"/>
      <c r="EF429" s="1707"/>
      <c r="EG429" s="1712"/>
      <c r="EH429" s="1818"/>
      <c r="EI429" s="1712"/>
      <c r="EJ429" s="1712"/>
      <c r="EK429" s="1836"/>
      <c r="EL429" s="1836"/>
      <c r="EM429" s="1807"/>
      <c r="EN429" s="1839"/>
      <c r="EO429" s="1839"/>
      <c r="EP429" s="1817"/>
      <c r="EQ429" s="1817"/>
      <c r="ER429" s="1807"/>
      <c r="ES429" s="1807"/>
      <c r="ET429" s="1807"/>
      <c r="EV429" s="1715"/>
      <c r="EX429" s="1805" t="str">
        <f>IFERROR(VLOOKUP(CS429,'Space Table'!$B$3:$L$163,8,FALSE),"")</f>
        <v/>
      </c>
      <c r="EY429" s="1805" t="str">
        <f>IFERROR(IF(FB429="Yes",VLOOKUP(AG429,Lookup_Control_Type_Table2,4,FALSE),VLOOKUP(AG429,Lookup_Control_Type_Table2,3,FALSE)),"")</f>
        <v/>
      </c>
      <c r="EZ429" s="1805" t="e">
        <f>VLOOKUP(AG429,Lookup!BB$3:BC$20,2,FALSE)</f>
        <v>#N/A</v>
      </c>
      <c r="FA429" s="1805" t="e">
        <f>VLOOKUP(EX427,Lookup_Control_Type_Table,2,FALSE)</f>
        <v>#N/A</v>
      </c>
      <c r="FB429" s="1805" t="e">
        <f>VLOOKUP(CS429,'Space Table'!$B$3:$L$163,7,FALSE)</f>
        <v>#N/A</v>
      </c>
      <c r="FC429" s="1827"/>
      <c r="FE429" s="1698" t="str">
        <f>CONCATENATE(CQ427," - ",AG429)</f>
        <v xml:space="preserve"> - </v>
      </c>
      <c r="FG429" s="1816"/>
      <c r="FH429" s="1816"/>
      <c r="FI429" s="133"/>
      <c r="FL429" s="1822" t="str">
        <f>IF(CQ427="Exterior","Not Daylighted",G430)</f>
        <v>Not Daylighted</v>
      </c>
      <c r="FM429" s="1824">
        <f>VLOOKUP(FL429,_New_Daylight_Table_Codes,2,FALSE)</f>
        <v>0</v>
      </c>
      <c r="FN429" s="1698">
        <f>AG429</f>
        <v>0</v>
      </c>
      <c r="FO429" s="1698" t="e">
        <f>VLOOKUP(FN429,_Control_Table,2,FALSE)</f>
        <v>#N/A</v>
      </c>
      <c r="FP429" s="1678" t="e">
        <f>VLOOKUP(CONCATENATE(FL429," ",FN429),Lookup!AY$102:AZ440,2,FALSE)</f>
        <v>#N/A</v>
      </c>
      <c r="FQ429" s="1698">
        <f>IF(__Retrofit_TI_NC=0,FN429,IF(AND(FT429&gt;0,FN429="Occupancy Sensor"),"Daylight + Occupancy",IF(AND(FT429&gt;0,FO429&lt;4),"Interior Daylight Dimming",FN429)))</f>
        <v>0</v>
      </c>
      <c r="FS429" s="1686">
        <f>IF(CQ427="Interior",VLOOKUP(CS427,Control_Savings_Interior,5,FALSE),0)</f>
        <v>0</v>
      </c>
      <c r="FT429" s="1687">
        <f>IF(CQ429="Exterior",0,IF(FM429=2,0.5,IF(OR(FM429=1,FM429=3),1,0)))</f>
        <v>0</v>
      </c>
      <c r="FU429" s="1685">
        <f>IF(R428&gt;FS$44,(FS429*(FS$44/R428)),FS429)*FT429</f>
        <v>0</v>
      </c>
      <c r="FV429" s="1686">
        <f>DI429</f>
        <v>0</v>
      </c>
      <c r="FW429" s="1686">
        <f>ROUND(FV429+((1-FV429)*FU429),2)</f>
        <v>0</v>
      </c>
      <c r="FX429" s="1686">
        <f>IF(__Retrofit_TI_NC=2,FW429,FV429)</f>
        <v>0</v>
      </c>
      <c r="FY429" s="1697">
        <f>IF(CR429="Interior",VLOOKUP(CS429,Control_Savings_Interior,4,FALSE),0)</f>
        <v>0</v>
      </c>
      <c r="GA429" s="1696"/>
      <c r="GB429" s="1696"/>
      <c r="GC429" s="1696"/>
      <c r="GD429" s="1696"/>
      <c r="GE429" s="1696"/>
      <c r="GF429" s="1696"/>
      <c r="GG429" s="1696"/>
      <c r="GH429" s="1696"/>
      <c r="GI429" s="673" t="b">
        <f>IF(ISNUMBER(SEARCH("TLED",U429)),TRUE,FALSE)</f>
        <v>0</v>
      </c>
      <c r="GJ429" s="1135" t="str">
        <f>IFERROR(VLOOKUP(U429,Fixtures!DM$93:DR$142,6,FALSE),"")</f>
        <v/>
      </c>
      <c r="GK429" s="1832"/>
      <c r="GM429" s="1692"/>
      <c r="GN429" s="1684"/>
      <c r="GP429" s="1684"/>
      <c r="GQ429" s="1684"/>
      <c r="HG429" s="1684"/>
      <c r="HH429" s="1684"/>
      <c r="HI429" s="1684"/>
      <c r="HJ429" s="1684"/>
      <c r="HK429" s="1684"/>
      <c r="HL429" s="1684"/>
      <c r="HM429" s="1684"/>
      <c r="HN429" s="1683"/>
      <c r="HO429" s="1692"/>
      <c r="HP429" s="1692"/>
      <c r="HQ429" s="1670"/>
      <c r="HR429" s="1684"/>
      <c r="HS429" s="1684"/>
      <c r="HT429" s="1670"/>
      <c r="HU429" s="1684"/>
      <c r="HV429" s="1684"/>
      <c r="HW429" s="1684"/>
      <c r="HX429" s="1684"/>
      <c r="HY429" s="1684"/>
      <c r="HZ429" s="1684"/>
      <c r="IB429" s="1692"/>
      <c r="IC429" s="1693" t="b">
        <f>IB427</f>
        <v>0</v>
      </c>
      <c r="ID429" s="1695"/>
      <c r="IE429" s="391"/>
      <c r="IF429" s="1688"/>
      <c r="IG429" s="1689">
        <f ca="1">IF(IF427=TRUE,AC430,0)</f>
        <v>0</v>
      </c>
      <c r="IH429" s="1684"/>
      <c r="IK429" s="1689" t="e">
        <f>ROUND(T429*AB430*N428*R428/1000,0)</f>
        <v>#VALUE!</v>
      </c>
      <c r="IL429" s="1691"/>
      <c r="IM429" s="1693" t="e">
        <f>ROUND(T429*AB430*N428*R428/1000,0)</f>
        <v>#VALUE!</v>
      </c>
      <c r="IN429" s="1691"/>
      <c r="IP429" s="1679"/>
      <c r="IQ429" s="1679" t="e">
        <f t="shared" ref="IQ429:IU429" si="382">IF($CR429="interior",VLOOKUP($CS429,_New_Control_Savings_Interior,IQ$30,FALSE),VLOOKUP($CS429,Control_Savings_Exterior,IQ$30,FALSE))</f>
        <v>#N/A</v>
      </c>
      <c r="IR429" s="1679" t="e">
        <f t="shared" si="382"/>
        <v>#N/A</v>
      </c>
      <c r="IS429" s="1679" t="e">
        <f t="shared" si="382"/>
        <v>#N/A</v>
      </c>
      <c r="IT429" s="1679" t="e">
        <f t="shared" si="382"/>
        <v>#N/A</v>
      </c>
      <c r="IU429" s="1679" t="e">
        <f t="shared" si="382"/>
        <v>#N/A</v>
      </c>
      <c r="IV429" s="1679" t="e">
        <f>IF($CR429="interior",IF(R428&gt;$IP$14,ROUND(($IV$18*($IP$14/R428)),2),$IV$18),VLOOKUP($CS429,Control_Savings_Exterior,IV$30,FALSE))</f>
        <v>#N/A</v>
      </c>
      <c r="IW429" s="1679" t="e">
        <f>IF($CR429="interior",ROUND(((1-IS429)*IV429)+IS429,2),VLOOKUP($CS429,Control_Savings_Exterior,IW$30,FALSE))</f>
        <v>#N/A</v>
      </c>
      <c r="IX429" s="1679" t="e">
        <f>IF($CR429="interior",ROUND(((1-IT429)*IV429)+IT429,2),VLOOKUP($CS429,Control_Savings_Exterior,IX$30,FALSE))</f>
        <v>#N/A</v>
      </c>
      <c r="IY429" s="1679" t="e">
        <f>IF($CR429="interior",IF(R428&gt;$IP$14,ROUND(($IY$18*($IP$14/R428)),2),$IY$18),VLOOKUP($CS429,Control_Savings_Exterior,IY$30,FALSE))</f>
        <v>#N/A</v>
      </c>
      <c r="IZ429" s="1679" t="e">
        <f>IF($CR429="interior",ROUND(((1-IS429)*IY429)+IS429,2),VLOOKUP($CS429,Control_Savings_Exterior,IZ$30,FALSE))</f>
        <v>#N/A</v>
      </c>
      <c r="JA429" s="1679" t="e">
        <f>IF($CR429="interior",ROUND(((1-IT429)*IY429)+IT429,2),VLOOKUP($CS429,Control_Savings_Exterior,JA$30,FALSE))</f>
        <v>#N/A</v>
      </c>
      <c r="JC429" s="1680">
        <f>IFERROR(IF(CR429="Interior",CONCATENATE(G430," ",FQ429),AG429),"")</f>
        <v>0</v>
      </c>
      <c r="JD429" s="1670" t="str">
        <f>IFERROR(VLOOKUP(JC429,_Controls_2023,2,FALSE),"")</f>
        <v/>
      </c>
      <c r="JE429" s="1681">
        <f>IFERROR(CHOOSE(JD429-1,IQ429,IR429,IS429,IT429,IU429,IV429,IW429,IX429,IY429,IZ429,JA429),0)</f>
        <v>0</v>
      </c>
      <c r="JG429" s="1680" t="str">
        <f>FE429</f>
        <v xml:space="preserve"> - </v>
      </c>
      <c r="JH429" s="1670" t="e">
        <f>$FO429</f>
        <v>#N/A</v>
      </c>
      <c r="JI429" s="1060"/>
      <c r="JJ429" s="1670">
        <f>IFERROR(IF($IB427=TRUE,IF(OR(JJ$14="No",JJ427=FALSE,JH429&lt;=JH427,AND(_kWh_Grant=0,GD427=FALSE)),0,IF(JJ$8="Per Line",1,$AF429)),0),0)</f>
        <v>0</v>
      </c>
      <c r="JK429" s="1061"/>
      <c r="JL429" s="1670">
        <f>IFERROR(IF(_kWh_Grant=0,0,IF($IB427=TRUE,IF(OR(JL$14="No",JL427=FALSE,JH429&lt;=JH427),0,IF(JL$8="Per Line",1,$T429)),0)),0)</f>
        <v>0</v>
      </c>
      <c r="JM429" s="1061"/>
      <c r="JN429" s="1670">
        <f>IFERROR(IF(_kWh_Grant=0,0,IF($IB427=TRUE,IF(OR(JN$14="No",JN427=FALSE,JH429&lt;=JH427),0,IF(JN$8="Per Line",1,$AF429)),0)),0)</f>
        <v>0</v>
      </c>
      <c r="JO429" s="1061"/>
      <c r="JP429" s="1670">
        <f>IFERROR(IF(__Retrofit_TI_NC=0,IF(_kWh_Grant=0,0,IF($IB427=TRUE,IF(OR(JP$14="No",JP427=FALSE,$JH429&lt;=$JH427),0,IF(JP$8="Per Line",1,$AF429)),0)),IF($IB427=TRUE,IF(OR(JP$14="No",JP427=FALSE,$JH429&lt;=$JH427),0,IF(JP$8="Per Line",1,$AF429)))),0)</f>
        <v>0</v>
      </c>
      <c r="JQ429" s="1061"/>
      <c r="JR429" s="1670">
        <f>IFERROR(IF(__Retrofit_TI_NC=0,IF(_kWh_Grant=0,0,IF($IB427=TRUE,IF(OR(JR$14="No",JR427=FALSE,$JH429&lt;=$JH427),0,IF(JR$8="Per Line",1,$AF429)),0)),IF($IB427=TRUE,IF(OR(JR$14="No",JR427=FALSE,$JH429&lt;=$JH427),0,IF(JR$8="Per Line",1,$AF429)))),0)</f>
        <v>0</v>
      </c>
      <c r="JS429" s="1061"/>
      <c r="JT429" s="1670">
        <f>IFERROR(IF(__Retrofit_TI_NC=0,IF(_kWh_Grant=0,0,IF($IB427=TRUE,IF(OR(JT$14="No",JT427=FALSE,$JH429&lt;=$JH427),0,IF(JT$8="Per Line",1,$AF429)),0)),IF($IB427=TRUE,IF(OR(JT$14="No",JT427=FALSE,$JH429&lt;=$JH427),0,IF(JT$8="Per Line",1,$AF429)))),0)</f>
        <v>0</v>
      </c>
      <c r="JU429" s="1061"/>
      <c r="JV429" s="1670">
        <f>IFERROR(IF(__Retrofit_TI_NC=0,IF(_kWh_Grant=0,0,IF($IB427=TRUE,IF(OR(JV$14="No",JV427=FALSE,$JH429&lt;=$JH427),0,IF(JV$8="Per Line",1,$AF429)),0)),IF($IB427=TRUE,IF(OR(JV$14="No",JV427=FALSE,$JH429&lt;=$JH427),0,IF(JV$8="Per Line",1,$AF429)))),0)</f>
        <v>0</v>
      </c>
      <c r="JX429" s="1670">
        <f>IFERROR(IF(__Retrofit_TI_NC=0,IF(_kWh_Grant=0,0,IF($IB427=TRUE,IF(OR(JX$14="No",JX427=FALSE,$JH429&lt;=$JH427),0,IF(JX$8="Per Line",1,$AF429)),0)),IF($IB427=TRUE,IF(OR(JX$14="No",JX427=FALSE,$JH429&lt;=$JH427),0,IF(JX$8="Per Line",1,$AF429)))),0)</f>
        <v>0</v>
      </c>
      <c r="JZ429" s="1670">
        <f>IFERROR(IF($IB427=TRUE,IF(OR(JZ$14="No",JZ427=FALSE,$JH429&lt;=$JH427,AND(_kWh_Grant=0,$GD427=FALSE)),0,IF(JZ$8="Per Line",1,$AF429)),0),0)</f>
        <v>0</v>
      </c>
      <c r="KB429" s="1670">
        <f>IFERROR(IF(__Retrofit_TI_NC=0,IF(_kWh_Grant=0,0,IF($IB427=TRUE,IF(OR(KB$14="No",KB427=FALSE,$JH429&lt;=$JH427),0,IF(KB$8="Per Line",1,$AF429)),0)),IF($IB427=TRUE,IF(OR(KB$14="No",KB427=FALSE,$JH429&lt;=$JH427),0,IF(KB$8="Per Line",1,$AF429)))),0)</f>
        <v>0</v>
      </c>
    </row>
    <row r="430" spans="1:288" s="78" customFormat="1" ht="14.95" customHeight="1" thickTop="1" thickBot="1">
      <c r="B430" s="1845"/>
      <c r="C430" s="1846"/>
      <c r="D430" s="1847"/>
      <c r="E430" s="1771" t="s">
        <v>436</v>
      </c>
      <c r="F430" s="1772"/>
      <c r="G430" s="1784" t="s">
        <v>437</v>
      </c>
      <c r="H430" s="1785"/>
      <c r="I430" s="1785"/>
      <c r="J430" s="1785"/>
      <c r="K430" s="1785"/>
      <c r="L430" s="1786"/>
      <c r="M430" s="591">
        <f>IFERROR(VLOOKUP(G430,_Daylight_Table[],2,FALSE),0)</f>
        <v>0</v>
      </c>
      <c r="N430" s="592" t="str">
        <f>IF(AND(__Retrofit_TI_NC&gt;0,CQ427="Interior"),"BAM","")</f>
        <v/>
      </c>
      <c r="O430" s="591" t="e">
        <f>VLOOKUP(G429,'Space Table'!$B$3:$L$163,11,FALSE)</f>
        <v>#N/A</v>
      </c>
      <c r="P430" s="1789"/>
      <c r="Q430" s="1790"/>
      <c r="R430" s="1790"/>
      <c r="S430" s="1788"/>
      <c r="T430" s="593" t="s">
        <v>342</v>
      </c>
      <c r="U430" s="1756" t="str" cm="1">
        <f t="array" aca="1" ref="U430" ca="1">IFERROR(VLOOKUP(INDIRECT("U" &amp; ROW()-1),Fixtures!DM$93:DP$142,4,FALSE),"")</f>
        <v/>
      </c>
      <c r="V430" s="1757"/>
      <c r="W430" s="1757"/>
      <c r="X430" s="1757"/>
      <c r="Y430" s="1757"/>
      <c r="Z430" s="1757"/>
      <c r="AA430" s="1758"/>
      <c r="AB430" s="939" t="str">
        <f>IFERROR(VLOOKUP(U429,Fixtures_Proposed_List,2,FALSE),"")</f>
        <v/>
      </c>
      <c r="AC430" s="933" t="str">
        <f>IFERROR(ROUND(T429*AB430*N428*R428/1000,0),"")</f>
        <v/>
      </c>
      <c r="AD430" s="934" t="str">
        <f>IFERROR(ROUND(T429*AB430/1000,2),"")</f>
        <v/>
      </c>
      <c r="AE430" s="998"/>
      <c r="AF430" s="938" t="s">
        <v>342</v>
      </c>
      <c r="AG430" s="1770"/>
      <c r="AH430" s="1770"/>
      <c r="AI430" s="1770"/>
      <c r="AJ430" s="1770"/>
      <c r="AK430" s="1770"/>
      <c r="AL430" s="1770"/>
      <c r="AM430" s="1727"/>
      <c r="AN430" s="1729"/>
      <c r="AO430" s="1731"/>
      <c r="AP430" s="1782"/>
      <c r="AQ430" s="1783"/>
      <c r="AR430" s="1797"/>
      <c r="AS430" s="1797"/>
      <c r="AT430" s="1798"/>
      <c r="AU430" s="1736"/>
      <c r="AV430" s="1753"/>
      <c r="AW430" s="1706"/>
      <c r="AX430" s="468"/>
      <c r="AY430" s="1750"/>
      <c r="AZ430" s="1750"/>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696"/>
      <c r="CQ430" s="1696"/>
      <c r="CR430" s="1809"/>
      <c r="CS430" s="1811"/>
      <c r="CU430" s="1688"/>
      <c r="CV430" s="1703"/>
      <c r="CW430" s="1703"/>
      <c r="CX430" s="1813"/>
      <c r="CY430" s="1815"/>
      <c r="CZ430" s="1711"/>
      <c r="DA430" s="1815"/>
      <c r="DB430" s="1821"/>
      <c r="DC430" s="1821"/>
      <c r="DD430" s="1821"/>
      <c r="DF430" s="1703"/>
      <c r="DG430" s="1831"/>
      <c r="DH430" s="1813"/>
      <c r="DI430" s="1838"/>
      <c r="DJ430" s="1711"/>
      <c r="DK430" s="1712"/>
      <c r="DN430" s="1718"/>
      <c r="DO430" s="1709"/>
      <c r="DQ430" s="1715"/>
      <c r="DR430" s="1720"/>
      <c r="DS430" s="1703"/>
      <c r="DT430" s="1714"/>
      <c r="DU430" s="1715"/>
      <c r="DV430" s="1716"/>
      <c r="DX430" s="1715"/>
      <c r="DY430" s="1720"/>
      <c r="DZ430" s="1715"/>
      <c r="EA430" s="1715"/>
      <c r="EC430" s="1834"/>
      <c r="ED430" s="1834"/>
      <c r="EF430" s="1707"/>
      <c r="EG430" s="1712"/>
      <c r="EH430" s="1815"/>
      <c r="EI430" s="1712"/>
      <c r="EJ430" s="1712"/>
      <c r="EK430" s="1813"/>
      <c r="EL430" s="1813"/>
      <c r="EM430" s="1807"/>
      <c r="EN430" s="1839"/>
      <c r="EO430" s="1839"/>
      <c r="EP430" s="1817"/>
      <c r="EQ430" s="1817"/>
      <c r="ER430" s="1807"/>
      <c r="ES430" s="1807"/>
      <c r="ET430" s="1807"/>
      <c r="EV430" s="1715"/>
      <c r="EX430" s="1806"/>
      <c r="EY430" s="1806"/>
      <c r="EZ430" s="1806"/>
      <c r="FA430" s="1806"/>
      <c r="FB430" s="1806"/>
      <c r="FC430" s="1828"/>
      <c r="FE430" s="1698"/>
      <c r="FG430" s="1703"/>
      <c r="FH430" s="1703"/>
      <c r="FI430" s="133"/>
      <c r="FL430" s="1823"/>
      <c r="FM430" s="1825"/>
      <c r="FN430" s="1698"/>
      <c r="FO430" s="1698"/>
      <c r="FP430" s="1678"/>
      <c r="FQ430" s="1698"/>
      <c r="FS430" s="1687"/>
      <c r="FT430" s="1687"/>
      <c r="FU430" s="1685"/>
      <c r="FV430" s="1687"/>
      <c r="FW430" s="1687"/>
      <c r="FX430" s="1687"/>
      <c r="FY430" s="1697"/>
      <c r="GA430" s="1696"/>
      <c r="GB430" s="1696"/>
      <c r="GC430" s="1696"/>
      <c r="GD430" s="1696"/>
      <c r="GE430" s="1696"/>
      <c r="GF430" s="1696"/>
      <c r="GG430" s="1696"/>
      <c r="GH430" s="1696"/>
      <c r="GI430" s="673"/>
      <c r="GJ430" s="1135"/>
      <c r="GK430" s="1832"/>
      <c r="GN430" s="674">
        <f>IF(GN428=TRUE,0,GN$16)</f>
        <v>0</v>
      </c>
      <c r="GP430" s="674">
        <f>IF(GP428=TRUE,0,GP$16)</f>
        <v>36</v>
      </c>
      <c r="GQ430" s="674">
        <f ca="1">IF(GQ428=TRUE,0,GQ$16)</f>
        <v>35</v>
      </c>
      <c r="GR430" s="391"/>
      <c r="GS430" s="391"/>
      <c r="GT430" s="391"/>
      <c r="GU430" s="391"/>
      <c r="GV430" s="391"/>
      <c r="HG430" s="674">
        <f>IF(HG428=TRUE,0,HG$16)</f>
        <v>0</v>
      </c>
      <c r="HH430" s="674">
        <f t="shared" ref="HH430:HM430" si="383">IF(HH428=TRUE,0,HH$16)</f>
        <v>19</v>
      </c>
      <c r="HI430" s="674">
        <f t="shared" si="383"/>
        <v>18</v>
      </c>
      <c r="HJ430" s="674">
        <f t="shared" si="383"/>
        <v>17</v>
      </c>
      <c r="HK430" s="674">
        <f t="shared" si="383"/>
        <v>16</v>
      </c>
      <c r="HL430" s="674">
        <f t="shared" si="383"/>
        <v>0</v>
      </c>
      <c r="HM430" s="674">
        <f t="shared" si="383"/>
        <v>0</v>
      </c>
      <c r="HN430" s="674">
        <f>IF(HN428=TRUE,0,HN$16)</f>
        <v>13</v>
      </c>
      <c r="HO430" s="674">
        <f t="shared" ref="HO430:HQ430" si="384">IF(HO428=TRUE,0,HO$16)</f>
        <v>0</v>
      </c>
      <c r="HP430" s="674">
        <f t="shared" si="384"/>
        <v>0</v>
      </c>
      <c r="HQ430" s="674">
        <f t="shared" si="384"/>
        <v>10</v>
      </c>
      <c r="HR430" s="674">
        <f>IF(HR428=TRUE,0,HR$16)</f>
        <v>9</v>
      </c>
      <c r="HS430" s="674">
        <f t="shared" ref="HS430:HW430" si="385">IF(HS428=TRUE,0,HS$16)</f>
        <v>0</v>
      </c>
      <c r="HT430" s="674">
        <f t="shared" si="385"/>
        <v>0</v>
      </c>
      <c r="HU430" s="674">
        <f t="shared" si="385"/>
        <v>0</v>
      </c>
      <c r="HV430" s="674">
        <f t="shared" si="385"/>
        <v>0</v>
      </c>
      <c r="HW430" s="674">
        <f t="shared" si="385"/>
        <v>0</v>
      </c>
      <c r="HX430" s="674">
        <f>IF(HX428=TRUE,0,HX$16)</f>
        <v>0</v>
      </c>
      <c r="HY430" s="674">
        <f>IF(HY428=TRUE,0,HY$16)</f>
        <v>0</v>
      </c>
      <c r="HZ430" s="674">
        <f>IF(HZ428=TRUE,0,HZ$16)</f>
        <v>1</v>
      </c>
      <c r="IB430" s="674">
        <f>IF(GP428=FALSE,GP430,IF(GQ428=FALSE,GQ430,MAX(GN430:HZ430)))</f>
        <v>36</v>
      </c>
      <c r="IC430" s="1692"/>
      <c r="ID430" s="205" t="str">
        <f>VLOOKUP(IB430,_Error_Table,3,FALSE)</f>
        <v xml:space="preserve"> </v>
      </c>
      <c r="IE430" s="205"/>
      <c r="IF430" s="1688"/>
      <c r="IG430" s="1689"/>
      <c r="IH430" s="1684"/>
      <c r="IK430" s="1689"/>
      <c r="IL430" s="1692"/>
      <c r="IM430" s="1692"/>
      <c r="IN430" s="1692"/>
      <c r="IP430" s="1679"/>
      <c r="IQ430" s="1679"/>
      <c r="IR430" s="1679"/>
      <c r="IS430" s="1679"/>
      <c r="IT430" s="1679"/>
      <c r="IU430" s="1679"/>
      <c r="IV430" s="1679"/>
      <c r="IW430" s="1679"/>
      <c r="IX430" s="1679"/>
      <c r="IY430" s="1679"/>
      <c r="IZ430" s="1679"/>
      <c r="JA430" s="1679"/>
      <c r="JC430" s="1680"/>
      <c r="JD430" s="1670"/>
      <c r="JE430" s="1681"/>
      <c r="JG430" s="1680"/>
      <c r="JH430" s="1670"/>
      <c r="JI430" s="1060"/>
      <c r="JJ430" s="1670"/>
      <c r="JK430" s="1061"/>
      <c r="JL430" s="1670"/>
      <c r="JM430" s="1061"/>
      <c r="JN430" s="1670"/>
      <c r="JO430" s="1061"/>
      <c r="JP430" s="1670"/>
      <c r="JQ430" s="1061"/>
      <c r="JR430" s="1670"/>
      <c r="JS430" s="1061"/>
      <c r="JT430" s="1670"/>
      <c r="JU430" s="1061"/>
      <c r="JV430" s="1670"/>
      <c r="JX430" s="1670"/>
      <c r="JZ430" s="1670"/>
      <c r="KB430" s="1670"/>
    </row>
    <row r="431" spans="1:288" s="78" customFormat="1" ht="5.0999999999999996" customHeight="1">
      <c r="B431" s="676"/>
      <c r="C431" s="392"/>
      <c r="D431" s="392"/>
      <c r="E431" s="1733"/>
      <c r="F431" s="1733"/>
      <c r="G431" s="1733"/>
      <c r="H431" s="1733"/>
      <c r="I431" s="1733"/>
      <c r="J431" s="1733"/>
      <c r="K431" s="1733"/>
      <c r="L431" s="1733"/>
      <c r="M431" s="1733"/>
      <c r="N431" s="1733"/>
      <c r="O431" s="1733"/>
      <c r="P431" s="1733"/>
      <c r="Q431" s="1733"/>
      <c r="R431" s="1733"/>
      <c r="S431" s="1733"/>
      <c r="T431" s="1733"/>
      <c r="U431" s="1733"/>
      <c r="V431" s="1733"/>
      <c r="W431" s="1733"/>
      <c r="X431" s="1733"/>
      <c r="Y431" s="1733"/>
      <c r="Z431" s="1733"/>
      <c r="AA431" s="1733"/>
      <c r="AB431" s="1733"/>
      <c r="AC431" s="1733"/>
      <c r="AD431" s="1733"/>
      <c r="AE431" s="1733"/>
      <c r="AF431" s="1733"/>
      <c r="AG431" s="1733"/>
      <c r="AH431" s="1733"/>
      <c r="AI431" s="1733"/>
      <c r="AJ431" s="1733"/>
      <c r="AK431" s="1733"/>
      <c r="AL431" s="1733"/>
      <c r="AM431" s="1733"/>
      <c r="AN431" s="1733"/>
      <c r="AO431" s="1733"/>
      <c r="AP431" s="1733"/>
      <c r="AQ431" s="1733"/>
      <c r="AR431" s="1733"/>
      <c r="AS431" s="1733"/>
      <c r="AT431" s="1733"/>
      <c r="AU431" s="1733"/>
      <c r="AV431" s="1733"/>
      <c r="AW431" s="1733"/>
      <c r="AX431" s="469"/>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663"/>
      <c r="CQ431" s="663"/>
      <c r="CR431" s="438"/>
      <c r="CS431" s="663"/>
      <c r="CV431" s="391"/>
      <c r="CW431" s="391"/>
      <c r="CX431" s="207"/>
      <c r="CY431" s="208"/>
      <c r="CZ431" s="208"/>
      <c r="DA431" s="208"/>
      <c r="DB431" s="209"/>
      <c r="DC431" s="209"/>
      <c r="DD431" s="209"/>
      <c r="DF431" s="664"/>
      <c r="DG431" s="665"/>
      <c r="DH431" s="666"/>
      <c r="DI431" s="667"/>
      <c r="DJ431" s="668"/>
      <c r="DK431" s="668"/>
      <c r="DN431" s="208"/>
      <c r="DO431" s="664"/>
      <c r="DQ431" s="664"/>
      <c r="DR431" s="669"/>
      <c r="DS431" s="391"/>
      <c r="DT431" s="664"/>
      <c r="DU431" s="664"/>
      <c r="DV431" s="664"/>
      <c r="DX431" s="664"/>
      <c r="DY431" s="664"/>
      <c r="DZ431" s="664"/>
      <c r="EA431" s="664"/>
      <c r="EC431" s="670"/>
      <c r="ED431" s="670"/>
      <c r="EF431" s="668"/>
      <c r="EG431" s="668"/>
      <c r="EH431" s="208"/>
      <c r="EI431" s="668"/>
      <c r="EJ431" s="668"/>
      <c r="EK431" s="207"/>
      <c r="EL431" s="207"/>
      <c r="EM431" s="666"/>
      <c r="EN431" s="671"/>
      <c r="EO431" s="671"/>
      <c r="EP431" s="672"/>
      <c r="EQ431" s="672"/>
      <c r="ER431" s="666"/>
      <c r="ES431" s="666"/>
      <c r="ET431" s="666"/>
      <c r="EV431" s="664"/>
      <c r="EX431" s="391"/>
      <c r="EY431" s="391"/>
      <c r="EZ431" s="391"/>
      <c r="FA431" s="391"/>
      <c r="FB431" s="391"/>
      <c r="FC431" s="391"/>
      <c r="FE431" s="569"/>
      <c r="FG431" s="391"/>
      <c r="FH431" s="391"/>
      <c r="FI431" s="391"/>
      <c r="FS431" s="664"/>
      <c r="FT431" s="391"/>
      <c r="FU431" s="391"/>
      <c r="FV431" s="664"/>
      <c r="FW431" s="664"/>
      <c r="GA431" s="663"/>
      <c r="GB431" s="663"/>
      <c r="GC431" s="663"/>
      <c r="GD431" s="663"/>
      <c r="GE431" s="663"/>
      <c r="GF431" s="663"/>
      <c r="GG431" s="663"/>
      <c r="GH431" s="663"/>
      <c r="GI431" s="665"/>
      <c r="GJ431" s="664"/>
      <c r="GK431" s="664"/>
    </row>
    <row r="432" spans="1:288" s="78" customFormat="1" ht="14.95" customHeight="1">
      <c r="B432" s="1845" t="str">
        <f>ID435</f>
        <v xml:space="preserve"> </v>
      </c>
      <c r="C432" s="1846">
        <f>C427+1</f>
        <v>75</v>
      </c>
      <c r="D432" s="1847"/>
      <c r="E432" s="1799" t="s">
        <v>295</v>
      </c>
      <c r="F432" s="1800"/>
      <c r="G432" s="1741"/>
      <c r="H432" s="1742"/>
      <c r="I432" s="1742"/>
      <c r="J432" s="1742"/>
      <c r="K432" s="1742"/>
      <c r="L432" s="1742"/>
      <c r="M432" s="1742"/>
      <c r="N432" s="1742"/>
      <c r="O432" s="1742"/>
      <c r="P432" s="1742"/>
      <c r="Q432" s="1742"/>
      <c r="R432" s="1742"/>
      <c r="S432" s="1791" t="s">
        <v>344</v>
      </c>
      <c r="T432" s="590"/>
      <c r="U432" s="1743"/>
      <c r="V432" s="1744"/>
      <c r="W432" s="1744"/>
      <c r="X432" s="1744"/>
      <c r="Y432" s="1744"/>
      <c r="Z432" s="1744"/>
      <c r="AA432" s="1744"/>
      <c r="AB432" s="961" t="str">
        <f>IFERROR(IF(__Retrofit_TI_NC=0,VLOOKUP(U433,Fixtures_Existing_List,2,FALSE),ROUND(N434*R434/T434,10)),"")</f>
        <v/>
      </c>
      <c r="AC432" s="935" t="str">
        <f>IFERROR(IF(__Retrofit_TI_NC=0,ROUND(T433*AB432*N433*R433/1000,0),IF(CQ432="Interior",N434*R434*R433*N433*_C406_reduction/1000,N434*R434*R433*N433/1000)),"")</f>
        <v/>
      </c>
      <c r="AD432" s="936" t="str">
        <f>IFERROR(IF(C$43=0,ROUND(T433*AB432/1000,2),N434*R434/1000),"")</f>
        <v/>
      </c>
      <c r="AE432" s="997"/>
      <c r="AF432" s="937"/>
      <c r="AG432" s="1745" t="str">
        <f>IF(__Retrofit_TI_NC=0," Control","Select Advanced Control for New System")</f>
        <v xml:space="preserve"> Control</v>
      </c>
      <c r="AH432" s="1745"/>
      <c r="AI432" s="1745"/>
      <c r="AJ432" s="1745"/>
      <c r="AK432" s="1745"/>
      <c r="AL432" s="1745"/>
      <c r="AM432" s="1746">
        <f>IFERROR(DI432,"")</f>
        <v>0</v>
      </c>
      <c r="AN432" s="1774" t="str">
        <f>IFERROR(ROUND(AM432*AC432,0),"")</f>
        <v/>
      </c>
      <c r="AO432" s="1776">
        <f>IFERROR(IF(IB432=FALSE,0,AC432-AN432),0)</f>
        <v>0</v>
      </c>
      <c r="AP432" s="1778">
        <f>AO432-AO434</f>
        <v>0</v>
      </c>
      <c r="AQ432" s="1779"/>
      <c r="AR432" s="1793">
        <f>IFERROR(IF(IB432=FALSE,0,(T434*U435)+(AF434*AG435)),0)</f>
        <v>0</v>
      </c>
      <c r="AS432" s="1793"/>
      <c r="AT432" s="1794"/>
      <c r="AU432" s="1734" t="s">
        <v>237</v>
      </c>
      <c r="AV432" s="1751">
        <f>IF(AU432="Yes",1,0)</f>
        <v>1</v>
      </c>
      <c r="AW432" s="1704" t="str">
        <f>IF(OR(DQ432=4,DQ432=5,DQ432=6,DQ432=12),CONCATENATE("$",IF(GH432=TRUE,Lookup!$K$10,Lookup!$K$2)," /lamp"),CONCATENATE(TEXT(ED432,"$0.00"),"/ kWh"))</f>
        <v>$0.00/ kWh</v>
      </c>
      <c r="AX432" s="467"/>
      <c r="AY432" s="1748">
        <f ca="1">IFERROR(IF(GM433=TRUE,(AB435*T434)/R434,0),"NA")</f>
        <v>0</v>
      </c>
      <c r="AZ432" s="1748"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696" t="str">
        <f>N433</f>
        <v/>
      </c>
      <c r="CQ432" s="1696" t="str">
        <f>IFERROR(VLOOKUP(G433,_Lookup_Heat_Type_Table_New,3,FALSE),"")</f>
        <v/>
      </c>
      <c r="CR432" s="1808" t="str">
        <f>CQ432</f>
        <v/>
      </c>
      <c r="CS432" s="1810" t="str">
        <f>IFERROR(VLOOKUP(G434,'Space Table'!$B$3:$L$163,9,FALSE),"")</f>
        <v/>
      </c>
      <c r="CU432" s="1688" t="s">
        <v>344</v>
      </c>
      <c r="CV432" s="1702">
        <f>IF(IB432=TRUE,T433,0)</f>
        <v>0</v>
      </c>
      <c r="CW432" s="1702" t="str">
        <f>IF(IB432=TRUE,U433,"")</f>
        <v/>
      </c>
      <c r="CX432" s="1702"/>
      <c r="CY432" s="1814">
        <f>IF(IB432=TRUE,AB432,0)</f>
        <v>0</v>
      </c>
      <c r="CZ432" s="1710">
        <f>IF(AND(__Retrofit_TI_NC&gt;0,CR432="interior"),0,IF(IB432=TRUE,AC432,0))</f>
        <v>0</v>
      </c>
      <c r="DA432" s="1814">
        <f>IFERROR(IF(IB432=TRUE,CZ432-CZ434,0),0)</f>
        <v>0</v>
      </c>
      <c r="DB432" s="1819">
        <f>IF(IB432=TRUE,AD432,0)</f>
        <v>0</v>
      </c>
      <c r="DC432" s="1819">
        <f>IF(IB432=TRUE,AD435,0)</f>
        <v>0</v>
      </c>
      <c r="DD432" s="1819">
        <f>IFERROR(DB432-DC432,0)</f>
        <v>0</v>
      </c>
      <c r="DF432" s="1702">
        <f>IF(IB432=TRUE,AF433,0)</f>
        <v>0</v>
      </c>
      <c r="DG432" s="1830">
        <f>IFERROR(IF(__Retrofit_TI_NC=2,IF(CQ432="Exterior",O435,FQ432),FN432),"")</f>
        <v>0</v>
      </c>
      <c r="DH432" s="1702"/>
      <c r="DI432" s="1837">
        <f>JE432</f>
        <v>0</v>
      </c>
      <c r="DJ432" s="1710">
        <f>IF(AND(__Retrofit_TI_NC&gt;0,CR432="interior"),0,IF(IB432=TRUE,AN432,0))</f>
        <v>0</v>
      </c>
      <c r="DK432" s="1712">
        <f>IFERROR(IF(IB432=TRUE,DJ434-DJ432,0),0)</f>
        <v>0</v>
      </c>
      <c r="DM432" s="1717">
        <f>IFERROR(CZ432-DJ432,0)</f>
        <v>0</v>
      </c>
      <c r="DO432" s="1708">
        <f>DM432-DN434</f>
        <v>0</v>
      </c>
      <c r="DQ432" s="1715" t="str">
        <f>IFERROR(IF(AND(OR(GC432=4,GC432=5,GC432=6),OR(GF432=4,GF432=5,GF432=6)),GC432+8,VLOOKUP(CW434,Fixtures!R$31:Y$78,8,FALSE)),"")</f>
        <v/>
      </c>
      <c r="DR432" s="1829" t="str">
        <f>DQ432</f>
        <v/>
      </c>
      <c r="DS432" s="1702" t="str">
        <f>IFERROR(VLOOKUP(DG434,Lookup!BB$3:BC$20,2,FALSE),"")</f>
        <v/>
      </c>
      <c r="DT432" s="1713" t="str">
        <f>IF(OR(DS432=7,DS432=8,DS432=9),"ALC","")</f>
        <v/>
      </c>
      <c r="DU432" s="1715">
        <f>IFERROR(IF(OR(DQ432=4,DQ432=5,DQ432=6,DQ432=12,DQ432=13,DQ432=14),VLOOKUP(CW434,Fixtures!DN$27:EG$77,19,FALSE),1)*CV434,0)</f>
        <v>0</v>
      </c>
      <c r="DV432" s="1716">
        <f>IF(OR(DS432=7,DS432=8,DS432=9),IF(DG432=DG434,0,DF434),0)</f>
        <v>0</v>
      </c>
      <c r="DX432" s="1715" t="str">
        <f>IFERROR(IF(EZ432&lt;EZ434,"Yes","No"),"")</f>
        <v/>
      </c>
      <c r="DY432" s="1829" t="str">
        <f>DX432</f>
        <v/>
      </c>
      <c r="DZ432" s="1715">
        <f>IF(DX432="Yes",DF434,0)</f>
        <v>0</v>
      </c>
      <c r="EA432" s="1715">
        <f>DZ432-DV432</f>
        <v>0</v>
      </c>
      <c r="EC432" s="1834">
        <f>IFERROR(VLOOKUP(DQ432,Lookup!AU$3:AV$16,2,FALSE),0)</f>
        <v>0</v>
      </c>
      <c r="ED432" s="1834">
        <f>IF(IB432=FALSE,0,IF(DX432="Yes",EC432+Lookup!K$6,EC432))</f>
        <v>0</v>
      </c>
      <c r="EF432" s="1707">
        <f>IF(IB432=TRUE,DM432,0)</f>
        <v>0</v>
      </c>
      <c r="EG432" s="1712">
        <f>IF(IB432=TRUE,CZ434,0)</f>
        <v>0</v>
      </c>
      <c r="EH432" s="1814">
        <f>IFERROR(EF432-EG432,0)</f>
        <v>0</v>
      </c>
      <c r="EI432" s="1712">
        <f>IF(IB432=TRUE,DJ434,0)</f>
        <v>0</v>
      </c>
      <c r="EJ432" s="1712">
        <f>IFERROR(EF432-EG432+EI432,0)</f>
        <v>0</v>
      </c>
      <c r="EK432" s="1812">
        <f>IF(IB432=TRUE,CV434*CX434,0)</f>
        <v>0</v>
      </c>
      <c r="EL432" s="1812">
        <f>IF(IB432=TRUE,DF434*DH434,0)</f>
        <v>0</v>
      </c>
      <c r="EM432" s="1807">
        <f>AR432</f>
        <v>0</v>
      </c>
      <c r="EN432" s="1839" t="str">
        <f>IFERROR(IF(IB432=TRUE,VLOOKUP(DQ432,Lookup!AU$3:AW$16,3,FALSE)*DU432,""),0)</f>
        <v/>
      </c>
      <c r="EO432" s="1839">
        <f>IF(IB432=TRUE,DZ432*Lookup!AW$12,0)</f>
        <v>0</v>
      </c>
      <c r="EP432" s="1817">
        <f>IFERROR(IF(IB432=TRUE,EN432/EP$40,0),0)</f>
        <v>0</v>
      </c>
      <c r="EQ432" s="1817">
        <f>IF(IB432=TRUE,EO432/EQ$40,0)</f>
        <v>0</v>
      </c>
      <c r="ER432" s="1807">
        <f>IF(IB432=TRUE,ET$40*EP432,0)</f>
        <v>0</v>
      </c>
      <c r="ES432" s="1807">
        <f>IF(IB432=TRUE,ET$40*EQ432,0)</f>
        <v>0</v>
      </c>
      <c r="ET432" s="1807">
        <f>ER432+ES432</f>
        <v>0</v>
      </c>
      <c r="EV432" s="1715">
        <f>IF(G432="",0,1)</f>
        <v>0</v>
      </c>
      <c r="EX432" s="1804" t="str">
        <f>IFERROR(VLOOKUP(CS434,'Space Table'!$B$3:$L$163,8,FALSE),"")</f>
        <v/>
      </c>
      <c r="EY432" s="1804" t="str">
        <f>IFERROR(IF(FB432="Yes",VLOOKUP(DG432,Lookup_Control_Type_Table2,4,FALSE),VLOOKUP(DG432,Lookup_Control_Type_Table2,3,FALSE)),"")</f>
        <v/>
      </c>
      <c r="EZ432" s="1804" t="e">
        <f>VLOOKUP(DG432,Lookup!BB$3:BC$20,2,FALSE)</f>
        <v>#N/A</v>
      </c>
      <c r="FA432" s="1804" t="e">
        <f>VLOOKUP(EX432,Lookup_Control_Type_Table,2,FALSE)</f>
        <v>#N/A</v>
      </c>
      <c r="FB432" s="1804" t="e">
        <f>VLOOKUP(CS434,'Space Table'!$B$3:$L$163,7,FALSE)</f>
        <v>#N/A</v>
      </c>
      <c r="FC432" s="1826" t="b">
        <f>ISNUMBER(SEARCH("TLED",U434))</f>
        <v>0</v>
      </c>
      <c r="FE432" s="1698" t="str">
        <f>CONCATENATE(CQ432," - ",DG432)</f>
        <v xml:space="preserve"> - 0</v>
      </c>
      <c r="FG432" s="1702" t="str">
        <f>VLOOKUP(CW434,Fixtures!DN$27:EZ$77,38,FALSE)</f>
        <v/>
      </c>
      <c r="FH432" s="1702">
        <f>IFERROR(FG432*EH432,0)</f>
        <v>0</v>
      </c>
      <c r="FI432" s="133"/>
      <c r="FL432" s="1822" t="str">
        <f>IF(CQ432="Exterior","Not Daylighted",G435)</f>
        <v>Not Daylighted</v>
      </c>
      <c r="FM432" s="1824">
        <f>VLOOKUP(FL432,_New_Daylight_Table_Codes,2,FALSE)</f>
        <v>0</v>
      </c>
      <c r="FN432" s="1698">
        <f>IF(__Retrofit_TI_NC&gt;0,VLOOKUP(G434,'Space Table'!$B$3:$L$163,11,FALSE),AG433)</f>
        <v>0</v>
      </c>
      <c r="FO432" s="1698" t="e">
        <f>IF(__Retrofit_TI_NC=2,VLOOKUP(FQ432,_Control_Table,2,FALSE),VLOOKUP(FN432,_Control_Table,2,FALSE))</f>
        <v>#N/A</v>
      </c>
      <c r="FP432" s="1678" t="e">
        <f>VLOOKUP(CONCATENATE(FL432," ",FN432),Lookup!AY$102:AZ442,2,FALSE)</f>
        <v>#N/A</v>
      </c>
      <c r="FQ432" s="1678">
        <f>IF(__Retrofit_TI_NC=0,FN432,IF(AND(FT432&gt;0,FN432="Occupancy Sensor"),"Daylight + Occupancy",IF(AND(FT432&gt;0,VLOOKUP(FN432,_Control_Table,2,FALSE)&lt;4),"Interior Daylight Dimming",FN432)))</f>
        <v>0</v>
      </c>
      <c r="FS432" s="1686">
        <f>IF(CR432="Interior",VLOOKUP(CS432,Control_Savings_Interior,5,FALSE),0)</f>
        <v>0</v>
      </c>
      <c r="FT432" s="1687">
        <f>IF(CQ432="Exterior",0,IF(FM432=2,0.5,IF(OR(FM432=1,FM432=3),1,0)))</f>
        <v>0</v>
      </c>
      <c r="FU432" s="1685">
        <f>IF(R431&gt;FS$44,(FS432*(FS$44/R431)),FS432)*FT432</f>
        <v>0</v>
      </c>
      <c r="FV432" s="1686">
        <f>DI432</f>
        <v>0</v>
      </c>
      <c r="FW432" s="1686">
        <f>ROUND(FV432+((1-FV432)*FU432),2)</f>
        <v>0</v>
      </c>
      <c r="FX432" s="1686">
        <f>IF(__Retrofit_TI_NC=2,FW432,FV432)</f>
        <v>0</v>
      </c>
      <c r="FY432" s="1697"/>
      <c r="GA432" s="1696" t="str">
        <f>IFERROR(VLOOKUP(U433,_Exist_Fixture_Table,3,FALSE),"")</f>
        <v/>
      </c>
      <c r="GB432" s="1696" t="str">
        <f>VLOOKUP(CW432,_Exist_Fixture_Table,4,FALSE)</f>
        <v/>
      </c>
      <c r="GC432" s="1696">
        <f>IFERROR(VLOOKUP(GB432,Lookup!AT$6:AU$8,2,FALSE),0)</f>
        <v>0</v>
      </c>
      <c r="GD432" s="1696" t="b">
        <f>IFERROR(IF(OR(GF432=4,GF432=5,GF432=6),TRUE,FALSE),"")</f>
        <v>0</v>
      </c>
      <c r="GE432" s="1696" t="str">
        <f>IFERROR(VLOOKUP(GF432,GC$6:GD$10,2,FALSE),"")</f>
        <v/>
      </c>
      <c r="GF432" s="1696" t="str">
        <f>VLOOKUP(CW434,Fixtures!R$31:Y$78,8,FALSE)</f>
        <v/>
      </c>
      <c r="GG432" s="1696">
        <f>IF(AND(GA432=TRUE,GD432=TRUE,OR(DQ432=12,DQ432=13,DQ432=14)),GC432+8,0)</f>
        <v>0</v>
      </c>
      <c r="GH432" s="1696" t="b">
        <f>IF(OR(GG432=12,GG432=13,GG432=14),TRUE,FALSE)</f>
        <v>0</v>
      </c>
      <c r="GI432" s="673" t="b">
        <f>IF(ISNUMBER(SEARCH("TLED",U433)),TRUE,FALSE)</f>
        <v>0</v>
      </c>
      <c r="GJ432" s="1135" t="str">
        <f>IFERROR(VLOOKUP(U433,Fixtures!BM$93:BR$142,6,FALSE),"")</f>
        <v/>
      </c>
      <c r="GK432" s="1832" t="b">
        <f>IF(OR(GI432=FALSE,GI434=FALSE),TRUE,IF(GJ432-GJ434&lt;5,FALSE,TRUE))</f>
        <v>1</v>
      </c>
      <c r="GO432" s="674">
        <f>GP432</f>
        <v>0</v>
      </c>
      <c r="GP432" s="674">
        <f>IF(G432="",0,1)</f>
        <v>0</v>
      </c>
      <c r="GQ432" s="674">
        <f ca="1">SUM(GR432:HF432)</f>
        <v>2</v>
      </c>
      <c r="GR432" s="674">
        <f>IF(G433="",0,1)</f>
        <v>0</v>
      </c>
      <c r="GS432" s="674">
        <f>IF(N435="BAM",1,IF(G434="",0,1))</f>
        <v>0</v>
      </c>
      <c r="GT432" s="674">
        <f>IF(N435="BAM",1,IF(R433="",0,1))</f>
        <v>0</v>
      </c>
      <c r="GU432" s="674">
        <f>IF(N435="BAM",1,IF(__Retrofit_TI_NC=0,1,IF(R434="",0,1)))</f>
        <v>1</v>
      </c>
      <c r="GV432" s="674">
        <f>IF(N435="BAM",1,IF(CQ432="Exterior",1,IF(G435="",0,1)))</f>
        <v>1</v>
      </c>
      <c r="GW432" s="674">
        <f>IF(__Retrofit_TI_NC&gt;0,1,IF(T433="",0,1))</f>
        <v>0</v>
      </c>
      <c r="GX432" s="674">
        <f>IF(__Retrofit_TI_NC&gt;0,1,IF(U433="",0,1))</f>
        <v>0</v>
      </c>
      <c r="GY432" s="674">
        <f>IF(N435="BAM",1,IF(T434="",0,1))</f>
        <v>0</v>
      </c>
      <c r="GZ432" s="674">
        <f>IF(N435="BAM",1,IF(U434="",0,1))</f>
        <v>0</v>
      </c>
      <c r="HA432" s="674">
        <f ca="1">IF(N435="BAM",1,IF(__Retrofit_TI_NC&gt;0,1,IF(U435="",0,1)))</f>
        <v>0</v>
      </c>
      <c r="HB432" s="674">
        <f>IF(__Retrofit_TI_NC&lt;&gt;0,1,IF(AF433="",0,1))</f>
        <v>0</v>
      </c>
      <c r="HC432" s="674">
        <f>IF(__Retrofit_TI_NC&lt;&gt;0,1,IF(AG433="",0,1))</f>
        <v>0</v>
      </c>
      <c r="HD432" s="674">
        <f>IF(N435="BAM",1,IF(AF434="",0,1))</f>
        <v>0</v>
      </c>
      <c r="HE432" s="674">
        <f>IF(N435="BAM",1,IF(AG434="",0,1))</f>
        <v>0</v>
      </c>
      <c r="HF432" s="674">
        <f>IF(N435="BAM",1,IF(__Retrofit_TI_NC&gt;0,1,IF(AG435="",0,1)))</f>
        <v>0</v>
      </c>
      <c r="HG432" s="391"/>
      <c r="IA432" s="391"/>
      <c r="IB432" s="1693" t="b">
        <f>IF(OR(IB435=0,IB435=HY$16,IB435=HX$16,IB435=HZ$16),TRUE,FALSE)</f>
        <v>0</v>
      </c>
      <c r="IC432" s="1694" t="b">
        <f>IB432</f>
        <v>0</v>
      </c>
      <c r="ID432" s="391"/>
      <c r="IE432" s="391"/>
      <c r="IF432" s="1688" t="b">
        <f ca="1">IF(MAX(GN435:HU435)&gt;5,FALSE,TRUE)</f>
        <v>0</v>
      </c>
      <c r="IG432" s="1689">
        <f ca="1">IF(IF432=TRUE,AC432,0)</f>
        <v>0</v>
      </c>
      <c r="IH432" s="1689">
        <f ca="1">IG432-IG434</f>
        <v>0</v>
      </c>
      <c r="IK432" s="1689" t="e">
        <f>ROUND(T433*VLOOKUP(U433,Fixtures_Existing_List,2,FALSE)*N433*R433/1000,0)</f>
        <v>#N/A</v>
      </c>
      <c r="IL432" s="1690" t="e">
        <f>IK432-IK434</f>
        <v>#N/A</v>
      </c>
      <c r="IM432" s="1693" t="e">
        <f>ROUND(IF(CQ432="Interior",N434*R434*R433*N433*_C406_reduction/1000,N434*R434*R433*N433/1000),0)</f>
        <v>#N/A</v>
      </c>
      <c r="IN432" s="1693" t="e">
        <f>IM432-IM434</f>
        <v>#N/A</v>
      </c>
      <c r="IP432" s="1679"/>
      <c r="IQ432" s="1679" t="e">
        <f t="shared" ref="IQ432:IU432" si="386">IF($CR432="interior",VLOOKUP($CS432,_New_Control_Savings_Interior,IQ$30,FALSE),VLOOKUP($CS432,Control_Savings_Exterior,IQ$30,FALSE))</f>
        <v>#N/A</v>
      </c>
      <c r="IR432" s="1679" t="e">
        <f t="shared" si="386"/>
        <v>#N/A</v>
      </c>
      <c r="IS432" s="1679" t="e">
        <f t="shared" si="386"/>
        <v>#N/A</v>
      </c>
      <c r="IT432" s="1679" t="e">
        <f t="shared" si="386"/>
        <v>#N/A</v>
      </c>
      <c r="IU432" s="1679" t="e">
        <f t="shared" si="386"/>
        <v>#N/A</v>
      </c>
      <c r="IV432" s="1679" t="e">
        <f>IF($CR432="interior",IF(R433&gt;$IP$14,ROUND(($IV$18*($IP$14/R433)),2),$IV$18),VLOOKUP($CS432,Control_Savings_Exterior,IV$30,FALSE))</f>
        <v>#N/A</v>
      </c>
      <c r="IW432" s="1679" t="e">
        <f>IF($CR432="interior",ROUND(((1-IS432)*IV432)+IS432,2),VLOOKUP($CS432,Control_Savings_Exterior,IW$30,FALSE))</f>
        <v>#N/A</v>
      </c>
      <c r="IX432" s="1679" t="e">
        <f>IF($CR432="interior",ROUND(((1-IT432)*IV432)+IT432,2),VLOOKUP($CS432,Control_Savings_Exterior,IX$30,FALSE))</f>
        <v>#N/A</v>
      </c>
      <c r="IY432" s="1679" t="e">
        <f>IF($CR432="interior",IF(R433&gt;$IP$14,ROUND(($IY$18*($IP$14/R433)),2),$IY$18),VLOOKUP($CS432,Control_Savings_Exterior,IY$30,FALSE))</f>
        <v>#N/A</v>
      </c>
      <c r="IZ432" s="1679" t="e">
        <f>IF($CR432="interior",ROUND(((1-IS432)*IY432)+IS432,2),VLOOKUP($CS432,Control_Savings_Exterior,IZ$30,FALSE))</f>
        <v>#N/A</v>
      </c>
      <c r="JA432" s="1679" t="e">
        <f>IF($CR432="interior",ROUND(((1-IT432)*IY432)+IT432,2),VLOOKUP($CS432,Control_Savings_Exterior,JA$30,FALSE))</f>
        <v>#N/A</v>
      </c>
      <c r="JC432" s="1680">
        <f>IFERROR(IF(CR432="Interior",CONCATENATE(G435," ",FQ432),FQ432),"")</f>
        <v>0</v>
      </c>
      <c r="JD432" s="1670" t="str">
        <f>IFERROR(VLOOKUP(JC432,_Controls_2023,2,FALSE),"")</f>
        <v/>
      </c>
      <c r="JE432" s="1681">
        <f>IFERROR(CHOOSE(JD432-1,IQ432,IR432,IS432,IT432,IU432,IV432,IW432,IX432,IY432,IZ432,JA432),0)</f>
        <v>0</v>
      </c>
      <c r="JG432" s="1680" t="str">
        <f>FE432</f>
        <v xml:space="preserve"> - 0</v>
      </c>
      <c r="JH432" s="1670" t="e">
        <f>$FO432</f>
        <v>#N/A</v>
      </c>
      <c r="JI432" s="1060"/>
      <c r="JJ432" s="1682" t="b">
        <f>IF($JG434=CONCATENATE("Interior - ",JJ$4),TRUE,FALSE)</f>
        <v>0</v>
      </c>
      <c r="JK432" s="1061"/>
      <c r="JL432" s="1682" t="b">
        <f>IF($JG434=CONCATENATE("Interior - ",JL$4),TRUE,FALSE)</f>
        <v>0</v>
      </c>
      <c r="JM432" s="1061"/>
      <c r="JN432" s="1682" t="b">
        <f>IF($JG434=CONCATENATE("Interior - ",JN$4),TRUE,FALSE)</f>
        <v>0</v>
      </c>
      <c r="JO432" s="1061"/>
      <c r="JP432" s="1682" t="b">
        <f>IF(__Retrofit_TI_NC&gt;0,FALSE,IF($JG434=CONCATENATE("Interior - ",JP$4),TRUE,FALSE))</f>
        <v>0</v>
      </c>
      <c r="JQ432" s="1061"/>
      <c r="JR432" s="1682" t="b">
        <f>IF(__Retrofit_TI_NC&gt;0,FALSE,IF($JG434=CONCATENATE("Interior - ",JR$4),TRUE,FALSE))</f>
        <v>0</v>
      </c>
      <c r="JS432" s="1061"/>
      <c r="JT432" s="1670" t="b">
        <f>IF(__Retrofit_TI_NC&gt;0,FALSE,IF($JG434=CONCATENATE("Interior - ",JT$4),TRUE,FALSE))</f>
        <v>0</v>
      </c>
      <c r="JU432" s="1061"/>
      <c r="JV432" s="1670" t="b">
        <f>IF(JC434="AELC on Existing",TRUE,FALSE)</f>
        <v>0</v>
      </c>
      <c r="JX432" s="1670" t="b">
        <f>IF(OR(JG434="Exterior - AELC Occupancy based",JG434="Exterior - AELC Time based"),TRUE,FALSE)</f>
        <v>0</v>
      </c>
      <c r="JZ432" s="1682" t="b">
        <f>IF($JG434=CONCATENATE("Exterior - ",JZ$4),TRUE,FALSE)</f>
        <v>0</v>
      </c>
      <c r="KB432" s="1670" t="b">
        <f>IF(__Retrofit_TI_NC&gt;0,FALSE,IF($JG434=CONCATENATE("Interior - ",KB$4),TRUE,FALSE))</f>
        <v>0</v>
      </c>
    </row>
    <row r="433" spans="1:288" s="78" customFormat="1" ht="14.95" customHeight="1" thickTop="1" thickBot="1">
      <c r="B433" s="1845"/>
      <c r="C433" s="1846"/>
      <c r="D433" s="1847"/>
      <c r="E433" s="1737" t="s">
        <v>297</v>
      </c>
      <c r="F433" s="1738"/>
      <c r="G433" s="1739"/>
      <c r="H433" s="1739"/>
      <c r="I433" s="1739"/>
      <c r="J433" s="1739"/>
      <c r="K433" s="1739"/>
      <c r="L433" s="1739"/>
      <c r="M433" s="461" t="e">
        <f>IF(__Retrofit_TI_NC&lt;&gt;0,IF(VLOOKUP(G434,'Space Table'!$B$3:$L$163,3,FALSE)&gt;0,1,0),IF(__Retrofit_TI_NC=VLOOKUP(G434,'Space Table'!$B$3:$L$163,3,FALSE),1,0))</f>
        <v>#N/A</v>
      </c>
      <c r="N433" s="461" t="str">
        <f>IFERROR(VLOOKUP(G433,_Lookup_Heat_Type_Table_New,2,FALSE),"")</f>
        <v/>
      </c>
      <c r="O433" s="461">
        <f>IF(__Retrofit_TI_NC=1,CONCATENATE("TI ",G433),IF(__Retrofit_TI_NC=2,CONCATENATE("NC ",G433),G433))</f>
        <v>0</v>
      </c>
      <c r="P433" s="1740" t="s">
        <v>435</v>
      </c>
      <c r="Q433" s="1740"/>
      <c r="R433" s="595"/>
      <c r="S433" s="1792"/>
      <c r="T433" s="597"/>
      <c r="U433" s="1765"/>
      <c r="V433" s="1766"/>
      <c r="W433" s="1766"/>
      <c r="X433" s="1766"/>
      <c r="Y433" s="1766"/>
      <c r="Z433" s="1766"/>
      <c r="AA433" s="1766"/>
      <c r="AB433" s="1766"/>
      <c r="AC433" s="1766"/>
      <c r="AD433" s="1767"/>
      <c r="AE433" s="1000"/>
      <c r="AF433" s="597"/>
      <c r="AG433" s="1723"/>
      <c r="AH433" s="1724"/>
      <c r="AI433" s="1724"/>
      <c r="AJ433" s="1724"/>
      <c r="AK433" s="1725"/>
      <c r="AL433" s="996"/>
      <c r="AM433" s="1747"/>
      <c r="AN433" s="1775"/>
      <c r="AO433" s="1777"/>
      <c r="AP433" s="1780"/>
      <c r="AQ433" s="1781"/>
      <c r="AR433" s="1795"/>
      <c r="AS433" s="1795"/>
      <c r="AT433" s="1796"/>
      <c r="AU433" s="1735"/>
      <c r="AV433" s="1752"/>
      <c r="AW433" s="1705"/>
      <c r="AX433" s="467"/>
      <c r="AY433" s="1749"/>
      <c r="AZ433" s="1749"/>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696"/>
      <c r="CQ433" s="1696"/>
      <c r="CR433" s="1809"/>
      <c r="CS433" s="1811"/>
      <c r="CU433" s="1688"/>
      <c r="CV433" s="1703"/>
      <c r="CW433" s="1703"/>
      <c r="CX433" s="1703"/>
      <c r="CY433" s="1815"/>
      <c r="CZ433" s="1711"/>
      <c r="DA433" s="1818"/>
      <c r="DB433" s="1820"/>
      <c r="DC433" s="1820"/>
      <c r="DD433" s="1820"/>
      <c r="DF433" s="1703"/>
      <c r="DG433" s="1831"/>
      <c r="DH433" s="1703"/>
      <c r="DI433" s="1838"/>
      <c r="DJ433" s="1711"/>
      <c r="DK433" s="1712"/>
      <c r="DM433" s="1718"/>
      <c r="DO433" s="1708"/>
      <c r="DQ433" s="1715"/>
      <c r="DR433" s="1720"/>
      <c r="DS433" s="1816"/>
      <c r="DT433" s="1714"/>
      <c r="DU433" s="1715"/>
      <c r="DV433" s="1716"/>
      <c r="DX433" s="1715"/>
      <c r="DY433" s="1720"/>
      <c r="DZ433" s="1715"/>
      <c r="EA433" s="1715"/>
      <c r="EC433" s="1834"/>
      <c r="ED433" s="1834"/>
      <c r="EF433" s="1707"/>
      <c r="EG433" s="1712"/>
      <c r="EH433" s="1818"/>
      <c r="EI433" s="1712"/>
      <c r="EJ433" s="1712"/>
      <c r="EK433" s="1836"/>
      <c r="EL433" s="1836"/>
      <c r="EM433" s="1807"/>
      <c r="EN433" s="1839"/>
      <c r="EO433" s="1839"/>
      <c r="EP433" s="1817"/>
      <c r="EQ433" s="1817"/>
      <c r="ER433" s="1807"/>
      <c r="ES433" s="1807"/>
      <c r="ET433" s="1807"/>
      <c r="EV433" s="1715"/>
      <c r="EX433" s="1805"/>
      <c r="EY433" s="1805"/>
      <c r="EZ433" s="1805"/>
      <c r="FA433" s="1805"/>
      <c r="FB433" s="1805"/>
      <c r="FC433" s="1827"/>
      <c r="FE433" s="1698"/>
      <c r="FG433" s="1816"/>
      <c r="FH433" s="1816"/>
      <c r="FI433" s="133"/>
      <c r="FL433" s="1823"/>
      <c r="FM433" s="1825"/>
      <c r="FN433" s="1698"/>
      <c r="FO433" s="1698"/>
      <c r="FP433" s="1678"/>
      <c r="FQ433" s="1678"/>
      <c r="FS433" s="1687"/>
      <c r="FT433" s="1687"/>
      <c r="FU433" s="1685"/>
      <c r="FV433" s="1687"/>
      <c r="FW433" s="1687"/>
      <c r="FX433" s="1687"/>
      <c r="FY433" s="1697"/>
      <c r="GA433" s="1696"/>
      <c r="GB433" s="1696"/>
      <c r="GC433" s="1696"/>
      <c r="GD433" s="1696"/>
      <c r="GE433" s="1696"/>
      <c r="GF433" s="1696"/>
      <c r="GG433" s="1696"/>
      <c r="GH433" s="1696"/>
      <c r="GI433" s="673"/>
      <c r="GJ433" s="1135"/>
      <c r="GK433" s="1832"/>
      <c r="GM433" s="1693" t="b">
        <f ca="1">IF(AND(GP433=TRUE,GQ433=TRUE),TRUE,FALSE)</f>
        <v>0</v>
      </c>
      <c r="GN433" s="1684" t="b">
        <f>IFERROR(IF(__Retrofit_TI_NC=2,TRUE,IF(AU432="Yes",TRUE,FALSE)),FALSE)</f>
        <v>1</v>
      </c>
      <c r="GP433" s="1684" t="b">
        <f>IFERROR(IF(GP432=1,TRUE,FALSE),FALSE)</f>
        <v>0</v>
      </c>
      <c r="GQ433" s="1684" t="b">
        <f ca="1">IFERROR(IF(GQ432=GQ$14,TRUE,FALSE),FALSE)</f>
        <v>0</v>
      </c>
      <c r="HG433" s="1684" t="b">
        <f>IFERROR(IF(AND(__Retrofit_TI_NC&gt;0,CQ432="Interior"),FALSE,TRUE),FALSE)</f>
        <v>1</v>
      </c>
      <c r="HH433" s="1684" t="b">
        <f>IFERROR(IF(M433=1,TRUE,FALSE),FALSE)</f>
        <v>0</v>
      </c>
      <c r="HI433" s="1684" t="b">
        <f>IFERROR(IF(OR(M434=1,N435="BAM"),TRUE,FALSE),FALSE)</f>
        <v>0</v>
      </c>
      <c r="HJ433" s="1684" t="b">
        <f>IFERROR(IF(__Retrofit_TI_NC&lt;&gt;0,TRUE,IFERROR(IF(VLOOKUP(U433,Fixtures_Existing_List,2,FALSE)&lt;&gt;"",TRUE,FALSE),FALSE)),FALSE)</f>
        <v>0</v>
      </c>
      <c r="HK433" s="1684" t="b">
        <f>IFERROR(IF(VLOOKUP(U434,Fixtures_Proposed_List,2,FALSE)&lt;&gt;"",TRUE,FALSE),FALSE)</f>
        <v>0</v>
      </c>
      <c r="HL433" s="1684" t="b">
        <f>IF(AND(__Retrofit_TI_NC=2,FC432=TRUE),FALSE,TRUE)</f>
        <v>1</v>
      </c>
      <c r="HM433" s="1684" t="b">
        <f>GK432</f>
        <v>1</v>
      </c>
      <c r="HN433" s="1682" t="b">
        <f>IF(ISERROR(MATCH(FE432,_Control_Match[],0))=TRUE,FALSE,TRUE)</f>
        <v>0</v>
      </c>
      <c r="HO433" s="1693" t="b">
        <f>IFERROR(IF(EX432&lt;&gt;EY432,FALSE,TRUE),FALSE)</f>
        <v>1</v>
      </c>
      <c r="HP433" s="1693" t="b">
        <f>IFERROR(IF(EX434&lt;&gt;EY434,FALSE,TRUE),FALSE)</f>
        <v>1</v>
      </c>
      <c r="HQ433" s="1670" t="b">
        <f>IFERROR(IF(CQ432="Exterior",TRUE,IF(AND(OR(FM434=0,FM434=3),JD434&gt;6),FALSE,TRUE)),FALSE)</f>
        <v>0</v>
      </c>
      <c r="HR433" s="1684" t="b">
        <f>IFERROR(IF(AND(FO434=7,FC432=TRUE),FALSE,TRUE),FALSE)</f>
        <v>0</v>
      </c>
      <c r="HS433" s="1684" t="b">
        <f>IFERROR(IF(AND(T434&lt;&gt;AF434,OR(AG434="Interior LLLC", AG434="Interior NLC", AG434="LLLC (outside Daylight)",AG434="LLLC Controls Only"))=TRUE,FALSE,TRUE),FALSE)</f>
        <v>1</v>
      </c>
      <c r="HT433" s="1670" t="b">
        <f>IFERROR(IF(OR(AG434=Lookup!BB$17,AG434=Lookup!BB$18,AG434=Lookup!BB$19)=TRUE,IF(AF434&gt;T434,FALSE,TRUE),TRUE),FALSE)</f>
        <v>1</v>
      </c>
      <c r="HU433" s="1684" t="b">
        <f>IFERROR(IF(__Retrofit_TI_NC=2,IF(EZ434&lt;EZ432,FALSE,TRUE),TRUE),FALSE)</f>
        <v>1</v>
      </c>
      <c r="HV433" s="1684" t="b">
        <f>IF(CQ432="Interior",IL$6,TRUE)</f>
        <v>1</v>
      </c>
      <c r="HW433" s="1684" t="b">
        <f>IF(CQ432="Exterior",IL$8,TRUE)</f>
        <v>1</v>
      </c>
      <c r="HX433" s="1684" t="b">
        <f>IFERROR(IF(__Retrofit_TI_NC&lt;&gt;0,IF(AZ432&lt;AY432,FALSE,TRUE),TRUE),FALSE)</f>
        <v>1</v>
      </c>
      <c r="HY433" s="1684" t="b">
        <f>IFERROR(IF(AND(G433="Exterior",R433&gt;4200),FALSE,TRUE),FALSE)</f>
        <v>1</v>
      </c>
      <c r="HZ433" s="1684" t="b">
        <f>IFERROR(IF(AB435/AB432&lt;HZ$18,FALSE,TRUE),FALSE)</f>
        <v>0</v>
      </c>
      <c r="IB433" s="1691"/>
      <c r="IC433" s="1695"/>
      <c r="ID433" s="1694" t="str">
        <f>VLOOKUP(IB435,_Error_Table,4,FALSE)</f>
        <v>White</v>
      </c>
      <c r="IE433" s="391"/>
      <c r="IF433" s="1688"/>
      <c r="IG433" s="1689"/>
      <c r="IH433" s="1684"/>
      <c r="IK433" s="1689"/>
      <c r="IL433" s="1691"/>
      <c r="IM433" s="1691"/>
      <c r="IN433" s="1691"/>
      <c r="IP433" s="1679"/>
      <c r="IQ433" s="1679"/>
      <c r="IR433" s="1679"/>
      <c r="IS433" s="1679"/>
      <c r="IT433" s="1679"/>
      <c r="IU433" s="1679"/>
      <c r="IV433" s="1679"/>
      <c r="IW433" s="1679"/>
      <c r="IX433" s="1679"/>
      <c r="IY433" s="1679"/>
      <c r="IZ433" s="1679"/>
      <c r="JA433" s="1679"/>
      <c r="JC433" s="1680"/>
      <c r="JD433" s="1670"/>
      <c r="JE433" s="1681"/>
      <c r="JG433" s="1680"/>
      <c r="JH433" s="1670"/>
      <c r="JI433" s="1060"/>
      <c r="JJ433" s="1683"/>
      <c r="JK433" s="1061"/>
      <c r="JL433" s="1683"/>
      <c r="JM433" s="1061"/>
      <c r="JN433" s="1683"/>
      <c r="JO433" s="1061"/>
      <c r="JP433" s="1683"/>
      <c r="JQ433" s="1061"/>
      <c r="JR433" s="1683"/>
      <c r="JS433" s="1061"/>
      <c r="JT433" s="1670"/>
      <c r="JU433" s="1061"/>
      <c r="JV433" s="1670"/>
      <c r="JX433" s="1670"/>
      <c r="JZ433" s="1683"/>
      <c r="KB433" s="1670"/>
    </row>
    <row r="434" spans="1:288" s="78" customFormat="1" ht="14.95" customHeight="1" thickTop="1" thickBot="1">
      <c r="A434" s="78">
        <f>ROW()</f>
        <v>434</v>
      </c>
      <c r="B434" s="1845"/>
      <c r="C434" s="1846"/>
      <c r="D434" s="1847"/>
      <c r="E434" s="1737" t="s">
        <v>298</v>
      </c>
      <c r="F434" s="1738"/>
      <c r="G434" s="1760"/>
      <c r="H434" s="1761"/>
      <c r="I434" s="1761"/>
      <c r="J434" s="1761"/>
      <c r="K434" s="1761"/>
      <c r="L434" s="1762"/>
      <c r="M434" s="461">
        <f>IFERROR(IF(IF(__Retrofit_TI_NC&lt;&gt;0,IF(CQ432="Interior",MATCH(G434,Lookup_Interior_New,0),MATCH(G434,Lookup_Exterior_New,0)),IF(CQ432="Interior",MATCH(G434,Lookup_Interior,0),MATCH(G434,Lookup_Exterior_Areas,0)))&gt;0,1,0),0)</f>
        <v>0</v>
      </c>
      <c r="N434" s="461" t="e">
        <f>IF(__Retrofit_TI_NC=1,
VLOOKUP(G434,'Space Table'!$B$3:$L$163,4,FALSE),
IF(__Retrofit_TI_NC=2,VLOOKUP(G434,'Space Table'!$B$3:$L$163,5,FALSE),VLOOKUP(G434,'Space Table'!$B$3:$L$163,5,FALSE)))</f>
        <v>#N/A</v>
      </c>
      <c r="O434" s="461">
        <f>G434</f>
        <v>0</v>
      </c>
      <c r="P434" s="1738" t="str">
        <f>IFERROR(IF(__Retrofit_TI_NC=1,VLOOKUP(G434,'Space Table'!$B$3:$O$163,13,FALSE),IF(__Retrofit_TI_NC=2,VLOOKUP(G434,'Space Table'!$B$3:$O$163,14,FALSE),"Area (sf):")),"Area (sf):")</f>
        <v>Area (sf):</v>
      </c>
      <c r="Q434" s="1738"/>
      <c r="R434" s="596"/>
      <c r="S434" s="1763" t="s">
        <v>345</v>
      </c>
      <c r="T434" s="594"/>
      <c r="U434" s="1801"/>
      <c r="V434" s="1802"/>
      <c r="W434" s="1802"/>
      <c r="X434" s="1802"/>
      <c r="Y434" s="1802"/>
      <c r="Z434" s="1802"/>
      <c r="AA434" s="1802"/>
      <c r="AB434" s="1802"/>
      <c r="AC434" s="1802"/>
      <c r="AD434" s="1802"/>
      <c r="AE434" s="1803"/>
      <c r="AF434" s="594"/>
      <c r="AG434" s="1787"/>
      <c r="AH434" s="1787"/>
      <c r="AI434" s="1787"/>
      <c r="AJ434" s="1787"/>
      <c r="AK434" s="1787"/>
      <c r="AL434" s="1787"/>
      <c r="AM434" s="1726">
        <f>IFERROR(DI434,"")</f>
        <v>0</v>
      </c>
      <c r="AN434" s="1728" t="str">
        <f>IFERROR(ROUND(AM434*AC435,0),"")</f>
        <v/>
      </c>
      <c r="AO434" s="1730">
        <f>IFERROR(IF(IB432=FALSE,0,AC435-AN434),0)</f>
        <v>0</v>
      </c>
      <c r="AP434" s="1780"/>
      <c r="AQ434" s="1781"/>
      <c r="AR434" s="1795"/>
      <c r="AS434" s="1795"/>
      <c r="AT434" s="1796"/>
      <c r="AU434" s="1735"/>
      <c r="AV434" s="1752"/>
      <c r="AW434" s="1705"/>
      <c r="AX434" s="467"/>
      <c r="AY434" s="1749"/>
      <c r="AZ434" s="1749"/>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696"/>
      <c r="CQ434" s="1696"/>
      <c r="CR434" s="1808" t="str">
        <f>CQ432</f>
        <v/>
      </c>
      <c r="CS434" s="1810" t="str">
        <f>CS432</f>
        <v/>
      </c>
      <c r="CU434" s="1688" t="s">
        <v>345</v>
      </c>
      <c r="CV434" s="1702">
        <f>IF(IB432=TRUE,T434,0)</f>
        <v>0</v>
      </c>
      <c r="CW434" s="1702" t="str">
        <f>IF(IB432=TRUE,U434,"")</f>
        <v/>
      </c>
      <c r="CX434" s="1812">
        <f>IF(IB432=TRUE,U435,0)</f>
        <v>0</v>
      </c>
      <c r="CY434" s="1814">
        <f>IF(IB432=TRUE,AB435,0)</f>
        <v>0</v>
      </c>
      <c r="CZ434" s="1710">
        <f>IF(AND(__Retrofit_TI_NC&gt;0,CR432="interior"),0,IF(IB432=TRUE,AC435,0))</f>
        <v>0</v>
      </c>
      <c r="DA434" s="1818"/>
      <c r="DB434" s="1820"/>
      <c r="DC434" s="1820"/>
      <c r="DD434" s="1820"/>
      <c r="DF434" s="1702">
        <f>IF(IB432=TRUE,AF434,0)</f>
        <v>0</v>
      </c>
      <c r="DG434" s="1830" t="str">
        <f>IF(IB432=TRUE,AG434,"")</f>
        <v/>
      </c>
      <c r="DH434" s="1812">
        <f>AG435</f>
        <v>0</v>
      </c>
      <c r="DI434" s="1837">
        <f>JE434</f>
        <v>0</v>
      </c>
      <c r="DJ434" s="1710">
        <f>IF(AND(__Retrofit_TI_NC&gt;0,CR432="interior"),0,IF(IB432=TRUE,AN434,0))</f>
        <v>0</v>
      </c>
      <c r="DK434" s="1712"/>
      <c r="DN434" s="1717">
        <f>IFERROR(CZ434-DJ434,0)</f>
        <v>0</v>
      </c>
      <c r="DO434" s="1709"/>
      <c r="DQ434" s="1715"/>
      <c r="DR434" s="1719" t="str">
        <f>DQ432</f>
        <v/>
      </c>
      <c r="DS434" s="1816"/>
      <c r="DT434" s="1835" t="str">
        <f>IF(OR(DS432=7,DS432=8,DS432=9),"ALC","")</f>
        <v/>
      </c>
      <c r="DU434" s="1715"/>
      <c r="DV434" s="1716"/>
      <c r="DX434" s="1715"/>
      <c r="DY434" s="1829" t="str">
        <f>DX432</f>
        <v/>
      </c>
      <c r="DZ434" s="1715"/>
      <c r="EA434" s="1715"/>
      <c r="EC434" s="1834"/>
      <c r="ED434" s="1834"/>
      <c r="EF434" s="1707"/>
      <c r="EG434" s="1712"/>
      <c r="EH434" s="1818"/>
      <c r="EI434" s="1712"/>
      <c r="EJ434" s="1712"/>
      <c r="EK434" s="1836"/>
      <c r="EL434" s="1836"/>
      <c r="EM434" s="1807"/>
      <c r="EN434" s="1839"/>
      <c r="EO434" s="1839"/>
      <c r="EP434" s="1817"/>
      <c r="EQ434" s="1817"/>
      <c r="ER434" s="1807"/>
      <c r="ES434" s="1807"/>
      <c r="ET434" s="1807"/>
      <c r="EV434" s="1715"/>
      <c r="EX434" s="1805" t="str">
        <f>IFERROR(VLOOKUP(CS434,'Space Table'!$B$3:$L$163,8,FALSE),"")</f>
        <v/>
      </c>
      <c r="EY434" s="1805" t="str">
        <f>IFERROR(IF(FB434="Yes",VLOOKUP(AG434,Lookup_Control_Type_Table2,4,FALSE),VLOOKUP(AG434,Lookup_Control_Type_Table2,3,FALSE)),"")</f>
        <v/>
      </c>
      <c r="EZ434" s="1805" t="e">
        <f>VLOOKUP(AG434,Lookup!BB$3:BC$20,2,FALSE)</f>
        <v>#N/A</v>
      </c>
      <c r="FA434" s="1805" t="e">
        <f>VLOOKUP(EX432,Lookup_Control_Type_Table,2,FALSE)</f>
        <v>#N/A</v>
      </c>
      <c r="FB434" s="1805" t="e">
        <f>VLOOKUP(CS434,'Space Table'!$B$3:$L$163,7,FALSE)</f>
        <v>#N/A</v>
      </c>
      <c r="FC434" s="1827"/>
      <c r="FE434" s="1698" t="str">
        <f>CONCATENATE(CQ432," - ",AG434)</f>
        <v xml:space="preserve"> - </v>
      </c>
      <c r="FG434" s="1816"/>
      <c r="FH434" s="1816"/>
      <c r="FI434" s="133"/>
      <c r="FL434" s="1822" t="str">
        <f>IF(CQ432="Exterior","Not Daylighted",G435)</f>
        <v>Not Daylighted</v>
      </c>
      <c r="FM434" s="1824">
        <f>VLOOKUP(FL434,_New_Daylight_Table_Codes,2,FALSE)</f>
        <v>0</v>
      </c>
      <c r="FN434" s="1698">
        <f>AG434</f>
        <v>0</v>
      </c>
      <c r="FO434" s="1698" t="e">
        <f>VLOOKUP(FN434,_Control_Table,2,FALSE)</f>
        <v>#N/A</v>
      </c>
      <c r="FP434" s="1678" t="e">
        <f>VLOOKUP(CONCATENATE(FL434," ",FN434),Lookup!AY$102:AZ445,2,FALSE)</f>
        <v>#N/A</v>
      </c>
      <c r="FQ434" s="1698">
        <f>IF(__Retrofit_TI_NC=0,FN434,IF(AND(FT434&gt;0,FN434="Occupancy Sensor"),"Daylight + Occupancy",IF(AND(FT434&gt;0,FO434&lt;4),"Interior Daylight Dimming",FN434)))</f>
        <v>0</v>
      </c>
      <c r="FS434" s="1686">
        <f>IF(CQ432="Interior",VLOOKUP(CS432,Control_Savings_Interior,5,FALSE),0)</f>
        <v>0</v>
      </c>
      <c r="FT434" s="1687">
        <f>IF(CQ434="Exterior",0,IF(FM434=2,0.5,IF(OR(FM434=1,FM434=3),1,0)))</f>
        <v>0</v>
      </c>
      <c r="FU434" s="1685">
        <f>IF(R433&gt;FS$44,(FS434*(FS$44/R433)),FS434)*FT434</f>
        <v>0</v>
      </c>
      <c r="FV434" s="1686">
        <f>DI434</f>
        <v>0</v>
      </c>
      <c r="FW434" s="1686">
        <f>ROUND(FV434+((1-FV434)*FU434),2)</f>
        <v>0</v>
      </c>
      <c r="FX434" s="1686">
        <f>IF(__Retrofit_TI_NC=2,FW434,FV434)</f>
        <v>0</v>
      </c>
      <c r="FY434" s="1697">
        <f>IF(CR434="Interior",VLOOKUP(CS434,Control_Savings_Interior,4,FALSE),0)</f>
        <v>0</v>
      </c>
      <c r="GA434" s="1696"/>
      <c r="GB434" s="1696"/>
      <c r="GC434" s="1696"/>
      <c r="GD434" s="1696"/>
      <c r="GE434" s="1696"/>
      <c r="GF434" s="1696"/>
      <c r="GG434" s="1696"/>
      <c r="GH434" s="1696"/>
      <c r="GI434" s="673" t="b">
        <f>IF(ISNUMBER(SEARCH("TLED",U434)),TRUE,FALSE)</f>
        <v>0</v>
      </c>
      <c r="GJ434" s="1135" t="str">
        <f>IFERROR(VLOOKUP(U434,Fixtures!DM$93:DR$142,6,FALSE),"")</f>
        <v/>
      </c>
      <c r="GK434" s="1832"/>
      <c r="GM434" s="1692"/>
      <c r="GN434" s="1684"/>
      <c r="GP434" s="1684"/>
      <c r="GQ434" s="1684"/>
      <c r="HG434" s="1684"/>
      <c r="HH434" s="1684"/>
      <c r="HI434" s="1684"/>
      <c r="HJ434" s="1684"/>
      <c r="HK434" s="1684"/>
      <c r="HL434" s="1684"/>
      <c r="HM434" s="1684"/>
      <c r="HN434" s="1683"/>
      <c r="HO434" s="1692"/>
      <c r="HP434" s="1692"/>
      <c r="HQ434" s="1670"/>
      <c r="HR434" s="1684"/>
      <c r="HS434" s="1684"/>
      <c r="HT434" s="1670"/>
      <c r="HU434" s="1684"/>
      <c r="HV434" s="1684"/>
      <c r="HW434" s="1684"/>
      <c r="HX434" s="1684"/>
      <c r="HY434" s="1684"/>
      <c r="HZ434" s="1684"/>
      <c r="IB434" s="1692"/>
      <c r="IC434" s="1693" t="b">
        <f>IB432</f>
        <v>0</v>
      </c>
      <c r="ID434" s="1695"/>
      <c r="IE434" s="391"/>
      <c r="IF434" s="1688"/>
      <c r="IG434" s="1689">
        <f ca="1">IF(IF432=TRUE,AC435,0)</f>
        <v>0</v>
      </c>
      <c r="IH434" s="1684"/>
      <c r="IK434" s="1689" t="e">
        <f>ROUND(T434*AB435*N433*R433/1000,0)</f>
        <v>#VALUE!</v>
      </c>
      <c r="IL434" s="1691"/>
      <c r="IM434" s="1693" t="e">
        <f>ROUND(T434*AB435*N433*R433/1000,0)</f>
        <v>#VALUE!</v>
      </c>
      <c r="IN434" s="1691"/>
      <c r="IP434" s="1679"/>
      <c r="IQ434" s="1679" t="e">
        <f t="shared" ref="IQ434:IU434" si="387">IF($CR434="interior",VLOOKUP($CS434,_New_Control_Savings_Interior,IQ$30,FALSE),VLOOKUP($CS434,Control_Savings_Exterior,IQ$30,FALSE))</f>
        <v>#N/A</v>
      </c>
      <c r="IR434" s="1679" t="e">
        <f t="shared" si="387"/>
        <v>#N/A</v>
      </c>
      <c r="IS434" s="1679" t="e">
        <f t="shared" si="387"/>
        <v>#N/A</v>
      </c>
      <c r="IT434" s="1679" t="e">
        <f t="shared" si="387"/>
        <v>#N/A</v>
      </c>
      <c r="IU434" s="1679" t="e">
        <f t="shared" si="387"/>
        <v>#N/A</v>
      </c>
      <c r="IV434" s="1679" t="e">
        <f>IF($CR434="interior",IF(R433&gt;$IP$14,ROUND(($IV$18*($IP$14/R433)),2),$IV$18),VLOOKUP($CS434,Control_Savings_Exterior,IV$30,FALSE))</f>
        <v>#N/A</v>
      </c>
      <c r="IW434" s="1679" t="e">
        <f>IF($CR434="interior",ROUND(((1-IS434)*IV434)+IS434,2),VLOOKUP($CS434,Control_Savings_Exterior,IW$30,FALSE))</f>
        <v>#N/A</v>
      </c>
      <c r="IX434" s="1679" t="e">
        <f>IF($CR434="interior",ROUND(((1-IT434)*IV434)+IT434,2),VLOOKUP($CS434,Control_Savings_Exterior,IX$30,FALSE))</f>
        <v>#N/A</v>
      </c>
      <c r="IY434" s="1679" t="e">
        <f>IF($CR434="interior",IF(R433&gt;$IP$14,ROUND(($IY$18*($IP$14/R433)),2),$IY$18),VLOOKUP($CS434,Control_Savings_Exterior,IY$30,FALSE))</f>
        <v>#N/A</v>
      </c>
      <c r="IZ434" s="1679" t="e">
        <f>IF($CR434="interior",ROUND(((1-IS434)*IY434)+IS434,2),VLOOKUP($CS434,Control_Savings_Exterior,IZ$30,FALSE))</f>
        <v>#N/A</v>
      </c>
      <c r="JA434" s="1679" t="e">
        <f>IF($CR434="interior",ROUND(((1-IT434)*IY434)+IT434,2),VLOOKUP($CS434,Control_Savings_Exterior,JA$30,FALSE))</f>
        <v>#N/A</v>
      </c>
      <c r="JC434" s="1680">
        <f>IFERROR(IF(CR434="Interior",CONCATENATE(G435," ",FQ434),AG434),"")</f>
        <v>0</v>
      </c>
      <c r="JD434" s="1670" t="str">
        <f>IFERROR(VLOOKUP(JC434,_Controls_2023,2,FALSE),"")</f>
        <v/>
      </c>
      <c r="JE434" s="1681">
        <f>IFERROR(CHOOSE(JD434-1,IQ434,IR434,IS434,IT434,IU434,IV434,IW434,IX434,IY434,IZ434,JA434),0)</f>
        <v>0</v>
      </c>
      <c r="JG434" s="1680" t="str">
        <f>FE434</f>
        <v xml:space="preserve"> - </v>
      </c>
      <c r="JH434" s="1670" t="e">
        <f>$FO434</f>
        <v>#N/A</v>
      </c>
      <c r="JI434" s="1060"/>
      <c r="JJ434" s="1670">
        <f>IFERROR(IF($IB432=TRUE,IF(OR(JJ$14="No",JJ432=FALSE,JH434&lt;=JH432,AND(_kWh_Grant=0,GD432=FALSE)),0,IF(JJ$8="Per Line",1,$AF434)),0),0)</f>
        <v>0</v>
      </c>
      <c r="JK434" s="1061"/>
      <c r="JL434" s="1670">
        <f>IFERROR(IF(_kWh_Grant=0,0,IF($IB432=TRUE,IF(OR(JL$14="No",JL432=FALSE,JH434&lt;=JH432),0,IF(JL$8="Per Line",1,$T434)),0)),0)</f>
        <v>0</v>
      </c>
      <c r="JM434" s="1061"/>
      <c r="JN434" s="1670">
        <f>IFERROR(IF(_kWh_Grant=0,0,IF($IB432=TRUE,IF(OR(JN$14="No",JN432=FALSE,JH434&lt;=JH432),0,IF(JN$8="Per Line",1,$AF434)),0)),0)</f>
        <v>0</v>
      </c>
      <c r="JO434" s="1061"/>
      <c r="JP434" s="1670">
        <f>IFERROR(IF(__Retrofit_TI_NC=0,IF(_kWh_Grant=0,0,IF($IB432=TRUE,IF(OR(JP$14="No",JP432=FALSE,$JH434&lt;=$JH432),0,IF(JP$8="Per Line",1,$AF434)),0)),IF($IB432=TRUE,IF(OR(JP$14="No",JP432=FALSE,$JH434&lt;=$JH432),0,IF(JP$8="Per Line",1,$AF434)))),0)</f>
        <v>0</v>
      </c>
      <c r="JQ434" s="1061"/>
      <c r="JR434" s="1670">
        <f>IFERROR(IF(__Retrofit_TI_NC=0,IF(_kWh_Grant=0,0,IF($IB432=TRUE,IF(OR(JR$14="No",JR432=FALSE,$JH434&lt;=$JH432),0,IF(JR$8="Per Line",1,$AF434)),0)),IF($IB432=TRUE,IF(OR(JR$14="No",JR432=FALSE,$JH434&lt;=$JH432),0,IF(JR$8="Per Line",1,$AF434)))),0)</f>
        <v>0</v>
      </c>
      <c r="JS434" s="1061"/>
      <c r="JT434" s="1670">
        <f>IFERROR(IF(__Retrofit_TI_NC=0,IF(_kWh_Grant=0,0,IF($IB432=TRUE,IF(OR(JT$14="No",JT432=FALSE,$JH434&lt;=$JH432),0,IF(JT$8="Per Line",1,$AF434)),0)),IF($IB432=TRUE,IF(OR(JT$14="No",JT432=FALSE,$JH434&lt;=$JH432),0,IF(JT$8="Per Line",1,$AF434)))),0)</f>
        <v>0</v>
      </c>
      <c r="JU434" s="1061"/>
      <c r="JV434" s="1670">
        <f>IFERROR(IF(__Retrofit_TI_NC=0,IF(_kWh_Grant=0,0,IF($IB432=TRUE,IF(OR(JV$14="No",JV432=FALSE,$JH434&lt;=$JH432),0,IF(JV$8="Per Line",1,$AF434)),0)),IF($IB432=TRUE,IF(OR(JV$14="No",JV432=FALSE,$JH434&lt;=$JH432),0,IF(JV$8="Per Line",1,$AF434)))),0)</f>
        <v>0</v>
      </c>
      <c r="JX434" s="1670">
        <f>IFERROR(IF(__Retrofit_TI_NC=0,IF(_kWh_Grant=0,0,IF($IB432=TRUE,IF(OR(JX$14="No",JX432=FALSE,$JH434&lt;=$JH432),0,IF(JX$8="Per Line",1,$AF434)),0)),IF($IB432=TRUE,IF(OR(JX$14="No",JX432=FALSE,$JH434&lt;=$JH432),0,IF(JX$8="Per Line",1,$AF434)))),0)</f>
        <v>0</v>
      </c>
      <c r="JZ434" s="1670">
        <f>IFERROR(IF($IB432=TRUE,IF(OR(JZ$14="No",JZ432=FALSE,$JH434&lt;=$JH432,AND(_kWh_Grant=0,$GD432=FALSE)),0,IF(JZ$8="Per Line",1,$AF434)),0),0)</f>
        <v>0</v>
      </c>
      <c r="KB434" s="1670">
        <f>IFERROR(IF(__Retrofit_TI_NC=0,IF(_kWh_Grant=0,0,IF($IB432=TRUE,IF(OR(KB$14="No",KB432=FALSE,$JH434&lt;=$JH432),0,IF(KB$8="Per Line",1,$AF434)),0)),IF($IB432=TRUE,IF(OR(KB$14="No",KB432=FALSE,$JH434&lt;=$JH432),0,IF(KB$8="Per Line",1,$AF434)))),0)</f>
        <v>0</v>
      </c>
    </row>
    <row r="435" spans="1:288" s="78" customFormat="1" ht="14.95" customHeight="1" thickTop="1" thickBot="1">
      <c r="B435" s="1845"/>
      <c r="C435" s="1846"/>
      <c r="D435" s="1847"/>
      <c r="E435" s="1771" t="s">
        <v>436</v>
      </c>
      <c r="F435" s="1772"/>
      <c r="G435" s="1784" t="s">
        <v>437</v>
      </c>
      <c r="H435" s="1785"/>
      <c r="I435" s="1785"/>
      <c r="J435" s="1785"/>
      <c r="K435" s="1785"/>
      <c r="L435" s="1786"/>
      <c r="M435" s="591">
        <f>IFERROR(VLOOKUP(G435,_Daylight_Table[],2,FALSE),0)</f>
        <v>0</v>
      </c>
      <c r="N435" s="592" t="str">
        <f>IF(AND(__Retrofit_TI_NC&gt;0,CQ432="Interior"),"BAM","")</f>
        <v/>
      </c>
      <c r="O435" s="591" t="e">
        <f>VLOOKUP(G434,'Space Table'!$B$3:$L$163,11,FALSE)</f>
        <v>#N/A</v>
      </c>
      <c r="P435" s="1789"/>
      <c r="Q435" s="1790"/>
      <c r="R435" s="1790"/>
      <c r="S435" s="1788"/>
      <c r="T435" s="593" t="s">
        <v>342</v>
      </c>
      <c r="U435" s="1756" t="str" cm="1">
        <f t="array" aca="1" ref="U435" ca="1">IFERROR(VLOOKUP(INDIRECT("U" &amp; ROW()-1),Fixtures!DM$93:DP$142,4,FALSE),"")</f>
        <v/>
      </c>
      <c r="V435" s="1757"/>
      <c r="W435" s="1757"/>
      <c r="X435" s="1757"/>
      <c r="Y435" s="1757"/>
      <c r="Z435" s="1757"/>
      <c r="AA435" s="1758"/>
      <c r="AB435" s="939" t="str">
        <f>IFERROR(VLOOKUP(U434,Fixtures_Proposed_List,2,FALSE),"")</f>
        <v/>
      </c>
      <c r="AC435" s="933" t="str">
        <f>IFERROR(ROUND(T434*AB435*N433*R433/1000,0),"")</f>
        <v/>
      </c>
      <c r="AD435" s="934" t="str">
        <f>IFERROR(ROUND(T434*AB435/1000,2),"")</f>
        <v/>
      </c>
      <c r="AE435" s="998"/>
      <c r="AF435" s="938" t="s">
        <v>342</v>
      </c>
      <c r="AG435" s="1770"/>
      <c r="AH435" s="1770"/>
      <c r="AI435" s="1770"/>
      <c r="AJ435" s="1770"/>
      <c r="AK435" s="1770"/>
      <c r="AL435" s="1770"/>
      <c r="AM435" s="1727"/>
      <c r="AN435" s="1729"/>
      <c r="AO435" s="1731"/>
      <c r="AP435" s="1782"/>
      <c r="AQ435" s="1783"/>
      <c r="AR435" s="1797"/>
      <c r="AS435" s="1797"/>
      <c r="AT435" s="1798"/>
      <c r="AU435" s="1736"/>
      <c r="AV435" s="1753"/>
      <c r="AW435" s="1706"/>
      <c r="AX435" s="468"/>
      <c r="AY435" s="1750"/>
      <c r="AZ435" s="1750"/>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696"/>
      <c r="CQ435" s="1696"/>
      <c r="CR435" s="1809"/>
      <c r="CS435" s="1811"/>
      <c r="CU435" s="1688"/>
      <c r="CV435" s="1703"/>
      <c r="CW435" s="1703"/>
      <c r="CX435" s="1813"/>
      <c r="CY435" s="1815"/>
      <c r="CZ435" s="1711"/>
      <c r="DA435" s="1815"/>
      <c r="DB435" s="1821"/>
      <c r="DC435" s="1821"/>
      <c r="DD435" s="1821"/>
      <c r="DF435" s="1703"/>
      <c r="DG435" s="1831"/>
      <c r="DH435" s="1813"/>
      <c r="DI435" s="1838"/>
      <c r="DJ435" s="1711"/>
      <c r="DK435" s="1712"/>
      <c r="DN435" s="1718"/>
      <c r="DO435" s="1709"/>
      <c r="DQ435" s="1715"/>
      <c r="DR435" s="1720"/>
      <c r="DS435" s="1703"/>
      <c r="DT435" s="1714"/>
      <c r="DU435" s="1715"/>
      <c r="DV435" s="1716"/>
      <c r="DX435" s="1715"/>
      <c r="DY435" s="1720"/>
      <c r="DZ435" s="1715"/>
      <c r="EA435" s="1715"/>
      <c r="EC435" s="1834"/>
      <c r="ED435" s="1834"/>
      <c r="EF435" s="1707"/>
      <c r="EG435" s="1712"/>
      <c r="EH435" s="1815"/>
      <c r="EI435" s="1712"/>
      <c r="EJ435" s="1712"/>
      <c r="EK435" s="1813"/>
      <c r="EL435" s="1813"/>
      <c r="EM435" s="1807"/>
      <c r="EN435" s="1839"/>
      <c r="EO435" s="1839"/>
      <c r="EP435" s="1817"/>
      <c r="EQ435" s="1817"/>
      <c r="ER435" s="1807"/>
      <c r="ES435" s="1807"/>
      <c r="ET435" s="1807"/>
      <c r="EV435" s="1715"/>
      <c r="EX435" s="1806"/>
      <c r="EY435" s="1806"/>
      <c r="EZ435" s="1806"/>
      <c r="FA435" s="1806"/>
      <c r="FB435" s="1806"/>
      <c r="FC435" s="1828"/>
      <c r="FE435" s="1698"/>
      <c r="FG435" s="1703"/>
      <c r="FH435" s="1703"/>
      <c r="FI435" s="133"/>
      <c r="FL435" s="1823"/>
      <c r="FM435" s="1825"/>
      <c r="FN435" s="1698"/>
      <c r="FO435" s="1698"/>
      <c r="FP435" s="1678"/>
      <c r="FQ435" s="1698"/>
      <c r="FS435" s="1687"/>
      <c r="FT435" s="1687"/>
      <c r="FU435" s="1685"/>
      <c r="FV435" s="1687"/>
      <c r="FW435" s="1687"/>
      <c r="FX435" s="1687"/>
      <c r="FY435" s="1697"/>
      <c r="GA435" s="1696"/>
      <c r="GB435" s="1696"/>
      <c r="GC435" s="1696"/>
      <c r="GD435" s="1696"/>
      <c r="GE435" s="1696"/>
      <c r="GF435" s="1696"/>
      <c r="GG435" s="1696"/>
      <c r="GH435" s="1696"/>
      <c r="GI435" s="673"/>
      <c r="GJ435" s="1135"/>
      <c r="GK435" s="1832"/>
      <c r="GN435" s="674">
        <f>IF(GN433=TRUE,0,GN$16)</f>
        <v>0</v>
      </c>
      <c r="GP435" s="674">
        <f>IF(GP433=TRUE,0,GP$16)</f>
        <v>36</v>
      </c>
      <c r="GQ435" s="674">
        <f ca="1">IF(GQ433=TRUE,0,GQ$16)</f>
        <v>35</v>
      </c>
      <c r="GR435" s="391"/>
      <c r="GS435" s="391"/>
      <c r="GT435" s="391"/>
      <c r="GU435" s="391"/>
      <c r="GV435" s="391"/>
      <c r="HG435" s="674">
        <f>IF(HG433=TRUE,0,HG$16)</f>
        <v>0</v>
      </c>
      <c r="HH435" s="674">
        <f t="shared" ref="HH435:HM435" si="388">IF(HH433=TRUE,0,HH$16)</f>
        <v>19</v>
      </c>
      <c r="HI435" s="674">
        <f t="shared" si="388"/>
        <v>18</v>
      </c>
      <c r="HJ435" s="674">
        <f t="shared" si="388"/>
        <v>17</v>
      </c>
      <c r="HK435" s="674">
        <f t="shared" si="388"/>
        <v>16</v>
      </c>
      <c r="HL435" s="674">
        <f t="shared" si="388"/>
        <v>0</v>
      </c>
      <c r="HM435" s="674">
        <f t="shared" si="388"/>
        <v>0</v>
      </c>
      <c r="HN435" s="674">
        <f>IF(HN433=TRUE,0,HN$16)</f>
        <v>13</v>
      </c>
      <c r="HO435" s="674">
        <f t="shared" ref="HO435:HQ435" si="389">IF(HO433=TRUE,0,HO$16)</f>
        <v>0</v>
      </c>
      <c r="HP435" s="674">
        <f t="shared" si="389"/>
        <v>0</v>
      </c>
      <c r="HQ435" s="674">
        <f t="shared" si="389"/>
        <v>10</v>
      </c>
      <c r="HR435" s="674">
        <f>IF(HR433=TRUE,0,HR$16)</f>
        <v>9</v>
      </c>
      <c r="HS435" s="674">
        <f t="shared" ref="HS435:HW435" si="390">IF(HS433=TRUE,0,HS$16)</f>
        <v>0</v>
      </c>
      <c r="HT435" s="674">
        <f t="shared" si="390"/>
        <v>0</v>
      </c>
      <c r="HU435" s="674">
        <f t="shared" si="390"/>
        <v>0</v>
      </c>
      <c r="HV435" s="674">
        <f t="shared" si="390"/>
        <v>0</v>
      </c>
      <c r="HW435" s="674">
        <f t="shared" si="390"/>
        <v>0</v>
      </c>
      <c r="HX435" s="674">
        <f>IF(HX433=TRUE,0,HX$16)</f>
        <v>0</v>
      </c>
      <c r="HY435" s="674">
        <f>IF(HY433=TRUE,0,HY$16)</f>
        <v>0</v>
      </c>
      <c r="HZ435" s="674">
        <f>IF(HZ433=TRUE,0,HZ$16)</f>
        <v>1</v>
      </c>
      <c r="IB435" s="674">
        <f>IF(GP433=FALSE,GP435,IF(GQ433=FALSE,GQ435,MAX(GN435:HZ435)))</f>
        <v>36</v>
      </c>
      <c r="IC435" s="1692"/>
      <c r="ID435" s="205" t="str">
        <f>VLOOKUP(IB435,_Error_Table,3,FALSE)</f>
        <v xml:space="preserve"> </v>
      </c>
      <c r="IE435" s="205"/>
      <c r="IF435" s="1688"/>
      <c r="IG435" s="1689"/>
      <c r="IH435" s="1684"/>
      <c r="IK435" s="1689"/>
      <c r="IL435" s="1692"/>
      <c r="IM435" s="1692"/>
      <c r="IN435" s="1692"/>
      <c r="IP435" s="1679"/>
      <c r="IQ435" s="1679"/>
      <c r="IR435" s="1679"/>
      <c r="IS435" s="1679"/>
      <c r="IT435" s="1679"/>
      <c r="IU435" s="1679"/>
      <c r="IV435" s="1679"/>
      <c r="IW435" s="1679"/>
      <c r="IX435" s="1679"/>
      <c r="IY435" s="1679"/>
      <c r="IZ435" s="1679"/>
      <c r="JA435" s="1679"/>
      <c r="JC435" s="1680"/>
      <c r="JD435" s="1670"/>
      <c r="JE435" s="1681"/>
      <c r="JG435" s="1680"/>
      <c r="JH435" s="1670"/>
      <c r="JI435" s="1060"/>
      <c r="JJ435" s="1670"/>
      <c r="JK435" s="1061"/>
      <c r="JL435" s="1670"/>
      <c r="JM435" s="1061"/>
      <c r="JN435" s="1670"/>
      <c r="JO435" s="1061"/>
      <c r="JP435" s="1670"/>
      <c r="JQ435" s="1061"/>
      <c r="JR435" s="1670"/>
      <c r="JS435" s="1061"/>
      <c r="JT435" s="1670"/>
      <c r="JU435" s="1061"/>
      <c r="JV435" s="1670"/>
      <c r="JX435" s="1670"/>
      <c r="JZ435" s="1670"/>
      <c r="KB435" s="1670"/>
    </row>
    <row r="436" spans="1:288" s="78" customFormat="1" ht="5.0999999999999996" customHeight="1">
      <c r="B436" s="676"/>
      <c r="C436" s="392"/>
      <c r="D436" s="392"/>
      <c r="E436" s="1733"/>
      <c r="F436" s="1733"/>
      <c r="G436" s="1733"/>
      <c r="H436" s="1733"/>
      <c r="I436" s="1733"/>
      <c r="J436" s="1733"/>
      <c r="K436" s="1733"/>
      <c r="L436" s="1733"/>
      <c r="M436" s="1733"/>
      <c r="N436" s="1733"/>
      <c r="O436" s="1733"/>
      <c r="P436" s="1733"/>
      <c r="Q436" s="1733"/>
      <c r="R436" s="1733"/>
      <c r="S436" s="1733"/>
      <c r="T436" s="1733"/>
      <c r="U436" s="1733"/>
      <c r="V436" s="1733"/>
      <c r="W436" s="1733"/>
      <c r="X436" s="1733"/>
      <c r="Y436" s="1733"/>
      <c r="Z436" s="1733"/>
      <c r="AA436" s="1733"/>
      <c r="AB436" s="1733"/>
      <c r="AC436" s="1733"/>
      <c r="AD436" s="1733"/>
      <c r="AE436" s="1733"/>
      <c r="AF436" s="1733"/>
      <c r="AG436" s="1733"/>
      <c r="AH436" s="1733"/>
      <c r="AI436" s="1733"/>
      <c r="AJ436" s="1733"/>
      <c r="AK436" s="1733"/>
      <c r="AL436" s="1733"/>
      <c r="AM436" s="1733"/>
      <c r="AN436" s="1733"/>
      <c r="AO436" s="1733"/>
      <c r="AP436" s="1733"/>
      <c r="AQ436" s="1733"/>
      <c r="AR436" s="1733"/>
      <c r="AS436" s="1733"/>
      <c r="AT436" s="1733"/>
      <c r="AU436" s="1733"/>
      <c r="AV436" s="1733"/>
      <c r="AW436" s="1733"/>
      <c r="AX436" s="469"/>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663"/>
      <c r="CQ436" s="663"/>
      <c r="CR436" s="438"/>
      <c r="CS436" s="663"/>
      <c r="CV436" s="391"/>
      <c r="CW436" s="391"/>
      <c r="CX436" s="207"/>
      <c r="CY436" s="208"/>
      <c r="CZ436" s="208"/>
      <c r="DA436" s="208"/>
      <c r="DB436" s="209"/>
      <c r="DC436" s="209"/>
      <c r="DD436" s="209"/>
      <c r="DF436" s="664"/>
      <c r="DG436" s="665"/>
      <c r="DH436" s="666"/>
      <c r="DI436" s="667"/>
      <c r="DJ436" s="668"/>
      <c r="DK436" s="668"/>
      <c r="DN436" s="208"/>
      <c r="DO436" s="664"/>
      <c r="DQ436" s="664"/>
      <c r="DR436" s="669"/>
      <c r="DS436" s="391"/>
      <c r="DT436" s="664"/>
      <c r="DU436" s="664"/>
      <c r="DV436" s="664"/>
      <c r="DX436" s="664"/>
      <c r="DY436" s="664"/>
      <c r="DZ436" s="664"/>
      <c r="EA436" s="664"/>
      <c r="EC436" s="670"/>
      <c r="ED436" s="670"/>
      <c r="EF436" s="668"/>
      <c r="EG436" s="668"/>
      <c r="EH436" s="208"/>
      <c r="EI436" s="668"/>
      <c r="EJ436" s="668"/>
      <c r="EK436" s="207"/>
      <c r="EL436" s="207"/>
      <c r="EM436" s="666"/>
      <c r="EN436" s="671"/>
      <c r="EO436" s="671"/>
      <c r="EP436" s="672"/>
      <c r="EQ436" s="672"/>
      <c r="ER436" s="666"/>
      <c r="ES436" s="666"/>
      <c r="ET436" s="666"/>
      <c r="EV436" s="664"/>
      <c r="EX436" s="391"/>
      <c r="EY436" s="391"/>
      <c r="EZ436" s="391"/>
      <c r="FA436" s="391"/>
      <c r="FB436" s="391"/>
      <c r="FC436" s="391"/>
      <c r="FE436" s="569"/>
      <c r="FG436" s="391"/>
      <c r="FH436" s="391"/>
      <c r="FI436" s="391"/>
      <c r="FS436" s="664"/>
      <c r="FT436" s="391"/>
      <c r="FU436" s="391"/>
      <c r="FV436" s="664"/>
      <c r="FW436" s="664"/>
      <c r="GA436" s="663"/>
      <c r="GB436" s="663"/>
      <c r="GC436" s="663"/>
      <c r="GD436" s="663"/>
      <c r="GE436" s="663"/>
      <c r="GF436" s="663"/>
      <c r="GG436" s="663"/>
      <c r="GH436" s="663"/>
      <c r="GI436" s="665"/>
      <c r="GJ436" s="664"/>
      <c r="GK436" s="664"/>
    </row>
    <row r="437" spans="1:288" s="78" customFormat="1" ht="14.95" customHeight="1">
      <c r="B437" s="1845" t="str">
        <f>ID440</f>
        <v xml:space="preserve"> </v>
      </c>
      <c r="C437" s="1846">
        <f>C432+1</f>
        <v>76</v>
      </c>
      <c r="D437" s="1847"/>
      <c r="E437" s="1799" t="s">
        <v>295</v>
      </c>
      <c r="F437" s="1800"/>
      <c r="G437" s="1741"/>
      <c r="H437" s="1742"/>
      <c r="I437" s="1742"/>
      <c r="J437" s="1742"/>
      <c r="K437" s="1742"/>
      <c r="L437" s="1742"/>
      <c r="M437" s="1742"/>
      <c r="N437" s="1742"/>
      <c r="O437" s="1742"/>
      <c r="P437" s="1742"/>
      <c r="Q437" s="1742"/>
      <c r="R437" s="1742"/>
      <c r="S437" s="1791" t="s">
        <v>344</v>
      </c>
      <c r="T437" s="590"/>
      <c r="U437" s="1743"/>
      <c r="V437" s="1744"/>
      <c r="W437" s="1744"/>
      <c r="X437" s="1744"/>
      <c r="Y437" s="1744"/>
      <c r="Z437" s="1744"/>
      <c r="AA437" s="1744"/>
      <c r="AB437" s="961" t="str">
        <f>IFERROR(IF(__Retrofit_TI_NC=0,VLOOKUP(U438,Fixtures_Existing_List,2,FALSE),ROUND(N439*R439/T439,10)),"")</f>
        <v/>
      </c>
      <c r="AC437" s="935" t="str">
        <f>IFERROR(IF(__Retrofit_TI_NC=0,ROUND(T438*AB437*N438*R438/1000,0),IF(CQ437="Interior",N439*R439*R438*N438*_C406_reduction/1000,N439*R439*R438*N438/1000)),"")</f>
        <v/>
      </c>
      <c r="AD437" s="936" t="str">
        <f>IFERROR(IF(C$43=0,ROUND(T438*AB437/1000,2),N439*R439/1000),"")</f>
        <v/>
      </c>
      <c r="AE437" s="997"/>
      <c r="AF437" s="937"/>
      <c r="AG437" s="1745" t="str">
        <f>IF(__Retrofit_TI_NC=0," Control","Select Advanced Control for New System")</f>
        <v xml:space="preserve"> Control</v>
      </c>
      <c r="AH437" s="1745"/>
      <c r="AI437" s="1745"/>
      <c r="AJ437" s="1745"/>
      <c r="AK437" s="1745"/>
      <c r="AL437" s="1745"/>
      <c r="AM437" s="1746">
        <f>IFERROR(DI437,"")</f>
        <v>0</v>
      </c>
      <c r="AN437" s="1774" t="str">
        <f>IFERROR(ROUND(AM437*AC437,0),"")</f>
        <v/>
      </c>
      <c r="AO437" s="1776">
        <f>IFERROR(IF(IB437=FALSE,0,AC437-AN437),0)</f>
        <v>0</v>
      </c>
      <c r="AP437" s="1778">
        <f>AO437-AO439</f>
        <v>0</v>
      </c>
      <c r="AQ437" s="1779"/>
      <c r="AR437" s="1793">
        <f>IFERROR(IF(IB437=FALSE,0,(T439*U440)+(AF439*AG440)),0)</f>
        <v>0</v>
      </c>
      <c r="AS437" s="1793"/>
      <c r="AT437" s="1794"/>
      <c r="AU437" s="1734" t="s">
        <v>237</v>
      </c>
      <c r="AV437" s="1751">
        <f>IF(AU437="Yes",1,0)</f>
        <v>1</v>
      </c>
      <c r="AW437" s="1704" t="str">
        <f>IF(OR(DQ437=4,DQ437=5,DQ437=6,DQ437=12),CONCATENATE("$",IF(GH437=TRUE,Lookup!$K$10,Lookup!$K$2)," /lamp"),CONCATENATE(TEXT(ED437,"$0.00"),"/ kWh"))</f>
        <v>$0.00/ kWh</v>
      </c>
      <c r="AX437" s="467"/>
      <c r="AY437" s="1748">
        <f ca="1">IFERROR(IF(GM438=TRUE,(AB440*T439)/R439,0),"NA")</f>
        <v>0</v>
      </c>
      <c r="AZ437" s="1748"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696" t="str">
        <f>N438</f>
        <v/>
      </c>
      <c r="CQ437" s="1696" t="str">
        <f>IFERROR(VLOOKUP(G438,_Lookup_Heat_Type_Table_New,3,FALSE),"")</f>
        <v/>
      </c>
      <c r="CR437" s="1808" t="str">
        <f>CQ437</f>
        <v/>
      </c>
      <c r="CS437" s="1810" t="str">
        <f>IFERROR(VLOOKUP(G439,'Space Table'!$B$3:$L$163,9,FALSE),"")</f>
        <v/>
      </c>
      <c r="CU437" s="1688" t="s">
        <v>344</v>
      </c>
      <c r="CV437" s="1702">
        <f>IF(IB437=TRUE,T438,0)</f>
        <v>0</v>
      </c>
      <c r="CW437" s="1702" t="str">
        <f>IF(IB437=TRUE,U438,"")</f>
        <v/>
      </c>
      <c r="CX437" s="1702"/>
      <c r="CY437" s="1814">
        <f>IF(IB437=TRUE,AB437,0)</f>
        <v>0</v>
      </c>
      <c r="CZ437" s="1710">
        <f>IF(AND(__Retrofit_TI_NC&gt;0,CR437="interior"),0,IF(IB437=TRUE,AC437,0))</f>
        <v>0</v>
      </c>
      <c r="DA437" s="1814">
        <f>IFERROR(IF(IB437=TRUE,CZ437-CZ439,0),0)</f>
        <v>0</v>
      </c>
      <c r="DB437" s="1819">
        <f>IF(IB437=TRUE,AD437,0)</f>
        <v>0</v>
      </c>
      <c r="DC437" s="1819">
        <f>IF(IB437=TRUE,AD440,0)</f>
        <v>0</v>
      </c>
      <c r="DD437" s="1819">
        <f>IFERROR(DB437-DC437,0)</f>
        <v>0</v>
      </c>
      <c r="DF437" s="1702">
        <f>IF(IB437=TRUE,AF438,0)</f>
        <v>0</v>
      </c>
      <c r="DG437" s="1830">
        <f>IFERROR(IF(__Retrofit_TI_NC=2,IF(CQ437="Exterior",O440,FQ437),FN437),"")</f>
        <v>0</v>
      </c>
      <c r="DH437" s="1702"/>
      <c r="DI437" s="1837">
        <f>JE437</f>
        <v>0</v>
      </c>
      <c r="DJ437" s="1710">
        <f>IF(AND(__Retrofit_TI_NC&gt;0,CR437="interior"),0,IF(IB437=TRUE,AN437,0))</f>
        <v>0</v>
      </c>
      <c r="DK437" s="1712">
        <f>IFERROR(IF(IB437=TRUE,DJ439-DJ437,0),0)</f>
        <v>0</v>
      </c>
      <c r="DM437" s="1717">
        <f>IFERROR(CZ437-DJ437,0)</f>
        <v>0</v>
      </c>
      <c r="DO437" s="1708">
        <f>DM437-DN439</f>
        <v>0</v>
      </c>
      <c r="DQ437" s="1715" t="str">
        <f>IFERROR(IF(AND(OR(GC437=4,GC437=5,GC437=6),OR(GF437=4,GF437=5,GF437=6)),GC437+8,VLOOKUP(CW439,Fixtures!R$31:Y$78,8,FALSE)),"")</f>
        <v/>
      </c>
      <c r="DR437" s="1829" t="str">
        <f>DQ437</f>
        <v/>
      </c>
      <c r="DS437" s="1702" t="str">
        <f>IFERROR(VLOOKUP(DG439,Lookup!BB$3:BC$20,2,FALSE),"")</f>
        <v/>
      </c>
      <c r="DT437" s="1713" t="str">
        <f>IF(OR(DS437=7,DS437=8,DS437=9),"ALC","")</f>
        <v/>
      </c>
      <c r="DU437" s="1715">
        <f>IFERROR(IF(OR(DQ437=4,DQ437=5,DQ437=6,DQ437=12,DQ437=13,DQ437=14),VLOOKUP(CW439,Fixtures!DN$27:EG$77,19,FALSE),1)*CV439,0)</f>
        <v>0</v>
      </c>
      <c r="DV437" s="1716">
        <f>IF(OR(DS437=7,DS437=8,DS437=9),IF(DG437=DG439,0,DF439),0)</f>
        <v>0</v>
      </c>
      <c r="DX437" s="1715" t="str">
        <f>IFERROR(IF(EZ437&lt;EZ439,"Yes","No"),"")</f>
        <v/>
      </c>
      <c r="DY437" s="1829" t="str">
        <f>DX437</f>
        <v/>
      </c>
      <c r="DZ437" s="1715">
        <f>IF(DX437="Yes",DF439,0)</f>
        <v>0</v>
      </c>
      <c r="EA437" s="1715">
        <f>DZ437-DV437</f>
        <v>0</v>
      </c>
      <c r="EC437" s="1834">
        <f>IFERROR(VLOOKUP(DQ437,Lookup!AU$3:AV$16,2,FALSE),0)</f>
        <v>0</v>
      </c>
      <c r="ED437" s="1834">
        <f>IF(IB437=FALSE,0,IF(DX437="Yes",EC437+Lookup!K$6,EC437))</f>
        <v>0</v>
      </c>
      <c r="EF437" s="1707">
        <f>IF(IB437=TRUE,DM437,0)</f>
        <v>0</v>
      </c>
      <c r="EG437" s="1712">
        <f>IF(IB437=TRUE,CZ439,0)</f>
        <v>0</v>
      </c>
      <c r="EH437" s="1814">
        <f>IFERROR(EF437-EG437,0)</f>
        <v>0</v>
      </c>
      <c r="EI437" s="1712">
        <f>IF(IB437=TRUE,DJ439,0)</f>
        <v>0</v>
      </c>
      <c r="EJ437" s="1712">
        <f>IFERROR(EF437-EG437+EI437,0)</f>
        <v>0</v>
      </c>
      <c r="EK437" s="1812">
        <f>IF(IB437=TRUE,CV439*CX439,0)</f>
        <v>0</v>
      </c>
      <c r="EL437" s="1812">
        <f>IF(IB437=TRUE,DF439*DH439,0)</f>
        <v>0</v>
      </c>
      <c r="EM437" s="1807">
        <f>AR437</f>
        <v>0</v>
      </c>
      <c r="EN437" s="1839" t="str">
        <f>IFERROR(IF(IB437=TRUE,VLOOKUP(DQ437,Lookup!AU$3:AW$16,3,FALSE)*DU437,""),0)</f>
        <v/>
      </c>
      <c r="EO437" s="1839">
        <f>IF(IB437=TRUE,DZ437*Lookup!AW$12,0)</f>
        <v>0</v>
      </c>
      <c r="EP437" s="1817">
        <f>IFERROR(IF(IB437=TRUE,EN437/EP$40,0),0)</f>
        <v>0</v>
      </c>
      <c r="EQ437" s="1817">
        <f>IF(IB437=TRUE,EO437/EQ$40,0)</f>
        <v>0</v>
      </c>
      <c r="ER437" s="1807">
        <f>IF(IB437=TRUE,ET$40*EP437,0)</f>
        <v>0</v>
      </c>
      <c r="ES437" s="1807">
        <f>IF(IB437=TRUE,ET$40*EQ437,0)</f>
        <v>0</v>
      </c>
      <c r="ET437" s="1807">
        <f>ER437+ES437</f>
        <v>0</v>
      </c>
      <c r="EV437" s="1715">
        <f>IF(G437="",0,1)</f>
        <v>0</v>
      </c>
      <c r="EX437" s="1804" t="str">
        <f>IFERROR(VLOOKUP(CS439,'Space Table'!$B$3:$L$163,8,FALSE),"")</f>
        <v/>
      </c>
      <c r="EY437" s="1804" t="str">
        <f>IFERROR(IF(FB437="Yes",VLOOKUP(DG437,Lookup_Control_Type_Table2,4,FALSE),VLOOKUP(DG437,Lookup_Control_Type_Table2,3,FALSE)),"")</f>
        <v/>
      </c>
      <c r="EZ437" s="1804" t="e">
        <f>VLOOKUP(DG437,Lookup!BB$3:BC$20,2,FALSE)</f>
        <v>#N/A</v>
      </c>
      <c r="FA437" s="1804" t="e">
        <f>VLOOKUP(EX437,Lookup_Control_Type_Table,2,FALSE)</f>
        <v>#N/A</v>
      </c>
      <c r="FB437" s="1804" t="e">
        <f>VLOOKUP(CS439,'Space Table'!$B$3:$L$163,7,FALSE)</f>
        <v>#N/A</v>
      </c>
      <c r="FC437" s="1826" t="b">
        <f>ISNUMBER(SEARCH("TLED",U439))</f>
        <v>0</v>
      </c>
      <c r="FE437" s="1698" t="str">
        <f>CONCATENATE(CQ437," - ",DG437)</f>
        <v xml:space="preserve"> - 0</v>
      </c>
      <c r="FG437" s="1702" t="str">
        <f>VLOOKUP(CW439,Fixtures!DN$27:EZ$77,38,FALSE)</f>
        <v/>
      </c>
      <c r="FH437" s="1702">
        <f>IFERROR(FG437*EH437,0)</f>
        <v>0</v>
      </c>
      <c r="FI437" s="133"/>
      <c r="FL437" s="1822" t="str">
        <f>IF(CQ437="Exterior","Not Daylighted",G440)</f>
        <v>Not Daylighted</v>
      </c>
      <c r="FM437" s="1824">
        <f>VLOOKUP(FL437,_New_Daylight_Table_Codes,2,FALSE)</f>
        <v>0</v>
      </c>
      <c r="FN437" s="1698">
        <f>IF(__Retrofit_TI_NC&gt;0,VLOOKUP(G439,'Space Table'!$B$3:$L$163,11,FALSE),AG438)</f>
        <v>0</v>
      </c>
      <c r="FO437" s="1698" t="e">
        <f>IF(__Retrofit_TI_NC=2,VLOOKUP(FQ437,_Control_Table,2,FALSE),VLOOKUP(FN437,_Control_Table,2,FALSE))</f>
        <v>#N/A</v>
      </c>
      <c r="FP437" s="1678" t="e">
        <f>VLOOKUP(CONCATENATE(FL437," ",FN437),Lookup!AY$102:AZ447,2,FALSE)</f>
        <v>#N/A</v>
      </c>
      <c r="FQ437" s="1678">
        <f>IF(__Retrofit_TI_NC=0,FN437,IF(AND(FT437&gt;0,FN437="Occupancy Sensor"),"Daylight + Occupancy",IF(AND(FT437&gt;0,VLOOKUP(FN437,_Control_Table,2,FALSE)&lt;4),"Interior Daylight Dimming",FN437)))</f>
        <v>0</v>
      </c>
      <c r="FS437" s="1686">
        <f>IF(CR437="Interior",VLOOKUP(CS437,Control_Savings_Interior,5,FALSE),0)</f>
        <v>0</v>
      </c>
      <c r="FT437" s="1687">
        <f>IF(CQ437="Exterior",0,IF(FM437=2,0.5,IF(OR(FM437=1,FM437=3),1,0)))</f>
        <v>0</v>
      </c>
      <c r="FU437" s="1685">
        <f>IF(R436&gt;FS$44,(FS437*(FS$44/R436)),FS437)*FT437</f>
        <v>0</v>
      </c>
      <c r="FV437" s="1686">
        <f>DI437</f>
        <v>0</v>
      </c>
      <c r="FW437" s="1686">
        <f>ROUND(FV437+((1-FV437)*FU437),2)</f>
        <v>0</v>
      </c>
      <c r="FX437" s="1686">
        <f>IF(__Retrofit_TI_NC=2,FW437,FV437)</f>
        <v>0</v>
      </c>
      <c r="FY437" s="1697"/>
      <c r="GA437" s="1696" t="str">
        <f>IFERROR(VLOOKUP(U438,_Exist_Fixture_Table,3,FALSE),"")</f>
        <v/>
      </c>
      <c r="GB437" s="1696" t="str">
        <f>VLOOKUP(CW437,_Exist_Fixture_Table,4,FALSE)</f>
        <v/>
      </c>
      <c r="GC437" s="1696">
        <f>IFERROR(VLOOKUP(GB437,Lookup!AT$6:AU$8,2,FALSE),0)</f>
        <v>0</v>
      </c>
      <c r="GD437" s="1696" t="b">
        <f>IFERROR(IF(OR(GF437=4,GF437=5,GF437=6),TRUE,FALSE),"")</f>
        <v>0</v>
      </c>
      <c r="GE437" s="1696" t="str">
        <f>IFERROR(VLOOKUP(GF437,GC$6:GD$10,2,FALSE),"")</f>
        <v/>
      </c>
      <c r="GF437" s="1696" t="str">
        <f>VLOOKUP(CW439,Fixtures!R$31:Y$78,8,FALSE)</f>
        <v/>
      </c>
      <c r="GG437" s="1696">
        <f>IF(AND(GA437=TRUE,GD437=TRUE,OR(DQ437=12,DQ437=13,DQ437=14)),GC437+8,0)</f>
        <v>0</v>
      </c>
      <c r="GH437" s="1696" t="b">
        <f>IF(OR(GG437=12,GG437=13,GG437=14),TRUE,FALSE)</f>
        <v>0</v>
      </c>
      <c r="GI437" s="673" t="b">
        <f>IF(ISNUMBER(SEARCH("TLED",U438)),TRUE,FALSE)</f>
        <v>0</v>
      </c>
      <c r="GJ437" s="1135" t="str">
        <f>IFERROR(VLOOKUP(U438,Fixtures!BM$93:BR$142,6,FALSE),"")</f>
        <v/>
      </c>
      <c r="GK437" s="1832" t="b">
        <f>IF(OR(GI437=FALSE,GI439=FALSE),TRUE,IF(GJ437-GJ439&lt;5,FALSE,TRUE))</f>
        <v>1</v>
      </c>
      <c r="GO437" s="674">
        <f>GP437</f>
        <v>0</v>
      </c>
      <c r="GP437" s="674">
        <f>IF(G437="",0,1)</f>
        <v>0</v>
      </c>
      <c r="GQ437" s="674">
        <f ca="1">SUM(GR437:HF437)</f>
        <v>2</v>
      </c>
      <c r="GR437" s="674">
        <f>IF(G438="",0,1)</f>
        <v>0</v>
      </c>
      <c r="GS437" s="674">
        <f>IF(N440="BAM",1,IF(G439="",0,1))</f>
        <v>0</v>
      </c>
      <c r="GT437" s="674">
        <f>IF(N440="BAM",1,IF(R438="",0,1))</f>
        <v>0</v>
      </c>
      <c r="GU437" s="674">
        <f>IF(N440="BAM",1,IF(__Retrofit_TI_NC=0,1,IF(R439="",0,1)))</f>
        <v>1</v>
      </c>
      <c r="GV437" s="674">
        <f>IF(N440="BAM",1,IF(CQ437="Exterior",1,IF(G440="",0,1)))</f>
        <v>1</v>
      </c>
      <c r="GW437" s="674">
        <f>IF(__Retrofit_TI_NC&gt;0,1,IF(T438="",0,1))</f>
        <v>0</v>
      </c>
      <c r="GX437" s="674">
        <f>IF(__Retrofit_TI_NC&gt;0,1,IF(U438="",0,1))</f>
        <v>0</v>
      </c>
      <c r="GY437" s="674">
        <f>IF(N440="BAM",1,IF(T439="",0,1))</f>
        <v>0</v>
      </c>
      <c r="GZ437" s="674">
        <f>IF(N440="BAM",1,IF(U439="",0,1))</f>
        <v>0</v>
      </c>
      <c r="HA437" s="674">
        <f ca="1">IF(N440="BAM",1,IF(__Retrofit_TI_NC&gt;0,1,IF(U440="",0,1)))</f>
        <v>0</v>
      </c>
      <c r="HB437" s="674">
        <f>IF(__Retrofit_TI_NC&lt;&gt;0,1,IF(AF438="",0,1))</f>
        <v>0</v>
      </c>
      <c r="HC437" s="674">
        <f>IF(__Retrofit_TI_NC&lt;&gt;0,1,IF(AG438="",0,1))</f>
        <v>0</v>
      </c>
      <c r="HD437" s="674">
        <f>IF(N440="BAM",1,IF(AF439="",0,1))</f>
        <v>0</v>
      </c>
      <c r="HE437" s="674">
        <f>IF(N440="BAM",1,IF(AG439="",0,1))</f>
        <v>0</v>
      </c>
      <c r="HF437" s="674">
        <f>IF(N440="BAM",1,IF(__Retrofit_TI_NC&gt;0,1,IF(AG440="",0,1)))</f>
        <v>0</v>
      </c>
      <c r="HG437" s="391"/>
      <c r="IA437" s="391"/>
      <c r="IB437" s="1693" t="b">
        <f>IF(OR(IB440=0,IB440=HY$16,IB440=HX$16,IB440=HZ$16),TRUE,FALSE)</f>
        <v>0</v>
      </c>
      <c r="IC437" s="1694" t="b">
        <f>IB437</f>
        <v>0</v>
      </c>
      <c r="ID437" s="391"/>
      <c r="IE437" s="391"/>
      <c r="IF437" s="1688" t="b">
        <f ca="1">IF(MAX(GN440:HU440)&gt;5,FALSE,TRUE)</f>
        <v>0</v>
      </c>
      <c r="IG437" s="1689">
        <f ca="1">IF(IF437=TRUE,AC437,0)</f>
        <v>0</v>
      </c>
      <c r="IH437" s="1689">
        <f ca="1">IG437-IG439</f>
        <v>0</v>
      </c>
      <c r="IK437" s="1689" t="e">
        <f>ROUND(T438*VLOOKUP(U438,Fixtures_Existing_List,2,FALSE)*N438*R438/1000,0)</f>
        <v>#N/A</v>
      </c>
      <c r="IL437" s="1690" t="e">
        <f>IK437-IK439</f>
        <v>#N/A</v>
      </c>
      <c r="IM437" s="1693" t="e">
        <f>ROUND(IF(CQ437="Interior",N439*R439*R438*N438*_C406_reduction/1000,N439*R439*R438*N438/1000),0)</f>
        <v>#N/A</v>
      </c>
      <c r="IN437" s="1693" t="e">
        <f>IM437-IM439</f>
        <v>#N/A</v>
      </c>
      <c r="IP437" s="1679"/>
      <c r="IQ437" s="1679" t="e">
        <f t="shared" ref="IQ437:IU437" si="391">IF($CR437="interior",VLOOKUP($CS437,_New_Control_Savings_Interior,IQ$30,FALSE),VLOOKUP($CS437,Control_Savings_Exterior,IQ$30,FALSE))</f>
        <v>#N/A</v>
      </c>
      <c r="IR437" s="1679" t="e">
        <f t="shared" si="391"/>
        <v>#N/A</v>
      </c>
      <c r="IS437" s="1679" t="e">
        <f t="shared" si="391"/>
        <v>#N/A</v>
      </c>
      <c r="IT437" s="1679" t="e">
        <f t="shared" si="391"/>
        <v>#N/A</v>
      </c>
      <c r="IU437" s="1679" t="e">
        <f t="shared" si="391"/>
        <v>#N/A</v>
      </c>
      <c r="IV437" s="1679" t="e">
        <f>IF($CR437="interior",IF(R438&gt;$IP$14,ROUND(($IV$18*($IP$14/R438)),2),$IV$18),VLOOKUP($CS437,Control_Savings_Exterior,IV$30,FALSE))</f>
        <v>#N/A</v>
      </c>
      <c r="IW437" s="1679" t="e">
        <f>IF($CR437="interior",ROUND(((1-IS437)*IV437)+IS437,2),VLOOKUP($CS437,Control_Savings_Exterior,IW$30,FALSE))</f>
        <v>#N/A</v>
      </c>
      <c r="IX437" s="1679" t="e">
        <f>IF($CR437="interior",ROUND(((1-IT437)*IV437)+IT437,2),VLOOKUP($CS437,Control_Savings_Exterior,IX$30,FALSE))</f>
        <v>#N/A</v>
      </c>
      <c r="IY437" s="1679" t="e">
        <f>IF($CR437="interior",IF(R438&gt;$IP$14,ROUND(($IY$18*($IP$14/R438)),2),$IY$18),VLOOKUP($CS437,Control_Savings_Exterior,IY$30,FALSE))</f>
        <v>#N/A</v>
      </c>
      <c r="IZ437" s="1679" t="e">
        <f>IF($CR437="interior",ROUND(((1-IS437)*IY437)+IS437,2),VLOOKUP($CS437,Control_Savings_Exterior,IZ$30,FALSE))</f>
        <v>#N/A</v>
      </c>
      <c r="JA437" s="1679" t="e">
        <f>IF($CR437="interior",ROUND(((1-IT437)*IY437)+IT437,2),VLOOKUP($CS437,Control_Savings_Exterior,JA$30,FALSE))</f>
        <v>#N/A</v>
      </c>
      <c r="JC437" s="1680">
        <f>IFERROR(IF(CR437="Interior",CONCATENATE(G440," ",FQ437),FQ437),"")</f>
        <v>0</v>
      </c>
      <c r="JD437" s="1670" t="str">
        <f>IFERROR(VLOOKUP(JC437,_Controls_2023,2,FALSE),"")</f>
        <v/>
      </c>
      <c r="JE437" s="1681">
        <f>IFERROR(CHOOSE(JD437-1,IQ437,IR437,IS437,IT437,IU437,IV437,IW437,IX437,IY437,IZ437,JA437),0)</f>
        <v>0</v>
      </c>
      <c r="JG437" s="1680" t="str">
        <f>FE437</f>
        <v xml:space="preserve"> - 0</v>
      </c>
      <c r="JH437" s="1670" t="e">
        <f>$FO437</f>
        <v>#N/A</v>
      </c>
      <c r="JI437" s="1060"/>
      <c r="JJ437" s="1682" t="b">
        <f>IF($JG439=CONCATENATE("Interior - ",JJ$4),TRUE,FALSE)</f>
        <v>0</v>
      </c>
      <c r="JK437" s="1061"/>
      <c r="JL437" s="1682" t="b">
        <f>IF($JG439=CONCATENATE("Interior - ",JL$4),TRUE,FALSE)</f>
        <v>0</v>
      </c>
      <c r="JM437" s="1061"/>
      <c r="JN437" s="1682" t="b">
        <f>IF($JG439=CONCATENATE("Interior - ",JN$4),TRUE,FALSE)</f>
        <v>0</v>
      </c>
      <c r="JO437" s="1061"/>
      <c r="JP437" s="1682" t="b">
        <f>IF(__Retrofit_TI_NC&gt;0,FALSE,IF($JG439=CONCATENATE("Interior - ",JP$4),TRUE,FALSE))</f>
        <v>0</v>
      </c>
      <c r="JQ437" s="1061"/>
      <c r="JR437" s="1682" t="b">
        <f>IF(__Retrofit_TI_NC&gt;0,FALSE,IF($JG439=CONCATENATE("Interior - ",JR$4),TRUE,FALSE))</f>
        <v>0</v>
      </c>
      <c r="JS437" s="1061"/>
      <c r="JT437" s="1670" t="b">
        <f>IF(__Retrofit_TI_NC&gt;0,FALSE,IF($JG439=CONCATENATE("Interior - ",JT$4),TRUE,FALSE))</f>
        <v>0</v>
      </c>
      <c r="JU437" s="1061"/>
      <c r="JV437" s="1670" t="b">
        <f>IF(JC439="AELC on Existing",TRUE,FALSE)</f>
        <v>0</v>
      </c>
      <c r="JX437" s="1670" t="b">
        <f>IF(OR(JG439="Exterior - AELC Occupancy based",JG439="Exterior - AELC Time based"),TRUE,FALSE)</f>
        <v>0</v>
      </c>
      <c r="JZ437" s="1682" t="b">
        <f>IF($JG439=CONCATENATE("Exterior - ",JZ$4),TRUE,FALSE)</f>
        <v>0</v>
      </c>
      <c r="KB437" s="1670" t="b">
        <f>IF(__Retrofit_TI_NC&gt;0,FALSE,IF($JG439=CONCATENATE("Interior - ",KB$4),TRUE,FALSE))</f>
        <v>0</v>
      </c>
    </row>
    <row r="438" spans="1:288" s="78" customFormat="1" ht="14.95" customHeight="1" thickTop="1" thickBot="1">
      <c r="B438" s="1845"/>
      <c r="C438" s="1846"/>
      <c r="D438" s="1847"/>
      <c r="E438" s="1737" t="s">
        <v>297</v>
      </c>
      <c r="F438" s="1738"/>
      <c r="G438" s="1739"/>
      <c r="H438" s="1739"/>
      <c r="I438" s="1739"/>
      <c r="J438" s="1739"/>
      <c r="K438" s="1739"/>
      <c r="L438" s="1739"/>
      <c r="M438" s="461" t="e">
        <f>IF(__Retrofit_TI_NC&lt;&gt;0,IF(VLOOKUP(G439,'Space Table'!$B$3:$L$163,3,FALSE)&gt;0,1,0),IF(__Retrofit_TI_NC=VLOOKUP(G439,'Space Table'!$B$3:$L$163,3,FALSE),1,0))</f>
        <v>#N/A</v>
      </c>
      <c r="N438" s="461" t="str">
        <f>IFERROR(VLOOKUP(G438,_Lookup_Heat_Type_Table_New,2,FALSE),"")</f>
        <v/>
      </c>
      <c r="O438" s="461">
        <f>IF(__Retrofit_TI_NC=1,CONCATENATE("TI ",G438),IF(__Retrofit_TI_NC=2,CONCATENATE("NC ",G438),G438))</f>
        <v>0</v>
      </c>
      <c r="P438" s="1740" t="s">
        <v>435</v>
      </c>
      <c r="Q438" s="1740"/>
      <c r="R438" s="595"/>
      <c r="S438" s="1792"/>
      <c r="T438" s="597"/>
      <c r="U438" s="1765"/>
      <c r="V438" s="1766"/>
      <c r="W438" s="1766"/>
      <c r="X438" s="1766"/>
      <c r="Y438" s="1766"/>
      <c r="Z438" s="1766"/>
      <c r="AA438" s="1766"/>
      <c r="AB438" s="1766"/>
      <c r="AC438" s="1766"/>
      <c r="AD438" s="1767"/>
      <c r="AE438" s="1000"/>
      <c r="AF438" s="597"/>
      <c r="AG438" s="1723"/>
      <c r="AH438" s="1724"/>
      <c r="AI438" s="1724"/>
      <c r="AJ438" s="1724"/>
      <c r="AK438" s="1725"/>
      <c r="AL438" s="996"/>
      <c r="AM438" s="1747"/>
      <c r="AN438" s="1775"/>
      <c r="AO438" s="1777"/>
      <c r="AP438" s="1780"/>
      <c r="AQ438" s="1781"/>
      <c r="AR438" s="1795"/>
      <c r="AS438" s="1795"/>
      <c r="AT438" s="1796"/>
      <c r="AU438" s="1735"/>
      <c r="AV438" s="1752"/>
      <c r="AW438" s="1705"/>
      <c r="AX438" s="467"/>
      <c r="AY438" s="1749"/>
      <c r="AZ438" s="1749"/>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696"/>
      <c r="CQ438" s="1696"/>
      <c r="CR438" s="1809"/>
      <c r="CS438" s="1811"/>
      <c r="CU438" s="1688"/>
      <c r="CV438" s="1703"/>
      <c r="CW438" s="1703"/>
      <c r="CX438" s="1703"/>
      <c r="CY438" s="1815"/>
      <c r="CZ438" s="1711"/>
      <c r="DA438" s="1818"/>
      <c r="DB438" s="1820"/>
      <c r="DC438" s="1820"/>
      <c r="DD438" s="1820"/>
      <c r="DF438" s="1703"/>
      <c r="DG438" s="1831"/>
      <c r="DH438" s="1703"/>
      <c r="DI438" s="1838"/>
      <c r="DJ438" s="1711"/>
      <c r="DK438" s="1712"/>
      <c r="DM438" s="1718"/>
      <c r="DO438" s="1708"/>
      <c r="DQ438" s="1715"/>
      <c r="DR438" s="1720"/>
      <c r="DS438" s="1816"/>
      <c r="DT438" s="1714"/>
      <c r="DU438" s="1715"/>
      <c r="DV438" s="1716"/>
      <c r="DX438" s="1715"/>
      <c r="DY438" s="1720"/>
      <c r="DZ438" s="1715"/>
      <c r="EA438" s="1715"/>
      <c r="EC438" s="1834"/>
      <c r="ED438" s="1834"/>
      <c r="EF438" s="1707"/>
      <c r="EG438" s="1712"/>
      <c r="EH438" s="1818"/>
      <c r="EI438" s="1712"/>
      <c r="EJ438" s="1712"/>
      <c r="EK438" s="1836"/>
      <c r="EL438" s="1836"/>
      <c r="EM438" s="1807"/>
      <c r="EN438" s="1839"/>
      <c r="EO438" s="1839"/>
      <c r="EP438" s="1817"/>
      <c r="EQ438" s="1817"/>
      <c r="ER438" s="1807"/>
      <c r="ES438" s="1807"/>
      <c r="ET438" s="1807"/>
      <c r="EV438" s="1715"/>
      <c r="EX438" s="1805"/>
      <c r="EY438" s="1805"/>
      <c r="EZ438" s="1805"/>
      <c r="FA438" s="1805"/>
      <c r="FB438" s="1805"/>
      <c r="FC438" s="1827"/>
      <c r="FE438" s="1698"/>
      <c r="FG438" s="1816"/>
      <c r="FH438" s="1816"/>
      <c r="FI438" s="133"/>
      <c r="FL438" s="1823"/>
      <c r="FM438" s="1825"/>
      <c r="FN438" s="1698"/>
      <c r="FO438" s="1698"/>
      <c r="FP438" s="1678"/>
      <c r="FQ438" s="1678"/>
      <c r="FS438" s="1687"/>
      <c r="FT438" s="1687"/>
      <c r="FU438" s="1685"/>
      <c r="FV438" s="1687"/>
      <c r="FW438" s="1687"/>
      <c r="FX438" s="1687"/>
      <c r="FY438" s="1697"/>
      <c r="GA438" s="1696"/>
      <c r="GB438" s="1696"/>
      <c r="GC438" s="1696"/>
      <c r="GD438" s="1696"/>
      <c r="GE438" s="1696"/>
      <c r="GF438" s="1696"/>
      <c r="GG438" s="1696"/>
      <c r="GH438" s="1696"/>
      <c r="GI438" s="673"/>
      <c r="GJ438" s="1135"/>
      <c r="GK438" s="1832"/>
      <c r="GM438" s="1693" t="b">
        <f ca="1">IF(AND(GP438=TRUE,GQ438=TRUE),TRUE,FALSE)</f>
        <v>0</v>
      </c>
      <c r="GN438" s="1684" t="b">
        <f>IFERROR(IF(__Retrofit_TI_NC=2,TRUE,IF(AU437="Yes",TRUE,FALSE)),FALSE)</f>
        <v>1</v>
      </c>
      <c r="GP438" s="1684" t="b">
        <f>IFERROR(IF(GP437=1,TRUE,FALSE),FALSE)</f>
        <v>0</v>
      </c>
      <c r="GQ438" s="1684" t="b">
        <f ca="1">IFERROR(IF(GQ437=GQ$14,TRUE,FALSE),FALSE)</f>
        <v>0</v>
      </c>
      <c r="HG438" s="1684" t="b">
        <f>IFERROR(IF(AND(__Retrofit_TI_NC&gt;0,CQ437="Interior"),FALSE,TRUE),FALSE)</f>
        <v>1</v>
      </c>
      <c r="HH438" s="1684" t="b">
        <f>IFERROR(IF(M438=1,TRUE,FALSE),FALSE)</f>
        <v>0</v>
      </c>
      <c r="HI438" s="1684" t="b">
        <f>IFERROR(IF(OR(M439=1,N440="BAM"),TRUE,FALSE),FALSE)</f>
        <v>0</v>
      </c>
      <c r="HJ438" s="1684" t="b">
        <f>IFERROR(IF(__Retrofit_TI_NC&lt;&gt;0,TRUE,IFERROR(IF(VLOOKUP(U438,Fixtures_Existing_List,2,FALSE)&lt;&gt;"",TRUE,FALSE),FALSE)),FALSE)</f>
        <v>0</v>
      </c>
      <c r="HK438" s="1684" t="b">
        <f>IFERROR(IF(VLOOKUP(U439,Fixtures_Proposed_List,2,FALSE)&lt;&gt;"",TRUE,FALSE),FALSE)</f>
        <v>0</v>
      </c>
      <c r="HL438" s="1684" t="b">
        <f>IF(AND(__Retrofit_TI_NC=2,FC437=TRUE),FALSE,TRUE)</f>
        <v>1</v>
      </c>
      <c r="HM438" s="1684" t="b">
        <f>GK437</f>
        <v>1</v>
      </c>
      <c r="HN438" s="1682" t="b">
        <f>IF(ISERROR(MATCH(FE437,_Control_Match[],0))=TRUE,FALSE,TRUE)</f>
        <v>0</v>
      </c>
      <c r="HO438" s="1693" t="b">
        <f>IFERROR(IF(EX437&lt;&gt;EY437,FALSE,TRUE),FALSE)</f>
        <v>1</v>
      </c>
      <c r="HP438" s="1693" t="b">
        <f>IFERROR(IF(EX439&lt;&gt;EY439,FALSE,TRUE),FALSE)</f>
        <v>1</v>
      </c>
      <c r="HQ438" s="1670" t="b">
        <f>IFERROR(IF(CQ437="Exterior",TRUE,IF(AND(OR(FM439=0,FM439=3),JD439&gt;6),FALSE,TRUE)),FALSE)</f>
        <v>0</v>
      </c>
      <c r="HR438" s="1684" t="b">
        <f>IFERROR(IF(AND(FO439=7,FC437=TRUE),FALSE,TRUE),FALSE)</f>
        <v>0</v>
      </c>
      <c r="HS438" s="1684" t="b">
        <f>IFERROR(IF(AND(T439&lt;&gt;AF439,OR(AG439="Interior LLLC", AG439="Interior NLC", AG439="LLLC (outside Daylight)",AG439="LLLC Controls Only"))=TRUE,FALSE,TRUE),FALSE)</f>
        <v>1</v>
      </c>
      <c r="HT438" s="1670" t="b">
        <f>IFERROR(IF(OR(AG439=Lookup!BB$17,AG439=Lookup!BB$18,AG439=Lookup!BB$19)=TRUE,IF(AF439&gt;T439,FALSE,TRUE),TRUE),FALSE)</f>
        <v>1</v>
      </c>
      <c r="HU438" s="1684" t="b">
        <f>IFERROR(IF(__Retrofit_TI_NC=2,IF(EZ439&lt;EZ437,FALSE,TRUE),TRUE),FALSE)</f>
        <v>1</v>
      </c>
      <c r="HV438" s="1684" t="b">
        <f>IF(CQ437="Interior",IL$6,TRUE)</f>
        <v>1</v>
      </c>
      <c r="HW438" s="1684" t="b">
        <f>IF(CQ437="Exterior",IL$8,TRUE)</f>
        <v>1</v>
      </c>
      <c r="HX438" s="1684" t="b">
        <f>IFERROR(IF(__Retrofit_TI_NC&lt;&gt;0,IF(AZ437&lt;AY437,FALSE,TRUE),TRUE),FALSE)</f>
        <v>1</v>
      </c>
      <c r="HY438" s="1684" t="b">
        <f>IFERROR(IF(AND(G438="Exterior",R438&gt;4200),FALSE,TRUE),FALSE)</f>
        <v>1</v>
      </c>
      <c r="HZ438" s="1684" t="b">
        <f>IFERROR(IF(AB440/AB437&lt;HZ$18,FALSE,TRUE),FALSE)</f>
        <v>0</v>
      </c>
      <c r="IB438" s="1691"/>
      <c r="IC438" s="1695"/>
      <c r="ID438" s="1694" t="str">
        <f>VLOOKUP(IB440,_Error_Table,4,FALSE)</f>
        <v>White</v>
      </c>
      <c r="IE438" s="391"/>
      <c r="IF438" s="1688"/>
      <c r="IG438" s="1689"/>
      <c r="IH438" s="1684"/>
      <c r="IK438" s="1689"/>
      <c r="IL438" s="1691"/>
      <c r="IM438" s="1691"/>
      <c r="IN438" s="1691"/>
      <c r="IP438" s="1679"/>
      <c r="IQ438" s="1679"/>
      <c r="IR438" s="1679"/>
      <c r="IS438" s="1679"/>
      <c r="IT438" s="1679"/>
      <c r="IU438" s="1679"/>
      <c r="IV438" s="1679"/>
      <c r="IW438" s="1679"/>
      <c r="IX438" s="1679"/>
      <c r="IY438" s="1679"/>
      <c r="IZ438" s="1679"/>
      <c r="JA438" s="1679"/>
      <c r="JC438" s="1680"/>
      <c r="JD438" s="1670"/>
      <c r="JE438" s="1681"/>
      <c r="JG438" s="1680"/>
      <c r="JH438" s="1670"/>
      <c r="JI438" s="1060"/>
      <c r="JJ438" s="1683"/>
      <c r="JK438" s="1061"/>
      <c r="JL438" s="1683"/>
      <c r="JM438" s="1061"/>
      <c r="JN438" s="1683"/>
      <c r="JO438" s="1061"/>
      <c r="JP438" s="1683"/>
      <c r="JQ438" s="1061"/>
      <c r="JR438" s="1683"/>
      <c r="JS438" s="1061"/>
      <c r="JT438" s="1670"/>
      <c r="JU438" s="1061"/>
      <c r="JV438" s="1670"/>
      <c r="JX438" s="1670"/>
      <c r="JZ438" s="1683"/>
      <c r="KB438" s="1670"/>
    </row>
    <row r="439" spans="1:288" s="78" customFormat="1" ht="14.95" customHeight="1" thickTop="1" thickBot="1">
      <c r="A439" s="78">
        <f>ROW()</f>
        <v>439</v>
      </c>
      <c r="B439" s="1845"/>
      <c r="C439" s="1846"/>
      <c r="D439" s="1847"/>
      <c r="E439" s="1737" t="s">
        <v>298</v>
      </c>
      <c r="F439" s="1738"/>
      <c r="G439" s="1760"/>
      <c r="H439" s="1761"/>
      <c r="I439" s="1761"/>
      <c r="J439" s="1761"/>
      <c r="K439" s="1761"/>
      <c r="L439" s="1762"/>
      <c r="M439" s="461">
        <f>IFERROR(IF(IF(__Retrofit_TI_NC&lt;&gt;0,IF(CQ437="Interior",MATCH(G439,Lookup_Interior_New,0),MATCH(G439,Lookup_Exterior_New,0)),IF(CQ437="Interior",MATCH(G439,Lookup_Interior,0),MATCH(G439,Lookup_Exterior_Areas,0)))&gt;0,1,0),0)</f>
        <v>0</v>
      </c>
      <c r="N439" s="461" t="e">
        <f>IF(__Retrofit_TI_NC=1,
VLOOKUP(G439,'Space Table'!$B$3:$L$163,4,FALSE),
IF(__Retrofit_TI_NC=2,VLOOKUP(G439,'Space Table'!$B$3:$L$163,5,FALSE),VLOOKUP(G439,'Space Table'!$B$3:$L$163,5,FALSE)))</f>
        <v>#N/A</v>
      </c>
      <c r="O439" s="461">
        <f>G439</f>
        <v>0</v>
      </c>
      <c r="P439" s="1738" t="str">
        <f>IFERROR(IF(__Retrofit_TI_NC=1,VLOOKUP(G439,'Space Table'!$B$3:$O$163,13,FALSE),IF(__Retrofit_TI_NC=2,VLOOKUP(G439,'Space Table'!$B$3:$O$163,14,FALSE),"Area (sf):")),"Area (sf):")</f>
        <v>Area (sf):</v>
      </c>
      <c r="Q439" s="1738"/>
      <c r="R439" s="596"/>
      <c r="S439" s="1763" t="s">
        <v>345</v>
      </c>
      <c r="T439" s="594"/>
      <c r="U439" s="1801"/>
      <c r="V439" s="1802"/>
      <c r="W439" s="1802"/>
      <c r="X439" s="1802"/>
      <c r="Y439" s="1802"/>
      <c r="Z439" s="1802"/>
      <c r="AA439" s="1802"/>
      <c r="AB439" s="1802"/>
      <c r="AC439" s="1802"/>
      <c r="AD439" s="1802"/>
      <c r="AE439" s="1803"/>
      <c r="AF439" s="594"/>
      <c r="AG439" s="1787"/>
      <c r="AH439" s="1787"/>
      <c r="AI439" s="1787"/>
      <c r="AJ439" s="1787"/>
      <c r="AK439" s="1787"/>
      <c r="AL439" s="1787"/>
      <c r="AM439" s="1726">
        <f>IFERROR(DI439,"")</f>
        <v>0</v>
      </c>
      <c r="AN439" s="1728" t="str">
        <f>IFERROR(ROUND(AM439*AC440,0),"")</f>
        <v/>
      </c>
      <c r="AO439" s="1730">
        <f>IFERROR(IF(IB437=FALSE,0,AC440-AN439),0)</f>
        <v>0</v>
      </c>
      <c r="AP439" s="1780"/>
      <c r="AQ439" s="1781"/>
      <c r="AR439" s="1795"/>
      <c r="AS439" s="1795"/>
      <c r="AT439" s="1796"/>
      <c r="AU439" s="1735"/>
      <c r="AV439" s="1752"/>
      <c r="AW439" s="1705"/>
      <c r="AX439" s="467"/>
      <c r="AY439" s="1749"/>
      <c r="AZ439" s="1749"/>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696"/>
      <c r="CQ439" s="1696"/>
      <c r="CR439" s="1808" t="str">
        <f>CQ437</f>
        <v/>
      </c>
      <c r="CS439" s="1810" t="str">
        <f>CS437</f>
        <v/>
      </c>
      <c r="CU439" s="1688" t="s">
        <v>345</v>
      </c>
      <c r="CV439" s="1702">
        <f>IF(IB437=TRUE,T439,0)</f>
        <v>0</v>
      </c>
      <c r="CW439" s="1702" t="str">
        <f>IF(IB437=TRUE,U439,"")</f>
        <v/>
      </c>
      <c r="CX439" s="1812">
        <f>IF(IB437=TRUE,U440,0)</f>
        <v>0</v>
      </c>
      <c r="CY439" s="1814">
        <f>IF(IB437=TRUE,AB440,0)</f>
        <v>0</v>
      </c>
      <c r="CZ439" s="1710">
        <f>IF(AND(__Retrofit_TI_NC&gt;0,CR437="interior"),0,IF(IB437=TRUE,AC440,0))</f>
        <v>0</v>
      </c>
      <c r="DA439" s="1818"/>
      <c r="DB439" s="1820"/>
      <c r="DC439" s="1820"/>
      <c r="DD439" s="1820"/>
      <c r="DF439" s="1702">
        <f>IF(IB437=TRUE,AF439,0)</f>
        <v>0</v>
      </c>
      <c r="DG439" s="1830" t="str">
        <f>IF(IB437=TRUE,AG439,"")</f>
        <v/>
      </c>
      <c r="DH439" s="1812">
        <f>AG440</f>
        <v>0</v>
      </c>
      <c r="DI439" s="1837">
        <f>JE439</f>
        <v>0</v>
      </c>
      <c r="DJ439" s="1710">
        <f>IF(AND(__Retrofit_TI_NC&gt;0,CR437="interior"),0,IF(IB437=TRUE,AN439,0))</f>
        <v>0</v>
      </c>
      <c r="DK439" s="1712"/>
      <c r="DN439" s="1717">
        <f>IFERROR(CZ439-DJ439,0)</f>
        <v>0</v>
      </c>
      <c r="DO439" s="1709"/>
      <c r="DQ439" s="1715"/>
      <c r="DR439" s="1719" t="str">
        <f>DQ437</f>
        <v/>
      </c>
      <c r="DS439" s="1816"/>
      <c r="DT439" s="1835" t="str">
        <f>IF(OR(DS437=7,DS437=8,DS437=9),"ALC","")</f>
        <v/>
      </c>
      <c r="DU439" s="1715"/>
      <c r="DV439" s="1716"/>
      <c r="DX439" s="1715"/>
      <c r="DY439" s="1829" t="str">
        <f>DX437</f>
        <v/>
      </c>
      <c r="DZ439" s="1715"/>
      <c r="EA439" s="1715"/>
      <c r="EC439" s="1834"/>
      <c r="ED439" s="1834"/>
      <c r="EF439" s="1707"/>
      <c r="EG439" s="1712"/>
      <c r="EH439" s="1818"/>
      <c r="EI439" s="1712"/>
      <c r="EJ439" s="1712"/>
      <c r="EK439" s="1836"/>
      <c r="EL439" s="1836"/>
      <c r="EM439" s="1807"/>
      <c r="EN439" s="1839"/>
      <c r="EO439" s="1839"/>
      <c r="EP439" s="1817"/>
      <c r="EQ439" s="1817"/>
      <c r="ER439" s="1807"/>
      <c r="ES439" s="1807"/>
      <c r="ET439" s="1807"/>
      <c r="EV439" s="1715"/>
      <c r="EX439" s="1805" t="str">
        <f>IFERROR(VLOOKUP(CS439,'Space Table'!$B$3:$L$163,8,FALSE),"")</f>
        <v/>
      </c>
      <c r="EY439" s="1805" t="str">
        <f>IFERROR(IF(FB439="Yes",VLOOKUP(AG439,Lookup_Control_Type_Table2,4,FALSE),VLOOKUP(AG439,Lookup_Control_Type_Table2,3,FALSE)),"")</f>
        <v/>
      </c>
      <c r="EZ439" s="1805" t="e">
        <f>VLOOKUP(AG439,Lookup!BB$3:BC$20,2,FALSE)</f>
        <v>#N/A</v>
      </c>
      <c r="FA439" s="1805" t="e">
        <f>VLOOKUP(EX437,Lookup_Control_Type_Table,2,FALSE)</f>
        <v>#N/A</v>
      </c>
      <c r="FB439" s="1805" t="e">
        <f>VLOOKUP(CS439,'Space Table'!$B$3:$L$163,7,FALSE)</f>
        <v>#N/A</v>
      </c>
      <c r="FC439" s="1827"/>
      <c r="FE439" s="1698" t="str">
        <f>CONCATENATE(CQ437," - ",AG439)</f>
        <v xml:space="preserve"> - </v>
      </c>
      <c r="FG439" s="1816"/>
      <c r="FH439" s="1816"/>
      <c r="FI439" s="133"/>
      <c r="FL439" s="1822" t="str">
        <f>IF(CQ437="Exterior","Not Daylighted",G440)</f>
        <v>Not Daylighted</v>
      </c>
      <c r="FM439" s="1824">
        <f>VLOOKUP(FL439,_New_Daylight_Table_Codes,2,FALSE)</f>
        <v>0</v>
      </c>
      <c r="FN439" s="1698">
        <f>AG439</f>
        <v>0</v>
      </c>
      <c r="FO439" s="1698" t="e">
        <f>VLOOKUP(FN439,_Control_Table,2,FALSE)</f>
        <v>#N/A</v>
      </c>
      <c r="FP439" s="1678" t="e">
        <f>VLOOKUP(CONCATENATE(FL439," ",FN439),Lookup!AY$102:AZ450,2,FALSE)</f>
        <v>#N/A</v>
      </c>
      <c r="FQ439" s="1698">
        <f>IF(__Retrofit_TI_NC=0,FN439,IF(AND(FT439&gt;0,FN439="Occupancy Sensor"),"Daylight + Occupancy",IF(AND(FT439&gt;0,FO439&lt;4),"Interior Daylight Dimming",FN439)))</f>
        <v>0</v>
      </c>
      <c r="FS439" s="1686">
        <f>IF(CQ437="Interior",VLOOKUP(CS437,Control_Savings_Interior,5,FALSE),0)</f>
        <v>0</v>
      </c>
      <c r="FT439" s="1687">
        <f>IF(CQ439="Exterior",0,IF(FM439=2,0.5,IF(OR(FM439=1,FM439=3),1,0)))</f>
        <v>0</v>
      </c>
      <c r="FU439" s="1685">
        <f>IF(R438&gt;FS$44,(FS439*(FS$44/R438)),FS439)*FT439</f>
        <v>0</v>
      </c>
      <c r="FV439" s="1686">
        <f>DI439</f>
        <v>0</v>
      </c>
      <c r="FW439" s="1686">
        <f>ROUND(FV439+((1-FV439)*FU439),2)</f>
        <v>0</v>
      </c>
      <c r="FX439" s="1686">
        <f>IF(__Retrofit_TI_NC=2,FW439,FV439)</f>
        <v>0</v>
      </c>
      <c r="FY439" s="1697">
        <f>IF(CR439="Interior",VLOOKUP(CS439,Control_Savings_Interior,4,FALSE),0)</f>
        <v>0</v>
      </c>
      <c r="GA439" s="1696"/>
      <c r="GB439" s="1696"/>
      <c r="GC439" s="1696"/>
      <c r="GD439" s="1696"/>
      <c r="GE439" s="1696"/>
      <c r="GF439" s="1696"/>
      <c r="GG439" s="1696"/>
      <c r="GH439" s="1696"/>
      <c r="GI439" s="673" t="b">
        <f>IF(ISNUMBER(SEARCH("TLED",U439)),TRUE,FALSE)</f>
        <v>0</v>
      </c>
      <c r="GJ439" s="1135" t="str">
        <f>IFERROR(VLOOKUP(U439,Fixtures!DM$93:DR$142,6,FALSE),"")</f>
        <v/>
      </c>
      <c r="GK439" s="1832"/>
      <c r="GM439" s="1692"/>
      <c r="GN439" s="1684"/>
      <c r="GP439" s="1684"/>
      <c r="GQ439" s="1684"/>
      <c r="HG439" s="1684"/>
      <c r="HH439" s="1684"/>
      <c r="HI439" s="1684"/>
      <c r="HJ439" s="1684"/>
      <c r="HK439" s="1684"/>
      <c r="HL439" s="1684"/>
      <c r="HM439" s="1684"/>
      <c r="HN439" s="1683"/>
      <c r="HO439" s="1692"/>
      <c r="HP439" s="1692"/>
      <c r="HQ439" s="1670"/>
      <c r="HR439" s="1684"/>
      <c r="HS439" s="1684"/>
      <c r="HT439" s="1670"/>
      <c r="HU439" s="1684"/>
      <c r="HV439" s="1684"/>
      <c r="HW439" s="1684"/>
      <c r="HX439" s="1684"/>
      <c r="HY439" s="1684"/>
      <c r="HZ439" s="1684"/>
      <c r="IB439" s="1692"/>
      <c r="IC439" s="1693" t="b">
        <f>IB437</f>
        <v>0</v>
      </c>
      <c r="ID439" s="1695"/>
      <c r="IE439" s="391"/>
      <c r="IF439" s="1688"/>
      <c r="IG439" s="1689">
        <f ca="1">IF(IF437=TRUE,AC440,0)</f>
        <v>0</v>
      </c>
      <c r="IH439" s="1684"/>
      <c r="IK439" s="1689" t="e">
        <f>ROUND(T439*AB440*N438*R438/1000,0)</f>
        <v>#VALUE!</v>
      </c>
      <c r="IL439" s="1691"/>
      <c r="IM439" s="1693" t="e">
        <f>ROUND(T439*AB440*N438*R438/1000,0)</f>
        <v>#VALUE!</v>
      </c>
      <c r="IN439" s="1691"/>
      <c r="IP439" s="1679"/>
      <c r="IQ439" s="1679" t="e">
        <f t="shared" ref="IQ439:IU439" si="392">IF($CR439="interior",VLOOKUP($CS439,_New_Control_Savings_Interior,IQ$30,FALSE),VLOOKUP($CS439,Control_Savings_Exterior,IQ$30,FALSE))</f>
        <v>#N/A</v>
      </c>
      <c r="IR439" s="1679" t="e">
        <f t="shared" si="392"/>
        <v>#N/A</v>
      </c>
      <c r="IS439" s="1679" t="e">
        <f t="shared" si="392"/>
        <v>#N/A</v>
      </c>
      <c r="IT439" s="1679" t="e">
        <f t="shared" si="392"/>
        <v>#N/A</v>
      </c>
      <c r="IU439" s="1679" t="e">
        <f t="shared" si="392"/>
        <v>#N/A</v>
      </c>
      <c r="IV439" s="1679" t="e">
        <f>IF($CR439="interior",IF(R438&gt;$IP$14,ROUND(($IV$18*($IP$14/R438)),2),$IV$18),VLOOKUP($CS439,Control_Savings_Exterior,IV$30,FALSE))</f>
        <v>#N/A</v>
      </c>
      <c r="IW439" s="1679" t="e">
        <f>IF($CR439="interior",ROUND(((1-IS439)*IV439)+IS439,2),VLOOKUP($CS439,Control_Savings_Exterior,IW$30,FALSE))</f>
        <v>#N/A</v>
      </c>
      <c r="IX439" s="1679" t="e">
        <f>IF($CR439="interior",ROUND(((1-IT439)*IV439)+IT439,2),VLOOKUP($CS439,Control_Savings_Exterior,IX$30,FALSE))</f>
        <v>#N/A</v>
      </c>
      <c r="IY439" s="1679" t="e">
        <f>IF($CR439="interior",IF(R438&gt;$IP$14,ROUND(($IY$18*($IP$14/R438)),2),$IY$18),VLOOKUP($CS439,Control_Savings_Exterior,IY$30,FALSE))</f>
        <v>#N/A</v>
      </c>
      <c r="IZ439" s="1679" t="e">
        <f>IF($CR439="interior",ROUND(((1-IS439)*IY439)+IS439,2),VLOOKUP($CS439,Control_Savings_Exterior,IZ$30,FALSE))</f>
        <v>#N/A</v>
      </c>
      <c r="JA439" s="1679" t="e">
        <f>IF($CR439="interior",ROUND(((1-IT439)*IY439)+IT439,2),VLOOKUP($CS439,Control_Savings_Exterior,JA$30,FALSE))</f>
        <v>#N/A</v>
      </c>
      <c r="JC439" s="1680">
        <f>IFERROR(IF(CR439="Interior",CONCATENATE(G440," ",FQ439),AG439),"")</f>
        <v>0</v>
      </c>
      <c r="JD439" s="1670" t="str">
        <f>IFERROR(VLOOKUP(JC439,_Controls_2023,2,FALSE),"")</f>
        <v/>
      </c>
      <c r="JE439" s="1681">
        <f>IFERROR(CHOOSE(JD439-1,IQ439,IR439,IS439,IT439,IU439,IV439,IW439,IX439,IY439,IZ439,JA439),0)</f>
        <v>0</v>
      </c>
      <c r="JG439" s="1680" t="str">
        <f>FE439</f>
        <v xml:space="preserve"> - </v>
      </c>
      <c r="JH439" s="1670" t="e">
        <f>$FO439</f>
        <v>#N/A</v>
      </c>
      <c r="JI439" s="1060"/>
      <c r="JJ439" s="1670">
        <f>IFERROR(IF($IB437=TRUE,IF(OR(JJ$14="No",JJ437=FALSE,JH439&lt;=JH437,AND(_kWh_Grant=0,GD437=FALSE)),0,IF(JJ$8="Per Line",1,$AF439)),0),0)</f>
        <v>0</v>
      </c>
      <c r="JK439" s="1061"/>
      <c r="JL439" s="1670">
        <f>IFERROR(IF(_kWh_Grant=0,0,IF($IB437=TRUE,IF(OR(JL$14="No",JL437=FALSE,JH439&lt;=JH437),0,IF(JL$8="Per Line",1,$T439)),0)),0)</f>
        <v>0</v>
      </c>
      <c r="JM439" s="1061"/>
      <c r="JN439" s="1670">
        <f>IFERROR(IF(_kWh_Grant=0,0,IF($IB437=TRUE,IF(OR(JN$14="No",JN437=FALSE,JH439&lt;=JH437),0,IF(JN$8="Per Line",1,$AF439)),0)),0)</f>
        <v>0</v>
      </c>
      <c r="JO439" s="1061"/>
      <c r="JP439" s="1670">
        <f>IFERROR(IF(__Retrofit_TI_NC=0,IF(_kWh_Grant=0,0,IF($IB437=TRUE,IF(OR(JP$14="No",JP437=FALSE,$JH439&lt;=$JH437),0,IF(JP$8="Per Line",1,$AF439)),0)),IF($IB437=TRUE,IF(OR(JP$14="No",JP437=FALSE,$JH439&lt;=$JH437),0,IF(JP$8="Per Line",1,$AF439)))),0)</f>
        <v>0</v>
      </c>
      <c r="JQ439" s="1061"/>
      <c r="JR439" s="1670">
        <f>IFERROR(IF(__Retrofit_TI_NC=0,IF(_kWh_Grant=0,0,IF($IB437=TRUE,IF(OR(JR$14="No",JR437=FALSE,$JH439&lt;=$JH437),0,IF(JR$8="Per Line",1,$AF439)),0)),IF($IB437=TRUE,IF(OR(JR$14="No",JR437=FALSE,$JH439&lt;=$JH437),0,IF(JR$8="Per Line",1,$AF439)))),0)</f>
        <v>0</v>
      </c>
      <c r="JS439" s="1061"/>
      <c r="JT439" s="1670">
        <f>IFERROR(IF(__Retrofit_TI_NC=0,IF(_kWh_Grant=0,0,IF($IB437=TRUE,IF(OR(JT$14="No",JT437=FALSE,$JH439&lt;=$JH437),0,IF(JT$8="Per Line",1,$AF439)),0)),IF($IB437=TRUE,IF(OR(JT$14="No",JT437=FALSE,$JH439&lt;=$JH437),0,IF(JT$8="Per Line",1,$AF439)))),0)</f>
        <v>0</v>
      </c>
      <c r="JU439" s="1061"/>
      <c r="JV439" s="1670">
        <f>IFERROR(IF(__Retrofit_TI_NC=0,IF(_kWh_Grant=0,0,IF($IB437=TRUE,IF(OR(JV$14="No",JV437=FALSE,$JH439&lt;=$JH437),0,IF(JV$8="Per Line",1,$AF439)),0)),IF($IB437=TRUE,IF(OR(JV$14="No",JV437=FALSE,$JH439&lt;=$JH437),0,IF(JV$8="Per Line",1,$AF439)))),0)</f>
        <v>0</v>
      </c>
      <c r="JX439" s="1670">
        <f>IFERROR(IF(__Retrofit_TI_NC=0,IF(_kWh_Grant=0,0,IF($IB437=TRUE,IF(OR(JX$14="No",JX437=FALSE,$JH439&lt;=$JH437),0,IF(JX$8="Per Line",1,$AF439)),0)),IF($IB437=TRUE,IF(OR(JX$14="No",JX437=FALSE,$JH439&lt;=$JH437),0,IF(JX$8="Per Line",1,$AF439)))),0)</f>
        <v>0</v>
      </c>
      <c r="JZ439" s="1670">
        <f>IFERROR(IF($IB437=TRUE,IF(OR(JZ$14="No",JZ437=FALSE,$JH439&lt;=$JH437,AND(_kWh_Grant=0,$GD437=FALSE)),0,IF(JZ$8="Per Line",1,$AF439)),0),0)</f>
        <v>0</v>
      </c>
      <c r="KB439" s="1670">
        <f>IFERROR(IF(__Retrofit_TI_NC=0,IF(_kWh_Grant=0,0,IF($IB437=TRUE,IF(OR(KB$14="No",KB437=FALSE,$JH439&lt;=$JH437),0,IF(KB$8="Per Line",1,$AF439)),0)),IF($IB437=TRUE,IF(OR(KB$14="No",KB437=FALSE,$JH439&lt;=$JH437),0,IF(KB$8="Per Line",1,$AF439)))),0)</f>
        <v>0</v>
      </c>
    </row>
    <row r="440" spans="1:288" s="78" customFormat="1" ht="14.95" customHeight="1" thickTop="1" thickBot="1">
      <c r="B440" s="1845"/>
      <c r="C440" s="1846"/>
      <c r="D440" s="1847"/>
      <c r="E440" s="1771" t="s">
        <v>436</v>
      </c>
      <c r="F440" s="1772"/>
      <c r="G440" s="1784" t="s">
        <v>437</v>
      </c>
      <c r="H440" s="1785"/>
      <c r="I440" s="1785"/>
      <c r="J440" s="1785"/>
      <c r="K440" s="1785"/>
      <c r="L440" s="1786"/>
      <c r="M440" s="591">
        <f>IFERROR(VLOOKUP(G440,_Daylight_Table[],2,FALSE),0)</f>
        <v>0</v>
      </c>
      <c r="N440" s="592" t="str">
        <f>IF(AND(__Retrofit_TI_NC&gt;0,CQ437="Interior"),"BAM","")</f>
        <v/>
      </c>
      <c r="O440" s="591" t="e">
        <f>VLOOKUP(G439,'Space Table'!$B$3:$L$163,11,FALSE)</f>
        <v>#N/A</v>
      </c>
      <c r="P440" s="1789"/>
      <c r="Q440" s="1790"/>
      <c r="R440" s="1790"/>
      <c r="S440" s="1788"/>
      <c r="T440" s="593" t="s">
        <v>342</v>
      </c>
      <c r="U440" s="1756" t="str" cm="1">
        <f t="array" aca="1" ref="U440" ca="1">IFERROR(VLOOKUP(INDIRECT("U" &amp; ROW()-1),Fixtures!DM$93:DP$142,4,FALSE),"")</f>
        <v/>
      </c>
      <c r="V440" s="1757"/>
      <c r="W440" s="1757"/>
      <c r="X440" s="1757"/>
      <c r="Y440" s="1757"/>
      <c r="Z440" s="1757"/>
      <c r="AA440" s="1758"/>
      <c r="AB440" s="939" t="str">
        <f>IFERROR(VLOOKUP(U439,Fixtures_Proposed_List,2,FALSE),"")</f>
        <v/>
      </c>
      <c r="AC440" s="933" t="str">
        <f>IFERROR(ROUND(T439*AB440*N438*R438/1000,0),"")</f>
        <v/>
      </c>
      <c r="AD440" s="934" t="str">
        <f>IFERROR(ROUND(T439*AB440/1000,2),"")</f>
        <v/>
      </c>
      <c r="AE440" s="998"/>
      <c r="AF440" s="938" t="s">
        <v>342</v>
      </c>
      <c r="AG440" s="1770"/>
      <c r="AH440" s="1770"/>
      <c r="AI440" s="1770"/>
      <c r="AJ440" s="1770"/>
      <c r="AK440" s="1770"/>
      <c r="AL440" s="1770"/>
      <c r="AM440" s="1727"/>
      <c r="AN440" s="1729"/>
      <c r="AO440" s="1731"/>
      <c r="AP440" s="1782"/>
      <c r="AQ440" s="1783"/>
      <c r="AR440" s="1797"/>
      <c r="AS440" s="1797"/>
      <c r="AT440" s="1798"/>
      <c r="AU440" s="1736"/>
      <c r="AV440" s="1753"/>
      <c r="AW440" s="1706"/>
      <c r="AX440" s="468"/>
      <c r="AY440" s="1750"/>
      <c r="AZ440" s="1750"/>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696"/>
      <c r="CQ440" s="1696"/>
      <c r="CR440" s="1809"/>
      <c r="CS440" s="1811"/>
      <c r="CU440" s="1688"/>
      <c r="CV440" s="1703"/>
      <c r="CW440" s="1703"/>
      <c r="CX440" s="1813"/>
      <c r="CY440" s="1815"/>
      <c r="CZ440" s="1711"/>
      <c r="DA440" s="1815"/>
      <c r="DB440" s="1821"/>
      <c r="DC440" s="1821"/>
      <c r="DD440" s="1821"/>
      <c r="DF440" s="1703"/>
      <c r="DG440" s="1831"/>
      <c r="DH440" s="1813"/>
      <c r="DI440" s="1838"/>
      <c r="DJ440" s="1711"/>
      <c r="DK440" s="1712"/>
      <c r="DN440" s="1718"/>
      <c r="DO440" s="1709"/>
      <c r="DQ440" s="1715"/>
      <c r="DR440" s="1720"/>
      <c r="DS440" s="1703"/>
      <c r="DT440" s="1714"/>
      <c r="DU440" s="1715"/>
      <c r="DV440" s="1716"/>
      <c r="DX440" s="1715"/>
      <c r="DY440" s="1720"/>
      <c r="DZ440" s="1715"/>
      <c r="EA440" s="1715"/>
      <c r="EC440" s="1834"/>
      <c r="ED440" s="1834"/>
      <c r="EF440" s="1707"/>
      <c r="EG440" s="1712"/>
      <c r="EH440" s="1815"/>
      <c r="EI440" s="1712"/>
      <c r="EJ440" s="1712"/>
      <c r="EK440" s="1813"/>
      <c r="EL440" s="1813"/>
      <c r="EM440" s="1807"/>
      <c r="EN440" s="1839"/>
      <c r="EO440" s="1839"/>
      <c r="EP440" s="1817"/>
      <c r="EQ440" s="1817"/>
      <c r="ER440" s="1807"/>
      <c r="ES440" s="1807"/>
      <c r="ET440" s="1807"/>
      <c r="EV440" s="1715"/>
      <c r="EX440" s="1806"/>
      <c r="EY440" s="1806"/>
      <c r="EZ440" s="1806"/>
      <c r="FA440" s="1806"/>
      <c r="FB440" s="1806"/>
      <c r="FC440" s="1828"/>
      <c r="FE440" s="1698"/>
      <c r="FG440" s="1703"/>
      <c r="FH440" s="1703"/>
      <c r="FI440" s="133"/>
      <c r="FL440" s="1823"/>
      <c r="FM440" s="1825"/>
      <c r="FN440" s="1698"/>
      <c r="FO440" s="1698"/>
      <c r="FP440" s="1678"/>
      <c r="FQ440" s="1698"/>
      <c r="FS440" s="1687"/>
      <c r="FT440" s="1687"/>
      <c r="FU440" s="1685"/>
      <c r="FV440" s="1687"/>
      <c r="FW440" s="1687"/>
      <c r="FX440" s="1687"/>
      <c r="FY440" s="1697"/>
      <c r="GA440" s="1696"/>
      <c r="GB440" s="1696"/>
      <c r="GC440" s="1696"/>
      <c r="GD440" s="1696"/>
      <c r="GE440" s="1696"/>
      <c r="GF440" s="1696"/>
      <c r="GG440" s="1696"/>
      <c r="GH440" s="1696"/>
      <c r="GI440" s="673"/>
      <c r="GJ440" s="1135"/>
      <c r="GK440" s="1832"/>
      <c r="GN440" s="674">
        <f>IF(GN438=TRUE,0,GN$16)</f>
        <v>0</v>
      </c>
      <c r="GP440" s="674">
        <f>IF(GP438=TRUE,0,GP$16)</f>
        <v>36</v>
      </c>
      <c r="GQ440" s="674">
        <f ca="1">IF(GQ438=TRUE,0,GQ$16)</f>
        <v>35</v>
      </c>
      <c r="GR440" s="391"/>
      <c r="GS440" s="391"/>
      <c r="GT440" s="391"/>
      <c r="GU440" s="391"/>
      <c r="GV440" s="391"/>
      <c r="HG440" s="674">
        <f>IF(HG438=TRUE,0,HG$16)</f>
        <v>0</v>
      </c>
      <c r="HH440" s="674">
        <f t="shared" ref="HH440:HM440" si="393">IF(HH438=TRUE,0,HH$16)</f>
        <v>19</v>
      </c>
      <c r="HI440" s="674">
        <f t="shared" si="393"/>
        <v>18</v>
      </c>
      <c r="HJ440" s="674">
        <f t="shared" si="393"/>
        <v>17</v>
      </c>
      <c r="HK440" s="674">
        <f t="shared" si="393"/>
        <v>16</v>
      </c>
      <c r="HL440" s="674">
        <f t="shared" si="393"/>
        <v>0</v>
      </c>
      <c r="HM440" s="674">
        <f t="shared" si="393"/>
        <v>0</v>
      </c>
      <c r="HN440" s="674">
        <f>IF(HN438=TRUE,0,HN$16)</f>
        <v>13</v>
      </c>
      <c r="HO440" s="674">
        <f t="shared" ref="HO440:HQ440" si="394">IF(HO438=TRUE,0,HO$16)</f>
        <v>0</v>
      </c>
      <c r="HP440" s="674">
        <f t="shared" si="394"/>
        <v>0</v>
      </c>
      <c r="HQ440" s="674">
        <f t="shared" si="394"/>
        <v>10</v>
      </c>
      <c r="HR440" s="674">
        <f>IF(HR438=TRUE,0,HR$16)</f>
        <v>9</v>
      </c>
      <c r="HS440" s="674">
        <f t="shared" ref="HS440:HW440" si="395">IF(HS438=TRUE,0,HS$16)</f>
        <v>0</v>
      </c>
      <c r="HT440" s="674">
        <f t="shared" si="395"/>
        <v>0</v>
      </c>
      <c r="HU440" s="674">
        <f t="shared" si="395"/>
        <v>0</v>
      </c>
      <c r="HV440" s="674">
        <f t="shared" si="395"/>
        <v>0</v>
      </c>
      <c r="HW440" s="674">
        <f t="shared" si="395"/>
        <v>0</v>
      </c>
      <c r="HX440" s="674">
        <f>IF(HX438=TRUE,0,HX$16)</f>
        <v>0</v>
      </c>
      <c r="HY440" s="674">
        <f>IF(HY438=TRUE,0,HY$16)</f>
        <v>0</v>
      </c>
      <c r="HZ440" s="674">
        <f>IF(HZ438=TRUE,0,HZ$16)</f>
        <v>1</v>
      </c>
      <c r="IB440" s="674">
        <f>IF(GP438=FALSE,GP440,IF(GQ438=FALSE,GQ440,MAX(GN440:HZ440)))</f>
        <v>36</v>
      </c>
      <c r="IC440" s="1692"/>
      <c r="ID440" s="205" t="str">
        <f>VLOOKUP(IB440,_Error_Table,3,FALSE)</f>
        <v xml:space="preserve"> </v>
      </c>
      <c r="IE440" s="205"/>
      <c r="IF440" s="1688"/>
      <c r="IG440" s="1689"/>
      <c r="IH440" s="1684"/>
      <c r="IK440" s="1689"/>
      <c r="IL440" s="1692"/>
      <c r="IM440" s="1692"/>
      <c r="IN440" s="1692"/>
      <c r="IP440" s="1679"/>
      <c r="IQ440" s="1679"/>
      <c r="IR440" s="1679"/>
      <c r="IS440" s="1679"/>
      <c r="IT440" s="1679"/>
      <c r="IU440" s="1679"/>
      <c r="IV440" s="1679"/>
      <c r="IW440" s="1679"/>
      <c r="IX440" s="1679"/>
      <c r="IY440" s="1679"/>
      <c r="IZ440" s="1679"/>
      <c r="JA440" s="1679"/>
      <c r="JC440" s="1680"/>
      <c r="JD440" s="1670"/>
      <c r="JE440" s="1681"/>
      <c r="JG440" s="1680"/>
      <c r="JH440" s="1670"/>
      <c r="JI440" s="1060"/>
      <c r="JJ440" s="1670"/>
      <c r="JK440" s="1061"/>
      <c r="JL440" s="1670"/>
      <c r="JM440" s="1061"/>
      <c r="JN440" s="1670"/>
      <c r="JO440" s="1061"/>
      <c r="JP440" s="1670"/>
      <c r="JQ440" s="1061"/>
      <c r="JR440" s="1670"/>
      <c r="JS440" s="1061"/>
      <c r="JT440" s="1670"/>
      <c r="JU440" s="1061"/>
      <c r="JV440" s="1670"/>
      <c r="JX440" s="1670"/>
      <c r="JZ440" s="1670"/>
      <c r="KB440" s="1670"/>
    </row>
    <row r="441" spans="1:288" s="78" customFormat="1" ht="5.0999999999999996" customHeight="1">
      <c r="B441" s="676"/>
      <c r="C441" s="392"/>
      <c r="D441" s="392"/>
      <c r="E441" s="1733"/>
      <c r="F441" s="1733"/>
      <c r="G441" s="1733"/>
      <c r="H441" s="1733"/>
      <c r="I441" s="1733"/>
      <c r="J441" s="1733"/>
      <c r="K441" s="1733"/>
      <c r="L441" s="1733"/>
      <c r="M441" s="1733"/>
      <c r="N441" s="1733"/>
      <c r="O441" s="1733"/>
      <c r="P441" s="1733"/>
      <c r="Q441" s="1733"/>
      <c r="R441" s="1733"/>
      <c r="S441" s="1733"/>
      <c r="T441" s="1733"/>
      <c r="U441" s="1733"/>
      <c r="V441" s="1733"/>
      <c r="W441" s="1733"/>
      <c r="X441" s="1733"/>
      <c r="Y441" s="1733"/>
      <c r="Z441" s="1733"/>
      <c r="AA441" s="1733"/>
      <c r="AB441" s="1733"/>
      <c r="AC441" s="1733"/>
      <c r="AD441" s="1733"/>
      <c r="AE441" s="1733"/>
      <c r="AF441" s="1733"/>
      <c r="AG441" s="1733"/>
      <c r="AH441" s="1733"/>
      <c r="AI441" s="1733"/>
      <c r="AJ441" s="1733"/>
      <c r="AK441" s="1733"/>
      <c r="AL441" s="1733"/>
      <c r="AM441" s="1733"/>
      <c r="AN441" s="1733"/>
      <c r="AO441" s="1733"/>
      <c r="AP441" s="1733"/>
      <c r="AQ441" s="1733"/>
      <c r="AR441" s="1733"/>
      <c r="AS441" s="1733"/>
      <c r="AT441" s="1733"/>
      <c r="AU441" s="1733"/>
      <c r="AV441" s="1733"/>
      <c r="AW441" s="1733"/>
      <c r="AX441" s="469"/>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663"/>
      <c r="CQ441" s="663"/>
      <c r="CR441" s="438"/>
      <c r="CS441" s="663"/>
      <c r="CV441" s="391"/>
      <c r="CW441" s="391"/>
      <c r="CX441" s="207"/>
      <c r="CY441" s="208"/>
      <c r="CZ441" s="208"/>
      <c r="DA441" s="208"/>
      <c r="DB441" s="209"/>
      <c r="DC441" s="209"/>
      <c r="DD441" s="209"/>
      <c r="DF441" s="664"/>
      <c r="DG441" s="665"/>
      <c r="DH441" s="666"/>
      <c r="DI441" s="667"/>
      <c r="DJ441" s="668"/>
      <c r="DK441" s="668"/>
      <c r="DN441" s="208"/>
      <c r="DO441" s="664"/>
      <c r="DQ441" s="664"/>
      <c r="DR441" s="669"/>
      <c r="DS441" s="391"/>
      <c r="DT441" s="664"/>
      <c r="DU441" s="664"/>
      <c r="DV441" s="664"/>
      <c r="DX441" s="664"/>
      <c r="DY441" s="664"/>
      <c r="DZ441" s="664"/>
      <c r="EA441" s="664"/>
      <c r="EC441" s="670"/>
      <c r="ED441" s="670"/>
      <c r="EF441" s="668"/>
      <c r="EG441" s="668"/>
      <c r="EH441" s="208"/>
      <c r="EI441" s="668"/>
      <c r="EJ441" s="668"/>
      <c r="EK441" s="207"/>
      <c r="EL441" s="207"/>
      <c r="EM441" s="666"/>
      <c r="EN441" s="671"/>
      <c r="EO441" s="671"/>
      <c r="EP441" s="672"/>
      <c r="EQ441" s="672"/>
      <c r="ER441" s="666"/>
      <c r="ES441" s="666"/>
      <c r="ET441" s="666"/>
      <c r="EV441" s="664"/>
      <c r="EX441" s="391"/>
      <c r="EY441" s="391"/>
      <c r="EZ441" s="391"/>
      <c r="FA441" s="391"/>
      <c r="FB441" s="391"/>
      <c r="FC441" s="391"/>
      <c r="FE441" s="569"/>
      <c r="FG441" s="391"/>
      <c r="FH441" s="391"/>
      <c r="FI441" s="391"/>
      <c r="FS441" s="664"/>
      <c r="FT441" s="391"/>
      <c r="FU441" s="391"/>
      <c r="FV441" s="664"/>
      <c r="FW441" s="664"/>
      <c r="GA441" s="663"/>
      <c r="GB441" s="663"/>
      <c r="GC441" s="663"/>
      <c r="GD441" s="663"/>
      <c r="GE441" s="663"/>
      <c r="GF441" s="663"/>
      <c r="GG441" s="663"/>
      <c r="GH441" s="663"/>
      <c r="GI441" s="665"/>
      <c r="GJ441" s="664"/>
      <c r="GK441" s="664"/>
    </row>
    <row r="442" spans="1:288" s="78" customFormat="1" ht="14.95" customHeight="1">
      <c r="B442" s="1845" t="str">
        <f>ID445</f>
        <v xml:space="preserve"> </v>
      </c>
      <c r="C442" s="1846">
        <f>C437+1</f>
        <v>77</v>
      </c>
      <c r="D442" s="1847"/>
      <c r="E442" s="1799" t="s">
        <v>295</v>
      </c>
      <c r="F442" s="1800"/>
      <c r="G442" s="1741"/>
      <c r="H442" s="1742"/>
      <c r="I442" s="1742"/>
      <c r="J442" s="1742"/>
      <c r="K442" s="1742"/>
      <c r="L442" s="1742"/>
      <c r="M442" s="1742"/>
      <c r="N442" s="1742"/>
      <c r="O442" s="1742"/>
      <c r="P442" s="1742"/>
      <c r="Q442" s="1742"/>
      <c r="R442" s="1742"/>
      <c r="S442" s="1791" t="s">
        <v>344</v>
      </c>
      <c r="T442" s="590"/>
      <c r="U442" s="1743"/>
      <c r="V442" s="1744"/>
      <c r="W442" s="1744"/>
      <c r="X442" s="1744"/>
      <c r="Y442" s="1744"/>
      <c r="Z442" s="1744"/>
      <c r="AA442" s="1744"/>
      <c r="AB442" s="961" t="str">
        <f>IFERROR(IF(__Retrofit_TI_NC=0,VLOOKUP(U443,Fixtures_Existing_List,2,FALSE),ROUND(N444*R444/T444,10)),"")</f>
        <v/>
      </c>
      <c r="AC442" s="935" t="str">
        <f>IFERROR(IF(__Retrofit_TI_NC=0,ROUND(T443*AB442*N443*R443/1000,0),IF(CQ442="Interior",N444*R444*R443*N443*_C406_reduction/1000,N444*R444*R443*N443/1000)),"")</f>
        <v/>
      </c>
      <c r="AD442" s="936" t="str">
        <f>IFERROR(IF(C$43=0,ROUND(T443*AB442/1000,2),N444*R444/1000),"")</f>
        <v/>
      </c>
      <c r="AE442" s="997"/>
      <c r="AF442" s="937"/>
      <c r="AG442" s="1745" t="str">
        <f>IF(__Retrofit_TI_NC=0," Control","Select Advanced Control for New System")</f>
        <v xml:space="preserve"> Control</v>
      </c>
      <c r="AH442" s="1745"/>
      <c r="AI442" s="1745"/>
      <c r="AJ442" s="1745"/>
      <c r="AK442" s="1745"/>
      <c r="AL442" s="1745"/>
      <c r="AM442" s="1746">
        <f>IFERROR(DI442,"")</f>
        <v>0</v>
      </c>
      <c r="AN442" s="1774" t="str">
        <f>IFERROR(ROUND(AM442*AC442,0),"")</f>
        <v/>
      </c>
      <c r="AO442" s="1776">
        <f>IFERROR(IF(IB442=FALSE,0,AC442-AN442),0)</f>
        <v>0</v>
      </c>
      <c r="AP442" s="1778">
        <f>AO442-AO444</f>
        <v>0</v>
      </c>
      <c r="AQ442" s="1779"/>
      <c r="AR442" s="1793">
        <f>IFERROR(IF(IB442=FALSE,0,(T444*U445)+(AF444*AG445)),0)</f>
        <v>0</v>
      </c>
      <c r="AS442" s="1793"/>
      <c r="AT442" s="1794"/>
      <c r="AU442" s="1734" t="s">
        <v>237</v>
      </c>
      <c r="AV442" s="1751">
        <f>IF(AU442="Yes",1,0)</f>
        <v>1</v>
      </c>
      <c r="AW442" s="1704" t="str">
        <f>IF(OR(DQ442=4,DQ442=5,DQ442=6,DQ442=12),CONCATENATE("$",IF(GH442=TRUE,Lookup!$K$10,Lookup!$K$2)," /lamp"),CONCATENATE(TEXT(ED442,"$0.00"),"/ kWh"))</f>
        <v>$0.00/ kWh</v>
      </c>
      <c r="AX442" s="467"/>
      <c r="AY442" s="1748">
        <f ca="1">IFERROR(IF(GM443=TRUE,(AB445*T444)/R444,0),"NA")</f>
        <v>0</v>
      </c>
      <c r="AZ442" s="1748"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696" t="str">
        <f>N443</f>
        <v/>
      </c>
      <c r="CQ442" s="1696" t="str">
        <f>IFERROR(VLOOKUP(G443,_Lookup_Heat_Type_Table_New,3,FALSE),"")</f>
        <v/>
      </c>
      <c r="CR442" s="1808" t="str">
        <f>CQ442</f>
        <v/>
      </c>
      <c r="CS442" s="1810" t="str">
        <f>IFERROR(VLOOKUP(G444,'Space Table'!$B$3:$L$163,9,FALSE),"")</f>
        <v/>
      </c>
      <c r="CU442" s="1688" t="s">
        <v>344</v>
      </c>
      <c r="CV442" s="1702">
        <f>IF(IB442=TRUE,T443,0)</f>
        <v>0</v>
      </c>
      <c r="CW442" s="1702" t="str">
        <f>IF(IB442=TRUE,U443,"")</f>
        <v/>
      </c>
      <c r="CX442" s="1702"/>
      <c r="CY442" s="1814">
        <f>IF(IB442=TRUE,AB442,0)</f>
        <v>0</v>
      </c>
      <c r="CZ442" s="1710">
        <f>IF(AND(__Retrofit_TI_NC&gt;0,CR442="interior"),0,IF(IB442=TRUE,AC442,0))</f>
        <v>0</v>
      </c>
      <c r="DA442" s="1814">
        <f>IFERROR(IF(IB442=TRUE,CZ442-CZ444,0),0)</f>
        <v>0</v>
      </c>
      <c r="DB442" s="1819">
        <f>IF(IB442=TRUE,AD442,0)</f>
        <v>0</v>
      </c>
      <c r="DC442" s="1819">
        <f>IF(IB442=TRUE,AD445,0)</f>
        <v>0</v>
      </c>
      <c r="DD442" s="1819">
        <f>IFERROR(DB442-DC442,0)</f>
        <v>0</v>
      </c>
      <c r="DF442" s="1702">
        <f>IF(IB442=TRUE,AF443,0)</f>
        <v>0</v>
      </c>
      <c r="DG442" s="1830">
        <f>IFERROR(IF(__Retrofit_TI_NC=2,IF(CQ442="Exterior",O445,FQ442),FN442),"")</f>
        <v>0</v>
      </c>
      <c r="DH442" s="1702"/>
      <c r="DI442" s="1837">
        <f>JE442</f>
        <v>0</v>
      </c>
      <c r="DJ442" s="1710">
        <f>IF(AND(__Retrofit_TI_NC&gt;0,CR442="interior"),0,IF(IB442=TRUE,AN442,0))</f>
        <v>0</v>
      </c>
      <c r="DK442" s="1712">
        <f>IFERROR(IF(IB442=TRUE,DJ444-DJ442,0),0)</f>
        <v>0</v>
      </c>
      <c r="DM442" s="1717">
        <f>IFERROR(CZ442-DJ442,0)</f>
        <v>0</v>
      </c>
      <c r="DO442" s="1708">
        <f>DM442-DN444</f>
        <v>0</v>
      </c>
      <c r="DQ442" s="1715" t="str">
        <f>IFERROR(IF(AND(OR(GC442=4,GC442=5,GC442=6),OR(GF442=4,GF442=5,GF442=6)),GC442+8,VLOOKUP(CW444,Fixtures!R$31:Y$78,8,FALSE)),"")</f>
        <v/>
      </c>
      <c r="DR442" s="1829" t="str">
        <f>DQ442</f>
        <v/>
      </c>
      <c r="DS442" s="1702" t="str">
        <f>IFERROR(VLOOKUP(DG444,Lookup!BB$3:BC$20,2,FALSE),"")</f>
        <v/>
      </c>
      <c r="DT442" s="1713" t="str">
        <f>IF(OR(DS442=7,DS442=8,DS442=9),"ALC","")</f>
        <v/>
      </c>
      <c r="DU442" s="1715">
        <f>IFERROR(IF(OR(DQ442=4,DQ442=5,DQ442=6,DQ442=12,DQ442=13,DQ442=14),VLOOKUP(CW444,Fixtures!DN$27:EG$77,19,FALSE),1)*CV444,0)</f>
        <v>0</v>
      </c>
      <c r="DV442" s="1716">
        <f>IF(OR(DS442=7,DS442=8,DS442=9),IF(DG442=DG444,0,DF444),0)</f>
        <v>0</v>
      </c>
      <c r="DX442" s="1715" t="str">
        <f>IFERROR(IF(EZ442&lt;EZ444,"Yes","No"),"")</f>
        <v/>
      </c>
      <c r="DY442" s="1829" t="str">
        <f>DX442</f>
        <v/>
      </c>
      <c r="DZ442" s="1715">
        <f>IF(DX442="Yes",DF444,0)</f>
        <v>0</v>
      </c>
      <c r="EA442" s="1715">
        <f>DZ442-DV442</f>
        <v>0</v>
      </c>
      <c r="EC442" s="1834">
        <f>IFERROR(VLOOKUP(DQ442,Lookup!AU$3:AV$16,2,FALSE),0)</f>
        <v>0</v>
      </c>
      <c r="ED442" s="1834">
        <f>IF(IB442=FALSE,0,IF(DX442="Yes",EC442+Lookup!K$6,EC442))</f>
        <v>0</v>
      </c>
      <c r="EF442" s="1707">
        <f>IF(IB442=TRUE,DM442,0)</f>
        <v>0</v>
      </c>
      <c r="EG442" s="1712">
        <f>IF(IB442=TRUE,CZ444,0)</f>
        <v>0</v>
      </c>
      <c r="EH442" s="1814">
        <f>IFERROR(EF442-EG442,0)</f>
        <v>0</v>
      </c>
      <c r="EI442" s="1712">
        <f>IF(IB442=TRUE,DJ444,0)</f>
        <v>0</v>
      </c>
      <c r="EJ442" s="1712">
        <f>IFERROR(EF442-EG442+EI442,0)</f>
        <v>0</v>
      </c>
      <c r="EK442" s="1812">
        <f>IF(IB442=TRUE,CV444*CX444,0)</f>
        <v>0</v>
      </c>
      <c r="EL442" s="1812">
        <f>IF(IB442=TRUE,DF444*DH444,0)</f>
        <v>0</v>
      </c>
      <c r="EM442" s="1807">
        <f>AR442</f>
        <v>0</v>
      </c>
      <c r="EN442" s="1839" t="str">
        <f>IFERROR(IF(IB442=TRUE,VLOOKUP(DQ442,Lookup!AU$3:AW$16,3,FALSE)*DU442,""),0)</f>
        <v/>
      </c>
      <c r="EO442" s="1839">
        <f>IF(IB442=TRUE,DZ442*Lookup!AW$12,0)</f>
        <v>0</v>
      </c>
      <c r="EP442" s="1817">
        <f>IFERROR(IF(IB442=TRUE,EN442/EP$40,0),0)</f>
        <v>0</v>
      </c>
      <c r="EQ442" s="1817">
        <f>IF(IB442=TRUE,EO442/EQ$40,0)</f>
        <v>0</v>
      </c>
      <c r="ER442" s="1807">
        <f>IF(IB442=TRUE,ET$40*EP442,0)</f>
        <v>0</v>
      </c>
      <c r="ES442" s="1807">
        <f>IF(IB442=TRUE,ET$40*EQ442,0)</f>
        <v>0</v>
      </c>
      <c r="ET442" s="1807">
        <f>ER442+ES442</f>
        <v>0</v>
      </c>
      <c r="EV442" s="1715">
        <f>IF(G442="",0,1)</f>
        <v>0</v>
      </c>
      <c r="EX442" s="1804" t="str">
        <f>IFERROR(VLOOKUP(CS444,'Space Table'!$B$3:$L$163,8,FALSE),"")</f>
        <v/>
      </c>
      <c r="EY442" s="1804" t="str">
        <f>IFERROR(IF(FB442="Yes",VLOOKUP(DG442,Lookup_Control_Type_Table2,4,FALSE),VLOOKUP(DG442,Lookup_Control_Type_Table2,3,FALSE)),"")</f>
        <v/>
      </c>
      <c r="EZ442" s="1804" t="e">
        <f>VLOOKUP(DG442,Lookup!BB$3:BC$20,2,FALSE)</f>
        <v>#N/A</v>
      </c>
      <c r="FA442" s="1804" t="e">
        <f>VLOOKUP(EX442,Lookup_Control_Type_Table,2,FALSE)</f>
        <v>#N/A</v>
      </c>
      <c r="FB442" s="1804" t="e">
        <f>VLOOKUP(CS444,'Space Table'!$B$3:$L$163,7,FALSE)</f>
        <v>#N/A</v>
      </c>
      <c r="FC442" s="1826" t="b">
        <f>ISNUMBER(SEARCH("TLED",U444))</f>
        <v>0</v>
      </c>
      <c r="FE442" s="1698" t="str">
        <f>CONCATENATE(CQ442," - ",DG442)</f>
        <v xml:space="preserve"> - 0</v>
      </c>
      <c r="FG442" s="1702" t="str">
        <f>VLOOKUP(CW444,Fixtures!DN$27:EZ$77,38,FALSE)</f>
        <v/>
      </c>
      <c r="FH442" s="1702">
        <f>IFERROR(FG442*EH442,0)</f>
        <v>0</v>
      </c>
      <c r="FI442" s="133"/>
      <c r="FL442" s="1822" t="str">
        <f>IF(CQ442="Exterior","Not Daylighted",G445)</f>
        <v>Not Daylighted</v>
      </c>
      <c r="FM442" s="1824">
        <f>VLOOKUP(FL442,_New_Daylight_Table_Codes,2,FALSE)</f>
        <v>0</v>
      </c>
      <c r="FN442" s="1698">
        <f>IF(__Retrofit_TI_NC&gt;0,VLOOKUP(G444,'Space Table'!$B$3:$L$163,11,FALSE),AG443)</f>
        <v>0</v>
      </c>
      <c r="FO442" s="1698" t="e">
        <f>IF(__Retrofit_TI_NC=2,VLOOKUP(FQ442,_Control_Table,2,FALSE),VLOOKUP(FN442,_Control_Table,2,FALSE))</f>
        <v>#N/A</v>
      </c>
      <c r="FP442" s="1678" t="e">
        <f>VLOOKUP(CONCATENATE(FL442," ",FN442),Lookup!AY$102:AZ452,2,FALSE)</f>
        <v>#N/A</v>
      </c>
      <c r="FQ442" s="1678">
        <f>IF(__Retrofit_TI_NC=0,FN442,IF(AND(FT442&gt;0,FN442="Occupancy Sensor"),"Daylight + Occupancy",IF(AND(FT442&gt;0,VLOOKUP(FN442,_Control_Table,2,FALSE)&lt;4),"Interior Daylight Dimming",FN442)))</f>
        <v>0</v>
      </c>
      <c r="FS442" s="1686">
        <f>IF(CR442="Interior",VLOOKUP(CS442,Control_Savings_Interior,5,FALSE),0)</f>
        <v>0</v>
      </c>
      <c r="FT442" s="1687">
        <f>IF(CQ442="Exterior",0,IF(FM442=2,0.5,IF(OR(FM442=1,FM442=3),1,0)))</f>
        <v>0</v>
      </c>
      <c r="FU442" s="1685">
        <f>IF(R441&gt;FS$44,(FS442*(FS$44/R441)),FS442)*FT442</f>
        <v>0</v>
      </c>
      <c r="FV442" s="1686">
        <f>DI442</f>
        <v>0</v>
      </c>
      <c r="FW442" s="1686">
        <f>ROUND(FV442+((1-FV442)*FU442),2)</f>
        <v>0</v>
      </c>
      <c r="FX442" s="1686">
        <f>IF(__Retrofit_TI_NC=2,FW442,FV442)</f>
        <v>0</v>
      </c>
      <c r="FY442" s="1697"/>
      <c r="GA442" s="1696" t="str">
        <f>IFERROR(VLOOKUP(U443,_Exist_Fixture_Table,3,FALSE),"")</f>
        <v/>
      </c>
      <c r="GB442" s="1696" t="str">
        <f>VLOOKUP(CW442,_Exist_Fixture_Table,4,FALSE)</f>
        <v/>
      </c>
      <c r="GC442" s="1696">
        <f>IFERROR(VLOOKUP(GB442,Lookup!AT$6:AU$8,2,FALSE),0)</f>
        <v>0</v>
      </c>
      <c r="GD442" s="1696" t="b">
        <f>IFERROR(IF(OR(GF442=4,GF442=5,GF442=6),TRUE,FALSE),"")</f>
        <v>0</v>
      </c>
      <c r="GE442" s="1696" t="str">
        <f>IFERROR(VLOOKUP(GF442,GC$6:GD$10,2,FALSE),"")</f>
        <v/>
      </c>
      <c r="GF442" s="1696" t="str">
        <f>VLOOKUP(CW444,Fixtures!R$31:Y$78,8,FALSE)</f>
        <v/>
      </c>
      <c r="GG442" s="1696">
        <f>IF(AND(GA442=TRUE,GD442=TRUE,OR(DQ442=12,DQ442=13,DQ442=14)),GC442+8,0)</f>
        <v>0</v>
      </c>
      <c r="GH442" s="1696" t="b">
        <f>IF(OR(GG442=12,GG442=13,GG442=14),TRUE,FALSE)</f>
        <v>0</v>
      </c>
      <c r="GI442" s="673" t="b">
        <f>IF(ISNUMBER(SEARCH("TLED",U443)),TRUE,FALSE)</f>
        <v>0</v>
      </c>
      <c r="GJ442" s="1135" t="str">
        <f>IFERROR(VLOOKUP(U443,Fixtures!BM$93:BR$142,6,FALSE),"")</f>
        <v/>
      </c>
      <c r="GK442" s="1832" t="b">
        <f>IF(OR(GI442=FALSE,GI444=FALSE),TRUE,IF(GJ442-GJ444&lt;5,FALSE,TRUE))</f>
        <v>1</v>
      </c>
      <c r="GO442" s="674">
        <f>GP442</f>
        <v>0</v>
      </c>
      <c r="GP442" s="674">
        <f>IF(G442="",0,1)</f>
        <v>0</v>
      </c>
      <c r="GQ442" s="674">
        <f ca="1">SUM(GR442:HF442)</f>
        <v>2</v>
      </c>
      <c r="GR442" s="674">
        <f>IF(G443="",0,1)</f>
        <v>0</v>
      </c>
      <c r="GS442" s="674">
        <f>IF(N445="BAM",1,IF(G444="",0,1))</f>
        <v>0</v>
      </c>
      <c r="GT442" s="674">
        <f>IF(N445="BAM",1,IF(R443="",0,1))</f>
        <v>0</v>
      </c>
      <c r="GU442" s="674">
        <f>IF(N445="BAM",1,IF(__Retrofit_TI_NC=0,1,IF(R444="",0,1)))</f>
        <v>1</v>
      </c>
      <c r="GV442" s="674">
        <f>IF(N445="BAM",1,IF(CQ442="Exterior",1,IF(G445="",0,1)))</f>
        <v>1</v>
      </c>
      <c r="GW442" s="674">
        <f>IF(__Retrofit_TI_NC&gt;0,1,IF(T443="",0,1))</f>
        <v>0</v>
      </c>
      <c r="GX442" s="674">
        <f>IF(__Retrofit_TI_NC&gt;0,1,IF(U443="",0,1))</f>
        <v>0</v>
      </c>
      <c r="GY442" s="674">
        <f>IF(N445="BAM",1,IF(T444="",0,1))</f>
        <v>0</v>
      </c>
      <c r="GZ442" s="674">
        <f>IF(N445="BAM",1,IF(U444="",0,1))</f>
        <v>0</v>
      </c>
      <c r="HA442" s="674">
        <f ca="1">IF(N445="BAM",1,IF(__Retrofit_TI_NC&gt;0,1,IF(U445="",0,1)))</f>
        <v>0</v>
      </c>
      <c r="HB442" s="674">
        <f>IF(__Retrofit_TI_NC&lt;&gt;0,1,IF(AF443="",0,1))</f>
        <v>0</v>
      </c>
      <c r="HC442" s="674">
        <f>IF(__Retrofit_TI_NC&lt;&gt;0,1,IF(AG443="",0,1))</f>
        <v>0</v>
      </c>
      <c r="HD442" s="674">
        <f>IF(N445="BAM",1,IF(AF444="",0,1))</f>
        <v>0</v>
      </c>
      <c r="HE442" s="674">
        <f>IF(N445="BAM",1,IF(AG444="",0,1))</f>
        <v>0</v>
      </c>
      <c r="HF442" s="674">
        <f>IF(N445="BAM",1,IF(__Retrofit_TI_NC&gt;0,1,IF(AG445="",0,1)))</f>
        <v>0</v>
      </c>
      <c r="HG442" s="391"/>
      <c r="IA442" s="391"/>
      <c r="IB442" s="1693" t="b">
        <f>IF(OR(IB445=0,IB445=HY$16,IB445=HX$16,IB445=HZ$16),TRUE,FALSE)</f>
        <v>0</v>
      </c>
      <c r="IC442" s="1694" t="b">
        <f>IB442</f>
        <v>0</v>
      </c>
      <c r="ID442" s="391"/>
      <c r="IE442" s="391"/>
      <c r="IF442" s="1688" t="b">
        <f ca="1">IF(MAX(GN445:HU445)&gt;5,FALSE,TRUE)</f>
        <v>0</v>
      </c>
      <c r="IG442" s="1689">
        <f ca="1">IF(IF442=TRUE,AC442,0)</f>
        <v>0</v>
      </c>
      <c r="IH442" s="1689">
        <f ca="1">IG442-IG444</f>
        <v>0</v>
      </c>
      <c r="IK442" s="1689" t="e">
        <f>ROUND(T443*VLOOKUP(U443,Fixtures_Existing_List,2,FALSE)*N443*R443/1000,0)</f>
        <v>#N/A</v>
      </c>
      <c r="IL442" s="1690" t="e">
        <f>IK442-IK444</f>
        <v>#N/A</v>
      </c>
      <c r="IM442" s="1693" t="e">
        <f>ROUND(IF(CQ442="Interior",N444*R444*R443*N443*_C406_reduction/1000,N444*R444*R443*N443/1000),0)</f>
        <v>#N/A</v>
      </c>
      <c r="IN442" s="1693" t="e">
        <f>IM442-IM444</f>
        <v>#N/A</v>
      </c>
      <c r="IP442" s="1679"/>
      <c r="IQ442" s="1679" t="e">
        <f t="shared" ref="IQ442:IU442" si="396">IF($CR442="interior",VLOOKUP($CS442,_New_Control_Savings_Interior,IQ$30,FALSE),VLOOKUP($CS442,Control_Savings_Exterior,IQ$30,FALSE))</f>
        <v>#N/A</v>
      </c>
      <c r="IR442" s="1679" t="e">
        <f t="shared" si="396"/>
        <v>#N/A</v>
      </c>
      <c r="IS442" s="1679" t="e">
        <f t="shared" si="396"/>
        <v>#N/A</v>
      </c>
      <c r="IT442" s="1679" t="e">
        <f t="shared" si="396"/>
        <v>#N/A</v>
      </c>
      <c r="IU442" s="1679" t="e">
        <f t="shared" si="396"/>
        <v>#N/A</v>
      </c>
      <c r="IV442" s="1679" t="e">
        <f>IF($CR442="interior",IF(R443&gt;$IP$14,ROUND(($IV$18*($IP$14/R443)),2),$IV$18),VLOOKUP($CS442,Control_Savings_Exterior,IV$30,FALSE))</f>
        <v>#N/A</v>
      </c>
      <c r="IW442" s="1679" t="e">
        <f>IF($CR442="interior",ROUND(((1-IS442)*IV442)+IS442,2),VLOOKUP($CS442,Control_Savings_Exterior,IW$30,FALSE))</f>
        <v>#N/A</v>
      </c>
      <c r="IX442" s="1679" t="e">
        <f>IF($CR442="interior",ROUND(((1-IT442)*IV442)+IT442,2),VLOOKUP($CS442,Control_Savings_Exterior,IX$30,FALSE))</f>
        <v>#N/A</v>
      </c>
      <c r="IY442" s="1679" t="e">
        <f>IF($CR442="interior",IF(R443&gt;$IP$14,ROUND(($IY$18*($IP$14/R443)),2),$IY$18),VLOOKUP($CS442,Control_Savings_Exterior,IY$30,FALSE))</f>
        <v>#N/A</v>
      </c>
      <c r="IZ442" s="1679" t="e">
        <f>IF($CR442="interior",ROUND(((1-IS442)*IY442)+IS442,2),VLOOKUP($CS442,Control_Savings_Exterior,IZ$30,FALSE))</f>
        <v>#N/A</v>
      </c>
      <c r="JA442" s="1679" t="e">
        <f>IF($CR442="interior",ROUND(((1-IT442)*IY442)+IT442,2),VLOOKUP($CS442,Control_Savings_Exterior,JA$30,FALSE))</f>
        <v>#N/A</v>
      </c>
      <c r="JC442" s="1680">
        <f>IFERROR(IF(CR442="Interior",CONCATENATE(G445," ",FQ442),FQ442),"")</f>
        <v>0</v>
      </c>
      <c r="JD442" s="1670" t="str">
        <f>IFERROR(VLOOKUP(JC442,_Controls_2023,2,FALSE),"")</f>
        <v/>
      </c>
      <c r="JE442" s="1681">
        <f>IFERROR(CHOOSE(JD442-1,IQ442,IR442,IS442,IT442,IU442,IV442,IW442,IX442,IY442,IZ442,JA442),0)</f>
        <v>0</v>
      </c>
      <c r="JG442" s="1680" t="str">
        <f>FE442</f>
        <v xml:space="preserve"> - 0</v>
      </c>
      <c r="JH442" s="1670" t="e">
        <f>$FO442</f>
        <v>#N/A</v>
      </c>
      <c r="JI442" s="1060"/>
      <c r="JJ442" s="1682" t="b">
        <f>IF($JG444=CONCATENATE("Interior - ",JJ$4),TRUE,FALSE)</f>
        <v>0</v>
      </c>
      <c r="JK442" s="1061"/>
      <c r="JL442" s="1682" t="b">
        <f>IF($JG444=CONCATENATE("Interior - ",JL$4),TRUE,FALSE)</f>
        <v>0</v>
      </c>
      <c r="JM442" s="1061"/>
      <c r="JN442" s="1682" t="b">
        <f>IF($JG444=CONCATENATE("Interior - ",JN$4),TRUE,FALSE)</f>
        <v>0</v>
      </c>
      <c r="JO442" s="1061"/>
      <c r="JP442" s="1682" t="b">
        <f>IF(__Retrofit_TI_NC&gt;0,FALSE,IF($JG444=CONCATENATE("Interior - ",JP$4),TRUE,FALSE))</f>
        <v>0</v>
      </c>
      <c r="JQ442" s="1061"/>
      <c r="JR442" s="1682" t="b">
        <f>IF(__Retrofit_TI_NC&gt;0,FALSE,IF($JG444=CONCATENATE("Interior - ",JR$4),TRUE,FALSE))</f>
        <v>0</v>
      </c>
      <c r="JS442" s="1061"/>
      <c r="JT442" s="1670" t="b">
        <f>IF(__Retrofit_TI_NC&gt;0,FALSE,IF($JG444=CONCATENATE("Interior - ",JT$4),TRUE,FALSE))</f>
        <v>0</v>
      </c>
      <c r="JU442" s="1061"/>
      <c r="JV442" s="1670" t="b">
        <f>IF(JC444="AELC on Existing",TRUE,FALSE)</f>
        <v>0</v>
      </c>
      <c r="JX442" s="1670" t="b">
        <f>IF(OR(JG444="Exterior - AELC Occupancy based",JG444="Exterior - AELC Time based"),TRUE,FALSE)</f>
        <v>0</v>
      </c>
      <c r="JZ442" s="1682" t="b">
        <f>IF($JG444=CONCATENATE("Exterior - ",JZ$4),TRUE,FALSE)</f>
        <v>0</v>
      </c>
      <c r="KB442" s="1670" t="b">
        <f>IF(__Retrofit_TI_NC&gt;0,FALSE,IF($JG444=CONCATENATE("Interior - ",KB$4),TRUE,FALSE))</f>
        <v>0</v>
      </c>
    </row>
    <row r="443" spans="1:288" s="78" customFormat="1" ht="14.95" customHeight="1" thickTop="1" thickBot="1">
      <c r="B443" s="1845"/>
      <c r="C443" s="1846"/>
      <c r="D443" s="1847"/>
      <c r="E443" s="1737" t="s">
        <v>297</v>
      </c>
      <c r="F443" s="1738"/>
      <c r="G443" s="1739"/>
      <c r="H443" s="1739"/>
      <c r="I443" s="1739"/>
      <c r="J443" s="1739"/>
      <c r="K443" s="1739"/>
      <c r="L443" s="1739"/>
      <c r="M443" s="461" t="e">
        <f>IF(__Retrofit_TI_NC&lt;&gt;0,IF(VLOOKUP(G444,'Space Table'!$B$3:$L$163,3,FALSE)&gt;0,1,0),IF(__Retrofit_TI_NC=VLOOKUP(G444,'Space Table'!$B$3:$L$163,3,FALSE),1,0))</f>
        <v>#N/A</v>
      </c>
      <c r="N443" s="461" t="str">
        <f>IFERROR(VLOOKUP(G443,_Lookup_Heat_Type_Table_New,2,FALSE),"")</f>
        <v/>
      </c>
      <c r="O443" s="461">
        <f>IF(__Retrofit_TI_NC=1,CONCATENATE("TI ",G443),IF(__Retrofit_TI_NC=2,CONCATENATE("NC ",G443),G443))</f>
        <v>0</v>
      </c>
      <c r="P443" s="1740" t="s">
        <v>435</v>
      </c>
      <c r="Q443" s="1740"/>
      <c r="R443" s="595"/>
      <c r="S443" s="1792"/>
      <c r="T443" s="597"/>
      <c r="U443" s="1765"/>
      <c r="V443" s="1766"/>
      <c r="W443" s="1766"/>
      <c r="X443" s="1766"/>
      <c r="Y443" s="1766"/>
      <c r="Z443" s="1766"/>
      <c r="AA443" s="1766"/>
      <c r="AB443" s="1766"/>
      <c r="AC443" s="1766"/>
      <c r="AD443" s="1767"/>
      <c r="AE443" s="1000"/>
      <c r="AF443" s="597"/>
      <c r="AG443" s="1723"/>
      <c r="AH443" s="1724"/>
      <c r="AI443" s="1724"/>
      <c r="AJ443" s="1724"/>
      <c r="AK443" s="1725"/>
      <c r="AL443" s="996"/>
      <c r="AM443" s="1747"/>
      <c r="AN443" s="1775"/>
      <c r="AO443" s="1777"/>
      <c r="AP443" s="1780"/>
      <c r="AQ443" s="1781"/>
      <c r="AR443" s="1795"/>
      <c r="AS443" s="1795"/>
      <c r="AT443" s="1796"/>
      <c r="AU443" s="1735"/>
      <c r="AV443" s="1752"/>
      <c r="AW443" s="1705"/>
      <c r="AX443" s="467"/>
      <c r="AY443" s="1749"/>
      <c r="AZ443" s="1749"/>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696"/>
      <c r="CQ443" s="1696"/>
      <c r="CR443" s="1809"/>
      <c r="CS443" s="1811"/>
      <c r="CU443" s="1688"/>
      <c r="CV443" s="1703"/>
      <c r="CW443" s="1703"/>
      <c r="CX443" s="1703"/>
      <c r="CY443" s="1815"/>
      <c r="CZ443" s="1711"/>
      <c r="DA443" s="1818"/>
      <c r="DB443" s="1820"/>
      <c r="DC443" s="1820"/>
      <c r="DD443" s="1820"/>
      <c r="DF443" s="1703"/>
      <c r="DG443" s="1831"/>
      <c r="DH443" s="1703"/>
      <c r="DI443" s="1838"/>
      <c r="DJ443" s="1711"/>
      <c r="DK443" s="1712"/>
      <c r="DM443" s="1718"/>
      <c r="DO443" s="1708"/>
      <c r="DQ443" s="1715"/>
      <c r="DR443" s="1720"/>
      <c r="DS443" s="1816"/>
      <c r="DT443" s="1714"/>
      <c r="DU443" s="1715"/>
      <c r="DV443" s="1716"/>
      <c r="DX443" s="1715"/>
      <c r="DY443" s="1720"/>
      <c r="DZ443" s="1715"/>
      <c r="EA443" s="1715"/>
      <c r="EC443" s="1834"/>
      <c r="ED443" s="1834"/>
      <c r="EF443" s="1707"/>
      <c r="EG443" s="1712"/>
      <c r="EH443" s="1818"/>
      <c r="EI443" s="1712"/>
      <c r="EJ443" s="1712"/>
      <c r="EK443" s="1836"/>
      <c r="EL443" s="1836"/>
      <c r="EM443" s="1807"/>
      <c r="EN443" s="1839"/>
      <c r="EO443" s="1839"/>
      <c r="EP443" s="1817"/>
      <c r="EQ443" s="1817"/>
      <c r="ER443" s="1807"/>
      <c r="ES443" s="1807"/>
      <c r="ET443" s="1807"/>
      <c r="EV443" s="1715"/>
      <c r="EX443" s="1805"/>
      <c r="EY443" s="1805"/>
      <c r="EZ443" s="1805"/>
      <c r="FA443" s="1805"/>
      <c r="FB443" s="1805"/>
      <c r="FC443" s="1827"/>
      <c r="FE443" s="1698"/>
      <c r="FG443" s="1816"/>
      <c r="FH443" s="1816"/>
      <c r="FI443" s="133"/>
      <c r="FL443" s="1823"/>
      <c r="FM443" s="1825"/>
      <c r="FN443" s="1698"/>
      <c r="FO443" s="1698"/>
      <c r="FP443" s="1678"/>
      <c r="FQ443" s="1678"/>
      <c r="FS443" s="1687"/>
      <c r="FT443" s="1687"/>
      <c r="FU443" s="1685"/>
      <c r="FV443" s="1687"/>
      <c r="FW443" s="1687"/>
      <c r="FX443" s="1687"/>
      <c r="FY443" s="1697"/>
      <c r="GA443" s="1696"/>
      <c r="GB443" s="1696"/>
      <c r="GC443" s="1696"/>
      <c r="GD443" s="1696"/>
      <c r="GE443" s="1696"/>
      <c r="GF443" s="1696"/>
      <c r="GG443" s="1696"/>
      <c r="GH443" s="1696"/>
      <c r="GI443" s="673"/>
      <c r="GJ443" s="1135"/>
      <c r="GK443" s="1832"/>
      <c r="GM443" s="1693" t="b">
        <f ca="1">IF(AND(GP443=TRUE,GQ443=TRUE),TRUE,FALSE)</f>
        <v>0</v>
      </c>
      <c r="GN443" s="1684" t="b">
        <f>IFERROR(IF(__Retrofit_TI_NC=2,TRUE,IF(AU442="Yes",TRUE,FALSE)),FALSE)</f>
        <v>1</v>
      </c>
      <c r="GP443" s="1684" t="b">
        <f>IFERROR(IF(GP442=1,TRUE,FALSE),FALSE)</f>
        <v>0</v>
      </c>
      <c r="GQ443" s="1684" t="b">
        <f ca="1">IFERROR(IF(GQ442=GQ$14,TRUE,FALSE),FALSE)</f>
        <v>0</v>
      </c>
      <c r="HG443" s="1684" t="b">
        <f>IFERROR(IF(AND(__Retrofit_TI_NC&gt;0,CQ442="Interior"),FALSE,TRUE),FALSE)</f>
        <v>1</v>
      </c>
      <c r="HH443" s="1684" t="b">
        <f>IFERROR(IF(M443=1,TRUE,FALSE),FALSE)</f>
        <v>0</v>
      </c>
      <c r="HI443" s="1684" t="b">
        <f>IFERROR(IF(OR(M444=1,N445="BAM"),TRUE,FALSE),FALSE)</f>
        <v>0</v>
      </c>
      <c r="HJ443" s="1684" t="b">
        <f>IFERROR(IF(__Retrofit_TI_NC&lt;&gt;0,TRUE,IFERROR(IF(VLOOKUP(U443,Fixtures_Existing_List,2,FALSE)&lt;&gt;"",TRUE,FALSE),FALSE)),FALSE)</f>
        <v>0</v>
      </c>
      <c r="HK443" s="1684" t="b">
        <f>IFERROR(IF(VLOOKUP(U444,Fixtures_Proposed_List,2,FALSE)&lt;&gt;"",TRUE,FALSE),FALSE)</f>
        <v>0</v>
      </c>
      <c r="HL443" s="1684" t="b">
        <f>IF(AND(__Retrofit_TI_NC=2,FC442=TRUE),FALSE,TRUE)</f>
        <v>1</v>
      </c>
      <c r="HM443" s="1684" t="b">
        <f>GK442</f>
        <v>1</v>
      </c>
      <c r="HN443" s="1682" t="b">
        <f>IF(ISERROR(MATCH(FE442,_Control_Match[],0))=TRUE,FALSE,TRUE)</f>
        <v>0</v>
      </c>
      <c r="HO443" s="1693" t="b">
        <f>IFERROR(IF(EX442&lt;&gt;EY442,FALSE,TRUE),FALSE)</f>
        <v>1</v>
      </c>
      <c r="HP443" s="1693" t="b">
        <f>IFERROR(IF(EX444&lt;&gt;EY444,FALSE,TRUE),FALSE)</f>
        <v>1</v>
      </c>
      <c r="HQ443" s="1670" t="b">
        <f>IFERROR(IF(CQ442="Exterior",TRUE,IF(AND(OR(FM444=0,FM444=3),JD444&gt;6),FALSE,TRUE)),FALSE)</f>
        <v>0</v>
      </c>
      <c r="HR443" s="1684" t="b">
        <f>IFERROR(IF(AND(FO444=7,FC442=TRUE),FALSE,TRUE),FALSE)</f>
        <v>0</v>
      </c>
      <c r="HS443" s="1684" t="b">
        <f>IFERROR(IF(AND(T444&lt;&gt;AF444,OR(AG444="Interior LLLC", AG444="Interior NLC", AG444="LLLC (outside Daylight)",AG444="LLLC Controls Only"))=TRUE,FALSE,TRUE),FALSE)</f>
        <v>1</v>
      </c>
      <c r="HT443" s="1670" t="b">
        <f>IFERROR(IF(OR(AG444=Lookup!BB$17,AG444=Lookup!BB$18,AG444=Lookup!BB$19)=TRUE,IF(AF444&gt;T444,FALSE,TRUE),TRUE),FALSE)</f>
        <v>1</v>
      </c>
      <c r="HU443" s="1684" t="b">
        <f>IFERROR(IF(__Retrofit_TI_NC=2,IF(EZ444&lt;EZ442,FALSE,TRUE),TRUE),FALSE)</f>
        <v>1</v>
      </c>
      <c r="HV443" s="1684" t="b">
        <f>IF(CQ442="Interior",IL$6,TRUE)</f>
        <v>1</v>
      </c>
      <c r="HW443" s="1684" t="b">
        <f>IF(CQ442="Exterior",IL$8,TRUE)</f>
        <v>1</v>
      </c>
      <c r="HX443" s="1684" t="b">
        <f>IFERROR(IF(__Retrofit_TI_NC&lt;&gt;0,IF(AZ442&lt;AY442,FALSE,TRUE),TRUE),FALSE)</f>
        <v>1</v>
      </c>
      <c r="HY443" s="1684" t="b">
        <f>IFERROR(IF(AND(G443="Exterior",R443&gt;4200),FALSE,TRUE),FALSE)</f>
        <v>1</v>
      </c>
      <c r="HZ443" s="1684" t="b">
        <f>IFERROR(IF(AB445/AB442&lt;HZ$18,FALSE,TRUE),FALSE)</f>
        <v>0</v>
      </c>
      <c r="IB443" s="1691"/>
      <c r="IC443" s="1695"/>
      <c r="ID443" s="1694" t="str">
        <f>VLOOKUP(IB445,_Error_Table,4,FALSE)</f>
        <v>White</v>
      </c>
      <c r="IE443" s="391"/>
      <c r="IF443" s="1688"/>
      <c r="IG443" s="1689"/>
      <c r="IH443" s="1684"/>
      <c r="IK443" s="1689"/>
      <c r="IL443" s="1691"/>
      <c r="IM443" s="1691"/>
      <c r="IN443" s="1691"/>
      <c r="IP443" s="1679"/>
      <c r="IQ443" s="1679"/>
      <c r="IR443" s="1679"/>
      <c r="IS443" s="1679"/>
      <c r="IT443" s="1679"/>
      <c r="IU443" s="1679"/>
      <c r="IV443" s="1679"/>
      <c r="IW443" s="1679"/>
      <c r="IX443" s="1679"/>
      <c r="IY443" s="1679"/>
      <c r="IZ443" s="1679"/>
      <c r="JA443" s="1679"/>
      <c r="JC443" s="1680"/>
      <c r="JD443" s="1670"/>
      <c r="JE443" s="1681"/>
      <c r="JG443" s="1680"/>
      <c r="JH443" s="1670"/>
      <c r="JI443" s="1060"/>
      <c r="JJ443" s="1683"/>
      <c r="JK443" s="1061"/>
      <c r="JL443" s="1683"/>
      <c r="JM443" s="1061"/>
      <c r="JN443" s="1683"/>
      <c r="JO443" s="1061"/>
      <c r="JP443" s="1683"/>
      <c r="JQ443" s="1061"/>
      <c r="JR443" s="1683"/>
      <c r="JS443" s="1061"/>
      <c r="JT443" s="1670"/>
      <c r="JU443" s="1061"/>
      <c r="JV443" s="1670"/>
      <c r="JX443" s="1670"/>
      <c r="JZ443" s="1683"/>
      <c r="KB443" s="1670"/>
    </row>
    <row r="444" spans="1:288" s="78" customFormat="1" ht="14.95" customHeight="1" thickTop="1" thickBot="1">
      <c r="A444" s="78">
        <f>ROW()</f>
        <v>444</v>
      </c>
      <c r="B444" s="1845"/>
      <c r="C444" s="1846"/>
      <c r="D444" s="1847"/>
      <c r="E444" s="1737" t="s">
        <v>298</v>
      </c>
      <c r="F444" s="1738"/>
      <c r="G444" s="1760"/>
      <c r="H444" s="1761"/>
      <c r="I444" s="1761"/>
      <c r="J444" s="1761"/>
      <c r="K444" s="1761"/>
      <c r="L444" s="1762"/>
      <c r="M444" s="461">
        <f>IFERROR(IF(IF(__Retrofit_TI_NC&lt;&gt;0,IF(CQ442="Interior",MATCH(G444,Lookup_Interior_New,0),MATCH(G444,Lookup_Exterior_New,0)),IF(CQ442="Interior",MATCH(G444,Lookup_Interior,0),MATCH(G444,Lookup_Exterior_Areas,0)))&gt;0,1,0),0)</f>
        <v>0</v>
      </c>
      <c r="N444" s="461" t="e">
        <f>IF(__Retrofit_TI_NC=1,
VLOOKUP(G444,'Space Table'!$B$3:$L$163,4,FALSE),
IF(__Retrofit_TI_NC=2,VLOOKUP(G444,'Space Table'!$B$3:$L$163,5,FALSE),VLOOKUP(G444,'Space Table'!$B$3:$L$163,5,FALSE)))</f>
        <v>#N/A</v>
      </c>
      <c r="O444" s="461">
        <f>G444</f>
        <v>0</v>
      </c>
      <c r="P444" s="1738" t="str">
        <f>IFERROR(IF(__Retrofit_TI_NC=1,VLOOKUP(G444,'Space Table'!$B$3:$O$163,13,FALSE),IF(__Retrofit_TI_NC=2,VLOOKUP(G444,'Space Table'!$B$3:$O$163,14,FALSE),"Area (sf):")),"Area (sf):")</f>
        <v>Area (sf):</v>
      </c>
      <c r="Q444" s="1738"/>
      <c r="R444" s="596"/>
      <c r="S444" s="1763" t="s">
        <v>345</v>
      </c>
      <c r="T444" s="594"/>
      <c r="U444" s="1801"/>
      <c r="V444" s="1802"/>
      <c r="W444" s="1802"/>
      <c r="X444" s="1802"/>
      <c r="Y444" s="1802"/>
      <c r="Z444" s="1802"/>
      <c r="AA444" s="1802"/>
      <c r="AB444" s="1802"/>
      <c r="AC444" s="1802"/>
      <c r="AD444" s="1802"/>
      <c r="AE444" s="1803"/>
      <c r="AF444" s="594"/>
      <c r="AG444" s="1787"/>
      <c r="AH444" s="1787"/>
      <c r="AI444" s="1787"/>
      <c r="AJ444" s="1787"/>
      <c r="AK444" s="1787"/>
      <c r="AL444" s="1787"/>
      <c r="AM444" s="1726">
        <f>IFERROR(DI444,"")</f>
        <v>0</v>
      </c>
      <c r="AN444" s="1728" t="str">
        <f>IFERROR(ROUND(AM444*AC445,0),"")</f>
        <v/>
      </c>
      <c r="AO444" s="1730">
        <f>IFERROR(IF(IB442=FALSE,0,AC445-AN444),0)</f>
        <v>0</v>
      </c>
      <c r="AP444" s="1780"/>
      <c r="AQ444" s="1781"/>
      <c r="AR444" s="1795"/>
      <c r="AS444" s="1795"/>
      <c r="AT444" s="1796"/>
      <c r="AU444" s="1735"/>
      <c r="AV444" s="1752"/>
      <c r="AW444" s="1705"/>
      <c r="AX444" s="467"/>
      <c r="AY444" s="1749"/>
      <c r="AZ444" s="1749"/>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696"/>
      <c r="CQ444" s="1696"/>
      <c r="CR444" s="1808" t="str">
        <f>CQ442</f>
        <v/>
      </c>
      <c r="CS444" s="1810" t="str">
        <f>CS442</f>
        <v/>
      </c>
      <c r="CU444" s="1688" t="s">
        <v>345</v>
      </c>
      <c r="CV444" s="1702">
        <f>IF(IB442=TRUE,T444,0)</f>
        <v>0</v>
      </c>
      <c r="CW444" s="1702" t="str">
        <f>IF(IB442=TRUE,U444,"")</f>
        <v/>
      </c>
      <c r="CX444" s="1812">
        <f>IF(IB442=TRUE,U445,0)</f>
        <v>0</v>
      </c>
      <c r="CY444" s="1814">
        <f>IF(IB442=TRUE,AB445,0)</f>
        <v>0</v>
      </c>
      <c r="CZ444" s="1710">
        <f>IF(AND(__Retrofit_TI_NC&gt;0,CR442="interior"),0,IF(IB442=TRUE,AC445,0))</f>
        <v>0</v>
      </c>
      <c r="DA444" s="1818"/>
      <c r="DB444" s="1820"/>
      <c r="DC444" s="1820"/>
      <c r="DD444" s="1820"/>
      <c r="DF444" s="1702">
        <f>IF(IB442=TRUE,AF444,0)</f>
        <v>0</v>
      </c>
      <c r="DG444" s="1830" t="str">
        <f>IF(IB442=TRUE,AG444,"")</f>
        <v/>
      </c>
      <c r="DH444" s="1812">
        <f>AG445</f>
        <v>0</v>
      </c>
      <c r="DI444" s="1837">
        <f>JE444</f>
        <v>0</v>
      </c>
      <c r="DJ444" s="1710">
        <f>IF(AND(__Retrofit_TI_NC&gt;0,CR442="interior"),0,IF(IB442=TRUE,AN444,0))</f>
        <v>0</v>
      </c>
      <c r="DK444" s="1712"/>
      <c r="DN444" s="1717">
        <f>IFERROR(CZ444-DJ444,0)</f>
        <v>0</v>
      </c>
      <c r="DO444" s="1709"/>
      <c r="DQ444" s="1715"/>
      <c r="DR444" s="1719" t="str">
        <f>DQ442</f>
        <v/>
      </c>
      <c r="DS444" s="1816"/>
      <c r="DT444" s="1835" t="str">
        <f>IF(OR(DS442=7,DS442=8,DS442=9),"ALC","")</f>
        <v/>
      </c>
      <c r="DU444" s="1715"/>
      <c r="DV444" s="1716"/>
      <c r="DX444" s="1715"/>
      <c r="DY444" s="1829" t="str">
        <f>DX442</f>
        <v/>
      </c>
      <c r="DZ444" s="1715"/>
      <c r="EA444" s="1715"/>
      <c r="EC444" s="1834"/>
      <c r="ED444" s="1834"/>
      <c r="EF444" s="1707"/>
      <c r="EG444" s="1712"/>
      <c r="EH444" s="1818"/>
      <c r="EI444" s="1712"/>
      <c r="EJ444" s="1712"/>
      <c r="EK444" s="1836"/>
      <c r="EL444" s="1836"/>
      <c r="EM444" s="1807"/>
      <c r="EN444" s="1839"/>
      <c r="EO444" s="1839"/>
      <c r="EP444" s="1817"/>
      <c r="EQ444" s="1817"/>
      <c r="ER444" s="1807"/>
      <c r="ES444" s="1807"/>
      <c r="ET444" s="1807"/>
      <c r="EV444" s="1715"/>
      <c r="EX444" s="1805" t="str">
        <f>IFERROR(VLOOKUP(CS444,'Space Table'!$B$3:$L$163,8,FALSE),"")</f>
        <v/>
      </c>
      <c r="EY444" s="1805" t="str">
        <f>IFERROR(IF(FB444="Yes",VLOOKUP(AG444,Lookup_Control_Type_Table2,4,FALSE),VLOOKUP(AG444,Lookup_Control_Type_Table2,3,FALSE)),"")</f>
        <v/>
      </c>
      <c r="EZ444" s="1805" t="e">
        <f>VLOOKUP(AG444,Lookup!BB$3:BC$20,2,FALSE)</f>
        <v>#N/A</v>
      </c>
      <c r="FA444" s="1805" t="e">
        <f>VLOOKUP(EX442,Lookup_Control_Type_Table,2,FALSE)</f>
        <v>#N/A</v>
      </c>
      <c r="FB444" s="1805" t="e">
        <f>VLOOKUP(CS444,'Space Table'!$B$3:$L$163,7,FALSE)</f>
        <v>#N/A</v>
      </c>
      <c r="FC444" s="1827"/>
      <c r="FE444" s="1698" t="str">
        <f>CONCATENATE(CQ442," - ",AG444)</f>
        <v xml:space="preserve"> - </v>
      </c>
      <c r="FG444" s="1816"/>
      <c r="FH444" s="1816"/>
      <c r="FI444" s="133"/>
      <c r="FL444" s="1822" t="str">
        <f>IF(CQ442="Exterior","Not Daylighted",G445)</f>
        <v>Not Daylighted</v>
      </c>
      <c r="FM444" s="1824">
        <f>VLOOKUP(FL444,_New_Daylight_Table_Codes,2,FALSE)</f>
        <v>0</v>
      </c>
      <c r="FN444" s="1698">
        <f>AG444</f>
        <v>0</v>
      </c>
      <c r="FO444" s="1698" t="e">
        <f>VLOOKUP(FN444,_Control_Table,2,FALSE)</f>
        <v>#N/A</v>
      </c>
      <c r="FP444" s="1678" t="e">
        <f>VLOOKUP(CONCATENATE(FL444," ",FN444),Lookup!AY$102:AZ455,2,FALSE)</f>
        <v>#N/A</v>
      </c>
      <c r="FQ444" s="1698">
        <f>IF(__Retrofit_TI_NC=0,FN444,IF(AND(FT444&gt;0,FN444="Occupancy Sensor"),"Daylight + Occupancy",IF(AND(FT444&gt;0,FO444&lt;4),"Interior Daylight Dimming",FN444)))</f>
        <v>0</v>
      </c>
      <c r="FS444" s="1686">
        <f>IF(CQ442="Interior",VLOOKUP(CS442,Control_Savings_Interior,5,FALSE),0)</f>
        <v>0</v>
      </c>
      <c r="FT444" s="1687">
        <f>IF(CQ444="Exterior",0,IF(FM444=2,0.5,IF(OR(FM444=1,FM444=3),1,0)))</f>
        <v>0</v>
      </c>
      <c r="FU444" s="1685">
        <f>IF(R443&gt;FS$44,(FS444*(FS$44/R443)),FS444)*FT444</f>
        <v>0</v>
      </c>
      <c r="FV444" s="1686">
        <f>DI444</f>
        <v>0</v>
      </c>
      <c r="FW444" s="1686">
        <f>ROUND(FV444+((1-FV444)*FU444),2)</f>
        <v>0</v>
      </c>
      <c r="FX444" s="1686">
        <f>IF(__Retrofit_TI_NC=2,FW444,FV444)</f>
        <v>0</v>
      </c>
      <c r="FY444" s="1697">
        <f>IF(CR444="Interior",VLOOKUP(CS444,Control_Savings_Interior,4,FALSE),0)</f>
        <v>0</v>
      </c>
      <c r="GA444" s="1696"/>
      <c r="GB444" s="1696"/>
      <c r="GC444" s="1696"/>
      <c r="GD444" s="1696"/>
      <c r="GE444" s="1696"/>
      <c r="GF444" s="1696"/>
      <c r="GG444" s="1696"/>
      <c r="GH444" s="1696"/>
      <c r="GI444" s="673" t="b">
        <f>IF(ISNUMBER(SEARCH("TLED",U444)),TRUE,FALSE)</f>
        <v>0</v>
      </c>
      <c r="GJ444" s="1135" t="str">
        <f>IFERROR(VLOOKUP(U444,Fixtures!DM$93:DR$142,6,FALSE),"")</f>
        <v/>
      </c>
      <c r="GK444" s="1832"/>
      <c r="GM444" s="1692"/>
      <c r="GN444" s="1684"/>
      <c r="GP444" s="1684"/>
      <c r="GQ444" s="1684"/>
      <c r="HG444" s="1684"/>
      <c r="HH444" s="1684"/>
      <c r="HI444" s="1684"/>
      <c r="HJ444" s="1684"/>
      <c r="HK444" s="1684"/>
      <c r="HL444" s="1684"/>
      <c r="HM444" s="1684"/>
      <c r="HN444" s="1683"/>
      <c r="HO444" s="1692"/>
      <c r="HP444" s="1692"/>
      <c r="HQ444" s="1670"/>
      <c r="HR444" s="1684"/>
      <c r="HS444" s="1684"/>
      <c r="HT444" s="1670"/>
      <c r="HU444" s="1684"/>
      <c r="HV444" s="1684"/>
      <c r="HW444" s="1684"/>
      <c r="HX444" s="1684"/>
      <c r="HY444" s="1684"/>
      <c r="HZ444" s="1684"/>
      <c r="IB444" s="1692"/>
      <c r="IC444" s="1693" t="b">
        <f>IB442</f>
        <v>0</v>
      </c>
      <c r="ID444" s="1695"/>
      <c r="IE444" s="391"/>
      <c r="IF444" s="1688"/>
      <c r="IG444" s="1689">
        <f ca="1">IF(IF442=TRUE,AC445,0)</f>
        <v>0</v>
      </c>
      <c r="IH444" s="1684"/>
      <c r="IK444" s="1689" t="e">
        <f>ROUND(T444*AB445*N443*R443/1000,0)</f>
        <v>#VALUE!</v>
      </c>
      <c r="IL444" s="1691"/>
      <c r="IM444" s="1693" t="e">
        <f>ROUND(T444*AB445*N443*R443/1000,0)</f>
        <v>#VALUE!</v>
      </c>
      <c r="IN444" s="1691"/>
      <c r="IP444" s="1679"/>
      <c r="IQ444" s="1679" t="e">
        <f t="shared" ref="IQ444:IU444" si="397">IF($CR444="interior",VLOOKUP($CS444,_New_Control_Savings_Interior,IQ$30,FALSE),VLOOKUP($CS444,Control_Savings_Exterior,IQ$30,FALSE))</f>
        <v>#N/A</v>
      </c>
      <c r="IR444" s="1679" t="e">
        <f t="shared" si="397"/>
        <v>#N/A</v>
      </c>
      <c r="IS444" s="1679" t="e">
        <f t="shared" si="397"/>
        <v>#N/A</v>
      </c>
      <c r="IT444" s="1679" t="e">
        <f t="shared" si="397"/>
        <v>#N/A</v>
      </c>
      <c r="IU444" s="1679" t="e">
        <f t="shared" si="397"/>
        <v>#N/A</v>
      </c>
      <c r="IV444" s="1679" t="e">
        <f>IF($CR444="interior",IF(R443&gt;$IP$14,ROUND(($IV$18*($IP$14/R443)),2),$IV$18),VLOOKUP($CS444,Control_Savings_Exterior,IV$30,FALSE))</f>
        <v>#N/A</v>
      </c>
      <c r="IW444" s="1679" t="e">
        <f>IF($CR444="interior",ROUND(((1-IS444)*IV444)+IS444,2),VLOOKUP($CS444,Control_Savings_Exterior,IW$30,FALSE))</f>
        <v>#N/A</v>
      </c>
      <c r="IX444" s="1679" t="e">
        <f>IF($CR444="interior",ROUND(((1-IT444)*IV444)+IT444,2),VLOOKUP($CS444,Control_Savings_Exterior,IX$30,FALSE))</f>
        <v>#N/A</v>
      </c>
      <c r="IY444" s="1679" t="e">
        <f>IF($CR444="interior",IF(R443&gt;$IP$14,ROUND(($IY$18*($IP$14/R443)),2),$IY$18),VLOOKUP($CS444,Control_Savings_Exterior,IY$30,FALSE))</f>
        <v>#N/A</v>
      </c>
      <c r="IZ444" s="1679" t="e">
        <f>IF($CR444="interior",ROUND(((1-IS444)*IY444)+IS444,2),VLOOKUP($CS444,Control_Savings_Exterior,IZ$30,FALSE))</f>
        <v>#N/A</v>
      </c>
      <c r="JA444" s="1679" t="e">
        <f>IF($CR444="interior",ROUND(((1-IT444)*IY444)+IT444,2),VLOOKUP($CS444,Control_Savings_Exterior,JA$30,FALSE))</f>
        <v>#N/A</v>
      </c>
      <c r="JC444" s="1680">
        <f>IFERROR(IF(CR444="Interior",CONCATENATE(G445," ",FQ444),AG444),"")</f>
        <v>0</v>
      </c>
      <c r="JD444" s="1670" t="str">
        <f>IFERROR(VLOOKUP(JC444,_Controls_2023,2,FALSE),"")</f>
        <v/>
      </c>
      <c r="JE444" s="1681">
        <f>IFERROR(CHOOSE(JD444-1,IQ444,IR444,IS444,IT444,IU444,IV444,IW444,IX444,IY444,IZ444,JA444),0)</f>
        <v>0</v>
      </c>
      <c r="JG444" s="1680" t="str">
        <f>FE444</f>
        <v xml:space="preserve"> - </v>
      </c>
      <c r="JH444" s="1670" t="e">
        <f>$FO444</f>
        <v>#N/A</v>
      </c>
      <c r="JI444" s="1060"/>
      <c r="JJ444" s="1670">
        <f>IFERROR(IF($IB442=TRUE,IF(OR(JJ$14="No",JJ442=FALSE,JH444&lt;=JH442,AND(_kWh_Grant=0,GD442=FALSE)),0,IF(JJ$8="Per Line",1,$AF444)),0),0)</f>
        <v>0</v>
      </c>
      <c r="JK444" s="1061"/>
      <c r="JL444" s="1670">
        <f>IFERROR(IF(_kWh_Grant=0,0,IF($IB442=TRUE,IF(OR(JL$14="No",JL442=FALSE,JH444&lt;=JH442),0,IF(JL$8="Per Line",1,$T444)),0)),0)</f>
        <v>0</v>
      </c>
      <c r="JM444" s="1061"/>
      <c r="JN444" s="1670">
        <f>IFERROR(IF(_kWh_Grant=0,0,IF($IB442=TRUE,IF(OR(JN$14="No",JN442=FALSE,JH444&lt;=JH442),0,IF(JN$8="Per Line",1,$AF444)),0)),0)</f>
        <v>0</v>
      </c>
      <c r="JO444" s="1061"/>
      <c r="JP444" s="1670">
        <f>IFERROR(IF(__Retrofit_TI_NC=0,IF(_kWh_Grant=0,0,IF($IB442=TRUE,IF(OR(JP$14="No",JP442=FALSE,$JH444&lt;=$JH442),0,IF(JP$8="Per Line",1,$AF444)),0)),IF($IB442=TRUE,IF(OR(JP$14="No",JP442=FALSE,$JH444&lt;=$JH442),0,IF(JP$8="Per Line",1,$AF444)))),0)</f>
        <v>0</v>
      </c>
      <c r="JQ444" s="1061"/>
      <c r="JR444" s="1670">
        <f>IFERROR(IF(__Retrofit_TI_NC=0,IF(_kWh_Grant=0,0,IF($IB442=TRUE,IF(OR(JR$14="No",JR442=FALSE,$JH444&lt;=$JH442),0,IF(JR$8="Per Line",1,$AF444)),0)),IF($IB442=TRUE,IF(OR(JR$14="No",JR442=FALSE,$JH444&lt;=$JH442),0,IF(JR$8="Per Line",1,$AF444)))),0)</f>
        <v>0</v>
      </c>
      <c r="JS444" s="1061"/>
      <c r="JT444" s="1670">
        <f>IFERROR(IF(__Retrofit_TI_NC=0,IF(_kWh_Grant=0,0,IF($IB442=TRUE,IF(OR(JT$14="No",JT442=FALSE,$JH444&lt;=$JH442),0,IF(JT$8="Per Line",1,$AF444)),0)),IF($IB442=TRUE,IF(OR(JT$14="No",JT442=FALSE,$JH444&lt;=$JH442),0,IF(JT$8="Per Line",1,$AF444)))),0)</f>
        <v>0</v>
      </c>
      <c r="JU444" s="1061"/>
      <c r="JV444" s="1670">
        <f>IFERROR(IF(__Retrofit_TI_NC=0,IF(_kWh_Grant=0,0,IF($IB442=TRUE,IF(OR(JV$14="No",JV442=FALSE,$JH444&lt;=$JH442),0,IF(JV$8="Per Line",1,$AF444)),0)),IF($IB442=TRUE,IF(OR(JV$14="No",JV442=FALSE,$JH444&lt;=$JH442),0,IF(JV$8="Per Line",1,$AF444)))),0)</f>
        <v>0</v>
      </c>
      <c r="JX444" s="1670">
        <f>IFERROR(IF(__Retrofit_TI_NC=0,IF(_kWh_Grant=0,0,IF($IB442=TRUE,IF(OR(JX$14="No",JX442=FALSE,$JH444&lt;=$JH442),0,IF(JX$8="Per Line",1,$AF444)),0)),IF($IB442=TRUE,IF(OR(JX$14="No",JX442=FALSE,$JH444&lt;=$JH442),0,IF(JX$8="Per Line",1,$AF444)))),0)</f>
        <v>0</v>
      </c>
      <c r="JZ444" s="1670">
        <f>IFERROR(IF($IB442=TRUE,IF(OR(JZ$14="No",JZ442=FALSE,$JH444&lt;=$JH442,AND(_kWh_Grant=0,$GD442=FALSE)),0,IF(JZ$8="Per Line",1,$AF444)),0),0)</f>
        <v>0</v>
      </c>
      <c r="KB444" s="1670">
        <f>IFERROR(IF(__Retrofit_TI_NC=0,IF(_kWh_Grant=0,0,IF($IB442=TRUE,IF(OR(KB$14="No",KB442=FALSE,$JH444&lt;=$JH442),0,IF(KB$8="Per Line",1,$AF444)),0)),IF($IB442=TRUE,IF(OR(KB$14="No",KB442=FALSE,$JH444&lt;=$JH442),0,IF(KB$8="Per Line",1,$AF444)))),0)</f>
        <v>0</v>
      </c>
    </row>
    <row r="445" spans="1:288" s="78" customFormat="1" ht="14.95" customHeight="1" thickTop="1" thickBot="1">
      <c r="B445" s="1845"/>
      <c r="C445" s="1846"/>
      <c r="D445" s="1847"/>
      <c r="E445" s="1771" t="s">
        <v>436</v>
      </c>
      <c r="F445" s="1772"/>
      <c r="G445" s="1784" t="s">
        <v>437</v>
      </c>
      <c r="H445" s="1785"/>
      <c r="I445" s="1785"/>
      <c r="J445" s="1785"/>
      <c r="K445" s="1785"/>
      <c r="L445" s="1786"/>
      <c r="M445" s="591">
        <f>IFERROR(VLOOKUP(G445,_Daylight_Table[],2,FALSE),0)</f>
        <v>0</v>
      </c>
      <c r="N445" s="592" t="str">
        <f>IF(AND(__Retrofit_TI_NC&gt;0,CQ442="Interior"),"BAM","")</f>
        <v/>
      </c>
      <c r="O445" s="591" t="e">
        <f>VLOOKUP(G444,'Space Table'!$B$3:$L$163,11,FALSE)</f>
        <v>#N/A</v>
      </c>
      <c r="P445" s="1789"/>
      <c r="Q445" s="1790"/>
      <c r="R445" s="1790"/>
      <c r="S445" s="1788"/>
      <c r="T445" s="593" t="s">
        <v>342</v>
      </c>
      <c r="U445" s="1756" t="str" cm="1">
        <f t="array" aca="1" ref="U445" ca="1">IFERROR(VLOOKUP(INDIRECT("U" &amp; ROW()-1),Fixtures!DM$93:DP$142,4,FALSE),"")</f>
        <v/>
      </c>
      <c r="V445" s="1757"/>
      <c r="W445" s="1757"/>
      <c r="X445" s="1757"/>
      <c r="Y445" s="1757"/>
      <c r="Z445" s="1757"/>
      <c r="AA445" s="1758"/>
      <c r="AB445" s="939" t="str">
        <f>IFERROR(VLOOKUP(U444,Fixtures_Proposed_List,2,FALSE),"")</f>
        <v/>
      </c>
      <c r="AC445" s="933" t="str">
        <f>IFERROR(ROUND(T444*AB445*N443*R443/1000,0),"")</f>
        <v/>
      </c>
      <c r="AD445" s="934" t="str">
        <f>IFERROR(ROUND(T444*AB445/1000,2),"")</f>
        <v/>
      </c>
      <c r="AE445" s="998"/>
      <c r="AF445" s="938" t="s">
        <v>342</v>
      </c>
      <c r="AG445" s="1770"/>
      <c r="AH445" s="1770"/>
      <c r="AI445" s="1770"/>
      <c r="AJ445" s="1770"/>
      <c r="AK445" s="1770"/>
      <c r="AL445" s="1770"/>
      <c r="AM445" s="1727"/>
      <c r="AN445" s="1729"/>
      <c r="AO445" s="1731"/>
      <c r="AP445" s="1782"/>
      <c r="AQ445" s="1783"/>
      <c r="AR445" s="1797"/>
      <c r="AS445" s="1797"/>
      <c r="AT445" s="1798"/>
      <c r="AU445" s="1736"/>
      <c r="AV445" s="1753"/>
      <c r="AW445" s="1706"/>
      <c r="AX445" s="468"/>
      <c r="AY445" s="1750"/>
      <c r="AZ445" s="1750"/>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696"/>
      <c r="CQ445" s="1696"/>
      <c r="CR445" s="1809"/>
      <c r="CS445" s="1811"/>
      <c r="CU445" s="1688"/>
      <c r="CV445" s="1703"/>
      <c r="CW445" s="1703"/>
      <c r="CX445" s="1813"/>
      <c r="CY445" s="1815"/>
      <c r="CZ445" s="1711"/>
      <c r="DA445" s="1815"/>
      <c r="DB445" s="1821"/>
      <c r="DC445" s="1821"/>
      <c r="DD445" s="1821"/>
      <c r="DF445" s="1703"/>
      <c r="DG445" s="1831"/>
      <c r="DH445" s="1813"/>
      <c r="DI445" s="1838"/>
      <c r="DJ445" s="1711"/>
      <c r="DK445" s="1712"/>
      <c r="DN445" s="1718"/>
      <c r="DO445" s="1709"/>
      <c r="DQ445" s="1715"/>
      <c r="DR445" s="1720"/>
      <c r="DS445" s="1703"/>
      <c r="DT445" s="1714"/>
      <c r="DU445" s="1715"/>
      <c r="DV445" s="1716"/>
      <c r="DX445" s="1715"/>
      <c r="DY445" s="1720"/>
      <c r="DZ445" s="1715"/>
      <c r="EA445" s="1715"/>
      <c r="EC445" s="1834"/>
      <c r="ED445" s="1834"/>
      <c r="EF445" s="1707"/>
      <c r="EG445" s="1712"/>
      <c r="EH445" s="1815"/>
      <c r="EI445" s="1712"/>
      <c r="EJ445" s="1712"/>
      <c r="EK445" s="1813"/>
      <c r="EL445" s="1813"/>
      <c r="EM445" s="1807"/>
      <c r="EN445" s="1839"/>
      <c r="EO445" s="1839"/>
      <c r="EP445" s="1817"/>
      <c r="EQ445" s="1817"/>
      <c r="ER445" s="1807"/>
      <c r="ES445" s="1807"/>
      <c r="ET445" s="1807"/>
      <c r="EV445" s="1715"/>
      <c r="EX445" s="1806"/>
      <c r="EY445" s="1806"/>
      <c r="EZ445" s="1806"/>
      <c r="FA445" s="1806"/>
      <c r="FB445" s="1806"/>
      <c r="FC445" s="1828"/>
      <c r="FE445" s="1698"/>
      <c r="FG445" s="1703"/>
      <c r="FH445" s="1703"/>
      <c r="FI445" s="133"/>
      <c r="FL445" s="1823"/>
      <c r="FM445" s="1825"/>
      <c r="FN445" s="1698"/>
      <c r="FO445" s="1698"/>
      <c r="FP445" s="1678"/>
      <c r="FQ445" s="1698"/>
      <c r="FS445" s="1687"/>
      <c r="FT445" s="1687"/>
      <c r="FU445" s="1685"/>
      <c r="FV445" s="1687"/>
      <c r="FW445" s="1687"/>
      <c r="FX445" s="1687"/>
      <c r="FY445" s="1697"/>
      <c r="GA445" s="1696"/>
      <c r="GB445" s="1696"/>
      <c r="GC445" s="1696"/>
      <c r="GD445" s="1696"/>
      <c r="GE445" s="1696"/>
      <c r="GF445" s="1696"/>
      <c r="GG445" s="1696"/>
      <c r="GH445" s="1696"/>
      <c r="GI445" s="673"/>
      <c r="GJ445" s="1135"/>
      <c r="GK445" s="1832"/>
      <c r="GN445" s="674">
        <f>IF(GN443=TRUE,0,GN$16)</f>
        <v>0</v>
      </c>
      <c r="GP445" s="674">
        <f>IF(GP443=TRUE,0,GP$16)</f>
        <v>36</v>
      </c>
      <c r="GQ445" s="674">
        <f ca="1">IF(GQ443=TRUE,0,GQ$16)</f>
        <v>35</v>
      </c>
      <c r="GR445" s="391"/>
      <c r="GS445" s="391"/>
      <c r="GT445" s="391"/>
      <c r="GU445" s="391"/>
      <c r="GV445" s="391"/>
      <c r="HG445" s="674">
        <f>IF(HG443=TRUE,0,HG$16)</f>
        <v>0</v>
      </c>
      <c r="HH445" s="674">
        <f t="shared" ref="HH445:HM445" si="398">IF(HH443=TRUE,0,HH$16)</f>
        <v>19</v>
      </c>
      <c r="HI445" s="674">
        <f t="shared" si="398"/>
        <v>18</v>
      </c>
      <c r="HJ445" s="674">
        <f t="shared" si="398"/>
        <v>17</v>
      </c>
      <c r="HK445" s="674">
        <f t="shared" si="398"/>
        <v>16</v>
      </c>
      <c r="HL445" s="674">
        <f t="shared" si="398"/>
        <v>0</v>
      </c>
      <c r="HM445" s="674">
        <f t="shared" si="398"/>
        <v>0</v>
      </c>
      <c r="HN445" s="674">
        <f>IF(HN443=TRUE,0,HN$16)</f>
        <v>13</v>
      </c>
      <c r="HO445" s="674">
        <f t="shared" ref="HO445:HQ445" si="399">IF(HO443=TRUE,0,HO$16)</f>
        <v>0</v>
      </c>
      <c r="HP445" s="674">
        <f t="shared" si="399"/>
        <v>0</v>
      </c>
      <c r="HQ445" s="674">
        <f t="shared" si="399"/>
        <v>10</v>
      </c>
      <c r="HR445" s="674">
        <f>IF(HR443=TRUE,0,HR$16)</f>
        <v>9</v>
      </c>
      <c r="HS445" s="674">
        <f t="shared" ref="HS445:HW445" si="400">IF(HS443=TRUE,0,HS$16)</f>
        <v>0</v>
      </c>
      <c r="HT445" s="674">
        <f t="shared" si="400"/>
        <v>0</v>
      </c>
      <c r="HU445" s="674">
        <f t="shared" si="400"/>
        <v>0</v>
      </c>
      <c r="HV445" s="674">
        <f t="shared" si="400"/>
        <v>0</v>
      </c>
      <c r="HW445" s="674">
        <f t="shared" si="400"/>
        <v>0</v>
      </c>
      <c r="HX445" s="674">
        <f>IF(HX443=TRUE,0,HX$16)</f>
        <v>0</v>
      </c>
      <c r="HY445" s="674">
        <f>IF(HY443=TRUE,0,HY$16)</f>
        <v>0</v>
      </c>
      <c r="HZ445" s="674">
        <f>IF(HZ443=TRUE,0,HZ$16)</f>
        <v>1</v>
      </c>
      <c r="IB445" s="674">
        <f>IF(GP443=FALSE,GP445,IF(GQ443=FALSE,GQ445,MAX(GN445:HZ445)))</f>
        <v>36</v>
      </c>
      <c r="IC445" s="1692"/>
      <c r="ID445" s="205" t="str">
        <f>VLOOKUP(IB445,_Error_Table,3,FALSE)</f>
        <v xml:space="preserve"> </v>
      </c>
      <c r="IE445" s="205"/>
      <c r="IF445" s="1688"/>
      <c r="IG445" s="1689"/>
      <c r="IH445" s="1684"/>
      <c r="IK445" s="1689"/>
      <c r="IL445" s="1692"/>
      <c r="IM445" s="1692"/>
      <c r="IN445" s="1692"/>
      <c r="IP445" s="1679"/>
      <c r="IQ445" s="1679"/>
      <c r="IR445" s="1679"/>
      <c r="IS445" s="1679"/>
      <c r="IT445" s="1679"/>
      <c r="IU445" s="1679"/>
      <c r="IV445" s="1679"/>
      <c r="IW445" s="1679"/>
      <c r="IX445" s="1679"/>
      <c r="IY445" s="1679"/>
      <c r="IZ445" s="1679"/>
      <c r="JA445" s="1679"/>
      <c r="JC445" s="1680"/>
      <c r="JD445" s="1670"/>
      <c r="JE445" s="1681"/>
      <c r="JG445" s="1680"/>
      <c r="JH445" s="1670"/>
      <c r="JI445" s="1060"/>
      <c r="JJ445" s="1670"/>
      <c r="JK445" s="1061"/>
      <c r="JL445" s="1670"/>
      <c r="JM445" s="1061"/>
      <c r="JN445" s="1670"/>
      <c r="JO445" s="1061"/>
      <c r="JP445" s="1670"/>
      <c r="JQ445" s="1061"/>
      <c r="JR445" s="1670"/>
      <c r="JS445" s="1061"/>
      <c r="JT445" s="1670"/>
      <c r="JU445" s="1061"/>
      <c r="JV445" s="1670"/>
      <c r="JX445" s="1670"/>
      <c r="JZ445" s="1670"/>
      <c r="KB445" s="1670"/>
    </row>
    <row r="446" spans="1:288" s="78" customFormat="1" ht="5.0999999999999996" customHeight="1">
      <c r="B446" s="676"/>
      <c r="C446" s="392"/>
      <c r="D446" s="392"/>
      <c r="E446" s="1733"/>
      <c r="F446" s="1733"/>
      <c r="G446" s="1733"/>
      <c r="H446" s="1733"/>
      <c r="I446" s="1733"/>
      <c r="J446" s="1733"/>
      <c r="K446" s="1733"/>
      <c r="L446" s="1733"/>
      <c r="M446" s="1733"/>
      <c r="N446" s="1733"/>
      <c r="O446" s="1733"/>
      <c r="P446" s="1733"/>
      <c r="Q446" s="1733"/>
      <c r="R446" s="1733"/>
      <c r="S446" s="1733"/>
      <c r="T446" s="1733"/>
      <c r="U446" s="1733"/>
      <c r="V446" s="1733"/>
      <c r="W446" s="1733"/>
      <c r="X446" s="1733"/>
      <c r="Y446" s="1733"/>
      <c r="Z446" s="1733"/>
      <c r="AA446" s="1733"/>
      <c r="AB446" s="1733"/>
      <c r="AC446" s="1733"/>
      <c r="AD446" s="1733"/>
      <c r="AE446" s="1733"/>
      <c r="AF446" s="1733"/>
      <c r="AG446" s="1733"/>
      <c r="AH446" s="1733"/>
      <c r="AI446" s="1733"/>
      <c r="AJ446" s="1733"/>
      <c r="AK446" s="1733"/>
      <c r="AL446" s="1733"/>
      <c r="AM446" s="1733"/>
      <c r="AN446" s="1733"/>
      <c r="AO446" s="1733"/>
      <c r="AP446" s="1733"/>
      <c r="AQ446" s="1733"/>
      <c r="AR446" s="1733"/>
      <c r="AS446" s="1733"/>
      <c r="AT446" s="1733"/>
      <c r="AU446" s="1733"/>
      <c r="AV446" s="1733"/>
      <c r="AW446" s="1733"/>
      <c r="AX446" s="469"/>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663"/>
      <c r="CQ446" s="663"/>
      <c r="CR446" s="438"/>
      <c r="CS446" s="663"/>
      <c r="CV446" s="391"/>
      <c r="CW446" s="391"/>
      <c r="CX446" s="207"/>
      <c r="CY446" s="208"/>
      <c r="CZ446" s="208"/>
      <c r="DA446" s="208"/>
      <c r="DB446" s="209"/>
      <c r="DC446" s="209"/>
      <c r="DD446" s="209"/>
      <c r="DF446" s="664"/>
      <c r="DG446" s="665"/>
      <c r="DH446" s="666"/>
      <c r="DI446" s="667"/>
      <c r="DJ446" s="668"/>
      <c r="DK446" s="668"/>
      <c r="DN446" s="208"/>
      <c r="DO446" s="664"/>
      <c r="DQ446" s="664"/>
      <c r="DR446" s="669"/>
      <c r="DS446" s="391"/>
      <c r="DT446" s="664"/>
      <c r="DU446" s="664"/>
      <c r="DV446" s="664"/>
      <c r="DX446" s="664"/>
      <c r="DY446" s="664"/>
      <c r="DZ446" s="664"/>
      <c r="EA446" s="664"/>
      <c r="EC446" s="670"/>
      <c r="ED446" s="670"/>
      <c r="EF446" s="668"/>
      <c r="EG446" s="668"/>
      <c r="EH446" s="208"/>
      <c r="EI446" s="668"/>
      <c r="EJ446" s="668"/>
      <c r="EK446" s="207"/>
      <c r="EL446" s="207"/>
      <c r="EM446" s="666"/>
      <c r="EN446" s="671"/>
      <c r="EO446" s="671"/>
      <c r="EP446" s="672"/>
      <c r="EQ446" s="672"/>
      <c r="ER446" s="666"/>
      <c r="ES446" s="666"/>
      <c r="ET446" s="666"/>
      <c r="EV446" s="664"/>
      <c r="EX446" s="391"/>
      <c r="EY446" s="391"/>
      <c r="EZ446" s="391"/>
      <c r="FA446" s="391"/>
      <c r="FB446" s="391"/>
      <c r="FC446" s="391"/>
      <c r="FE446" s="569"/>
      <c r="FG446" s="391"/>
      <c r="FH446" s="391"/>
      <c r="FI446" s="391"/>
      <c r="FS446" s="664"/>
      <c r="FT446" s="391"/>
      <c r="FU446" s="391"/>
      <c r="FV446" s="664"/>
      <c r="FW446" s="664"/>
      <c r="GA446" s="663"/>
      <c r="GB446" s="663"/>
      <c r="GC446" s="663"/>
      <c r="GD446" s="663"/>
      <c r="GE446" s="663"/>
      <c r="GF446" s="663"/>
      <c r="GG446" s="663"/>
      <c r="GH446" s="663"/>
      <c r="GI446" s="665"/>
      <c r="GJ446" s="664"/>
      <c r="GK446" s="664"/>
    </row>
    <row r="447" spans="1:288" s="78" customFormat="1" ht="14.95" customHeight="1">
      <c r="B447" s="1845" t="str">
        <f>ID450</f>
        <v xml:space="preserve"> </v>
      </c>
      <c r="C447" s="1846">
        <f>C442+1</f>
        <v>78</v>
      </c>
      <c r="D447" s="1847"/>
      <c r="E447" s="1799" t="s">
        <v>295</v>
      </c>
      <c r="F447" s="1800"/>
      <c r="G447" s="1741"/>
      <c r="H447" s="1742"/>
      <c r="I447" s="1742"/>
      <c r="J447" s="1742"/>
      <c r="K447" s="1742"/>
      <c r="L447" s="1742"/>
      <c r="M447" s="1742"/>
      <c r="N447" s="1742"/>
      <c r="O447" s="1742"/>
      <c r="P447" s="1742"/>
      <c r="Q447" s="1742"/>
      <c r="R447" s="1742"/>
      <c r="S447" s="1791" t="s">
        <v>344</v>
      </c>
      <c r="T447" s="590"/>
      <c r="U447" s="1743"/>
      <c r="V447" s="1744"/>
      <c r="W447" s="1744"/>
      <c r="X447" s="1744"/>
      <c r="Y447" s="1744"/>
      <c r="Z447" s="1744"/>
      <c r="AA447" s="1744"/>
      <c r="AB447" s="961" t="str">
        <f>IFERROR(IF(__Retrofit_TI_NC=0,VLOOKUP(U448,Fixtures_Existing_List,2,FALSE),ROUND(N449*R449/T449,10)),"")</f>
        <v/>
      </c>
      <c r="AC447" s="935" t="str">
        <f>IFERROR(IF(__Retrofit_TI_NC=0,ROUND(T448*AB447*N448*R448/1000,0),IF(CQ447="Interior",N449*R449*R448*N448*_C406_reduction/1000,N449*R449*R448*N448/1000)),"")</f>
        <v/>
      </c>
      <c r="AD447" s="936" t="str">
        <f>IFERROR(IF(C$43=0,ROUND(T448*AB447/1000,2),N449*R449/1000),"")</f>
        <v/>
      </c>
      <c r="AE447" s="997"/>
      <c r="AF447" s="937"/>
      <c r="AG447" s="1745" t="str">
        <f>IF(__Retrofit_TI_NC=0," Control","Select Advanced Control for New System")</f>
        <v xml:space="preserve"> Control</v>
      </c>
      <c r="AH447" s="1745"/>
      <c r="AI447" s="1745"/>
      <c r="AJ447" s="1745"/>
      <c r="AK447" s="1745"/>
      <c r="AL447" s="1745"/>
      <c r="AM447" s="1746">
        <f>IFERROR(DI447,"")</f>
        <v>0</v>
      </c>
      <c r="AN447" s="1774" t="str">
        <f>IFERROR(ROUND(AM447*AC447,0),"")</f>
        <v/>
      </c>
      <c r="AO447" s="1776">
        <f>IFERROR(IF(IB447=FALSE,0,AC447-AN447),0)</f>
        <v>0</v>
      </c>
      <c r="AP447" s="1778">
        <f>AO447-AO449</f>
        <v>0</v>
      </c>
      <c r="AQ447" s="1779"/>
      <c r="AR447" s="1793">
        <f>IFERROR(IF(IB447=FALSE,0,(T449*U450)+(AF449*AG450)),0)</f>
        <v>0</v>
      </c>
      <c r="AS447" s="1793"/>
      <c r="AT447" s="1794"/>
      <c r="AU447" s="1734" t="s">
        <v>237</v>
      </c>
      <c r="AV447" s="1751">
        <f>IF(AU447="Yes",1,0)</f>
        <v>1</v>
      </c>
      <c r="AW447" s="1704" t="str">
        <f>IF(OR(DQ447=4,DQ447=5,DQ447=6,DQ447=12),CONCATENATE("$",IF(GH447=TRUE,Lookup!$K$10,Lookup!$K$2)," /lamp"),CONCATENATE(TEXT(ED447,"$0.00"),"/ kWh"))</f>
        <v>$0.00/ kWh</v>
      </c>
      <c r="AX447" s="467"/>
      <c r="AY447" s="1748">
        <f ca="1">IFERROR(IF(GM448=TRUE,(AB450*T449)/R449,0),"NA")</f>
        <v>0</v>
      </c>
      <c r="AZ447" s="1748"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696" t="str">
        <f>N448</f>
        <v/>
      </c>
      <c r="CQ447" s="1696" t="str">
        <f>IFERROR(VLOOKUP(G448,_Lookup_Heat_Type_Table_New,3,FALSE),"")</f>
        <v/>
      </c>
      <c r="CR447" s="1808" t="str">
        <f>CQ447</f>
        <v/>
      </c>
      <c r="CS447" s="1810" t="str">
        <f>IFERROR(VLOOKUP(G449,'Space Table'!$B$3:$L$163,9,FALSE),"")</f>
        <v/>
      </c>
      <c r="CU447" s="1688" t="s">
        <v>344</v>
      </c>
      <c r="CV447" s="1702">
        <f>IF(IB447=TRUE,T448,0)</f>
        <v>0</v>
      </c>
      <c r="CW447" s="1702" t="str">
        <f>IF(IB447=TRUE,U448,"")</f>
        <v/>
      </c>
      <c r="CX447" s="1702"/>
      <c r="CY447" s="1814">
        <f>IF(IB447=TRUE,AB447,0)</f>
        <v>0</v>
      </c>
      <c r="CZ447" s="1710">
        <f>IF(AND(__Retrofit_TI_NC&gt;0,CR447="interior"),0,IF(IB447=TRUE,AC447,0))</f>
        <v>0</v>
      </c>
      <c r="DA447" s="1814">
        <f>IFERROR(IF(IB447=TRUE,CZ447-CZ449,0),0)</f>
        <v>0</v>
      </c>
      <c r="DB447" s="1819">
        <f>IF(IB447=TRUE,AD447,0)</f>
        <v>0</v>
      </c>
      <c r="DC447" s="1819">
        <f>IF(IB447=TRUE,AD450,0)</f>
        <v>0</v>
      </c>
      <c r="DD447" s="1819">
        <f>IFERROR(DB447-DC447,0)</f>
        <v>0</v>
      </c>
      <c r="DF447" s="1702">
        <f>IF(IB447=TRUE,AF448,0)</f>
        <v>0</v>
      </c>
      <c r="DG447" s="1830">
        <f>IFERROR(IF(__Retrofit_TI_NC=2,IF(CQ447="Exterior",O450,FQ447),FN447),"")</f>
        <v>0</v>
      </c>
      <c r="DH447" s="1702"/>
      <c r="DI447" s="1837">
        <f>JE447</f>
        <v>0</v>
      </c>
      <c r="DJ447" s="1710">
        <f>IF(AND(__Retrofit_TI_NC&gt;0,CR447="interior"),0,IF(IB447=TRUE,AN447,0))</f>
        <v>0</v>
      </c>
      <c r="DK447" s="1712">
        <f>IFERROR(IF(IB447=TRUE,DJ449-DJ447,0),0)</f>
        <v>0</v>
      </c>
      <c r="DM447" s="1717">
        <f>IFERROR(CZ447-DJ447,0)</f>
        <v>0</v>
      </c>
      <c r="DO447" s="1708">
        <f>DM447-DN449</f>
        <v>0</v>
      </c>
      <c r="DQ447" s="1715" t="str">
        <f>IFERROR(IF(AND(OR(GC447=4,GC447=5,GC447=6),OR(GF447=4,GF447=5,GF447=6)),GC447+8,VLOOKUP(CW449,Fixtures!R$31:Y$78,8,FALSE)),"")</f>
        <v/>
      </c>
      <c r="DR447" s="1829" t="str">
        <f>DQ447</f>
        <v/>
      </c>
      <c r="DS447" s="1702" t="str">
        <f>IFERROR(VLOOKUP(DG449,Lookup!BB$3:BC$20,2,FALSE),"")</f>
        <v/>
      </c>
      <c r="DT447" s="1713" t="str">
        <f>IF(OR(DS447=7,DS447=8,DS447=9),"ALC","")</f>
        <v/>
      </c>
      <c r="DU447" s="1715">
        <f>IFERROR(IF(OR(DQ447=4,DQ447=5,DQ447=6,DQ447=12,DQ447=13,DQ447=14),VLOOKUP(CW449,Fixtures!DN$27:EG$77,19,FALSE),1)*CV449,0)</f>
        <v>0</v>
      </c>
      <c r="DV447" s="1716">
        <f>IF(OR(DS447=7,DS447=8,DS447=9),IF(DG447=DG449,0,DF449),0)</f>
        <v>0</v>
      </c>
      <c r="DX447" s="1715" t="str">
        <f>IFERROR(IF(EZ447&lt;EZ449,"Yes","No"),"")</f>
        <v/>
      </c>
      <c r="DY447" s="1829" t="str">
        <f>DX447</f>
        <v/>
      </c>
      <c r="DZ447" s="1715">
        <f>IF(DX447="Yes",DF449,0)</f>
        <v>0</v>
      </c>
      <c r="EA447" s="1715">
        <f>DZ447-DV447</f>
        <v>0</v>
      </c>
      <c r="EC447" s="1834">
        <f>IFERROR(VLOOKUP(DQ447,Lookup!AU$3:AV$16,2,FALSE),0)</f>
        <v>0</v>
      </c>
      <c r="ED447" s="1834">
        <f>IF(IB447=FALSE,0,IF(DX447="Yes",EC447+Lookup!K$6,EC447))</f>
        <v>0</v>
      </c>
      <c r="EF447" s="1707">
        <f>IF(IB447=TRUE,DM447,0)</f>
        <v>0</v>
      </c>
      <c r="EG447" s="1712">
        <f>IF(IB447=TRUE,CZ449,0)</f>
        <v>0</v>
      </c>
      <c r="EH447" s="1814">
        <f>IFERROR(EF447-EG447,0)</f>
        <v>0</v>
      </c>
      <c r="EI447" s="1712">
        <f>IF(IB447=TRUE,DJ449,0)</f>
        <v>0</v>
      </c>
      <c r="EJ447" s="1712">
        <f>IFERROR(EF447-EG447+EI447,0)</f>
        <v>0</v>
      </c>
      <c r="EK447" s="1812">
        <f>IF(IB447=TRUE,CV449*CX449,0)</f>
        <v>0</v>
      </c>
      <c r="EL447" s="1812">
        <f>IF(IB447=TRUE,DF449*DH449,0)</f>
        <v>0</v>
      </c>
      <c r="EM447" s="1807">
        <f>AR447</f>
        <v>0</v>
      </c>
      <c r="EN447" s="1839" t="str">
        <f>IFERROR(IF(IB447=TRUE,VLOOKUP(DQ447,Lookup!AU$3:AW$16,3,FALSE)*DU447,""),0)</f>
        <v/>
      </c>
      <c r="EO447" s="1839">
        <f>IF(IB447=TRUE,DZ447*Lookup!AW$12,0)</f>
        <v>0</v>
      </c>
      <c r="EP447" s="1817">
        <f>IFERROR(IF(IB447=TRUE,EN447/EP$40,0),0)</f>
        <v>0</v>
      </c>
      <c r="EQ447" s="1817">
        <f>IF(IB447=TRUE,EO447/EQ$40,0)</f>
        <v>0</v>
      </c>
      <c r="ER447" s="1807">
        <f>IF(IB447=TRUE,ET$40*EP447,0)</f>
        <v>0</v>
      </c>
      <c r="ES447" s="1807">
        <f>IF(IB447=TRUE,ET$40*EQ447,0)</f>
        <v>0</v>
      </c>
      <c r="ET447" s="1807">
        <f>ER447+ES447</f>
        <v>0</v>
      </c>
      <c r="EV447" s="1715">
        <f>IF(G447="",0,1)</f>
        <v>0</v>
      </c>
      <c r="EX447" s="1804" t="str">
        <f>IFERROR(VLOOKUP(CS449,'Space Table'!$B$3:$L$163,8,FALSE),"")</f>
        <v/>
      </c>
      <c r="EY447" s="1804" t="str">
        <f>IFERROR(IF(FB447="Yes",VLOOKUP(DG447,Lookup_Control_Type_Table2,4,FALSE),VLOOKUP(DG447,Lookup_Control_Type_Table2,3,FALSE)),"")</f>
        <v/>
      </c>
      <c r="EZ447" s="1804" t="e">
        <f>VLOOKUP(DG447,Lookup!BB$3:BC$20,2,FALSE)</f>
        <v>#N/A</v>
      </c>
      <c r="FA447" s="1804" t="e">
        <f>VLOOKUP(EX447,Lookup_Control_Type_Table,2,FALSE)</f>
        <v>#N/A</v>
      </c>
      <c r="FB447" s="1804" t="e">
        <f>VLOOKUP(CS449,'Space Table'!$B$3:$L$163,7,FALSE)</f>
        <v>#N/A</v>
      </c>
      <c r="FC447" s="1826" t="b">
        <f>ISNUMBER(SEARCH("TLED",U449))</f>
        <v>0</v>
      </c>
      <c r="FE447" s="1698" t="str">
        <f>CONCATENATE(CQ447," - ",DG447)</f>
        <v xml:space="preserve"> - 0</v>
      </c>
      <c r="FG447" s="1702" t="str">
        <f>VLOOKUP(CW449,Fixtures!DN$27:EZ$77,38,FALSE)</f>
        <v/>
      </c>
      <c r="FH447" s="1702">
        <f>IFERROR(FG447*EH447,0)</f>
        <v>0</v>
      </c>
      <c r="FI447" s="133"/>
      <c r="FL447" s="1822" t="str">
        <f>IF(CQ447="Exterior","Not Daylighted",G450)</f>
        <v>Not Daylighted</v>
      </c>
      <c r="FM447" s="1824">
        <f>VLOOKUP(FL447,_New_Daylight_Table_Codes,2,FALSE)</f>
        <v>0</v>
      </c>
      <c r="FN447" s="1698">
        <f>IF(__Retrofit_TI_NC&gt;0,VLOOKUP(G449,'Space Table'!$B$3:$L$163,11,FALSE),AG448)</f>
        <v>0</v>
      </c>
      <c r="FO447" s="1698" t="e">
        <f>IF(__Retrofit_TI_NC=2,VLOOKUP(FQ447,_Control_Table,2,FALSE),VLOOKUP(FN447,_Control_Table,2,FALSE))</f>
        <v>#N/A</v>
      </c>
      <c r="FP447" s="1678" t="e">
        <f>VLOOKUP(CONCATENATE(FL447," ",FN447),Lookup!AY$102:AZ457,2,FALSE)</f>
        <v>#N/A</v>
      </c>
      <c r="FQ447" s="1678">
        <f>IF(__Retrofit_TI_NC=0,FN447,IF(AND(FT447&gt;0,FN447="Occupancy Sensor"),"Daylight + Occupancy",IF(AND(FT447&gt;0,VLOOKUP(FN447,_Control_Table,2,FALSE)&lt;4),"Interior Daylight Dimming",FN447)))</f>
        <v>0</v>
      </c>
      <c r="FS447" s="1686">
        <f>IF(CR447="Interior",VLOOKUP(CS447,Control_Savings_Interior,5,FALSE),0)</f>
        <v>0</v>
      </c>
      <c r="FT447" s="1687">
        <f>IF(CQ447="Exterior",0,IF(FM447=2,0.5,IF(OR(FM447=1,FM447=3),1,0)))</f>
        <v>0</v>
      </c>
      <c r="FU447" s="1685">
        <f>IF(R446&gt;FS$44,(FS447*(FS$44/R446)),FS447)*FT447</f>
        <v>0</v>
      </c>
      <c r="FV447" s="1686">
        <f>DI447</f>
        <v>0</v>
      </c>
      <c r="FW447" s="1686">
        <f>ROUND(FV447+((1-FV447)*FU447),2)</f>
        <v>0</v>
      </c>
      <c r="FX447" s="1686">
        <f>IF(__Retrofit_TI_NC=2,FW447,FV447)</f>
        <v>0</v>
      </c>
      <c r="FY447" s="1697"/>
      <c r="GA447" s="1696" t="str">
        <f>IFERROR(VLOOKUP(U448,_Exist_Fixture_Table,3,FALSE),"")</f>
        <v/>
      </c>
      <c r="GB447" s="1696" t="str">
        <f>VLOOKUP(CW447,_Exist_Fixture_Table,4,FALSE)</f>
        <v/>
      </c>
      <c r="GC447" s="1696">
        <f>IFERROR(VLOOKUP(GB447,Lookup!AT$6:AU$8,2,FALSE),0)</f>
        <v>0</v>
      </c>
      <c r="GD447" s="1696" t="b">
        <f>IFERROR(IF(OR(GF447=4,GF447=5,GF447=6),TRUE,FALSE),"")</f>
        <v>0</v>
      </c>
      <c r="GE447" s="1696" t="str">
        <f>IFERROR(VLOOKUP(GF447,GC$6:GD$10,2,FALSE),"")</f>
        <v/>
      </c>
      <c r="GF447" s="1696" t="str">
        <f>VLOOKUP(CW449,Fixtures!R$31:Y$78,8,FALSE)</f>
        <v/>
      </c>
      <c r="GG447" s="1696">
        <f>IF(AND(GA447=TRUE,GD447=TRUE,OR(DQ447=12,DQ447=13,DQ447=14)),GC447+8,0)</f>
        <v>0</v>
      </c>
      <c r="GH447" s="1696" t="b">
        <f>IF(OR(GG447=12,GG447=13,GG447=14),TRUE,FALSE)</f>
        <v>0</v>
      </c>
      <c r="GI447" s="673" t="b">
        <f>IF(ISNUMBER(SEARCH("TLED",U448)),TRUE,FALSE)</f>
        <v>0</v>
      </c>
      <c r="GJ447" s="1135" t="str">
        <f>IFERROR(VLOOKUP(U448,Fixtures!BM$93:BR$142,6,FALSE),"")</f>
        <v/>
      </c>
      <c r="GK447" s="1832" t="b">
        <f>IF(OR(GI447=FALSE,GI449=FALSE),TRUE,IF(GJ447-GJ449&lt;5,FALSE,TRUE))</f>
        <v>1</v>
      </c>
      <c r="GO447" s="674">
        <f>GP447</f>
        <v>0</v>
      </c>
      <c r="GP447" s="674">
        <f>IF(G447="",0,1)</f>
        <v>0</v>
      </c>
      <c r="GQ447" s="674">
        <f ca="1">SUM(GR447:HF447)</f>
        <v>2</v>
      </c>
      <c r="GR447" s="674">
        <f>IF(G448="",0,1)</f>
        <v>0</v>
      </c>
      <c r="GS447" s="674">
        <f>IF(N450="BAM",1,IF(G449="",0,1))</f>
        <v>0</v>
      </c>
      <c r="GT447" s="674">
        <f>IF(N450="BAM",1,IF(R448="",0,1))</f>
        <v>0</v>
      </c>
      <c r="GU447" s="674">
        <f>IF(N450="BAM",1,IF(__Retrofit_TI_NC=0,1,IF(R449="",0,1)))</f>
        <v>1</v>
      </c>
      <c r="GV447" s="674">
        <f>IF(N450="BAM",1,IF(CQ447="Exterior",1,IF(G450="",0,1)))</f>
        <v>1</v>
      </c>
      <c r="GW447" s="674">
        <f>IF(__Retrofit_TI_NC&gt;0,1,IF(T448="",0,1))</f>
        <v>0</v>
      </c>
      <c r="GX447" s="674">
        <f>IF(__Retrofit_TI_NC&gt;0,1,IF(U448="",0,1))</f>
        <v>0</v>
      </c>
      <c r="GY447" s="674">
        <f>IF(N450="BAM",1,IF(T449="",0,1))</f>
        <v>0</v>
      </c>
      <c r="GZ447" s="674">
        <f>IF(N450="BAM",1,IF(U449="",0,1))</f>
        <v>0</v>
      </c>
      <c r="HA447" s="674">
        <f ca="1">IF(N450="BAM",1,IF(__Retrofit_TI_NC&gt;0,1,IF(U450="",0,1)))</f>
        <v>0</v>
      </c>
      <c r="HB447" s="674">
        <f>IF(__Retrofit_TI_NC&lt;&gt;0,1,IF(AF448="",0,1))</f>
        <v>0</v>
      </c>
      <c r="HC447" s="674">
        <f>IF(__Retrofit_TI_NC&lt;&gt;0,1,IF(AG448="",0,1))</f>
        <v>0</v>
      </c>
      <c r="HD447" s="674">
        <f>IF(N450="BAM",1,IF(AF449="",0,1))</f>
        <v>0</v>
      </c>
      <c r="HE447" s="674">
        <f>IF(N450="BAM",1,IF(AG449="",0,1))</f>
        <v>0</v>
      </c>
      <c r="HF447" s="674">
        <f>IF(N450="BAM",1,IF(__Retrofit_TI_NC&gt;0,1,IF(AG450="",0,1)))</f>
        <v>0</v>
      </c>
      <c r="HG447" s="391"/>
      <c r="IA447" s="391"/>
      <c r="IB447" s="1693" t="b">
        <f>IF(OR(IB450=0,IB450=HY$16,IB450=HX$16,IB450=HZ$16),TRUE,FALSE)</f>
        <v>0</v>
      </c>
      <c r="IC447" s="1694" t="b">
        <f>IB447</f>
        <v>0</v>
      </c>
      <c r="ID447" s="391"/>
      <c r="IE447" s="391"/>
      <c r="IF447" s="1688" t="b">
        <f ca="1">IF(MAX(GN450:HU450)&gt;5,FALSE,TRUE)</f>
        <v>0</v>
      </c>
      <c r="IG447" s="1689">
        <f ca="1">IF(IF447=TRUE,AC447,0)</f>
        <v>0</v>
      </c>
      <c r="IH447" s="1689">
        <f ca="1">IG447-IG449</f>
        <v>0</v>
      </c>
      <c r="IK447" s="1689" t="e">
        <f>ROUND(T448*VLOOKUP(U448,Fixtures_Existing_List,2,FALSE)*N448*R448/1000,0)</f>
        <v>#N/A</v>
      </c>
      <c r="IL447" s="1690" t="e">
        <f>IK447-IK449</f>
        <v>#N/A</v>
      </c>
      <c r="IM447" s="1693" t="e">
        <f>ROUND(IF(CQ447="Interior",N449*R449*R448*N448*_C406_reduction/1000,N449*R449*R448*N448/1000),0)</f>
        <v>#N/A</v>
      </c>
      <c r="IN447" s="1693" t="e">
        <f>IM447-IM449</f>
        <v>#N/A</v>
      </c>
      <c r="IP447" s="1679"/>
      <c r="IQ447" s="1679" t="e">
        <f t="shared" ref="IQ447:IU447" si="401">IF($CR447="interior",VLOOKUP($CS447,_New_Control_Savings_Interior,IQ$30,FALSE),VLOOKUP($CS447,Control_Savings_Exterior,IQ$30,FALSE))</f>
        <v>#N/A</v>
      </c>
      <c r="IR447" s="1679" t="e">
        <f t="shared" si="401"/>
        <v>#N/A</v>
      </c>
      <c r="IS447" s="1679" t="e">
        <f t="shared" si="401"/>
        <v>#N/A</v>
      </c>
      <c r="IT447" s="1679" t="e">
        <f t="shared" si="401"/>
        <v>#N/A</v>
      </c>
      <c r="IU447" s="1679" t="e">
        <f t="shared" si="401"/>
        <v>#N/A</v>
      </c>
      <c r="IV447" s="1679" t="e">
        <f>IF($CR447="interior",IF(R448&gt;$IP$14,ROUND(($IV$18*($IP$14/R448)),2),$IV$18),VLOOKUP($CS447,Control_Savings_Exterior,IV$30,FALSE))</f>
        <v>#N/A</v>
      </c>
      <c r="IW447" s="1679" t="e">
        <f>IF($CR447="interior",ROUND(((1-IS447)*IV447)+IS447,2),VLOOKUP($CS447,Control_Savings_Exterior,IW$30,FALSE))</f>
        <v>#N/A</v>
      </c>
      <c r="IX447" s="1679" t="e">
        <f>IF($CR447="interior",ROUND(((1-IT447)*IV447)+IT447,2),VLOOKUP($CS447,Control_Savings_Exterior,IX$30,FALSE))</f>
        <v>#N/A</v>
      </c>
      <c r="IY447" s="1679" t="e">
        <f>IF($CR447="interior",IF(R448&gt;$IP$14,ROUND(($IY$18*($IP$14/R448)),2),$IY$18),VLOOKUP($CS447,Control_Savings_Exterior,IY$30,FALSE))</f>
        <v>#N/A</v>
      </c>
      <c r="IZ447" s="1679" t="e">
        <f>IF($CR447="interior",ROUND(((1-IS447)*IY447)+IS447,2),VLOOKUP($CS447,Control_Savings_Exterior,IZ$30,FALSE))</f>
        <v>#N/A</v>
      </c>
      <c r="JA447" s="1679" t="e">
        <f>IF($CR447="interior",ROUND(((1-IT447)*IY447)+IT447,2),VLOOKUP($CS447,Control_Savings_Exterior,JA$30,FALSE))</f>
        <v>#N/A</v>
      </c>
      <c r="JC447" s="1680">
        <f>IFERROR(IF(CR447="Interior",CONCATENATE(G450," ",FQ447),FQ447),"")</f>
        <v>0</v>
      </c>
      <c r="JD447" s="1670" t="str">
        <f>IFERROR(VLOOKUP(JC447,_Controls_2023,2,FALSE),"")</f>
        <v/>
      </c>
      <c r="JE447" s="1681">
        <f>IFERROR(CHOOSE(JD447-1,IQ447,IR447,IS447,IT447,IU447,IV447,IW447,IX447,IY447,IZ447,JA447),0)</f>
        <v>0</v>
      </c>
      <c r="JG447" s="1680" t="str">
        <f>FE447</f>
        <v xml:space="preserve"> - 0</v>
      </c>
      <c r="JH447" s="1670" t="e">
        <f>$FO447</f>
        <v>#N/A</v>
      </c>
      <c r="JI447" s="1060"/>
      <c r="JJ447" s="1682" t="b">
        <f>IF($JG449=CONCATENATE("Interior - ",JJ$4),TRUE,FALSE)</f>
        <v>0</v>
      </c>
      <c r="JK447" s="1061"/>
      <c r="JL447" s="1682" t="b">
        <f>IF($JG449=CONCATENATE("Interior - ",JL$4),TRUE,FALSE)</f>
        <v>0</v>
      </c>
      <c r="JM447" s="1061"/>
      <c r="JN447" s="1682" t="b">
        <f>IF($JG449=CONCATENATE("Interior - ",JN$4),TRUE,FALSE)</f>
        <v>0</v>
      </c>
      <c r="JO447" s="1061"/>
      <c r="JP447" s="1682" t="b">
        <f>IF(__Retrofit_TI_NC&gt;0,FALSE,IF($JG449=CONCATENATE("Interior - ",JP$4),TRUE,FALSE))</f>
        <v>0</v>
      </c>
      <c r="JQ447" s="1061"/>
      <c r="JR447" s="1682" t="b">
        <f>IF(__Retrofit_TI_NC&gt;0,FALSE,IF($JG449=CONCATENATE("Interior - ",JR$4),TRUE,FALSE))</f>
        <v>0</v>
      </c>
      <c r="JS447" s="1061"/>
      <c r="JT447" s="1670" t="b">
        <f>IF(__Retrofit_TI_NC&gt;0,FALSE,IF($JG449=CONCATENATE("Interior - ",JT$4),TRUE,FALSE))</f>
        <v>0</v>
      </c>
      <c r="JU447" s="1061"/>
      <c r="JV447" s="1670" t="b">
        <f>IF(JC449="AELC on Existing",TRUE,FALSE)</f>
        <v>0</v>
      </c>
      <c r="JX447" s="1670" t="b">
        <f>IF(OR(JG449="Exterior - AELC Occupancy based",JG449="Exterior - AELC Time based"),TRUE,FALSE)</f>
        <v>0</v>
      </c>
      <c r="JZ447" s="1682" t="b">
        <f>IF($JG449=CONCATENATE("Exterior - ",JZ$4),TRUE,FALSE)</f>
        <v>0</v>
      </c>
      <c r="KB447" s="1670" t="b">
        <f>IF(__Retrofit_TI_NC&gt;0,FALSE,IF($JG449=CONCATENATE("Interior - ",KB$4),TRUE,FALSE))</f>
        <v>0</v>
      </c>
    </row>
    <row r="448" spans="1:288" s="78" customFormat="1" ht="14.95" customHeight="1" thickTop="1" thickBot="1">
      <c r="B448" s="1845"/>
      <c r="C448" s="1846"/>
      <c r="D448" s="1847"/>
      <c r="E448" s="1737" t="s">
        <v>297</v>
      </c>
      <c r="F448" s="1738"/>
      <c r="G448" s="1739"/>
      <c r="H448" s="1739"/>
      <c r="I448" s="1739"/>
      <c r="J448" s="1739"/>
      <c r="K448" s="1739"/>
      <c r="L448" s="1739"/>
      <c r="M448" s="461" t="e">
        <f>IF(__Retrofit_TI_NC&lt;&gt;0,IF(VLOOKUP(G449,'Space Table'!$B$3:$L$163,3,FALSE)&gt;0,1,0),IF(__Retrofit_TI_NC=VLOOKUP(G449,'Space Table'!$B$3:$L$163,3,FALSE),1,0))</f>
        <v>#N/A</v>
      </c>
      <c r="N448" s="461" t="str">
        <f>IFERROR(VLOOKUP(G448,_Lookup_Heat_Type_Table_New,2,FALSE),"")</f>
        <v/>
      </c>
      <c r="O448" s="461">
        <f>IF(__Retrofit_TI_NC=1,CONCATENATE("TI ",G448),IF(__Retrofit_TI_NC=2,CONCATENATE("NC ",G448),G448))</f>
        <v>0</v>
      </c>
      <c r="P448" s="1740" t="s">
        <v>435</v>
      </c>
      <c r="Q448" s="1740"/>
      <c r="R448" s="595"/>
      <c r="S448" s="1792"/>
      <c r="T448" s="597"/>
      <c r="U448" s="1765"/>
      <c r="V448" s="1766"/>
      <c r="W448" s="1766"/>
      <c r="X448" s="1766"/>
      <c r="Y448" s="1766"/>
      <c r="Z448" s="1766"/>
      <c r="AA448" s="1766"/>
      <c r="AB448" s="1766"/>
      <c r="AC448" s="1766"/>
      <c r="AD448" s="1767"/>
      <c r="AE448" s="1000"/>
      <c r="AF448" s="597"/>
      <c r="AG448" s="1723"/>
      <c r="AH448" s="1724"/>
      <c r="AI448" s="1724"/>
      <c r="AJ448" s="1724"/>
      <c r="AK448" s="1725"/>
      <c r="AL448" s="996"/>
      <c r="AM448" s="1747"/>
      <c r="AN448" s="1775"/>
      <c r="AO448" s="1777"/>
      <c r="AP448" s="1780"/>
      <c r="AQ448" s="1781"/>
      <c r="AR448" s="1795"/>
      <c r="AS448" s="1795"/>
      <c r="AT448" s="1796"/>
      <c r="AU448" s="1735"/>
      <c r="AV448" s="1752"/>
      <c r="AW448" s="1705"/>
      <c r="AX448" s="467"/>
      <c r="AY448" s="1749"/>
      <c r="AZ448" s="1749"/>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696"/>
      <c r="CQ448" s="1696"/>
      <c r="CR448" s="1809"/>
      <c r="CS448" s="1811"/>
      <c r="CU448" s="1688"/>
      <c r="CV448" s="1703"/>
      <c r="CW448" s="1703"/>
      <c r="CX448" s="1703"/>
      <c r="CY448" s="1815"/>
      <c r="CZ448" s="1711"/>
      <c r="DA448" s="1818"/>
      <c r="DB448" s="1820"/>
      <c r="DC448" s="1820"/>
      <c r="DD448" s="1820"/>
      <c r="DF448" s="1703"/>
      <c r="DG448" s="1831"/>
      <c r="DH448" s="1703"/>
      <c r="DI448" s="1838"/>
      <c r="DJ448" s="1711"/>
      <c r="DK448" s="1712"/>
      <c r="DM448" s="1718"/>
      <c r="DO448" s="1708"/>
      <c r="DQ448" s="1715"/>
      <c r="DR448" s="1720"/>
      <c r="DS448" s="1816"/>
      <c r="DT448" s="1714"/>
      <c r="DU448" s="1715"/>
      <c r="DV448" s="1716"/>
      <c r="DX448" s="1715"/>
      <c r="DY448" s="1720"/>
      <c r="DZ448" s="1715"/>
      <c r="EA448" s="1715"/>
      <c r="EC448" s="1834"/>
      <c r="ED448" s="1834"/>
      <c r="EF448" s="1707"/>
      <c r="EG448" s="1712"/>
      <c r="EH448" s="1818"/>
      <c r="EI448" s="1712"/>
      <c r="EJ448" s="1712"/>
      <c r="EK448" s="1836"/>
      <c r="EL448" s="1836"/>
      <c r="EM448" s="1807"/>
      <c r="EN448" s="1839"/>
      <c r="EO448" s="1839"/>
      <c r="EP448" s="1817"/>
      <c r="EQ448" s="1817"/>
      <c r="ER448" s="1807"/>
      <c r="ES448" s="1807"/>
      <c r="ET448" s="1807"/>
      <c r="EV448" s="1715"/>
      <c r="EX448" s="1805"/>
      <c r="EY448" s="1805"/>
      <c r="EZ448" s="1805"/>
      <c r="FA448" s="1805"/>
      <c r="FB448" s="1805"/>
      <c r="FC448" s="1827"/>
      <c r="FE448" s="1698"/>
      <c r="FG448" s="1816"/>
      <c r="FH448" s="1816"/>
      <c r="FI448" s="133"/>
      <c r="FL448" s="1823"/>
      <c r="FM448" s="1825"/>
      <c r="FN448" s="1698"/>
      <c r="FO448" s="1698"/>
      <c r="FP448" s="1678"/>
      <c r="FQ448" s="1678"/>
      <c r="FS448" s="1687"/>
      <c r="FT448" s="1687"/>
      <c r="FU448" s="1685"/>
      <c r="FV448" s="1687"/>
      <c r="FW448" s="1687"/>
      <c r="FX448" s="1687"/>
      <c r="FY448" s="1697"/>
      <c r="GA448" s="1696"/>
      <c r="GB448" s="1696"/>
      <c r="GC448" s="1696"/>
      <c r="GD448" s="1696"/>
      <c r="GE448" s="1696"/>
      <c r="GF448" s="1696"/>
      <c r="GG448" s="1696"/>
      <c r="GH448" s="1696"/>
      <c r="GI448" s="673"/>
      <c r="GJ448" s="1135"/>
      <c r="GK448" s="1832"/>
      <c r="GM448" s="1693" t="b">
        <f ca="1">IF(AND(GP448=TRUE,GQ448=TRUE),TRUE,FALSE)</f>
        <v>0</v>
      </c>
      <c r="GN448" s="1684" t="b">
        <f>IFERROR(IF(__Retrofit_TI_NC=2,TRUE,IF(AU447="Yes",TRUE,FALSE)),FALSE)</f>
        <v>1</v>
      </c>
      <c r="GP448" s="1684" t="b">
        <f>IFERROR(IF(GP447=1,TRUE,FALSE),FALSE)</f>
        <v>0</v>
      </c>
      <c r="GQ448" s="1684" t="b">
        <f ca="1">IFERROR(IF(GQ447=GQ$14,TRUE,FALSE),FALSE)</f>
        <v>0</v>
      </c>
      <c r="HG448" s="1684" t="b">
        <f>IFERROR(IF(AND(__Retrofit_TI_NC&gt;0,CQ447="Interior"),FALSE,TRUE),FALSE)</f>
        <v>1</v>
      </c>
      <c r="HH448" s="1684" t="b">
        <f>IFERROR(IF(M448=1,TRUE,FALSE),FALSE)</f>
        <v>0</v>
      </c>
      <c r="HI448" s="1684" t="b">
        <f>IFERROR(IF(OR(M449=1,N450="BAM"),TRUE,FALSE),FALSE)</f>
        <v>0</v>
      </c>
      <c r="HJ448" s="1684" t="b">
        <f>IFERROR(IF(__Retrofit_TI_NC&lt;&gt;0,TRUE,IFERROR(IF(VLOOKUP(U448,Fixtures_Existing_List,2,FALSE)&lt;&gt;"",TRUE,FALSE),FALSE)),FALSE)</f>
        <v>0</v>
      </c>
      <c r="HK448" s="1684" t="b">
        <f>IFERROR(IF(VLOOKUP(U449,Fixtures_Proposed_List,2,FALSE)&lt;&gt;"",TRUE,FALSE),FALSE)</f>
        <v>0</v>
      </c>
      <c r="HL448" s="1684" t="b">
        <f>IF(AND(__Retrofit_TI_NC=2,FC447=TRUE),FALSE,TRUE)</f>
        <v>1</v>
      </c>
      <c r="HM448" s="1684" t="b">
        <f>GK447</f>
        <v>1</v>
      </c>
      <c r="HN448" s="1682" t="b">
        <f>IF(ISERROR(MATCH(FE447,_Control_Match[],0))=TRUE,FALSE,TRUE)</f>
        <v>0</v>
      </c>
      <c r="HO448" s="1693" t="b">
        <f>IFERROR(IF(EX447&lt;&gt;EY447,FALSE,TRUE),FALSE)</f>
        <v>1</v>
      </c>
      <c r="HP448" s="1693" t="b">
        <f>IFERROR(IF(EX449&lt;&gt;EY449,FALSE,TRUE),FALSE)</f>
        <v>1</v>
      </c>
      <c r="HQ448" s="1670" t="b">
        <f>IFERROR(IF(CQ447="Exterior",TRUE,IF(AND(OR(FM449=0,FM449=3),JD449&gt;6),FALSE,TRUE)),FALSE)</f>
        <v>0</v>
      </c>
      <c r="HR448" s="1684" t="b">
        <f>IFERROR(IF(AND(FO449=7,FC447=TRUE),FALSE,TRUE),FALSE)</f>
        <v>0</v>
      </c>
      <c r="HS448" s="1684" t="b">
        <f>IFERROR(IF(AND(T449&lt;&gt;AF449,OR(AG449="Interior LLLC", AG449="Interior NLC", AG449="LLLC (outside Daylight)",AG449="LLLC Controls Only"))=TRUE,FALSE,TRUE),FALSE)</f>
        <v>1</v>
      </c>
      <c r="HT448" s="1670" t="b">
        <f>IFERROR(IF(OR(AG449=Lookup!BB$17,AG449=Lookup!BB$18,AG449=Lookup!BB$19)=TRUE,IF(AF449&gt;T449,FALSE,TRUE),TRUE),FALSE)</f>
        <v>1</v>
      </c>
      <c r="HU448" s="1684" t="b">
        <f>IFERROR(IF(__Retrofit_TI_NC=2,IF(EZ449&lt;EZ447,FALSE,TRUE),TRUE),FALSE)</f>
        <v>1</v>
      </c>
      <c r="HV448" s="1684" t="b">
        <f>IF(CQ447="Interior",IL$6,TRUE)</f>
        <v>1</v>
      </c>
      <c r="HW448" s="1684" t="b">
        <f>IF(CQ447="Exterior",IL$8,TRUE)</f>
        <v>1</v>
      </c>
      <c r="HX448" s="1684" t="b">
        <f>IFERROR(IF(__Retrofit_TI_NC&lt;&gt;0,IF(AZ447&lt;AY447,FALSE,TRUE),TRUE),FALSE)</f>
        <v>1</v>
      </c>
      <c r="HY448" s="1684" t="b">
        <f>IFERROR(IF(AND(G448="Exterior",R448&gt;4200),FALSE,TRUE),FALSE)</f>
        <v>1</v>
      </c>
      <c r="HZ448" s="1684" t="b">
        <f>IFERROR(IF(AB450/AB447&lt;HZ$18,FALSE,TRUE),FALSE)</f>
        <v>0</v>
      </c>
      <c r="IB448" s="1691"/>
      <c r="IC448" s="1695"/>
      <c r="ID448" s="1694" t="str">
        <f>VLOOKUP(IB450,_Error_Table,4,FALSE)</f>
        <v>White</v>
      </c>
      <c r="IE448" s="391"/>
      <c r="IF448" s="1688"/>
      <c r="IG448" s="1689"/>
      <c r="IH448" s="1684"/>
      <c r="IK448" s="1689"/>
      <c r="IL448" s="1691"/>
      <c r="IM448" s="1691"/>
      <c r="IN448" s="1691"/>
      <c r="IP448" s="1679"/>
      <c r="IQ448" s="1679"/>
      <c r="IR448" s="1679"/>
      <c r="IS448" s="1679"/>
      <c r="IT448" s="1679"/>
      <c r="IU448" s="1679"/>
      <c r="IV448" s="1679"/>
      <c r="IW448" s="1679"/>
      <c r="IX448" s="1679"/>
      <c r="IY448" s="1679"/>
      <c r="IZ448" s="1679"/>
      <c r="JA448" s="1679"/>
      <c r="JC448" s="1680"/>
      <c r="JD448" s="1670"/>
      <c r="JE448" s="1681"/>
      <c r="JG448" s="1680"/>
      <c r="JH448" s="1670"/>
      <c r="JI448" s="1060"/>
      <c r="JJ448" s="1683"/>
      <c r="JK448" s="1061"/>
      <c r="JL448" s="1683"/>
      <c r="JM448" s="1061"/>
      <c r="JN448" s="1683"/>
      <c r="JO448" s="1061"/>
      <c r="JP448" s="1683"/>
      <c r="JQ448" s="1061"/>
      <c r="JR448" s="1683"/>
      <c r="JS448" s="1061"/>
      <c r="JT448" s="1670"/>
      <c r="JU448" s="1061"/>
      <c r="JV448" s="1670"/>
      <c r="JX448" s="1670"/>
      <c r="JZ448" s="1683"/>
      <c r="KB448" s="1670"/>
    </row>
    <row r="449" spans="1:288" s="78" customFormat="1" ht="14.95" customHeight="1" thickTop="1" thickBot="1">
      <c r="A449" s="78">
        <f>ROW()</f>
        <v>449</v>
      </c>
      <c r="B449" s="1845"/>
      <c r="C449" s="1846"/>
      <c r="D449" s="1847"/>
      <c r="E449" s="1737" t="s">
        <v>298</v>
      </c>
      <c r="F449" s="1738"/>
      <c r="G449" s="1760"/>
      <c r="H449" s="1761"/>
      <c r="I449" s="1761"/>
      <c r="J449" s="1761"/>
      <c r="K449" s="1761"/>
      <c r="L449" s="1762"/>
      <c r="M449" s="461">
        <f>IFERROR(IF(IF(__Retrofit_TI_NC&lt;&gt;0,IF(CQ447="Interior",MATCH(G449,Lookup_Interior_New,0),MATCH(G449,Lookup_Exterior_New,0)),IF(CQ447="Interior",MATCH(G449,Lookup_Interior,0),MATCH(G449,Lookup_Exterior_Areas,0)))&gt;0,1,0),0)</f>
        <v>0</v>
      </c>
      <c r="N449" s="461" t="e">
        <f>IF(__Retrofit_TI_NC=1,
VLOOKUP(G449,'Space Table'!$B$3:$L$163,4,FALSE),
IF(__Retrofit_TI_NC=2,VLOOKUP(G449,'Space Table'!$B$3:$L$163,5,FALSE),VLOOKUP(G449,'Space Table'!$B$3:$L$163,5,FALSE)))</f>
        <v>#N/A</v>
      </c>
      <c r="O449" s="461">
        <f>G449</f>
        <v>0</v>
      </c>
      <c r="P449" s="1738" t="str">
        <f>IFERROR(IF(__Retrofit_TI_NC=1,VLOOKUP(G449,'Space Table'!$B$3:$O$163,13,FALSE),IF(__Retrofit_TI_NC=2,VLOOKUP(G449,'Space Table'!$B$3:$O$163,14,FALSE),"Area (sf):")),"Area (sf):")</f>
        <v>Area (sf):</v>
      </c>
      <c r="Q449" s="1738"/>
      <c r="R449" s="596"/>
      <c r="S449" s="1763" t="s">
        <v>345</v>
      </c>
      <c r="T449" s="594"/>
      <c r="U449" s="1801"/>
      <c r="V449" s="1802"/>
      <c r="W449" s="1802"/>
      <c r="X449" s="1802"/>
      <c r="Y449" s="1802"/>
      <c r="Z449" s="1802"/>
      <c r="AA449" s="1802"/>
      <c r="AB449" s="1802"/>
      <c r="AC449" s="1802"/>
      <c r="AD449" s="1802"/>
      <c r="AE449" s="1803"/>
      <c r="AF449" s="594"/>
      <c r="AG449" s="1787"/>
      <c r="AH449" s="1787"/>
      <c r="AI449" s="1787"/>
      <c r="AJ449" s="1787"/>
      <c r="AK449" s="1787"/>
      <c r="AL449" s="1787"/>
      <c r="AM449" s="1726">
        <f>IFERROR(DI449,"")</f>
        <v>0</v>
      </c>
      <c r="AN449" s="1728" t="str">
        <f>IFERROR(ROUND(AM449*AC450,0),"")</f>
        <v/>
      </c>
      <c r="AO449" s="1730">
        <f>IFERROR(IF(IB447=FALSE,0,AC450-AN449),0)</f>
        <v>0</v>
      </c>
      <c r="AP449" s="1780"/>
      <c r="AQ449" s="1781"/>
      <c r="AR449" s="1795"/>
      <c r="AS449" s="1795"/>
      <c r="AT449" s="1796"/>
      <c r="AU449" s="1735"/>
      <c r="AV449" s="1752"/>
      <c r="AW449" s="1705"/>
      <c r="AX449" s="467"/>
      <c r="AY449" s="1749"/>
      <c r="AZ449" s="1749"/>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696"/>
      <c r="CQ449" s="1696"/>
      <c r="CR449" s="1808" t="str">
        <f>CQ447</f>
        <v/>
      </c>
      <c r="CS449" s="1810" t="str">
        <f>CS447</f>
        <v/>
      </c>
      <c r="CU449" s="1688" t="s">
        <v>345</v>
      </c>
      <c r="CV449" s="1702">
        <f>IF(IB447=TRUE,T449,0)</f>
        <v>0</v>
      </c>
      <c r="CW449" s="1702" t="str">
        <f>IF(IB447=TRUE,U449,"")</f>
        <v/>
      </c>
      <c r="CX449" s="1812">
        <f>IF(IB447=TRUE,U450,0)</f>
        <v>0</v>
      </c>
      <c r="CY449" s="1814">
        <f>IF(IB447=TRUE,AB450,0)</f>
        <v>0</v>
      </c>
      <c r="CZ449" s="1710">
        <f>IF(AND(__Retrofit_TI_NC&gt;0,CR447="interior"),0,IF(IB447=TRUE,AC450,0))</f>
        <v>0</v>
      </c>
      <c r="DA449" s="1818"/>
      <c r="DB449" s="1820"/>
      <c r="DC449" s="1820"/>
      <c r="DD449" s="1820"/>
      <c r="DF449" s="1702">
        <f>IF(IB447=TRUE,AF449,0)</f>
        <v>0</v>
      </c>
      <c r="DG449" s="1830" t="str">
        <f>IF(IB447=TRUE,AG449,"")</f>
        <v/>
      </c>
      <c r="DH449" s="1812">
        <f>AG450</f>
        <v>0</v>
      </c>
      <c r="DI449" s="1837">
        <f>JE449</f>
        <v>0</v>
      </c>
      <c r="DJ449" s="1710">
        <f>IF(AND(__Retrofit_TI_NC&gt;0,CR447="interior"),0,IF(IB447=TRUE,AN449,0))</f>
        <v>0</v>
      </c>
      <c r="DK449" s="1712"/>
      <c r="DN449" s="1717">
        <f>IFERROR(CZ449-DJ449,0)</f>
        <v>0</v>
      </c>
      <c r="DO449" s="1709"/>
      <c r="DQ449" s="1715"/>
      <c r="DR449" s="1719" t="str">
        <f>DQ447</f>
        <v/>
      </c>
      <c r="DS449" s="1816"/>
      <c r="DT449" s="1835" t="str">
        <f>IF(OR(DS447=7,DS447=8,DS447=9),"ALC","")</f>
        <v/>
      </c>
      <c r="DU449" s="1715"/>
      <c r="DV449" s="1716"/>
      <c r="DX449" s="1715"/>
      <c r="DY449" s="1829" t="str">
        <f>DX447</f>
        <v/>
      </c>
      <c r="DZ449" s="1715"/>
      <c r="EA449" s="1715"/>
      <c r="EC449" s="1834"/>
      <c r="ED449" s="1834"/>
      <c r="EF449" s="1707"/>
      <c r="EG449" s="1712"/>
      <c r="EH449" s="1818"/>
      <c r="EI449" s="1712"/>
      <c r="EJ449" s="1712"/>
      <c r="EK449" s="1836"/>
      <c r="EL449" s="1836"/>
      <c r="EM449" s="1807"/>
      <c r="EN449" s="1839"/>
      <c r="EO449" s="1839"/>
      <c r="EP449" s="1817"/>
      <c r="EQ449" s="1817"/>
      <c r="ER449" s="1807"/>
      <c r="ES449" s="1807"/>
      <c r="ET449" s="1807"/>
      <c r="EV449" s="1715"/>
      <c r="EX449" s="1805" t="str">
        <f>IFERROR(VLOOKUP(CS449,'Space Table'!$B$3:$L$163,8,FALSE),"")</f>
        <v/>
      </c>
      <c r="EY449" s="1805" t="str">
        <f>IFERROR(IF(FB449="Yes",VLOOKUP(AG449,Lookup_Control_Type_Table2,4,FALSE),VLOOKUP(AG449,Lookup_Control_Type_Table2,3,FALSE)),"")</f>
        <v/>
      </c>
      <c r="EZ449" s="1805" t="e">
        <f>VLOOKUP(AG449,Lookup!BB$3:BC$20,2,FALSE)</f>
        <v>#N/A</v>
      </c>
      <c r="FA449" s="1805" t="e">
        <f>VLOOKUP(EX447,Lookup_Control_Type_Table,2,FALSE)</f>
        <v>#N/A</v>
      </c>
      <c r="FB449" s="1805" t="e">
        <f>VLOOKUP(CS449,'Space Table'!$B$3:$L$163,7,FALSE)</f>
        <v>#N/A</v>
      </c>
      <c r="FC449" s="1827"/>
      <c r="FE449" s="1698" t="str">
        <f>CONCATENATE(CQ447," - ",AG449)</f>
        <v xml:space="preserve"> - </v>
      </c>
      <c r="FG449" s="1816"/>
      <c r="FH449" s="1816"/>
      <c r="FI449" s="133"/>
      <c r="FL449" s="1822" t="str">
        <f>IF(CQ447="Exterior","Not Daylighted",G450)</f>
        <v>Not Daylighted</v>
      </c>
      <c r="FM449" s="1824">
        <f>VLOOKUP(FL449,_New_Daylight_Table_Codes,2,FALSE)</f>
        <v>0</v>
      </c>
      <c r="FN449" s="1698">
        <f>AG449</f>
        <v>0</v>
      </c>
      <c r="FO449" s="1698" t="e">
        <f>VLOOKUP(FN449,_Control_Table,2,FALSE)</f>
        <v>#N/A</v>
      </c>
      <c r="FP449" s="1678" t="e">
        <f>VLOOKUP(CONCATENATE(FL449," ",FN449),Lookup!AY$102:AZ460,2,FALSE)</f>
        <v>#N/A</v>
      </c>
      <c r="FQ449" s="1698">
        <f>IF(__Retrofit_TI_NC=0,FN449,IF(AND(FT449&gt;0,FN449="Occupancy Sensor"),"Daylight + Occupancy",IF(AND(FT449&gt;0,FO449&lt;4),"Interior Daylight Dimming",FN449)))</f>
        <v>0</v>
      </c>
      <c r="FS449" s="1686">
        <f>IF(CQ447="Interior",VLOOKUP(CS447,Control_Savings_Interior,5,FALSE),0)</f>
        <v>0</v>
      </c>
      <c r="FT449" s="1687">
        <f>IF(CQ449="Exterior",0,IF(FM449=2,0.5,IF(OR(FM449=1,FM449=3),1,0)))</f>
        <v>0</v>
      </c>
      <c r="FU449" s="1685">
        <f>IF(R448&gt;FS$44,(FS449*(FS$44/R448)),FS449)*FT449</f>
        <v>0</v>
      </c>
      <c r="FV449" s="1686">
        <f>DI449</f>
        <v>0</v>
      </c>
      <c r="FW449" s="1686">
        <f>ROUND(FV449+((1-FV449)*FU449),2)</f>
        <v>0</v>
      </c>
      <c r="FX449" s="1686">
        <f>IF(__Retrofit_TI_NC=2,FW449,FV449)</f>
        <v>0</v>
      </c>
      <c r="FY449" s="1697">
        <f>IF(CR449="Interior",VLOOKUP(CS449,Control_Savings_Interior,4,FALSE),0)</f>
        <v>0</v>
      </c>
      <c r="GA449" s="1696"/>
      <c r="GB449" s="1696"/>
      <c r="GC449" s="1696"/>
      <c r="GD449" s="1696"/>
      <c r="GE449" s="1696"/>
      <c r="GF449" s="1696"/>
      <c r="GG449" s="1696"/>
      <c r="GH449" s="1696"/>
      <c r="GI449" s="673" t="b">
        <f>IF(ISNUMBER(SEARCH("TLED",U449)),TRUE,FALSE)</f>
        <v>0</v>
      </c>
      <c r="GJ449" s="1135" t="str">
        <f>IFERROR(VLOOKUP(U449,Fixtures!DM$93:DR$142,6,FALSE),"")</f>
        <v/>
      </c>
      <c r="GK449" s="1832"/>
      <c r="GM449" s="1692"/>
      <c r="GN449" s="1684"/>
      <c r="GP449" s="1684"/>
      <c r="GQ449" s="1684"/>
      <c r="HG449" s="1684"/>
      <c r="HH449" s="1684"/>
      <c r="HI449" s="1684"/>
      <c r="HJ449" s="1684"/>
      <c r="HK449" s="1684"/>
      <c r="HL449" s="1684"/>
      <c r="HM449" s="1684"/>
      <c r="HN449" s="1683"/>
      <c r="HO449" s="1692"/>
      <c r="HP449" s="1692"/>
      <c r="HQ449" s="1670"/>
      <c r="HR449" s="1684"/>
      <c r="HS449" s="1684"/>
      <c r="HT449" s="1670"/>
      <c r="HU449" s="1684"/>
      <c r="HV449" s="1684"/>
      <c r="HW449" s="1684"/>
      <c r="HX449" s="1684"/>
      <c r="HY449" s="1684"/>
      <c r="HZ449" s="1684"/>
      <c r="IB449" s="1692"/>
      <c r="IC449" s="1693" t="b">
        <f>IB447</f>
        <v>0</v>
      </c>
      <c r="ID449" s="1695"/>
      <c r="IE449" s="391"/>
      <c r="IF449" s="1688"/>
      <c r="IG449" s="1689">
        <f ca="1">IF(IF447=TRUE,AC450,0)</f>
        <v>0</v>
      </c>
      <c r="IH449" s="1684"/>
      <c r="IK449" s="1689" t="e">
        <f>ROUND(T449*AB450*N448*R448/1000,0)</f>
        <v>#VALUE!</v>
      </c>
      <c r="IL449" s="1691"/>
      <c r="IM449" s="1693" t="e">
        <f>ROUND(T449*AB450*N448*R448/1000,0)</f>
        <v>#VALUE!</v>
      </c>
      <c r="IN449" s="1691"/>
      <c r="IP449" s="1679"/>
      <c r="IQ449" s="1679" t="e">
        <f t="shared" ref="IQ449:IU449" si="402">IF($CR449="interior",VLOOKUP($CS449,_New_Control_Savings_Interior,IQ$30,FALSE),VLOOKUP($CS449,Control_Savings_Exterior,IQ$30,FALSE))</f>
        <v>#N/A</v>
      </c>
      <c r="IR449" s="1679" t="e">
        <f t="shared" si="402"/>
        <v>#N/A</v>
      </c>
      <c r="IS449" s="1679" t="e">
        <f t="shared" si="402"/>
        <v>#N/A</v>
      </c>
      <c r="IT449" s="1679" t="e">
        <f t="shared" si="402"/>
        <v>#N/A</v>
      </c>
      <c r="IU449" s="1679" t="e">
        <f t="shared" si="402"/>
        <v>#N/A</v>
      </c>
      <c r="IV449" s="1679" t="e">
        <f>IF($CR449="interior",IF(R448&gt;$IP$14,ROUND(($IV$18*($IP$14/R448)),2),$IV$18),VLOOKUP($CS449,Control_Savings_Exterior,IV$30,FALSE))</f>
        <v>#N/A</v>
      </c>
      <c r="IW449" s="1679" t="e">
        <f>IF($CR449="interior",ROUND(((1-IS449)*IV449)+IS449,2),VLOOKUP($CS449,Control_Savings_Exterior,IW$30,FALSE))</f>
        <v>#N/A</v>
      </c>
      <c r="IX449" s="1679" t="e">
        <f>IF($CR449="interior",ROUND(((1-IT449)*IV449)+IT449,2),VLOOKUP($CS449,Control_Savings_Exterior,IX$30,FALSE))</f>
        <v>#N/A</v>
      </c>
      <c r="IY449" s="1679" t="e">
        <f>IF($CR449="interior",IF(R448&gt;$IP$14,ROUND(($IY$18*($IP$14/R448)),2),$IY$18),VLOOKUP($CS449,Control_Savings_Exterior,IY$30,FALSE))</f>
        <v>#N/A</v>
      </c>
      <c r="IZ449" s="1679" t="e">
        <f>IF($CR449="interior",ROUND(((1-IS449)*IY449)+IS449,2),VLOOKUP($CS449,Control_Savings_Exterior,IZ$30,FALSE))</f>
        <v>#N/A</v>
      </c>
      <c r="JA449" s="1679" t="e">
        <f>IF($CR449="interior",ROUND(((1-IT449)*IY449)+IT449,2),VLOOKUP($CS449,Control_Savings_Exterior,JA$30,FALSE))</f>
        <v>#N/A</v>
      </c>
      <c r="JC449" s="1680">
        <f>IFERROR(IF(CR449="Interior",CONCATENATE(G450," ",FQ449),AG449),"")</f>
        <v>0</v>
      </c>
      <c r="JD449" s="1670" t="str">
        <f>IFERROR(VLOOKUP(JC449,_Controls_2023,2,FALSE),"")</f>
        <v/>
      </c>
      <c r="JE449" s="1681">
        <f>IFERROR(CHOOSE(JD449-1,IQ449,IR449,IS449,IT449,IU449,IV449,IW449,IX449,IY449,IZ449,JA449),0)</f>
        <v>0</v>
      </c>
      <c r="JG449" s="1680" t="str">
        <f>FE449</f>
        <v xml:space="preserve"> - </v>
      </c>
      <c r="JH449" s="1670" t="e">
        <f>$FO449</f>
        <v>#N/A</v>
      </c>
      <c r="JI449" s="1060"/>
      <c r="JJ449" s="1670">
        <f>IFERROR(IF($IB447=TRUE,IF(OR(JJ$14="No",JJ447=FALSE,JH449&lt;=JH447,AND(_kWh_Grant=0,GD447=FALSE)),0,IF(JJ$8="Per Line",1,$AF449)),0),0)</f>
        <v>0</v>
      </c>
      <c r="JK449" s="1061"/>
      <c r="JL449" s="1670">
        <f>IFERROR(IF(_kWh_Grant=0,0,IF($IB447=TRUE,IF(OR(JL$14="No",JL447=FALSE,JH449&lt;=JH447),0,IF(JL$8="Per Line",1,$T449)),0)),0)</f>
        <v>0</v>
      </c>
      <c r="JM449" s="1061"/>
      <c r="JN449" s="1670">
        <f>IFERROR(IF(_kWh_Grant=0,0,IF($IB447=TRUE,IF(OR(JN$14="No",JN447=FALSE,JH449&lt;=JH447),0,IF(JN$8="Per Line",1,$AF449)),0)),0)</f>
        <v>0</v>
      </c>
      <c r="JO449" s="1061"/>
      <c r="JP449" s="1670">
        <f>IFERROR(IF(__Retrofit_TI_NC=0,IF(_kWh_Grant=0,0,IF($IB447=TRUE,IF(OR(JP$14="No",JP447=FALSE,$JH449&lt;=$JH447),0,IF(JP$8="Per Line",1,$AF449)),0)),IF($IB447=TRUE,IF(OR(JP$14="No",JP447=FALSE,$JH449&lt;=$JH447),0,IF(JP$8="Per Line",1,$AF449)))),0)</f>
        <v>0</v>
      </c>
      <c r="JQ449" s="1061"/>
      <c r="JR449" s="1670">
        <f>IFERROR(IF(__Retrofit_TI_NC=0,IF(_kWh_Grant=0,0,IF($IB447=TRUE,IF(OR(JR$14="No",JR447=FALSE,$JH449&lt;=$JH447),0,IF(JR$8="Per Line",1,$AF449)),0)),IF($IB447=TRUE,IF(OR(JR$14="No",JR447=FALSE,$JH449&lt;=$JH447),0,IF(JR$8="Per Line",1,$AF449)))),0)</f>
        <v>0</v>
      </c>
      <c r="JS449" s="1061"/>
      <c r="JT449" s="1670">
        <f>IFERROR(IF(__Retrofit_TI_NC=0,IF(_kWh_Grant=0,0,IF($IB447=TRUE,IF(OR(JT$14="No",JT447=FALSE,$JH449&lt;=$JH447),0,IF(JT$8="Per Line",1,$AF449)),0)),IF($IB447=TRUE,IF(OR(JT$14="No",JT447=FALSE,$JH449&lt;=$JH447),0,IF(JT$8="Per Line",1,$AF449)))),0)</f>
        <v>0</v>
      </c>
      <c r="JU449" s="1061"/>
      <c r="JV449" s="1670">
        <f>IFERROR(IF(__Retrofit_TI_NC=0,IF(_kWh_Grant=0,0,IF($IB447=TRUE,IF(OR(JV$14="No",JV447=FALSE,$JH449&lt;=$JH447),0,IF(JV$8="Per Line",1,$AF449)),0)),IF($IB447=TRUE,IF(OR(JV$14="No",JV447=FALSE,$JH449&lt;=$JH447),0,IF(JV$8="Per Line",1,$AF449)))),0)</f>
        <v>0</v>
      </c>
      <c r="JX449" s="1670">
        <f>IFERROR(IF(__Retrofit_TI_NC=0,IF(_kWh_Grant=0,0,IF($IB447=TRUE,IF(OR(JX$14="No",JX447=FALSE,$JH449&lt;=$JH447),0,IF(JX$8="Per Line",1,$AF449)),0)),IF($IB447=TRUE,IF(OR(JX$14="No",JX447=FALSE,$JH449&lt;=$JH447),0,IF(JX$8="Per Line",1,$AF449)))),0)</f>
        <v>0</v>
      </c>
      <c r="JZ449" s="1670">
        <f>IFERROR(IF($IB447=TRUE,IF(OR(JZ$14="No",JZ447=FALSE,$JH449&lt;=$JH447,AND(_kWh_Grant=0,$GD447=FALSE)),0,IF(JZ$8="Per Line",1,$AF449)),0),0)</f>
        <v>0</v>
      </c>
      <c r="KB449" s="1670">
        <f>IFERROR(IF(__Retrofit_TI_NC=0,IF(_kWh_Grant=0,0,IF($IB447=TRUE,IF(OR(KB$14="No",KB447=FALSE,$JH449&lt;=$JH447),0,IF(KB$8="Per Line",1,$AF449)),0)),IF($IB447=TRUE,IF(OR(KB$14="No",KB447=FALSE,$JH449&lt;=$JH447),0,IF(KB$8="Per Line",1,$AF449)))),0)</f>
        <v>0</v>
      </c>
    </row>
    <row r="450" spans="1:288" s="78" customFormat="1" ht="14.95" customHeight="1" thickTop="1" thickBot="1">
      <c r="B450" s="1845"/>
      <c r="C450" s="1846"/>
      <c r="D450" s="1847"/>
      <c r="E450" s="1771" t="s">
        <v>436</v>
      </c>
      <c r="F450" s="1772"/>
      <c r="G450" s="1784" t="s">
        <v>437</v>
      </c>
      <c r="H450" s="1785"/>
      <c r="I450" s="1785"/>
      <c r="J450" s="1785"/>
      <c r="K450" s="1785"/>
      <c r="L450" s="1786"/>
      <c r="M450" s="591">
        <f>IFERROR(VLOOKUP(G450,_Daylight_Table[],2,FALSE),0)</f>
        <v>0</v>
      </c>
      <c r="N450" s="592" t="str">
        <f>IF(AND(__Retrofit_TI_NC&gt;0,CQ447="Interior"),"BAM","")</f>
        <v/>
      </c>
      <c r="O450" s="591" t="e">
        <f>VLOOKUP(G449,'Space Table'!$B$3:$L$163,11,FALSE)</f>
        <v>#N/A</v>
      </c>
      <c r="P450" s="1789"/>
      <c r="Q450" s="1790"/>
      <c r="R450" s="1790"/>
      <c r="S450" s="1788"/>
      <c r="T450" s="593" t="s">
        <v>342</v>
      </c>
      <c r="U450" s="1756" t="str" cm="1">
        <f t="array" aca="1" ref="U450" ca="1">IFERROR(VLOOKUP(INDIRECT("U" &amp; ROW()-1),Fixtures!DM$93:DP$142,4,FALSE),"")</f>
        <v/>
      </c>
      <c r="V450" s="1757"/>
      <c r="W450" s="1757"/>
      <c r="X450" s="1757"/>
      <c r="Y450" s="1757"/>
      <c r="Z450" s="1757"/>
      <c r="AA450" s="1758"/>
      <c r="AB450" s="939" t="str">
        <f>IFERROR(VLOOKUP(U449,Fixtures_Proposed_List,2,FALSE),"")</f>
        <v/>
      </c>
      <c r="AC450" s="933" t="str">
        <f>IFERROR(ROUND(T449*AB450*N448*R448/1000,0),"")</f>
        <v/>
      </c>
      <c r="AD450" s="934" t="str">
        <f>IFERROR(ROUND(T449*AB450/1000,2),"")</f>
        <v/>
      </c>
      <c r="AE450" s="998"/>
      <c r="AF450" s="938" t="s">
        <v>342</v>
      </c>
      <c r="AG450" s="1770"/>
      <c r="AH450" s="1770"/>
      <c r="AI450" s="1770"/>
      <c r="AJ450" s="1770"/>
      <c r="AK450" s="1770"/>
      <c r="AL450" s="1770"/>
      <c r="AM450" s="1727"/>
      <c r="AN450" s="1729"/>
      <c r="AO450" s="1731"/>
      <c r="AP450" s="1782"/>
      <c r="AQ450" s="1783"/>
      <c r="AR450" s="1797"/>
      <c r="AS450" s="1797"/>
      <c r="AT450" s="1798"/>
      <c r="AU450" s="1736"/>
      <c r="AV450" s="1753"/>
      <c r="AW450" s="1706"/>
      <c r="AX450" s="468"/>
      <c r="AY450" s="1750"/>
      <c r="AZ450" s="1750"/>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696"/>
      <c r="CQ450" s="1696"/>
      <c r="CR450" s="1809"/>
      <c r="CS450" s="1811"/>
      <c r="CU450" s="1688"/>
      <c r="CV450" s="1703"/>
      <c r="CW450" s="1703"/>
      <c r="CX450" s="1813"/>
      <c r="CY450" s="1815"/>
      <c r="CZ450" s="1711"/>
      <c r="DA450" s="1815"/>
      <c r="DB450" s="1821"/>
      <c r="DC450" s="1821"/>
      <c r="DD450" s="1821"/>
      <c r="DF450" s="1703"/>
      <c r="DG450" s="1831"/>
      <c r="DH450" s="1813"/>
      <c r="DI450" s="1838"/>
      <c r="DJ450" s="1711"/>
      <c r="DK450" s="1712"/>
      <c r="DN450" s="1718"/>
      <c r="DO450" s="1709"/>
      <c r="DQ450" s="1715"/>
      <c r="DR450" s="1720"/>
      <c r="DS450" s="1703"/>
      <c r="DT450" s="1714"/>
      <c r="DU450" s="1715"/>
      <c r="DV450" s="1716"/>
      <c r="DX450" s="1715"/>
      <c r="DY450" s="1720"/>
      <c r="DZ450" s="1715"/>
      <c r="EA450" s="1715"/>
      <c r="EC450" s="1834"/>
      <c r="ED450" s="1834"/>
      <c r="EF450" s="1707"/>
      <c r="EG450" s="1712"/>
      <c r="EH450" s="1815"/>
      <c r="EI450" s="1712"/>
      <c r="EJ450" s="1712"/>
      <c r="EK450" s="1813"/>
      <c r="EL450" s="1813"/>
      <c r="EM450" s="1807"/>
      <c r="EN450" s="1839"/>
      <c r="EO450" s="1839"/>
      <c r="EP450" s="1817"/>
      <c r="EQ450" s="1817"/>
      <c r="ER450" s="1807"/>
      <c r="ES450" s="1807"/>
      <c r="ET450" s="1807"/>
      <c r="EV450" s="1715"/>
      <c r="EX450" s="1806"/>
      <c r="EY450" s="1806"/>
      <c r="EZ450" s="1806"/>
      <c r="FA450" s="1806"/>
      <c r="FB450" s="1806"/>
      <c r="FC450" s="1828"/>
      <c r="FE450" s="1698"/>
      <c r="FG450" s="1703"/>
      <c r="FH450" s="1703"/>
      <c r="FI450" s="133"/>
      <c r="FL450" s="1823"/>
      <c r="FM450" s="1825"/>
      <c r="FN450" s="1698"/>
      <c r="FO450" s="1698"/>
      <c r="FP450" s="1678"/>
      <c r="FQ450" s="1698"/>
      <c r="FS450" s="1687"/>
      <c r="FT450" s="1687"/>
      <c r="FU450" s="1685"/>
      <c r="FV450" s="1687"/>
      <c r="FW450" s="1687"/>
      <c r="FX450" s="1687"/>
      <c r="FY450" s="1697"/>
      <c r="GA450" s="1696"/>
      <c r="GB450" s="1696"/>
      <c r="GC450" s="1696"/>
      <c r="GD450" s="1696"/>
      <c r="GE450" s="1696"/>
      <c r="GF450" s="1696"/>
      <c r="GG450" s="1696"/>
      <c r="GH450" s="1696"/>
      <c r="GI450" s="673"/>
      <c r="GJ450" s="1135"/>
      <c r="GK450" s="1832"/>
      <c r="GN450" s="674">
        <f>IF(GN448=TRUE,0,GN$16)</f>
        <v>0</v>
      </c>
      <c r="GP450" s="674">
        <f>IF(GP448=TRUE,0,GP$16)</f>
        <v>36</v>
      </c>
      <c r="GQ450" s="674">
        <f ca="1">IF(GQ448=TRUE,0,GQ$16)</f>
        <v>35</v>
      </c>
      <c r="GR450" s="391"/>
      <c r="GS450" s="391"/>
      <c r="GT450" s="391"/>
      <c r="GU450" s="391"/>
      <c r="GV450" s="391"/>
      <c r="HG450" s="674">
        <f>IF(HG448=TRUE,0,HG$16)</f>
        <v>0</v>
      </c>
      <c r="HH450" s="674">
        <f t="shared" ref="HH450:HM450" si="403">IF(HH448=TRUE,0,HH$16)</f>
        <v>19</v>
      </c>
      <c r="HI450" s="674">
        <f t="shared" si="403"/>
        <v>18</v>
      </c>
      <c r="HJ450" s="674">
        <f t="shared" si="403"/>
        <v>17</v>
      </c>
      <c r="HK450" s="674">
        <f t="shared" si="403"/>
        <v>16</v>
      </c>
      <c r="HL450" s="674">
        <f t="shared" si="403"/>
        <v>0</v>
      </c>
      <c r="HM450" s="674">
        <f t="shared" si="403"/>
        <v>0</v>
      </c>
      <c r="HN450" s="674">
        <f>IF(HN448=TRUE,0,HN$16)</f>
        <v>13</v>
      </c>
      <c r="HO450" s="674">
        <f t="shared" ref="HO450:HQ450" si="404">IF(HO448=TRUE,0,HO$16)</f>
        <v>0</v>
      </c>
      <c r="HP450" s="674">
        <f t="shared" si="404"/>
        <v>0</v>
      </c>
      <c r="HQ450" s="674">
        <f t="shared" si="404"/>
        <v>10</v>
      </c>
      <c r="HR450" s="674">
        <f>IF(HR448=TRUE,0,HR$16)</f>
        <v>9</v>
      </c>
      <c r="HS450" s="674">
        <f t="shared" ref="HS450:HW450" si="405">IF(HS448=TRUE,0,HS$16)</f>
        <v>0</v>
      </c>
      <c r="HT450" s="674">
        <f t="shared" si="405"/>
        <v>0</v>
      </c>
      <c r="HU450" s="674">
        <f t="shared" si="405"/>
        <v>0</v>
      </c>
      <c r="HV450" s="674">
        <f t="shared" si="405"/>
        <v>0</v>
      </c>
      <c r="HW450" s="674">
        <f t="shared" si="405"/>
        <v>0</v>
      </c>
      <c r="HX450" s="674">
        <f>IF(HX448=TRUE,0,HX$16)</f>
        <v>0</v>
      </c>
      <c r="HY450" s="674">
        <f>IF(HY448=TRUE,0,HY$16)</f>
        <v>0</v>
      </c>
      <c r="HZ450" s="674">
        <f>IF(HZ448=TRUE,0,HZ$16)</f>
        <v>1</v>
      </c>
      <c r="IB450" s="674">
        <f>IF(GP448=FALSE,GP450,IF(GQ448=FALSE,GQ450,MAX(GN450:HZ450)))</f>
        <v>36</v>
      </c>
      <c r="IC450" s="1692"/>
      <c r="ID450" s="205" t="str">
        <f>VLOOKUP(IB450,_Error_Table,3,FALSE)</f>
        <v xml:space="preserve"> </v>
      </c>
      <c r="IE450" s="205"/>
      <c r="IF450" s="1688"/>
      <c r="IG450" s="1689"/>
      <c r="IH450" s="1684"/>
      <c r="IK450" s="1689"/>
      <c r="IL450" s="1692"/>
      <c r="IM450" s="1692"/>
      <c r="IN450" s="1692"/>
      <c r="IP450" s="1679"/>
      <c r="IQ450" s="1679"/>
      <c r="IR450" s="1679"/>
      <c r="IS450" s="1679"/>
      <c r="IT450" s="1679"/>
      <c r="IU450" s="1679"/>
      <c r="IV450" s="1679"/>
      <c r="IW450" s="1679"/>
      <c r="IX450" s="1679"/>
      <c r="IY450" s="1679"/>
      <c r="IZ450" s="1679"/>
      <c r="JA450" s="1679"/>
      <c r="JC450" s="1680"/>
      <c r="JD450" s="1670"/>
      <c r="JE450" s="1681"/>
      <c r="JG450" s="1680"/>
      <c r="JH450" s="1670"/>
      <c r="JI450" s="1060"/>
      <c r="JJ450" s="1670"/>
      <c r="JK450" s="1061"/>
      <c r="JL450" s="1670"/>
      <c r="JM450" s="1061"/>
      <c r="JN450" s="1670"/>
      <c r="JO450" s="1061"/>
      <c r="JP450" s="1670"/>
      <c r="JQ450" s="1061"/>
      <c r="JR450" s="1670"/>
      <c r="JS450" s="1061"/>
      <c r="JT450" s="1670"/>
      <c r="JU450" s="1061"/>
      <c r="JV450" s="1670"/>
      <c r="JX450" s="1670"/>
      <c r="JZ450" s="1670"/>
      <c r="KB450" s="1670"/>
    </row>
    <row r="451" spans="1:288" s="78" customFormat="1" ht="5.0999999999999996" customHeight="1">
      <c r="B451" s="676"/>
      <c r="C451" s="392"/>
      <c r="D451" s="392"/>
      <c r="E451" s="1733"/>
      <c r="F451" s="1733"/>
      <c r="G451" s="1733"/>
      <c r="H451" s="1733"/>
      <c r="I451" s="1733"/>
      <c r="J451" s="1733"/>
      <c r="K451" s="1733"/>
      <c r="L451" s="1733"/>
      <c r="M451" s="1733"/>
      <c r="N451" s="1733"/>
      <c r="O451" s="1733"/>
      <c r="P451" s="1733"/>
      <c r="Q451" s="1733"/>
      <c r="R451" s="1733"/>
      <c r="S451" s="1733"/>
      <c r="T451" s="1733"/>
      <c r="U451" s="1733"/>
      <c r="V451" s="1733"/>
      <c r="W451" s="1733"/>
      <c r="X451" s="1733"/>
      <c r="Y451" s="1733"/>
      <c r="Z451" s="1733"/>
      <c r="AA451" s="1733"/>
      <c r="AB451" s="1733"/>
      <c r="AC451" s="1733"/>
      <c r="AD451" s="1733"/>
      <c r="AE451" s="1733"/>
      <c r="AF451" s="1733"/>
      <c r="AG451" s="1733"/>
      <c r="AH451" s="1733"/>
      <c r="AI451" s="1733"/>
      <c r="AJ451" s="1733"/>
      <c r="AK451" s="1733"/>
      <c r="AL451" s="1733"/>
      <c r="AM451" s="1733"/>
      <c r="AN451" s="1733"/>
      <c r="AO451" s="1733"/>
      <c r="AP451" s="1733"/>
      <c r="AQ451" s="1733"/>
      <c r="AR451" s="1733"/>
      <c r="AS451" s="1733"/>
      <c r="AT451" s="1733"/>
      <c r="AU451" s="1733"/>
      <c r="AV451" s="1733"/>
      <c r="AW451" s="1733"/>
      <c r="AX451" s="469"/>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663"/>
      <c r="CQ451" s="663"/>
      <c r="CR451" s="438"/>
      <c r="CS451" s="663"/>
      <c r="CV451" s="391"/>
      <c r="CW451" s="391"/>
      <c r="CX451" s="207"/>
      <c r="CY451" s="208"/>
      <c r="CZ451" s="208"/>
      <c r="DA451" s="208"/>
      <c r="DB451" s="209"/>
      <c r="DC451" s="209"/>
      <c r="DD451" s="209"/>
      <c r="DF451" s="664"/>
      <c r="DG451" s="665"/>
      <c r="DH451" s="666"/>
      <c r="DI451" s="667"/>
      <c r="DJ451" s="668"/>
      <c r="DK451" s="668"/>
      <c r="DN451" s="208"/>
      <c r="DO451" s="664"/>
      <c r="DQ451" s="664"/>
      <c r="DR451" s="669"/>
      <c r="DS451" s="391"/>
      <c r="DT451" s="664"/>
      <c r="DU451" s="664"/>
      <c r="DV451" s="664"/>
      <c r="DX451" s="664"/>
      <c r="DY451" s="664"/>
      <c r="DZ451" s="664"/>
      <c r="EA451" s="664"/>
      <c r="EC451" s="670"/>
      <c r="ED451" s="670"/>
      <c r="EF451" s="668"/>
      <c r="EG451" s="668"/>
      <c r="EH451" s="208"/>
      <c r="EI451" s="668"/>
      <c r="EJ451" s="668"/>
      <c r="EK451" s="207"/>
      <c r="EL451" s="207"/>
      <c r="EM451" s="666"/>
      <c r="EN451" s="671"/>
      <c r="EO451" s="671"/>
      <c r="EP451" s="672"/>
      <c r="EQ451" s="672"/>
      <c r="ER451" s="666"/>
      <c r="ES451" s="666"/>
      <c r="ET451" s="666"/>
      <c r="EV451" s="664"/>
      <c r="EX451" s="391"/>
      <c r="EY451" s="391"/>
      <c r="EZ451" s="391"/>
      <c r="FA451" s="391"/>
      <c r="FB451" s="391"/>
      <c r="FC451" s="391"/>
      <c r="FE451" s="569"/>
      <c r="FG451" s="391"/>
      <c r="FH451" s="391"/>
      <c r="FI451" s="391"/>
      <c r="FS451" s="664"/>
      <c r="FT451" s="391"/>
      <c r="FU451" s="391"/>
      <c r="FV451" s="664"/>
      <c r="FW451" s="664"/>
      <c r="GA451" s="663"/>
      <c r="GB451" s="663"/>
      <c r="GC451" s="663"/>
      <c r="GD451" s="663"/>
      <c r="GE451" s="663"/>
      <c r="GF451" s="663"/>
      <c r="GG451" s="663"/>
      <c r="GH451" s="663"/>
      <c r="GI451" s="665"/>
      <c r="GJ451" s="664"/>
      <c r="GK451" s="664"/>
    </row>
    <row r="452" spans="1:288" s="78" customFormat="1" ht="14.95" customHeight="1">
      <c r="B452" s="1845" t="str">
        <f>ID455</f>
        <v xml:space="preserve"> </v>
      </c>
      <c r="C452" s="1846">
        <f>C447+1</f>
        <v>79</v>
      </c>
      <c r="D452" s="1847"/>
      <c r="E452" s="1799" t="s">
        <v>295</v>
      </c>
      <c r="F452" s="1800"/>
      <c r="G452" s="1741"/>
      <c r="H452" s="1742"/>
      <c r="I452" s="1742"/>
      <c r="J452" s="1742"/>
      <c r="K452" s="1742"/>
      <c r="L452" s="1742"/>
      <c r="M452" s="1742"/>
      <c r="N452" s="1742"/>
      <c r="O452" s="1742"/>
      <c r="P452" s="1742"/>
      <c r="Q452" s="1742"/>
      <c r="R452" s="1742"/>
      <c r="S452" s="1791" t="s">
        <v>344</v>
      </c>
      <c r="T452" s="590"/>
      <c r="U452" s="1743"/>
      <c r="V452" s="1744"/>
      <c r="W452" s="1744"/>
      <c r="X452" s="1744"/>
      <c r="Y452" s="1744"/>
      <c r="Z452" s="1744"/>
      <c r="AA452" s="1744"/>
      <c r="AB452" s="961" t="str">
        <f>IFERROR(IF(__Retrofit_TI_NC=0,VLOOKUP(U453,Fixtures_Existing_List,2,FALSE),ROUND(N454*R454/T454,10)),"")</f>
        <v/>
      </c>
      <c r="AC452" s="935" t="str">
        <f>IFERROR(IF(__Retrofit_TI_NC=0,ROUND(T453*AB452*N453*R453/1000,0),IF(CQ452="Interior",N454*R454*R453*N453*_C406_reduction/1000,N454*R454*R453*N453/1000)),"")</f>
        <v/>
      </c>
      <c r="AD452" s="936" t="str">
        <f>IFERROR(IF(C$43=0,ROUND(T453*AB452/1000,2),N454*R454/1000),"")</f>
        <v/>
      </c>
      <c r="AE452" s="997"/>
      <c r="AF452" s="937"/>
      <c r="AG452" s="1745" t="str">
        <f>IF(__Retrofit_TI_NC=0," Control","Select Advanced Control for New System")</f>
        <v xml:space="preserve"> Control</v>
      </c>
      <c r="AH452" s="1745"/>
      <c r="AI452" s="1745"/>
      <c r="AJ452" s="1745"/>
      <c r="AK452" s="1745"/>
      <c r="AL452" s="1745"/>
      <c r="AM452" s="1746">
        <f>IFERROR(DI452,"")</f>
        <v>0</v>
      </c>
      <c r="AN452" s="1774" t="str">
        <f>IFERROR(ROUND(AM452*AC452,0),"")</f>
        <v/>
      </c>
      <c r="AO452" s="1776">
        <f>IFERROR(IF(IB452=FALSE,0,AC452-AN452),0)</f>
        <v>0</v>
      </c>
      <c r="AP452" s="1778">
        <f>AO452-AO454</f>
        <v>0</v>
      </c>
      <c r="AQ452" s="1779"/>
      <c r="AR452" s="1793">
        <f>IFERROR(IF(IB452=FALSE,0,(T454*U455)+(AF454*AG455)),0)</f>
        <v>0</v>
      </c>
      <c r="AS452" s="1793"/>
      <c r="AT452" s="1794"/>
      <c r="AU452" s="1734" t="s">
        <v>237</v>
      </c>
      <c r="AV452" s="1751">
        <f>IF(AU452="Yes",1,0)</f>
        <v>1</v>
      </c>
      <c r="AW452" s="1704" t="str">
        <f>IF(OR(DQ452=4,DQ452=5,DQ452=6,DQ452=12),CONCATENATE("$",IF(GH452=TRUE,Lookup!$K$10,Lookup!$K$2)," /lamp"),CONCATENATE(TEXT(ED452,"$0.00"),"/ kWh"))</f>
        <v>$0.00/ kWh</v>
      </c>
      <c r="AX452" s="467"/>
      <c r="AY452" s="1748">
        <f ca="1">IFERROR(IF(GM453=TRUE,(AB455*T454)/R454,0),"NA")</f>
        <v>0</v>
      </c>
      <c r="AZ452" s="1748"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696" t="str">
        <f>N453</f>
        <v/>
      </c>
      <c r="CQ452" s="1696" t="str">
        <f>IFERROR(VLOOKUP(G453,_Lookup_Heat_Type_Table_New,3,FALSE),"")</f>
        <v/>
      </c>
      <c r="CR452" s="1808" t="str">
        <f>CQ452</f>
        <v/>
      </c>
      <c r="CS452" s="1810" t="str">
        <f>IFERROR(VLOOKUP(G454,'Space Table'!$B$3:$L$163,9,FALSE),"")</f>
        <v/>
      </c>
      <c r="CU452" s="1688" t="s">
        <v>344</v>
      </c>
      <c r="CV452" s="1702">
        <f>IF(IB452=TRUE,T453,0)</f>
        <v>0</v>
      </c>
      <c r="CW452" s="1702" t="str">
        <f>IF(IB452=TRUE,U453,"")</f>
        <v/>
      </c>
      <c r="CX452" s="1702"/>
      <c r="CY452" s="1814">
        <f>IF(IB452=TRUE,AB452,0)</f>
        <v>0</v>
      </c>
      <c r="CZ452" s="1710">
        <f>IF(AND(__Retrofit_TI_NC&gt;0,CR452="interior"),0,IF(IB452=TRUE,AC452,0))</f>
        <v>0</v>
      </c>
      <c r="DA452" s="1814">
        <f>IFERROR(IF(IB452=TRUE,CZ452-CZ454,0),0)</f>
        <v>0</v>
      </c>
      <c r="DB452" s="1819">
        <f>IF(IB452=TRUE,AD452,0)</f>
        <v>0</v>
      </c>
      <c r="DC452" s="1819">
        <f>IF(IB452=TRUE,AD455,0)</f>
        <v>0</v>
      </c>
      <c r="DD452" s="1819">
        <f>IFERROR(DB452-DC452,0)</f>
        <v>0</v>
      </c>
      <c r="DF452" s="1702">
        <f>IF(IB452=TRUE,AF453,0)</f>
        <v>0</v>
      </c>
      <c r="DG452" s="1830">
        <f>IFERROR(IF(__Retrofit_TI_NC=2,IF(CQ452="Exterior",O455,FQ452),FN452),"")</f>
        <v>0</v>
      </c>
      <c r="DH452" s="1702"/>
      <c r="DI452" s="1837">
        <f>JE452</f>
        <v>0</v>
      </c>
      <c r="DJ452" s="1710">
        <f>IF(AND(__Retrofit_TI_NC&gt;0,CR452="interior"),0,IF(IB452=TRUE,AN452,0))</f>
        <v>0</v>
      </c>
      <c r="DK452" s="1712">
        <f>IFERROR(IF(IB452=TRUE,DJ454-DJ452,0),0)</f>
        <v>0</v>
      </c>
      <c r="DM452" s="1717">
        <f>IFERROR(CZ452-DJ452,0)</f>
        <v>0</v>
      </c>
      <c r="DO452" s="1708">
        <f>DM452-DN454</f>
        <v>0</v>
      </c>
      <c r="DQ452" s="1715" t="str">
        <f>IFERROR(IF(AND(OR(GC452=4,GC452=5,GC452=6),OR(GF452=4,GF452=5,GF452=6)),GC452+8,VLOOKUP(CW454,Fixtures!R$31:Y$78,8,FALSE)),"")</f>
        <v/>
      </c>
      <c r="DR452" s="1829" t="str">
        <f>DQ452</f>
        <v/>
      </c>
      <c r="DS452" s="1702" t="str">
        <f>IFERROR(VLOOKUP(DG454,Lookup!BB$3:BC$20,2,FALSE),"")</f>
        <v/>
      </c>
      <c r="DT452" s="1713" t="str">
        <f>IF(OR(DS452=7,DS452=8,DS452=9),"ALC","")</f>
        <v/>
      </c>
      <c r="DU452" s="1715">
        <f>IFERROR(IF(OR(DQ452=4,DQ452=5,DQ452=6,DQ452=12,DQ452=13,DQ452=14),VLOOKUP(CW454,Fixtures!DN$27:EG$77,19,FALSE),1)*CV454,0)</f>
        <v>0</v>
      </c>
      <c r="DV452" s="1716">
        <f>IF(OR(DS452=7,DS452=8,DS452=9),IF(DG452=DG454,0,DF454),0)</f>
        <v>0</v>
      </c>
      <c r="DX452" s="1715" t="str">
        <f>IFERROR(IF(EZ452&lt;EZ454,"Yes","No"),"")</f>
        <v/>
      </c>
      <c r="DY452" s="1829" t="str">
        <f>DX452</f>
        <v/>
      </c>
      <c r="DZ452" s="1715">
        <f>IF(DX452="Yes",DF454,0)</f>
        <v>0</v>
      </c>
      <c r="EA452" s="1715">
        <f>DZ452-DV452</f>
        <v>0</v>
      </c>
      <c r="EC452" s="1834">
        <f>IFERROR(VLOOKUP(DQ452,Lookup!AU$3:AV$16,2,FALSE),0)</f>
        <v>0</v>
      </c>
      <c r="ED452" s="1834">
        <f>IF(IB452=FALSE,0,IF(DX452="Yes",EC452+Lookup!K$6,EC452))</f>
        <v>0</v>
      </c>
      <c r="EF452" s="1707">
        <f>IF(IB452=TRUE,DM452,0)</f>
        <v>0</v>
      </c>
      <c r="EG452" s="1712">
        <f>IF(IB452=TRUE,CZ454,0)</f>
        <v>0</v>
      </c>
      <c r="EH452" s="1814">
        <f>IFERROR(EF452-EG452,0)</f>
        <v>0</v>
      </c>
      <c r="EI452" s="1712">
        <f>IF(IB452=TRUE,DJ454,0)</f>
        <v>0</v>
      </c>
      <c r="EJ452" s="1712">
        <f>IFERROR(EF452-EG452+EI452,0)</f>
        <v>0</v>
      </c>
      <c r="EK452" s="1812">
        <f>IF(IB452=TRUE,CV454*CX454,0)</f>
        <v>0</v>
      </c>
      <c r="EL452" s="1812">
        <f>IF(IB452=TRUE,DF454*DH454,0)</f>
        <v>0</v>
      </c>
      <c r="EM452" s="1807">
        <f>AR452</f>
        <v>0</v>
      </c>
      <c r="EN452" s="1839" t="str">
        <f>IFERROR(IF(IB452=TRUE,VLOOKUP(DQ452,Lookup!AU$3:AW$16,3,FALSE)*DU452,""),0)</f>
        <v/>
      </c>
      <c r="EO452" s="1839">
        <f>IF(IB452=TRUE,DZ452*Lookup!AW$12,0)</f>
        <v>0</v>
      </c>
      <c r="EP452" s="1817">
        <f>IFERROR(IF(IB452=TRUE,EN452/EP$40,0),0)</f>
        <v>0</v>
      </c>
      <c r="EQ452" s="1817">
        <f>IF(IB452=TRUE,EO452/EQ$40,0)</f>
        <v>0</v>
      </c>
      <c r="ER452" s="1807">
        <f>IF(IB452=TRUE,ET$40*EP452,0)</f>
        <v>0</v>
      </c>
      <c r="ES452" s="1807">
        <f>IF(IB452=TRUE,ET$40*EQ452,0)</f>
        <v>0</v>
      </c>
      <c r="ET452" s="1807">
        <f>ER452+ES452</f>
        <v>0</v>
      </c>
      <c r="EV452" s="1715">
        <f>IF(G452="",0,1)</f>
        <v>0</v>
      </c>
      <c r="EX452" s="1804" t="str">
        <f>IFERROR(VLOOKUP(CS454,'Space Table'!$B$3:$L$163,8,FALSE),"")</f>
        <v/>
      </c>
      <c r="EY452" s="1804" t="str">
        <f>IFERROR(IF(FB452="Yes",VLOOKUP(DG452,Lookup_Control_Type_Table2,4,FALSE),VLOOKUP(DG452,Lookup_Control_Type_Table2,3,FALSE)),"")</f>
        <v/>
      </c>
      <c r="EZ452" s="1804" t="e">
        <f>VLOOKUP(DG452,Lookup!BB$3:BC$20,2,FALSE)</f>
        <v>#N/A</v>
      </c>
      <c r="FA452" s="1804" t="e">
        <f>VLOOKUP(EX452,Lookup_Control_Type_Table,2,FALSE)</f>
        <v>#N/A</v>
      </c>
      <c r="FB452" s="1804" t="e">
        <f>VLOOKUP(CS454,'Space Table'!$B$3:$L$163,7,FALSE)</f>
        <v>#N/A</v>
      </c>
      <c r="FC452" s="1826" t="b">
        <f>ISNUMBER(SEARCH("TLED",U454))</f>
        <v>0</v>
      </c>
      <c r="FE452" s="1698" t="str">
        <f>CONCATENATE(CQ452," - ",DG452)</f>
        <v xml:space="preserve"> - 0</v>
      </c>
      <c r="FG452" s="1702" t="str">
        <f>VLOOKUP(CW454,Fixtures!DN$27:EZ$77,38,FALSE)</f>
        <v/>
      </c>
      <c r="FH452" s="1702">
        <f>IFERROR(FG452*EH452,0)</f>
        <v>0</v>
      </c>
      <c r="FI452" s="133"/>
      <c r="FL452" s="1822" t="str">
        <f>IF(CQ452="Exterior","Not Daylighted",G455)</f>
        <v>Not Daylighted</v>
      </c>
      <c r="FM452" s="1824">
        <f>VLOOKUP(FL452,_New_Daylight_Table_Codes,2,FALSE)</f>
        <v>0</v>
      </c>
      <c r="FN452" s="1698">
        <f>IF(__Retrofit_TI_NC&gt;0,VLOOKUP(G454,'Space Table'!$B$3:$L$163,11,FALSE),AG453)</f>
        <v>0</v>
      </c>
      <c r="FO452" s="1698" t="e">
        <f>IF(__Retrofit_TI_NC=2,VLOOKUP(FQ452,_Control_Table,2,FALSE),VLOOKUP(FN452,_Control_Table,2,FALSE))</f>
        <v>#N/A</v>
      </c>
      <c r="FP452" s="1678" t="e">
        <f>VLOOKUP(CONCATENATE(FL452," ",FN452),Lookup!AY$102:AZ462,2,FALSE)</f>
        <v>#N/A</v>
      </c>
      <c r="FQ452" s="1678">
        <f>IF(__Retrofit_TI_NC=0,FN452,IF(AND(FT452&gt;0,FN452="Occupancy Sensor"),"Daylight + Occupancy",IF(AND(FT452&gt;0,VLOOKUP(FN452,_Control_Table,2,FALSE)&lt;4),"Interior Daylight Dimming",FN452)))</f>
        <v>0</v>
      </c>
      <c r="FS452" s="1686">
        <f>IF(CR452="Interior",VLOOKUP(CS452,Control_Savings_Interior,5,FALSE),0)</f>
        <v>0</v>
      </c>
      <c r="FT452" s="1687">
        <f>IF(CQ452="Exterior",0,IF(FM452=2,0.5,IF(OR(FM452=1,FM452=3),1,0)))</f>
        <v>0</v>
      </c>
      <c r="FU452" s="1685">
        <f>IF(R451&gt;FS$44,(FS452*(FS$44/R451)),FS452)*FT452</f>
        <v>0</v>
      </c>
      <c r="FV452" s="1686">
        <f>DI452</f>
        <v>0</v>
      </c>
      <c r="FW452" s="1686">
        <f>ROUND(FV452+((1-FV452)*FU452),2)</f>
        <v>0</v>
      </c>
      <c r="FX452" s="1686">
        <f>IF(__Retrofit_TI_NC=2,FW452,FV452)</f>
        <v>0</v>
      </c>
      <c r="FY452" s="1697"/>
      <c r="GA452" s="1696" t="str">
        <f>IFERROR(VLOOKUP(U453,_Exist_Fixture_Table,3,FALSE),"")</f>
        <v/>
      </c>
      <c r="GB452" s="1696" t="str">
        <f>VLOOKUP(CW452,_Exist_Fixture_Table,4,FALSE)</f>
        <v/>
      </c>
      <c r="GC452" s="1696">
        <f>IFERROR(VLOOKUP(GB452,Lookup!AT$6:AU$8,2,FALSE),0)</f>
        <v>0</v>
      </c>
      <c r="GD452" s="1696" t="b">
        <f>IFERROR(IF(OR(GF452=4,GF452=5,GF452=6),TRUE,FALSE),"")</f>
        <v>0</v>
      </c>
      <c r="GE452" s="1696" t="str">
        <f>IFERROR(VLOOKUP(GF452,GC$6:GD$10,2,FALSE),"")</f>
        <v/>
      </c>
      <c r="GF452" s="1696" t="str">
        <f>VLOOKUP(CW454,Fixtures!R$31:Y$78,8,FALSE)</f>
        <v/>
      </c>
      <c r="GG452" s="1696">
        <f>IF(AND(GA452=TRUE,GD452=TRUE,OR(DQ452=12,DQ452=13,DQ452=14)),GC452+8,0)</f>
        <v>0</v>
      </c>
      <c r="GH452" s="1696" t="b">
        <f>IF(OR(GG452=12,GG452=13,GG452=14),TRUE,FALSE)</f>
        <v>0</v>
      </c>
      <c r="GI452" s="673" t="b">
        <f>IF(ISNUMBER(SEARCH("TLED",U453)),TRUE,FALSE)</f>
        <v>0</v>
      </c>
      <c r="GJ452" s="1135" t="str">
        <f>IFERROR(VLOOKUP(U453,Fixtures!BM$93:BR$142,6,FALSE),"")</f>
        <v/>
      </c>
      <c r="GK452" s="1832" t="b">
        <f>IF(OR(GI452=FALSE,GI454=FALSE),TRUE,IF(GJ452-GJ454&lt;5,FALSE,TRUE))</f>
        <v>1</v>
      </c>
      <c r="GO452" s="674">
        <f>GP452</f>
        <v>0</v>
      </c>
      <c r="GP452" s="674">
        <f>IF(G452="",0,1)</f>
        <v>0</v>
      </c>
      <c r="GQ452" s="674">
        <f ca="1">SUM(GR452:HF452)</f>
        <v>2</v>
      </c>
      <c r="GR452" s="674">
        <f>IF(G453="",0,1)</f>
        <v>0</v>
      </c>
      <c r="GS452" s="674">
        <f>IF(N455="BAM",1,IF(G454="",0,1))</f>
        <v>0</v>
      </c>
      <c r="GT452" s="674">
        <f>IF(N455="BAM",1,IF(R453="",0,1))</f>
        <v>0</v>
      </c>
      <c r="GU452" s="674">
        <f>IF(N455="BAM",1,IF(__Retrofit_TI_NC=0,1,IF(R454="",0,1)))</f>
        <v>1</v>
      </c>
      <c r="GV452" s="674">
        <f>IF(N455="BAM",1,IF(CQ452="Exterior",1,IF(G455="",0,1)))</f>
        <v>1</v>
      </c>
      <c r="GW452" s="674">
        <f>IF(__Retrofit_TI_NC&gt;0,1,IF(T453="",0,1))</f>
        <v>0</v>
      </c>
      <c r="GX452" s="674">
        <f>IF(__Retrofit_TI_NC&gt;0,1,IF(U453="",0,1))</f>
        <v>0</v>
      </c>
      <c r="GY452" s="674">
        <f>IF(N455="BAM",1,IF(T454="",0,1))</f>
        <v>0</v>
      </c>
      <c r="GZ452" s="674">
        <f>IF(N455="BAM",1,IF(U454="",0,1))</f>
        <v>0</v>
      </c>
      <c r="HA452" s="674">
        <f ca="1">IF(N455="BAM",1,IF(__Retrofit_TI_NC&gt;0,1,IF(U455="",0,1)))</f>
        <v>0</v>
      </c>
      <c r="HB452" s="674">
        <f>IF(__Retrofit_TI_NC&lt;&gt;0,1,IF(AF453="",0,1))</f>
        <v>0</v>
      </c>
      <c r="HC452" s="674">
        <f>IF(__Retrofit_TI_NC&lt;&gt;0,1,IF(AG453="",0,1))</f>
        <v>0</v>
      </c>
      <c r="HD452" s="674">
        <f>IF(N455="BAM",1,IF(AF454="",0,1))</f>
        <v>0</v>
      </c>
      <c r="HE452" s="674">
        <f>IF(N455="BAM",1,IF(AG454="",0,1))</f>
        <v>0</v>
      </c>
      <c r="HF452" s="674">
        <f>IF(N455="BAM",1,IF(__Retrofit_TI_NC&gt;0,1,IF(AG455="",0,1)))</f>
        <v>0</v>
      </c>
      <c r="HG452" s="391"/>
      <c r="IA452" s="391"/>
      <c r="IB452" s="1693" t="b">
        <f>IF(OR(IB455=0,IB455=HY$16,IB455=HX$16,IB455=HZ$16),TRUE,FALSE)</f>
        <v>0</v>
      </c>
      <c r="IC452" s="1694" t="b">
        <f>IB452</f>
        <v>0</v>
      </c>
      <c r="ID452" s="391"/>
      <c r="IE452" s="391"/>
      <c r="IF452" s="1688" t="b">
        <f ca="1">IF(MAX(GN455:HU455)&gt;5,FALSE,TRUE)</f>
        <v>0</v>
      </c>
      <c r="IG452" s="1689">
        <f ca="1">IF(IF452=TRUE,AC452,0)</f>
        <v>0</v>
      </c>
      <c r="IH452" s="1689">
        <f ca="1">IG452-IG454</f>
        <v>0</v>
      </c>
      <c r="IK452" s="1689" t="e">
        <f>ROUND(T453*VLOOKUP(U453,Fixtures_Existing_List,2,FALSE)*N453*R453/1000,0)</f>
        <v>#N/A</v>
      </c>
      <c r="IL452" s="1690" t="e">
        <f>IK452-IK454</f>
        <v>#N/A</v>
      </c>
      <c r="IM452" s="1693" t="e">
        <f>ROUND(IF(CQ452="Interior",N454*R454*R453*N453*_C406_reduction/1000,N454*R454*R453*N453/1000),0)</f>
        <v>#N/A</v>
      </c>
      <c r="IN452" s="1693" t="e">
        <f>IM452-IM454</f>
        <v>#N/A</v>
      </c>
      <c r="IP452" s="1679"/>
      <c r="IQ452" s="1679" t="e">
        <f t="shared" ref="IQ452:IU452" si="406">IF($CR452="interior",VLOOKUP($CS452,_New_Control_Savings_Interior,IQ$30,FALSE),VLOOKUP($CS452,Control_Savings_Exterior,IQ$30,FALSE))</f>
        <v>#N/A</v>
      </c>
      <c r="IR452" s="1679" t="e">
        <f t="shared" si="406"/>
        <v>#N/A</v>
      </c>
      <c r="IS452" s="1679" t="e">
        <f t="shared" si="406"/>
        <v>#N/A</v>
      </c>
      <c r="IT452" s="1679" t="e">
        <f t="shared" si="406"/>
        <v>#N/A</v>
      </c>
      <c r="IU452" s="1679" t="e">
        <f t="shared" si="406"/>
        <v>#N/A</v>
      </c>
      <c r="IV452" s="1679" t="e">
        <f>IF($CR452="interior",IF(R453&gt;$IP$14,ROUND(($IV$18*($IP$14/R453)),2),$IV$18),VLOOKUP($CS452,Control_Savings_Exterior,IV$30,FALSE))</f>
        <v>#N/A</v>
      </c>
      <c r="IW452" s="1679" t="e">
        <f>IF($CR452="interior",ROUND(((1-IS452)*IV452)+IS452,2),VLOOKUP($CS452,Control_Savings_Exterior,IW$30,FALSE))</f>
        <v>#N/A</v>
      </c>
      <c r="IX452" s="1679" t="e">
        <f>IF($CR452="interior",ROUND(((1-IT452)*IV452)+IT452,2),VLOOKUP($CS452,Control_Savings_Exterior,IX$30,FALSE))</f>
        <v>#N/A</v>
      </c>
      <c r="IY452" s="1679" t="e">
        <f>IF($CR452="interior",IF(R453&gt;$IP$14,ROUND(($IY$18*($IP$14/R453)),2),$IY$18),VLOOKUP($CS452,Control_Savings_Exterior,IY$30,FALSE))</f>
        <v>#N/A</v>
      </c>
      <c r="IZ452" s="1679" t="e">
        <f>IF($CR452="interior",ROUND(((1-IS452)*IY452)+IS452,2),VLOOKUP($CS452,Control_Savings_Exterior,IZ$30,FALSE))</f>
        <v>#N/A</v>
      </c>
      <c r="JA452" s="1679" t="e">
        <f>IF($CR452="interior",ROUND(((1-IT452)*IY452)+IT452,2),VLOOKUP($CS452,Control_Savings_Exterior,JA$30,FALSE))</f>
        <v>#N/A</v>
      </c>
      <c r="JC452" s="1680">
        <f>IFERROR(IF(CR452="Interior",CONCATENATE(G455," ",FQ452),FQ452),"")</f>
        <v>0</v>
      </c>
      <c r="JD452" s="1670" t="str">
        <f>IFERROR(VLOOKUP(JC452,_Controls_2023,2,FALSE),"")</f>
        <v/>
      </c>
      <c r="JE452" s="1681">
        <f>IFERROR(CHOOSE(JD452-1,IQ452,IR452,IS452,IT452,IU452,IV452,IW452,IX452,IY452,IZ452,JA452),0)</f>
        <v>0</v>
      </c>
      <c r="JG452" s="1680" t="str">
        <f>FE452</f>
        <v xml:space="preserve"> - 0</v>
      </c>
      <c r="JH452" s="1670" t="e">
        <f>$FO452</f>
        <v>#N/A</v>
      </c>
      <c r="JI452" s="1060"/>
      <c r="JJ452" s="1682" t="b">
        <f>IF($JG454=CONCATENATE("Interior - ",JJ$4),TRUE,FALSE)</f>
        <v>0</v>
      </c>
      <c r="JK452" s="1061"/>
      <c r="JL452" s="1682" t="b">
        <f>IF($JG454=CONCATENATE("Interior - ",JL$4),TRUE,FALSE)</f>
        <v>0</v>
      </c>
      <c r="JM452" s="1061"/>
      <c r="JN452" s="1682" t="b">
        <f>IF($JG454=CONCATENATE("Interior - ",JN$4),TRUE,FALSE)</f>
        <v>0</v>
      </c>
      <c r="JO452" s="1061"/>
      <c r="JP452" s="1682" t="b">
        <f>IF(__Retrofit_TI_NC&gt;0,FALSE,IF($JG454=CONCATENATE("Interior - ",JP$4),TRUE,FALSE))</f>
        <v>0</v>
      </c>
      <c r="JQ452" s="1061"/>
      <c r="JR452" s="1682" t="b">
        <f>IF(__Retrofit_TI_NC&gt;0,FALSE,IF($JG454=CONCATENATE("Interior - ",JR$4),TRUE,FALSE))</f>
        <v>0</v>
      </c>
      <c r="JS452" s="1061"/>
      <c r="JT452" s="1670" t="b">
        <f>IF(__Retrofit_TI_NC&gt;0,FALSE,IF($JG454=CONCATENATE("Interior - ",JT$4),TRUE,FALSE))</f>
        <v>0</v>
      </c>
      <c r="JU452" s="1061"/>
      <c r="JV452" s="1670" t="b">
        <f>IF(JC454="AELC on Existing",TRUE,FALSE)</f>
        <v>0</v>
      </c>
      <c r="JX452" s="1670" t="b">
        <f>IF(OR(JG454="Exterior - AELC Occupancy based",JG454="Exterior - AELC Time based"),TRUE,FALSE)</f>
        <v>0</v>
      </c>
      <c r="JZ452" s="1682" t="b">
        <f>IF($JG454=CONCATENATE("Exterior - ",JZ$4),TRUE,FALSE)</f>
        <v>0</v>
      </c>
      <c r="KB452" s="1670" t="b">
        <f>IF(__Retrofit_TI_NC&gt;0,FALSE,IF($JG454=CONCATENATE("Interior - ",KB$4),TRUE,FALSE))</f>
        <v>0</v>
      </c>
    </row>
    <row r="453" spans="1:288" s="78" customFormat="1" ht="14.95" customHeight="1" thickTop="1" thickBot="1">
      <c r="B453" s="1845"/>
      <c r="C453" s="1846"/>
      <c r="D453" s="1847"/>
      <c r="E453" s="1737" t="s">
        <v>297</v>
      </c>
      <c r="F453" s="1738"/>
      <c r="G453" s="1739"/>
      <c r="H453" s="1739"/>
      <c r="I453" s="1739"/>
      <c r="J453" s="1739"/>
      <c r="K453" s="1739"/>
      <c r="L453" s="1739"/>
      <c r="M453" s="461" t="e">
        <f>IF(__Retrofit_TI_NC&lt;&gt;0,IF(VLOOKUP(G454,'Space Table'!$B$3:$L$163,3,FALSE)&gt;0,1,0),IF(__Retrofit_TI_NC=VLOOKUP(G454,'Space Table'!$B$3:$L$163,3,FALSE),1,0))</f>
        <v>#N/A</v>
      </c>
      <c r="N453" s="461" t="str">
        <f>IFERROR(VLOOKUP(G453,_Lookup_Heat_Type_Table_New,2,FALSE),"")</f>
        <v/>
      </c>
      <c r="O453" s="461">
        <f>IF(__Retrofit_TI_NC=1,CONCATENATE("TI ",G453),IF(__Retrofit_TI_NC=2,CONCATENATE("NC ",G453),G453))</f>
        <v>0</v>
      </c>
      <c r="P453" s="1740" t="s">
        <v>435</v>
      </c>
      <c r="Q453" s="1740"/>
      <c r="R453" s="595"/>
      <c r="S453" s="1792"/>
      <c r="T453" s="597"/>
      <c r="U453" s="1765"/>
      <c r="V453" s="1766"/>
      <c r="W453" s="1766"/>
      <c r="X453" s="1766"/>
      <c r="Y453" s="1766"/>
      <c r="Z453" s="1766"/>
      <c r="AA453" s="1766"/>
      <c r="AB453" s="1766"/>
      <c r="AC453" s="1766"/>
      <c r="AD453" s="1767"/>
      <c r="AE453" s="1000"/>
      <c r="AF453" s="597"/>
      <c r="AG453" s="1723"/>
      <c r="AH453" s="1724"/>
      <c r="AI453" s="1724"/>
      <c r="AJ453" s="1724"/>
      <c r="AK453" s="1725"/>
      <c r="AL453" s="996"/>
      <c r="AM453" s="1747"/>
      <c r="AN453" s="1775"/>
      <c r="AO453" s="1777"/>
      <c r="AP453" s="1780"/>
      <c r="AQ453" s="1781"/>
      <c r="AR453" s="1795"/>
      <c r="AS453" s="1795"/>
      <c r="AT453" s="1796"/>
      <c r="AU453" s="1735"/>
      <c r="AV453" s="1752"/>
      <c r="AW453" s="1705"/>
      <c r="AX453" s="467"/>
      <c r="AY453" s="1749"/>
      <c r="AZ453" s="1749"/>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696"/>
      <c r="CQ453" s="1696"/>
      <c r="CR453" s="1809"/>
      <c r="CS453" s="1811"/>
      <c r="CU453" s="1688"/>
      <c r="CV453" s="1703"/>
      <c r="CW453" s="1703"/>
      <c r="CX453" s="1703"/>
      <c r="CY453" s="1815"/>
      <c r="CZ453" s="1711"/>
      <c r="DA453" s="1818"/>
      <c r="DB453" s="1820"/>
      <c r="DC453" s="1820"/>
      <c r="DD453" s="1820"/>
      <c r="DF453" s="1703"/>
      <c r="DG453" s="1831"/>
      <c r="DH453" s="1703"/>
      <c r="DI453" s="1838"/>
      <c r="DJ453" s="1711"/>
      <c r="DK453" s="1712"/>
      <c r="DM453" s="1718"/>
      <c r="DO453" s="1708"/>
      <c r="DQ453" s="1715"/>
      <c r="DR453" s="1720"/>
      <c r="DS453" s="1816"/>
      <c r="DT453" s="1714"/>
      <c r="DU453" s="1715"/>
      <c r="DV453" s="1716"/>
      <c r="DX453" s="1715"/>
      <c r="DY453" s="1720"/>
      <c r="DZ453" s="1715"/>
      <c r="EA453" s="1715"/>
      <c r="EC453" s="1834"/>
      <c r="ED453" s="1834"/>
      <c r="EF453" s="1707"/>
      <c r="EG453" s="1712"/>
      <c r="EH453" s="1818"/>
      <c r="EI453" s="1712"/>
      <c r="EJ453" s="1712"/>
      <c r="EK453" s="1836"/>
      <c r="EL453" s="1836"/>
      <c r="EM453" s="1807"/>
      <c r="EN453" s="1839"/>
      <c r="EO453" s="1839"/>
      <c r="EP453" s="1817"/>
      <c r="EQ453" s="1817"/>
      <c r="ER453" s="1807"/>
      <c r="ES453" s="1807"/>
      <c r="ET453" s="1807"/>
      <c r="EV453" s="1715"/>
      <c r="EX453" s="1805"/>
      <c r="EY453" s="1805"/>
      <c r="EZ453" s="1805"/>
      <c r="FA453" s="1805"/>
      <c r="FB453" s="1805"/>
      <c r="FC453" s="1827"/>
      <c r="FE453" s="1698"/>
      <c r="FG453" s="1816"/>
      <c r="FH453" s="1816"/>
      <c r="FI453" s="133"/>
      <c r="FL453" s="1823"/>
      <c r="FM453" s="1825"/>
      <c r="FN453" s="1698"/>
      <c r="FO453" s="1698"/>
      <c r="FP453" s="1678"/>
      <c r="FQ453" s="1678"/>
      <c r="FS453" s="1687"/>
      <c r="FT453" s="1687"/>
      <c r="FU453" s="1685"/>
      <c r="FV453" s="1687"/>
      <c r="FW453" s="1687"/>
      <c r="FX453" s="1687"/>
      <c r="FY453" s="1697"/>
      <c r="GA453" s="1696"/>
      <c r="GB453" s="1696"/>
      <c r="GC453" s="1696"/>
      <c r="GD453" s="1696"/>
      <c r="GE453" s="1696"/>
      <c r="GF453" s="1696"/>
      <c r="GG453" s="1696"/>
      <c r="GH453" s="1696"/>
      <c r="GI453" s="673"/>
      <c r="GJ453" s="1135"/>
      <c r="GK453" s="1832"/>
      <c r="GM453" s="1693" t="b">
        <f ca="1">IF(AND(GP453=TRUE,GQ453=TRUE),TRUE,FALSE)</f>
        <v>0</v>
      </c>
      <c r="GN453" s="1684" t="b">
        <f>IFERROR(IF(__Retrofit_TI_NC=2,TRUE,IF(AU452="Yes",TRUE,FALSE)),FALSE)</f>
        <v>1</v>
      </c>
      <c r="GP453" s="1684" t="b">
        <f>IFERROR(IF(GP452=1,TRUE,FALSE),FALSE)</f>
        <v>0</v>
      </c>
      <c r="GQ453" s="1684" t="b">
        <f ca="1">IFERROR(IF(GQ452=GQ$14,TRUE,FALSE),FALSE)</f>
        <v>0</v>
      </c>
      <c r="HG453" s="1684" t="b">
        <f>IFERROR(IF(AND(__Retrofit_TI_NC&gt;0,CQ452="Interior"),FALSE,TRUE),FALSE)</f>
        <v>1</v>
      </c>
      <c r="HH453" s="1684" t="b">
        <f>IFERROR(IF(M453=1,TRUE,FALSE),FALSE)</f>
        <v>0</v>
      </c>
      <c r="HI453" s="1684" t="b">
        <f>IFERROR(IF(OR(M454=1,N455="BAM"),TRUE,FALSE),FALSE)</f>
        <v>0</v>
      </c>
      <c r="HJ453" s="1684" t="b">
        <f>IFERROR(IF(__Retrofit_TI_NC&lt;&gt;0,TRUE,IFERROR(IF(VLOOKUP(U453,Fixtures_Existing_List,2,FALSE)&lt;&gt;"",TRUE,FALSE),FALSE)),FALSE)</f>
        <v>0</v>
      </c>
      <c r="HK453" s="1684" t="b">
        <f>IFERROR(IF(VLOOKUP(U454,Fixtures_Proposed_List,2,FALSE)&lt;&gt;"",TRUE,FALSE),FALSE)</f>
        <v>0</v>
      </c>
      <c r="HL453" s="1684" t="b">
        <f>IF(AND(__Retrofit_TI_NC=2,FC452=TRUE),FALSE,TRUE)</f>
        <v>1</v>
      </c>
      <c r="HM453" s="1684" t="b">
        <f>GK452</f>
        <v>1</v>
      </c>
      <c r="HN453" s="1682" t="b">
        <f>IF(ISERROR(MATCH(FE452,_Control_Match[],0))=TRUE,FALSE,TRUE)</f>
        <v>0</v>
      </c>
      <c r="HO453" s="1693" t="b">
        <f>IFERROR(IF(EX452&lt;&gt;EY452,FALSE,TRUE),FALSE)</f>
        <v>1</v>
      </c>
      <c r="HP453" s="1693" t="b">
        <f>IFERROR(IF(EX454&lt;&gt;EY454,FALSE,TRUE),FALSE)</f>
        <v>1</v>
      </c>
      <c r="HQ453" s="1670" t="b">
        <f>IFERROR(IF(CQ452="Exterior",TRUE,IF(AND(OR(FM454=0,FM454=3),JD454&gt;6),FALSE,TRUE)),FALSE)</f>
        <v>0</v>
      </c>
      <c r="HR453" s="1684" t="b">
        <f>IFERROR(IF(AND(FO454=7,FC452=TRUE),FALSE,TRUE),FALSE)</f>
        <v>0</v>
      </c>
      <c r="HS453" s="1684" t="b">
        <f>IFERROR(IF(AND(T454&lt;&gt;AF454,OR(AG454="Interior LLLC", AG454="Interior NLC", AG454="LLLC (outside Daylight)",AG454="LLLC Controls Only"))=TRUE,FALSE,TRUE),FALSE)</f>
        <v>1</v>
      </c>
      <c r="HT453" s="1670" t="b">
        <f>IFERROR(IF(OR(AG454=Lookup!BB$17,AG454=Lookup!BB$18,AG454=Lookup!BB$19)=TRUE,IF(AF454&gt;T454,FALSE,TRUE),TRUE),FALSE)</f>
        <v>1</v>
      </c>
      <c r="HU453" s="1684" t="b">
        <f>IFERROR(IF(__Retrofit_TI_NC=2,IF(EZ454&lt;EZ452,FALSE,TRUE),TRUE),FALSE)</f>
        <v>1</v>
      </c>
      <c r="HV453" s="1684" t="b">
        <f>IF(CQ452="Interior",IL$6,TRUE)</f>
        <v>1</v>
      </c>
      <c r="HW453" s="1684" t="b">
        <f>IF(CQ452="Exterior",IL$8,TRUE)</f>
        <v>1</v>
      </c>
      <c r="HX453" s="1684" t="b">
        <f>IFERROR(IF(__Retrofit_TI_NC&lt;&gt;0,IF(AZ452&lt;AY452,FALSE,TRUE),TRUE),FALSE)</f>
        <v>1</v>
      </c>
      <c r="HY453" s="1684" t="b">
        <f>IFERROR(IF(AND(G453="Exterior",R453&gt;4200),FALSE,TRUE),FALSE)</f>
        <v>1</v>
      </c>
      <c r="HZ453" s="1684" t="b">
        <f>IFERROR(IF(AB455/AB452&lt;HZ$18,FALSE,TRUE),FALSE)</f>
        <v>0</v>
      </c>
      <c r="IB453" s="1691"/>
      <c r="IC453" s="1695"/>
      <c r="ID453" s="1694" t="str">
        <f>VLOOKUP(IB455,_Error_Table,4,FALSE)</f>
        <v>White</v>
      </c>
      <c r="IE453" s="391"/>
      <c r="IF453" s="1688"/>
      <c r="IG453" s="1689"/>
      <c r="IH453" s="1684"/>
      <c r="IK453" s="1689"/>
      <c r="IL453" s="1691"/>
      <c r="IM453" s="1691"/>
      <c r="IN453" s="1691"/>
      <c r="IP453" s="1679"/>
      <c r="IQ453" s="1679"/>
      <c r="IR453" s="1679"/>
      <c r="IS453" s="1679"/>
      <c r="IT453" s="1679"/>
      <c r="IU453" s="1679"/>
      <c r="IV453" s="1679"/>
      <c r="IW453" s="1679"/>
      <c r="IX453" s="1679"/>
      <c r="IY453" s="1679"/>
      <c r="IZ453" s="1679"/>
      <c r="JA453" s="1679"/>
      <c r="JC453" s="1680"/>
      <c r="JD453" s="1670"/>
      <c r="JE453" s="1681"/>
      <c r="JG453" s="1680"/>
      <c r="JH453" s="1670"/>
      <c r="JI453" s="1060"/>
      <c r="JJ453" s="1683"/>
      <c r="JK453" s="1061"/>
      <c r="JL453" s="1683"/>
      <c r="JM453" s="1061"/>
      <c r="JN453" s="1683"/>
      <c r="JO453" s="1061"/>
      <c r="JP453" s="1683"/>
      <c r="JQ453" s="1061"/>
      <c r="JR453" s="1683"/>
      <c r="JS453" s="1061"/>
      <c r="JT453" s="1670"/>
      <c r="JU453" s="1061"/>
      <c r="JV453" s="1670"/>
      <c r="JX453" s="1670"/>
      <c r="JZ453" s="1683"/>
      <c r="KB453" s="1670"/>
    </row>
    <row r="454" spans="1:288" s="78" customFormat="1" ht="14.95" customHeight="1" thickTop="1" thickBot="1">
      <c r="A454" s="78">
        <f>ROW()</f>
        <v>454</v>
      </c>
      <c r="B454" s="1845"/>
      <c r="C454" s="1846"/>
      <c r="D454" s="1847"/>
      <c r="E454" s="1737" t="s">
        <v>298</v>
      </c>
      <c r="F454" s="1738"/>
      <c r="G454" s="1760"/>
      <c r="H454" s="1761"/>
      <c r="I454" s="1761"/>
      <c r="J454" s="1761"/>
      <c r="K454" s="1761"/>
      <c r="L454" s="1762"/>
      <c r="M454" s="461">
        <f>IFERROR(IF(IF(__Retrofit_TI_NC&lt;&gt;0,IF(CQ452="Interior",MATCH(G454,Lookup_Interior_New,0),MATCH(G454,Lookup_Exterior_New,0)),IF(CQ452="Interior",MATCH(G454,Lookup_Interior,0),MATCH(G454,Lookup_Exterior_Areas,0)))&gt;0,1,0),0)</f>
        <v>0</v>
      </c>
      <c r="N454" s="461" t="e">
        <f>IF(__Retrofit_TI_NC=1,
VLOOKUP(G454,'Space Table'!$B$3:$L$163,4,FALSE),
IF(__Retrofit_TI_NC=2,VLOOKUP(G454,'Space Table'!$B$3:$L$163,5,FALSE),VLOOKUP(G454,'Space Table'!$B$3:$L$163,5,FALSE)))</f>
        <v>#N/A</v>
      </c>
      <c r="O454" s="461">
        <f>G454</f>
        <v>0</v>
      </c>
      <c r="P454" s="1738" t="str">
        <f>IFERROR(IF(__Retrofit_TI_NC=1,VLOOKUP(G454,'Space Table'!$B$3:$O$163,13,FALSE),IF(__Retrofit_TI_NC=2,VLOOKUP(G454,'Space Table'!$B$3:$O$163,14,FALSE),"Area (sf):")),"Area (sf):")</f>
        <v>Area (sf):</v>
      </c>
      <c r="Q454" s="1738"/>
      <c r="R454" s="596"/>
      <c r="S454" s="1763" t="s">
        <v>345</v>
      </c>
      <c r="T454" s="594"/>
      <c r="U454" s="1801"/>
      <c r="V454" s="1802"/>
      <c r="W454" s="1802"/>
      <c r="X454" s="1802"/>
      <c r="Y454" s="1802"/>
      <c r="Z454" s="1802"/>
      <c r="AA454" s="1802"/>
      <c r="AB454" s="1802"/>
      <c r="AC454" s="1802"/>
      <c r="AD454" s="1802"/>
      <c r="AE454" s="1803"/>
      <c r="AF454" s="594"/>
      <c r="AG454" s="1787"/>
      <c r="AH454" s="1787"/>
      <c r="AI454" s="1787"/>
      <c r="AJ454" s="1787"/>
      <c r="AK454" s="1787"/>
      <c r="AL454" s="1787"/>
      <c r="AM454" s="1726">
        <f>IFERROR(DI454,"")</f>
        <v>0</v>
      </c>
      <c r="AN454" s="1728" t="str">
        <f>IFERROR(ROUND(AM454*AC455,0),"")</f>
        <v/>
      </c>
      <c r="AO454" s="1730">
        <f>IFERROR(IF(IB452=FALSE,0,AC455-AN454),0)</f>
        <v>0</v>
      </c>
      <c r="AP454" s="1780"/>
      <c r="AQ454" s="1781"/>
      <c r="AR454" s="1795"/>
      <c r="AS454" s="1795"/>
      <c r="AT454" s="1796"/>
      <c r="AU454" s="1735"/>
      <c r="AV454" s="1752"/>
      <c r="AW454" s="1705"/>
      <c r="AX454" s="467"/>
      <c r="AY454" s="1749"/>
      <c r="AZ454" s="1749"/>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696"/>
      <c r="CQ454" s="1696"/>
      <c r="CR454" s="1808" t="str">
        <f>CQ452</f>
        <v/>
      </c>
      <c r="CS454" s="1810" t="str">
        <f>CS452</f>
        <v/>
      </c>
      <c r="CU454" s="1688" t="s">
        <v>345</v>
      </c>
      <c r="CV454" s="1702">
        <f>IF(IB452=TRUE,T454,0)</f>
        <v>0</v>
      </c>
      <c r="CW454" s="1702" t="str">
        <f>IF(IB452=TRUE,U454,"")</f>
        <v/>
      </c>
      <c r="CX454" s="1812">
        <f>IF(IB452=TRUE,U455,0)</f>
        <v>0</v>
      </c>
      <c r="CY454" s="1814">
        <f>IF(IB452=TRUE,AB455,0)</f>
        <v>0</v>
      </c>
      <c r="CZ454" s="1710">
        <f>IF(AND(__Retrofit_TI_NC&gt;0,CR452="interior"),0,IF(IB452=TRUE,AC455,0))</f>
        <v>0</v>
      </c>
      <c r="DA454" s="1818"/>
      <c r="DB454" s="1820"/>
      <c r="DC454" s="1820"/>
      <c r="DD454" s="1820"/>
      <c r="DF454" s="1702">
        <f>IF(IB452=TRUE,AF454,0)</f>
        <v>0</v>
      </c>
      <c r="DG454" s="1830" t="str">
        <f>IF(IB452=TRUE,AG454,"")</f>
        <v/>
      </c>
      <c r="DH454" s="1812">
        <f>AG455</f>
        <v>0</v>
      </c>
      <c r="DI454" s="1837">
        <f>JE454</f>
        <v>0</v>
      </c>
      <c r="DJ454" s="1710">
        <f>IF(AND(__Retrofit_TI_NC&gt;0,CR452="interior"),0,IF(IB452=TRUE,AN454,0))</f>
        <v>0</v>
      </c>
      <c r="DK454" s="1712"/>
      <c r="DN454" s="1717">
        <f>IFERROR(CZ454-DJ454,0)</f>
        <v>0</v>
      </c>
      <c r="DO454" s="1709"/>
      <c r="DQ454" s="1715"/>
      <c r="DR454" s="1719" t="str">
        <f>DQ452</f>
        <v/>
      </c>
      <c r="DS454" s="1816"/>
      <c r="DT454" s="1835" t="str">
        <f>IF(OR(DS452=7,DS452=8,DS452=9),"ALC","")</f>
        <v/>
      </c>
      <c r="DU454" s="1715"/>
      <c r="DV454" s="1716"/>
      <c r="DX454" s="1715"/>
      <c r="DY454" s="1829" t="str">
        <f>DX452</f>
        <v/>
      </c>
      <c r="DZ454" s="1715"/>
      <c r="EA454" s="1715"/>
      <c r="EC454" s="1834"/>
      <c r="ED454" s="1834"/>
      <c r="EF454" s="1707"/>
      <c r="EG454" s="1712"/>
      <c r="EH454" s="1818"/>
      <c r="EI454" s="1712"/>
      <c r="EJ454" s="1712"/>
      <c r="EK454" s="1836"/>
      <c r="EL454" s="1836"/>
      <c r="EM454" s="1807"/>
      <c r="EN454" s="1839"/>
      <c r="EO454" s="1839"/>
      <c r="EP454" s="1817"/>
      <c r="EQ454" s="1817"/>
      <c r="ER454" s="1807"/>
      <c r="ES454" s="1807"/>
      <c r="ET454" s="1807"/>
      <c r="EV454" s="1715"/>
      <c r="EX454" s="1805" t="str">
        <f>IFERROR(VLOOKUP(CS454,'Space Table'!$B$3:$L$163,8,FALSE),"")</f>
        <v/>
      </c>
      <c r="EY454" s="1805" t="str">
        <f>IFERROR(IF(FB454="Yes",VLOOKUP(AG454,Lookup_Control_Type_Table2,4,FALSE),VLOOKUP(AG454,Lookup_Control_Type_Table2,3,FALSE)),"")</f>
        <v/>
      </c>
      <c r="EZ454" s="1805" t="e">
        <f>VLOOKUP(AG454,Lookup!BB$3:BC$20,2,FALSE)</f>
        <v>#N/A</v>
      </c>
      <c r="FA454" s="1805" t="e">
        <f>VLOOKUP(EX452,Lookup_Control_Type_Table,2,FALSE)</f>
        <v>#N/A</v>
      </c>
      <c r="FB454" s="1805" t="e">
        <f>VLOOKUP(CS454,'Space Table'!$B$3:$L$163,7,FALSE)</f>
        <v>#N/A</v>
      </c>
      <c r="FC454" s="1827"/>
      <c r="FE454" s="1698" t="str">
        <f>CONCATENATE(CQ452," - ",AG454)</f>
        <v xml:space="preserve"> - </v>
      </c>
      <c r="FG454" s="1816"/>
      <c r="FH454" s="1816"/>
      <c r="FI454" s="133"/>
      <c r="FL454" s="1822" t="str">
        <f>IF(CQ452="Exterior","Not Daylighted",G455)</f>
        <v>Not Daylighted</v>
      </c>
      <c r="FM454" s="1824">
        <f>VLOOKUP(FL454,_New_Daylight_Table_Codes,2,FALSE)</f>
        <v>0</v>
      </c>
      <c r="FN454" s="1698">
        <f>AG454</f>
        <v>0</v>
      </c>
      <c r="FO454" s="1698" t="e">
        <f>VLOOKUP(FN454,_Control_Table,2,FALSE)</f>
        <v>#N/A</v>
      </c>
      <c r="FP454" s="1678" t="e">
        <f>VLOOKUP(CONCATENATE(FL454," ",FN454),Lookup!AY$102:AZ465,2,FALSE)</f>
        <v>#N/A</v>
      </c>
      <c r="FQ454" s="1698">
        <f>IF(__Retrofit_TI_NC=0,FN454,IF(AND(FT454&gt;0,FN454="Occupancy Sensor"),"Daylight + Occupancy",IF(AND(FT454&gt;0,FO454&lt;4),"Interior Daylight Dimming",FN454)))</f>
        <v>0</v>
      </c>
      <c r="FS454" s="1686">
        <f>IF(CQ452="Interior",VLOOKUP(CS452,Control_Savings_Interior,5,FALSE),0)</f>
        <v>0</v>
      </c>
      <c r="FT454" s="1687">
        <f>IF(CQ454="Exterior",0,IF(FM454=2,0.5,IF(OR(FM454=1,FM454=3),1,0)))</f>
        <v>0</v>
      </c>
      <c r="FU454" s="1685">
        <f>IF(R453&gt;FS$44,(FS454*(FS$44/R453)),FS454)*FT454</f>
        <v>0</v>
      </c>
      <c r="FV454" s="1686">
        <f>DI454</f>
        <v>0</v>
      </c>
      <c r="FW454" s="1686">
        <f>ROUND(FV454+((1-FV454)*FU454),2)</f>
        <v>0</v>
      </c>
      <c r="FX454" s="1686">
        <f>IF(__Retrofit_TI_NC=2,FW454,FV454)</f>
        <v>0</v>
      </c>
      <c r="FY454" s="1697">
        <f>IF(CR454="Interior",VLOOKUP(CS454,Control_Savings_Interior,4,FALSE),0)</f>
        <v>0</v>
      </c>
      <c r="GA454" s="1696"/>
      <c r="GB454" s="1696"/>
      <c r="GC454" s="1696"/>
      <c r="GD454" s="1696"/>
      <c r="GE454" s="1696"/>
      <c r="GF454" s="1696"/>
      <c r="GG454" s="1696"/>
      <c r="GH454" s="1696"/>
      <c r="GI454" s="673" t="b">
        <f>IF(ISNUMBER(SEARCH("TLED",U454)),TRUE,FALSE)</f>
        <v>0</v>
      </c>
      <c r="GJ454" s="1135" t="str">
        <f>IFERROR(VLOOKUP(U454,Fixtures!DM$93:DR$142,6,FALSE),"")</f>
        <v/>
      </c>
      <c r="GK454" s="1832"/>
      <c r="GM454" s="1692"/>
      <c r="GN454" s="1684"/>
      <c r="GP454" s="1684"/>
      <c r="GQ454" s="1684"/>
      <c r="HG454" s="1684"/>
      <c r="HH454" s="1684"/>
      <c r="HI454" s="1684"/>
      <c r="HJ454" s="1684"/>
      <c r="HK454" s="1684"/>
      <c r="HL454" s="1684"/>
      <c r="HM454" s="1684"/>
      <c r="HN454" s="1683"/>
      <c r="HO454" s="1692"/>
      <c r="HP454" s="1692"/>
      <c r="HQ454" s="1670"/>
      <c r="HR454" s="1684"/>
      <c r="HS454" s="1684"/>
      <c r="HT454" s="1670"/>
      <c r="HU454" s="1684"/>
      <c r="HV454" s="1684"/>
      <c r="HW454" s="1684"/>
      <c r="HX454" s="1684"/>
      <c r="HY454" s="1684"/>
      <c r="HZ454" s="1684"/>
      <c r="IB454" s="1692"/>
      <c r="IC454" s="1693" t="b">
        <f>IB452</f>
        <v>0</v>
      </c>
      <c r="ID454" s="1695"/>
      <c r="IE454" s="391"/>
      <c r="IF454" s="1688"/>
      <c r="IG454" s="1689">
        <f ca="1">IF(IF452=TRUE,AC455,0)</f>
        <v>0</v>
      </c>
      <c r="IH454" s="1684"/>
      <c r="IK454" s="1689" t="e">
        <f>ROUND(T454*AB455*N453*R453/1000,0)</f>
        <v>#VALUE!</v>
      </c>
      <c r="IL454" s="1691"/>
      <c r="IM454" s="1693" t="e">
        <f>ROUND(T454*AB455*N453*R453/1000,0)</f>
        <v>#VALUE!</v>
      </c>
      <c r="IN454" s="1691"/>
      <c r="IP454" s="1679"/>
      <c r="IQ454" s="1679" t="e">
        <f t="shared" ref="IQ454:IU454" si="407">IF($CR454="interior",VLOOKUP($CS454,_New_Control_Savings_Interior,IQ$30,FALSE),VLOOKUP($CS454,Control_Savings_Exterior,IQ$30,FALSE))</f>
        <v>#N/A</v>
      </c>
      <c r="IR454" s="1679" t="e">
        <f t="shared" si="407"/>
        <v>#N/A</v>
      </c>
      <c r="IS454" s="1679" t="e">
        <f t="shared" si="407"/>
        <v>#N/A</v>
      </c>
      <c r="IT454" s="1679" t="e">
        <f t="shared" si="407"/>
        <v>#N/A</v>
      </c>
      <c r="IU454" s="1679" t="e">
        <f t="shared" si="407"/>
        <v>#N/A</v>
      </c>
      <c r="IV454" s="1679" t="e">
        <f>IF($CR454="interior",IF(R453&gt;$IP$14,ROUND(($IV$18*($IP$14/R453)),2),$IV$18),VLOOKUP($CS454,Control_Savings_Exterior,IV$30,FALSE))</f>
        <v>#N/A</v>
      </c>
      <c r="IW454" s="1679" t="e">
        <f>IF($CR454="interior",ROUND(((1-IS454)*IV454)+IS454,2),VLOOKUP($CS454,Control_Savings_Exterior,IW$30,FALSE))</f>
        <v>#N/A</v>
      </c>
      <c r="IX454" s="1679" t="e">
        <f>IF($CR454="interior",ROUND(((1-IT454)*IV454)+IT454,2),VLOOKUP($CS454,Control_Savings_Exterior,IX$30,FALSE))</f>
        <v>#N/A</v>
      </c>
      <c r="IY454" s="1679" t="e">
        <f>IF($CR454="interior",IF(R453&gt;$IP$14,ROUND(($IY$18*($IP$14/R453)),2),$IY$18),VLOOKUP($CS454,Control_Savings_Exterior,IY$30,FALSE))</f>
        <v>#N/A</v>
      </c>
      <c r="IZ454" s="1679" t="e">
        <f>IF($CR454="interior",ROUND(((1-IS454)*IY454)+IS454,2),VLOOKUP($CS454,Control_Savings_Exterior,IZ$30,FALSE))</f>
        <v>#N/A</v>
      </c>
      <c r="JA454" s="1679" t="e">
        <f>IF($CR454="interior",ROUND(((1-IT454)*IY454)+IT454,2),VLOOKUP($CS454,Control_Savings_Exterior,JA$30,FALSE))</f>
        <v>#N/A</v>
      </c>
      <c r="JC454" s="1680">
        <f>IFERROR(IF(CR454="Interior",CONCATENATE(G455," ",FQ454),AG454),"")</f>
        <v>0</v>
      </c>
      <c r="JD454" s="1670" t="str">
        <f>IFERROR(VLOOKUP(JC454,_Controls_2023,2,FALSE),"")</f>
        <v/>
      </c>
      <c r="JE454" s="1681">
        <f>IFERROR(CHOOSE(JD454-1,IQ454,IR454,IS454,IT454,IU454,IV454,IW454,IX454,IY454,IZ454,JA454),0)</f>
        <v>0</v>
      </c>
      <c r="JG454" s="1680" t="str">
        <f>FE454</f>
        <v xml:space="preserve"> - </v>
      </c>
      <c r="JH454" s="1670" t="e">
        <f>$FO454</f>
        <v>#N/A</v>
      </c>
      <c r="JI454" s="1060"/>
      <c r="JJ454" s="1670">
        <f>IFERROR(IF($IB452=TRUE,IF(OR(JJ$14="No",JJ452=FALSE,JH454&lt;=JH452,AND(_kWh_Grant=0,GD452=FALSE)),0,IF(JJ$8="Per Line",1,$AF454)),0),0)</f>
        <v>0</v>
      </c>
      <c r="JK454" s="1061"/>
      <c r="JL454" s="1670">
        <f>IFERROR(IF(_kWh_Grant=0,0,IF($IB452=TRUE,IF(OR(JL$14="No",JL452=FALSE,JH454&lt;=JH452),0,IF(JL$8="Per Line",1,$T454)),0)),0)</f>
        <v>0</v>
      </c>
      <c r="JM454" s="1061"/>
      <c r="JN454" s="1670">
        <f>IFERROR(IF(_kWh_Grant=0,0,IF($IB452=TRUE,IF(OR(JN$14="No",JN452=FALSE,JH454&lt;=JH452),0,IF(JN$8="Per Line",1,$AF454)),0)),0)</f>
        <v>0</v>
      </c>
      <c r="JO454" s="1061"/>
      <c r="JP454" s="1670">
        <f>IFERROR(IF(__Retrofit_TI_NC=0,IF(_kWh_Grant=0,0,IF($IB452=TRUE,IF(OR(JP$14="No",JP452=FALSE,$JH454&lt;=$JH452),0,IF(JP$8="Per Line",1,$AF454)),0)),IF($IB452=TRUE,IF(OR(JP$14="No",JP452=FALSE,$JH454&lt;=$JH452),0,IF(JP$8="Per Line",1,$AF454)))),0)</f>
        <v>0</v>
      </c>
      <c r="JQ454" s="1061"/>
      <c r="JR454" s="1670">
        <f>IFERROR(IF(__Retrofit_TI_NC=0,IF(_kWh_Grant=0,0,IF($IB452=TRUE,IF(OR(JR$14="No",JR452=FALSE,$JH454&lt;=$JH452),0,IF(JR$8="Per Line",1,$AF454)),0)),IF($IB452=TRUE,IF(OR(JR$14="No",JR452=FALSE,$JH454&lt;=$JH452),0,IF(JR$8="Per Line",1,$AF454)))),0)</f>
        <v>0</v>
      </c>
      <c r="JS454" s="1061"/>
      <c r="JT454" s="1670">
        <f>IFERROR(IF(__Retrofit_TI_NC=0,IF(_kWh_Grant=0,0,IF($IB452=TRUE,IF(OR(JT$14="No",JT452=FALSE,$JH454&lt;=$JH452),0,IF(JT$8="Per Line",1,$AF454)),0)),IF($IB452=TRUE,IF(OR(JT$14="No",JT452=FALSE,$JH454&lt;=$JH452),0,IF(JT$8="Per Line",1,$AF454)))),0)</f>
        <v>0</v>
      </c>
      <c r="JU454" s="1061"/>
      <c r="JV454" s="1670">
        <f>IFERROR(IF(__Retrofit_TI_NC=0,IF(_kWh_Grant=0,0,IF($IB452=TRUE,IF(OR(JV$14="No",JV452=FALSE,$JH454&lt;=$JH452),0,IF(JV$8="Per Line",1,$AF454)),0)),IF($IB452=TRUE,IF(OR(JV$14="No",JV452=FALSE,$JH454&lt;=$JH452),0,IF(JV$8="Per Line",1,$AF454)))),0)</f>
        <v>0</v>
      </c>
      <c r="JX454" s="1670">
        <f>IFERROR(IF(__Retrofit_TI_NC=0,IF(_kWh_Grant=0,0,IF($IB452=TRUE,IF(OR(JX$14="No",JX452=FALSE,$JH454&lt;=$JH452),0,IF(JX$8="Per Line",1,$AF454)),0)),IF($IB452=TRUE,IF(OR(JX$14="No",JX452=FALSE,$JH454&lt;=$JH452),0,IF(JX$8="Per Line",1,$AF454)))),0)</f>
        <v>0</v>
      </c>
      <c r="JZ454" s="1670">
        <f>IFERROR(IF($IB452=TRUE,IF(OR(JZ$14="No",JZ452=FALSE,$JH454&lt;=$JH452,AND(_kWh_Grant=0,$GD452=FALSE)),0,IF(JZ$8="Per Line",1,$AF454)),0),0)</f>
        <v>0</v>
      </c>
      <c r="KB454" s="1670">
        <f>IFERROR(IF(__Retrofit_TI_NC=0,IF(_kWh_Grant=0,0,IF($IB452=TRUE,IF(OR(KB$14="No",KB452=FALSE,$JH454&lt;=$JH452),0,IF(KB$8="Per Line",1,$AF454)),0)),IF($IB452=TRUE,IF(OR(KB$14="No",KB452=FALSE,$JH454&lt;=$JH452),0,IF(KB$8="Per Line",1,$AF454)))),0)</f>
        <v>0</v>
      </c>
    </row>
    <row r="455" spans="1:288" s="78" customFormat="1" ht="14.95" customHeight="1" thickTop="1" thickBot="1">
      <c r="B455" s="1845"/>
      <c r="C455" s="1846"/>
      <c r="D455" s="1847"/>
      <c r="E455" s="1771" t="s">
        <v>436</v>
      </c>
      <c r="F455" s="1772"/>
      <c r="G455" s="1784" t="s">
        <v>437</v>
      </c>
      <c r="H455" s="1785"/>
      <c r="I455" s="1785"/>
      <c r="J455" s="1785"/>
      <c r="K455" s="1785"/>
      <c r="L455" s="1786"/>
      <c r="M455" s="591">
        <f>IFERROR(VLOOKUP(G455,_Daylight_Table[],2,FALSE),0)</f>
        <v>0</v>
      </c>
      <c r="N455" s="592" t="str">
        <f>IF(AND(__Retrofit_TI_NC&gt;0,CQ452="Interior"),"BAM","")</f>
        <v/>
      </c>
      <c r="O455" s="591" t="e">
        <f>VLOOKUP(G454,'Space Table'!$B$3:$L$163,11,FALSE)</f>
        <v>#N/A</v>
      </c>
      <c r="P455" s="1789"/>
      <c r="Q455" s="1790"/>
      <c r="R455" s="1790"/>
      <c r="S455" s="1788"/>
      <c r="T455" s="593" t="s">
        <v>342</v>
      </c>
      <c r="U455" s="1756" t="str" cm="1">
        <f t="array" aca="1" ref="U455" ca="1">IFERROR(VLOOKUP(INDIRECT("U" &amp; ROW()-1),Fixtures!DM$93:DP$142,4,FALSE),"")</f>
        <v/>
      </c>
      <c r="V455" s="1757"/>
      <c r="W455" s="1757"/>
      <c r="X455" s="1757"/>
      <c r="Y455" s="1757"/>
      <c r="Z455" s="1757"/>
      <c r="AA455" s="1758"/>
      <c r="AB455" s="939" t="str">
        <f>IFERROR(VLOOKUP(U454,Fixtures_Proposed_List,2,FALSE),"")</f>
        <v/>
      </c>
      <c r="AC455" s="933" t="str">
        <f>IFERROR(ROUND(T454*AB455*N453*R453/1000,0),"")</f>
        <v/>
      </c>
      <c r="AD455" s="934" t="str">
        <f>IFERROR(ROUND(T454*AB455/1000,2),"")</f>
        <v/>
      </c>
      <c r="AE455" s="998"/>
      <c r="AF455" s="938" t="s">
        <v>342</v>
      </c>
      <c r="AG455" s="1770"/>
      <c r="AH455" s="1770"/>
      <c r="AI455" s="1770"/>
      <c r="AJ455" s="1770"/>
      <c r="AK455" s="1770"/>
      <c r="AL455" s="1770"/>
      <c r="AM455" s="1727"/>
      <c r="AN455" s="1729"/>
      <c r="AO455" s="1731"/>
      <c r="AP455" s="1782"/>
      <c r="AQ455" s="1783"/>
      <c r="AR455" s="1797"/>
      <c r="AS455" s="1797"/>
      <c r="AT455" s="1798"/>
      <c r="AU455" s="1736"/>
      <c r="AV455" s="1753"/>
      <c r="AW455" s="1706"/>
      <c r="AX455" s="468"/>
      <c r="AY455" s="1750"/>
      <c r="AZ455" s="1750"/>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696"/>
      <c r="CQ455" s="1696"/>
      <c r="CR455" s="1809"/>
      <c r="CS455" s="1811"/>
      <c r="CU455" s="1688"/>
      <c r="CV455" s="1703"/>
      <c r="CW455" s="1703"/>
      <c r="CX455" s="1813"/>
      <c r="CY455" s="1815"/>
      <c r="CZ455" s="1711"/>
      <c r="DA455" s="1815"/>
      <c r="DB455" s="1821"/>
      <c r="DC455" s="1821"/>
      <c r="DD455" s="1821"/>
      <c r="DF455" s="1703"/>
      <c r="DG455" s="1831"/>
      <c r="DH455" s="1813"/>
      <c r="DI455" s="1838"/>
      <c r="DJ455" s="1711"/>
      <c r="DK455" s="1712"/>
      <c r="DN455" s="1718"/>
      <c r="DO455" s="1709"/>
      <c r="DQ455" s="1715"/>
      <c r="DR455" s="1720"/>
      <c r="DS455" s="1703"/>
      <c r="DT455" s="1714"/>
      <c r="DU455" s="1715"/>
      <c r="DV455" s="1716"/>
      <c r="DX455" s="1715"/>
      <c r="DY455" s="1720"/>
      <c r="DZ455" s="1715"/>
      <c r="EA455" s="1715"/>
      <c r="EC455" s="1834"/>
      <c r="ED455" s="1834"/>
      <c r="EF455" s="1707"/>
      <c r="EG455" s="1712"/>
      <c r="EH455" s="1815"/>
      <c r="EI455" s="1712"/>
      <c r="EJ455" s="1712"/>
      <c r="EK455" s="1813"/>
      <c r="EL455" s="1813"/>
      <c r="EM455" s="1807"/>
      <c r="EN455" s="1839"/>
      <c r="EO455" s="1839"/>
      <c r="EP455" s="1817"/>
      <c r="EQ455" s="1817"/>
      <c r="ER455" s="1807"/>
      <c r="ES455" s="1807"/>
      <c r="ET455" s="1807"/>
      <c r="EV455" s="1715"/>
      <c r="EX455" s="1806"/>
      <c r="EY455" s="1806"/>
      <c r="EZ455" s="1806"/>
      <c r="FA455" s="1806"/>
      <c r="FB455" s="1806"/>
      <c r="FC455" s="1828"/>
      <c r="FE455" s="1698"/>
      <c r="FG455" s="1703"/>
      <c r="FH455" s="1703"/>
      <c r="FI455" s="133"/>
      <c r="FL455" s="1823"/>
      <c r="FM455" s="1825"/>
      <c r="FN455" s="1698"/>
      <c r="FO455" s="1698"/>
      <c r="FP455" s="1678"/>
      <c r="FQ455" s="1698"/>
      <c r="FS455" s="1687"/>
      <c r="FT455" s="1687"/>
      <c r="FU455" s="1685"/>
      <c r="FV455" s="1687"/>
      <c r="FW455" s="1687"/>
      <c r="FX455" s="1687"/>
      <c r="FY455" s="1697"/>
      <c r="GA455" s="1696"/>
      <c r="GB455" s="1696"/>
      <c r="GC455" s="1696"/>
      <c r="GD455" s="1696"/>
      <c r="GE455" s="1696"/>
      <c r="GF455" s="1696"/>
      <c r="GG455" s="1696"/>
      <c r="GH455" s="1696"/>
      <c r="GI455" s="673"/>
      <c r="GJ455" s="1135"/>
      <c r="GK455" s="1832"/>
      <c r="GN455" s="674">
        <f>IF(GN453=TRUE,0,GN$16)</f>
        <v>0</v>
      </c>
      <c r="GP455" s="674">
        <f>IF(GP453=TRUE,0,GP$16)</f>
        <v>36</v>
      </c>
      <c r="GQ455" s="674">
        <f ca="1">IF(GQ453=TRUE,0,GQ$16)</f>
        <v>35</v>
      </c>
      <c r="GR455" s="391"/>
      <c r="GS455" s="391"/>
      <c r="GT455" s="391"/>
      <c r="GU455" s="391"/>
      <c r="GV455" s="391"/>
      <c r="HG455" s="674">
        <f>IF(HG453=TRUE,0,HG$16)</f>
        <v>0</v>
      </c>
      <c r="HH455" s="674">
        <f t="shared" ref="HH455:HM455" si="408">IF(HH453=TRUE,0,HH$16)</f>
        <v>19</v>
      </c>
      <c r="HI455" s="674">
        <f t="shared" si="408"/>
        <v>18</v>
      </c>
      <c r="HJ455" s="674">
        <f t="shared" si="408"/>
        <v>17</v>
      </c>
      <c r="HK455" s="674">
        <f t="shared" si="408"/>
        <v>16</v>
      </c>
      <c r="HL455" s="674">
        <f t="shared" si="408"/>
        <v>0</v>
      </c>
      <c r="HM455" s="674">
        <f t="shared" si="408"/>
        <v>0</v>
      </c>
      <c r="HN455" s="674">
        <f>IF(HN453=TRUE,0,HN$16)</f>
        <v>13</v>
      </c>
      <c r="HO455" s="674">
        <f t="shared" ref="HO455:HQ455" si="409">IF(HO453=TRUE,0,HO$16)</f>
        <v>0</v>
      </c>
      <c r="HP455" s="674">
        <f t="shared" si="409"/>
        <v>0</v>
      </c>
      <c r="HQ455" s="674">
        <f t="shared" si="409"/>
        <v>10</v>
      </c>
      <c r="HR455" s="674">
        <f>IF(HR453=TRUE,0,HR$16)</f>
        <v>9</v>
      </c>
      <c r="HS455" s="674">
        <f t="shared" ref="HS455:HW455" si="410">IF(HS453=TRUE,0,HS$16)</f>
        <v>0</v>
      </c>
      <c r="HT455" s="674">
        <f t="shared" si="410"/>
        <v>0</v>
      </c>
      <c r="HU455" s="674">
        <f t="shared" si="410"/>
        <v>0</v>
      </c>
      <c r="HV455" s="674">
        <f t="shared" si="410"/>
        <v>0</v>
      </c>
      <c r="HW455" s="674">
        <f t="shared" si="410"/>
        <v>0</v>
      </c>
      <c r="HX455" s="674">
        <f>IF(HX453=TRUE,0,HX$16)</f>
        <v>0</v>
      </c>
      <c r="HY455" s="674">
        <f>IF(HY453=TRUE,0,HY$16)</f>
        <v>0</v>
      </c>
      <c r="HZ455" s="674">
        <f>IF(HZ453=TRUE,0,HZ$16)</f>
        <v>1</v>
      </c>
      <c r="IB455" s="674">
        <f>IF(GP453=FALSE,GP455,IF(GQ453=FALSE,GQ455,MAX(GN455:HZ455)))</f>
        <v>36</v>
      </c>
      <c r="IC455" s="1692"/>
      <c r="ID455" s="205" t="str">
        <f>VLOOKUP(IB455,_Error_Table,3,FALSE)</f>
        <v xml:space="preserve"> </v>
      </c>
      <c r="IE455" s="205"/>
      <c r="IF455" s="1688"/>
      <c r="IG455" s="1689"/>
      <c r="IH455" s="1684"/>
      <c r="IK455" s="1689"/>
      <c r="IL455" s="1692"/>
      <c r="IM455" s="1692"/>
      <c r="IN455" s="1692"/>
      <c r="IP455" s="1679"/>
      <c r="IQ455" s="1679"/>
      <c r="IR455" s="1679"/>
      <c r="IS455" s="1679"/>
      <c r="IT455" s="1679"/>
      <c r="IU455" s="1679"/>
      <c r="IV455" s="1679"/>
      <c r="IW455" s="1679"/>
      <c r="IX455" s="1679"/>
      <c r="IY455" s="1679"/>
      <c r="IZ455" s="1679"/>
      <c r="JA455" s="1679"/>
      <c r="JC455" s="1680"/>
      <c r="JD455" s="1670"/>
      <c r="JE455" s="1681"/>
      <c r="JG455" s="1680"/>
      <c r="JH455" s="1670"/>
      <c r="JI455" s="1060"/>
      <c r="JJ455" s="1670"/>
      <c r="JK455" s="1061"/>
      <c r="JL455" s="1670"/>
      <c r="JM455" s="1061"/>
      <c r="JN455" s="1670"/>
      <c r="JO455" s="1061"/>
      <c r="JP455" s="1670"/>
      <c r="JQ455" s="1061"/>
      <c r="JR455" s="1670"/>
      <c r="JS455" s="1061"/>
      <c r="JT455" s="1670"/>
      <c r="JU455" s="1061"/>
      <c r="JV455" s="1670"/>
      <c r="JX455" s="1670"/>
      <c r="JZ455" s="1670"/>
      <c r="KB455" s="1670"/>
    </row>
    <row r="456" spans="1:288" s="78" customFormat="1" ht="5.0999999999999996" customHeight="1">
      <c r="B456" s="676"/>
      <c r="C456" s="392"/>
      <c r="D456" s="392"/>
      <c r="E456" s="1733"/>
      <c r="F456" s="1733"/>
      <c r="G456" s="1733"/>
      <c r="H456" s="1733"/>
      <c r="I456" s="1733"/>
      <c r="J456" s="1733"/>
      <c r="K456" s="1733"/>
      <c r="L456" s="1733"/>
      <c r="M456" s="1733"/>
      <c r="N456" s="1733"/>
      <c r="O456" s="1733"/>
      <c r="P456" s="1733"/>
      <c r="Q456" s="1733"/>
      <c r="R456" s="1733"/>
      <c r="S456" s="1733"/>
      <c r="T456" s="1733"/>
      <c r="U456" s="1733"/>
      <c r="V456" s="1733"/>
      <c r="W456" s="1733"/>
      <c r="X456" s="1733"/>
      <c r="Y456" s="1733"/>
      <c r="Z456" s="1733"/>
      <c r="AA456" s="1733"/>
      <c r="AB456" s="1733"/>
      <c r="AC456" s="1733"/>
      <c r="AD456" s="1733"/>
      <c r="AE456" s="1733"/>
      <c r="AF456" s="1733"/>
      <c r="AG456" s="1733"/>
      <c r="AH456" s="1733"/>
      <c r="AI456" s="1733"/>
      <c r="AJ456" s="1733"/>
      <c r="AK456" s="1733"/>
      <c r="AL456" s="1733"/>
      <c r="AM456" s="1733"/>
      <c r="AN456" s="1733"/>
      <c r="AO456" s="1733"/>
      <c r="AP456" s="1733"/>
      <c r="AQ456" s="1733"/>
      <c r="AR456" s="1733"/>
      <c r="AS456" s="1733"/>
      <c r="AT456" s="1733"/>
      <c r="AU456" s="1733"/>
      <c r="AV456" s="1733"/>
      <c r="AW456" s="1733"/>
      <c r="AX456" s="469"/>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663"/>
      <c r="CQ456" s="663"/>
      <c r="CR456" s="438"/>
      <c r="CS456" s="663"/>
      <c r="CV456" s="391"/>
      <c r="CW456" s="391"/>
      <c r="CX456" s="207"/>
      <c r="CY456" s="208"/>
      <c r="CZ456" s="208"/>
      <c r="DA456" s="208"/>
      <c r="DB456" s="209"/>
      <c r="DC456" s="209"/>
      <c r="DD456" s="209"/>
      <c r="DF456" s="664"/>
      <c r="DG456" s="665"/>
      <c r="DH456" s="666"/>
      <c r="DI456" s="667"/>
      <c r="DJ456" s="668"/>
      <c r="DK456" s="668"/>
      <c r="DN456" s="208"/>
      <c r="DO456" s="664"/>
      <c r="DQ456" s="664"/>
      <c r="DR456" s="669"/>
      <c r="DS456" s="391"/>
      <c r="DT456" s="664"/>
      <c r="DU456" s="664"/>
      <c r="DV456" s="664"/>
      <c r="DX456" s="664"/>
      <c r="DY456" s="664"/>
      <c r="DZ456" s="664"/>
      <c r="EA456" s="664"/>
      <c r="EC456" s="670"/>
      <c r="ED456" s="670"/>
      <c r="EF456" s="668"/>
      <c r="EG456" s="668"/>
      <c r="EH456" s="208"/>
      <c r="EI456" s="668"/>
      <c r="EJ456" s="668"/>
      <c r="EK456" s="207"/>
      <c r="EL456" s="207"/>
      <c r="EM456" s="666"/>
      <c r="EN456" s="671"/>
      <c r="EO456" s="671"/>
      <c r="EP456" s="672"/>
      <c r="EQ456" s="672"/>
      <c r="ER456" s="666"/>
      <c r="ES456" s="666"/>
      <c r="ET456" s="666"/>
      <c r="EV456" s="664"/>
      <c r="EX456" s="391"/>
      <c r="EY456" s="391"/>
      <c r="EZ456" s="391"/>
      <c r="FA456" s="391"/>
      <c r="FB456" s="391"/>
      <c r="FC456" s="391"/>
      <c r="FE456" s="569"/>
      <c r="FG456" s="391"/>
      <c r="FH456" s="391"/>
      <c r="FI456" s="391"/>
      <c r="FS456" s="664"/>
      <c r="FT456" s="391"/>
      <c r="FU456" s="391"/>
      <c r="FV456" s="664"/>
      <c r="FW456" s="664"/>
      <c r="GA456" s="663"/>
      <c r="GB456" s="663"/>
      <c r="GC456" s="663"/>
      <c r="GD456" s="663"/>
      <c r="GE456" s="663"/>
      <c r="GF456" s="663"/>
      <c r="GG456" s="663"/>
      <c r="GH456" s="663"/>
      <c r="GI456" s="665"/>
      <c r="GJ456" s="664"/>
      <c r="GK456" s="664"/>
    </row>
    <row r="457" spans="1:288" s="78" customFormat="1" ht="14.95" customHeight="1">
      <c r="B457" s="1845" t="str">
        <f>ID460</f>
        <v xml:space="preserve"> </v>
      </c>
      <c r="C457" s="1846">
        <f>C452+1</f>
        <v>80</v>
      </c>
      <c r="D457" s="1847"/>
      <c r="E457" s="1799" t="s">
        <v>295</v>
      </c>
      <c r="F457" s="1800"/>
      <c r="G457" s="1741"/>
      <c r="H457" s="1742"/>
      <c r="I457" s="1742"/>
      <c r="J457" s="1742"/>
      <c r="K457" s="1742"/>
      <c r="L457" s="1742"/>
      <c r="M457" s="1742"/>
      <c r="N457" s="1742"/>
      <c r="O457" s="1742"/>
      <c r="P457" s="1742"/>
      <c r="Q457" s="1742"/>
      <c r="R457" s="1742"/>
      <c r="S457" s="1791" t="s">
        <v>344</v>
      </c>
      <c r="T457" s="590"/>
      <c r="U457" s="1743"/>
      <c r="V457" s="1744"/>
      <c r="W457" s="1744"/>
      <c r="X457" s="1744"/>
      <c r="Y457" s="1744"/>
      <c r="Z457" s="1744"/>
      <c r="AA457" s="1744"/>
      <c r="AB457" s="961" t="str">
        <f>IFERROR(IF(__Retrofit_TI_NC=0,VLOOKUP(U458,Fixtures_Existing_List,2,FALSE),ROUND(N459*R459/T459,10)),"")</f>
        <v/>
      </c>
      <c r="AC457" s="935" t="str">
        <f>IFERROR(IF(__Retrofit_TI_NC=0,ROUND(T458*AB457*N458*R458/1000,0),IF(CQ457="Interior",N459*R459*R458*N458*_C406_reduction/1000,N459*R459*R458*N458/1000)),"")</f>
        <v/>
      </c>
      <c r="AD457" s="936" t="str">
        <f>IFERROR(IF(C$43=0,ROUND(T458*AB457/1000,2),N459*R459/1000),"")</f>
        <v/>
      </c>
      <c r="AE457" s="997"/>
      <c r="AF457" s="937"/>
      <c r="AG457" s="1745" t="str">
        <f>IF(__Retrofit_TI_NC=0," Control","Select Advanced Control for New System")</f>
        <v xml:space="preserve"> Control</v>
      </c>
      <c r="AH457" s="1745"/>
      <c r="AI457" s="1745"/>
      <c r="AJ457" s="1745"/>
      <c r="AK457" s="1745"/>
      <c r="AL457" s="1745"/>
      <c r="AM457" s="1746">
        <f>IFERROR(DI457,"")</f>
        <v>0</v>
      </c>
      <c r="AN457" s="1774" t="str">
        <f>IFERROR(ROUND(AM457*AC457,0),"")</f>
        <v/>
      </c>
      <c r="AO457" s="1776">
        <f>IFERROR(IF(IB457=FALSE,0,AC457-AN457),0)</f>
        <v>0</v>
      </c>
      <c r="AP457" s="1778">
        <f>AO457-AO459</f>
        <v>0</v>
      </c>
      <c r="AQ457" s="1779"/>
      <c r="AR457" s="1793">
        <f>IFERROR(IF(IB457=FALSE,0,(T459*U460)+(AF459*AG460)),0)</f>
        <v>0</v>
      </c>
      <c r="AS457" s="1793"/>
      <c r="AT457" s="1794"/>
      <c r="AU457" s="1734" t="s">
        <v>237</v>
      </c>
      <c r="AV457" s="1751">
        <f>IF(AU457="Yes",1,0)</f>
        <v>1</v>
      </c>
      <c r="AW457" s="1704" t="str">
        <f>IF(OR(DQ457=4,DQ457=5,DQ457=6,DQ457=12),CONCATENATE("$",IF(GH457=TRUE,Lookup!$K$10,Lookup!$K$2)," /lamp"),CONCATENATE(TEXT(ED457,"$0.00"),"/ kWh"))</f>
        <v>$0.00/ kWh</v>
      </c>
      <c r="AX457" s="467"/>
      <c r="AY457" s="1748">
        <f ca="1">IFERROR(IF(GM458=TRUE,(AB460*T459)/R459,0),"NA")</f>
        <v>0</v>
      </c>
      <c r="AZ457" s="1748"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696" t="str">
        <f>N458</f>
        <v/>
      </c>
      <c r="CQ457" s="1696" t="str">
        <f>IFERROR(VLOOKUP(G458,_Lookup_Heat_Type_Table_New,3,FALSE),"")</f>
        <v/>
      </c>
      <c r="CR457" s="1808" t="str">
        <f>CQ457</f>
        <v/>
      </c>
      <c r="CS457" s="1810" t="str">
        <f>IFERROR(VLOOKUP(G459,'Space Table'!$B$3:$L$163,9,FALSE),"")</f>
        <v/>
      </c>
      <c r="CU457" s="1688" t="s">
        <v>344</v>
      </c>
      <c r="CV457" s="1702">
        <f>IF(IB457=TRUE,T458,0)</f>
        <v>0</v>
      </c>
      <c r="CW457" s="1702" t="str">
        <f>IF(IB457=TRUE,U458,"")</f>
        <v/>
      </c>
      <c r="CX457" s="1702"/>
      <c r="CY457" s="1814">
        <f>IF(IB457=TRUE,AB457,0)</f>
        <v>0</v>
      </c>
      <c r="CZ457" s="1710">
        <f>IF(AND(__Retrofit_TI_NC&gt;0,CR457="interior"),0,IF(IB457=TRUE,AC457,0))</f>
        <v>0</v>
      </c>
      <c r="DA457" s="1814">
        <f>IFERROR(IF(IB457=TRUE,CZ457-CZ459,0),0)</f>
        <v>0</v>
      </c>
      <c r="DB457" s="1819">
        <f>IF(IB457=TRUE,AD457,0)</f>
        <v>0</v>
      </c>
      <c r="DC457" s="1819">
        <f>IF(IB457=TRUE,AD460,0)</f>
        <v>0</v>
      </c>
      <c r="DD457" s="1819">
        <f>IFERROR(DB457-DC457,0)</f>
        <v>0</v>
      </c>
      <c r="DF457" s="1702">
        <f>IF(IB457=TRUE,AF458,0)</f>
        <v>0</v>
      </c>
      <c r="DG457" s="1830">
        <f>IFERROR(IF(__Retrofit_TI_NC=2,IF(CQ457="Exterior",O460,FQ457),FN457),"")</f>
        <v>0</v>
      </c>
      <c r="DH457" s="1702"/>
      <c r="DI457" s="1837">
        <f>JE457</f>
        <v>0</v>
      </c>
      <c r="DJ457" s="1710">
        <f>IF(AND(__Retrofit_TI_NC&gt;0,CR457="interior"),0,IF(IB457=TRUE,AN457,0))</f>
        <v>0</v>
      </c>
      <c r="DK457" s="1712">
        <f>IFERROR(IF(IB457=TRUE,DJ459-DJ457,0),0)</f>
        <v>0</v>
      </c>
      <c r="DM457" s="1717">
        <f>IFERROR(CZ457-DJ457,0)</f>
        <v>0</v>
      </c>
      <c r="DO457" s="1708">
        <f>DM457-DN459</f>
        <v>0</v>
      </c>
      <c r="DQ457" s="1715" t="str">
        <f>IFERROR(IF(AND(OR(GC457=4,GC457=5,GC457=6),OR(GF457=4,GF457=5,GF457=6)),GC457+8,VLOOKUP(CW459,Fixtures!R$31:Y$78,8,FALSE)),"")</f>
        <v/>
      </c>
      <c r="DR457" s="1829" t="str">
        <f>DQ457</f>
        <v/>
      </c>
      <c r="DS457" s="1702" t="str">
        <f>IFERROR(VLOOKUP(DG459,Lookup!BB$3:BC$20,2,FALSE),"")</f>
        <v/>
      </c>
      <c r="DT457" s="1713" t="str">
        <f>IF(OR(DS457=7,DS457=8,DS457=9),"ALC","")</f>
        <v/>
      </c>
      <c r="DU457" s="1715">
        <f>IFERROR(IF(OR(DQ457=4,DQ457=5,DQ457=6,DQ457=12,DQ457=13,DQ457=14),VLOOKUP(CW459,Fixtures!DN$27:EG$77,19,FALSE),1)*CV459,0)</f>
        <v>0</v>
      </c>
      <c r="DV457" s="1716">
        <f>IF(OR(DS457=7,DS457=8,DS457=9),IF(DG457=DG459,0,DF459),0)</f>
        <v>0</v>
      </c>
      <c r="DX457" s="1715" t="str">
        <f>IFERROR(IF(EZ457&lt;EZ459,"Yes","No"),"")</f>
        <v/>
      </c>
      <c r="DY457" s="1829" t="str">
        <f>DX457</f>
        <v/>
      </c>
      <c r="DZ457" s="1715">
        <f>IF(DX457="Yes",DF459,0)</f>
        <v>0</v>
      </c>
      <c r="EA457" s="1715">
        <f>DZ457-DV457</f>
        <v>0</v>
      </c>
      <c r="EC457" s="1834">
        <f>IFERROR(VLOOKUP(DQ457,Lookup!AU$3:AV$16,2,FALSE),0)</f>
        <v>0</v>
      </c>
      <c r="ED457" s="1834">
        <f>IF(IB457=FALSE,0,IF(DX457="Yes",EC457+Lookup!K$6,EC457))</f>
        <v>0</v>
      </c>
      <c r="EF457" s="1707">
        <f>IF(IB457=TRUE,DM457,0)</f>
        <v>0</v>
      </c>
      <c r="EG457" s="1712">
        <f>IF(IB457=TRUE,CZ459,0)</f>
        <v>0</v>
      </c>
      <c r="EH457" s="1814">
        <f>IFERROR(EF457-EG457,0)</f>
        <v>0</v>
      </c>
      <c r="EI457" s="1712">
        <f>IF(IB457=TRUE,DJ459,0)</f>
        <v>0</v>
      </c>
      <c r="EJ457" s="1712">
        <f>IFERROR(EF457-EG457+EI457,0)</f>
        <v>0</v>
      </c>
      <c r="EK457" s="1812">
        <f>IF(IB457=TRUE,CV459*CX459,0)</f>
        <v>0</v>
      </c>
      <c r="EL457" s="1812">
        <f>IF(IB457=TRUE,DF459*DH459,0)</f>
        <v>0</v>
      </c>
      <c r="EM457" s="1807">
        <f>AR457</f>
        <v>0</v>
      </c>
      <c r="EN457" s="1839" t="str">
        <f>IFERROR(IF(IB457=TRUE,VLOOKUP(DQ457,Lookup!AU$3:AW$16,3,FALSE)*DU457,""),0)</f>
        <v/>
      </c>
      <c r="EO457" s="1839">
        <f>IF(IB457=TRUE,DZ457*Lookup!AW$12,0)</f>
        <v>0</v>
      </c>
      <c r="EP457" s="1817">
        <f>IFERROR(IF(IB457=TRUE,EN457/EP$40,0),0)</f>
        <v>0</v>
      </c>
      <c r="EQ457" s="1817">
        <f>IF(IB457=TRUE,EO457/EQ$40,0)</f>
        <v>0</v>
      </c>
      <c r="ER457" s="1807">
        <f>IF(IB457=TRUE,ET$40*EP457,0)</f>
        <v>0</v>
      </c>
      <c r="ES457" s="1807">
        <f>IF(IB457=TRUE,ET$40*EQ457,0)</f>
        <v>0</v>
      </c>
      <c r="ET457" s="1807">
        <f>ER457+ES457</f>
        <v>0</v>
      </c>
      <c r="EV457" s="1715">
        <f>IF(G457="",0,1)</f>
        <v>0</v>
      </c>
      <c r="EX457" s="1804" t="str">
        <f>IFERROR(VLOOKUP(CS459,'Space Table'!$B$3:$L$163,8,FALSE),"")</f>
        <v/>
      </c>
      <c r="EY457" s="1804" t="str">
        <f>IFERROR(IF(FB457="Yes",VLOOKUP(DG457,Lookup_Control_Type_Table2,4,FALSE),VLOOKUP(DG457,Lookup_Control_Type_Table2,3,FALSE)),"")</f>
        <v/>
      </c>
      <c r="EZ457" s="1804" t="e">
        <f>VLOOKUP(DG457,Lookup!BB$3:BC$20,2,FALSE)</f>
        <v>#N/A</v>
      </c>
      <c r="FA457" s="1804" t="e">
        <f>VLOOKUP(EX457,Lookup_Control_Type_Table,2,FALSE)</f>
        <v>#N/A</v>
      </c>
      <c r="FB457" s="1804" t="e">
        <f>VLOOKUP(CS459,'Space Table'!$B$3:$L$163,7,FALSE)</f>
        <v>#N/A</v>
      </c>
      <c r="FC457" s="1826" t="b">
        <f>ISNUMBER(SEARCH("TLED",U459))</f>
        <v>0</v>
      </c>
      <c r="FE457" s="1698" t="str">
        <f>CONCATENATE(CQ457," - ",DG457)</f>
        <v xml:space="preserve"> - 0</v>
      </c>
      <c r="FG457" s="1702" t="str">
        <f>VLOOKUP(CW459,Fixtures!DN$27:EZ$77,38,FALSE)</f>
        <v/>
      </c>
      <c r="FH457" s="1702">
        <f>IFERROR(FG457*EH457,0)</f>
        <v>0</v>
      </c>
      <c r="FI457" s="133"/>
      <c r="FL457" s="1822" t="str">
        <f>IF(CQ457="Exterior","Not Daylighted",G460)</f>
        <v>Not Daylighted</v>
      </c>
      <c r="FM457" s="1824">
        <f>VLOOKUP(FL457,_New_Daylight_Table_Codes,2,FALSE)</f>
        <v>0</v>
      </c>
      <c r="FN457" s="1698">
        <f>IF(__Retrofit_TI_NC&gt;0,VLOOKUP(G459,'Space Table'!$B$3:$L$163,11,FALSE),AG458)</f>
        <v>0</v>
      </c>
      <c r="FO457" s="1698" t="e">
        <f>IF(__Retrofit_TI_NC=2,VLOOKUP(FQ457,_Control_Table,2,FALSE),VLOOKUP(FN457,_Control_Table,2,FALSE))</f>
        <v>#N/A</v>
      </c>
      <c r="FP457" s="1678" t="e">
        <f>VLOOKUP(CONCATENATE(FL457," ",FN457),Lookup!AY$102:AZ467,2,FALSE)</f>
        <v>#N/A</v>
      </c>
      <c r="FQ457" s="1678">
        <f>IF(__Retrofit_TI_NC=0,FN457,IF(AND(FT457&gt;0,FN457="Occupancy Sensor"),"Daylight + Occupancy",IF(AND(FT457&gt;0,VLOOKUP(FN457,_Control_Table,2,FALSE)&lt;4),"Interior Daylight Dimming",FN457)))</f>
        <v>0</v>
      </c>
      <c r="FS457" s="1686">
        <f>IF(CR457="Interior",VLOOKUP(CS457,Control_Savings_Interior,5,FALSE),0)</f>
        <v>0</v>
      </c>
      <c r="FT457" s="1687">
        <f>IF(CQ457="Exterior",0,IF(FM457=2,0.5,IF(OR(FM457=1,FM457=3),1,0)))</f>
        <v>0</v>
      </c>
      <c r="FU457" s="1685">
        <f>IF(R456&gt;FS$44,(FS457*(FS$44/R456)),FS457)*FT457</f>
        <v>0</v>
      </c>
      <c r="FV457" s="1686">
        <f>DI457</f>
        <v>0</v>
      </c>
      <c r="FW457" s="1686">
        <f>ROUND(FV457+((1-FV457)*FU457),2)</f>
        <v>0</v>
      </c>
      <c r="FX457" s="1686">
        <f>IF(__Retrofit_TI_NC=2,FW457,FV457)</f>
        <v>0</v>
      </c>
      <c r="FY457" s="1697"/>
      <c r="GA457" s="1696" t="str">
        <f>IFERROR(VLOOKUP(U458,_Exist_Fixture_Table,3,FALSE),"")</f>
        <v/>
      </c>
      <c r="GB457" s="1696" t="str">
        <f>VLOOKUP(CW457,_Exist_Fixture_Table,4,FALSE)</f>
        <v/>
      </c>
      <c r="GC457" s="1696">
        <f>IFERROR(VLOOKUP(GB457,Lookup!AT$6:AU$8,2,FALSE),0)</f>
        <v>0</v>
      </c>
      <c r="GD457" s="1696" t="b">
        <f>IFERROR(IF(OR(GF457=4,GF457=5,GF457=6),TRUE,FALSE),"")</f>
        <v>0</v>
      </c>
      <c r="GE457" s="1696" t="str">
        <f>IFERROR(VLOOKUP(GF457,GC$6:GD$10,2,FALSE),"")</f>
        <v/>
      </c>
      <c r="GF457" s="1696" t="str">
        <f>VLOOKUP(CW459,Fixtures!R$31:Y$78,8,FALSE)</f>
        <v/>
      </c>
      <c r="GG457" s="1696">
        <f>IF(AND(GA457=TRUE,GD457=TRUE,OR(DQ457=12,DQ457=13,DQ457=14)),GC457+8,0)</f>
        <v>0</v>
      </c>
      <c r="GH457" s="1696" t="b">
        <f>IF(OR(GG457=12,GG457=13,GG457=14),TRUE,FALSE)</f>
        <v>0</v>
      </c>
      <c r="GI457" s="673" t="b">
        <f>IF(ISNUMBER(SEARCH("TLED",U458)),TRUE,FALSE)</f>
        <v>0</v>
      </c>
      <c r="GJ457" s="1135" t="str">
        <f>IFERROR(VLOOKUP(U458,Fixtures!BM$93:BR$142,6,FALSE),"")</f>
        <v/>
      </c>
      <c r="GK457" s="1832" t="b">
        <f>IF(OR(GI457=FALSE,GI459=FALSE),TRUE,IF(GJ457-GJ459&lt;5,FALSE,TRUE))</f>
        <v>1</v>
      </c>
      <c r="GO457" s="674">
        <f>GP457</f>
        <v>0</v>
      </c>
      <c r="GP457" s="674">
        <f>IF(G457="",0,1)</f>
        <v>0</v>
      </c>
      <c r="GQ457" s="674">
        <f ca="1">SUM(GR457:HF457)</f>
        <v>2</v>
      </c>
      <c r="GR457" s="674">
        <f>IF(G458="",0,1)</f>
        <v>0</v>
      </c>
      <c r="GS457" s="674">
        <f>IF(N460="BAM",1,IF(G459="",0,1))</f>
        <v>0</v>
      </c>
      <c r="GT457" s="674">
        <f>IF(N460="BAM",1,IF(R458="",0,1))</f>
        <v>0</v>
      </c>
      <c r="GU457" s="674">
        <f>IF(N460="BAM",1,IF(__Retrofit_TI_NC=0,1,IF(R459="",0,1)))</f>
        <v>1</v>
      </c>
      <c r="GV457" s="674">
        <f>IF(N460="BAM",1,IF(CQ457="Exterior",1,IF(G460="",0,1)))</f>
        <v>1</v>
      </c>
      <c r="GW457" s="674">
        <f>IF(__Retrofit_TI_NC&gt;0,1,IF(T458="",0,1))</f>
        <v>0</v>
      </c>
      <c r="GX457" s="674">
        <f>IF(__Retrofit_TI_NC&gt;0,1,IF(U458="",0,1))</f>
        <v>0</v>
      </c>
      <c r="GY457" s="674">
        <f>IF(N460="BAM",1,IF(T459="",0,1))</f>
        <v>0</v>
      </c>
      <c r="GZ457" s="674">
        <f>IF(N460="BAM",1,IF(U459="",0,1))</f>
        <v>0</v>
      </c>
      <c r="HA457" s="674">
        <f ca="1">IF(N460="BAM",1,IF(__Retrofit_TI_NC&gt;0,1,IF(U460="",0,1)))</f>
        <v>0</v>
      </c>
      <c r="HB457" s="674">
        <f>IF(__Retrofit_TI_NC&lt;&gt;0,1,IF(AF458="",0,1))</f>
        <v>0</v>
      </c>
      <c r="HC457" s="674">
        <f>IF(__Retrofit_TI_NC&lt;&gt;0,1,IF(AG458="",0,1))</f>
        <v>0</v>
      </c>
      <c r="HD457" s="674">
        <f>IF(N460="BAM",1,IF(AF459="",0,1))</f>
        <v>0</v>
      </c>
      <c r="HE457" s="674">
        <f>IF(N460="BAM",1,IF(AG459="",0,1))</f>
        <v>0</v>
      </c>
      <c r="HF457" s="674">
        <f>IF(N460="BAM",1,IF(__Retrofit_TI_NC&gt;0,1,IF(AG460="",0,1)))</f>
        <v>0</v>
      </c>
      <c r="HG457" s="391"/>
      <c r="IA457" s="391"/>
      <c r="IB457" s="1693" t="b">
        <f>IF(OR(IB460=0,IB460=HY$16,IB460=HX$16,IB460=HZ$16),TRUE,FALSE)</f>
        <v>0</v>
      </c>
      <c r="IC457" s="1694" t="b">
        <f>IB457</f>
        <v>0</v>
      </c>
      <c r="ID457" s="391"/>
      <c r="IE457" s="391"/>
      <c r="IF457" s="1688" t="b">
        <f ca="1">IF(MAX(GN460:HU460)&gt;5,FALSE,TRUE)</f>
        <v>0</v>
      </c>
      <c r="IG457" s="1689">
        <f ca="1">IF(IF457=TRUE,AC457,0)</f>
        <v>0</v>
      </c>
      <c r="IH457" s="1689">
        <f ca="1">IG457-IG459</f>
        <v>0</v>
      </c>
      <c r="IK457" s="1689" t="e">
        <f>ROUND(T458*VLOOKUP(U458,Fixtures_Existing_List,2,FALSE)*N458*R458/1000,0)</f>
        <v>#N/A</v>
      </c>
      <c r="IL457" s="1690" t="e">
        <f>IK457-IK459</f>
        <v>#N/A</v>
      </c>
      <c r="IM457" s="1693" t="e">
        <f>ROUND(IF(CQ457="Interior",N459*R459*R458*N458*_C406_reduction/1000,N459*R459*R458*N458/1000),0)</f>
        <v>#N/A</v>
      </c>
      <c r="IN457" s="1693" t="e">
        <f>IM457-IM459</f>
        <v>#N/A</v>
      </c>
      <c r="IP457" s="1679"/>
      <c r="IQ457" s="1679" t="e">
        <f t="shared" ref="IQ457:IU457" si="411">IF($CR457="interior",VLOOKUP($CS457,_New_Control_Savings_Interior,IQ$30,FALSE),VLOOKUP($CS457,Control_Savings_Exterior,IQ$30,FALSE))</f>
        <v>#N/A</v>
      </c>
      <c r="IR457" s="1679" t="e">
        <f t="shared" si="411"/>
        <v>#N/A</v>
      </c>
      <c r="IS457" s="1679" t="e">
        <f t="shared" si="411"/>
        <v>#N/A</v>
      </c>
      <c r="IT457" s="1679" t="e">
        <f t="shared" si="411"/>
        <v>#N/A</v>
      </c>
      <c r="IU457" s="1679" t="e">
        <f t="shared" si="411"/>
        <v>#N/A</v>
      </c>
      <c r="IV457" s="1679" t="e">
        <f>IF($CR457="interior",IF(R458&gt;$IP$14,ROUND(($IV$18*($IP$14/R458)),2),$IV$18),VLOOKUP($CS457,Control_Savings_Exterior,IV$30,FALSE))</f>
        <v>#N/A</v>
      </c>
      <c r="IW457" s="1679" t="e">
        <f>IF($CR457="interior",ROUND(((1-IS457)*IV457)+IS457,2),VLOOKUP($CS457,Control_Savings_Exterior,IW$30,FALSE))</f>
        <v>#N/A</v>
      </c>
      <c r="IX457" s="1679" t="e">
        <f>IF($CR457="interior",ROUND(((1-IT457)*IV457)+IT457,2),VLOOKUP($CS457,Control_Savings_Exterior,IX$30,FALSE))</f>
        <v>#N/A</v>
      </c>
      <c r="IY457" s="1679" t="e">
        <f>IF($CR457="interior",IF(R458&gt;$IP$14,ROUND(($IY$18*($IP$14/R458)),2),$IY$18),VLOOKUP($CS457,Control_Savings_Exterior,IY$30,FALSE))</f>
        <v>#N/A</v>
      </c>
      <c r="IZ457" s="1679" t="e">
        <f>IF($CR457="interior",ROUND(((1-IS457)*IY457)+IS457,2),VLOOKUP($CS457,Control_Savings_Exterior,IZ$30,FALSE))</f>
        <v>#N/A</v>
      </c>
      <c r="JA457" s="1679" t="e">
        <f>IF($CR457="interior",ROUND(((1-IT457)*IY457)+IT457,2),VLOOKUP($CS457,Control_Savings_Exterior,JA$30,FALSE))</f>
        <v>#N/A</v>
      </c>
      <c r="JC457" s="1680">
        <f>IFERROR(IF(CR457="Interior",CONCATENATE(G460," ",FQ457),FQ457),"")</f>
        <v>0</v>
      </c>
      <c r="JD457" s="1670" t="str">
        <f>IFERROR(VLOOKUP(JC457,_Controls_2023,2,FALSE),"")</f>
        <v/>
      </c>
      <c r="JE457" s="1681">
        <f>IFERROR(CHOOSE(JD457-1,IQ457,IR457,IS457,IT457,IU457,IV457,IW457,IX457,IY457,IZ457,JA457),0)</f>
        <v>0</v>
      </c>
      <c r="JG457" s="1680" t="str">
        <f>FE457</f>
        <v xml:space="preserve"> - 0</v>
      </c>
      <c r="JH457" s="1670" t="e">
        <f>$FO457</f>
        <v>#N/A</v>
      </c>
      <c r="JI457" s="1060"/>
      <c r="JJ457" s="1682" t="b">
        <f>IF($JG459=CONCATENATE("Interior - ",JJ$4),TRUE,FALSE)</f>
        <v>0</v>
      </c>
      <c r="JK457" s="1061"/>
      <c r="JL457" s="1682" t="b">
        <f>IF($JG459=CONCATENATE("Interior - ",JL$4),TRUE,FALSE)</f>
        <v>0</v>
      </c>
      <c r="JM457" s="1061"/>
      <c r="JN457" s="1682" t="b">
        <f>IF($JG459=CONCATENATE("Interior - ",JN$4),TRUE,FALSE)</f>
        <v>0</v>
      </c>
      <c r="JO457" s="1061"/>
      <c r="JP457" s="1682" t="b">
        <f>IF(__Retrofit_TI_NC&gt;0,FALSE,IF($JG459=CONCATENATE("Interior - ",JP$4),TRUE,FALSE))</f>
        <v>0</v>
      </c>
      <c r="JQ457" s="1061"/>
      <c r="JR457" s="1682" t="b">
        <f>IF(__Retrofit_TI_NC&gt;0,FALSE,IF($JG459=CONCATENATE("Interior - ",JR$4),TRUE,FALSE))</f>
        <v>0</v>
      </c>
      <c r="JS457" s="1061"/>
      <c r="JT457" s="1670" t="b">
        <f>IF(__Retrofit_TI_NC&gt;0,FALSE,IF($JG459=CONCATENATE("Interior - ",JT$4),TRUE,FALSE))</f>
        <v>0</v>
      </c>
      <c r="JU457" s="1061"/>
      <c r="JV457" s="1670" t="b">
        <f>IF(JC459="AELC on Existing",TRUE,FALSE)</f>
        <v>0</v>
      </c>
      <c r="JX457" s="1670" t="b">
        <f>IF(OR(JG459="Exterior - AELC Occupancy based",JG459="Exterior - AELC Time based"),TRUE,FALSE)</f>
        <v>0</v>
      </c>
      <c r="JZ457" s="1682" t="b">
        <f>IF($JG459=CONCATENATE("Exterior - ",JZ$4),TRUE,FALSE)</f>
        <v>0</v>
      </c>
      <c r="KB457" s="1670" t="b">
        <f>IF(__Retrofit_TI_NC&gt;0,FALSE,IF($JG459=CONCATENATE("Interior - ",KB$4),TRUE,FALSE))</f>
        <v>0</v>
      </c>
    </row>
    <row r="458" spans="1:288" s="78" customFormat="1" ht="14.95" customHeight="1" thickTop="1" thickBot="1">
      <c r="B458" s="1845"/>
      <c r="C458" s="1846"/>
      <c r="D458" s="1847"/>
      <c r="E458" s="1737" t="s">
        <v>297</v>
      </c>
      <c r="F458" s="1738"/>
      <c r="G458" s="1739"/>
      <c r="H458" s="1739"/>
      <c r="I458" s="1739"/>
      <c r="J458" s="1739"/>
      <c r="K458" s="1739"/>
      <c r="L458" s="1739"/>
      <c r="M458" s="461" t="e">
        <f>IF(__Retrofit_TI_NC&lt;&gt;0,IF(VLOOKUP(G459,'Space Table'!$B$3:$L$163,3,FALSE)&gt;0,1,0),IF(__Retrofit_TI_NC=VLOOKUP(G459,'Space Table'!$B$3:$L$163,3,FALSE),1,0))</f>
        <v>#N/A</v>
      </c>
      <c r="N458" s="461" t="str">
        <f>IFERROR(VLOOKUP(G458,_Lookup_Heat_Type_Table_New,2,FALSE),"")</f>
        <v/>
      </c>
      <c r="O458" s="461">
        <f>IF(__Retrofit_TI_NC=1,CONCATENATE("TI ",G458),IF(__Retrofit_TI_NC=2,CONCATENATE("NC ",G458),G458))</f>
        <v>0</v>
      </c>
      <c r="P458" s="1740" t="s">
        <v>435</v>
      </c>
      <c r="Q458" s="1740"/>
      <c r="R458" s="595"/>
      <c r="S458" s="1792"/>
      <c r="T458" s="597"/>
      <c r="U458" s="1765"/>
      <c r="V458" s="1766"/>
      <c r="W458" s="1766"/>
      <c r="X458" s="1766"/>
      <c r="Y458" s="1766"/>
      <c r="Z458" s="1766"/>
      <c r="AA458" s="1766"/>
      <c r="AB458" s="1766"/>
      <c r="AC458" s="1766"/>
      <c r="AD458" s="1767"/>
      <c r="AE458" s="1000"/>
      <c r="AF458" s="597"/>
      <c r="AG458" s="1723"/>
      <c r="AH458" s="1724"/>
      <c r="AI458" s="1724"/>
      <c r="AJ458" s="1724"/>
      <c r="AK458" s="1725"/>
      <c r="AL458" s="996"/>
      <c r="AM458" s="1747"/>
      <c r="AN458" s="1775"/>
      <c r="AO458" s="1777"/>
      <c r="AP458" s="1780"/>
      <c r="AQ458" s="1781"/>
      <c r="AR458" s="1795"/>
      <c r="AS458" s="1795"/>
      <c r="AT458" s="1796"/>
      <c r="AU458" s="1735"/>
      <c r="AV458" s="1752"/>
      <c r="AW458" s="1705"/>
      <c r="AX458" s="467"/>
      <c r="AY458" s="1749"/>
      <c r="AZ458" s="1749"/>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696"/>
      <c r="CQ458" s="1696"/>
      <c r="CR458" s="1809"/>
      <c r="CS458" s="1811"/>
      <c r="CU458" s="1688"/>
      <c r="CV458" s="1703"/>
      <c r="CW458" s="1703"/>
      <c r="CX458" s="1703"/>
      <c r="CY458" s="1815"/>
      <c r="CZ458" s="1711"/>
      <c r="DA458" s="1818"/>
      <c r="DB458" s="1820"/>
      <c r="DC458" s="1820"/>
      <c r="DD458" s="1820"/>
      <c r="DF458" s="1703"/>
      <c r="DG458" s="1831"/>
      <c r="DH458" s="1703"/>
      <c r="DI458" s="1838"/>
      <c r="DJ458" s="1711"/>
      <c r="DK458" s="1712"/>
      <c r="DM458" s="1718"/>
      <c r="DO458" s="1708"/>
      <c r="DQ458" s="1715"/>
      <c r="DR458" s="1720"/>
      <c r="DS458" s="1816"/>
      <c r="DT458" s="1714"/>
      <c r="DU458" s="1715"/>
      <c r="DV458" s="1716"/>
      <c r="DX458" s="1715"/>
      <c r="DY458" s="1720"/>
      <c r="DZ458" s="1715"/>
      <c r="EA458" s="1715"/>
      <c r="EC458" s="1834"/>
      <c r="ED458" s="1834"/>
      <c r="EF458" s="1707"/>
      <c r="EG458" s="1712"/>
      <c r="EH458" s="1818"/>
      <c r="EI458" s="1712"/>
      <c r="EJ458" s="1712"/>
      <c r="EK458" s="1836"/>
      <c r="EL458" s="1836"/>
      <c r="EM458" s="1807"/>
      <c r="EN458" s="1839"/>
      <c r="EO458" s="1839"/>
      <c r="EP458" s="1817"/>
      <c r="EQ458" s="1817"/>
      <c r="ER458" s="1807"/>
      <c r="ES458" s="1807"/>
      <c r="ET458" s="1807"/>
      <c r="EV458" s="1715"/>
      <c r="EX458" s="1805"/>
      <c r="EY458" s="1805"/>
      <c r="EZ458" s="1805"/>
      <c r="FA458" s="1805"/>
      <c r="FB458" s="1805"/>
      <c r="FC458" s="1827"/>
      <c r="FE458" s="1698"/>
      <c r="FG458" s="1816"/>
      <c r="FH458" s="1816"/>
      <c r="FI458" s="133"/>
      <c r="FL458" s="1823"/>
      <c r="FM458" s="1825"/>
      <c r="FN458" s="1698"/>
      <c r="FO458" s="1698"/>
      <c r="FP458" s="1678"/>
      <c r="FQ458" s="1678"/>
      <c r="FS458" s="1687"/>
      <c r="FT458" s="1687"/>
      <c r="FU458" s="1685"/>
      <c r="FV458" s="1687"/>
      <c r="FW458" s="1687"/>
      <c r="FX458" s="1687"/>
      <c r="FY458" s="1697"/>
      <c r="GA458" s="1696"/>
      <c r="GB458" s="1696"/>
      <c r="GC458" s="1696"/>
      <c r="GD458" s="1696"/>
      <c r="GE458" s="1696"/>
      <c r="GF458" s="1696"/>
      <c r="GG458" s="1696"/>
      <c r="GH458" s="1696"/>
      <c r="GI458" s="673"/>
      <c r="GJ458" s="1135"/>
      <c r="GK458" s="1832"/>
      <c r="GM458" s="1693" t="b">
        <f ca="1">IF(AND(GP458=TRUE,GQ458=TRUE),TRUE,FALSE)</f>
        <v>0</v>
      </c>
      <c r="GN458" s="1684" t="b">
        <f>IFERROR(IF(__Retrofit_TI_NC=2,TRUE,IF(AU457="Yes",TRUE,FALSE)),FALSE)</f>
        <v>1</v>
      </c>
      <c r="GP458" s="1684" t="b">
        <f>IFERROR(IF(GP457=1,TRUE,FALSE),FALSE)</f>
        <v>0</v>
      </c>
      <c r="GQ458" s="1684" t="b">
        <f ca="1">IFERROR(IF(GQ457=GQ$14,TRUE,FALSE),FALSE)</f>
        <v>0</v>
      </c>
      <c r="HG458" s="1684" t="b">
        <f>IFERROR(IF(AND(__Retrofit_TI_NC&gt;0,CQ457="Interior"),FALSE,TRUE),FALSE)</f>
        <v>1</v>
      </c>
      <c r="HH458" s="1684" t="b">
        <f>IFERROR(IF(M458=1,TRUE,FALSE),FALSE)</f>
        <v>0</v>
      </c>
      <c r="HI458" s="1684" t="b">
        <f>IFERROR(IF(OR(M459=1,N460="BAM"),TRUE,FALSE),FALSE)</f>
        <v>0</v>
      </c>
      <c r="HJ458" s="1684" t="b">
        <f>IFERROR(IF(__Retrofit_TI_NC&lt;&gt;0,TRUE,IFERROR(IF(VLOOKUP(U458,Fixtures_Existing_List,2,FALSE)&lt;&gt;"",TRUE,FALSE),FALSE)),FALSE)</f>
        <v>0</v>
      </c>
      <c r="HK458" s="1684" t="b">
        <f>IFERROR(IF(VLOOKUP(U459,Fixtures_Proposed_List,2,FALSE)&lt;&gt;"",TRUE,FALSE),FALSE)</f>
        <v>0</v>
      </c>
      <c r="HL458" s="1684" t="b">
        <f>IF(AND(__Retrofit_TI_NC=2,FC457=TRUE),FALSE,TRUE)</f>
        <v>1</v>
      </c>
      <c r="HM458" s="1684" t="b">
        <f>GK457</f>
        <v>1</v>
      </c>
      <c r="HN458" s="1682" t="b">
        <f>IF(ISERROR(MATCH(FE457,_Control_Match[],0))=TRUE,FALSE,TRUE)</f>
        <v>0</v>
      </c>
      <c r="HO458" s="1693" t="b">
        <f>IFERROR(IF(EX457&lt;&gt;EY457,FALSE,TRUE),FALSE)</f>
        <v>1</v>
      </c>
      <c r="HP458" s="1693" t="b">
        <f>IFERROR(IF(EX459&lt;&gt;EY459,FALSE,TRUE),FALSE)</f>
        <v>1</v>
      </c>
      <c r="HQ458" s="1670" t="b">
        <f>IFERROR(IF(CQ457="Exterior",TRUE,IF(AND(OR(FM459=0,FM459=3),JD459&gt;6),FALSE,TRUE)),FALSE)</f>
        <v>0</v>
      </c>
      <c r="HR458" s="1684" t="b">
        <f>IFERROR(IF(AND(FO459=7,FC457=TRUE),FALSE,TRUE),FALSE)</f>
        <v>0</v>
      </c>
      <c r="HS458" s="1684" t="b">
        <f>IFERROR(IF(AND(T459&lt;&gt;AF459,OR(AG459="Interior LLLC", AG459="Interior NLC", AG459="LLLC (outside Daylight)",AG459="LLLC Controls Only"))=TRUE,FALSE,TRUE),FALSE)</f>
        <v>1</v>
      </c>
      <c r="HT458" s="1670" t="b">
        <f>IFERROR(IF(OR(AG459=Lookup!BB$17,AG459=Lookup!BB$18,AG459=Lookup!BB$19)=TRUE,IF(AF459&gt;T459,FALSE,TRUE),TRUE),FALSE)</f>
        <v>1</v>
      </c>
      <c r="HU458" s="1684" t="b">
        <f>IFERROR(IF(__Retrofit_TI_NC=2,IF(EZ459&lt;EZ457,FALSE,TRUE),TRUE),FALSE)</f>
        <v>1</v>
      </c>
      <c r="HV458" s="1684" t="b">
        <f>IF(CQ457="Interior",IL$6,TRUE)</f>
        <v>1</v>
      </c>
      <c r="HW458" s="1684" t="b">
        <f>IF(CQ457="Exterior",IL$8,TRUE)</f>
        <v>1</v>
      </c>
      <c r="HX458" s="1684" t="b">
        <f>IFERROR(IF(__Retrofit_TI_NC&lt;&gt;0,IF(AZ457&lt;AY457,FALSE,TRUE),TRUE),FALSE)</f>
        <v>1</v>
      </c>
      <c r="HY458" s="1684" t="b">
        <f>IFERROR(IF(AND(G458="Exterior",R458&gt;4200),FALSE,TRUE),FALSE)</f>
        <v>1</v>
      </c>
      <c r="HZ458" s="1684" t="b">
        <f>IFERROR(IF(AB460/AB457&lt;HZ$18,FALSE,TRUE),FALSE)</f>
        <v>0</v>
      </c>
      <c r="IB458" s="1691"/>
      <c r="IC458" s="1695"/>
      <c r="ID458" s="1694" t="str">
        <f>VLOOKUP(IB460,_Error_Table,4,FALSE)</f>
        <v>White</v>
      </c>
      <c r="IE458" s="391"/>
      <c r="IF458" s="1688"/>
      <c r="IG458" s="1689"/>
      <c r="IH458" s="1684"/>
      <c r="IK458" s="1689"/>
      <c r="IL458" s="1691"/>
      <c r="IM458" s="1691"/>
      <c r="IN458" s="1691"/>
      <c r="IP458" s="1679"/>
      <c r="IQ458" s="1679"/>
      <c r="IR458" s="1679"/>
      <c r="IS458" s="1679"/>
      <c r="IT458" s="1679"/>
      <c r="IU458" s="1679"/>
      <c r="IV458" s="1679"/>
      <c r="IW458" s="1679"/>
      <c r="IX458" s="1679"/>
      <c r="IY458" s="1679"/>
      <c r="IZ458" s="1679"/>
      <c r="JA458" s="1679"/>
      <c r="JC458" s="1680"/>
      <c r="JD458" s="1670"/>
      <c r="JE458" s="1681"/>
      <c r="JG458" s="1680"/>
      <c r="JH458" s="1670"/>
      <c r="JI458" s="1060"/>
      <c r="JJ458" s="1683"/>
      <c r="JK458" s="1061"/>
      <c r="JL458" s="1683"/>
      <c r="JM458" s="1061"/>
      <c r="JN458" s="1683"/>
      <c r="JO458" s="1061"/>
      <c r="JP458" s="1683"/>
      <c r="JQ458" s="1061"/>
      <c r="JR458" s="1683"/>
      <c r="JS458" s="1061"/>
      <c r="JT458" s="1670"/>
      <c r="JU458" s="1061"/>
      <c r="JV458" s="1670"/>
      <c r="JX458" s="1670"/>
      <c r="JZ458" s="1683"/>
      <c r="KB458" s="1670"/>
    </row>
    <row r="459" spans="1:288" s="78" customFormat="1" ht="14.95" customHeight="1" thickTop="1" thickBot="1">
      <c r="A459" s="78">
        <f>ROW()</f>
        <v>459</v>
      </c>
      <c r="B459" s="1845"/>
      <c r="C459" s="1846"/>
      <c r="D459" s="1847"/>
      <c r="E459" s="1737" t="s">
        <v>298</v>
      </c>
      <c r="F459" s="1738"/>
      <c r="G459" s="1760"/>
      <c r="H459" s="1761"/>
      <c r="I459" s="1761"/>
      <c r="J459" s="1761"/>
      <c r="K459" s="1761"/>
      <c r="L459" s="1762"/>
      <c r="M459" s="461">
        <f>IFERROR(IF(IF(__Retrofit_TI_NC&lt;&gt;0,IF(CQ457="Interior",MATCH(G459,Lookup_Interior_New,0),MATCH(G459,Lookup_Exterior_New,0)),IF(CQ457="Interior",MATCH(G459,Lookup_Interior,0),MATCH(G459,Lookup_Exterior_Areas,0)))&gt;0,1,0),0)</f>
        <v>0</v>
      </c>
      <c r="N459" s="461" t="e">
        <f>IF(__Retrofit_TI_NC=1,
VLOOKUP(G459,'Space Table'!$B$3:$L$163,4,FALSE),
IF(__Retrofit_TI_NC=2,VLOOKUP(G459,'Space Table'!$B$3:$L$163,5,FALSE),VLOOKUP(G459,'Space Table'!$B$3:$L$163,5,FALSE)))</f>
        <v>#N/A</v>
      </c>
      <c r="O459" s="461">
        <f>G459</f>
        <v>0</v>
      </c>
      <c r="P459" s="1738" t="str">
        <f>IFERROR(IF(__Retrofit_TI_NC=1,VLOOKUP(G459,'Space Table'!$B$3:$O$163,13,FALSE),IF(__Retrofit_TI_NC=2,VLOOKUP(G459,'Space Table'!$B$3:$O$163,14,FALSE),"Area (sf):")),"Area (sf):")</f>
        <v>Area (sf):</v>
      </c>
      <c r="Q459" s="1738"/>
      <c r="R459" s="596"/>
      <c r="S459" s="1763" t="s">
        <v>345</v>
      </c>
      <c r="T459" s="594"/>
      <c r="U459" s="1801"/>
      <c r="V459" s="1802"/>
      <c r="W459" s="1802"/>
      <c r="X459" s="1802"/>
      <c r="Y459" s="1802"/>
      <c r="Z459" s="1802"/>
      <c r="AA459" s="1802"/>
      <c r="AB459" s="1802"/>
      <c r="AC459" s="1802"/>
      <c r="AD459" s="1802"/>
      <c r="AE459" s="1803"/>
      <c r="AF459" s="594"/>
      <c r="AG459" s="1787"/>
      <c r="AH459" s="1787"/>
      <c r="AI459" s="1787"/>
      <c r="AJ459" s="1787"/>
      <c r="AK459" s="1787"/>
      <c r="AL459" s="1787"/>
      <c r="AM459" s="1726">
        <f>IFERROR(DI459,"")</f>
        <v>0</v>
      </c>
      <c r="AN459" s="1728" t="str">
        <f>IFERROR(ROUND(AM459*AC460,0),"")</f>
        <v/>
      </c>
      <c r="AO459" s="1730">
        <f>IFERROR(IF(IB457=FALSE,0,AC460-AN459),0)</f>
        <v>0</v>
      </c>
      <c r="AP459" s="1780"/>
      <c r="AQ459" s="1781"/>
      <c r="AR459" s="1795"/>
      <c r="AS459" s="1795"/>
      <c r="AT459" s="1796"/>
      <c r="AU459" s="1735"/>
      <c r="AV459" s="1752"/>
      <c r="AW459" s="1705"/>
      <c r="AX459" s="467"/>
      <c r="AY459" s="1749"/>
      <c r="AZ459" s="1749"/>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696"/>
      <c r="CQ459" s="1696"/>
      <c r="CR459" s="1808" t="str">
        <f>CQ457</f>
        <v/>
      </c>
      <c r="CS459" s="1810" t="str">
        <f>CS457</f>
        <v/>
      </c>
      <c r="CU459" s="1688" t="s">
        <v>345</v>
      </c>
      <c r="CV459" s="1702">
        <f>IF(IB457=TRUE,T459,0)</f>
        <v>0</v>
      </c>
      <c r="CW459" s="1702" t="str">
        <f>IF(IB457=TRUE,U459,"")</f>
        <v/>
      </c>
      <c r="CX459" s="1812">
        <f>IF(IB457=TRUE,U460,0)</f>
        <v>0</v>
      </c>
      <c r="CY459" s="1814">
        <f>IF(IB457=TRUE,AB460,0)</f>
        <v>0</v>
      </c>
      <c r="CZ459" s="1710">
        <f>IF(AND(__Retrofit_TI_NC&gt;0,CR457="interior"),0,IF(IB457=TRUE,AC460,0))</f>
        <v>0</v>
      </c>
      <c r="DA459" s="1818"/>
      <c r="DB459" s="1820"/>
      <c r="DC459" s="1820"/>
      <c r="DD459" s="1820"/>
      <c r="DF459" s="1702">
        <f>IF(IB457=TRUE,AF459,0)</f>
        <v>0</v>
      </c>
      <c r="DG459" s="1830" t="str">
        <f>IF(IB457=TRUE,AG459,"")</f>
        <v/>
      </c>
      <c r="DH459" s="1812">
        <f>AG460</f>
        <v>0</v>
      </c>
      <c r="DI459" s="1837">
        <f>JE459</f>
        <v>0</v>
      </c>
      <c r="DJ459" s="1710">
        <f>IF(AND(__Retrofit_TI_NC&gt;0,CR457="interior"),0,IF(IB457=TRUE,AN459,0))</f>
        <v>0</v>
      </c>
      <c r="DK459" s="1712"/>
      <c r="DN459" s="1717">
        <f>IFERROR(CZ459-DJ459,0)</f>
        <v>0</v>
      </c>
      <c r="DO459" s="1709"/>
      <c r="DQ459" s="1715"/>
      <c r="DR459" s="1719" t="str">
        <f>DQ457</f>
        <v/>
      </c>
      <c r="DS459" s="1816"/>
      <c r="DT459" s="1835" t="str">
        <f>IF(OR(DS457=7,DS457=8,DS457=9),"ALC","")</f>
        <v/>
      </c>
      <c r="DU459" s="1715"/>
      <c r="DV459" s="1716"/>
      <c r="DX459" s="1715"/>
      <c r="DY459" s="1829" t="str">
        <f>DX457</f>
        <v/>
      </c>
      <c r="DZ459" s="1715"/>
      <c r="EA459" s="1715"/>
      <c r="EC459" s="1834"/>
      <c r="ED459" s="1834"/>
      <c r="EF459" s="1707"/>
      <c r="EG459" s="1712"/>
      <c r="EH459" s="1818"/>
      <c r="EI459" s="1712"/>
      <c r="EJ459" s="1712"/>
      <c r="EK459" s="1836"/>
      <c r="EL459" s="1836"/>
      <c r="EM459" s="1807"/>
      <c r="EN459" s="1839"/>
      <c r="EO459" s="1839"/>
      <c r="EP459" s="1817"/>
      <c r="EQ459" s="1817"/>
      <c r="ER459" s="1807"/>
      <c r="ES459" s="1807"/>
      <c r="ET459" s="1807"/>
      <c r="EV459" s="1715"/>
      <c r="EX459" s="1805" t="str">
        <f>IFERROR(VLOOKUP(CS459,'Space Table'!$B$3:$L$163,8,FALSE),"")</f>
        <v/>
      </c>
      <c r="EY459" s="1805" t="str">
        <f>IFERROR(IF(FB459="Yes",VLOOKUP(AG459,Lookup_Control_Type_Table2,4,FALSE),VLOOKUP(AG459,Lookup_Control_Type_Table2,3,FALSE)),"")</f>
        <v/>
      </c>
      <c r="EZ459" s="1805" t="e">
        <f>VLOOKUP(AG459,Lookup!BB$3:BC$20,2,FALSE)</f>
        <v>#N/A</v>
      </c>
      <c r="FA459" s="1805" t="e">
        <f>VLOOKUP(EX457,Lookup_Control_Type_Table,2,FALSE)</f>
        <v>#N/A</v>
      </c>
      <c r="FB459" s="1805" t="e">
        <f>VLOOKUP(CS459,'Space Table'!$B$3:$L$163,7,FALSE)</f>
        <v>#N/A</v>
      </c>
      <c r="FC459" s="1827"/>
      <c r="FE459" s="1698" t="str">
        <f>CONCATENATE(CQ457," - ",AG459)</f>
        <v xml:space="preserve"> - </v>
      </c>
      <c r="FG459" s="1816"/>
      <c r="FH459" s="1816"/>
      <c r="FI459" s="133"/>
      <c r="FL459" s="1822" t="str">
        <f>IF(CQ457="Exterior","Not Daylighted",G460)</f>
        <v>Not Daylighted</v>
      </c>
      <c r="FM459" s="1824">
        <f>VLOOKUP(FL459,_New_Daylight_Table_Codes,2,FALSE)</f>
        <v>0</v>
      </c>
      <c r="FN459" s="1698">
        <f>AG459</f>
        <v>0</v>
      </c>
      <c r="FO459" s="1698" t="e">
        <f>VLOOKUP(FN459,_Control_Table,2,FALSE)</f>
        <v>#N/A</v>
      </c>
      <c r="FP459" s="1678" t="e">
        <f>VLOOKUP(CONCATENATE(FL459," ",FN459),Lookup!AY$102:AZ470,2,FALSE)</f>
        <v>#N/A</v>
      </c>
      <c r="FQ459" s="1698">
        <f>IF(__Retrofit_TI_NC=0,FN459,IF(AND(FT459&gt;0,FN459="Occupancy Sensor"),"Daylight + Occupancy",IF(AND(FT459&gt;0,FO459&lt;4),"Interior Daylight Dimming",FN459)))</f>
        <v>0</v>
      </c>
      <c r="FS459" s="1686">
        <f>IF(CQ457="Interior",VLOOKUP(CS457,Control_Savings_Interior,5,FALSE),0)</f>
        <v>0</v>
      </c>
      <c r="FT459" s="1687">
        <f>IF(CQ459="Exterior",0,IF(FM459=2,0.5,IF(OR(FM459=1,FM459=3),1,0)))</f>
        <v>0</v>
      </c>
      <c r="FU459" s="1685">
        <f>IF(R458&gt;FS$44,(FS459*(FS$44/R458)),FS459)*FT459</f>
        <v>0</v>
      </c>
      <c r="FV459" s="1686">
        <f>DI459</f>
        <v>0</v>
      </c>
      <c r="FW459" s="1686">
        <f>ROUND(FV459+((1-FV459)*FU459),2)</f>
        <v>0</v>
      </c>
      <c r="FX459" s="1686">
        <f>IF(__Retrofit_TI_NC=2,FW459,FV459)</f>
        <v>0</v>
      </c>
      <c r="FY459" s="1697">
        <f>IF(CR459="Interior",VLOOKUP(CS459,Control_Savings_Interior,4,FALSE),0)</f>
        <v>0</v>
      </c>
      <c r="GA459" s="1696"/>
      <c r="GB459" s="1696"/>
      <c r="GC459" s="1696"/>
      <c r="GD459" s="1696"/>
      <c r="GE459" s="1696"/>
      <c r="GF459" s="1696"/>
      <c r="GG459" s="1696"/>
      <c r="GH459" s="1696"/>
      <c r="GI459" s="673" t="b">
        <f>IF(ISNUMBER(SEARCH("TLED",U459)),TRUE,FALSE)</f>
        <v>0</v>
      </c>
      <c r="GJ459" s="1135" t="str">
        <f>IFERROR(VLOOKUP(U459,Fixtures!DM$93:DR$142,6,FALSE),"")</f>
        <v/>
      </c>
      <c r="GK459" s="1832"/>
      <c r="GM459" s="1692"/>
      <c r="GN459" s="1684"/>
      <c r="GP459" s="1684"/>
      <c r="GQ459" s="1684"/>
      <c r="HG459" s="1684"/>
      <c r="HH459" s="1684"/>
      <c r="HI459" s="1684"/>
      <c r="HJ459" s="1684"/>
      <c r="HK459" s="1684"/>
      <c r="HL459" s="1684"/>
      <c r="HM459" s="1684"/>
      <c r="HN459" s="1683"/>
      <c r="HO459" s="1692"/>
      <c r="HP459" s="1692"/>
      <c r="HQ459" s="1670"/>
      <c r="HR459" s="1684"/>
      <c r="HS459" s="1684"/>
      <c r="HT459" s="1670"/>
      <c r="HU459" s="1684"/>
      <c r="HV459" s="1684"/>
      <c r="HW459" s="1684"/>
      <c r="HX459" s="1684"/>
      <c r="HY459" s="1684"/>
      <c r="HZ459" s="1684"/>
      <c r="IB459" s="1692"/>
      <c r="IC459" s="1693" t="b">
        <f>IB457</f>
        <v>0</v>
      </c>
      <c r="ID459" s="1695"/>
      <c r="IE459" s="391"/>
      <c r="IF459" s="1688"/>
      <c r="IG459" s="1689">
        <f ca="1">IF(IF457=TRUE,AC460,0)</f>
        <v>0</v>
      </c>
      <c r="IH459" s="1684"/>
      <c r="IK459" s="1689" t="e">
        <f>ROUND(T459*AB460*N458*R458/1000,0)</f>
        <v>#VALUE!</v>
      </c>
      <c r="IL459" s="1691"/>
      <c r="IM459" s="1693" t="e">
        <f>ROUND(T459*AB460*N458*R458/1000,0)</f>
        <v>#VALUE!</v>
      </c>
      <c r="IN459" s="1691"/>
      <c r="IP459" s="1679"/>
      <c r="IQ459" s="1679" t="e">
        <f t="shared" ref="IQ459:IU459" si="412">IF($CR459="interior",VLOOKUP($CS459,_New_Control_Savings_Interior,IQ$30,FALSE),VLOOKUP($CS459,Control_Savings_Exterior,IQ$30,FALSE))</f>
        <v>#N/A</v>
      </c>
      <c r="IR459" s="1679" t="e">
        <f t="shared" si="412"/>
        <v>#N/A</v>
      </c>
      <c r="IS459" s="1679" t="e">
        <f t="shared" si="412"/>
        <v>#N/A</v>
      </c>
      <c r="IT459" s="1679" t="e">
        <f t="shared" si="412"/>
        <v>#N/A</v>
      </c>
      <c r="IU459" s="1679" t="e">
        <f t="shared" si="412"/>
        <v>#N/A</v>
      </c>
      <c r="IV459" s="1679" t="e">
        <f>IF($CR459="interior",IF(R458&gt;$IP$14,ROUND(($IV$18*($IP$14/R458)),2),$IV$18),VLOOKUP($CS459,Control_Savings_Exterior,IV$30,FALSE))</f>
        <v>#N/A</v>
      </c>
      <c r="IW459" s="1679" t="e">
        <f>IF($CR459="interior",ROUND(((1-IS459)*IV459)+IS459,2),VLOOKUP($CS459,Control_Savings_Exterior,IW$30,FALSE))</f>
        <v>#N/A</v>
      </c>
      <c r="IX459" s="1679" t="e">
        <f>IF($CR459="interior",ROUND(((1-IT459)*IV459)+IT459,2),VLOOKUP($CS459,Control_Savings_Exterior,IX$30,FALSE))</f>
        <v>#N/A</v>
      </c>
      <c r="IY459" s="1679" t="e">
        <f>IF($CR459="interior",IF(R458&gt;$IP$14,ROUND(($IY$18*($IP$14/R458)),2),$IY$18),VLOOKUP($CS459,Control_Savings_Exterior,IY$30,FALSE))</f>
        <v>#N/A</v>
      </c>
      <c r="IZ459" s="1679" t="e">
        <f>IF($CR459="interior",ROUND(((1-IS459)*IY459)+IS459,2),VLOOKUP($CS459,Control_Savings_Exterior,IZ$30,FALSE))</f>
        <v>#N/A</v>
      </c>
      <c r="JA459" s="1679" t="e">
        <f>IF($CR459="interior",ROUND(((1-IT459)*IY459)+IT459,2),VLOOKUP($CS459,Control_Savings_Exterior,JA$30,FALSE))</f>
        <v>#N/A</v>
      </c>
      <c r="JC459" s="1680">
        <f>IFERROR(IF(CR459="Interior",CONCATENATE(G460," ",FQ459),AG459),"")</f>
        <v>0</v>
      </c>
      <c r="JD459" s="1670" t="str">
        <f>IFERROR(VLOOKUP(JC459,_Controls_2023,2,FALSE),"")</f>
        <v/>
      </c>
      <c r="JE459" s="1681">
        <f>IFERROR(CHOOSE(JD459-1,IQ459,IR459,IS459,IT459,IU459,IV459,IW459,IX459,IY459,IZ459,JA459),0)</f>
        <v>0</v>
      </c>
      <c r="JG459" s="1680" t="str">
        <f>FE459</f>
        <v xml:space="preserve"> - </v>
      </c>
      <c r="JH459" s="1670" t="e">
        <f>$FO459</f>
        <v>#N/A</v>
      </c>
      <c r="JI459" s="1060"/>
      <c r="JJ459" s="1670">
        <f>IFERROR(IF($IB457=TRUE,IF(OR(JJ$14="No",JJ457=FALSE,JH459&lt;=JH457,AND(_kWh_Grant=0,GD457=FALSE)),0,IF(JJ$8="Per Line",1,$AF459)),0),0)</f>
        <v>0</v>
      </c>
      <c r="JK459" s="1061"/>
      <c r="JL459" s="1670">
        <f>IFERROR(IF(_kWh_Grant=0,0,IF($IB457=TRUE,IF(OR(JL$14="No",JL457=FALSE,JH459&lt;=JH457),0,IF(JL$8="Per Line",1,$T459)),0)),0)</f>
        <v>0</v>
      </c>
      <c r="JM459" s="1061"/>
      <c r="JN459" s="1670">
        <f>IFERROR(IF(_kWh_Grant=0,0,IF($IB457=TRUE,IF(OR(JN$14="No",JN457=FALSE,JH459&lt;=JH457),0,IF(JN$8="Per Line",1,$AF459)),0)),0)</f>
        <v>0</v>
      </c>
      <c r="JO459" s="1061"/>
      <c r="JP459" s="1670">
        <f>IFERROR(IF(__Retrofit_TI_NC=0,IF(_kWh_Grant=0,0,IF($IB457=TRUE,IF(OR(JP$14="No",JP457=FALSE,$JH459&lt;=$JH457),0,IF(JP$8="Per Line",1,$AF459)),0)),IF($IB457=TRUE,IF(OR(JP$14="No",JP457=FALSE,$JH459&lt;=$JH457),0,IF(JP$8="Per Line",1,$AF459)))),0)</f>
        <v>0</v>
      </c>
      <c r="JQ459" s="1061"/>
      <c r="JR459" s="1670">
        <f>IFERROR(IF(__Retrofit_TI_NC=0,IF(_kWh_Grant=0,0,IF($IB457=TRUE,IF(OR(JR$14="No",JR457=FALSE,$JH459&lt;=$JH457),0,IF(JR$8="Per Line",1,$AF459)),0)),IF($IB457=TRUE,IF(OR(JR$14="No",JR457=FALSE,$JH459&lt;=$JH457),0,IF(JR$8="Per Line",1,$AF459)))),0)</f>
        <v>0</v>
      </c>
      <c r="JS459" s="1061"/>
      <c r="JT459" s="1670">
        <f>IFERROR(IF(__Retrofit_TI_NC=0,IF(_kWh_Grant=0,0,IF($IB457=TRUE,IF(OR(JT$14="No",JT457=FALSE,$JH459&lt;=$JH457),0,IF(JT$8="Per Line",1,$AF459)),0)),IF($IB457=TRUE,IF(OR(JT$14="No",JT457=FALSE,$JH459&lt;=$JH457),0,IF(JT$8="Per Line",1,$AF459)))),0)</f>
        <v>0</v>
      </c>
      <c r="JU459" s="1061"/>
      <c r="JV459" s="1670">
        <f>IFERROR(IF(__Retrofit_TI_NC=0,IF(_kWh_Grant=0,0,IF($IB457=TRUE,IF(OR(JV$14="No",JV457=FALSE,$JH459&lt;=$JH457),0,IF(JV$8="Per Line",1,$AF459)),0)),IF($IB457=TRUE,IF(OR(JV$14="No",JV457=FALSE,$JH459&lt;=$JH457),0,IF(JV$8="Per Line",1,$AF459)))),0)</f>
        <v>0</v>
      </c>
      <c r="JX459" s="1670">
        <f>IFERROR(IF(__Retrofit_TI_NC=0,IF(_kWh_Grant=0,0,IF($IB457=TRUE,IF(OR(JX$14="No",JX457=FALSE,$JH459&lt;=$JH457),0,IF(JX$8="Per Line",1,$AF459)),0)),IF($IB457=TRUE,IF(OR(JX$14="No",JX457=FALSE,$JH459&lt;=$JH457),0,IF(JX$8="Per Line",1,$AF459)))),0)</f>
        <v>0</v>
      </c>
      <c r="JZ459" s="1670">
        <f>IFERROR(IF($IB457=TRUE,IF(OR(JZ$14="No",JZ457=FALSE,$JH459&lt;=$JH457,AND(_kWh_Grant=0,$GD457=FALSE)),0,IF(JZ$8="Per Line",1,$AF459)),0),0)</f>
        <v>0</v>
      </c>
      <c r="KB459" s="1670">
        <f>IFERROR(IF(__Retrofit_TI_NC=0,IF(_kWh_Grant=0,0,IF($IB457=TRUE,IF(OR(KB$14="No",KB457=FALSE,$JH459&lt;=$JH457),0,IF(KB$8="Per Line",1,$AF459)),0)),IF($IB457=TRUE,IF(OR(KB$14="No",KB457=FALSE,$JH459&lt;=$JH457),0,IF(KB$8="Per Line",1,$AF459)))),0)</f>
        <v>0</v>
      </c>
    </row>
    <row r="460" spans="1:288" s="78" customFormat="1" ht="14.95" customHeight="1" thickTop="1" thickBot="1">
      <c r="B460" s="1845"/>
      <c r="C460" s="1846"/>
      <c r="D460" s="1847"/>
      <c r="E460" s="1771" t="s">
        <v>436</v>
      </c>
      <c r="F460" s="1772"/>
      <c r="G460" s="1784" t="s">
        <v>437</v>
      </c>
      <c r="H460" s="1785"/>
      <c r="I460" s="1785"/>
      <c r="J460" s="1785"/>
      <c r="K460" s="1785"/>
      <c r="L460" s="1786"/>
      <c r="M460" s="591">
        <f>IFERROR(VLOOKUP(G460,_Daylight_Table[],2,FALSE),0)</f>
        <v>0</v>
      </c>
      <c r="N460" s="592" t="str">
        <f>IF(AND(__Retrofit_TI_NC&gt;0,CQ457="Interior"),"BAM","")</f>
        <v/>
      </c>
      <c r="O460" s="591" t="e">
        <f>VLOOKUP(G459,'Space Table'!$B$3:$L$163,11,FALSE)</f>
        <v>#N/A</v>
      </c>
      <c r="P460" s="1789"/>
      <c r="Q460" s="1790"/>
      <c r="R460" s="1790"/>
      <c r="S460" s="1788"/>
      <c r="T460" s="593" t="s">
        <v>342</v>
      </c>
      <c r="U460" s="1756" t="str" cm="1">
        <f t="array" aca="1" ref="U460" ca="1">IFERROR(VLOOKUP(INDIRECT("U" &amp; ROW()-1),Fixtures!DM$93:DP$142,4,FALSE),"")</f>
        <v/>
      </c>
      <c r="V460" s="1757"/>
      <c r="W460" s="1757"/>
      <c r="X460" s="1757"/>
      <c r="Y460" s="1757"/>
      <c r="Z460" s="1757"/>
      <c r="AA460" s="1758"/>
      <c r="AB460" s="939" t="str">
        <f>IFERROR(VLOOKUP(U459,Fixtures_Proposed_List,2,FALSE),"")</f>
        <v/>
      </c>
      <c r="AC460" s="933" t="str">
        <f>IFERROR(ROUND(T459*AB460*N458*R458/1000,0),"")</f>
        <v/>
      </c>
      <c r="AD460" s="934" t="str">
        <f>IFERROR(ROUND(T459*AB460/1000,2),"")</f>
        <v/>
      </c>
      <c r="AE460" s="998"/>
      <c r="AF460" s="938" t="s">
        <v>342</v>
      </c>
      <c r="AG460" s="1770"/>
      <c r="AH460" s="1770"/>
      <c r="AI460" s="1770"/>
      <c r="AJ460" s="1770"/>
      <c r="AK460" s="1770"/>
      <c r="AL460" s="1770"/>
      <c r="AM460" s="1727"/>
      <c r="AN460" s="1729"/>
      <c r="AO460" s="1731"/>
      <c r="AP460" s="1782"/>
      <c r="AQ460" s="1783"/>
      <c r="AR460" s="1797"/>
      <c r="AS460" s="1797"/>
      <c r="AT460" s="1798"/>
      <c r="AU460" s="1736"/>
      <c r="AV460" s="1753"/>
      <c r="AW460" s="1706"/>
      <c r="AX460" s="468"/>
      <c r="AY460" s="1750"/>
      <c r="AZ460" s="1750"/>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696"/>
      <c r="CQ460" s="1696"/>
      <c r="CR460" s="1809"/>
      <c r="CS460" s="1811"/>
      <c r="CU460" s="1688"/>
      <c r="CV460" s="1703"/>
      <c r="CW460" s="1703"/>
      <c r="CX460" s="1813"/>
      <c r="CY460" s="1815"/>
      <c r="CZ460" s="1711"/>
      <c r="DA460" s="1815"/>
      <c r="DB460" s="1821"/>
      <c r="DC460" s="1821"/>
      <c r="DD460" s="1821"/>
      <c r="DF460" s="1703"/>
      <c r="DG460" s="1831"/>
      <c r="DH460" s="1813"/>
      <c r="DI460" s="1838"/>
      <c r="DJ460" s="1711"/>
      <c r="DK460" s="1712"/>
      <c r="DN460" s="1718"/>
      <c r="DO460" s="1709"/>
      <c r="DQ460" s="1715"/>
      <c r="DR460" s="1720"/>
      <c r="DS460" s="1703"/>
      <c r="DT460" s="1714"/>
      <c r="DU460" s="1715"/>
      <c r="DV460" s="1716"/>
      <c r="DX460" s="1715"/>
      <c r="DY460" s="1720"/>
      <c r="DZ460" s="1715"/>
      <c r="EA460" s="1715"/>
      <c r="EC460" s="1834"/>
      <c r="ED460" s="1834"/>
      <c r="EF460" s="1707"/>
      <c r="EG460" s="1712"/>
      <c r="EH460" s="1815"/>
      <c r="EI460" s="1712"/>
      <c r="EJ460" s="1712"/>
      <c r="EK460" s="1813"/>
      <c r="EL460" s="1813"/>
      <c r="EM460" s="1807"/>
      <c r="EN460" s="1839"/>
      <c r="EO460" s="1839"/>
      <c r="EP460" s="1817"/>
      <c r="EQ460" s="1817"/>
      <c r="ER460" s="1807"/>
      <c r="ES460" s="1807"/>
      <c r="ET460" s="1807"/>
      <c r="EV460" s="1715"/>
      <c r="EX460" s="1806"/>
      <c r="EY460" s="1806"/>
      <c r="EZ460" s="1806"/>
      <c r="FA460" s="1806"/>
      <c r="FB460" s="1806"/>
      <c r="FC460" s="1828"/>
      <c r="FE460" s="1698"/>
      <c r="FG460" s="1703"/>
      <c r="FH460" s="1703"/>
      <c r="FI460" s="133"/>
      <c r="FL460" s="1823"/>
      <c r="FM460" s="1825"/>
      <c r="FN460" s="1698"/>
      <c r="FO460" s="1698"/>
      <c r="FP460" s="1678"/>
      <c r="FQ460" s="1698"/>
      <c r="FS460" s="1687"/>
      <c r="FT460" s="1687"/>
      <c r="FU460" s="1685"/>
      <c r="FV460" s="1687"/>
      <c r="FW460" s="1687"/>
      <c r="FX460" s="1687"/>
      <c r="FY460" s="1697"/>
      <c r="GA460" s="1696"/>
      <c r="GB460" s="1696"/>
      <c r="GC460" s="1696"/>
      <c r="GD460" s="1696"/>
      <c r="GE460" s="1696"/>
      <c r="GF460" s="1696"/>
      <c r="GG460" s="1696"/>
      <c r="GH460" s="1696"/>
      <c r="GI460" s="673"/>
      <c r="GJ460" s="1135"/>
      <c r="GK460" s="1832"/>
      <c r="GN460" s="674">
        <f>IF(GN458=TRUE,0,GN$16)</f>
        <v>0</v>
      </c>
      <c r="GP460" s="674">
        <f>IF(GP458=TRUE,0,GP$16)</f>
        <v>36</v>
      </c>
      <c r="GQ460" s="674">
        <f ca="1">IF(GQ458=TRUE,0,GQ$16)</f>
        <v>35</v>
      </c>
      <c r="GR460" s="391"/>
      <c r="GS460" s="391"/>
      <c r="GT460" s="391"/>
      <c r="GU460" s="391"/>
      <c r="GV460" s="391"/>
      <c r="HG460" s="674">
        <f>IF(HG458=TRUE,0,HG$16)</f>
        <v>0</v>
      </c>
      <c r="HH460" s="674">
        <f t="shared" ref="HH460:HM460" si="413">IF(HH458=TRUE,0,HH$16)</f>
        <v>19</v>
      </c>
      <c r="HI460" s="674">
        <f t="shared" si="413"/>
        <v>18</v>
      </c>
      <c r="HJ460" s="674">
        <f t="shared" si="413"/>
        <v>17</v>
      </c>
      <c r="HK460" s="674">
        <f t="shared" si="413"/>
        <v>16</v>
      </c>
      <c r="HL460" s="674">
        <f t="shared" si="413"/>
        <v>0</v>
      </c>
      <c r="HM460" s="674">
        <f t="shared" si="413"/>
        <v>0</v>
      </c>
      <c r="HN460" s="674">
        <f>IF(HN458=TRUE,0,HN$16)</f>
        <v>13</v>
      </c>
      <c r="HO460" s="674">
        <f t="shared" ref="HO460:HQ460" si="414">IF(HO458=TRUE,0,HO$16)</f>
        <v>0</v>
      </c>
      <c r="HP460" s="674">
        <f t="shared" si="414"/>
        <v>0</v>
      </c>
      <c r="HQ460" s="674">
        <f t="shared" si="414"/>
        <v>10</v>
      </c>
      <c r="HR460" s="674">
        <f>IF(HR458=TRUE,0,HR$16)</f>
        <v>9</v>
      </c>
      <c r="HS460" s="674">
        <f t="shared" ref="HS460:HW460" si="415">IF(HS458=TRUE,0,HS$16)</f>
        <v>0</v>
      </c>
      <c r="HT460" s="674">
        <f t="shared" si="415"/>
        <v>0</v>
      </c>
      <c r="HU460" s="674">
        <f t="shared" si="415"/>
        <v>0</v>
      </c>
      <c r="HV460" s="674">
        <f t="shared" si="415"/>
        <v>0</v>
      </c>
      <c r="HW460" s="674">
        <f t="shared" si="415"/>
        <v>0</v>
      </c>
      <c r="HX460" s="674">
        <f>IF(HX458=TRUE,0,HX$16)</f>
        <v>0</v>
      </c>
      <c r="HY460" s="674">
        <f>IF(HY458=TRUE,0,HY$16)</f>
        <v>0</v>
      </c>
      <c r="HZ460" s="674">
        <f>IF(HZ458=TRUE,0,HZ$16)</f>
        <v>1</v>
      </c>
      <c r="IB460" s="674">
        <f>IF(GP458=FALSE,GP460,IF(GQ458=FALSE,GQ460,MAX(GN460:HZ460)))</f>
        <v>36</v>
      </c>
      <c r="IC460" s="1692"/>
      <c r="ID460" s="205" t="str">
        <f>VLOOKUP(IB460,_Error_Table,3,FALSE)</f>
        <v xml:space="preserve"> </v>
      </c>
      <c r="IE460" s="205"/>
      <c r="IF460" s="1688"/>
      <c r="IG460" s="1689"/>
      <c r="IH460" s="1684"/>
      <c r="IK460" s="1689"/>
      <c r="IL460" s="1692"/>
      <c r="IM460" s="1692"/>
      <c r="IN460" s="1692"/>
      <c r="IP460" s="1679"/>
      <c r="IQ460" s="1679"/>
      <c r="IR460" s="1679"/>
      <c r="IS460" s="1679"/>
      <c r="IT460" s="1679"/>
      <c r="IU460" s="1679"/>
      <c r="IV460" s="1679"/>
      <c r="IW460" s="1679"/>
      <c r="IX460" s="1679"/>
      <c r="IY460" s="1679"/>
      <c r="IZ460" s="1679"/>
      <c r="JA460" s="1679"/>
      <c r="JC460" s="1680"/>
      <c r="JD460" s="1670"/>
      <c r="JE460" s="1681"/>
      <c r="JG460" s="1680"/>
      <c r="JH460" s="1670"/>
      <c r="JI460" s="1060"/>
      <c r="JJ460" s="1670"/>
      <c r="JK460" s="1061"/>
      <c r="JL460" s="1670"/>
      <c r="JM460" s="1061"/>
      <c r="JN460" s="1670"/>
      <c r="JO460" s="1061"/>
      <c r="JP460" s="1670"/>
      <c r="JQ460" s="1061"/>
      <c r="JR460" s="1670"/>
      <c r="JS460" s="1061"/>
      <c r="JT460" s="1670"/>
      <c r="JU460" s="1061"/>
      <c r="JV460" s="1670"/>
      <c r="JX460" s="1670"/>
      <c r="JZ460" s="1670"/>
      <c r="KB460" s="1670"/>
    </row>
    <row r="461" spans="1:288" s="78" customFormat="1" ht="5.0999999999999996" customHeight="1">
      <c r="B461" s="676"/>
      <c r="C461" s="392"/>
      <c r="D461" s="392"/>
      <c r="E461" s="1733"/>
      <c r="F461" s="1733"/>
      <c r="G461" s="1733"/>
      <c r="H461" s="1733"/>
      <c r="I461" s="1733"/>
      <c r="J461" s="1733"/>
      <c r="K461" s="1733"/>
      <c r="L461" s="1733"/>
      <c r="M461" s="1733"/>
      <c r="N461" s="1733"/>
      <c r="O461" s="1733"/>
      <c r="P461" s="1733"/>
      <c r="Q461" s="1733"/>
      <c r="R461" s="1733"/>
      <c r="S461" s="1733"/>
      <c r="T461" s="1733"/>
      <c r="U461" s="1733"/>
      <c r="V461" s="1733"/>
      <c r="W461" s="1733"/>
      <c r="X461" s="1733"/>
      <c r="Y461" s="1733"/>
      <c r="Z461" s="1733"/>
      <c r="AA461" s="1733"/>
      <c r="AB461" s="1733"/>
      <c r="AC461" s="1733"/>
      <c r="AD461" s="1733"/>
      <c r="AE461" s="1733"/>
      <c r="AF461" s="1733"/>
      <c r="AG461" s="1733"/>
      <c r="AH461" s="1733"/>
      <c r="AI461" s="1733"/>
      <c r="AJ461" s="1733"/>
      <c r="AK461" s="1733"/>
      <c r="AL461" s="1733"/>
      <c r="AM461" s="1733"/>
      <c r="AN461" s="1733"/>
      <c r="AO461" s="1733"/>
      <c r="AP461" s="1733"/>
      <c r="AQ461" s="1733"/>
      <c r="AR461" s="1733"/>
      <c r="AS461" s="1733"/>
      <c r="AT461" s="1733"/>
      <c r="AU461" s="1733"/>
      <c r="AV461" s="1733"/>
      <c r="AW461" s="1733"/>
      <c r="AX461" s="469"/>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663"/>
      <c r="CQ461" s="663"/>
      <c r="CR461" s="438"/>
      <c r="CS461" s="663"/>
      <c r="CV461" s="391"/>
      <c r="CW461" s="391"/>
      <c r="CX461" s="207"/>
      <c r="CY461" s="208"/>
      <c r="CZ461" s="208"/>
      <c r="DA461" s="208"/>
      <c r="DB461" s="209"/>
      <c r="DC461" s="209"/>
      <c r="DD461" s="209"/>
      <c r="DF461" s="664"/>
      <c r="DG461" s="665"/>
      <c r="DH461" s="666"/>
      <c r="DI461" s="667"/>
      <c r="DJ461" s="668"/>
      <c r="DK461" s="668"/>
      <c r="DN461" s="208"/>
      <c r="DO461" s="664"/>
      <c r="DQ461" s="664"/>
      <c r="DR461" s="669"/>
      <c r="DS461" s="391"/>
      <c r="DT461" s="664"/>
      <c r="DU461" s="664"/>
      <c r="DV461" s="664"/>
      <c r="DX461" s="664"/>
      <c r="DY461" s="664"/>
      <c r="DZ461" s="664"/>
      <c r="EA461" s="664"/>
      <c r="EC461" s="670"/>
      <c r="ED461" s="670"/>
      <c r="EF461" s="668"/>
      <c r="EG461" s="668"/>
      <c r="EH461" s="208"/>
      <c r="EI461" s="668"/>
      <c r="EJ461" s="668"/>
      <c r="EK461" s="207"/>
      <c r="EL461" s="207"/>
      <c r="EM461" s="666"/>
      <c r="EN461" s="671"/>
      <c r="EO461" s="671"/>
      <c r="EP461" s="672"/>
      <c r="EQ461" s="672"/>
      <c r="ER461" s="666"/>
      <c r="ES461" s="666"/>
      <c r="ET461" s="666"/>
      <c r="EV461" s="664"/>
      <c r="EX461" s="391"/>
      <c r="EY461" s="391"/>
      <c r="EZ461" s="391"/>
      <c r="FA461" s="391"/>
      <c r="FB461" s="391"/>
      <c r="FC461" s="391"/>
      <c r="FE461" s="569"/>
      <c r="FG461" s="391"/>
      <c r="FH461" s="391"/>
      <c r="FI461" s="391"/>
      <c r="FS461" s="664"/>
      <c r="FT461" s="391"/>
      <c r="FU461" s="391"/>
      <c r="FV461" s="664"/>
      <c r="FW461" s="664"/>
      <c r="GA461" s="663"/>
      <c r="GB461" s="663"/>
      <c r="GC461" s="663"/>
      <c r="GD461" s="663"/>
      <c r="GE461" s="663"/>
      <c r="GF461" s="663"/>
      <c r="GG461" s="663"/>
      <c r="GH461" s="663"/>
      <c r="GI461" s="665"/>
      <c r="GJ461" s="664"/>
      <c r="GK461" s="664"/>
    </row>
    <row r="462" spans="1:288" s="78" customFormat="1" ht="14.95" customHeight="1">
      <c r="B462" s="1845" t="str">
        <f>ID465</f>
        <v xml:space="preserve"> </v>
      </c>
      <c r="C462" s="1846">
        <f>C457+1</f>
        <v>81</v>
      </c>
      <c r="D462" s="1847"/>
      <c r="E462" s="1799" t="s">
        <v>295</v>
      </c>
      <c r="F462" s="1800"/>
      <c r="G462" s="1741"/>
      <c r="H462" s="1742"/>
      <c r="I462" s="1742"/>
      <c r="J462" s="1742"/>
      <c r="K462" s="1742"/>
      <c r="L462" s="1742"/>
      <c r="M462" s="1742"/>
      <c r="N462" s="1742"/>
      <c r="O462" s="1742"/>
      <c r="P462" s="1742"/>
      <c r="Q462" s="1742"/>
      <c r="R462" s="1742"/>
      <c r="S462" s="1791" t="s">
        <v>344</v>
      </c>
      <c r="T462" s="590"/>
      <c r="U462" s="1743"/>
      <c r="V462" s="1744"/>
      <c r="W462" s="1744"/>
      <c r="X462" s="1744"/>
      <c r="Y462" s="1744"/>
      <c r="Z462" s="1744"/>
      <c r="AA462" s="1744"/>
      <c r="AB462" s="961" t="str">
        <f>IFERROR(IF(__Retrofit_TI_NC=0,VLOOKUP(U463,Fixtures_Existing_List,2,FALSE),ROUND(N464*R464/T464,10)),"")</f>
        <v/>
      </c>
      <c r="AC462" s="935" t="str">
        <f>IFERROR(IF(__Retrofit_TI_NC=0,ROUND(T463*AB462*N463*R463/1000,0),IF(CQ462="Interior",N464*R464*R463*N463*_C406_reduction/1000,N464*R464*R463*N463/1000)),"")</f>
        <v/>
      </c>
      <c r="AD462" s="936" t="str">
        <f>IFERROR(IF(C$43=0,ROUND(T463*AB462/1000,2),N464*R464/1000),"")</f>
        <v/>
      </c>
      <c r="AE462" s="997"/>
      <c r="AF462" s="937"/>
      <c r="AG462" s="1745" t="str">
        <f>IF(__Retrofit_TI_NC=0," Control","Select Advanced Control for New System")</f>
        <v xml:space="preserve"> Control</v>
      </c>
      <c r="AH462" s="1745"/>
      <c r="AI462" s="1745"/>
      <c r="AJ462" s="1745"/>
      <c r="AK462" s="1745"/>
      <c r="AL462" s="1745"/>
      <c r="AM462" s="1746">
        <f>IFERROR(DI462,"")</f>
        <v>0</v>
      </c>
      <c r="AN462" s="1774" t="str">
        <f>IFERROR(ROUND(AM462*AC462,0),"")</f>
        <v/>
      </c>
      <c r="AO462" s="1776">
        <f>IFERROR(IF(IB462=FALSE,0,AC462-AN462),0)</f>
        <v>0</v>
      </c>
      <c r="AP462" s="1778">
        <f>AO462-AO464</f>
        <v>0</v>
      </c>
      <c r="AQ462" s="1779"/>
      <c r="AR462" s="1793">
        <f>IFERROR(IF(IB462=FALSE,0,(T464*U465)+(AF464*AG465)),0)</f>
        <v>0</v>
      </c>
      <c r="AS462" s="1793"/>
      <c r="AT462" s="1794"/>
      <c r="AU462" s="1734" t="s">
        <v>237</v>
      </c>
      <c r="AV462" s="1751">
        <f>IF(AU462="Yes",1,0)</f>
        <v>1</v>
      </c>
      <c r="AW462" s="1704" t="str">
        <f>IF(OR(DQ462=4,DQ462=5,DQ462=6,DQ462=12),CONCATENATE("$",IF(GH462=TRUE,Lookup!$K$10,Lookup!$K$2)," /lamp"),CONCATENATE(TEXT(ED462,"$0.00"),"/ kWh"))</f>
        <v>$0.00/ kWh</v>
      </c>
      <c r="AX462" s="467"/>
      <c r="AY462" s="1748">
        <f ca="1">IFERROR(IF(GM463=TRUE,(AB465*T464)/R464,0),"NA")</f>
        <v>0</v>
      </c>
      <c r="AZ462" s="1748"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696" t="str">
        <f>N463</f>
        <v/>
      </c>
      <c r="CQ462" s="1696" t="str">
        <f>IFERROR(VLOOKUP(G463,_Lookup_Heat_Type_Table_New,3,FALSE),"")</f>
        <v/>
      </c>
      <c r="CR462" s="1808" t="str">
        <f>CQ462</f>
        <v/>
      </c>
      <c r="CS462" s="1810" t="str">
        <f>IFERROR(VLOOKUP(G464,'Space Table'!$B$3:$L$163,9,FALSE),"")</f>
        <v/>
      </c>
      <c r="CU462" s="1688" t="s">
        <v>344</v>
      </c>
      <c r="CV462" s="1702">
        <f>IF(IB462=TRUE,T463,0)</f>
        <v>0</v>
      </c>
      <c r="CW462" s="1702" t="str">
        <f>IF(IB462=TRUE,U463,"")</f>
        <v/>
      </c>
      <c r="CX462" s="1702"/>
      <c r="CY462" s="1814">
        <f>IF(IB462=TRUE,AB462,0)</f>
        <v>0</v>
      </c>
      <c r="CZ462" s="1710">
        <f>IF(AND(__Retrofit_TI_NC&gt;0,CR462="interior"),0,IF(IB462=TRUE,AC462,0))</f>
        <v>0</v>
      </c>
      <c r="DA462" s="1814">
        <f>IFERROR(IF(IB462=TRUE,CZ462-CZ464,0),0)</f>
        <v>0</v>
      </c>
      <c r="DB462" s="1819">
        <f>IF(IB462=TRUE,AD462,0)</f>
        <v>0</v>
      </c>
      <c r="DC462" s="1819">
        <f>IF(IB462=TRUE,AD465,0)</f>
        <v>0</v>
      </c>
      <c r="DD462" s="1819">
        <f>IFERROR(DB462-DC462,0)</f>
        <v>0</v>
      </c>
      <c r="DF462" s="1702">
        <f>IF(IB462=TRUE,AF463,0)</f>
        <v>0</v>
      </c>
      <c r="DG462" s="1830">
        <f>IFERROR(IF(__Retrofit_TI_NC=2,IF(CQ462="Exterior",O465,FQ462),FN462),"")</f>
        <v>0</v>
      </c>
      <c r="DH462" s="1702"/>
      <c r="DI462" s="1837">
        <f>JE462</f>
        <v>0</v>
      </c>
      <c r="DJ462" s="1710">
        <f>IF(AND(__Retrofit_TI_NC&gt;0,CR462="interior"),0,IF(IB462=TRUE,AN462,0))</f>
        <v>0</v>
      </c>
      <c r="DK462" s="1712">
        <f>IFERROR(IF(IB462=TRUE,DJ464-DJ462,0),0)</f>
        <v>0</v>
      </c>
      <c r="DM462" s="1717">
        <f>IFERROR(CZ462-DJ462,0)</f>
        <v>0</v>
      </c>
      <c r="DO462" s="1708">
        <f>DM462-DN464</f>
        <v>0</v>
      </c>
      <c r="DQ462" s="1715" t="str">
        <f>IFERROR(IF(AND(OR(GC462=4,GC462=5,GC462=6),OR(GF462=4,GF462=5,GF462=6)),GC462+8,VLOOKUP(CW464,Fixtures!R$31:Y$78,8,FALSE)),"")</f>
        <v/>
      </c>
      <c r="DR462" s="1829" t="str">
        <f>DQ462</f>
        <v/>
      </c>
      <c r="DS462" s="1702" t="str">
        <f>IFERROR(VLOOKUP(DG464,Lookup!BB$3:BC$20,2,FALSE),"")</f>
        <v/>
      </c>
      <c r="DT462" s="1713" t="str">
        <f>IF(OR(DS462=7,DS462=8,DS462=9),"ALC","")</f>
        <v/>
      </c>
      <c r="DU462" s="1715">
        <f>IFERROR(IF(OR(DQ462=4,DQ462=5,DQ462=6,DQ462=12,DQ462=13,DQ462=14),VLOOKUP(CW464,Fixtures!DN$27:EG$77,19,FALSE),1)*CV464,0)</f>
        <v>0</v>
      </c>
      <c r="DV462" s="1716">
        <f>IF(OR(DS462=7,DS462=8,DS462=9),IF(DG462=DG464,0,DF464),0)</f>
        <v>0</v>
      </c>
      <c r="DX462" s="1715" t="str">
        <f>IFERROR(IF(EZ462&lt;EZ464,"Yes","No"),"")</f>
        <v/>
      </c>
      <c r="DY462" s="1829" t="str">
        <f>DX462</f>
        <v/>
      </c>
      <c r="DZ462" s="1715">
        <f>IF(DX462="Yes",DF464,0)</f>
        <v>0</v>
      </c>
      <c r="EA462" s="1715">
        <f>DZ462-DV462</f>
        <v>0</v>
      </c>
      <c r="EC462" s="1834">
        <f>IFERROR(VLOOKUP(DQ462,Lookup!AU$3:AV$16,2,FALSE),0)</f>
        <v>0</v>
      </c>
      <c r="ED462" s="1834">
        <f>IF(IB462=FALSE,0,IF(DX462="Yes",EC462+Lookup!K$6,EC462))</f>
        <v>0</v>
      </c>
      <c r="EF462" s="1707">
        <f>IF(IB462=TRUE,DM462,0)</f>
        <v>0</v>
      </c>
      <c r="EG462" s="1712">
        <f>IF(IB462=TRUE,CZ464,0)</f>
        <v>0</v>
      </c>
      <c r="EH462" s="1814">
        <f>IFERROR(EF462-EG462,0)</f>
        <v>0</v>
      </c>
      <c r="EI462" s="1712">
        <f>IF(IB462=TRUE,DJ464,0)</f>
        <v>0</v>
      </c>
      <c r="EJ462" s="1712">
        <f>IFERROR(EF462-EG462+EI462,0)</f>
        <v>0</v>
      </c>
      <c r="EK462" s="1812">
        <f>IF(IB462=TRUE,CV464*CX464,0)</f>
        <v>0</v>
      </c>
      <c r="EL462" s="1812">
        <f>IF(IB462=TRUE,DF464*DH464,0)</f>
        <v>0</v>
      </c>
      <c r="EM462" s="1807">
        <f>AR462</f>
        <v>0</v>
      </c>
      <c r="EN462" s="1839" t="str">
        <f>IFERROR(IF(IB462=TRUE,VLOOKUP(DQ462,Lookup!AU$3:AW$16,3,FALSE)*DU462,""),0)</f>
        <v/>
      </c>
      <c r="EO462" s="1839">
        <f>IF(IB462=TRUE,DZ462*Lookup!AW$12,0)</f>
        <v>0</v>
      </c>
      <c r="EP462" s="1817">
        <f>IFERROR(IF(IB462=TRUE,EN462/EP$40,0),0)</f>
        <v>0</v>
      </c>
      <c r="EQ462" s="1817">
        <f>IF(IB462=TRUE,EO462/EQ$40,0)</f>
        <v>0</v>
      </c>
      <c r="ER462" s="1807">
        <f>IF(IB462=TRUE,ET$40*EP462,0)</f>
        <v>0</v>
      </c>
      <c r="ES462" s="1807">
        <f>IF(IB462=TRUE,ET$40*EQ462,0)</f>
        <v>0</v>
      </c>
      <c r="ET462" s="1807">
        <f>ER462+ES462</f>
        <v>0</v>
      </c>
      <c r="EV462" s="1715">
        <f>IF(G462="",0,1)</f>
        <v>0</v>
      </c>
      <c r="EX462" s="1804" t="str">
        <f>IFERROR(VLOOKUP(CS464,'Space Table'!$B$3:$L$163,8,FALSE),"")</f>
        <v/>
      </c>
      <c r="EY462" s="1804" t="str">
        <f>IFERROR(IF(FB462="Yes",VLOOKUP(DG462,Lookup_Control_Type_Table2,4,FALSE),VLOOKUP(DG462,Lookup_Control_Type_Table2,3,FALSE)),"")</f>
        <v/>
      </c>
      <c r="EZ462" s="1804" t="e">
        <f>VLOOKUP(DG462,Lookup!BB$3:BC$20,2,FALSE)</f>
        <v>#N/A</v>
      </c>
      <c r="FA462" s="1804" t="e">
        <f>VLOOKUP(EX462,Lookup_Control_Type_Table,2,FALSE)</f>
        <v>#N/A</v>
      </c>
      <c r="FB462" s="1804" t="e">
        <f>VLOOKUP(CS464,'Space Table'!$B$3:$L$163,7,FALSE)</f>
        <v>#N/A</v>
      </c>
      <c r="FC462" s="1826" t="b">
        <f>ISNUMBER(SEARCH("TLED",U464))</f>
        <v>0</v>
      </c>
      <c r="FE462" s="1698" t="str">
        <f>CONCATENATE(CQ462," - ",DG462)</f>
        <v xml:space="preserve"> - 0</v>
      </c>
      <c r="FG462" s="1702" t="str">
        <f>VLOOKUP(CW464,Fixtures!DN$27:EZ$77,38,FALSE)</f>
        <v/>
      </c>
      <c r="FH462" s="1702">
        <f>IFERROR(FG462*EH462,0)</f>
        <v>0</v>
      </c>
      <c r="FI462" s="133"/>
      <c r="FL462" s="1822" t="str">
        <f>IF(CQ462="Exterior","Not Daylighted",G465)</f>
        <v>Not Daylighted</v>
      </c>
      <c r="FM462" s="1824">
        <f>VLOOKUP(FL462,_New_Daylight_Table_Codes,2,FALSE)</f>
        <v>0</v>
      </c>
      <c r="FN462" s="1698">
        <f>IF(__Retrofit_TI_NC&gt;0,VLOOKUP(G464,'Space Table'!$B$3:$L$163,11,FALSE),AG463)</f>
        <v>0</v>
      </c>
      <c r="FO462" s="1698" t="e">
        <f>IF(__Retrofit_TI_NC=2,VLOOKUP(FQ462,_Control_Table,2,FALSE),VLOOKUP(FN462,_Control_Table,2,FALSE))</f>
        <v>#N/A</v>
      </c>
      <c r="FP462" s="1678" t="e">
        <f>VLOOKUP(CONCATENATE(FL462," ",FN462),Lookup!AY$102:AZ472,2,FALSE)</f>
        <v>#N/A</v>
      </c>
      <c r="FQ462" s="1678">
        <f>IF(__Retrofit_TI_NC=0,FN462,IF(AND(FT462&gt;0,FN462="Occupancy Sensor"),"Daylight + Occupancy",IF(AND(FT462&gt;0,VLOOKUP(FN462,_Control_Table,2,FALSE)&lt;4),"Interior Daylight Dimming",FN462)))</f>
        <v>0</v>
      </c>
      <c r="FS462" s="1686">
        <f>IF(CR462="Interior",VLOOKUP(CS462,Control_Savings_Interior,5,FALSE),0)</f>
        <v>0</v>
      </c>
      <c r="FT462" s="1687">
        <f>IF(CQ462="Exterior",0,IF(FM462=2,0.5,IF(OR(FM462=1,FM462=3),1,0)))</f>
        <v>0</v>
      </c>
      <c r="FU462" s="1685">
        <f>IF(R461&gt;FS$44,(FS462*(FS$44/R461)),FS462)*FT462</f>
        <v>0</v>
      </c>
      <c r="FV462" s="1686">
        <f>DI462</f>
        <v>0</v>
      </c>
      <c r="FW462" s="1686">
        <f>ROUND(FV462+((1-FV462)*FU462),2)</f>
        <v>0</v>
      </c>
      <c r="FX462" s="1686">
        <f>IF(__Retrofit_TI_NC=2,FW462,FV462)</f>
        <v>0</v>
      </c>
      <c r="FY462" s="1697"/>
      <c r="GA462" s="1696" t="str">
        <f>IFERROR(VLOOKUP(U463,_Exist_Fixture_Table,3,FALSE),"")</f>
        <v/>
      </c>
      <c r="GB462" s="1696" t="str">
        <f>VLOOKUP(CW462,_Exist_Fixture_Table,4,FALSE)</f>
        <v/>
      </c>
      <c r="GC462" s="1696">
        <f>IFERROR(VLOOKUP(GB462,Lookup!AT$6:AU$8,2,FALSE),0)</f>
        <v>0</v>
      </c>
      <c r="GD462" s="1696" t="b">
        <f>IFERROR(IF(OR(GF462=4,GF462=5,GF462=6),TRUE,FALSE),"")</f>
        <v>0</v>
      </c>
      <c r="GE462" s="1696" t="str">
        <f>IFERROR(VLOOKUP(GF462,GC$6:GD$10,2,FALSE),"")</f>
        <v/>
      </c>
      <c r="GF462" s="1696" t="str">
        <f>VLOOKUP(CW464,Fixtures!R$31:Y$78,8,FALSE)</f>
        <v/>
      </c>
      <c r="GG462" s="1696">
        <f>IF(AND(GA462=TRUE,GD462=TRUE,OR(DQ462=12,DQ462=13,DQ462=14)),GC462+8,0)</f>
        <v>0</v>
      </c>
      <c r="GH462" s="1696" t="b">
        <f>IF(OR(GG462=12,GG462=13,GG462=14),TRUE,FALSE)</f>
        <v>0</v>
      </c>
      <c r="GI462" s="673" t="b">
        <f>IF(ISNUMBER(SEARCH("TLED",U463)),TRUE,FALSE)</f>
        <v>0</v>
      </c>
      <c r="GJ462" s="1135" t="str">
        <f>IFERROR(VLOOKUP(U463,Fixtures!BM$93:BR$142,6,FALSE),"")</f>
        <v/>
      </c>
      <c r="GK462" s="1832" t="b">
        <f>IF(OR(GI462=FALSE,GI464=FALSE),TRUE,IF(GJ462-GJ464&lt;5,FALSE,TRUE))</f>
        <v>1</v>
      </c>
      <c r="GO462" s="674">
        <f>GP462</f>
        <v>0</v>
      </c>
      <c r="GP462" s="674">
        <f>IF(G462="",0,1)</f>
        <v>0</v>
      </c>
      <c r="GQ462" s="674">
        <f ca="1">SUM(GR462:HF462)</f>
        <v>2</v>
      </c>
      <c r="GR462" s="674">
        <f>IF(G463="",0,1)</f>
        <v>0</v>
      </c>
      <c r="GS462" s="674">
        <f>IF(N465="BAM",1,IF(G464="",0,1))</f>
        <v>0</v>
      </c>
      <c r="GT462" s="674">
        <f>IF(N465="BAM",1,IF(R463="",0,1))</f>
        <v>0</v>
      </c>
      <c r="GU462" s="674">
        <f>IF(N465="BAM",1,IF(__Retrofit_TI_NC=0,1,IF(R464="",0,1)))</f>
        <v>1</v>
      </c>
      <c r="GV462" s="674">
        <f>IF(N465="BAM",1,IF(CQ462="Exterior",1,IF(G465="",0,1)))</f>
        <v>1</v>
      </c>
      <c r="GW462" s="674">
        <f>IF(__Retrofit_TI_NC&gt;0,1,IF(T463="",0,1))</f>
        <v>0</v>
      </c>
      <c r="GX462" s="674">
        <f>IF(__Retrofit_TI_NC&gt;0,1,IF(U463="",0,1))</f>
        <v>0</v>
      </c>
      <c r="GY462" s="674">
        <f>IF(N465="BAM",1,IF(T464="",0,1))</f>
        <v>0</v>
      </c>
      <c r="GZ462" s="674">
        <f>IF(N465="BAM",1,IF(U464="",0,1))</f>
        <v>0</v>
      </c>
      <c r="HA462" s="674">
        <f ca="1">IF(N465="BAM",1,IF(__Retrofit_TI_NC&gt;0,1,IF(U465="",0,1)))</f>
        <v>0</v>
      </c>
      <c r="HB462" s="674">
        <f>IF(__Retrofit_TI_NC&lt;&gt;0,1,IF(AF463="",0,1))</f>
        <v>0</v>
      </c>
      <c r="HC462" s="674">
        <f>IF(__Retrofit_TI_NC&lt;&gt;0,1,IF(AG463="",0,1))</f>
        <v>0</v>
      </c>
      <c r="HD462" s="674">
        <f>IF(N465="BAM",1,IF(AF464="",0,1))</f>
        <v>0</v>
      </c>
      <c r="HE462" s="674">
        <f>IF(N465="BAM",1,IF(AG464="",0,1))</f>
        <v>0</v>
      </c>
      <c r="HF462" s="674">
        <f>IF(N465="BAM",1,IF(__Retrofit_TI_NC&gt;0,1,IF(AG465="",0,1)))</f>
        <v>0</v>
      </c>
      <c r="HG462" s="391"/>
      <c r="IA462" s="391"/>
      <c r="IB462" s="1693" t="b">
        <f>IF(OR(IB465=0,IB465=HY$16,IB465=HX$16,IB465=HZ$16),TRUE,FALSE)</f>
        <v>0</v>
      </c>
      <c r="IC462" s="1694" t="b">
        <f>IB462</f>
        <v>0</v>
      </c>
      <c r="ID462" s="391"/>
      <c r="IE462" s="391"/>
      <c r="IF462" s="1688" t="b">
        <f ca="1">IF(MAX(GN465:HU465)&gt;5,FALSE,TRUE)</f>
        <v>0</v>
      </c>
      <c r="IG462" s="1689">
        <f ca="1">IF(IF462=TRUE,AC462,0)</f>
        <v>0</v>
      </c>
      <c r="IH462" s="1689">
        <f ca="1">IG462-IG464</f>
        <v>0</v>
      </c>
      <c r="IK462" s="1689" t="e">
        <f>ROUND(T463*VLOOKUP(U463,Fixtures_Existing_List,2,FALSE)*N463*R463/1000,0)</f>
        <v>#N/A</v>
      </c>
      <c r="IL462" s="1690" t="e">
        <f>IK462-IK464</f>
        <v>#N/A</v>
      </c>
      <c r="IM462" s="1693" t="e">
        <f>ROUND(IF(CQ462="Interior",N464*R464*R463*N463*_C406_reduction/1000,N464*R464*R463*N463/1000),0)</f>
        <v>#N/A</v>
      </c>
      <c r="IN462" s="1693" t="e">
        <f>IM462-IM464</f>
        <v>#N/A</v>
      </c>
      <c r="IP462" s="1679"/>
      <c r="IQ462" s="1679" t="e">
        <f t="shared" ref="IQ462:IU462" si="416">IF($CR462="interior",VLOOKUP($CS462,_New_Control_Savings_Interior,IQ$30,FALSE),VLOOKUP($CS462,Control_Savings_Exterior,IQ$30,FALSE))</f>
        <v>#N/A</v>
      </c>
      <c r="IR462" s="1679" t="e">
        <f t="shared" si="416"/>
        <v>#N/A</v>
      </c>
      <c r="IS462" s="1679" t="e">
        <f t="shared" si="416"/>
        <v>#N/A</v>
      </c>
      <c r="IT462" s="1679" t="e">
        <f t="shared" si="416"/>
        <v>#N/A</v>
      </c>
      <c r="IU462" s="1679" t="e">
        <f t="shared" si="416"/>
        <v>#N/A</v>
      </c>
      <c r="IV462" s="1679" t="e">
        <f>IF($CR462="interior",IF(R463&gt;$IP$14,ROUND(($IV$18*($IP$14/R463)),2),$IV$18),VLOOKUP($CS462,Control_Savings_Exterior,IV$30,FALSE))</f>
        <v>#N/A</v>
      </c>
      <c r="IW462" s="1679" t="e">
        <f>IF($CR462="interior",ROUND(((1-IS462)*IV462)+IS462,2),VLOOKUP($CS462,Control_Savings_Exterior,IW$30,FALSE))</f>
        <v>#N/A</v>
      </c>
      <c r="IX462" s="1679" t="e">
        <f>IF($CR462="interior",ROUND(((1-IT462)*IV462)+IT462,2),VLOOKUP($CS462,Control_Savings_Exterior,IX$30,FALSE))</f>
        <v>#N/A</v>
      </c>
      <c r="IY462" s="1679" t="e">
        <f>IF($CR462="interior",IF(R463&gt;$IP$14,ROUND(($IY$18*($IP$14/R463)),2),$IY$18),VLOOKUP($CS462,Control_Savings_Exterior,IY$30,FALSE))</f>
        <v>#N/A</v>
      </c>
      <c r="IZ462" s="1679" t="e">
        <f>IF($CR462="interior",ROUND(((1-IS462)*IY462)+IS462,2),VLOOKUP($CS462,Control_Savings_Exterior,IZ$30,FALSE))</f>
        <v>#N/A</v>
      </c>
      <c r="JA462" s="1679" t="e">
        <f>IF($CR462="interior",ROUND(((1-IT462)*IY462)+IT462,2),VLOOKUP($CS462,Control_Savings_Exterior,JA$30,FALSE))</f>
        <v>#N/A</v>
      </c>
      <c r="JC462" s="1680">
        <f>IFERROR(IF(CR462="Interior",CONCATENATE(G465," ",FQ462),FQ462),"")</f>
        <v>0</v>
      </c>
      <c r="JD462" s="1670" t="str">
        <f>IFERROR(VLOOKUP(JC462,_Controls_2023,2,FALSE),"")</f>
        <v/>
      </c>
      <c r="JE462" s="1681">
        <f>IFERROR(CHOOSE(JD462-1,IQ462,IR462,IS462,IT462,IU462,IV462,IW462,IX462,IY462,IZ462,JA462),0)</f>
        <v>0</v>
      </c>
      <c r="JG462" s="1680" t="str">
        <f>FE462</f>
        <v xml:space="preserve"> - 0</v>
      </c>
      <c r="JH462" s="1670" t="e">
        <f>$FO462</f>
        <v>#N/A</v>
      </c>
      <c r="JI462" s="1060"/>
      <c r="JJ462" s="1682" t="b">
        <f>IF($JG464=CONCATENATE("Interior - ",JJ$4),TRUE,FALSE)</f>
        <v>0</v>
      </c>
      <c r="JK462" s="1061"/>
      <c r="JL462" s="1682" t="b">
        <f>IF($JG464=CONCATENATE("Interior - ",JL$4),TRUE,FALSE)</f>
        <v>0</v>
      </c>
      <c r="JM462" s="1061"/>
      <c r="JN462" s="1682" t="b">
        <f>IF($JG464=CONCATENATE("Interior - ",JN$4),TRUE,FALSE)</f>
        <v>0</v>
      </c>
      <c r="JO462" s="1061"/>
      <c r="JP462" s="1682" t="b">
        <f>IF(__Retrofit_TI_NC&gt;0,FALSE,IF($JG464=CONCATENATE("Interior - ",JP$4),TRUE,FALSE))</f>
        <v>0</v>
      </c>
      <c r="JQ462" s="1061"/>
      <c r="JR462" s="1682" t="b">
        <f>IF(__Retrofit_TI_NC&gt;0,FALSE,IF($JG464=CONCATENATE("Interior - ",JR$4),TRUE,FALSE))</f>
        <v>0</v>
      </c>
      <c r="JS462" s="1061"/>
      <c r="JT462" s="1670" t="b">
        <f>IF(__Retrofit_TI_NC&gt;0,FALSE,IF($JG464=CONCATENATE("Interior - ",JT$4),TRUE,FALSE))</f>
        <v>0</v>
      </c>
      <c r="JU462" s="1061"/>
      <c r="JV462" s="1670" t="b">
        <f>IF(JC464="AELC on Existing",TRUE,FALSE)</f>
        <v>0</v>
      </c>
      <c r="JX462" s="1670" t="b">
        <f>IF(OR(JG464="Exterior - AELC Occupancy based",JG464="Exterior - AELC Time based"),TRUE,FALSE)</f>
        <v>0</v>
      </c>
      <c r="JZ462" s="1682" t="b">
        <f>IF($JG464=CONCATENATE("Exterior - ",JZ$4),TRUE,FALSE)</f>
        <v>0</v>
      </c>
      <c r="KB462" s="1670" t="b">
        <f>IF(__Retrofit_TI_NC&gt;0,FALSE,IF($JG464=CONCATENATE("Interior - ",KB$4),TRUE,FALSE))</f>
        <v>0</v>
      </c>
    </row>
    <row r="463" spans="1:288" s="78" customFormat="1" ht="14.95" customHeight="1" thickTop="1" thickBot="1">
      <c r="B463" s="1845"/>
      <c r="C463" s="1846"/>
      <c r="D463" s="1847"/>
      <c r="E463" s="1737" t="s">
        <v>297</v>
      </c>
      <c r="F463" s="1738"/>
      <c r="G463" s="1739"/>
      <c r="H463" s="1739"/>
      <c r="I463" s="1739"/>
      <c r="J463" s="1739"/>
      <c r="K463" s="1739"/>
      <c r="L463" s="1739"/>
      <c r="M463" s="461" t="e">
        <f>IF(__Retrofit_TI_NC&lt;&gt;0,IF(VLOOKUP(G464,'Space Table'!$B$3:$L$163,3,FALSE)&gt;0,1,0),IF(__Retrofit_TI_NC=VLOOKUP(G464,'Space Table'!$B$3:$L$163,3,FALSE),1,0))</f>
        <v>#N/A</v>
      </c>
      <c r="N463" s="461" t="str">
        <f>IFERROR(VLOOKUP(G463,_Lookup_Heat_Type_Table_New,2,FALSE),"")</f>
        <v/>
      </c>
      <c r="O463" s="461">
        <f>IF(__Retrofit_TI_NC=1,CONCATENATE("TI ",G463),IF(__Retrofit_TI_NC=2,CONCATENATE("NC ",G463),G463))</f>
        <v>0</v>
      </c>
      <c r="P463" s="1740" t="s">
        <v>435</v>
      </c>
      <c r="Q463" s="1740"/>
      <c r="R463" s="595"/>
      <c r="S463" s="1792"/>
      <c r="T463" s="597"/>
      <c r="U463" s="1765"/>
      <c r="V463" s="1766"/>
      <c r="W463" s="1766"/>
      <c r="X463" s="1766"/>
      <c r="Y463" s="1766"/>
      <c r="Z463" s="1766"/>
      <c r="AA463" s="1766"/>
      <c r="AB463" s="1766"/>
      <c r="AC463" s="1766"/>
      <c r="AD463" s="1767"/>
      <c r="AE463" s="1000"/>
      <c r="AF463" s="597"/>
      <c r="AG463" s="1723"/>
      <c r="AH463" s="1724"/>
      <c r="AI463" s="1724"/>
      <c r="AJ463" s="1724"/>
      <c r="AK463" s="1725"/>
      <c r="AL463" s="996"/>
      <c r="AM463" s="1747"/>
      <c r="AN463" s="1775"/>
      <c r="AO463" s="1777"/>
      <c r="AP463" s="1780"/>
      <c r="AQ463" s="1781"/>
      <c r="AR463" s="1795"/>
      <c r="AS463" s="1795"/>
      <c r="AT463" s="1796"/>
      <c r="AU463" s="1735"/>
      <c r="AV463" s="1752"/>
      <c r="AW463" s="1705"/>
      <c r="AX463" s="467"/>
      <c r="AY463" s="1749"/>
      <c r="AZ463" s="1749"/>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696"/>
      <c r="CQ463" s="1696"/>
      <c r="CR463" s="1809"/>
      <c r="CS463" s="1811"/>
      <c r="CU463" s="1688"/>
      <c r="CV463" s="1703"/>
      <c r="CW463" s="1703"/>
      <c r="CX463" s="1703"/>
      <c r="CY463" s="1815"/>
      <c r="CZ463" s="1711"/>
      <c r="DA463" s="1818"/>
      <c r="DB463" s="1820"/>
      <c r="DC463" s="1820"/>
      <c r="DD463" s="1820"/>
      <c r="DF463" s="1703"/>
      <c r="DG463" s="1831"/>
      <c r="DH463" s="1703"/>
      <c r="DI463" s="1838"/>
      <c r="DJ463" s="1711"/>
      <c r="DK463" s="1712"/>
      <c r="DM463" s="1718"/>
      <c r="DO463" s="1708"/>
      <c r="DQ463" s="1715"/>
      <c r="DR463" s="1720"/>
      <c r="DS463" s="1816"/>
      <c r="DT463" s="1714"/>
      <c r="DU463" s="1715"/>
      <c r="DV463" s="1716"/>
      <c r="DX463" s="1715"/>
      <c r="DY463" s="1720"/>
      <c r="DZ463" s="1715"/>
      <c r="EA463" s="1715"/>
      <c r="EC463" s="1834"/>
      <c r="ED463" s="1834"/>
      <c r="EF463" s="1707"/>
      <c r="EG463" s="1712"/>
      <c r="EH463" s="1818"/>
      <c r="EI463" s="1712"/>
      <c r="EJ463" s="1712"/>
      <c r="EK463" s="1836"/>
      <c r="EL463" s="1836"/>
      <c r="EM463" s="1807"/>
      <c r="EN463" s="1839"/>
      <c r="EO463" s="1839"/>
      <c r="EP463" s="1817"/>
      <c r="EQ463" s="1817"/>
      <c r="ER463" s="1807"/>
      <c r="ES463" s="1807"/>
      <c r="ET463" s="1807"/>
      <c r="EV463" s="1715"/>
      <c r="EX463" s="1805"/>
      <c r="EY463" s="1805"/>
      <c r="EZ463" s="1805"/>
      <c r="FA463" s="1805"/>
      <c r="FB463" s="1805"/>
      <c r="FC463" s="1827"/>
      <c r="FE463" s="1698"/>
      <c r="FG463" s="1816"/>
      <c r="FH463" s="1816"/>
      <c r="FI463" s="133"/>
      <c r="FL463" s="1823"/>
      <c r="FM463" s="1825"/>
      <c r="FN463" s="1698"/>
      <c r="FO463" s="1698"/>
      <c r="FP463" s="1678"/>
      <c r="FQ463" s="1678"/>
      <c r="FS463" s="1687"/>
      <c r="FT463" s="1687"/>
      <c r="FU463" s="1685"/>
      <c r="FV463" s="1687"/>
      <c r="FW463" s="1687"/>
      <c r="FX463" s="1687"/>
      <c r="FY463" s="1697"/>
      <c r="GA463" s="1696"/>
      <c r="GB463" s="1696"/>
      <c r="GC463" s="1696"/>
      <c r="GD463" s="1696"/>
      <c r="GE463" s="1696"/>
      <c r="GF463" s="1696"/>
      <c r="GG463" s="1696"/>
      <c r="GH463" s="1696"/>
      <c r="GI463" s="673"/>
      <c r="GJ463" s="1135"/>
      <c r="GK463" s="1832"/>
      <c r="GM463" s="1693" t="b">
        <f ca="1">IF(AND(GP463=TRUE,GQ463=TRUE),TRUE,FALSE)</f>
        <v>0</v>
      </c>
      <c r="GN463" s="1684" t="b">
        <f>IFERROR(IF(__Retrofit_TI_NC=2,TRUE,IF(AU462="Yes",TRUE,FALSE)),FALSE)</f>
        <v>1</v>
      </c>
      <c r="GP463" s="1684" t="b">
        <f>IFERROR(IF(GP462=1,TRUE,FALSE),FALSE)</f>
        <v>0</v>
      </c>
      <c r="GQ463" s="1684" t="b">
        <f ca="1">IFERROR(IF(GQ462=GQ$14,TRUE,FALSE),FALSE)</f>
        <v>0</v>
      </c>
      <c r="HG463" s="1684" t="b">
        <f>IFERROR(IF(AND(__Retrofit_TI_NC&gt;0,CQ462="Interior"),FALSE,TRUE),FALSE)</f>
        <v>1</v>
      </c>
      <c r="HH463" s="1684" t="b">
        <f>IFERROR(IF(M463=1,TRUE,FALSE),FALSE)</f>
        <v>0</v>
      </c>
      <c r="HI463" s="1684" t="b">
        <f>IFERROR(IF(OR(M464=1,N465="BAM"),TRUE,FALSE),FALSE)</f>
        <v>0</v>
      </c>
      <c r="HJ463" s="1684" t="b">
        <f>IFERROR(IF(__Retrofit_TI_NC&lt;&gt;0,TRUE,IFERROR(IF(VLOOKUP(U463,Fixtures_Existing_List,2,FALSE)&lt;&gt;"",TRUE,FALSE),FALSE)),FALSE)</f>
        <v>0</v>
      </c>
      <c r="HK463" s="1684" t="b">
        <f>IFERROR(IF(VLOOKUP(U464,Fixtures_Proposed_List,2,FALSE)&lt;&gt;"",TRUE,FALSE),FALSE)</f>
        <v>0</v>
      </c>
      <c r="HL463" s="1684" t="b">
        <f>IF(AND(__Retrofit_TI_NC=2,FC462=TRUE),FALSE,TRUE)</f>
        <v>1</v>
      </c>
      <c r="HM463" s="1684" t="b">
        <f>GK462</f>
        <v>1</v>
      </c>
      <c r="HN463" s="1682" t="b">
        <f>IF(ISERROR(MATCH(FE462,_Control_Match[],0))=TRUE,FALSE,TRUE)</f>
        <v>0</v>
      </c>
      <c r="HO463" s="1693" t="b">
        <f>IFERROR(IF(EX462&lt;&gt;EY462,FALSE,TRUE),FALSE)</f>
        <v>1</v>
      </c>
      <c r="HP463" s="1693" t="b">
        <f>IFERROR(IF(EX464&lt;&gt;EY464,FALSE,TRUE),FALSE)</f>
        <v>1</v>
      </c>
      <c r="HQ463" s="1670" t="b">
        <f>IFERROR(IF(CQ462="Exterior",TRUE,IF(AND(OR(FM464=0,FM464=3),JD464&gt;6),FALSE,TRUE)),FALSE)</f>
        <v>0</v>
      </c>
      <c r="HR463" s="1684" t="b">
        <f>IFERROR(IF(AND(FO464=7,FC462=TRUE),FALSE,TRUE),FALSE)</f>
        <v>0</v>
      </c>
      <c r="HS463" s="1684" t="b">
        <f>IFERROR(IF(AND(T464&lt;&gt;AF464,OR(AG464="Interior LLLC", AG464="Interior NLC", AG464="LLLC (outside Daylight)",AG464="LLLC Controls Only"))=TRUE,FALSE,TRUE),FALSE)</f>
        <v>1</v>
      </c>
      <c r="HT463" s="1670" t="b">
        <f>IFERROR(IF(OR(AG464=Lookup!BB$17,AG464=Lookup!BB$18,AG464=Lookup!BB$19)=TRUE,IF(AF464&gt;T464,FALSE,TRUE),TRUE),FALSE)</f>
        <v>1</v>
      </c>
      <c r="HU463" s="1684" t="b">
        <f>IFERROR(IF(__Retrofit_TI_NC=2,IF(EZ464&lt;EZ462,FALSE,TRUE),TRUE),FALSE)</f>
        <v>1</v>
      </c>
      <c r="HV463" s="1684" t="b">
        <f>IF(CQ462="Interior",IL$6,TRUE)</f>
        <v>1</v>
      </c>
      <c r="HW463" s="1684" t="b">
        <f>IF(CQ462="Exterior",IL$8,TRUE)</f>
        <v>1</v>
      </c>
      <c r="HX463" s="1684" t="b">
        <f>IFERROR(IF(__Retrofit_TI_NC&lt;&gt;0,IF(AZ462&lt;AY462,FALSE,TRUE),TRUE),FALSE)</f>
        <v>1</v>
      </c>
      <c r="HY463" s="1684" t="b">
        <f>IFERROR(IF(AND(G463="Exterior",R463&gt;4200),FALSE,TRUE),FALSE)</f>
        <v>1</v>
      </c>
      <c r="HZ463" s="1684" t="b">
        <f>IFERROR(IF(AB465/AB462&lt;HZ$18,FALSE,TRUE),FALSE)</f>
        <v>0</v>
      </c>
      <c r="IB463" s="1691"/>
      <c r="IC463" s="1695"/>
      <c r="ID463" s="1694" t="str">
        <f>VLOOKUP(IB465,_Error_Table,4,FALSE)</f>
        <v>White</v>
      </c>
      <c r="IE463" s="391"/>
      <c r="IF463" s="1688"/>
      <c r="IG463" s="1689"/>
      <c r="IH463" s="1684"/>
      <c r="IK463" s="1689"/>
      <c r="IL463" s="1691"/>
      <c r="IM463" s="1691"/>
      <c r="IN463" s="1691"/>
      <c r="IP463" s="1679"/>
      <c r="IQ463" s="1679"/>
      <c r="IR463" s="1679"/>
      <c r="IS463" s="1679"/>
      <c r="IT463" s="1679"/>
      <c r="IU463" s="1679"/>
      <c r="IV463" s="1679"/>
      <c r="IW463" s="1679"/>
      <c r="IX463" s="1679"/>
      <c r="IY463" s="1679"/>
      <c r="IZ463" s="1679"/>
      <c r="JA463" s="1679"/>
      <c r="JC463" s="1680"/>
      <c r="JD463" s="1670"/>
      <c r="JE463" s="1681"/>
      <c r="JG463" s="1680"/>
      <c r="JH463" s="1670"/>
      <c r="JI463" s="1060"/>
      <c r="JJ463" s="1683"/>
      <c r="JK463" s="1061"/>
      <c r="JL463" s="1683"/>
      <c r="JM463" s="1061"/>
      <c r="JN463" s="1683"/>
      <c r="JO463" s="1061"/>
      <c r="JP463" s="1683"/>
      <c r="JQ463" s="1061"/>
      <c r="JR463" s="1683"/>
      <c r="JS463" s="1061"/>
      <c r="JT463" s="1670"/>
      <c r="JU463" s="1061"/>
      <c r="JV463" s="1670"/>
      <c r="JX463" s="1670"/>
      <c r="JZ463" s="1683"/>
      <c r="KB463" s="1670"/>
    </row>
    <row r="464" spans="1:288" s="78" customFormat="1" ht="14.95" customHeight="1" thickTop="1" thickBot="1">
      <c r="A464" s="78">
        <f>ROW()</f>
        <v>464</v>
      </c>
      <c r="B464" s="1845"/>
      <c r="C464" s="1846"/>
      <c r="D464" s="1847"/>
      <c r="E464" s="1737" t="s">
        <v>298</v>
      </c>
      <c r="F464" s="1738"/>
      <c r="G464" s="1760"/>
      <c r="H464" s="1761"/>
      <c r="I464" s="1761"/>
      <c r="J464" s="1761"/>
      <c r="K464" s="1761"/>
      <c r="L464" s="1762"/>
      <c r="M464" s="461">
        <f>IFERROR(IF(IF(__Retrofit_TI_NC&lt;&gt;0,IF(CQ462="Interior",MATCH(G464,Lookup_Interior_New,0),MATCH(G464,Lookup_Exterior_New,0)),IF(CQ462="Interior",MATCH(G464,Lookup_Interior,0),MATCH(G464,Lookup_Exterior_Areas,0)))&gt;0,1,0),0)</f>
        <v>0</v>
      </c>
      <c r="N464" s="461" t="e">
        <f>IF(__Retrofit_TI_NC=1,
VLOOKUP(G464,'Space Table'!$B$3:$L$163,4,FALSE),
IF(__Retrofit_TI_NC=2,VLOOKUP(G464,'Space Table'!$B$3:$L$163,5,FALSE),VLOOKUP(G464,'Space Table'!$B$3:$L$163,5,FALSE)))</f>
        <v>#N/A</v>
      </c>
      <c r="O464" s="461">
        <f>G464</f>
        <v>0</v>
      </c>
      <c r="P464" s="1738" t="str">
        <f>IFERROR(IF(__Retrofit_TI_NC=1,VLOOKUP(G464,'Space Table'!$B$3:$O$163,13,FALSE),IF(__Retrofit_TI_NC=2,VLOOKUP(G464,'Space Table'!$B$3:$O$163,14,FALSE),"Area (sf):")),"Area (sf):")</f>
        <v>Area (sf):</v>
      </c>
      <c r="Q464" s="1738"/>
      <c r="R464" s="596"/>
      <c r="S464" s="1763" t="s">
        <v>345</v>
      </c>
      <c r="T464" s="594"/>
      <c r="U464" s="1801"/>
      <c r="V464" s="1802"/>
      <c r="W464" s="1802"/>
      <c r="X464" s="1802"/>
      <c r="Y464" s="1802"/>
      <c r="Z464" s="1802"/>
      <c r="AA464" s="1802"/>
      <c r="AB464" s="1802"/>
      <c r="AC464" s="1802"/>
      <c r="AD464" s="1802"/>
      <c r="AE464" s="1803"/>
      <c r="AF464" s="594"/>
      <c r="AG464" s="1787"/>
      <c r="AH464" s="1787"/>
      <c r="AI464" s="1787"/>
      <c r="AJ464" s="1787"/>
      <c r="AK464" s="1787"/>
      <c r="AL464" s="1787"/>
      <c r="AM464" s="1726">
        <f>IFERROR(DI464,"")</f>
        <v>0</v>
      </c>
      <c r="AN464" s="1728" t="str">
        <f>IFERROR(ROUND(AM464*AC465,0),"")</f>
        <v/>
      </c>
      <c r="AO464" s="1730">
        <f>IFERROR(IF(IB462=FALSE,0,AC465-AN464),0)</f>
        <v>0</v>
      </c>
      <c r="AP464" s="1780"/>
      <c r="AQ464" s="1781"/>
      <c r="AR464" s="1795"/>
      <c r="AS464" s="1795"/>
      <c r="AT464" s="1796"/>
      <c r="AU464" s="1735"/>
      <c r="AV464" s="1752"/>
      <c r="AW464" s="1705"/>
      <c r="AX464" s="467"/>
      <c r="AY464" s="1749"/>
      <c r="AZ464" s="1749"/>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696"/>
      <c r="CQ464" s="1696"/>
      <c r="CR464" s="1808" t="str">
        <f>CQ462</f>
        <v/>
      </c>
      <c r="CS464" s="1810" t="str">
        <f>CS462</f>
        <v/>
      </c>
      <c r="CU464" s="1688" t="s">
        <v>345</v>
      </c>
      <c r="CV464" s="1702">
        <f>IF(IB462=TRUE,T464,0)</f>
        <v>0</v>
      </c>
      <c r="CW464" s="1702" t="str">
        <f>IF(IB462=TRUE,U464,"")</f>
        <v/>
      </c>
      <c r="CX464" s="1812">
        <f>IF(IB462=TRUE,U465,0)</f>
        <v>0</v>
      </c>
      <c r="CY464" s="1814">
        <f>IF(IB462=TRUE,AB465,0)</f>
        <v>0</v>
      </c>
      <c r="CZ464" s="1710">
        <f>IF(AND(__Retrofit_TI_NC&gt;0,CR462="interior"),0,IF(IB462=TRUE,AC465,0))</f>
        <v>0</v>
      </c>
      <c r="DA464" s="1818"/>
      <c r="DB464" s="1820"/>
      <c r="DC464" s="1820"/>
      <c r="DD464" s="1820"/>
      <c r="DF464" s="1702">
        <f>IF(IB462=TRUE,AF464,0)</f>
        <v>0</v>
      </c>
      <c r="DG464" s="1830" t="str">
        <f>IF(IB462=TRUE,AG464,"")</f>
        <v/>
      </c>
      <c r="DH464" s="1812">
        <f>AG465</f>
        <v>0</v>
      </c>
      <c r="DI464" s="1837">
        <f>JE464</f>
        <v>0</v>
      </c>
      <c r="DJ464" s="1710">
        <f>IF(AND(__Retrofit_TI_NC&gt;0,CR462="interior"),0,IF(IB462=TRUE,AN464,0))</f>
        <v>0</v>
      </c>
      <c r="DK464" s="1712"/>
      <c r="DN464" s="1717">
        <f>IFERROR(CZ464-DJ464,0)</f>
        <v>0</v>
      </c>
      <c r="DO464" s="1709"/>
      <c r="DQ464" s="1715"/>
      <c r="DR464" s="1719" t="str">
        <f>DQ462</f>
        <v/>
      </c>
      <c r="DS464" s="1816"/>
      <c r="DT464" s="1835" t="str">
        <f>IF(OR(DS462=7,DS462=8,DS462=9),"ALC","")</f>
        <v/>
      </c>
      <c r="DU464" s="1715"/>
      <c r="DV464" s="1716"/>
      <c r="DX464" s="1715"/>
      <c r="DY464" s="1829" t="str">
        <f>DX462</f>
        <v/>
      </c>
      <c r="DZ464" s="1715"/>
      <c r="EA464" s="1715"/>
      <c r="EC464" s="1834"/>
      <c r="ED464" s="1834"/>
      <c r="EF464" s="1707"/>
      <c r="EG464" s="1712"/>
      <c r="EH464" s="1818"/>
      <c r="EI464" s="1712"/>
      <c r="EJ464" s="1712"/>
      <c r="EK464" s="1836"/>
      <c r="EL464" s="1836"/>
      <c r="EM464" s="1807"/>
      <c r="EN464" s="1839"/>
      <c r="EO464" s="1839"/>
      <c r="EP464" s="1817"/>
      <c r="EQ464" s="1817"/>
      <c r="ER464" s="1807"/>
      <c r="ES464" s="1807"/>
      <c r="ET464" s="1807"/>
      <c r="EV464" s="1715"/>
      <c r="EX464" s="1805" t="str">
        <f>IFERROR(VLOOKUP(CS464,'Space Table'!$B$3:$L$163,8,FALSE),"")</f>
        <v/>
      </c>
      <c r="EY464" s="1805" t="str">
        <f>IFERROR(IF(FB464="Yes",VLOOKUP(AG464,Lookup_Control_Type_Table2,4,FALSE),VLOOKUP(AG464,Lookup_Control_Type_Table2,3,FALSE)),"")</f>
        <v/>
      </c>
      <c r="EZ464" s="1805" t="e">
        <f>VLOOKUP(AG464,Lookup!BB$3:BC$20,2,FALSE)</f>
        <v>#N/A</v>
      </c>
      <c r="FA464" s="1805" t="e">
        <f>VLOOKUP(EX462,Lookup_Control_Type_Table,2,FALSE)</f>
        <v>#N/A</v>
      </c>
      <c r="FB464" s="1805" t="e">
        <f>VLOOKUP(CS464,'Space Table'!$B$3:$L$163,7,FALSE)</f>
        <v>#N/A</v>
      </c>
      <c r="FC464" s="1827"/>
      <c r="FE464" s="1698" t="str">
        <f>CONCATENATE(CQ462," - ",AG464)</f>
        <v xml:space="preserve"> - </v>
      </c>
      <c r="FG464" s="1816"/>
      <c r="FH464" s="1816"/>
      <c r="FI464" s="133"/>
      <c r="FL464" s="1822" t="str">
        <f>IF(CQ462="Exterior","Not Daylighted",G465)</f>
        <v>Not Daylighted</v>
      </c>
      <c r="FM464" s="1824">
        <f>VLOOKUP(FL464,_New_Daylight_Table_Codes,2,FALSE)</f>
        <v>0</v>
      </c>
      <c r="FN464" s="1698">
        <f>AG464</f>
        <v>0</v>
      </c>
      <c r="FO464" s="1698" t="e">
        <f>VLOOKUP(FN464,_Control_Table,2,FALSE)</f>
        <v>#N/A</v>
      </c>
      <c r="FP464" s="1678" t="e">
        <f>VLOOKUP(CONCATENATE(FL464," ",FN464),Lookup!AY$102:AZ475,2,FALSE)</f>
        <v>#N/A</v>
      </c>
      <c r="FQ464" s="1698">
        <f>IF(__Retrofit_TI_NC=0,FN464,IF(AND(FT464&gt;0,FN464="Occupancy Sensor"),"Daylight + Occupancy",IF(AND(FT464&gt;0,FO464&lt;4),"Interior Daylight Dimming",FN464)))</f>
        <v>0</v>
      </c>
      <c r="FS464" s="1686">
        <f>IF(CQ462="Interior",VLOOKUP(CS462,Control_Savings_Interior,5,FALSE),0)</f>
        <v>0</v>
      </c>
      <c r="FT464" s="1687">
        <f>IF(CQ464="Exterior",0,IF(FM464=2,0.5,IF(OR(FM464=1,FM464=3),1,0)))</f>
        <v>0</v>
      </c>
      <c r="FU464" s="1685">
        <f>IF(R463&gt;FS$44,(FS464*(FS$44/R463)),FS464)*FT464</f>
        <v>0</v>
      </c>
      <c r="FV464" s="1686">
        <f>DI464</f>
        <v>0</v>
      </c>
      <c r="FW464" s="1686">
        <f>ROUND(FV464+((1-FV464)*FU464),2)</f>
        <v>0</v>
      </c>
      <c r="FX464" s="1686">
        <f>IF(__Retrofit_TI_NC=2,FW464,FV464)</f>
        <v>0</v>
      </c>
      <c r="FY464" s="1697">
        <f>IF(CR464="Interior",VLOOKUP(CS464,Control_Savings_Interior,4,FALSE),0)</f>
        <v>0</v>
      </c>
      <c r="GA464" s="1696"/>
      <c r="GB464" s="1696"/>
      <c r="GC464" s="1696"/>
      <c r="GD464" s="1696"/>
      <c r="GE464" s="1696"/>
      <c r="GF464" s="1696"/>
      <c r="GG464" s="1696"/>
      <c r="GH464" s="1696"/>
      <c r="GI464" s="673" t="b">
        <f>IF(ISNUMBER(SEARCH("TLED",U464)),TRUE,FALSE)</f>
        <v>0</v>
      </c>
      <c r="GJ464" s="1135" t="str">
        <f>IFERROR(VLOOKUP(U464,Fixtures!DM$93:DR$142,6,FALSE),"")</f>
        <v/>
      </c>
      <c r="GK464" s="1832"/>
      <c r="GM464" s="1692"/>
      <c r="GN464" s="1684"/>
      <c r="GP464" s="1684"/>
      <c r="GQ464" s="1684"/>
      <c r="HG464" s="1684"/>
      <c r="HH464" s="1684"/>
      <c r="HI464" s="1684"/>
      <c r="HJ464" s="1684"/>
      <c r="HK464" s="1684"/>
      <c r="HL464" s="1684"/>
      <c r="HM464" s="1684"/>
      <c r="HN464" s="1683"/>
      <c r="HO464" s="1692"/>
      <c r="HP464" s="1692"/>
      <c r="HQ464" s="1670"/>
      <c r="HR464" s="1684"/>
      <c r="HS464" s="1684"/>
      <c r="HT464" s="1670"/>
      <c r="HU464" s="1684"/>
      <c r="HV464" s="1684"/>
      <c r="HW464" s="1684"/>
      <c r="HX464" s="1684"/>
      <c r="HY464" s="1684"/>
      <c r="HZ464" s="1684"/>
      <c r="IB464" s="1692"/>
      <c r="IC464" s="1693" t="b">
        <f>IB462</f>
        <v>0</v>
      </c>
      <c r="ID464" s="1695"/>
      <c r="IE464" s="391"/>
      <c r="IF464" s="1688"/>
      <c r="IG464" s="1689">
        <f ca="1">IF(IF462=TRUE,AC465,0)</f>
        <v>0</v>
      </c>
      <c r="IH464" s="1684"/>
      <c r="IK464" s="1689" t="e">
        <f>ROUND(T464*AB465*N463*R463/1000,0)</f>
        <v>#VALUE!</v>
      </c>
      <c r="IL464" s="1691"/>
      <c r="IM464" s="1693" t="e">
        <f>ROUND(T464*AB465*N463*R463/1000,0)</f>
        <v>#VALUE!</v>
      </c>
      <c r="IN464" s="1691"/>
      <c r="IP464" s="1679"/>
      <c r="IQ464" s="1679" t="e">
        <f t="shared" ref="IQ464:IU464" si="417">IF($CR464="interior",VLOOKUP($CS464,_New_Control_Savings_Interior,IQ$30,FALSE),VLOOKUP($CS464,Control_Savings_Exterior,IQ$30,FALSE))</f>
        <v>#N/A</v>
      </c>
      <c r="IR464" s="1679" t="e">
        <f t="shared" si="417"/>
        <v>#N/A</v>
      </c>
      <c r="IS464" s="1679" t="e">
        <f t="shared" si="417"/>
        <v>#N/A</v>
      </c>
      <c r="IT464" s="1679" t="e">
        <f t="shared" si="417"/>
        <v>#N/A</v>
      </c>
      <c r="IU464" s="1679" t="e">
        <f t="shared" si="417"/>
        <v>#N/A</v>
      </c>
      <c r="IV464" s="1679" t="e">
        <f>IF($CR464="interior",IF(R463&gt;$IP$14,ROUND(($IV$18*($IP$14/R463)),2),$IV$18),VLOOKUP($CS464,Control_Savings_Exterior,IV$30,FALSE))</f>
        <v>#N/A</v>
      </c>
      <c r="IW464" s="1679" t="e">
        <f>IF($CR464="interior",ROUND(((1-IS464)*IV464)+IS464,2),VLOOKUP($CS464,Control_Savings_Exterior,IW$30,FALSE))</f>
        <v>#N/A</v>
      </c>
      <c r="IX464" s="1679" t="e">
        <f>IF($CR464="interior",ROUND(((1-IT464)*IV464)+IT464,2),VLOOKUP($CS464,Control_Savings_Exterior,IX$30,FALSE))</f>
        <v>#N/A</v>
      </c>
      <c r="IY464" s="1679" t="e">
        <f>IF($CR464="interior",IF(R463&gt;$IP$14,ROUND(($IY$18*($IP$14/R463)),2),$IY$18),VLOOKUP($CS464,Control_Savings_Exterior,IY$30,FALSE))</f>
        <v>#N/A</v>
      </c>
      <c r="IZ464" s="1679" t="e">
        <f>IF($CR464="interior",ROUND(((1-IS464)*IY464)+IS464,2),VLOOKUP($CS464,Control_Savings_Exterior,IZ$30,FALSE))</f>
        <v>#N/A</v>
      </c>
      <c r="JA464" s="1679" t="e">
        <f>IF($CR464="interior",ROUND(((1-IT464)*IY464)+IT464,2),VLOOKUP($CS464,Control_Savings_Exterior,JA$30,FALSE))</f>
        <v>#N/A</v>
      </c>
      <c r="JC464" s="1680">
        <f>IFERROR(IF(CR464="Interior",CONCATENATE(G465," ",FQ464),AG464),"")</f>
        <v>0</v>
      </c>
      <c r="JD464" s="1670" t="str">
        <f>IFERROR(VLOOKUP(JC464,_Controls_2023,2,FALSE),"")</f>
        <v/>
      </c>
      <c r="JE464" s="1681">
        <f>IFERROR(CHOOSE(JD464-1,IQ464,IR464,IS464,IT464,IU464,IV464,IW464,IX464,IY464,IZ464,JA464),0)</f>
        <v>0</v>
      </c>
      <c r="JG464" s="1680" t="str">
        <f>FE464</f>
        <v xml:space="preserve"> - </v>
      </c>
      <c r="JH464" s="1670" t="e">
        <f>$FO464</f>
        <v>#N/A</v>
      </c>
      <c r="JI464" s="1060"/>
      <c r="JJ464" s="1670">
        <f>IFERROR(IF($IB462=TRUE,IF(OR(JJ$14="No",JJ462=FALSE,JH464&lt;=JH462,AND(_kWh_Grant=0,GD462=FALSE)),0,IF(JJ$8="Per Line",1,$AF464)),0),0)</f>
        <v>0</v>
      </c>
      <c r="JK464" s="1061"/>
      <c r="JL464" s="1670">
        <f>IFERROR(IF(_kWh_Grant=0,0,IF($IB462=TRUE,IF(OR(JL$14="No",JL462=FALSE,JH464&lt;=JH462),0,IF(JL$8="Per Line",1,$T464)),0)),0)</f>
        <v>0</v>
      </c>
      <c r="JM464" s="1061"/>
      <c r="JN464" s="1670">
        <f>IFERROR(IF(_kWh_Grant=0,0,IF($IB462=TRUE,IF(OR(JN$14="No",JN462=FALSE,JH464&lt;=JH462),0,IF(JN$8="Per Line",1,$AF464)),0)),0)</f>
        <v>0</v>
      </c>
      <c r="JO464" s="1061"/>
      <c r="JP464" s="1670">
        <f>IFERROR(IF(__Retrofit_TI_NC=0,IF(_kWh_Grant=0,0,IF($IB462=TRUE,IF(OR(JP$14="No",JP462=FALSE,$JH464&lt;=$JH462),0,IF(JP$8="Per Line",1,$AF464)),0)),IF($IB462=TRUE,IF(OR(JP$14="No",JP462=FALSE,$JH464&lt;=$JH462),0,IF(JP$8="Per Line",1,$AF464)))),0)</f>
        <v>0</v>
      </c>
      <c r="JQ464" s="1061"/>
      <c r="JR464" s="1670">
        <f>IFERROR(IF(__Retrofit_TI_NC=0,IF(_kWh_Grant=0,0,IF($IB462=TRUE,IF(OR(JR$14="No",JR462=FALSE,$JH464&lt;=$JH462),0,IF(JR$8="Per Line",1,$AF464)),0)),IF($IB462=TRUE,IF(OR(JR$14="No",JR462=FALSE,$JH464&lt;=$JH462),0,IF(JR$8="Per Line",1,$AF464)))),0)</f>
        <v>0</v>
      </c>
      <c r="JS464" s="1061"/>
      <c r="JT464" s="1670">
        <f>IFERROR(IF(__Retrofit_TI_NC=0,IF(_kWh_Grant=0,0,IF($IB462=TRUE,IF(OR(JT$14="No",JT462=FALSE,$JH464&lt;=$JH462),0,IF(JT$8="Per Line",1,$AF464)),0)),IF($IB462=TRUE,IF(OR(JT$14="No",JT462=FALSE,$JH464&lt;=$JH462),0,IF(JT$8="Per Line",1,$AF464)))),0)</f>
        <v>0</v>
      </c>
      <c r="JU464" s="1061"/>
      <c r="JV464" s="1670">
        <f>IFERROR(IF(__Retrofit_TI_NC=0,IF(_kWh_Grant=0,0,IF($IB462=TRUE,IF(OR(JV$14="No",JV462=FALSE,$JH464&lt;=$JH462),0,IF(JV$8="Per Line",1,$AF464)),0)),IF($IB462=TRUE,IF(OR(JV$14="No",JV462=FALSE,$JH464&lt;=$JH462),0,IF(JV$8="Per Line",1,$AF464)))),0)</f>
        <v>0</v>
      </c>
      <c r="JX464" s="1670">
        <f>IFERROR(IF(__Retrofit_TI_NC=0,IF(_kWh_Grant=0,0,IF($IB462=TRUE,IF(OR(JX$14="No",JX462=FALSE,$JH464&lt;=$JH462),0,IF(JX$8="Per Line",1,$AF464)),0)),IF($IB462=TRUE,IF(OR(JX$14="No",JX462=FALSE,$JH464&lt;=$JH462),0,IF(JX$8="Per Line",1,$AF464)))),0)</f>
        <v>0</v>
      </c>
      <c r="JZ464" s="1670">
        <f>IFERROR(IF($IB462=TRUE,IF(OR(JZ$14="No",JZ462=FALSE,$JH464&lt;=$JH462,AND(_kWh_Grant=0,$GD462=FALSE)),0,IF(JZ$8="Per Line",1,$AF464)),0),0)</f>
        <v>0</v>
      </c>
      <c r="KB464" s="1670">
        <f>IFERROR(IF(__Retrofit_TI_NC=0,IF(_kWh_Grant=0,0,IF($IB462=TRUE,IF(OR(KB$14="No",KB462=FALSE,$JH464&lt;=$JH462),0,IF(KB$8="Per Line",1,$AF464)),0)),IF($IB462=TRUE,IF(OR(KB$14="No",KB462=FALSE,$JH464&lt;=$JH462),0,IF(KB$8="Per Line",1,$AF464)))),0)</f>
        <v>0</v>
      </c>
    </row>
    <row r="465" spans="1:288" s="78" customFormat="1" ht="14.95" customHeight="1" thickTop="1" thickBot="1">
      <c r="B465" s="1845"/>
      <c r="C465" s="1846"/>
      <c r="D465" s="1847"/>
      <c r="E465" s="1771" t="s">
        <v>436</v>
      </c>
      <c r="F465" s="1772"/>
      <c r="G465" s="1784" t="s">
        <v>437</v>
      </c>
      <c r="H465" s="1785"/>
      <c r="I465" s="1785"/>
      <c r="J465" s="1785"/>
      <c r="K465" s="1785"/>
      <c r="L465" s="1786"/>
      <c r="M465" s="591">
        <f>IFERROR(VLOOKUP(G465,_Daylight_Table[],2,FALSE),0)</f>
        <v>0</v>
      </c>
      <c r="N465" s="592" t="str">
        <f>IF(AND(__Retrofit_TI_NC&gt;0,CQ462="Interior"),"BAM","")</f>
        <v/>
      </c>
      <c r="O465" s="591" t="e">
        <f>VLOOKUP(G464,'Space Table'!$B$3:$L$163,11,FALSE)</f>
        <v>#N/A</v>
      </c>
      <c r="P465" s="1789"/>
      <c r="Q465" s="1790"/>
      <c r="R465" s="1790"/>
      <c r="S465" s="1788"/>
      <c r="T465" s="593" t="s">
        <v>342</v>
      </c>
      <c r="U465" s="1756" t="str" cm="1">
        <f t="array" aca="1" ref="U465" ca="1">IFERROR(VLOOKUP(INDIRECT("U" &amp; ROW()-1),Fixtures!DM$93:DP$142,4,FALSE),"")</f>
        <v/>
      </c>
      <c r="V465" s="1757"/>
      <c r="W465" s="1757"/>
      <c r="X465" s="1757"/>
      <c r="Y465" s="1757"/>
      <c r="Z465" s="1757"/>
      <c r="AA465" s="1758"/>
      <c r="AB465" s="939" t="str">
        <f>IFERROR(VLOOKUP(U464,Fixtures_Proposed_List,2,FALSE),"")</f>
        <v/>
      </c>
      <c r="AC465" s="933" t="str">
        <f>IFERROR(ROUND(T464*AB465*N463*R463/1000,0),"")</f>
        <v/>
      </c>
      <c r="AD465" s="934" t="str">
        <f>IFERROR(ROUND(T464*AB465/1000,2),"")</f>
        <v/>
      </c>
      <c r="AE465" s="998"/>
      <c r="AF465" s="938" t="s">
        <v>342</v>
      </c>
      <c r="AG465" s="1770"/>
      <c r="AH465" s="1770"/>
      <c r="AI465" s="1770"/>
      <c r="AJ465" s="1770"/>
      <c r="AK465" s="1770"/>
      <c r="AL465" s="1770"/>
      <c r="AM465" s="1727"/>
      <c r="AN465" s="1729"/>
      <c r="AO465" s="1731"/>
      <c r="AP465" s="1782"/>
      <c r="AQ465" s="1783"/>
      <c r="AR465" s="1797"/>
      <c r="AS465" s="1797"/>
      <c r="AT465" s="1798"/>
      <c r="AU465" s="1736"/>
      <c r="AV465" s="1753"/>
      <c r="AW465" s="1706"/>
      <c r="AX465" s="468"/>
      <c r="AY465" s="1750"/>
      <c r="AZ465" s="1750"/>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696"/>
      <c r="CQ465" s="1696"/>
      <c r="CR465" s="1809"/>
      <c r="CS465" s="1811"/>
      <c r="CU465" s="1688"/>
      <c r="CV465" s="1703"/>
      <c r="CW465" s="1703"/>
      <c r="CX465" s="1813"/>
      <c r="CY465" s="1815"/>
      <c r="CZ465" s="1711"/>
      <c r="DA465" s="1815"/>
      <c r="DB465" s="1821"/>
      <c r="DC465" s="1821"/>
      <c r="DD465" s="1821"/>
      <c r="DF465" s="1703"/>
      <c r="DG465" s="1831"/>
      <c r="DH465" s="1813"/>
      <c r="DI465" s="1838"/>
      <c r="DJ465" s="1711"/>
      <c r="DK465" s="1712"/>
      <c r="DN465" s="1718"/>
      <c r="DO465" s="1709"/>
      <c r="DQ465" s="1715"/>
      <c r="DR465" s="1720"/>
      <c r="DS465" s="1703"/>
      <c r="DT465" s="1714"/>
      <c r="DU465" s="1715"/>
      <c r="DV465" s="1716"/>
      <c r="DX465" s="1715"/>
      <c r="DY465" s="1720"/>
      <c r="DZ465" s="1715"/>
      <c r="EA465" s="1715"/>
      <c r="EC465" s="1834"/>
      <c r="ED465" s="1834"/>
      <c r="EF465" s="1707"/>
      <c r="EG465" s="1712"/>
      <c r="EH465" s="1815"/>
      <c r="EI465" s="1712"/>
      <c r="EJ465" s="1712"/>
      <c r="EK465" s="1813"/>
      <c r="EL465" s="1813"/>
      <c r="EM465" s="1807"/>
      <c r="EN465" s="1839"/>
      <c r="EO465" s="1839"/>
      <c r="EP465" s="1817"/>
      <c r="EQ465" s="1817"/>
      <c r="ER465" s="1807"/>
      <c r="ES465" s="1807"/>
      <c r="ET465" s="1807"/>
      <c r="EV465" s="1715"/>
      <c r="EX465" s="1806"/>
      <c r="EY465" s="1806"/>
      <c r="EZ465" s="1806"/>
      <c r="FA465" s="1806"/>
      <c r="FB465" s="1806"/>
      <c r="FC465" s="1828"/>
      <c r="FE465" s="1698"/>
      <c r="FG465" s="1703"/>
      <c r="FH465" s="1703"/>
      <c r="FI465" s="133"/>
      <c r="FL465" s="1823"/>
      <c r="FM465" s="1825"/>
      <c r="FN465" s="1698"/>
      <c r="FO465" s="1698"/>
      <c r="FP465" s="1678"/>
      <c r="FQ465" s="1698"/>
      <c r="FS465" s="1687"/>
      <c r="FT465" s="1687"/>
      <c r="FU465" s="1685"/>
      <c r="FV465" s="1687"/>
      <c r="FW465" s="1687"/>
      <c r="FX465" s="1687"/>
      <c r="FY465" s="1697"/>
      <c r="GA465" s="1696"/>
      <c r="GB465" s="1696"/>
      <c r="GC465" s="1696"/>
      <c r="GD465" s="1696"/>
      <c r="GE465" s="1696"/>
      <c r="GF465" s="1696"/>
      <c r="GG465" s="1696"/>
      <c r="GH465" s="1696"/>
      <c r="GI465" s="673"/>
      <c r="GJ465" s="1135"/>
      <c r="GK465" s="1832"/>
      <c r="GN465" s="674">
        <f>IF(GN463=TRUE,0,GN$16)</f>
        <v>0</v>
      </c>
      <c r="GP465" s="674">
        <f>IF(GP463=TRUE,0,GP$16)</f>
        <v>36</v>
      </c>
      <c r="GQ465" s="674">
        <f ca="1">IF(GQ463=TRUE,0,GQ$16)</f>
        <v>35</v>
      </c>
      <c r="GR465" s="391"/>
      <c r="GS465" s="391"/>
      <c r="GT465" s="391"/>
      <c r="GU465" s="391"/>
      <c r="GV465" s="391"/>
      <c r="HG465" s="674">
        <f>IF(HG463=TRUE,0,HG$16)</f>
        <v>0</v>
      </c>
      <c r="HH465" s="674">
        <f t="shared" ref="HH465:HM465" si="418">IF(HH463=TRUE,0,HH$16)</f>
        <v>19</v>
      </c>
      <c r="HI465" s="674">
        <f t="shared" si="418"/>
        <v>18</v>
      </c>
      <c r="HJ465" s="674">
        <f t="shared" si="418"/>
        <v>17</v>
      </c>
      <c r="HK465" s="674">
        <f t="shared" si="418"/>
        <v>16</v>
      </c>
      <c r="HL465" s="674">
        <f t="shared" si="418"/>
        <v>0</v>
      </c>
      <c r="HM465" s="674">
        <f t="shared" si="418"/>
        <v>0</v>
      </c>
      <c r="HN465" s="674">
        <f>IF(HN463=TRUE,0,HN$16)</f>
        <v>13</v>
      </c>
      <c r="HO465" s="674">
        <f t="shared" ref="HO465:HQ465" si="419">IF(HO463=TRUE,0,HO$16)</f>
        <v>0</v>
      </c>
      <c r="HP465" s="674">
        <f t="shared" si="419"/>
        <v>0</v>
      </c>
      <c r="HQ465" s="674">
        <f t="shared" si="419"/>
        <v>10</v>
      </c>
      <c r="HR465" s="674">
        <f>IF(HR463=TRUE,0,HR$16)</f>
        <v>9</v>
      </c>
      <c r="HS465" s="674">
        <f t="shared" ref="HS465:HW465" si="420">IF(HS463=TRUE,0,HS$16)</f>
        <v>0</v>
      </c>
      <c r="HT465" s="674">
        <f t="shared" si="420"/>
        <v>0</v>
      </c>
      <c r="HU465" s="674">
        <f t="shared" si="420"/>
        <v>0</v>
      </c>
      <c r="HV465" s="674">
        <f t="shared" si="420"/>
        <v>0</v>
      </c>
      <c r="HW465" s="674">
        <f t="shared" si="420"/>
        <v>0</v>
      </c>
      <c r="HX465" s="674">
        <f>IF(HX463=TRUE,0,HX$16)</f>
        <v>0</v>
      </c>
      <c r="HY465" s="674">
        <f>IF(HY463=TRUE,0,HY$16)</f>
        <v>0</v>
      </c>
      <c r="HZ465" s="674">
        <f>IF(HZ463=TRUE,0,HZ$16)</f>
        <v>1</v>
      </c>
      <c r="IB465" s="674">
        <f>IF(GP463=FALSE,GP465,IF(GQ463=FALSE,GQ465,MAX(GN465:HZ465)))</f>
        <v>36</v>
      </c>
      <c r="IC465" s="1692"/>
      <c r="ID465" s="205" t="str">
        <f>VLOOKUP(IB465,_Error_Table,3,FALSE)</f>
        <v xml:space="preserve"> </v>
      </c>
      <c r="IE465" s="205"/>
      <c r="IF465" s="1688"/>
      <c r="IG465" s="1689"/>
      <c r="IH465" s="1684"/>
      <c r="IK465" s="1689"/>
      <c r="IL465" s="1692"/>
      <c r="IM465" s="1692"/>
      <c r="IN465" s="1692"/>
      <c r="IP465" s="1679"/>
      <c r="IQ465" s="1679"/>
      <c r="IR465" s="1679"/>
      <c r="IS465" s="1679"/>
      <c r="IT465" s="1679"/>
      <c r="IU465" s="1679"/>
      <c r="IV465" s="1679"/>
      <c r="IW465" s="1679"/>
      <c r="IX465" s="1679"/>
      <c r="IY465" s="1679"/>
      <c r="IZ465" s="1679"/>
      <c r="JA465" s="1679"/>
      <c r="JC465" s="1680"/>
      <c r="JD465" s="1670"/>
      <c r="JE465" s="1681"/>
      <c r="JG465" s="1680"/>
      <c r="JH465" s="1670"/>
      <c r="JI465" s="1060"/>
      <c r="JJ465" s="1670"/>
      <c r="JK465" s="1061"/>
      <c r="JL465" s="1670"/>
      <c r="JM465" s="1061"/>
      <c r="JN465" s="1670"/>
      <c r="JO465" s="1061"/>
      <c r="JP465" s="1670"/>
      <c r="JQ465" s="1061"/>
      <c r="JR465" s="1670"/>
      <c r="JS465" s="1061"/>
      <c r="JT465" s="1670"/>
      <c r="JU465" s="1061"/>
      <c r="JV465" s="1670"/>
      <c r="JX465" s="1670"/>
      <c r="JZ465" s="1670"/>
      <c r="KB465" s="1670"/>
    </row>
    <row r="466" spans="1:288" s="78" customFormat="1" ht="5.0999999999999996" customHeight="1">
      <c r="B466" s="676"/>
      <c r="C466" s="392"/>
      <c r="D466" s="392"/>
      <c r="E466" s="1733"/>
      <c r="F466" s="1733"/>
      <c r="G466" s="1733"/>
      <c r="H466" s="1733"/>
      <c r="I466" s="1733"/>
      <c r="J466" s="1733"/>
      <c r="K466" s="1733"/>
      <c r="L466" s="1733"/>
      <c r="M466" s="1733"/>
      <c r="N466" s="1733"/>
      <c r="O466" s="1733"/>
      <c r="P466" s="1733"/>
      <c r="Q466" s="1733"/>
      <c r="R466" s="1733"/>
      <c r="S466" s="1733"/>
      <c r="T466" s="1733"/>
      <c r="U466" s="1733"/>
      <c r="V466" s="1733"/>
      <c r="W466" s="1733"/>
      <c r="X466" s="1733"/>
      <c r="Y466" s="1733"/>
      <c r="Z466" s="1733"/>
      <c r="AA466" s="1733"/>
      <c r="AB466" s="1733"/>
      <c r="AC466" s="1733"/>
      <c r="AD466" s="1733"/>
      <c r="AE466" s="1733"/>
      <c r="AF466" s="1733"/>
      <c r="AG466" s="1733"/>
      <c r="AH466" s="1733"/>
      <c r="AI466" s="1733"/>
      <c r="AJ466" s="1733"/>
      <c r="AK466" s="1733"/>
      <c r="AL466" s="1733"/>
      <c r="AM466" s="1733"/>
      <c r="AN466" s="1733"/>
      <c r="AO466" s="1733"/>
      <c r="AP466" s="1733"/>
      <c r="AQ466" s="1733"/>
      <c r="AR466" s="1733"/>
      <c r="AS466" s="1733"/>
      <c r="AT466" s="1733"/>
      <c r="AU466" s="1733"/>
      <c r="AV466" s="1733"/>
      <c r="AW466" s="1733"/>
      <c r="AX466" s="469"/>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663"/>
      <c r="CQ466" s="663"/>
      <c r="CR466" s="438"/>
      <c r="CS466" s="663"/>
      <c r="CV466" s="391"/>
      <c r="CW466" s="391"/>
      <c r="CX466" s="207"/>
      <c r="CY466" s="208"/>
      <c r="CZ466" s="208"/>
      <c r="DA466" s="208"/>
      <c r="DB466" s="209"/>
      <c r="DC466" s="209"/>
      <c r="DD466" s="209"/>
      <c r="DF466" s="664"/>
      <c r="DG466" s="665"/>
      <c r="DH466" s="666"/>
      <c r="DI466" s="667"/>
      <c r="DJ466" s="668"/>
      <c r="DK466" s="668"/>
      <c r="DN466" s="208"/>
      <c r="DO466" s="664"/>
      <c r="DQ466" s="664"/>
      <c r="DR466" s="669"/>
      <c r="DS466" s="391"/>
      <c r="DT466" s="664"/>
      <c r="DU466" s="664"/>
      <c r="DV466" s="664"/>
      <c r="DX466" s="664"/>
      <c r="DY466" s="664"/>
      <c r="DZ466" s="664"/>
      <c r="EA466" s="664"/>
      <c r="EC466" s="670"/>
      <c r="ED466" s="670"/>
      <c r="EF466" s="668"/>
      <c r="EG466" s="668"/>
      <c r="EH466" s="208"/>
      <c r="EI466" s="668"/>
      <c r="EJ466" s="668"/>
      <c r="EK466" s="207"/>
      <c r="EL466" s="207"/>
      <c r="EM466" s="666"/>
      <c r="EN466" s="671"/>
      <c r="EO466" s="671"/>
      <c r="EP466" s="672"/>
      <c r="EQ466" s="672"/>
      <c r="ER466" s="666"/>
      <c r="ES466" s="666"/>
      <c r="ET466" s="666"/>
      <c r="EV466" s="664"/>
      <c r="EX466" s="391"/>
      <c r="EY466" s="391"/>
      <c r="EZ466" s="391"/>
      <c r="FA466" s="391"/>
      <c r="FB466" s="391"/>
      <c r="FC466" s="391"/>
      <c r="FE466" s="569"/>
      <c r="FG466" s="391"/>
      <c r="FH466" s="391"/>
      <c r="FI466" s="391"/>
      <c r="FS466" s="664"/>
      <c r="FT466" s="391"/>
      <c r="FU466" s="391"/>
      <c r="FV466" s="664"/>
      <c r="FW466" s="664"/>
      <c r="GA466" s="663"/>
      <c r="GB466" s="663"/>
      <c r="GC466" s="663"/>
      <c r="GD466" s="663"/>
      <c r="GE466" s="663"/>
      <c r="GF466" s="663"/>
      <c r="GG466" s="663"/>
      <c r="GH466" s="663"/>
      <c r="GI466" s="665"/>
      <c r="GJ466" s="664"/>
      <c r="GK466" s="664"/>
    </row>
    <row r="467" spans="1:288" s="78" customFormat="1" ht="14.95" customHeight="1">
      <c r="B467" s="1845" t="str">
        <f>ID470</f>
        <v xml:space="preserve"> </v>
      </c>
      <c r="C467" s="1846">
        <f>C462+1</f>
        <v>82</v>
      </c>
      <c r="D467" s="1847"/>
      <c r="E467" s="1799" t="s">
        <v>295</v>
      </c>
      <c r="F467" s="1800"/>
      <c r="G467" s="1741"/>
      <c r="H467" s="1742"/>
      <c r="I467" s="1742"/>
      <c r="J467" s="1742"/>
      <c r="K467" s="1742"/>
      <c r="L467" s="1742"/>
      <c r="M467" s="1742"/>
      <c r="N467" s="1742"/>
      <c r="O467" s="1742"/>
      <c r="P467" s="1742"/>
      <c r="Q467" s="1742"/>
      <c r="R467" s="1742"/>
      <c r="S467" s="1791" t="s">
        <v>344</v>
      </c>
      <c r="T467" s="590"/>
      <c r="U467" s="1743"/>
      <c r="V467" s="1744"/>
      <c r="W467" s="1744"/>
      <c r="X467" s="1744"/>
      <c r="Y467" s="1744"/>
      <c r="Z467" s="1744"/>
      <c r="AA467" s="1744"/>
      <c r="AB467" s="961" t="str">
        <f>IFERROR(IF(__Retrofit_TI_NC=0,VLOOKUP(U468,Fixtures_Existing_List,2,FALSE),ROUND(N469*R469/T469,10)),"")</f>
        <v/>
      </c>
      <c r="AC467" s="935" t="str">
        <f>IFERROR(IF(__Retrofit_TI_NC=0,ROUND(T468*AB467*N468*R468/1000,0),IF(CQ467="Interior",N469*R469*R468*N468*_C406_reduction/1000,N469*R469*R468*N468/1000)),"")</f>
        <v/>
      </c>
      <c r="AD467" s="936" t="str">
        <f>IFERROR(IF(C$43=0,ROUND(T468*AB467/1000,2),N469*R469/1000),"")</f>
        <v/>
      </c>
      <c r="AE467" s="997"/>
      <c r="AF467" s="937"/>
      <c r="AG467" s="1745" t="str">
        <f>IF(__Retrofit_TI_NC=0," Control","Select Advanced Control for New System")</f>
        <v xml:space="preserve"> Control</v>
      </c>
      <c r="AH467" s="1745"/>
      <c r="AI467" s="1745"/>
      <c r="AJ467" s="1745"/>
      <c r="AK467" s="1745"/>
      <c r="AL467" s="1745"/>
      <c r="AM467" s="1746">
        <f>IFERROR(DI467,"")</f>
        <v>0</v>
      </c>
      <c r="AN467" s="1774" t="str">
        <f>IFERROR(ROUND(AM467*AC467,0),"")</f>
        <v/>
      </c>
      <c r="AO467" s="1776">
        <f>IFERROR(IF(IB467=FALSE,0,AC467-AN467),0)</f>
        <v>0</v>
      </c>
      <c r="AP467" s="1778">
        <f>AO467-AO469</f>
        <v>0</v>
      </c>
      <c r="AQ467" s="1779"/>
      <c r="AR467" s="1793">
        <f>IFERROR(IF(IB467=FALSE,0,(T469*U470)+(AF469*AG470)),0)</f>
        <v>0</v>
      </c>
      <c r="AS467" s="1793"/>
      <c r="AT467" s="1794"/>
      <c r="AU467" s="1734" t="s">
        <v>237</v>
      </c>
      <c r="AV467" s="1751">
        <f>IF(AU467="Yes",1,0)</f>
        <v>1</v>
      </c>
      <c r="AW467" s="1704" t="str">
        <f>IF(OR(DQ467=4,DQ467=5,DQ467=6,DQ467=12),CONCATENATE("$",IF(GH467=TRUE,Lookup!$K$10,Lookup!$K$2)," /lamp"),CONCATENATE(TEXT(ED467,"$0.00"),"/ kWh"))</f>
        <v>$0.00/ kWh</v>
      </c>
      <c r="AX467" s="467"/>
      <c r="AY467" s="1748">
        <f ca="1">IFERROR(IF(GM468=TRUE,(AB470*T469)/R469,0),"NA")</f>
        <v>0</v>
      </c>
      <c r="AZ467" s="1748"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696" t="str">
        <f>N468</f>
        <v/>
      </c>
      <c r="CQ467" s="1696" t="str">
        <f>IFERROR(VLOOKUP(G468,_Lookup_Heat_Type_Table_New,3,FALSE),"")</f>
        <v/>
      </c>
      <c r="CR467" s="1808" t="str">
        <f>CQ467</f>
        <v/>
      </c>
      <c r="CS467" s="1810" t="str">
        <f>IFERROR(VLOOKUP(G469,'Space Table'!$B$3:$L$163,9,FALSE),"")</f>
        <v/>
      </c>
      <c r="CU467" s="1688" t="s">
        <v>344</v>
      </c>
      <c r="CV467" s="1702">
        <f>IF(IB467=TRUE,T468,0)</f>
        <v>0</v>
      </c>
      <c r="CW467" s="1702" t="str">
        <f>IF(IB467=TRUE,U468,"")</f>
        <v/>
      </c>
      <c r="CX467" s="1702"/>
      <c r="CY467" s="1814">
        <f>IF(IB467=TRUE,AB467,0)</f>
        <v>0</v>
      </c>
      <c r="CZ467" s="1710">
        <f>IF(AND(__Retrofit_TI_NC&gt;0,CR467="interior"),0,IF(IB467=TRUE,AC467,0))</f>
        <v>0</v>
      </c>
      <c r="DA467" s="1814">
        <f>IFERROR(IF(IB467=TRUE,CZ467-CZ469,0),0)</f>
        <v>0</v>
      </c>
      <c r="DB467" s="1819">
        <f>IF(IB467=TRUE,AD467,0)</f>
        <v>0</v>
      </c>
      <c r="DC467" s="1819">
        <f>IF(IB467=TRUE,AD470,0)</f>
        <v>0</v>
      </c>
      <c r="DD467" s="1819">
        <f>IFERROR(DB467-DC467,0)</f>
        <v>0</v>
      </c>
      <c r="DF467" s="1702">
        <f>IF(IB467=TRUE,AF468,0)</f>
        <v>0</v>
      </c>
      <c r="DG467" s="1830">
        <f>IFERROR(IF(__Retrofit_TI_NC=2,IF(CQ467="Exterior",O470,FQ467),FN467),"")</f>
        <v>0</v>
      </c>
      <c r="DH467" s="1702"/>
      <c r="DI467" s="1837">
        <f>JE467</f>
        <v>0</v>
      </c>
      <c r="DJ467" s="1710">
        <f>IF(AND(__Retrofit_TI_NC&gt;0,CR467="interior"),0,IF(IB467=TRUE,AN467,0))</f>
        <v>0</v>
      </c>
      <c r="DK467" s="1712">
        <f>IFERROR(IF(IB467=TRUE,DJ469-DJ467,0),0)</f>
        <v>0</v>
      </c>
      <c r="DM467" s="1717">
        <f>IFERROR(CZ467-DJ467,0)</f>
        <v>0</v>
      </c>
      <c r="DO467" s="1708">
        <f>DM467-DN469</f>
        <v>0</v>
      </c>
      <c r="DQ467" s="1715" t="str">
        <f>IFERROR(IF(AND(OR(GC467=4,GC467=5,GC467=6),OR(GF467=4,GF467=5,GF467=6)),GC467+8,VLOOKUP(CW469,Fixtures!R$31:Y$78,8,FALSE)),"")</f>
        <v/>
      </c>
      <c r="DR467" s="1829" t="str">
        <f>DQ467</f>
        <v/>
      </c>
      <c r="DS467" s="1702" t="str">
        <f>IFERROR(VLOOKUP(DG469,Lookup!BB$3:BC$20,2,FALSE),"")</f>
        <v/>
      </c>
      <c r="DT467" s="1713" t="str">
        <f>IF(OR(DS467=7,DS467=8,DS467=9),"ALC","")</f>
        <v/>
      </c>
      <c r="DU467" s="1715">
        <f>IFERROR(IF(OR(DQ467=4,DQ467=5,DQ467=6,DQ467=12,DQ467=13,DQ467=14),VLOOKUP(CW469,Fixtures!DN$27:EG$77,19,FALSE),1)*CV469,0)</f>
        <v>0</v>
      </c>
      <c r="DV467" s="1716">
        <f>IF(OR(DS467=7,DS467=8,DS467=9),IF(DG467=DG469,0,DF469),0)</f>
        <v>0</v>
      </c>
      <c r="DX467" s="1715" t="str">
        <f>IFERROR(IF(EZ467&lt;EZ469,"Yes","No"),"")</f>
        <v/>
      </c>
      <c r="DY467" s="1829" t="str">
        <f>DX467</f>
        <v/>
      </c>
      <c r="DZ467" s="1715">
        <f>IF(DX467="Yes",DF469,0)</f>
        <v>0</v>
      </c>
      <c r="EA467" s="1715">
        <f>DZ467-DV467</f>
        <v>0</v>
      </c>
      <c r="EC467" s="1834">
        <f>IFERROR(VLOOKUP(DQ467,Lookup!AU$3:AV$16,2,FALSE),0)</f>
        <v>0</v>
      </c>
      <c r="ED467" s="1834">
        <f>IF(IB467=FALSE,0,IF(DX467="Yes",EC467+Lookup!K$6,EC467))</f>
        <v>0</v>
      </c>
      <c r="EF467" s="1707">
        <f>IF(IB467=TRUE,DM467,0)</f>
        <v>0</v>
      </c>
      <c r="EG467" s="1712">
        <f>IF(IB467=TRUE,CZ469,0)</f>
        <v>0</v>
      </c>
      <c r="EH467" s="1814">
        <f>IFERROR(EF467-EG467,0)</f>
        <v>0</v>
      </c>
      <c r="EI467" s="1712">
        <f>IF(IB467=TRUE,DJ469,0)</f>
        <v>0</v>
      </c>
      <c r="EJ467" s="1712">
        <f>IFERROR(EF467-EG467+EI467,0)</f>
        <v>0</v>
      </c>
      <c r="EK467" s="1812">
        <f>IF(IB467=TRUE,CV469*CX469,0)</f>
        <v>0</v>
      </c>
      <c r="EL467" s="1812">
        <f>IF(IB467=TRUE,DF469*DH469,0)</f>
        <v>0</v>
      </c>
      <c r="EM467" s="1807">
        <f>AR467</f>
        <v>0</v>
      </c>
      <c r="EN467" s="1839" t="str">
        <f>IFERROR(IF(IB467=TRUE,VLOOKUP(DQ467,Lookup!AU$3:AW$16,3,FALSE)*DU467,""),0)</f>
        <v/>
      </c>
      <c r="EO467" s="1839">
        <f>IF(IB467=TRUE,DZ467*Lookup!AW$12,0)</f>
        <v>0</v>
      </c>
      <c r="EP467" s="1817">
        <f>IFERROR(IF(IB467=TRUE,EN467/EP$40,0),0)</f>
        <v>0</v>
      </c>
      <c r="EQ467" s="1817">
        <f>IF(IB467=TRUE,EO467/EQ$40,0)</f>
        <v>0</v>
      </c>
      <c r="ER467" s="1807">
        <f>IF(IB467=TRUE,ET$40*EP467,0)</f>
        <v>0</v>
      </c>
      <c r="ES467" s="1807">
        <f>IF(IB467=TRUE,ET$40*EQ467,0)</f>
        <v>0</v>
      </c>
      <c r="ET467" s="1807">
        <f>ER467+ES467</f>
        <v>0</v>
      </c>
      <c r="EV467" s="1715">
        <f>IF(G467="",0,1)</f>
        <v>0</v>
      </c>
      <c r="EX467" s="1804" t="str">
        <f>IFERROR(VLOOKUP(CS469,'Space Table'!$B$3:$L$163,8,FALSE),"")</f>
        <v/>
      </c>
      <c r="EY467" s="1804" t="str">
        <f>IFERROR(IF(FB467="Yes",VLOOKUP(DG467,Lookup_Control_Type_Table2,4,FALSE),VLOOKUP(DG467,Lookup_Control_Type_Table2,3,FALSE)),"")</f>
        <v/>
      </c>
      <c r="EZ467" s="1804" t="e">
        <f>VLOOKUP(DG467,Lookup!BB$3:BC$20,2,FALSE)</f>
        <v>#N/A</v>
      </c>
      <c r="FA467" s="1804" t="e">
        <f>VLOOKUP(EX467,Lookup_Control_Type_Table,2,FALSE)</f>
        <v>#N/A</v>
      </c>
      <c r="FB467" s="1804" t="e">
        <f>VLOOKUP(CS469,'Space Table'!$B$3:$L$163,7,FALSE)</f>
        <v>#N/A</v>
      </c>
      <c r="FC467" s="1826" t="b">
        <f>ISNUMBER(SEARCH("TLED",U469))</f>
        <v>0</v>
      </c>
      <c r="FE467" s="1698" t="str">
        <f>CONCATENATE(CQ467," - ",DG467)</f>
        <v xml:space="preserve"> - 0</v>
      </c>
      <c r="FG467" s="1702" t="str">
        <f>VLOOKUP(CW469,Fixtures!DN$27:EZ$77,38,FALSE)</f>
        <v/>
      </c>
      <c r="FH467" s="1702">
        <f>IFERROR(FG467*EH467,0)</f>
        <v>0</v>
      </c>
      <c r="FI467" s="133"/>
      <c r="FL467" s="1822" t="str">
        <f>IF(CQ467="Exterior","Not Daylighted",G470)</f>
        <v>Not Daylighted</v>
      </c>
      <c r="FM467" s="1824">
        <f>VLOOKUP(FL467,_New_Daylight_Table_Codes,2,FALSE)</f>
        <v>0</v>
      </c>
      <c r="FN467" s="1698">
        <f>IF(__Retrofit_TI_NC&gt;0,VLOOKUP(G469,'Space Table'!$B$3:$L$163,11,FALSE),AG468)</f>
        <v>0</v>
      </c>
      <c r="FO467" s="1698" t="e">
        <f>IF(__Retrofit_TI_NC=2,VLOOKUP(FQ467,_Control_Table,2,FALSE),VLOOKUP(FN467,_Control_Table,2,FALSE))</f>
        <v>#N/A</v>
      </c>
      <c r="FP467" s="1678" t="e">
        <f>VLOOKUP(CONCATENATE(FL467," ",FN467),Lookup!AY$102:AZ477,2,FALSE)</f>
        <v>#N/A</v>
      </c>
      <c r="FQ467" s="1678">
        <f>IF(__Retrofit_TI_NC=0,FN467,IF(AND(FT467&gt;0,FN467="Occupancy Sensor"),"Daylight + Occupancy",IF(AND(FT467&gt;0,VLOOKUP(FN467,_Control_Table,2,FALSE)&lt;4),"Interior Daylight Dimming",FN467)))</f>
        <v>0</v>
      </c>
      <c r="FS467" s="1686">
        <f>IF(CR467="Interior",VLOOKUP(CS467,Control_Savings_Interior,5,FALSE),0)</f>
        <v>0</v>
      </c>
      <c r="FT467" s="1687">
        <f>IF(CQ467="Exterior",0,IF(FM467=2,0.5,IF(OR(FM467=1,FM467=3),1,0)))</f>
        <v>0</v>
      </c>
      <c r="FU467" s="1685">
        <f>IF(R466&gt;FS$44,(FS467*(FS$44/R466)),FS467)*FT467</f>
        <v>0</v>
      </c>
      <c r="FV467" s="1686">
        <f>DI467</f>
        <v>0</v>
      </c>
      <c r="FW467" s="1686">
        <f>ROUND(FV467+((1-FV467)*FU467),2)</f>
        <v>0</v>
      </c>
      <c r="FX467" s="1686">
        <f>IF(__Retrofit_TI_NC=2,FW467,FV467)</f>
        <v>0</v>
      </c>
      <c r="FY467" s="1697"/>
      <c r="GA467" s="1696" t="str">
        <f>IFERROR(VLOOKUP(U468,_Exist_Fixture_Table,3,FALSE),"")</f>
        <v/>
      </c>
      <c r="GB467" s="1696" t="str">
        <f>VLOOKUP(CW467,_Exist_Fixture_Table,4,FALSE)</f>
        <v/>
      </c>
      <c r="GC467" s="1696">
        <f>IFERROR(VLOOKUP(GB467,Lookup!AT$6:AU$8,2,FALSE),0)</f>
        <v>0</v>
      </c>
      <c r="GD467" s="1696" t="b">
        <f>IFERROR(IF(OR(GF467=4,GF467=5,GF467=6),TRUE,FALSE),"")</f>
        <v>0</v>
      </c>
      <c r="GE467" s="1696" t="str">
        <f>IFERROR(VLOOKUP(GF467,GC$6:GD$10,2,FALSE),"")</f>
        <v/>
      </c>
      <c r="GF467" s="1696" t="str">
        <f>VLOOKUP(CW469,Fixtures!R$31:Y$78,8,FALSE)</f>
        <v/>
      </c>
      <c r="GG467" s="1696">
        <f>IF(AND(GA467=TRUE,GD467=TRUE,OR(DQ467=12,DQ467=13,DQ467=14)),GC467+8,0)</f>
        <v>0</v>
      </c>
      <c r="GH467" s="1696" t="b">
        <f>IF(OR(GG467=12,GG467=13,GG467=14),TRUE,FALSE)</f>
        <v>0</v>
      </c>
      <c r="GI467" s="673" t="b">
        <f>IF(ISNUMBER(SEARCH("TLED",U468)),TRUE,FALSE)</f>
        <v>0</v>
      </c>
      <c r="GJ467" s="1135" t="str">
        <f>IFERROR(VLOOKUP(U468,Fixtures!BM$93:BR$142,6,FALSE),"")</f>
        <v/>
      </c>
      <c r="GK467" s="1832" t="b">
        <f>IF(OR(GI467=FALSE,GI469=FALSE),TRUE,IF(GJ467-GJ469&lt;5,FALSE,TRUE))</f>
        <v>1</v>
      </c>
      <c r="GO467" s="674">
        <f>GP467</f>
        <v>0</v>
      </c>
      <c r="GP467" s="674">
        <f>IF(G467="",0,1)</f>
        <v>0</v>
      </c>
      <c r="GQ467" s="674">
        <f ca="1">SUM(GR467:HF467)</f>
        <v>2</v>
      </c>
      <c r="GR467" s="674">
        <f>IF(G468="",0,1)</f>
        <v>0</v>
      </c>
      <c r="GS467" s="674">
        <f>IF(N470="BAM",1,IF(G469="",0,1))</f>
        <v>0</v>
      </c>
      <c r="GT467" s="674">
        <f>IF(N470="BAM",1,IF(R468="",0,1))</f>
        <v>0</v>
      </c>
      <c r="GU467" s="674">
        <f>IF(N470="BAM",1,IF(__Retrofit_TI_NC=0,1,IF(R469="",0,1)))</f>
        <v>1</v>
      </c>
      <c r="GV467" s="674">
        <f>IF(N470="BAM",1,IF(CQ467="Exterior",1,IF(G470="",0,1)))</f>
        <v>1</v>
      </c>
      <c r="GW467" s="674">
        <f>IF(__Retrofit_TI_NC&gt;0,1,IF(T468="",0,1))</f>
        <v>0</v>
      </c>
      <c r="GX467" s="674">
        <f>IF(__Retrofit_TI_NC&gt;0,1,IF(U468="",0,1))</f>
        <v>0</v>
      </c>
      <c r="GY467" s="674">
        <f>IF(N470="BAM",1,IF(T469="",0,1))</f>
        <v>0</v>
      </c>
      <c r="GZ467" s="674">
        <f>IF(N470="BAM",1,IF(U469="",0,1))</f>
        <v>0</v>
      </c>
      <c r="HA467" s="674">
        <f ca="1">IF(N470="BAM",1,IF(__Retrofit_TI_NC&gt;0,1,IF(U470="",0,1)))</f>
        <v>0</v>
      </c>
      <c r="HB467" s="674">
        <f>IF(__Retrofit_TI_NC&lt;&gt;0,1,IF(AF468="",0,1))</f>
        <v>0</v>
      </c>
      <c r="HC467" s="674">
        <f>IF(__Retrofit_TI_NC&lt;&gt;0,1,IF(AG468="",0,1))</f>
        <v>0</v>
      </c>
      <c r="HD467" s="674">
        <f>IF(N470="BAM",1,IF(AF469="",0,1))</f>
        <v>0</v>
      </c>
      <c r="HE467" s="674">
        <f>IF(N470="BAM",1,IF(AG469="",0,1))</f>
        <v>0</v>
      </c>
      <c r="HF467" s="674">
        <f>IF(N470="BAM",1,IF(__Retrofit_TI_NC&gt;0,1,IF(AG470="",0,1)))</f>
        <v>0</v>
      </c>
      <c r="HG467" s="391"/>
      <c r="IA467" s="391"/>
      <c r="IB467" s="1693" t="b">
        <f>IF(OR(IB470=0,IB470=HY$16,IB470=HX$16,IB470=HZ$16),TRUE,FALSE)</f>
        <v>0</v>
      </c>
      <c r="IC467" s="1694" t="b">
        <f>IB467</f>
        <v>0</v>
      </c>
      <c r="ID467" s="391"/>
      <c r="IE467" s="391"/>
      <c r="IF467" s="1688" t="b">
        <f ca="1">IF(MAX(GN470:HU470)&gt;5,FALSE,TRUE)</f>
        <v>0</v>
      </c>
      <c r="IG467" s="1689">
        <f ca="1">IF(IF467=TRUE,AC467,0)</f>
        <v>0</v>
      </c>
      <c r="IH467" s="1689">
        <f ca="1">IG467-IG469</f>
        <v>0</v>
      </c>
      <c r="IK467" s="1689" t="e">
        <f>ROUND(T468*VLOOKUP(U468,Fixtures_Existing_List,2,FALSE)*N468*R468/1000,0)</f>
        <v>#N/A</v>
      </c>
      <c r="IL467" s="1690" t="e">
        <f>IK467-IK469</f>
        <v>#N/A</v>
      </c>
      <c r="IM467" s="1693" t="e">
        <f>ROUND(IF(CQ467="Interior",N469*R469*R468*N468*_C406_reduction/1000,N469*R469*R468*N468/1000),0)</f>
        <v>#N/A</v>
      </c>
      <c r="IN467" s="1693" t="e">
        <f>IM467-IM469</f>
        <v>#N/A</v>
      </c>
      <c r="IP467" s="1679"/>
      <c r="IQ467" s="1679" t="e">
        <f t="shared" ref="IQ467:IU467" si="421">IF($CR467="interior",VLOOKUP($CS467,_New_Control_Savings_Interior,IQ$30,FALSE),VLOOKUP($CS467,Control_Savings_Exterior,IQ$30,FALSE))</f>
        <v>#N/A</v>
      </c>
      <c r="IR467" s="1679" t="e">
        <f t="shared" si="421"/>
        <v>#N/A</v>
      </c>
      <c r="IS467" s="1679" t="e">
        <f t="shared" si="421"/>
        <v>#N/A</v>
      </c>
      <c r="IT467" s="1679" t="e">
        <f t="shared" si="421"/>
        <v>#N/A</v>
      </c>
      <c r="IU467" s="1679" t="e">
        <f t="shared" si="421"/>
        <v>#N/A</v>
      </c>
      <c r="IV467" s="1679" t="e">
        <f>IF($CR467="interior",IF(R468&gt;$IP$14,ROUND(($IV$18*($IP$14/R468)),2),$IV$18),VLOOKUP($CS467,Control_Savings_Exterior,IV$30,FALSE))</f>
        <v>#N/A</v>
      </c>
      <c r="IW467" s="1679" t="e">
        <f>IF($CR467="interior",ROUND(((1-IS467)*IV467)+IS467,2),VLOOKUP($CS467,Control_Savings_Exterior,IW$30,FALSE))</f>
        <v>#N/A</v>
      </c>
      <c r="IX467" s="1679" t="e">
        <f>IF($CR467="interior",ROUND(((1-IT467)*IV467)+IT467,2),VLOOKUP($CS467,Control_Savings_Exterior,IX$30,FALSE))</f>
        <v>#N/A</v>
      </c>
      <c r="IY467" s="1679" t="e">
        <f>IF($CR467="interior",IF(R468&gt;$IP$14,ROUND(($IY$18*($IP$14/R468)),2),$IY$18),VLOOKUP($CS467,Control_Savings_Exterior,IY$30,FALSE))</f>
        <v>#N/A</v>
      </c>
      <c r="IZ467" s="1679" t="e">
        <f>IF($CR467="interior",ROUND(((1-IS467)*IY467)+IS467,2),VLOOKUP($CS467,Control_Savings_Exterior,IZ$30,FALSE))</f>
        <v>#N/A</v>
      </c>
      <c r="JA467" s="1679" t="e">
        <f>IF($CR467="interior",ROUND(((1-IT467)*IY467)+IT467,2),VLOOKUP($CS467,Control_Savings_Exterior,JA$30,FALSE))</f>
        <v>#N/A</v>
      </c>
      <c r="JC467" s="1680">
        <f>IFERROR(IF(CR467="Interior",CONCATENATE(G470," ",FQ467),FQ467),"")</f>
        <v>0</v>
      </c>
      <c r="JD467" s="1670" t="str">
        <f>IFERROR(VLOOKUP(JC467,_Controls_2023,2,FALSE),"")</f>
        <v/>
      </c>
      <c r="JE467" s="1681">
        <f>IFERROR(CHOOSE(JD467-1,IQ467,IR467,IS467,IT467,IU467,IV467,IW467,IX467,IY467,IZ467,JA467),0)</f>
        <v>0</v>
      </c>
      <c r="JG467" s="1680" t="str">
        <f>FE467</f>
        <v xml:space="preserve"> - 0</v>
      </c>
      <c r="JH467" s="1670" t="e">
        <f>$FO467</f>
        <v>#N/A</v>
      </c>
      <c r="JI467" s="1060"/>
      <c r="JJ467" s="1682" t="b">
        <f>IF($JG469=CONCATENATE("Interior - ",JJ$4),TRUE,FALSE)</f>
        <v>0</v>
      </c>
      <c r="JK467" s="1061"/>
      <c r="JL467" s="1682" t="b">
        <f>IF($JG469=CONCATENATE("Interior - ",JL$4),TRUE,FALSE)</f>
        <v>0</v>
      </c>
      <c r="JM467" s="1061"/>
      <c r="JN467" s="1682" t="b">
        <f>IF($JG469=CONCATENATE("Interior - ",JN$4),TRUE,FALSE)</f>
        <v>0</v>
      </c>
      <c r="JO467" s="1061"/>
      <c r="JP467" s="1682" t="b">
        <f>IF(__Retrofit_TI_NC&gt;0,FALSE,IF($JG469=CONCATENATE("Interior - ",JP$4),TRUE,FALSE))</f>
        <v>0</v>
      </c>
      <c r="JQ467" s="1061"/>
      <c r="JR467" s="1682" t="b">
        <f>IF(__Retrofit_TI_NC&gt;0,FALSE,IF($JG469=CONCATENATE("Interior - ",JR$4),TRUE,FALSE))</f>
        <v>0</v>
      </c>
      <c r="JS467" s="1061"/>
      <c r="JT467" s="1670" t="b">
        <f>IF(__Retrofit_TI_NC&gt;0,FALSE,IF($JG469=CONCATENATE("Interior - ",JT$4),TRUE,FALSE))</f>
        <v>0</v>
      </c>
      <c r="JU467" s="1061"/>
      <c r="JV467" s="1670" t="b">
        <f>IF(JC469="AELC on Existing",TRUE,FALSE)</f>
        <v>0</v>
      </c>
      <c r="JX467" s="1670" t="b">
        <f>IF(OR(JG469="Exterior - AELC Occupancy based",JG469="Exterior - AELC Time based"),TRUE,FALSE)</f>
        <v>0</v>
      </c>
      <c r="JZ467" s="1682" t="b">
        <f>IF($JG469=CONCATENATE("Exterior - ",JZ$4),TRUE,FALSE)</f>
        <v>0</v>
      </c>
      <c r="KB467" s="1670" t="b">
        <f>IF(__Retrofit_TI_NC&gt;0,FALSE,IF($JG469=CONCATENATE("Interior - ",KB$4),TRUE,FALSE))</f>
        <v>0</v>
      </c>
    </row>
    <row r="468" spans="1:288" s="78" customFormat="1" ht="14.95" customHeight="1" thickTop="1" thickBot="1">
      <c r="B468" s="1845"/>
      <c r="C468" s="1846"/>
      <c r="D468" s="1847"/>
      <c r="E468" s="1737" t="s">
        <v>297</v>
      </c>
      <c r="F468" s="1738"/>
      <c r="G468" s="1739"/>
      <c r="H468" s="1739"/>
      <c r="I468" s="1739"/>
      <c r="J468" s="1739"/>
      <c r="K468" s="1739"/>
      <c r="L468" s="1739"/>
      <c r="M468" s="461" t="e">
        <f>IF(__Retrofit_TI_NC&lt;&gt;0,IF(VLOOKUP(G469,'Space Table'!$B$3:$L$163,3,FALSE)&gt;0,1,0),IF(__Retrofit_TI_NC=VLOOKUP(G469,'Space Table'!$B$3:$L$163,3,FALSE),1,0))</f>
        <v>#N/A</v>
      </c>
      <c r="N468" s="461" t="str">
        <f>IFERROR(VLOOKUP(G468,_Lookup_Heat_Type_Table_New,2,FALSE),"")</f>
        <v/>
      </c>
      <c r="O468" s="461">
        <f>IF(__Retrofit_TI_NC=1,CONCATENATE("TI ",G468),IF(__Retrofit_TI_NC=2,CONCATENATE("NC ",G468),G468))</f>
        <v>0</v>
      </c>
      <c r="P468" s="1740" t="s">
        <v>435</v>
      </c>
      <c r="Q468" s="1740"/>
      <c r="R468" s="595"/>
      <c r="S468" s="1792"/>
      <c r="T468" s="597"/>
      <c r="U468" s="1765"/>
      <c r="V468" s="1766"/>
      <c r="W468" s="1766"/>
      <c r="X468" s="1766"/>
      <c r="Y468" s="1766"/>
      <c r="Z468" s="1766"/>
      <c r="AA468" s="1766"/>
      <c r="AB468" s="1766"/>
      <c r="AC468" s="1766"/>
      <c r="AD468" s="1767"/>
      <c r="AE468" s="1000"/>
      <c r="AF468" s="597"/>
      <c r="AG468" s="1723"/>
      <c r="AH468" s="1724"/>
      <c r="AI468" s="1724"/>
      <c r="AJ468" s="1724"/>
      <c r="AK468" s="1725"/>
      <c r="AL468" s="996"/>
      <c r="AM468" s="1747"/>
      <c r="AN468" s="1775"/>
      <c r="AO468" s="1777"/>
      <c r="AP468" s="1780"/>
      <c r="AQ468" s="1781"/>
      <c r="AR468" s="1795"/>
      <c r="AS468" s="1795"/>
      <c r="AT468" s="1796"/>
      <c r="AU468" s="1735"/>
      <c r="AV468" s="1752"/>
      <c r="AW468" s="1705"/>
      <c r="AX468" s="467"/>
      <c r="AY468" s="1749"/>
      <c r="AZ468" s="1749"/>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696"/>
      <c r="CQ468" s="1696"/>
      <c r="CR468" s="1809"/>
      <c r="CS468" s="1811"/>
      <c r="CU468" s="1688"/>
      <c r="CV468" s="1703"/>
      <c r="CW468" s="1703"/>
      <c r="CX468" s="1703"/>
      <c r="CY468" s="1815"/>
      <c r="CZ468" s="1711"/>
      <c r="DA468" s="1818"/>
      <c r="DB468" s="1820"/>
      <c r="DC468" s="1820"/>
      <c r="DD468" s="1820"/>
      <c r="DF468" s="1703"/>
      <c r="DG468" s="1831"/>
      <c r="DH468" s="1703"/>
      <c r="DI468" s="1838"/>
      <c r="DJ468" s="1711"/>
      <c r="DK468" s="1712"/>
      <c r="DM468" s="1718"/>
      <c r="DO468" s="1708"/>
      <c r="DQ468" s="1715"/>
      <c r="DR468" s="1720"/>
      <c r="DS468" s="1816"/>
      <c r="DT468" s="1714"/>
      <c r="DU468" s="1715"/>
      <c r="DV468" s="1716"/>
      <c r="DX468" s="1715"/>
      <c r="DY468" s="1720"/>
      <c r="DZ468" s="1715"/>
      <c r="EA468" s="1715"/>
      <c r="EC468" s="1834"/>
      <c r="ED468" s="1834"/>
      <c r="EF468" s="1707"/>
      <c r="EG468" s="1712"/>
      <c r="EH468" s="1818"/>
      <c r="EI468" s="1712"/>
      <c r="EJ468" s="1712"/>
      <c r="EK468" s="1836"/>
      <c r="EL468" s="1836"/>
      <c r="EM468" s="1807"/>
      <c r="EN468" s="1839"/>
      <c r="EO468" s="1839"/>
      <c r="EP468" s="1817"/>
      <c r="EQ468" s="1817"/>
      <c r="ER468" s="1807"/>
      <c r="ES468" s="1807"/>
      <c r="ET468" s="1807"/>
      <c r="EV468" s="1715"/>
      <c r="EX468" s="1805"/>
      <c r="EY468" s="1805"/>
      <c r="EZ468" s="1805"/>
      <c r="FA468" s="1805"/>
      <c r="FB468" s="1805"/>
      <c r="FC468" s="1827"/>
      <c r="FE468" s="1698"/>
      <c r="FG468" s="1816"/>
      <c r="FH468" s="1816"/>
      <c r="FI468" s="133"/>
      <c r="FL468" s="1823"/>
      <c r="FM468" s="1825"/>
      <c r="FN468" s="1698"/>
      <c r="FO468" s="1698"/>
      <c r="FP468" s="1678"/>
      <c r="FQ468" s="1678"/>
      <c r="FS468" s="1687"/>
      <c r="FT468" s="1687"/>
      <c r="FU468" s="1685"/>
      <c r="FV468" s="1687"/>
      <c r="FW468" s="1687"/>
      <c r="FX468" s="1687"/>
      <c r="FY468" s="1697"/>
      <c r="GA468" s="1696"/>
      <c r="GB468" s="1696"/>
      <c r="GC468" s="1696"/>
      <c r="GD468" s="1696"/>
      <c r="GE468" s="1696"/>
      <c r="GF468" s="1696"/>
      <c r="GG468" s="1696"/>
      <c r="GH468" s="1696"/>
      <c r="GI468" s="673"/>
      <c r="GJ468" s="1135"/>
      <c r="GK468" s="1832"/>
      <c r="GM468" s="1693" t="b">
        <f ca="1">IF(AND(GP468=TRUE,GQ468=TRUE),TRUE,FALSE)</f>
        <v>0</v>
      </c>
      <c r="GN468" s="1684" t="b">
        <f>IFERROR(IF(__Retrofit_TI_NC=2,TRUE,IF(AU467="Yes",TRUE,FALSE)),FALSE)</f>
        <v>1</v>
      </c>
      <c r="GP468" s="1684" t="b">
        <f>IFERROR(IF(GP467=1,TRUE,FALSE),FALSE)</f>
        <v>0</v>
      </c>
      <c r="GQ468" s="1684" t="b">
        <f ca="1">IFERROR(IF(GQ467=GQ$14,TRUE,FALSE),FALSE)</f>
        <v>0</v>
      </c>
      <c r="HG468" s="1684" t="b">
        <f>IFERROR(IF(AND(__Retrofit_TI_NC&gt;0,CQ467="Interior"),FALSE,TRUE),FALSE)</f>
        <v>1</v>
      </c>
      <c r="HH468" s="1684" t="b">
        <f>IFERROR(IF(M468=1,TRUE,FALSE),FALSE)</f>
        <v>0</v>
      </c>
      <c r="HI468" s="1684" t="b">
        <f>IFERROR(IF(OR(M469=1,N470="BAM"),TRUE,FALSE),FALSE)</f>
        <v>0</v>
      </c>
      <c r="HJ468" s="1684" t="b">
        <f>IFERROR(IF(__Retrofit_TI_NC&lt;&gt;0,TRUE,IFERROR(IF(VLOOKUP(U468,Fixtures_Existing_List,2,FALSE)&lt;&gt;"",TRUE,FALSE),FALSE)),FALSE)</f>
        <v>0</v>
      </c>
      <c r="HK468" s="1684" t="b">
        <f>IFERROR(IF(VLOOKUP(U469,Fixtures_Proposed_List,2,FALSE)&lt;&gt;"",TRUE,FALSE),FALSE)</f>
        <v>0</v>
      </c>
      <c r="HL468" s="1684" t="b">
        <f>IF(AND(__Retrofit_TI_NC=2,FC467=TRUE),FALSE,TRUE)</f>
        <v>1</v>
      </c>
      <c r="HM468" s="1684" t="b">
        <f>GK467</f>
        <v>1</v>
      </c>
      <c r="HN468" s="1682" t="b">
        <f>IF(ISERROR(MATCH(FE467,_Control_Match[],0))=TRUE,FALSE,TRUE)</f>
        <v>0</v>
      </c>
      <c r="HO468" s="1693" t="b">
        <f>IFERROR(IF(EX467&lt;&gt;EY467,FALSE,TRUE),FALSE)</f>
        <v>1</v>
      </c>
      <c r="HP468" s="1693" t="b">
        <f>IFERROR(IF(EX469&lt;&gt;EY469,FALSE,TRUE),FALSE)</f>
        <v>1</v>
      </c>
      <c r="HQ468" s="1670" t="b">
        <f>IFERROR(IF(CQ467="Exterior",TRUE,IF(AND(OR(FM469=0,FM469=3),JD469&gt;6),FALSE,TRUE)),FALSE)</f>
        <v>0</v>
      </c>
      <c r="HR468" s="1684" t="b">
        <f>IFERROR(IF(AND(FO469=7,FC467=TRUE),FALSE,TRUE),FALSE)</f>
        <v>0</v>
      </c>
      <c r="HS468" s="1684" t="b">
        <f>IFERROR(IF(AND(T469&lt;&gt;AF469,OR(AG469="Interior LLLC", AG469="Interior NLC", AG469="LLLC (outside Daylight)",AG469="LLLC Controls Only"))=TRUE,FALSE,TRUE),FALSE)</f>
        <v>1</v>
      </c>
      <c r="HT468" s="1670" t="b">
        <f>IFERROR(IF(OR(AG469=Lookup!BB$17,AG469=Lookup!BB$18,AG469=Lookup!BB$19)=TRUE,IF(AF469&gt;T469,FALSE,TRUE),TRUE),FALSE)</f>
        <v>1</v>
      </c>
      <c r="HU468" s="1684" t="b">
        <f>IFERROR(IF(__Retrofit_TI_NC=2,IF(EZ469&lt;EZ467,FALSE,TRUE),TRUE),FALSE)</f>
        <v>1</v>
      </c>
      <c r="HV468" s="1684" t="b">
        <f>IF(CQ467="Interior",IL$6,TRUE)</f>
        <v>1</v>
      </c>
      <c r="HW468" s="1684" t="b">
        <f>IF(CQ467="Exterior",IL$8,TRUE)</f>
        <v>1</v>
      </c>
      <c r="HX468" s="1684" t="b">
        <f>IFERROR(IF(__Retrofit_TI_NC&lt;&gt;0,IF(AZ467&lt;AY467,FALSE,TRUE),TRUE),FALSE)</f>
        <v>1</v>
      </c>
      <c r="HY468" s="1684" t="b">
        <f>IFERROR(IF(AND(G468="Exterior",R468&gt;4200),FALSE,TRUE),FALSE)</f>
        <v>1</v>
      </c>
      <c r="HZ468" s="1684" t="b">
        <f>IFERROR(IF(AB470/AB467&lt;HZ$18,FALSE,TRUE),FALSE)</f>
        <v>0</v>
      </c>
      <c r="IB468" s="1691"/>
      <c r="IC468" s="1695"/>
      <c r="ID468" s="1694" t="str">
        <f>VLOOKUP(IB470,_Error_Table,4,FALSE)</f>
        <v>White</v>
      </c>
      <c r="IE468" s="391"/>
      <c r="IF468" s="1688"/>
      <c r="IG468" s="1689"/>
      <c r="IH468" s="1684"/>
      <c r="IK468" s="1689"/>
      <c r="IL468" s="1691"/>
      <c r="IM468" s="1691"/>
      <c r="IN468" s="1691"/>
      <c r="IP468" s="1679"/>
      <c r="IQ468" s="1679"/>
      <c r="IR468" s="1679"/>
      <c r="IS468" s="1679"/>
      <c r="IT468" s="1679"/>
      <c r="IU468" s="1679"/>
      <c r="IV468" s="1679"/>
      <c r="IW468" s="1679"/>
      <c r="IX468" s="1679"/>
      <c r="IY468" s="1679"/>
      <c r="IZ468" s="1679"/>
      <c r="JA468" s="1679"/>
      <c r="JC468" s="1680"/>
      <c r="JD468" s="1670"/>
      <c r="JE468" s="1681"/>
      <c r="JG468" s="1680"/>
      <c r="JH468" s="1670"/>
      <c r="JI468" s="1060"/>
      <c r="JJ468" s="1683"/>
      <c r="JK468" s="1061"/>
      <c r="JL468" s="1683"/>
      <c r="JM468" s="1061"/>
      <c r="JN468" s="1683"/>
      <c r="JO468" s="1061"/>
      <c r="JP468" s="1683"/>
      <c r="JQ468" s="1061"/>
      <c r="JR468" s="1683"/>
      <c r="JS468" s="1061"/>
      <c r="JT468" s="1670"/>
      <c r="JU468" s="1061"/>
      <c r="JV468" s="1670"/>
      <c r="JX468" s="1670"/>
      <c r="JZ468" s="1683"/>
      <c r="KB468" s="1670"/>
    </row>
    <row r="469" spans="1:288" s="78" customFormat="1" ht="14.95" customHeight="1" thickTop="1" thickBot="1">
      <c r="A469" s="78">
        <f>ROW()</f>
        <v>469</v>
      </c>
      <c r="B469" s="1845"/>
      <c r="C469" s="1846"/>
      <c r="D469" s="1847"/>
      <c r="E469" s="1737" t="s">
        <v>298</v>
      </c>
      <c r="F469" s="1738"/>
      <c r="G469" s="1760"/>
      <c r="H469" s="1761"/>
      <c r="I469" s="1761"/>
      <c r="J469" s="1761"/>
      <c r="K469" s="1761"/>
      <c r="L469" s="1762"/>
      <c r="M469" s="461">
        <f>IFERROR(IF(IF(__Retrofit_TI_NC&lt;&gt;0,IF(CQ467="Interior",MATCH(G469,Lookup_Interior_New,0),MATCH(G469,Lookup_Exterior_New,0)),IF(CQ467="Interior",MATCH(G469,Lookup_Interior,0),MATCH(G469,Lookup_Exterior_Areas,0)))&gt;0,1,0),0)</f>
        <v>0</v>
      </c>
      <c r="N469" s="461" t="e">
        <f>IF(__Retrofit_TI_NC=1,
VLOOKUP(G469,'Space Table'!$B$3:$L$163,4,FALSE),
IF(__Retrofit_TI_NC=2,VLOOKUP(G469,'Space Table'!$B$3:$L$163,5,FALSE),VLOOKUP(G469,'Space Table'!$B$3:$L$163,5,FALSE)))</f>
        <v>#N/A</v>
      </c>
      <c r="O469" s="461">
        <f>G469</f>
        <v>0</v>
      </c>
      <c r="P469" s="1738" t="str">
        <f>IFERROR(IF(__Retrofit_TI_NC=1,VLOOKUP(G469,'Space Table'!$B$3:$O$163,13,FALSE),IF(__Retrofit_TI_NC=2,VLOOKUP(G469,'Space Table'!$B$3:$O$163,14,FALSE),"Area (sf):")),"Area (sf):")</f>
        <v>Area (sf):</v>
      </c>
      <c r="Q469" s="1738"/>
      <c r="R469" s="596"/>
      <c r="S469" s="1763" t="s">
        <v>345</v>
      </c>
      <c r="T469" s="594"/>
      <c r="U469" s="1801"/>
      <c r="V469" s="1802"/>
      <c r="W469" s="1802"/>
      <c r="X469" s="1802"/>
      <c r="Y469" s="1802"/>
      <c r="Z469" s="1802"/>
      <c r="AA469" s="1802"/>
      <c r="AB469" s="1802"/>
      <c r="AC469" s="1802"/>
      <c r="AD469" s="1802"/>
      <c r="AE469" s="1803"/>
      <c r="AF469" s="594"/>
      <c r="AG469" s="1787"/>
      <c r="AH469" s="1787"/>
      <c r="AI469" s="1787"/>
      <c r="AJ469" s="1787"/>
      <c r="AK469" s="1787"/>
      <c r="AL469" s="1787"/>
      <c r="AM469" s="1726">
        <f>IFERROR(DI469,"")</f>
        <v>0</v>
      </c>
      <c r="AN469" s="1728" t="str">
        <f>IFERROR(ROUND(AM469*AC470,0),"")</f>
        <v/>
      </c>
      <c r="AO469" s="1730">
        <f>IFERROR(IF(IB467=FALSE,0,AC470-AN469),0)</f>
        <v>0</v>
      </c>
      <c r="AP469" s="1780"/>
      <c r="AQ469" s="1781"/>
      <c r="AR469" s="1795"/>
      <c r="AS469" s="1795"/>
      <c r="AT469" s="1796"/>
      <c r="AU469" s="1735"/>
      <c r="AV469" s="1752"/>
      <c r="AW469" s="1705"/>
      <c r="AX469" s="467"/>
      <c r="AY469" s="1749"/>
      <c r="AZ469" s="1749"/>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696"/>
      <c r="CQ469" s="1696"/>
      <c r="CR469" s="1808" t="str">
        <f>CQ467</f>
        <v/>
      </c>
      <c r="CS469" s="1810" t="str">
        <f>CS467</f>
        <v/>
      </c>
      <c r="CU469" s="1688" t="s">
        <v>345</v>
      </c>
      <c r="CV469" s="1702">
        <f>IF(IB467=TRUE,T469,0)</f>
        <v>0</v>
      </c>
      <c r="CW469" s="1702" t="str">
        <f>IF(IB467=TRUE,U469,"")</f>
        <v/>
      </c>
      <c r="CX469" s="1812">
        <f>IF(IB467=TRUE,U470,0)</f>
        <v>0</v>
      </c>
      <c r="CY469" s="1814">
        <f>IF(IB467=TRUE,AB470,0)</f>
        <v>0</v>
      </c>
      <c r="CZ469" s="1710">
        <f>IF(AND(__Retrofit_TI_NC&gt;0,CR467="interior"),0,IF(IB467=TRUE,AC470,0))</f>
        <v>0</v>
      </c>
      <c r="DA469" s="1818"/>
      <c r="DB469" s="1820"/>
      <c r="DC469" s="1820"/>
      <c r="DD469" s="1820"/>
      <c r="DF469" s="1702">
        <f>IF(IB467=TRUE,AF469,0)</f>
        <v>0</v>
      </c>
      <c r="DG469" s="1830" t="str">
        <f>IF(IB467=TRUE,AG469,"")</f>
        <v/>
      </c>
      <c r="DH469" s="1812">
        <f>AG470</f>
        <v>0</v>
      </c>
      <c r="DI469" s="1837">
        <f>JE469</f>
        <v>0</v>
      </c>
      <c r="DJ469" s="1710">
        <f>IF(AND(__Retrofit_TI_NC&gt;0,CR467="interior"),0,IF(IB467=TRUE,AN469,0))</f>
        <v>0</v>
      </c>
      <c r="DK469" s="1712"/>
      <c r="DN469" s="1717">
        <f>IFERROR(CZ469-DJ469,0)</f>
        <v>0</v>
      </c>
      <c r="DO469" s="1709"/>
      <c r="DQ469" s="1715"/>
      <c r="DR469" s="1719" t="str">
        <f>DQ467</f>
        <v/>
      </c>
      <c r="DS469" s="1816"/>
      <c r="DT469" s="1835" t="str">
        <f>IF(OR(DS467=7,DS467=8,DS467=9),"ALC","")</f>
        <v/>
      </c>
      <c r="DU469" s="1715"/>
      <c r="DV469" s="1716"/>
      <c r="DX469" s="1715"/>
      <c r="DY469" s="1829" t="str">
        <f>DX467</f>
        <v/>
      </c>
      <c r="DZ469" s="1715"/>
      <c r="EA469" s="1715"/>
      <c r="EC469" s="1834"/>
      <c r="ED469" s="1834"/>
      <c r="EF469" s="1707"/>
      <c r="EG469" s="1712"/>
      <c r="EH469" s="1818"/>
      <c r="EI469" s="1712"/>
      <c r="EJ469" s="1712"/>
      <c r="EK469" s="1836"/>
      <c r="EL469" s="1836"/>
      <c r="EM469" s="1807"/>
      <c r="EN469" s="1839"/>
      <c r="EO469" s="1839"/>
      <c r="EP469" s="1817"/>
      <c r="EQ469" s="1817"/>
      <c r="ER469" s="1807"/>
      <c r="ES469" s="1807"/>
      <c r="ET469" s="1807"/>
      <c r="EV469" s="1715"/>
      <c r="EX469" s="1805" t="str">
        <f>IFERROR(VLOOKUP(CS469,'Space Table'!$B$3:$L$163,8,FALSE),"")</f>
        <v/>
      </c>
      <c r="EY469" s="1805" t="str">
        <f>IFERROR(IF(FB469="Yes",VLOOKUP(AG469,Lookup_Control_Type_Table2,4,FALSE),VLOOKUP(AG469,Lookup_Control_Type_Table2,3,FALSE)),"")</f>
        <v/>
      </c>
      <c r="EZ469" s="1805" t="e">
        <f>VLOOKUP(AG469,Lookup!BB$3:BC$20,2,FALSE)</f>
        <v>#N/A</v>
      </c>
      <c r="FA469" s="1805" t="e">
        <f>VLOOKUP(EX467,Lookup_Control_Type_Table,2,FALSE)</f>
        <v>#N/A</v>
      </c>
      <c r="FB469" s="1805" t="e">
        <f>VLOOKUP(CS469,'Space Table'!$B$3:$L$163,7,FALSE)</f>
        <v>#N/A</v>
      </c>
      <c r="FC469" s="1827"/>
      <c r="FE469" s="1698" t="str">
        <f>CONCATENATE(CQ467," - ",AG469)</f>
        <v xml:space="preserve"> - </v>
      </c>
      <c r="FG469" s="1816"/>
      <c r="FH469" s="1816"/>
      <c r="FI469" s="133"/>
      <c r="FL469" s="1822" t="str">
        <f>IF(CQ467="Exterior","Not Daylighted",G470)</f>
        <v>Not Daylighted</v>
      </c>
      <c r="FM469" s="1824">
        <f>VLOOKUP(FL469,_New_Daylight_Table_Codes,2,FALSE)</f>
        <v>0</v>
      </c>
      <c r="FN469" s="1698">
        <f>AG469</f>
        <v>0</v>
      </c>
      <c r="FO469" s="1698" t="e">
        <f>VLOOKUP(FN469,_Control_Table,2,FALSE)</f>
        <v>#N/A</v>
      </c>
      <c r="FP469" s="1678" t="e">
        <f>VLOOKUP(CONCATENATE(FL469," ",FN469),Lookup!AY$102:AZ480,2,FALSE)</f>
        <v>#N/A</v>
      </c>
      <c r="FQ469" s="1698">
        <f>IF(__Retrofit_TI_NC=0,FN469,IF(AND(FT469&gt;0,FN469="Occupancy Sensor"),"Daylight + Occupancy",IF(AND(FT469&gt;0,FO469&lt;4),"Interior Daylight Dimming",FN469)))</f>
        <v>0</v>
      </c>
      <c r="FS469" s="1686">
        <f>IF(CQ467="Interior",VLOOKUP(CS467,Control_Savings_Interior,5,FALSE),0)</f>
        <v>0</v>
      </c>
      <c r="FT469" s="1687">
        <f>IF(CQ469="Exterior",0,IF(FM469=2,0.5,IF(OR(FM469=1,FM469=3),1,0)))</f>
        <v>0</v>
      </c>
      <c r="FU469" s="1685">
        <f>IF(R468&gt;FS$44,(FS469*(FS$44/R468)),FS469)*FT469</f>
        <v>0</v>
      </c>
      <c r="FV469" s="1686">
        <f>DI469</f>
        <v>0</v>
      </c>
      <c r="FW469" s="1686">
        <f>ROUND(FV469+((1-FV469)*FU469),2)</f>
        <v>0</v>
      </c>
      <c r="FX469" s="1686">
        <f>IF(__Retrofit_TI_NC=2,FW469,FV469)</f>
        <v>0</v>
      </c>
      <c r="FY469" s="1697">
        <f>IF(CR469="Interior",VLOOKUP(CS469,Control_Savings_Interior,4,FALSE),0)</f>
        <v>0</v>
      </c>
      <c r="GA469" s="1696"/>
      <c r="GB469" s="1696"/>
      <c r="GC469" s="1696"/>
      <c r="GD469" s="1696"/>
      <c r="GE469" s="1696"/>
      <c r="GF469" s="1696"/>
      <c r="GG469" s="1696"/>
      <c r="GH469" s="1696"/>
      <c r="GI469" s="673" t="b">
        <f>IF(ISNUMBER(SEARCH("TLED",U469)),TRUE,FALSE)</f>
        <v>0</v>
      </c>
      <c r="GJ469" s="1135" t="str">
        <f>IFERROR(VLOOKUP(U469,Fixtures!DM$93:DR$142,6,FALSE),"")</f>
        <v/>
      </c>
      <c r="GK469" s="1832"/>
      <c r="GM469" s="1692"/>
      <c r="GN469" s="1684"/>
      <c r="GP469" s="1684"/>
      <c r="GQ469" s="1684"/>
      <c r="HG469" s="1684"/>
      <c r="HH469" s="1684"/>
      <c r="HI469" s="1684"/>
      <c r="HJ469" s="1684"/>
      <c r="HK469" s="1684"/>
      <c r="HL469" s="1684"/>
      <c r="HM469" s="1684"/>
      <c r="HN469" s="1683"/>
      <c r="HO469" s="1692"/>
      <c r="HP469" s="1692"/>
      <c r="HQ469" s="1670"/>
      <c r="HR469" s="1684"/>
      <c r="HS469" s="1684"/>
      <c r="HT469" s="1670"/>
      <c r="HU469" s="1684"/>
      <c r="HV469" s="1684"/>
      <c r="HW469" s="1684"/>
      <c r="HX469" s="1684"/>
      <c r="HY469" s="1684"/>
      <c r="HZ469" s="1684"/>
      <c r="IB469" s="1692"/>
      <c r="IC469" s="1693" t="b">
        <f>IB467</f>
        <v>0</v>
      </c>
      <c r="ID469" s="1695"/>
      <c r="IE469" s="391"/>
      <c r="IF469" s="1688"/>
      <c r="IG469" s="1689">
        <f ca="1">IF(IF467=TRUE,AC470,0)</f>
        <v>0</v>
      </c>
      <c r="IH469" s="1684"/>
      <c r="IK469" s="1689" t="e">
        <f>ROUND(T469*AB470*N468*R468/1000,0)</f>
        <v>#VALUE!</v>
      </c>
      <c r="IL469" s="1691"/>
      <c r="IM469" s="1693" t="e">
        <f>ROUND(T469*AB470*N468*R468/1000,0)</f>
        <v>#VALUE!</v>
      </c>
      <c r="IN469" s="1691"/>
      <c r="IP469" s="1679"/>
      <c r="IQ469" s="1679" t="e">
        <f t="shared" ref="IQ469:IU469" si="422">IF($CR469="interior",VLOOKUP($CS469,_New_Control_Savings_Interior,IQ$30,FALSE),VLOOKUP($CS469,Control_Savings_Exterior,IQ$30,FALSE))</f>
        <v>#N/A</v>
      </c>
      <c r="IR469" s="1679" t="e">
        <f t="shared" si="422"/>
        <v>#N/A</v>
      </c>
      <c r="IS469" s="1679" t="e">
        <f t="shared" si="422"/>
        <v>#N/A</v>
      </c>
      <c r="IT469" s="1679" t="e">
        <f t="shared" si="422"/>
        <v>#N/A</v>
      </c>
      <c r="IU469" s="1679" t="e">
        <f t="shared" si="422"/>
        <v>#N/A</v>
      </c>
      <c r="IV469" s="1679" t="e">
        <f>IF($CR469="interior",IF(R468&gt;$IP$14,ROUND(($IV$18*($IP$14/R468)),2),$IV$18),VLOOKUP($CS469,Control_Savings_Exterior,IV$30,FALSE))</f>
        <v>#N/A</v>
      </c>
      <c r="IW469" s="1679" t="e">
        <f>IF($CR469="interior",ROUND(((1-IS469)*IV469)+IS469,2),VLOOKUP($CS469,Control_Savings_Exterior,IW$30,FALSE))</f>
        <v>#N/A</v>
      </c>
      <c r="IX469" s="1679" t="e">
        <f>IF($CR469="interior",ROUND(((1-IT469)*IV469)+IT469,2),VLOOKUP($CS469,Control_Savings_Exterior,IX$30,FALSE))</f>
        <v>#N/A</v>
      </c>
      <c r="IY469" s="1679" t="e">
        <f>IF($CR469="interior",IF(R468&gt;$IP$14,ROUND(($IY$18*($IP$14/R468)),2),$IY$18),VLOOKUP($CS469,Control_Savings_Exterior,IY$30,FALSE))</f>
        <v>#N/A</v>
      </c>
      <c r="IZ469" s="1679" t="e">
        <f>IF($CR469="interior",ROUND(((1-IS469)*IY469)+IS469,2),VLOOKUP($CS469,Control_Savings_Exterior,IZ$30,FALSE))</f>
        <v>#N/A</v>
      </c>
      <c r="JA469" s="1679" t="e">
        <f>IF($CR469="interior",ROUND(((1-IT469)*IY469)+IT469,2),VLOOKUP($CS469,Control_Savings_Exterior,JA$30,FALSE))</f>
        <v>#N/A</v>
      </c>
      <c r="JC469" s="1680">
        <f>IFERROR(IF(CR469="Interior",CONCATENATE(G470," ",FQ469),AG469),"")</f>
        <v>0</v>
      </c>
      <c r="JD469" s="1670" t="str">
        <f>IFERROR(VLOOKUP(JC469,_Controls_2023,2,FALSE),"")</f>
        <v/>
      </c>
      <c r="JE469" s="1681">
        <f>IFERROR(CHOOSE(JD469-1,IQ469,IR469,IS469,IT469,IU469,IV469,IW469,IX469,IY469,IZ469,JA469),0)</f>
        <v>0</v>
      </c>
      <c r="JG469" s="1680" t="str">
        <f>FE469</f>
        <v xml:space="preserve"> - </v>
      </c>
      <c r="JH469" s="1670" t="e">
        <f>$FO469</f>
        <v>#N/A</v>
      </c>
      <c r="JI469" s="1060"/>
      <c r="JJ469" s="1670">
        <f>IFERROR(IF($IB467=TRUE,IF(OR(JJ$14="No",JJ467=FALSE,JH469&lt;=JH467,AND(_kWh_Grant=0,GD467=FALSE)),0,IF(JJ$8="Per Line",1,$AF469)),0),0)</f>
        <v>0</v>
      </c>
      <c r="JK469" s="1061"/>
      <c r="JL469" s="1670">
        <f>IFERROR(IF(_kWh_Grant=0,0,IF($IB467=TRUE,IF(OR(JL$14="No",JL467=FALSE,JH469&lt;=JH467),0,IF(JL$8="Per Line",1,$T469)),0)),0)</f>
        <v>0</v>
      </c>
      <c r="JM469" s="1061"/>
      <c r="JN469" s="1670">
        <f>IFERROR(IF(_kWh_Grant=0,0,IF($IB467=TRUE,IF(OR(JN$14="No",JN467=FALSE,JH469&lt;=JH467),0,IF(JN$8="Per Line",1,$AF469)),0)),0)</f>
        <v>0</v>
      </c>
      <c r="JO469" s="1061"/>
      <c r="JP469" s="1670">
        <f>IFERROR(IF(__Retrofit_TI_NC=0,IF(_kWh_Grant=0,0,IF($IB467=TRUE,IF(OR(JP$14="No",JP467=FALSE,$JH469&lt;=$JH467),0,IF(JP$8="Per Line",1,$AF469)),0)),IF($IB467=TRUE,IF(OR(JP$14="No",JP467=FALSE,$JH469&lt;=$JH467),0,IF(JP$8="Per Line",1,$AF469)))),0)</f>
        <v>0</v>
      </c>
      <c r="JQ469" s="1061"/>
      <c r="JR469" s="1670">
        <f>IFERROR(IF(__Retrofit_TI_NC=0,IF(_kWh_Grant=0,0,IF($IB467=TRUE,IF(OR(JR$14="No",JR467=FALSE,$JH469&lt;=$JH467),0,IF(JR$8="Per Line",1,$AF469)),0)),IF($IB467=TRUE,IF(OR(JR$14="No",JR467=FALSE,$JH469&lt;=$JH467),0,IF(JR$8="Per Line",1,$AF469)))),0)</f>
        <v>0</v>
      </c>
      <c r="JS469" s="1061"/>
      <c r="JT469" s="1670">
        <f>IFERROR(IF(__Retrofit_TI_NC=0,IF(_kWh_Grant=0,0,IF($IB467=TRUE,IF(OR(JT$14="No",JT467=FALSE,$JH469&lt;=$JH467),0,IF(JT$8="Per Line",1,$AF469)),0)),IF($IB467=TRUE,IF(OR(JT$14="No",JT467=FALSE,$JH469&lt;=$JH467),0,IF(JT$8="Per Line",1,$AF469)))),0)</f>
        <v>0</v>
      </c>
      <c r="JU469" s="1061"/>
      <c r="JV469" s="1670">
        <f>IFERROR(IF(__Retrofit_TI_NC=0,IF(_kWh_Grant=0,0,IF($IB467=TRUE,IF(OR(JV$14="No",JV467=FALSE,$JH469&lt;=$JH467),0,IF(JV$8="Per Line",1,$AF469)),0)),IF($IB467=TRUE,IF(OR(JV$14="No",JV467=FALSE,$JH469&lt;=$JH467),0,IF(JV$8="Per Line",1,$AF469)))),0)</f>
        <v>0</v>
      </c>
      <c r="JX469" s="1670">
        <f>IFERROR(IF(__Retrofit_TI_NC=0,IF(_kWh_Grant=0,0,IF($IB467=TRUE,IF(OR(JX$14="No",JX467=FALSE,$JH469&lt;=$JH467),0,IF(JX$8="Per Line",1,$AF469)),0)),IF($IB467=TRUE,IF(OR(JX$14="No",JX467=FALSE,$JH469&lt;=$JH467),0,IF(JX$8="Per Line",1,$AF469)))),0)</f>
        <v>0</v>
      </c>
      <c r="JZ469" s="1670">
        <f>IFERROR(IF($IB467=TRUE,IF(OR(JZ$14="No",JZ467=FALSE,$JH469&lt;=$JH467,AND(_kWh_Grant=0,$GD467=FALSE)),0,IF(JZ$8="Per Line",1,$AF469)),0),0)</f>
        <v>0</v>
      </c>
      <c r="KB469" s="1670">
        <f>IFERROR(IF(__Retrofit_TI_NC=0,IF(_kWh_Grant=0,0,IF($IB467=TRUE,IF(OR(KB$14="No",KB467=FALSE,$JH469&lt;=$JH467),0,IF(KB$8="Per Line",1,$AF469)),0)),IF($IB467=TRUE,IF(OR(KB$14="No",KB467=FALSE,$JH469&lt;=$JH467),0,IF(KB$8="Per Line",1,$AF469)))),0)</f>
        <v>0</v>
      </c>
    </row>
    <row r="470" spans="1:288" s="78" customFormat="1" ht="14.95" customHeight="1" thickTop="1" thickBot="1">
      <c r="B470" s="1845"/>
      <c r="C470" s="1846"/>
      <c r="D470" s="1847"/>
      <c r="E470" s="1771" t="s">
        <v>436</v>
      </c>
      <c r="F470" s="1772"/>
      <c r="G470" s="1784" t="s">
        <v>437</v>
      </c>
      <c r="H470" s="1785"/>
      <c r="I470" s="1785"/>
      <c r="J470" s="1785"/>
      <c r="K470" s="1785"/>
      <c r="L470" s="1786"/>
      <c r="M470" s="591">
        <f>IFERROR(VLOOKUP(G470,_Daylight_Table[],2,FALSE),0)</f>
        <v>0</v>
      </c>
      <c r="N470" s="592" t="str">
        <f>IF(AND(__Retrofit_TI_NC&gt;0,CQ467="Interior"),"BAM","")</f>
        <v/>
      </c>
      <c r="O470" s="591" t="e">
        <f>VLOOKUP(G469,'Space Table'!$B$3:$L$163,11,FALSE)</f>
        <v>#N/A</v>
      </c>
      <c r="P470" s="1789"/>
      <c r="Q470" s="1790"/>
      <c r="R470" s="1790"/>
      <c r="S470" s="1788"/>
      <c r="T470" s="593" t="s">
        <v>342</v>
      </c>
      <c r="U470" s="1756" t="str" cm="1">
        <f t="array" aca="1" ref="U470" ca="1">IFERROR(VLOOKUP(INDIRECT("U" &amp; ROW()-1),Fixtures!DM$93:DP$142,4,FALSE),"")</f>
        <v/>
      </c>
      <c r="V470" s="1757"/>
      <c r="W470" s="1757"/>
      <c r="X470" s="1757"/>
      <c r="Y470" s="1757"/>
      <c r="Z470" s="1757"/>
      <c r="AA470" s="1758"/>
      <c r="AB470" s="939" t="str">
        <f>IFERROR(VLOOKUP(U469,Fixtures_Proposed_List,2,FALSE),"")</f>
        <v/>
      </c>
      <c r="AC470" s="933" t="str">
        <f>IFERROR(ROUND(T469*AB470*N468*R468/1000,0),"")</f>
        <v/>
      </c>
      <c r="AD470" s="934" t="str">
        <f>IFERROR(ROUND(T469*AB470/1000,2),"")</f>
        <v/>
      </c>
      <c r="AE470" s="998"/>
      <c r="AF470" s="938" t="s">
        <v>342</v>
      </c>
      <c r="AG470" s="1770"/>
      <c r="AH470" s="1770"/>
      <c r="AI470" s="1770"/>
      <c r="AJ470" s="1770"/>
      <c r="AK470" s="1770"/>
      <c r="AL470" s="1770"/>
      <c r="AM470" s="1727"/>
      <c r="AN470" s="1729"/>
      <c r="AO470" s="1731"/>
      <c r="AP470" s="1782"/>
      <c r="AQ470" s="1783"/>
      <c r="AR470" s="1797"/>
      <c r="AS470" s="1797"/>
      <c r="AT470" s="1798"/>
      <c r="AU470" s="1736"/>
      <c r="AV470" s="1753"/>
      <c r="AW470" s="1706"/>
      <c r="AX470" s="468"/>
      <c r="AY470" s="1750"/>
      <c r="AZ470" s="1750"/>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696"/>
      <c r="CQ470" s="1696"/>
      <c r="CR470" s="1809"/>
      <c r="CS470" s="1811"/>
      <c r="CU470" s="1688"/>
      <c r="CV470" s="1703"/>
      <c r="CW470" s="1703"/>
      <c r="CX470" s="1813"/>
      <c r="CY470" s="1815"/>
      <c r="CZ470" s="1711"/>
      <c r="DA470" s="1815"/>
      <c r="DB470" s="1821"/>
      <c r="DC470" s="1821"/>
      <c r="DD470" s="1821"/>
      <c r="DF470" s="1703"/>
      <c r="DG470" s="1831"/>
      <c r="DH470" s="1813"/>
      <c r="DI470" s="1838"/>
      <c r="DJ470" s="1711"/>
      <c r="DK470" s="1712"/>
      <c r="DN470" s="1718"/>
      <c r="DO470" s="1709"/>
      <c r="DQ470" s="1715"/>
      <c r="DR470" s="1720"/>
      <c r="DS470" s="1703"/>
      <c r="DT470" s="1714"/>
      <c r="DU470" s="1715"/>
      <c r="DV470" s="1716"/>
      <c r="DX470" s="1715"/>
      <c r="DY470" s="1720"/>
      <c r="DZ470" s="1715"/>
      <c r="EA470" s="1715"/>
      <c r="EC470" s="1834"/>
      <c r="ED470" s="1834"/>
      <c r="EF470" s="1707"/>
      <c r="EG470" s="1712"/>
      <c r="EH470" s="1815"/>
      <c r="EI470" s="1712"/>
      <c r="EJ470" s="1712"/>
      <c r="EK470" s="1813"/>
      <c r="EL470" s="1813"/>
      <c r="EM470" s="1807"/>
      <c r="EN470" s="1839"/>
      <c r="EO470" s="1839"/>
      <c r="EP470" s="1817"/>
      <c r="EQ470" s="1817"/>
      <c r="ER470" s="1807"/>
      <c r="ES470" s="1807"/>
      <c r="ET470" s="1807"/>
      <c r="EV470" s="1715"/>
      <c r="EX470" s="1806"/>
      <c r="EY470" s="1806"/>
      <c r="EZ470" s="1806"/>
      <c r="FA470" s="1806"/>
      <c r="FB470" s="1806"/>
      <c r="FC470" s="1828"/>
      <c r="FE470" s="1698"/>
      <c r="FG470" s="1703"/>
      <c r="FH470" s="1703"/>
      <c r="FI470" s="133"/>
      <c r="FL470" s="1823"/>
      <c r="FM470" s="1825"/>
      <c r="FN470" s="1698"/>
      <c r="FO470" s="1698"/>
      <c r="FP470" s="1678"/>
      <c r="FQ470" s="1698"/>
      <c r="FS470" s="1687"/>
      <c r="FT470" s="1687"/>
      <c r="FU470" s="1685"/>
      <c r="FV470" s="1687"/>
      <c r="FW470" s="1687"/>
      <c r="FX470" s="1687"/>
      <c r="FY470" s="1697"/>
      <c r="GA470" s="1696"/>
      <c r="GB470" s="1696"/>
      <c r="GC470" s="1696"/>
      <c r="GD470" s="1696"/>
      <c r="GE470" s="1696"/>
      <c r="GF470" s="1696"/>
      <c r="GG470" s="1696"/>
      <c r="GH470" s="1696"/>
      <c r="GI470" s="673"/>
      <c r="GJ470" s="1135"/>
      <c r="GK470" s="1832"/>
      <c r="GN470" s="674">
        <f>IF(GN468=TRUE,0,GN$16)</f>
        <v>0</v>
      </c>
      <c r="GP470" s="674">
        <f>IF(GP468=TRUE,0,GP$16)</f>
        <v>36</v>
      </c>
      <c r="GQ470" s="674">
        <f ca="1">IF(GQ468=TRUE,0,GQ$16)</f>
        <v>35</v>
      </c>
      <c r="GR470" s="391"/>
      <c r="GS470" s="391"/>
      <c r="GT470" s="391"/>
      <c r="GU470" s="391"/>
      <c r="GV470" s="391"/>
      <c r="HG470" s="674">
        <f>IF(HG468=TRUE,0,HG$16)</f>
        <v>0</v>
      </c>
      <c r="HH470" s="674">
        <f t="shared" ref="HH470:HM470" si="423">IF(HH468=TRUE,0,HH$16)</f>
        <v>19</v>
      </c>
      <c r="HI470" s="674">
        <f t="shared" si="423"/>
        <v>18</v>
      </c>
      <c r="HJ470" s="674">
        <f t="shared" si="423"/>
        <v>17</v>
      </c>
      <c r="HK470" s="674">
        <f t="shared" si="423"/>
        <v>16</v>
      </c>
      <c r="HL470" s="674">
        <f t="shared" si="423"/>
        <v>0</v>
      </c>
      <c r="HM470" s="674">
        <f t="shared" si="423"/>
        <v>0</v>
      </c>
      <c r="HN470" s="674">
        <f>IF(HN468=TRUE,0,HN$16)</f>
        <v>13</v>
      </c>
      <c r="HO470" s="674">
        <f t="shared" ref="HO470:HQ470" si="424">IF(HO468=TRUE,0,HO$16)</f>
        <v>0</v>
      </c>
      <c r="HP470" s="674">
        <f t="shared" si="424"/>
        <v>0</v>
      </c>
      <c r="HQ470" s="674">
        <f t="shared" si="424"/>
        <v>10</v>
      </c>
      <c r="HR470" s="674">
        <f>IF(HR468=TRUE,0,HR$16)</f>
        <v>9</v>
      </c>
      <c r="HS470" s="674">
        <f t="shared" ref="HS470:HW470" si="425">IF(HS468=TRUE,0,HS$16)</f>
        <v>0</v>
      </c>
      <c r="HT470" s="674">
        <f t="shared" si="425"/>
        <v>0</v>
      </c>
      <c r="HU470" s="674">
        <f t="shared" si="425"/>
        <v>0</v>
      </c>
      <c r="HV470" s="674">
        <f t="shared" si="425"/>
        <v>0</v>
      </c>
      <c r="HW470" s="674">
        <f t="shared" si="425"/>
        <v>0</v>
      </c>
      <c r="HX470" s="674">
        <f>IF(HX468=TRUE,0,HX$16)</f>
        <v>0</v>
      </c>
      <c r="HY470" s="674">
        <f>IF(HY468=TRUE,0,HY$16)</f>
        <v>0</v>
      </c>
      <c r="HZ470" s="674">
        <f>IF(HZ468=TRUE,0,HZ$16)</f>
        <v>1</v>
      </c>
      <c r="IB470" s="674">
        <f>IF(GP468=FALSE,GP470,IF(GQ468=FALSE,GQ470,MAX(GN470:HZ470)))</f>
        <v>36</v>
      </c>
      <c r="IC470" s="1692"/>
      <c r="ID470" s="205" t="str">
        <f>VLOOKUP(IB470,_Error_Table,3,FALSE)</f>
        <v xml:space="preserve"> </v>
      </c>
      <c r="IE470" s="205"/>
      <c r="IF470" s="1688"/>
      <c r="IG470" s="1689"/>
      <c r="IH470" s="1684"/>
      <c r="IK470" s="1689"/>
      <c r="IL470" s="1692"/>
      <c r="IM470" s="1692"/>
      <c r="IN470" s="1692"/>
      <c r="IP470" s="1679"/>
      <c r="IQ470" s="1679"/>
      <c r="IR470" s="1679"/>
      <c r="IS470" s="1679"/>
      <c r="IT470" s="1679"/>
      <c r="IU470" s="1679"/>
      <c r="IV470" s="1679"/>
      <c r="IW470" s="1679"/>
      <c r="IX470" s="1679"/>
      <c r="IY470" s="1679"/>
      <c r="IZ470" s="1679"/>
      <c r="JA470" s="1679"/>
      <c r="JC470" s="1680"/>
      <c r="JD470" s="1670"/>
      <c r="JE470" s="1681"/>
      <c r="JG470" s="1680"/>
      <c r="JH470" s="1670"/>
      <c r="JI470" s="1060"/>
      <c r="JJ470" s="1670"/>
      <c r="JK470" s="1061"/>
      <c r="JL470" s="1670"/>
      <c r="JM470" s="1061"/>
      <c r="JN470" s="1670"/>
      <c r="JO470" s="1061"/>
      <c r="JP470" s="1670"/>
      <c r="JQ470" s="1061"/>
      <c r="JR470" s="1670"/>
      <c r="JS470" s="1061"/>
      <c r="JT470" s="1670"/>
      <c r="JU470" s="1061"/>
      <c r="JV470" s="1670"/>
      <c r="JX470" s="1670"/>
      <c r="JZ470" s="1670"/>
      <c r="KB470" s="1670"/>
    </row>
    <row r="471" spans="1:288" s="78" customFormat="1" ht="5.0999999999999996" customHeight="1">
      <c r="B471" s="676"/>
      <c r="C471" s="392"/>
      <c r="D471" s="392"/>
      <c r="E471" s="1733"/>
      <c r="F471" s="1733"/>
      <c r="G471" s="1733"/>
      <c r="H471" s="1733"/>
      <c r="I471" s="1733"/>
      <c r="J471" s="1733"/>
      <c r="K471" s="1733"/>
      <c r="L471" s="1733"/>
      <c r="M471" s="1733"/>
      <c r="N471" s="1733"/>
      <c r="O471" s="1733"/>
      <c r="P471" s="1733"/>
      <c r="Q471" s="1733"/>
      <c r="R471" s="1733"/>
      <c r="S471" s="1733"/>
      <c r="T471" s="1733"/>
      <c r="U471" s="1733"/>
      <c r="V471" s="1733"/>
      <c r="W471" s="1733"/>
      <c r="X471" s="1733"/>
      <c r="Y471" s="1733"/>
      <c r="Z471" s="1733"/>
      <c r="AA471" s="1733"/>
      <c r="AB471" s="1733"/>
      <c r="AC471" s="1733"/>
      <c r="AD471" s="1733"/>
      <c r="AE471" s="1733"/>
      <c r="AF471" s="1733"/>
      <c r="AG471" s="1733"/>
      <c r="AH471" s="1733"/>
      <c r="AI471" s="1733"/>
      <c r="AJ471" s="1733"/>
      <c r="AK471" s="1733"/>
      <c r="AL471" s="1733"/>
      <c r="AM471" s="1733"/>
      <c r="AN471" s="1733"/>
      <c r="AO471" s="1733"/>
      <c r="AP471" s="1733"/>
      <c r="AQ471" s="1733"/>
      <c r="AR471" s="1733"/>
      <c r="AS471" s="1733"/>
      <c r="AT471" s="1733"/>
      <c r="AU471" s="1733"/>
      <c r="AV471" s="1733"/>
      <c r="AW471" s="1733"/>
      <c r="AX471" s="469"/>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663"/>
      <c r="CQ471" s="663"/>
      <c r="CR471" s="438"/>
      <c r="CS471" s="663"/>
      <c r="CV471" s="391"/>
      <c r="CW471" s="391"/>
      <c r="CX471" s="207"/>
      <c r="CY471" s="208"/>
      <c r="CZ471" s="208"/>
      <c r="DA471" s="208"/>
      <c r="DB471" s="209"/>
      <c r="DC471" s="209"/>
      <c r="DD471" s="209"/>
      <c r="DF471" s="664"/>
      <c r="DG471" s="665"/>
      <c r="DH471" s="666"/>
      <c r="DI471" s="667"/>
      <c r="DJ471" s="668"/>
      <c r="DK471" s="668"/>
      <c r="DN471" s="208"/>
      <c r="DO471" s="664"/>
      <c r="DQ471" s="664"/>
      <c r="DR471" s="669"/>
      <c r="DS471" s="391"/>
      <c r="DT471" s="664"/>
      <c r="DU471" s="664"/>
      <c r="DV471" s="664"/>
      <c r="DX471" s="664"/>
      <c r="DY471" s="664"/>
      <c r="DZ471" s="664"/>
      <c r="EA471" s="664"/>
      <c r="EC471" s="670"/>
      <c r="ED471" s="670"/>
      <c r="EF471" s="668"/>
      <c r="EG471" s="668"/>
      <c r="EH471" s="208"/>
      <c r="EI471" s="668"/>
      <c r="EJ471" s="668"/>
      <c r="EK471" s="207"/>
      <c r="EL471" s="207"/>
      <c r="EM471" s="666"/>
      <c r="EN471" s="671"/>
      <c r="EO471" s="671"/>
      <c r="EP471" s="672"/>
      <c r="EQ471" s="672"/>
      <c r="ER471" s="666"/>
      <c r="ES471" s="666"/>
      <c r="ET471" s="666"/>
      <c r="EV471" s="664"/>
      <c r="EX471" s="391"/>
      <c r="EY471" s="391"/>
      <c r="EZ471" s="391"/>
      <c r="FA471" s="391"/>
      <c r="FB471" s="391"/>
      <c r="FC471" s="391"/>
      <c r="FE471" s="569"/>
      <c r="FG471" s="391"/>
      <c r="FH471" s="391"/>
      <c r="FI471" s="391"/>
      <c r="FS471" s="664"/>
      <c r="FT471" s="391"/>
      <c r="FU471" s="391"/>
      <c r="FV471" s="664"/>
      <c r="FW471" s="664"/>
      <c r="GA471" s="663"/>
      <c r="GB471" s="663"/>
      <c r="GC471" s="663"/>
      <c r="GD471" s="663"/>
      <c r="GE471" s="663"/>
      <c r="GF471" s="663"/>
      <c r="GG471" s="663"/>
      <c r="GH471" s="663"/>
      <c r="GI471" s="665"/>
      <c r="GJ471" s="664"/>
      <c r="GK471" s="664"/>
    </row>
    <row r="472" spans="1:288" s="78" customFormat="1" ht="14.95" customHeight="1">
      <c r="B472" s="1845" t="str">
        <f>ID475</f>
        <v xml:space="preserve"> </v>
      </c>
      <c r="C472" s="1846">
        <f>C467+1</f>
        <v>83</v>
      </c>
      <c r="D472" s="1847"/>
      <c r="E472" s="1799" t="s">
        <v>295</v>
      </c>
      <c r="F472" s="1800"/>
      <c r="G472" s="1741"/>
      <c r="H472" s="1742"/>
      <c r="I472" s="1742"/>
      <c r="J472" s="1742"/>
      <c r="K472" s="1742"/>
      <c r="L472" s="1742"/>
      <c r="M472" s="1742"/>
      <c r="N472" s="1742"/>
      <c r="O472" s="1742"/>
      <c r="P472" s="1742"/>
      <c r="Q472" s="1742"/>
      <c r="R472" s="1742"/>
      <c r="S472" s="1791" t="s">
        <v>344</v>
      </c>
      <c r="T472" s="590"/>
      <c r="U472" s="1743"/>
      <c r="V472" s="1744"/>
      <c r="W472" s="1744"/>
      <c r="X472" s="1744"/>
      <c r="Y472" s="1744"/>
      <c r="Z472" s="1744"/>
      <c r="AA472" s="1744"/>
      <c r="AB472" s="961" t="str">
        <f>IFERROR(IF(__Retrofit_TI_NC=0,VLOOKUP(U473,Fixtures_Existing_List,2,FALSE),ROUND(N474*R474/T474,10)),"")</f>
        <v/>
      </c>
      <c r="AC472" s="935" t="str">
        <f>IFERROR(IF(__Retrofit_TI_NC=0,ROUND(T473*AB472*N473*R473/1000,0),IF(CQ472="Interior",N474*R474*R473*N473*_C406_reduction/1000,N474*R474*R473*N473/1000)),"")</f>
        <v/>
      </c>
      <c r="AD472" s="936" t="str">
        <f>IFERROR(IF(C$43=0,ROUND(T473*AB472/1000,2),N474*R474/1000),"")</f>
        <v/>
      </c>
      <c r="AE472" s="997"/>
      <c r="AF472" s="937"/>
      <c r="AG472" s="1745" t="str">
        <f>IF(__Retrofit_TI_NC=0," Control","Select Advanced Control for New System")</f>
        <v xml:space="preserve"> Control</v>
      </c>
      <c r="AH472" s="1745"/>
      <c r="AI472" s="1745"/>
      <c r="AJ472" s="1745"/>
      <c r="AK472" s="1745"/>
      <c r="AL472" s="1745"/>
      <c r="AM472" s="1746">
        <f>IFERROR(DI472,"")</f>
        <v>0</v>
      </c>
      <c r="AN472" s="1774" t="str">
        <f>IFERROR(ROUND(AM472*AC472,0),"")</f>
        <v/>
      </c>
      <c r="AO472" s="1776">
        <f>IFERROR(IF(IB472=FALSE,0,AC472-AN472),0)</f>
        <v>0</v>
      </c>
      <c r="AP472" s="1778">
        <f>AO472-AO474</f>
        <v>0</v>
      </c>
      <c r="AQ472" s="1779"/>
      <c r="AR472" s="1793">
        <f>IFERROR(IF(IB472=FALSE,0,(T474*U475)+(AF474*AG475)),0)</f>
        <v>0</v>
      </c>
      <c r="AS472" s="1793"/>
      <c r="AT472" s="1794"/>
      <c r="AU472" s="1734" t="s">
        <v>237</v>
      </c>
      <c r="AV472" s="1751">
        <f>IF(AU472="Yes",1,0)</f>
        <v>1</v>
      </c>
      <c r="AW472" s="1704" t="str">
        <f>IF(OR(DQ472=4,DQ472=5,DQ472=6,DQ472=12),CONCATENATE("$",IF(GH472=TRUE,Lookup!$K$10,Lookup!$K$2)," /lamp"),CONCATENATE(TEXT(ED472,"$0.00"),"/ kWh"))</f>
        <v>$0.00/ kWh</v>
      </c>
      <c r="AX472" s="467"/>
      <c r="AY472" s="1748">
        <f ca="1">IFERROR(IF(GM473=TRUE,(AB475*T474)/R474,0),"NA")</f>
        <v>0</v>
      </c>
      <c r="AZ472" s="1748"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696" t="str">
        <f>N473</f>
        <v/>
      </c>
      <c r="CQ472" s="1696" t="str">
        <f>IFERROR(VLOOKUP(G473,_Lookup_Heat_Type_Table_New,3,FALSE),"")</f>
        <v/>
      </c>
      <c r="CR472" s="1808" t="str">
        <f>CQ472</f>
        <v/>
      </c>
      <c r="CS472" s="1810" t="str">
        <f>IFERROR(VLOOKUP(G474,'Space Table'!$B$3:$L$163,9,FALSE),"")</f>
        <v/>
      </c>
      <c r="CU472" s="1688" t="s">
        <v>344</v>
      </c>
      <c r="CV472" s="1702">
        <f>IF(IB472=TRUE,T473,0)</f>
        <v>0</v>
      </c>
      <c r="CW472" s="1702" t="str">
        <f>IF(IB472=TRUE,U473,"")</f>
        <v/>
      </c>
      <c r="CX472" s="1702"/>
      <c r="CY472" s="1814">
        <f>IF(IB472=TRUE,AB472,0)</f>
        <v>0</v>
      </c>
      <c r="CZ472" s="1710">
        <f>IF(AND(__Retrofit_TI_NC&gt;0,CR472="interior"),0,IF(IB472=TRUE,AC472,0))</f>
        <v>0</v>
      </c>
      <c r="DA472" s="1814">
        <f>IFERROR(IF(IB472=TRUE,CZ472-CZ474,0),0)</f>
        <v>0</v>
      </c>
      <c r="DB472" s="1819">
        <f>IF(IB472=TRUE,AD472,0)</f>
        <v>0</v>
      </c>
      <c r="DC472" s="1819">
        <f>IF(IB472=TRUE,AD475,0)</f>
        <v>0</v>
      </c>
      <c r="DD472" s="1819">
        <f>IFERROR(DB472-DC472,0)</f>
        <v>0</v>
      </c>
      <c r="DF472" s="1702">
        <f>IF(IB472=TRUE,AF473,0)</f>
        <v>0</v>
      </c>
      <c r="DG472" s="1830">
        <f>IFERROR(IF(__Retrofit_TI_NC=2,IF(CQ472="Exterior",O475,FQ472),FN472),"")</f>
        <v>0</v>
      </c>
      <c r="DH472" s="1702"/>
      <c r="DI472" s="1837">
        <f>JE472</f>
        <v>0</v>
      </c>
      <c r="DJ472" s="1710">
        <f>IF(AND(__Retrofit_TI_NC&gt;0,CR472="interior"),0,IF(IB472=TRUE,AN472,0))</f>
        <v>0</v>
      </c>
      <c r="DK472" s="1712">
        <f>IFERROR(IF(IB472=TRUE,DJ474-DJ472,0),0)</f>
        <v>0</v>
      </c>
      <c r="DM472" s="1717">
        <f>IFERROR(CZ472-DJ472,0)</f>
        <v>0</v>
      </c>
      <c r="DO472" s="1708">
        <f>DM472-DN474</f>
        <v>0</v>
      </c>
      <c r="DQ472" s="1715" t="str">
        <f>IFERROR(IF(AND(OR(GC472=4,GC472=5,GC472=6),OR(GF472=4,GF472=5,GF472=6)),GC472+8,VLOOKUP(CW474,Fixtures!R$31:Y$78,8,FALSE)),"")</f>
        <v/>
      </c>
      <c r="DR472" s="1829" t="str">
        <f>DQ472</f>
        <v/>
      </c>
      <c r="DS472" s="1702" t="str">
        <f>IFERROR(VLOOKUP(DG474,Lookup!BB$3:BC$20,2,FALSE),"")</f>
        <v/>
      </c>
      <c r="DT472" s="1713" t="str">
        <f>IF(OR(DS472=7,DS472=8,DS472=9),"ALC","")</f>
        <v/>
      </c>
      <c r="DU472" s="1715">
        <f>IFERROR(IF(OR(DQ472=4,DQ472=5,DQ472=6,DQ472=12,DQ472=13,DQ472=14),VLOOKUP(CW474,Fixtures!DN$27:EG$77,19,FALSE),1)*CV474,0)</f>
        <v>0</v>
      </c>
      <c r="DV472" s="1716">
        <f>IF(OR(DS472=7,DS472=8,DS472=9),IF(DG472=DG474,0,DF474),0)</f>
        <v>0</v>
      </c>
      <c r="DX472" s="1715" t="str">
        <f>IFERROR(IF(EZ472&lt;EZ474,"Yes","No"),"")</f>
        <v/>
      </c>
      <c r="DY472" s="1829" t="str">
        <f>DX472</f>
        <v/>
      </c>
      <c r="DZ472" s="1715">
        <f>IF(DX472="Yes",DF474,0)</f>
        <v>0</v>
      </c>
      <c r="EA472" s="1715">
        <f>DZ472-DV472</f>
        <v>0</v>
      </c>
      <c r="EC472" s="1834">
        <f>IFERROR(VLOOKUP(DQ472,Lookup!AU$3:AV$16,2,FALSE),0)</f>
        <v>0</v>
      </c>
      <c r="ED472" s="1834">
        <f>IF(IB472=FALSE,0,IF(DX472="Yes",EC472+Lookup!K$6,EC472))</f>
        <v>0</v>
      </c>
      <c r="EF472" s="1707">
        <f>IF(IB472=TRUE,DM472,0)</f>
        <v>0</v>
      </c>
      <c r="EG472" s="1712">
        <f>IF(IB472=TRUE,CZ474,0)</f>
        <v>0</v>
      </c>
      <c r="EH472" s="1814">
        <f>IFERROR(EF472-EG472,0)</f>
        <v>0</v>
      </c>
      <c r="EI472" s="1712">
        <f>IF(IB472=TRUE,DJ474,0)</f>
        <v>0</v>
      </c>
      <c r="EJ472" s="1712">
        <f>IFERROR(EF472-EG472+EI472,0)</f>
        <v>0</v>
      </c>
      <c r="EK472" s="1812">
        <f>IF(IB472=TRUE,CV474*CX474,0)</f>
        <v>0</v>
      </c>
      <c r="EL472" s="1812">
        <f>IF(IB472=TRUE,DF474*DH474,0)</f>
        <v>0</v>
      </c>
      <c r="EM472" s="1807">
        <f>AR472</f>
        <v>0</v>
      </c>
      <c r="EN472" s="1839" t="str">
        <f>IFERROR(IF(IB472=TRUE,VLOOKUP(DQ472,Lookup!AU$3:AW$16,3,FALSE)*DU472,""),0)</f>
        <v/>
      </c>
      <c r="EO472" s="1839">
        <f>IF(IB472=TRUE,DZ472*Lookup!AW$12,0)</f>
        <v>0</v>
      </c>
      <c r="EP472" s="1817">
        <f>IFERROR(IF(IB472=TRUE,EN472/EP$40,0),0)</f>
        <v>0</v>
      </c>
      <c r="EQ472" s="1817">
        <f>IF(IB472=TRUE,EO472/EQ$40,0)</f>
        <v>0</v>
      </c>
      <c r="ER472" s="1807">
        <f>IF(IB472=TRUE,ET$40*EP472,0)</f>
        <v>0</v>
      </c>
      <c r="ES472" s="1807">
        <f>IF(IB472=TRUE,ET$40*EQ472,0)</f>
        <v>0</v>
      </c>
      <c r="ET472" s="1807">
        <f>ER472+ES472</f>
        <v>0</v>
      </c>
      <c r="EV472" s="1715">
        <f>IF(G472="",0,1)</f>
        <v>0</v>
      </c>
      <c r="EX472" s="1804" t="str">
        <f>IFERROR(VLOOKUP(CS474,'Space Table'!$B$3:$L$163,8,FALSE),"")</f>
        <v/>
      </c>
      <c r="EY472" s="1804" t="str">
        <f>IFERROR(IF(FB472="Yes",VLOOKUP(DG472,Lookup_Control_Type_Table2,4,FALSE),VLOOKUP(DG472,Lookup_Control_Type_Table2,3,FALSE)),"")</f>
        <v/>
      </c>
      <c r="EZ472" s="1804" t="e">
        <f>VLOOKUP(DG472,Lookup!BB$3:BC$20,2,FALSE)</f>
        <v>#N/A</v>
      </c>
      <c r="FA472" s="1804" t="e">
        <f>VLOOKUP(EX472,Lookup_Control_Type_Table,2,FALSE)</f>
        <v>#N/A</v>
      </c>
      <c r="FB472" s="1804" t="e">
        <f>VLOOKUP(CS474,'Space Table'!$B$3:$L$163,7,FALSE)</f>
        <v>#N/A</v>
      </c>
      <c r="FC472" s="1826" t="b">
        <f>ISNUMBER(SEARCH("TLED",U474))</f>
        <v>0</v>
      </c>
      <c r="FE472" s="1698" t="str">
        <f>CONCATENATE(CQ472," - ",DG472)</f>
        <v xml:space="preserve"> - 0</v>
      </c>
      <c r="FG472" s="1702" t="str">
        <f>VLOOKUP(CW474,Fixtures!DN$27:EZ$77,38,FALSE)</f>
        <v/>
      </c>
      <c r="FH472" s="1702">
        <f>IFERROR(FG472*EH472,0)</f>
        <v>0</v>
      </c>
      <c r="FI472" s="133"/>
      <c r="FL472" s="1822" t="str">
        <f>IF(CQ472="Exterior","Not Daylighted",G475)</f>
        <v>Not Daylighted</v>
      </c>
      <c r="FM472" s="1824">
        <f>VLOOKUP(FL472,_New_Daylight_Table_Codes,2,FALSE)</f>
        <v>0</v>
      </c>
      <c r="FN472" s="1698">
        <f>IF(__Retrofit_TI_NC&gt;0,VLOOKUP(G474,'Space Table'!$B$3:$L$163,11,FALSE),AG473)</f>
        <v>0</v>
      </c>
      <c r="FO472" s="1698" t="e">
        <f>IF(__Retrofit_TI_NC=2,VLOOKUP(FQ472,_Control_Table,2,FALSE),VLOOKUP(FN472,_Control_Table,2,FALSE))</f>
        <v>#N/A</v>
      </c>
      <c r="FP472" s="1678" t="e">
        <f>VLOOKUP(CONCATENATE(FL472," ",FN472),Lookup!AY$102:AZ482,2,FALSE)</f>
        <v>#N/A</v>
      </c>
      <c r="FQ472" s="1678">
        <f>IF(__Retrofit_TI_NC=0,FN472,IF(AND(FT472&gt;0,FN472="Occupancy Sensor"),"Daylight + Occupancy",IF(AND(FT472&gt;0,VLOOKUP(FN472,_Control_Table,2,FALSE)&lt;4),"Interior Daylight Dimming",FN472)))</f>
        <v>0</v>
      </c>
      <c r="FS472" s="1686">
        <f>IF(CR472="Interior",VLOOKUP(CS472,Control_Savings_Interior,5,FALSE),0)</f>
        <v>0</v>
      </c>
      <c r="FT472" s="1687">
        <f>IF(CQ472="Exterior",0,IF(FM472=2,0.5,IF(OR(FM472=1,FM472=3),1,0)))</f>
        <v>0</v>
      </c>
      <c r="FU472" s="1685">
        <f>IF(R471&gt;FS$44,(FS472*(FS$44/R471)),FS472)*FT472</f>
        <v>0</v>
      </c>
      <c r="FV472" s="1686">
        <f>DI472</f>
        <v>0</v>
      </c>
      <c r="FW472" s="1686">
        <f>ROUND(FV472+((1-FV472)*FU472),2)</f>
        <v>0</v>
      </c>
      <c r="FX472" s="1686">
        <f>IF(__Retrofit_TI_NC=2,FW472,FV472)</f>
        <v>0</v>
      </c>
      <c r="FY472" s="1697"/>
      <c r="GA472" s="1696" t="str">
        <f>IFERROR(VLOOKUP(U473,_Exist_Fixture_Table,3,FALSE),"")</f>
        <v/>
      </c>
      <c r="GB472" s="1696" t="str">
        <f>VLOOKUP(CW472,_Exist_Fixture_Table,4,FALSE)</f>
        <v/>
      </c>
      <c r="GC472" s="1696">
        <f>IFERROR(VLOOKUP(GB472,Lookup!AT$6:AU$8,2,FALSE),0)</f>
        <v>0</v>
      </c>
      <c r="GD472" s="1696" t="b">
        <f>IFERROR(IF(OR(GF472=4,GF472=5,GF472=6),TRUE,FALSE),"")</f>
        <v>0</v>
      </c>
      <c r="GE472" s="1696" t="str">
        <f>IFERROR(VLOOKUP(GF472,GC$6:GD$10,2,FALSE),"")</f>
        <v/>
      </c>
      <c r="GF472" s="1696" t="str">
        <f>VLOOKUP(CW474,Fixtures!R$31:Y$78,8,FALSE)</f>
        <v/>
      </c>
      <c r="GG472" s="1696">
        <f>IF(AND(GA472=TRUE,GD472=TRUE,OR(DQ472=12,DQ472=13,DQ472=14)),GC472+8,0)</f>
        <v>0</v>
      </c>
      <c r="GH472" s="1696" t="b">
        <f>IF(OR(GG472=12,GG472=13,GG472=14),TRUE,FALSE)</f>
        <v>0</v>
      </c>
      <c r="GI472" s="673" t="b">
        <f>IF(ISNUMBER(SEARCH("TLED",U473)),TRUE,FALSE)</f>
        <v>0</v>
      </c>
      <c r="GJ472" s="1135" t="str">
        <f>IFERROR(VLOOKUP(U473,Fixtures!BM$93:BR$142,6,FALSE),"")</f>
        <v/>
      </c>
      <c r="GK472" s="1832" t="b">
        <f>IF(OR(GI472=FALSE,GI474=FALSE),TRUE,IF(GJ472-GJ474&lt;5,FALSE,TRUE))</f>
        <v>1</v>
      </c>
      <c r="GO472" s="674">
        <f>GP472</f>
        <v>0</v>
      </c>
      <c r="GP472" s="674">
        <f>IF(G472="",0,1)</f>
        <v>0</v>
      </c>
      <c r="GQ472" s="674">
        <f ca="1">SUM(GR472:HF472)</f>
        <v>2</v>
      </c>
      <c r="GR472" s="674">
        <f>IF(G473="",0,1)</f>
        <v>0</v>
      </c>
      <c r="GS472" s="674">
        <f>IF(N475="BAM",1,IF(G474="",0,1))</f>
        <v>0</v>
      </c>
      <c r="GT472" s="674">
        <f>IF(N475="BAM",1,IF(R473="",0,1))</f>
        <v>0</v>
      </c>
      <c r="GU472" s="674">
        <f>IF(N475="BAM",1,IF(__Retrofit_TI_NC=0,1,IF(R474="",0,1)))</f>
        <v>1</v>
      </c>
      <c r="GV472" s="674">
        <f>IF(N475="BAM",1,IF(CQ472="Exterior",1,IF(G475="",0,1)))</f>
        <v>1</v>
      </c>
      <c r="GW472" s="674">
        <f>IF(__Retrofit_TI_NC&gt;0,1,IF(T473="",0,1))</f>
        <v>0</v>
      </c>
      <c r="GX472" s="674">
        <f>IF(__Retrofit_TI_NC&gt;0,1,IF(U473="",0,1))</f>
        <v>0</v>
      </c>
      <c r="GY472" s="674">
        <f>IF(N475="BAM",1,IF(T474="",0,1))</f>
        <v>0</v>
      </c>
      <c r="GZ472" s="674">
        <f>IF(N475="BAM",1,IF(U474="",0,1))</f>
        <v>0</v>
      </c>
      <c r="HA472" s="674">
        <f ca="1">IF(N475="BAM",1,IF(__Retrofit_TI_NC&gt;0,1,IF(U475="",0,1)))</f>
        <v>0</v>
      </c>
      <c r="HB472" s="674">
        <f>IF(__Retrofit_TI_NC&lt;&gt;0,1,IF(AF473="",0,1))</f>
        <v>0</v>
      </c>
      <c r="HC472" s="674">
        <f>IF(__Retrofit_TI_NC&lt;&gt;0,1,IF(AG473="",0,1))</f>
        <v>0</v>
      </c>
      <c r="HD472" s="674">
        <f>IF(N475="BAM",1,IF(AF474="",0,1))</f>
        <v>0</v>
      </c>
      <c r="HE472" s="674">
        <f>IF(N475="BAM",1,IF(AG474="",0,1))</f>
        <v>0</v>
      </c>
      <c r="HF472" s="674">
        <f>IF(N475="BAM",1,IF(__Retrofit_TI_NC&gt;0,1,IF(AG475="",0,1)))</f>
        <v>0</v>
      </c>
      <c r="HG472" s="391"/>
      <c r="IA472" s="391"/>
      <c r="IB472" s="1693" t="b">
        <f>IF(OR(IB475=0,IB475=HY$16,IB475=HX$16,IB475=HZ$16),TRUE,FALSE)</f>
        <v>0</v>
      </c>
      <c r="IC472" s="1694" t="b">
        <f>IB472</f>
        <v>0</v>
      </c>
      <c r="ID472" s="391"/>
      <c r="IE472" s="391"/>
      <c r="IF472" s="1688" t="b">
        <f ca="1">IF(MAX(GN475:HU475)&gt;5,FALSE,TRUE)</f>
        <v>0</v>
      </c>
      <c r="IG472" s="1689">
        <f ca="1">IF(IF472=TRUE,AC472,0)</f>
        <v>0</v>
      </c>
      <c r="IH472" s="1689">
        <f ca="1">IG472-IG474</f>
        <v>0</v>
      </c>
      <c r="IK472" s="1689" t="e">
        <f>ROUND(T473*VLOOKUP(U473,Fixtures_Existing_List,2,FALSE)*N473*R473/1000,0)</f>
        <v>#N/A</v>
      </c>
      <c r="IL472" s="1690" t="e">
        <f>IK472-IK474</f>
        <v>#N/A</v>
      </c>
      <c r="IM472" s="1693" t="e">
        <f>ROUND(IF(CQ472="Interior",N474*R474*R473*N473*_C406_reduction/1000,N474*R474*R473*N473/1000),0)</f>
        <v>#N/A</v>
      </c>
      <c r="IN472" s="1693" t="e">
        <f>IM472-IM474</f>
        <v>#N/A</v>
      </c>
      <c r="IP472" s="1679"/>
      <c r="IQ472" s="1679" t="e">
        <f t="shared" ref="IQ472:IU472" si="426">IF($CR472="interior",VLOOKUP($CS472,_New_Control_Savings_Interior,IQ$30,FALSE),VLOOKUP($CS472,Control_Savings_Exterior,IQ$30,FALSE))</f>
        <v>#N/A</v>
      </c>
      <c r="IR472" s="1679" t="e">
        <f t="shared" si="426"/>
        <v>#N/A</v>
      </c>
      <c r="IS472" s="1679" t="e">
        <f t="shared" si="426"/>
        <v>#N/A</v>
      </c>
      <c r="IT472" s="1679" t="e">
        <f t="shared" si="426"/>
        <v>#N/A</v>
      </c>
      <c r="IU472" s="1679" t="e">
        <f t="shared" si="426"/>
        <v>#N/A</v>
      </c>
      <c r="IV472" s="1679" t="e">
        <f>IF($CR472="interior",IF(R473&gt;$IP$14,ROUND(($IV$18*($IP$14/R473)),2),$IV$18),VLOOKUP($CS472,Control_Savings_Exterior,IV$30,FALSE))</f>
        <v>#N/A</v>
      </c>
      <c r="IW472" s="1679" t="e">
        <f>IF($CR472="interior",ROUND(((1-IS472)*IV472)+IS472,2),VLOOKUP($CS472,Control_Savings_Exterior,IW$30,FALSE))</f>
        <v>#N/A</v>
      </c>
      <c r="IX472" s="1679" t="e">
        <f>IF($CR472="interior",ROUND(((1-IT472)*IV472)+IT472,2),VLOOKUP($CS472,Control_Savings_Exterior,IX$30,FALSE))</f>
        <v>#N/A</v>
      </c>
      <c r="IY472" s="1679" t="e">
        <f>IF($CR472="interior",IF(R473&gt;$IP$14,ROUND(($IY$18*($IP$14/R473)),2),$IY$18),VLOOKUP($CS472,Control_Savings_Exterior,IY$30,FALSE))</f>
        <v>#N/A</v>
      </c>
      <c r="IZ472" s="1679" t="e">
        <f>IF($CR472="interior",ROUND(((1-IS472)*IY472)+IS472,2),VLOOKUP($CS472,Control_Savings_Exterior,IZ$30,FALSE))</f>
        <v>#N/A</v>
      </c>
      <c r="JA472" s="1679" t="e">
        <f>IF($CR472="interior",ROUND(((1-IT472)*IY472)+IT472,2),VLOOKUP($CS472,Control_Savings_Exterior,JA$30,FALSE))</f>
        <v>#N/A</v>
      </c>
      <c r="JC472" s="1680">
        <f>IFERROR(IF(CR472="Interior",CONCATENATE(G475," ",FQ472),FQ472),"")</f>
        <v>0</v>
      </c>
      <c r="JD472" s="1670" t="str">
        <f>IFERROR(VLOOKUP(JC472,_Controls_2023,2,FALSE),"")</f>
        <v/>
      </c>
      <c r="JE472" s="1681">
        <f>IFERROR(CHOOSE(JD472-1,IQ472,IR472,IS472,IT472,IU472,IV472,IW472,IX472,IY472,IZ472,JA472),0)</f>
        <v>0</v>
      </c>
      <c r="JG472" s="1680" t="str">
        <f>FE472</f>
        <v xml:space="preserve"> - 0</v>
      </c>
      <c r="JH472" s="1670" t="e">
        <f>$FO472</f>
        <v>#N/A</v>
      </c>
      <c r="JI472" s="1060"/>
      <c r="JJ472" s="1682" t="b">
        <f>IF($JG474=CONCATENATE("Interior - ",JJ$4),TRUE,FALSE)</f>
        <v>0</v>
      </c>
      <c r="JK472" s="1061"/>
      <c r="JL472" s="1682" t="b">
        <f>IF($JG474=CONCATENATE("Interior - ",JL$4),TRUE,FALSE)</f>
        <v>0</v>
      </c>
      <c r="JM472" s="1061"/>
      <c r="JN472" s="1682" t="b">
        <f>IF($JG474=CONCATENATE("Interior - ",JN$4),TRUE,FALSE)</f>
        <v>0</v>
      </c>
      <c r="JO472" s="1061"/>
      <c r="JP472" s="1682" t="b">
        <f>IF(__Retrofit_TI_NC&gt;0,FALSE,IF($JG474=CONCATENATE("Interior - ",JP$4),TRUE,FALSE))</f>
        <v>0</v>
      </c>
      <c r="JQ472" s="1061"/>
      <c r="JR472" s="1682" t="b">
        <f>IF(__Retrofit_TI_NC&gt;0,FALSE,IF($JG474=CONCATENATE("Interior - ",JR$4),TRUE,FALSE))</f>
        <v>0</v>
      </c>
      <c r="JS472" s="1061"/>
      <c r="JT472" s="1670" t="b">
        <f>IF(__Retrofit_TI_NC&gt;0,FALSE,IF($JG474=CONCATENATE("Interior - ",JT$4),TRUE,FALSE))</f>
        <v>0</v>
      </c>
      <c r="JU472" s="1061"/>
      <c r="JV472" s="1670" t="b">
        <f>IF(JC474="AELC on Existing",TRUE,FALSE)</f>
        <v>0</v>
      </c>
      <c r="JX472" s="1670" t="b">
        <f>IF(OR(JG474="Exterior - AELC Occupancy based",JG474="Exterior - AELC Time based"),TRUE,FALSE)</f>
        <v>0</v>
      </c>
      <c r="JZ472" s="1682" t="b">
        <f>IF($JG474=CONCATENATE("Exterior - ",JZ$4),TRUE,FALSE)</f>
        <v>0</v>
      </c>
      <c r="KB472" s="1670" t="b">
        <f>IF(__Retrofit_TI_NC&gt;0,FALSE,IF($JG474=CONCATENATE("Interior - ",KB$4),TRUE,FALSE))</f>
        <v>0</v>
      </c>
    </row>
    <row r="473" spans="1:288" s="78" customFormat="1" ht="14.95" customHeight="1" thickTop="1" thickBot="1">
      <c r="B473" s="1845"/>
      <c r="C473" s="1846"/>
      <c r="D473" s="1847"/>
      <c r="E473" s="1737" t="s">
        <v>297</v>
      </c>
      <c r="F473" s="1738"/>
      <c r="G473" s="1739"/>
      <c r="H473" s="1739"/>
      <c r="I473" s="1739"/>
      <c r="J473" s="1739"/>
      <c r="K473" s="1739"/>
      <c r="L473" s="1739"/>
      <c r="M473" s="461" t="e">
        <f>IF(__Retrofit_TI_NC&lt;&gt;0,IF(VLOOKUP(G474,'Space Table'!$B$3:$L$163,3,FALSE)&gt;0,1,0),IF(__Retrofit_TI_NC=VLOOKUP(G474,'Space Table'!$B$3:$L$163,3,FALSE),1,0))</f>
        <v>#N/A</v>
      </c>
      <c r="N473" s="461" t="str">
        <f>IFERROR(VLOOKUP(G473,_Lookup_Heat_Type_Table_New,2,FALSE),"")</f>
        <v/>
      </c>
      <c r="O473" s="461">
        <f>IF(__Retrofit_TI_NC=1,CONCATENATE("TI ",G473),IF(__Retrofit_TI_NC=2,CONCATENATE("NC ",G473),G473))</f>
        <v>0</v>
      </c>
      <c r="P473" s="1740" t="s">
        <v>435</v>
      </c>
      <c r="Q473" s="1740"/>
      <c r="R473" s="595"/>
      <c r="S473" s="1792"/>
      <c r="T473" s="597"/>
      <c r="U473" s="1765"/>
      <c r="V473" s="1766"/>
      <c r="W473" s="1766"/>
      <c r="X473" s="1766"/>
      <c r="Y473" s="1766"/>
      <c r="Z473" s="1766"/>
      <c r="AA473" s="1766"/>
      <c r="AB473" s="1766"/>
      <c r="AC473" s="1766"/>
      <c r="AD473" s="1767"/>
      <c r="AE473" s="1000"/>
      <c r="AF473" s="597"/>
      <c r="AG473" s="1723"/>
      <c r="AH473" s="1724"/>
      <c r="AI473" s="1724"/>
      <c r="AJ473" s="1724"/>
      <c r="AK473" s="1725"/>
      <c r="AL473" s="996"/>
      <c r="AM473" s="1747"/>
      <c r="AN473" s="1775"/>
      <c r="AO473" s="1777"/>
      <c r="AP473" s="1780"/>
      <c r="AQ473" s="1781"/>
      <c r="AR473" s="1795"/>
      <c r="AS473" s="1795"/>
      <c r="AT473" s="1796"/>
      <c r="AU473" s="1735"/>
      <c r="AV473" s="1752"/>
      <c r="AW473" s="1705"/>
      <c r="AX473" s="467"/>
      <c r="AY473" s="1749"/>
      <c r="AZ473" s="1749"/>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696"/>
      <c r="CQ473" s="1696"/>
      <c r="CR473" s="1809"/>
      <c r="CS473" s="1811"/>
      <c r="CU473" s="1688"/>
      <c r="CV473" s="1703"/>
      <c r="CW473" s="1703"/>
      <c r="CX473" s="1703"/>
      <c r="CY473" s="1815"/>
      <c r="CZ473" s="1711"/>
      <c r="DA473" s="1818"/>
      <c r="DB473" s="1820"/>
      <c r="DC473" s="1820"/>
      <c r="DD473" s="1820"/>
      <c r="DF473" s="1703"/>
      <c r="DG473" s="1831"/>
      <c r="DH473" s="1703"/>
      <c r="DI473" s="1838"/>
      <c r="DJ473" s="1711"/>
      <c r="DK473" s="1712"/>
      <c r="DM473" s="1718"/>
      <c r="DO473" s="1708"/>
      <c r="DQ473" s="1715"/>
      <c r="DR473" s="1720"/>
      <c r="DS473" s="1816"/>
      <c r="DT473" s="1714"/>
      <c r="DU473" s="1715"/>
      <c r="DV473" s="1716"/>
      <c r="DX473" s="1715"/>
      <c r="DY473" s="1720"/>
      <c r="DZ473" s="1715"/>
      <c r="EA473" s="1715"/>
      <c r="EC473" s="1834"/>
      <c r="ED473" s="1834"/>
      <c r="EF473" s="1707"/>
      <c r="EG473" s="1712"/>
      <c r="EH473" s="1818"/>
      <c r="EI473" s="1712"/>
      <c r="EJ473" s="1712"/>
      <c r="EK473" s="1836"/>
      <c r="EL473" s="1836"/>
      <c r="EM473" s="1807"/>
      <c r="EN473" s="1839"/>
      <c r="EO473" s="1839"/>
      <c r="EP473" s="1817"/>
      <c r="EQ473" s="1817"/>
      <c r="ER473" s="1807"/>
      <c r="ES473" s="1807"/>
      <c r="ET473" s="1807"/>
      <c r="EV473" s="1715"/>
      <c r="EX473" s="1805"/>
      <c r="EY473" s="1805"/>
      <c r="EZ473" s="1805"/>
      <c r="FA473" s="1805"/>
      <c r="FB473" s="1805"/>
      <c r="FC473" s="1827"/>
      <c r="FE473" s="1698"/>
      <c r="FG473" s="1816"/>
      <c r="FH473" s="1816"/>
      <c r="FI473" s="133"/>
      <c r="FL473" s="1823"/>
      <c r="FM473" s="1825"/>
      <c r="FN473" s="1698"/>
      <c r="FO473" s="1698"/>
      <c r="FP473" s="1678"/>
      <c r="FQ473" s="1678"/>
      <c r="FS473" s="1687"/>
      <c r="FT473" s="1687"/>
      <c r="FU473" s="1685"/>
      <c r="FV473" s="1687"/>
      <c r="FW473" s="1687"/>
      <c r="FX473" s="1687"/>
      <c r="FY473" s="1697"/>
      <c r="GA473" s="1696"/>
      <c r="GB473" s="1696"/>
      <c r="GC473" s="1696"/>
      <c r="GD473" s="1696"/>
      <c r="GE473" s="1696"/>
      <c r="GF473" s="1696"/>
      <c r="GG473" s="1696"/>
      <c r="GH473" s="1696"/>
      <c r="GI473" s="673"/>
      <c r="GJ473" s="1135"/>
      <c r="GK473" s="1832"/>
      <c r="GM473" s="1693" t="b">
        <f ca="1">IF(AND(GP473=TRUE,GQ473=TRUE),TRUE,FALSE)</f>
        <v>0</v>
      </c>
      <c r="GN473" s="1684" t="b">
        <f>IFERROR(IF(__Retrofit_TI_NC=2,TRUE,IF(AU472="Yes",TRUE,FALSE)),FALSE)</f>
        <v>1</v>
      </c>
      <c r="GP473" s="1684" t="b">
        <f>IFERROR(IF(GP472=1,TRUE,FALSE),FALSE)</f>
        <v>0</v>
      </c>
      <c r="GQ473" s="1684" t="b">
        <f ca="1">IFERROR(IF(GQ472=GQ$14,TRUE,FALSE),FALSE)</f>
        <v>0</v>
      </c>
      <c r="HG473" s="1684" t="b">
        <f>IFERROR(IF(AND(__Retrofit_TI_NC&gt;0,CQ472="Interior"),FALSE,TRUE),FALSE)</f>
        <v>1</v>
      </c>
      <c r="HH473" s="1684" t="b">
        <f>IFERROR(IF(M473=1,TRUE,FALSE),FALSE)</f>
        <v>0</v>
      </c>
      <c r="HI473" s="1684" t="b">
        <f>IFERROR(IF(OR(M474=1,N475="BAM"),TRUE,FALSE),FALSE)</f>
        <v>0</v>
      </c>
      <c r="HJ473" s="1684" t="b">
        <f>IFERROR(IF(__Retrofit_TI_NC&lt;&gt;0,TRUE,IFERROR(IF(VLOOKUP(U473,Fixtures_Existing_List,2,FALSE)&lt;&gt;"",TRUE,FALSE),FALSE)),FALSE)</f>
        <v>0</v>
      </c>
      <c r="HK473" s="1684" t="b">
        <f>IFERROR(IF(VLOOKUP(U474,Fixtures_Proposed_List,2,FALSE)&lt;&gt;"",TRUE,FALSE),FALSE)</f>
        <v>0</v>
      </c>
      <c r="HL473" s="1684" t="b">
        <f>IF(AND(__Retrofit_TI_NC=2,FC472=TRUE),FALSE,TRUE)</f>
        <v>1</v>
      </c>
      <c r="HM473" s="1684" t="b">
        <f>GK472</f>
        <v>1</v>
      </c>
      <c r="HN473" s="1682" t="b">
        <f>IF(ISERROR(MATCH(FE472,_Control_Match[],0))=TRUE,FALSE,TRUE)</f>
        <v>0</v>
      </c>
      <c r="HO473" s="1693" t="b">
        <f>IFERROR(IF(EX472&lt;&gt;EY472,FALSE,TRUE),FALSE)</f>
        <v>1</v>
      </c>
      <c r="HP473" s="1693" t="b">
        <f>IFERROR(IF(EX474&lt;&gt;EY474,FALSE,TRUE),FALSE)</f>
        <v>1</v>
      </c>
      <c r="HQ473" s="1670" t="b">
        <f>IFERROR(IF(CQ472="Exterior",TRUE,IF(AND(OR(FM474=0,FM474=3),JD474&gt;6),FALSE,TRUE)),FALSE)</f>
        <v>0</v>
      </c>
      <c r="HR473" s="1684" t="b">
        <f>IFERROR(IF(AND(FO474=7,FC472=TRUE),FALSE,TRUE),FALSE)</f>
        <v>0</v>
      </c>
      <c r="HS473" s="1684" t="b">
        <f>IFERROR(IF(AND(T474&lt;&gt;AF474,OR(AG474="Interior LLLC", AG474="Interior NLC", AG474="LLLC (outside Daylight)",AG474="LLLC Controls Only"))=TRUE,FALSE,TRUE),FALSE)</f>
        <v>1</v>
      </c>
      <c r="HT473" s="1670" t="b">
        <f>IFERROR(IF(OR(AG474=Lookup!BB$17,AG474=Lookup!BB$18,AG474=Lookup!BB$19)=TRUE,IF(AF474&gt;T474,FALSE,TRUE),TRUE),FALSE)</f>
        <v>1</v>
      </c>
      <c r="HU473" s="1684" t="b">
        <f>IFERROR(IF(__Retrofit_TI_NC=2,IF(EZ474&lt;EZ472,FALSE,TRUE),TRUE),FALSE)</f>
        <v>1</v>
      </c>
      <c r="HV473" s="1684" t="b">
        <f>IF(CQ472="Interior",IL$6,TRUE)</f>
        <v>1</v>
      </c>
      <c r="HW473" s="1684" t="b">
        <f>IF(CQ472="Exterior",IL$8,TRUE)</f>
        <v>1</v>
      </c>
      <c r="HX473" s="1684" t="b">
        <f>IFERROR(IF(__Retrofit_TI_NC&lt;&gt;0,IF(AZ472&lt;AY472,FALSE,TRUE),TRUE),FALSE)</f>
        <v>1</v>
      </c>
      <c r="HY473" s="1684" t="b">
        <f>IFERROR(IF(AND(G473="Exterior",R473&gt;4200),FALSE,TRUE),FALSE)</f>
        <v>1</v>
      </c>
      <c r="HZ473" s="1684" t="b">
        <f>IFERROR(IF(AB475/AB472&lt;HZ$18,FALSE,TRUE),FALSE)</f>
        <v>0</v>
      </c>
      <c r="IB473" s="1691"/>
      <c r="IC473" s="1695"/>
      <c r="ID473" s="1694" t="str">
        <f>VLOOKUP(IB475,_Error_Table,4,FALSE)</f>
        <v>White</v>
      </c>
      <c r="IE473" s="391"/>
      <c r="IF473" s="1688"/>
      <c r="IG473" s="1689"/>
      <c r="IH473" s="1684"/>
      <c r="IK473" s="1689"/>
      <c r="IL473" s="1691"/>
      <c r="IM473" s="1691"/>
      <c r="IN473" s="1691"/>
      <c r="IP473" s="1679"/>
      <c r="IQ473" s="1679"/>
      <c r="IR473" s="1679"/>
      <c r="IS473" s="1679"/>
      <c r="IT473" s="1679"/>
      <c r="IU473" s="1679"/>
      <c r="IV473" s="1679"/>
      <c r="IW473" s="1679"/>
      <c r="IX473" s="1679"/>
      <c r="IY473" s="1679"/>
      <c r="IZ473" s="1679"/>
      <c r="JA473" s="1679"/>
      <c r="JC473" s="1680"/>
      <c r="JD473" s="1670"/>
      <c r="JE473" s="1681"/>
      <c r="JG473" s="1680"/>
      <c r="JH473" s="1670"/>
      <c r="JI473" s="1060"/>
      <c r="JJ473" s="1683"/>
      <c r="JK473" s="1061"/>
      <c r="JL473" s="1683"/>
      <c r="JM473" s="1061"/>
      <c r="JN473" s="1683"/>
      <c r="JO473" s="1061"/>
      <c r="JP473" s="1683"/>
      <c r="JQ473" s="1061"/>
      <c r="JR473" s="1683"/>
      <c r="JS473" s="1061"/>
      <c r="JT473" s="1670"/>
      <c r="JU473" s="1061"/>
      <c r="JV473" s="1670"/>
      <c r="JX473" s="1670"/>
      <c r="JZ473" s="1683"/>
      <c r="KB473" s="1670"/>
    </row>
    <row r="474" spans="1:288" s="78" customFormat="1" ht="14.95" customHeight="1" thickTop="1" thickBot="1">
      <c r="A474" s="78">
        <f>ROW()</f>
        <v>474</v>
      </c>
      <c r="B474" s="1845"/>
      <c r="C474" s="1846"/>
      <c r="D474" s="1847"/>
      <c r="E474" s="1737" t="s">
        <v>298</v>
      </c>
      <c r="F474" s="1738"/>
      <c r="G474" s="1760"/>
      <c r="H474" s="1761"/>
      <c r="I474" s="1761"/>
      <c r="J474" s="1761"/>
      <c r="K474" s="1761"/>
      <c r="L474" s="1762"/>
      <c r="M474" s="461">
        <f>IFERROR(IF(IF(__Retrofit_TI_NC&lt;&gt;0,IF(CQ472="Interior",MATCH(G474,Lookup_Interior_New,0),MATCH(G474,Lookup_Exterior_New,0)),IF(CQ472="Interior",MATCH(G474,Lookup_Interior,0),MATCH(G474,Lookup_Exterior_Areas,0)))&gt;0,1,0),0)</f>
        <v>0</v>
      </c>
      <c r="N474" s="461" t="e">
        <f>IF(__Retrofit_TI_NC=1,
VLOOKUP(G474,'Space Table'!$B$3:$L$163,4,FALSE),
IF(__Retrofit_TI_NC=2,VLOOKUP(G474,'Space Table'!$B$3:$L$163,5,FALSE),VLOOKUP(G474,'Space Table'!$B$3:$L$163,5,FALSE)))</f>
        <v>#N/A</v>
      </c>
      <c r="O474" s="461">
        <f>G474</f>
        <v>0</v>
      </c>
      <c r="P474" s="1738" t="str">
        <f>IFERROR(IF(__Retrofit_TI_NC=1,VLOOKUP(G474,'Space Table'!$B$3:$O$163,13,FALSE),IF(__Retrofit_TI_NC=2,VLOOKUP(G474,'Space Table'!$B$3:$O$163,14,FALSE),"Area (sf):")),"Area (sf):")</f>
        <v>Area (sf):</v>
      </c>
      <c r="Q474" s="1738"/>
      <c r="R474" s="596"/>
      <c r="S474" s="1763" t="s">
        <v>345</v>
      </c>
      <c r="T474" s="594"/>
      <c r="U474" s="1801"/>
      <c r="V474" s="1802"/>
      <c r="W474" s="1802"/>
      <c r="X474" s="1802"/>
      <c r="Y474" s="1802"/>
      <c r="Z474" s="1802"/>
      <c r="AA474" s="1802"/>
      <c r="AB474" s="1802"/>
      <c r="AC474" s="1802"/>
      <c r="AD474" s="1802"/>
      <c r="AE474" s="1803"/>
      <c r="AF474" s="594"/>
      <c r="AG474" s="1787"/>
      <c r="AH474" s="1787"/>
      <c r="AI474" s="1787"/>
      <c r="AJ474" s="1787"/>
      <c r="AK474" s="1787"/>
      <c r="AL474" s="1787"/>
      <c r="AM474" s="1726">
        <f>IFERROR(DI474,"")</f>
        <v>0</v>
      </c>
      <c r="AN474" s="1728" t="str">
        <f>IFERROR(ROUND(AM474*AC475,0),"")</f>
        <v/>
      </c>
      <c r="AO474" s="1730">
        <f>IFERROR(IF(IB472=FALSE,0,AC475-AN474),0)</f>
        <v>0</v>
      </c>
      <c r="AP474" s="1780"/>
      <c r="AQ474" s="1781"/>
      <c r="AR474" s="1795"/>
      <c r="AS474" s="1795"/>
      <c r="AT474" s="1796"/>
      <c r="AU474" s="1735"/>
      <c r="AV474" s="1752"/>
      <c r="AW474" s="1705"/>
      <c r="AX474" s="467"/>
      <c r="AY474" s="1749"/>
      <c r="AZ474" s="1749"/>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696"/>
      <c r="CQ474" s="1696"/>
      <c r="CR474" s="1808" t="str">
        <f>CQ472</f>
        <v/>
      </c>
      <c r="CS474" s="1810" t="str">
        <f>CS472</f>
        <v/>
      </c>
      <c r="CU474" s="1688" t="s">
        <v>345</v>
      </c>
      <c r="CV474" s="1702">
        <f>IF(IB472=TRUE,T474,0)</f>
        <v>0</v>
      </c>
      <c r="CW474" s="1702" t="str">
        <f>IF(IB472=TRUE,U474,"")</f>
        <v/>
      </c>
      <c r="CX474" s="1812">
        <f>IF(IB472=TRUE,U475,0)</f>
        <v>0</v>
      </c>
      <c r="CY474" s="1814">
        <f>IF(IB472=TRUE,AB475,0)</f>
        <v>0</v>
      </c>
      <c r="CZ474" s="1710">
        <f>IF(AND(__Retrofit_TI_NC&gt;0,CR472="interior"),0,IF(IB472=TRUE,AC475,0))</f>
        <v>0</v>
      </c>
      <c r="DA474" s="1818"/>
      <c r="DB474" s="1820"/>
      <c r="DC474" s="1820"/>
      <c r="DD474" s="1820"/>
      <c r="DF474" s="1702">
        <f>IF(IB472=TRUE,AF474,0)</f>
        <v>0</v>
      </c>
      <c r="DG474" s="1830" t="str">
        <f>IF(IB472=TRUE,AG474,"")</f>
        <v/>
      </c>
      <c r="DH474" s="1812">
        <f>AG475</f>
        <v>0</v>
      </c>
      <c r="DI474" s="1837">
        <f>JE474</f>
        <v>0</v>
      </c>
      <c r="DJ474" s="1710">
        <f>IF(AND(__Retrofit_TI_NC&gt;0,CR472="interior"),0,IF(IB472=TRUE,AN474,0))</f>
        <v>0</v>
      </c>
      <c r="DK474" s="1712"/>
      <c r="DN474" s="1717">
        <f>IFERROR(CZ474-DJ474,0)</f>
        <v>0</v>
      </c>
      <c r="DO474" s="1709"/>
      <c r="DQ474" s="1715"/>
      <c r="DR474" s="1719" t="str">
        <f>DQ472</f>
        <v/>
      </c>
      <c r="DS474" s="1816"/>
      <c r="DT474" s="1835" t="str">
        <f>IF(OR(DS472=7,DS472=8,DS472=9),"ALC","")</f>
        <v/>
      </c>
      <c r="DU474" s="1715"/>
      <c r="DV474" s="1716"/>
      <c r="DX474" s="1715"/>
      <c r="DY474" s="1829" t="str">
        <f>DX472</f>
        <v/>
      </c>
      <c r="DZ474" s="1715"/>
      <c r="EA474" s="1715"/>
      <c r="EC474" s="1834"/>
      <c r="ED474" s="1834"/>
      <c r="EF474" s="1707"/>
      <c r="EG474" s="1712"/>
      <c r="EH474" s="1818"/>
      <c r="EI474" s="1712"/>
      <c r="EJ474" s="1712"/>
      <c r="EK474" s="1836"/>
      <c r="EL474" s="1836"/>
      <c r="EM474" s="1807"/>
      <c r="EN474" s="1839"/>
      <c r="EO474" s="1839"/>
      <c r="EP474" s="1817"/>
      <c r="EQ474" s="1817"/>
      <c r="ER474" s="1807"/>
      <c r="ES474" s="1807"/>
      <c r="ET474" s="1807"/>
      <c r="EV474" s="1715"/>
      <c r="EX474" s="1805" t="str">
        <f>IFERROR(VLOOKUP(CS474,'Space Table'!$B$3:$L$163,8,FALSE),"")</f>
        <v/>
      </c>
      <c r="EY474" s="1805" t="str">
        <f>IFERROR(IF(FB474="Yes",VLOOKUP(AG474,Lookup_Control_Type_Table2,4,FALSE),VLOOKUP(AG474,Lookup_Control_Type_Table2,3,FALSE)),"")</f>
        <v/>
      </c>
      <c r="EZ474" s="1805" t="e">
        <f>VLOOKUP(AG474,Lookup!BB$3:BC$20,2,FALSE)</f>
        <v>#N/A</v>
      </c>
      <c r="FA474" s="1805" t="e">
        <f>VLOOKUP(EX472,Lookup_Control_Type_Table,2,FALSE)</f>
        <v>#N/A</v>
      </c>
      <c r="FB474" s="1805" t="e">
        <f>VLOOKUP(CS474,'Space Table'!$B$3:$L$163,7,FALSE)</f>
        <v>#N/A</v>
      </c>
      <c r="FC474" s="1827"/>
      <c r="FE474" s="1698" t="str">
        <f>CONCATENATE(CQ472," - ",AG474)</f>
        <v xml:space="preserve"> - </v>
      </c>
      <c r="FG474" s="1816"/>
      <c r="FH474" s="1816"/>
      <c r="FI474" s="133"/>
      <c r="FL474" s="1822" t="str">
        <f>IF(CQ472="Exterior","Not Daylighted",G475)</f>
        <v>Not Daylighted</v>
      </c>
      <c r="FM474" s="1824">
        <f>VLOOKUP(FL474,_New_Daylight_Table_Codes,2,FALSE)</f>
        <v>0</v>
      </c>
      <c r="FN474" s="1698">
        <f>AG474</f>
        <v>0</v>
      </c>
      <c r="FO474" s="1698" t="e">
        <f>VLOOKUP(FN474,_Control_Table,2,FALSE)</f>
        <v>#N/A</v>
      </c>
      <c r="FP474" s="1678" t="e">
        <f>VLOOKUP(CONCATENATE(FL474," ",FN474),Lookup!AY$102:AZ485,2,FALSE)</f>
        <v>#N/A</v>
      </c>
      <c r="FQ474" s="1698">
        <f>IF(__Retrofit_TI_NC=0,FN474,IF(AND(FT474&gt;0,FN474="Occupancy Sensor"),"Daylight + Occupancy",IF(AND(FT474&gt;0,FO474&lt;4),"Interior Daylight Dimming",FN474)))</f>
        <v>0</v>
      </c>
      <c r="FS474" s="1686">
        <f>IF(CQ472="Interior",VLOOKUP(CS472,Control_Savings_Interior,5,FALSE),0)</f>
        <v>0</v>
      </c>
      <c r="FT474" s="1687">
        <f>IF(CQ474="Exterior",0,IF(FM474=2,0.5,IF(OR(FM474=1,FM474=3),1,0)))</f>
        <v>0</v>
      </c>
      <c r="FU474" s="1685">
        <f>IF(R473&gt;FS$44,(FS474*(FS$44/R473)),FS474)*FT474</f>
        <v>0</v>
      </c>
      <c r="FV474" s="1686">
        <f>DI474</f>
        <v>0</v>
      </c>
      <c r="FW474" s="1686">
        <f>ROUND(FV474+((1-FV474)*FU474),2)</f>
        <v>0</v>
      </c>
      <c r="FX474" s="1686">
        <f>IF(__Retrofit_TI_NC=2,FW474,FV474)</f>
        <v>0</v>
      </c>
      <c r="FY474" s="1697">
        <f>IF(CR474="Interior",VLOOKUP(CS474,Control_Savings_Interior,4,FALSE),0)</f>
        <v>0</v>
      </c>
      <c r="GA474" s="1696"/>
      <c r="GB474" s="1696"/>
      <c r="GC474" s="1696"/>
      <c r="GD474" s="1696"/>
      <c r="GE474" s="1696"/>
      <c r="GF474" s="1696"/>
      <c r="GG474" s="1696"/>
      <c r="GH474" s="1696"/>
      <c r="GI474" s="673" t="b">
        <f>IF(ISNUMBER(SEARCH("TLED",U474)),TRUE,FALSE)</f>
        <v>0</v>
      </c>
      <c r="GJ474" s="1135" t="str">
        <f>IFERROR(VLOOKUP(U474,Fixtures!DM$93:DR$142,6,FALSE),"")</f>
        <v/>
      </c>
      <c r="GK474" s="1832"/>
      <c r="GM474" s="1692"/>
      <c r="GN474" s="1684"/>
      <c r="GP474" s="1684"/>
      <c r="GQ474" s="1684"/>
      <c r="HG474" s="1684"/>
      <c r="HH474" s="1684"/>
      <c r="HI474" s="1684"/>
      <c r="HJ474" s="1684"/>
      <c r="HK474" s="1684"/>
      <c r="HL474" s="1684"/>
      <c r="HM474" s="1684"/>
      <c r="HN474" s="1683"/>
      <c r="HO474" s="1692"/>
      <c r="HP474" s="1692"/>
      <c r="HQ474" s="1670"/>
      <c r="HR474" s="1684"/>
      <c r="HS474" s="1684"/>
      <c r="HT474" s="1670"/>
      <c r="HU474" s="1684"/>
      <c r="HV474" s="1684"/>
      <c r="HW474" s="1684"/>
      <c r="HX474" s="1684"/>
      <c r="HY474" s="1684"/>
      <c r="HZ474" s="1684"/>
      <c r="IB474" s="1692"/>
      <c r="IC474" s="1693" t="b">
        <f>IB472</f>
        <v>0</v>
      </c>
      <c r="ID474" s="1695"/>
      <c r="IE474" s="391"/>
      <c r="IF474" s="1688"/>
      <c r="IG474" s="1689">
        <f ca="1">IF(IF472=TRUE,AC475,0)</f>
        <v>0</v>
      </c>
      <c r="IH474" s="1684"/>
      <c r="IK474" s="1689" t="e">
        <f>ROUND(T474*AB475*N473*R473/1000,0)</f>
        <v>#VALUE!</v>
      </c>
      <c r="IL474" s="1691"/>
      <c r="IM474" s="1693" t="e">
        <f>ROUND(T474*AB475*N473*R473/1000,0)</f>
        <v>#VALUE!</v>
      </c>
      <c r="IN474" s="1691"/>
      <c r="IP474" s="1679"/>
      <c r="IQ474" s="1679" t="e">
        <f t="shared" ref="IQ474:IU474" si="427">IF($CR474="interior",VLOOKUP($CS474,_New_Control_Savings_Interior,IQ$30,FALSE),VLOOKUP($CS474,Control_Savings_Exterior,IQ$30,FALSE))</f>
        <v>#N/A</v>
      </c>
      <c r="IR474" s="1679" t="e">
        <f t="shared" si="427"/>
        <v>#N/A</v>
      </c>
      <c r="IS474" s="1679" t="e">
        <f t="shared" si="427"/>
        <v>#N/A</v>
      </c>
      <c r="IT474" s="1679" t="e">
        <f t="shared" si="427"/>
        <v>#N/A</v>
      </c>
      <c r="IU474" s="1679" t="e">
        <f t="shared" si="427"/>
        <v>#N/A</v>
      </c>
      <c r="IV474" s="1679" t="e">
        <f>IF($CR474="interior",IF(R473&gt;$IP$14,ROUND(($IV$18*($IP$14/R473)),2),$IV$18),VLOOKUP($CS474,Control_Savings_Exterior,IV$30,FALSE))</f>
        <v>#N/A</v>
      </c>
      <c r="IW474" s="1679" t="e">
        <f>IF($CR474="interior",ROUND(((1-IS474)*IV474)+IS474,2),VLOOKUP($CS474,Control_Savings_Exterior,IW$30,FALSE))</f>
        <v>#N/A</v>
      </c>
      <c r="IX474" s="1679" t="e">
        <f>IF($CR474="interior",ROUND(((1-IT474)*IV474)+IT474,2),VLOOKUP($CS474,Control_Savings_Exterior,IX$30,FALSE))</f>
        <v>#N/A</v>
      </c>
      <c r="IY474" s="1679" t="e">
        <f>IF($CR474="interior",IF(R473&gt;$IP$14,ROUND(($IY$18*($IP$14/R473)),2),$IY$18),VLOOKUP($CS474,Control_Savings_Exterior,IY$30,FALSE))</f>
        <v>#N/A</v>
      </c>
      <c r="IZ474" s="1679" t="e">
        <f>IF($CR474="interior",ROUND(((1-IS474)*IY474)+IS474,2),VLOOKUP($CS474,Control_Savings_Exterior,IZ$30,FALSE))</f>
        <v>#N/A</v>
      </c>
      <c r="JA474" s="1679" t="e">
        <f>IF($CR474="interior",ROUND(((1-IT474)*IY474)+IT474,2),VLOOKUP($CS474,Control_Savings_Exterior,JA$30,FALSE))</f>
        <v>#N/A</v>
      </c>
      <c r="JC474" s="1680">
        <f>IFERROR(IF(CR474="Interior",CONCATENATE(G475," ",FQ474),AG474),"")</f>
        <v>0</v>
      </c>
      <c r="JD474" s="1670" t="str">
        <f>IFERROR(VLOOKUP(JC474,_Controls_2023,2,FALSE),"")</f>
        <v/>
      </c>
      <c r="JE474" s="1681">
        <f>IFERROR(CHOOSE(JD474-1,IQ474,IR474,IS474,IT474,IU474,IV474,IW474,IX474,IY474,IZ474,JA474),0)</f>
        <v>0</v>
      </c>
      <c r="JG474" s="1680" t="str">
        <f>FE474</f>
        <v xml:space="preserve"> - </v>
      </c>
      <c r="JH474" s="1670" t="e">
        <f>$FO474</f>
        <v>#N/A</v>
      </c>
      <c r="JI474" s="1060"/>
      <c r="JJ474" s="1670">
        <f>IFERROR(IF($IB472=TRUE,IF(OR(JJ$14="No",JJ472=FALSE,JH474&lt;=JH472,AND(_kWh_Grant=0,GD472=FALSE)),0,IF(JJ$8="Per Line",1,$AF474)),0),0)</f>
        <v>0</v>
      </c>
      <c r="JK474" s="1061"/>
      <c r="JL474" s="1670">
        <f>IFERROR(IF(_kWh_Grant=0,0,IF($IB472=TRUE,IF(OR(JL$14="No",JL472=FALSE,JH474&lt;=JH472),0,IF(JL$8="Per Line",1,$T474)),0)),0)</f>
        <v>0</v>
      </c>
      <c r="JM474" s="1061"/>
      <c r="JN474" s="1670">
        <f>IFERROR(IF(_kWh_Grant=0,0,IF($IB472=TRUE,IF(OR(JN$14="No",JN472=FALSE,JH474&lt;=JH472),0,IF(JN$8="Per Line",1,$AF474)),0)),0)</f>
        <v>0</v>
      </c>
      <c r="JO474" s="1061"/>
      <c r="JP474" s="1670">
        <f>IFERROR(IF(__Retrofit_TI_NC=0,IF(_kWh_Grant=0,0,IF($IB472=TRUE,IF(OR(JP$14="No",JP472=FALSE,$JH474&lt;=$JH472),0,IF(JP$8="Per Line",1,$AF474)),0)),IF($IB472=TRUE,IF(OR(JP$14="No",JP472=FALSE,$JH474&lt;=$JH472),0,IF(JP$8="Per Line",1,$AF474)))),0)</f>
        <v>0</v>
      </c>
      <c r="JQ474" s="1061"/>
      <c r="JR474" s="1670">
        <f>IFERROR(IF(__Retrofit_TI_NC=0,IF(_kWh_Grant=0,0,IF($IB472=TRUE,IF(OR(JR$14="No",JR472=FALSE,$JH474&lt;=$JH472),0,IF(JR$8="Per Line",1,$AF474)),0)),IF($IB472=TRUE,IF(OR(JR$14="No",JR472=FALSE,$JH474&lt;=$JH472),0,IF(JR$8="Per Line",1,$AF474)))),0)</f>
        <v>0</v>
      </c>
      <c r="JS474" s="1061"/>
      <c r="JT474" s="1670">
        <f>IFERROR(IF(__Retrofit_TI_NC=0,IF(_kWh_Grant=0,0,IF($IB472=TRUE,IF(OR(JT$14="No",JT472=FALSE,$JH474&lt;=$JH472),0,IF(JT$8="Per Line",1,$AF474)),0)),IF($IB472=TRUE,IF(OR(JT$14="No",JT472=FALSE,$JH474&lt;=$JH472),0,IF(JT$8="Per Line",1,$AF474)))),0)</f>
        <v>0</v>
      </c>
      <c r="JU474" s="1061"/>
      <c r="JV474" s="1670">
        <f>IFERROR(IF(__Retrofit_TI_NC=0,IF(_kWh_Grant=0,0,IF($IB472=TRUE,IF(OR(JV$14="No",JV472=FALSE,$JH474&lt;=$JH472),0,IF(JV$8="Per Line",1,$AF474)),0)),IF($IB472=TRUE,IF(OR(JV$14="No",JV472=FALSE,$JH474&lt;=$JH472),0,IF(JV$8="Per Line",1,$AF474)))),0)</f>
        <v>0</v>
      </c>
      <c r="JX474" s="1670">
        <f>IFERROR(IF(__Retrofit_TI_NC=0,IF(_kWh_Grant=0,0,IF($IB472=TRUE,IF(OR(JX$14="No",JX472=FALSE,$JH474&lt;=$JH472),0,IF(JX$8="Per Line",1,$AF474)),0)),IF($IB472=TRUE,IF(OR(JX$14="No",JX472=FALSE,$JH474&lt;=$JH472),0,IF(JX$8="Per Line",1,$AF474)))),0)</f>
        <v>0</v>
      </c>
      <c r="JZ474" s="1670">
        <f>IFERROR(IF($IB472=TRUE,IF(OR(JZ$14="No",JZ472=FALSE,$JH474&lt;=$JH472,AND(_kWh_Grant=0,$GD472=FALSE)),0,IF(JZ$8="Per Line",1,$AF474)),0),0)</f>
        <v>0</v>
      </c>
      <c r="KB474" s="1670">
        <f>IFERROR(IF(__Retrofit_TI_NC=0,IF(_kWh_Grant=0,0,IF($IB472=TRUE,IF(OR(KB$14="No",KB472=FALSE,$JH474&lt;=$JH472),0,IF(KB$8="Per Line",1,$AF474)),0)),IF($IB472=TRUE,IF(OR(KB$14="No",KB472=FALSE,$JH474&lt;=$JH472),0,IF(KB$8="Per Line",1,$AF474)))),0)</f>
        <v>0</v>
      </c>
    </row>
    <row r="475" spans="1:288" s="78" customFormat="1" ht="14.95" customHeight="1" thickTop="1" thickBot="1">
      <c r="B475" s="1845"/>
      <c r="C475" s="1846"/>
      <c r="D475" s="1847"/>
      <c r="E475" s="1902" t="s">
        <v>436</v>
      </c>
      <c r="F475" s="1903"/>
      <c r="G475" s="1904" t="s">
        <v>437</v>
      </c>
      <c r="H475" s="1905"/>
      <c r="I475" s="1905"/>
      <c r="J475" s="1905"/>
      <c r="K475" s="1905"/>
      <c r="L475" s="1906"/>
      <c r="M475" s="1145">
        <f>IFERROR(VLOOKUP(G475,_Daylight_Table[],2,FALSE),0)</f>
        <v>0</v>
      </c>
      <c r="N475" s="1146" t="str">
        <f>IF(AND(__Retrofit_TI_NC&gt;0,CQ472="Interior"),"BAM","")</f>
        <v/>
      </c>
      <c r="O475" s="1145" t="e">
        <f>VLOOKUP(G474,'Space Table'!$B$3:$L$163,11,FALSE)</f>
        <v>#N/A</v>
      </c>
      <c r="P475" s="1754"/>
      <c r="Q475" s="1755"/>
      <c r="R475" s="1755"/>
      <c r="S475" s="1764"/>
      <c r="T475" s="1147" t="s">
        <v>342</v>
      </c>
      <c r="U475" s="1756" t="str" cm="1">
        <f t="array" aca="1" ref="U475" ca="1">IFERROR(VLOOKUP(INDIRECT("U" &amp; ROW()-1),Fixtures!DM$93:DP$142,4,FALSE),"")</f>
        <v/>
      </c>
      <c r="V475" s="1757"/>
      <c r="W475" s="1757"/>
      <c r="X475" s="1757"/>
      <c r="Y475" s="1757"/>
      <c r="Z475" s="1757"/>
      <c r="AA475" s="1758"/>
      <c r="AB475" s="939" t="str">
        <f>IFERROR(VLOOKUP(U474,Fixtures_Proposed_List,2,FALSE),"")</f>
        <v/>
      </c>
      <c r="AC475" s="1148" t="str">
        <f>IFERROR(ROUND(T474*AB475*N473*R473/1000,0),"")</f>
        <v/>
      </c>
      <c r="AD475" s="1149" t="str">
        <f>IFERROR(ROUND(T474*AB475/1000,2),"")</f>
        <v/>
      </c>
      <c r="AE475" s="1150"/>
      <c r="AF475" s="1151" t="s">
        <v>342</v>
      </c>
      <c r="AG475" s="1759"/>
      <c r="AH475" s="1759"/>
      <c r="AI475" s="1759"/>
      <c r="AJ475" s="1759"/>
      <c r="AK475" s="1759"/>
      <c r="AL475" s="1759"/>
      <c r="AM475" s="1899"/>
      <c r="AN475" s="1900"/>
      <c r="AO475" s="1901"/>
      <c r="AP475" s="1780"/>
      <c r="AQ475" s="1781"/>
      <c r="AR475" s="1795"/>
      <c r="AS475" s="1795"/>
      <c r="AT475" s="1796"/>
      <c r="AU475" s="1907"/>
      <c r="AV475" s="1752"/>
      <c r="AW475" s="1706"/>
      <c r="AX475" s="468"/>
      <c r="AY475" s="1750"/>
      <c r="AZ475" s="1750"/>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696"/>
      <c r="CQ475" s="1696"/>
      <c r="CR475" s="1809"/>
      <c r="CS475" s="1811"/>
      <c r="CU475" s="1688"/>
      <c r="CV475" s="1703"/>
      <c r="CW475" s="1703"/>
      <c r="CX475" s="1813"/>
      <c r="CY475" s="1815"/>
      <c r="CZ475" s="1711"/>
      <c r="DA475" s="1815"/>
      <c r="DB475" s="1821"/>
      <c r="DC475" s="1821"/>
      <c r="DD475" s="1821"/>
      <c r="DF475" s="1703"/>
      <c r="DG475" s="1831"/>
      <c r="DH475" s="1813"/>
      <c r="DI475" s="1838"/>
      <c r="DJ475" s="1711"/>
      <c r="DK475" s="1712"/>
      <c r="DN475" s="1718"/>
      <c r="DO475" s="1709"/>
      <c r="DQ475" s="1715"/>
      <c r="DR475" s="1720"/>
      <c r="DS475" s="1703"/>
      <c r="DT475" s="1714"/>
      <c r="DU475" s="1715"/>
      <c r="DV475" s="1716"/>
      <c r="DX475" s="1715"/>
      <c r="DY475" s="1720"/>
      <c r="DZ475" s="1715"/>
      <c r="EA475" s="1715"/>
      <c r="EC475" s="1834"/>
      <c r="ED475" s="1834"/>
      <c r="EF475" s="1707"/>
      <c r="EG475" s="1712"/>
      <c r="EH475" s="1815"/>
      <c r="EI475" s="1712"/>
      <c r="EJ475" s="1712"/>
      <c r="EK475" s="1813"/>
      <c r="EL475" s="1813"/>
      <c r="EM475" s="1807"/>
      <c r="EN475" s="1839"/>
      <c r="EO475" s="1839"/>
      <c r="EP475" s="1817"/>
      <c r="EQ475" s="1817"/>
      <c r="ER475" s="1807"/>
      <c r="ES475" s="1807"/>
      <c r="ET475" s="1807"/>
      <c r="EV475" s="1715"/>
      <c r="EX475" s="1806"/>
      <c r="EY475" s="1806"/>
      <c r="EZ475" s="1806"/>
      <c r="FA475" s="1806"/>
      <c r="FB475" s="1806"/>
      <c r="FC475" s="1828"/>
      <c r="FE475" s="1698"/>
      <c r="FG475" s="1703"/>
      <c r="FH475" s="1703"/>
      <c r="FI475" s="133"/>
      <c r="FL475" s="1823"/>
      <c r="FM475" s="1825"/>
      <c r="FN475" s="1698"/>
      <c r="FO475" s="1698"/>
      <c r="FP475" s="1678"/>
      <c r="FQ475" s="1698"/>
      <c r="FS475" s="1687"/>
      <c r="FT475" s="1687"/>
      <c r="FU475" s="1685"/>
      <c r="FV475" s="1687"/>
      <c r="FW475" s="1687"/>
      <c r="FX475" s="1687"/>
      <c r="FY475" s="1697"/>
      <c r="GA475" s="1696"/>
      <c r="GB475" s="1696"/>
      <c r="GC475" s="1696"/>
      <c r="GD475" s="1696"/>
      <c r="GE475" s="1696"/>
      <c r="GF475" s="1696"/>
      <c r="GG475" s="1696"/>
      <c r="GH475" s="1696"/>
      <c r="GI475" s="673"/>
      <c r="GJ475" s="1135"/>
      <c r="GK475" s="1832"/>
      <c r="GN475" s="674">
        <f>IF(GN473=TRUE,0,GN$16)</f>
        <v>0</v>
      </c>
      <c r="GP475" s="674">
        <f>IF(GP473=TRUE,0,GP$16)</f>
        <v>36</v>
      </c>
      <c r="GQ475" s="674">
        <f ca="1">IF(GQ473=TRUE,0,GQ$16)</f>
        <v>35</v>
      </c>
      <c r="GR475" s="391"/>
      <c r="GS475" s="391"/>
      <c r="GT475" s="391"/>
      <c r="GU475" s="391"/>
      <c r="GV475" s="391"/>
      <c r="HG475" s="674">
        <f>IF(HG473=TRUE,0,HG$16)</f>
        <v>0</v>
      </c>
      <c r="HH475" s="674">
        <f t="shared" ref="HH475:HM475" si="428">IF(HH473=TRUE,0,HH$16)</f>
        <v>19</v>
      </c>
      <c r="HI475" s="674">
        <f t="shared" si="428"/>
        <v>18</v>
      </c>
      <c r="HJ475" s="674">
        <f t="shared" si="428"/>
        <v>17</v>
      </c>
      <c r="HK475" s="674">
        <f t="shared" si="428"/>
        <v>16</v>
      </c>
      <c r="HL475" s="674">
        <f t="shared" si="428"/>
        <v>0</v>
      </c>
      <c r="HM475" s="674">
        <f t="shared" si="428"/>
        <v>0</v>
      </c>
      <c r="HN475" s="674">
        <f>IF(HN473=TRUE,0,HN$16)</f>
        <v>13</v>
      </c>
      <c r="HO475" s="674">
        <f t="shared" ref="HO475:HQ475" si="429">IF(HO473=TRUE,0,HO$16)</f>
        <v>0</v>
      </c>
      <c r="HP475" s="674">
        <f t="shared" si="429"/>
        <v>0</v>
      </c>
      <c r="HQ475" s="674">
        <f t="shared" si="429"/>
        <v>10</v>
      </c>
      <c r="HR475" s="674">
        <f>IF(HR473=TRUE,0,HR$16)</f>
        <v>9</v>
      </c>
      <c r="HS475" s="674">
        <f t="shared" ref="HS475:HW475" si="430">IF(HS473=TRUE,0,HS$16)</f>
        <v>0</v>
      </c>
      <c r="HT475" s="674">
        <f t="shared" si="430"/>
        <v>0</v>
      </c>
      <c r="HU475" s="674">
        <f t="shared" si="430"/>
        <v>0</v>
      </c>
      <c r="HV475" s="674">
        <f t="shared" si="430"/>
        <v>0</v>
      </c>
      <c r="HW475" s="674">
        <f t="shared" si="430"/>
        <v>0</v>
      </c>
      <c r="HX475" s="674">
        <f>IF(HX473=TRUE,0,HX$16)</f>
        <v>0</v>
      </c>
      <c r="HY475" s="674">
        <f>IF(HY473=TRUE,0,HY$16)</f>
        <v>0</v>
      </c>
      <c r="HZ475" s="674">
        <f>IF(HZ473=TRUE,0,HZ$16)</f>
        <v>1</v>
      </c>
      <c r="IB475" s="674">
        <f>IF(GP473=FALSE,GP475,IF(GQ473=FALSE,GQ475,MAX(GN475:HZ475)))</f>
        <v>36</v>
      </c>
      <c r="IC475" s="1692"/>
      <c r="ID475" s="205" t="str">
        <f>VLOOKUP(IB475,_Error_Table,3,FALSE)</f>
        <v xml:space="preserve"> </v>
      </c>
      <c r="IE475" s="205"/>
      <c r="IF475" s="1688"/>
      <c r="IG475" s="1689"/>
      <c r="IH475" s="1684"/>
      <c r="IK475" s="1689"/>
      <c r="IL475" s="1692"/>
      <c r="IM475" s="1692"/>
      <c r="IN475" s="1692"/>
      <c r="IP475" s="1679"/>
      <c r="IQ475" s="1679"/>
      <c r="IR475" s="1679"/>
      <c r="IS475" s="1679"/>
      <c r="IT475" s="1679"/>
      <c r="IU475" s="1679"/>
      <c r="IV475" s="1679"/>
      <c r="IW475" s="1679"/>
      <c r="IX475" s="1679"/>
      <c r="IY475" s="1679"/>
      <c r="IZ475" s="1679"/>
      <c r="JA475" s="1679"/>
      <c r="JC475" s="1680"/>
      <c r="JD475" s="1670"/>
      <c r="JE475" s="1681"/>
      <c r="JG475" s="1680"/>
      <c r="JH475" s="1670"/>
      <c r="JI475" s="1060"/>
      <c r="JJ475" s="1670"/>
      <c r="JK475" s="1061"/>
      <c r="JL475" s="1670"/>
      <c r="JM475" s="1061"/>
      <c r="JN475" s="1670"/>
      <c r="JO475" s="1061"/>
      <c r="JP475" s="1670"/>
      <c r="JQ475" s="1061"/>
      <c r="JR475" s="1670"/>
      <c r="JS475" s="1061"/>
      <c r="JT475" s="1670"/>
      <c r="JU475" s="1061"/>
      <c r="JV475" s="1670"/>
      <c r="JX475" s="1670"/>
      <c r="JZ475" s="1670"/>
      <c r="KB475" s="1670"/>
    </row>
    <row r="476" spans="1:288" s="78" customFormat="1" ht="5.0999999999999996" customHeight="1">
      <c r="B476" s="676"/>
      <c r="C476" s="392"/>
      <c r="D476" s="392"/>
      <c r="E476" s="1773"/>
      <c r="F476" s="1773"/>
      <c r="G476" s="1773"/>
      <c r="H476" s="1773"/>
      <c r="I476" s="1773"/>
      <c r="J476" s="1773"/>
      <c r="K476" s="1773"/>
      <c r="L476" s="1773"/>
      <c r="M476" s="1773"/>
      <c r="N476" s="1773"/>
      <c r="O476" s="1773"/>
      <c r="P476" s="1773"/>
      <c r="Q476" s="1773"/>
      <c r="R476" s="1773"/>
      <c r="S476" s="1773"/>
      <c r="T476" s="1773"/>
      <c r="U476" s="1773"/>
      <c r="V476" s="1773"/>
      <c r="W476" s="1773"/>
      <c r="X476" s="1773"/>
      <c r="Y476" s="1773"/>
      <c r="Z476" s="1773"/>
      <c r="AA476" s="1773"/>
      <c r="AB476" s="1773"/>
      <c r="AC476" s="1773"/>
      <c r="AD476" s="1773"/>
      <c r="AE476" s="1773"/>
      <c r="AF476" s="1773"/>
      <c r="AG476" s="1773"/>
      <c r="AH476" s="1773"/>
      <c r="AI476" s="1773"/>
      <c r="AJ476" s="1773"/>
      <c r="AK476" s="1773"/>
      <c r="AL476" s="1773"/>
      <c r="AM476" s="1773"/>
      <c r="AN476" s="1773"/>
      <c r="AO476" s="1773"/>
      <c r="AP476" s="1773"/>
      <c r="AQ476" s="1773"/>
      <c r="AR476" s="1773"/>
      <c r="AS476" s="1773"/>
      <c r="AT476" s="1773"/>
      <c r="AU476" s="1773"/>
      <c r="AV476" s="1773"/>
      <c r="AW476" s="1773"/>
      <c r="AX476" s="469"/>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663"/>
      <c r="CQ476" s="663"/>
      <c r="CR476" s="438"/>
      <c r="CS476" s="663"/>
      <c r="CV476" s="391"/>
      <c r="CW476" s="391"/>
      <c r="CX476" s="207"/>
      <c r="CY476" s="208"/>
      <c r="CZ476" s="208"/>
      <c r="DA476" s="208"/>
      <c r="DB476" s="209"/>
      <c r="DC476" s="209"/>
      <c r="DD476" s="209"/>
      <c r="DF476" s="664"/>
      <c r="DG476" s="665"/>
      <c r="DH476" s="666"/>
      <c r="DI476" s="667"/>
      <c r="DJ476" s="668"/>
      <c r="DK476" s="668"/>
      <c r="DN476" s="208"/>
      <c r="DO476" s="664"/>
      <c r="DQ476" s="664"/>
      <c r="DR476" s="669"/>
      <c r="DS476" s="391"/>
      <c r="DT476" s="664"/>
      <c r="DU476" s="664"/>
      <c r="DV476" s="664"/>
      <c r="DX476" s="664"/>
      <c r="DY476" s="664"/>
      <c r="DZ476" s="664"/>
      <c r="EA476" s="664"/>
      <c r="EC476" s="670"/>
      <c r="ED476" s="670"/>
      <c r="EF476" s="668"/>
      <c r="EG476" s="668"/>
      <c r="EH476" s="208"/>
      <c r="EI476" s="668"/>
      <c r="EJ476" s="668"/>
      <c r="EK476" s="207"/>
      <c r="EL476" s="207"/>
      <c r="EM476" s="666"/>
      <c r="EN476" s="671"/>
      <c r="EO476" s="671"/>
      <c r="EP476" s="672"/>
      <c r="EQ476" s="672"/>
      <c r="ER476" s="666"/>
      <c r="ES476" s="666"/>
      <c r="ET476" s="666"/>
      <c r="EV476" s="664"/>
      <c r="EX476" s="391"/>
      <c r="EY476" s="391"/>
      <c r="EZ476" s="391"/>
      <c r="FA476" s="391"/>
      <c r="FB476" s="391"/>
      <c r="FC476" s="391"/>
      <c r="FE476" s="569"/>
      <c r="FG476" s="391"/>
      <c r="FH476" s="391"/>
      <c r="FI476" s="391"/>
      <c r="FS476" s="664"/>
      <c r="FT476" s="391"/>
      <c r="FU476" s="391"/>
      <c r="FV476" s="664"/>
      <c r="FW476" s="664"/>
      <c r="GA476" s="663"/>
      <c r="GB476" s="663"/>
      <c r="GC476" s="663"/>
      <c r="GD476" s="663"/>
      <c r="GE476" s="663"/>
      <c r="GF476" s="663"/>
      <c r="GG476" s="663"/>
      <c r="GH476" s="663"/>
      <c r="GI476" s="665"/>
      <c r="GJ476" s="664"/>
      <c r="GK476" s="664"/>
    </row>
    <row r="477" spans="1:288" s="78" customFormat="1" ht="14.95" customHeight="1">
      <c r="B477" s="1845" t="str">
        <f>ID480</f>
        <v xml:space="preserve"> </v>
      </c>
      <c r="C477" s="1846">
        <f>C472+1</f>
        <v>84</v>
      </c>
      <c r="D477" s="1847"/>
      <c r="E477" s="1799" t="s">
        <v>295</v>
      </c>
      <c r="F477" s="1800"/>
      <c r="G477" s="1741"/>
      <c r="H477" s="1742"/>
      <c r="I477" s="1742"/>
      <c r="J477" s="1742"/>
      <c r="K477" s="1742"/>
      <c r="L477" s="1742"/>
      <c r="M477" s="1742"/>
      <c r="N477" s="1742"/>
      <c r="O477" s="1742"/>
      <c r="P477" s="1742"/>
      <c r="Q477" s="1742"/>
      <c r="R477" s="1742"/>
      <c r="S477" s="1791" t="s">
        <v>344</v>
      </c>
      <c r="T477" s="590"/>
      <c r="U477" s="1743"/>
      <c r="V477" s="1744"/>
      <c r="W477" s="1744"/>
      <c r="X477" s="1744"/>
      <c r="Y477" s="1744"/>
      <c r="Z477" s="1744"/>
      <c r="AA477" s="1744"/>
      <c r="AB477" s="961" t="str">
        <f>IFERROR(IF(__Retrofit_TI_NC=0,VLOOKUP(U478,Fixtures_Existing_List,2,FALSE),ROUND(N479*R479/T479,10)),"")</f>
        <v/>
      </c>
      <c r="AC477" s="935" t="str">
        <f>IFERROR(IF(__Retrofit_TI_NC=0,ROUND(T478*AB477*N478*R478/1000,0),IF(CQ477="Interior",N479*R479*R478*N478*_C406_reduction/1000,N479*R479*R478*N478/1000)),"")</f>
        <v/>
      </c>
      <c r="AD477" s="936" t="str">
        <f>IFERROR(IF(C$43=0,ROUND(T478*AB477/1000,2),N479*R479/1000),"")</f>
        <v/>
      </c>
      <c r="AE477" s="997"/>
      <c r="AF477" s="937"/>
      <c r="AG477" s="1745" t="str">
        <f>IF(__Retrofit_TI_NC=0," Control","Select Advanced Control for New System")</f>
        <v xml:space="preserve"> Control</v>
      </c>
      <c r="AH477" s="1745"/>
      <c r="AI477" s="1745"/>
      <c r="AJ477" s="1745"/>
      <c r="AK477" s="1745"/>
      <c r="AL477" s="1745"/>
      <c r="AM477" s="1746">
        <f>IFERROR(DI477,"")</f>
        <v>0</v>
      </c>
      <c r="AN477" s="1774" t="str">
        <f>IFERROR(ROUND(AM477*AC477,0),"")</f>
        <v/>
      </c>
      <c r="AO477" s="1776">
        <f>IFERROR(IF(IB477=FALSE,0,AC477-AN477),0)</f>
        <v>0</v>
      </c>
      <c r="AP477" s="1778">
        <f>AO477-AO479</f>
        <v>0</v>
      </c>
      <c r="AQ477" s="1779"/>
      <c r="AR477" s="1793">
        <f>IFERROR(IF(IB477=FALSE,0,(T479*U480)+(AF479*AG480)),0)</f>
        <v>0</v>
      </c>
      <c r="AS477" s="1793"/>
      <c r="AT477" s="1794"/>
      <c r="AU477" s="1734" t="s">
        <v>237</v>
      </c>
      <c r="AV477" s="1751">
        <f>IF(AU477="Yes",1,0)</f>
        <v>1</v>
      </c>
      <c r="AW477" s="1704" t="str">
        <f>IF(OR(DQ477=4,DQ477=5,DQ477=6,DQ477=12),CONCATENATE("$",IF(GH477=TRUE,Lookup!$K$10,Lookup!$K$2)," /lamp"),CONCATENATE(TEXT(ED477,"$0.00"),"/ kWh"))</f>
        <v>$0.00/ kWh</v>
      </c>
      <c r="AX477" s="467"/>
      <c r="AY477" s="1748">
        <f ca="1">IFERROR(IF(GM478=TRUE,(AB480*T479)/R479,0),"NA")</f>
        <v>0</v>
      </c>
      <c r="AZ477" s="1748"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696" t="str">
        <f>N478</f>
        <v/>
      </c>
      <c r="CQ477" s="1696" t="str">
        <f>IFERROR(VLOOKUP(G478,_Lookup_Heat_Type_Table_New,3,FALSE),"")</f>
        <v/>
      </c>
      <c r="CR477" s="1808" t="str">
        <f>CQ477</f>
        <v/>
      </c>
      <c r="CS477" s="1810" t="str">
        <f>IFERROR(VLOOKUP(G479,'Space Table'!$B$3:$L$163,9,FALSE),"")</f>
        <v/>
      </c>
      <c r="CU477" s="1688" t="s">
        <v>344</v>
      </c>
      <c r="CV477" s="1702">
        <f>IF(IB477=TRUE,T478,0)</f>
        <v>0</v>
      </c>
      <c r="CW477" s="1702" t="str">
        <f>IF(IB477=TRUE,U478,"")</f>
        <v/>
      </c>
      <c r="CX477" s="1702"/>
      <c r="CY477" s="1814">
        <f>IF(IB477=TRUE,AB477,0)</f>
        <v>0</v>
      </c>
      <c r="CZ477" s="1710">
        <f>IF(AND(__Retrofit_TI_NC&gt;0,CR477="interior"),0,IF(IB477=TRUE,AC477,0))</f>
        <v>0</v>
      </c>
      <c r="DA477" s="1814">
        <f>IFERROR(IF(IB477=TRUE,CZ477-CZ479,0),0)</f>
        <v>0</v>
      </c>
      <c r="DB477" s="1819">
        <f>IF(IB477=TRUE,AD477,0)</f>
        <v>0</v>
      </c>
      <c r="DC477" s="1819">
        <f>IF(IB477=TRUE,AD480,0)</f>
        <v>0</v>
      </c>
      <c r="DD477" s="1819">
        <f>IFERROR(DB477-DC477,0)</f>
        <v>0</v>
      </c>
      <c r="DF477" s="1702">
        <f>IF(IB477=TRUE,AF478,0)</f>
        <v>0</v>
      </c>
      <c r="DG477" s="1830">
        <f>IFERROR(IF(__Retrofit_TI_NC=2,IF(CQ477="Exterior",O480,FQ477),FN477),"")</f>
        <v>0</v>
      </c>
      <c r="DH477" s="1702"/>
      <c r="DI477" s="1837">
        <f>JE477</f>
        <v>0</v>
      </c>
      <c r="DJ477" s="1710">
        <f>IF(AND(__Retrofit_TI_NC&gt;0,CR477="interior"),0,IF(IB477=TRUE,AN477,0))</f>
        <v>0</v>
      </c>
      <c r="DK477" s="1712">
        <f>IFERROR(IF(IB477=TRUE,DJ479-DJ477,0),0)</f>
        <v>0</v>
      </c>
      <c r="DM477" s="1717">
        <f>IFERROR(CZ477-DJ477,0)</f>
        <v>0</v>
      </c>
      <c r="DO477" s="1708">
        <f>DM477-DN479</f>
        <v>0</v>
      </c>
      <c r="DQ477" s="1715" t="str">
        <f>IFERROR(IF(AND(OR(GC477=4,GC477=5,GC477=6),OR(GF477=4,GF477=5,GF477=6)),GC477+8,VLOOKUP(CW479,Fixtures!R$31:Y$78,8,FALSE)),"")</f>
        <v/>
      </c>
      <c r="DR477" s="1829" t="str">
        <f>DQ477</f>
        <v/>
      </c>
      <c r="DS477" s="1702" t="str">
        <f>IFERROR(VLOOKUP(DG479,Lookup!BB$3:BC$20,2,FALSE),"")</f>
        <v/>
      </c>
      <c r="DT477" s="1713" t="str">
        <f>IF(OR(DS477=7,DS477=8,DS477=9),"ALC","")</f>
        <v/>
      </c>
      <c r="DU477" s="1715">
        <f>IFERROR(IF(OR(DQ477=4,DQ477=5,DQ477=6,DQ477=12,DQ477=13,DQ477=14),VLOOKUP(CW479,Fixtures!DN$27:EG$77,19,FALSE),1)*CV479,0)</f>
        <v>0</v>
      </c>
      <c r="DV477" s="1716">
        <f>IF(OR(DS477=7,DS477=8,DS477=9),IF(DG477=DG479,0,DF479),0)</f>
        <v>0</v>
      </c>
      <c r="DX477" s="1715" t="str">
        <f>IFERROR(IF(EZ477&lt;EZ479,"Yes","No"),"")</f>
        <v/>
      </c>
      <c r="DY477" s="1829" t="str">
        <f>DX477</f>
        <v/>
      </c>
      <c r="DZ477" s="1715">
        <f>IF(DX477="Yes",DF479,0)</f>
        <v>0</v>
      </c>
      <c r="EA477" s="1715">
        <f>DZ477-DV477</f>
        <v>0</v>
      </c>
      <c r="EC477" s="1834">
        <f>IFERROR(VLOOKUP(DQ477,Lookup!AU$3:AV$16,2,FALSE),0)</f>
        <v>0</v>
      </c>
      <c r="ED477" s="1834">
        <f>IF(IB477=FALSE,0,IF(DX477="Yes",EC477+Lookup!K$6,EC477))</f>
        <v>0</v>
      </c>
      <c r="EF477" s="1707">
        <f>IF(IB477=TRUE,DM477,0)</f>
        <v>0</v>
      </c>
      <c r="EG477" s="1712">
        <f>IF(IB477=TRUE,CZ479,0)</f>
        <v>0</v>
      </c>
      <c r="EH477" s="1814">
        <f>IFERROR(EF477-EG477,0)</f>
        <v>0</v>
      </c>
      <c r="EI477" s="1712">
        <f>IF(IB477=TRUE,DJ479,0)</f>
        <v>0</v>
      </c>
      <c r="EJ477" s="1712">
        <f>IFERROR(EF477-EG477+EI477,0)</f>
        <v>0</v>
      </c>
      <c r="EK477" s="1812">
        <f>IF(IB477=TRUE,CV479*CX479,0)</f>
        <v>0</v>
      </c>
      <c r="EL477" s="1812">
        <f>IF(IB477=TRUE,DF479*DH479,0)</f>
        <v>0</v>
      </c>
      <c r="EM477" s="1807">
        <f>AR477</f>
        <v>0</v>
      </c>
      <c r="EN477" s="1839" t="str">
        <f>IFERROR(IF(IB477=TRUE,VLOOKUP(DQ477,Lookup!AU$3:AW$16,3,FALSE)*DU477,""),0)</f>
        <v/>
      </c>
      <c r="EO477" s="1839">
        <f>IF(IB477=TRUE,DZ477*Lookup!AW$12,0)</f>
        <v>0</v>
      </c>
      <c r="EP477" s="1817">
        <f>IFERROR(IF(IB477=TRUE,EN477/EP$40,0),0)</f>
        <v>0</v>
      </c>
      <c r="EQ477" s="1817">
        <f>IF(IB477=TRUE,EO477/EQ$40,0)</f>
        <v>0</v>
      </c>
      <c r="ER477" s="1807">
        <f>IF(IB477=TRUE,ET$40*EP477,0)</f>
        <v>0</v>
      </c>
      <c r="ES477" s="1807">
        <f>IF(IB477=TRUE,ET$40*EQ477,0)</f>
        <v>0</v>
      </c>
      <c r="ET477" s="1807">
        <f>ER477+ES477</f>
        <v>0</v>
      </c>
      <c r="EV477" s="1715">
        <f>IF(G477="",0,1)</f>
        <v>0</v>
      </c>
      <c r="EX477" s="1804" t="str">
        <f>IFERROR(VLOOKUP(CS479,'Space Table'!$B$3:$L$163,8,FALSE),"")</f>
        <v/>
      </c>
      <c r="EY477" s="1804" t="str">
        <f>IFERROR(IF(FB477="Yes",VLOOKUP(DG477,Lookup_Control_Type_Table2,4,FALSE),VLOOKUP(DG477,Lookup_Control_Type_Table2,3,FALSE)),"")</f>
        <v/>
      </c>
      <c r="EZ477" s="1804" t="e">
        <f>VLOOKUP(DG477,Lookup!BB$3:BC$20,2,FALSE)</f>
        <v>#N/A</v>
      </c>
      <c r="FA477" s="1804" t="e">
        <f>VLOOKUP(EX477,Lookup_Control_Type_Table,2,FALSE)</f>
        <v>#N/A</v>
      </c>
      <c r="FB477" s="1804" t="e">
        <f>VLOOKUP(CS479,'Space Table'!$B$3:$L$163,7,FALSE)</f>
        <v>#N/A</v>
      </c>
      <c r="FC477" s="1826" t="b">
        <f>ISNUMBER(SEARCH("TLED",U479))</f>
        <v>0</v>
      </c>
      <c r="FE477" s="1698" t="str">
        <f>CONCATENATE(CQ477," - ",DG477)</f>
        <v xml:space="preserve"> - 0</v>
      </c>
      <c r="FG477" s="1702" t="str">
        <f>VLOOKUP(CW479,Fixtures!DN$27:EZ$77,38,FALSE)</f>
        <v/>
      </c>
      <c r="FH477" s="1702">
        <f>IFERROR(FG477*EH477,0)</f>
        <v>0</v>
      </c>
      <c r="FI477" s="133"/>
      <c r="FL477" s="1822" t="str">
        <f>IF(CQ477="Exterior","Not Daylighted",G480)</f>
        <v>Not Daylighted</v>
      </c>
      <c r="FM477" s="1824">
        <f>VLOOKUP(FL477,_New_Daylight_Table_Codes,2,FALSE)</f>
        <v>0</v>
      </c>
      <c r="FN477" s="1698">
        <f>IF(__Retrofit_TI_NC&gt;0,VLOOKUP(G479,'Space Table'!$B$3:$L$163,11,FALSE),AG478)</f>
        <v>0</v>
      </c>
      <c r="FO477" s="1698" t="e">
        <f>IF(__Retrofit_TI_NC=2,VLOOKUP(FQ477,_Control_Table,2,FALSE),VLOOKUP(FN477,_Control_Table,2,FALSE))</f>
        <v>#N/A</v>
      </c>
      <c r="FP477" s="1678" t="e">
        <f>VLOOKUP(CONCATENATE(FL477," ",FN477),Lookup!AY$102:AZ487,2,FALSE)</f>
        <v>#N/A</v>
      </c>
      <c r="FQ477" s="1678">
        <f>IF(__Retrofit_TI_NC=0,FN477,IF(AND(FT477&gt;0,FN477="Occupancy Sensor"),"Daylight + Occupancy",IF(AND(FT477&gt;0,VLOOKUP(FN477,_Control_Table,2,FALSE)&lt;4),"Interior Daylight Dimming",FN477)))</f>
        <v>0</v>
      </c>
      <c r="FS477" s="1686">
        <f>IF(CR477="Interior",VLOOKUP(CS477,Control_Savings_Interior,5,FALSE),0)</f>
        <v>0</v>
      </c>
      <c r="FT477" s="1687">
        <f>IF(CQ477="Exterior",0,IF(FM477=2,0.5,IF(OR(FM477=1,FM477=3),1,0)))</f>
        <v>0</v>
      </c>
      <c r="FU477" s="1685">
        <f>IF(R476&gt;FS$44,(FS477*(FS$44/R476)),FS477)*FT477</f>
        <v>0</v>
      </c>
      <c r="FV477" s="1686">
        <f>DI477</f>
        <v>0</v>
      </c>
      <c r="FW477" s="1686">
        <f>ROUND(FV477+((1-FV477)*FU477),2)</f>
        <v>0</v>
      </c>
      <c r="FX477" s="1686">
        <f>IF(__Retrofit_TI_NC=2,FW477,FV477)</f>
        <v>0</v>
      </c>
      <c r="FY477" s="1697"/>
      <c r="GA477" s="1696" t="str">
        <f>IFERROR(VLOOKUP(U478,_Exist_Fixture_Table,3,FALSE),"")</f>
        <v/>
      </c>
      <c r="GB477" s="1696" t="str">
        <f>VLOOKUP(CW477,_Exist_Fixture_Table,4,FALSE)</f>
        <v/>
      </c>
      <c r="GC477" s="1696">
        <f>IFERROR(VLOOKUP(GB477,Lookup!AT$6:AU$8,2,FALSE),0)</f>
        <v>0</v>
      </c>
      <c r="GD477" s="1696" t="b">
        <f>IFERROR(IF(OR(GF477=4,GF477=5,GF477=6),TRUE,FALSE),"")</f>
        <v>0</v>
      </c>
      <c r="GE477" s="1696" t="str">
        <f>IFERROR(VLOOKUP(GF477,GC$6:GD$10,2,FALSE),"")</f>
        <v/>
      </c>
      <c r="GF477" s="1696" t="str">
        <f>VLOOKUP(CW479,Fixtures!R$31:Y$78,8,FALSE)</f>
        <v/>
      </c>
      <c r="GG477" s="1696">
        <f>IF(AND(GA477=TRUE,GD477=TRUE,OR(DQ477=12,DQ477=13,DQ477=14)),GC477+8,0)</f>
        <v>0</v>
      </c>
      <c r="GH477" s="1696" t="b">
        <f>IF(OR(GG477=12,GG477=13,GG477=14),TRUE,FALSE)</f>
        <v>0</v>
      </c>
      <c r="GI477" s="673" t="b">
        <f>IF(ISNUMBER(SEARCH("TLED",U478)),TRUE,FALSE)</f>
        <v>0</v>
      </c>
      <c r="GJ477" s="1135" t="str">
        <f>IFERROR(VLOOKUP(U478,Fixtures!BM$93:BR$142,6,FALSE),"")</f>
        <v/>
      </c>
      <c r="GK477" s="1832" t="b">
        <f>IF(OR(GI477=FALSE,GI479=FALSE),TRUE,IF(GJ477-GJ479&lt;5,FALSE,TRUE))</f>
        <v>1</v>
      </c>
      <c r="GO477" s="674">
        <f>GP477</f>
        <v>0</v>
      </c>
      <c r="GP477" s="674">
        <f>IF(G477="",0,1)</f>
        <v>0</v>
      </c>
      <c r="GQ477" s="674">
        <f ca="1">SUM(GR477:HF477)</f>
        <v>2</v>
      </c>
      <c r="GR477" s="674">
        <f>IF(G478="",0,1)</f>
        <v>0</v>
      </c>
      <c r="GS477" s="674">
        <f>IF(N480="BAM",1,IF(G479="",0,1))</f>
        <v>0</v>
      </c>
      <c r="GT477" s="674">
        <f>IF(N480="BAM",1,IF(R478="",0,1))</f>
        <v>0</v>
      </c>
      <c r="GU477" s="674">
        <f>IF(N480="BAM",1,IF(__Retrofit_TI_NC=0,1,IF(R479="",0,1)))</f>
        <v>1</v>
      </c>
      <c r="GV477" s="674">
        <f>IF(N480="BAM",1,IF(CQ477="Exterior",1,IF(G480="",0,1)))</f>
        <v>1</v>
      </c>
      <c r="GW477" s="674">
        <f>IF(__Retrofit_TI_NC&gt;0,1,IF(T478="",0,1))</f>
        <v>0</v>
      </c>
      <c r="GX477" s="674">
        <f>IF(__Retrofit_TI_NC&gt;0,1,IF(U478="",0,1))</f>
        <v>0</v>
      </c>
      <c r="GY477" s="674">
        <f>IF(N480="BAM",1,IF(T479="",0,1))</f>
        <v>0</v>
      </c>
      <c r="GZ477" s="674">
        <f>IF(N480="BAM",1,IF(U479="",0,1))</f>
        <v>0</v>
      </c>
      <c r="HA477" s="674">
        <f ca="1">IF(N480="BAM",1,IF(__Retrofit_TI_NC&gt;0,1,IF(U480="",0,1)))</f>
        <v>0</v>
      </c>
      <c r="HB477" s="674">
        <f>IF(__Retrofit_TI_NC&lt;&gt;0,1,IF(AF478="",0,1))</f>
        <v>0</v>
      </c>
      <c r="HC477" s="674">
        <f>IF(__Retrofit_TI_NC&lt;&gt;0,1,IF(AG478="",0,1))</f>
        <v>0</v>
      </c>
      <c r="HD477" s="674">
        <f>IF(N480="BAM",1,IF(AF479="",0,1))</f>
        <v>0</v>
      </c>
      <c r="HE477" s="674">
        <f>IF(N480="BAM",1,IF(AG479="",0,1))</f>
        <v>0</v>
      </c>
      <c r="HF477" s="674">
        <f>IF(N480="BAM",1,IF(__Retrofit_TI_NC&gt;0,1,IF(AG480="",0,1)))</f>
        <v>0</v>
      </c>
      <c r="HG477" s="391"/>
      <c r="IA477" s="391"/>
      <c r="IB477" s="1693" t="b">
        <f>IF(OR(IB480=0,IB480=HY$16,IB480=HX$16,IB480=HZ$16),TRUE,FALSE)</f>
        <v>0</v>
      </c>
      <c r="IC477" s="1694" t="b">
        <f>IB477</f>
        <v>0</v>
      </c>
      <c r="ID477" s="391"/>
      <c r="IE477" s="391"/>
      <c r="IF477" s="1688" t="b">
        <f ca="1">IF(MAX(GN480:HU480)&gt;5,FALSE,TRUE)</f>
        <v>0</v>
      </c>
      <c r="IG477" s="1689">
        <f ca="1">IF(IF477=TRUE,AC477,0)</f>
        <v>0</v>
      </c>
      <c r="IH477" s="1689">
        <f ca="1">IG477-IG479</f>
        <v>0</v>
      </c>
      <c r="IK477" s="1689" t="e">
        <f>ROUND(T478*VLOOKUP(U478,Fixtures_Existing_List,2,FALSE)*N478*R478/1000,0)</f>
        <v>#N/A</v>
      </c>
      <c r="IL477" s="1690" t="e">
        <f>IK477-IK479</f>
        <v>#N/A</v>
      </c>
      <c r="IM477" s="1693" t="e">
        <f>ROUND(IF(CQ477="Interior",N479*R479*R478*N478*_C406_reduction/1000,N479*R479*R478*N478/1000),0)</f>
        <v>#N/A</v>
      </c>
      <c r="IN477" s="1693" t="e">
        <f>IM477-IM479</f>
        <v>#N/A</v>
      </c>
      <c r="IP477" s="1679"/>
      <c r="IQ477" s="1679" t="e">
        <f t="shared" ref="IQ477:IU477" si="431">IF($CR477="interior",VLOOKUP($CS477,_New_Control_Savings_Interior,IQ$30,FALSE),VLOOKUP($CS477,Control_Savings_Exterior,IQ$30,FALSE))</f>
        <v>#N/A</v>
      </c>
      <c r="IR477" s="1679" t="e">
        <f t="shared" si="431"/>
        <v>#N/A</v>
      </c>
      <c r="IS477" s="1679" t="e">
        <f t="shared" si="431"/>
        <v>#N/A</v>
      </c>
      <c r="IT477" s="1679" t="e">
        <f t="shared" si="431"/>
        <v>#N/A</v>
      </c>
      <c r="IU477" s="1679" t="e">
        <f t="shared" si="431"/>
        <v>#N/A</v>
      </c>
      <c r="IV477" s="1679" t="e">
        <f>IF($CR477="interior",IF(R478&gt;$IP$14,ROUND(($IV$18*($IP$14/R478)),2),$IV$18),VLOOKUP($CS477,Control_Savings_Exterior,IV$30,FALSE))</f>
        <v>#N/A</v>
      </c>
      <c r="IW477" s="1679" t="e">
        <f>IF($CR477="interior",ROUND(((1-IS477)*IV477)+IS477,2),VLOOKUP($CS477,Control_Savings_Exterior,IW$30,FALSE))</f>
        <v>#N/A</v>
      </c>
      <c r="IX477" s="1679" t="e">
        <f>IF($CR477="interior",ROUND(((1-IT477)*IV477)+IT477,2),VLOOKUP($CS477,Control_Savings_Exterior,IX$30,FALSE))</f>
        <v>#N/A</v>
      </c>
      <c r="IY477" s="1679" t="e">
        <f>IF($CR477="interior",IF(R478&gt;$IP$14,ROUND(($IY$18*($IP$14/R478)),2),$IY$18),VLOOKUP($CS477,Control_Savings_Exterior,IY$30,FALSE))</f>
        <v>#N/A</v>
      </c>
      <c r="IZ477" s="1679" t="e">
        <f>IF($CR477="interior",ROUND(((1-IS477)*IY477)+IS477,2),VLOOKUP($CS477,Control_Savings_Exterior,IZ$30,FALSE))</f>
        <v>#N/A</v>
      </c>
      <c r="JA477" s="1679" t="e">
        <f>IF($CR477="interior",ROUND(((1-IT477)*IY477)+IT477,2),VLOOKUP($CS477,Control_Savings_Exterior,JA$30,FALSE))</f>
        <v>#N/A</v>
      </c>
      <c r="JC477" s="1680">
        <f>IFERROR(IF(CR477="Interior",CONCATENATE(G480," ",FQ477),FQ477),"")</f>
        <v>0</v>
      </c>
      <c r="JD477" s="1670" t="str">
        <f>IFERROR(VLOOKUP(JC477,_Controls_2023,2,FALSE),"")</f>
        <v/>
      </c>
      <c r="JE477" s="1681">
        <f>IFERROR(CHOOSE(JD477-1,IQ477,IR477,IS477,IT477,IU477,IV477,IW477,IX477,IY477,IZ477,JA477),0)</f>
        <v>0</v>
      </c>
      <c r="JG477" s="1680" t="str">
        <f>FE477</f>
        <v xml:space="preserve"> - 0</v>
      </c>
      <c r="JH477" s="1670" t="e">
        <f>$FO477</f>
        <v>#N/A</v>
      </c>
      <c r="JI477" s="1060"/>
      <c r="JJ477" s="1682" t="b">
        <f>IF($JG479=CONCATENATE("Interior - ",JJ$4),TRUE,FALSE)</f>
        <v>0</v>
      </c>
      <c r="JK477" s="1061"/>
      <c r="JL477" s="1682" t="b">
        <f>IF($JG479=CONCATENATE("Interior - ",JL$4),TRUE,FALSE)</f>
        <v>0</v>
      </c>
      <c r="JM477" s="1061"/>
      <c r="JN477" s="1682" t="b">
        <f>IF($JG479=CONCATENATE("Interior - ",JN$4),TRUE,FALSE)</f>
        <v>0</v>
      </c>
      <c r="JO477" s="1061"/>
      <c r="JP477" s="1682" t="b">
        <f>IF(__Retrofit_TI_NC&gt;0,FALSE,IF($JG479=CONCATENATE("Interior - ",JP$4),TRUE,FALSE))</f>
        <v>0</v>
      </c>
      <c r="JQ477" s="1061"/>
      <c r="JR477" s="1682" t="b">
        <f>IF(__Retrofit_TI_NC&gt;0,FALSE,IF($JG479=CONCATENATE("Interior - ",JR$4),TRUE,FALSE))</f>
        <v>0</v>
      </c>
      <c r="JS477" s="1061"/>
      <c r="JT477" s="1670" t="b">
        <f>IF(__Retrofit_TI_NC&gt;0,FALSE,IF($JG479=CONCATENATE("Interior - ",JT$4),TRUE,FALSE))</f>
        <v>0</v>
      </c>
      <c r="JU477" s="1061"/>
      <c r="JV477" s="1670" t="b">
        <f>IF(JC479="AELC on Existing",TRUE,FALSE)</f>
        <v>0</v>
      </c>
      <c r="JX477" s="1670" t="b">
        <f>IF(OR(JG479="Exterior - AELC Occupancy based",JG479="Exterior - AELC Time based"),TRUE,FALSE)</f>
        <v>0</v>
      </c>
      <c r="JZ477" s="1682" t="b">
        <f>IF($JG479=CONCATENATE("Exterior - ",JZ$4),TRUE,FALSE)</f>
        <v>0</v>
      </c>
      <c r="KB477" s="1670" t="b">
        <f>IF(__Retrofit_TI_NC&gt;0,FALSE,IF($JG479=CONCATENATE("Interior - ",KB$4),TRUE,FALSE))</f>
        <v>0</v>
      </c>
    </row>
    <row r="478" spans="1:288" s="78" customFormat="1" ht="14.95" customHeight="1" thickTop="1" thickBot="1">
      <c r="B478" s="1845"/>
      <c r="C478" s="1846"/>
      <c r="D478" s="1847"/>
      <c r="E478" s="1737" t="s">
        <v>297</v>
      </c>
      <c r="F478" s="1738"/>
      <c r="G478" s="1739"/>
      <c r="H478" s="1739"/>
      <c r="I478" s="1739"/>
      <c r="J478" s="1739"/>
      <c r="K478" s="1739"/>
      <c r="L478" s="1739"/>
      <c r="M478" s="461" t="e">
        <f>IF(__Retrofit_TI_NC&lt;&gt;0,IF(VLOOKUP(G479,'Space Table'!$B$3:$L$163,3,FALSE)&gt;0,1,0),IF(__Retrofit_TI_NC=VLOOKUP(G479,'Space Table'!$B$3:$L$163,3,FALSE),1,0))</f>
        <v>#N/A</v>
      </c>
      <c r="N478" s="461" t="str">
        <f>IFERROR(VLOOKUP(G478,_Lookup_Heat_Type_Table_New,2,FALSE),"")</f>
        <v/>
      </c>
      <c r="O478" s="461">
        <f>IF(__Retrofit_TI_NC=1,CONCATENATE("TI ",G478),IF(__Retrofit_TI_NC=2,CONCATENATE("NC ",G478),G478))</f>
        <v>0</v>
      </c>
      <c r="P478" s="1740" t="s">
        <v>435</v>
      </c>
      <c r="Q478" s="1740"/>
      <c r="R478" s="595"/>
      <c r="S478" s="1792"/>
      <c r="T478" s="597"/>
      <c r="U478" s="1765"/>
      <c r="V478" s="1766"/>
      <c r="W478" s="1766"/>
      <c r="X478" s="1766"/>
      <c r="Y478" s="1766"/>
      <c r="Z478" s="1766"/>
      <c r="AA478" s="1766"/>
      <c r="AB478" s="1766"/>
      <c r="AC478" s="1766"/>
      <c r="AD478" s="1767"/>
      <c r="AE478" s="1000"/>
      <c r="AF478" s="597"/>
      <c r="AG478" s="1723"/>
      <c r="AH478" s="1724"/>
      <c r="AI478" s="1724"/>
      <c r="AJ478" s="1724"/>
      <c r="AK478" s="1725"/>
      <c r="AL478" s="996"/>
      <c r="AM478" s="1747"/>
      <c r="AN478" s="1775"/>
      <c r="AO478" s="1777"/>
      <c r="AP478" s="1780"/>
      <c r="AQ478" s="1781"/>
      <c r="AR478" s="1795"/>
      <c r="AS478" s="1795"/>
      <c r="AT478" s="1796"/>
      <c r="AU478" s="1735"/>
      <c r="AV478" s="1752"/>
      <c r="AW478" s="1705"/>
      <c r="AX478" s="467"/>
      <c r="AY478" s="1749"/>
      <c r="AZ478" s="1749"/>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696"/>
      <c r="CQ478" s="1696"/>
      <c r="CR478" s="1809"/>
      <c r="CS478" s="1811"/>
      <c r="CU478" s="1688"/>
      <c r="CV478" s="1703"/>
      <c r="CW478" s="1703"/>
      <c r="CX478" s="1703"/>
      <c r="CY478" s="1815"/>
      <c r="CZ478" s="1711"/>
      <c r="DA478" s="1818"/>
      <c r="DB478" s="1820"/>
      <c r="DC478" s="1820"/>
      <c r="DD478" s="1820"/>
      <c r="DF478" s="1703"/>
      <c r="DG478" s="1831"/>
      <c r="DH478" s="1703"/>
      <c r="DI478" s="1838"/>
      <c r="DJ478" s="1711"/>
      <c r="DK478" s="1712"/>
      <c r="DM478" s="1718"/>
      <c r="DO478" s="1708"/>
      <c r="DQ478" s="1715"/>
      <c r="DR478" s="1720"/>
      <c r="DS478" s="1816"/>
      <c r="DT478" s="1714"/>
      <c r="DU478" s="1715"/>
      <c r="DV478" s="1716"/>
      <c r="DX478" s="1715"/>
      <c r="DY478" s="1720"/>
      <c r="DZ478" s="1715"/>
      <c r="EA478" s="1715"/>
      <c r="EC478" s="1834"/>
      <c r="ED478" s="1834"/>
      <c r="EF478" s="1707"/>
      <c r="EG478" s="1712"/>
      <c r="EH478" s="1818"/>
      <c r="EI478" s="1712"/>
      <c r="EJ478" s="1712"/>
      <c r="EK478" s="1836"/>
      <c r="EL478" s="1836"/>
      <c r="EM478" s="1807"/>
      <c r="EN478" s="1839"/>
      <c r="EO478" s="1839"/>
      <c r="EP478" s="1817"/>
      <c r="EQ478" s="1817"/>
      <c r="ER478" s="1807"/>
      <c r="ES478" s="1807"/>
      <c r="ET478" s="1807"/>
      <c r="EV478" s="1715"/>
      <c r="EX478" s="1805"/>
      <c r="EY478" s="1805"/>
      <c r="EZ478" s="1805"/>
      <c r="FA478" s="1805"/>
      <c r="FB478" s="1805"/>
      <c r="FC478" s="1827"/>
      <c r="FE478" s="1698"/>
      <c r="FG478" s="1816"/>
      <c r="FH478" s="1816"/>
      <c r="FI478" s="133"/>
      <c r="FL478" s="1823"/>
      <c r="FM478" s="1825"/>
      <c r="FN478" s="1698"/>
      <c r="FO478" s="1698"/>
      <c r="FP478" s="1678"/>
      <c r="FQ478" s="1678"/>
      <c r="FS478" s="1687"/>
      <c r="FT478" s="1687"/>
      <c r="FU478" s="1685"/>
      <c r="FV478" s="1687"/>
      <c r="FW478" s="1687"/>
      <c r="FX478" s="1687"/>
      <c r="FY478" s="1697"/>
      <c r="GA478" s="1696"/>
      <c r="GB478" s="1696"/>
      <c r="GC478" s="1696"/>
      <c r="GD478" s="1696"/>
      <c r="GE478" s="1696"/>
      <c r="GF478" s="1696"/>
      <c r="GG478" s="1696"/>
      <c r="GH478" s="1696"/>
      <c r="GI478" s="673"/>
      <c r="GJ478" s="1135"/>
      <c r="GK478" s="1832"/>
      <c r="GM478" s="1693" t="b">
        <f ca="1">IF(AND(GP478=TRUE,GQ478=TRUE),TRUE,FALSE)</f>
        <v>0</v>
      </c>
      <c r="GN478" s="1684" t="b">
        <f>IFERROR(IF(__Retrofit_TI_NC=2,TRUE,IF(AU477="Yes",TRUE,FALSE)),FALSE)</f>
        <v>1</v>
      </c>
      <c r="GP478" s="1684" t="b">
        <f>IFERROR(IF(GP477=1,TRUE,FALSE),FALSE)</f>
        <v>0</v>
      </c>
      <c r="GQ478" s="1684" t="b">
        <f ca="1">IFERROR(IF(GQ477=GQ$14,TRUE,FALSE),FALSE)</f>
        <v>0</v>
      </c>
      <c r="HG478" s="1684" t="b">
        <f>IFERROR(IF(AND(__Retrofit_TI_NC&gt;0,CQ477="Interior"),FALSE,TRUE),FALSE)</f>
        <v>1</v>
      </c>
      <c r="HH478" s="1684" t="b">
        <f>IFERROR(IF(M478=1,TRUE,FALSE),FALSE)</f>
        <v>0</v>
      </c>
      <c r="HI478" s="1684" t="b">
        <f>IFERROR(IF(OR(M479=1,N480="BAM"),TRUE,FALSE),FALSE)</f>
        <v>0</v>
      </c>
      <c r="HJ478" s="1684" t="b">
        <f>IFERROR(IF(__Retrofit_TI_NC&lt;&gt;0,TRUE,IFERROR(IF(VLOOKUP(U478,Fixtures_Existing_List,2,FALSE)&lt;&gt;"",TRUE,FALSE),FALSE)),FALSE)</f>
        <v>0</v>
      </c>
      <c r="HK478" s="1684" t="b">
        <f>IFERROR(IF(VLOOKUP(U479,Fixtures_Proposed_List,2,FALSE)&lt;&gt;"",TRUE,FALSE),FALSE)</f>
        <v>0</v>
      </c>
      <c r="HL478" s="1684" t="b">
        <f>IF(AND(__Retrofit_TI_NC=2,FC477=TRUE),FALSE,TRUE)</f>
        <v>1</v>
      </c>
      <c r="HM478" s="1684" t="b">
        <f>GK477</f>
        <v>1</v>
      </c>
      <c r="HN478" s="1682" t="b">
        <f>IF(ISERROR(MATCH(FE477,_Control_Match[],0))=TRUE,FALSE,TRUE)</f>
        <v>0</v>
      </c>
      <c r="HO478" s="1693" t="b">
        <f>IFERROR(IF(EX477&lt;&gt;EY477,FALSE,TRUE),FALSE)</f>
        <v>1</v>
      </c>
      <c r="HP478" s="1693" t="b">
        <f>IFERROR(IF(EX479&lt;&gt;EY479,FALSE,TRUE),FALSE)</f>
        <v>1</v>
      </c>
      <c r="HQ478" s="1670" t="b">
        <f>IFERROR(IF(CQ477="Exterior",TRUE,IF(AND(OR(FM479=0,FM479=3),JD479&gt;6),FALSE,TRUE)),FALSE)</f>
        <v>0</v>
      </c>
      <c r="HR478" s="1684" t="b">
        <f>IFERROR(IF(AND(FO479=7,FC477=TRUE),FALSE,TRUE),FALSE)</f>
        <v>0</v>
      </c>
      <c r="HS478" s="1684" t="b">
        <f>IFERROR(IF(AND(T479&lt;&gt;AF479,OR(AG479="Interior LLLC", AG479="Interior NLC", AG479="LLLC (outside Daylight)",AG479="LLLC Controls Only"))=TRUE,FALSE,TRUE),FALSE)</f>
        <v>1</v>
      </c>
      <c r="HT478" s="1670" t="b">
        <f>IFERROR(IF(OR(AG479=Lookup!BB$17,AG479=Lookup!BB$18,AG479=Lookup!BB$19)=TRUE,IF(AF479&gt;T479,FALSE,TRUE),TRUE),FALSE)</f>
        <v>1</v>
      </c>
      <c r="HU478" s="1684" t="b">
        <f>IFERROR(IF(__Retrofit_TI_NC=2,IF(EZ479&lt;EZ477,FALSE,TRUE),TRUE),FALSE)</f>
        <v>1</v>
      </c>
      <c r="HV478" s="1684" t="b">
        <f>IF(CQ477="Interior",IL$6,TRUE)</f>
        <v>1</v>
      </c>
      <c r="HW478" s="1684" t="b">
        <f>IF(CQ477="Exterior",IL$8,TRUE)</f>
        <v>1</v>
      </c>
      <c r="HX478" s="1684" t="b">
        <f>IFERROR(IF(__Retrofit_TI_NC&lt;&gt;0,IF(AZ477&lt;AY477,FALSE,TRUE),TRUE),FALSE)</f>
        <v>1</v>
      </c>
      <c r="HY478" s="1684" t="b">
        <f>IFERROR(IF(AND(G478="Exterior",R478&gt;4200),FALSE,TRUE),FALSE)</f>
        <v>1</v>
      </c>
      <c r="HZ478" s="1684" t="b">
        <f>IFERROR(IF(AB480/AB477&lt;HZ$18,FALSE,TRUE),FALSE)</f>
        <v>0</v>
      </c>
      <c r="IB478" s="1691"/>
      <c r="IC478" s="1695"/>
      <c r="ID478" s="1694" t="str">
        <f>VLOOKUP(IB480,_Error_Table,4,FALSE)</f>
        <v>White</v>
      </c>
      <c r="IE478" s="391"/>
      <c r="IF478" s="1688"/>
      <c r="IG478" s="1689"/>
      <c r="IH478" s="1684"/>
      <c r="IK478" s="1689"/>
      <c r="IL478" s="1691"/>
      <c r="IM478" s="1691"/>
      <c r="IN478" s="1691"/>
      <c r="IP478" s="1679"/>
      <c r="IQ478" s="1679"/>
      <c r="IR478" s="1679"/>
      <c r="IS478" s="1679"/>
      <c r="IT478" s="1679"/>
      <c r="IU478" s="1679"/>
      <c r="IV478" s="1679"/>
      <c r="IW478" s="1679"/>
      <c r="IX478" s="1679"/>
      <c r="IY478" s="1679"/>
      <c r="IZ478" s="1679"/>
      <c r="JA478" s="1679"/>
      <c r="JC478" s="1680"/>
      <c r="JD478" s="1670"/>
      <c r="JE478" s="1681"/>
      <c r="JG478" s="1680"/>
      <c r="JH478" s="1670"/>
      <c r="JI478" s="1060"/>
      <c r="JJ478" s="1683"/>
      <c r="JK478" s="1061"/>
      <c r="JL478" s="1683"/>
      <c r="JM478" s="1061"/>
      <c r="JN478" s="1683"/>
      <c r="JO478" s="1061"/>
      <c r="JP478" s="1683"/>
      <c r="JQ478" s="1061"/>
      <c r="JR478" s="1683"/>
      <c r="JS478" s="1061"/>
      <c r="JT478" s="1670"/>
      <c r="JU478" s="1061"/>
      <c r="JV478" s="1670"/>
      <c r="JX478" s="1670"/>
      <c r="JZ478" s="1683"/>
      <c r="KB478" s="1670"/>
    </row>
    <row r="479" spans="1:288" s="78" customFormat="1" ht="14.95" customHeight="1" thickTop="1" thickBot="1">
      <c r="A479" s="78">
        <f>ROW()</f>
        <v>479</v>
      </c>
      <c r="B479" s="1845"/>
      <c r="C479" s="1846"/>
      <c r="D479" s="1847"/>
      <c r="E479" s="1737" t="s">
        <v>298</v>
      </c>
      <c r="F479" s="1738"/>
      <c r="G479" s="1760"/>
      <c r="H479" s="1761"/>
      <c r="I479" s="1761"/>
      <c r="J479" s="1761"/>
      <c r="K479" s="1761"/>
      <c r="L479" s="1762"/>
      <c r="M479" s="461">
        <f>IFERROR(IF(IF(__Retrofit_TI_NC&lt;&gt;0,IF(CQ477="Interior",MATCH(G479,Lookup_Interior_New,0),MATCH(G479,Lookup_Exterior_New,0)),IF(CQ477="Interior",MATCH(G479,Lookup_Interior,0),MATCH(G479,Lookup_Exterior_Areas,0)))&gt;0,1,0),0)</f>
        <v>0</v>
      </c>
      <c r="N479" s="461" t="e">
        <f>IF(__Retrofit_TI_NC=1,
VLOOKUP(G479,'Space Table'!$B$3:$L$163,4,FALSE),
IF(__Retrofit_TI_NC=2,VLOOKUP(G479,'Space Table'!$B$3:$L$163,5,FALSE),VLOOKUP(G479,'Space Table'!$B$3:$L$163,5,FALSE)))</f>
        <v>#N/A</v>
      </c>
      <c r="O479" s="461">
        <f>G479</f>
        <v>0</v>
      </c>
      <c r="P479" s="1738" t="str">
        <f>IFERROR(IF(__Retrofit_TI_NC=1,VLOOKUP(G479,'Space Table'!$B$3:$O$163,13,FALSE),IF(__Retrofit_TI_NC=2,VLOOKUP(G479,'Space Table'!$B$3:$O$163,14,FALSE),"Area (sf):")),"Area (sf):")</f>
        <v>Area (sf):</v>
      </c>
      <c r="Q479" s="1738"/>
      <c r="R479" s="596"/>
      <c r="S479" s="1763" t="s">
        <v>345</v>
      </c>
      <c r="T479" s="594"/>
      <c r="U479" s="1801"/>
      <c r="V479" s="1802"/>
      <c r="W479" s="1802"/>
      <c r="X479" s="1802"/>
      <c r="Y479" s="1802"/>
      <c r="Z479" s="1802"/>
      <c r="AA479" s="1802"/>
      <c r="AB479" s="1802"/>
      <c r="AC479" s="1802"/>
      <c r="AD479" s="1802"/>
      <c r="AE479" s="1803"/>
      <c r="AF479" s="594"/>
      <c r="AG479" s="1787"/>
      <c r="AH479" s="1787"/>
      <c r="AI479" s="1787"/>
      <c r="AJ479" s="1787"/>
      <c r="AK479" s="1787"/>
      <c r="AL479" s="1787"/>
      <c r="AM479" s="1726">
        <f>IFERROR(DI479,"")</f>
        <v>0</v>
      </c>
      <c r="AN479" s="1728" t="str">
        <f>IFERROR(ROUND(AM479*AC480,0),"")</f>
        <v/>
      </c>
      <c r="AO479" s="1730">
        <f>IFERROR(IF(IB477=FALSE,0,AC480-AN479),0)</f>
        <v>0</v>
      </c>
      <c r="AP479" s="1780"/>
      <c r="AQ479" s="1781"/>
      <c r="AR479" s="1795"/>
      <c r="AS479" s="1795"/>
      <c r="AT479" s="1796"/>
      <c r="AU479" s="1735"/>
      <c r="AV479" s="1752"/>
      <c r="AW479" s="1705"/>
      <c r="AX479" s="467"/>
      <c r="AY479" s="1749"/>
      <c r="AZ479" s="1749"/>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696"/>
      <c r="CQ479" s="1696"/>
      <c r="CR479" s="1808" t="str">
        <f>CQ477</f>
        <v/>
      </c>
      <c r="CS479" s="1810" t="str">
        <f>CS477</f>
        <v/>
      </c>
      <c r="CU479" s="1688" t="s">
        <v>345</v>
      </c>
      <c r="CV479" s="1702">
        <f>IF(IB477=TRUE,T479,0)</f>
        <v>0</v>
      </c>
      <c r="CW479" s="1702" t="str">
        <f>IF(IB477=TRUE,U479,"")</f>
        <v/>
      </c>
      <c r="CX479" s="1812">
        <f>IF(IB477=TRUE,U480,0)</f>
        <v>0</v>
      </c>
      <c r="CY479" s="1814">
        <f>IF(IB477=TRUE,AB480,0)</f>
        <v>0</v>
      </c>
      <c r="CZ479" s="1710">
        <f>IF(AND(__Retrofit_TI_NC&gt;0,CR477="interior"),0,IF(IB477=TRUE,AC480,0))</f>
        <v>0</v>
      </c>
      <c r="DA479" s="1818"/>
      <c r="DB479" s="1820"/>
      <c r="DC479" s="1820"/>
      <c r="DD479" s="1820"/>
      <c r="DF479" s="1702">
        <f>IF(IB477=TRUE,AF479,0)</f>
        <v>0</v>
      </c>
      <c r="DG479" s="1830" t="str">
        <f>IF(IB477=TRUE,AG479,"")</f>
        <v/>
      </c>
      <c r="DH479" s="1812">
        <f>AG480</f>
        <v>0</v>
      </c>
      <c r="DI479" s="1837">
        <f>JE479</f>
        <v>0</v>
      </c>
      <c r="DJ479" s="1710">
        <f>IF(AND(__Retrofit_TI_NC&gt;0,CR477="interior"),0,IF(IB477=TRUE,AN479,0))</f>
        <v>0</v>
      </c>
      <c r="DK479" s="1712"/>
      <c r="DN479" s="1717">
        <f>IFERROR(CZ479-DJ479,0)</f>
        <v>0</v>
      </c>
      <c r="DO479" s="1709"/>
      <c r="DQ479" s="1715"/>
      <c r="DR479" s="1719" t="str">
        <f>DQ477</f>
        <v/>
      </c>
      <c r="DS479" s="1816"/>
      <c r="DT479" s="1835" t="str">
        <f>IF(OR(DS477=7,DS477=8,DS477=9),"ALC","")</f>
        <v/>
      </c>
      <c r="DU479" s="1715"/>
      <c r="DV479" s="1716"/>
      <c r="DX479" s="1715"/>
      <c r="DY479" s="1829" t="str">
        <f>DX477</f>
        <v/>
      </c>
      <c r="DZ479" s="1715"/>
      <c r="EA479" s="1715"/>
      <c r="EC479" s="1834"/>
      <c r="ED479" s="1834"/>
      <c r="EF479" s="1707"/>
      <c r="EG479" s="1712"/>
      <c r="EH479" s="1818"/>
      <c r="EI479" s="1712"/>
      <c r="EJ479" s="1712"/>
      <c r="EK479" s="1836"/>
      <c r="EL479" s="1836"/>
      <c r="EM479" s="1807"/>
      <c r="EN479" s="1839"/>
      <c r="EO479" s="1839"/>
      <c r="EP479" s="1817"/>
      <c r="EQ479" s="1817"/>
      <c r="ER479" s="1807"/>
      <c r="ES479" s="1807"/>
      <c r="ET479" s="1807"/>
      <c r="EV479" s="1715"/>
      <c r="EX479" s="1805" t="str">
        <f>IFERROR(VLOOKUP(CS479,'Space Table'!$B$3:$L$163,8,FALSE),"")</f>
        <v/>
      </c>
      <c r="EY479" s="1805" t="str">
        <f>IFERROR(IF(FB479="Yes",VLOOKUP(AG479,Lookup_Control_Type_Table2,4,FALSE),VLOOKUP(AG479,Lookup_Control_Type_Table2,3,FALSE)),"")</f>
        <v/>
      </c>
      <c r="EZ479" s="1805" t="e">
        <f>VLOOKUP(AG479,Lookup!BB$3:BC$20,2,FALSE)</f>
        <v>#N/A</v>
      </c>
      <c r="FA479" s="1805" t="e">
        <f>VLOOKUP(EX477,Lookup_Control_Type_Table,2,FALSE)</f>
        <v>#N/A</v>
      </c>
      <c r="FB479" s="1805" t="e">
        <f>VLOOKUP(CS479,'Space Table'!$B$3:$L$163,7,FALSE)</f>
        <v>#N/A</v>
      </c>
      <c r="FC479" s="1827"/>
      <c r="FE479" s="1698" t="str">
        <f>CONCATENATE(CQ477," - ",AG479)</f>
        <v xml:space="preserve"> - </v>
      </c>
      <c r="FG479" s="1816"/>
      <c r="FH479" s="1816"/>
      <c r="FI479" s="133"/>
      <c r="FL479" s="1822" t="str">
        <f>IF(CQ477="Exterior","Not Daylighted",G480)</f>
        <v>Not Daylighted</v>
      </c>
      <c r="FM479" s="1824">
        <f>VLOOKUP(FL479,_New_Daylight_Table_Codes,2,FALSE)</f>
        <v>0</v>
      </c>
      <c r="FN479" s="1698">
        <f>AG479</f>
        <v>0</v>
      </c>
      <c r="FO479" s="1698" t="e">
        <f>VLOOKUP(FN479,_Control_Table,2,FALSE)</f>
        <v>#N/A</v>
      </c>
      <c r="FP479" s="1678" t="e">
        <f>VLOOKUP(CONCATENATE(FL479," ",FN479),Lookup!AY$102:AZ490,2,FALSE)</f>
        <v>#N/A</v>
      </c>
      <c r="FQ479" s="1698">
        <f>IF(__Retrofit_TI_NC=0,FN479,IF(AND(FT479&gt;0,FN479="Occupancy Sensor"),"Daylight + Occupancy",IF(AND(FT479&gt;0,FO479&lt;4),"Interior Daylight Dimming",FN479)))</f>
        <v>0</v>
      </c>
      <c r="FS479" s="1686">
        <f>IF(CQ477="Interior",VLOOKUP(CS477,Control_Savings_Interior,5,FALSE),0)</f>
        <v>0</v>
      </c>
      <c r="FT479" s="1687">
        <f>IF(CQ479="Exterior",0,IF(FM479=2,0.5,IF(OR(FM479=1,FM479=3),1,0)))</f>
        <v>0</v>
      </c>
      <c r="FU479" s="1685">
        <f>IF(R478&gt;FS$44,(FS479*(FS$44/R478)),FS479)*FT479</f>
        <v>0</v>
      </c>
      <c r="FV479" s="1686">
        <f>DI479</f>
        <v>0</v>
      </c>
      <c r="FW479" s="1686">
        <f>ROUND(FV479+((1-FV479)*FU479),2)</f>
        <v>0</v>
      </c>
      <c r="FX479" s="1686">
        <f>IF(__Retrofit_TI_NC=2,FW479,FV479)</f>
        <v>0</v>
      </c>
      <c r="FY479" s="1697">
        <f>IF(CR479="Interior",VLOOKUP(CS479,Control_Savings_Interior,4,FALSE),0)</f>
        <v>0</v>
      </c>
      <c r="GA479" s="1696"/>
      <c r="GB479" s="1696"/>
      <c r="GC479" s="1696"/>
      <c r="GD479" s="1696"/>
      <c r="GE479" s="1696"/>
      <c r="GF479" s="1696"/>
      <c r="GG479" s="1696"/>
      <c r="GH479" s="1696"/>
      <c r="GI479" s="673" t="b">
        <f>IF(ISNUMBER(SEARCH("TLED",U479)),TRUE,FALSE)</f>
        <v>0</v>
      </c>
      <c r="GJ479" s="1135" t="str">
        <f>IFERROR(VLOOKUP(U479,Fixtures!DM$93:DR$142,6,FALSE),"")</f>
        <v/>
      </c>
      <c r="GK479" s="1832"/>
      <c r="GM479" s="1692"/>
      <c r="GN479" s="1684"/>
      <c r="GP479" s="1684"/>
      <c r="GQ479" s="1684"/>
      <c r="HG479" s="1684"/>
      <c r="HH479" s="1684"/>
      <c r="HI479" s="1684"/>
      <c r="HJ479" s="1684"/>
      <c r="HK479" s="1684"/>
      <c r="HL479" s="1684"/>
      <c r="HM479" s="1684"/>
      <c r="HN479" s="1683"/>
      <c r="HO479" s="1692"/>
      <c r="HP479" s="1692"/>
      <c r="HQ479" s="1670"/>
      <c r="HR479" s="1684"/>
      <c r="HS479" s="1684"/>
      <c r="HT479" s="1670"/>
      <c r="HU479" s="1684"/>
      <c r="HV479" s="1684"/>
      <c r="HW479" s="1684"/>
      <c r="HX479" s="1684"/>
      <c r="HY479" s="1684"/>
      <c r="HZ479" s="1684"/>
      <c r="IB479" s="1692"/>
      <c r="IC479" s="1693" t="b">
        <f>IB477</f>
        <v>0</v>
      </c>
      <c r="ID479" s="1695"/>
      <c r="IE479" s="391"/>
      <c r="IF479" s="1688"/>
      <c r="IG479" s="1689">
        <f ca="1">IF(IF477=TRUE,AC480,0)</f>
        <v>0</v>
      </c>
      <c r="IH479" s="1684"/>
      <c r="IK479" s="1689" t="e">
        <f>ROUND(T479*AB480*N478*R478/1000,0)</f>
        <v>#VALUE!</v>
      </c>
      <c r="IL479" s="1691"/>
      <c r="IM479" s="1693" t="e">
        <f>ROUND(T479*AB480*N478*R478/1000,0)</f>
        <v>#VALUE!</v>
      </c>
      <c r="IN479" s="1691"/>
      <c r="IP479" s="1679"/>
      <c r="IQ479" s="1679" t="e">
        <f t="shared" ref="IQ479:IU479" si="432">IF($CR479="interior",VLOOKUP($CS479,_New_Control_Savings_Interior,IQ$30,FALSE),VLOOKUP($CS479,Control_Savings_Exterior,IQ$30,FALSE))</f>
        <v>#N/A</v>
      </c>
      <c r="IR479" s="1679" t="e">
        <f t="shared" si="432"/>
        <v>#N/A</v>
      </c>
      <c r="IS479" s="1679" t="e">
        <f t="shared" si="432"/>
        <v>#N/A</v>
      </c>
      <c r="IT479" s="1679" t="e">
        <f t="shared" si="432"/>
        <v>#N/A</v>
      </c>
      <c r="IU479" s="1679" t="e">
        <f t="shared" si="432"/>
        <v>#N/A</v>
      </c>
      <c r="IV479" s="1679" t="e">
        <f>IF($CR479="interior",IF(R478&gt;$IP$14,ROUND(($IV$18*($IP$14/R478)),2),$IV$18),VLOOKUP($CS479,Control_Savings_Exterior,IV$30,FALSE))</f>
        <v>#N/A</v>
      </c>
      <c r="IW479" s="1679" t="e">
        <f>IF($CR479="interior",ROUND(((1-IS479)*IV479)+IS479,2),VLOOKUP($CS479,Control_Savings_Exterior,IW$30,FALSE))</f>
        <v>#N/A</v>
      </c>
      <c r="IX479" s="1679" t="e">
        <f>IF($CR479="interior",ROUND(((1-IT479)*IV479)+IT479,2),VLOOKUP($CS479,Control_Savings_Exterior,IX$30,FALSE))</f>
        <v>#N/A</v>
      </c>
      <c r="IY479" s="1679" t="e">
        <f>IF($CR479="interior",IF(R478&gt;$IP$14,ROUND(($IY$18*($IP$14/R478)),2),$IY$18),VLOOKUP($CS479,Control_Savings_Exterior,IY$30,FALSE))</f>
        <v>#N/A</v>
      </c>
      <c r="IZ479" s="1679" t="e">
        <f>IF($CR479="interior",ROUND(((1-IS479)*IY479)+IS479,2),VLOOKUP($CS479,Control_Savings_Exterior,IZ$30,FALSE))</f>
        <v>#N/A</v>
      </c>
      <c r="JA479" s="1679" t="e">
        <f>IF($CR479="interior",ROUND(((1-IT479)*IY479)+IT479,2),VLOOKUP($CS479,Control_Savings_Exterior,JA$30,FALSE))</f>
        <v>#N/A</v>
      </c>
      <c r="JC479" s="1680">
        <f>IFERROR(IF(CR479="Interior",CONCATENATE(G480," ",FQ479),AG479),"")</f>
        <v>0</v>
      </c>
      <c r="JD479" s="1670" t="str">
        <f>IFERROR(VLOOKUP(JC479,_Controls_2023,2,FALSE),"")</f>
        <v/>
      </c>
      <c r="JE479" s="1681">
        <f>IFERROR(CHOOSE(JD479-1,IQ479,IR479,IS479,IT479,IU479,IV479,IW479,IX479,IY479,IZ479,JA479),0)</f>
        <v>0</v>
      </c>
      <c r="JG479" s="1680" t="str">
        <f>FE479</f>
        <v xml:space="preserve"> - </v>
      </c>
      <c r="JH479" s="1670" t="e">
        <f>$FO479</f>
        <v>#N/A</v>
      </c>
      <c r="JI479" s="1060"/>
      <c r="JJ479" s="1670">
        <f>IFERROR(IF($IB477=TRUE,IF(OR(JJ$14="No",JJ477=FALSE,JH479&lt;=JH477,AND(_kWh_Grant=0,GD477=FALSE)),0,IF(JJ$8="Per Line",1,$AF479)),0),0)</f>
        <v>0</v>
      </c>
      <c r="JK479" s="1061"/>
      <c r="JL479" s="1670">
        <f>IFERROR(IF(_kWh_Grant=0,0,IF($IB477=TRUE,IF(OR(JL$14="No",JL477=FALSE,JH479&lt;=JH477),0,IF(JL$8="Per Line",1,$T479)),0)),0)</f>
        <v>0</v>
      </c>
      <c r="JM479" s="1061"/>
      <c r="JN479" s="1670">
        <f>IFERROR(IF(_kWh_Grant=0,0,IF($IB477=TRUE,IF(OR(JN$14="No",JN477=FALSE,JH479&lt;=JH477),0,IF(JN$8="Per Line",1,$AF479)),0)),0)</f>
        <v>0</v>
      </c>
      <c r="JO479" s="1061"/>
      <c r="JP479" s="1670">
        <f>IFERROR(IF(__Retrofit_TI_NC=0,IF(_kWh_Grant=0,0,IF($IB477=TRUE,IF(OR(JP$14="No",JP477=FALSE,$JH479&lt;=$JH477),0,IF(JP$8="Per Line",1,$AF479)),0)),IF($IB477=TRUE,IF(OR(JP$14="No",JP477=FALSE,$JH479&lt;=$JH477),0,IF(JP$8="Per Line",1,$AF479)))),0)</f>
        <v>0</v>
      </c>
      <c r="JQ479" s="1061"/>
      <c r="JR479" s="1670">
        <f>IFERROR(IF(__Retrofit_TI_NC=0,IF(_kWh_Grant=0,0,IF($IB477=TRUE,IF(OR(JR$14="No",JR477=FALSE,$JH479&lt;=$JH477),0,IF(JR$8="Per Line",1,$AF479)),0)),IF($IB477=TRUE,IF(OR(JR$14="No",JR477=FALSE,$JH479&lt;=$JH477),0,IF(JR$8="Per Line",1,$AF479)))),0)</f>
        <v>0</v>
      </c>
      <c r="JS479" s="1061"/>
      <c r="JT479" s="1670">
        <f>IFERROR(IF(__Retrofit_TI_NC=0,IF(_kWh_Grant=0,0,IF($IB477=TRUE,IF(OR(JT$14="No",JT477=FALSE,$JH479&lt;=$JH477),0,IF(JT$8="Per Line",1,$AF479)),0)),IF($IB477=TRUE,IF(OR(JT$14="No",JT477=FALSE,$JH479&lt;=$JH477),0,IF(JT$8="Per Line",1,$AF479)))),0)</f>
        <v>0</v>
      </c>
      <c r="JU479" s="1061"/>
      <c r="JV479" s="1670">
        <f>IFERROR(IF(__Retrofit_TI_NC=0,IF(_kWh_Grant=0,0,IF($IB477=TRUE,IF(OR(JV$14="No",JV477=FALSE,$JH479&lt;=$JH477),0,IF(JV$8="Per Line",1,$AF479)),0)),IF($IB477=TRUE,IF(OR(JV$14="No",JV477=FALSE,$JH479&lt;=$JH477),0,IF(JV$8="Per Line",1,$AF479)))),0)</f>
        <v>0</v>
      </c>
      <c r="JX479" s="1670">
        <f>IFERROR(IF(__Retrofit_TI_NC=0,IF(_kWh_Grant=0,0,IF($IB477=TRUE,IF(OR(JX$14="No",JX477=FALSE,$JH479&lt;=$JH477),0,IF(JX$8="Per Line",1,$AF479)),0)),IF($IB477=TRUE,IF(OR(JX$14="No",JX477=FALSE,$JH479&lt;=$JH477),0,IF(JX$8="Per Line",1,$AF479)))),0)</f>
        <v>0</v>
      </c>
      <c r="JZ479" s="1670">
        <f>IFERROR(IF($IB477=TRUE,IF(OR(JZ$14="No",JZ477=FALSE,$JH479&lt;=$JH477,AND(_kWh_Grant=0,$GD477=FALSE)),0,IF(JZ$8="Per Line",1,$AF479)),0),0)</f>
        <v>0</v>
      </c>
      <c r="KB479" s="1670">
        <f>IFERROR(IF(__Retrofit_TI_NC=0,IF(_kWh_Grant=0,0,IF($IB477=TRUE,IF(OR(KB$14="No",KB477=FALSE,$JH479&lt;=$JH477),0,IF(KB$8="Per Line",1,$AF479)),0)),IF($IB477=TRUE,IF(OR(KB$14="No",KB477=FALSE,$JH479&lt;=$JH477),0,IF(KB$8="Per Line",1,$AF479)))),0)</f>
        <v>0</v>
      </c>
    </row>
    <row r="480" spans="1:288" s="78" customFormat="1" ht="14.95" customHeight="1" thickTop="1" thickBot="1">
      <c r="B480" s="1845"/>
      <c r="C480" s="1846"/>
      <c r="D480" s="1847"/>
      <c r="E480" s="1771" t="s">
        <v>436</v>
      </c>
      <c r="F480" s="1772"/>
      <c r="G480" s="1784" t="s">
        <v>437</v>
      </c>
      <c r="H480" s="1785"/>
      <c r="I480" s="1785"/>
      <c r="J480" s="1785"/>
      <c r="K480" s="1785"/>
      <c r="L480" s="1786"/>
      <c r="M480" s="591">
        <f>IFERROR(VLOOKUP(G480,_Daylight_Table[],2,FALSE),0)</f>
        <v>0</v>
      </c>
      <c r="N480" s="592" t="str">
        <f>IF(AND(__Retrofit_TI_NC&gt;0,CQ477="Interior"),"BAM","")</f>
        <v/>
      </c>
      <c r="O480" s="591" t="e">
        <f>VLOOKUP(G479,'Space Table'!$B$3:$L$163,11,FALSE)</f>
        <v>#N/A</v>
      </c>
      <c r="P480" s="1789"/>
      <c r="Q480" s="1790"/>
      <c r="R480" s="1790"/>
      <c r="S480" s="1788"/>
      <c r="T480" s="593" t="s">
        <v>342</v>
      </c>
      <c r="U480" s="1756" t="str" cm="1">
        <f t="array" aca="1" ref="U480" ca="1">IFERROR(VLOOKUP(INDIRECT("U" &amp; ROW()-1),Fixtures!DM$93:DP$142,4,FALSE),"")</f>
        <v/>
      </c>
      <c r="V480" s="1757"/>
      <c r="W480" s="1757"/>
      <c r="X480" s="1757"/>
      <c r="Y480" s="1757"/>
      <c r="Z480" s="1757"/>
      <c r="AA480" s="1758"/>
      <c r="AB480" s="939" t="str">
        <f>IFERROR(VLOOKUP(U479,Fixtures_Proposed_List,2,FALSE),"")</f>
        <v/>
      </c>
      <c r="AC480" s="933" t="str">
        <f>IFERROR(ROUND(T479*AB480*N478*R478/1000,0),"")</f>
        <v/>
      </c>
      <c r="AD480" s="934" t="str">
        <f>IFERROR(ROUND(T479*AB480/1000,2),"")</f>
        <v/>
      </c>
      <c r="AE480" s="998"/>
      <c r="AF480" s="938" t="s">
        <v>342</v>
      </c>
      <c r="AG480" s="1770"/>
      <c r="AH480" s="1770"/>
      <c r="AI480" s="1770"/>
      <c r="AJ480" s="1770"/>
      <c r="AK480" s="1770"/>
      <c r="AL480" s="1770"/>
      <c r="AM480" s="1727"/>
      <c r="AN480" s="1729"/>
      <c r="AO480" s="1731"/>
      <c r="AP480" s="1782"/>
      <c r="AQ480" s="1783"/>
      <c r="AR480" s="1797"/>
      <c r="AS480" s="1797"/>
      <c r="AT480" s="1798"/>
      <c r="AU480" s="1736"/>
      <c r="AV480" s="1753"/>
      <c r="AW480" s="1706"/>
      <c r="AX480" s="468"/>
      <c r="AY480" s="1750"/>
      <c r="AZ480" s="1750"/>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696"/>
      <c r="CQ480" s="1696"/>
      <c r="CR480" s="1809"/>
      <c r="CS480" s="1811"/>
      <c r="CU480" s="1688"/>
      <c r="CV480" s="1703"/>
      <c r="CW480" s="1703"/>
      <c r="CX480" s="1813"/>
      <c r="CY480" s="1815"/>
      <c r="CZ480" s="1711"/>
      <c r="DA480" s="1815"/>
      <c r="DB480" s="1821"/>
      <c r="DC480" s="1821"/>
      <c r="DD480" s="1821"/>
      <c r="DF480" s="1703"/>
      <c r="DG480" s="1831"/>
      <c r="DH480" s="1813"/>
      <c r="DI480" s="1838"/>
      <c r="DJ480" s="1711"/>
      <c r="DK480" s="1712"/>
      <c r="DN480" s="1718"/>
      <c r="DO480" s="1709"/>
      <c r="DQ480" s="1715"/>
      <c r="DR480" s="1720"/>
      <c r="DS480" s="1703"/>
      <c r="DT480" s="1714"/>
      <c r="DU480" s="1715"/>
      <c r="DV480" s="1716"/>
      <c r="DX480" s="1715"/>
      <c r="DY480" s="1720"/>
      <c r="DZ480" s="1715"/>
      <c r="EA480" s="1715"/>
      <c r="EC480" s="1834"/>
      <c r="ED480" s="1834"/>
      <c r="EF480" s="1707"/>
      <c r="EG480" s="1712"/>
      <c r="EH480" s="1815"/>
      <c r="EI480" s="1712"/>
      <c r="EJ480" s="1712"/>
      <c r="EK480" s="1813"/>
      <c r="EL480" s="1813"/>
      <c r="EM480" s="1807"/>
      <c r="EN480" s="1839"/>
      <c r="EO480" s="1839"/>
      <c r="EP480" s="1817"/>
      <c r="EQ480" s="1817"/>
      <c r="ER480" s="1807"/>
      <c r="ES480" s="1807"/>
      <c r="ET480" s="1807"/>
      <c r="EV480" s="1715"/>
      <c r="EX480" s="1806"/>
      <c r="EY480" s="1806"/>
      <c r="EZ480" s="1806"/>
      <c r="FA480" s="1806"/>
      <c r="FB480" s="1806"/>
      <c r="FC480" s="1828"/>
      <c r="FE480" s="1698"/>
      <c r="FG480" s="1703"/>
      <c r="FH480" s="1703"/>
      <c r="FI480" s="133"/>
      <c r="FL480" s="1823"/>
      <c r="FM480" s="1825"/>
      <c r="FN480" s="1698"/>
      <c r="FO480" s="1698"/>
      <c r="FP480" s="1678"/>
      <c r="FQ480" s="1698"/>
      <c r="FS480" s="1687"/>
      <c r="FT480" s="1687"/>
      <c r="FU480" s="1685"/>
      <c r="FV480" s="1687"/>
      <c r="FW480" s="1687"/>
      <c r="FX480" s="1687"/>
      <c r="FY480" s="1697"/>
      <c r="GA480" s="1696"/>
      <c r="GB480" s="1696"/>
      <c r="GC480" s="1696"/>
      <c r="GD480" s="1696"/>
      <c r="GE480" s="1696"/>
      <c r="GF480" s="1696"/>
      <c r="GG480" s="1696"/>
      <c r="GH480" s="1696"/>
      <c r="GI480" s="673"/>
      <c r="GJ480" s="1135"/>
      <c r="GK480" s="1832"/>
      <c r="GN480" s="674">
        <f>IF(GN478=TRUE,0,GN$16)</f>
        <v>0</v>
      </c>
      <c r="GP480" s="674">
        <f>IF(GP478=TRUE,0,GP$16)</f>
        <v>36</v>
      </c>
      <c r="GQ480" s="674">
        <f ca="1">IF(GQ478=TRUE,0,GQ$16)</f>
        <v>35</v>
      </c>
      <c r="GR480" s="391"/>
      <c r="GS480" s="391"/>
      <c r="GT480" s="391"/>
      <c r="GU480" s="391"/>
      <c r="GV480" s="391"/>
      <c r="HG480" s="674">
        <f>IF(HG478=TRUE,0,HG$16)</f>
        <v>0</v>
      </c>
      <c r="HH480" s="674">
        <f t="shared" ref="HH480:HM480" si="433">IF(HH478=TRUE,0,HH$16)</f>
        <v>19</v>
      </c>
      <c r="HI480" s="674">
        <f t="shared" si="433"/>
        <v>18</v>
      </c>
      <c r="HJ480" s="674">
        <f t="shared" si="433"/>
        <v>17</v>
      </c>
      <c r="HK480" s="674">
        <f t="shared" si="433"/>
        <v>16</v>
      </c>
      <c r="HL480" s="674">
        <f t="shared" si="433"/>
        <v>0</v>
      </c>
      <c r="HM480" s="674">
        <f t="shared" si="433"/>
        <v>0</v>
      </c>
      <c r="HN480" s="674">
        <f>IF(HN478=TRUE,0,HN$16)</f>
        <v>13</v>
      </c>
      <c r="HO480" s="674">
        <f t="shared" ref="HO480:HQ480" si="434">IF(HO478=TRUE,0,HO$16)</f>
        <v>0</v>
      </c>
      <c r="HP480" s="674">
        <f t="shared" si="434"/>
        <v>0</v>
      </c>
      <c r="HQ480" s="674">
        <f t="shared" si="434"/>
        <v>10</v>
      </c>
      <c r="HR480" s="674">
        <f>IF(HR478=TRUE,0,HR$16)</f>
        <v>9</v>
      </c>
      <c r="HS480" s="674">
        <f t="shared" ref="HS480:HW480" si="435">IF(HS478=TRUE,0,HS$16)</f>
        <v>0</v>
      </c>
      <c r="HT480" s="674">
        <f t="shared" si="435"/>
        <v>0</v>
      </c>
      <c r="HU480" s="674">
        <f t="shared" si="435"/>
        <v>0</v>
      </c>
      <c r="HV480" s="674">
        <f t="shared" si="435"/>
        <v>0</v>
      </c>
      <c r="HW480" s="674">
        <f t="shared" si="435"/>
        <v>0</v>
      </c>
      <c r="HX480" s="674">
        <f>IF(HX478=TRUE,0,HX$16)</f>
        <v>0</v>
      </c>
      <c r="HY480" s="674">
        <f>IF(HY478=TRUE,0,HY$16)</f>
        <v>0</v>
      </c>
      <c r="HZ480" s="674">
        <f>IF(HZ478=TRUE,0,HZ$16)</f>
        <v>1</v>
      </c>
      <c r="IB480" s="674">
        <f>IF(GP478=FALSE,GP480,IF(GQ478=FALSE,GQ480,MAX(GN480:HZ480)))</f>
        <v>36</v>
      </c>
      <c r="IC480" s="1692"/>
      <c r="ID480" s="205" t="str">
        <f>VLOOKUP(IB480,_Error_Table,3,FALSE)</f>
        <v xml:space="preserve"> </v>
      </c>
      <c r="IE480" s="205"/>
      <c r="IF480" s="1688"/>
      <c r="IG480" s="1689"/>
      <c r="IH480" s="1684"/>
      <c r="IK480" s="1689"/>
      <c r="IL480" s="1692"/>
      <c r="IM480" s="1692"/>
      <c r="IN480" s="1692"/>
      <c r="IP480" s="1679"/>
      <c r="IQ480" s="1679"/>
      <c r="IR480" s="1679"/>
      <c r="IS480" s="1679"/>
      <c r="IT480" s="1679"/>
      <c r="IU480" s="1679"/>
      <c r="IV480" s="1679"/>
      <c r="IW480" s="1679"/>
      <c r="IX480" s="1679"/>
      <c r="IY480" s="1679"/>
      <c r="IZ480" s="1679"/>
      <c r="JA480" s="1679"/>
      <c r="JC480" s="1680"/>
      <c r="JD480" s="1670"/>
      <c r="JE480" s="1681"/>
      <c r="JG480" s="1680"/>
      <c r="JH480" s="1670"/>
      <c r="JI480" s="1060"/>
      <c r="JJ480" s="1670"/>
      <c r="JK480" s="1061"/>
      <c r="JL480" s="1670"/>
      <c r="JM480" s="1061"/>
      <c r="JN480" s="1670"/>
      <c r="JO480" s="1061"/>
      <c r="JP480" s="1670"/>
      <c r="JQ480" s="1061"/>
      <c r="JR480" s="1670"/>
      <c r="JS480" s="1061"/>
      <c r="JT480" s="1670"/>
      <c r="JU480" s="1061"/>
      <c r="JV480" s="1670"/>
      <c r="JX480" s="1670"/>
      <c r="JZ480" s="1670"/>
      <c r="KB480" s="1670"/>
    </row>
    <row r="481" spans="1:288" s="78" customFormat="1" ht="5.0999999999999996" customHeight="1">
      <c r="B481" s="676"/>
      <c r="C481" s="392"/>
      <c r="D481" s="392"/>
      <c r="E481" s="1733"/>
      <c r="F481" s="1733"/>
      <c r="G481" s="1733"/>
      <c r="H481" s="1733"/>
      <c r="I481" s="1733"/>
      <c r="J481" s="1733"/>
      <c r="K481" s="1733"/>
      <c r="L481" s="1733"/>
      <c r="M481" s="1733"/>
      <c r="N481" s="1733"/>
      <c r="O481" s="1733"/>
      <c r="P481" s="1733"/>
      <c r="Q481" s="1733"/>
      <c r="R481" s="1733"/>
      <c r="S481" s="1733"/>
      <c r="T481" s="1733"/>
      <c r="U481" s="1733"/>
      <c r="V481" s="1733"/>
      <c r="W481" s="1733"/>
      <c r="X481" s="1733"/>
      <c r="Y481" s="1733"/>
      <c r="Z481" s="1733"/>
      <c r="AA481" s="1733"/>
      <c r="AB481" s="1733"/>
      <c r="AC481" s="1733"/>
      <c r="AD481" s="1733"/>
      <c r="AE481" s="1733"/>
      <c r="AF481" s="1733"/>
      <c r="AG481" s="1733"/>
      <c r="AH481" s="1733"/>
      <c r="AI481" s="1733"/>
      <c r="AJ481" s="1733"/>
      <c r="AK481" s="1733"/>
      <c r="AL481" s="1733"/>
      <c r="AM481" s="1733"/>
      <c r="AN481" s="1733"/>
      <c r="AO481" s="1733"/>
      <c r="AP481" s="1733"/>
      <c r="AQ481" s="1733"/>
      <c r="AR481" s="1733"/>
      <c r="AS481" s="1733"/>
      <c r="AT481" s="1733"/>
      <c r="AU481" s="1733"/>
      <c r="AV481" s="1733"/>
      <c r="AW481" s="1733"/>
      <c r="AX481" s="469"/>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663"/>
      <c r="CQ481" s="663"/>
      <c r="CR481" s="438"/>
      <c r="CS481" s="663"/>
      <c r="CV481" s="391"/>
      <c r="CW481" s="391"/>
      <c r="CX481" s="207"/>
      <c r="CY481" s="208"/>
      <c r="CZ481" s="208"/>
      <c r="DA481" s="208"/>
      <c r="DB481" s="209"/>
      <c r="DC481" s="209"/>
      <c r="DD481" s="209"/>
      <c r="DF481" s="664"/>
      <c r="DG481" s="665"/>
      <c r="DH481" s="666"/>
      <c r="DI481" s="667"/>
      <c r="DJ481" s="668"/>
      <c r="DK481" s="668"/>
      <c r="DN481" s="208"/>
      <c r="DO481" s="664"/>
      <c r="DQ481" s="664"/>
      <c r="DR481" s="669"/>
      <c r="DS481" s="391"/>
      <c r="DT481" s="664"/>
      <c r="DU481" s="664"/>
      <c r="DV481" s="664"/>
      <c r="DX481" s="664"/>
      <c r="DY481" s="664"/>
      <c r="DZ481" s="664"/>
      <c r="EA481" s="664"/>
      <c r="EC481" s="670"/>
      <c r="ED481" s="670"/>
      <c r="EF481" s="668"/>
      <c r="EG481" s="668"/>
      <c r="EH481" s="208"/>
      <c r="EI481" s="668"/>
      <c r="EJ481" s="668"/>
      <c r="EK481" s="207"/>
      <c r="EL481" s="207"/>
      <c r="EM481" s="666"/>
      <c r="EN481" s="671"/>
      <c r="EO481" s="671"/>
      <c r="EP481" s="672"/>
      <c r="EQ481" s="672"/>
      <c r="ER481" s="666"/>
      <c r="ES481" s="666"/>
      <c r="ET481" s="666"/>
      <c r="EV481" s="664"/>
      <c r="EX481" s="391"/>
      <c r="EY481" s="391"/>
      <c r="EZ481" s="391"/>
      <c r="FA481" s="391"/>
      <c r="FB481" s="391"/>
      <c r="FC481" s="391"/>
      <c r="FE481" s="569"/>
      <c r="FG481" s="391"/>
      <c r="FH481" s="391"/>
      <c r="FI481" s="391"/>
      <c r="FS481" s="664"/>
      <c r="FT481" s="391"/>
      <c r="FU481" s="391"/>
      <c r="FV481" s="664"/>
      <c r="FW481" s="664"/>
      <c r="GA481" s="663"/>
      <c r="GB481" s="663"/>
      <c r="GC481" s="663"/>
      <c r="GD481" s="663"/>
      <c r="GE481" s="663"/>
      <c r="GF481" s="663"/>
      <c r="GG481" s="663"/>
      <c r="GH481" s="663"/>
      <c r="GI481" s="665"/>
      <c r="GJ481" s="664"/>
      <c r="GK481" s="664"/>
    </row>
    <row r="482" spans="1:288">
      <c r="DX482" s="669"/>
      <c r="DY482" s="669"/>
      <c r="DZ482" s="669"/>
      <c r="EA482" s="669"/>
      <c r="EB482" s="669"/>
      <c r="EC482" s="669"/>
      <c r="ED482" s="669"/>
      <c r="EE482" s="669"/>
      <c r="EF482" s="677" t="s">
        <v>344</v>
      </c>
      <c r="EG482" s="677" t="s">
        <v>345</v>
      </c>
      <c r="EH482" s="677" t="s">
        <v>234</v>
      </c>
      <c r="EI482" s="677" t="s">
        <v>347</v>
      </c>
      <c r="EJ482" s="677" t="s">
        <v>348</v>
      </c>
      <c r="EK482" s="677"/>
      <c r="EL482" s="677"/>
      <c r="EM482" s="677" t="s">
        <v>349</v>
      </c>
      <c r="EN482" s="677" t="s">
        <v>234</v>
      </c>
      <c r="EO482" s="677" t="s">
        <v>347</v>
      </c>
      <c r="EP482" s="677" t="s">
        <v>234</v>
      </c>
      <c r="EQ482" s="677" t="s">
        <v>347</v>
      </c>
      <c r="ER482" s="677" t="s">
        <v>234</v>
      </c>
      <c r="ES482" s="677" t="s">
        <v>347</v>
      </c>
      <c r="ET482" s="677"/>
      <c r="EV482" s="38">
        <f>ROW()</f>
        <v>482</v>
      </c>
    </row>
    <row r="483" spans="1:288" s="78" customFormat="1" ht="20.05" customHeight="1">
      <c r="B483" s="211"/>
      <c r="C483" s="392"/>
      <c r="D483" s="392"/>
      <c r="E483" s="211"/>
      <c r="F483" s="211"/>
      <c r="G483" s="211"/>
      <c r="H483" s="211"/>
      <c r="I483" s="438"/>
      <c r="J483" s="438"/>
      <c r="K483" s="438"/>
      <c r="L483" s="438"/>
      <c r="M483" s="438"/>
      <c r="N483" s="438"/>
      <c r="O483" s="438"/>
      <c r="P483" s="438"/>
      <c r="Q483" s="438"/>
      <c r="R483" s="391"/>
      <c r="S483" s="206"/>
      <c r="T483" s="391"/>
      <c r="U483" s="205"/>
      <c r="V483" s="205"/>
      <c r="W483" s="205"/>
      <c r="X483" s="205"/>
      <c r="Y483" s="205"/>
      <c r="Z483" s="205"/>
      <c r="AA483" s="207"/>
      <c r="AB483" s="391"/>
      <c r="AC483" s="208"/>
      <c r="AD483" s="209"/>
      <c r="AE483" s="209"/>
      <c r="AF483" s="391"/>
      <c r="AG483" s="205"/>
      <c r="AH483" s="205"/>
      <c r="AI483" s="205"/>
      <c r="AJ483" s="205"/>
      <c r="AK483" s="205"/>
      <c r="AL483" s="207"/>
      <c r="AM483" s="210"/>
      <c r="AN483" s="208"/>
      <c r="AO483" s="208"/>
      <c r="AP483" s="1768" t="s">
        <v>407</v>
      </c>
      <c r="AQ483" s="1769"/>
      <c r="AR483" s="1867" t="s">
        <v>433</v>
      </c>
      <c r="AS483" s="1867"/>
      <c r="AT483" s="1867" t="s">
        <v>257</v>
      </c>
      <c r="AU483" s="1867"/>
      <c r="AV483" s="1867"/>
      <c r="AW483" s="1867"/>
      <c r="AX483" s="4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101" t="s">
        <v>354</v>
      </c>
      <c r="CQ483" s="101" t="s">
        <v>355</v>
      </c>
      <c r="CR483" s="101"/>
      <c r="CS483" s="101" t="s">
        <v>356</v>
      </c>
      <c r="CT483" s="38"/>
      <c r="CU483" s="38"/>
      <c r="CV483" s="37" t="s">
        <v>341</v>
      </c>
      <c r="CW483" s="38"/>
      <c r="CX483" s="101" t="s">
        <v>342</v>
      </c>
      <c r="CY483" s="38"/>
      <c r="CZ483" s="38"/>
      <c r="DA483" s="101" t="s">
        <v>343</v>
      </c>
      <c r="DB483" s="101" t="s">
        <v>344</v>
      </c>
      <c r="DC483" s="101" t="s">
        <v>345</v>
      </c>
      <c r="DD483" s="101" t="s">
        <v>346</v>
      </c>
      <c r="DE483" s="391"/>
      <c r="DF483" s="37" t="s">
        <v>357</v>
      </c>
      <c r="DG483" s="38"/>
      <c r="DH483" s="101" t="s">
        <v>342</v>
      </c>
      <c r="DI483" s="37"/>
      <c r="DJ483" s="101" t="s">
        <v>343</v>
      </c>
      <c r="DK483" s="101" t="s">
        <v>343</v>
      </c>
      <c r="DL483" s="38"/>
      <c r="DM483" s="101" t="s">
        <v>430</v>
      </c>
      <c r="DN483" s="101" t="s">
        <v>430</v>
      </c>
      <c r="DO483" s="101" t="s">
        <v>286</v>
      </c>
      <c r="DP483" s="38"/>
      <c r="DQ483" s="1732" t="s">
        <v>234</v>
      </c>
      <c r="DR483" s="1732"/>
      <c r="DS483" s="101" t="s">
        <v>347</v>
      </c>
      <c r="DT483" s="101"/>
      <c r="DU483" s="101" t="s">
        <v>358</v>
      </c>
      <c r="DV483" s="101" t="s">
        <v>358</v>
      </c>
      <c r="DW483" s="38"/>
      <c r="DX483" s="1732" t="s">
        <v>347</v>
      </c>
      <c r="DY483" s="1732"/>
      <c r="DZ483" s="101" t="s">
        <v>358</v>
      </c>
      <c r="EA483" s="101" t="s">
        <v>359</v>
      </c>
      <c r="EB483" s="38"/>
      <c r="EC483" s="101" t="s">
        <v>360</v>
      </c>
      <c r="ED483" s="101" t="s">
        <v>361</v>
      </c>
      <c r="EE483" s="391"/>
      <c r="EF483" s="609" t="s">
        <v>234</v>
      </c>
      <c r="EG483" s="609" t="s">
        <v>234</v>
      </c>
      <c r="EH483" s="609" t="s">
        <v>362</v>
      </c>
      <c r="EI483" s="609" t="s">
        <v>362</v>
      </c>
      <c r="EJ483" s="609" t="s">
        <v>362</v>
      </c>
      <c r="EK483" s="609" t="s">
        <v>234</v>
      </c>
      <c r="EL483" s="609" t="s">
        <v>347</v>
      </c>
      <c r="EM483" s="609" t="s">
        <v>347</v>
      </c>
      <c r="EN483" s="609" t="s">
        <v>363</v>
      </c>
      <c r="EO483" s="609" t="s">
        <v>363</v>
      </c>
      <c r="EP483" s="609" t="s">
        <v>363</v>
      </c>
      <c r="EQ483" s="609" t="s">
        <v>363</v>
      </c>
      <c r="ER483" s="609" t="s">
        <v>363</v>
      </c>
      <c r="ES483" s="609" t="s">
        <v>363</v>
      </c>
      <c r="ET483" s="609" t="s">
        <v>363</v>
      </c>
      <c r="EU483" s="391"/>
      <c r="EV483" s="391"/>
      <c r="EX483" s="391"/>
      <c r="EY483" s="391"/>
      <c r="EZ483" s="391"/>
      <c r="FA483" s="391"/>
      <c r="FB483" s="391"/>
      <c r="FC483" s="391"/>
      <c r="FG483" s="391"/>
      <c r="FH483" s="391"/>
      <c r="FI483" s="391"/>
      <c r="FL483" s="101" t="s">
        <v>364</v>
      </c>
      <c r="FM483" s="101" t="s">
        <v>365</v>
      </c>
      <c r="FN483" s="101" t="s">
        <v>366</v>
      </c>
      <c r="FO483" s="101" t="s">
        <v>367</v>
      </c>
      <c r="FP483" s="101"/>
      <c r="FQ483" s="38"/>
      <c r="FR483" s="38" t="s">
        <v>368</v>
      </c>
      <c r="FS483" s="101">
        <v>3200</v>
      </c>
      <c r="FT483" s="101" t="s">
        <v>369</v>
      </c>
      <c r="FU483" s="101" t="s">
        <v>370</v>
      </c>
      <c r="FV483" s="101" t="s">
        <v>371</v>
      </c>
      <c r="FW483" s="101" t="s">
        <v>370</v>
      </c>
      <c r="FX483" s="38"/>
      <c r="FY483" s="38"/>
    </row>
    <row r="484" spans="1:288" s="78" customFormat="1" ht="20.05" customHeight="1">
      <c r="B484" s="211"/>
      <c r="C484" s="585">
        <f>1+C406</f>
        <v>7</v>
      </c>
      <c r="D484" s="392"/>
      <c r="E484" s="205" t="str">
        <f>CONCATENATE(AH$20," - page ",C484)</f>
        <v xml:space="preserve"> - page 7</v>
      </c>
      <c r="F484" s="211"/>
      <c r="G484" s="211"/>
      <c r="H484" s="211"/>
      <c r="I484" s="438"/>
      <c r="J484" s="438"/>
      <c r="K484" s="438"/>
      <c r="L484" s="438"/>
      <c r="M484" s="438"/>
      <c r="N484" s="438"/>
      <c r="O484" s="438"/>
      <c r="P484" s="438"/>
      <c r="Q484" s="438"/>
      <c r="R484" s="391"/>
      <c r="S484" s="206"/>
      <c r="T484" s="391"/>
      <c r="U484" s="205"/>
      <c r="V484" s="205"/>
      <c r="W484" s="205"/>
      <c r="X484" s="205"/>
      <c r="Y484" s="205"/>
      <c r="Z484" s="205"/>
      <c r="AA484" s="207"/>
      <c r="AB484" s="599" t="s">
        <v>194</v>
      </c>
      <c r="AC484" s="599" t="s">
        <v>343</v>
      </c>
      <c r="AD484" s="599" t="s">
        <v>383</v>
      </c>
      <c r="AE484" s="999"/>
      <c r="AF484" s="391"/>
      <c r="AG484" s="205"/>
      <c r="AH484" s="205"/>
      <c r="AI484" s="205"/>
      <c r="AJ484" s="205"/>
      <c r="AK484" s="205"/>
      <c r="AL484" s="207"/>
      <c r="AM484" s="600" t="s">
        <v>286</v>
      </c>
      <c r="AN484" s="600" t="s">
        <v>407</v>
      </c>
      <c r="AO484" s="601" t="s">
        <v>432</v>
      </c>
      <c r="AP484" s="1840">
        <f>BA$4</f>
        <v>0</v>
      </c>
      <c r="AQ484" s="1841"/>
      <c r="AR484" s="1842">
        <f>BA$6</f>
        <v>0</v>
      </c>
      <c r="AS484" s="1843"/>
      <c r="AT484" s="1844"/>
      <c r="AU484" s="1898" t="str">
        <f>BA$2</f>
        <v>Rate Sch?</v>
      </c>
      <c r="AV484" s="1898"/>
      <c r="AW484" s="1684"/>
      <c r="AX484" s="391"/>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101" t="s">
        <v>381</v>
      </c>
      <c r="CQ484" s="101" t="s">
        <v>333</v>
      </c>
      <c r="CR484" s="101"/>
      <c r="CS484" s="101" t="s">
        <v>221</v>
      </c>
      <c r="CT484" s="38"/>
      <c r="CU484" s="38"/>
      <c r="CV484" s="101" t="s">
        <v>239</v>
      </c>
      <c r="CW484" s="101" t="s">
        <v>234</v>
      </c>
      <c r="CX484" s="101" t="s">
        <v>382</v>
      </c>
      <c r="CY484" s="101" t="s">
        <v>194</v>
      </c>
      <c r="CZ484" s="101" t="s">
        <v>343</v>
      </c>
      <c r="DA484" s="101" t="s">
        <v>346</v>
      </c>
      <c r="DB484" s="101" t="s">
        <v>383</v>
      </c>
      <c r="DC484" s="101" t="s">
        <v>383</v>
      </c>
      <c r="DD484" s="101" t="s">
        <v>383</v>
      </c>
      <c r="DE484" s="391"/>
      <c r="DF484" s="101" t="s">
        <v>239</v>
      </c>
      <c r="DG484" s="37" t="s">
        <v>347</v>
      </c>
      <c r="DH484" s="101" t="s">
        <v>382</v>
      </c>
      <c r="DI484" s="101" t="s">
        <v>384</v>
      </c>
      <c r="DJ484" s="101" t="s">
        <v>346</v>
      </c>
      <c r="DK484" s="101" t="s">
        <v>346</v>
      </c>
      <c r="DL484" s="38"/>
      <c r="DM484" s="101" t="s">
        <v>432</v>
      </c>
      <c r="DN484" s="101" t="s">
        <v>345</v>
      </c>
      <c r="DO484" s="38"/>
      <c r="DP484" s="38"/>
      <c r="DQ484" s="1833" t="s">
        <v>221</v>
      </c>
      <c r="DR484" s="1833"/>
      <c r="DS484" s="101" t="s">
        <v>221</v>
      </c>
      <c r="DT484" s="101"/>
      <c r="DU484" s="101" t="s">
        <v>234</v>
      </c>
      <c r="DV484" s="101" t="s">
        <v>385</v>
      </c>
      <c r="DW484" s="38"/>
      <c r="DX484" s="1833" t="s">
        <v>386</v>
      </c>
      <c r="DY484" s="1833"/>
      <c r="DZ484" s="101" t="s">
        <v>387</v>
      </c>
      <c r="EA484" s="101" t="s">
        <v>385</v>
      </c>
      <c r="EB484" s="38"/>
      <c r="EC484" s="101" t="s">
        <v>257</v>
      </c>
      <c r="ED484" s="101" t="s">
        <v>257</v>
      </c>
      <c r="EE484" s="391"/>
      <c r="EF484" s="609" t="s">
        <v>343</v>
      </c>
      <c r="EG484" s="609" t="s">
        <v>343</v>
      </c>
      <c r="EH484" s="609" t="s">
        <v>343</v>
      </c>
      <c r="EI484" s="609" t="s">
        <v>343</v>
      </c>
      <c r="EJ484" s="609" t="s">
        <v>343</v>
      </c>
      <c r="EK484" s="609" t="s">
        <v>342</v>
      </c>
      <c r="EL484" s="609" t="s">
        <v>342</v>
      </c>
      <c r="EM484" s="609" t="s">
        <v>342</v>
      </c>
      <c r="EN484" s="609" t="s">
        <v>388</v>
      </c>
      <c r="EO484" s="609" t="s">
        <v>388</v>
      </c>
      <c r="EP484" s="609" t="s">
        <v>389</v>
      </c>
      <c r="EQ484" s="609" t="s">
        <v>389</v>
      </c>
      <c r="ER484" s="609" t="s">
        <v>342</v>
      </c>
      <c r="ES484" s="609" t="s">
        <v>342</v>
      </c>
      <c r="ET484" s="609" t="s">
        <v>342</v>
      </c>
      <c r="EU484" s="391"/>
      <c r="EV484" s="391">
        <f>SUM(EV485:EV558)</f>
        <v>0</v>
      </c>
      <c r="EX484" s="391"/>
      <c r="EY484" s="391"/>
      <c r="EZ484" s="391"/>
      <c r="FA484" s="391"/>
      <c r="FB484" s="85" t="s">
        <v>385</v>
      </c>
      <c r="FC484" s="85" t="s">
        <v>218</v>
      </c>
      <c r="FG484" s="391"/>
      <c r="FH484" s="391"/>
      <c r="FI484" s="391"/>
      <c r="FL484" s="38"/>
      <c r="FM484" s="101" t="s">
        <v>328</v>
      </c>
      <c r="FN484" s="38"/>
      <c r="FO484" s="38"/>
      <c r="FP484" s="38"/>
      <c r="FQ484" s="38"/>
      <c r="FR484" s="38" t="s">
        <v>286</v>
      </c>
      <c r="FS484" s="101" t="s">
        <v>369</v>
      </c>
      <c r="FT484" s="101" t="s">
        <v>391</v>
      </c>
      <c r="FU484" s="101" t="s">
        <v>369</v>
      </c>
      <c r="FV484" s="101" t="s">
        <v>347</v>
      </c>
      <c r="FW484" s="37" t="s">
        <v>392</v>
      </c>
      <c r="FX484" s="38"/>
      <c r="FY484" s="101" t="s">
        <v>393</v>
      </c>
    </row>
    <row r="485" spans="1:288" s="78" customFormat="1" ht="14.95" customHeight="1">
      <c r="B485" s="1845" t="str">
        <f>ID488</f>
        <v xml:space="preserve"> </v>
      </c>
      <c r="C485" s="1846">
        <f>C477+1</f>
        <v>85</v>
      </c>
      <c r="D485" s="1847"/>
      <c r="E485" s="1799" t="s">
        <v>295</v>
      </c>
      <c r="F485" s="1800"/>
      <c r="G485" s="1741"/>
      <c r="H485" s="1742"/>
      <c r="I485" s="1742"/>
      <c r="J485" s="1742"/>
      <c r="K485" s="1742"/>
      <c r="L485" s="1742"/>
      <c r="M485" s="1742"/>
      <c r="N485" s="1742"/>
      <c r="O485" s="1742"/>
      <c r="P485" s="1742"/>
      <c r="Q485" s="1742"/>
      <c r="R485" s="1742"/>
      <c r="S485" s="1791" t="s">
        <v>344</v>
      </c>
      <c r="T485" s="590"/>
      <c r="U485" s="1743"/>
      <c r="V485" s="1744"/>
      <c r="W485" s="1744"/>
      <c r="X485" s="1744"/>
      <c r="Y485" s="1744"/>
      <c r="Z485" s="1744"/>
      <c r="AA485" s="1744"/>
      <c r="AB485" s="961" t="str">
        <f>IFERROR(IF(__Retrofit_TI_NC=0,VLOOKUP(U486,Fixtures_Existing_List,2,FALSE),ROUND(N487*R487/T487,10)),"")</f>
        <v/>
      </c>
      <c r="AC485" s="935" t="str">
        <f>IFERROR(IF(__Retrofit_TI_NC=0,ROUND(T486*AB485*N486*R486/1000,0),IF(CQ485="Interior",N487*R487*R486*N486*_C406_reduction/1000,N487*R487*R486*N486/1000)),"")</f>
        <v/>
      </c>
      <c r="AD485" s="936" t="str">
        <f>IFERROR(IF(C$43=0,ROUND(T486*AB485/1000,2),N487*R487/1000),"")</f>
        <v/>
      </c>
      <c r="AE485" s="997"/>
      <c r="AF485" s="937"/>
      <c r="AG485" s="1745" t="str">
        <f>IF(__Retrofit_TI_NC=0," Control","Select Advanced Control for New System")</f>
        <v xml:space="preserve"> Control</v>
      </c>
      <c r="AH485" s="1745"/>
      <c r="AI485" s="1745"/>
      <c r="AJ485" s="1745"/>
      <c r="AK485" s="1745"/>
      <c r="AL485" s="1745"/>
      <c r="AM485" s="1746">
        <f>IFERROR(DI485,"")</f>
        <v>0</v>
      </c>
      <c r="AN485" s="1774" t="str">
        <f>IFERROR(ROUND(AM485*AC485,0),"")</f>
        <v/>
      </c>
      <c r="AO485" s="1776">
        <f>IFERROR(IF(IB485=FALSE,0,AC485-AN485),0)</f>
        <v>0</v>
      </c>
      <c r="AP485" s="1778">
        <f>AO485-AO487</f>
        <v>0</v>
      </c>
      <c r="AQ485" s="1779"/>
      <c r="AR485" s="1793">
        <f>IFERROR(IF(IB485=FALSE,0,(T487*U488)+(AF487*AG488)),0)</f>
        <v>0</v>
      </c>
      <c r="AS485" s="1793"/>
      <c r="AT485" s="1794"/>
      <c r="AU485" s="1734" t="s">
        <v>237</v>
      </c>
      <c r="AV485" s="1751">
        <f>IF(AU485="Yes",1,0)</f>
        <v>1</v>
      </c>
      <c r="AW485" s="1704" t="str">
        <f>IF(OR(DQ485=4,DQ485=5,DQ485=6,DQ485=12),CONCATENATE("$",IF(GH485=TRUE,Lookup!$K$10,Lookup!$K$2)," /lamp"),CONCATENATE(TEXT(ED485,"$0.00"),"/ kWh"))</f>
        <v>$0.00/ kWh</v>
      </c>
      <c r="AX485" s="467"/>
      <c r="AY485" s="1748">
        <f ca="1">IFERROR(IF(GM486=TRUE,(AB488*T487)/R487,0),"NA")</f>
        <v>0</v>
      </c>
      <c r="AZ485" s="1748"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696" t="str">
        <f>N486</f>
        <v/>
      </c>
      <c r="CQ485" s="1696" t="str">
        <f>IFERROR(VLOOKUP(G486,_Lookup_Heat_Type_Table_New,3,FALSE),"")</f>
        <v/>
      </c>
      <c r="CR485" s="1808" t="str">
        <f>CQ485</f>
        <v/>
      </c>
      <c r="CS485" s="1810" t="str">
        <f>IFERROR(VLOOKUP(G487,'Space Table'!$B$3:$L$163,9,FALSE),"")</f>
        <v/>
      </c>
      <c r="CU485" s="1688" t="s">
        <v>344</v>
      </c>
      <c r="CV485" s="1702">
        <f>IF(IB485=TRUE,T486,0)</f>
        <v>0</v>
      </c>
      <c r="CW485" s="1702" t="str">
        <f>IF(IB485=TRUE,U486,"")</f>
        <v/>
      </c>
      <c r="CX485" s="1702"/>
      <c r="CY485" s="1814">
        <f>IF(IB485=TRUE,AB485,0)</f>
        <v>0</v>
      </c>
      <c r="CZ485" s="1710">
        <f>IF(AND(__Retrofit_TI_NC&gt;0,CR485="interior"),0,IF(IB485=TRUE,AC485,0))</f>
        <v>0</v>
      </c>
      <c r="DA485" s="1814">
        <f>IFERROR(IF(IB485=TRUE,CZ485-CZ487,0),0)</f>
        <v>0</v>
      </c>
      <c r="DB485" s="1819">
        <f>IF(IB485=TRUE,AD485,0)</f>
        <v>0</v>
      </c>
      <c r="DC485" s="1819">
        <f>IF(IB485=TRUE,AD488,0)</f>
        <v>0</v>
      </c>
      <c r="DD485" s="1819">
        <f>IFERROR(DB485-DC485,0)</f>
        <v>0</v>
      </c>
      <c r="DF485" s="1702">
        <f>IF(IB485=TRUE,AF486,0)</f>
        <v>0</v>
      </c>
      <c r="DG485" s="1830">
        <f>IFERROR(IF(__Retrofit_TI_NC=2,IF(CQ485="Exterior",O488,FQ485),FN485),"")</f>
        <v>0</v>
      </c>
      <c r="DH485" s="1702"/>
      <c r="DI485" s="1837">
        <f>JE485</f>
        <v>0</v>
      </c>
      <c r="DJ485" s="1710">
        <f>IF(AND(__Retrofit_TI_NC&gt;0,CR485="interior"),0,IF(IB485=TRUE,AN485,0))</f>
        <v>0</v>
      </c>
      <c r="DK485" s="1712">
        <f>IFERROR(IF(IB485=TRUE,DJ487-DJ485,0),0)</f>
        <v>0</v>
      </c>
      <c r="DM485" s="1717">
        <f>IFERROR(CZ485-DJ485,0)</f>
        <v>0</v>
      </c>
      <c r="DO485" s="1708">
        <f>DM485-DN487</f>
        <v>0</v>
      </c>
      <c r="DQ485" s="1715" t="str">
        <f>IFERROR(IF(AND(OR(GC485=4,GC485=5,GC485=6),OR(GF485=4,GF485=5,GF485=6)),GC485+8,VLOOKUP(CW487,Fixtures!R$31:Y$78,8,FALSE)),"")</f>
        <v/>
      </c>
      <c r="DR485" s="1829" t="str">
        <f>DQ485</f>
        <v/>
      </c>
      <c r="DS485" s="1702" t="str">
        <f>IFERROR(VLOOKUP(DG487,Lookup!BB$3:BC$20,2,FALSE),"")</f>
        <v/>
      </c>
      <c r="DT485" s="1713" t="str">
        <f>IF(OR(DS485=7,DS485=8,DS485=9),"ALC","")</f>
        <v/>
      </c>
      <c r="DU485" s="1715">
        <f>IFERROR(IF(OR(DQ485=4,DQ485=5,DQ485=6,DQ485=12,DQ485=13,DQ485=14),VLOOKUP(CW487,Fixtures!DN$27:EG$77,19,FALSE),1)*CV487,0)</f>
        <v>0</v>
      </c>
      <c r="DV485" s="1716">
        <f>IF(OR(DS485=7,DS485=8,DS485=9),IF(DG485=DG487,0,DF487),0)</f>
        <v>0</v>
      </c>
      <c r="DX485" s="1715" t="str">
        <f>IFERROR(IF(EZ485&lt;EZ487,"Yes","No"),"")</f>
        <v/>
      </c>
      <c r="DY485" s="1829" t="str">
        <f>DX485</f>
        <v/>
      </c>
      <c r="DZ485" s="1715">
        <f>IF(DX485="Yes",DF487,0)</f>
        <v>0</v>
      </c>
      <c r="EA485" s="1715">
        <f>DZ485-DV485</f>
        <v>0</v>
      </c>
      <c r="EC485" s="1834">
        <f>IFERROR(VLOOKUP(DQ485,Lookup!AU$3:AV$16,2,FALSE),0)</f>
        <v>0</v>
      </c>
      <c r="ED485" s="1834">
        <f>IF(IB485=FALSE,0,IF(DX485="Yes",EC485+Lookup!K$6,EC485))</f>
        <v>0</v>
      </c>
      <c r="EF485" s="1707">
        <f>IF(IB485=TRUE,DM485,0)</f>
        <v>0</v>
      </c>
      <c r="EG485" s="1712">
        <f>IF(IB485=TRUE,CZ487,0)</f>
        <v>0</v>
      </c>
      <c r="EH485" s="1814">
        <f>IFERROR(EF485-EG485,0)</f>
        <v>0</v>
      </c>
      <c r="EI485" s="1712">
        <f>IF(IB485=TRUE,DJ487,0)</f>
        <v>0</v>
      </c>
      <c r="EJ485" s="1712">
        <f>IFERROR(EF485-EG485+EI485,0)</f>
        <v>0</v>
      </c>
      <c r="EK485" s="1812">
        <f>IF(IB485=TRUE,CV487*CX487,0)</f>
        <v>0</v>
      </c>
      <c r="EL485" s="1812">
        <f>IF(IB485=TRUE,DF487*DH487,0)</f>
        <v>0</v>
      </c>
      <c r="EM485" s="1807">
        <f>AR485</f>
        <v>0</v>
      </c>
      <c r="EN485" s="1839" t="str">
        <f>IFERROR(IF(IB485=TRUE,VLOOKUP(DQ485,Lookup!AU$3:AW$16,3,FALSE)*DU485,""),0)</f>
        <v/>
      </c>
      <c r="EO485" s="1839">
        <f>IF(IB485=TRUE,DZ485*Lookup!AW$12,0)</f>
        <v>0</v>
      </c>
      <c r="EP485" s="1817">
        <f>IFERROR(IF(IB485=TRUE,EN485/EP$40,0),0)</f>
        <v>0</v>
      </c>
      <c r="EQ485" s="1817">
        <f>IF(IB485=TRUE,EO485/EQ$40,0)</f>
        <v>0</v>
      </c>
      <c r="ER485" s="1807">
        <f>IF(IB485=TRUE,ET$40*EP485,0)</f>
        <v>0</v>
      </c>
      <c r="ES485" s="1807">
        <f>IF(IB485=TRUE,ET$40*EQ485,0)</f>
        <v>0</v>
      </c>
      <c r="ET485" s="1807">
        <f>ER485+ES485</f>
        <v>0</v>
      </c>
      <c r="EV485" s="1715">
        <f>IF(G485="",0,1)</f>
        <v>0</v>
      </c>
      <c r="EX485" s="1804" t="str">
        <f>IFERROR(VLOOKUP(CS487,'Space Table'!$B$3:$L$163,8,FALSE),"")</f>
        <v/>
      </c>
      <c r="EY485" s="1804" t="str">
        <f>IFERROR(IF(FB485="Yes",VLOOKUP(DG485,Lookup_Control_Type_Table2,4,FALSE),VLOOKUP(DG485,Lookup_Control_Type_Table2,3,FALSE)),"")</f>
        <v/>
      </c>
      <c r="EZ485" s="1804" t="e">
        <f>VLOOKUP(DG485,Lookup!BB$3:BC$20,2,FALSE)</f>
        <v>#N/A</v>
      </c>
      <c r="FA485" s="1804" t="e">
        <f>VLOOKUP(EX485,Lookup_Control_Type_Table,2,FALSE)</f>
        <v>#N/A</v>
      </c>
      <c r="FB485" s="1804" t="e">
        <f>VLOOKUP(CS487,'Space Table'!$B$3:$L$163,7,FALSE)</f>
        <v>#N/A</v>
      </c>
      <c r="FC485" s="1826" t="b">
        <f>ISNUMBER(SEARCH("TLED",U487))</f>
        <v>0</v>
      </c>
      <c r="FE485" s="1698" t="str">
        <f>CONCATENATE(CQ485," - ",DG485)</f>
        <v xml:space="preserve"> - 0</v>
      </c>
      <c r="FG485" s="1702" t="str">
        <f>VLOOKUP(CW487,Fixtures!DN$27:EZ$77,38,FALSE)</f>
        <v/>
      </c>
      <c r="FH485" s="1702">
        <f>IFERROR(FG485*EH485,0)</f>
        <v>0</v>
      </c>
      <c r="FI485" s="133"/>
      <c r="FL485" s="1822" t="str">
        <f>IF(CQ485="Exterior","Not Daylighted",G488)</f>
        <v>Not Daylighted</v>
      </c>
      <c r="FM485" s="1824">
        <f>VLOOKUP(FL485,_New_Daylight_Table_Codes,2,FALSE)</f>
        <v>0</v>
      </c>
      <c r="FN485" s="1698">
        <f>IF(__Retrofit_TI_NC&gt;0,VLOOKUP(G487,'Space Table'!$B$3:$L$163,11,FALSE),AG486)</f>
        <v>0</v>
      </c>
      <c r="FO485" s="1698" t="e">
        <f>IF(__Retrofit_TI_NC=2,VLOOKUP(FQ485,_Control_Table,2,FALSE),VLOOKUP(FN485,_Control_Table,2,FALSE))</f>
        <v>#N/A</v>
      </c>
      <c r="FP485" s="1678" t="e">
        <f>VLOOKUP(CONCATENATE(FL485," ",FN485),Lookup!AY$102:AZ495,2,FALSE)</f>
        <v>#N/A</v>
      </c>
      <c r="FQ485" s="1678">
        <f>IF(__Retrofit_TI_NC=0,FN485,IF(AND(FT485&gt;0,FN485="Occupancy Sensor"),"Daylight + Occupancy",IF(AND(FT485&gt;0,VLOOKUP(FN485,_Control_Table,2,FALSE)&lt;4),"Interior Daylight Dimming",FN485)))</f>
        <v>0</v>
      </c>
      <c r="FS485" s="1686">
        <f>IF(CR485="Interior",VLOOKUP(CS485,Control_Savings_Interior,5,FALSE),0)</f>
        <v>0</v>
      </c>
      <c r="FT485" s="1687">
        <f>IF(CQ485="Exterior",0,IF(FM485=2,0.5,IF(OR(FM485=1,FM485=3),1,0)))</f>
        <v>0</v>
      </c>
      <c r="FU485" s="1685">
        <f>IF(R484&gt;FS$44,(FS485*(FS$44/R484)),FS485)*FT485</f>
        <v>0</v>
      </c>
      <c r="FV485" s="1686">
        <f>DI485</f>
        <v>0</v>
      </c>
      <c r="FW485" s="1686">
        <f>ROUND(FV485+((1-FV485)*FU485),2)</f>
        <v>0</v>
      </c>
      <c r="FX485" s="1686">
        <f>IF(__Retrofit_TI_NC=2,FW485,FV485)</f>
        <v>0</v>
      </c>
      <c r="FY485" s="1697"/>
      <c r="GA485" s="1696" t="str">
        <f>IFERROR(VLOOKUP(U486,_Exist_Fixture_Table,3,FALSE),"")</f>
        <v/>
      </c>
      <c r="GB485" s="1696" t="str">
        <f>VLOOKUP(CW485,_Exist_Fixture_Table,4,FALSE)</f>
        <v/>
      </c>
      <c r="GC485" s="1696">
        <f>IFERROR(VLOOKUP(GB485,Lookup!AT$6:AU$8,2,FALSE),0)</f>
        <v>0</v>
      </c>
      <c r="GD485" s="1696" t="b">
        <f>IFERROR(IF(OR(GF485=4,GF485=5,GF485=6),TRUE,FALSE),"")</f>
        <v>0</v>
      </c>
      <c r="GE485" s="1696" t="str">
        <f>IFERROR(VLOOKUP(GF485,GC$6:GD$10,2,FALSE),"")</f>
        <v/>
      </c>
      <c r="GF485" s="1696" t="str">
        <f>VLOOKUP(CW487,Fixtures!R$31:Y$78,8,FALSE)</f>
        <v/>
      </c>
      <c r="GG485" s="1696">
        <f>IF(AND(GA485=TRUE,GD485=TRUE,OR(DQ485=12,DQ485=13,DQ485=14)),GC485+8,0)</f>
        <v>0</v>
      </c>
      <c r="GH485" s="1696" t="b">
        <f>IF(OR(GG485=12,GG485=13,GG485=14),TRUE,FALSE)</f>
        <v>0</v>
      </c>
      <c r="GI485" s="673" t="b">
        <f>IF(ISNUMBER(SEARCH("TLED",U486)),TRUE,FALSE)</f>
        <v>0</v>
      </c>
      <c r="GJ485" s="1135" t="str">
        <f>IFERROR(VLOOKUP(U486,Fixtures!BM$93:BR$142,6,FALSE),"")</f>
        <v/>
      </c>
      <c r="GK485" s="1832" t="b">
        <f>IF(OR(GI485=FALSE,GI487=FALSE),TRUE,IF(GJ485-GJ487&lt;5,FALSE,TRUE))</f>
        <v>1</v>
      </c>
      <c r="GO485" s="674">
        <f>GP485</f>
        <v>0</v>
      </c>
      <c r="GP485" s="674">
        <f>IF(G485="",0,1)</f>
        <v>0</v>
      </c>
      <c r="GQ485" s="674">
        <f ca="1">SUM(GR485:HF485)</f>
        <v>2</v>
      </c>
      <c r="GR485" s="674">
        <f>IF(G486="",0,1)</f>
        <v>0</v>
      </c>
      <c r="GS485" s="674">
        <f>IF(N488="BAM",1,IF(G487="",0,1))</f>
        <v>0</v>
      </c>
      <c r="GT485" s="674">
        <f>IF(N488="BAM",1,IF(R486="",0,1))</f>
        <v>0</v>
      </c>
      <c r="GU485" s="674">
        <f>IF(N488="BAM",1,IF(__Retrofit_TI_NC=0,1,IF(R487="",0,1)))</f>
        <v>1</v>
      </c>
      <c r="GV485" s="674">
        <f>IF(N488="BAM",1,IF(CQ485="Exterior",1,IF(G488="",0,1)))</f>
        <v>1</v>
      </c>
      <c r="GW485" s="674">
        <f>IF(__Retrofit_TI_NC&gt;0,1,IF(T486="",0,1))</f>
        <v>0</v>
      </c>
      <c r="GX485" s="674">
        <f>IF(__Retrofit_TI_NC&gt;0,1,IF(U486="",0,1))</f>
        <v>0</v>
      </c>
      <c r="GY485" s="674">
        <f>IF(N488="BAM",1,IF(T487="",0,1))</f>
        <v>0</v>
      </c>
      <c r="GZ485" s="674">
        <f>IF(N488="BAM",1,IF(U487="",0,1))</f>
        <v>0</v>
      </c>
      <c r="HA485" s="674">
        <f ca="1">IF(N488="BAM",1,IF(__Retrofit_TI_NC&gt;0,1,IF(U488="",0,1)))</f>
        <v>0</v>
      </c>
      <c r="HB485" s="674">
        <f>IF(__Retrofit_TI_NC&lt;&gt;0,1,IF(AF486="",0,1))</f>
        <v>0</v>
      </c>
      <c r="HC485" s="674">
        <f>IF(__Retrofit_TI_NC&lt;&gt;0,1,IF(AG486="",0,1))</f>
        <v>0</v>
      </c>
      <c r="HD485" s="674">
        <f>IF(N488="BAM",1,IF(AF487="",0,1))</f>
        <v>0</v>
      </c>
      <c r="HE485" s="674">
        <f>IF(N488="BAM",1,IF(AG487="",0,1))</f>
        <v>0</v>
      </c>
      <c r="HF485" s="674">
        <f>IF(N488="BAM",1,IF(__Retrofit_TI_NC&gt;0,1,IF(AG488="",0,1)))</f>
        <v>0</v>
      </c>
      <c r="HG485" s="391"/>
      <c r="IA485" s="391"/>
      <c r="IB485" s="1693" t="b">
        <f>IF(OR(IB488=0,IB488=HY$16,IB488=HX$16,IB488=HZ$16),TRUE,FALSE)</f>
        <v>0</v>
      </c>
      <c r="IC485" s="1694" t="b">
        <f>IB485</f>
        <v>0</v>
      </c>
      <c r="ID485" s="391"/>
      <c r="IE485" s="391"/>
      <c r="IF485" s="1688" t="b">
        <f ca="1">IF(MAX(GN488:HU488)&gt;5,FALSE,TRUE)</f>
        <v>0</v>
      </c>
      <c r="IG485" s="1689">
        <f ca="1">IF(IF485=TRUE,AC485,0)</f>
        <v>0</v>
      </c>
      <c r="IH485" s="1689">
        <f ca="1">IG485-IG487</f>
        <v>0</v>
      </c>
      <c r="IK485" s="1689" t="e">
        <f>ROUND(T486*VLOOKUP(U486,Fixtures_Existing_List,2,FALSE)*N486*R486/1000,0)</f>
        <v>#N/A</v>
      </c>
      <c r="IL485" s="1690" t="e">
        <f>IK485-IK487</f>
        <v>#N/A</v>
      </c>
      <c r="IM485" s="1693" t="e">
        <f>ROUND(IF(CQ485="Interior",N487*R487*R486*N486*_C406_reduction/1000,N487*R487*R486*N486/1000),0)</f>
        <v>#N/A</v>
      </c>
      <c r="IN485" s="1693" t="e">
        <f>IM485-IM487</f>
        <v>#N/A</v>
      </c>
      <c r="IP485" s="1679"/>
      <c r="IQ485" s="1679" t="e">
        <f t="shared" ref="IQ485:IU485" si="436">IF($CR485="interior",VLOOKUP($CS485,_New_Control_Savings_Interior,IQ$30,FALSE),VLOOKUP($CS485,Control_Savings_Exterior,IQ$30,FALSE))</f>
        <v>#N/A</v>
      </c>
      <c r="IR485" s="1679" t="e">
        <f t="shared" si="436"/>
        <v>#N/A</v>
      </c>
      <c r="IS485" s="1679" t="e">
        <f t="shared" si="436"/>
        <v>#N/A</v>
      </c>
      <c r="IT485" s="1679" t="e">
        <f t="shared" si="436"/>
        <v>#N/A</v>
      </c>
      <c r="IU485" s="1679" t="e">
        <f t="shared" si="436"/>
        <v>#N/A</v>
      </c>
      <c r="IV485" s="1679" t="e">
        <f>IF($CR485="interior",IF(R486&gt;$IP$14,ROUND(($IV$18*($IP$14/R486)),2),$IV$18),VLOOKUP($CS485,Control_Savings_Exterior,IV$30,FALSE))</f>
        <v>#N/A</v>
      </c>
      <c r="IW485" s="1679" t="e">
        <f>IF($CR485="interior",ROUND(((1-IS485)*IV485)+IS485,2),VLOOKUP($CS485,Control_Savings_Exterior,IW$30,FALSE))</f>
        <v>#N/A</v>
      </c>
      <c r="IX485" s="1679" t="e">
        <f>IF($CR485="interior",ROUND(((1-IT485)*IV485)+IT485,2),VLOOKUP($CS485,Control_Savings_Exterior,IX$30,FALSE))</f>
        <v>#N/A</v>
      </c>
      <c r="IY485" s="1679" t="e">
        <f>IF($CR485="interior",IF(R486&gt;$IP$14,ROUND(($IY$18*($IP$14/R486)),2),$IY$18),VLOOKUP($CS485,Control_Savings_Exterior,IY$30,FALSE))</f>
        <v>#N/A</v>
      </c>
      <c r="IZ485" s="1679" t="e">
        <f>IF($CR485="interior",ROUND(((1-IS485)*IY485)+IS485,2),VLOOKUP($CS485,Control_Savings_Exterior,IZ$30,FALSE))</f>
        <v>#N/A</v>
      </c>
      <c r="JA485" s="1679" t="e">
        <f>IF($CR485="interior",ROUND(((1-IT485)*IY485)+IT485,2),VLOOKUP($CS485,Control_Savings_Exterior,JA$30,FALSE))</f>
        <v>#N/A</v>
      </c>
      <c r="JC485" s="1680">
        <f>IFERROR(IF(CR485="Interior",CONCATENATE(G488," ",FQ485),FQ485),"")</f>
        <v>0</v>
      </c>
      <c r="JD485" s="1670" t="str">
        <f>IFERROR(VLOOKUP(JC485,_Controls_2023,2,FALSE),"")</f>
        <v/>
      </c>
      <c r="JE485" s="1681">
        <f>IFERROR(CHOOSE(JD485-1,IQ485,IR485,IS485,IT485,IU485,IV485,IW485,IX485,IY485,IZ485,JA485),0)</f>
        <v>0</v>
      </c>
      <c r="JG485" s="1680" t="str">
        <f>FE485</f>
        <v xml:space="preserve"> - 0</v>
      </c>
      <c r="JH485" s="1670" t="e">
        <f>$FO485</f>
        <v>#N/A</v>
      </c>
      <c r="JI485" s="1060"/>
      <c r="JJ485" s="1682" t="b">
        <f>IF($JG487=CONCATENATE("Interior - ",JJ$4),TRUE,FALSE)</f>
        <v>0</v>
      </c>
      <c r="JK485" s="1061"/>
      <c r="JL485" s="1682" t="b">
        <f>IF($JG487=CONCATENATE("Interior - ",JL$4),TRUE,FALSE)</f>
        <v>0</v>
      </c>
      <c r="JM485" s="1061"/>
      <c r="JN485" s="1682" t="b">
        <f>IF($JG487=CONCATENATE("Interior - ",JN$4),TRUE,FALSE)</f>
        <v>0</v>
      </c>
      <c r="JO485" s="1061"/>
      <c r="JP485" s="1682" t="b">
        <f>IF(__Retrofit_TI_NC&gt;0,FALSE,IF($JG487=CONCATENATE("Interior - ",JP$4),TRUE,FALSE))</f>
        <v>0</v>
      </c>
      <c r="JQ485" s="1061"/>
      <c r="JR485" s="1682" t="b">
        <f>IF(__Retrofit_TI_NC&gt;0,FALSE,IF($JG487=CONCATENATE("Interior - ",JR$4),TRUE,FALSE))</f>
        <v>0</v>
      </c>
      <c r="JS485" s="1061"/>
      <c r="JT485" s="1670" t="b">
        <f>IF(__Retrofit_TI_NC&gt;0,FALSE,IF($JG487=CONCATENATE("Interior - ",JT$4),TRUE,FALSE))</f>
        <v>0</v>
      </c>
      <c r="JU485" s="1061"/>
      <c r="JV485" s="1670" t="b">
        <f>IF(JC487="AELC on Existing",TRUE,FALSE)</f>
        <v>0</v>
      </c>
      <c r="JX485" s="1670" t="b">
        <f>IF(OR(JG487="Exterior - AELC Occupancy based",JG487="Exterior - AELC Time based"),TRUE,FALSE)</f>
        <v>0</v>
      </c>
      <c r="JZ485" s="1682" t="b">
        <f>IF($JG487=CONCATENATE("Exterior - ",JZ$4),TRUE,FALSE)</f>
        <v>0</v>
      </c>
      <c r="KB485" s="1670" t="b">
        <f>IF(__Retrofit_TI_NC&gt;0,FALSE,IF($JG487=CONCATENATE("Interior - ",KB$4),TRUE,FALSE))</f>
        <v>0</v>
      </c>
    </row>
    <row r="486" spans="1:288" s="78" customFormat="1" ht="14.95" customHeight="1" thickTop="1" thickBot="1">
      <c r="B486" s="1845"/>
      <c r="C486" s="1846"/>
      <c r="D486" s="1847"/>
      <c r="E486" s="1737" t="s">
        <v>297</v>
      </c>
      <c r="F486" s="1738"/>
      <c r="G486" s="1739"/>
      <c r="H486" s="1739"/>
      <c r="I486" s="1739"/>
      <c r="J486" s="1739"/>
      <c r="K486" s="1739"/>
      <c r="L486" s="1739"/>
      <c r="M486" s="461" t="e">
        <f>IF(__Retrofit_TI_NC&lt;&gt;0,IF(VLOOKUP(G487,'Space Table'!$B$3:$L$163,3,FALSE)&gt;0,1,0),IF(__Retrofit_TI_NC=VLOOKUP(G487,'Space Table'!$B$3:$L$163,3,FALSE),1,0))</f>
        <v>#N/A</v>
      </c>
      <c r="N486" s="461" t="str">
        <f>IFERROR(VLOOKUP(G486,_Lookup_Heat_Type_Table_New,2,FALSE),"")</f>
        <v/>
      </c>
      <c r="O486" s="461">
        <f>IF(__Retrofit_TI_NC=1,CONCATENATE("TI ",G486),IF(__Retrofit_TI_NC=2,CONCATENATE("NC ",G486),G486))</f>
        <v>0</v>
      </c>
      <c r="P486" s="1740" t="s">
        <v>435</v>
      </c>
      <c r="Q486" s="1740"/>
      <c r="R486" s="595"/>
      <c r="S486" s="1792"/>
      <c r="T486" s="597"/>
      <c r="U486" s="1765"/>
      <c r="V486" s="1766"/>
      <c r="W486" s="1766"/>
      <c r="X486" s="1766"/>
      <c r="Y486" s="1766"/>
      <c r="Z486" s="1766"/>
      <c r="AA486" s="1766"/>
      <c r="AB486" s="1766"/>
      <c r="AC486" s="1766"/>
      <c r="AD486" s="1767"/>
      <c r="AE486" s="1000"/>
      <c r="AF486" s="597"/>
      <c r="AG486" s="1723"/>
      <c r="AH486" s="1724"/>
      <c r="AI486" s="1724"/>
      <c r="AJ486" s="1724"/>
      <c r="AK486" s="1725"/>
      <c r="AL486" s="996"/>
      <c r="AM486" s="1747"/>
      <c r="AN486" s="1775"/>
      <c r="AO486" s="1777"/>
      <c r="AP486" s="1780"/>
      <c r="AQ486" s="1781"/>
      <c r="AR486" s="1795"/>
      <c r="AS486" s="1795"/>
      <c r="AT486" s="1796"/>
      <c r="AU486" s="1735"/>
      <c r="AV486" s="1752"/>
      <c r="AW486" s="1705"/>
      <c r="AX486" s="467"/>
      <c r="AY486" s="1749"/>
      <c r="AZ486" s="1749"/>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696"/>
      <c r="CQ486" s="1696"/>
      <c r="CR486" s="1809"/>
      <c r="CS486" s="1811"/>
      <c r="CU486" s="1688"/>
      <c r="CV486" s="1703"/>
      <c r="CW486" s="1703"/>
      <c r="CX486" s="1703"/>
      <c r="CY486" s="1815"/>
      <c r="CZ486" s="1711"/>
      <c r="DA486" s="1818"/>
      <c r="DB486" s="1820"/>
      <c r="DC486" s="1820"/>
      <c r="DD486" s="1820"/>
      <c r="DF486" s="1703"/>
      <c r="DG486" s="1831"/>
      <c r="DH486" s="1703"/>
      <c r="DI486" s="1838"/>
      <c r="DJ486" s="1711"/>
      <c r="DK486" s="1712"/>
      <c r="DM486" s="1718"/>
      <c r="DO486" s="1708"/>
      <c r="DQ486" s="1715"/>
      <c r="DR486" s="1720"/>
      <c r="DS486" s="1816"/>
      <c r="DT486" s="1714"/>
      <c r="DU486" s="1715"/>
      <c r="DV486" s="1716"/>
      <c r="DX486" s="1715"/>
      <c r="DY486" s="1720"/>
      <c r="DZ486" s="1715"/>
      <c r="EA486" s="1715"/>
      <c r="EC486" s="1834"/>
      <c r="ED486" s="1834"/>
      <c r="EF486" s="1707"/>
      <c r="EG486" s="1712"/>
      <c r="EH486" s="1818"/>
      <c r="EI486" s="1712"/>
      <c r="EJ486" s="1712"/>
      <c r="EK486" s="1836"/>
      <c r="EL486" s="1836"/>
      <c r="EM486" s="1807"/>
      <c r="EN486" s="1839"/>
      <c r="EO486" s="1839"/>
      <c r="EP486" s="1817"/>
      <c r="EQ486" s="1817"/>
      <c r="ER486" s="1807"/>
      <c r="ES486" s="1807"/>
      <c r="ET486" s="1807"/>
      <c r="EV486" s="1715"/>
      <c r="EX486" s="1805"/>
      <c r="EY486" s="1805"/>
      <c r="EZ486" s="1805"/>
      <c r="FA486" s="1805"/>
      <c r="FB486" s="1805"/>
      <c r="FC486" s="1827"/>
      <c r="FE486" s="1698"/>
      <c r="FG486" s="1816"/>
      <c r="FH486" s="1816"/>
      <c r="FI486" s="133"/>
      <c r="FL486" s="1823"/>
      <c r="FM486" s="1825"/>
      <c r="FN486" s="1698"/>
      <c r="FO486" s="1698"/>
      <c r="FP486" s="1678"/>
      <c r="FQ486" s="1678"/>
      <c r="FS486" s="1687"/>
      <c r="FT486" s="1687"/>
      <c r="FU486" s="1685"/>
      <c r="FV486" s="1687"/>
      <c r="FW486" s="1687"/>
      <c r="FX486" s="1687"/>
      <c r="FY486" s="1697"/>
      <c r="GA486" s="1696"/>
      <c r="GB486" s="1696"/>
      <c r="GC486" s="1696"/>
      <c r="GD486" s="1696"/>
      <c r="GE486" s="1696"/>
      <c r="GF486" s="1696"/>
      <c r="GG486" s="1696"/>
      <c r="GH486" s="1696"/>
      <c r="GI486" s="673"/>
      <c r="GJ486" s="1135"/>
      <c r="GK486" s="1832"/>
      <c r="GM486" s="1693" t="b">
        <f ca="1">IF(AND(GP486=TRUE,GQ486=TRUE),TRUE,FALSE)</f>
        <v>0</v>
      </c>
      <c r="GN486" s="1684" t="b">
        <f>IFERROR(IF(__Retrofit_TI_NC=2,TRUE,IF(AU485="Yes",TRUE,FALSE)),FALSE)</f>
        <v>1</v>
      </c>
      <c r="GP486" s="1684" t="b">
        <f>IFERROR(IF(GP485=1,TRUE,FALSE),FALSE)</f>
        <v>0</v>
      </c>
      <c r="GQ486" s="1684" t="b">
        <f ca="1">IFERROR(IF(GQ485=GQ$14,TRUE,FALSE),FALSE)</f>
        <v>0</v>
      </c>
      <c r="HG486" s="1684" t="b">
        <f>IFERROR(IF(AND(__Retrofit_TI_NC&gt;0,CQ485="Interior"),FALSE,TRUE),FALSE)</f>
        <v>1</v>
      </c>
      <c r="HH486" s="1684" t="b">
        <f>IFERROR(IF(M486=1,TRUE,FALSE),FALSE)</f>
        <v>0</v>
      </c>
      <c r="HI486" s="1684" t="b">
        <f>IFERROR(IF(OR(M487=1,N488="BAM"),TRUE,FALSE),FALSE)</f>
        <v>0</v>
      </c>
      <c r="HJ486" s="1684" t="b">
        <f>IFERROR(IF(__Retrofit_TI_NC&lt;&gt;0,TRUE,IFERROR(IF(VLOOKUP(U486,Fixtures_Existing_List,2,FALSE)&lt;&gt;"",TRUE,FALSE),FALSE)),FALSE)</f>
        <v>0</v>
      </c>
      <c r="HK486" s="1684" t="b">
        <f>IFERROR(IF(VLOOKUP(U487,Fixtures_Proposed_List,2,FALSE)&lt;&gt;"",TRUE,FALSE),FALSE)</f>
        <v>0</v>
      </c>
      <c r="HL486" s="1684" t="b">
        <f>IF(AND(__Retrofit_TI_NC=2,FC485=TRUE),FALSE,TRUE)</f>
        <v>1</v>
      </c>
      <c r="HM486" s="1684" t="b">
        <f>GK485</f>
        <v>1</v>
      </c>
      <c r="HN486" s="1682" t="b">
        <f>IF(ISERROR(MATCH(FE485,_Control_Match[],0))=TRUE,FALSE,TRUE)</f>
        <v>0</v>
      </c>
      <c r="HO486" s="1693" t="b">
        <f>IFERROR(IF(EX485&lt;&gt;EY485,FALSE,TRUE),FALSE)</f>
        <v>1</v>
      </c>
      <c r="HP486" s="1693" t="b">
        <f>IFERROR(IF(EX487&lt;&gt;EY487,FALSE,TRUE),FALSE)</f>
        <v>1</v>
      </c>
      <c r="HQ486" s="1670" t="b">
        <f>IFERROR(IF(CQ485="Exterior",TRUE,IF(AND(OR(FM487=0,FM487=3),JD487&gt;6),FALSE,TRUE)),FALSE)</f>
        <v>0</v>
      </c>
      <c r="HR486" s="1684" t="b">
        <f>IFERROR(IF(AND(FO487=7,FC485=TRUE),FALSE,TRUE),FALSE)</f>
        <v>0</v>
      </c>
      <c r="HS486" s="1684" t="b">
        <f>IFERROR(IF(AND(T487&lt;&gt;AF487,OR(AG487="Interior LLLC", AG487="Interior NLC", AG487="LLLC (outside Daylight)",AG487="LLLC Controls Only"))=TRUE,FALSE,TRUE),FALSE)</f>
        <v>1</v>
      </c>
      <c r="HT486" s="1670" t="b">
        <f>IFERROR(IF(OR(AG487=Lookup!BB$17,AG487=Lookup!BB$18,AG487=Lookup!BB$19)=TRUE,IF(AF487&gt;T487,FALSE,TRUE),TRUE),FALSE)</f>
        <v>1</v>
      </c>
      <c r="HU486" s="1684" t="b">
        <f>IFERROR(IF(__Retrofit_TI_NC=2,IF(EZ487&lt;EZ485,FALSE,TRUE),TRUE),FALSE)</f>
        <v>1</v>
      </c>
      <c r="HV486" s="1684" t="b">
        <f>IF(CQ485="Interior",IL$6,TRUE)</f>
        <v>1</v>
      </c>
      <c r="HW486" s="1684" t="b">
        <f>IF(CQ485="Exterior",IL$8,TRUE)</f>
        <v>1</v>
      </c>
      <c r="HX486" s="1684" t="b">
        <f>IFERROR(IF(__Retrofit_TI_NC&lt;&gt;0,IF(AZ485&lt;AY485,FALSE,TRUE),TRUE),FALSE)</f>
        <v>1</v>
      </c>
      <c r="HY486" s="1684" t="b">
        <f>IFERROR(IF(AND(G486="Exterior",R486&gt;4200),FALSE,TRUE),FALSE)</f>
        <v>1</v>
      </c>
      <c r="HZ486" s="1684" t="b">
        <f>IFERROR(IF(AB488/AB485&lt;HZ$18,FALSE,TRUE),FALSE)</f>
        <v>0</v>
      </c>
      <c r="IB486" s="1691"/>
      <c r="IC486" s="1695"/>
      <c r="ID486" s="1694" t="str">
        <f>VLOOKUP(IB488,_Error_Table,4,FALSE)</f>
        <v>White</v>
      </c>
      <c r="IE486" s="391"/>
      <c r="IF486" s="1688"/>
      <c r="IG486" s="1689"/>
      <c r="IH486" s="1684"/>
      <c r="IK486" s="1689"/>
      <c r="IL486" s="1691"/>
      <c r="IM486" s="1691"/>
      <c r="IN486" s="1691"/>
      <c r="IP486" s="1679"/>
      <c r="IQ486" s="1679"/>
      <c r="IR486" s="1679"/>
      <c r="IS486" s="1679"/>
      <c r="IT486" s="1679"/>
      <c r="IU486" s="1679"/>
      <c r="IV486" s="1679"/>
      <c r="IW486" s="1679"/>
      <c r="IX486" s="1679"/>
      <c r="IY486" s="1679"/>
      <c r="IZ486" s="1679"/>
      <c r="JA486" s="1679"/>
      <c r="JC486" s="1680"/>
      <c r="JD486" s="1670"/>
      <c r="JE486" s="1681"/>
      <c r="JG486" s="1680"/>
      <c r="JH486" s="1670"/>
      <c r="JI486" s="1060"/>
      <c r="JJ486" s="1683"/>
      <c r="JK486" s="1061"/>
      <c r="JL486" s="1683"/>
      <c r="JM486" s="1061"/>
      <c r="JN486" s="1683"/>
      <c r="JO486" s="1061"/>
      <c r="JP486" s="1683"/>
      <c r="JQ486" s="1061"/>
      <c r="JR486" s="1683"/>
      <c r="JS486" s="1061"/>
      <c r="JT486" s="1670"/>
      <c r="JU486" s="1061"/>
      <c r="JV486" s="1670"/>
      <c r="JX486" s="1670"/>
      <c r="JZ486" s="1683"/>
      <c r="KB486" s="1670"/>
    </row>
    <row r="487" spans="1:288" s="78" customFormat="1" ht="14.95" customHeight="1" thickTop="1" thickBot="1">
      <c r="A487" s="78">
        <f>ROW()</f>
        <v>487</v>
      </c>
      <c r="B487" s="1845"/>
      <c r="C487" s="1846"/>
      <c r="D487" s="1847"/>
      <c r="E487" s="1737" t="s">
        <v>298</v>
      </c>
      <c r="F487" s="1738"/>
      <c r="G487" s="1760"/>
      <c r="H487" s="1761"/>
      <c r="I487" s="1761"/>
      <c r="J487" s="1761"/>
      <c r="K487" s="1761"/>
      <c r="L487" s="1762"/>
      <c r="M487" s="461">
        <f>IFERROR(IF(IF(__Retrofit_TI_NC&lt;&gt;0,IF(CQ485="Interior",MATCH(G487,Lookup_Interior_New,0),MATCH(G487,Lookup_Exterior_New,0)),IF(CQ485="Interior",MATCH(G487,Lookup_Interior,0),MATCH(G487,Lookup_Exterior_Areas,0)))&gt;0,1,0),0)</f>
        <v>0</v>
      </c>
      <c r="N487" s="461" t="e">
        <f>IF(__Retrofit_TI_NC=1,
VLOOKUP(G487,'Space Table'!$B$3:$L$163,4,FALSE),
IF(__Retrofit_TI_NC=2,VLOOKUP(G487,'Space Table'!$B$3:$L$163,5,FALSE),VLOOKUP(G487,'Space Table'!$B$3:$L$163,5,FALSE)))</f>
        <v>#N/A</v>
      </c>
      <c r="O487" s="461">
        <f>G487</f>
        <v>0</v>
      </c>
      <c r="P487" s="1738" t="str">
        <f>IFERROR(IF(__Retrofit_TI_NC=1,VLOOKUP(G487,'Space Table'!$B$3:$O$163,13,FALSE),IF(__Retrofit_TI_NC=2,VLOOKUP(G487,'Space Table'!$B$3:$O$163,14,FALSE),"Area (sf):")),"Area (sf):")</f>
        <v>Area (sf):</v>
      </c>
      <c r="Q487" s="1738"/>
      <c r="R487" s="596"/>
      <c r="S487" s="1763" t="s">
        <v>345</v>
      </c>
      <c r="T487" s="594"/>
      <c r="U487" s="1801"/>
      <c r="V487" s="1802"/>
      <c r="W487" s="1802"/>
      <c r="X487" s="1802"/>
      <c r="Y487" s="1802"/>
      <c r="Z487" s="1802"/>
      <c r="AA487" s="1802"/>
      <c r="AB487" s="1802"/>
      <c r="AC487" s="1802"/>
      <c r="AD487" s="1802"/>
      <c r="AE487" s="1803"/>
      <c r="AF487" s="594"/>
      <c r="AG487" s="1787"/>
      <c r="AH487" s="1787"/>
      <c r="AI487" s="1787"/>
      <c r="AJ487" s="1787"/>
      <c r="AK487" s="1787"/>
      <c r="AL487" s="1787"/>
      <c r="AM487" s="1726">
        <f>IFERROR(DI487,"")</f>
        <v>0</v>
      </c>
      <c r="AN487" s="1728" t="str">
        <f>IFERROR(ROUND(AM487*AC488,0),"")</f>
        <v/>
      </c>
      <c r="AO487" s="1730">
        <f>IFERROR(IF(IB485=FALSE,0,AC488-AN487),0)</f>
        <v>0</v>
      </c>
      <c r="AP487" s="1780"/>
      <c r="AQ487" s="1781"/>
      <c r="AR487" s="1795"/>
      <c r="AS487" s="1795"/>
      <c r="AT487" s="1796"/>
      <c r="AU487" s="1735"/>
      <c r="AV487" s="1752"/>
      <c r="AW487" s="1705"/>
      <c r="AX487" s="467"/>
      <c r="AY487" s="1749"/>
      <c r="AZ487" s="1749"/>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696"/>
      <c r="CQ487" s="1696"/>
      <c r="CR487" s="1808" t="str">
        <f>CQ485</f>
        <v/>
      </c>
      <c r="CS487" s="1810" t="str">
        <f>CS485</f>
        <v/>
      </c>
      <c r="CU487" s="1688" t="s">
        <v>345</v>
      </c>
      <c r="CV487" s="1702">
        <f>IF(IB485=TRUE,T487,0)</f>
        <v>0</v>
      </c>
      <c r="CW487" s="1702" t="str">
        <f>IF(IB485=TRUE,U487,"")</f>
        <v/>
      </c>
      <c r="CX487" s="1812">
        <f>IF(IB485=TRUE,U488,0)</f>
        <v>0</v>
      </c>
      <c r="CY487" s="1814">
        <f>IF(IB485=TRUE,AB488,0)</f>
        <v>0</v>
      </c>
      <c r="CZ487" s="1710">
        <f>IF(AND(__Retrofit_TI_NC&gt;0,CR485="interior"),0,IF(IB485=TRUE,AC488,0))</f>
        <v>0</v>
      </c>
      <c r="DA487" s="1818"/>
      <c r="DB487" s="1820"/>
      <c r="DC487" s="1820"/>
      <c r="DD487" s="1820"/>
      <c r="DF487" s="1702">
        <f>IF(IB485=TRUE,AF487,0)</f>
        <v>0</v>
      </c>
      <c r="DG487" s="1830" t="str">
        <f>IF(IB485=TRUE,AG487,"")</f>
        <v/>
      </c>
      <c r="DH487" s="1812">
        <f>AG488</f>
        <v>0</v>
      </c>
      <c r="DI487" s="1837">
        <f>JE487</f>
        <v>0</v>
      </c>
      <c r="DJ487" s="1710">
        <f>IF(AND(__Retrofit_TI_NC&gt;0,CR485="interior"),0,IF(IB485=TRUE,AN487,0))</f>
        <v>0</v>
      </c>
      <c r="DK487" s="1712"/>
      <c r="DN487" s="1717">
        <f>IFERROR(CZ487-DJ487,0)</f>
        <v>0</v>
      </c>
      <c r="DO487" s="1709"/>
      <c r="DQ487" s="1715"/>
      <c r="DR487" s="1719" t="str">
        <f>DQ485</f>
        <v/>
      </c>
      <c r="DS487" s="1816"/>
      <c r="DT487" s="1835" t="str">
        <f>IF(OR(DS485=7,DS485=8,DS485=9),"ALC","")</f>
        <v/>
      </c>
      <c r="DU487" s="1715"/>
      <c r="DV487" s="1716"/>
      <c r="DX487" s="1715"/>
      <c r="DY487" s="1829" t="str">
        <f>DX485</f>
        <v/>
      </c>
      <c r="DZ487" s="1715"/>
      <c r="EA487" s="1715"/>
      <c r="EC487" s="1834"/>
      <c r="ED487" s="1834"/>
      <c r="EF487" s="1707"/>
      <c r="EG487" s="1712"/>
      <c r="EH487" s="1818"/>
      <c r="EI487" s="1712"/>
      <c r="EJ487" s="1712"/>
      <c r="EK487" s="1836"/>
      <c r="EL487" s="1836"/>
      <c r="EM487" s="1807"/>
      <c r="EN487" s="1839"/>
      <c r="EO487" s="1839"/>
      <c r="EP487" s="1817"/>
      <c r="EQ487" s="1817"/>
      <c r="ER487" s="1807"/>
      <c r="ES487" s="1807"/>
      <c r="ET487" s="1807"/>
      <c r="EV487" s="1715"/>
      <c r="EX487" s="1805" t="str">
        <f>IFERROR(VLOOKUP(CS487,'Space Table'!$B$3:$L$163,8,FALSE),"")</f>
        <v/>
      </c>
      <c r="EY487" s="1805" t="str">
        <f>IFERROR(IF(FB487="Yes",VLOOKUP(AG487,Lookup_Control_Type_Table2,4,FALSE),VLOOKUP(AG487,Lookup_Control_Type_Table2,3,FALSE)),"")</f>
        <v/>
      </c>
      <c r="EZ487" s="1805" t="e">
        <f>VLOOKUP(AG487,Lookup!BB$3:BC$20,2,FALSE)</f>
        <v>#N/A</v>
      </c>
      <c r="FA487" s="1805" t="e">
        <f>VLOOKUP(EX485,Lookup_Control_Type_Table,2,FALSE)</f>
        <v>#N/A</v>
      </c>
      <c r="FB487" s="1805" t="e">
        <f>VLOOKUP(CS487,'Space Table'!$B$3:$L$163,7,FALSE)</f>
        <v>#N/A</v>
      </c>
      <c r="FC487" s="1827"/>
      <c r="FE487" s="1698" t="str">
        <f>CONCATENATE(CQ485," - ",AG487)</f>
        <v xml:space="preserve"> - </v>
      </c>
      <c r="FG487" s="1816"/>
      <c r="FH487" s="1816"/>
      <c r="FI487" s="133"/>
      <c r="FL487" s="1822" t="str">
        <f>IF(CQ485="Exterior","Not Daylighted",G488)</f>
        <v>Not Daylighted</v>
      </c>
      <c r="FM487" s="1824">
        <f>VLOOKUP(FL487,_New_Daylight_Table_Codes,2,FALSE)</f>
        <v>0</v>
      </c>
      <c r="FN487" s="1698">
        <f>AG487</f>
        <v>0</v>
      </c>
      <c r="FO487" s="1698" t="e">
        <f>VLOOKUP(FN487,_Control_Table,2,FALSE)</f>
        <v>#N/A</v>
      </c>
      <c r="FP487" s="1678" t="e">
        <f>VLOOKUP(CONCATENATE(FL487," ",FN487),Lookup!AY$102:AZ498,2,FALSE)</f>
        <v>#N/A</v>
      </c>
      <c r="FQ487" s="1698">
        <f>IF(__Retrofit_TI_NC=0,FN487,IF(AND(FT487&gt;0,FN487="Occupancy Sensor"),"Daylight + Occupancy",IF(AND(FT487&gt;0,FO487&lt;4),"Interior Daylight Dimming",FN487)))</f>
        <v>0</v>
      </c>
      <c r="FS487" s="1686">
        <f>IF(CQ485="Interior",VLOOKUP(CS485,Control_Savings_Interior,5,FALSE),0)</f>
        <v>0</v>
      </c>
      <c r="FT487" s="1687">
        <f>IF(CQ487="Exterior",0,IF(FM487=2,0.5,IF(OR(FM487=1,FM487=3),1,0)))</f>
        <v>0</v>
      </c>
      <c r="FU487" s="1685">
        <f>IF(R486&gt;FS$44,(FS487*(FS$44/R486)),FS487)*FT487</f>
        <v>0</v>
      </c>
      <c r="FV487" s="1686">
        <f>DI487</f>
        <v>0</v>
      </c>
      <c r="FW487" s="1686">
        <f>ROUND(FV487+((1-FV487)*FU487),2)</f>
        <v>0</v>
      </c>
      <c r="FX487" s="1686">
        <f>IF(__Retrofit_TI_NC=2,FW487,FV487)</f>
        <v>0</v>
      </c>
      <c r="FY487" s="1697">
        <f>IF(CR487="Interior",VLOOKUP(CS487,Control_Savings_Interior,4,FALSE),0)</f>
        <v>0</v>
      </c>
      <c r="GA487" s="1696"/>
      <c r="GB487" s="1696"/>
      <c r="GC487" s="1696"/>
      <c r="GD487" s="1696"/>
      <c r="GE487" s="1696"/>
      <c r="GF487" s="1696"/>
      <c r="GG487" s="1696"/>
      <c r="GH487" s="1696"/>
      <c r="GI487" s="673" t="b">
        <f>IF(ISNUMBER(SEARCH("TLED",U487)),TRUE,FALSE)</f>
        <v>0</v>
      </c>
      <c r="GJ487" s="1135" t="str">
        <f>IFERROR(VLOOKUP(U487,Fixtures!DM$93:DR$142,6,FALSE),"")</f>
        <v/>
      </c>
      <c r="GK487" s="1832"/>
      <c r="GM487" s="1692"/>
      <c r="GN487" s="1684"/>
      <c r="GP487" s="1684"/>
      <c r="GQ487" s="1684"/>
      <c r="HG487" s="1684"/>
      <c r="HH487" s="1684"/>
      <c r="HI487" s="1684"/>
      <c r="HJ487" s="1684"/>
      <c r="HK487" s="1684"/>
      <c r="HL487" s="1684"/>
      <c r="HM487" s="1684"/>
      <c r="HN487" s="1683"/>
      <c r="HO487" s="1692"/>
      <c r="HP487" s="1692"/>
      <c r="HQ487" s="1670"/>
      <c r="HR487" s="1684"/>
      <c r="HS487" s="1684"/>
      <c r="HT487" s="1670"/>
      <c r="HU487" s="1684"/>
      <c r="HV487" s="1684"/>
      <c r="HW487" s="1684"/>
      <c r="HX487" s="1684"/>
      <c r="HY487" s="1684"/>
      <c r="HZ487" s="1684"/>
      <c r="IB487" s="1692"/>
      <c r="IC487" s="1693" t="b">
        <f>IB485</f>
        <v>0</v>
      </c>
      <c r="ID487" s="1695"/>
      <c r="IE487" s="391"/>
      <c r="IF487" s="1688"/>
      <c r="IG487" s="1689">
        <f ca="1">IF(IF485=TRUE,AC488,0)</f>
        <v>0</v>
      </c>
      <c r="IH487" s="1684"/>
      <c r="IK487" s="1689" t="e">
        <f>ROUND(T487*AB488*N486*R486/1000,0)</f>
        <v>#VALUE!</v>
      </c>
      <c r="IL487" s="1691"/>
      <c r="IM487" s="1693" t="e">
        <f>ROUND(T487*AB488*N486*R486/1000,0)</f>
        <v>#VALUE!</v>
      </c>
      <c r="IN487" s="1691"/>
      <c r="IP487" s="1679"/>
      <c r="IQ487" s="1679" t="e">
        <f t="shared" ref="IQ487:IU487" si="437">IF($CR487="interior",VLOOKUP($CS487,_New_Control_Savings_Interior,IQ$30,FALSE),VLOOKUP($CS487,Control_Savings_Exterior,IQ$30,FALSE))</f>
        <v>#N/A</v>
      </c>
      <c r="IR487" s="1679" t="e">
        <f t="shared" si="437"/>
        <v>#N/A</v>
      </c>
      <c r="IS487" s="1679" t="e">
        <f t="shared" si="437"/>
        <v>#N/A</v>
      </c>
      <c r="IT487" s="1679" t="e">
        <f t="shared" si="437"/>
        <v>#N/A</v>
      </c>
      <c r="IU487" s="1679" t="e">
        <f t="shared" si="437"/>
        <v>#N/A</v>
      </c>
      <c r="IV487" s="1679" t="e">
        <f>IF($CR487="interior",IF(R486&gt;$IP$14,ROUND(($IV$18*($IP$14/R486)),2),$IV$18),VLOOKUP($CS487,Control_Savings_Exterior,IV$30,FALSE))</f>
        <v>#N/A</v>
      </c>
      <c r="IW487" s="1679" t="e">
        <f>IF($CR487="interior",ROUND(((1-IS487)*IV487)+IS487,2),VLOOKUP($CS487,Control_Savings_Exterior,IW$30,FALSE))</f>
        <v>#N/A</v>
      </c>
      <c r="IX487" s="1679" t="e">
        <f>IF($CR487="interior",ROUND(((1-IT487)*IV487)+IT487,2),VLOOKUP($CS487,Control_Savings_Exterior,IX$30,FALSE))</f>
        <v>#N/A</v>
      </c>
      <c r="IY487" s="1679" t="e">
        <f>IF($CR487="interior",IF(R486&gt;$IP$14,ROUND(($IY$18*($IP$14/R486)),2),$IY$18),VLOOKUP($CS487,Control_Savings_Exterior,IY$30,FALSE))</f>
        <v>#N/A</v>
      </c>
      <c r="IZ487" s="1679" t="e">
        <f>IF($CR487="interior",ROUND(((1-IS487)*IY487)+IS487,2),VLOOKUP($CS487,Control_Savings_Exterior,IZ$30,FALSE))</f>
        <v>#N/A</v>
      </c>
      <c r="JA487" s="1679" t="e">
        <f>IF($CR487="interior",ROUND(((1-IT487)*IY487)+IT487,2),VLOOKUP($CS487,Control_Savings_Exterior,JA$30,FALSE))</f>
        <v>#N/A</v>
      </c>
      <c r="JC487" s="1680">
        <f>IFERROR(IF(CR487="Interior",CONCATENATE(G488," ",FQ487),AG487),"")</f>
        <v>0</v>
      </c>
      <c r="JD487" s="1670" t="str">
        <f>IFERROR(VLOOKUP(JC487,_Controls_2023,2,FALSE),"")</f>
        <v/>
      </c>
      <c r="JE487" s="1681">
        <f>IFERROR(CHOOSE(JD487-1,IQ487,IR487,IS487,IT487,IU487,IV487,IW487,IX487,IY487,IZ487,JA487),0)</f>
        <v>0</v>
      </c>
      <c r="JG487" s="1680" t="str">
        <f>FE487</f>
        <v xml:space="preserve"> - </v>
      </c>
      <c r="JH487" s="1670" t="e">
        <f>$FO487</f>
        <v>#N/A</v>
      </c>
      <c r="JI487" s="1060"/>
      <c r="JJ487" s="1670">
        <f>IFERROR(IF($IB485=TRUE,IF(OR(JJ$14="No",JJ485=FALSE,JH487&lt;=JH485,AND(_kWh_Grant=0,GD485=FALSE)),0,IF(JJ$8="Per Line",1,$AF487)),0),0)</f>
        <v>0</v>
      </c>
      <c r="JK487" s="1061"/>
      <c r="JL487" s="1670">
        <f>IFERROR(IF(_kWh_Grant=0,0,IF($IB485=TRUE,IF(OR(JL$14="No",JL485=FALSE,JH487&lt;=JH485),0,IF(JL$8="Per Line",1,$T487)),0)),0)</f>
        <v>0</v>
      </c>
      <c r="JM487" s="1061"/>
      <c r="JN487" s="1670">
        <f>IFERROR(IF(_kWh_Grant=0,0,IF($IB485=TRUE,IF(OR(JN$14="No",JN485=FALSE,JH487&lt;=JH485),0,IF(JN$8="Per Line",1,$AF487)),0)),0)</f>
        <v>0</v>
      </c>
      <c r="JO487" s="1061"/>
      <c r="JP487" s="1670">
        <f>IFERROR(IF(__Retrofit_TI_NC=0,IF(_kWh_Grant=0,0,IF($IB485=TRUE,IF(OR(JP$14="No",JP485=FALSE,$JH487&lt;=$JH485),0,IF(JP$8="Per Line",1,$AF487)),0)),IF($IB485=TRUE,IF(OR(JP$14="No",JP485=FALSE,$JH487&lt;=$JH485),0,IF(JP$8="Per Line",1,$AF487)))),0)</f>
        <v>0</v>
      </c>
      <c r="JQ487" s="1061"/>
      <c r="JR487" s="1670">
        <f>IFERROR(IF(__Retrofit_TI_NC=0,IF(_kWh_Grant=0,0,IF($IB485=TRUE,IF(OR(JR$14="No",JR485=FALSE,$JH487&lt;=$JH485),0,IF(JR$8="Per Line",1,$AF487)),0)),IF($IB485=TRUE,IF(OR(JR$14="No",JR485=FALSE,$JH487&lt;=$JH485),0,IF(JR$8="Per Line",1,$AF487)))),0)</f>
        <v>0</v>
      </c>
      <c r="JS487" s="1061"/>
      <c r="JT487" s="1670">
        <f>IFERROR(IF(__Retrofit_TI_NC=0,IF(_kWh_Grant=0,0,IF($IB485=TRUE,IF(OR(JT$14="No",JT485=FALSE,$JH487&lt;=$JH485),0,IF(JT$8="Per Line",1,$AF487)),0)),IF($IB485=TRUE,IF(OR(JT$14="No",JT485=FALSE,$JH487&lt;=$JH485),0,IF(JT$8="Per Line",1,$AF487)))),0)</f>
        <v>0</v>
      </c>
      <c r="JU487" s="1061"/>
      <c r="JV487" s="1670">
        <f>IFERROR(IF(__Retrofit_TI_NC=0,IF(_kWh_Grant=0,0,IF($IB485=TRUE,IF(OR(JV$14="No",JV485=FALSE,$JH487&lt;=$JH485),0,IF(JV$8="Per Line",1,$AF487)),0)),IF($IB485=TRUE,IF(OR(JV$14="No",JV485=FALSE,$JH487&lt;=$JH485),0,IF(JV$8="Per Line",1,$AF487)))),0)</f>
        <v>0</v>
      </c>
      <c r="JX487" s="1670">
        <f>IFERROR(IF(__Retrofit_TI_NC=0,IF(_kWh_Grant=0,0,IF($IB485=TRUE,IF(OR(JX$14="No",JX485=FALSE,$JH487&lt;=$JH485),0,IF(JX$8="Per Line",1,$AF487)),0)),IF($IB485=TRUE,IF(OR(JX$14="No",JX485=FALSE,$JH487&lt;=$JH485),0,IF(JX$8="Per Line",1,$AF487)))),0)</f>
        <v>0</v>
      </c>
      <c r="JZ487" s="1670">
        <f>IFERROR(IF($IB485=TRUE,IF(OR(JZ$14="No",JZ485=FALSE,$JH487&lt;=$JH485,AND(_kWh_Grant=0,$GD485=FALSE)),0,IF(JZ$8="Per Line",1,$AF487)),0),0)</f>
        <v>0</v>
      </c>
      <c r="KB487" s="1670">
        <f>IFERROR(IF(__Retrofit_TI_NC=0,IF(_kWh_Grant=0,0,IF($IB485=TRUE,IF(OR(KB$14="No",KB485=FALSE,$JH487&lt;=$JH485),0,IF(KB$8="Per Line",1,$AF487)),0)),IF($IB485=TRUE,IF(OR(KB$14="No",KB485=FALSE,$JH487&lt;=$JH485),0,IF(KB$8="Per Line",1,$AF487)))),0)</f>
        <v>0</v>
      </c>
    </row>
    <row r="488" spans="1:288" s="78" customFormat="1" ht="14.95" customHeight="1" thickTop="1" thickBot="1">
      <c r="B488" s="1845"/>
      <c r="C488" s="1846"/>
      <c r="D488" s="1847"/>
      <c r="E488" s="1771" t="s">
        <v>436</v>
      </c>
      <c r="F488" s="1772"/>
      <c r="G488" s="1784" t="s">
        <v>437</v>
      </c>
      <c r="H488" s="1785"/>
      <c r="I488" s="1785"/>
      <c r="J488" s="1785"/>
      <c r="K488" s="1785"/>
      <c r="L488" s="1786"/>
      <c r="M488" s="591">
        <f>IFERROR(VLOOKUP(G488,_Daylight_Table[],2,FALSE),0)</f>
        <v>0</v>
      </c>
      <c r="N488" s="592" t="str">
        <f>IF(AND(__Retrofit_TI_NC&gt;0,CQ485="Interior"),"BAM","")</f>
        <v/>
      </c>
      <c r="O488" s="591" t="e">
        <f>VLOOKUP(G487,'Space Table'!$B$3:$L$163,11,FALSE)</f>
        <v>#N/A</v>
      </c>
      <c r="P488" s="1789"/>
      <c r="Q488" s="1790"/>
      <c r="R488" s="1790"/>
      <c r="S488" s="1788"/>
      <c r="T488" s="593" t="s">
        <v>342</v>
      </c>
      <c r="U488" s="1756" t="str" cm="1">
        <f t="array" aca="1" ref="U488" ca="1">IFERROR(VLOOKUP(INDIRECT("U" &amp; ROW()-1),Fixtures!DM$93:DP$142,4,FALSE),"")</f>
        <v/>
      </c>
      <c r="V488" s="1757"/>
      <c r="W488" s="1757"/>
      <c r="X488" s="1757"/>
      <c r="Y488" s="1757"/>
      <c r="Z488" s="1757"/>
      <c r="AA488" s="1758"/>
      <c r="AB488" s="939" t="str">
        <f>IFERROR(VLOOKUP(U487,Fixtures_Proposed_List,2,FALSE),"")</f>
        <v/>
      </c>
      <c r="AC488" s="933" t="str">
        <f>IFERROR(ROUND(T487*AB488*N486*R486/1000,0),"")</f>
        <v/>
      </c>
      <c r="AD488" s="934" t="str">
        <f>IFERROR(ROUND(T487*AB488/1000,2),"")</f>
        <v/>
      </c>
      <c r="AE488" s="998"/>
      <c r="AF488" s="938" t="s">
        <v>342</v>
      </c>
      <c r="AG488" s="1770"/>
      <c r="AH488" s="1770"/>
      <c r="AI488" s="1770"/>
      <c r="AJ488" s="1770"/>
      <c r="AK488" s="1770"/>
      <c r="AL488" s="1770"/>
      <c r="AM488" s="1727"/>
      <c r="AN488" s="1729"/>
      <c r="AO488" s="1731"/>
      <c r="AP488" s="1782"/>
      <c r="AQ488" s="1783"/>
      <c r="AR488" s="1797"/>
      <c r="AS488" s="1797"/>
      <c r="AT488" s="1798"/>
      <c r="AU488" s="1736"/>
      <c r="AV488" s="1753"/>
      <c r="AW488" s="1706"/>
      <c r="AX488" s="468"/>
      <c r="AY488" s="1750"/>
      <c r="AZ488" s="1750"/>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696"/>
      <c r="CQ488" s="1696"/>
      <c r="CR488" s="1809"/>
      <c r="CS488" s="1811"/>
      <c r="CU488" s="1688"/>
      <c r="CV488" s="1703"/>
      <c r="CW488" s="1703"/>
      <c r="CX488" s="1813"/>
      <c r="CY488" s="1815"/>
      <c r="CZ488" s="1711"/>
      <c r="DA488" s="1815"/>
      <c r="DB488" s="1821"/>
      <c r="DC488" s="1821"/>
      <c r="DD488" s="1821"/>
      <c r="DF488" s="1703"/>
      <c r="DG488" s="1831"/>
      <c r="DH488" s="1813"/>
      <c r="DI488" s="1838"/>
      <c r="DJ488" s="1711"/>
      <c r="DK488" s="1712"/>
      <c r="DN488" s="1718"/>
      <c r="DO488" s="1709"/>
      <c r="DQ488" s="1715"/>
      <c r="DR488" s="1720"/>
      <c r="DS488" s="1703"/>
      <c r="DT488" s="1714"/>
      <c r="DU488" s="1715"/>
      <c r="DV488" s="1716"/>
      <c r="DX488" s="1715"/>
      <c r="DY488" s="1720"/>
      <c r="DZ488" s="1715"/>
      <c r="EA488" s="1715"/>
      <c r="EC488" s="1834"/>
      <c r="ED488" s="1834"/>
      <c r="EF488" s="1707"/>
      <c r="EG488" s="1712"/>
      <c r="EH488" s="1815"/>
      <c r="EI488" s="1712"/>
      <c r="EJ488" s="1712"/>
      <c r="EK488" s="1813"/>
      <c r="EL488" s="1813"/>
      <c r="EM488" s="1807"/>
      <c r="EN488" s="1839"/>
      <c r="EO488" s="1839"/>
      <c r="EP488" s="1817"/>
      <c r="EQ488" s="1817"/>
      <c r="ER488" s="1807"/>
      <c r="ES488" s="1807"/>
      <c r="ET488" s="1807"/>
      <c r="EV488" s="1715"/>
      <c r="EX488" s="1806"/>
      <c r="EY488" s="1806"/>
      <c r="EZ488" s="1806"/>
      <c r="FA488" s="1806"/>
      <c r="FB488" s="1806"/>
      <c r="FC488" s="1828"/>
      <c r="FE488" s="1698"/>
      <c r="FG488" s="1703"/>
      <c r="FH488" s="1703"/>
      <c r="FI488" s="133"/>
      <c r="FL488" s="1823"/>
      <c r="FM488" s="1825"/>
      <c r="FN488" s="1698"/>
      <c r="FO488" s="1698"/>
      <c r="FP488" s="1678"/>
      <c r="FQ488" s="1698"/>
      <c r="FS488" s="1687"/>
      <c r="FT488" s="1687"/>
      <c r="FU488" s="1685"/>
      <c r="FV488" s="1687"/>
      <c r="FW488" s="1687"/>
      <c r="FX488" s="1687"/>
      <c r="FY488" s="1697"/>
      <c r="GA488" s="1696"/>
      <c r="GB488" s="1696"/>
      <c r="GC488" s="1696"/>
      <c r="GD488" s="1696"/>
      <c r="GE488" s="1696"/>
      <c r="GF488" s="1696"/>
      <c r="GG488" s="1696"/>
      <c r="GH488" s="1696"/>
      <c r="GI488" s="673"/>
      <c r="GJ488" s="1135"/>
      <c r="GK488" s="1832"/>
      <c r="GN488" s="674">
        <f>IF(GN486=TRUE,0,GN$16)</f>
        <v>0</v>
      </c>
      <c r="GP488" s="674">
        <f>IF(GP486=TRUE,0,GP$16)</f>
        <v>36</v>
      </c>
      <c r="GQ488" s="674">
        <f ca="1">IF(GQ486=TRUE,0,GQ$16)</f>
        <v>35</v>
      </c>
      <c r="GR488" s="391"/>
      <c r="GS488" s="391"/>
      <c r="GT488" s="391"/>
      <c r="GU488" s="391"/>
      <c r="GV488" s="391"/>
      <c r="HG488" s="674">
        <f>IF(HG486=TRUE,0,HG$16)</f>
        <v>0</v>
      </c>
      <c r="HH488" s="674">
        <f t="shared" ref="HH488:HM488" si="438">IF(HH486=TRUE,0,HH$16)</f>
        <v>19</v>
      </c>
      <c r="HI488" s="674">
        <f t="shared" si="438"/>
        <v>18</v>
      </c>
      <c r="HJ488" s="674">
        <f t="shared" si="438"/>
        <v>17</v>
      </c>
      <c r="HK488" s="674">
        <f t="shared" si="438"/>
        <v>16</v>
      </c>
      <c r="HL488" s="674">
        <f t="shared" si="438"/>
        <v>0</v>
      </c>
      <c r="HM488" s="674">
        <f t="shared" si="438"/>
        <v>0</v>
      </c>
      <c r="HN488" s="674">
        <f>IF(HN486=TRUE,0,HN$16)</f>
        <v>13</v>
      </c>
      <c r="HO488" s="674">
        <f t="shared" ref="HO488:HQ488" si="439">IF(HO486=TRUE,0,HO$16)</f>
        <v>0</v>
      </c>
      <c r="HP488" s="674">
        <f t="shared" si="439"/>
        <v>0</v>
      </c>
      <c r="HQ488" s="674">
        <f t="shared" si="439"/>
        <v>10</v>
      </c>
      <c r="HR488" s="674">
        <f>IF(HR486=TRUE,0,HR$16)</f>
        <v>9</v>
      </c>
      <c r="HS488" s="674">
        <f t="shared" ref="HS488:HW488" si="440">IF(HS486=TRUE,0,HS$16)</f>
        <v>0</v>
      </c>
      <c r="HT488" s="674">
        <f t="shared" si="440"/>
        <v>0</v>
      </c>
      <c r="HU488" s="674">
        <f t="shared" si="440"/>
        <v>0</v>
      </c>
      <c r="HV488" s="674">
        <f t="shared" si="440"/>
        <v>0</v>
      </c>
      <c r="HW488" s="674">
        <f t="shared" si="440"/>
        <v>0</v>
      </c>
      <c r="HX488" s="674">
        <f>IF(HX486=TRUE,0,HX$16)</f>
        <v>0</v>
      </c>
      <c r="HY488" s="674">
        <f>IF(HY486=TRUE,0,HY$16)</f>
        <v>0</v>
      </c>
      <c r="HZ488" s="674">
        <f>IF(HZ486=TRUE,0,HZ$16)</f>
        <v>1</v>
      </c>
      <c r="IB488" s="674">
        <f>IF(GP486=FALSE,GP488,IF(GQ486=FALSE,GQ488,MAX(GN488:HZ488)))</f>
        <v>36</v>
      </c>
      <c r="IC488" s="1692"/>
      <c r="ID488" s="205" t="str">
        <f>VLOOKUP(IB488,_Error_Table,3,FALSE)</f>
        <v xml:space="preserve"> </v>
      </c>
      <c r="IE488" s="205"/>
      <c r="IF488" s="1688"/>
      <c r="IG488" s="1689"/>
      <c r="IH488" s="1684"/>
      <c r="IK488" s="1689"/>
      <c r="IL488" s="1692"/>
      <c r="IM488" s="1692"/>
      <c r="IN488" s="1692"/>
      <c r="IP488" s="1679"/>
      <c r="IQ488" s="1679"/>
      <c r="IR488" s="1679"/>
      <c r="IS488" s="1679"/>
      <c r="IT488" s="1679"/>
      <c r="IU488" s="1679"/>
      <c r="IV488" s="1679"/>
      <c r="IW488" s="1679"/>
      <c r="IX488" s="1679"/>
      <c r="IY488" s="1679"/>
      <c r="IZ488" s="1679"/>
      <c r="JA488" s="1679"/>
      <c r="JC488" s="1680"/>
      <c r="JD488" s="1670"/>
      <c r="JE488" s="1681"/>
      <c r="JG488" s="1680"/>
      <c r="JH488" s="1670"/>
      <c r="JI488" s="1060"/>
      <c r="JJ488" s="1670"/>
      <c r="JK488" s="1061"/>
      <c r="JL488" s="1670"/>
      <c r="JM488" s="1061"/>
      <c r="JN488" s="1670"/>
      <c r="JO488" s="1061"/>
      <c r="JP488" s="1670"/>
      <c r="JQ488" s="1061"/>
      <c r="JR488" s="1670"/>
      <c r="JS488" s="1061"/>
      <c r="JT488" s="1670"/>
      <c r="JU488" s="1061"/>
      <c r="JV488" s="1670"/>
      <c r="JX488" s="1670"/>
      <c r="JZ488" s="1670"/>
      <c r="KB488" s="1670"/>
    </row>
    <row r="489" spans="1:288" s="78" customFormat="1" ht="4.95" customHeight="1">
      <c r="B489" s="676"/>
      <c r="C489" s="392"/>
      <c r="D489" s="392"/>
      <c r="E489" s="1733"/>
      <c r="F489" s="1733"/>
      <c r="G489" s="1733"/>
      <c r="H489" s="1733"/>
      <c r="I489" s="1733"/>
      <c r="J489" s="1733"/>
      <c r="K489" s="1733"/>
      <c r="L489" s="1733"/>
      <c r="M489" s="1733"/>
      <c r="N489" s="1733"/>
      <c r="O489" s="1733"/>
      <c r="P489" s="1733"/>
      <c r="Q489" s="1733"/>
      <c r="R489" s="1733"/>
      <c r="S489" s="1733"/>
      <c r="T489" s="1733"/>
      <c r="U489" s="1733"/>
      <c r="V489" s="1733"/>
      <c r="W489" s="1733"/>
      <c r="X489" s="1733"/>
      <c r="Y489" s="1733"/>
      <c r="Z489" s="1733"/>
      <c r="AA489" s="1733"/>
      <c r="AB489" s="1733"/>
      <c r="AC489" s="1733"/>
      <c r="AD489" s="1733"/>
      <c r="AE489" s="1733"/>
      <c r="AF489" s="1733"/>
      <c r="AG489" s="1733"/>
      <c r="AH489" s="1733"/>
      <c r="AI489" s="1733"/>
      <c r="AJ489" s="1733"/>
      <c r="AK489" s="1733"/>
      <c r="AL489" s="1733"/>
      <c r="AM489" s="1733"/>
      <c r="AN489" s="1733"/>
      <c r="AO489" s="1733"/>
      <c r="AP489" s="1733"/>
      <c r="AQ489" s="1733"/>
      <c r="AR489" s="1733"/>
      <c r="AS489" s="1733"/>
      <c r="AT489" s="1733"/>
      <c r="AU489" s="1733"/>
      <c r="AV489" s="1733"/>
      <c r="AW489" s="1733"/>
      <c r="AX489" s="469"/>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663"/>
      <c r="CQ489" s="663"/>
      <c r="CR489" s="438"/>
      <c r="CS489" s="663"/>
      <c r="CV489" s="391"/>
      <c r="CW489" s="391"/>
      <c r="CX489" s="207"/>
      <c r="CY489" s="208"/>
      <c r="CZ489" s="208"/>
      <c r="DA489" s="208"/>
      <c r="DB489" s="209"/>
      <c r="DC489" s="209"/>
      <c r="DD489" s="209"/>
      <c r="DF489" s="664"/>
      <c r="DG489" s="665"/>
      <c r="DH489" s="666"/>
      <c r="DI489" s="667"/>
      <c r="DJ489" s="668"/>
      <c r="DK489" s="668"/>
      <c r="DN489" s="208"/>
      <c r="DO489" s="664"/>
      <c r="DQ489" s="664"/>
      <c r="DR489" s="669"/>
      <c r="DS489" s="391"/>
      <c r="DT489" s="664"/>
      <c r="DU489" s="664"/>
      <c r="DV489" s="664"/>
      <c r="DX489" s="664"/>
      <c r="DY489" s="664"/>
      <c r="DZ489" s="664"/>
      <c r="EA489" s="664"/>
      <c r="EC489" s="670"/>
      <c r="ED489" s="670"/>
      <c r="EF489" s="668"/>
      <c r="EG489" s="668"/>
      <c r="EH489" s="208"/>
      <c r="EI489" s="668"/>
      <c r="EJ489" s="668"/>
      <c r="EK489" s="207"/>
      <c r="EL489" s="207"/>
      <c r="EM489" s="666"/>
      <c r="EN489" s="671"/>
      <c r="EO489" s="671"/>
      <c r="EP489" s="672"/>
      <c r="EQ489" s="672"/>
      <c r="ER489" s="666"/>
      <c r="ES489" s="666"/>
      <c r="ET489" s="666"/>
      <c r="EV489" s="664"/>
      <c r="EX489" s="391"/>
      <c r="EY489" s="391"/>
      <c r="EZ489" s="391"/>
      <c r="FA489" s="391"/>
      <c r="FB489" s="391"/>
      <c r="FC489" s="391"/>
      <c r="FE489" s="569"/>
      <c r="FG489" s="391"/>
      <c r="FH489" s="391"/>
      <c r="FI489" s="391"/>
      <c r="FS489" s="664"/>
      <c r="FT489" s="391"/>
      <c r="FU489" s="391"/>
      <c r="FV489" s="664"/>
      <c r="FW489" s="664"/>
      <c r="GA489" s="663"/>
      <c r="GB489" s="663"/>
      <c r="GC489" s="663"/>
      <c r="GD489" s="663"/>
      <c r="GE489" s="663"/>
      <c r="GF489" s="663"/>
      <c r="GG489" s="663"/>
      <c r="GH489" s="663"/>
      <c r="GI489" s="665"/>
      <c r="GJ489" s="664"/>
      <c r="GK489" s="664"/>
    </row>
    <row r="490" spans="1:288" s="78" customFormat="1" ht="14.95" customHeight="1">
      <c r="B490" s="1845" t="str">
        <f>ID493</f>
        <v xml:space="preserve"> </v>
      </c>
      <c r="C490" s="1846">
        <f>C485+1</f>
        <v>86</v>
      </c>
      <c r="D490" s="1847"/>
      <c r="E490" s="1799" t="s">
        <v>295</v>
      </c>
      <c r="F490" s="1800"/>
      <c r="G490" s="1741"/>
      <c r="H490" s="1742"/>
      <c r="I490" s="1742"/>
      <c r="J490" s="1742"/>
      <c r="K490" s="1742"/>
      <c r="L490" s="1742"/>
      <c r="M490" s="1742"/>
      <c r="N490" s="1742"/>
      <c r="O490" s="1742"/>
      <c r="P490" s="1742"/>
      <c r="Q490" s="1742"/>
      <c r="R490" s="1742"/>
      <c r="S490" s="1791" t="s">
        <v>344</v>
      </c>
      <c r="T490" s="590"/>
      <c r="U490" s="1743"/>
      <c r="V490" s="1744"/>
      <c r="W490" s="1744"/>
      <c r="X490" s="1744"/>
      <c r="Y490" s="1744"/>
      <c r="Z490" s="1744"/>
      <c r="AA490" s="1744"/>
      <c r="AB490" s="961" t="str">
        <f>IFERROR(IF(__Retrofit_TI_NC=0,VLOOKUP(U491,Fixtures_Existing_List,2,FALSE),ROUND(N492*R492/T492,10)),"")</f>
        <v/>
      </c>
      <c r="AC490" s="935" t="str">
        <f>IFERROR(IF(__Retrofit_TI_NC=0,ROUND(T491*AB490*N491*R491/1000,0),IF(CQ490="Interior",N492*R492*R491*N491*_C406_reduction/1000,N492*R492*R491*N491/1000)),"")</f>
        <v/>
      </c>
      <c r="AD490" s="936" t="str">
        <f>IFERROR(IF(C$43=0,ROUND(T491*AB490/1000,2),N492*R492/1000),"")</f>
        <v/>
      </c>
      <c r="AE490" s="997"/>
      <c r="AF490" s="937"/>
      <c r="AG490" s="1745" t="str">
        <f>IF(__Retrofit_TI_NC=0," Control","Select Advanced Control for New System")</f>
        <v xml:space="preserve"> Control</v>
      </c>
      <c r="AH490" s="1745"/>
      <c r="AI490" s="1745"/>
      <c r="AJ490" s="1745"/>
      <c r="AK490" s="1745"/>
      <c r="AL490" s="1745"/>
      <c r="AM490" s="1746">
        <f>IFERROR(DI490,"")</f>
        <v>0</v>
      </c>
      <c r="AN490" s="1774" t="str">
        <f>IFERROR(ROUND(AM490*AC490,0),"")</f>
        <v/>
      </c>
      <c r="AO490" s="1776">
        <f>IFERROR(IF(IB490=FALSE,0,AC490-AN490),0)</f>
        <v>0</v>
      </c>
      <c r="AP490" s="1778">
        <f>AO490-AO492</f>
        <v>0</v>
      </c>
      <c r="AQ490" s="1779"/>
      <c r="AR490" s="1793">
        <f>IFERROR(IF(IB490=FALSE,0,(T492*U493)+(AF492*AG493)),0)</f>
        <v>0</v>
      </c>
      <c r="AS490" s="1793"/>
      <c r="AT490" s="1794"/>
      <c r="AU490" s="1734" t="s">
        <v>237</v>
      </c>
      <c r="AV490" s="1751">
        <f>IF(AU490="Yes",1,0)</f>
        <v>1</v>
      </c>
      <c r="AW490" s="1704" t="str">
        <f>IF(OR(DQ490=4,DQ490=5,DQ490=6,DQ490=12),CONCATENATE("$",IF(GH490=TRUE,Lookup!$K$10,Lookup!$K$2)," /lamp"),CONCATENATE(TEXT(ED490,"$0.00"),"/ kWh"))</f>
        <v>$0.00/ kWh</v>
      </c>
      <c r="AX490" s="467"/>
      <c r="AY490" s="1748">
        <f ca="1">IFERROR(IF(GM491=TRUE,(AB493*T492)/R492,0),"NA")</f>
        <v>0</v>
      </c>
      <c r="AZ490" s="1748"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696" t="str">
        <f>N491</f>
        <v/>
      </c>
      <c r="CQ490" s="1696" t="str">
        <f>IFERROR(VLOOKUP(G491,_Lookup_Heat_Type_Table_New,3,FALSE),"")</f>
        <v/>
      </c>
      <c r="CR490" s="1808" t="str">
        <f>CQ490</f>
        <v/>
      </c>
      <c r="CS490" s="1810" t="str">
        <f>IFERROR(VLOOKUP(G492,'Space Table'!$B$3:$L$163,9,FALSE),"")</f>
        <v/>
      </c>
      <c r="CU490" s="1688" t="s">
        <v>344</v>
      </c>
      <c r="CV490" s="1702">
        <f>IF(IB490=TRUE,T491,0)</f>
        <v>0</v>
      </c>
      <c r="CW490" s="1702" t="str">
        <f>IF(IB490=TRUE,U491,"")</f>
        <v/>
      </c>
      <c r="CX490" s="1702"/>
      <c r="CY490" s="1814">
        <f>IF(IB490=TRUE,AB490,0)</f>
        <v>0</v>
      </c>
      <c r="CZ490" s="1710">
        <f>IF(AND(__Retrofit_TI_NC&gt;0,CR490="interior"),0,IF(IB490=TRUE,AC490,0))</f>
        <v>0</v>
      </c>
      <c r="DA490" s="1814">
        <f>IFERROR(IF(IB490=TRUE,CZ490-CZ492,0),0)</f>
        <v>0</v>
      </c>
      <c r="DB490" s="1819">
        <f>IF(IB490=TRUE,AD490,0)</f>
        <v>0</v>
      </c>
      <c r="DC490" s="1819">
        <f>IF(IB490=TRUE,AD493,0)</f>
        <v>0</v>
      </c>
      <c r="DD490" s="1819">
        <f>IFERROR(DB490-DC490,0)</f>
        <v>0</v>
      </c>
      <c r="DF490" s="1702">
        <f>IF(IB490=TRUE,AF491,0)</f>
        <v>0</v>
      </c>
      <c r="DG490" s="1830">
        <f>IFERROR(IF(__Retrofit_TI_NC=2,IF(CQ490="Exterior",O493,FQ490),FN490),"")</f>
        <v>0</v>
      </c>
      <c r="DH490" s="1702"/>
      <c r="DI490" s="1837">
        <f>JE490</f>
        <v>0</v>
      </c>
      <c r="DJ490" s="1710">
        <f>IF(AND(__Retrofit_TI_NC&gt;0,CR490="interior"),0,IF(IB490=TRUE,AN490,0))</f>
        <v>0</v>
      </c>
      <c r="DK490" s="1712">
        <f>IFERROR(IF(IB490=TRUE,DJ492-DJ490,0),0)</f>
        <v>0</v>
      </c>
      <c r="DM490" s="1717">
        <f>IFERROR(CZ490-DJ490,0)</f>
        <v>0</v>
      </c>
      <c r="DO490" s="1708">
        <f>DM490-DN492</f>
        <v>0</v>
      </c>
      <c r="DQ490" s="1715" t="str">
        <f>IFERROR(IF(AND(OR(GC490=4,GC490=5,GC490=6),OR(GF490=4,GF490=5,GF490=6)),GC490+8,VLOOKUP(CW492,Fixtures!R$31:Y$78,8,FALSE)),"")</f>
        <v/>
      </c>
      <c r="DR490" s="1829" t="str">
        <f>DQ490</f>
        <v/>
      </c>
      <c r="DS490" s="1702" t="str">
        <f>IFERROR(VLOOKUP(DG492,Lookup!BB$3:BC$20,2,FALSE),"")</f>
        <v/>
      </c>
      <c r="DT490" s="1713" t="str">
        <f>IF(OR(DS490=7,DS490=8,DS490=9),"ALC","")</f>
        <v/>
      </c>
      <c r="DU490" s="1715">
        <f>IFERROR(IF(OR(DQ490=4,DQ490=5,DQ490=6,DQ490=12,DQ490=13,DQ490=14),VLOOKUP(CW492,Fixtures!DN$27:EG$77,19,FALSE),1)*CV492,0)</f>
        <v>0</v>
      </c>
      <c r="DV490" s="1716">
        <f>IF(OR(DS490=7,DS490=8,DS490=9),IF(DG490=DG492,0,DF492),0)</f>
        <v>0</v>
      </c>
      <c r="DX490" s="1715" t="str">
        <f>IFERROR(IF(EZ490&lt;EZ492,"Yes","No"),"")</f>
        <v/>
      </c>
      <c r="DY490" s="1829" t="str">
        <f>DX490</f>
        <v/>
      </c>
      <c r="DZ490" s="1715">
        <f>IF(DX490="Yes",DF492,0)</f>
        <v>0</v>
      </c>
      <c r="EA490" s="1715">
        <f>DZ490-DV490</f>
        <v>0</v>
      </c>
      <c r="EC490" s="1834">
        <f>IFERROR(VLOOKUP(DQ490,Lookup!AU$3:AV$16,2,FALSE),0)</f>
        <v>0</v>
      </c>
      <c r="ED490" s="1834">
        <f>IF(IB490=FALSE,0,IF(DX490="Yes",EC490+Lookup!K$6,EC490))</f>
        <v>0</v>
      </c>
      <c r="EF490" s="1707">
        <f>IF(IB490=TRUE,DM490,0)</f>
        <v>0</v>
      </c>
      <c r="EG490" s="1712">
        <f>IF(IB490=TRUE,CZ492,0)</f>
        <v>0</v>
      </c>
      <c r="EH490" s="1814">
        <f>IFERROR(EF490-EG490,0)</f>
        <v>0</v>
      </c>
      <c r="EI490" s="1712">
        <f>IF(IB490=TRUE,DJ492,0)</f>
        <v>0</v>
      </c>
      <c r="EJ490" s="1712">
        <f>IFERROR(EF490-EG490+EI490,0)</f>
        <v>0</v>
      </c>
      <c r="EK490" s="1812">
        <f>IF(IB490=TRUE,CV492*CX492,0)</f>
        <v>0</v>
      </c>
      <c r="EL490" s="1812">
        <f>IF(IB490=TRUE,DF492*DH492,0)</f>
        <v>0</v>
      </c>
      <c r="EM490" s="1807">
        <f>AR490</f>
        <v>0</v>
      </c>
      <c r="EN490" s="1839" t="str">
        <f>IFERROR(IF(IB490=TRUE,VLOOKUP(DQ490,Lookup!AU$3:AW$16,3,FALSE)*DU490,""),0)</f>
        <v/>
      </c>
      <c r="EO490" s="1839">
        <f>IF(IB490=TRUE,DZ490*Lookup!AW$12,0)</f>
        <v>0</v>
      </c>
      <c r="EP490" s="1817">
        <f>IFERROR(IF(IB490=TRUE,EN490/EP$40,0),0)</f>
        <v>0</v>
      </c>
      <c r="EQ490" s="1817">
        <f>IF(IB490=TRUE,EO490/EQ$40,0)</f>
        <v>0</v>
      </c>
      <c r="ER490" s="1807">
        <f>IF(IB490=TRUE,ET$40*EP490,0)</f>
        <v>0</v>
      </c>
      <c r="ES490" s="1807">
        <f>IF(IB490=TRUE,ET$40*EQ490,0)</f>
        <v>0</v>
      </c>
      <c r="ET490" s="1807">
        <f>ER490+ES490</f>
        <v>0</v>
      </c>
      <c r="EV490" s="1715">
        <f>IF(G490="",0,1)</f>
        <v>0</v>
      </c>
      <c r="EX490" s="1804" t="str">
        <f>IFERROR(VLOOKUP(CS492,'Space Table'!$B$3:$L$163,8,FALSE),"")</f>
        <v/>
      </c>
      <c r="EY490" s="1804" t="str">
        <f>IFERROR(IF(FB490="Yes",VLOOKUP(DG490,Lookup_Control_Type_Table2,4,FALSE),VLOOKUP(DG490,Lookup_Control_Type_Table2,3,FALSE)),"")</f>
        <v/>
      </c>
      <c r="EZ490" s="1804" t="e">
        <f>VLOOKUP(DG490,Lookup!BB$3:BC$20,2,FALSE)</f>
        <v>#N/A</v>
      </c>
      <c r="FA490" s="1804" t="e">
        <f>VLOOKUP(EX490,Lookup_Control_Type_Table,2,FALSE)</f>
        <v>#N/A</v>
      </c>
      <c r="FB490" s="1804" t="e">
        <f>VLOOKUP(CS492,'Space Table'!$B$3:$L$163,7,FALSE)</f>
        <v>#N/A</v>
      </c>
      <c r="FC490" s="1826" t="b">
        <f>ISNUMBER(SEARCH("TLED",U492))</f>
        <v>0</v>
      </c>
      <c r="FE490" s="1698" t="str">
        <f>CONCATENATE(CQ490," - ",DG490)</f>
        <v xml:space="preserve"> - 0</v>
      </c>
      <c r="FG490" s="1702" t="str">
        <f>VLOOKUP(CW492,Fixtures!DN$27:EZ$77,38,FALSE)</f>
        <v/>
      </c>
      <c r="FH490" s="1702">
        <f>IFERROR(FG490*EH490,0)</f>
        <v>0</v>
      </c>
      <c r="FI490" s="133"/>
      <c r="FL490" s="1822" t="str">
        <f>IF(CQ490="Exterior","Not Daylighted",G493)</f>
        <v>Not Daylighted</v>
      </c>
      <c r="FM490" s="1824">
        <f>VLOOKUP(FL490,_New_Daylight_Table_Codes,2,FALSE)</f>
        <v>0</v>
      </c>
      <c r="FN490" s="1698">
        <f>IF(__Retrofit_TI_NC&gt;0,VLOOKUP(G492,'Space Table'!$B$3:$L$163,11,FALSE),AG491)</f>
        <v>0</v>
      </c>
      <c r="FO490" s="1698" t="e">
        <f>IF(__Retrofit_TI_NC=2,VLOOKUP(FQ490,_Control_Table,2,FALSE),VLOOKUP(FN490,_Control_Table,2,FALSE))</f>
        <v>#N/A</v>
      </c>
      <c r="FP490" s="1678" t="e">
        <f>VLOOKUP(CONCATENATE(FL490," ",FN490),Lookup!AY$102:AZ500,2,FALSE)</f>
        <v>#N/A</v>
      </c>
      <c r="FQ490" s="1678">
        <f>IF(__Retrofit_TI_NC=0,FN490,IF(AND(FT490&gt;0,FN490="Occupancy Sensor"),"Daylight + Occupancy",IF(AND(FT490&gt;0,VLOOKUP(FN490,_Control_Table,2,FALSE)&lt;4),"Interior Daylight Dimming",FN490)))</f>
        <v>0</v>
      </c>
      <c r="FS490" s="1686">
        <f>IF(CR490="Interior",VLOOKUP(CS490,Control_Savings_Interior,5,FALSE),0)</f>
        <v>0</v>
      </c>
      <c r="FT490" s="1687">
        <f>IF(CQ490="Exterior",0,IF(FM490=2,0.5,IF(OR(FM490=1,FM490=3),1,0)))</f>
        <v>0</v>
      </c>
      <c r="FU490" s="1685">
        <f>IF(R489&gt;FS$44,(FS490*(FS$44/R489)),FS490)*FT490</f>
        <v>0</v>
      </c>
      <c r="FV490" s="1686">
        <f>DI490</f>
        <v>0</v>
      </c>
      <c r="FW490" s="1686">
        <f>ROUND(FV490+((1-FV490)*FU490),2)</f>
        <v>0</v>
      </c>
      <c r="FX490" s="1686">
        <f>IF(__Retrofit_TI_NC=2,FW490,FV490)</f>
        <v>0</v>
      </c>
      <c r="FY490" s="1697"/>
      <c r="GA490" s="1696" t="str">
        <f>IFERROR(VLOOKUP(U491,_Exist_Fixture_Table,3,FALSE),"")</f>
        <v/>
      </c>
      <c r="GB490" s="1696" t="str">
        <f>VLOOKUP(CW490,_Exist_Fixture_Table,4,FALSE)</f>
        <v/>
      </c>
      <c r="GC490" s="1696">
        <f>IFERROR(VLOOKUP(GB490,Lookup!AT$6:AU$8,2,FALSE),0)</f>
        <v>0</v>
      </c>
      <c r="GD490" s="1696" t="b">
        <f>IFERROR(IF(OR(GF490=4,GF490=5,GF490=6),TRUE,FALSE),"")</f>
        <v>0</v>
      </c>
      <c r="GE490" s="1696" t="str">
        <f>IFERROR(VLOOKUP(GF490,GC$6:GD$10,2,FALSE),"")</f>
        <v/>
      </c>
      <c r="GF490" s="1696" t="str">
        <f>VLOOKUP(CW492,Fixtures!R$31:Y$78,8,FALSE)</f>
        <v/>
      </c>
      <c r="GG490" s="1696">
        <f>IF(AND(GA490=TRUE,GD490=TRUE,OR(DQ490=12,DQ490=13,DQ490=14)),GC490+8,0)</f>
        <v>0</v>
      </c>
      <c r="GH490" s="1696" t="b">
        <f>IF(OR(GG490=12,GG490=13,GG490=14),TRUE,FALSE)</f>
        <v>0</v>
      </c>
      <c r="GI490" s="673" t="b">
        <f>IF(ISNUMBER(SEARCH("TLED",U491)),TRUE,FALSE)</f>
        <v>0</v>
      </c>
      <c r="GJ490" s="1135" t="str">
        <f>IFERROR(VLOOKUP(U491,Fixtures!BM$93:BR$142,6,FALSE),"")</f>
        <v/>
      </c>
      <c r="GK490" s="1832" t="b">
        <f>IF(OR(GI490=FALSE,GI492=FALSE),TRUE,IF(GJ490-GJ492&lt;5,FALSE,TRUE))</f>
        <v>1</v>
      </c>
      <c r="GO490" s="674">
        <f>GP490</f>
        <v>0</v>
      </c>
      <c r="GP490" s="674">
        <f>IF(G490="",0,1)</f>
        <v>0</v>
      </c>
      <c r="GQ490" s="674">
        <f ca="1">SUM(GR490:HF490)</f>
        <v>2</v>
      </c>
      <c r="GR490" s="674">
        <f>IF(G491="",0,1)</f>
        <v>0</v>
      </c>
      <c r="GS490" s="674">
        <f>IF(N493="BAM",1,IF(G492="",0,1))</f>
        <v>0</v>
      </c>
      <c r="GT490" s="674">
        <f>IF(N493="BAM",1,IF(R491="",0,1))</f>
        <v>0</v>
      </c>
      <c r="GU490" s="674">
        <f>IF(N493="BAM",1,IF(__Retrofit_TI_NC=0,1,IF(R492="",0,1)))</f>
        <v>1</v>
      </c>
      <c r="GV490" s="674">
        <f>IF(N493="BAM",1,IF(CQ490="Exterior",1,IF(G493="",0,1)))</f>
        <v>1</v>
      </c>
      <c r="GW490" s="674">
        <f>IF(__Retrofit_TI_NC&gt;0,1,IF(T491="",0,1))</f>
        <v>0</v>
      </c>
      <c r="GX490" s="674">
        <f>IF(__Retrofit_TI_NC&gt;0,1,IF(U491="",0,1))</f>
        <v>0</v>
      </c>
      <c r="GY490" s="674">
        <f>IF(N493="BAM",1,IF(T492="",0,1))</f>
        <v>0</v>
      </c>
      <c r="GZ490" s="674">
        <f>IF(N493="BAM",1,IF(U492="",0,1))</f>
        <v>0</v>
      </c>
      <c r="HA490" s="674">
        <f ca="1">IF(N493="BAM",1,IF(__Retrofit_TI_NC&gt;0,1,IF(U493="",0,1)))</f>
        <v>0</v>
      </c>
      <c r="HB490" s="674">
        <f>IF(__Retrofit_TI_NC&lt;&gt;0,1,IF(AF491="",0,1))</f>
        <v>0</v>
      </c>
      <c r="HC490" s="674">
        <f>IF(__Retrofit_TI_NC&lt;&gt;0,1,IF(AG491="",0,1))</f>
        <v>0</v>
      </c>
      <c r="HD490" s="674">
        <f>IF(N493="BAM",1,IF(AF492="",0,1))</f>
        <v>0</v>
      </c>
      <c r="HE490" s="674">
        <f>IF(N493="BAM",1,IF(AG492="",0,1))</f>
        <v>0</v>
      </c>
      <c r="HF490" s="674">
        <f>IF(N493="BAM",1,IF(__Retrofit_TI_NC&gt;0,1,IF(AG493="",0,1)))</f>
        <v>0</v>
      </c>
      <c r="HG490" s="391"/>
      <c r="IA490" s="391"/>
      <c r="IB490" s="1693" t="b">
        <f>IF(OR(IB493=0,IB493=HY$16,IB493=HX$16,IB493=HZ$16),TRUE,FALSE)</f>
        <v>0</v>
      </c>
      <c r="IC490" s="1694" t="b">
        <f>IB490</f>
        <v>0</v>
      </c>
      <c r="ID490" s="391"/>
      <c r="IE490" s="391"/>
      <c r="IF490" s="1688" t="b">
        <f ca="1">IF(MAX(GN493:HU493)&gt;5,FALSE,TRUE)</f>
        <v>0</v>
      </c>
      <c r="IG490" s="1689">
        <f ca="1">IF(IF490=TRUE,AC490,0)</f>
        <v>0</v>
      </c>
      <c r="IH490" s="1689">
        <f ca="1">IG490-IG492</f>
        <v>0</v>
      </c>
      <c r="IK490" s="1689" t="e">
        <f>ROUND(T491*VLOOKUP(U491,Fixtures_Existing_List,2,FALSE)*N491*R491/1000,0)</f>
        <v>#N/A</v>
      </c>
      <c r="IL490" s="1690" t="e">
        <f>IK490-IK492</f>
        <v>#N/A</v>
      </c>
      <c r="IM490" s="1693" t="e">
        <f>ROUND(IF(CQ490="Interior",N492*R492*R491*N491*_C406_reduction/1000,N492*R492*R491*N491/1000),0)</f>
        <v>#N/A</v>
      </c>
      <c r="IN490" s="1693" t="e">
        <f>IM490-IM492</f>
        <v>#N/A</v>
      </c>
      <c r="IP490" s="1679"/>
      <c r="IQ490" s="1679" t="e">
        <f t="shared" ref="IQ490:IU490" si="441">IF($CR490="interior",VLOOKUP($CS490,_New_Control_Savings_Interior,IQ$30,FALSE),VLOOKUP($CS490,Control_Savings_Exterior,IQ$30,FALSE))</f>
        <v>#N/A</v>
      </c>
      <c r="IR490" s="1679" t="e">
        <f t="shared" si="441"/>
        <v>#N/A</v>
      </c>
      <c r="IS490" s="1679" t="e">
        <f t="shared" si="441"/>
        <v>#N/A</v>
      </c>
      <c r="IT490" s="1679" t="e">
        <f t="shared" si="441"/>
        <v>#N/A</v>
      </c>
      <c r="IU490" s="1679" t="e">
        <f t="shared" si="441"/>
        <v>#N/A</v>
      </c>
      <c r="IV490" s="1679" t="e">
        <f>IF($CR490="interior",IF(R491&gt;$IP$14,ROUND(($IV$18*($IP$14/R491)),2),$IV$18),VLOOKUP($CS490,Control_Savings_Exterior,IV$30,FALSE))</f>
        <v>#N/A</v>
      </c>
      <c r="IW490" s="1679" t="e">
        <f>IF($CR490="interior",ROUND(((1-IS490)*IV490)+IS490,2),VLOOKUP($CS490,Control_Savings_Exterior,IW$30,FALSE))</f>
        <v>#N/A</v>
      </c>
      <c r="IX490" s="1679" t="e">
        <f>IF($CR490="interior",ROUND(((1-IT490)*IV490)+IT490,2),VLOOKUP($CS490,Control_Savings_Exterior,IX$30,FALSE))</f>
        <v>#N/A</v>
      </c>
      <c r="IY490" s="1679" t="e">
        <f>IF($CR490="interior",IF(R491&gt;$IP$14,ROUND(($IY$18*($IP$14/R491)),2),$IY$18),VLOOKUP($CS490,Control_Savings_Exterior,IY$30,FALSE))</f>
        <v>#N/A</v>
      </c>
      <c r="IZ490" s="1679" t="e">
        <f>IF($CR490="interior",ROUND(((1-IS490)*IY490)+IS490,2),VLOOKUP($CS490,Control_Savings_Exterior,IZ$30,FALSE))</f>
        <v>#N/A</v>
      </c>
      <c r="JA490" s="1679" t="e">
        <f>IF($CR490="interior",ROUND(((1-IT490)*IY490)+IT490,2),VLOOKUP($CS490,Control_Savings_Exterior,JA$30,FALSE))</f>
        <v>#N/A</v>
      </c>
      <c r="JC490" s="1680">
        <f>IFERROR(IF(CR490="Interior",CONCATENATE(G493," ",FQ490),FQ490),"")</f>
        <v>0</v>
      </c>
      <c r="JD490" s="1670" t="str">
        <f>IFERROR(VLOOKUP(JC490,_Controls_2023,2,FALSE),"")</f>
        <v/>
      </c>
      <c r="JE490" s="1681">
        <f>IFERROR(CHOOSE(JD490-1,IQ490,IR490,IS490,IT490,IU490,IV490,IW490,IX490,IY490,IZ490,JA490),0)</f>
        <v>0</v>
      </c>
      <c r="JG490" s="1680" t="str">
        <f>FE490</f>
        <v xml:space="preserve"> - 0</v>
      </c>
      <c r="JH490" s="1670" t="e">
        <f>$FO490</f>
        <v>#N/A</v>
      </c>
      <c r="JI490" s="1060"/>
      <c r="JJ490" s="1682" t="b">
        <f>IF($JG492=CONCATENATE("Interior - ",JJ$4),TRUE,FALSE)</f>
        <v>0</v>
      </c>
      <c r="JK490" s="1061"/>
      <c r="JL490" s="1682" t="b">
        <f>IF($JG492=CONCATENATE("Interior - ",JL$4),TRUE,FALSE)</f>
        <v>0</v>
      </c>
      <c r="JM490" s="1061"/>
      <c r="JN490" s="1682" t="b">
        <f>IF($JG492=CONCATENATE("Interior - ",JN$4),TRUE,FALSE)</f>
        <v>0</v>
      </c>
      <c r="JO490" s="1061"/>
      <c r="JP490" s="1682" t="b">
        <f>IF(__Retrofit_TI_NC&gt;0,FALSE,IF($JG492=CONCATENATE("Interior - ",JP$4),TRUE,FALSE))</f>
        <v>0</v>
      </c>
      <c r="JQ490" s="1061"/>
      <c r="JR490" s="1682" t="b">
        <f>IF(__Retrofit_TI_NC&gt;0,FALSE,IF($JG492=CONCATENATE("Interior - ",JR$4),TRUE,FALSE))</f>
        <v>0</v>
      </c>
      <c r="JS490" s="1061"/>
      <c r="JT490" s="1670" t="b">
        <f>IF(__Retrofit_TI_NC&gt;0,FALSE,IF($JG492=CONCATENATE("Interior - ",JT$4),TRUE,FALSE))</f>
        <v>0</v>
      </c>
      <c r="JU490" s="1061"/>
      <c r="JV490" s="1670" t="b">
        <f>IF(JC492="AELC on Existing",TRUE,FALSE)</f>
        <v>0</v>
      </c>
      <c r="JX490" s="1670" t="b">
        <f>IF(OR(JG492="Exterior - AELC Occupancy based",JG492="Exterior - AELC Time based"),TRUE,FALSE)</f>
        <v>0</v>
      </c>
      <c r="JZ490" s="1682" t="b">
        <f>IF($JG492=CONCATENATE("Exterior - ",JZ$4),TRUE,FALSE)</f>
        <v>0</v>
      </c>
      <c r="KB490" s="1670" t="b">
        <f>IF(__Retrofit_TI_NC&gt;0,FALSE,IF($JG492=CONCATENATE("Interior - ",KB$4),TRUE,FALSE))</f>
        <v>0</v>
      </c>
    </row>
    <row r="491" spans="1:288" s="78" customFormat="1" ht="14.95" customHeight="1" thickTop="1" thickBot="1">
      <c r="B491" s="1845"/>
      <c r="C491" s="1846"/>
      <c r="D491" s="1847"/>
      <c r="E491" s="1737" t="s">
        <v>297</v>
      </c>
      <c r="F491" s="1738"/>
      <c r="G491" s="1739"/>
      <c r="H491" s="1739"/>
      <c r="I491" s="1739"/>
      <c r="J491" s="1739"/>
      <c r="K491" s="1739"/>
      <c r="L491" s="1739"/>
      <c r="M491" s="461" t="e">
        <f>IF(__Retrofit_TI_NC&lt;&gt;0,IF(VLOOKUP(G492,'Space Table'!$B$3:$L$163,3,FALSE)&gt;0,1,0),IF(__Retrofit_TI_NC=VLOOKUP(G492,'Space Table'!$B$3:$L$163,3,FALSE),1,0))</f>
        <v>#N/A</v>
      </c>
      <c r="N491" s="461" t="str">
        <f>IFERROR(VLOOKUP(G491,_Lookup_Heat_Type_Table_New,2,FALSE),"")</f>
        <v/>
      </c>
      <c r="O491" s="461">
        <f>IF(__Retrofit_TI_NC=1,CONCATENATE("TI ",G491),IF(__Retrofit_TI_NC=2,CONCATENATE("NC ",G491),G491))</f>
        <v>0</v>
      </c>
      <c r="P491" s="1740" t="s">
        <v>435</v>
      </c>
      <c r="Q491" s="1740"/>
      <c r="R491" s="595"/>
      <c r="S491" s="1792"/>
      <c r="T491" s="597"/>
      <c r="U491" s="1765"/>
      <c r="V491" s="1766"/>
      <c r="W491" s="1766"/>
      <c r="X491" s="1766"/>
      <c r="Y491" s="1766"/>
      <c r="Z491" s="1766"/>
      <c r="AA491" s="1766"/>
      <c r="AB491" s="1766"/>
      <c r="AC491" s="1766"/>
      <c r="AD491" s="1767"/>
      <c r="AE491" s="1000"/>
      <c r="AF491" s="597"/>
      <c r="AG491" s="1723"/>
      <c r="AH491" s="1724"/>
      <c r="AI491" s="1724"/>
      <c r="AJ491" s="1724"/>
      <c r="AK491" s="1725"/>
      <c r="AL491" s="996"/>
      <c r="AM491" s="1747"/>
      <c r="AN491" s="1775"/>
      <c r="AO491" s="1777"/>
      <c r="AP491" s="1780"/>
      <c r="AQ491" s="1781"/>
      <c r="AR491" s="1795"/>
      <c r="AS491" s="1795"/>
      <c r="AT491" s="1796"/>
      <c r="AU491" s="1735"/>
      <c r="AV491" s="1752"/>
      <c r="AW491" s="1705"/>
      <c r="AX491" s="467"/>
      <c r="AY491" s="1749"/>
      <c r="AZ491" s="1749"/>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696"/>
      <c r="CQ491" s="1696"/>
      <c r="CR491" s="1809"/>
      <c r="CS491" s="1811"/>
      <c r="CU491" s="1688"/>
      <c r="CV491" s="1703"/>
      <c r="CW491" s="1703"/>
      <c r="CX491" s="1703"/>
      <c r="CY491" s="1815"/>
      <c r="CZ491" s="1711"/>
      <c r="DA491" s="1818"/>
      <c r="DB491" s="1820"/>
      <c r="DC491" s="1820"/>
      <c r="DD491" s="1820"/>
      <c r="DF491" s="1703"/>
      <c r="DG491" s="1831"/>
      <c r="DH491" s="1703"/>
      <c r="DI491" s="1838"/>
      <c r="DJ491" s="1711"/>
      <c r="DK491" s="1712"/>
      <c r="DM491" s="1718"/>
      <c r="DO491" s="1708"/>
      <c r="DQ491" s="1715"/>
      <c r="DR491" s="1720"/>
      <c r="DS491" s="1816"/>
      <c r="DT491" s="1714"/>
      <c r="DU491" s="1715"/>
      <c r="DV491" s="1716"/>
      <c r="DX491" s="1715"/>
      <c r="DY491" s="1720"/>
      <c r="DZ491" s="1715"/>
      <c r="EA491" s="1715"/>
      <c r="EC491" s="1834"/>
      <c r="ED491" s="1834"/>
      <c r="EF491" s="1707"/>
      <c r="EG491" s="1712"/>
      <c r="EH491" s="1818"/>
      <c r="EI491" s="1712"/>
      <c r="EJ491" s="1712"/>
      <c r="EK491" s="1836"/>
      <c r="EL491" s="1836"/>
      <c r="EM491" s="1807"/>
      <c r="EN491" s="1839"/>
      <c r="EO491" s="1839"/>
      <c r="EP491" s="1817"/>
      <c r="EQ491" s="1817"/>
      <c r="ER491" s="1807"/>
      <c r="ES491" s="1807"/>
      <c r="ET491" s="1807"/>
      <c r="EV491" s="1715"/>
      <c r="EX491" s="1805"/>
      <c r="EY491" s="1805"/>
      <c r="EZ491" s="1805"/>
      <c r="FA491" s="1805"/>
      <c r="FB491" s="1805"/>
      <c r="FC491" s="1827"/>
      <c r="FE491" s="1698"/>
      <c r="FG491" s="1816"/>
      <c r="FH491" s="1816"/>
      <c r="FI491" s="133"/>
      <c r="FL491" s="1823"/>
      <c r="FM491" s="1825"/>
      <c r="FN491" s="1698"/>
      <c r="FO491" s="1698"/>
      <c r="FP491" s="1678"/>
      <c r="FQ491" s="1678"/>
      <c r="FS491" s="1687"/>
      <c r="FT491" s="1687"/>
      <c r="FU491" s="1685"/>
      <c r="FV491" s="1687"/>
      <c r="FW491" s="1687"/>
      <c r="FX491" s="1687"/>
      <c r="FY491" s="1697"/>
      <c r="GA491" s="1696"/>
      <c r="GB491" s="1696"/>
      <c r="GC491" s="1696"/>
      <c r="GD491" s="1696"/>
      <c r="GE491" s="1696"/>
      <c r="GF491" s="1696"/>
      <c r="GG491" s="1696"/>
      <c r="GH491" s="1696"/>
      <c r="GI491" s="673"/>
      <c r="GJ491" s="1135"/>
      <c r="GK491" s="1832"/>
      <c r="GM491" s="1693" t="b">
        <f ca="1">IF(AND(GP491=TRUE,GQ491=TRUE),TRUE,FALSE)</f>
        <v>0</v>
      </c>
      <c r="GN491" s="1684" t="b">
        <f>IFERROR(IF(__Retrofit_TI_NC=2,TRUE,IF(AU490="Yes",TRUE,FALSE)),FALSE)</f>
        <v>1</v>
      </c>
      <c r="GP491" s="1684" t="b">
        <f>IFERROR(IF(GP490=1,TRUE,FALSE),FALSE)</f>
        <v>0</v>
      </c>
      <c r="GQ491" s="1684" t="b">
        <f ca="1">IFERROR(IF(GQ490=GQ$14,TRUE,FALSE),FALSE)</f>
        <v>0</v>
      </c>
      <c r="HG491" s="1684" t="b">
        <f>IFERROR(IF(AND(__Retrofit_TI_NC&gt;0,CQ490="Interior"),FALSE,TRUE),FALSE)</f>
        <v>1</v>
      </c>
      <c r="HH491" s="1684" t="b">
        <f>IFERROR(IF(M491=1,TRUE,FALSE),FALSE)</f>
        <v>0</v>
      </c>
      <c r="HI491" s="1684" t="b">
        <f>IFERROR(IF(OR(M492=1,N493="BAM"),TRUE,FALSE),FALSE)</f>
        <v>0</v>
      </c>
      <c r="HJ491" s="1684" t="b">
        <f>IFERROR(IF(__Retrofit_TI_NC&lt;&gt;0,TRUE,IFERROR(IF(VLOOKUP(U491,Fixtures_Existing_List,2,FALSE)&lt;&gt;"",TRUE,FALSE),FALSE)),FALSE)</f>
        <v>0</v>
      </c>
      <c r="HK491" s="1684" t="b">
        <f>IFERROR(IF(VLOOKUP(U492,Fixtures_Proposed_List,2,FALSE)&lt;&gt;"",TRUE,FALSE),FALSE)</f>
        <v>0</v>
      </c>
      <c r="HL491" s="1684" t="b">
        <f>IF(AND(__Retrofit_TI_NC=2,FC490=TRUE),FALSE,TRUE)</f>
        <v>1</v>
      </c>
      <c r="HM491" s="1684" t="b">
        <f>GK490</f>
        <v>1</v>
      </c>
      <c r="HN491" s="1682" t="b">
        <f>IF(ISERROR(MATCH(FE490,_Control_Match[],0))=TRUE,FALSE,TRUE)</f>
        <v>0</v>
      </c>
      <c r="HO491" s="1693" t="b">
        <f>IFERROR(IF(EX490&lt;&gt;EY490,FALSE,TRUE),FALSE)</f>
        <v>1</v>
      </c>
      <c r="HP491" s="1693" t="b">
        <f>IFERROR(IF(EX492&lt;&gt;EY492,FALSE,TRUE),FALSE)</f>
        <v>1</v>
      </c>
      <c r="HQ491" s="1670" t="b">
        <f>IFERROR(IF(CQ490="Exterior",TRUE,IF(AND(OR(FM492=0,FM492=3),JD492&gt;6),FALSE,TRUE)),FALSE)</f>
        <v>0</v>
      </c>
      <c r="HR491" s="1684" t="b">
        <f>IFERROR(IF(AND(FO492=7,FC490=TRUE),FALSE,TRUE),FALSE)</f>
        <v>0</v>
      </c>
      <c r="HS491" s="1684" t="b">
        <f>IFERROR(IF(AND(T492&lt;&gt;AF492,OR(AG492="Interior LLLC", AG492="Interior NLC", AG492="LLLC (outside Daylight)",AG492="LLLC Controls Only"))=TRUE,FALSE,TRUE),FALSE)</f>
        <v>1</v>
      </c>
      <c r="HT491" s="1670" t="b">
        <f>IFERROR(IF(OR(AG492=Lookup!BB$17,AG492=Lookup!BB$18,AG492=Lookup!BB$19)=TRUE,IF(AF492&gt;T492,FALSE,TRUE),TRUE),FALSE)</f>
        <v>1</v>
      </c>
      <c r="HU491" s="1684" t="b">
        <f>IFERROR(IF(__Retrofit_TI_NC=2,IF(EZ492&lt;EZ490,FALSE,TRUE),TRUE),FALSE)</f>
        <v>1</v>
      </c>
      <c r="HV491" s="1684" t="b">
        <f>IF(CQ490="Interior",IL$6,TRUE)</f>
        <v>1</v>
      </c>
      <c r="HW491" s="1684" t="b">
        <f>IF(CQ490="Exterior",IL$8,TRUE)</f>
        <v>1</v>
      </c>
      <c r="HX491" s="1684" t="b">
        <f>IFERROR(IF(__Retrofit_TI_NC&lt;&gt;0,IF(AZ490&lt;AY490,FALSE,TRUE),TRUE),FALSE)</f>
        <v>1</v>
      </c>
      <c r="HY491" s="1684" t="b">
        <f>IFERROR(IF(AND(G491="Exterior",R491&gt;4200),FALSE,TRUE),FALSE)</f>
        <v>1</v>
      </c>
      <c r="HZ491" s="1684" t="b">
        <f>IFERROR(IF(AB493/AB490&lt;HZ$18,FALSE,TRUE),FALSE)</f>
        <v>0</v>
      </c>
      <c r="IB491" s="1691"/>
      <c r="IC491" s="1695"/>
      <c r="ID491" s="1694" t="str">
        <f>VLOOKUP(IB493,_Error_Table,4,FALSE)</f>
        <v>White</v>
      </c>
      <c r="IE491" s="391"/>
      <c r="IF491" s="1688"/>
      <c r="IG491" s="1689"/>
      <c r="IH491" s="1684"/>
      <c r="IK491" s="1689"/>
      <c r="IL491" s="1691"/>
      <c r="IM491" s="1691"/>
      <c r="IN491" s="1691"/>
      <c r="IP491" s="1679"/>
      <c r="IQ491" s="1679"/>
      <c r="IR491" s="1679"/>
      <c r="IS491" s="1679"/>
      <c r="IT491" s="1679"/>
      <c r="IU491" s="1679"/>
      <c r="IV491" s="1679"/>
      <c r="IW491" s="1679"/>
      <c r="IX491" s="1679"/>
      <c r="IY491" s="1679"/>
      <c r="IZ491" s="1679"/>
      <c r="JA491" s="1679"/>
      <c r="JC491" s="1680"/>
      <c r="JD491" s="1670"/>
      <c r="JE491" s="1681"/>
      <c r="JG491" s="1680"/>
      <c r="JH491" s="1670"/>
      <c r="JI491" s="1060"/>
      <c r="JJ491" s="1683"/>
      <c r="JK491" s="1061"/>
      <c r="JL491" s="1683"/>
      <c r="JM491" s="1061"/>
      <c r="JN491" s="1683"/>
      <c r="JO491" s="1061"/>
      <c r="JP491" s="1683"/>
      <c r="JQ491" s="1061"/>
      <c r="JR491" s="1683"/>
      <c r="JS491" s="1061"/>
      <c r="JT491" s="1670"/>
      <c r="JU491" s="1061"/>
      <c r="JV491" s="1670"/>
      <c r="JX491" s="1670"/>
      <c r="JZ491" s="1683"/>
      <c r="KB491" s="1670"/>
    </row>
    <row r="492" spans="1:288" s="78" customFormat="1" ht="14.95" customHeight="1" thickTop="1" thickBot="1">
      <c r="A492" s="78">
        <f>ROW()</f>
        <v>492</v>
      </c>
      <c r="B492" s="1845"/>
      <c r="C492" s="1846"/>
      <c r="D492" s="1847"/>
      <c r="E492" s="1737" t="s">
        <v>298</v>
      </c>
      <c r="F492" s="1738"/>
      <c r="G492" s="1760"/>
      <c r="H492" s="1761"/>
      <c r="I492" s="1761"/>
      <c r="J492" s="1761"/>
      <c r="K492" s="1761"/>
      <c r="L492" s="1762"/>
      <c r="M492" s="461">
        <f>IFERROR(IF(IF(__Retrofit_TI_NC&lt;&gt;0,IF(CQ490="Interior",MATCH(G492,Lookup_Interior_New,0),MATCH(G492,Lookup_Exterior_New,0)),IF(CQ490="Interior",MATCH(G492,Lookup_Interior,0),MATCH(G492,Lookup_Exterior_Areas,0)))&gt;0,1,0),0)</f>
        <v>0</v>
      </c>
      <c r="N492" s="461" t="e">
        <f>IF(__Retrofit_TI_NC=1,
VLOOKUP(G492,'Space Table'!$B$3:$L$163,4,FALSE),
IF(__Retrofit_TI_NC=2,VLOOKUP(G492,'Space Table'!$B$3:$L$163,5,FALSE),VLOOKUP(G492,'Space Table'!$B$3:$L$163,5,FALSE)))</f>
        <v>#N/A</v>
      </c>
      <c r="O492" s="461">
        <f>G492</f>
        <v>0</v>
      </c>
      <c r="P492" s="1738" t="str">
        <f>IFERROR(IF(__Retrofit_TI_NC=1,VLOOKUP(G492,'Space Table'!$B$3:$O$163,13,FALSE),IF(__Retrofit_TI_NC=2,VLOOKUP(G492,'Space Table'!$B$3:$O$163,14,FALSE),"Area (sf):")),"Area (sf):")</f>
        <v>Area (sf):</v>
      </c>
      <c r="Q492" s="1738"/>
      <c r="R492" s="596"/>
      <c r="S492" s="1763" t="s">
        <v>345</v>
      </c>
      <c r="T492" s="594"/>
      <c r="U492" s="1801"/>
      <c r="V492" s="1802"/>
      <c r="W492" s="1802"/>
      <c r="X492" s="1802"/>
      <c r="Y492" s="1802"/>
      <c r="Z492" s="1802"/>
      <c r="AA492" s="1802"/>
      <c r="AB492" s="1802"/>
      <c r="AC492" s="1802"/>
      <c r="AD492" s="1802"/>
      <c r="AE492" s="1803"/>
      <c r="AF492" s="594"/>
      <c r="AG492" s="1787"/>
      <c r="AH492" s="1787"/>
      <c r="AI492" s="1787"/>
      <c r="AJ492" s="1787"/>
      <c r="AK492" s="1787"/>
      <c r="AL492" s="1787"/>
      <c r="AM492" s="1726">
        <f>IFERROR(DI492,"")</f>
        <v>0</v>
      </c>
      <c r="AN492" s="1728" t="str">
        <f>IFERROR(ROUND(AM492*AC493,0),"")</f>
        <v/>
      </c>
      <c r="AO492" s="1730">
        <f>IFERROR(IF(IB490=FALSE,0,AC493-AN492),0)</f>
        <v>0</v>
      </c>
      <c r="AP492" s="1780"/>
      <c r="AQ492" s="1781"/>
      <c r="AR492" s="1795"/>
      <c r="AS492" s="1795"/>
      <c r="AT492" s="1796"/>
      <c r="AU492" s="1735"/>
      <c r="AV492" s="1752"/>
      <c r="AW492" s="1705"/>
      <c r="AX492" s="467"/>
      <c r="AY492" s="1749"/>
      <c r="AZ492" s="1749"/>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696"/>
      <c r="CQ492" s="1696"/>
      <c r="CR492" s="1808" t="str">
        <f>CQ490</f>
        <v/>
      </c>
      <c r="CS492" s="1810" t="str">
        <f>CS490</f>
        <v/>
      </c>
      <c r="CU492" s="1688" t="s">
        <v>345</v>
      </c>
      <c r="CV492" s="1702">
        <f>IF(IB490=TRUE,T492,0)</f>
        <v>0</v>
      </c>
      <c r="CW492" s="1702" t="str">
        <f>IF(IB490=TRUE,U492,"")</f>
        <v/>
      </c>
      <c r="CX492" s="1812">
        <f>IF(IB490=TRUE,U493,0)</f>
        <v>0</v>
      </c>
      <c r="CY492" s="1814">
        <f>IF(IB490=TRUE,AB493,0)</f>
        <v>0</v>
      </c>
      <c r="CZ492" s="1710">
        <f>IF(AND(__Retrofit_TI_NC&gt;0,CR490="interior"),0,IF(IB490=TRUE,AC493,0))</f>
        <v>0</v>
      </c>
      <c r="DA492" s="1818"/>
      <c r="DB492" s="1820"/>
      <c r="DC492" s="1820"/>
      <c r="DD492" s="1820"/>
      <c r="DF492" s="1702">
        <f>IF(IB490=TRUE,AF492,0)</f>
        <v>0</v>
      </c>
      <c r="DG492" s="1830" t="str">
        <f>IF(IB490=TRUE,AG492,"")</f>
        <v/>
      </c>
      <c r="DH492" s="1812">
        <f>AG493</f>
        <v>0</v>
      </c>
      <c r="DI492" s="1837">
        <f>JE492</f>
        <v>0</v>
      </c>
      <c r="DJ492" s="1710">
        <f>IF(AND(__Retrofit_TI_NC&gt;0,CR490="interior"),0,IF(IB490=TRUE,AN492,0))</f>
        <v>0</v>
      </c>
      <c r="DK492" s="1712"/>
      <c r="DN492" s="1717">
        <f>IFERROR(CZ492-DJ492,0)</f>
        <v>0</v>
      </c>
      <c r="DO492" s="1709"/>
      <c r="DQ492" s="1715"/>
      <c r="DR492" s="1719" t="str">
        <f>DQ490</f>
        <v/>
      </c>
      <c r="DS492" s="1816"/>
      <c r="DT492" s="1835" t="str">
        <f>IF(OR(DS490=7,DS490=8,DS490=9),"ALC","")</f>
        <v/>
      </c>
      <c r="DU492" s="1715"/>
      <c r="DV492" s="1716"/>
      <c r="DX492" s="1715"/>
      <c r="DY492" s="1829" t="str">
        <f>DX490</f>
        <v/>
      </c>
      <c r="DZ492" s="1715"/>
      <c r="EA492" s="1715"/>
      <c r="EC492" s="1834"/>
      <c r="ED492" s="1834"/>
      <c r="EF492" s="1707"/>
      <c r="EG492" s="1712"/>
      <c r="EH492" s="1818"/>
      <c r="EI492" s="1712"/>
      <c r="EJ492" s="1712"/>
      <c r="EK492" s="1836"/>
      <c r="EL492" s="1836"/>
      <c r="EM492" s="1807"/>
      <c r="EN492" s="1839"/>
      <c r="EO492" s="1839"/>
      <c r="EP492" s="1817"/>
      <c r="EQ492" s="1817"/>
      <c r="ER492" s="1807"/>
      <c r="ES492" s="1807"/>
      <c r="ET492" s="1807"/>
      <c r="EV492" s="1715"/>
      <c r="EX492" s="1805" t="str">
        <f>IFERROR(VLOOKUP(CS492,'Space Table'!$B$3:$L$163,8,FALSE),"")</f>
        <v/>
      </c>
      <c r="EY492" s="1805" t="str">
        <f>IFERROR(IF(FB492="Yes",VLOOKUP(AG492,Lookup_Control_Type_Table2,4,FALSE),VLOOKUP(AG492,Lookup_Control_Type_Table2,3,FALSE)),"")</f>
        <v/>
      </c>
      <c r="EZ492" s="1805" t="e">
        <f>VLOOKUP(AG492,Lookup!BB$3:BC$20,2,FALSE)</f>
        <v>#N/A</v>
      </c>
      <c r="FA492" s="1805" t="e">
        <f>VLOOKUP(EX490,Lookup_Control_Type_Table,2,FALSE)</f>
        <v>#N/A</v>
      </c>
      <c r="FB492" s="1805" t="e">
        <f>VLOOKUP(CS492,'Space Table'!$B$3:$L$163,7,FALSE)</f>
        <v>#N/A</v>
      </c>
      <c r="FC492" s="1827"/>
      <c r="FE492" s="1698" t="str">
        <f>CONCATENATE(CQ490," - ",AG492)</f>
        <v xml:space="preserve"> - </v>
      </c>
      <c r="FG492" s="1816"/>
      <c r="FH492" s="1816"/>
      <c r="FI492" s="133"/>
      <c r="FL492" s="1822" t="str">
        <f>IF(CQ490="Exterior","Not Daylighted",G493)</f>
        <v>Not Daylighted</v>
      </c>
      <c r="FM492" s="1824">
        <f>VLOOKUP(FL492,_New_Daylight_Table_Codes,2,FALSE)</f>
        <v>0</v>
      </c>
      <c r="FN492" s="1698">
        <f>AG492</f>
        <v>0</v>
      </c>
      <c r="FO492" s="1698" t="e">
        <f>VLOOKUP(FN492,_Control_Table,2,FALSE)</f>
        <v>#N/A</v>
      </c>
      <c r="FP492" s="1678" t="e">
        <f>VLOOKUP(CONCATENATE(FL492," ",FN492),Lookup!AY$102:AZ503,2,FALSE)</f>
        <v>#N/A</v>
      </c>
      <c r="FQ492" s="1698">
        <f>IF(__Retrofit_TI_NC=0,FN492,IF(AND(FT492&gt;0,FN492="Occupancy Sensor"),"Daylight + Occupancy",IF(AND(FT492&gt;0,FO492&lt;4),"Interior Daylight Dimming",FN492)))</f>
        <v>0</v>
      </c>
      <c r="FS492" s="1686">
        <f>IF(CQ490="Interior",VLOOKUP(CS490,Control_Savings_Interior,5,FALSE),0)</f>
        <v>0</v>
      </c>
      <c r="FT492" s="1687">
        <f>IF(CQ492="Exterior",0,IF(FM492=2,0.5,IF(OR(FM492=1,FM492=3),1,0)))</f>
        <v>0</v>
      </c>
      <c r="FU492" s="1685">
        <f>IF(R491&gt;FS$44,(FS492*(FS$44/R491)),FS492)*FT492</f>
        <v>0</v>
      </c>
      <c r="FV492" s="1686">
        <f>DI492</f>
        <v>0</v>
      </c>
      <c r="FW492" s="1686">
        <f>ROUND(FV492+((1-FV492)*FU492),2)</f>
        <v>0</v>
      </c>
      <c r="FX492" s="1686">
        <f>IF(__Retrofit_TI_NC=2,FW492,FV492)</f>
        <v>0</v>
      </c>
      <c r="FY492" s="1697">
        <f>IF(CR492="Interior",VLOOKUP(CS492,Control_Savings_Interior,4,FALSE),0)</f>
        <v>0</v>
      </c>
      <c r="GA492" s="1696"/>
      <c r="GB492" s="1696"/>
      <c r="GC492" s="1696"/>
      <c r="GD492" s="1696"/>
      <c r="GE492" s="1696"/>
      <c r="GF492" s="1696"/>
      <c r="GG492" s="1696"/>
      <c r="GH492" s="1696"/>
      <c r="GI492" s="673" t="b">
        <f>IF(ISNUMBER(SEARCH("TLED",U492)),TRUE,FALSE)</f>
        <v>0</v>
      </c>
      <c r="GJ492" s="1135" t="str">
        <f>IFERROR(VLOOKUP(U492,Fixtures!DM$93:DR$142,6,FALSE),"")</f>
        <v/>
      </c>
      <c r="GK492" s="1832"/>
      <c r="GM492" s="1692"/>
      <c r="GN492" s="1684"/>
      <c r="GP492" s="1684"/>
      <c r="GQ492" s="1684"/>
      <c r="HG492" s="1684"/>
      <c r="HH492" s="1684"/>
      <c r="HI492" s="1684"/>
      <c r="HJ492" s="1684"/>
      <c r="HK492" s="1684"/>
      <c r="HL492" s="1684"/>
      <c r="HM492" s="1684"/>
      <c r="HN492" s="1683"/>
      <c r="HO492" s="1692"/>
      <c r="HP492" s="1692"/>
      <c r="HQ492" s="1670"/>
      <c r="HR492" s="1684"/>
      <c r="HS492" s="1684"/>
      <c r="HT492" s="1670"/>
      <c r="HU492" s="1684"/>
      <c r="HV492" s="1684"/>
      <c r="HW492" s="1684"/>
      <c r="HX492" s="1684"/>
      <c r="HY492" s="1684"/>
      <c r="HZ492" s="1684"/>
      <c r="IB492" s="1692"/>
      <c r="IC492" s="1693" t="b">
        <f>IB490</f>
        <v>0</v>
      </c>
      <c r="ID492" s="1695"/>
      <c r="IE492" s="391"/>
      <c r="IF492" s="1688"/>
      <c r="IG492" s="1689">
        <f ca="1">IF(IF490=TRUE,AC493,0)</f>
        <v>0</v>
      </c>
      <c r="IH492" s="1684"/>
      <c r="IK492" s="1689" t="e">
        <f>ROUND(T492*AB493*N491*R491/1000,0)</f>
        <v>#VALUE!</v>
      </c>
      <c r="IL492" s="1691"/>
      <c r="IM492" s="1693" t="e">
        <f>ROUND(T492*AB493*N491*R491/1000,0)</f>
        <v>#VALUE!</v>
      </c>
      <c r="IN492" s="1691"/>
      <c r="IP492" s="1679"/>
      <c r="IQ492" s="1679" t="e">
        <f t="shared" ref="IQ492:IU492" si="442">IF($CR492="interior",VLOOKUP($CS492,_New_Control_Savings_Interior,IQ$30,FALSE),VLOOKUP($CS492,Control_Savings_Exterior,IQ$30,FALSE))</f>
        <v>#N/A</v>
      </c>
      <c r="IR492" s="1679" t="e">
        <f t="shared" si="442"/>
        <v>#N/A</v>
      </c>
      <c r="IS492" s="1679" t="e">
        <f t="shared" si="442"/>
        <v>#N/A</v>
      </c>
      <c r="IT492" s="1679" t="e">
        <f t="shared" si="442"/>
        <v>#N/A</v>
      </c>
      <c r="IU492" s="1679" t="e">
        <f t="shared" si="442"/>
        <v>#N/A</v>
      </c>
      <c r="IV492" s="1679" t="e">
        <f>IF($CR492="interior",IF(R491&gt;$IP$14,ROUND(($IV$18*($IP$14/R491)),2),$IV$18),VLOOKUP($CS492,Control_Savings_Exterior,IV$30,FALSE))</f>
        <v>#N/A</v>
      </c>
      <c r="IW492" s="1679" t="e">
        <f>IF($CR492="interior",ROUND(((1-IS492)*IV492)+IS492,2),VLOOKUP($CS492,Control_Savings_Exterior,IW$30,FALSE))</f>
        <v>#N/A</v>
      </c>
      <c r="IX492" s="1679" t="e">
        <f>IF($CR492="interior",ROUND(((1-IT492)*IV492)+IT492,2),VLOOKUP($CS492,Control_Savings_Exterior,IX$30,FALSE))</f>
        <v>#N/A</v>
      </c>
      <c r="IY492" s="1679" t="e">
        <f>IF($CR492="interior",IF(R491&gt;$IP$14,ROUND(($IY$18*($IP$14/R491)),2),$IY$18),VLOOKUP($CS492,Control_Savings_Exterior,IY$30,FALSE))</f>
        <v>#N/A</v>
      </c>
      <c r="IZ492" s="1679" t="e">
        <f>IF($CR492="interior",ROUND(((1-IS492)*IY492)+IS492,2),VLOOKUP($CS492,Control_Savings_Exterior,IZ$30,FALSE))</f>
        <v>#N/A</v>
      </c>
      <c r="JA492" s="1679" t="e">
        <f>IF($CR492="interior",ROUND(((1-IT492)*IY492)+IT492,2),VLOOKUP($CS492,Control_Savings_Exterior,JA$30,FALSE))</f>
        <v>#N/A</v>
      </c>
      <c r="JC492" s="1680">
        <f>IFERROR(IF(CR492="Interior",CONCATENATE(G493," ",FQ492),AG492),"")</f>
        <v>0</v>
      </c>
      <c r="JD492" s="1670" t="str">
        <f>IFERROR(VLOOKUP(JC492,_Controls_2023,2,FALSE),"")</f>
        <v/>
      </c>
      <c r="JE492" s="1681">
        <f>IFERROR(CHOOSE(JD492-1,IQ492,IR492,IS492,IT492,IU492,IV492,IW492,IX492,IY492,IZ492,JA492),0)</f>
        <v>0</v>
      </c>
      <c r="JG492" s="1680" t="str">
        <f>FE492</f>
        <v xml:space="preserve"> - </v>
      </c>
      <c r="JH492" s="1670" t="e">
        <f>$FO492</f>
        <v>#N/A</v>
      </c>
      <c r="JI492" s="1060"/>
      <c r="JJ492" s="1670">
        <f>IFERROR(IF($IB490=TRUE,IF(OR(JJ$14="No",JJ490=FALSE,JH492&lt;=JH490,AND(_kWh_Grant=0,GD490=FALSE)),0,IF(JJ$8="Per Line",1,$AF492)),0),0)</f>
        <v>0</v>
      </c>
      <c r="JK492" s="1061"/>
      <c r="JL492" s="1670">
        <f>IFERROR(IF(_kWh_Grant=0,0,IF($IB490=TRUE,IF(OR(JL$14="No",JL490=FALSE,JH492&lt;=JH490),0,IF(JL$8="Per Line",1,$T492)),0)),0)</f>
        <v>0</v>
      </c>
      <c r="JM492" s="1061"/>
      <c r="JN492" s="1670">
        <f>IFERROR(IF(_kWh_Grant=0,0,IF($IB490=TRUE,IF(OR(JN$14="No",JN490=FALSE,JH492&lt;=JH490),0,IF(JN$8="Per Line",1,$AF492)),0)),0)</f>
        <v>0</v>
      </c>
      <c r="JO492" s="1061"/>
      <c r="JP492" s="1670">
        <f>IFERROR(IF(__Retrofit_TI_NC=0,IF(_kWh_Grant=0,0,IF($IB490=TRUE,IF(OR(JP$14="No",JP490=FALSE,$JH492&lt;=$JH490),0,IF(JP$8="Per Line",1,$AF492)),0)),IF($IB490=TRUE,IF(OR(JP$14="No",JP490=FALSE,$JH492&lt;=$JH490),0,IF(JP$8="Per Line",1,$AF492)))),0)</f>
        <v>0</v>
      </c>
      <c r="JQ492" s="1061"/>
      <c r="JR492" s="1670">
        <f>IFERROR(IF(__Retrofit_TI_NC=0,IF(_kWh_Grant=0,0,IF($IB490=TRUE,IF(OR(JR$14="No",JR490=FALSE,$JH492&lt;=$JH490),0,IF(JR$8="Per Line",1,$AF492)),0)),IF($IB490=TRUE,IF(OR(JR$14="No",JR490=FALSE,$JH492&lt;=$JH490),0,IF(JR$8="Per Line",1,$AF492)))),0)</f>
        <v>0</v>
      </c>
      <c r="JS492" s="1061"/>
      <c r="JT492" s="1670">
        <f>IFERROR(IF(__Retrofit_TI_NC=0,IF(_kWh_Grant=0,0,IF($IB490=TRUE,IF(OR(JT$14="No",JT490=FALSE,$JH492&lt;=$JH490),0,IF(JT$8="Per Line",1,$AF492)),0)),IF($IB490=TRUE,IF(OR(JT$14="No",JT490=FALSE,$JH492&lt;=$JH490),0,IF(JT$8="Per Line",1,$AF492)))),0)</f>
        <v>0</v>
      </c>
      <c r="JU492" s="1061"/>
      <c r="JV492" s="1670">
        <f>IFERROR(IF(__Retrofit_TI_NC=0,IF(_kWh_Grant=0,0,IF($IB490=TRUE,IF(OR(JV$14="No",JV490=FALSE,$JH492&lt;=$JH490),0,IF(JV$8="Per Line",1,$AF492)),0)),IF($IB490=TRUE,IF(OR(JV$14="No",JV490=FALSE,$JH492&lt;=$JH490),0,IF(JV$8="Per Line",1,$AF492)))),0)</f>
        <v>0</v>
      </c>
      <c r="JX492" s="1670">
        <f>IFERROR(IF(__Retrofit_TI_NC=0,IF(_kWh_Grant=0,0,IF($IB490=TRUE,IF(OR(JX$14="No",JX490=FALSE,$JH492&lt;=$JH490),0,IF(JX$8="Per Line",1,$AF492)),0)),IF($IB490=TRUE,IF(OR(JX$14="No",JX490=FALSE,$JH492&lt;=$JH490),0,IF(JX$8="Per Line",1,$AF492)))),0)</f>
        <v>0</v>
      </c>
      <c r="JZ492" s="1670">
        <f>IFERROR(IF($IB490=TRUE,IF(OR(JZ$14="No",JZ490=FALSE,$JH492&lt;=$JH490,AND(_kWh_Grant=0,$GD490=FALSE)),0,IF(JZ$8="Per Line",1,$AF492)),0),0)</f>
        <v>0</v>
      </c>
      <c r="KB492" s="1670">
        <f>IFERROR(IF(__Retrofit_TI_NC=0,IF(_kWh_Grant=0,0,IF($IB490=TRUE,IF(OR(KB$14="No",KB490=FALSE,$JH492&lt;=$JH490),0,IF(KB$8="Per Line",1,$AF492)),0)),IF($IB490=TRUE,IF(OR(KB$14="No",KB490=FALSE,$JH492&lt;=$JH490),0,IF(KB$8="Per Line",1,$AF492)))),0)</f>
        <v>0</v>
      </c>
    </row>
    <row r="493" spans="1:288" s="78" customFormat="1" ht="14.95" customHeight="1" thickTop="1" thickBot="1">
      <c r="B493" s="1845"/>
      <c r="C493" s="1846"/>
      <c r="D493" s="1847"/>
      <c r="E493" s="1771" t="s">
        <v>436</v>
      </c>
      <c r="F493" s="1772"/>
      <c r="G493" s="1784" t="s">
        <v>437</v>
      </c>
      <c r="H493" s="1785"/>
      <c r="I493" s="1785"/>
      <c r="J493" s="1785"/>
      <c r="K493" s="1785"/>
      <c r="L493" s="1786"/>
      <c r="M493" s="591">
        <f>IFERROR(VLOOKUP(G493,_Daylight_Table[],2,FALSE),0)</f>
        <v>0</v>
      </c>
      <c r="N493" s="592" t="str">
        <f>IF(AND(__Retrofit_TI_NC&gt;0,CQ490="Interior"),"BAM","")</f>
        <v/>
      </c>
      <c r="O493" s="591" t="e">
        <f>VLOOKUP(G492,'Space Table'!$B$3:$L$163,11,FALSE)</f>
        <v>#N/A</v>
      </c>
      <c r="P493" s="1789"/>
      <c r="Q493" s="1790"/>
      <c r="R493" s="1790"/>
      <c r="S493" s="1788"/>
      <c r="T493" s="593" t="s">
        <v>342</v>
      </c>
      <c r="U493" s="1756" t="str" cm="1">
        <f t="array" aca="1" ref="U493" ca="1">IFERROR(VLOOKUP(INDIRECT("U" &amp; ROW()-1),Fixtures!DM$93:DP$142,4,FALSE),"")</f>
        <v/>
      </c>
      <c r="V493" s="1757"/>
      <c r="W493" s="1757"/>
      <c r="X493" s="1757"/>
      <c r="Y493" s="1757"/>
      <c r="Z493" s="1757"/>
      <c r="AA493" s="1758"/>
      <c r="AB493" s="939" t="str">
        <f>IFERROR(VLOOKUP(U492,Fixtures_Proposed_List,2,FALSE),"")</f>
        <v/>
      </c>
      <c r="AC493" s="933" t="str">
        <f>IFERROR(ROUND(T492*AB493*N491*R491/1000,0),"")</f>
        <v/>
      </c>
      <c r="AD493" s="934" t="str">
        <f>IFERROR(ROUND(T492*AB493/1000,2),"")</f>
        <v/>
      </c>
      <c r="AE493" s="998"/>
      <c r="AF493" s="938" t="s">
        <v>342</v>
      </c>
      <c r="AG493" s="1770"/>
      <c r="AH493" s="1770"/>
      <c r="AI493" s="1770"/>
      <c r="AJ493" s="1770"/>
      <c r="AK493" s="1770"/>
      <c r="AL493" s="1770"/>
      <c r="AM493" s="1727"/>
      <c r="AN493" s="1729"/>
      <c r="AO493" s="1731"/>
      <c r="AP493" s="1782"/>
      <c r="AQ493" s="1783"/>
      <c r="AR493" s="1797"/>
      <c r="AS493" s="1797"/>
      <c r="AT493" s="1798"/>
      <c r="AU493" s="1736"/>
      <c r="AV493" s="1753"/>
      <c r="AW493" s="1706"/>
      <c r="AX493" s="468"/>
      <c r="AY493" s="1750"/>
      <c r="AZ493" s="1750"/>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696"/>
      <c r="CQ493" s="1696"/>
      <c r="CR493" s="1809"/>
      <c r="CS493" s="1811"/>
      <c r="CU493" s="1688"/>
      <c r="CV493" s="1703"/>
      <c r="CW493" s="1703"/>
      <c r="CX493" s="1813"/>
      <c r="CY493" s="1815"/>
      <c r="CZ493" s="1711"/>
      <c r="DA493" s="1815"/>
      <c r="DB493" s="1821"/>
      <c r="DC493" s="1821"/>
      <c r="DD493" s="1821"/>
      <c r="DF493" s="1703"/>
      <c r="DG493" s="1831"/>
      <c r="DH493" s="1813"/>
      <c r="DI493" s="1838"/>
      <c r="DJ493" s="1711"/>
      <c r="DK493" s="1712"/>
      <c r="DN493" s="1718"/>
      <c r="DO493" s="1709"/>
      <c r="DQ493" s="1715"/>
      <c r="DR493" s="1720"/>
      <c r="DS493" s="1703"/>
      <c r="DT493" s="1714"/>
      <c r="DU493" s="1715"/>
      <c r="DV493" s="1716"/>
      <c r="DX493" s="1715"/>
      <c r="DY493" s="1720"/>
      <c r="DZ493" s="1715"/>
      <c r="EA493" s="1715"/>
      <c r="EC493" s="1834"/>
      <c r="ED493" s="1834"/>
      <c r="EF493" s="1707"/>
      <c r="EG493" s="1712"/>
      <c r="EH493" s="1815"/>
      <c r="EI493" s="1712"/>
      <c r="EJ493" s="1712"/>
      <c r="EK493" s="1813"/>
      <c r="EL493" s="1813"/>
      <c r="EM493" s="1807"/>
      <c r="EN493" s="1839"/>
      <c r="EO493" s="1839"/>
      <c r="EP493" s="1817"/>
      <c r="EQ493" s="1817"/>
      <c r="ER493" s="1807"/>
      <c r="ES493" s="1807"/>
      <c r="ET493" s="1807"/>
      <c r="EV493" s="1715"/>
      <c r="EX493" s="1806"/>
      <c r="EY493" s="1806"/>
      <c r="EZ493" s="1806"/>
      <c r="FA493" s="1806"/>
      <c r="FB493" s="1806"/>
      <c r="FC493" s="1828"/>
      <c r="FE493" s="1698"/>
      <c r="FG493" s="1703"/>
      <c r="FH493" s="1703"/>
      <c r="FI493" s="133"/>
      <c r="FL493" s="1823"/>
      <c r="FM493" s="1825"/>
      <c r="FN493" s="1698"/>
      <c r="FO493" s="1698"/>
      <c r="FP493" s="1678"/>
      <c r="FQ493" s="1698"/>
      <c r="FS493" s="1687"/>
      <c r="FT493" s="1687"/>
      <c r="FU493" s="1685"/>
      <c r="FV493" s="1687"/>
      <c r="FW493" s="1687"/>
      <c r="FX493" s="1687"/>
      <c r="FY493" s="1697"/>
      <c r="GA493" s="1696"/>
      <c r="GB493" s="1696"/>
      <c r="GC493" s="1696"/>
      <c r="GD493" s="1696"/>
      <c r="GE493" s="1696"/>
      <c r="GF493" s="1696"/>
      <c r="GG493" s="1696"/>
      <c r="GH493" s="1696"/>
      <c r="GI493" s="673"/>
      <c r="GJ493" s="1135"/>
      <c r="GK493" s="1832"/>
      <c r="GN493" s="674">
        <f>IF(GN491=TRUE,0,GN$16)</f>
        <v>0</v>
      </c>
      <c r="GP493" s="674">
        <f>IF(GP491=TRUE,0,GP$16)</f>
        <v>36</v>
      </c>
      <c r="GQ493" s="674">
        <f ca="1">IF(GQ491=TRUE,0,GQ$16)</f>
        <v>35</v>
      </c>
      <c r="GR493" s="391"/>
      <c r="GS493" s="391"/>
      <c r="GT493" s="391"/>
      <c r="GU493" s="391"/>
      <c r="GV493" s="391"/>
      <c r="HG493" s="674">
        <f>IF(HG491=TRUE,0,HG$16)</f>
        <v>0</v>
      </c>
      <c r="HH493" s="674">
        <f t="shared" ref="HH493:HM493" si="443">IF(HH491=TRUE,0,HH$16)</f>
        <v>19</v>
      </c>
      <c r="HI493" s="674">
        <f t="shared" si="443"/>
        <v>18</v>
      </c>
      <c r="HJ493" s="674">
        <f t="shared" si="443"/>
        <v>17</v>
      </c>
      <c r="HK493" s="674">
        <f t="shared" si="443"/>
        <v>16</v>
      </c>
      <c r="HL493" s="674">
        <f t="shared" si="443"/>
        <v>0</v>
      </c>
      <c r="HM493" s="674">
        <f t="shared" si="443"/>
        <v>0</v>
      </c>
      <c r="HN493" s="674">
        <f>IF(HN491=TRUE,0,HN$16)</f>
        <v>13</v>
      </c>
      <c r="HO493" s="674">
        <f t="shared" ref="HO493:HQ493" si="444">IF(HO491=TRUE,0,HO$16)</f>
        <v>0</v>
      </c>
      <c r="HP493" s="674">
        <f t="shared" si="444"/>
        <v>0</v>
      </c>
      <c r="HQ493" s="674">
        <f t="shared" si="444"/>
        <v>10</v>
      </c>
      <c r="HR493" s="674">
        <f>IF(HR491=TRUE,0,HR$16)</f>
        <v>9</v>
      </c>
      <c r="HS493" s="674">
        <f t="shared" ref="HS493:HW493" si="445">IF(HS491=TRUE,0,HS$16)</f>
        <v>0</v>
      </c>
      <c r="HT493" s="674">
        <f t="shared" si="445"/>
        <v>0</v>
      </c>
      <c r="HU493" s="674">
        <f t="shared" si="445"/>
        <v>0</v>
      </c>
      <c r="HV493" s="674">
        <f t="shared" si="445"/>
        <v>0</v>
      </c>
      <c r="HW493" s="674">
        <f t="shared" si="445"/>
        <v>0</v>
      </c>
      <c r="HX493" s="674">
        <f>IF(HX491=TRUE,0,HX$16)</f>
        <v>0</v>
      </c>
      <c r="HY493" s="674">
        <f>IF(HY491=TRUE,0,HY$16)</f>
        <v>0</v>
      </c>
      <c r="HZ493" s="674">
        <f>IF(HZ491=TRUE,0,HZ$16)</f>
        <v>1</v>
      </c>
      <c r="IB493" s="674">
        <f>IF(GP491=FALSE,GP493,IF(GQ491=FALSE,GQ493,MAX(GN493:HZ493)))</f>
        <v>36</v>
      </c>
      <c r="IC493" s="1692"/>
      <c r="ID493" s="205" t="str">
        <f>VLOOKUP(IB493,_Error_Table,3,FALSE)</f>
        <v xml:space="preserve"> </v>
      </c>
      <c r="IE493" s="205"/>
      <c r="IF493" s="1688"/>
      <c r="IG493" s="1689"/>
      <c r="IH493" s="1684"/>
      <c r="IK493" s="1689"/>
      <c r="IL493" s="1692"/>
      <c r="IM493" s="1692"/>
      <c r="IN493" s="1692"/>
      <c r="IP493" s="1679"/>
      <c r="IQ493" s="1679"/>
      <c r="IR493" s="1679"/>
      <c r="IS493" s="1679"/>
      <c r="IT493" s="1679"/>
      <c r="IU493" s="1679"/>
      <c r="IV493" s="1679"/>
      <c r="IW493" s="1679"/>
      <c r="IX493" s="1679"/>
      <c r="IY493" s="1679"/>
      <c r="IZ493" s="1679"/>
      <c r="JA493" s="1679"/>
      <c r="JC493" s="1680"/>
      <c r="JD493" s="1670"/>
      <c r="JE493" s="1681"/>
      <c r="JG493" s="1680"/>
      <c r="JH493" s="1670"/>
      <c r="JI493" s="1060"/>
      <c r="JJ493" s="1670"/>
      <c r="JK493" s="1061"/>
      <c r="JL493" s="1670"/>
      <c r="JM493" s="1061"/>
      <c r="JN493" s="1670"/>
      <c r="JO493" s="1061"/>
      <c r="JP493" s="1670"/>
      <c r="JQ493" s="1061"/>
      <c r="JR493" s="1670"/>
      <c r="JS493" s="1061"/>
      <c r="JT493" s="1670"/>
      <c r="JU493" s="1061"/>
      <c r="JV493" s="1670"/>
      <c r="JX493" s="1670"/>
      <c r="JZ493" s="1670"/>
      <c r="KB493" s="1670"/>
    </row>
    <row r="494" spans="1:288" s="78" customFormat="1" ht="5.0999999999999996" customHeight="1">
      <c r="B494" s="676"/>
      <c r="C494" s="392"/>
      <c r="D494" s="392"/>
      <c r="E494" s="1733"/>
      <c r="F494" s="1733"/>
      <c r="G494" s="1733"/>
      <c r="H494" s="1733"/>
      <c r="I494" s="1733"/>
      <c r="J494" s="1733"/>
      <c r="K494" s="1733"/>
      <c r="L494" s="1733"/>
      <c r="M494" s="1733"/>
      <c r="N494" s="1733"/>
      <c r="O494" s="1733"/>
      <c r="P494" s="1733"/>
      <c r="Q494" s="1733"/>
      <c r="R494" s="1733"/>
      <c r="S494" s="1733"/>
      <c r="T494" s="1733"/>
      <c r="U494" s="1733"/>
      <c r="V494" s="1733"/>
      <c r="W494" s="1733"/>
      <c r="X494" s="1733"/>
      <c r="Y494" s="1733"/>
      <c r="Z494" s="1733"/>
      <c r="AA494" s="1733"/>
      <c r="AB494" s="1733"/>
      <c r="AC494" s="1733"/>
      <c r="AD494" s="1733"/>
      <c r="AE494" s="1733"/>
      <c r="AF494" s="1733"/>
      <c r="AG494" s="1733"/>
      <c r="AH494" s="1733"/>
      <c r="AI494" s="1733"/>
      <c r="AJ494" s="1733"/>
      <c r="AK494" s="1733"/>
      <c r="AL494" s="1733"/>
      <c r="AM494" s="1733"/>
      <c r="AN494" s="1733"/>
      <c r="AO494" s="1733"/>
      <c r="AP494" s="1733"/>
      <c r="AQ494" s="1733"/>
      <c r="AR494" s="1733"/>
      <c r="AS494" s="1733"/>
      <c r="AT494" s="1733"/>
      <c r="AU494" s="1733"/>
      <c r="AV494" s="1733"/>
      <c r="AW494" s="1733"/>
      <c r="AX494" s="469"/>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663"/>
      <c r="CQ494" s="663"/>
      <c r="CR494" s="438"/>
      <c r="CS494" s="663"/>
      <c r="CV494" s="391"/>
      <c r="CW494" s="391"/>
      <c r="CX494" s="207"/>
      <c r="CY494" s="208"/>
      <c r="CZ494" s="208"/>
      <c r="DA494" s="208"/>
      <c r="DB494" s="209"/>
      <c r="DC494" s="209"/>
      <c r="DD494" s="209"/>
      <c r="DF494" s="664"/>
      <c r="DG494" s="665"/>
      <c r="DH494" s="666"/>
      <c r="DI494" s="667"/>
      <c r="DJ494" s="668"/>
      <c r="DK494" s="668"/>
      <c r="DN494" s="208"/>
      <c r="DO494" s="664"/>
      <c r="DQ494" s="664"/>
      <c r="DR494" s="669"/>
      <c r="DS494" s="391"/>
      <c r="DT494" s="664"/>
      <c r="DU494" s="664"/>
      <c r="DV494" s="664"/>
      <c r="DX494" s="664"/>
      <c r="DY494" s="664"/>
      <c r="DZ494" s="664"/>
      <c r="EA494" s="664"/>
      <c r="EC494" s="670"/>
      <c r="ED494" s="670"/>
      <c r="EF494" s="668"/>
      <c r="EG494" s="668"/>
      <c r="EH494" s="208"/>
      <c r="EI494" s="668"/>
      <c r="EJ494" s="668"/>
      <c r="EK494" s="207"/>
      <c r="EL494" s="207"/>
      <c r="EM494" s="666"/>
      <c r="EN494" s="671"/>
      <c r="EO494" s="671"/>
      <c r="EP494" s="672"/>
      <c r="EQ494" s="672"/>
      <c r="ER494" s="666"/>
      <c r="ES494" s="666"/>
      <c r="ET494" s="666"/>
      <c r="EV494" s="664"/>
      <c r="EX494" s="391"/>
      <c r="EY494" s="391"/>
      <c r="EZ494" s="391"/>
      <c r="FA494" s="391"/>
      <c r="FB494" s="391"/>
      <c r="FC494" s="391"/>
      <c r="FE494" s="569"/>
      <c r="FG494" s="391"/>
      <c r="FH494" s="391"/>
      <c r="FI494" s="391"/>
      <c r="FS494" s="664"/>
      <c r="FT494" s="391"/>
      <c r="FU494" s="391"/>
      <c r="FV494" s="664"/>
      <c r="FW494" s="664"/>
      <c r="GA494" s="663"/>
      <c r="GB494" s="663"/>
      <c r="GC494" s="663"/>
      <c r="GD494" s="663"/>
      <c r="GE494" s="663"/>
      <c r="GF494" s="663"/>
      <c r="GG494" s="663"/>
      <c r="GH494" s="663"/>
      <c r="GI494" s="665"/>
      <c r="GJ494" s="664"/>
      <c r="GK494" s="664"/>
    </row>
    <row r="495" spans="1:288" s="78" customFormat="1" ht="14.95" customHeight="1">
      <c r="B495" s="1845" t="str">
        <f>ID498</f>
        <v xml:space="preserve"> </v>
      </c>
      <c r="C495" s="1846">
        <f>C490+1</f>
        <v>87</v>
      </c>
      <c r="D495" s="1847"/>
      <c r="E495" s="1799" t="s">
        <v>295</v>
      </c>
      <c r="F495" s="1800"/>
      <c r="G495" s="1741"/>
      <c r="H495" s="1742"/>
      <c r="I495" s="1742"/>
      <c r="J495" s="1742"/>
      <c r="K495" s="1742"/>
      <c r="L495" s="1742"/>
      <c r="M495" s="1742"/>
      <c r="N495" s="1742"/>
      <c r="O495" s="1742"/>
      <c r="P495" s="1742"/>
      <c r="Q495" s="1742"/>
      <c r="R495" s="1742"/>
      <c r="S495" s="1791" t="s">
        <v>344</v>
      </c>
      <c r="T495" s="590"/>
      <c r="U495" s="1743"/>
      <c r="V495" s="1744"/>
      <c r="W495" s="1744"/>
      <c r="X495" s="1744"/>
      <c r="Y495" s="1744"/>
      <c r="Z495" s="1744"/>
      <c r="AA495" s="1744"/>
      <c r="AB495" s="961" t="str">
        <f>IFERROR(IF(__Retrofit_TI_NC=0,VLOOKUP(U496,Fixtures_Existing_List,2,FALSE),ROUND(N497*R497/T497,10)),"")</f>
        <v/>
      </c>
      <c r="AC495" s="935" t="str">
        <f>IFERROR(IF(__Retrofit_TI_NC=0,ROUND(T496*AB495*N496*R496/1000,0),IF(CQ495="Interior",N497*R497*R496*N496*_C406_reduction/1000,N497*R497*R496*N496/1000)),"")</f>
        <v/>
      </c>
      <c r="AD495" s="936" t="str">
        <f>IFERROR(IF(C$43=0,ROUND(T496*AB495/1000,2),N497*R497/1000),"")</f>
        <v/>
      </c>
      <c r="AE495" s="997"/>
      <c r="AF495" s="937"/>
      <c r="AG495" s="1745" t="str">
        <f>IF(__Retrofit_TI_NC=0," Control","Select Advanced Control for New System")</f>
        <v xml:space="preserve"> Control</v>
      </c>
      <c r="AH495" s="1745"/>
      <c r="AI495" s="1745"/>
      <c r="AJ495" s="1745"/>
      <c r="AK495" s="1745"/>
      <c r="AL495" s="1745"/>
      <c r="AM495" s="1746">
        <f>IFERROR(DI495,"")</f>
        <v>0</v>
      </c>
      <c r="AN495" s="1774" t="str">
        <f>IFERROR(ROUND(AM495*AC495,0),"")</f>
        <v/>
      </c>
      <c r="AO495" s="1776">
        <f>IFERROR(IF(IB495=FALSE,0,AC495-AN495),0)</f>
        <v>0</v>
      </c>
      <c r="AP495" s="1778">
        <f>AO495-AO497</f>
        <v>0</v>
      </c>
      <c r="AQ495" s="1779"/>
      <c r="AR495" s="1793">
        <f>IFERROR(IF(IB495=FALSE,0,(T497*U498)+(AF497*AG498)),0)</f>
        <v>0</v>
      </c>
      <c r="AS495" s="1793"/>
      <c r="AT495" s="1794"/>
      <c r="AU495" s="1734" t="s">
        <v>237</v>
      </c>
      <c r="AV495" s="1751">
        <f>IF(AU495="Yes",1,0)</f>
        <v>1</v>
      </c>
      <c r="AW495" s="1704" t="str">
        <f>IF(OR(DQ495=4,DQ495=5,DQ495=6,DQ495=12),CONCATENATE("$",IF(GH495=TRUE,Lookup!$K$10,Lookup!$K$2)," /lamp"),CONCATENATE(TEXT(ED495,"$0.00"),"/ kWh"))</f>
        <v>$0.00/ kWh</v>
      </c>
      <c r="AX495" s="467"/>
      <c r="AY495" s="1748">
        <f ca="1">IFERROR(IF(GM496=TRUE,(AB498*T497)/R497,0),"NA")</f>
        <v>0</v>
      </c>
      <c r="AZ495" s="1748"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696" t="str">
        <f>N496</f>
        <v/>
      </c>
      <c r="CQ495" s="1696" t="str">
        <f>IFERROR(VLOOKUP(G496,_Lookup_Heat_Type_Table_New,3,FALSE),"")</f>
        <v/>
      </c>
      <c r="CR495" s="1808" t="str">
        <f>CQ495</f>
        <v/>
      </c>
      <c r="CS495" s="1810" t="str">
        <f>IFERROR(VLOOKUP(G497,'Space Table'!$B$3:$L$163,9,FALSE),"")</f>
        <v/>
      </c>
      <c r="CU495" s="1688" t="s">
        <v>344</v>
      </c>
      <c r="CV495" s="1702">
        <f>IF(IB495=TRUE,T496,0)</f>
        <v>0</v>
      </c>
      <c r="CW495" s="1702" t="str">
        <f>IF(IB495=TRUE,U496,"")</f>
        <v/>
      </c>
      <c r="CX495" s="1702"/>
      <c r="CY495" s="1814">
        <f>IF(IB495=TRUE,AB495,0)</f>
        <v>0</v>
      </c>
      <c r="CZ495" s="1710">
        <f>IF(AND(__Retrofit_TI_NC&gt;0,CR495="interior"),0,IF(IB495=TRUE,AC495,0))</f>
        <v>0</v>
      </c>
      <c r="DA495" s="1814">
        <f>IFERROR(IF(IB495=TRUE,CZ495-CZ497,0),0)</f>
        <v>0</v>
      </c>
      <c r="DB495" s="1819">
        <f>IF(IB495=TRUE,AD495,0)</f>
        <v>0</v>
      </c>
      <c r="DC495" s="1819">
        <f>IF(IB495=TRUE,AD498,0)</f>
        <v>0</v>
      </c>
      <c r="DD495" s="1819">
        <f>IFERROR(DB495-DC495,0)</f>
        <v>0</v>
      </c>
      <c r="DF495" s="1702">
        <f>IF(IB495=TRUE,AF496,0)</f>
        <v>0</v>
      </c>
      <c r="DG495" s="1830">
        <f>IFERROR(IF(__Retrofit_TI_NC=2,IF(CQ495="Exterior",O498,FQ495),FN495),"")</f>
        <v>0</v>
      </c>
      <c r="DH495" s="1702"/>
      <c r="DI495" s="1837">
        <f>JE495</f>
        <v>0</v>
      </c>
      <c r="DJ495" s="1710">
        <f>IF(AND(__Retrofit_TI_NC&gt;0,CR495="interior"),0,IF(IB495=TRUE,AN495,0))</f>
        <v>0</v>
      </c>
      <c r="DK495" s="1712">
        <f>IFERROR(IF(IB495=TRUE,DJ497-DJ495,0),0)</f>
        <v>0</v>
      </c>
      <c r="DM495" s="1717">
        <f>IFERROR(CZ495-DJ495,0)</f>
        <v>0</v>
      </c>
      <c r="DO495" s="1708">
        <f>DM495-DN497</f>
        <v>0</v>
      </c>
      <c r="DQ495" s="1715" t="str">
        <f>IFERROR(IF(AND(OR(GC495=4,GC495=5,GC495=6),OR(GF495=4,GF495=5,GF495=6)),GC495+8,VLOOKUP(CW497,Fixtures!R$31:Y$78,8,FALSE)),"")</f>
        <v/>
      </c>
      <c r="DR495" s="1829" t="str">
        <f>DQ495</f>
        <v/>
      </c>
      <c r="DS495" s="1702" t="str">
        <f>IFERROR(VLOOKUP(DG497,Lookup!BB$3:BC$20,2,FALSE),"")</f>
        <v/>
      </c>
      <c r="DT495" s="1713" t="str">
        <f>IF(OR(DS495=7,DS495=8,DS495=9),"ALC","")</f>
        <v/>
      </c>
      <c r="DU495" s="1715">
        <f>IFERROR(IF(OR(DQ495=4,DQ495=5,DQ495=6,DQ495=12,DQ495=13,DQ495=14),VLOOKUP(CW497,Fixtures!DN$27:EG$77,19,FALSE),1)*CV497,0)</f>
        <v>0</v>
      </c>
      <c r="DV495" s="1716">
        <f>IF(OR(DS495=7,DS495=8,DS495=9),IF(DG495=DG497,0,DF497),0)</f>
        <v>0</v>
      </c>
      <c r="DX495" s="1715" t="str">
        <f>IFERROR(IF(EZ495&lt;EZ497,"Yes","No"),"")</f>
        <v/>
      </c>
      <c r="DY495" s="1829" t="str">
        <f>DX495</f>
        <v/>
      </c>
      <c r="DZ495" s="1715">
        <f>IF(DX495="Yes",DF497,0)</f>
        <v>0</v>
      </c>
      <c r="EA495" s="1715">
        <f>DZ495-DV495</f>
        <v>0</v>
      </c>
      <c r="EC495" s="1834">
        <f>IFERROR(VLOOKUP(DQ495,Lookup!AU$3:AV$16,2,FALSE),0)</f>
        <v>0</v>
      </c>
      <c r="ED495" s="1834">
        <f>IF(IB495=FALSE,0,IF(DX495="Yes",EC495+Lookup!K$6,EC495))</f>
        <v>0</v>
      </c>
      <c r="EF495" s="1707">
        <f>IF(IB495=TRUE,DM495,0)</f>
        <v>0</v>
      </c>
      <c r="EG495" s="1712">
        <f>IF(IB495=TRUE,CZ497,0)</f>
        <v>0</v>
      </c>
      <c r="EH495" s="1814">
        <f>IFERROR(EF495-EG495,0)</f>
        <v>0</v>
      </c>
      <c r="EI495" s="1712">
        <f>IF(IB495=TRUE,DJ497,0)</f>
        <v>0</v>
      </c>
      <c r="EJ495" s="1712">
        <f>IFERROR(EF495-EG495+EI495,0)</f>
        <v>0</v>
      </c>
      <c r="EK495" s="1812">
        <f>IF(IB495=TRUE,CV497*CX497,0)</f>
        <v>0</v>
      </c>
      <c r="EL495" s="1812">
        <f>IF(IB495=TRUE,DF497*DH497,0)</f>
        <v>0</v>
      </c>
      <c r="EM495" s="1807">
        <f>AR495</f>
        <v>0</v>
      </c>
      <c r="EN495" s="1839" t="str">
        <f>IFERROR(IF(IB495=TRUE,VLOOKUP(DQ495,Lookup!AU$3:AW$16,3,FALSE)*DU495,""),0)</f>
        <v/>
      </c>
      <c r="EO495" s="1839">
        <f>IF(IB495=TRUE,DZ495*Lookup!AW$12,0)</f>
        <v>0</v>
      </c>
      <c r="EP495" s="1817">
        <f>IFERROR(IF(IB495=TRUE,EN495/EP$40,0),0)</f>
        <v>0</v>
      </c>
      <c r="EQ495" s="1817">
        <f>IF(IB495=TRUE,EO495/EQ$40,0)</f>
        <v>0</v>
      </c>
      <c r="ER495" s="1807">
        <f>IF(IB495=TRUE,ET$40*EP495,0)</f>
        <v>0</v>
      </c>
      <c r="ES495" s="1807">
        <f>IF(IB495=TRUE,ET$40*EQ495,0)</f>
        <v>0</v>
      </c>
      <c r="ET495" s="1807">
        <f>ER495+ES495</f>
        <v>0</v>
      </c>
      <c r="EV495" s="1715">
        <f>IF(G495="",0,1)</f>
        <v>0</v>
      </c>
      <c r="EX495" s="1804" t="str">
        <f>IFERROR(VLOOKUP(CS497,'Space Table'!$B$3:$L$163,8,FALSE),"")</f>
        <v/>
      </c>
      <c r="EY495" s="1804" t="str">
        <f>IFERROR(IF(FB495="Yes",VLOOKUP(DG495,Lookup_Control_Type_Table2,4,FALSE),VLOOKUP(DG495,Lookup_Control_Type_Table2,3,FALSE)),"")</f>
        <v/>
      </c>
      <c r="EZ495" s="1804" t="e">
        <f>VLOOKUP(DG495,Lookup!BB$3:BC$20,2,FALSE)</f>
        <v>#N/A</v>
      </c>
      <c r="FA495" s="1804" t="e">
        <f>VLOOKUP(EX495,Lookup_Control_Type_Table,2,FALSE)</f>
        <v>#N/A</v>
      </c>
      <c r="FB495" s="1804" t="e">
        <f>VLOOKUP(CS497,'Space Table'!$B$3:$L$163,7,FALSE)</f>
        <v>#N/A</v>
      </c>
      <c r="FC495" s="1826" t="b">
        <f>ISNUMBER(SEARCH("TLED",U497))</f>
        <v>0</v>
      </c>
      <c r="FE495" s="1698" t="str">
        <f>CONCATENATE(CQ495," - ",DG495)</f>
        <v xml:space="preserve"> - 0</v>
      </c>
      <c r="FG495" s="1702" t="str">
        <f>VLOOKUP(CW497,Fixtures!DN$27:EZ$77,38,FALSE)</f>
        <v/>
      </c>
      <c r="FH495" s="1702">
        <f>IFERROR(FG495*EH495,0)</f>
        <v>0</v>
      </c>
      <c r="FI495" s="133"/>
      <c r="FL495" s="1822" t="str">
        <f>IF(CQ495="Exterior","Not Daylighted",G498)</f>
        <v>Not Daylighted</v>
      </c>
      <c r="FM495" s="1824">
        <f>VLOOKUP(FL495,_New_Daylight_Table_Codes,2,FALSE)</f>
        <v>0</v>
      </c>
      <c r="FN495" s="1698">
        <f>IF(__Retrofit_TI_NC&gt;0,VLOOKUP(G497,'Space Table'!$B$3:$L$163,11,FALSE),AG496)</f>
        <v>0</v>
      </c>
      <c r="FO495" s="1698" t="e">
        <f>IF(__Retrofit_TI_NC=2,VLOOKUP(FQ495,_Control_Table,2,FALSE),VLOOKUP(FN495,_Control_Table,2,FALSE))</f>
        <v>#N/A</v>
      </c>
      <c r="FP495" s="1678" t="e">
        <f>VLOOKUP(CONCATENATE(FL495," ",FN495),Lookup!AY$102:AZ505,2,FALSE)</f>
        <v>#N/A</v>
      </c>
      <c r="FQ495" s="1678">
        <f>IF(__Retrofit_TI_NC=0,FN495,IF(AND(FT495&gt;0,FN495="Occupancy Sensor"),"Daylight + Occupancy",IF(AND(FT495&gt;0,VLOOKUP(FN495,_Control_Table,2,FALSE)&lt;4),"Interior Daylight Dimming",FN495)))</f>
        <v>0</v>
      </c>
      <c r="FS495" s="1686">
        <f>IF(CR495="Interior",VLOOKUP(CS495,Control_Savings_Interior,5,FALSE),0)</f>
        <v>0</v>
      </c>
      <c r="FT495" s="1687">
        <f>IF(CQ495="Exterior",0,IF(FM495=2,0.5,IF(OR(FM495=1,FM495=3),1,0)))</f>
        <v>0</v>
      </c>
      <c r="FU495" s="1685">
        <f>IF(R494&gt;FS$44,(FS495*(FS$44/R494)),FS495)*FT495</f>
        <v>0</v>
      </c>
      <c r="FV495" s="1686">
        <f>DI495</f>
        <v>0</v>
      </c>
      <c r="FW495" s="1686">
        <f>ROUND(FV495+((1-FV495)*FU495),2)</f>
        <v>0</v>
      </c>
      <c r="FX495" s="1686">
        <f>IF(__Retrofit_TI_NC=2,FW495,FV495)</f>
        <v>0</v>
      </c>
      <c r="FY495" s="1697"/>
      <c r="GA495" s="1696" t="str">
        <f>IFERROR(VLOOKUP(U496,_Exist_Fixture_Table,3,FALSE),"")</f>
        <v/>
      </c>
      <c r="GB495" s="1696" t="str">
        <f>VLOOKUP(CW495,_Exist_Fixture_Table,4,FALSE)</f>
        <v/>
      </c>
      <c r="GC495" s="1696">
        <f>IFERROR(VLOOKUP(GB495,Lookup!AT$6:AU$8,2,FALSE),0)</f>
        <v>0</v>
      </c>
      <c r="GD495" s="1696" t="b">
        <f>IFERROR(IF(OR(GF495=4,GF495=5,GF495=6),TRUE,FALSE),"")</f>
        <v>0</v>
      </c>
      <c r="GE495" s="1696" t="str">
        <f>IFERROR(VLOOKUP(GF495,GC$6:GD$10,2,FALSE),"")</f>
        <v/>
      </c>
      <c r="GF495" s="1696" t="str">
        <f>VLOOKUP(CW497,Fixtures!R$31:Y$78,8,FALSE)</f>
        <v/>
      </c>
      <c r="GG495" s="1696">
        <f>IF(AND(GA495=TRUE,GD495=TRUE,OR(DQ495=12,DQ495=13,DQ495=14)),GC495+8,0)</f>
        <v>0</v>
      </c>
      <c r="GH495" s="1696" t="b">
        <f>IF(OR(GG495=12,GG495=13,GG495=14),TRUE,FALSE)</f>
        <v>0</v>
      </c>
      <c r="GI495" s="673" t="b">
        <f>IF(ISNUMBER(SEARCH("TLED",U496)),TRUE,FALSE)</f>
        <v>0</v>
      </c>
      <c r="GJ495" s="1135" t="str">
        <f>IFERROR(VLOOKUP(U496,Fixtures!BM$93:BR$142,6,FALSE),"")</f>
        <v/>
      </c>
      <c r="GK495" s="1832" t="b">
        <f>IF(OR(GI495=FALSE,GI497=FALSE),TRUE,IF(GJ495-GJ497&lt;5,FALSE,TRUE))</f>
        <v>1</v>
      </c>
      <c r="GO495" s="674">
        <f>GP495</f>
        <v>0</v>
      </c>
      <c r="GP495" s="674">
        <f>IF(G495="",0,1)</f>
        <v>0</v>
      </c>
      <c r="GQ495" s="674">
        <f ca="1">SUM(GR495:HF495)</f>
        <v>2</v>
      </c>
      <c r="GR495" s="674">
        <f>IF(G496="",0,1)</f>
        <v>0</v>
      </c>
      <c r="GS495" s="674">
        <f>IF(N498="BAM",1,IF(G497="",0,1))</f>
        <v>0</v>
      </c>
      <c r="GT495" s="674">
        <f>IF(N498="BAM",1,IF(R496="",0,1))</f>
        <v>0</v>
      </c>
      <c r="GU495" s="674">
        <f>IF(N498="BAM",1,IF(__Retrofit_TI_NC=0,1,IF(R497="",0,1)))</f>
        <v>1</v>
      </c>
      <c r="GV495" s="674">
        <f>IF(N498="BAM",1,IF(CQ495="Exterior",1,IF(G498="",0,1)))</f>
        <v>1</v>
      </c>
      <c r="GW495" s="674">
        <f>IF(__Retrofit_TI_NC&gt;0,1,IF(T496="",0,1))</f>
        <v>0</v>
      </c>
      <c r="GX495" s="674">
        <f>IF(__Retrofit_TI_NC&gt;0,1,IF(U496="",0,1))</f>
        <v>0</v>
      </c>
      <c r="GY495" s="674">
        <f>IF(N498="BAM",1,IF(T497="",0,1))</f>
        <v>0</v>
      </c>
      <c r="GZ495" s="674">
        <f>IF(N498="BAM",1,IF(U497="",0,1))</f>
        <v>0</v>
      </c>
      <c r="HA495" s="674">
        <f ca="1">IF(N498="BAM",1,IF(__Retrofit_TI_NC&gt;0,1,IF(U498="",0,1)))</f>
        <v>0</v>
      </c>
      <c r="HB495" s="674">
        <f>IF(__Retrofit_TI_NC&lt;&gt;0,1,IF(AF496="",0,1))</f>
        <v>0</v>
      </c>
      <c r="HC495" s="674">
        <f>IF(__Retrofit_TI_NC&lt;&gt;0,1,IF(AG496="",0,1))</f>
        <v>0</v>
      </c>
      <c r="HD495" s="674">
        <f>IF(N498="BAM",1,IF(AF497="",0,1))</f>
        <v>0</v>
      </c>
      <c r="HE495" s="674">
        <f>IF(N498="BAM",1,IF(AG497="",0,1))</f>
        <v>0</v>
      </c>
      <c r="HF495" s="674">
        <f>IF(N498="BAM",1,IF(__Retrofit_TI_NC&gt;0,1,IF(AG498="",0,1)))</f>
        <v>0</v>
      </c>
      <c r="HG495" s="391"/>
      <c r="IA495" s="391"/>
      <c r="IB495" s="1693" t="b">
        <f>IF(OR(IB498=0,IB498=HY$16,IB498=HX$16,IB498=HZ$16),TRUE,FALSE)</f>
        <v>0</v>
      </c>
      <c r="IC495" s="1694" t="b">
        <f>IB495</f>
        <v>0</v>
      </c>
      <c r="ID495" s="391"/>
      <c r="IE495" s="391"/>
      <c r="IF495" s="1688" t="b">
        <f ca="1">IF(MAX(GN498:HU498)&gt;5,FALSE,TRUE)</f>
        <v>0</v>
      </c>
      <c r="IG495" s="1689">
        <f ca="1">IF(IF495=TRUE,AC495,0)</f>
        <v>0</v>
      </c>
      <c r="IH495" s="1689">
        <f ca="1">IG495-IG497</f>
        <v>0</v>
      </c>
      <c r="IK495" s="1689" t="e">
        <f>ROUND(T496*VLOOKUP(U496,Fixtures_Existing_List,2,FALSE)*N496*R496/1000,0)</f>
        <v>#N/A</v>
      </c>
      <c r="IL495" s="1690" t="e">
        <f>IK495-IK497</f>
        <v>#N/A</v>
      </c>
      <c r="IM495" s="1693" t="e">
        <f>ROUND(IF(CQ495="Interior",N497*R497*R496*N496*_C406_reduction/1000,N497*R497*R496*N496/1000),0)</f>
        <v>#N/A</v>
      </c>
      <c r="IN495" s="1693" t="e">
        <f>IM495-IM497</f>
        <v>#N/A</v>
      </c>
      <c r="IP495" s="1679"/>
      <c r="IQ495" s="1679" t="e">
        <f t="shared" ref="IQ495:IU495" si="446">IF($CR495="interior",VLOOKUP($CS495,_New_Control_Savings_Interior,IQ$30,FALSE),VLOOKUP($CS495,Control_Savings_Exterior,IQ$30,FALSE))</f>
        <v>#N/A</v>
      </c>
      <c r="IR495" s="1679" t="e">
        <f t="shared" si="446"/>
        <v>#N/A</v>
      </c>
      <c r="IS495" s="1679" t="e">
        <f t="shared" si="446"/>
        <v>#N/A</v>
      </c>
      <c r="IT495" s="1679" t="e">
        <f t="shared" si="446"/>
        <v>#N/A</v>
      </c>
      <c r="IU495" s="1679" t="e">
        <f t="shared" si="446"/>
        <v>#N/A</v>
      </c>
      <c r="IV495" s="1679" t="e">
        <f>IF($CR495="interior",IF(R496&gt;$IP$14,ROUND(($IV$18*($IP$14/R496)),2),$IV$18),VLOOKUP($CS495,Control_Savings_Exterior,IV$30,FALSE))</f>
        <v>#N/A</v>
      </c>
      <c r="IW495" s="1679" t="e">
        <f>IF($CR495="interior",ROUND(((1-IS495)*IV495)+IS495,2),VLOOKUP($CS495,Control_Savings_Exterior,IW$30,FALSE))</f>
        <v>#N/A</v>
      </c>
      <c r="IX495" s="1679" t="e">
        <f>IF($CR495="interior",ROUND(((1-IT495)*IV495)+IT495,2),VLOOKUP($CS495,Control_Savings_Exterior,IX$30,FALSE))</f>
        <v>#N/A</v>
      </c>
      <c r="IY495" s="1679" t="e">
        <f>IF($CR495="interior",IF(R496&gt;$IP$14,ROUND(($IY$18*($IP$14/R496)),2),$IY$18),VLOOKUP($CS495,Control_Savings_Exterior,IY$30,FALSE))</f>
        <v>#N/A</v>
      </c>
      <c r="IZ495" s="1679" t="e">
        <f>IF($CR495="interior",ROUND(((1-IS495)*IY495)+IS495,2),VLOOKUP($CS495,Control_Savings_Exterior,IZ$30,FALSE))</f>
        <v>#N/A</v>
      </c>
      <c r="JA495" s="1679" t="e">
        <f>IF($CR495="interior",ROUND(((1-IT495)*IY495)+IT495,2),VLOOKUP($CS495,Control_Savings_Exterior,JA$30,FALSE))</f>
        <v>#N/A</v>
      </c>
      <c r="JC495" s="1680">
        <f>IFERROR(IF(CR495="Interior",CONCATENATE(G498," ",FQ495),FQ495),"")</f>
        <v>0</v>
      </c>
      <c r="JD495" s="1670" t="str">
        <f>IFERROR(VLOOKUP(JC495,_Controls_2023,2,FALSE),"")</f>
        <v/>
      </c>
      <c r="JE495" s="1681">
        <f>IFERROR(CHOOSE(JD495-1,IQ495,IR495,IS495,IT495,IU495,IV495,IW495,IX495,IY495,IZ495,JA495),0)</f>
        <v>0</v>
      </c>
      <c r="JG495" s="1680" t="str">
        <f>FE495</f>
        <v xml:space="preserve"> - 0</v>
      </c>
      <c r="JH495" s="1670" t="e">
        <f>$FO495</f>
        <v>#N/A</v>
      </c>
      <c r="JI495" s="1060"/>
      <c r="JJ495" s="1682" t="b">
        <f>IF($JG497=CONCATENATE("Interior - ",JJ$4),TRUE,FALSE)</f>
        <v>0</v>
      </c>
      <c r="JK495" s="1061"/>
      <c r="JL495" s="1682" t="b">
        <f>IF($JG497=CONCATENATE("Interior - ",JL$4),TRUE,FALSE)</f>
        <v>0</v>
      </c>
      <c r="JM495" s="1061"/>
      <c r="JN495" s="1682" t="b">
        <f>IF($JG497=CONCATENATE("Interior - ",JN$4),TRUE,FALSE)</f>
        <v>0</v>
      </c>
      <c r="JO495" s="1061"/>
      <c r="JP495" s="1682" t="b">
        <f>IF(__Retrofit_TI_NC&gt;0,FALSE,IF($JG497=CONCATENATE("Interior - ",JP$4),TRUE,FALSE))</f>
        <v>0</v>
      </c>
      <c r="JQ495" s="1061"/>
      <c r="JR495" s="1682" t="b">
        <f>IF(__Retrofit_TI_NC&gt;0,FALSE,IF($JG497=CONCATENATE("Interior - ",JR$4),TRUE,FALSE))</f>
        <v>0</v>
      </c>
      <c r="JS495" s="1061"/>
      <c r="JT495" s="1670" t="b">
        <f>IF(__Retrofit_TI_NC&gt;0,FALSE,IF($JG497=CONCATENATE("Interior - ",JT$4),TRUE,FALSE))</f>
        <v>0</v>
      </c>
      <c r="JU495" s="1061"/>
      <c r="JV495" s="1670" t="b">
        <f>IF(JC497="AELC on Existing",TRUE,FALSE)</f>
        <v>0</v>
      </c>
      <c r="JX495" s="1670" t="b">
        <f>IF(OR(JG497="Exterior - AELC Occupancy based",JG497="Exterior - AELC Time based"),TRUE,FALSE)</f>
        <v>0</v>
      </c>
      <c r="JZ495" s="1682" t="b">
        <f>IF($JG497=CONCATENATE("Exterior - ",JZ$4),TRUE,FALSE)</f>
        <v>0</v>
      </c>
      <c r="KB495" s="1670" t="b">
        <f>IF(__Retrofit_TI_NC&gt;0,FALSE,IF($JG497=CONCATENATE("Interior - ",KB$4),TRUE,FALSE))</f>
        <v>0</v>
      </c>
    </row>
    <row r="496" spans="1:288" s="78" customFormat="1" ht="14.95" customHeight="1" thickTop="1" thickBot="1">
      <c r="B496" s="1845"/>
      <c r="C496" s="1846"/>
      <c r="D496" s="1847"/>
      <c r="E496" s="1737" t="s">
        <v>297</v>
      </c>
      <c r="F496" s="1738"/>
      <c r="G496" s="1739"/>
      <c r="H496" s="1739"/>
      <c r="I496" s="1739"/>
      <c r="J496" s="1739"/>
      <c r="K496" s="1739"/>
      <c r="L496" s="1739"/>
      <c r="M496" s="461" t="e">
        <f>IF(__Retrofit_TI_NC&lt;&gt;0,IF(VLOOKUP(G497,'Space Table'!$B$3:$L$163,3,FALSE)&gt;0,1,0),IF(__Retrofit_TI_NC=VLOOKUP(G497,'Space Table'!$B$3:$L$163,3,FALSE),1,0))</f>
        <v>#N/A</v>
      </c>
      <c r="N496" s="461" t="str">
        <f>IFERROR(VLOOKUP(G496,_Lookup_Heat_Type_Table_New,2,FALSE),"")</f>
        <v/>
      </c>
      <c r="O496" s="461">
        <f>IF(__Retrofit_TI_NC=1,CONCATENATE("TI ",G496),IF(__Retrofit_TI_NC=2,CONCATENATE("NC ",G496),G496))</f>
        <v>0</v>
      </c>
      <c r="P496" s="1740" t="s">
        <v>435</v>
      </c>
      <c r="Q496" s="1740"/>
      <c r="R496" s="595"/>
      <c r="S496" s="1792"/>
      <c r="T496" s="597"/>
      <c r="U496" s="1765"/>
      <c r="V496" s="1766"/>
      <c r="W496" s="1766"/>
      <c r="X496" s="1766"/>
      <c r="Y496" s="1766"/>
      <c r="Z496" s="1766"/>
      <c r="AA496" s="1766"/>
      <c r="AB496" s="1766"/>
      <c r="AC496" s="1766"/>
      <c r="AD496" s="1767"/>
      <c r="AE496" s="1000"/>
      <c r="AF496" s="597"/>
      <c r="AG496" s="1723"/>
      <c r="AH496" s="1724"/>
      <c r="AI496" s="1724"/>
      <c r="AJ496" s="1724"/>
      <c r="AK496" s="1725"/>
      <c r="AL496" s="996"/>
      <c r="AM496" s="1747"/>
      <c r="AN496" s="1775"/>
      <c r="AO496" s="1777"/>
      <c r="AP496" s="1780"/>
      <c r="AQ496" s="1781"/>
      <c r="AR496" s="1795"/>
      <c r="AS496" s="1795"/>
      <c r="AT496" s="1796"/>
      <c r="AU496" s="1735"/>
      <c r="AV496" s="1752"/>
      <c r="AW496" s="1705"/>
      <c r="AX496" s="467"/>
      <c r="AY496" s="1749"/>
      <c r="AZ496" s="1749"/>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696"/>
      <c r="CQ496" s="1696"/>
      <c r="CR496" s="1809"/>
      <c r="CS496" s="1811"/>
      <c r="CU496" s="1688"/>
      <c r="CV496" s="1703"/>
      <c r="CW496" s="1703"/>
      <c r="CX496" s="1703"/>
      <c r="CY496" s="1815"/>
      <c r="CZ496" s="1711"/>
      <c r="DA496" s="1818"/>
      <c r="DB496" s="1820"/>
      <c r="DC496" s="1820"/>
      <c r="DD496" s="1820"/>
      <c r="DF496" s="1703"/>
      <c r="DG496" s="1831"/>
      <c r="DH496" s="1703"/>
      <c r="DI496" s="1838"/>
      <c r="DJ496" s="1711"/>
      <c r="DK496" s="1712"/>
      <c r="DM496" s="1718"/>
      <c r="DO496" s="1708"/>
      <c r="DQ496" s="1715"/>
      <c r="DR496" s="1720"/>
      <c r="DS496" s="1816"/>
      <c r="DT496" s="1714"/>
      <c r="DU496" s="1715"/>
      <c r="DV496" s="1716"/>
      <c r="DX496" s="1715"/>
      <c r="DY496" s="1720"/>
      <c r="DZ496" s="1715"/>
      <c r="EA496" s="1715"/>
      <c r="EC496" s="1834"/>
      <c r="ED496" s="1834"/>
      <c r="EF496" s="1707"/>
      <c r="EG496" s="1712"/>
      <c r="EH496" s="1818"/>
      <c r="EI496" s="1712"/>
      <c r="EJ496" s="1712"/>
      <c r="EK496" s="1836"/>
      <c r="EL496" s="1836"/>
      <c r="EM496" s="1807"/>
      <c r="EN496" s="1839"/>
      <c r="EO496" s="1839"/>
      <c r="EP496" s="1817"/>
      <c r="EQ496" s="1817"/>
      <c r="ER496" s="1807"/>
      <c r="ES496" s="1807"/>
      <c r="ET496" s="1807"/>
      <c r="EV496" s="1715"/>
      <c r="EX496" s="1805"/>
      <c r="EY496" s="1805"/>
      <c r="EZ496" s="1805"/>
      <c r="FA496" s="1805"/>
      <c r="FB496" s="1805"/>
      <c r="FC496" s="1827"/>
      <c r="FE496" s="1698"/>
      <c r="FG496" s="1816"/>
      <c r="FH496" s="1816"/>
      <c r="FI496" s="133"/>
      <c r="FL496" s="1823"/>
      <c r="FM496" s="1825"/>
      <c r="FN496" s="1698"/>
      <c r="FO496" s="1698"/>
      <c r="FP496" s="1678"/>
      <c r="FQ496" s="1678"/>
      <c r="FS496" s="1687"/>
      <c r="FT496" s="1687"/>
      <c r="FU496" s="1685"/>
      <c r="FV496" s="1687"/>
      <c r="FW496" s="1687"/>
      <c r="FX496" s="1687"/>
      <c r="FY496" s="1697"/>
      <c r="GA496" s="1696"/>
      <c r="GB496" s="1696"/>
      <c r="GC496" s="1696"/>
      <c r="GD496" s="1696"/>
      <c r="GE496" s="1696"/>
      <c r="GF496" s="1696"/>
      <c r="GG496" s="1696"/>
      <c r="GH496" s="1696"/>
      <c r="GI496" s="673"/>
      <c r="GJ496" s="1135"/>
      <c r="GK496" s="1832"/>
      <c r="GM496" s="1693" t="b">
        <f ca="1">IF(AND(GP496=TRUE,GQ496=TRUE),TRUE,FALSE)</f>
        <v>0</v>
      </c>
      <c r="GN496" s="1684" t="b">
        <f>IFERROR(IF(__Retrofit_TI_NC=2,TRUE,IF(AU495="Yes",TRUE,FALSE)),FALSE)</f>
        <v>1</v>
      </c>
      <c r="GP496" s="1684" t="b">
        <f>IFERROR(IF(GP495=1,TRUE,FALSE),FALSE)</f>
        <v>0</v>
      </c>
      <c r="GQ496" s="1684" t="b">
        <f ca="1">IFERROR(IF(GQ495=GQ$14,TRUE,FALSE),FALSE)</f>
        <v>0</v>
      </c>
      <c r="HG496" s="1684" t="b">
        <f>IFERROR(IF(AND(__Retrofit_TI_NC&gt;0,CQ495="Interior"),FALSE,TRUE),FALSE)</f>
        <v>1</v>
      </c>
      <c r="HH496" s="1684" t="b">
        <f>IFERROR(IF(M496=1,TRUE,FALSE),FALSE)</f>
        <v>0</v>
      </c>
      <c r="HI496" s="1684" t="b">
        <f>IFERROR(IF(OR(M497=1,N498="BAM"),TRUE,FALSE),FALSE)</f>
        <v>0</v>
      </c>
      <c r="HJ496" s="1684" t="b">
        <f>IFERROR(IF(__Retrofit_TI_NC&lt;&gt;0,TRUE,IFERROR(IF(VLOOKUP(U496,Fixtures_Existing_List,2,FALSE)&lt;&gt;"",TRUE,FALSE),FALSE)),FALSE)</f>
        <v>0</v>
      </c>
      <c r="HK496" s="1684" t="b">
        <f>IFERROR(IF(VLOOKUP(U497,Fixtures_Proposed_List,2,FALSE)&lt;&gt;"",TRUE,FALSE),FALSE)</f>
        <v>0</v>
      </c>
      <c r="HL496" s="1684" t="b">
        <f>IF(AND(__Retrofit_TI_NC=2,FC495=TRUE),FALSE,TRUE)</f>
        <v>1</v>
      </c>
      <c r="HM496" s="1684" t="b">
        <f>GK495</f>
        <v>1</v>
      </c>
      <c r="HN496" s="1682" t="b">
        <f>IF(ISERROR(MATCH(FE495,_Control_Match[],0))=TRUE,FALSE,TRUE)</f>
        <v>0</v>
      </c>
      <c r="HO496" s="1693" t="b">
        <f>IFERROR(IF(EX495&lt;&gt;EY495,FALSE,TRUE),FALSE)</f>
        <v>1</v>
      </c>
      <c r="HP496" s="1693" t="b">
        <f>IFERROR(IF(EX497&lt;&gt;EY497,FALSE,TRUE),FALSE)</f>
        <v>1</v>
      </c>
      <c r="HQ496" s="1670" t="b">
        <f>IFERROR(IF(CQ495="Exterior",TRUE,IF(AND(OR(FM497=0,FM497=3),JD497&gt;6),FALSE,TRUE)),FALSE)</f>
        <v>0</v>
      </c>
      <c r="HR496" s="1684" t="b">
        <f>IFERROR(IF(AND(FO497=7,FC495=TRUE),FALSE,TRUE),FALSE)</f>
        <v>0</v>
      </c>
      <c r="HS496" s="1684" t="b">
        <f>IFERROR(IF(AND(T497&lt;&gt;AF497,OR(AG497="Interior LLLC", AG497="Interior NLC", AG497="LLLC (outside Daylight)",AG497="LLLC Controls Only"))=TRUE,FALSE,TRUE),FALSE)</f>
        <v>1</v>
      </c>
      <c r="HT496" s="1670" t="b">
        <f>IFERROR(IF(OR(AG497=Lookup!BB$17,AG497=Lookup!BB$18,AG497=Lookup!BB$19)=TRUE,IF(AF497&gt;T497,FALSE,TRUE),TRUE),FALSE)</f>
        <v>1</v>
      </c>
      <c r="HU496" s="1684" t="b">
        <f>IFERROR(IF(__Retrofit_TI_NC=2,IF(EZ497&lt;EZ495,FALSE,TRUE),TRUE),FALSE)</f>
        <v>1</v>
      </c>
      <c r="HV496" s="1684" t="b">
        <f>IF(CQ495="Interior",IL$6,TRUE)</f>
        <v>1</v>
      </c>
      <c r="HW496" s="1684" t="b">
        <f>IF(CQ495="Exterior",IL$8,TRUE)</f>
        <v>1</v>
      </c>
      <c r="HX496" s="1684" t="b">
        <f>IFERROR(IF(__Retrofit_TI_NC&lt;&gt;0,IF(AZ495&lt;AY495,FALSE,TRUE),TRUE),FALSE)</f>
        <v>1</v>
      </c>
      <c r="HY496" s="1684" t="b">
        <f>IFERROR(IF(AND(G496="Exterior",R496&gt;4200),FALSE,TRUE),FALSE)</f>
        <v>1</v>
      </c>
      <c r="HZ496" s="1684" t="b">
        <f>IFERROR(IF(AB498/AB495&lt;HZ$18,FALSE,TRUE),FALSE)</f>
        <v>0</v>
      </c>
      <c r="IB496" s="1691"/>
      <c r="IC496" s="1695"/>
      <c r="ID496" s="1694" t="str">
        <f>VLOOKUP(IB498,_Error_Table,4,FALSE)</f>
        <v>White</v>
      </c>
      <c r="IE496" s="391"/>
      <c r="IF496" s="1688"/>
      <c r="IG496" s="1689"/>
      <c r="IH496" s="1684"/>
      <c r="IK496" s="1689"/>
      <c r="IL496" s="1691"/>
      <c r="IM496" s="1691"/>
      <c r="IN496" s="1691"/>
      <c r="IP496" s="1679"/>
      <c r="IQ496" s="1679"/>
      <c r="IR496" s="1679"/>
      <c r="IS496" s="1679"/>
      <c r="IT496" s="1679"/>
      <c r="IU496" s="1679"/>
      <c r="IV496" s="1679"/>
      <c r="IW496" s="1679"/>
      <c r="IX496" s="1679"/>
      <c r="IY496" s="1679"/>
      <c r="IZ496" s="1679"/>
      <c r="JA496" s="1679"/>
      <c r="JC496" s="1680"/>
      <c r="JD496" s="1670"/>
      <c r="JE496" s="1681"/>
      <c r="JG496" s="1680"/>
      <c r="JH496" s="1670"/>
      <c r="JI496" s="1060"/>
      <c r="JJ496" s="1683"/>
      <c r="JK496" s="1061"/>
      <c r="JL496" s="1683"/>
      <c r="JM496" s="1061"/>
      <c r="JN496" s="1683"/>
      <c r="JO496" s="1061"/>
      <c r="JP496" s="1683"/>
      <c r="JQ496" s="1061"/>
      <c r="JR496" s="1683"/>
      <c r="JS496" s="1061"/>
      <c r="JT496" s="1670"/>
      <c r="JU496" s="1061"/>
      <c r="JV496" s="1670"/>
      <c r="JX496" s="1670"/>
      <c r="JZ496" s="1683"/>
      <c r="KB496" s="1670"/>
    </row>
    <row r="497" spans="1:288" s="78" customFormat="1" ht="14.95" customHeight="1" thickTop="1" thickBot="1">
      <c r="A497" s="78">
        <f>ROW()</f>
        <v>497</v>
      </c>
      <c r="B497" s="1845"/>
      <c r="C497" s="1846"/>
      <c r="D497" s="1847"/>
      <c r="E497" s="1737" t="s">
        <v>298</v>
      </c>
      <c r="F497" s="1738"/>
      <c r="G497" s="1760"/>
      <c r="H497" s="1761"/>
      <c r="I497" s="1761"/>
      <c r="J497" s="1761"/>
      <c r="K497" s="1761"/>
      <c r="L497" s="1762"/>
      <c r="M497" s="461">
        <f>IFERROR(IF(IF(__Retrofit_TI_NC&lt;&gt;0,IF(CQ495="Interior",MATCH(G497,Lookup_Interior_New,0),MATCH(G497,Lookup_Exterior_New,0)),IF(CQ495="Interior",MATCH(G497,Lookup_Interior,0),MATCH(G497,Lookup_Exterior_Areas,0)))&gt;0,1,0),0)</f>
        <v>0</v>
      </c>
      <c r="N497" s="461" t="e">
        <f>IF(__Retrofit_TI_NC=1,
VLOOKUP(G497,'Space Table'!$B$3:$L$163,4,FALSE),
IF(__Retrofit_TI_NC=2,VLOOKUP(G497,'Space Table'!$B$3:$L$163,5,FALSE),VLOOKUP(G497,'Space Table'!$B$3:$L$163,5,FALSE)))</f>
        <v>#N/A</v>
      </c>
      <c r="O497" s="461">
        <f>G497</f>
        <v>0</v>
      </c>
      <c r="P497" s="1738" t="str">
        <f>IFERROR(IF(__Retrofit_TI_NC=1,VLOOKUP(G497,'Space Table'!$B$3:$O$163,13,FALSE),IF(__Retrofit_TI_NC=2,VLOOKUP(G497,'Space Table'!$B$3:$O$163,14,FALSE),"Area (sf):")),"Area (sf):")</f>
        <v>Area (sf):</v>
      </c>
      <c r="Q497" s="1738"/>
      <c r="R497" s="596"/>
      <c r="S497" s="1763" t="s">
        <v>345</v>
      </c>
      <c r="T497" s="594"/>
      <c r="U497" s="1801"/>
      <c r="V497" s="1802"/>
      <c r="W497" s="1802"/>
      <c r="X497" s="1802"/>
      <c r="Y497" s="1802"/>
      <c r="Z497" s="1802"/>
      <c r="AA497" s="1802"/>
      <c r="AB497" s="1802"/>
      <c r="AC497" s="1802"/>
      <c r="AD497" s="1802"/>
      <c r="AE497" s="1803"/>
      <c r="AF497" s="594"/>
      <c r="AG497" s="1787"/>
      <c r="AH497" s="1787"/>
      <c r="AI497" s="1787"/>
      <c r="AJ497" s="1787"/>
      <c r="AK497" s="1787"/>
      <c r="AL497" s="1787"/>
      <c r="AM497" s="1726">
        <f>IFERROR(DI497,"")</f>
        <v>0</v>
      </c>
      <c r="AN497" s="1728" t="str">
        <f>IFERROR(ROUND(AM497*AC498,0),"")</f>
        <v/>
      </c>
      <c r="AO497" s="1730">
        <f>IFERROR(IF(IB495=FALSE,0,AC498-AN497),0)</f>
        <v>0</v>
      </c>
      <c r="AP497" s="1780"/>
      <c r="AQ497" s="1781"/>
      <c r="AR497" s="1795"/>
      <c r="AS497" s="1795"/>
      <c r="AT497" s="1796"/>
      <c r="AU497" s="1735"/>
      <c r="AV497" s="1752"/>
      <c r="AW497" s="1705"/>
      <c r="AX497" s="467"/>
      <c r="AY497" s="1749"/>
      <c r="AZ497" s="1749"/>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696"/>
      <c r="CQ497" s="1696"/>
      <c r="CR497" s="1808" t="str">
        <f>CQ495</f>
        <v/>
      </c>
      <c r="CS497" s="1810" t="str">
        <f>CS495</f>
        <v/>
      </c>
      <c r="CU497" s="1688" t="s">
        <v>345</v>
      </c>
      <c r="CV497" s="1702">
        <f>IF(IB495=TRUE,T497,0)</f>
        <v>0</v>
      </c>
      <c r="CW497" s="1702" t="str">
        <f>IF(IB495=TRUE,U497,"")</f>
        <v/>
      </c>
      <c r="CX497" s="1812">
        <f>IF(IB495=TRUE,U498,0)</f>
        <v>0</v>
      </c>
      <c r="CY497" s="1814">
        <f>IF(IB495=TRUE,AB498,0)</f>
        <v>0</v>
      </c>
      <c r="CZ497" s="1710">
        <f>IF(AND(__Retrofit_TI_NC&gt;0,CR495="interior"),0,IF(IB495=TRUE,AC498,0))</f>
        <v>0</v>
      </c>
      <c r="DA497" s="1818"/>
      <c r="DB497" s="1820"/>
      <c r="DC497" s="1820"/>
      <c r="DD497" s="1820"/>
      <c r="DF497" s="1702">
        <f>IF(IB495=TRUE,AF497,0)</f>
        <v>0</v>
      </c>
      <c r="DG497" s="1830" t="str">
        <f>IF(IB495=TRUE,AG497,"")</f>
        <v/>
      </c>
      <c r="DH497" s="1812">
        <f>AG498</f>
        <v>0</v>
      </c>
      <c r="DI497" s="1837">
        <f>JE497</f>
        <v>0</v>
      </c>
      <c r="DJ497" s="1710">
        <f>IF(AND(__Retrofit_TI_NC&gt;0,CR495="interior"),0,IF(IB495=TRUE,AN497,0))</f>
        <v>0</v>
      </c>
      <c r="DK497" s="1712"/>
      <c r="DN497" s="1717">
        <f>IFERROR(CZ497-DJ497,0)</f>
        <v>0</v>
      </c>
      <c r="DO497" s="1709"/>
      <c r="DQ497" s="1715"/>
      <c r="DR497" s="1719" t="str">
        <f>DQ495</f>
        <v/>
      </c>
      <c r="DS497" s="1816"/>
      <c r="DT497" s="1835" t="str">
        <f>IF(OR(DS495=7,DS495=8,DS495=9),"ALC","")</f>
        <v/>
      </c>
      <c r="DU497" s="1715"/>
      <c r="DV497" s="1716"/>
      <c r="DX497" s="1715"/>
      <c r="DY497" s="1829" t="str">
        <f>DX495</f>
        <v/>
      </c>
      <c r="DZ497" s="1715"/>
      <c r="EA497" s="1715"/>
      <c r="EC497" s="1834"/>
      <c r="ED497" s="1834"/>
      <c r="EF497" s="1707"/>
      <c r="EG497" s="1712"/>
      <c r="EH497" s="1818"/>
      <c r="EI497" s="1712"/>
      <c r="EJ497" s="1712"/>
      <c r="EK497" s="1836"/>
      <c r="EL497" s="1836"/>
      <c r="EM497" s="1807"/>
      <c r="EN497" s="1839"/>
      <c r="EO497" s="1839"/>
      <c r="EP497" s="1817"/>
      <c r="EQ497" s="1817"/>
      <c r="ER497" s="1807"/>
      <c r="ES497" s="1807"/>
      <c r="ET497" s="1807"/>
      <c r="EV497" s="1715"/>
      <c r="EX497" s="1805" t="str">
        <f>IFERROR(VLOOKUP(CS497,'Space Table'!$B$3:$L$163,8,FALSE),"")</f>
        <v/>
      </c>
      <c r="EY497" s="1805" t="str">
        <f>IFERROR(IF(FB497="Yes",VLOOKUP(AG497,Lookup_Control_Type_Table2,4,FALSE),VLOOKUP(AG497,Lookup_Control_Type_Table2,3,FALSE)),"")</f>
        <v/>
      </c>
      <c r="EZ497" s="1805" t="e">
        <f>VLOOKUP(AG497,Lookup!BB$3:BC$20,2,FALSE)</f>
        <v>#N/A</v>
      </c>
      <c r="FA497" s="1805" t="e">
        <f>VLOOKUP(EX495,Lookup_Control_Type_Table,2,FALSE)</f>
        <v>#N/A</v>
      </c>
      <c r="FB497" s="1805" t="e">
        <f>VLOOKUP(CS497,'Space Table'!$B$3:$L$163,7,FALSE)</f>
        <v>#N/A</v>
      </c>
      <c r="FC497" s="1827"/>
      <c r="FE497" s="1698" t="str">
        <f>CONCATENATE(CQ495," - ",AG497)</f>
        <v xml:space="preserve"> - </v>
      </c>
      <c r="FG497" s="1816"/>
      <c r="FH497" s="1816"/>
      <c r="FI497" s="133"/>
      <c r="FL497" s="1822" t="str">
        <f>IF(CQ495="Exterior","Not Daylighted",G498)</f>
        <v>Not Daylighted</v>
      </c>
      <c r="FM497" s="1824">
        <f>VLOOKUP(FL497,_New_Daylight_Table_Codes,2,FALSE)</f>
        <v>0</v>
      </c>
      <c r="FN497" s="1698">
        <f>AG497</f>
        <v>0</v>
      </c>
      <c r="FO497" s="1698" t="e">
        <f>VLOOKUP(FN497,_Control_Table,2,FALSE)</f>
        <v>#N/A</v>
      </c>
      <c r="FP497" s="1678" t="e">
        <f>VLOOKUP(CONCATENATE(FL497," ",FN497),Lookup!AY$102:AZ508,2,FALSE)</f>
        <v>#N/A</v>
      </c>
      <c r="FQ497" s="1698">
        <f>IF(__Retrofit_TI_NC=0,FN497,IF(AND(FT497&gt;0,FN497="Occupancy Sensor"),"Daylight + Occupancy",IF(AND(FT497&gt;0,FO497&lt;4),"Interior Daylight Dimming",FN497)))</f>
        <v>0</v>
      </c>
      <c r="FS497" s="1686">
        <f>IF(CQ495="Interior",VLOOKUP(CS495,Control_Savings_Interior,5,FALSE),0)</f>
        <v>0</v>
      </c>
      <c r="FT497" s="1687">
        <f>IF(CQ497="Exterior",0,IF(FM497=2,0.5,IF(OR(FM497=1,FM497=3),1,0)))</f>
        <v>0</v>
      </c>
      <c r="FU497" s="1685">
        <f>IF(R496&gt;FS$44,(FS497*(FS$44/R496)),FS497)*FT497</f>
        <v>0</v>
      </c>
      <c r="FV497" s="1686">
        <f>DI497</f>
        <v>0</v>
      </c>
      <c r="FW497" s="1686">
        <f>ROUND(FV497+((1-FV497)*FU497),2)</f>
        <v>0</v>
      </c>
      <c r="FX497" s="1686">
        <f>IF(__Retrofit_TI_NC=2,FW497,FV497)</f>
        <v>0</v>
      </c>
      <c r="FY497" s="1697">
        <f>IF(CR497="Interior",VLOOKUP(CS497,Control_Savings_Interior,4,FALSE),0)</f>
        <v>0</v>
      </c>
      <c r="GA497" s="1696"/>
      <c r="GB497" s="1696"/>
      <c r="GC497" s="1696"/>
      <c r="GD497" s="1696"/>
      <c r="GE497" s="1696"/>
      <c r="GF497" s="1696"/>
      <c r="GG497" s="1696"/>
      <c r="GH497" s="1696"/>
      <c r="GI497" s="673" t="b">
        <f>IF(ISNUMBER(SEARCH("TLED",U497)),TRUE,FALSE)</f>
        <v>0</v>
      </c>
      <c r="GJ497" s="1135" t="str">
        <f>IFERROR(VLOOKUP(U497,Fixtures!DM$93:DR$142,6,FALSE),"")</f>
        <v/>
      </c>
      <c r="GK497" s="1832"/>
      <c r="GM497" s="1692"/>
      <c r="GN497" s="1684"/>
      <c r="GP497" s="1684"/>
      <c r="GQ497" s="1684"/>
      <c r="HG497" s="1684"/>
      <c r="HH497" s="1684"/>
      <c r="HI497" s="1684"/>
      <c r="HJ497" s="1684"/>
      <c r="HK497" s="1684"/>
      <c r="HL497" s="1684"/>
      <c r="HM497" s="1684"/>
      <c r="HN497" s="1683"/>
      <c r="HO497" s="1692"/>
      <c r="HP497" s="1692"/>
      <c r="HQ497" s="1670"/>
      <c r="HR497" s="1684"/>
      <c r="HS497" s="1684"/>
      <c r="HT497" s="1670"/>
      <c r="HU497" s="1684"/>
      <c r="HV497" s="1684"/>
      <c r="HW497" s="1684"/>
      <c r="HX497" s="1684"/>
      <c r="HY497" s="1684"/>
      <c r="HZ497" s="1684"/>
      <c r="IB497" s="1692"/>
      <c r="IC497" s="1693" t="b">
        <f>IB495</f>
        <v>0</v>
      </c>
      <c r="ID497" s="1695"/>
      <c r="IE497" s="391"/>
      <c r="IF497" s="1688"/>
      <c r="IG497" s="1689">
        <f ca="1">IF(IF495=TRUE,AC498,0)</f>
        <v>0</v>
      </c>
      <c r="IH497" s="1684"/>
      <c r="IK497" s="1689" t="e">
        <f>ROUND(T497*AB498*N496*R496/1000,0)</f>
        <v>#VALUE!</v>
      </c>
      <c r="IL497" s="1691"/>
      <c r="IM497" s="1693" t="e">
        <f>ROUND(T497*AB498*N496*R496/1000,0)</f>
        <v>#VALUE!</v>
      </c>
      <c r="IN497" s="1691"/>
      <c r="IP497" s="1679"/>
      <c r="IQ497" s="1679" t="e">
        <f t="shared" ref="IQ497:IU497" si="447">IF($CR497="interior",VLOOKUP($CS497,_New_Control_Savings_Interior,IQ$30,FALSE),VLOOKUP($CS497,Control_Savings_Exterior,IQ$30,FALSE))</f>
        <v>#N/A</v>
      </c>
      <c r="IR497" s="1679" t="e">
        <f t="shared" si="447"/>
        <v>#N/A</v>
      </c>
      <c r="IS497" s="1679" t="e">
        <f t="shared" si="447"/>
        <v>#N/A</v>
      </c>
      <c r="IT497" s="1679" t="e">
        <f t="shared" si="447"/>
        <v>#N/A</v>
      </c>
      <c r="IU497" s="1679" t="e">
        <f t="shared" si="447"/>
        <v>#N/A</v>
      </c>
      <c r="IV497" s="1679" t="e">
        <f>IF($CR497="interior",IF(R496&gt;$IP$14,ROUND(($IV$18*($IP$14/R496)),2),$IV$18),VLOOKUP($CS497,Control_Savings_Exterior,IV$30,FALSE))</f>
        <v>#N/A</v>
      </c>
      <c r="IW497" s="1679" t="e">
        <f>IF($CR497="interior",ROUND(((1-IS497)*IV497)+IS497,2),VLOOKUP($CS497,Control_Savings_Exterior,IW$30,FALSE))</f>
        <v>#N/A</v>
      </c>
      <c r="IX497" s="1679" t="e">
        <f>IF($CR497="interior",ROUND(((1-IT497)*IV497)+IT497,2),VLOOKUP($CS497,Control_Savings_Exterior,IX$30,FALSE))</f>
        <v>#N/A</v>
      </c>
      <c r="IY497" s="1679" t="e">
        <f>IF($CR497="interior",IF(R496&gt;$IP$14,ROUND(($IY$18*($IP$14/R496)),2),$IY$18),VLOOKUP($CS497,Control_Savings_Exterior,IY$30,FALSE))</f>
        <v>#N/A</v>
      </c>
      <c r="IZ497" s="1679" t="e">
        <f>IF($CR497="interior",ROUND(((1-IS497)*IY497)+IS497,2),VLOOKUP($CS497,Control_Savings_Exterior,IZ$30,FALSE))</f>
        <v>#N/A</v>
      </c>
      <c r="JA497" s="1679" t="e">
        <f>IF($CR497="interior",ROUND(((1-IT497)*IY497)+IT497,2),VLOOKUP($CS497,Control_Savings_Exterior,JA$30,FALSE))</f>
        <v>#N/A</v>
      </c>
      <c r="JC497" s="1680">
        <f>IFERROR(IF(CR497="Interior",CONCATENATE(G498," ",FQ497),AG497),"")</f>
        <v>0</v>
      </c>
      <c r="JD497" s="1670" t="str">
        <f>IFERROR(VLOOKUP(JC497,_Controls_2023,2,FALSE),"")</f>
        <v/>
      </c>
      <c r="JE497" s="1681">
        <f>IFERROR(CHOOSE(JD497-1,IQ497,IR497,IS497,IT497,IU497,IV497,IW497,IX497,IY497,IZ497,JA497),0)</f>
        <v>0</v>
      </c>
      <c r="JG497" s="1680" t="str">
        <f>FE497</f>
        <v xml:space="preserve"> - </v>
      </c>
      <c r="JH497" s="1670" t="e">
        <f>$FO497</f>
        <v>#N/A</v>
      </c>
      <c r="JI497" s="1060"/>
      <c r="JJ497" s="1670">
        <f>IFERROR(IF($IB495=TRUE,IF(OR(JJ$14="No",JJ495=FALSE,JH497&lt;=JH495,AND(_kWh_Grant=0,GD495=FALSE)),0,IF(JJ$8="Per Line",1,$AF497)),0),0)</f>
        <v>0</v>
      </c>
      <c r="JK497" s="1061"/>
      <c r="JL497" s="1670">
        <f>IFERROR(IF(_kWh_Grant=0,0,IF($IB495=TRUE,IF(OR(JL$14="No",JL495=FALSE,JH497&lt;=JH495),0,IF(JL$8="Per Line",1,$T497)),0)),0)</f>
        <v>0</v>
      </c>
      <c r="JM497" s="1061"/>
      <c r="JN497" s="1670">
        <f>IFERROR(IF(_kWh_Grant=0,0,IF($IB495=TRUE,IF(OR(JN$14="No",JN495=FALSE,JH497&lt;=JH495),0,IF(JN$8="Per Line",1,$AF497)),0)),0)</f>
        <v>0</v>
      </c>
      <c r="JO497" s="1061"/>
      <c r="JP497" s="1670">
        <f>IFERROR(IF(__Retrofit_TI_NC=0,IF(_kWh_Grant=0,0,IF($IB495=TRUE,IF(OR(JP$14="No",JP495=FALSE,$JH497&lt;=$JH495),0,IF(JP$8="Per Line",1,$AF497)),0)),IF($IB495=TRUE,IF(OR(JP$14="No",JP495=FALSE,$JH497&lt;=$JH495),0,IF(JP$8="Per Line",1,$AF497)))),0)</f>
        <v>0</v>
      </c>
      <c r="JQ497" s="1061"/>
      <c r="JR497" s="1670">
        <f>IFERROR(IF(__Retrofit_TI_NC=0,IF(_kWh_Grant=0,0,IF($IB495=TRUE,IF(OR(JR$14="No",JR495=FALSE,$JH497&lt;=$JH495),0,IF(JR$8="Per Line",1,$AF497)),0)),IF($IB495=TRUE,IF(OR(JR$14="No",JR495=FALSE,$JH497&lt;=$JH495),0,IF(JR$8="Per Line",1,$AF497)))),0)</f>
        <v>0</v>
      </c>
      <c r="JS497" s="1061"/>
      <c r="JT497" s="1670">
        <f>IFERROR(IF(__Retrofit_TI_NC=0,IF(_kWh_Grant=0,0,IF($IB495=TRUE,IF(OR(JT$14="No",JT495=FALSE,$JH497&lt;=$JH495),0,IF(JT$8="Per Line",1,$AF497)),0)),IF($IB495=TRUE,IF(OR(JT$14="No",JT495=FALSE,$JH497&lt;=$JH495),0,IF(JT$8="Per Line",1,$AF497)))),0)</f>
        <v>0</v>
      </c>
      <c r="JU497" s="1061"/>
      <c r="JV497" s="1670">
        <f>IFERROR(IF(__Retrofit_TI_NC=0,IF(_kWh_Grant=0,0,IF($IB495=TRUE,IF(OR(JV$14="No",JV495=FALSE,$JH497&lt;=$JH495),0,IF(JV$8="Per Line",1,$AF497)),0)),IF($IB495=TRUE,IF(OR(JV$14="No",JV495=FALSE,$JH497&lt;=$JH495),0,IF(JV$8="Per Line",1,$AF497)))),0)</f>
        <v>0</v>
      </c>
      <c r="JX497" s="1670">
        <f>IFERROR(IF(__Retrofit_TI_NC=0,IF(_kWh_Grant=0,0,IF($IB495=TRUE,IF(OR(JX$14="No",JX495=FALSE,$JH497&lt;=$JH495),0,IF(JX$8="Per Line",1,$AF497)),0)),IF($IB495=TRUE,IF(OR(JX$14="No",JX495=FALSE,$JH497&lt;=$JH495),0,IF(JX$8="Per Line",1,$AF497)))),0)</f>
        <v>0</v>
      </c>
      <c r="JZ497" s="1670">
        <f>IFERROR(IF($IB495=TRUE,IF(OR(JZ$14="No",JZ495=FALSE,$JH497&lt;=$JH495,AND(_kWh_Grant=0,$GD495=FALSE)),0,IF(JZ$8="Per Line",1,$AF497)),0),0)</f>
        <v>0</v>
      </c>
      <c r="KB497" s="1670">
        <f>IFERROR(IF(__Retrofit_TI_NC=0,IF(_kWh_Grant=0,0,IF($IB495=TRUE,IF(OR(KB$14="No",KB495=FALSE,$JH497&lt;=$JH495),0,IF(KB$8="Per Line",1,$AF497)),0)),IF($IB495=TRUE,IF(OR(KB$14="No",KB495=FALSE,$JH497&lt;=$JH495),0,IF(KB$8="Per Line",1,$AF497)))),0)</f>
        <v>0</v>
      </c>
    </row>
    <row r="498" spans="1:288" s="78" customFormat="1" ht="14.95" customHeight="1" thickTop="1" thickBot="1">
      <c r="B498" s="1845"/>
      <c r="C498" s="1846"/>
      <c r="D498" s="1847"/>
      <c r="E498" s="1771" t="s">
        <v>436</v>
      </c>
      <c r="F498" s="1772"/>
      <c r="G498" s="1784" t="s">
        <v>437</v>
      </c>
      <c r="H498" s="1785"/>
      <c r="I498" s="1785"/>
      <c r="J498" s="1785"/>
      <c r="K498" s="1785"/>
      <c r="L498" s="1786"/>
      <c r="M498" s="591">
        <f>IFERROR(VLOOKUP(G498,_Daylight_Table[],2,FALSE),0)</f>
        <v>0</v>
      </c>
      <c r="N498" s="592" t="str">
        <f>IF(AND(__Retrofit_TI_NC&gt;0,CQ495="Interior"),"BAM","")</f>
        <v/>
      </c>
      <c r="O498" s="591" t="e">
        <f>VLOOKUP(G497,'Space Table'!$B$3:$L$163,11,FALSE)</f>
        <v>#N/A</v>
      </c>
      <c r="P498" s="1789"/>
      <c r="Q498" s="1790"/>
      <c r="R498" s="1790"/>
      <c r="S498" s="1788"/>
      <c r="T498" s="593" t="s">
        <v>342</v>
      </c>
      <c r="U498" s="1756" t="str" cm="1">
        <f t="array" aca="1" ref="U498" ca="1">IFERROR(VLOOKUP(INDIRECT("U" &amp; ROW()-1),Fixtures!DM$93:DP$142,4,FALSE),"")</f>
        <v/>
      </c>
      <c r="V498" s="1757"/>
      <c r="W498" s="1757"/>
      <c r="X498" s="1757"/>
      <c r="Y498" s="1757"/>
      <c r="Z498" s="1757"/>
      <c r="AA498" s="1758"/>
      <c r="AB498" s="939" t="str">
        <f>IFERROR(VLOOKUP(U497,Fixtures_Proposed_List,2,FALSE),"")</f>
        <v/>
      </c>
      <c r="AC498" s="933" t="str">
        <f>IFERROR(ROUND(T497*AB498*N496*R496/1000,0),"")</f>
        <v/>
      </c>
      <c r="AD498" s="934" t="str">
        <f>IFERROR(ROUND(T497*AB498/1000,2),"")</f>
        <v/>
      </c>
      <c r="AE498" s="998"/>
      <c r="AF498" s="938" t="s">
        <v>342</v>
      </c>
      <c r="AG498" s="1770"/>
      <c r="AH498" s="1770"/>
      <c r="AI498" s="1770"/>
      <c r="AJ498" s="1770"/>
      <c r="AK498" s="1770"/>
      <c r="AL498" s="1770"/>
      <c r="AM498" s="1727"/>
      <c r="AN498" s="1729"/>
      <c r="AO498" s="1731"/>
      <c r="AP498" s="1782"/>
      <c r="AQ498" s="1783"/>
      <c r="AR498" s="1797"/>
      <c r="AS498" s="1797"/>
      <c r="AT498" s="1798"/>
      <c r="AU498" s="1736"/>
      <c r="AV498" s="1753"/>
      <c r="AW498" s="1706"/>
      <c r="AX498" s="468"/>
      <c r="AY498" s="1750"/>
      <c r="AZ498" s="1750"/>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696"/>
      <c r="CQ498" s="1696"/>
      <c r="CR498" s="1809"/>
      <c r="CS498" s="1811"/>
      <c r="CU498" s="1688"/>
      <c r="CV498" s="1703"/>
      <c r="CW498" s="1703"/>
      <c r="CX498" s="1813"/>
      <c r="CY498" s="1815"/>
      <c r="CZ498" s="1711"/>
      <c r="DA498" s="1815"/>
      <c r="DB498" s="1821"/>
      <c r="DC498" s="1821"/>
      <c r="DD498" s="1821"/>
      <c r="DF498" s="1703"/>
      <c r="DG498" s="1831"/>
      <c r="DH498" s="1813"/>
      <c r="DI498" s="1838"/>
      <c r="DJ498" s="1711"/>
      <c r="DK498" s="1712"/>
      <c r="DN498" s="1718"/>
      <c r="DO498" s="1709"/>
      <c r="DQ498" s="1715"/>
      <c r="DR498" s="1720"/>
      <c r="DS498" s="1703"/>
      <c r="DT498" s="1714"/>
      <c r="DU498" s="1715"/>
      <c r="DV498" s="1716"/>
      <c r="DX498" s="1715"/>
      <c r="DY498" s="1720"/>
      <c r="DZ498" s="1715"/>
      <c r="EA498" s="1715"/>
      <c r="EC498" s="1834"/>
      <c r="ED498" s="1834"/>
      <c r="EF498" s="1707"/>
      <c r="EG498" s="1712"/>
      <c r="EH498" s="1815"/>
      <c r="EI498" s="1712"/>
      <c r="EJ498" s="1712"/>
      <c r="EK498" s="1813"/>
      <c r="EL498" s="1813"/>
      <c r="EM498" s="1807"/>
      <c r="EN498" s="1839"/>
      <c r="EO498" s="1839"/>
      <c r="EP498" s="1817"/>
      <c r="EQ498" s="1817"/>
      <c r="ER498" s="1807"/>
      <c r="ES498" s="1807"/>
      <c r="ET498" s="1807"/>
      <c r="EV498" s="1715"/>
      <c r="EX498" s="1806"/>
      <c r="EY498" s="1806"/>
      <c r="EZ498" s="1806"/>
      <c r="FA498" s="1806"/>
      <c r="FB498" s="1806"/>
      <c r="FC498" s="1828"/>
      <c r="FE498" s="1698"/>
      <c r="FG498" s="1703"/>
      <c r="FH498" s="1703"/>
      <c r="FI498" s="133"/>
      <c r="FL498" s="1823"/>
      <c r="FM498" s="1825"/>
      <c r="FN498" s="1698"/>
      <c r="FO498" s="1698"/>
      <c r="FP498" s="1678"/>
      <c r="FQ498" s="1698"/>
      <c r="FS498" s="1687"/>
      <c r="FT498" s="1687"/>
      <c r="FU498" s="1685"/>
      <c r="FV498" s="1687"/>
      <c r="FW498" s="1687"/>
      <c r="FX498" s="1687"/>
      <c r="FY498" s="1697"/>
      <c r="GA498" s="1696"/>
      <c r="GB498" s="1696"/>
      <c r="GC498" s="1696"/>
      <c r="GD498" s="1696"/>
      <c r="GE498" s="1696"/>
      <c r="GF498" s="1696"/>
      <c r="GG498" s="1696"/>
      <c r="GH498" s="1696"/>
      <c r="GI498" s="673"/>
      <c r="GJ498" s="1135"/>
      <c r="GK498" s="1832"/>
      <c r="GN498" s="674">
        <f>IF(GN496=TRUE,0,GN$16)</f>
        <v>0</v>
      </c>
      <c r="GP498" s="674">
        <f>IF(GP496=TRUE,0,GP$16)</f>
        <v>36</v>
      </c>
      <c r="GQ498" s="674">
        <f ca="1">IF(GQ496=TRUE,0,GQ$16)</f>
        <v>35</v>
      </c>
      <c r="GR498" s="391"/>
      <c r="GS498" s="391"/>
      <c r="GT498" s="391"/>
      <c r="GU498" s="391"/>
      <c r="GV498" s="391"/>
      <c r="HG498" s="674">
        <f>IF(HG496=TRUE,0,HG$16)</f>
        <v>0</v>
      </c>
      <c r="HH498" s="674">
        <f t="shared" ref="HH498:HM498" si="448">IF(HH496=TRUE,0,HH$16)</f>
        <v>19</v>
      </c>
      <c r="HI498" s="674">
        <f t="shared" si="448"/>
        <v>18</v>
      </c>
      <c r="HJ498" s="674">
        <f t="shared" si="448"/>
        <v>17</v>
      </c>
      <c r="HK498" s="674">
        <f t="shared" si="448"/>
        <v>16</v>
      </c>
      <c r="HL498" s="674">
        <f t="shared" si="448"/>
        <v>0</v>
      </c>
      <c r="HM498" s="674">
        <f t="shared" si="448"/>
        <v>0</v>
      </c>
      <c r="HN498" s="674">
        <f>IF(HN496=TRUE,0,HN$16)</f>
        <v>13</v>
      </c>
      <c r="HO498" s="674">
        <f t="shared" ref="HO498:HQ498" si="449">IF(HO496=TRUE,0,HO$16)</f>
        <v>0</v>
      </c>
      <c r="HP498" s="674">
        <f t="shared" si="449"/>
        <v>0</v>
      </c>
      <c r="HQ498" s="674">
        <f t="shared" si="449"/>
        <v>10</v>
      </c>
      <c r="HR498" s="674">
        <f>IF(HR496=TRUE,0,HR$16)</f>
        <v>9</v>
      </c>
      <c r="HS498" s="674">
        <f t="shared" ref="HS498:HW498" si="450">IF(HS496=TRUE,0,HS$16)</f>
        <v>0</v>
      </c>
      <c r="HT498" s="674">
        <f t="shared" si="450"/>
        <v>0</v>
      </c>
      <c r="HU498" s="674">
        <f t="shared" si="450"/>
        <v>0</v>
      </c>
      <c r="HV498" s="674">
        <f t="shared" si="450"/>
        <v>0</v>
      </c>
      <c r="HW498" s="674">
        <f t="shared" si="450"/>
        <v>0</v>
      </c>
      <c r="HX498" s="674">
        <f>IF(HX496=TRUE,0,HX$16)</f>
        <v>0</v>
      </c>
      <c r="HY498" s="674">
        <f>IF(HY496=TRUE,0,HY$16)</f>
        <v>0</v>
      </c>
      <c r="HZ498" s="674">
        <f>IF(HZ496=TRUE,0,HZ$16)</f>
        <v>1</v>
      </c>
      <c r="IB498" s="674">
        <f>IF(GP496=FALSE,GP498,IF(GQ496=FALSE,GQ498,MAX(GN498:HZ498)))</f>
        <v>36</v>
      </c>
      <c r="IC498" s="1692"/>
      <c r="ID498" s="205" t="str">
        <f>VLOOKUP(IB498,_Error_Table,3,FALSE)</f>
        <v xml:space="preserve"> </v>
      </c>
      <c r="IE498" s="205"/>
      <c r="IF498" s="1688"/>
      <c r="IG498" s="1689"/>
      <c r="IH498" s="1684"/>
      <c r="IK498" s="1689"/>
      <c r="IL498" s="1692"/>
      <c r="IM498" s="1692"/>
      <c r="IN498" s="1692"/>
      <c r="IP498" s="1679"/>
      <c r="IQ498" s="1679"/>
      <c r="IR498" s="1679"/>
      <c r="IS498" s="1679"/>
      <c r="IT498" s="1679"/>
      <c r="IU498" s="1679"/>
      <c r="IV498" s="1679"/>
      <c r="IW498" s="1679"/>
      <c r="IX498" s="1679"/>
      <c r="IY498" s="1679"/>
      <c r="IZ498" s="1679"/>
      <c r="JA498" s="1679"/>
      <c r="JC498" s="1680"/>
      <c r="JD498" s="1670"/>
      <c r="JE498" s="1681"/>
      <c r="JG498" s="1680"/>
      <c r="JH498" s="1670"/>
      <c r="JI498" s="1060"/>
      <c r="JJ498" s="1670"/>
      <c r="JK498" s="1061"/>
      <c r="JL498" s="1670"/>
      <c r="JM498" s="1061"/>
      <c r="JN498" s="1670"/>
      <c r="JO498" s="1061"/>
      <c r="JP498" s="1670"/>
      <c r="JQ498" s="1061"/>
      <c r="JR498" s="1670"/>
      <c r="JS498" s="1061"/>
      <c r="JT498" s="1670"/>
      <c r="JU498" s="1061"/>
      <c r="JV498" s="1670"/>
      <c r="JX498" s="1670"/>
      <c r="JZ498" s="1670"/>
      <c r="KB498" s="1670"/>
    </row>
    <row r="499" spans="1:288" s="78" customFormat="1" ht="5.0999999999999996" customHeight="1">
      <c r="B499" s="676"/>
      <c r="C499" s="392"/>
      <c r="D499" s="392"/>
      <c r="E499" s="1733"/>
      <c r="F499" s="1733"/>
      <c r="G499" s="1733"/>
      <c r="H499" s="1733"/>
      <c r="I499" s="1733"/>
      <c r="J499" s="1733"/>
      <c r="K499" s="1733"/>
      <c r="L499" s="1733"/>
      <c r="M499" s="1733"/>
      <c r="N499" s="1733"/>
      <c r="O499" s="1733"/>
      <c r="P499" s="1733"/>
      <c r="Q499" s="1733"/>
      <c r="R499" s="1733"/>
      <c r="S499" s="1733"/>
      <c r="T499" s="1733"/>
      <c r="U499" s="1733"/>
      <c r="V499" s="1733"/>
      <c r="W499" s="1733"/>
      <c r="X499" s="1733"/>
      <c r="Y499" s="1733"/>
      <c r="Z499" s="1733"/>
      <c r="AA499" s="1733"/>
      <c r="AB499" s="1733"/>
      <c r="AC499" s="1733"/>
      <c r="AD499" s="1733"/>
      <c r="AE499" s="1733"/>
      <c r="AF499" s="1733"/>
      <c r="AG499" s="1733"/>
      <c r="AH499" s="1733"/>
      <c r="AI499" s="1733"/>
      <c r="AJ499" s="1733"/>
      <c r="AK499" s="1733"/>
      <c r="AL499" s="1733"/>
      <c r="AM499" s="1733"/>
      <c r="AN499" s="1733"/>
      <c r="AO499" s="1733"/>
      <c r="AP499" s="1733"/>
      <c r="AQ499" s="1733"/>
      <c r="AR499" s="1733"/>
      <c r="AS499" s="1733"/>
      <c r="AT499" s="1733"/>
      <c r="AU499" s="1733"/>
      <c r="AV499" s="1733"/>
      <c r="AW499" s="1733"/>
      <c r="AX499" s="469"/>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663"/>
      <c r="CQ499" s="663"/>
      <c r="CR499" s="438"/>
      <c r="CS499" s="663"/>
      <c r="CV499" s="391"/>
      <c r="CW499" s="391"/>
      <c r="CX499" s="207"/>
      <c r="CY499" s="208"/>
      <c r="CZ499" s="208"/>
      <c r="DA499" s="208"/>
      <c r="DB499" s="209"/>
      <c r="DC499" s="209"/>
      <c r="DD499" s="209"/>
      <c r="DF499" s="664"/>
      <c r="DG499" s="665"/>
      <c r="DH499" s="666"/>
      <c r="DI499" s="667"/>
      <c r="DJ499" s="668"/>
      <c r="DK499" s="668"/>
      <c r="DN499" s="208"/>
      <c r="DO499" s="664"/>
      <c r="DQ499" s="664"/>
      <c r="DR499" s="669"/>
      <c r="DS499" s="391"/>
      <c r="DT499" s="664"/>
      <c r="DU499" s="664"/>
      <c r="DV499" s="664"/>
      <c r="DX499" s="664"/>
      <c r="DY499" s="664"/>
      <c r="DZ499" s="664"/>
      <c r="EA499" s="664"/>
      <c r="EC499" s="670"/>
      <c r="ED499" s="670"/>
      <c r="EF499" s="668"/>
      <c r="EG499" s="668"/>
      <c r="EH499" s="208"/>
      <c r="EI499" s="668"/>
      <c r="EJ499" s="668"/>
      <c r="EK499" s="207"/>
      <c r="EL499" s="207"/>
      <c r="EM499" s="666"/>
      <c r="EN499" s="671"/>
      <c r="EO499" s="671"/>
      <c r="EP499" s="672"/>
      <c r="EQ499" s="672"/>
      <c r="ER499" s="666"/>
      <c r="ES499" s="666"/>
      <c r="ET499" s="666"/>
      <c r="EV499" s="664"/>
      <c r="EX499" s="391"/>
      <c r="EY499" s="391"/>
      <c r="EZ499" s="391"/>
      <c r="FA499" s="391"/>
      <c r="FB499" s="391"/>
      <c r="FC499" s="391"/>
      <c r="FE499" s="569"/>
      <c r="FG499" s="391"/>
      <c r="FH499" s="391"/>
      <c r="FI499" s="391"/>
      <c r="FS499" s="664"/>
      <c r="FT499" s="391"/>
      <c r="FU499" s="391"/>
      <c r="FV499" s="664"/>
      <c r="FW499" s="664"/>
      <c r="GA499" s="663"/>
      <c r="GB499" s="663"/>
      <c r="GC499" s="663"/>
      <c r="GD499" s="663"/>
      <c r="GE499" s="663"/>
      <c r="GF499" s="663"/>
      <c r="GG499" s="663"/>
      <c r="GH499" s="663"/>
      <c r="GI499" s="665"/>
      <c r="GJ499" s="664"/>
      <c r="GK499" s="664"/>
    </row>
    <row r="500" spans="1:288" s="78" customFormat="1" ht="14.95" customHeight="1">
      <c r="B500" s="1845" t="str">
        <f>ID503</f>
        <v xml:space="preserve"> </v>
      </c>
      <c r="C500" s="1846">
        <f>C495+1</f>
        <v>88</v>
      </c>
      <c r="D500" s="1847"/>
      <c r="E500" s="1799" t="s">
        <v>295</v>
      </c>
      <c r="F500" s="1800"/>
      <c r="G500" s="1741"/>
      <c r="H500" s="1742"/>
      <c r="I500" s="1742"/>
      <c r="J500" s="1742"/>
      <c r="K500" s="1742"/>
      <c r="L500" s="1742"/>
      <c r="M500" s="1742"/>
      <c r="N500" s="1742"/>
      <c r="O500" s="1742"/>
      <c r="P500" s="1742"/>
      <c r="Q500" s="1742"/>
      <c r="R500" s="1742"/>
      <c r="S500" s="1791" t="s">
        <v>344</v>
      </c>
      <c r="T500" s="590"/>
      <c r="U500" s="1743"/>
      <c r="V500" s="1744"/>
      <c r="W500" s="1744"/>
      <c r="X500" s="1744"/>
      <c r="Y500" s="1744"/>
      <c r="Z500" s="1744"/>
      <c r="AA500" s="1744"/>
      <c r="AB500" s="961" t="str">
        <f>IFERROR(IF(__Retrofit_TI_NC=0,VLOOKUP(U501,Fixtures_Existing_List,2,FALSE),ROUND(N502*R502/T502,10)),"")</f>
        <v/>
      </c>
      <c r="AC500" s="935" t="str">
        <f>IFERROR(IF(__Retrofit_TI_NC=0,ROUND(T501*AB500*N501*R501/1000,0),IF(CQ500="Interior",N502*R502*R501*N501*_C406_reduction/1000,N502*R502*R501*N501/1000)),"")</f>
        <v/>
      </c>
      <c r="AD500" s="936" t="str">
        <f>IFERROR(IF(C$43=0,ROUND(T501*AB500/1000,2),N502*R502/1000),"")</f>
        <v/>
      </c>
      <c r="AE500" s="997"/>
      <c r="AF500" s="937"/>
      <c r="AG500" s="1745" t="str">
        <f>IF(__Retrofit_TI_NC=0," Control","Select Advanced Control for New System")</f>
        <v xml:space="preserve"> Control</v>
      </c>
      <c r="AH500" s="1745"/>
      <c r="AI500" s="1745"/>
      <c r="AJ500" s="1745"/>
      <c r="AK500" s="1745"/>
      <c r="AL500" s="1745"/>
      <c r="AM500" s="1746">
        <f>IFERROR(DI500,"")</f>
        <v>0</v>
      </c>
      <c r="AN500" s="1774" t="str">
        <f>IFERROR(ROUND(AM500*AC500,0),"")</f>
        <v/>
      </c>
      <c r="AO500" s="1776">
        <f>IFERROR(IF(IB500=FALSE,0,AC500-AN500),0)</f>
        <v>0</v>
      </c>
      <c r="AP500" s="1778">
        <f>AO500-AO502</f>
        <v>0</v>
      </c>
      <c r="AQ500" s="1779"/>
      <c r="AR500" s="1793">
        <f>IFERROR(IF(IB500=FALSE,0,(T502*U503)+(AF502*AG503)),0)</f>
        <v>0</v>
      </c>
      <c r="AS500" s="1793"/>
      <c r="AT500" s="1794"/>
      <c r="AU500" s="1734" t="s">
        <v>237</v>
      </c>
      <c r="AV500" s="1751">
        <f>IF(AU500="Yes",1,0)</f>
        <v>1</v>
      </c>
      <c r="AW500" s="1704" t="str">
        <f>IF(OR(DQ500=4,DQ500=5,DQ500=6,DQ500=12),CONCATENATE("$",IF(GH500=TRUE,Lookup!$K$10,Lookup!$K$2)," /lamp"),CONCATENATE(TEXT(ED500,"$0.00"),"/ kWh"))</f>
        <v>$0.00/ kWh</v>
      </c>
      <c r="AX500" s="467"/>
      <c r="AY500" s="1748">
        <f ca="1">IFERROR(IF(GM501=TRUE,(AB503*T502)/R502,0),"NA")</f>
        <v>0</v>
      </c>
      <c r="AZ500" s="1748"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696" t="str">
        <f>N501</f>
        <v/>
      </c>
      <c r="CQ500" s="1696" t="str">
        <f>IFERROR(VLOOKUP(G501,_Lookup_Heat_Type_Table_New,3,FALSE),"")</f>
        <v/>
      </c>
      <c r="CR500" s="1808" t="str">
        <f>CQ500</f>
        <v/>
      </c>
      <c r="CS500" s="1810" t="str">
        <f>IFERROR(VLOOKUP(G502,'Space Table'!$B$3:$L$163,9,FALSE),"")</f>
        <v/>
      </c>
      <c r="CU500" s="1688" t="s">
        <v>344</v>
      </c>
      <c r="CV500" s="1702">
        <f>IF(IB500=TRUE,T501,0)</f>
        <v>0</v>
      </c>
      <c r="CW500" s="1702" t="str">
        <f>IF(IB500=TRUE,U501,"")</f>
        <v/>
      </c>
      <c r="CX500" s="1702"/>
      <c r="CY500" s="1814">
        <f>IF(IB500=TRUE,AB500,0)</f>
        <v>0</v>
      </c>
      <c r="CZ500" s="1710">
        <f>IF(AND(__Retrofit_TI_NC&gt;0,CR500="interior"),0,IF(IB500=TRUE,AC500,0))</f>
        <v>0</v>
      </c>
      <c r="DA500" s="1814">
        <f>IFERROR(IF(IB500=TRUE,CZ500-CZ502,0),0)</f>
        <v>0</v>
      </c>
      <c r="DB500" s="1819">
        <f>IF(IB500=TRUE,AD500,0)</f>
        <v>0</v>
      </c>
      <c r="DC500" s="1819">
        <f>IF(IB500=TRUE,AD503,0)</f>
        <v>0</v>
      </c>
      <c r="DD500" s="1819">
        <f>IFERROR(DB500-DC500,0)</f>
        <v>0</v>
      </c>
      <c r="DF500" s="1702">
        <f>IF(IB500=TRUE,AF501,0)</f>
        <v>0</v>
      </c>
      <c r="DG500" s="1830">
        <f>IFERROR(IF(__Retrofit_TI_NC=2,IF(CQ500="Exterior",O503,FQ500),FN500),"")</f>
        <v>0</v>
      </c>
      <c r="DH500" s="1702"/>
      <c r="DI500" s="1837">
        <f>JE500</f>
        <v>0</v>
      </c>
      <c r="DJ500" s="1710">
        <f>IF(AND(__Retrofit_TI_NC&gt;0,CR500="interior"),0,IF(IB500=TRUE,AN500,0))</f>
        <v>0</v>
      </c>
      <c r="DK500" s="1712">
        <f>IFERROR(IF(IB500=TRUE,DJ502-DJ500,0),0)</f>
        <v>0</v>
      </c>
      <c r="DM500" s="1717">
        <f>IFERROR(CZ500-DJ500,0)</f>
        <v>0</v>
      </c>
      <c r="DO500" s="1708">
        <f>DM500-DN502</f>
        <v>0</v>
      </c>
      <c r="DQ500" s="1715" t="str">
        <f>IFERROR(IF(AND(OR(GC500=4,GC500=5,GC500=6),OR(GF500=4,GF500=5,GF500=6)),GC500+8,VLOOKUP(CW502,Fixtures!R$31:Y$78,8,FALSE)),"")</f>
        <v/>
      </c>
      <c r="DR500" s="1829" t="str">
        <f>DQ500</f>
        <v/>
      </c>
      <c r="DS500" s="1702" t="str">
        <f>IFERROR(VLOOKUP(DG502,Lookup!BB$3:BC$20,2,FALSE),"")</f>
        <v/>
      </c>
      <c r="DT500" s="1713" t="str">
        <f>IF(OR(DS500=7,DS500=8,DS500=9),"ALC","")</f>
        <v/>
      </c>
      <c r="DU500" s="1715">
        <f>IFERROR(IF(OR(DQ500=4,DQ500=5,DQ500=6,DQ500=12,DQ500=13,DQ500=14),VLOOKUP(CW502,Fixtures!DN$27:EG$77,19,FALSE),1)*CV502,0)</f>
        <v>0</v>
      </c>
      <c r="DV500" s="1716">
        <f>IF(OR(DS500=7,DS500=8,DS500=9),IF(DG500=DG502,0,DF502),0)</f>
        <v>0</v>
      </c>
      <c r="DX500" s="1715" t="str">
        <f>IFERROR(IF(EZ500&lt;EZ502,"Yes","No"),"")</f>
        <v/>
      </c>
      <c r="DY500" s="1829" t="str">
        <f>DX500</f>
        <v/>
      </c>
      <c r="DZ500" s="1715">
        <f>IF(DX500="Yes",DF502,0)</f>
        <v>0</v>
      </c>
      <c r="EA500" s="1715">
        <f>DZ500-DV500</f>
        <v>0</v>
      </c>
      <c r="EC500" s="1834">
        <f>IFERROR(VLOOKUP(DQ500,Lookup!AU$3:AV$16,2,FALSE),0)</f>
        <v>0</v>
      </c>
      <c r="ED500" s="1834">
        <f>IF(IB500=FALSE,0,IF(DX500="Yes",EC500+Lookup!K$6,EC500))</f>
        <v>0</v>
      </c>
      <c r="EF500" s="1707">
        <f>IF(IB500=TRUE,DM500,0)</f>
        <v>0</v>
      </c>
      <c r="EG500" s="1712">
        <f>IF(IB500=TRUE,CZ502,0)</f>
        <v>0</v>
      </c>
      <c r="EH500" s="1814">
        <f>IFERROR(EF500-EG500,0)</f>
        <v>0</v>
      </c>
      <c r="EI500" s="1712">
        <f>IF(IB500=TRUE,DJ502,0)</f>
        <v>0</v>
      </c>
      <c r="EJ500" s="1712">
        <f>IFERROR(EF500-EG500+EI500,0)</f>
        <v>0</v>
      </c>
      <c r="EK500" s="1812">
        <f>IF(IB500=TRUE,CV502*CX502,0)</f>
        <v>0</v>
      </c>
      <c r="EL500" s="1812">
        <f>IF(IB500=TRUE,DF502*DH502,0)</f>
        <v>0</v>
      </c>
      <c r="EM500" s="1807">
        <f>AR500</f>
        <v>0</v>
      </c>
      <c r="EN500" s="1839" t="str">
        <f>IFERROR(IF(IB500=TRUE,VLOOKUP(DQ500,Lookup!AU$3:AW$16,3,FALSE)*DU500,""),0)</f>
        <v/>
      </c>
      <c r="EO500" s="1839">
        <f>IF(IB500=TRUE,DZ500*Lookup!AW$12,0)</f>
        <v>0</v>
      </c>
      <c r="EP500" s="1817">
        <f>IFERROR(IF(IB500=TRUE,EN500/EP$40,0),0)</f>
        <v>0</v>
      </c>
      <c r="EQ500" s="1817">
        <f>IF(IB500=TRUE,EO500/EQ$40,0)</f>
        <v>0</v>
      </c>
      <c r="ER500" s="1807">
        <f>IF(IB500=TRUE,ET$40*EP500,0)</f>
        <v>0</v>
      </c>
      <c r="ES500" s="1807">
        <f>IF(IB500=TRUE,ET$40*EQ500,0)</f>
        <v>0</v>
      </c>
      <c r="ET500" s="1807">
        <f>ER500+ES500</f>
        <v>0</v>
      </c>
      <c r="EV500" s="1715">
        <f>IF(G500="",0,1)</f>
        <v>0</v>
      </c>
      <c r="EX500" s="1804" t="str">
        <f>IFERROR(VLOOKUP(CS502,'Space Table'!$B$3:$L$163,8,FALSE),"")</f>
        <v/>
      </c>
      <c r="EY500" s="1804" t="str">
        <f>IFERROR(IF(FB500="Yes",VLOOKUP(DG500,Lookup_Control_Type_Table2,4,FALSE),VLOOKUP(DG500,Lookup_Control_Type_Table2,3,FALSE)),"")</f>
        <v/>
      </c>
      <c r="EZ500" s="1804" t="e">
        <f>VLOOKUP(DG500,Lookup!BB$3:BC$20,2,FALSE)</f>
        <v>#N/A</v>
      </c>
      <c r="FA500" s="1804" t="e">
        <f>VLOOKUP(EX500,Lookup_Control_Type_Table,2,FALSE)</f>
        <v>#N/A</v>
      </c>
      <c r="FB500" s="1804" t="e">
        <f>VLOOKUP(CS502,'Space Table'!$B$3:$L$163,7,FALSE)</f>
        <v>#N/A</v>
      </c>
      <c r="FC500" s="1826" t="b">
        <f>ISNUMBER(SEARCH("TLED",U502))</f>
        <v>0</v>
      </c>
      <c r="FE500" s="1698" t="str">
        <f>CONCATENATE(CQ500," - ",DG500)</f>
        <v xml:space="preserve"> - 0</v>
      </c>
      <c r="FG500" s="1702" t="str">
        <f>VLOOKUP(CW502,Fixtures!DN$27:EZ$77,38,FALSE)</f>
        <v/>
      </c>
      <c r="FH500" s="1702">
        <f>IFERROR(FG500*EH500,0)</f>
        <v>0</v>
      </c>
      <c r="FI500" s="133"/>
      <c r="FL500" s="1822" t="str">
        <f>IF(CQ500="Exterior","Not Daylighted",G503)</f>
        <v>Not Daylighted</v>
      </c>
      <c r="FM500" s="1824">
        <f>VLOOKUP(FL500,_New_Daylight_Table_Codes,2,FALSE)</f>
        <v>0</v>
      </c>
      <c r="FN500" s="1698">
        <f>IF(__Retrofit_TI_NC&gt;0,VLOOKUP(G502,'Space Table'!$B$3:$L$163,11,FALSE),AG501)</f>
        <v>0</v>
      </c>
      <c r="FO500" s="1698" t="e">
        <f>IF(__Retrofit_TI_NC=2,VLOOKUP(FQ500,_Control_Table,2,FALSE),VLOOKUP(FN500,_Control_Table,2,FALSE))</f>
        <v>#N/A</v>
      </c>
      <c r="FP500" s="1678" t="e">
        <f>VLOOKUP(CONCATENATE(FL500," ",FN500),Lookup!AY$102:AZ510,2,FALSE)</f>
        <v>#N/A</v>
      </c>
      <c r="FQ500" s="1678">
        <f>IF(__Retrofit_TI_NC=0,FN500,IF(AND(FT500&gt;0,FN500="Occupancy Sensor"),"Daylight + Occupancy",IF(AND(FT500&gt;0,VLOOKUP(FN500,_Control_Table,2,FALSE)&lt;4),"Interior Daylight Dimming",FN500)))</f>
        <v>0</v>
      </c>
      <c r="FS500" s="1686">
        <f>IF(CR500="Interior",VLOOKUP(CS500,Control_Savings_Interior,5,FALSE),0)</f>
        <v>0</v>
      </c>
      <c r="FT500" s="1687">
        <f>IF(CQ500="Exterior",0,IF(FM500=2,0.5,IF(OR(FM500=1,FM500=3),1,0)))</f>
        <v>0</v>
      </c>
      <c r="FU500" s="1685">
        <f>IF(R499&gt;FS$44,(FS500*(FS$44/R499)),FS500)*FT500</f>
        <v>0</v>
      </c>
      <c r="FV500" s="1686">
        <f>DI500</f>
        <v>0</v>
      </c>
      <c r="FW500" s="1686">
        <f>ROUND(FV500+((1-FV500)*FU500),2)</f>
        <v>0</v>
      </c>
      <c r="FX500" s="1686">
        <f>IF(__Retrofit_TI_NC=2,FW500,FV500)</f>
        <v>0</v>
      </c>
      <c r="FY500" s="1697"/>
      <c r="GA500" s="1696" t="str">
        <f>IFERROR(VLOOKUP(U501,_Exist_Fixture_Table,3,FALSE),"")</f>
        <v/>
      </c>
      <c r="GB500" s="1696" t="str">
        <f>VLOOKUP(CW500,_Exist_Fixture_Table,4,FALSE)</f>
        <v/>
      </c>
      <c r="GC500" s="1696">
        <f>IFERROR(VLOOKUP(GB500,Lookup!AT$6:AU$8,2,FALSE),0)</f>
        <v>0</v>
      </c>
      <c r="GD500" s="1696" t="b">
        <f>IFERROR(IF(OR(GF500=4,GF500=5,GF500=6),TRUE,FALSE),"")</f>
        <v>0</v>
      </c>
      <c r="GE500" s="1696" t="str">
        <f>IFERROR(VLOOKUP(GF500,GC$6:GD$10,2,FALSE),"")</f>
        <v/>
      </c>
      <c r="GF500" s="1696" t="str">
        <f>VLOOKUP(CW502,Fixtures!R$31:Y$78,8,FALSE)</f>
        <v/>
      </c>
      <c r="GG500" s="1696">
        <f>IF(AND(GA500=TRUE,GD500=TRUE,OR(DQ500=12,DQ500=13,DQ500=14)),GC500+8,0)</f>
        <v>0</v>
      </c>
      <c r="GH500" s="1696" t="b">
        <f>IF(OR(GG500=12,GG500=13,GG500=14),TRUE,FALSE)</f>
        <v>0</v>
      </c>
      <c r="GI500" s="673" t="b">
        <f>IF(ISNUMBER(SEARCH("TLED",U501)),TRUE,FALSE)</f>
        <v>0</v>
      </c>
      <c r="GJ500" s="1135" t="str">
        <f>IFERROR(VLOOKUP(U501,Fixtures!BM$93:BR$142,6,FALSE),"")</f>
        <v/>
      </c>
      <c r="GK500" s="1832" t="b">
        <f>IF(OR(GI500=FALSE,GI502=FALSE),TRUE,IF(GJ500-GJ502&lt;5,FALSE,TRUE))</f>
        <v>1</v>
      </c>
      <c r="GO500" s="674">
        <f>GP500</f>
        <v>0</v>
      </c>
      <c r="GP500" s="674">
        <f>IF(G500="",0,1)</f>
        <v>0</v>
      </c>
      <c r="GQ500" s="674">
        <f ca="1">SUM(GR500:HF500)</f>
        <v>2</v>
      </c>
      <c r="GR500" s="674">
        <f>IF(G501="",0,1)</f>
        <v>0</v>
      </c>
      <c r="GS500" s="674">
        <f>IF(N503="BAM",1,IF(G502="",0,1))</f>
        <v>0</v>
      </c>
      <c r="GT500" s="674">
        <f>IF(N503="BAM",1,IF(R501="",0,1))</f>
        <v>0</v>
      </c>
      <c r="GU500" s="674">
        <f>IF(N503="BAM",1,IF(__Retrofit_TI_NC=0,1,IF(R502="",0,1)))</f>
        <v>1</v>
      </c>
      <c r="GV500" s="674">
        <f>IF(N503="BAM",1,IF(CQ500="Exterior",1,IF(G503="",0,1)))</f>
        <v>1</v>
      </c>
      <c r="GW500" s="674">
        <f>IF(__Retrofit_TI_NC&gt;0,1,IF(T501="",0,1))</f>
        <v>0</v>
      </c>
      <c r="GX500" s="674">
        <f>IF(__Retrofit_TI_NC&gt;0,1,IF(U501="",0,1))</f>
        <v>0</v>
      </c>
      <c r="GY500" s="674">
        <f>IF(N503="BAM",1,IF(T502="",0,1))</f>
        <v>0</v>
      </c>
      <c r="GZ500" s="674">
        <f>IF(N503="BAM",1,IF(U502="",0,1))</f>
        <v>0</v>
      </c>
      <c r="HA500" s="674">
        <f ca="1">IF(N503="BAM",1,IF(__Retrofit_TI_NC&gt;0,1,IF(U503="",0,1)))</f>
        <v>0</v>
      </c>
      <c r="HB500" s="674">
        <f>IF(__Retrofit_TI_NC&lt;&gt;0,1,IF(AF501="",0,1))</f>
        <v>0</v>
      </c>
      <c r="HC500" s="674">
        <f>IF(__Retrofit_TI_NC&lt;&gt;0,1,IF(AG501="",0,1))</f>
        <v>0</v>
      </c>
      <c r="HD500" s="674">
        <f>IF(N503="BAM",1,IF(AF502="",0,1))</f>
        <v>0</v>
      </c>
      <c r="HE500" s="674">
        <f>IF(N503="BAM",1,IF(AG502="",0,1))</f>
        <v>0</v>
      </c>
      <c r="HF500" s="674">
        <f>IF(N503="BAM",1,IF(__Retrofit_TI_NC&gt;0,1,IF(AG503="",0,1)))</f>
        <v>0</v>
      </c>
      <c r="HG500" s="391"/>
      <c r="IA500" s="391"/>
      <c r="IB500" s="1693" t="b">
        <f>IF(OR(IB503=0,IB503=HY$16,IB503=HX$16,IB503=HZ$16),TRUE,FALSE)</f>
        <v>0</v>
      </c>
      <c r="IC500" s="1694" t="b">
        <f>IB500</f>
        <v>0</v>
      </c>
      <c r="ID500" s="391"/>
      <c r="IE500" s="391"/>
      <c r="IF500" s="1688" t="b">
        <f ca="1">IF(MAX(GN503:HU503)&gt;5,FALSE,TRUE)</f>
        <v>0</v>
      </c>
      <c r="IG500" s="1689">
        <f ca="1">IF(IF500=TRUE,AC500,0)</f>
        <v>0</v>
      </c>
      <c r="IH500" s="1689">
        <f ca="1">IG500-IG502</f>
        <v>0</v>
      </c>
      <c r="IK500" s="1689" t="e">
        <f>ROUND(T501*VLOOKUP(U501,Fixtures_Existing_List,2,FALSE)*N501*R501/1000,0)</f>
        <v>#N/A</v>
      </c>
      <c r="IL500" s="1690" t="e">
        <f>IK500-IK502</f>
        <v>#N/A</v>
      </c>
      <c r="IM500" s="1693" t="e">
        <f>ROUND(IF(CQ500="Interior",N502*R502*R501*N501*_C406_reduction/1000,N502*R502*R501*N501/1000),0)</f>
        <v>#N/A</v>
      </c>
      <c r="IN500" s="1693" t="e">
        <f>IM500-IM502</f>
        <v>#N/A</v>
      </c>
      <c r="IP500" s="1679"/>
      <c r="IQ500" s="1679" t="e">
        <f t="shared" ref="IQ500:IU500" si="451">IF($CR500="interior",VLOOKUP($CS500,_New_Control_Savings_Interior,IQ$30,FALSE),VLOOKUP($CS500,Control_Savings_Exterior,IQ$30,FALSE))</f>
        <v>#N/A</v>
      </c>
      <c r="IR500" s="1679" t="e">
        <f t="shared" si="451"/>
        <v>#N/A</v>
      </c>
      <c r="IS500" s="1679" t="e">
        <f t="shared" si="451"/>
        <v>#N/A</v>
      </c>
      <c r="IT500" s="1679" t="e">
        <f t="shared" si="451"/>
        <v>#N/A</v>
      </c>
      <c r="IU500" s="1679" t="e">
        <f t="shared" si="451"/>
        <v>#N/A</v>
      </c>
      <c r="IV500" s="1679" t="e">
        <f>IF($CR500="interior",IF(R501&gt;$IP$14,ROUND(($IV$18*($IP$14/R501)),2),$IV$18),VLOOKUP($CS500,Control_Savings_Exterior,IV$30,FALSE))</f>
        <v>#N/A</v>
      </c>
      <c r="IW500" s="1679" t="e">
        <f>IF($CR500="interior",ROUND(((1-IS500)*IV500)+IS500,2),VLOOKUP($CS500,Control_Savings_Exterior,IW$30,FALSE))</f>
        <v>#N/A</v>
      </c>
      <c r="IX500" s="1679" t="e">
        <f>IF($CR500="interior",ROUND(((1-IT500)*IV500)+IT500,2),VLOOKUP($CS500,Control_Savings_Exterior,IX$30,FALSE))</f>
        <v>#N/A</v>
      </c>
      <c r="IY500" s="1679" t="e">
        <f>IF($CR500="interior",IF(R501&gt;$IP$14,ROUND(($IY$18*($IP$14/R501)),2),$IY$18),VLOOKUP($CS500,Control_Savings_Exterior,IY$30,FALSE))</f>
        <v>#N/A</v>
      </c>
      <c r="IZ500" s="1679" t="e">
        <f>IF($CR500="interior",ROUND(((1-IS500)*IY500)+IS500,2),VLOOKUP($CS500,Control_Savings_Exterior,IZ$30,FALSE))</f>
        <v>#N/A</v>
      </c>
      <c r="JA500" s="1679" t="e">
        <f>IF($CR500="interior",ROUND(((1-IT500)*IY500)+IT500,2),VLOOKUP($CS500,Control_Savings_Exterior,JA$30,FALSE))</f>
        <v>#N/A</v>
      </c>
      <c r="JC500" s="1680">
        <f>IFERROR(IF(CR500="Interior",CONCATENATE(G503," ",FQ500),FQ500),"")</f>
        <v>0</v>
      </c>
      <c r="JD500" s="1670" t="str">
        <f>IFERROR(VLOOKUP(JC500,_Controls_2023,2,FALSE),"")</f>
        <v/>
      </c>
      <c r="JE500" s="1681">
        <f>IFERROR(CHOOSE(JD500-1,IQ500,IR500,IS500,IT500,IU500,IV500,IW500,IX500,IY500,IZ500,JA500),0)</f>
        <v>0</v>
      </c>
      <c r="JG500" s="1680" t="str">
        <f>FE500</f>
        <v xml:space="preserve"> - 0</v>
      </c>
      <c r="JH500" s="1670" t="e">
        <f>$FO500</f>
        <v>#N/A</v>
      </c>
      <c r="JI500" s="1060"/>
      <c r="JJ500" s="1682" t="b">
        <f>IF($JG502=CONCATENATE("Interior - ",JJ$4),TRUE,FALSE)</f>
        <v>0</v>
      </c>
      <c r="JK500" s="1061"/>
      <c r="JL500" s="1682" t="b">
        <f>IF($JG502=CONCATENATE("Interior - ",JL$4),TRUE,FALSE)</f>
        <v>0</v>
      </c>
      <c r="JM500" s="1061"/>
      <c r="JN500" s="1682" t="b">
        <f>IF($JG502=CONCATENATE("Interior - ",JN$4),TRUE,FALSE)</f>
        <v>0</v>
      </c>
      <c r="JO500" s="1061"/>
      <c r="JP500" s="1682" t="b">
        <f>IF(__Retrofit_TI_NC&gt;0,FALSE,IF($JG502=CONCATENATE("Interior - ",JP$4),TRUE,FALSE))</f>
        <v>0</v>
      </c>
      <c r="JQ500" s="1061"/>
      <c r="JR500" s="1682" t="b">
        <f>IF(__Retrofit_TI_NC&gt;0,FALSE,IF($JG502=CONCATENATE("Interior - ",JR$4),TRUE,FALSE))</f>
        <v>0</v>
      </c>
      <c r="JS500" s="1061"/>
      <c r="JT500" s="1670" t="b">
        <f>IF(__Retrofit_TI_NC&gt;0,FALSE,IF($JG502=CONCATENATE("Interior - ",JT$4),TRUE,FALSE))</f>
        <v>0</v>
      </c>
      <c r="JU500" s="1061"/>
      <c r="JV500" s="1670" t="b">
        <f>IF(JC502="AELC on Existing",TRUE,FALSE)</f>
        <v>0</v>
      </c>
      <c r="JX500" s="1670" t="b">
        <f>IF(OR(JG502="Exterior - AELC Occupancy based",JG502="Exterior - AELC Time based"),TRUE,FALSE)</f>
        <v>0</v>
      </c>
      <c r="JZ500" s="1682" t="b">
        <f>IF($JG502=CONCATENATE("Exterior - ",JZ$4),TRUE,FALSE)</f>
        <v>0</v>
      </c>
      <c r="KB500" s="1670" t="b">
        <f>IF(__Retrofit_TI_NC&gt;0,FALSE,IF($JG502=CONCATENATE("Interior - ",KB$4),TRUE,FALSE))</f>
        <v>0</v>
      </c>
    </row>
    <row r="501" spans="1:288" s="78" customFormat="1" ht="14.95" customHeight="1" thickTop="1" thickBot="1">
      <c r="B501" s="1845"/>
      <c r="C501" s="1846"/>
      <c r="D501" s="1847"/>
      <c r="E501" s="1737" t="s">
        <v>297</v>
      </c>
      <c r="F501" s="1738"/>
      <c r="G501" s="1739"/>
      <c r="H501" s="1739"/>
      <c r="I501" s="1739"/>
      <c r="J501" s="1739"/>
      <c r="K501" s="1739"/>
      <c r="L501" s="1739"/>
      <c r="M501" s="461" t="e">
        <f>IF(__Retrofit_TI_NC&lt;&gt;0,IF(VLOOKUP(G502,'Space Table'!$B$3:$L$163,3,FALSE)&gt;0,1,0),IF(__Retrofit_TI_NC=VLOOKUP(G502,'Space Table'!$B$3:$L$163,3,FALSE),1,0))</f>
        <v>#N/A</v>
      </c>
      <c r="N501" s="461" t="str">
        <f>IFERROR(VLOOKUP(G501,_Lookup_Heat_Type_Table_New,2,FALSE),"")</f>
        <v/>
      </c>
      <c r="O501" s="461">
        <f>IF(__Retrofit_TI_NC=1,CONCATENATE("TI ",G501),IF(__Retrofit_TI_NC=2,CONCATENATE("NC ",G501),G501))</f>
        <v>0</v>
      </c>
      <c r="P501" s="1740" t="s">
        <v>435</v>
      </c>
      <c r="Q501" s="1740"/>
      <c r="R501" s="595"/>
      <c r="S501" s="1792"/>
      <c r="T501" s="597"/>
      <c r="U501" s="1765"/>
      <c r="V501" s="1766"/>
      <c r="W501" s="1766"/>
      <c r="X501" s="1766"/>
      <c r="Y501" s="1766"/>
      <c r="Z501" s="1766"/>
      <c r="AA501" s="1766"/>
      <c r="AB501" s="1766"/>
      <c r="AC501" s="1766"/>
      <c r="AD501" s="1767"/>
      <c r="AE501" s="1000"/>
      <c r="AF501" s="597"/>
      <c r="AG501" s="1723"/>
      <c r="AH501" s="1724"/>
      <c r="AI501" s="1724"/>
      <c r="AJ501" s="1724"/>
      <c r="AK501" s="1725"/>
      <c r="AL501" s="996"/>
      <c r="AM501" s="1747"/>
      <c r="AN501" s="1775"/>
      <c r="AO501" s="1777"/>
      <c r="AP501" s="1780"/>
      <c r="AQ501" s="1781"/>
      <c r="AR501" s="1795"/>
      <c r="AS501" s="1795"/>
      <c r="AT501" s="1796"/>
      <c r="AU501" s="1735"/>
      <c r="AV501" s="1752"/>
      <c r="AW501" s="1705"/>
      <c r="AX501" s="467"/>
      <c r="AY501" s="1749"/>
      <c r="AZ501" s="1749"/>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696"/>
      <c r="CQ501" s="1696"/>
      <c r="CR501" s="1809"/>
      <c r="CS501" s="1811"/>
      <c r="CU501" s="1688"/>
      <c r="CV501" s="1703"/>
      <c r="CW501" s="1703"/>
      <c r="CX501" s="1703"/>
      <c r="CY501" s="1815"/>
      <c r="CZ501" s="1711"/>
      <c r="DA501" s="1818"/>
      <c r="DB501" s="1820"/>
      <c r="DC501" s="1820"/>
      <c r="DD501" s="1820"/>
      <c r="DF501" s="1703"/>
      <c r="DG501" s="1831"/>
      <c r="DH501" s="1703"/>
      <c r="DI501" s="1838"/>
      <c r="DJ501" s="1711"/>
      <c r="DK501" s="1712"/>
      <c r="DM501" s="1718"/>
      <c r="DO501" s="1708"/>
      <c r="DQ501" s="1715"/>
      <c r="DR501" s="1720"/>
      <c r="DS501" s="1816"/>
      <c r="DT501" s="1714"/>
      <c r="DU501" s="1715"/>
      <c r="DV501" s="1716"/>
      <c r="DX501" s="1715"/>
      <c r="DY501" s="1720"/>
      <c r="DZ501" s="1715"/>
      <c r="EA501" s="1715"/>
      <c r="EC501" s="1834"/>
      <c r="ED501" s="1834"/>
      <c r="EF501" s="1707"/>
      <c r="EG501" s="1712"/>
      <c r="EH501" s="1818"/>
      <c r="EI501" s="1712"/>
      <c r="EJ501" s="1712"/>
      <c r="EK501" s="1836"/>
      <c r="EL501" s="1836"/>
      <c r="EM501" s="1807"/>
      <c r="EN501" s="1839"/>
      <c r="EO501" s="1839"/>
      <c r="EP501" s="1817"/>
      <c r="EQ501" s="1817"/>
      <c r="ER501" s="1807"/>
      <c r="ES501" s="1807"/>
      <c r="ET501" s="1807"/>
      <c r="EV501" s="1715"/>
      <c r="EX501" s="1805"/>
      <c r="EY501" s="1805"/>
      <c r="EZ501" s="1805"/>
      <c r="FA501" s="1805"/>
      <c r="FB501" s="1805"/>
      <c r="FC501" s="1827"/>
      <c r="FE501" s="1698"/>
      <c r="FG501" s="1816"/>
      <c r="FH501" s="1816"/>
      <c r="FI501" s="133"/>
      <c r="FL501" s="1823"/>
      <c r="FM501" s="1825"/>
      <c r="FN501" s="1698"/>
      <c r="FO501" s="1698"/>
      <c r="FP501" s="1678"/>
      <c r="FQ501" s="1678"/>
      <c r="FS501" s="1687"/>
      <c r="FT501" s="1687"/>
      <c r="FU501" s="1685"/>
      <c r="FV501" s="1687"/>
      <c r="FW501" s="1687"/>
      <c r="FX501" s="1687"/>
      <c r="FY501" s="1697"/>
      <c r="GA501" s="1696"/>
      <c r="GB501" s="1696"/>
      <c r="GC501" s="1696"/>
      <c r="GD501" s="1696"/>
      <c r="GE501" s="1696"/>
      <c r="GF501" s="1696"/>
      <c r="GG501" s="1696"/>
      <c r="GH501" s="1696"/>
      <c r="GI501" s="673"/>
      <c r="GJ501" s="1135"/>
      <c r="GK501" s="1832"/>
      <c r="GM501" s="1693" t="b">
        <f ca="1">IF(AND(GP501=TRUE,GQ501=TRUE),TRUE,FALSE)</f>
        <v>0</v>
      </c>
      <c r="GN501" s="1684" t="b">
        <f>IFERROR(IF(__Retrofit_TI_NC=2,TRUE,IF(AU500="Yes",TRUE,FALSE)),FALSE)</f>
        <v>1</v>
      </c>
      <c r="GP501" s="1684" t="b">
        <f>IFERROR(IF(GP500=1,TRUE,FALSE),FALSE)</f>
        <v>0</v>
      </c>
      <c r="GQ501" s="1684" t="b">
        <f ca="1">IFERROR(IF(GQ500=GQ$14,TRUE,FALSE),FALSE)</f>
        <v>0</v>
      </c>
      <c r="HG501" s="1684" t="b">
        <f>IFERROR(IF(AND(__Retrofit_TI_NC&gt;0,CQ500="Interior"),FALSE,TRUE),FALSE)</f>
        <v>1</v>
      </c>
      <c r="HH501" s="1684" t="b">
        <f>IFERROR(IF(M501=1,TRUE,FALSE),FALSE)</f>
        <v>0</v>
      </c>
      <c r="HI501" s="1684" t="b">
        <f>IFERROR(IF(OR(M502=1,N503="BAM"),TRUE,FALSE),FALSE)</f>
        <v>0</v>
      </c>
      <c r="HJ501" s="1684" t="b">
        <f>IFERROR(IF(__Retrofit_TI_NC&lt;&gt;0,TRUE,IFERROR(IF(VLOOKUP(U501,Fixtures_Existing_List,2,FALSE)&lt;&gt;"",TRUE,FALSE),FALSE)),FALSE)</f>
        <v>0</v>
      </c>
      <c r="HK501" s="1684" t="b">
        <f>IFERROR(IF(VLOOKUP(U502,Fixtures_Proposed_List,2,FALSE)&lt;&gt;"",TRUE,FALSE),FALSE)</f>
        <v>0</v>
      </c>
      <c r="HL501" s="1684" t="b">
        <f>IF(AND(__Retrofit_TI_NC=2,FC500=TRUE),FALSE,TRUE)</f>
        <v>1</v>
      </c>
      <c r="HM501" s="1684" t="b">
        <f>GK500</f>
        <v>1</v>
      </c>
      <c r="HN501" s="1682" t="b">
        <f>IF(ISERROR(MATCH(FE500,_Control_Match[],0))=TRUE,FALSE,TRUE)</f>
        <v>0</v>
      </c>
      <c r="HO501" s="1693" t="b">
        <f>IFERROR(IF(EX500&lt;&gt;EY500,FALSE,TRUE),FALSE)</f>
        <v>1</v>
      </c>
      <c r="HP501" s="1693" t="b">
        <f>IFERROR(IF(EX502&lt;&gt;EY502,FALSE,TRUE),FALSE)</f>
        <v>1</v>
      </c>
      <c r="HQ501" s="1670" t="b">
        <f>IFERROR(IF(CQ500="Exterior",TRUE,IF(AND(OR(FM502=0,FM502=3),JD502&gt;6),FALSE,TRUE)),FALSE)</f>
        <v>0</v>
      </c>
      <c r="HR501" s="1684" t="b">
        <f>IFERROR(IF(AND(FO502=7,FC500=TRUE),FALSE,TRUE),FALSE)</f>
        <v>0</v>
      </c>
      <c r="HS501" s="1684" t="b">
        <f>IFERROR(IF(AND(T502&lt;&gt;AF502,OR(AG502="Interior LLLC", AG502="Interior NLC", AG502="LLLC (outside Daylight)",AG502="LLLC Controls Only"))=TRUE,FALSE,TRUE),FALSE)</f>
        <v>1</v>
      </c>
      <c r="HT501" s="1670" t="b">
        <f>IFERROR(IF(OR(AG502=Lookup!BB$17,AG502=Lookup!BB$18,AG502=Lookup!BB$19)=TRUE,IF(AF502&gt;T502,FALSE,TRUE),TRUE),FALSE)</f>
        <v>1</v>
      </c>
      <c r="HU501" s="1684" t="b">
        <f>IFERROR(IF(__Retrofit_TI_NC=2,IF(EZ502&lt;EZ500,FALSE,TRUE),TRUE),FALSE)</f>
        <v>1</v>
      </c>
      <c r="HV501" s="1684" t="b">
        <f>IF(CQ500="Interior",IL$6,TRUE)</f>
        <v>1</v>
      </c>
      <c r="HW501" s="1684" t="b">
        <f>IF(CQ500="Exterior",IL$8,TRUE)</f>
        <v>1</v>
      </c>
      <c r="HX501" s="1684" t="b">
        <f>IFERROR(IF(__Retrofit_TI_NC&lt;&gt;0,IF(AZ500&lt;AY500,FALSE,TRUE),TRUE),FALSE)</f>
        <v>1</v>
      </c>
      <c r="HY501" s="1684" t="b">
        <f>IFERROR(IF(AND(G501="Exterior",R501&gt;4200),FALSE,TRUE),FALSE)</f>
        <v>1</v>
      </c>
      <c r="HZ501" s="1684" t="b">
        <f>IFERROR(IF(AB503/AB500&lt;HZ$18,FALSE,TRUE),FALSE)</f>
        <v>0</v>
      </c>
      <c r="IB501" s="1691"/>
      <c r="IC501" s="1695"/>
      <c r="ID501" s="1694" t="str">
        <f>VLOOKUP(IB503,_Error_Table,4,FALSE)</f>
        <v>White</v>
      </c>
      <c r="IE501" s="391"/>
      <c r="IF501" s="1688"/>
      <c r="IG501" s="1689"/>
      <c r="IH501" s="1684"/>
      <c r="IK501" s="1689"/>
      <c r="IL501" s="1691"/>
      <c r="IM501" s="1691"/>
      <c r="IN501" s="1691"/>
      <c r="IP501" s="1679"/>
      <c r="IQ501" s="1679"/>
      <c r="IR501" s="1679"/>
      <c r="IS501" s="1679"/>
      <c r="IT501" s="1679"/>
      <c r="IU501" s="1679"/>
      <c r="IV501" s="1679"/>
      <c r="IW501" s="1679"/>
      <c r="IX501" s="1679"/>
      <c r="IY501" s="1679"/>
      <c r="IZ501" s="1679"/>
      <c r="JA501" s="1679"/>
      <c r="JC501" s="1680"/>
      <c r="JD501" s="1670"/>
      <c r="JE501" s="1681"/>
      <c r="JG501" s="1680"/>
      <c r="JH501" s="1670"/>
      <c r="JI501" s="1060"/>
      <c r="JJ501" s="1683"/>
      <c r="JK501" s="1061"/>
      <c r="JL501" s="1683"/>
      <c r="JM501" s="1061"/>
      <c r="JN501" s="1683"/>
      <c r="JO501" s="1061"/>
      <c r="JP501" s="1683"/>
      <c r="JQ501" s="1061"/>
      <c r="JR501" s="1683"/>
      <c r="JS501" s="1061"/>
      <c r="JT501" s="1670"/>
      <c r="JU501" s="1061"/>
      <c r="JV501" s="1670"/>
      <c r="JX501" s="1670"/>
      <c r="JZ501" s="1683"/>
      <c r="KB501" s="1670"/>
    </row>
    <row r="502" spans="1:288" s="78" customFormat="1" ht="14.95" customHeight="1" thickTop="1" thickBot="1">
      <c r="A502" s="78">
        <f>ROW()</f>
        <v>502</v>
      </c>
      <c r="B502" s="1845"/>
      <c r="C502" s="1846"/>
      <c r="D502" s="1847"/>
      <c r="E502" s="1737" t="s">
        <v>298</v>
      </c>
      <c r="F502" s="1738"/>
      <c r="G502" s="1760"/>
      <c r="H502" s="1761"/>
      <c r="I502" s="1761"/>
      <c r="J502" s="1761"/>
      <c r="K502" s="1761"/>
      <c r="L502" s="1762"/>
      <c r="M502" s="461">
        <f>IFERROR(IF(IF(__Retrofit_TI_NC&lt;&gt;0,IF(CQ500="Interior",MATCH(G502,Lookup_Interior_New,0),MATCH(G502,Lookup_Exterior_New,0)),IF(CQ500="Interior",MATCH(G502,Lookup_Interior,0),MATCH(G502,Lookup_Exterior_Areas,0)))&gt;0,1,0),0)</f>
        <v>0</v>
      </c>
      <c r="N502" s="461" t="e">
        <f>IF(__Retrofit_TI_NC=1,
VLOOKUP(G502,'Space Table'!$B$3:$L$163,4,FALSE),
IF(__Retrofit_TI_NC=2,VLOOKUP(G502,'Space Table'!$B$3:$L$163,5,FALSE),VLOOKUP(G502,'Space Table'!$B$3:$L$163,5,FALSE)))</f>
        <v>#N/A</v>
      </c>
      <c r="O502" s="461">
        <f>G502</f>
        <v>0</v>
      </c>
      <c r="P502" s="1738" t="str">
        <f>IFERROR(IF(__Retrofit_TI_NC=1,VLOOKUP(G502,'Space Table'!$B$3:$O$163,13,FALSE),IF(__Retrofit_TI_NC=2,VLOOKUP(G502,'Space Table'!$B$3:$O$163,14,FALSE),"Area (sf):")),"Area (sf):")</f>
        <v>Area (sf):</v>
      </c>
      <c r="Q502" s="1738"/>
      <c r="R502" s="596"/>
      <c r="S502" s="1763" t="s">
        <v>345</v>
      </c>
      <c r="T502" s="594"/>
      <c r="U502" s="1801"/>
      <c r="V502" s="1802"/>
      <c r="W502" s="1802"/>
      <c r="X502" s="1802"/>
      <c r="Y502" s="1802"/>
      <c r="Z502" s="1802"/>
      <c r="AA502" s="1802"/>
      <c r="AB502" s="1802"/>
      <c r="AC502" s="1802"/>
      <c r="AD502" s="1802"/>
      <c r="AE502" s="1803"/>
      <c r="AF502" s="594"/>
      <c r="AG502" s="1787"/>
      <c r="AH502" s="1787"/>
      <c r="AI502" s="1787"/>
      <c r="AJ502" s="1787"/>
      <c r="AK502" s="1787"/>
      <c r="AL502" s="1787"/>
      <c r="AM502" s="1726">
        <f>IFERROR(DI502,"")</f>
        <v>0</v>
      </c>
      <c r="AN502" s="1728" t="str">
        <f>IFERROR(ROUND(AM502*AC503,0),"")</f>
        <v/>
      </c>
      <c r="AO502" s="1730">
        <f>IFERROR(IF(IB500=FALSE,0,AC503-AN502),0)</f>
        <v>0</v>
      </c>
      <c r="AP502" s="1780"/>
      <c r="AQ502" s="1781"/>
      <c r="AR502" s="1795"/>
      <c r="AS502" s="1795"/>
      <c r="AT502" s="1796"/>
      <c r="AU502" s="1735"/>
      <c r="AV502" s="1752"/>
      <c r="AW502" s="1705"/>
      <c r="AX502" s="467"/>
      <c r="AY502" s="1749"/>
      <c r="AZ502" s="1749"/>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696"/>
      <c r="CQ502" s="1696"/>
      <c r="CR502" s="1808" t="str">
        <f>CQ500</f>
        <v/>
      </c>
      <c r="CS502" s="1810" t="str">
        <f>CS500</f>
        <v/>
      </c>
      <c r="CU502" s="1688" t="s">
        <v>345</v>
      </c>
      <c r="CV502" s="1702">
        <f>IF(IB500=TRUE,T502,0)</f>
        <v>0</v>
      </c>
      <c r="CW502" s="1702" t="str">
        <f>IF(IB500=TRUE,U502,"")</f>
        <v/>
      </c>
      <c r="CX502" s="1812">
        <f>IF(IB500=TRUE,U503,0)</f>
        <v>0</v>
      </c>
      <c r="CY502" s="1814">
        <f>IF(IB500=TRUE,AB503,0)</f>
        <v>0</v>
      </c>
      <c r="CZ502" s="1710">
        <f>IF(AND(__Retrofit_TI_NC&gt;0,CR500="interior"),0,IF(IB500=TRUE,AC503,0))</f>
        <v>0</v>
      </c>
      <c r="DA502" s="1818"/>
      <c r="DB502" s="1820"/>
      <c r="DC502" s="1820"/>
      <c r="DD502" s="1820"/>
      <c r="DF502" s="1702">
        <f>IF(IB500=TRUE,AF502,0)</f>
        <v>0</v>
      </c>
      <c r="DG502" s="1830" t="str">
        <f>IF(IB500=TRUE,AG502,"")</f>
        <v/>
      </c>
      <c r="DH502" s="1812">
        <f>AG503</f>
        <v>0</v>
      </c>
      <c r="DI502" s="1837">
        <f>JE502</f>
        <v>0</v>
      </c>
      <c r="DJ502" s="1710">
        <f>IF(AND(__Retrofit_TI_NC&gt;0,CR500="interior"),0,IF(IB500=TRUE,AN502,0))</f>
        <v>0</v>
      </c>
      <c r="DK502" s="1712"/>
      <c r="DN502" s="1717">
        <f>IFERROR(CZ502-DJ502,0)</f>
        <v>0</v>
      </c>
      <c r="DO502" s="1709"/>
      <c r="DQ502" s="1715"/>
      <c r="DR502" s="1719" t="str">
        <f>DQ500</f>
        <v/>
      </c>
      <c r="DS502" s="1816"/>
      <c r="DT502" s="1835" t="str">
        <f>IF(OR(DS500=7,DS500=8,DS500=9),"ALC","")</f>
        <v/>
      </c>
      <c r="DU502" s="1715"/>
      <c r="DV502" s="1716"/>
      <c r="DX502" s="1715"/>
      <c r="DY502" s="1829" t="str">
        <f>DX500</f>
        <v/>
      </c>
      <c r="DZ502" s="1715"/>
      <c r="EA502" s="1715"/>
      <c r="EC502" s="1834"/>
      <c r="ED502" s="1834"/>
      <c r="EF502" s="1707"/>
      <c r="EG502" s="1712"/>
      <c r="EH502" s="1818"/>
      <c r="EI502" s="1712"/>
      <c r="EJ502" s="1712"/>
      <c r="EK502" s="1836"/>
      <c r="EL502" s="1836"/>
      <c r="EM502" s="1807"/>
      <c r="EN502" s="1839"/>
      <c r="EO502" s="1839"/>
      <c r="EP502" s="1817"/>
      <c r="EQ502" s="1817"/>
      <c r="ER502" s="1807"/>
      <c r="ES502" s="1807"/>
      <c r="ET502" s="1807"/>
      <c r="EV502" s="1715"/>
      <c r="EX502" s="1805" t="str">
        <f>IFERROR(VLOOKUP(CS502,'Space Table'!$B$3:$L$163,8,FALSE),"")</f>
        <v/>
      </c>
      <c r="EY502" s="1805" t="str">
        <f>IFERROR(IF(FB502="Yes",VLOOKUP(AG502,Lookup_Control_Type_Table2,4,FALSE),VLOOKUP(AG502,Lookup_Control_Type_Table2,3,FALSE)),"")</f>
        <v/>
      </c>
      <c r="EZ502" s="1805" t="e">
        <f>VLOOKUP(AG502,Lookup!BB$3:BC$20,2,FALSE)</f>
        <v>#N/A</v>
      </c>
      <c r="FA502" s="1805" t="e">
        <f>VLOOKUP(EX500,Lookup_Control_Type_Table,2,FALSE)</f>
        <v>#N/A</v>
      </c>
      <c r="FB502" s="1805" t="e">
        <f>VLOOKUP(CS502,'Space Table'!$B$3:$L$163,7,FALSE)</f>
        <v>#N/A</v>
      </c>
      <c r="FC502" s="1827"/>
      <c r="FE502" s="1698" t="str">
        <f>CONCATENATE(CQ500," - ",AG502)</f>
        <v xml:space="preserve"> - </v>
      </c>
      <c r="FG502" s="1816"/>
      <c r="FH502" s="1816"/>
      <c r="FI502" s="133"/>
      <c r="FL502" s="1822" t="str">
        <f>IF(CQ500="Exterior","Not Daylighted",G503)</f>
        <v>Not Daylighted</v>
      </c>
      <c r="FM502" s="1824">
        <f>VLOOKUP(FL502,_New_Daylight_Table_Codes,2,FALSE)</f>
        <v>0</v>
      </c>
      <c r="FN502" s="1698">
        <f>AG502</f>
        <v>0</v>
      </c>
      <c r="FO502" s="1698" t="e">
        <f>VLOOKUP(FN502,_Control_Table,2,FALSE)</f>
        <v>#N/A</v>
      </c>
      <c r="FP502" s="1678" t="e">
        <f>VLOOKUP(CONCATENATE(FL502," ",FN502),Lookup!AY$102:AZ513,2,FALSE)</f>
        <v>#N/A</v>
      </c>
      <c r="FQ502" s="1698">
        <f>IF(__Retrofit_TI_NC=0,FN502,IF(AND(FT502&gt;0,FN502="Occupancy Sensor"),"Daylight + Occupancy",IF(AND(FT502&gt;0,FO502&lt;4),"Interior Daylight Dimming",FN502)))</f>
        <v>0</v>
      </c>
      <c r="FS502" s="1686">
        <f>IF(CQ500="Interior",VLOOKUP(CS500,Control_Savings_Interior,5,FALSE),0)</f>
        <v>0</v>
      </c>
      <c r="FT502" s="1687">
        <f>IF(CQ502="Exterior",0,IF(FM502=2,0.5,IF(OR(FM502=1,FM502=3),1,0)))</f>
        <v>0</v>
      </c>
      <c r="FU502" s="1685">
        <f>IF(R501&gt;FS$44,(FS502*(FS$44/R501)),FS502)*FT502</f>
        <v>0</v>
      </c>
      <c r="FV502" s="1686">
        <f>DI502</f>
        <v>0</v>
      </c>
      <c r="FW502" s="1686">
        <f>ROUND(FV502+((1-FV502)*FU502),2)</f>
        <v>0</v>
      </c>
      <c r="FX502" s="1686">
        <f>IF(__Retrofit_TI_NC=2,FW502,FV502)</f>
        <v>0</v>
      </c>
      <c r="FY502" s="1697">
        <f>IF(CR502="Interior",VLOOKUP(CS502,Control_Savings_Interior,4,FALSE),0)</f>
        <v>0</v>
      </c>
      <c r="GA502" s="1696"/>
      <c r="GB502" s="1696"/>
      <c r="GC502" s="1696"/>
      <c r="GD502" s="1696"/>
      <c r="GE502" s="1696"/>
      <c r="GF502" s="1696"/>
      <c r="GG502" s="1696"/>
      <c r="GH502" s="1696"/>
      <c r="GI502" s="673" t="b">
        <f>IF(ISNUMBER(SEARCH("TLED",U502)),TRUE,FALSE)</f>
        <v>0</v>
      </c>
      <c r="GJ502" s="1135" t="str">
        <f>IFERROR(VLOOKUP(U502,Fixtures!DM$93:DR$142,6,FALSE),"")</f>
        <v/>
      </c>
      <c r="GK502" s="1832"/>
      <c r="GM502" s="1692"/>
      <c r="GN502" s="1684"/>
      <c r="GP502" s="1684"/>
      <c r="GQ502" s="1684"/>
      <c r="HG502" s="1684"/>
      <c r="HH502" s="1684"/>
      <c r="HI502" s="1684"/>
      <c r="HJ502" s="1684"/>
      <c r="HK502" s="1684"/>
      <c r="HL502" s="1684"/>
      <c r="HM502" s="1684"/>
      <c r="HN502" s="1683"/>
      <c r="HO502" s="1692"/>
      <c r="HP502" s="1692"/>
      <c r="HQ502" s="1670"/>
      <c r="HR502" s="1684"/>
      <c r="HS502" s="1684"/>
      <c r="HT502" s="1670"/>
      <c r="HU502" s="1684"/>
      <c r="HV502" s="1684"/>
      <c r="HW502" s="1684"/>
      <c r="HX502" s="1684"/>
      <c r="HY502" s="1684"/>
      <c r="HZ502" s="1684"/>
      <c r="IB502" s="1692"/>
      <c r="IC502" s="1693" t="b">
        <f>IB500</f>
        <v>0</v>
      </c>
      <c r="ID502" s="1695"/>
      <c r="IE502" s="391"/>
      <c r="IF502" s="1688"/>
      <c r="IG502" s="1689">
        <f ca="1">IF(IF500=TRUE,AC503,0)</f>
        <v>0</v>
      </c>
      <c r="IH502" s="1684"/>
      <c r="IK502" s="1689" t="e">
        <f>ROUND(T502*AB503*N501*R501/1000,0)</f>
        <v>#VALUE!</v>
      </c>
      <c r="IL502" s="1691"/>
      <c r="IM502" s="1693" t="e">
        <f>ROUND(T502*AB503*N501*R501/1000,0)</f>
        <v>#VALUE!</v>
      </c>
      <c r="IN502" s="1691"/>
      <c r="IP502" s="1679"/>
      <c r="IQ502" s="1679" t="e">
        <f t="shared" ref="IQ502:IU502" si="452">IF($CR502="interior",VLOOKUP($CS502,_New_Control_Savings_Interior,IQ$30,FALSE),VLOOKUP($CS502,Control_Savings_Exterior,IQ$30,FALSE))</f>
        <v>#N/A</v>
      </c>
      <c r="IR502" s="1679" t="e">
        <f t="shared" si="452"/>
        <v>#N/A</v>
      </c>
      <c r="IS502" s="1679" t="e">
        <f t="shared" si="452"/>
        <v>#N/A</v>
      </c>
      <c r="IT502" s="1679" t="e">
        <f t="shared" si="452"/>
        <v>#N/A</v>
      </c>
      <c r="IU502" s="1679" t="e">
        <f t="shared" si="452"/>
        <v>#N/A</v>
      </c>
      <c r="IV502" s="1679" t="e">
        <f>IF($CR502="interior",IF(R501&gt;$IP$14,ROUND(($IV$18*($IP$14/R501)),2),$IV$18),VLOOKUP($CS502,Control_Savings_Exterior,IV$30,FALSE))</f>
        <v>#N/A</v>
      </c>
      <c r="IW502" s="1679" t="e">
        <f>IF($CR502="interior",ROUND(((1-IS502)*IV502)+IS502,2),VLOOKUP($CS502,Control_Savings_Exterior,IW$30,FALSE))</f>
        <v>#N/A</v>
      </c>
      <c r="IX502" s="1679" t="e">
        <f>IF($CR502="interior",ROUND(((1-IT502)*IV502)+IT502,2),VLOOKUP($CS502,Control_Savings_Exterior,IX$30,FALSE))</f>
        <v>#N/A</v>
      </c>
      <c r="IY502" s="1679" t="e">
        <f>IF($CR502="interior",IF(R501&gt;$IP$14,ROUND(($IY$18*($IP$14/R501)),2),$IY$18),VLOOKUP($CS502,Control_Savings_Exterior,IY$30,FALSE))</f>
        <v>#N/A</v>
      </c>
      <c r="IZ502" s="1679" t="e">
        <f>IF($CR502="interior",ROUND(((1-IS502)*IY502)+IS502,2),VLOOKUP($CS502,Control_Savings_Exterior,IZ$30,FALSE))</f>
        <v>#N/A</v>
      </c>
      <c r="JA502" s="1679" t="e">
        <f>IF($CR502="interior",ROUND(((1-IT502)*IY502)+IT502,2),VLOOKUP($CS502,Control_Savings_Exterior,JA$30,FALSE))</f>
        <v>#N/A</v>
      </c>
      <c r="JC502" s="1680">
        <f>IFERROR(IF(CR502="Interior",CONCATENATE(G503," ",FQ502),AG502),"")</f>
        <v>0</v>
      </c>
      <c r="JD502" s="1670" t="str">
        <f>IFERROR(VLOOKUP(JC502,_Controls_2023,2,FALSE),"")</f>
        <v/>
      </c>
      <c r="JE502" s="1681">
        <f>IFERROR(CHOOSE(JD502-1,IQ502,IR502,IS502,IT502,IU502,IV502,IW502,IX502,IY502,IZ502,JA502),0)</f>
        <v>0</v>
      </c>
      <c r="JG502" s="1680" t="str">
        <f>FE502</f>
        <v xml:space="preserve"> - </v>
      </c>
      <c r="JH502" s="1670" t="e">
        <f>$FO502</f>
        <v>#N/A</v>
      </c>
      <c r="JI502" s="1060"/>
      <c r="JJ502" s="1670">
        <f>IFERROR(IF($IB500=TRUE,IF(OR(JJ$14="No",JJ500=FALSE,JH502&lt;=JH500,AND(_kWh_Grant=0,GD500=FALSE)),0,IF(JJ$8="Per Line",1,$AF502)),0),0)</f>
        <v>0</v>
      </c>
      <c r="JK502" s="1061"/>
      <c r="JL502" s="1670">
        <f>IFERROR(IF(_kWh_Grant=0,0,IF($IB500=TRUE,IF(OR(JL$14="No",JL500=FALSE,JH502&lt;=JH500),0,IF(JL$8="Per Line",1,$T502)),0)),0)</f>
        <v>0</v>
      </c>
      <c r="JM502" s="1061"/>
      <c r="JN502" s="1670">
        <f>IFERROR(IF(_kWh_Grant=0,0,IF($IB500=TRUE,IF(OR(JN$14="No",JN500=FALSE,JH502&lt;=JH500),0,IF(JN$8="Per Line",1,$AF502)),0)),0)</f>
        <v>0</v>
      </c>
      <c r="JO502" s="1061"/>
      <c r="JP502" s="1670">
        <f>IFERROR(IF(__Retrofit_TI_NC=0,IF(_kWh_Grant=0,0,IF($IB500=TRUE,IF(OR(JP$14="No",JP500=FALSE,$JH502&lt;=$JH500),0,IF(JP$8="Per Line",1,$AF502)),0)),IF($IB500=TRUE,IF(OR(JP$14="No",JP500=FALSE,$JH502&lt;=$JH500),0,IF(JP$8="Per Line",1,$AF502)))),0)</f>
        <v>0</v>
      </c>
      <c r="JQ502" s="1061"/>
      <c r="JR502" s="1670">
        <f>IFERROR(IF(__Retrofit_TI_NC=0,IF(_kWh_Grant=0,0,IF($IB500=TRUE,IF(OR(JR$14="No",JR500=FALSE,$JH502&lt;=$JH500),0,IF(JR$8="Per Line",1,$AF502)),0)),IF($IB500=TRUE,IF(OR(JR$14="No",JR500=FALSE,$JH502&lt;=$JH500),0,IF(JR$8="Per Line",1,$AF502)))),0)</f>
        <v>0</v>
      </c>
      <c r="JS502" s="1061"/>
      <c r="JT502" s="1670">
        <f>IFERROR(IF(__Retrofit_TI_NC=0,IF(_kWh_Grant=0,0,IF($IB500=TRUE,IF(OR(JT$14="No",JT500=FALSE,$JH502&lt;=$JH500),0,IF(JT$8="Per Line",1,$AF502)),0)),IF($IB500=TRUE,IF(OR(JT$14="No",JT500=FALSE,$JH502&lt;=$JH500),0,IF(JT$8="Per Line",1,$AF502)))),0)</f>
        <v>0</v>
      </c>
      <c r="JU502" s="1061"/>
      <c r="JV502" s="1670">
        <f>IFERROR(IF(__Retrofit_TI_NC=0,IF(_kWh_Grant=0,0,IF($IB500=TRUE,IF(OR(JV$14="No",JV500=FALSE,$JH502&lt;=$JH500),0,IF(JV$8="Per Line",1,$AF502)),0)),IF($IB500=TRUE,IF(OR(JV$14="No",JV500=FALSE,$JH502&lt;=$JH500),0,IF(JV$8="Per Line",1,$AF502)))),0)</f>
        <v>0</v>
      </c>
      <c r="JX502" s="1670">
        <f>IFERROR(IF(__Retrofit_TI_NC=0,IF(_kWh_Grant=0,0,IF($IB500=TRUE,IF(OR(JX$14="No",JX500=FALSE,$JH502&lt;=$JH500),0,IF(JX$8="Per Line",1,$AF502)),0)),IF($IB500=TRUE,IF(OR(JX$14="No",JX500=FALSE,$JH502&lt;=$JH500),0,IF(JX$8="Per Line",1,$AF502)))),0)</f>
        <v>0</v>
      </c>
      <c r="JZ502" s="1670">
        <f>IFERROR(IF($IB500=TRUE,IF(OR(JZ$14="No",JZ500=FALSE,$JH502&lt;=$JH500,AND(_kWh_Grant=0,$GD500=FALSE)),0,IF(JZ$8="Per Line",1,$AF502)),0),0)</f>
        <v>0</v>
      </c>
      <c r="KB502" s="1670">
        <f>IFERROR(IF(__Retrofit_TI_NC=0,IF(_kWh_Grant=0,0,IF($IB500=TRUE,IF(OR(KB$14="No",KB500=FALSE,$JH502&lt;=$JH500),0,IF(KB$8="Per Line",1,$AF502)),0)),IF($IB500=TRUE,IF(OR(KB$14="No",KB500=FALSE,$JH502&lt;=$JH500),0,IF(KB$8="Per Line",1,$AF502)))),0)</f>
        <v>0</v>
      </c>
    </row>
    <row r="503" spans="1:288" s="78" customFormat="1" ht="14.95" customHeight="1" thickTop="1" thickBot="1">
      <c r="B503" s="1845"/>
      <c r="C503" s="1846"/>
      <c r="D503" s="1847"/>
      <c r="E503" s="1771" t="s">
        <v>436</v>
      </c>
      <c r="F503" s="1772"/>
      <c r="G503" s="1784" t="s">
        <v>437</v>
      </c>
      <c r="H503" s="1785"/>
      <c r="I503" s="1785"/>
      <c r="J503" s="1785"/>
      <c r="K503" s="1785"/>
      <c r="L503" s="1786"/>
      <c r="M503" s="591">
        <f>IFERROR(VLOOKUP(G503,_Daylight_Table[],2,FALSE),0)</f>
        <v>0</v>
      </c>
      <c r="N503" s="592" t="str">
        <f>IF(AND(__Retrofit_TI_NC&gt;0,CQ500="Interior"),"BAM","")</f>
        <v/>
      </c>
      <c r="O503" s="591" t="e">
        <f>VLOOKUP(G502,'Space Table'!$B$3:$L$163,11,FALSE)</f>
        <v>#N/A</v>
      </c>
      <c r="P503" s="1789"/>
      <c r="Q503" s="1790"/>
      <c r="R503" s="1790"/>
      <c r="S503" s="1788"/>
      <c r="T503" s="593" t="s">
        <v>342</v>
      </c>
      <c r="U503" s="1756" t="str" cm="1">
        <f t="array" aca="1" ref="U503" ca="1">IFERROR(VLOOKUP(INDIRECT("U" &amp; ROW()-1),Fixtures!DM$93:DP$142,4,FALSE),"")</f>
        <v/>
      </c>
      <c r="V503" s="1757"/>
      <c r="W503" s="1757"/>
      <c r="X503" s="1757"/>
      <c r="Y503" s="1757"/>
      <c r="Z503" s="1757"/>
      <c r="AA503" s="1758"/>
      <c r="AB503" s="939" t="str">
        <f>IFERROR(VLOOKUP(U502,Fixtures_Proposed_List,2,FALSE),"")</f>
        <v/>
      </c>
      <c r="AC503" s="933" t="str">
        <f>IFERROR(ROUND(T502*AB503*N501*R501/1000,0),"")</f>
        <v/>
      </c>
      <c r="AD503" s="934" t="str">
        <f>IFERROR(ROUND(T502*AB503/1000,2),"")</f>
        <v/>
      </c>
      <c r="AE503" s="998"/>
      <c r="AF503" s="938" t="s">
        <v>342</v>
      </c>
      <c r="AG503" s="1770"/>
      <c r="AH503" s="1770"/>
      <c r="AI503" s="1770"/>
      <c r="AJ503" s="1770"/>
      <c r="AK503" s="1770"/>
      <c r="AL503" s="1770"/>
      <c r="AM503" s="1727"/>
      <c r="AN503" s="1729"/>
      <c r="AO503" s="1731"/>
      <c r="AP503" s="1782"/>
      <c r="AQ503" s="1783"/>
      <c r="AR503" s="1797"/>
      <c r="AS503" s="1797"/>
      <c r="AT503" s="1798"/>
      <c r="AU503" s="1736"/>
      <c r="AV503" s="1753"/>
      <c r="AW503" s="1706"/>
      <c r="AX503" s="468"/>
      <c r="AY503" s="1750"/>
      <c r="AZ503" s="1750"/>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696"/>
      <c r="CQ503" s="1696"/>
      <c r="CR503" s="1809"/>
      <c r="CS503" s="1811"/>
      <c r="CU503" s="1688"/>
      <c r="CV503" s="1703"/>
      <c r="CW503" s="1703"/>
      <c r="CX503" s="1813"/>
      <c r="CY503" s="1815"/>
      <c r="CZ503" s="1711"/>
      <c r="DA503" s="1815"/>
      <c r="DB503" s="1821"/>
      <c r="DC503" s="1821"/>
      <c r="DD503" s="1821"/>
      <c r="DF503" s="1703"/>
      <c r="DG503" s="1831"/>
      <c r="DH503" s="1813"/>
      <c r="DI503" s="1838"/>
      <c r="DJ503" s="1711"/>
      <c r="DK503" s="1712"/>
      <c r="DN503" s="1718"/>
      <c r="DO503" s="1709"/>
      <c r="DQ503" s="1715"/>
      <c r="DR503" s="1720"/>
      <c r="DS503" s="1703"/>
      <c r="DT503" s="1714"/>
      <c r="DU503" s="1715"/>
      <c r="DV503" s="1716"/>
      <c r="DX503" s="1715"/>
      <c r="DY503" s="1720"/>
      <c r="DZ503" s="1715"/>
      <c r="EA503" s="1715"/>
      <c r="EC503" s="1834"/>
      <c r="ED503" s="1834"/>
      <c r="EF503" s="1707"/>
      <c r="EG503" s="1712"/>
      <c r="EH503" s="1815"/>
      <c r="EI503" s="1712"/>
      <c r="EJ503" s="1712"/>
      <c r="EK503" s="1813"/>
      <c r="EL503" s="1813"/>
      <c r="EM503" s="1807"/>
      <c r="EN503" s="1839"/>
      <c r="EO503" s="1839"/>
      <c r="EP503" s="1817"/>
      <c r="EQ503" s="1817"/>
      <c r="ER503" s="1807"/>
      <c r="ES503" s="1807"/>
      <c r="ET503" s="1807"/>
      <c r="EV503" s="1715"/>
      <c r="EX503" s="1806"/>
      <c r="EY503" s="1806"/>
      <c r="EZ503" s="1806"/>
      <c r="FA503" s="1806"/>
      <c r="FB503" s="1806"/>
      <c r="FC503" s="1828"/>
      <c r="FE503" s="1698"/>
      <c r="FG503" s="1703"/>
      <c r="FH503" s="1703"/>
      <c r="FI503" s="133"/>
      <c r="FL503" s="1823"/>
      <c r="FM503" s="1825"/>
      <c r="FN503" s="1698"/>
      <c r="FO503" s="1698"/>
      <c r="FP503" s="1678"/>
      <c r="FQ503" s="1698"/>
      <c r="FS503" s="1687"/>
      <c r="FT503" s="1687"/>
      <c r="FU503" s="1685"/>
      <c r="FV503" s="1687"/>
      <c r="FW503" s="1687"/>
      <c r="FX503" s="1687"/>
      <c r="FY503" s="1697"/>
      <c r="GA503" s="1696"/>
      <c r="GB503" s="1696"/>
      <c r="GC503" s="1696"/>
      <c r="GD503" s="1696"/>
      <c r="GE503" s="1696"/>
      <c r="GF503" s="1696"/>
      <c r="GG503" s="1696"/>
      <c r="GH503" s="1696"/>
      <c r="GI503" s="673"/>
      <c r="GJ503" s="1135"/>
      <c r="GK503" s="1832"/>
      <c r="GN503" s="674">
        <f>IF(GN501=TRUE,0,GN$16)</f>
        <v>0</v>
      </c>
      <c r="GP503" s="674">
        <f>IF(GP501=TRUE,0,GP$16)</f>
        <v>36</v>
      </c>
      <c r="GQ503" s="674">
        <f ca="1">IF(GQ501=TRUE,0,GQ$16)</f>
        <v>35</v>
      </c>
      <c r="GR503" s="391"/>
      <c r="GS503" s="391"/>
      <c r="GT503" s="391"/>
      <c r="GU503" s="391"/>
      <c r="GV503" s="391"/>
      <c r="HG503" s="674">
        <f>IF(HG501=TRUE,0,HG$16)</f>
        <v>0</v>
      </c>
      <c r="HH503" s="674">
        <f t="shared" ref="HH503:HM503" si="453">IF(HH501=TRUE,0,HH$16)</f>
        <v>19</v>
      </c>
      <c r="HI503" s="674">
        <f t="shared" si="453"/>
        <v>18</v>
      </c>
      <c r="HJ503" s="674">
        <f t="shared" si="453"/>
        <v>17</v>
      </c>
      <c r="HK503" s="674">
        <f t="shared" si="453"/>
        <v>16</v>
      </c>
      <c r="HL503" s="674">
        <f t="shared" si="453"/>
        <v>0</v>
      </c>
      <c r="HM503" s="674">
        <f t="shared" si="453"/>
        <v>0</v>
      </c>
      <c r="HN503" s="674">
        <f>IF(HN501=TRUE,0,HN$16)</f>
        <v>13</v>
      </c>
      <c r="HO503" s="674">
        <f t="shared" ref="HO503:HQ503" si="454">IF(HO501=TRUE,0,HO$16)</f>
        <v>0</v>
      </c>
      <c r="HP503" s="674">
        <f t="shared" si="454"/>
        <v>0</v>
      </c>
      <c r="HQ503" s="674">
        <f t="shared" si="454"/>
        <v>10</v>
      </c>
      <c r="HR503" s="674">
        <f>IF(HR501=TRUE,0,HR$16)</f>
        <v>9</v>
      </c>
      <c r="HS503" s="674">
        <f t="shared" ref="HS503:HW503" si="455">IF(HS501=TRUE,0,HS$16)</f>
        <v>0</v>
      </c>
      <c r="HT503" s="674">
        <f t="shared" si="455"/>
        <v>0</v>
      </c>
      <c r="HU503" s="674">
        <f t="shared" si="455"/>
        <v>0</v>
      </c>
      <c r="HV503" s="674">
        <f t="shared" si="455"/>
        <v>0</v>
      </c>
      <c r="HW503" s="674">
        <f t="shared" si="455"/>
        <v>0</v>
      </c>
      <c r="HX503" s="674">
        <f>IF(HX501=TRUE,0,HX$16)</f>
        <v>0</v>
      </c>
      <c r="HY503" s="674">
        <f>IF(HY501=TRUE,0,HY$16)</f>
        <v>0</v>
      </c>
      <c r="HZ503" s="674">
        <f>IF(HZ501=TRUE,0,HZ$16)</f>
        <v>1</v>
      </c>
      <c r="IB503" s="674">
        <f>IF(GP501=FALSE,GP503,IF(GQ501=FALSE,GQ503,MAX(GN503:HZ503)))</f>
        <v>36</v>
      </c>
      <c r="IC503" s="1692"/>
      <c r="ID503" s="205" t="str">
        <f>VLOOKUP(IB503,_Error_Table,3,FALSE)</f>
        <v xml:space="preserve"> </v>
      </c>
      <c r="IE503" s="205"/>
      <c r="IF503" s="1688"/>
      <c r="IG503" s="1689"/>
      <c r="IH503" s="1684"/>
      <c r="IK503" s="1689"/>
      <c r="IL503" s="1692"/>
      <c r="IM503" s="1692"/>
      <c r="IN503" s="1692"/>
      <c r="IP503" s="1679"/>
      <c r="IQ503" s="1679"/>
      <c r="IR503" s="1679"/>
      <c r="IS503" s="1679"/>
      <c r="IT503" s="1679"/>
      <c r="IU503" s="1679"/>
      <c r="IV503" s="1679"/>
      <c r="IW503" s="1679"/>
      <c r="IX503" s="1679"/>
      <c r="IY503" s="1679"/>
      <c r="IZ503" s="1679"/>
      <c r="JA503" s="1679"/>
      <c r="JC503" s="1680"/>
      <c r="JD503" s="1670"/>
      <c r="JE503" s="1681"/>
      <c r="JG503" s="1680"/>
      <c r="JH503" s="1670"/>
      <c r="JI503" s="1060"/>
      <c r="JJ503" s="1670"/>
      <c r="JK503" s="1061"/>
      <c r="JL503" s="1670"/>
      <c r="JM503" s="1061"/>
      <c r="JN503" s="1670"/>
      <c r="JO503" s="1061"/>
      <c r="JP503" s="1670"/>
      <c r="JQ503" s="1061"/>
      <c r="JR503" s="1670"/>
      <c r="JS503" s="1061"/>
      <c r="JT503" s="1670"/>
      <c r="JU503" s="1061"/>
      <c r="JV503" s="1670"/>
      <c r="JX503" s="1670"/>
      <c r="JZ503" s="1670"/>
      <c r="KB503" s="1670"/>
    </row>
    <row r="504" spans="1:288" s="78" customFormat="1" ht="5.0999999999999996" customHeight="1">
      <c r="B504" s="676"/>
      <c r="C504" s="392"/>
      <c r="D504" s="392"/>
      <c r="E504" s="1733"/>
      <c r="F504" s="1733"/>
      <c r="G504" s="1733"/>
      <c r="H504" s="1733"/>
      <c r="I504" s="1733"/>
      <c r="J504" s="1733"/>
      <c r="K504" s="1733"/>
      <c r="L504" s="1733"/>
      <c r="M504" s="1733"/>
      <c r="N504" s="1733"/>
      <c r="O504" s="1733"/>
      <c r="P504" s="1733"/>
      <c r="Q504" s="1733"/>
      <c r="R504" s="1733"/>
      <c r="S504" s="1733"/>
      <c r="T504" s="1733"/>
      <c r="U504" s="1733"/>
      <c r="V504" s="1733"/>
      <c r="W504" s="1733"/>
      <c r="X504" s="1733"/>
      <c r="Y504" s="1733"/>
      <c r="Z504" s="1733"/>
      <c r="AA504" s="1733"/>
      <c r="AB504" s="1733"/>
      <c r="AC504" s="1733"/>
      <c r="AD504" s="1733"/>
      <c r="AE504" s="1733"/>
      <c r="AF504" s="1733"/>
      <c r="AG504" s="1733"/>
      <c r="AH504" s="1733"/>
      <c r="AI504" s="1733"/>
      <c r="AJ504" s="1733"/>
      <c r="AK504" s="1733"/>
      <c r="AL504" s="1733"/>
      <c r="AM504" s="1733"/>
      <c r="AN504" s="1733"/>
      <c r="AO504" s="1733"/>
      <c r="AP504" s="1733"/>
      <c r="AQ504" s="1733"/>
      <c r="AR504" s="1733"/>
      <c r="AS504" s="1733"/>
      <c r="AT504" s="1733"/>
      <c r="AU504" s="1733"/>
      <c r="AV504" s="1733"/>
      <c r="AW504" s="1733"/>
      <c r="AX504" s="469"/>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663"/>
      <c r="CQ504" s="663"/>
      <c r="CR504" s="438"/>
      <c r="CS504" s="663"/>
      <c r="CV504" s="391"/>
      <c r="CW504" s="391"/>
      <c r="CX504" s="207"/>
      <c r="CY504" s="208"/>
      <c r="CZ504" s="208"/>
      <c r="DA504" s="208"/>
      <c r="DB504" s="209"/>
      <c r="DC504" s="209"/>
      <c r="DD504" s="209"/>
      <c r="DF504" s="664"/>
      <c r="DG504" s="665"/>
      <c r="DH504" s="666"/>
      <c r="DI504" s="667"/>
      <c r="DJ504" s="668"/>
      <c r="DK504" s="668"/>
      <c r="DN504" s="208"/>
      <c r="DO504" s="664"/>
      <c r="DQ504" s="664"/>
      <c r="DR504" s="669"/>
      <c r="DS504" s="391"/>
      <c r="DT504" s="664"/>
      <c r="DU504" s="664"/>
      <c r="DV504" s="664"/>
      <c r="DX504" s="664"/>
      <c r="DY504" s="664"/>
      <c r="DZ504" s="664"/>
      <c r="EA504" s="664"/>
      <c r="EC504" s="670"/>
      <c r="ED504" s="670"/>
      <c r="EF504" s="668"/>
      <c r="EG504" s="668"/>
      <c r="EH504" s="208"/>
      <c r="EI504" s="668"/>
      <c r="EJ504" s="668"/>
      <c r="EK504" s="207"/>
      <c r="EL504" s="207"/>
      <c r="EM504" s="666"/>
      <c r="EN504" s="671"/>
      <c r="EO504" s="671"/>
      <c r="EP504" s="672"/>
      <c r="EQ504" s="672"/>
      <c r="ER504" s="666"/>
      <c r="ES504" s="666"/>
      <c r="ET504" s="666"/>
      <c r="EV504" s="664"/>
      <c r="EX504" s="391"/>
      <c r="EY504" s="391"/>
      <c r="EZ504" s="391"/>
      <c r="FA504" s="391"/>
      <c r="FB504" s="391"/>
      <c r="FC504" s="391"/>
      <c r="FE504" s="569"/>
      <c r="FG504" s="391"/>
      <c r="FH504" s="391"/>
      <c r="FI504" s="391"/>
      <c r="FS504" s="664"/>
      <c r="FT504" s="391"/>
      <c r="FU504" s="391"/>
      <c r="FV504" s="664"/>
      <c r="FW504" s="664"/>
      <c r="GA504" s="663"/>
      <c r="GB504" s="663"/>
      <c r="GC504" s="663"/>
      <c r="GD504" s="663"/>
      <c r="GE504" s="663"/>
      <c r="GF504" s="663"/>
      <c r="GG504" s="663"/>
      <c r="GH504" s="663"/>
      <c r="GI504" s="665"/>
      <c r="GJ504" s="664"/>
      <c r="GK504" s="664"/>
    </row>
    <row r="505" spans="1:288" s="78" customFormat="1" ht="14.95" customHeight="1">
      <c r="B505" s="1845" t="str">
        <f>ID508</f>
        <v xml:space="preserve"> </v>
      </c>
      <c r="C505" s="1846">
        <f>C500+1</f>
        <v>89</v>
      </c>
      <c r="D505" s="1847"/>
      <c r="E505" s="1799" t="s">
        <v>295</v>
      </c>
      <c r="F505" s="1800"/>
      <c r="G505" s="1741"/>
      <c r="H505" s="1742"/>
      <c r="I505" s="1742"/>
      <c r="J505" s="1742"/>
      <c r="K505" s="1742"/>
      <c r="L505" s="1742"/>
      <c r="M505" s="1742"/>
      <c r="N505" s="1742"/>
      <c r="O505" s="1742"/>
      <c r="P505" s="1742"/>
      <c r="Q505" s="1742"/>
      <c r="R505" s="1742"/>
      <c r="S505" s="1791" t="s">
        <v>344</v>
      </c>
      <c r="T505" s="590"/>
      <c r="U505" s="1743"/>
      <c r="V505" s="1744"/>
      <c r="W505" s="1744"/>
      <c r="X505" s="1744"/>
      <c r="Y505" s="1744"/>
      <c r="Z505" s="1744"/>
      <c r="AA505" s="1744"/>
      <c r="AB505" s="961" t="str">
        <f>IFERROR(IF(__Retrofit_TI_NC=0,VLOOKUP(U506,Fixtures_Existing_List,2,FALSE),ROUND(N507*R507/T507,10)),"")</f>
        <v/>
      </c>
      <c r="AC505" s="935" t="str">
        <f>IFERROR(IF(__Retrofit_TI_NC=0,ROUND(T506*AB505*N506*R506/1000,0),IF(CQ505="Interior",N507*R507*R506*N506*_C406_reduction/1000,N507*R507*R506*N506/1000)),"")</f>
        <v/>
      </c>
      <c r="AD505" s="936" t="str">
        <f>IFERROR(IF(C$43=0,ROUND(T506*AB505/1000,2),N507*R507/1000),"")</f>
        <v/>
      </c>
      <c r="AE505" s="997"/>
      <c r="AF505" s="937"/>
      <c r="AG505" s="1745" t="str">
        <f>IF(__Retrofit_TI_NC=0," Control","Select Advanced Control for New System")</f>
        <v xml:space="preserve"> Control</v>
      </c>
      <c r="AH505" s="1745"/>
      <c r="AI505" s="1745"/>
      <c r="AJ505" s="1745"/>
      <c r="AK505" s="1745"/>
      <c r="AL505" s="1745"/>
      <c r="AM505" s="1746">
        <f>IFERROR(DI505,"")</f>
        <v>0</v>
      </c>
      <c r="AN505" s="1774" t="str">
        <f>IFERROR(ROUND(AM505*AC505,0),"")</f>
        <v/>
      </c>
      <c r="AO505" s="1776">
        <f>IFERROR(IF(IB505=FALSE,0,AC505-AN505),0)</f>
        <v>0</v>
      </c>
      <c r="AP505" s="1778">
        <f>AO505-AO507</f>
        <v>0</v>
      </c>
      <c r="AQ505" s="1779"/>
      <c r="AR505" s="1793">
        <f>IFERROR(IF(IB505=FALSE,0,(T507*U508)+(AF507*AG508)),0)</f>
        <v>0</v>
      </c>
      <c r="AS505" s="1793"/>
      <c r="AT505" s="1794"/>
      <c r="AU505" s="1734" t="s">
        <v>237</v>
      </c>
      <c r="AV505" s="1751">
        <f>IF(AU505="Yes",1,0)</f>
        <v>1</v>
      </c>
      <c r="AW505" s="1704" t="str">
        <f>IF(OR(DQ505=4,DQ505=5,DQ505=6,DQ505=12),CONCATENATE("$",IF(GH505=TRUE,Lookup!$K$10,Lookup!$K$2)," /lamp"),CONCATENATE(TEXT(ED505,"$0.00"),"/ kWh"))</f>
        <v>$0.00/ kWh</v>
      </c>
      <c r="AX505" s="467"/>
      <c r="AY505" s="1748">
        <f ca="1">IFERROR(IF(GM506=TRUE,(AB508*T507)/R507,0),"NA")</f>
        <v>0</v>
      </c>
      <c r="AZ505" s="1748"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696" t="str">
        <f>N506</f>
        <v/>
      </c>
      <c r="CQ505" s="1696" t="str">
        <f>IFERROR(VLOOKUP(G506,_Lookup_Heat_Type_Table_New,3,FALSE),"")</f>
        <v/>
      </c>
      <c r="CR505" s="1808" t="str">
        <f>CQ505</f>
        <v/>
      </c>
      <c r="CS505" s="1810" t="str">
        <f>IFERROR(VLOOKUP(G507,'Space Table'!$B$3:$L$163,9,FALSE),"")</f>
        <v/>
      </c>
      <c r="CU505" s="1688" t="s">
        <v>344</v>
      </c>
      <c r="CV505" s="1702">
        <f>IF(IB505=TRUE,T506,0)</f>
        <v>0</v>
      </c>
      <c r="CW505" s="1702" t="str">
        <f>IF(IB505=TRUE,U506,"")</f>
        <v/>
      </c>
      <c r="CX505" s="1702"/>
      <c r="CY505" s="1814">
        <f>IF(IB505=TRUE,AB505,0)</f>
        <v>0</v>
      </c>
      <c r="CZ505" s="1710">
        <f>IF(AND(__Retrofit_TI_NC&gt;0,CR505="interior"),0,IF(IB505=TRUE,AC505,0))</f>
        <v>0</v>
      </c>
      <c r="DA505" s="1814">
        <f>IFERROR(IF(IB505=TRUE,CZ505-CZ507,0),0)</f>
        <v>0</v>
      </c>
      <c r="DB505" s="1819">
        <f>IF(IB505=TRUE,AD505,0)</f>
        <v>0</v>
      </c>
      <c r="DC505" s="1819">
        <f>IF(IB505=TRUE,AD508,0)</f>
        <v>0</v>
      </c>
      <c r="DD505" s="1819">
        <f>IFERROR(DB505-DC505,0)</f>
        <v>0</v>
      </c>
      <c r="DF505" s="1702">
        <f>IF(IB505=TRUE,AF506,0)</f>
        <v>0</v>
      </c>
      <c r="DG505" s="1830">
        <f>IFERROR(IF(__Retrofit_TI_NC=2,IF(CQ505="Exterior",O508,FQ505),FN505),"")</f>
        <v>0</v>
      </c>
      <c r="DH505" s="1702"/>
      <c r="DI505" s="1837">
        <f>JE505</f>
        <v>0</v>
      </c>
      <c r="DJ505" s="1710">
        <f>IF(AND(__Retrofit_TI_NC&gt;0,CR505="interior"),0,IF(IB505=TRUE,AN505,0))</f>
        <v>0</v>
      </c>
      <c r="DK505" s="1712">
        <f>IFERROR(IF(IB505=TRUE,DJ507-DJ505,0),0)</f>
        <v>0</v>
      </c>
      <c r="DM505" s="1717">
        <f>IFERROR(CZ505-DJ505,0)</f>
        <v>0</v>
      </c>
      <c r="DO505" s="1708">
        <f>DM505-DN507</f>
        <v>0</v>
      </c>
      <c r="DQ505" s="1715" t="str">
        <f>IFERROR(IF(AND(OR(GC505=4,GC505=5,GC505=6),OR(GF505=4,GF505=5,GF505=6)),GC505+8,VLOOKUP(CW507,Fixtures!R$31:Y$78,8,FALSE)),"")</f>
        <v/>
      </c>
      <c r="DR505" s="1829" t="str">
        <f>DQ505</f>
        <v/>
      </c>
      <c r="DS505" s="1702" t="str">
        <f>IFERROR(VLOOKUP(DG507,Lookup!BB$3:BC$20,2,FALSE),"")</f>
        <v/>
      </c>
      <c r="DT505" s="1713" t="str">
        <f>IF(OR(DS505=7,DS505=8,DS505=9),"ALC","")</f>
        <v/>
      </c>
      <c r="DU505" s="1715">
        <f>IFERROR(IF(OR(DQ505=4,DQ505=5,DQ505=6,DQ505=12,DQ505=13,DQ505=14),VLOOKUP(CW507,Fixtures!DN$27:EG$77,19,FALSE),1)*CV507,0)</f>
        <v>0</v>
      </c>
      <c r="DV505" s="1716">
        <f>IF(OR(DS505=7,DS505=8,DS505=9),IF(DG505=DG507,0,DF507),0)</f>
        <v>0</v>
      </c>
      <c r="DX505" s="1715" t="str">
        <f>IFERROR(IF(EZ505&lt;EZ507,"Yes","No"),"")</f>
        <v/>
      </c>
      <c r="DY505" s="1829" t="str">
        <f>DX505</f>
        <v/>
      </c>
      <c r="DZ505" s="1715">
        <f>IF(DX505="Yes",DF507,0)</f>
        <v>0</v>
      </c>
      <c r="EA505" s="1715">
        <f>DZ505-DV505</f>
        <v>0</v>
      </c>
      <c r="EC505" s="1834">
        <f>IFERROR(VLOOKUP(DQ505,Lookup!AU$3:AV$16,2,FALSE),0)</f>
        <v>0</v>
      </c>
      <c r="ED505" s="1834">
        <f>IF(IB505=FALSE,0,IF(DX505="Yes",EC505+Lookup!K$6,EC505))</f>
        <v>0</v>
      </c>
      <c r="EF505" s="1707">
        <f>IF(IB505=TRUE,DM505,0)</f>
        <v>0</v>
      </c>
      <c r="EG505" s="1712">
        <f>IF(IB505=TRUE,CZ507,0)</f>
        <v>0</v>
      </c>
      <c r="EH505" s="1814">
        <f>IFERROR(EF505-EG505,0)</f>
        <v>0</v>
      </c>
      <c r="EI505" s="1712">
        <f>IF(IB505=TRUE,DJ507,0)</f>
        <v>0</v>
      </c>
      <c r="EJ505" s="1712">
        <f>IFERROR(EF505-EG505+EI505,0)</f>
        <v>0</v>
      </c>
      <c r="EK505" s="1812">
        <f>IF(IB505=TRUE,CV507*CX507,0)</f>
        <v>0</v>
      </c>
      <c r="EL505" s="1812">
        <f>IF(IB505=TRUE,DF507*DH507,0)</f>
        <v>0</v>
      </c>
      <c r="EM505" s="1807">
        <f>AR505</f>
        <v>0</v>
      </c>
      <c r="EN505" s="1839" t="str">
        <f>IFERROR(IF(IB505=TRUE,VLOOKUP(DQ505,Lookup!AU$3:AW$16,3,FALSE)*DU505,""),0)</f>
        <v/>
      </c>
      <c r="EO505" s="1839">
        <f>IF(IB505=TRUE,DZ505*Lookup!AW$12,0)</f>
        <v>0</v>
      </c>
      <c r="EP505" s="1817">
        <f>IFERROR(IF(IB505=TRUE,EN505/EP$40,0),0)</f>
        <v>0</v>
      </c>
      <c r="EQ505" s="1817">
        <f>IF(IB505=TRUE,EO505/EQ$40,0)</f>
        <v>0</v>
      </c>
      <c r="ER505" s="1807">
        <f>IF(IB505=TRUE,ET$40*EP505,0)</f>
        <v>0</v>
      </c>
      <c r="ES505" s="1807">
        <f>IF(IB505=TRUE,ET$40*EQ505,0)</f>
        <v>0</v>
      </c>
      <c r="ET505" s="1807">
        <f>ER505+ES505</f>
        <v>0</v>
      </c>
      <c r="EV505" s="1715">
        <f>IF(G505="",0,1)</f>
        <v>0</v>
      </c>
      <c r="EX505" s="1804" t="str">
        <f>IFERROR(VLOOKUP(CS507,'Space Table'!$B$3:$L$163,8,FALSE),"")</f>
        <v/>
      </c>
      <c r="EY505" s="1804" t="str">
        <f>IFERROR(IF(FB505="Yes",VLOOKUP(DG505,Lookup_Control_Type_Table2,4,FALSE),VLOOKUP(DG505,Lookup_Control_Type_Table2,3,FALSE)),"")</f>
        <v/>
      </c>
      <c r="EZ505" s="1804" t="e">
        <f>VLOOKUP(DG505,Lookup!BB$3:BC$20,2,FALSE)</f>
        <v>#N/A</v>
      </c>
      <c r="FA505" s="1804" t="e">
        <f>VLOOKUP(EX505,Lookup_Control_Type_Table,2,FALSE)</f>
        <v>#N/A</v>
      </c>
      <c r="FB505" s="1804" t="e">
        <f>VLOOKUP(CS507,'Space Table'!$B$3:$L$163,7,FALSE)</f>
        <v>#N/A</v>
      </c>
      <c r="FC505" s="1826" t="b">
        <f>ISNUMBER(SEARCH("TLED",U507))</f>
        <v>0</v>
      </c>
      <c r="FE505" s="1698" t="str">
        <f>CONCATENATE(CQ505," - ",DG505)</f>
        <v xml:space="preserve"> - 0</v>
      </c>
      <c r="FG505" s="1702" t="str">
        <f>VLOOKUP(CW507,Fixtures!DN$27:EZ$77,38,FALSE)</f>
        <v/>
      </c>
      <c r="FH505" s="1702">
        <f>IFERROR(FG505*EH505,0)</f>
        <v>0</v>
      </c>
      <c r="FI505" s="133"/>
      <c r="FL505" s="1822" t="str">
        <f>IF(CQ505="Exterior","Not Daylighted",G508)</f>
        <v>Not Daylighted</v>
      </c>
      <c r="FM505" s="1824">
        <f>VLOOKUP(FL505,_New_Daylight_Table_Codes,2,FALSE)</f>
        <v>0</v>
      </c>
      <c r="FN505" s="1698">
        <f>IF(__Retrofit_TI_NC&gt;0,VLOOKUP(G507,'Space Table'!$B$3:$L$163,11,FALSE),AG506)</f>
        <v>0</v>
      </c>
      <c r="FO505" s="1698" t="e">
        <f>IF(__Retrofit_TI_NC=2,VLOOKUP(FQ505,_Control_Table,2,FALSE),VLOOKUP(FN505,_Control_Table,2,FALSE))</f>
        <v>#N/A</v>
      </c>
      <c r="FP505" s="1678" t="e">
        <f>VLOOKUP(CONCATENATE(FL505," ",FN505),Lookup!AY$102:AZ515,2,FALSE)</f>
        <v>#N/A</v>
      </c>
      <c r="FQ505" s="1678">
        <f>IF(__Retrofit_TI_NC=0,FN505,IF(AND(FT505&gt;0,FN505="Occupancy Sensor"),"Daylight + Occupancy",IF(AND(FT505&gt;0,VLOOKUP(FN505,_Control_Table,2,FALSE)&lt;4),"Interior Daylight Dimming",FN505)))</f>
        <v>0</v>
      </c>
      <c r="FS505" s="1686">
        <f>IF(CR505="Interior",VLOOKUP(CS505,Control_Savings_Interior,5,FALSE),0)</f>
        <v>0</v>
      </c>
      <c r="FT505" s="1687">
        <f>IF(CQ505="Exterior",0,IF(FM505=2,0.5,IF(OR(FM505=1,FM505=3),1,0)))</f>
        <v>0</v>
      </c>
      <c r="FU505" s="1685">
        <f>IF(R504&gt;FS$44,(FS505*(FS$44/R504)),FS505)*FT505</f>
        <v>0</v>
      </c>
      <c r="FV505" s="1686">
        <f>DI505</f>
        <v>0</v>
      </c>
      <c r="FW505" s="1686">
        <f>ROUND(FV505+((1-FV505)*FU505),2)</f>
        <v>0</v>
      </c>
      <c r="FX505" s="1686">
        <f>IF(__Retrofit_TI_NC=2,FW505,FV505)</f>
        <v>0</v>
      </c>
      <c r="FY505" s="1697"/>
      <c r="GA505" s="1696" t="str">
        <f>IFERROR(VLOOKUP(U506,_Exist_Fixture_Table,3,FALSE),"")</f>
        <v/>
      </c>
      <c r="GB505" s="1696" t="str">
        <f>VLOOKUP(CW505,_Exist_Fixture_Table,4,FALSE)</f>
        <v/>
      </c>
      <c r="GC505" s="1696">
        <f>IFERROR(VLOOKUP(GB505,Lookup!AT$6:AU$8,2,FALSE),0)</f>
        <v>0</v>
      </c>
      <c r="GD505" s="1696" t="b">
        <f>IFERROR(IF(OR(GF505=4,GF505=5,GF505=6),TRUE,FALSE),"")</f>
        <v>0</v>
      </c>
      <c r="GE505" s="1696" t="str">
        <f>IFERROR(VLOOKUP(GF505,GC$6:GD$10,2,FALSE),"")</f>
        <v/>
      </c>
      <c r="GF505" s="1696" t="str">
        <f>VLOOKUP(CW507,Fixtures!R$31:Y$78,8,FALSE)</f>
        <v/>
      </c>
      <c r="GG505" s="1696">
        <f>IF(AND(GA505=TRUE,GD505=TRUE,OR(DQ505=12,DQ505=13,DQ505=14)),GC505+8,0)</f>
        <v>0</v>
      </c>
      <c r="GH505" s="1696" t="b">
        <f>IF(OR(GG505=12,GG505=13,GG505=14),TRUE,FALSE)</f>
        <v>0</v>
      </c>
      <c r="GI505" s="673" t="b">
        <f>IF(ISNUMBER(SEARCH("TLED",U506)),TRUE,FALSE)</f>
        <v>0</v>
      </c>
      <c r="GJ505" s="1135" t="str">
        <f>IFERROR(VLOOKUP(U506,Fixtures!BM$93:BR$142,6,FALSE),"")</f>
        <v/>
      </c>
      <c r="GK505" s="1832" t="b">
        <f>IF(OR(GI505=FALSE,GI507=FALSE),TRUE,IF(GJ505-GJ507&lt;5,FALSE,TRUE))</f>
        <v>1</v>
      </c>
      <c r="GO505" s="674">
        <f>GP505</f>
        <v>0</v>
      </c>
      <c r="GP505" s="674">
        <f>IF(G505="",0,1)</f>
        <v>0</v>
      </c>
      <c r="GQ505" s="674">
        <f ca="1">SUM(GR505:HF505)</f>
        <v>2</v>
      </c>
      <c r="GR505" s="674">
        <f>IF(G506="",0,1)</f>
        <v>0</v>
      </c>
      <c r="GS505" s="674">
        <f>IF(N508="BAM",1,IF(G507="",0,1))</f>
        <v>0</v>
      </c>
      <c r="GT505" s="674">
        <f>IF(N508="BAM",1,IF(R506="",0,1))</f>
        <v>0</v>
      </c>
      <c r="GU505" s="674">
        <f>IF(N508="BAM",1,IF(__Retrofit_TI_NC=0,1,IF(R507="",0,1)))</f>
        <v>1</v>
      </c>
      <c r="GV505" s="674">
        <f>IF(N508="BAM",1,IF(CQ505="Exterior",1,IF(G508="",0,1)))</f>
        <v>1</v>
      </c>
      <c r="GW505" s="674">
        <f>IF(__Retrofit_TI_NC&gt;0,1,IF(T506="",0,1))</f>
        <v>0</v>
      </c>
      <c r="GX505" s="674">
        <f>IF(__Retrofit_TI_NC&gt;0,1,IF(U506="",0,1))</f>
        <v>0</v>
      </c>
      <c r="GY505" s="674">
        <f>IF(N508="BAM",1,IF(T507="",0,1))</f>
        <v>0</v>
      </c>
      <c r="GZ505" s="674">
        <f>IF(N508="BAM",1,IF(U507="",0,1))</f>
        <v>0</v>
      </c>
      <c r="HA505" s="674">
        <f ca="1">IF(N508="BAM",1,IF(__Retrofit_TI_NC&gt;0,1,IF(U508="",0,1)))</f>
        <v>0</v>
      </c>
      <c r="HB505" s="674">
        <f>IF(__Retrofit_TI_NC&lt;&gt;0,1,IF(AF506="",0,1))</f>
        <v>0</v>
      </c>
      <c r="HC505" s="674">
        <f>IF(__Retrofit_TI_NC&lt;&gt;0,1,IF(AG506="",0,1))</f>
        <v>0</v>
      </c>
      <c r="HD505" s="674">
        <f>IF(N508="BAM",1,IF(AF507="",0,1))</f>
        <v>0</v>
      </c>
      <c r="HE505" s="674">
        <f>IF(N508="BAM",1,IF(AG507="",0,1))</f>
        <v>0</v>
      </c>
      <c r="HF505" s="674">
        <f>IF(N508="BAM",1,IF(__Retrofit_TI_NC&gt;0,1,IF(AG508="",0,1)))</f>
        <v>0</v>
      </c>
      <c r="HG505" s="391"/>
      <c r="IA505" s="391"/>
      <c r="IB505" s="1693" t="b">
        <f>IF(OR(IB508=0,IB508=HY$16,IB508=HX$16,IB508=HZ$16),TRUE,FALSE)</f>
        <v>0</v>
      </c>
      <c r="IC505" s="1694" t="b">
        <f>IB505</f>
        <v>0</v>
      </c>
      <c r="ID505" s="391"/>
      <c r="IE505" s="391"/>
      <c r="IF505" s="1688" t="b">
        <f ca="1">IF(MAX(GN508:HU508)&gt;5,FALSE,TRUE)</f>
        <v>0</v>
      </c>
      <c r="IG505" s="1689">
        <f ca="1">IF(IF505=TRUE,AC505,0)</f>
        <v>0</v>
      </c>
      <c r="IH505" s="1689">
        <f ca="1">IG505-IG507</f>
        <v>0</v>
      </c>
      <c r="IK505" s="1689" t="e">
        <f>ROUND(T506*VLOOKUP(U506,Fixtures_Existing_List,2,FALSE)*N506*R506/1000,0)</f>
        <v>#N/A</v>
      </c>
      <c r="IL505" s="1690" t="e">
        <f>IK505-IK507</f>
        <v>#N/A</v>
      </c>
      <c r="IM505" s="1693" t="e">
        <f>ROUND(IF(CQ505="Interior",N507*R507*R506*N506*_C406_reduction/1000,N507*R507*R506*N506/1000),0)</f>
        <v>#N/A</v>
      </c>
      <c r="IN505" s="1693" t="e">
        <f>IM505-IM507</f>
        <v>#N/A</v>
      </c>
      <c r="IP505" s="1679"/>
      <c r="IQ505" s="1679" t="e">
        <f t="shared" ref="IQ505:IU505" si="456">IF($CR505="interior",VLOOKUP($CS505,_New_Control_Savings_Interior,IQ$30,FALSE),VLOOKUP($CS505,Control_Savings_Exterior,IQ$30,FALSE))</f>
        <v>#N/A</v>
      </c>
      <c r="IR505" s="1679" t="e">
        <f t="shared" si="456"/>
        <v>#N/A</v>
      </c>
      <c r="IS505" s="1679" t="e">
        <f t="shared" si="456"/>
        <v>#N/A</v>
      </c>
      <c r="IT505" s="1679" t="e">
        <f t="shared" si="456"/>
        <v>#N/A</v>
      </c>
      <c r="IU505" s="1679" t="e">
        <f t="shared" si="456"/>
        <v>#N/A</v>
      </c>
      <c r="IV505" s="1679" t="e">
        <f>IF($CR505="interior",IF(R506&gt;$IP$14,ROUND(($IV$18*($IP$14/R506)),2),$IV$18),VLOOKUP($CS505,Control_Savings_Exterior,IV$30,FALSE))</f>
        <v>#N/A</v>
      </c>
      <c r="IW505" s="1679" t="e">
        <f>IF($CR505="interior",ROUND(((1-IS505)*IV505)+IS505,2),VLOOKUP($CS505,Control_Savings_Exterior,IW$30,FALSE))</f>
        <v>#N/A</v>
      </c>
      <c r="IX505" s="1679" t="e">
        <f>IF($CR505="interior",ROUND(((1-IT505)*IV505)+IT505,2),VLOOKUP($CS505,Control_Savings_Exterior,IX$30,FALSE))</f>
        <v>#N/A</v>
      </c>
      <c r="IY505" s="1679" t="e">
        <f>IF($CR505="interior",IF(R506&gt;$IP$14,ROUND(($IY$18*($IP$14/R506)),2),$IY$18),VLOOKUP($CS505,Control_Savings_Exterior,IY$30,FALSE))</f>
        <v>#N/A</v>
      </c>
      <c r="IZ505" s="1679" t="e">
        <f>IF($CR505="interior",ROUND(((1-IS505)*IY505)+IS505,2),VLOOKUP($CS505,Control_Savings_Exterior,IZ$30,FALSE))</f>
        <v>#N/A</v>
      </c>
      <c r="JA505" s="1679" t="e">
        <f>IF($CR505="interior",ROUND(((1-IT505)*IY505)+IT505,2),VLOOKUP($CS505,Control_Savings_Exterior,JA$30,FALSE))</f>
        <v>#N/A</v>
      </c>
      <c r="JC505" s="1680">
        <f>IFERROR(IF(CR505="Interior",CONCATENATE(G508," ",FQ505),FQ505),"")</f>
        <v>0</v>
      </c>
      <c r="JD505" s="1670" t="str">
        <f>IFERROR(VLOOKUP(JC505,_Controls_2023,2,FALSE),"")</f>
        <v/>
      </c>
      <c r="JE505" s="1681">
        <f>IFERROR(CHOOSE(JD505-1,IQ505,IR505,IS505,IT505,IU505,IV505,IW505,IX505,IY505,IZ505,JA505),0)</f>
        <v>0</v>
      </c>
      <c r="JG505" s="1680" t="str">
        <f>FE505</f>
        <v xml:space="preserve"> - 0</v>
      </c>
      <c r="JH505" s="1670" t="e">
        <f>$FO505</f>
        <v>#N/A</v>
      </c>
      <c r="JI505" s="1060"/>
      <c r="JJ505" s="1682" t="b">
        <f>IF($JG507=CONCATENATE("Interior - ",JJ$4),TRUE,FALSE)</f>
        <v>0</v>
      </c>
      <c r="JK505" s="1061"/>
      <c r="JL505" s="1682" t="b">
        <f>IF($JG507=CONCATENATE("Interior - ",JL$4),TRUE,FALSE)</f>
        <v>0</v>
      </c>
      <c r="JM505" s="1061"/>
      <c r="JN505" s="1682" t="b">
        <f>IF($JG507=CONCATENATE("Interior - ",JN$4),TRUE,FALSE)</f>
        <v>0</v>
      </c>
      <c r="JO505" s="1061"/>
      <c r="JP505" s="1682" t="b">
        <f>IF(__Retrofit_TI_NC&gt;0,FALSE,IF($JG507=CONCATENATE("Interior - ",JP$4),TRUE,FALSE))</f>
        <v>0</v>
      </c>
      <c r="JQ505" s="1061"/>
      <c r="JR505" s="1682" t="b">
        <f>IF(__Retrofit_TI_NC&gt;0,FALSE,IF($JG507=CONCATENATE("Interior - ",JR$4),TRUE,FALSE))</f>
        <v>0</v>
      </c>
      <c r="JS505" s="1061"/>
      <c r="JT505" s="1670" t="b">
        <f>IF(__Retrofit_TI_NC&gt;0,FALSE,IF($JG507=CONCATENATE("Interior - ",JT$4),TRUE,FALSE))</f>
        <v>0</v>
      </c>
      <c r="JU505" s="1061"/>
      <c r="JV505" s="1670" t="b">
        <f>IF(JC507="AELC on Existing",TRUE,FALSE)</f>
        <v>0</v>
      </c>
      <c r="JX505" s="1670" t="b">
        <f>IF(OR(JG507="Exterior - AELC Occupancy based",JG507="Exterior - AELC Time based"),TRUE,FALSE)</f>
        <v>0</v>
      </c>
      <c r="JZ505" s="1682" t="b">
        <f>IF($JG507=CONCATENATE("Exterior - ",JZ$4),TRUE,FALSE)</f>
        <v>0</v>
      </c>
      <c r="KB505" s="1670" t="b">
        <f>IF(__Retrofit_TI_NC&gt;0,FALSE,IF($JG507=CONCATENATE("Interior - ",KB$4),TRUE,FALSE))</f>
        <v>0</v>
      </c>
    </row>
    <row r="506" spans="1:288" s="78" customFormat="1" ht="14.95" customHeight="1" thickTop="1" thickBot="1">
      <c r="B506" s="1845"/>
      <c r="C506" s="1846"/>
      <c r="D506" s="1847"/>
      <c r="E506" s="1737" t="s">
        <v>297</v>
      </c>
      <c r="F506" s="1738"/>
      <c r="G506" s="1739"/>
      <c r="H506" s="1739"/>
      <c r="I506" s="1739"/>
      <c r="J506" s="1739"/>
      <c r="K506" s="1739"/>
      <c r="L506" s="1739"/>
      <c r="M506" s="461" t="e">
        <f>IF(__Retrofit_TI_NC&lt;&gt;0,IF(VLOOKUP(G507,'Space Table'!$B$3:$L$163,3,FALSE)&gt;0,1,0),IF(__Retrofit_TI_NC=VLOOKUP(G507,'Space Table'!$B$3:$L$163,3,FALSE),1,0))</f>
        <v>#N/A</v>
      </c>
      <c r="N506" s="461" t="str">
        <f>IFERROR(VLOOKUP(G506,_Lookup_Heat_Type_Table_New,2,FALSE),"")</f>
        <v/>
      </c>
      <c r="O506" s="461">
        <f>IF(__Retrofit_TI_NC=1,CONCATENATE("TI ",G506),IF(__Retrofit_TI_NC=2,CONCATENATE("NC ",G506),G506))</f>
        <v>0</v>
      </c>
      <c r="P506" s="1740" t="s">
        <v>435</v>
      </c>
      <c r="Q506" s="1740"/>
      <c r="R506" s="595"/>
      <c r="S506" s="1792"/>
      <c r="T506" s="597"/>
      <c r="U506" s="1765"/>
      <c r="V506" s="1766"/>
      <c r="W506" s="1766"/>
      <c r="X506" s="1766"/>
      <c r="Y506" s="1766"/>
      <c r="Z506" s="1766"/>
      <c r="AA506" s="1766"/>
      <c r="AB506" s="1766"/>
      <c r="AC506" s="1766"/>
      <c r="AD506" s="1767"/>
      <c r="AE506" s="1000"/>
      <c r="AF506" s="597"/>
      <c r="AG506" s="1723"/>
      <c r="AH506" s="1724"/>
      <c r="AI506" s="1724"/>
      <c r="AJ506" s="1724"/>
      <c r="AK506" s="1725"/>
      <c r="AL506" s="996"/>
      <c r="AM506" s="1747"/>
      <c r="AN506" s="1775"/>
      <c r="AO506" s="1777"/>
      <c r="AP506" s="1780"/>
      <c r="AQ506" s="1781"/>
      <c r="AR506" s="1795"/>
      <c r="AS506" s="1795"/>
      <c r="AT506" s="1796"/>
      <c r="AU506" s="1735"/>
      <c r="AV506" s="1752"/>
      <c r="AW506" s="1705"/>
      <c r="AX506" s="467"/>
      <c r="AY506" s="1749"/>
      <c r="AZ506" s="1749"/>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696"/>
      <c r="CQ506" s="1696"/>
      <c r="CR506" s="1809"/>
      <c r="CS506" s="1811"/>
      <c r="CU506" s="1688"/>
      <c r="CV506" s="1703"/>
      <c r="CW506" s="1703"/>
      <c r="CX506" s="1703"/>
      <c r="CY506" s="1815"/>
      <c r="CZ506" s="1711"/>
      <c r="DA506" s="1818"/>
      <c r="DB506" s="1820"/>
      <c r="DC506" s="1820"/>
      <c r="DD506" s="1820"/>
      <c r="DF506" s="1703"/>
      <c r="DG506" s="1831"/>
      <c r="DH506" s="1703"/>
      <c r="DI506" s="1838"/>
      <c r="DJ506" s="1711"/>
      <c r="DK506" s="1712"/>
      <c r="DM506" s="1718"/>
      <c r="DO506" s="1708"/>
      <c r="DQ506" s="1715"/>
      <c r="DR506" s="1720"/>
      <c r="DS506" s="1816"/>
      <c r="DT506" s="1714"/>
      <c r="DU506" s="1715"/>
      <c r="DV506" s="1716"/>
      <c r="DX506" s="1715"/>
      <c r="DY506" s="1720"/>
      <c r="DZ506" s="1715"/>
      <c r="EA506" s="1715"/>
      <c r="EC506" s="1834"/>
      <c r="ED506" s="1834"/>
      <c r="EF506" s="1707"/>
      <c r="EG506" s="1712"/>
      <c r="EH506" s="1818"/>
      <c r="EI506" s="1712"/>
      <c r="EJ506" s="1712"/>
      <c r="EK506" s="1836"/>
      <c r="EL506" s="1836"/>
      <c r="EM506" s="1807"/>
      <c r="EN506" s="1839"/>
      <c r="EO506" s="1839"/>
      <c r="EP506" s="1817"/>
      <c r="EQ506" s="1817"/>
      <c r="ER506" s="1807"/>
      <c r="ES506" s="1807"/>
      <c r="ET506" s="1807"/>
      <c r="EV506" s="1715"/>
      <c r="EX506" s="1805"/>
      <c r="EY506" s="1805"/>
      <c r="EZ506" s="1805"/>
      <c r="FA506" s="1805"/>
      <c r="FB506" s="1805"/>
      <c r="FC506" s="1827"/>
      <c r="FE506" s="1698"/>
      <c r="FG506" s="1816"/>
      <c r="FH506" s="1816"/>
      <c r="FI506" s="133"/>
      <c r="FL506" s="1823"/>
      <c r="FM506" s="1825"/>
      <c r="FN506" s="1698"/>
      <c r="FO506" s="1698"/>
      <c r="FP506" s="1678"/>
      <c r="FQ506" s="1678"/>
      <c r="FS506" s="1687"/>
      <c r="FT506" s="1687"/>
      <c r="FU506" s="1685"/>
      <c r="FV506" s="1687"/>
      <c r="FW506" s="1687"/>
      <c r="FX506" s="1687"/>
      <c r="FY506" s="1697"/>
      <c r="GA506" s="1696"/>
      <c r="GB506" s="1696"/>
      <c r="GC506" s="1696"/>
      <c r="GD506" s="1696"/>
      <c r="GE506" s="1696"/>
      <c r="GF506" s="1696"/>
      <c r="GG506" s="1696"/>
      <c r="GH506" s="1696"/>
      <c r="GI506" s="673"/>
      <c r="GJ506" s="1135"/>
      <c r="GK506" s="1832"/>
      <c r="GM506" s="1693" t="b">
        <f ca="1">IF(AND(GP506=TRUE,GQ506=TRUE),TRUE,FALSE)</f>
        <v>0</v>
      </c>
      <c r="GN506" s="1684" t="b">
        <f>IFERROR(IF(__Retrofit_TI_NC=2,TRUE,IF(AU505="Yes",TRUE,FALSE)),FALSE)</f>
        <v>1</v>
      </c>
      <c r="GP506" s="1684" t="b">
        <f>IFERROR(IF(GP505=1,TRUE,FALSE),FALSE)</f>
        <v>0</v>
      </c>
      <c r="GQ506" s="1684" t="b">
        <f ca="1">IFERROR(IF(GQ505=GQ$14,TRUE,FALSE),FALSE)</f>
        <v>0</v>
      </c>
      <c r="HG506" s="1684" t="b">
        <f>IFERROR(IF(AND(__Retrofit_TI_NC&gt;0,CQ505="Interior"),FALSE,TRUE),FALSE)</f>
        <v>1</v>
      </c>
      <c r="HH506" s="1684" t="b">
        <f>IFERROR(IF(M506=1,TRUE,FALSE),FALSE)</f>
        <v>0</v>
      </c>
      <c r="HI506" s="1684" t="b">
        <f>IFERROR(IF(OR(M507=1,N508="BAM"),TRUE,FALSE),FALSE)</f>
        <v>0</v>
      </c>
      <c r="HJ506" s="1684" t="b">
        <f>IFERROR(IF(__Retrofit_TI_NC&lt;&gt;0,TRUE,IFERROR(IF(VLOOKUP(U506,Fixtures_Existing_List,2,FALSE)&lt;&gt;"",TRUE,FALSE),FALSE)),FALSE)</f>
        <v>0</v>
      </c>
      <c r="HK506" s="1684" t="b">
        <f>IFERROR(IF(VLOOKUP(U507,Fixtures_Proposed_List,2,FALSE)&lt;&gt;"",TRUE,FALSE),FALSE)</f>
        <v>0</v>
      </c>
      <c r="HL506" s="1684" t="b">
        <f>IF(AND(__Retrofit_TI_NC=2,FC505=TRUE),FALSE,TRUE)</f>
        <v>1</v>
      </c>
      <c r="HM506" s="1684" t="b">
        <f>GK505</f>
        <v>1</v>
      </c>
      <c r="HN506" s="1682" t="b">
        <f>IF(ISERROR(MATCH(FE505,_Control_Match[],0))=TRUE,FALSE,TRUE)</f>
        <v>0</v>
      </c>
      <c r="HO506" s="1693" t="b">
        <f>IFERROR(IF(EX505&lt;&gt;EY505,FALSE,TRUE),FALSE)</f>
        <v>1</v>
      </c>
      <c r="HP506" s="1693" t="b">
        <f>IFERROR(IF(EX507&lt;&gt;EY507,FALSE,TRUE),FALSE)</f>
        <v>1</v>
      </c>
      <c r="HQ506" s="1670" t="b">
        <f>IFERROR(IF(CQ505="Exterior",TRUE,IF(AND(OR(FM507=0,FM507=3),JD507&gt;6),FALSE,TRUE)),FALSE)</f>
        <v>0</v>
      </c>
      <c r="HR506" s="1684" t="b">
        <f>IFERROR(IF(AND(FO507=7,FC505=TRUE),FALSE,TRUE),FALSE)</f>
        <v>0</v>
      </c>
      <c r="HS506" s="1684" t="b">
        <f>IFERROR(IF(AND(T507&lt;&gt;AF507,OR(AG507="Interior LLLC", AG507="Interior NLC", AG507="LLLC (outside Daylight)",AG507="LLLC Controls Only"))=TRUE,FALSE,TRUE),FALSE)</f>
        <v>1</v>
      </c>
      <c r="HT506" s="1670" t="b">
        <f>IFERROR(IF(OR(AG507=Lookup!BB$17,AG507=Lookup!BB$18,AG507=Lookup!BB$19)=TRUE,IF(AF507&gt;T507,FALSE,TRUE),TRUE),FALSE)</f>
        <v>1</v>
      </c>
      <c r="HU506" s="1684" t="b">
        <f>IFERROR(IF(__Retrofit_TI_NC=2,IF(EZ507&lt;EZ505,FALSE,TRUE),TRUE),FALSE)</f>
        <v>1</v>
      </c>
      <c r="HV506" s="1684" t="b">
        <f>IF(CQ505="Interior",IL$6,TRUE)</f>
        <v>1</v>
      </c>
      <c r="HW506" s="1684" t="b">
        <f>IF(CQ505="Exterior",IL$8,TRUE)</f>
        <v>1</v>
      </c>
      <c r="HX506" s="1684" t="b">
        <f>IFERROR(IF(__Retrofit_TI_NC&lt;&gt;0,IF(AZ505&lt;AY505,FALSE,TRUE),TRUE),FALSE)</f>
        <v>1</v>
      </c>
      <c r="HY506" s="1684" t="b">
        <f>IFERROR(IF(AND(G506="Exterior",R506&gt;4200),FALSE,TRUE),FALSE)</f>
        <v>1</v>
      </c>
      <c r="HZ506" s="1684" t="b">
        <f>IFERROR(IF(AB508/AB505&lt;HZ$18,FALSE,TRUE),FALSE)</f>
        <v>0</v>
      </c>
      <c r="IB506" s="1691"/>
      <c r="IC506" s="1695"/>
      <c r="ID506" s="1694" t="str">
        <f>VLOOKUP(IB508,_Error_Table,4,FALSE)</f>
        <v>White</v>
      </c>
      <c r="IE506" s="391"/>
      <c r="IF506" s="1688"/>
      <c r="IG506" s="1689"/>
      <c r="IH506" s="1684"/>
      <c r="IK506" s="1689"/>
      <c r="IL506" s="1691"/>
      <c r="IM506" s="1691"/>
      <c r="IN506" s="1691"/>
      <c r="IP506" s="1679"/>
      <c r="IQ506" s="1679"/>
      <c r="IR506" s="1679"/>
      <c r="IS506" s="1679"/>
      <c r="IT506" s="1679"/>
      <c r="IU506" s="1679"/>
      <c r="IV506" s="1679"/>
      <c r="IW506" s="1679"/>
      <c r="IX506" s="1679"/>
      <c r="IY506" s="1679"/>
      <c r="IZ506" s="1679"/>
      <c r="JA506" s="1679"/>
      <c r="JC506" s="1680"/>
      <c r="JD506" s="1670"/>
      <c r="JE506" s="1681"/>
      <c r="JG506" s="1680"/>
      <c r="JH506" s="1670"/>
      <c r="JI506" s="1060"/>
      <c r="JJ506" s="1683"/>
      <c r="JK506" s="1061"/>
      <c r="JL506" s="1683"/>
      <c r="JM506" s="1061"/>
      <c r="JN506" s="1683"/>
      <c r="JO506" s="1061"/>
      <c r="JP506" s="1683"/>
      <c r="JQ506" s="1061"/>
      <c r="JR506" s="1683"/>
      <c r="JS506" s="1061"/>
      <c r="JT506" s="1670"/>
      <c r="JU506" s="1061"/>
      <c r="JV506" s="1670"/>
      <c r="JX506" s="1670"/>
      <c r="JZ506" s="1683"/>
      <c r="KB506" s="1670"/>
    </row>
    <row r="507" spans="1:288" s="78" customFormat="1" ht="14.95" customHeight="1" thickTop="1" thickBot="1">
      <c r="A507" s="78">
        <f>ROW()</f>
        <v>507</v>
      </c>
      <c r="B507" s="1845"/>
      <c r="C507" s="1846"/>
      <c r="D507" s="1847"/>
      <c r="E507" s="1737" t="s">
        <v>298</v>
      </c>
      <c r="F507" s="1738"/>
      <c r="G507" s="1760"/>
      <c r="H507" s="1761"/>
      <c r="I507" s="1761"/>
      <c r="J507" s="1761"/>
      <c r="K507" s="1761"/>
      <c r="L507" s="1762"/>
      <c r="M507" s="461">
        <f>IFERROR(IF(IF(__Retrofit_TI_NC&lt;&gt;0,IF(CQ505="Interior",MATCH(G507,Lookup_Interior_New,0),MATCH(G507,Lookup_Exterior_New,0)),IF(CQ505="Interior",MATCH(G507,Lookup_Interior,0),MATCH(G507,Lookup_Exterior_Areas,0)))&gt;0,1,0),0)</f>
        <v>0</v>
      </c>
      <c r="N507" s="461" t="e">
        <f>IF(__Retrofit_TI_NC=1,
VLOOKUP(G507,'Space Table'!$B$3:$L$163,4,FALSE),
IF(__Retrofit_TI_NC=2,VLOOKUP(G507,'Space Table'!$B$3:$L$163,5,FALSE),VLOOKUP(G507,'Space Table'!$B$3:$L$163,5,FALSE)))</f>
        <v>#N/A</v>
      </c>
      <c r="O507" s="461">
        <f>G507</f>
        <v>0</v>
      </c>
      <c r="P507" s="1738" t="str">
        <f>IFERROR(IF(__Retrofit_TI_NC=1,VLOOKUP(G507,'Space Table'!$B$3:$O$163,13,FALSE),IF(__Retrofit_TI_NC=2,VLOOKUP(G507,'Space Table'!$B$3:$O$163,14,FALSE),"Area (sf):")),"Area (sf):")</f>
        <v>Area (sf):</v>
      </c>
      <c r="Q507" s="1738"/>
      <c r="R507" s="596"/>
      <c r="S507" s="1763" t="s">
        <v>345</v>
      </c>
      <c r="T507" s="594"/>
      <c r="U507" s="1801"/>
      <c r="V507" s="1802"/>
      <c r="W507" s="1802"/>
      <c r="X507" s="1802"/>
      <c r="Y507" s="1802"/>
      <c r="Z507" s="1802"/>
      <c r="AA507" s="1802"/>
      <c r="AB507" s="1802"/>
      <c r="AC507" s="1802"/>
      <c r="AD507" s="1802"/>
      <c r="AE507" s="1803"/>
      <c r="AF507" s="594"/>
      <c r="AG507" s="1787"/>
      <c r="AH507" s="1787"/>
      <c r="AI507" s="1787"/>
      <c r="AJ507" s="1787"/>
      <c r="AK507" s="1787"/>
      <c r="AL507" s="1787"/>
      <c r="AM507" s="1726">
        <f>IFERROR(DI507,"")</f>
        <v>0</v>
      </c>
      <c r="AN507" s="1728" t="str">
        <f>IFERROR(ROUND(AM507*AC508,0),"")</f>
        <v/>
      </c>
      <c r="AO507" s="1730">
        <f>IFERROR(IF(IB505=FALSE,0,AC508-AN507),0)</f>
        <v>0</v>
      </c>
      <c r="AP507" s="1780"/>
      <c r="AQ507" s="1781"/>
      <c r="AR507" s="1795"/>
      <c r="AS507" s="1795"/>
      <c r="AT507" s="1796"/>
      <c r="AU507" s="1735"/>
      <c r="AV507" s="1752"/>
      <c r="AW507" s="1705"/>
      <c r="AX507" s="467"/>
      <c r="AY507" s="1749"/>
      <c r="AZ507" s="1749"/>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696"/>
      <c r="CQ507" s="1696"/>
      <c r="CR507" s="1808" t="str">
        <f>CQ505</f>
        <v/>
      </c>
      <c r="CS507" s="1810" t="str">
        <f>CS505</f>
        <v/>
      </c>
      <c r="CU507" s="1688" t="s">
        <v>345</v>
      </c>
      <c r="CV507" s="1702">
        <f>IF(IB505=TRUE,T507,0)</f>
        <v>0</v>
      </c>
      <c r="CW507" s="1702" t="str">
        <f>IF(IB505=TRUE,U507,"")</f>
        <v/>
      </c>
      <c r="CX507" s="1812">
        <f>IF(IB505=TRUE,U508,0)</f>
        <v>0</v>
      </c>
      <c r="CY507" s="1814">
        <f>IF(IB505=TRUE,AB508,0)</f>
        <v>0</v>
      </c>
      <c r="CZ507" s="1710">
        <f>IF(AND(__Retrofit_TI_NC&gt;0,CR505="interior"),0,IF(IB505=TRUE,AC508,0))</f>
        <v>0</v>
      </c>
      <c r="DA507" s="1818"/>
      <c r="DB507" s="1820"/>
      <c r="DC507" s="1820"/>
      <c r="DD507" s="1820"/>
      <c r="DF507" s="1702">
        <f>IF(IB505=TRUE,AF507,0)</f>
        <v>0</v>
      </c>
      <c r="DG507" s="1830" t="str">
        <f>IF(IB505=TRUE,AG507,"")</f>
        <v/>
      </c>
      <c r="DH507" s="1812">
        <f>AG508</f>
        <v>0</v>
      </c>
      <c r="DI507" s="1837">
        <f>JE507</f>
        <v>0</v>
      </c>
      <c r="DJ507" s="1710">
        <f>IF(AND(__Retrofit_TI_NC&gt;0,CR505="interior"),0,IF(IB505=TRUE,AN507,0))</f>
        <v>0</v>
      </c>
      <c r="DK507" s="1712"/>
      <c r="DN507" s="1717">
        <f>IFERROR(CZ507-DJ507,0)</f>
        <v>0</v>
      </c>
      <c r="DO507" s="1709"/>
      <c r="DQ507" s="1715"/>
      <c r="DR507" s="1719" t="str">
        <f>DQ505</f>
        <v/>
      </c>
      <c r="DS507" s="1816"/>
      <c r="DT507" s="1835" t="str">
        <f>IF(OR(DS505=7,DS505=8,DS505=9),"ALC","")</f>
        <v/>
      </c>
      <c r="DU507" s="1715"/>
      <c r="DV507" s="1716"/>
      <c r="DX507" s="1715"/>
      <c r="DY507" s="1829" t="str">
        <f>DX505</f>
        <v/>
      </c>
      <c r="DZ507" s="1715"/>
      <c r="EA507" s="1715"/>
      <c r="EC507" s="1834"/>
      <c r="ED507" s="1834"/>
      <c r="EF507" s="1707"/>
      <c r="EG507" s="1712"/>
      <c r="EH507" s="1818"/>
      <c r="EI507" s="1712"/>
      <c r="EJ507" s="1712"/>
      <c r="EK507" s="1836"/>
      <c r="EL507" s="1836"/>
      <c r="EM507" s="1807"/>
      <c r="EN507" s="1839"/>
      <c r="EO507" s="1839"/>
      <c r="EP507" s="1817"/>
      <c r="EQ507" s="1817"/>
      <c r="ER507" s="1807"/>
      <c r="ES507" s="1807"/>
      <c r="ET507" s="1807"/>
      <c r="EV507" s="1715"/>
      <c r="EX507" s="1805" t="str">
        <f>IFERROR(VLOOKUP(CS507,'Space Table'!$B$3:$L$163,8,FALSE),"")</f>
        <v/>
      </c>
      <c r="EY507" s="1805" t="str">
        <f>IFERROR(IF(FB507="Yes",VLOOKUP(AG507,Lookup_Control_Type_Table2,4,FALSE),VLOOKUP(AG507,Lookup_Control_Type_Table2,3,FALSE)),"")</f>
        <v/>
      </c>
      <c r="EZ507" s="1805" t="e">
        <f>VLOOKUP(AG507,Lookup!BB$3:BC$20,2,FALSE)</f>
        <v>#N/A</v>
      </c>
      <c r="FA507" s="1805" t="e">
        <f>VLOOKUP(EX505,Lookup_Control_Type_Table,2,FALSE)</f>
        <v>#N/A</v>
      </c>
      <c r="FB507" s="1805" t="e">
        <f>VLOOKUP(CS507,'Space Table'!$B$3:$L$163,7,FALSE)</f>
        <v>#N/A</v>
      </c>
      <c r="FC507" s="1827"/>
      <c r="FE507" s="1698" t="str">
        <f>CONCATENATE(CQ505," - ",AG507)</f>
        <v xml:space="preserve"> - </v>
      </c>
      <c r="FG507" s="1816"/>
      <c r="FH507" s="1816"/>
      <c r="FI507" s="133"/>
      <c r="FL507" s="1822" t="str">
        <f>IF(CQ505="Exterior","Not Daylighted",G508)</f>
        <v>Not Daylighted</v>
      </c>
      <c r="FM507" s="1824">
        <f>VLOOKUP(FL507,_New_Daylight_Table_Codes,2,FALSE)</f>
        <v>0</v>
      </c>
      <c r="FN507" s="1698">
        <f>AG507</f>
        <v>0</v>
      </c>
      <c r="FO507" s="1698" t="e">
        <f>VLOOKUP(FN507,_Control_Table,2,FALSE)</f>
        <v>#N/A</v>
      </c>
      <c r="FP507" s="1678" t="e">
        <f>VLOOKUP(CONCATENATE(FL507," ",FN507),Lookup!AY$102:AZ518,2,FALSE)</f>
        <v>#N/A</v>
      </c>
      <c r="FQ507" s="1698">
        <f>IF(__Retrofit_TI_NC=0,FN507,IF(AND(FT507&gt;0,FN507="Occupancy Sensor"),"Daylight + Occupancy",IF(AND(FT507&gt;0,FO507&lt;4),"Interior Daylight Dimming",FN507)))</f>
        <v>0</v>
      </c>
      <c r="FS507" s="1686">
        <f>IF(CQ505="Interior",VLOOKUP(CS505,Control_Savings_Interior,5,FALSE),0)</f>
        <v>0</v>
      </c>
      <c r="FT507" s="1687">
        <f>IF(CQ507="Exterior",0,IF(FM507=2,0.5,IF(OR(FM507=1,FM507=3),1,0)))</f>
        <v>0</v>
      </c>
      <c r="FU507" s="1685">
        <f>IF(R506&gt;FS$44,(FS507*(FS$44/R506)),FS507)*FT507</f>
        <v>0</v>
      </c>
      <c r="FV507" s="1686">
        <f>DI507</f>
        <v>0</v>
      </c>
      <c r="FW507" s="1686">
        <f>ROUND(FV507+((1-FV507)*FU507),2)</f>
        <v>0</v>
      </c>
      <c r="FX507" s="1686">
        <f>IF(__Retrofit_TI_NC=2,FW507,FV507)</f>
        <v>0</v>
      </c>
      <c r="FY507" s="1697">
        <f>IF(CR507="Interior",VLOOKUP(CS507,Control_Savings_Interior,4,FALSE),0)</f>
        <v>0</v>
      </c>
      <c r="GA507" s="1696"/>
      <c r="GB507" s="1696"/>
      <c r="GC507" s="1696"/>
      <c r="GD507" s="1696"/>
      <c r="GE507" s="1696"/>
      <c r="GF507" s="1696"/>
      <c r="GG507" s="1696"/>
      <c r="GH507" s="1696"/>
      <c r="GI507" s="673" t="b">
        <f>IF(ISNUMBER(SEARCH("TLED",U507)),TRUE,FALSE)</f>
        <v>0</v>
      </c>
      <c r="GJ507" s="1135" t="str">
        <f>IFERROR(VLOOKUP(U507,Fixtures!DM$93:DR$142,6,FALSE),"")</f>
        <v/>
      </c>
      <c r="GK507" s="1832"/>
      <c r="GM507" s="1692"/>
      <c r="GN507" s="1684"/>
      <c r="GP507" s="1684"/>
      <c r="GQ507" s="1684"/>
      <c r="HG507" s="1684"/>
      <c r="HH507" s="1684"/>
      <c r="HI507" s="1684"/>
      <c r="HJ507" s="1684"/>
      <c r="HK507" s="1684"/>
      <c r="HL507" s="1684"/>
      <c r="HM507" s="1684"/>
      <c r="HN507" s="1683"/>
      <c r="HO507" s="1692"/>
      <c r="HP507" s="1692"/>
      <c r="HQ507" s="1670"/>
      <c r="HR507" s="1684"/>
      <c r="HS507" s="1684"/>
      <c r="HT507" s="1670"/>
      <c r="HU507" s="1684"/>
      <c r="HV507" s="1684"/>
      <c r="HW507" s="1684"/>
      <c r="HX507" s="1684"/>
      <c r="HY507" s="1684"/>
      <c r="HZ507" s="1684"/>
      <c r="IB507" s="1692"/>
      <c r="IC507" s="1693" t="b">
        <f>IB505</f>
        <v>0</v>
      </c>
      <c r="ID507" s="1695"/>
      <c r="IE507" s="391"/>
      <c r="IF507" s="1688"/>
      <c r="IG507" s="1689">
        <f ca="1">IF(IF505=TRUE,AC508,0)</f>
        <v>0</v>
      </c>
      <c r="IH507" s="1684"/>
      <c r="IK507" s="1689" t="e">
        <f>ROUND(T507*AB508*N506*R506/1000,0)</f>
        <v>#VALUE!</v>
      </c>
      <c r="IL507" s="1691"/>
      <c r="IM507" s="1693" t="e">
        <f>ROUND(T507*AB508*N506*R506/1000,0)</f>
        <v>#VALUE!</v>
      </c>
      <c r="IN507" s="1691"/>
      <c r="IP507" s="1679"/>
      <c r="IQ507" s="1679" t="e">
        <f t="shared" ref="IQ507:IU507" si="457">IF($CR507="interior",VLOOKUP($CS507,_New_Control_Savings_Interior,IQ$30,FALSE),VLOOKUP($CS507,Control_Savings_Exterior,IQ$30,FALSE))</f>
        <v>#N/A</v>
      </c>
      <c r="IR507" s="1679" t="e">
        <f t="shared" si="457"/>
        <v>#N/A</v>
      </c>
      <c r="IS507" s="1679" t="e">
        <f t="shared" si="457"/>
        <v>#N/A</v>
      </c>
      <c r="IT507" s="1679" t="e">
        <f t="shared" si="457"/>
        <v>#N/A</v>
      </c>
      <c r="IU507" s="1679" t="e">
        <f t="shared" si="457"/>
        <v>#N/A</v>
      </c>
      <c r="IV507" s="1679" t="e">
        <f>IF($CR507="interior",IF(R506&gt;$IP$14,ROUND(($IV$18*($IP$14/R506)),2),$IV$18),VLOOKUP($CS507,Control_Savings_Exterior,IV$30,FALSE))</f>
        <v>#N/A</v>
      </c>
      <c r="IW507" s="1679" t="e">
        <f>IF($CR507="interior",ROUND(((1-IS507)*IV507)+IS507,2),VLOOKUP($CS507,Control_Savings_Exterior,IW$30,FALSE))</f>
        <v>#N/A</v>
      </c>
      <c r="IX507" s="1679" t="e">
        <f>IF($CR507="interior",ROUND(((1-IT507)*IV507)+IT507,2),VLOOKUP($CS507,Control_Savings_Exterior,IX$30,FALSE))</f>
        <v>#N/A</v>
      </c>
      <c r="IY507" s="1679" t="e">
        <f>IF($CR507="interior",IF(R506&gt;$IP$14,ROUND(($IY$18*($IP$14/R506)),2),$IY$18),VLOOKUP($CS507,Control_Savings_Exterior,IY$30,FALSE))</f>
        <v>#N/A</v>
      </c>
      <c r="IZ507" s="1679" t="e">
        <f>IF($CR507="interior",ROUND(((1-IS507)*IY507)+IS507,2),VLOOKUP($CS507,Control_Savings_Exterior,IZ$30,FALSE))</f>
        <v>#N/A</v>
      </c>
      <c r="JA507" s="1679" t="e">
        <f>IF($CR507="interior",ROUND(((1-IT507)*IY507)+IT507,2),VLOOKUP($CS507,Control_Savings_Exterior,JA$30,FALSE))</f>
        <v>#N/A</v>
      </c>
      <c r="JC507" s="1680">
        <f>IFERROR(IF(CR507="Interior",CONCATENATE(G508," ",FQ507),AG507),"")</f>
        <v>0</v>
      </c>
      <c r="JD507" s="1670" t="str">
        <f>IFERROR(VLOOKUP(JC507,_Controls_2023,2,FALSE),"")</f>
        <v/>
      </c>
      <c r="JE507" s="1681">
        <f>IFERROR(CHOOSE(JD507-1,IQ507,IR507,IS507,IT507,IU507,IV507,IW507,IX507,IY507,IZ507,JA507),0)</f>
        <v>0</v>
      </c>
      <c r="JG507" s="1680" t="str">
        <f>FE507</f>
        <v xml:space="preserve"> - </v>
      </c>
      <c r="JH507" s="1670" t="e">
        <f>$FO507</f>
        <v>#N/A</v>
      </c>
      <c r="JI507" s="1060"/>
      <c r="JJ507" s="1670">
        <f>IFERROR(IF($IB505=TRUE,IF(OR(JJ$14="No",JJ505=FALSE,JH507&lt;=JH505,AND(_kWh_Grant=0,GD505=FALSE)),0,IF(JJ$8="Per Line",1,$AF507)),0),0)</f>
        <v>0</v>
      </c>
      <c r="JK507" s="1061"/>
      <c r="JL507" s="1670">
        <f>IFERROR(IF(_kWh_Grant=0,0,IF($IB505=TRUE,IF(OR(JL$14="No",JL505=FALSE,JH507&lt;=JH505),0,IF(JL$8="Per Line",1,$T507)),0)),0)</f>
        <v>0</v>
      </c>
      <c r="JM507" s="1061"/>
      <c r="JN507" s="1670">
        <f>IFERROR(IF(_kWh_Grant=0,0,IF($IB505=TRUE,IF(OR(JN$14="No",JN505=FALSE,JH507&lt;=JH505),0,IF(JN$8="Per Line",1,$AF507)),0)),0)</f>
        <v>0</v>
      </c>
      <c r="JO507" s="1061"/>
      <c r="JP507" s="1670">
        <f>IFERROR(IF(__Retrofit_TI_NC=0,IF(_kWh_Grant=0,0,IF($IB505=TRUE,IF(OR(JP$14="No",JP505=FALSE,$JH507&lt;=$JH505),0,IF(JP$8="Per Line",1,$AF507)),0)),IF($IB505=TRUE,IF(OR(JP$14="No",JP505=FALSE,$JH507&lt;=$JH505),0,IF(JP$8="Per Line",1,$AF507)))),0)</f>
        <v>0</v>
      </c>
      <c r="JQ507" s="1061"/>
      <c r="JR507" s="1670">
        <f>IFERROR(IF(__Retrofit_TI_NC=0,IF(_kWh_Grant=0,0,IF($IB505=TRUE,IF(OR(JR$14="No",JR505=FALSE,$JH507&lt;=$JH505),0,IF(JR$8="Per Line",1,$AF507)),0)),IF($IB505=TRUE,IF(OR(JR$14="No",JR505=FALSE,$JH507&lt;=$JH505),0,IF(JR$8="Per Line",1,$AF507)))),0)</f>
        <v>0</v>
      </c>
      <c r="JS507" s="1061"/>
      <c r="JT507" s="1670">
        <f>IFERROR(IF(__Retrofit_TI_NC=0,IF(_kWh_Grant=0,0,IF($IB505=TRUE,IF(OR(JT$14="No",JT505=FALSE,$JH507&lt;=$JH505),0,IF(JT$8="Per Line",1,$AF507)),0)),IF($IB505=TRUE,IF(OR(JT$14="No",JT505=FALSE,$JH507&lt;=$JH505),0,IF(JT$8="Per Line",1,$AF507)))),0)</f>
        <v>0</v>
      </c>
      <c r="JU507" s="1061"/>
      <c r="JV507" s="1670">
        <f>IFERROR(IF(__Retrofit_TI_NC=0,IF(_kWh_Grant=0,0,IF($IB505=TRUE,IF(OR(JV$14="No",JV505=FALSE,$JH507&lt;=$JH505),0,IF(JV$8="Per Line",1,$AF507)),0)),IF($IB505=TRUE,IF(OR(JV$14="No",JV505=FALSE,$JH507&lt;=$JH505),0,IF(JV$8="Per Line",1,$AF507)))),0)</f>
        <v>0</v>
      </c>
      <c r="JX507" s="1670">
        <f>IFERROR(IF(__Retrofit_TI_NC=0,IF(_kWh_Grant=0,0,IF($IB505=TRUE,IF(OR(JX$14="No",JX505=FALSE,$JH507&lt;=$JH505),0,IF(JX$8="Per Line",1,$AF507)),0)),IF($IB505=TRUE,IF(OR(JX$14="No",JX505=FALSE,$JH507&lt;=$JH505),0,IF(JX$8="Per Line",1,$AF507)))),0)</f>
        <v>0</v>
      </c>
      <c r="JZ507" s="1670">
        <f>IFERROR(IF($IB505=TRUE,IF(OR(JZ$14="No",JZ505=FALSE,$JH507&lt;=$JH505,AND(_kWh_Grant=0,$GD505=FALSE)),0,IF(JZ$8="Per Line",1,$AF507)),0),0)</f>
        <v>0</v>
      </c>
      <c r="KB507" s="1670">
        <f>IFERROR(IF(__Retrofit_TI_NC=0,IF(_kWh_Grant=0,0,IF($IB505=TRUE,IF(OR(KB$14="No",KB505=FALSE,$JH507&lt;=$JH505),0,IF(KB$8="Per Line",1,$AF507)),0)),IF($IB505=TRUE,IF(OR(KB$14="No",KB505=FALSE,$JH507&lt;=$JH505),0,IF(KB$8="Per Line",1,$AF507)))),0)</f>
        <v>0</v>
      </c>
    </row>
    <row r="508" spans="1:288" s="78" customFormat="1" ht="14.95" customHeight="1" thickTop="1" thickBot="1">
      <c r="B508" s="1845"/>
      <c r="C508" s="1846"/>
      <c r="D508" s="1847"/>
      <c r="E508" s="1771" t="s">
        <v>436</v>
      </c>
      <c r="F508" s="1772"/>
      <c r="G508" s="1784" t="s">
        <v>437</v>
      </c>
      <c r="H508" s="1785"/>
      <c r="I508" s="1785"/>
      <c r="J508" s="1785"/>
      <c r="K508" s="1785"/>
      <c r="L508" s="1786"/>
      <c r="M508" s="591">
        <f>IFERROR(VLOOKUP(G508,_Daylight_Table[],2,FALSE),0)</f>
        <v>0</v>
      </c>
      <c r="N508" s="592" t="str">
        <f>IF(AND(__Retrofit_TI_NC&gt;0,CQ505="Interior"),"BAM","")</f>
        <v/>
      </c>
      <c r="O508" s="591" t="e">
        <f>VLOOKUP(G507,'Space Table'!$B$3:$L$163,11,FALSE)</f>
        <v>#N/A</v>
      </c>
      <c r="P508" s="1789"/>
      <c r="Q508" s="1790"/>
      <c r="R508" s="1790"/>
      <c r="S508" s="1788"/>
      <c r="T508" s="593" t="s">
        <v>342</v>
      </c>
      <c r="U508" s="1756" t="str" cm="1">
        <f t="array" aca="1" ref="U508" ca="1">IFERROR(VLOOKUP(INDIRECT("U" &amp; ROW()-1),Fixtures!DM$93:DP$142,4,FALSE),"")</f>
        <v/>
      </c>
      <c r="V508" s="1757"/>
      <c r="W508" s="1757"/>
      <c r="X508" s="1757"/>
      <c r="Y508" s="1757"/>
      <c r="Z508" s="1757"/>
      <c r="AA508" s="1758"/>
      <c r="AB508" s="939" t="str">
        <f>IFERROR(VLOOKUP(U507,Fixtures_Proposed_List,2,FALSE),"")</f>
        <v/>
      </c>
      <c r="AC508" s="933" t="str">
        <f>IFERROR(ROUND(T507*AB508*N506*R506/1000,0),"")</f>
        <v/>
      </c>
      <c r="AD508" s="934" t="str">
        <f>IFERROR(ROUND(T507*AB508/1000,2),"")</f>
        <v/>
      </c>
      <c r="AE508" s="998"/>
      <c r="AF508" s="938" t="s">
        <v>342</v>
      </c>
      <c r="AG508" s="1770"/>
      <c r="AH508" s="1770"/>
      <c r="AI508" s="1770"/>
      <c r="AJ508" s="1770"/>
      <c r="AK508" s="1770"/>
      <c r="AL508" s="1770"/>
      <c r="AM508" s="1727"/>
      <c r="AN508" s="1729"/>
      <c r="AO508" s="1731"/>
      <c r="AP508" s="1782"/>
      <c r="AQ508" s="1783"/>
      <c r="AR508" s="1797"/>
      <c r="AS508" s="1797"/>
      <c r="AT508" s="1798"/>
      <c r="AU508" s="1736"/>
      <c r="AV508" s="1753"/>
      <c r="AW508" s="1706"/>
      <c r="AX508" s="468"/>
      <c r="AY508" s="1750"/>
      <c r="AZ508" s="1750"/>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696"/>
      <c r="CQ508" s="1696"/>
      <c r="CR508" s="1809"/>
      <c r="CS508" s="1811"/>
      <c r="CU508" s="1688"/>
      <c r="CV508" s="1703"/>
      <c r="CW508" s="1703"/>
      <c r="CX508" s="1813"/>
      <c r="CY508" s="1815"/>
      <c r="CZ508" s="1711"/>
      <c r="DA508" s="1815"/>
      <c r="DB508" s="1821"/>
      <c r="DC508" s="1821"/>
      <c r="DD508" s="1821"/>
      <c r="DF508" s="1703"/>
      <c r="DG508" s="1831"/>
      <c r="DH508" s="1813"/>
      <c r="DI508" s="1838"/>
      <c r="DJ508" s="1711"/>
      <c r="DK508" s="1712"/>
      <c r="DN508" s="1718"/>
      <c r="DO508" s="1709"/>
      <c r="DQ508" s="1715"/>
      <c r="DR508" s="1720"/>
      <c r="DS508" s="1703"/>
      <c r="DT508" s="1714"/>
      <c r="DU508" s="1715"/>
      <c r="DV508" s="1716"/>
      <c r="DX508" s="1715"/>
      <c r="DY508" s="1720"/>
      <c r="DZ508" s="1715"/>
      <c r="EA508" s="1715"/>
      <c r="EC508" s="1834"/>
      <c r="ED508" s="1834"/>
      <c r="EF508" s="1707"/>
      <c r="EG508" s="1712"/>
      <c r="EH508" s="1815"/>
      <c r="EI508" s="1712"/>
      <c r="EJ508" s="1712"/>
      <c r="EK508" s="1813"/>
      <c r="EL508" s="1813"/>
      <c r="EM508" s="1807"/>
      <c r="EN508" s="1839"/>
      <c r="EO508" s="1839"/>
      <c r="EP508" s="1817"/>
      <c r="EQ508" s="1817"/>
      <c r="ER508" s="1807"/>
      <c r="ES508" s="1807"/>
      <c r="ET508" s="1807"/>
      <c r="EV508" s="1715"/>
      <c r="EX508" s="1806"/>
      <c r="EY508" s="1806"/>
      <c r="EZ508" s="1806"/>
      <c r="FA508" s="1806"/>
      <c r="FB508" s="1806"/>
      <c r="FC508" s="1828"/>
      <c r="FE508" s="1698"/>
      <c r="FG508" s="1703"/>
      <c r="FH508" s="1703"/>
      <c r="FI508" s="133"/>
      <c r="FL508" s="1823"/>
      <c r="FM508" s="1825"/>
      <c r="FN508" s="1698"/>
      <c r="FO508" s="1698"/>
      <c r="FP508" s="1678"/>
      <c r="FQ508" s="1698"/>
      <c r="FS508" s="1687"/>
      <c r="FT508" s="1687"/>
      <c r="FU508" s="1685"/>
      <c r="FV508" s="1687"/>
      <c r="FW508" s="1687"/>
      <c r="FX508" s="1687"/>
      <c r="FY508" s="1697"/>
      <c r="GA508" s="1696"/>
      <c r="GB508" s="1696"/>
      <c r="GC508" s="1696"/>
      <c r="GD508" s="1696"/>
      <c r="GE508" s="1696"/>
      <c r="GF508" s="1696"/>
      <c r="GG508" s="1696"/>
      <c r="GH508" s="1696"/>
      <c r="GI508" s="673"/>
      <c r="GJ508" s="1135"/>
      <c r="GK508" s="1832"/>
      <c r="GN508" s="674">
        <f>IF(GN506=TRUE,0,GN$16)</f>
        <v>0</v>
      </c>
      <c r="GP508" s="674">
        <f>IF(GP506=TRUE,0,GP$16)</f>
        <v>36</v>
      </c>
      <c r="GQ508" s="674">
        <f ca="1">IF(GQ506=TRUE,0,GQ$16)</f>
        <v>35</v>
      </c>
      <c r="GR508" s="391"/>
      <c r="GS508" s="391"/>
      <c r="GT508" s="391"/>
      <c r="GU508" s="391"/>
      <c r="GV508" s="391"/>
      <c r="HG508" s="674">
        <f>IF(HG506=TRUE,0,HG$16)</f>
        <v>0</v>
      </c>
      <c r="HH508" s="674">
        <f t="shared" ref="HH508:HM508" si="458">IF(HH506=TRUE,0,HH$16)</f>
        <v>19</v>
      </c>
      <c r="HI508" s="674">
        <f t="shared" si="458"/>
        <v>18</v>
      </c>
      <c r="HJ508" s="674">
        <f t="shared" si="458"/>
        <v>17</v>
      </c>
      <c r="HK508" s="674">
        <f t="shared" si="458"/>
        <v>16</v>
      </c>
      <c r="HL508" s="674">
        <f t="shared" si="458"/>
        <v>0</v>
      </c>
      <c r="HM508" s="674">
        <f t="shared" si="458"/>
        <v>0</v>
      </c>
      <c r="HN508" s="674">
        <f>IF(HN506=TRUE,0,HN$16)</f>
        <v>13</v>
      </c>
      <c r="HO508" s="674">
        <f t="shared" ref="HO508:HQ508" si="459">IF(HO506=TRUE,0,HO$16)</f>
        <v>0</v>
      </c>
      <c r="HP508" s="674">
        <f t="shared" si="459"/>
        <v>0</v>
      </c>
      <c r="HQ508" s="674">
        <f t="shared" si="459"/>
        <v>10</v>
      </c>
      <c r="HR508" s="674">
        <f>IF(HR506=TRUE,0,HR$16)</f>
        <v>9</v>
      </c>
      <c r="HS508" s="674">
        <f t="shared" ref="HS508:HW508" si="460">IF(HS506=TRUE,0,HS$16)</f>
        <v>0</v>
      </c>
      <c r="HT508" s="674">
        <f t="shared" si="460"/>
        <v>0</v>
      </c>
      <c r="HU508" s="674">
        <f t="shared" si="460"/>
        <v>0</v>
      </c>
      <c r="HV508" s="674">
        <f t="shared" si="460"/>
        <v>0</v>
      </c>
      <c r="HW508" s="674">
        <f t="shared" si="460"/>
        <v>0</v>
      </c>
      <c r="HX508" s="674">
        <f>IF(HX506=TRUE,0,HX$16)</f>
        <v>0</v>
      </c>
      <c r="HY508" s="674">
        <f>IF(HY506=TRUE,0,HY$16)</f>
        <v>0</v>
      </c>
      <c r="HZ508" s="674">
        <f>IF(HZ506=TRUE,0,HZ$16)</f>
        <v>1</v>
      </c>
      <c r="IB508" s="674">
        <f>IF(GP506=FALSE,GP508,IF(GQ506=FALSE,GQ508,MAX(GN508:HZ508)))</f>
        <v>36</v>
      </c>
      <c r="IC508" s="1692"/>
      <c r="ID508" s="205" t="str">
        <f>VLOOKUP(IB508,_Error_Table,3,FALSE)</f>
        <v xml:space="preserve"> </v>
      </c>
      <c r="IE508" s="205"/>
      <c r="IF508" s="1688"/>
      <c r="IG508" s="1689"/>
      <c r="IH508" s="1684"/>
      <c r="IK508" s="1689"/>
      <c r="IL508" s="1692"/>
      <c r="IM508" s="1692"/>
      <c r="IN508" s="1692"/>
      <c r="IP508" s="1679"/>
      <c r="IQ508" s="1679"/>
      <c r="IR508" s="1679"/>
      <c r="IS508" s="1679"/>
      <c r="IT508" s="1679"/>
      <c r="IU508" s="1679"/>
      <c r="IV508" s="1679"/>
      <c r="IW508" s="1679"/>
      <c r="IX508" s="1679"/>
      <c r="IY508" s="1679"/>
      <c r="IZ508" s="1679"/>
      <c r="JA508" s="1679"/>
      <c r="JC508" s="1680"/>
      <c r="JD508" s="1670"/>
      <c r="JE508" s="1681"/>
      <c r="JG508" s="1680"/>
      <c r="JH508" s="1670"/>
      <c r="JI508" s="1060"/>
      <c r="JJ508" s="1670"/>
      <c r="JK508" s="1061"/>
      <c r="JL508" s="1670"/>
      <c r="JM508" s="1061"/>
      <c r="JN508" s="1670"/>
      <c r="JO508" s="1061"/>
      <c r="JP508" s="1670"/>
      <c r="JQ508" s="1061"/>
      <c r="JR508" s="1670"/>
      <c r="JS508" s="1061"/>
      <c r="JT508" s="1670"/>
      <c r="JU508" s="1061"/>
      <c r="JV508" s="1670"/>
      <c r="JX508" s="1670"/>
      <c r="JZ508" s="1670"/>
      <c r="KB508" s="1670"/>
    </row>
    <row r="509" spans="1:288" s="78" customFormat="1" ht="5.0999999999999996" customHeight="1">
      <c r="B509" s="676"/>
      <c r="C509" s="392"/>
      <c r="D509" s="392"/>
      <c r="E509" s="1733"/>
      <c r="F509" s="1733"/>
      <c r="G509" s="1733"/>
      <c r="H509" s="1733"/>
      <c r="I509" s="1733"/>
      <c r="J509" s="1733"/>
      <c r="K509" s="1733"/>
      <c r="L509" s="1733"/>
      <c r="M509" s="1733"/>
      <c r="N509" s="1733"/>
      <c r="O509" s="1733"/>
      <c r="P509" s="1733"/>
      <c r="Q509" s="1733"/>
      <c r="R509" s="1733"/>
      <c r="S509" s="1733"/>
      <c r="T509" s="1733"/>
      <c r="U509" s="1733"/>
      <c r="V509" s="1733"/>
      <c r="W509" s="1733"/>
      <c r="X509" s="1733"/>
      <c r="Y509" s="1733"/>
      <c r="Z509" s="1733"/>
      <c r="AA509" s="1733"/>
      <c r="AB509" s="1733"/>
      <c r="AC509" s="1733"/>
      <c r="AD509" s="1733"/>
      <c r="AE509" s="1733"/>
      <c r="AF509" s="1733"/>
      <c r="AG509" s="1733"/>
      <c r="AH509" s="1733"/>
      <c r="AI509" s="1733"/>
      <c r="AJ509" s="1733"/>
      <c r="AK509" s="1733"/>
      <c r="AL509" s="1733"/>
      <c r="AM509" s="1733"/>
      <c r="AN509" s="1733"/>
      <c r="AO509" s="1733"/>
      <c r="AP509" s="1733"/>
      <c r="AQ509" s="1733"/>
      <c r="AR509" s="1733"/>
      <c r="AS509" s="1733"/>
      <c r="AT509" s="1733"/>
      <c r="AU509" s="1733"/>
      <c r="AV509" s="1733"/>
      <c r="AW509" s="1733"/>
      <c r="AX509" s="469"/>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663"/>
      <c r="CQ509" s="663"/>
      <c r="CR509" s="438"/>
      <c r="CS509" s="663"/>
      <c r="CV509" s="391"/>
      <c r="CW509" s="391"/>
      <c r="CX509" s="207"/>
      <c r="CY509" s="208"/>
      <c r="CZ509" s="208"/>
      <c r="DA509" s="208"/>
      <c r="DB509" s="209"/>
      <c r="DC509" s="209"/>
      <c r="DD509" s="209"/>
      <c r="DF509" s="664"/>
      <c r="DG509" s="665"/>
      <c r="DH509" s="666"/>
      <c r="DI509" s="667"/>
      <c r="DJ509" s="668"/>
      <c r="DK509" s="668"/>
      <c r="DN509" s="208"/>
      <c r="DO509" s="664"/>
      <c r="DQ509" s="664"/>
      <c r="DR509" s="669"/>
      <c r="DS509" s="391"/>
      <c r="DT509" s="664"/>
      <c r="DU509" s="664"/>
      <c r="DV509" s="664"/>
      <c r="DX509" s="664"/>
      <c r="DY509" s="664"/>
      <c r="DZ509" s="664"/>
      <c r="EA509" s="664"/>
      <c r="EC509" s="670"/>
      <c r="ED509" s="670"/>
      <c r="EF509" s="668"/>
      <c r="EG509" s="668"/>
      <c r="EH509" s="208"/>
      <c r="EI509" s="668"/>
      <c r="EJ509" s="668"/>
      <c r="EK509" s="207"/>
      <c r="EL509" s="207"/>
      <c r="EM509" s="666"/>
      <c r="EN509" s="671"/>
      <c r="EO509" s="671"/>
      <c r="EP509" s="672"/>
      <c r="EQ509" s="672"/>
      <c r="ER509" s="666"/>
      <c r="ES509" s="666"/>
      <c r="ET509" s="666"/>
      <c r="EV509" s="664"/>
      <c r="EX509" s="391"/>
      <c r="EY509" s="391"/>
      <c r="EZ509" s="391"/>
      <c r="FA509" s="391"/>
      <c r="FB509" s="391"/>
      <c r="FC509" s="391"/>
      <c r="FE509" s="569"/>
      <c r="FG509" s="391"/>
      <c r="FH509" s="391"/>
      <c r="FI509" s="391"/>
      <c r="FS509" s="664"/>
      <c r="FT509" s="391"/>
      <c r="FU509" s="391"/>
      <c r="FV509" s="664"/>
      <c r="FW509" s="664"/>
      <c r="GA509" s="663"/>
      <c r="GB509" s="663"/>
      <c r="GC509" s="663"/>
      <c r="GD509" s="663"/>
      <c r="GE509" s="663"/>
      <c r="GF509" s="663"/>
      <c r="GG509" s="663"/>
      <c r="GH509" s="663"/>
      <c r="GI509" s="665"/>
      <c r="GJ509" s="664"/>
      <c r="GK509" s="664"/>
    </row>
    <row r="510" spans="1:288" s="78" customFormat="1" ht="14.95" customHeight="1">
      <c r="B510" s="1845" t="str">
        <f>ID513</f>
        <v xml:space="preserve"> </v>
      </c>
      <c r="C510" s="1846">
        <f>C505+1</f>
        <v>90</v>
      </c>
      <c r="D510" s="1847"/>
      <c r="E510" s="1799" t="s">
        <v>295</v>
      </c>
      <c r="F510" s="1800"/>
      <c r="G510" s="1741"/>
      <c r="H510" s="1742"/>
      <c r="I510" s="1742"/>
      <c r="J510" s="1742"/>
      <c r="K510" s="1742"/>
      <c r="L510" s="1742"/>
      <c r="M510" s="1742"/>
      <c r="N510" s="1742"/>
      <c r="O510" s="1742"/>
      <c r="P510" s="1742"/>
      <c r="Q510" s="1742"/>
      <c r="R510" s="1742"/>
      <c r="S510" s="1791" t="s">
        <v>344</v>
      </c>
      <c r="T510" s="590"/>
      <c r="U510" s="1743"/>
      <c r="V510" s="1744"/>
      <c r="W510" s="1744"/>
      <c r="X510" s="1744"/>
      <c r="Y510" s="1744"/>
      <c r="Z510" s="1744"/>
      <c r="AA510" s="1744"/>
      <c r="AB510" s="961" t="str">
        <f>IFERROR(IF(__Retrofit_TI_NC=0,VLOOKUP(U511,Fixtures_Existing_List,2,FALSE),ROUND(N512*R512/T512,10)),"")</f>
        <v/>
      </c>
      <c r="AC510" s="935" t="str">
        <f>IFERROR(IF(__Retrofit_TI_NC=0,ROUND(T511*AB510*N511*R511/1000,0),IF(CQ510="Interior",N512*R512*R511*N511*_C406_reduction/1000,N512*R512*R511*N511/1000)),"")</f>
        <v/>
      </c>
      <c r="AD510" s="936" t="str">
        <f>IFERROR(IF(C$43=0,ROUND(T511*AB510/1000,2),N512*R512/1000),"")</f>
        <v/>
      </c>
      <c r="AE510" s="997"/>
      <c r="AF510" s="937"/>
      <c r="AG510" s="1745" t="str">
        <f>IF(__Retrofit_TI_NC=0," Control","Select Advanced Control for New System")</f>
        <v xml:space="preserve"> Control</v>
      </c>
      <c r="AH510" s="1745"/>
      <c r="AI510" s="1745"/>
      <c r="AJ510" s="1745"/>
      <c r="AK510" s="1745"/>
      <c r="AL510" s="1745"/>
      <c r="AM510" s="1746">
        <f>IFERROR(DI510,"")</f>
        <v>0</v>
      </c>
      <c r="AN510" s="1774" t="str">
        <f>IFERROR(ROUND(AM510*AC510,0),"")</f>
        <v/>
      </c>
      <c r="AO510" s="1776">
        <f>IFERROR(IF(IB510=FALSE,0,AC510-AN510),0)</f>
        <v>0</v>
      </c>
      <c r="AP510" s="1778">
        <f>AO510-AO512</f>
        <v>0</v>
      </c>
      <c r="AQ510" s="1779"/>
      <c r="AR510" s="1793">
        <f>IFERROR(IF(IB510=FALSE,0,(T512*U513)+(AF512*AG513)),0)</f>
        <v>0</v>
      </c>
      <c r="AS510" s="1793"/>
      <c r="AT510" s="1794"/>
      <c r="AU510" s="1734" t="s">
        <v>237</v>
      </c>
      <c r="AV510" s="1751">
        <f>IF(AU510="Yes",1,0)</f>
        <v>1</v>
      </c>
      <c r="AW510" s="1704" t="str">
        <f>IF(OR(DQ510=4,DQ510=5,DQ510=6,DQ510=12),CONCATENATE("$",IF(GH510=TRUE,Lookup!$K$10,Lookup!$K$2)," /lamp"),CONCATENATE(TEXT(ED510,"$0.00"),"/ kWh"))</f>
        <v>$0.00/ kWh</v>
      </c>
      <c r="AX510" s="467"/>
      <c r="AY510" s="1748">
        <f ca="1">IFERROR(IF(GM511=TRUE,(AB513*T512)/R512,0),"NA")</f>
        <v>0</v>
      </c>
      <c r="AZ510" s="1748"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696" t="str">
        <f>N511</f>
        <v/>
      </c>
      <c r="CQ510" s="1696" t="str">
        <f>IFERROR(VLOOKUP(G511,_Lookup_Heat_Type_Table_New,3,FALSE),"")</f>
        <v/>
      </c>
      <c r="CR510" s="1808" t="str">
        <f>CQ510</f>
        <v/>
      </c>
      <c r="CS510" s="1810" t="str">
        <f>IFERROR(VLOOKUP(G512,'Space Table'!$B$3:$L$163,9,FALSE),"")</f>
        <v/>
      </c>
      <c r="CU510" s="1688" t="s">
        <v>344</v>
      </c>
      <c r="CV510" s="1702">
        <f>IF(IB510=TRUE,T511,0)</f>
        <v>0</v>
      </c>
      <c r="CW510" s="1702" t="str">
        <f>IF(IB510=TRUE,U511,"")</f>
        <v/>
      </c>
      <c r="CX510" s="1702"/>
      <c r="CY510" s="1814">
        <f>IF(IB510=TRUE,AB510,0)</f>
        <v>0</v>
      </c>
      <c r="CZ510" s="1710">
        <f>IF(AND(__Retrofit_TI_NC&gt;0,CR510="interior"),0,IF(IB510=TRUE,AC510,0))</f>
        <v>0</v>
      </c>
      <c r="DA510" s="1814">
        <f>IFERROR(IF(IB510=TRUE,CZ510-CZ512,0),0)</f>
        <v>0</v>
      </c>
      <c r="DB510" s="1819">
        <f>IF(IB510=TRUE,AD510,0)</f>
        <v>0</v>
      </c>
      <c r="DC510" s="1819">
        <f>IF(IB510=TRUE,AD513,0)</f>
        <v>0</v>
      </c>
      <c r="DD510" s="1819">
        <f>IFERROR(DB510-DC510,0)</f>
        <v>0</v>
      </c>
      <c r="DF510" s="1702">
        <f>IF(IB510=TRUE,AF511,0)</f>
        <v>0</v>
      </c>
      <c r="DG510" s="1830">
        <f>IFERROR(IF(__Retrofit_TI_NC=2,IF(CQ510="Exterior",O513,FQ510),FN510),"")</f>
        <v>0</v>
      </c>
      <c r="DH510" s="1702"/>
      <c r="DI510" s="1837">
        <f>JE510</f>
        <v>0</v>
      </c>
      <c r="DJ510" s="1710">
        <f>IF(AND(__Retrofit_TI_NC&gt;0,CR510="interior"),0,IF(IB510=TRUE,AN510,0))</f>
        <v>0</v>
      </c>
      <c r="DK510" s="1712">
        <f>IFERROR(IF(IB510=TRUE,DJ512-DJ510,0),0)</f>
        <v>0</v>
      </c>
      <c r="DM510" s="1717">
        <f>IFERROR(CZ510-DJ510,0)</f>
        <v>0</v>
      </c>
      <c r="DO510" s="1708">
        <f>DM510-DN512</f>
        <v>0</v>
      </c>
      <c r="DQ510" s="1715" t="str">
        <f>IFERROR(IF(AND(OR(GC510=4,GC510=5,GC510=6),OR(GF510=4,GF510=5,GF510=6)),GC510+8,VLOOKUP(CW512,Fixtures!R$31:Y$78,8,FALSE)),"")</f>
        <v/>
      </c>
      <c r="DR510" s="1829" t="str">
        <f>DQ510</f>
        <v/>
      </c>
      <c r="DS510" s="1702" t="str">
        <f>IFERROR(VLOOKUP(DG512,Lookup!BB$3:BC$20,2,FALSE),"")</f>
        <v/>
      </c>
      <c r="DT510" s="1713" t="str">
        <f>IF(OR(DS510=7,DS510=8,DS510=9),"ALC","")</f>
        <v/>
      </c>
      <c r="DU510" s="1715">
        <f>IFERROR(IF(OR(DQ510=4,DQ510=5,DQ510=6,DQ510=12,DQ510=13,DQ510=14),VLOOKUP(CW512,Fixtures!DN$27:EG$77,19,FALSE),1)*CV512,0)</f>
        <v>0</v>
      </c>
      <c r="DV510" s="1716">
        <f>IF(OR(DS510=7,DS510=8,DS510=9),IF(DG510=DG512,0,DF512),0)</f>
        <v>0</v>
      </c>
      <c r="DX510" s="1715" t="str">
        <f>IFERROR(IF(EZ510&lt;EZ512,"Yes","No"),"")</f>
        <v/>
      </c>
      <c r="DY510" s="1829" t="str">
        <f>DX510</f>
        <v/>
      </c>
      <c r="DZ510" s="1715">
        <f>IF(DX510="Yes",DF512,0)</f>
        <v>0</v>
      </c>
      <c r="EA510" s="1715">
        <f>DZ510-DV510</f>
        <v>0</v>
      </c>
      <c r="EC510" s="1834">
        <f>IFERROR(VLOOKUP(DQ510,Lookup!AU$3:AV$16,2,FALSE),0)</f>
        <v>0</v>
      </c>
      <c r="ED510" s="1834">
        <f>IF(IB510=FALSE,0,IF(DX510="Yes",EC510+Lookup!K$6,EC510))</f>
        <v>0</v>
      </c>
      <c r="EF510" s="1707">
        <f>IF(IB510=TRUE,DM510,0)</f>
        <v>0</v>
      </c>
      <c r="EG510" s="1712">
        <f>IF(IB510=TRUE,CZ512,0)</f>
        <v>0</v>
      </c>
      <c r="EH510" s="1814">
        <f>IFERROR(EF510-EG510,0)</f>
        <v>0</v>
      </c>
      <c r="EI510" s="1712">
        <f>IF(IB510=TRUE,DJ512,0)</f>
        <v>0</v>
      </c>
      <c r="EJ510" s="1712">
        <f>IFERROR(EF510-EG510+EI510,0)</f>
        <v>0</v>
      </c>
      <c r="EK510" s="1812">
        <f>IF(IB510=TRUE,CV512*CX512,0)</f>
        <v>0</v>
      </c>
      <c r="EL510" s="1812">
        <f>IF(IB510=TRUE,DF512*DH512,0)</f>
        <v>0</v>
      </c>
      <c r="EM510" s="1807">
        <f>AR510</f>
        <v>0</v>
      </c>
      <c r="EN510" s="1839" t="str">
        <f>IFERROR(IF(IB510=TRUE,VLOOKUP(DQ510,Lookup!AU$3:AW$16,3,FALSE)*DU510,""),0)</f>
        <v/>
      </c>
      <c r="EO510" s="1839">
        <f>IF(IB510=TRUE,DZ510*Lookup!AW$12,0)</f>
        <v>0</v>
      </c>
      <c r="EP510" s="1817">
        <f>IFERROR(IF(IB510=TRUE,EN510/EP$40,0),0)</f>
        <v>0</v>
      </c>
      <c r="EQ510" s="1817">
        <f>IF(IB510=TRUE,EO510/EQ$40,0)</f>
        <v>0</v>
      </c>
      <c r="ER510" s="1807">
        <f>IF(IB510=TRUE,ET$40*EP510,0)</f>
        <v>0</v>
      </c>
      <c r="ES510" s="1807">
        <f>IF(IB510=TRUE,ET$40*EQ510,0)</f>
        <v>0</v>
      </c>
      <c r="ET510" s="1807">
        <f>ER510+ES510</f>
        <v>0</v>
      </c>
      <c r="EV510" s="1715">
        <f>IF(G510="",0,1)</f>
        <v>0</v>
      </c>
      <c r="EX510" s="1804" t="str">
        <f>IFERROR(VLOOKUP(CS512,'Space Table'!$B$3:$L$163,8,FALSE),"")</f>
        <v/>
      </c>
      <c r="EY510" s="1804" t="str">
        <f>IFERROR(IF(FB510="Yes",VLOOKUP(DG510,Lookup_Control_Type_Table2,4,FALSE),VLOOKUP(DG510,Lookup_Control_Type_Table2,3,FALSE)),"")</f>
        <v/>
      </c>
      <c r="EZ510" s="1804" t="e">
        <f>VLOOKUP(DG510,Lookup!BB$3:BC$20,2,FALSE)</f>
        <v>#N/A</v>
      </c>
      <c r="FA510" s="1804" t="e">
        <f>VLOOKUP(EX510,Lookup_Control_Type_Table,2,FALSE)</f>
        <v>#N/A</v>
      </c>
      <c r="FB510" s="1804" t="e">
        <f>VLOOKUP(CS512,'Space Table'!$B$3:$L$163,7,FALSE)</f>
        <v>#N/A</v>
      </c>
      <c r="FC510" s="1826" t="b">
        <f>ISNUMBER(SEARCH("TLED",U512))</f>
        <v>0</v>
      </c>
      <c r="FE510" s="1698" t="str">
        <f>CONCATENATE(CQ510," - ",DG510)</f>
        <v xml:space="preserve"> - 0</v>
      </c>
      <c r="FG510" s="1702" t="str">
        <f>VLOOKUP(CW512,Fixtures!DN$27:EZ$77,38,FALSE)</f>
        <v/>
      </c>
      <c r="FH510" s="1702">
        <f>IFERROR(FG510*EH510,0)</f>
        <v>0</v>
      </c>
      <c r="FI510" s="133"/>
      <c r="FL510" s="1822" t="str">
        <f>IF(CQ510="Exterior","Not Daylighted",G513)</f>
        <v>Not Daylighted</v>
      </c>
      <c r="FM510" s="1824">
        <f>VLOOKUP(FL510,_New_Daylight_Table_Codes,2,FALSE)</f>
        <v>0</v>
      </c>
      <c r="FN510" s="1698">
        <f>IF(__Retrofit_TI_NC&gt;0,VLOOKUP(G512,'Space Table'!$B$3:$L$163,11,FALSE),AG511)</f>
        <v>0</v>
      </c>
      <c r="FO510" s="1698" t="e">
        <f>IF(__Retrofit_TI_NC=2,VLOOKUP(FQ510,_Control_Table,2,FALSE),VLOOKUP(FN510,_Control_Table,2,FALSE))</f>
        <v>#N/A</v>
      </c>
      <c r="FP510" s="1678" t="e">
        <f>VLOOKUP(CONCATENATE(FL510," ",FN510),Lookup!AY$102:AZ520,2,FALSE)</f>
        <v>#N/A</v>
      </c>
      <c r="FQ510" s="1678">
        <f>IF(__Retrofit_TI_NC=0,FN510,IF(AND(FT510&gt;0,FN510="Occupancy Sensor"),"Daylight + Occupancy",IF(AND(FT510&gt;0,VLOOKUP(FN510,_Control_Table,2,FALSE)&lt;4),"Interior Daylight Dimming",FN510)))</f>
        <v>0</v>
      </c>
      <c r="FS510" s="1686">
        <f>IF(CR510="Interior",VLOOKUP(CS510,Control_Savings_Interior,5,FALSE),0)</f>
        <v>0</v>
      </c>
      <c r="FT510" s="1687">
        <f>IF(CQ510="Exterior",0,IF(FM510=2,0.5,IF(OR(FM510=1,FM510=3),1,0)))</f>
        <v>0</v>
      </c>
      <c r="FU510" s="1685">
        <f>IF(R509&gt;FS$44,(FS510*(FS$44/R509)),FS510)*FT510</f>
        <v>0</v>
      </c>
      <c r="FV510" s="1686">
        <f>DI510</f>
        <v>0</v>
      </c>
      <c r="FW510" s="1686">
        <f>ROUND(FV510+((1-FV510)*FU510),2)</f>
        <v>0</v>
      </c>
      <c r="FX510" s="1686">
        <f>IF(__Retrofit_TI_NC=2,FW510,FV510)</f>
        <v>0</v>
      </c>
      <c r="FY510" s="1697"/>
      <c r="GA510" s="1696" t="str">
        <f>IFERROR(VLOOKUP(U511,_Exist_Fixture_Table,3,FALSE),"")</f>
        <v/>
      </c>
      <c r="GB510" s="1696" t="str">
        <f>VLOOKUP(CW510,_Exist_Fixture_Table,4,FALSE)</f>
        <v/>
      </c>
      <c r="GC510" s="1696">
        <f>IFERROR(VLOOKUP(GB510,Lookup!AT$6:AU$8,2,FALSE),0)</f>
        <v>0</v>
      </c>
      <c r="GD510" s="1696" t="b">
        <f>IFERROR(IF(OR(GF510=4,GF510=5,GF510=6),TRUE,FALSE),"")</f>
        <v>0</v>
      </c>
      <c r="GE510" s="1696" t="str">
        <f>IFERROR(VLOOKUP(GF510,GC$6:GD$10,2,FALSE),"")</f>
        <v/>
      </c>
      <c r="GF510" s="1696" t="str">
        <f>VLOOKUP(CW512,Fixtures!R$31:Y$78,8,FALSE)</f>
        <v/>
      </c>
      <c r="GG510" s="1696">
        <f>IF(AND(GA510=TRUE,GD510=TRUE,OR(DQ510=12,DQ510=13,DQ510=14)),GC510+8,0)</f>
        <v>0</v>
      </c>
      <c r="GH510" s="1696" t="b">
        <f>IF(OR(GG510=12,GG510=13,GG510=14),TRUE,FALSE)</f>
        <v>0</v>
      </c>
      <c r="GI510" s="673" t="b">
        <f>IF(ISNUMBER(SEARCH("TLED",U511)),TRUE,FALSE)</f>
        <v>0</v>
      </c>
      <c r="GJ510" s="1135" t="str">
        <f>IFERROR(VLOOKUP(U511,Fixtures!BM$93:BR$142,6,FALSE),"")</f>
        <v/>
      </c>
      <c r="GK510" s="1832" t="b">
        <f>IF(OR(GI510=FALSE,GI512=FALSE),TRUE,IF(GJ510-GJ512&lt;5,FALSE,TRUE))</f>
        <v>1</v>
      </c>
      <c r="GO510" s="674">
        <f>GP510</f>
        <v>0</v>
      </c>
      <c r="GP510" s="674">
        <f>IF(G510="",0,1)</f>
        <v>0</v>
      </c>
      <c r="GQ510" s="674">
        <f ca="1">SUM(GR510:HF510)</f>
        <v>2</v>
      </c>
      <c r="GR510" s="674">
        <f>IF(G511="",0,1)</f>
        <v>0</v>
      </c>
      <c r="GS510" s="674">
        <f>IF(N513="BAM",1,IF(G512="",0,1))</f>
        <v>0</v>
      </c>
      <c r="GT510" s="674">
        <f>IF(N513="BAM",1,IF(R511="",0,1))</f>
        <v>0</v>
      </c>
      <c r="GU510" s="674">
        <f>IF(N513="BAM",1,IF(__Retrofit_TI_NC=0,1,IF(R512="",0,1)))</f>
        <v>1</v>
      </c>
      <c r="GV510" s="674">
        <f>IF(N513="BAM",1,IF(CQ510="Exterior",1,IF(G513="",0,1)))</f>
        <v>1</v>
      </c>
      <c r="GW510" s="674">
        <f>IF(__Retrofit_TI_NC&gt;0,1,IF(T511="",0,1))</f>
        <v>0</v>
      </c>
      <c r="GX510" s="674">
        <f>IF(__Retrofit_TI_NC&gt;0,1,IF(U511="",0,1))</f>
        <v>0</v>
      </c>
      <c r="GY510" s="674">
        <f>IF(N513="BAM",1,IF(T512="",0,1))</f>
        <v>0</v>
      </c>
      <c r="GZ510" s="674">
        <f>IF(N513="BAM",1,IF(U512="",0,1))</f>
        <v>0</v>
      </c>
      <c r="HA510" s="674">
        <f ca="1">IF(N513="BAM",1,IF(__Retrofit_TI_NC&gt;0,1,IF(U513="",0,1)))</f>
        <v>0</v>
      </c>
      <c r="HB510" s="674">
        <f>IF(__Retrofit_TI_NC&lt;&gt;0,1,IF(AF511="",0,1))</f>
        <v>0</v>
      </c>
      <c r="HC510" s="674">
        <f>IF(__Retrofit_TI_NC&lt;&gt;0,1,IF(AG511="",0,1))</f>
        <v>0</v>
      </c>
      <c r="HD510" s="674">
        <f>IF(N513="BAM",1,IF(AF512="",0,1))</f>
        <v>0</v>
      </c>
      <c r="HE510" s="674">
        <f>IF(N513="BAM",1,IF(AG512="",0,1))</f>
        <v>0</v>
      </c>
      <c r="HF510" s="674">
        <f>IF(N513="BAM",1,IF(__Retrofit_TI_NC&gt;0,1,IF(AG513="",0,1)))</f>
        <v>0</v>
      </c>
      <c r="HG510" s="391"/>
      <c r="IA510" s="391"/>
      <c r="IB510" s="1693" t="b">
        <f>IF(OR(IB513=0,IB513=HY$16,IB513=HX$16,IB513=HZ$16),TRUE,FALSE)</f>
        <v>0</v>
      </c>
      <c r="IC510" s="1694" t="b">
        <f>IB510</f>
        <v>0</v>
      </c>
      <c r="ID510" s="391"/>
      <c r="IE510" s="391"/>
      <c r="IF510" s="1688" t="b">
        <f ca="1">IF(MAX(GN513:HU513)&gt;5,FALSE,TRUE)</f>
        <v>0</v>
      </c>
      <c r="IG510" s="1689">
        <f ca="1">IF(IF510=TRUE,AC510,0)</f>
        <v>0</v>
      </c>
      <c r="IH510" s="1689">
        <f ca="1">IG510-IG512</f>
        <v>0</v>
      </c>
      <c r="IK510" s="1689" t="e">
        <f>ROUND(T511*VLOOKUP(U511,Fixtures_Existing_List,2,FALSE)*N511*R511/1000,0)</f>
        <v>#N/A</v>
      </c>
      <c r="IL510" s="1690" t="e">
        <f>IK510-IK512</f>
        <v>#N/A</v>
      </c>
      <c r="IM510" s="1693" t="e">
        <f>ROUND(IF(CQ510="Interior",N512*R512*R511*N511*_C406_reduction/1000,N512*R512*R511*N511/1000),0)</f>
        <v>#N/A</v>
      </c>
      <c r="IN510" s="1693" t="e">
        <f>IM510-IM512</f>
        <v>#N/A</v>
      </c>
      <c r="IP510" s="1679"/>
      <c r="IQ510" s="1679" t="e">
        <f t="shared" ref="IQ510:IU510" si="461">IF($CR510="interior",VLOOKUP($CS510,_New_Control_Savings_Interior,IQ$30,FALSE),VLOOKUP($CS510,Control_Savings_Exterior,IQ$30,FALSE))</f>
        <v>#N/A</v>
      </c>
      <c r="IR510" s="1679" t="e">
        <f t="shared" si="461"/>
        <v>#N/A</v>
      </c>
      <c r="IS510" s="1679" t="e">
        <f t="shared" si="461"/>
        <v>#N/A</v>
      </c>
      <c r="IT510" s="1679" t="e">
        <f t="shared" si="461"/>
        <v>#N/A</v>
      </c>
      <c r="IU510" s="1679" t="e">
        <f t="shared" si="461"/>
        <v>#N/A</v>
      </c>
      <c r="IV510" s="1679" t="e">
        <f>IF($CR510="interior",IF(R511&gt;$IP$14,ROUND(($IV$18*($IP$14/R511)),2),$IV$18),VLOOKUP($CS510,Control_Savings_Exterior,IV$30,FALSE))</f>
        <v>#N/A</v>
      </c>
      <c r="IW510" s="1679" t="e">
        <f>IF($CR510="interior",ROUND(((1-IS510)*IV510)+IS510,2),VLOOKUP($CS510,Control_Savings_Exterior,IW$30,FALSE))</f>
        <v>#N/A</v>
      </c>
      <c r="IX510" s="1679" t="e">
        <f>IF($CR510="interior",ROUND(((1-IT510)*IV510)+IT510,2),VLOOKUP($CS510,Control_Savings_Exterior,IX$30,FALSE))</f>
        <v>#N/A</v>
      </c>
      <c r="IY510" s="1679" t="e">
        <f>IF($CR510="interior",IF(R511&gt;$IP$14,ROUND(($IY$18*($IP$14/R511)),2),$IY$18),VLOOKUP($CS510,Control_Savings_Exterior,IY$30,FALSE))</f>
        <v>#N/A</v>
      </c>
      <c r="IZ510" s="1679" t="e">
        <f>IF($CR510="interior",ROUND(((1-IS510)*IY510)+IS510,2),VLOOKUP($CS510,Control_Savings_Exterior,IZ$30,FALSE))</f>
        <v>#N/A</v>
      </c>
      <c r="JA510" s="1679" t="e">
        <f>IF($CR510="interior",ROUND(((1-IT510)*IY510)+IT510,2),VLOOKUP($CS510,Control_Savings_Exterior,JA$30,FALSE))</f>
        <v>#N/A</v>
      </c>
      <c r="JC510" s="1680">
        <f>IFERROR(IF(CR510="Interior",CONCATENATE(G513," ",FQ510),FQ510),"")</f>
        <v>0</v>
      </c>
      <c r="JD510" s="1670" t="str">
        <f>IFERROR(VLOOKUP(JC510,_Controls_2023,2,FALSE),"")</f>
        <v/>
      </c>
      <c r="JE510" s="1681">
        <f>IFERROR(CHOOSE(JD510-1,IQ510,IR510,IS510,IT510,IU510,IV510,IW510,IX510,IY510,IZ510,JA510),0)</f>
        <v>0</v>
      </c>
      <c r="JG510" s="1680" t="str">
        <f>FE510</f>
        <v xml:space="preserve"> - 0</v>
      </c>
      <c r="JH510" s="1670" t="e">
        <f>$FO510</f>
        <v>#N/A</v>
      </c>
      <c r="JI510" s="1060"/>
      <c r="JJ510" s="1682" t="b">
        <f>IF($JG512=CONCATENATE("Interior - ",JJ$4),TRUE,FALSE)</f>
        <v>0</v>
      </c>
      <c r="JK510" s="1061"/>
      <c r="JL510" s="1682" t="b">
        <f>IF($JG512=CONCATENATE("Interior - ",JL$4),TRUE,FALSE)</f>
        <v>0</v>
      </c>
      <c r="JM510" s="1061"/>
      <c r="JN510" s="1682" t="b">
        <f>IF($JG512=CONCATENATE("Interior - ",JN$4),TRUE,FALSE)</f>
        <v>0</v>
      </c>
      <c r="JO510" s="1061"/>
      <c r="JP510" s="1682" t="b">
        <f>IF(__Retrofit_TI_NC&gt;0,FALSE,IF($JG512=CONCATENATE("Interior - ",JP$4),TRUE,FALSE))</f>
        <v>0</v>
      </c>
      <c r="JQ510" s="1061"/>
      <c r="JR510" s="1682" t="b">
        <f>IF(__Retrofit_TI_NC&gt;0,FALSE,IF($JG512=CONCATENATE("Interior - ",JR$4),TRUE,FALSE))</f>
        <v>0</v>
      </c>
      <c r="JS510" s="1061"/>
      <c r="JT510" s="1670" t="b">
        <f>IF(__Retrofit_TI_NC&gt;0,FALSE,IF($JG512=CONCATENATE("Interior - ",JT$4),TRUE,FALSE))</f>
        <v>0</v>
      </c>
      <c r="JU510" s="1061"/>
      <c r="JV510" s="1670" t="b">
        <f>IF(JC512="AELC on Existing",TRUE,FALSE)</f>
        <v>0</v>
      </c>
      <c r="JX510" s="1670" t="b">
        <f>IF(OR(JG512="Exterior - AELC Occupancy based",JG512="Exterior - AELC Time based"),TRUE,FALSE)</f>
        <v>0</v>
      </c>
      <c r="JZ510" s="1682" t="b">
        <f>IF($JG512=CONCATENATE("Exterior - ",JZ$4),TRUE,FALSE)</f>
        <v>0</v>
      </c>
      <c r="KB510" s="1670" t="b">
        <f>IF(__Retrofit_TI_NC&gt;0,FALSE,IF($JG512=CONCATENATE("Interior - ",KB$4),TRUE,FALSE))</f>
        <v>0</v>
      </c>
    </row>
    <row r="511" spans="1:288" s="78" customFormat="1" ht="14.95" customHeight="1" thickTop="1" thickBot="1">
      <c r="B511" s="1845"/>
      <c r="C511" s="1846"/>
      <c r="D511" s="1847"/>
      <c r="E511" s="1737" t="s">
        <v>297</v>
      </c>
      <c r="F511" s="1738"/>
      <c r="G511" s="1739"/>
      <c r="H511" s="1739"/>
      <c r="I511" s="1739"/>
      <c r="J511" s="1739"/>
      <c r="K511" s="1739"/>
      <c r="L511" s="1739"/>
      <c r="M511" s="461" t="e">
        <f>IF(__Retrofit_TI_NC&lt;&gt;0,IF(VLOOKUP(G512,'Space Table'!$B$3:$L$163,3,FALSE)&gt;0,1,0),IF(__Retrofit_TI_NC=VLOOKUP(G512,'Space Table'!$B$3:$L$163,3,FALSE),1,0))</f>
        <v>#N/A</v>
      </c>
      <c r="N511" s="461" t="str">
        <f>IFERROR(VLOOKUP(G511,_Lookup_Heat_Type_Table_New,2,FALSE),"")</f>
        <v/>
      </c>
      <c r="O511" s="461">
        <f>IF(__Retrofit_TI_NC=1,CONCATENATE("TI ",G511),IF(__Retrofit_TI_NC=2,CONCATENATE("NC ",G511),G511))</f>
        <v>0</v>
      </c>
      <c r="P511" s="1740" t="s">
        <v>435</v>
      </c>
      <c r="Q511" s="1740"/>
      <c r="R511" s="595"/>
      <c r="S511" s="1792"/>
      <c r="T511" s="597"/>
      <c r="U511" s="1765"/>
      <c r="V511" s="1766"/>
      <c r="W511" s="1766"/>
      <c r="X511" s="1766"/>
      <c r="Y511" s="1766"/>
      <c r="Z511" s="1766"/>
      <c r="AA511" s="1766"/>
      <c r="AB511" s="1766"/>
      <c r="AC511" s="1766"/>
      <c r="AD511" s="1767"/>
      <c r="AE511" s="1000"/>
      <c r="AF511" s="597"/>
      <c r="AG511" s="1723"/>
      <c r="AH511" s="1724"/>
      <c r="AI511" s="1724"/>
      <c r="AJ511" s="1724"/>
      <c r="AK511" s="1725"/>
      <c r="AL511" s="996"/>
      <c r="AM511" s="1747"/>
      <c r="AN511" s="1775"/>
      <c r="AO511" s="1777"/>
      <c r="AP511" s="1780"/>
      <c r="AQ511" s="1781"/>
      <c r="AR511" s="1795"/>
      <c r="AS511" s="1795"/>
      <c r="AT511" s="1796"/>
      <c r="AU511" s="1735"/>
      <c r="AV511" s="1752"/>
      <c r="AW511" s="1705"/>
      <c r="AX511" s="467"/>
      <c r="AY511" s="1749"/>
      <c r="AZ511" s="1749"/>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696"/>
      <c r="CQ511" s="1696"/>
      <c r="CR511" s="1809"/>
      <c r="CS511" s="1811"/>
      <c r="CU511" s="1688"/>
      <c r="CV511" s="1703"/>
      <c r="CW511" s="1703"/>
      <c r="CX511" s="1703"/>
      <c r="CY511" s="1815"/>
      <c r="CZ511" s="1711"/>
      <c r="DA511" s="1818"/>
      <c r="DB511" s="1820"/>
      <c r="DC511" s="1820"/>
      <c r="DD511" s="1820"/>
      <c r="DF511" s="1703"/>
      <c r="DG511" s="1831"/>
      <c r="DH511" s="1703"/>
      <c r="DI511" s="1838"/>
      <c r="DJ511" s="1711"/>
      <c r="DK511" s="1712"/>
      <c r="DM511" s="1718"/>
      <c r="DO511" s="1708"/>
      <c r="DQ511" s="1715"/>
      <c r="DR511" s="1720"/>
      <c r="DS511" s="1816"/>
      <c r="DT511" s="1714"/>
      <c r="DU511" s="1715"/>
      <c r="DV511" s="1716"/>
      <c r="DX511" s="1715"/>
      <c r="DY511" s="1720"/>
      <c r="DZ511" s="1715"/>
      <c r="EA511" s="1715"/>
      <c r="EC511" s="1834"/>
      <c r="ED511" s="1834"/>
      <c r="EF511" s="1707"/>
      <c r="EG511" s="1712"/>
      <c r="EH511" s="1818"/>
      <c r="EI511" s="1712"/>
      <c r="EJ511" s="1712"/>
      <c r="EK511" s="1836"/>
      <c r="EL511" s="1836"/>
      <c r="EM511" s="1807"/>
      <c r="EN511" s="1839"/>
      <c r="EO511" s="1839"/>
      <c r="EP511" s="1817"/>
      <c r="EQ511" s="1817"/>
      <c r="ER511" s="1807"/>
      <c r="ES511" s="1807"/>
      <c r="ET511" s="1807"/>
      <c r="EV511" s="1715"/>
      <c r="EX511" s="1805"/>
      <c r="EY511" s="1805"/>
      <c r="EZ511" s="1805"/>
      <c r="FA511" s="1805"/>
      <c r="FB511" s="1805"/>
      <c r="FC511" s="1827"/>
      <c r="FE511" s="1698"/>
      <c r="FG511" s="1816"/>
      <c r="FH511" s="1816"/>
      <c r="FI511" s="133"/>
      <c r="FL511" s="1823"/>
      <c r="FM511" s="1825"/>
      <c r="FN511" s="1698"/>
      <c r="FO511" s="1698"/>
      <c r="FP511" s="1678"/>
      <c r="FQ511" s="1678"/>
      <c r="FS511" s="1687"/>
      <c r="FT511" s="1687"/>
      <c r="FU511" s="1685"/>
      <c r="FV511" s="1687"/>
      <c r="FW511" s="1687"/>
      <c r="FX511" s="1687"/>
      <c r="FY511" s="1697"/>
      <c r="GA511" s="1696"/>
      <c r="GB511" s="1696"/>
      <c r="GC511" s="1696"/>
      <c r="GD511" s="1696"/>
      <c r="GE511" s="1696"/>
      <c r="GF511" s="1696"/>
      <c r="GG511" s="1696"/>
      <c r="GH511" s="1696"/>
      <c r="GI511" s="673"/>
      <c r="GJ511" s="1135"/>
      <c r="GK511" s="1832"/>
      <c r="GM511" s="1693" t="b">
        <f ca="1">IF(AND(GP511=TRUE,GQ511=TRUE),TRUE,FALSE)</f>
        <v>0</v>
      </c>
      <c r="GN511" s="1684" t="b">
        <f>IFERROR(IF(__Retrofit_TI_NC=2,TRUE,IF(AU510="Yes",TRUE,FALSE)),FALSE)</f>
        <v>1</v>
      </c>
      <c r="GP511" s="1684" t="b">
        <f>IFERROR(IF(GP510=1,TRUE,FALSE),FALSE)</f>
        <v>0</v>
      </c>
      <c r="GQ511" s="1684" t="b">
        <f ca="1">IFERROR(IF(GQ510=GQ$14,TRUE,FALSE),FALSE)</f>
        <v>0</v>
      </c>
      <c r="HG511" s="1684" t="b">
        <f>IFERROR(IF(AND(__Retrofit_TI_NC&gt;0,CQ510="Interior"),FALSE,TRUE),FALSE)</f>
        <v>1</v>
      </c>
      <c r="HH511" s="1684" t="b">
        <f>IFERROR(IF(M511=1,TRUE,FALSE),FALSE)</f>
        <v>0</v>
      </c>
      <c r="HI511" s="1684" t="b">
        <f>IFERROR(IF(OR(M512=1,N513="BAM"),TRUE,FALSE),FALSE)</f>
        <v>0</v>
      </c>
      <c r="HJ511" s="1684" t="b">
        <f>IFERROR(IF(__Retrofit_TI_NC&lt;&gt;0,TRUE,IFERROR(IF(VLOOKUP(U511,Fixtures_Existing_List,2,FALSE)&lt;&gt;"",TRUE,FALSE),FALSE)),FALSE)</f>
        <v>0</v>
      </c>
      <c r="HK511" s="1684" t="b">
        <f>IFERROR(IF(VLOOKUP(U512,Fixtures_Proposed_List,2,FALSE)&lt;&gt;"",TRUE,FALSE),FALSE)</f>
        <v>0</v>
      </c>
      <c r="HL511" s="1684" t="b">
        <f>IF(AND(__Retrofit_TI_NC=2,FC510=TRUE),FALSE,TRUE)</f>
        <v>1</v>
      </c>
      <c r="HM511" s="1684" t="b">
        <f>GK510</f>
        <v>1</v>
      </c>
      <c r="HN511" s="1682" t="b">
        <f>IF(ISERROR(MATCH(FE510,_Control_Match[],0))=TRUE,FALSE,TRUE)</f>
        <v>0</v>
      </c>
      <c r="HO511" s="1693" t="b">
        <f>IFERROR(IF(EX510&lt;&gt;EY510,FALSE,TRUE),FALSE)</f>
        <v>1</v>
      </c>
      <c r="HP511" s="1693" t="b">
        <f>IFERROR(IF(EX512&lt;&gt;EY512,FALSE,TRUE),FALSE)</f>
        <v>1</v>
      </c>
      <c r="HQ511" s="1670" t="b">
        <f>IFERROR(IF(CQ510="Exterior",TRUE,IF(AND(OR(FM512=0,FM512=3),JD512&gt;6),FALSE,TRUE)),FALSE)</f>
        <v>0</v>
      </c>
      <c r="HR511" s="1684" t="b">
        <f>IFERROR(IF(AND(FO512=7,FC510=TRUE),FALSE,TRUE),FALSE)</f>
        <v>0</v>
      </c>
      <c r="HS511" s="1684" t="b">
        <f>IFERROR(IF(AND(T512&lt;&gt;AF512,OR(AG512="Interior LLLC", AG512="Interior NLC", AG512="LLLC (outside Daylight)",AG512="LLLC Controls Only"))=TRUE,FALSE,TRUE),FALSE)</f>
        <v>1</v>
      </c>
      <c r="HT511" s="1670" t="b">
        <f>IFERROR(IF(OR(AG512=Lookup!BB$17,AG512=Lookup!BB$18,AG512=Lookup!BB$19)=TRUE,IF(AF512&gt;T512,FALSE,TRUE),TRUE),FALSE)</f>
        <v>1</v>
      </c>
      <c r="HU511" s="1684" t="b">
        <f>IFERROR(IF(__Retrofit_TI_NC=2,IF(EZ512&lt;EZ510,FALSE,TRUE),TRUE),FALSE)</f>
        <v>1</v>
      </c>
      <c r="HV511" s="1684" t="b">
        <f>IF(CQ510="Interior",IL$6,TRUE)</f>
        <v>1</v>
      </c>
      <c r="HW511" s="1684" t="b">
        <f>IF(CQ510="Exterior",IL$8,TRUE)</f>
        <v>1</v>
      </c>
      <c r="HX511" s="1684" t="b">
        <f>IFERROR(IF(__Retrofit_TI_NC&lt;&gt;0,IF(AZ510&lt;AY510,FALSE,TRUE),TRUE),FALSE)</f>
        <v>1</v>
      </c>
      <c r="HY511" s="1684" t="b">
        <f>IFERROR(IF(AND(G511="Exterior",R511&gt;4200),FALSE,TRUE),FALSE)</f>
        <v>1</v>
      </c>
      <c r="HZ511" s="1684" t="b">
        <f>IFERROR(IF(AB513/AB510&lt;HZ$18,FALSE,TRUE),FALSE)</f>
        <v>0</v>
      </c>
      <c r="IB511" s="1691"/>
      <c r="IC511" s="1695"/>
      <c r="ID511" s="1694" t="str">
        <f>VLOOKUP(IB513,_Error_Table,4,FALSE)</f>
        <v>White</v>
      </c>
      <c r="IE511" s="391"/>
      <c r="IF511" s="1688"/>
      <c r="IG511" s="1689"/>
      <c r="IH511" s="1684"/>
      <c r="IK511" s="1689"/>
      <c r="IL511" s="1691"/>
      <c r="IM511" s="1691"/>
      <c r="IN511" s="1691"/>
      <c r="IP511" s="1679"/>
      <c r="IQ511" s="1679"/>
      <c r="IR511" s="1679"/>
      <c r="IS511" s="1679"/>
      <c r="IT511" s="1679"/>
      <c r="IU511" s="1679"/>
      <c r="IV511" s="1679"/>
      <c r="IW511" s="1679"/>
      <c r="IX511" s="1679"/>
      <c r="IY511" s="1679"/>
      <c r="IZ511" s="1679"/>
      <c r="JA511" s="1679"/>
      <c r="JC511" s="1680"/>
      <c r="JD511" s="1670"/>
      <c r="JE511" s="1681"/>
      <c r="JG511" s="1680"/>
      <c r="JH511" s="1670"/>
      <c r="JI511" s="1060"/>
      <c r="JJ511" s="1683"/>
      <c r="JK511" s="1061"/>
      <c r="JL511" s="1683"/>
      <c r="JM511" s="1061"/>
      <c r="JN511" s="1683"/>
      <c r="JO511" s="1061"/>
      <c r="JP511" s="1683"/>
      <c r="JQ511" s="1061"/>
      <c r="JR511" s="1683"/>
      <c r="JS511" s="1061"/>
      <c r="JT511" s="1670"/>
      <c r="JU511" s="1061"/>
      <c r="JV511" s="1670"/>
      <c r="JX511" s="1670"/>
      <c r="JZ511" s="1683"/>
      <c r="KB511" s="1670"/>
    </row>
    <row r="512" spans="1:288" s="78" customFormat="1" ht="14.95" customHeight="1" thickTop="1" thickBot="1">
      <c r="A512" s="78">
        <f>ROW()</f>
        <v>512</v>
      </c>
      <c r="B512" s="1845"/>
      <c r="C512" s="1846"/>
      <c r="D512" s="1847"/>
      <c r="E512" s="1737" t="s">
        <v>298</v>
      </c>
      <c r="F512" s="1738"/>
      <c r="G512" s="1760"/>
      <c r="H512" s="1761"/>
      <c r="I512" s="1761"/>
      <c r="J512" s="1761"/>
      <c r="K512" s="1761"/>
      <c r="L512" s="1762"/>
      <c r="M512" s="461">
        <f>IFERROR(IF(IF(__Retrofit_TI_NC&lt;&gt;0,IF(CQ510="Interior",MATCH(G512,Lookup_Interior_New,0),MATCH(G512,Lookup_Exterior_New,0)),IF(CQ510="Interior",MATCH(G512,Lookup_Interior,0),MATCH(G512,Lookup_Exterior_Areas,0)))&gt;0,1,0),0)</f>
        <v>0</v>
      </c>
      <c r="N512" s="461" t="e">
        <f>IF(__Retrofit_TI_NC=1,
VLOOKUP(G512,'Space Table'!$B$3:$L$163,4,FALSE),
IF(__Retrofit_TI_NC=2,VLOOKUP(G512,'Space Table'!$B$3:$L$163,5,FALSE),VLOOKUP(G512,'Space Table'!$B$3:$L$163,5,FALSE)))</f>
        <v>#N/A</v>
      </c>
      <c r="O512" s="461">
        <f>G512</f>
        <v>0</v>
      </c>
      <c r="P512" s="1738" t="str">
        <f>IFERROR(IF(__Retrofit_TI_NC=1,VLOOKUP(G512,'Space Table'!$B$3:$O$163,13,FALSE),IF(__Retrofit_TI_NC=2,VLOOKUP(G512,'Space Table'!$B$3:$O$163,14,FALSE),"Area (sf):")),"Area (sf):")</f>
        <v>Area (sf):</v>
      </c>
      <c r="Q512" s="1738"/>
      <c r="R512" s="596"/>
      <c r="S512" s="1763" t="s">
        <v>345</v>
      </c>
      <c r="T512" s="594"/>
      <c r="U512" s="1801"/>
      <c r="V512" s="1802"/>
      <c r="W512" s="1802"/>
      <c r="X512" s="1802"/>
      <c r="Y512" s="1802"/>
      <c r="Z512" s="1802"/>
      <c r="AA512" s="1802"/>
      <c r="AB512" s="1802"/>
      <c r="AC512" s="1802"/>
      <c r="AD512" s="1802"/>
      <c r="AE512" s="1803"/>
      <c r="AF512" s="594"/>
      <c r="AG512" s="1787"/>
      <c r="AH512" s="1787"/>
      <c r="AI512" s="1787"/>
      <c r="AJ512" s="1787"/>
      <c r="AK512" s="1787"/>
      <c r="AL512" s="1787"/>
      <c r="AM512" s="1726">
        <f>IFERROR(DI512,"")</f>
        <v>0</v>
      </c>
      <c r="AN512" s="1728" t="str">
        <f>IFERROR(ROUND(AM512*AC513,0),"")</f>
        <v/>
      </c>
      <c r="AO512" s="1730">
        <f>IFERROR(IF(IB510=FALSE,0,AC513-AN512),0)</f>
        <v>0</v>
      </c>
      <c r="AP512" s="1780"/>
      <c r="AQ512" s="1781"/>
      <c r="AR512" s="1795"/>
      <c r="AS512" s="1795"/>
      <c r="AT512" s="1796"/>
      <c r="AU512" s="1735"/>
      <c r="AV512" s="1752"/>
      <c r="AW512" s="1705"/>
      <c r="AX512" s="467"/>
      <c r="AY512" s="1749"/>
      <c r="AZ512" s="1749"/>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696"/>
      <c r="CQ512" s="1696"/>
      <c r="CR512" s="1808" t="str">
        <f>CQ510</f>
        <v/>
      </c>
      <c r="CS512" s="1810" t="str">
        <f>CS510</f>
        <v/>
      </c>
      <c r="CU512" s="1688" t="s">
        <v>345</v>
      </c>
      <c r="CV512" s="1702">
        <f>IF(IB510=TRUE,T512,0)</f>
        <v>0</v>
      </c>
      <c r="CW512" s="1702" t="str">
        <f>IF(IB510=TRUE,U512,"")</f>
        <v/>
      </c>
      <c r="CX512" s="1812">
        <f>IF(IB510=TRUE,U513,0)</f>
        <v>0</v>
      </c>
      <c r="CY512" s="1814">
        <f>IF(IB510=TRUE,AB513,0)</f>
        <v>0</v>
      </c>
      <c r="CZ512" s="1710">
        <f>IF(AND(__Retrofit_TI_NC&gt;0,CR510="interior"),0,IF(IB510=TRUE,AC513,0))</f>
        <v>0</v>
      </c>
      <c r="DA512" s="1818"/>
      <c r="DB512" s="1820"/>
      <c r="DC512" s="1820"/>
      <c r="DD512" s="1820"/>
      <c r="DF512" s="1702">
        <f>IF(IB510=TRUE,AF512,0)</f>
        <v>0</v>
      </c>
      <c r="DG512" s="1830" t="str">
        <f>IF(IB510=TRUE,AG512,"")</f>
        <v/>
      </c>
      <c r="DH512" s="1812">
        <f>AG513</f>
        <v>0</v>
      </c>
      <c r="DI512" s="1837">
        <f>JE512</f>
        <v>0</v>
      </c>
      <c r="DJ512" s="1710">
        <f>IF(AND(__Retrofit_TI_NC&gt;0,CR510="interior"),0,IF(IB510=TRUE,AN512,0))</f>
        <v>0</v>
      </c>
      <c r="DK512" s="1712"/>
      <c r="DN512" s="1717">
        <f>IFERROR(CZ512-DJ512,0)</f>
        <v>0</v>
      </c>
      <c r="DO512" s="1709"/>
      <c r="DQ512" s="1715"/>
      <c r="DR512" s="1719" t="str">
        <f>DQ510</f>
        <v/>
      </c>
      <c r="DS512" s="1816"/>
      <c r="DT512" s="1835" t="str">
        <f>IF(OR(DS510=7,DS510=8,DS510=9),"ALC","")</f>
        <v/>
      </c>
      <c r="DU512" s="1715"/>
      <c r="DV512" s="1716"/>
      <c r="DX512" s="1715"/>
      <c r="DY512" s="1829" t="str">
        <f>DX510</f>
        <v/>
      </c>
      <c r="DZ512" s="1715"/>
      <c r="EA512" s="1715"/>
      <c r="EC512" s="1834"/>
      <c r="ED512" s="1834"/>
      <c r="EF512" s="1707"/>
      <c r="EG512" s="1712"/>
      <c r="EH512" s="1818"/>
      <c r="EI512" s="1712"/>
      <c r="EJ512" s="1712"/>
      <c r="EK512" s="1836"/>
      <c r="EL512" s="1836"/>
      <c r="EM512" s="1807"/>
      <c r="EN512" s="1839"/>
      <c r="EO512" s="1839"/>
      <c r="EP512" s="1817"/>
      <c r="EQ512" s="1817"/>
      <c r="ER512" s="1807"/>
      <c r="ES512" s="1807"/>
      <c r="ET512" s="1807"/>
      <c r="EV512" s="1715"/>
      <c r="EX512" s="1805" t="str">
        <f>IFERROR(VLOOKUP(CS512,'Space Table'!$B$3:$L$163,8,FALSE),"")</f>
        <v/>
      </c>
      <c r="EY512" s="1805" t="str">
        <f>IFERROR(IF(FB512="Yes",VLOOKUP(AG512,Lookup_Control_Type_Table2,4,FALSE),VLOOKUP(AG512,Lookup_Control_Type_Table2,3,FALSE)),"")</f>
        <v/>
      </c>
      <c r="EZ512" s="1805" t="e">
        <f>VLOOKUP(AG512,Lookup!BB$3:BC$20,2,FALSE)</f>
        <v>#N/A</v>
      </c>
      <c r="FA512" s="1805" t="e">
        <f>VLOOKUP(EX510,Lookup_Control_Type_Table,2,FALSE)</f>
        <v>#N/A</v>
      </c>
      <c r="FB512" s="1805" t="e">
        <f>VLOOKUP(CS512,'Space Table'!$B$3:$L$163,7,FALSE)</f>
        <v>#N/A</v>
      </c>
      <c r="FC512" s="1827"/>
      <c r="FE512" s="1698" t="str">
        <f>CONCATENATE(CQ510," - ",AG512)</f>
        <v xml:space="preserve"> - </v>
      </c>
      <c r="FG512" s="1816"/>
      <c r="FH512" s="1816"/>
      <c r="FI512" s="133"/>
      <c r="FL512" s="1822" t="str">
        <f>IF(CQ510="Exterior","Not Daylighted",G513)</f>
        <v>Not Daylighted</v>
      </c>
      <c r="FM512" s="1824">
        <f>VLOOKUP(FL512,_New_Daylight_Table_Codes,2,FALSE)</f>
        <v>0</v>
      </c>
      <c r="FN512" s="1698">
        <f>AG512</f>
        <v>0</v>
      </c>
      <c r="FO512" s="1698" t="e">
        <f>VLOOKUP(FN512,_Control_Table,2,FALSE)</f>
        <v>#N/A</v>
      </c>
      <c r="FP512" s="1678" t="e">
        <f>VLOOKUP(CONCATENATE(FL512," ",FN512),Lookup!AY$102:AZ523,2,FALSE)</f>
        <v>#N/A</v>
      </c>
      <c r="FQ512" s="1698">
        <f>IF(__Retrofit_TI_NC=0,FN512,IF(AND(FT512&gt;0,FN512="Occupancy Sensor"),"Daylight + Occupancy",IF(AND(FT512&gt;0,FO512&lt;4),"Interior Daylight Dimming",FN512)))</f>
        <v>0</v>
      </c>
      <c r="FS512" s="1686">
        <f>IF(CQ510="Interior",VLOOKUP(CS510,Control_Savings_Interior,5,FALSE),0)</f>
        <v>0</v>
      </c>
      <c r="FT512" s="1687">
        <f>IF(CQ512="Exterior",0,IF(FM512=2,0.5,IF(OR(FM512=1,FM512=3),1,0)))</f>
        <v>0</v>
      </c>
      <c r="FU512" s="1685">
        <f>IF(R511&gt;FS$44,(FS512*(FS$44/R511)),FS512)*FT512</f>
        <v>0</v>
      </c>
      <c r="FV512" s="1686">
        <f>DI512</f>
        <v>0</v>
      </c>
      <c r="FW512" s="1686">
        <f>ROUND(FV512+((1-FV512)*FU512),2)</f>
        <v>0</v>
      </c>
      <c r="FX512" s="1686">
        <f>IF(__Retrofit_TI_NC=2,FW512,FV512)</f>
        <v>0</v>
      </c>
      <c r="FY512" s="1697">
        <f>IF(CR512="Interior",VLOOKUP(CS512,Control_Savings_Interior,4,FALSE),0)</f>
        <v>0</v>
      </c>
      <c r="GA512" s="1696"/>
      <c r="GB512" s="1696"/>
      <c r="GC512" s="1696"/>
      <c r="GD512" s="1696"/>
      <c r="GE512" s="1696"/>
      <c r="GF512" s="1696"/>
      <c r="GG512" s="1696"/>
      <c r="GH512" s="1696"/>
      <c r="GI512" s="673" t="b">
        <f>IF(ISNUMBER(SEARCH("TLED",U512)),TRUE,FALSE)</f>
        <v>0</v>
      </c>
      <c r="GJ512" s="1135" t="str">
        <f>IFERROR(VLOOKUP(U512,Fixtures!DM$93:DR$142,6,FALSE),"")</f>
        <v/>
      </c>
      <c r="GK512" s="1832"/>
      <c r="GM512" s="1692"/>
      <c r="GN512" s="1684"/>
      <c r="GP512" s="1684"/>
      <c r="GQ512" s="1684"/>
      <c r="HG512" s="1684"/>
      <c r="HH512" s="1684"/>
      <c r="HI512" s="1684"/>
      <c r="HJ512" s="1684"/>
      <c r="HK512" s="1684"/>
      <c r="HL512" s="1684"/>
      <c r="HM512" s="1684"/>
      <c r="HN512" s="1683"/>
      <c r="HO512" s="1692"/>
      <c r="HP512" s="1692"/>
      <c r="HQ512" s="1670"/>
      <c r="HR512" s="1684"/>
      <c r="HS512" s="1684"/>
      <c r="HT512" s="1670"/>
      <c r="HU512" s="1684"/>
      <c r="HV512" s="1684"/>
      <c r="HW512" s="1684"/>
      <c r="HX512" s="1684"/>
      <c r="HY512" s="1684"/>
      <c r="HZ512" s="1684"/>
      <c r="IB512" s="1692"/>
      <c r="IC512" s="1693" t="b">
        <f>IB510</f>
        <v>0</v>
      </c>
      <c r="ID512" s="1695"/>
      <c r="IE512" s="391"/>
      <c r="IF512" s="1688"/>
      <c r="IG512" s="1689">
        <f ca="1">IF(IF510=TRUE,AC513,0)</f>
        <v>0</v>
      </c>
      <c r="IH512" s="1684"/>
      <c r="IK512" s="1689" t="e">
        <f>ROUND(T512*AB513*N511*R511/1000,0)</f>
        <v>#VALUE!</v>
      </c>
      <c r="IL512" s="1691"/>
      <c r="IM512" s="1693" t="e">
        <f>ROUND(T512*AB513*N511*R511/1000,0)</f>
        <v>#VALUE!</v>
      </c>
      <c r="IN512" s="1691"/>
      <c r="IP512" s="1679"/>
      <c r="IQ512" s="1679" t="e">
        <f t="shared" ref="IQ512:IU512" si="462">IF($CR512="interior",VLOOKUP($CS512,_New_Control_Savings_Interior,IQ$30,FALSE),VLOOKUP($CS512,Control_Savings_Exterior,IQ$30,FALSE))</f>
        <v>#N/A</v>
      </c>
      <c r="IR512" s="1679" t="e">
        <f t="shared" si="462"/>
        <v>#N/A</v>
      </c>
      <c r="IS512" s="1679" t="e">
        <f t="shared" si="462"/>
        <v>#N/A</v>
      </c>
      <c r="IT512" s="1679" t="e">
        <f t="shared" si="462"/>
        <v>#N/A</v>
      </c>
      <c r="IU512" s="1679" t="e">
        <f t="shared" si="462"/>
        <v>#N/A</v>
      </c>
      <c r="IV512" s="1679" t="e">
        <f>IF($CR512="interior",IF(R511&gt;$IP$14,ROUND(($IV$18*($IP$14/R511)),2),$IV$18),VLOOKUP($CS512,Control_Savings_Exterior,IV$30,FALSE))</f>
        <v>#N/A</v>
      </c>
      <c r="IW512" s="1679" t="e">
        <f>IF($CR512="interior",ROUND(((1-IS512)*IV512)+IS512,2),VLOOKUP($CS512,Control_Savings_Exterior,IW$30,FALSE))</f>
        <v>#N/A</v>
      </c>
      <c r="IX512" s="1679" t="e">
        <f>IF($CR512="interior",ROUND(((1-IT512)*IV512)+IT512,2),VLOOKUP($CS512,Control_Savings_Exterior,IX$30,FALSE))</f>
        <v>#N/A</v>
      </c>
      <c r="IY512" s="1679" t="e">
        <f>IF($CR512="interior",IF(R511&gt;$IP$14,ROUND(($IY$18*($IP$14/R511)),2),$IY$18),VLOOKUP($CS512,Control_Savings_Exterior,IY$30,FALSE))</f>
        <v>#N/A</v>
      </c>
      <c r="IZ512" s="1679" t="e">
        <f>IF($CR512="interior",ROUND(((1-IS512)*IY512)+IS512,2),VLOOKUP($CS512,Control_Savings_Exterior,IZ$30,FALSE))</f>
        <v>#N/A</v>
      </c>
      <c r="JA512" s="1679" t="e">
        <f>IF($CR512="interior",ROUND(((1-IT512)*IY512)+IT512,2),VLOOKUP($CS512,Control_Savings_Exterior,JA$30,FALSE))</f>
        <v>#N/A</v>
      </c>
      <c r="JC512" s="1680">
        <f>IFERROR(IF(CR512="Interior",CONCATENATE(G513," ",FQ512),AG512),"")</f>
        <v>0</v>
      </c>
      <c r="JD512" s="1670" t="str">
        <f>IFERROR(VLOOKUP(JC512,_Controls_2023,2,FALSE),"")</f>
        <v/>
      </c>
      <c r="JE512" s="1681">
        <f>IFERROR(CHOOSE(JD512-1,IQ512,IR512,IS512,IT512,IU512,IV512,IW512,IX512,IY512,IZ512,JA512),0)</f>
        <v>0</v>
      </c>
      <c r="JG512" s="1680" t="str">
        <f>FE512</f>
        <v xml:space="preserve"> - </v>
      </c>
      <c r="JH512" s="1670" t="e">
        <f>$FO512</f>
        <v>#N/A</v>
      </c>
      <c r="JI512" s="1060"/>
      <c r="JJ512" s="1670">
        <f>IFERROR(IF($IB510=TRUE,IF(OR(JJ$14="No",JJ510=FALSE,JH512&lt;=JH510,AND(_kWh_Grant=0,GD510=FALSE)),0,IF(JJ$8="Per Line",1,$AF512)),0),0)</f>
        <v>0</v>
      </c>
      <c r="JK512" s="1061"/>
      <c r="JL512" s="1670">
        <f>IFERROR(IF(_kWh_Grant=0,0,IF($IB510=TRUE,IF(OR(JL$14="No",JL510=FALSE,JH512&lt;=JH510),0,IF(JL$8="Per Line",1,$T512)),0)),0)</f>
        <v>0</v>
      </c>
      <c r="JM512" s="1061"/>
      <c r="JN512" s="1670">
        <f>IFERROR(IF(_kWh_Grant=0,0,IF($IB510=TRUE,IF(OR(JN$14="No",JN510=FALSE,JH512&lt;=JH510),0,IF(JN$8="Per Line",1,$AF512)),0)),0)</f>
        <v>0</v>
      </c>
      <c r="JO512" s="1061"/>
      <c r="JP512" s="1670">
        <f>IFERROR(IF(__Retrofit_TI_NC=0,IF(_kWh_Grant=0,0,IF($IB510=TRUE,IF(OR(JP$14="No",JP510=FALSE,$JH512&lt;=$JH510),0,IF(JP$8="Per Line",1,$AF512)),0)),IF($IB510=TRUE,IF(OR(JP$14="No",JP510=FALSE,$JH512&lt;=$JH510),0,IF(JP$8="Per Line",1,$AF512)))),0)</f>
        <v>0</v>
      </c>
      <c r="JQ512" s="1061"/>
      <c r="JR512" s="1670">
        <f>IFERROR(IF(__Retrofit_TI_NC=0,IF(_kWh_Grant=0,0,IF($IB510=TRUE,IF(OR(JR$14="No",JR510=FALSE,$JH512&lt;=$JH510),0,IF(JR$8="Per Line",1,$AF512)),0)),IF($IB510=TRUE,IF(OR(JR$14="No",JR510=FALSE,$JH512&lt;=$JH510),0,IF(JR$8="Per Line",1,$AF512)))),0)</f>
        <v>0</v>
      </c>
      <c r="JS512" s="1061"/>
      <c r="JT512" s="1670">
        <f>IFERROR(IF(__Retrofit_TI_NC=0,IF(_kWh_Grant=0,0,IF($IB510=TRUE,IF(OR(JT$14="No",JT510=FALSE,$JH512&lt;=$JH510),0,IF(JT$8="Per Line",1,$AF512)),0)),IF($IB510=TRUE,IF(OR(JT$14="No",JT510=FALSE,$JH512&lt;=$JH510),0,IF(JT$8="Per Line",1,$AF512)))),0)</f>
        <v>0</v>
      </c>
      <c r="JU512" s="1061"/>
      <c r="JV512" s="1670">
        <f>IFERROR(IF(__Retrofit_TI_NC=0,IF(_kWh_Grant=0,0,IF($IB510=TRUE,IF(OR(JV$14="No",JV510=FALSE,$JH512&lt;=$JH510),0,IF(JV$8="Per Line",1,$AF512)),0)),IF($IB510=TRUE,IF(OR(JV$14="No",JV510=FALSE,$JH512&lt;=$JH510),0,IF(JV$8="Per Line",1,$AF512)))),0)</f>
        <v>0</v>
      </c>
      <c r="JX512" s="1670">
        <f>IFERROR(IF(__Retrofit_TI_NC=0,IF(_kWh_Grant=0,0,IF($IB510=TRUE,IF(OR(JX$14="No",JX510=FALSE,$JH512&lt;=$JH510),0,IF(JX$8="Per Line",1,$AF512)),0)),IF($IB510=TRUE,IF(OR(JX$14="No",JX510=FALSE,$JH512&lt;=$JH510),0,IF(JX$8="Per Line",1,$AF512)))),0)</f>
        <v>0</v>
      </c>
      <c r="JZ512" s="1670">
        <f>IFERROR(IF($IB510=TRUE,IF(OR(JZ$14="No",JZ510=FALSE,$JH512&lt;=$JH510,AND(_kWh_Grant=0,$GD510=FALSE)),0,IF(JZ$8="Per Line",1,$AF512)),0),0)</f>
        <v>0</v>
      </c>
      <c r="KB512" s="1670">
        <f>IFERROR(IF(__Retrofit_TI_NC=0,IF(_kWh_Grant=0,0,IF($IB510=TRUE,IF(OR(KB$14="No",KB510=FALSE,$JH512&lt;=$JH510),0,IF(KB$8="Per Line",1,$AF512)),0)),IF($IB510=TRUE,IF(OR(KB$14="No",KB510=FALSE,$JH512&lt;=$JH510),0,IF(KB$8="Per Line",1,$AF512)))),0)</f>
        <v>0</v>
      </c>
    </row>
    <row r="513" spans="1:288" s="78" customFormat="1" ht="14.95" customHeight="1" thickTop="1" thickBot="1">
      <c r="B513" s="1845"/>
      <c r="C513" s="1846"/>
      <c r="D513" s="1847"/>
      <c r="E513" s="1771" t="s">
        <v>436</v>
      </c>
      <c r="F513" s="1772"/>
      <c r="G513" s="1784" t="s">
        <v>437</v>
      </c>
      <c r="H513" s="1785"/>
      <c r="I513" s="1785"/>
      <c r="J513" s="1785"/>
      <c r="K513" s="1785"/>
      <c r="L513" s="1786"/>
      <c r="M513" s="591">
        <f>IFERROR(VLOOKUP(G513,_Daylight_Table[],2,FALSE),0)</f>
        <v>0</v>
      </c>
      <c r="N513" s="592" t="str">
        <f>IF(AND(__Retrofit_TI_NC&gt;0,CQ510="Interior"),"BAM","")</f>
        <v/>
      </c>
      <c r="O513" s="591" t="e">
        <f>VLOOKUP(G512,'Space Table'!$B$3:$L$163,11,FALSE)</f>
        <v>#N/A</v>
      </c>
      <c r="P513" s="1789"/>
      <c r="Q513" s="1790"/>
      <c r="R513" s="1790"/>
      <c r="S513" s="1788"/>
      <c r="T513" s="593" t="s">
        <v>342</v>
      </c>
      <c r="U513" s="1756" t="str" cm="1">
        <f t="array" aca="1" ref="U513" ca="1">IFERROR(VLOOKUP(INDIRECT("U" &amp; ROW()-1),Fixtures!DM$93:DP$142,4,FALSE),"")</f>
        <v/>
      </c>
      <c r="V513" s="1757"/>
      <c r="W513" s="1757"/>
      <c r="X513" s="1757"/>
      <c r="Y513" s="1757"/>
      <c r="Z513" s="1757"/>
      <c r="AA513" s="1758"/>
      <c r="AB513" s="939" t="str">
        <f>IFERROR(VLOOKUP(U512,Fixtures_Proposed_List,2,FALSE),"")</f>
        <v/>
      </c>
      <c r="AC513" s="933" t="str">
        <f>IFERROR(ROUND(T512*AB513*N511*R511/1000,0),"")</f>
        <v/>
      </c>
      <c r="AD513" s="934" t="str">
        <f>IFERROR(ROUND(T512*AB513/1000,2),"")</f>
        <v/>
      </c>
      <c r="AE513" s="998"/>
      <c r="AF513" s="938" t="s">
        <v>342</v>
      </c>
      <c r="AG513" s="1770"/>
      <c r="AH513" s="1770"/>
      <c r="AI513" s="1770"/>
      <c r="AJ513" s="1770"/>
      <c r="AK513" s="1770"/>
      <c r="AL513" s="1770"/>
      <c r="AM513" s="1727"/>
      <c r="AN513" s="1729"/>
      <c r="AO513" s="1731"/>
      <c r="AP513" s="1782"/>
      <c r="AQ513" s="1783"/>
      <c r="AR513" s="1797"/>
      <c r="AS513" s="1797"/>
      <c r="AT513" s="1798"/>
      <c r="AU513" s="1736"/>
      <c r="AV513" s="1753"/>
      <c r="AW513" s="1706"/>
      <c r="AX513" s="468"/>
      <c r="AY513" s="1750"/>
      <c r="AZ513" s="1750"/>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696"/>
      <c r="CQ513" s="1696"/>
      <c r="CR513" s="1809"/>
      <c r="CS513" s="1811"/>
      <c r="CU513" s="1688"/>
      <c r="CV513" s="1703"/>
      <c r="CW513" s="1703"/>
      <c r="CX513" s="1813"/>
      <c r="CY513" s="1815"/>
      <c r="CZ513" s="1711"/>
      <c r="DA513" s="1815"/>
      <c r="DB513" s="1821"/>
      <c r="DC513" s="1821"/>
      <c r="DD513" s="1821"/>
      <c r="DF513" s="1703"/>
      <c r="DG513" s="1831"/>
      <c r="DH513" s="1813"/>
      <c r="DI513" s="1838"/>
      <c r="DJ513" s="1711"/>
      <c r="DK513" s="1712"/>
      <c r="DN513" s="1718"/>
      <c r="DO513" s="1709"/>
      <c r="DQ513" s="1715"/>
      <c r="DR513" s="1720"/>
      <c r="DS513" s="1703"/>
      <c r="DT513" s="1714"/>
      <c r="DU513" s="1715"/>
      <c r="DV513" s="1716"/>
      <c r="DX513" s="1715"/>
      <c r="DY513" s="1720"/>
      <c r="DZ513" s="1715"/>
      <c r="EA513" s="1715"/>
      <c r="EC513" s="1834"/>
      <c r="ED513" s="1834"/>
      <c r="EF513" s="1707"/>
      <c r="EG513" s="1712"/>
      <c r="EH513" s="1815"/>
      <c r="EI513" s="1712"/>
      <c r="EJ513" s="1712"/>
      <c r="EK513" s="1813"/>
      <c r="EL513" s="1813"/>
      <c r="EM513" s="1807"/>
      <c r="EN513" s="1839"/>
      <c r="EO513" s="1839"/>
      <c r="EP513" s="1817"/>
      <c r="EQ513" s="1817"/>
      <c r="ER513" s="1807"/>
      <c r="ES513" s="1807"/>
      <c r="ET513" s="1807"/>
      <c r="EV513" s="1715"/>
      <c r="EX513" s="1806"/>
      <c r="EY513" s="1806"/>
      <c r="EZ513" s="1806"/>
      <c r="FA513" s="1806"/>
      <c r="FB513" s="1806"/>
      <c r="FC513" s="1828"/>
      <c r="FE513" s="1698"/>
      <c r="FG513" s="1703"/>
      <c r="FH513" s="1703"/>
      <c r="FI513" s="133"/>
      <c r="FL513" s="1823"/>
      <c r="FM513" s="1825"/>
      <c r="FN513" s="1698"/>
      <c r="FO513" s="1698"/>
      <c r="FP513" s="1678"/>
      <c r="FQ513" s="1698"/>
      <c r="FS513" s="1687"/>
      <c r="FT513" s="1687"/>
      <c r="FU513" s="1685"/>
      <c r="FV513" s="1687"/>
      <c r="FW513" s="1687"/>
      <c r="FX513" s="1687"/>
      <c r="FY513" s="1697"/>
      <c r="GA513" s="1696"/>
      <c r="GB513" s="1696"/>
      <c r="GC513" s="1696"/>
      <c r="GD513" s="1696"/>
      <c r="GE513" s="1696"/>
      <c r="GF513" s="1696"/>
      <c r="GG513" s="1696"/>
      <c r="GH513" s="1696"/>
      <c r="GI513" s="673"/>
      <c r="GJ513" s="1135"/>
      <c r="GK513" s="1832"/>
      <c r="GN513" s="674">
        <f>IF(GN511=TRUE,0,GN$16)</f>
        <v>0</v>
      </c>
      <c r="GP513" s="674">
        <f>IF(GP511=TRUE,0,GP$16)</f>
        <v>36</v>
      </c>
      <c r="GQ513" s="674">
        <f ca="1">IF(GQ511=TRUE,0,GQ$16)</f>
        <v>35</v>
      </c>
      <c r="GR513" s="391"/>
      <c r="GS513" s="391"/>
      <c r="GT513" s="391"/>
      <c r="GU513" s="391"/>
      <c r="GV513" s="391"/>
      <c r="HG513" s="674">
        <f>IF(HG511=TRUE,0,HG$16)</f>
        <v>0</v>
      </c>
      <c r="HH513" s="674">
        <f t="shared" ref="HH513:HM513" si="463">IF(HH511=TRUE,0,HH$16)</f>
        <v>19</v>
      </c>
      <c r="HI513" s="674">
        <f t="shared" si="463"/>
        <v>18</v>
      </c>
      <c r="HJ513" s="674">
        <f t="shared" si="463"/>
        <v>17</v>
      </c>
      <c r="HK513" s="674">
        <f t="shared" si="463"/>
        <v>16</v>
      </c>
      <c r="HL513" s="674">
        <f t="shared" si="463"/>
        <v>0</v>
      </c>
      <c r="HM513" s="674">
        <f t="shared" si="463"/>
        <v>0</v>
      </c>
      <c r="HN513" s="674">
        <f>IF(HN511=TRUE,0,HN$16)</f>
        <v>13</v>
      </c>
      <c r="HO513" s="674">
        <f t="shared" ref="HO513:HQ513" si="464">IF(HO511=TRUE,0,HO$16)</f>
        <v>0</v>
      </c>
      <c r="HP513" s="674">
        <f t="shared" si="464"/>
        <v>0</v>
      </c>
      <c r="HQ513" s="674">
        <f t="shared" si="464"/>
        <v>10</v>
      </c>
      <c r="HR513" s="674">
        <f>IF(HR511=TRUE,0,HR$16)</f>
        <v>9</v>
      </c>
      <c r="HS513" s="674">
        <f t="shared" ref="HS513:HW513" si="465">IF(HS511=TRUE,0,HS$16)</f>
        <v>0</v>
      </c>
      <c r="HT513" s="674">
        <f t="shared" si="465"/>
        <v>0</v>
      </c>
      <c r="HU513" s="674">
        <f t="shared" si="465"/>
        <v>0</v>
      </c>
      <c r="HV513" s="674">
        <f t="shared" si="465"/>
        <v>0</v>
      </c>
      <c r="HW513" s="674">
        <f t="shared" si="465"/>
        <v>0</v>
      </c>
      <c r="HX513" s="674">
        <f>IF(HX511=TRUE,0,HX$16)</f>
        <v>0</v>
      </c>
      <c r="HY513" s="674">
        <f>IF(HY511=TRUE,0,HY$16)</f>
        <v>0</v>
      </c>
      <c r="HZ513" s="674">
        <f>IF(HZ511=TRUE,0,HZ$16)</f>
        <v>1</v>
      </c>
      <c r="IB513" s="674">
        <f>IF(GP511=FALSE,GP513,IF(GQ511=FALSE,GQ513,MAX(GN513:HZ513)))</f>
        <v>36</v>
      </c>
      <c r="IC513" s="1692"/>
      <c r="ID513" s="205" t="str">
        <f>VLOOKUP(IB513,_Error_Table,3,FALSE)</f>
        <v xml:space="preserve"> </v>
      </c>
      <c r="IE513" s="205"/>
      <c r="IF513" s="1688"/>
      <c r="IG513" s="1689"/>
      <c r="IH513" s="1684"/>
      <c r="IK513" s="1689"/>
      <c r="IL513" s="1692"/>
      <c r="IM513" s="1692"/>
      <c r="IN513" s="1692"/>
      <c r="IP513" s="1679"/>
      <c r="IQ513" s="1679"/>
      <c r="IR513" s="1679"/>
      <c r="IS513" s="1679"/>
      <c r="IT513" s="1679"/>
      <c r="IU513" s="1679"/>
      <c r="IV513" s="1679"/>
      <c r="IW513" s="1679"/>
      <c r="IX513" s="1679"/>
      <c r="IY513" s="1679"/>
      <c r="IZ513" s="1679"/>
      <c r="JA513" s="1679"/>
      <c r="JC513" s="1680"/>
      <c r="JD513" s="1670"/>
      <c r="JE513" s="1681"/>
      <c r="JG513" s="1680"/>
      <c r="JH513" s="1670"/>
      <c r="JI513" s="1060"/>
      <c r="JJ513" s="1670"/>
      <c r="JK513" s="1061"/>
      <c r="JL513" s="1670"/>
      <c r="JM513" s="1061"/>
      <c r="JN513" s="1670"/>
      <c r="JO513" s="1061"/>
      <c r="JP513" s="1670"/>
      <c r="JQ513" s="1061"/>
      <c r="JR513" s="1670"/>
      <c r="JS513" s="1061"/>
      <c r="JT513" s="1670"/>
      <c r="JU513" s="1061"/>
      <c r="JV513" s="1670"/>
      <c r="JX513" s="1670"/>
      <c r="JZ513" s="1670"/>
      <c r="KB513" s="1670"/>
    </row>
    <row r="514" spans="1:288" s="78" customFormat="1" ht="5.0999999999999996" customHeight="1">
      <c r="B514" s="676"/>
      <c r="C514" s="392"/>
      <c r="D514" s="392"/>
      <c r="E514" s="1733"/>
      <c r="F514" s="1733"/>
      <c r="G514" s="1733"/>
      <c r="H514" s="1733"/>
      <c r="I514" s="1733"/>
      <c r="J514" s="1733"/>
      <c r="K514" s="1733"/>
      <c r="L514" s="1733"/>
      <c r="M514" s="1733"/>
      <c r="N514" s="1733"/>
      <c r="O514" s="1733"/>
      <c r="P514" s="1733"/>
      <c r="Q514" s="1733"/>
      <c r="R514" s="1733"/>
      <c r="S514" s="1733"/>
      <c r="T514" s="1733"/>
      <c r="U514" s="1733"/>
      <c r="V514" s="1733"/>
      <c r="W514" s="1733"/>
      <c r="X514" s="1733"/>
      <c r="Y514" s="1733"/>
      <c r="Z514" s="1733"/>
      <c r="AA514" s="1733"/>
      <c r="AB514" s="1733"/>
      <c r="AC514" s="1733"/>
      <c r="AD514" s="1733"/>
      <c r="AE514" s="1733"/>
      <c r="AF514" s="1733"/>
      <c r="AG514" s="1733"/>
      <c r="AH514" s="1733"/>
      <c r="AI514" s="1733"/>
      <c r="AJ514" s="1733"/>
      <c r="AK514" s="1733"/>
      <c r="AL514" s="1733"/>
      <c r="AM514" s="1733"/>
      <c r="AN514" s="1733"/>
      <c r="AO514" s="1733"/>
      <c r="AP514" s="1733"/>
      <c r="AQ514" s="1733"/>
      <c r="AR514" s="1733"/>
      <c r="AS514" s="1733"/>
      <c r="AT514" s="1733"/>
      <c r="AU514" s="1733"/>
      <c r="AV514" s="1733"/>
      <c r="AW514" s="1733"/>
      <c r="AX514" s="469"/>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663"/>
      <c r="CQ514" s="663"/>
      <c r="CR514" s="438"/>
      <c r="CS514" s="663"/>
      <c r="CV514" s="391"/>
      <c r="CW514" s="391"/>
      <c r="CX514" s="207"/>
      <c r="CY514" s="208"/>
      <c r="CZ514" s="208"/>
      <c r="DA514" s="208"/>
      <c r="DB514" s="209"/>
      <c r="DC514" s="209"/>
      <c r="DD514" s="209"/>
      <c r="DF514" s="664"/>
      <c r="DG514" s="665"/>
      <c r="DH514" s="666"/>
      <c r="DI514" s="667"/>
      <c r="DJ514" s="668"/>
      <c r="DK514" s="668"/>
      <c r="DN514" s="208"/>
      <c r="DO514" s="664"/>
      <c r="DQ514" s="664"/>
      <c r="DR514" s="669"/>
      <c r="DS514" s="391"/>
      <c r="DT514" s="664"/>
      <c r="DU514" s="664"/>
      <c r="DV514" s="664"/>
      <c r="DX514" s="664"/>
      <c r="DY514" s="664"/>
      <c r="DZ514" s="664"/>
      <c r="EA514" s="664"/>
      <c r="EC514" s="670"/>
      <c r="ED514" s="670"/>
      <c r="EF514" s="668"/>
      <c r="EG514" s="668"/>
      <c r="EH514" s="208"/>
      <c r="EI514" s="668"/>
      <c r="EJ514" s="668"/>
      <c r="EK514" s="207"/>
      <c r="EL514" s="207"/>
      <c r="EM514" s="666"/>
      <c r="EN514" s="671"/>
      <c r="EO514" s="671"/>
      <c r="EP514" s="672"/>
      <c r="EQ514" s="672"/>
      <c r="ER514" s="666"/>
      <c r="ES514" s="666"/>
      <c r="ET514" s="666"/>
      <c r="EV514" s="664"/>
      <c r="EX514" s="391"/>
      <c r="EY514" s="391"/>
      <c r="EZ514" s="391"/>
      <c r="FA514" s="391"/>
      <c r="FB514" s="391"/>
      <c r="FC514" s="391"/>
      <c r="FE514" s="569"/>
      <c r="FG514" s="391"/>
      <c r="FH514" s="391"/>
      <c r="FI514" s="391"/>
      <c r="FS514" s="664"/>
      <c r="FT514" s="391"/>
      <c r="FU514" s="391"/>
      <c r="FV514" s="664"/>
      <c r="FW514" s="664"/>
      <c r="GA514" s="663"/>
      <c r="GB514" s="663"/>
      <c r="GC514" s="663"/>
      <c r="GD514" s="663"/>
      <c r="GE514" s="663"/>
      <c r="GF514" s="663"/>
      <c r="GG514" s="663"/>
      <c r="GH514" s="663"/>
      <c r="GI514" s="665"/>
      <c r="GJ514" s="664"/>
      <c r="GK514" s="664"/>
    </row>
    <row r="515" spans="1:288" s="78" customFormat="1" ht="14.95" customHeight="1">
      <c r="B515" s="1845" t="str">
        <f>ID518</f>
        <v xml:space="preserve"> </v>
      </c>
      <c r="C515" s="1846">
        <f>C510+1</f>
        <v>91</v>
      </c>
      <c r="D515" s="1847"/>
      <c r="E515" s="1799" t="s">
        <v>295</v>
      </c>
      <c r="F515" s="1800"/>
      <c r="G515" s="1741"/>
      <c r="H515" s="1742"/>
      <c r="I515" s="1742"/>
      <c r="J515" s="1742"/>
      <c r="K515" s="1742"/>
      <c r="L515" s="1742"/>
      <c r="M515" s="1742"/>
      <c r="N515" s="1742"/>
      <c r="O515" s="1742"/>
      <c r="P515" s="1742"/>
      <c r="Q515" s="1742"/>
      <c r="R515" s="1742"/>
      <c r="S515" s="1791" t="s">
        <v>344</v>
      </c>
      <c r="T515" s="590"/>
      <c r="U515" s="1743"/>
      <c r="V515" s="1744"/>
      <c r="W515" s="1744"/>
      <c r="X515" s="1744"/>
      <c r="Y515" s="1744"/>
      <c r="Z515" s="1744"/>
      <c r="AA515" s="1744"/>
      <c r="AB515" s="961" t="str">
        <f>IFERROR(IF(__Retrofit_TI_NC=0,VLOOKUP(U516,Fixtures_Existing_List,2,FALSE),ROUND(N517*R517/T517,10)),"")</f>
        <v/>
      </c>
      <c r="AC515" s="935" t="str">
        <f>IFERROR(IF(__Retrofit_TI_NC=0,ROUND(T516*AB515*N516*R516/1000,0),IF(CQ515="Interior",N517*R517*R516*N516*_C406_reduction/1000,N517*R517*R516*N516/1000)),"")</f>
        <v/>
      </c>
      <c r="AD515" s="936" t="str">
        <f>IFERROR(IF(C$43=0,ROUND(T516*AB515/1000,2),N517*R517/1000),"")</f>
        <v/>
      </c>
      <c r="AE515" s="997"/>
      <c r="AF515" s="937"/>
      <c r="AG515" s="1745" t="str">
        <f>IF(__Retrofit_TI_NC=0," Control","Select Advanced Control for New System")</f>
        <v xml:space="preserve"> Control</v>
      </c>
      <c r="AH515" s="1745"/>
      <c r="AI515" s="1745"/>
      <c r="AJ515" s="1745"/>
      <c r="AK515" s="1745"/>
      <c r="AL515" s="1745"/>
      <c r="AM515" s="1746">
        <f>IFERROR(DI515,"")</f>
        <v>0</v>
      </c>
      <c r="AN515" s="1774" t="str">
        <f>IFERROR(ROUND(AM515*AC515,0),"")</f>
        <v/>
      </c>
      <c r="AO515" s="1776">
        <f>IFERROR(IF(IB515=FALSE,0,AC515-AN515),0)</f>
        <v>0</v>
      </c>
      <c r="AP515" s="1778">
        <f>AO515-AO517</f>
        <v>0</v>
      </c>
      <c r="AQ515" s="1779"/>
      <c r="AR515" s="1793">
        <f>IFERROR(IF(IB515=FALSE,0,(T517*U518)+(AF517*AG518)),0)</f>
        <v>0</v>
      </c>
      <c r="AS515" s="1793"/>
      <c r="AT515" s="1794"/>
      <c r="AU515" s="1734" t="s">
        <v>237</v>
      </c>
      <c r="AV515" s="1751">
        <f>IF(AU515="Yes",1,0)</f>
        <v>1</v>
      </c>
      <c r="AW515" s="1704" t="str">
        <f>IF(OR(DQ515=4,DQ515=5,DQ515=6,DQ515=12),CONCATENATE("$",IF(GH515=TRUE,Lookup!$K$10,Lookup!$K$2)," /lamp"),CONCATENATE(TEXT(ED515,"$0.00"),"/ kWh"))</f>
        <v>$0.00/ kWh</v>
      </c>
      <c r="AX515" s="467"/>
      <c r="AY515" s="1748">
        <f ca="1">IFERROR(IF(GM516=TRUE,(AB518*T517)/R517,0),"NA")</f>
        <v>0</v>
      </c>
      <c r="AZ515" s="1748"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696" t="str">
        <f>N516</f>
        <v/>
      </c>
      <c r="CQ515" s="1696" t="str">
        <f>IFERROR(VLOOKUP(G516,_Lookup_Heat_Type_Table_New,3,FALSE),"")</f>
        <v/>
      </c>
      <c r="CR515" s="1808" t="str">
        <f>CQ515</f>
        <v/>
      </c>
      <c r="CS515" s="1810" t="str">
        <f>IFERROR(VLOOKUP(G517,'Space Table'!$B$3:$L$163,9,FALSE),"")</f>
        <v/>
      </c>
      <c r="CU515" s="1688" t="s">
        <v>344</v>
      </c>
      <c r="CV515" s="1702">
        <f>IF(IB515=TRUE,T516,0)</f>
        <v>0</v>
      </c>
      <c r="CW515" s="1702" t="str">
        <f>IF(IB515=TRUE,U516,"")</f>
        <v/>
      </c>
      <c r="CX515" s="1702"/>
      <c r="CY515" s="1814">
        <f>IF(IB515=TRUE,AB515,0)</f>
        <v>0</v>
      </c>
      <c r="CZ515" s="1710">
        <f>IF(AND(__Retrofit_TI_NC&gt;0,CR515="interior"),0,IF(IB515=TRUE,AC515,0))</f>
        <v>0</v>
      </c>
      <c r="DA515" s="1814">
        <f>IFERROR(IF(IB515=TRUE,CZ515-CZ517,0),0)</f>
        <v>0</v>
      </c>
      <c r="DB515" s="1819">
        <f>IF(IB515=TRUE,AD515,0)</f>
        <v>0</v>
      </c>
      <c r="DC515" s="1819">
        <f>IF(IB515=TRUE,AD518,0)</f>
        <v>0</v>
      </c>
      <c r="DD515" s="1819">
        <f>IFERROR(DB515-DC515,0)</f>
        <v>0</v>
      </c>
      <c r="DF515" s="1702">
        <f>IF(IB515=TRUE,AF516,0)</f>
        <v>0</v>
      </c>
      <c r="DG515" s="1830">
        <f>IFERROR(IF(__Retrofit_TI_NC=2,IF(CQ515="Exterior",O518,FQ515),FN515),"")</f>
        <v>0</v>
      </c>
      <c r="DH515" s="1702"/>
      <c r="DI515" s="1837">
        <f>JE515</f>
        <v>0</v>
      </c>
      <c r="DJ515" s="1710">
        <f>IF(AND(__Retrofit_TI_NC&gt;0,CR515="interior"),0,IF(IB515=TRUE,AN515,0))</f>
        <v>0</v>
      </c>
      <c r="DK515" s="1712">
        <f>IFERROR(IF(IB515=TRUE,DJ517-DJ515,0),0)</f>
        <v>0</v>
      </c>
      <c r="DM515" s="1717">
        <f>IFERROR(CZ515-DJ515,0)</f>
        <v>0</v>
      </c>
      <c r="DO515" s="1708">
        <f>DM515-DN517</f>
        <v>0</v>
      </c>
      <c r="DQ515" s="1715" t="str">
        <f>IFERROR(IF(AND(OR(GC515=4,GC515=5,GC515=6),OR(GF515=4,GF515=5,GF515=6)),GC515+8,VLOOKUP(CW517,Fixtures!R$31:Y$78,8,FALSE)),"")</f>
        <v/>
      </c>
      <c r="DR515" s="1829" t="str">
        <f>DQ515</f>
        <v/>
      </c>
      <c r="DS515" s="1702" t="str">
        <f>IFERROR(VLOOKUP(DG517,Lookup!BB$3:BC$20,2,FALSE),"")</f>
        <v/>
      </c>
      <c r="DT515" s="1713" t="str">
        <f>IF(OR(DS515=7,DS515=8,DS515=9),"ALC","")</f>
        <v/>
      </c>
      <c r="DU515" s="1715">
        <f>IFERROR(IF(OR(DQ515=4,DQ515=5,DQ515=6,DQ515=12,DQ515=13,DQ515=14),VLOOKUP(CW517,Fixtures!DN$27:EG$77,19,FALSE),1)*CV517,0)</f>
        <v>0</v>
      </c>
      <c r="DV515" s="1716">
        <f>IF(OR(DS515=7,DS515=8,DS515=9),IF(DG515=DG517,0,DF517),0)</f>
        <v>0</v>
      </c>
      <c r="DX515" s="1715" t="str">
        <f>IFERROR(IF(EZ515&lt;EZ517,"Yes","No"),"")</f>
        <v/>
      </c>
      <c r="DY515" s="1829" t="str">
        <f>DX515</f>
        <v/>
      </c>
      <c r="DZ515" s="1715">
        <f>IF(DX515="Yes",DF517,0)</f>
        <v>0</v>
      </c>
      <c r="EA515" s="1715">
        <f>DZ515-DV515</f>
        <v>0</v>
      </c>
      <c r="EC515" s="1834">
        <f>IFERROR(VLOOKUP(DQ515,Lookup!AU$3:AV$16,2,FALSE),0)</f>
        <v>0</v>
      </c>
      <c r="ED515" s="1834">
        <f>IF(IB515=FALSE,0,IF(DX515="Yes",EC515+Lookup!K$6,EC515))</f>
        <v>0</v>
      </c>
      <c r="EF515" s="1707">
        <f>IF(IB515=TRUE,DM515,0)</f>
        <v>0</v>
      </c>
      <c r="EG515" s="1712">
        <f>IF(IB515=TRUE,CZ517,0)</f>
        <v>0</v>
      </c>
      <c r="EH515" s="1814">
        <f>IFERROR(EF515-EG515,0)</f>
        <v>0</v>
      </c>
      <c r="EI515" s="1712">
        <f>IF(IB515=TRUE,DJ517,0)</f>
        <v>0</v>
      </c>
      <c r="EJ515" s="1712">
        <f>IFERROR(EF515-EG515+EI515,0)</f>
        <v>0</v>
      </c>
      <c r="EK515" s="1812">
        <f>IF(IB515=TRUE,CV517*CX517,0)</f>
        <v>0</v>
      </c>
      <c r="EL515" s="1812">
        <f>IF(IB515=TRUE,DF517*DH517,0)</f>
        <v>0</v>
      </c>
      <c r="EM515" s="1807">
        <f>AR515</f>
        <v>0</v>
      </c>
      <c r="EN515" s="1839" t="str">
        <f>IFERROR(IF(IB515=TRUE,VLOOKUP(DQ515,Lookup!AU$3:AW$16,3,FALSE)*DU515,""),0)</f>
        <v/>
      </c>
      <c r="EO515" s="1839">
        <f>IF(IB515=TRUE,DZ515*Lookup!AW$12,0)</f>
        <v>0</v>
      </c>
      <c r="EP515" s="1817">
        <f>IFERROR(IF(IB515=TRUE,EN515/EP$40,0),0)</f>
        <v>0</v>
      </c>
      <c r="EQ515" s="1817">
        <f>IF(IB515=TRUE,EO515/EQ$40,0)</f>
        <v>0</v>
      </c>
      <c r="ER515" s="1807">
        <f>IF(IB515=TRUE,ET$40*EP515,0)</f>
        <v>0</v>
      </c>
      <c r="ES515" s="1807">
        <f>IF(IB515=TRUE,ET$40*EQ515,0)</f>
        <v>0</v>
      </c>
      <c r="ET515" s="1807">
        <f>ER515+ES515</f>
        <v>0</v>
      </c>
      <c r="EV515" s="1715">
        <f>IF(G515="",0,1)</f>
        <v>0</v>
      </c>
      <c r="EX515" s="1804" t="str">
        <f>IFERROR(VLOOKUP(CS517,'Space Table'!$B$3:$L$163,8,FALSE),"")</f>
        <v/>
      </c>
      <c r="EY515" s="1804" t="str">
        <f>IFERROR(IF(FB515="Yes",VLOOKUP(DG515,Lookup_Control_Type_Table2,4,FALSE),VLOOKUP(DG515,Lookup_Control_Type_Table2,3,FALSE)),"")</f>
        <v/>
      </c>
      <c r="EZ515" s="1804" t="e">
        <f>VLOOKUP(DG515,Lookup!BB$3:BC$20,2,FALSE)</f>
        <v>#N/A</v>
      </c>
      <c r="FA515" s="1804" t="e">
        <f>VLOOKUP(EX515,Lookup_Control_Type_Table,2,FALSE)</f>
        <v>#N/A</v>
      </c>
      <c r="FB515" s="1804" t="e">
        <f>VLOOKUP(CS517,'Space Table'!$B$3:$L$163,7,FALSE)</f>
        <v>#N/A</v>
      </c>
      <c r="FC515" s="1826" t="b">
        <f>ISNUMBER(SEARCH("TLED",U517))</f>
        <v>0</v>
      </c>
      <c r="FE515" s="1698" t="str">
        <f>CONCATENATE(CQ515," - ",DG515)</f>
        <v xml:space="preserve"> - 0</v>
      </c>
      <c r="FG515" s="1702" t="str">
        <f>VLOOKUP(CW517,Fixtures!DN$27:EZ$77,38,FALSE)</f>
        <v/>
      </c>
      <c r="FH515" s="1702">
        <f>IFERROR(FG515*EH515,0)</f>
        <v>0</v>
      </c>
      <c r="FI515" s="133"/>
      <c r="FL515" s="1822" t="str">
        <f>IF(CQ515="Exterior","Not Daylighted",G518)</f>
        <v>Not Daylighted</v>
      </c>
      <c r="FM515" s="1824">
        <f>VLOOKUP(FL515,_New_Daylight_Table_Codes,2,FALSE)</f>
        <v>0</v>
      </c>
      <c r="FN515" s="1698">
        <f>IF(__Retrofit_TI_NC&gt;0,VLOOKUP(G517,'Space Table'!$B$3:$L$163,11,FALSE),AG516)</f>
        <v>0</v>
      </c>
      <c r="FO515" s="1698" t="e">
        <f>IF(__Retrofit_TI_NC=2,VLOOKUP(FQ515,_Control_Table,2,FALSE),VLOOKUP(FN515,_Control_Table,2,FALSE))</f>
        <v>#N/A</v>
      </c>
      <c r="FP515" s="1678" t="e">
        <f>VLOOKUP(CONCATENATE(FL515," ",FN515),Lookup!AY$102:AZ525,2,FALSE)</f>
        <v>#N/A</v>
      </c>
      <c r="FQ515" s="1678">
        <f>IF(__Retrofit_TI_NC=0,FN515,IF(AND(FT515&gt;0,FN515="Occupancy Sensor"),"Daylight + Occupancy",IF(AND(FT515&gt;0,VLOOKUP(FN515,_Control_Table,2,FALSE)&lt;4),"Interior Daylight Dimming",FN515)))</f>
        <v>0</v>
      </c>
      <c r="FS515" s="1686">
        <f>IF(CR515="Interior",VLOOKUP(CS515,Control_Savings_Interior,5,FALSE),0)</f>
        <v>0</v>
      </c>
      <c r="FT515" s="1687">
        <f>IF(CQ515="Exterior",0,IF(FM515=2,0.5,IF(OR(FM515=1,FM515=3),1,0)))</f>
        <v>0</v>
      </c>
      <c r="FU515" s="1685">
        <f>IF(R514&gt;FS$44,(FS515*(FS$44/R514)),FS515)*FT515</f>
        <v>0</v>
      </c>
      <c r="FV515" s="1686">
        <f>DI515</f>
        <v>0</v>
      </c>
      <c r="FW515" s="1686">
        <f>ROUND(FV515+((1-FV515)*FU515),2)</f>
        <v>0</v>
      </c>
      <c r="FX515" s="1686">
        <f>IF(__Retrofit_TI_NC=2,FW515,FV515)</f>
        <v>0</v>
      </c>
      <c r="FY515" s="1697"/>
      <c r="GA515" s="1696" t="str">
        <f>IFERROR(VLOOKUP(U516,_Exist_Fixture_Table,3,FALSE),"")</f>
        <v/>
      </c>
      <c r="GB515" s="1696" t="str">
        <f>VLOOKUP(CW515,_Exist_Fixture_Table,4,FALSE)</f>
        <v/>
      </c>
      <c r="GC515" s="1696">
        <f>IFERROR(VLOOKUP(GB515,Lookup!AT$6:AU$8,2,FALSE),0)</f>
        <v>0</v>
      </c>
      <c r="GD515" s="1696" t="b">
        <f>IFERROR(IF(OR(GF515=4,GF515=5,GF515=6),TRUE,FALSE),"")</f>
        <v>0</v>
      </c>
      <c r="GE515" s="1696" t="str">
        <f>IFERROR(VLOOKUP(GF515,GC$6:GD$10,2,FALSE),"")</f>
        <v/>
      </c>
      <c r="GF515" s="1696" t="str">
        <f>VLOOKUP(CW517,Fixtures!R$31:Y$78,8,FALSE)</f>
        <v/>
      </c>
      <c r="GG515" s="1696">
        <f>IF(AND(GA515=TRUE,GD515=TRUE,OR(DQ515=12,DQ515=13,DQ515=14)),GC515+8,0)</f>
        <v>0</v>
      </c>
      <c r="GH515" s="1696" t="b">
        <f>IF(OR(GG515=12,GG515=13,GG515=14),TRUE,FALSE)</f>
        <v>0</v>
      </c>
      <c r="GI515" s="673" t="b">
        <f>IF(ISNUMBER(SEARCH("TLED",U516)),TRUE,FALSE)</f>
        <v>0</v>
      </c>
      <c r="GJ515" s="1135" t="str">
        <f>IFERROR(VLOOKUP(U516,Fixtures!BM$93:BR$142,6,FALSE),"")</f>
        <v/>
      </c>
      <c r="GK515" s="1832" t="b">
        <f>IF(OR(GI515=FALSE,GI517=FALSE),TRUE,IF(GJ515-GJ517&lt;5,FALSE,TRUE))</f>
        <v>1</v>
      </c>
      <c r="GO515" s="674">
        <f>GP515</f>
        <v>0</v>
      </c>
      <c r="GP515" s="674">
        <f>IF(G515="",0,1)</f>
        <v>0</v>
      </c>
      <c r="GQ515" s="674">
        <f ca="1">SUM(GR515:HF515)</f>
        <v>2</v>
      </c>
      <c r="GR515" s="674">
        <f>IF(G516="",0,1)</f>
        <v>0</v>
      </c>
      <c r="GS515" s="674">
        <f>IF(N518="BAM",1,IF(G517="",0,1))</f>
        <v>0</v>
      </c>
      <c r="GT515" s="674">
        <f>IF(N518="BAM",1,IF(R516="",0,1))</f>
        <v>0</v>
      </c>
      <c r="GU515" s="674">
        <f>IF(N518="BAM",1,IF(__Retrofit_TI_NC=0,1,IF(R517="",0,1)))</f>
        <v>1</v>
      </c>
      <c r="GV515" s="674">
        <f>IF(N518="BAM",1,IF(CQ515="Exterior",1,IF(G518="",0,1)))</f>
        <v>1</v>
      </c>
      <c r="GW515" s="674">
        <f>IF(__Retrofit_TI_NC&gt;0,1,IF(T516="",0,1))</f>
        <v>0</v>
      </c>
      <c r="GX515" s="674">
        <f>IF(__Retrofit_TI_NC&gt;0,1,IF(U516="",0,1))</f>
        <v>0</v>
      </c>
      <c r="GY515" s="674">
        <f>IF(N518="BAM",1,IF(T517="",0,1))</f>
        <v>0</v>
      </c>
      <c r="GZ515" s="674">
        <f>IF(N518="BAM",1,IF(U517="",0,1))</f>
        <v>0</v>
      </c>
      <c r="HA515" s="674">
        <f ca="1">IF(N518="BAM",1,IF(__Retrofit_TI_NC&gt;0,1,IF(U518="",0,1)))</f>
        <v>0</v>
      </c>
      <c r="HB515" s="674">
        <f>IF(__Retrofit_TI_NC&lt;&gt;0,1,IF(AF516="",0,1))</f>
        <v>0</v>
      </c>
      <c r="HC515" s="674">
        <f>IF(__Retrofit_TI_NC&lt;&gt;0,1,IF(AG516="",0,1))</f>
        <v>0</v>
      </c>
      <c r="HD515" s="674">
        <f>IF(N518="BAM",1,IF(AF517="",0,1))</f>
        <v>0</v>
      </c>
      <c r="HE515" s="674">
        <f>IF(N518="BAM",1,IF(AG517="",0,1))</f>
        <v>0</v>
      </c>
      <c r="HF515" s="674">
        <f>IF(N518="BAM",1,IF(__Retrofit_TI_NC&gt;0,1,IF(AG518="",0,1)))</f>
        <v>0</v>
      </c>
      <c r="HG515" s="391"/>
      <c r="IA515" s="391"/>
      <c r="IB515" s="1693" t="b">
        <f>IF(OR(IB518=0,IB518=HY$16,IB518=HX$16,IB518=HZ$16),TRUE,FALSE)</f>
        <v>0</v>
      </c>
      <c r="IC515" s="1694" t="b">
        <f>IB515</f>
        <v>0</v>
      </c>
      <c r="ID515" s="391"/>
      <c r="IE515" s="391"/>
      <c r="IF515" s="1688" t="b">
        <f ca="1">IF(MAX(GN518:HU518)&gt;5,FALSE,TRUE)</f>
        <v>0</v>
      </c>
      <c r="IG515" s="1689">
        <f ca="1">IF(IF515=TRUE,AC515,0)</f>
        <v>0</v>
      </c>
      <c r="IH515" s="1689">
        <f ca="1">IG515-IG517</f>
        <v>0</v>
      </c>
      <c r="IK515" s="1689" t="e">
        <f>ROUND(T516*VLOOKUP(U516,Fixtures_Existing_List,2,FALSE)*N516*R516/1000,0)</f>
        <v>#N/A</v>
      </c>
      <c r="IL515" s="1690" t="e">
        <f>IK515-IK517</f>
        <v>#N/A</v>
      </c>
      <c r="IM515" s="1693" t="e">
        <f>ROUND(IF(CQ515="Interior",N517*R517*R516*N516*_C406_reduction/1000,N517*R517*R516*N516/1000),0)</f>
        <v>#N/A</v>
      </c>
      <c r="IN515" s="1693" t="e">
        <f>IM515-IM517</f>
        <v>#N/A</v>
      </c>
      <c r="IP515" s="1679"/>
      <c r="IQ515" s="1679" t="e">
        <f t="shared" ref="IQ515:IU515" si="466">IF($CR515="interior",VLOOKUP($CS515,_New_Control_Savings_Interior,IQ$30,FALSE),VLOOKUP($CS515,Control_Savings_Exterior,IQ$30,FALSE))</f>
        <v>#N/A</v>
      </c>
      <c r="IR515" s="1679" t="e">
        <f t="shared" si="466"/>
        <v>#N/A</v>
      </c>
      <c r="IS515" s="1679" t="e">
        <f t="shared" si="466"/>
        <v>#N/A</v>
      </c>
      <c r="IT515" s="1679" t="e">
        <f t="shared" si="466"/>
        <v>#N/A</v>
      </c>
      <c r="IU515" s="1679" t="e">
        <f t="shared" si="466"/>
        <v>#N/A</v>
      </c>
      <c r="IV515" s="1679" t="e">
        <f>IF($CR515="interior",IF(R516&gt;$IP$14,ROUND(($IV$18*($IP$14/R516)),2),$IV$18),VLOOKUP($CS515,Control_Savings_Exterior,IV$30,FALSE))</f>
        <v>#N/A</v>
      </c>
      <c r="IW515" s="1679" t="e">
        <f>IF($CR515="interior",ROUND(((1-IS515)*IV515)+IS515,2),VLOOKUP($CS515,Control_Savings_Exterior,IW$30,FALSE))</f>
        <v>#N/A</v>
      </c>
      <c r="IX515" s="1679" t="e">
        <f>IF($CR515="interior",ROUND(((1-IT515)*IV515)+IT515,2),VLOOKUP($CS515,Control_Savings_Exterior,IX$30,FALSE))</f>
        <v>#N/A</v>
      </c>
      <c r="IY515" s="1679" t="e">
        <f>IF($CR515="interior",IF(R516&gt;$IP$14,ROUND(($IY$18*($IP$14/R516)),2),$IY$18),VLOOKUP($CS515,Control_Savings_Exterior,IY$30,FALSE))</f>
        <v>#N/A</v>
      </c>
      <c r="IZ515" s="1679" t="e">
        <f>IF($CR515="interior",ROUND(((1-IS515)*IY515)+IS515,2),VLOOKUP($CS515,Control_Savings_Exterior,IZ$30,FALSE))</f>
        <v>#N/A</v>
      </c>
      <c r="JA515" s="1679" t="e">
        <f>IF($CR515="interior",ROUND(((1-IT515)*IY515)+IT515,2),VLOOKUP($CS515,Control_Savings_Exterior,JA$30,FALSE))</f>
        <v>#N/A</v>
      </c>
      <c r="JC515" s="1680">
        <f>IFERROR(IF(CR515="Interior",CONCATENATE(G518," ",FQ515),FQ515),"")</f>
        <v>0</v>
      </c>
      <c r="JD515" s="1670" t="str">
        <f>IFERROR(VLOOKUP(JC515,_Controls_2023,2,FALSE),"")</f>
        <v/>
      </c>
      <c r="JE515" s="1681">
        <f>IFERROR(CHOOSE(JD515-1,IQ515,IR515,IS515,IT515,IU515,IV515,IW515,IX515,IY515,IZ515,JA515),0)</f>
        <v>0</v>
      </c>
      <c r="JG515" s="1680" t="str">
        <f>FE515</f>
        <v xml:space="preserve"> - 0</v>
      </c>
      <c r="JH515" s="1670" t="e">
        <f>$FO515</f>
        <v>#N/A</v>
      </c>
      <c r="JI515" s="1060"/>
      <c r="JJ515" s="1682" t="b">
        <f>IF($JG517=CONCATENATE("Interior - ",JJ$4),TRUE,FALSE)</f>
        <v>0</v>
      </c>
      <c r="JK515" s="1061"/>
      <c r="JL515" s="1682" t="b">
        <f>IF($JG517=CONCATENATE("Interior - ",JL$4),TRUE,FALSE)</f>
        <v>0</v>
      </c>
      <c r="JM515" s="1061"/>
      <c r="JN515" s="1682" t="b">
        <f>IF($JG517=CONCATENATE("Interior - ",JN$4),TRUE,FALSE)</f>
        <v>0</v>
      </c>
      <c r="JO515" s="1061"/>
      <c r="JP515" s="1682" t="b">
        <f>IF(__Retrofit_TI_NC&gt;0,FALSE,IF($JG517=CONCATENATE("Interior - ",JP$4),TRUE,FALSE))</f>
        <v>0</v>
      </c>
      <c r="JQ515" s="1061"/>
      <c r="JR515" s="1682" t="b">
        <f>IF(__Retrofit_TI_NC&gt;0,FALSE,IF($JG517=CONCATENATE("Interior - ",JR$4),TRUE,FALSE))</f>
        <v>0</v>
      </c>
      <c r="JS515" s="1061"/>
      <c r="JT515" s="1670" t="b">
        <f>IF(__Retrofit_TI_NC&gt;0,FALSE,IF($JG517=CONCATENATE("Interior - ",JT$4),TRUE,FALSE))</f>
        <v>0</v>
      </c>
      <c r="JU515" s="1061"/>
      <c r="JV515" s="1670" t="b">
        <f>IF(JC517="AELC on Existing",TRUE,FALSE)</f>
        <v>0</v>
      </c>
      <c r="JX515" s="1670" t="b">
        <f>IF(OR(JG517="Exterior - AELC Occupancy based",JG517="Exterior - AELC Time based"),TRUE,FALSE)</f>
        <v>0</v>
      </c>
      <c r="JZ515" s="1682" t="b">
        <f>IF($JG517=CONCATENATE("Exterior - ",JZ$4),TRUE,FALSE)</f>
        <v>0</v>
      </c>
      <c r="KB515" s="1670" t="b">
        <f>IF(__Retrofit_TI_NC&gt;0,FALSE,IF($JG517=CONCATENATE("Interior - ",KB$4),TRUE,FALSE))</f>
        <v>0</v>
      </c>
    </row>
    <row r="516" spans="1:288" s="78" customFormat="1" ht="14.95" customHeight="1" thickTop="1" thickBot="1">
      <c r="B516" s="1845"/>
      <c r="C516" s="1846"/>
      <c r="D516" s="1847"/>
      <c r="E516" s="1737" t="s">
        <v>297</v>
      </c>
      <c r="F516" s="1738"/>
      <c r="G516" s="1739"/>
      <c r="H516" s="1739"/>
      <c r="I516" s="1739"/>
      <c r="J516" s="1739"/>
      <c r="K516" s="1739"/>
      <c r="L516" s="1739"/>
      <c r="M516" s="461" t="e">
        <f>IF(__Retrofit_TI_NC&lt;&gt;0,IF(VLOOKUP(G517,'Space Table'!$B$3:$L$163,3,FALSE)&gt;0,1,0),IF(__Retrofit_TI_NC=VLOOKUP(G517,'Space Table'!$B$3:$L$163,3,FALSE),1,0))</f>
        <v>#N/A</v>
      </c>
      <c r="N516" s="461" t="str">
        <f>IFERROR(VLOOKUP(G516,_Lookup_Heat_Type_Table_New,2,FALSE),"")</f>
        <v/>
      </c>
      <c r="O516" s="461">
        <f>IF(__Retrofit_TI_NC=1,CONCATENATE("TI ",G516),IF(__Retrofit_TI_NC=2,CONCATENATE("NC ",G516),G516))</f>
        <v>0</v>
      </c>
      <c r="P516" s="1740" t="s">
        <v>435</v>
      </c>
      <c r="Q516" s="1740"/>
      <c r="R516" s="595"/>
      <c r="S516" s="1792"/>
      <c r="T516" s="597"/>
      <c r="U516" s="1765"/>
      <c r="V516" s="1766"/>
      <c r="W516" s="1766"/>
      <c r="X516" s="1766"/>
      <c r="Y516" s="1766"/>
      <c r="Z516" s="1766"/>
      <c r="AA516" s="1766"/>
      <c r="AB516" s="1766"/>
      <c r="AC516" s="1766"/>
      <c r="AD516" s="1767"/>
      <c r="AE516" s="1000"/>
      <c r="AF516" s="597"/>
      <c r="AG516" s="1723"/>
      <c r="AH516" s="1724"/>
      <c r="AI516" s="1724"/>
      <c r="AJ516" s="1724"/>
      <c r="AK516" s="1725"/>
      <c r="AL516" s="996"/>
      <c r="AM516" s="1747"/>
      <c r="AN516" s="1775"/>
      <c r="AO516" s="1777"/>
      <c r="AP516" s="1780"/>
      <c r="AQ516" s="1781"/>
      <c r="AR516" s="1795"/>
      <c r="AS516" s="1795"/>
      <c r="AT516" s="1796"/>
      <c r="AU516" s="1735"/>
      <c r="AV516" s="1752"/>
      <c r="AW516" s="1705"/>
      <c r="AX516" s="467"/>
      <c r="AY516" s="1749"/>
      <c r="AZ516" s="1749"/>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696"/>
      <c r="CQ516" s="1696"/>
      <c r="CR516" s="1809"/>
      <c r="CS516" s="1811"/>
      <c r="CU516" s="1688"/>
      <c r="CV516" s="1703"/>
      <c r="CW516" s="1703"/>
      <c r="CX516" s="1703"/>
      <c r="CY516" s="1815"/>
      <c r="CZ516" s="1711"/>
      <c r="DA516" s="1818"/>
      <c r="DB516" s="1820"/>
      <c r="DC516" s="1820"/>
      <c r="DD516" s="1820"/>
      <c r="DF516" s="1703"/>
      <c r="DG516" s="1831"/>
      <c r="DH516" s="1703"/>
      <c r="DI516" s="1838"/>
      <c r="DJ516" s="1711"/>
      <c r="DK516" s="1712"/>
      <c r="DM516" s="1718"/>
      <c r="DO516" s="1708"/>
      <c r="DQ516" s="1715"/>
      <c r="DR516" s="1720"/>
      <c r="DS516" s="1816"/>
      <c r="DT516" s="1714"/>
      <c r="DU516" s="1715"/>
      <c r="DV516" s="1716"/>
      <c r="DX516" s="1715"/>
      <c r="DY516" s="1720"/>
      <c r="DZ516" s="1715"/>
      <c r="EA516" s="1715"/>
      <c r="EC516" s="1834"/>
      <c r="ED516" s="1834"/>
      <c r="EF516" s="1707"/>
      <c r="EG516" s="1712"/>
      <c r="EH516" s="1818"/>
      <c r="EI516" s="1712"/>
      <c r="EJ516" s="1712"/>
      <c r="EK516" s="1836"/>
      <c r="EL516" s="1836"/>
      <c r="EM516" s="1807"/>
      <c r="EN516" s="1839"/>
      <c r="EO516" s="1839"/>
      <c r="EP516" s="1817"/>
      <c r="EQ516" s="1817"/>
      <c r="ER516" s="1807"/>
      <c r="ES516" s="1807"/>
      <c r="ET516" s="1807"/>
      <c r="EV516" s="1715"/>
      <c r="EX516" s="1805"/>
      <c r="EY516" s="1805"/>
      <c r="EZ516" s="1805"/>
      <c r="FA516" s="1805"/>
      <c r="FB516" s="1805"/>
      <c r="FC516" s="1827"/>
      <c r="FE516" s="1698"/>
      <c r="FG516" s="1816"/>
      <c r="FH516" s="1816"/>
      <c r="FI516" s="133"/>
      <c r="FL516" s="1823"/>
      <c r="FM516" s="1825"/>
      <c r="FN516" s="1698"/>
      <c r="FO516" s="1698"/>
      <c r="FP516" s="1678"/>
      <c r="FQ516" s="1678"/>
      <c r="FS516" s="1687"/>
      <c r="FT516" s="1687"/>
      <c r="FU516" s="1685"/>
      <c r="FV516" s="1687"/>
      <c r="FW516" s="1687"/>
      <c r="FX516" s="1687"/>
      <c r="FY516" s="1697"/>
      <c r="GA516" s="1696"/>
      <c r="GB516" s="1696"/>
      <c r="GC516" s="1696"/>
      <c r="GD516" s="1696"/>
      <c r="GE516" s="1696"/>
      <c r="GF516" s="1696"/>
      <c r="GG516" s="1696"/>
      <c r="GH516" s="1696"/>
      <c r="GI516" s="673"/>
      <c r="GJ516" s="1135"/>
      <c r="GK516" s="1832"/>
      <c r="GM516" s="1693" t="b">
        <f ca="1">IF(AND(GP516=TRUE,GQ516=TRUE),TRUE,FALSE)</f>
        <v>0</v>
      </c>
      <c r="GN516" s="1684" t="b">
        <f>IFERROR(IF(__Retrofit_TI_NC=2,TRUE,IF(AU515="Yes",TRUE,FALSE)),FALSE)</f>
        <v>1</v>
      </c>
      <c r="GP516" s="1684" t="b">
        <f>IFERROR(IF(GP515=1,TRUE,FALSE),FALSE)</f>
        <v>0</v>
      </c>
      <c r="GQ516" s="1684" t="b">
        <f ca="1">IFERROR(IF(GQ515=GQ$14,TRUE,FALSE),FALSE)</f>
        <v>0</v>
      </c>
      <c r="HG516" s="1684" t="b">
        <f>IFERROR(IF(AND(__Retrofit_TI_NC&gt;0,CQ515="Interior"),FALSE,TRUE),FALSE)</f>
        <v>1</v>
      </c>
      <c r="HH516" s="1684" t="b">
        <f>IFERROR(IF(M516=1,TRUE,FALSE),FALSE)</f>
        <v>0</v>
      </c>
      <c r="HI516" s="1684" t="b">
        <f>IFERROR(IF(OR(M517=1,N518="BAM"),TRUE,FALSE),FALSE)</f>
        <v>0</v>
      </c>
      <c r="HJ516" s="1684" t="b">
        <f>IFERROR(IF(__Retrofit_TI_NC&lt;&gt;0,TRUE,IFERROR(IF(VLOOKUP(U516,Fixtures_Existing_List,2,FALSE)&lt;&gt;"",TRUE,FALSE),FALSE)),FALSE)</f>
        <v>0</v>
      </c>
      <c r="HK516" s="1684" t="b">
        <f>IFERROR(IF(VLOOKUP(U517,Fixtures_Proposed_List,2,FALSE)&lt;&gt;"",TRUE,FALSE),FALSE)</f>
        <v>0</v>
      </c>
      <c r="HL516" s="1684" t="b">
        <f>IF(AND(__Retrofit_TI_NC=2,FC515=TRUE),FALSE,TRUE)</f>
        <v>1</v>
      </c>
      <c r="HM516" s="1684" t="b">
        <f>GK515</f>
        <v>1</v>
      </c>
      <c r="HN516" s="1682" t="b">
        <f>IF(ISERROR(MATCH(FE515,_Control_Match[],0))=TRUE,FALSE,TRUE)</f>
        <v>0</v>
      </c>
      <c r="HO516" s="1693" t="b">
        <f>IFERROR(IF(EX515&lt;&gt;EY515,FALSE,TRUE),FALSE)</f>
        <v>1</v>
      </c>
      <c r="HP516" s="1693" t="b">
        <f>IFERROR(IF(EX517&lt;&gt;EY517,FALSE,TRUE),FALSE)</f>
        <v>1</v>
      </c>
      <c r="HQ516" s="1670" t="b">
        <f>IFERROR(IF(CQ515="Exterior",TRUE,IF(AND(OR(FM517=0,FM517=3),JD517&gt;6),FALSE,TRUE)),FALSE)</f>
        <v>0</v>
      </c>
      <c r="HR516" s="1684" t="b">
        <f>IFERROR(IF(AND(FO517=7,FC515=TRUE),FALSE,TRUE),FALSE)</f>
        <v>0</v>
      </c>
      <c r="HS516" s="1684" t="b">
        <f>IFERROR(IF(AND(T517&lt;&gt;AF517,OR(AG517="Interior LLLC", AG517="Interior NLC", AG517="LLLC (outside Daylight)",AG517="LLLC Controls Only"))=TRUE,FALSE,TRUE),FALSE)</f>
        <v>1</v>
      </c>
      <c r="HT516" s="1670" t="b">
        <f>IFERROR(IF(OR(AG517=Lookup!BB$17,AG517=Lookup!BB$18,AG517=Lookup!BB$19)=TRUE,IF(AF517&gt;T517,FALSE,TRUE),TRUE),FALSE)</f>
        <v>1</v>
      </c>
      <c r="HU516" s="1684" t="b">
        <f>IFERROR(IF(__Retrofit_TI_NC=2,IF(EZ517&lt;EZ515,FALSE,TRUE),TRUE),FALSE)</f>
        <v>1</v>
      </c>
      <c r="HV516" s="1684" t="b">
        <f>IF(CQ515="Interior",IL$6,TRUE)</f>
        <v>1</v>
      </c>
      <c r="HW516" s="1684" t="b">
        <f>IF(CQ515="Exterior",IL$8,TRUE)</f>
        <v>1</v>
      </c>
      <c r="HX516" s="1684" t="b">
        <f>IFERROR(IF(__Retrofit_TI_NC&lt;&gt;0,IF(AZ515&lt;AY515,FALSE,TRUE),TRUE),FALSE)</f>
        <v>1</v>
      </c>
      <c r="HY516" s="1684" t="b">
        <f>IFERROR(IF(AND(G516="Exterior",R516&gt;4200),FALSE,TRUE),FALSE)</f>
        <v>1</v>
      </c>
      <c r="HZ516" s="1684" t="b">
        <f>IFERROR(IF(AB518/AB515&lt;HZ$18,FALSE,TRUE),FALSE)</f>
        <v>0</v>
      </c>
      <c r="IB516" s="1691"/>
      <c r="IC516" s="1695"/>
      <c r="ID516" s="1694" t="str">
        <f>VLOOKUP(IB518,_Error_Table,4,FALSE)</f>
        <v>White</v>
      </c>
      <c r="IE516" s="391"/>
      <c r="IF516" s="1688"/>
      <c r="IG516" s="1689"/>
      <c r="IH516" s="1684"/>
      <c r="IK516" s="1689"/>
      <c r="IL516" s="1691"/>
      <c r="IM516" s="1691"/>
      <c r="IN516" s="1691"/>
      <c r="IP516" s="1679"/>
      <c r="IQ516" s="1679"/>
      <c r="IR516" s="1679"/>
      <c r="IS516" s="1679"/>
      <c r="IT516" s="1679"/>
      <c r="IU516" s="1679"/>
      <c r="IV516" s="1679"/>
      <c r="IW516" s="1679"/>
      <c r="IX516" s="1679"/>
      <c r="IY516" s="1679"/>
      <c r="IZ516" s="1679"/>
      <c r="JA516" s="1679"/>
      <c r="JC516" s="1680"/>
      <c r="JD516" s="1670"/>
      <c r="JE516" s="1681"/>
      <c r="JG516" s="1680"/>
      <c r="JH516" s="1670"/>
      <c r="JI516" s="1060"/>
      <c r="JJ516" s="1683"/>
      <c r="JK516" s="1061"/>
      <c r="JL516" s="1683"/>
      <c r="JM516" s="1061"/>
      <c r="JN516" s="1683"/>
      <c r="JO516" s="1061"/>
      <c r="JP516" s="1683"/>
      <c r="JQ516" s="1061"/>
      <c r="JR516" s="1683"/>
      <c r="JS516" s="1061"/>
      <c r="JT516" s="1670"/>
      <c r="JU516" s="1061"/>
      <c r="JV516" s="1670"/>
      <c r="JX516" s="1670"/>
      <c r="JZ516" s="1683"/>
      <c r="KB516" s="1670"/>
    </row>
    <row r="517" spans="1:288" s="78" customFormat="1" ht="14.95" customHeight="1" thickTop="1" thickBot="1">
      <c r="A517" s="78">
        <f>ROW()</f>
        <v>517</v>
      </c>
      <c r="B517" s="1845"/>
      <c r="C517" s="1846"/>
      <c r="D517" s="1847"/>
      <c r="E517" s="1737" t="s">
        <v>298</v>
      </c>
      <c r="F517" s="1738"/>
      <c r="G517" s="1760"/>
      <c r="H517" s="1761"/>
      <c r="I517" s="1761"/>
      <c r="J517" s="1761"/>
      <c r="K517" s="1761"/>
      <c r="L517" s="1762"/>
      <c r="M517" s="461">
        <f>IFERROR(IF(IF(__Retrofit_TI_NC&lt;&gt;0,IF(CQ515="Interior",MATCH(G517,Lookup_Interior_New,0),MATCH(G517,Lookup_Exterior_New,0)),IF(CQ515="Interior",MATCH(G517,Lookup_Interior,0),MATCH(G517,Lookup_Exterior_Areas,0)))&gt;0,1,0),0)</f>
        <v>0</v>
      </c>
      <c r="N517" s="461" t="e">
        <f>IF(__Retrofit_TI_NC=1,
VLOOKUP(G517,'Space Table'!$B$3:$L$163,4,FALSE),
IF(__Retrofit_TI_NC=2,VLOOKUP(G517,'Space Table'!$B$3:$L$163,5,FALSE),VLOOKUP(G517,'Space Table'!$B$3:$L$163,5,FALSE)))</f>
        <v>#N/A</v>
      </c>
      <c r="O517" s="461">
        <f>G517</f>
        <v>0</v>
      </c>
      <c r="P517" s="1738" t="str">
        <f>IFERROR(IF(__Retrofit_TI_NC=1,VLOOKUP(G517,'Space Table'!$B$3:$O$163,13,FALSE),IF(__Retrofit_TI_NC=2,VLOOKUP(G517,'Space Table'!$B$3:$O$163,14,FALSE),"Area (sf):")),"Area (sf):")</f>
        <v>Area (sf):</v>
      </c>
      <c r="Q517" s="1738"/>
      <c r="R517" s="596"/>
      <c r="S517" s="1763" t="s">
        <v>345</v>
      </c>
      <c r="T517" s="594"/>
      <c r="U517" s="1801"/>
      <c r="V517" s="1802"/>
      <c r="W517" s="1802"/>
      <c r="X517" s="1802"/>
      <c r="Y517" s="1802"/>
      <c r="Z517" s="1802"/>
      <c r="AA517" s="1802"/>
      <c r="AB517" s="1802"/>
      <c r="AC517" s="1802"/>
      <c r="AD517" s="1802"/>
      <c r="AE517" s="1803"/>
      <c r="AF517" s="594"/>
      <c r="AG517" s="1787"/>
      <c r="AH517" s="1787"/>
      <c r="AI517" s="1787"/>
      <c r="AJ517" s="1787"/>
      <c r="AK517" s="1787"/>
      <c r="AL517" s="1787"/>
      <c r="AM517" s="1726">
        <f>IFERROR(DI517,"")</f>
        <v>0</v>
      </c>
      <c r="AN517" s="1728" t="str">
        <f>IFERROR(ROUND(AM517*AC518,0),"")</f>
        <v/>
      </c>
      <c r="AO517" s="1730">
        <f>IFERROR(IF(IB515=FALSE,0,AC518-AN517),0)</f>
        <v>0</v>
      </c>
      <c r="AP517" s="1780"/>
      <c r="AQ517" s="1781"/>
      <c r="AR517" s="1795"/>
      <c r="AS517" s="1795"/>
      <c r="AT517" s="1796"/>
      <c r="AU517" s="1735"/>
      <c r="AV517" s="1752"/>
      <c r="AW517" s="1705"/>
      <c r="AX517" s="467"/>
      <c r="AY517" s="1749"/>
      <c r="AZ517" s="1749"/>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696"/>
      <c r="CQ517" s="1696"/>
      <c r="CR517" s="1808" t="str">
        <f>CQ515</f>
        <v/>
      </c>
      <c r="CS517" s="1810" t="str">
        <f>CS515</f>
        <v/>
      </c>
      <c r="CU517" s="1688" t="s">
        <v>345</v>
      </c>
      <c r="CV517" s="1702">
        <f>IF(IB515=TRUE,T517,0)</f>
        <v>0</v>
      </c>
      <c r="CW517" s="1702" t="str">
        <f>IF(IB515=TRUE,U517,"")</f>
        <v/>
      </c>
      <c r="CX517" s="1812">
        <f>IF(IB515=TRUE,U518,0)</f>
        <v>0</v>
      </c>
      <c r="CY517" s="1814">
        <f>IF(IB515=TRUE,AB518,0)</f>
        <v>0</v>
      </c>
      <c r="CZ517" s="1710">
        <f>IF(AND(__Retrofit_TI_NC&gt;0,CR515="interior"),0,IF(IB515=TRUE,AC518,0))</f>
        <v>0</v>
      </c>
      <c r="DA517" s="1818"/>
      <c r="DB517" s="1820"/>
      <c r="DC517" s="1820"/>
      <c r="DD517" s="1820"/>
      <c r="DF517" s="1702">
        <f>IF(IB515=TRUE,AF517,0)</f>
        <v>0</v>
      </c>
      <c r="DG517" s="1830" t="str">
        <f>IF(IB515=TRUE,AG517,"")</f>
        <v/>
      </c>
      <c r="DH517" s="1812">
        <f>AG518</f>
        <v>0</v>
      </c>
      <c r="DI517" s="1837">
        <f>JE517</f>
        <v>0</v>
      </c>
      <c r="DJ517" s="1710">
        <f>IF(AND(__Retrofit_TI_NC&gt;0,CR515="interior"),0,IF(IB515=TRUE,AN517,0))</f>
        <v>0</v>
      </c>
      <c r="DK517" s="1712"/>
      <c r="DN517" s="1717">
        <f>IFERROR(CZ517-DJ517,0)</f>
        <v>0</v>
      </c>
      <c r="DO517" s="1709"/>
      <c r="DQ517" s="1715"/>
      <c r="DR517" s="1719" t="str">
        <f>DQ515</f>
        <v/>
      </c>
      <c r="DS517" s="1816"/>
      <c r="DT517" s="1835" t="str">
        <f>IF(OR(DS515=7,DS515=8,DS515=9),"ALC","")</f>
        <v/>
      </c>
      <c r="DU517" s="1715"/>
      <c r="DV517" s="1716"/>
      <c r="DX517" s="1715"/>
      <c r="DY517" s="1829" t="str">
        <f>DX515</f>
        <v/>
      </c>
      <c r="DZ517" s="1715"/>
      <c r="EA517" s="1715"/>
      <c r="EC517" s="1834"/>
      <c r="ED517" s="1834"/>
      <c r="EF517" s="1707"/>
      <c r="EG517" s="1712"/>
      <c r="EH517" s="1818"/>
      <c r="EI517" s="1712"/>
      <c r="EJ517" s="1712"/>
      <c r="EK517" s="1836"/>
      <c r="EL517" s="1836"/>
      <c r="EM517" s="1807"/>
      <c r="EN517" s="1839"/>
      <c r="EO517" s="1839"/>
      <c r="EP517" s="1817"/>
      <c r="EQ517" s="1817"/>
      <c r="ER517" s="1807"/>
      <c r="ES517" s="1807"/>
      <c r="ET517" s="1807"/>
      <c r="EV517" s="1715"/>
      <c r="EX517" s="1805" t="str">
        <f>IFERROR(VLOOKUP(CS517,'Space Table'!$B$3:$L$163,8,FALSE),"")</f>
        <v/>
      </c>
      <c r="EY517" s="1805" t="str">
        <f>IFERROR(IF(FB517="Yes",VLOOKUP(AG517,Lookup_Control_Type_Table2,4,FALSE),VLOOKUP(AG517,Lookup_Control_Type_Table2,3,FALSE)),"")</f>
        <v/>
      </c>
      <c r="EZ517" s="1805" t="e">
        <f>VLOOKUP(AG517,Lookup!BB$3:BC$20,2,FALSE)</f>
        <v>#N/A</v>
      </c>
      <c r="FA517" s="1805" t="e">
        <f>VLOOKUP(EX515,Lookup_Control_Type_Table,2,FALSE)</f>
        <v>#N/A</v>
      </c>
      <c r="FB517" s="1805" t="e">
        <f>VLOOKUP(CS517,'Space Table'!$B$3:$L$163,7,FALSE)</f>
        <v>#N/A</v>
      </c>
      <c r="FC517" s="1827"/>
      <c r="FE517" s="1698" t="str">
        <f>CONCATENATE(CQ515," - ",AG517)</f>
        <v xml:space="preserve"> - </v>
      </c>
      <c r="FG517" s="1816"/>
      <c r="FH517" s="1816"/>
      <c r="FI517" s="133"/>
      <c r="FL517" s="1822" t="str">
        <f>IF(CQ515="Exterior","Not Daylighted",G518)</f>
        <v>Not Daylighted</v>
      </c>
      <c r="FM517" s="1824">
        <f>VLOOKUP(FL517,_New_Daylight_Table_Codes,2,FALSE)</f>
        <v>0</v>
      </c>
      <c r="FN517" s="1698">
        <f>AG517</f>
        <v>0</v>
      </c>
      <c r="FO517" s="1698" t="e">
        <f>VLOOKUP(FN517,_Control_Table,2,FALSE)</f>
        <v>#N/A</v>
      </c>
      <c r="FP517" s="1678" t="e">
        <f>VLOOKUP(CONCATENATE(FL517," ",FN517),Lookup!AY$102:AZ528,2,FALSE)</f>
        <v>#N/A</v>
      </c>
      <c r="FQ517" s="1698">
        <f>IF(__Retrofit_TI_NC=0,FN517,IF(AND(FT517&gt;0,FN517="Occupancy Sensor"),"Daylight + Occupancy",IF(AND(FT517&gt;0,FO517&lt;4),"Interior Daylight Dimming",FN517)))</f>
        <v>0</v>
      </c>
      <c r="FS517" s="1686">
        <f>IF(CQ515="Interior",VLOOKUP(CS515,Control_Savings_Interior,5,FALSE),0)</f>
        <v>0</v>
      </c>
      <c r="FT517" s="1687">
        <f>IF(CQ517="Exterior",0,IF(FM517=2,0.5,IF(OR(FM517=1,FM517=3),1,0)))</f>
        <v>0</v>
      </c>
      <c r="FU517" s="1685">
        <f>IF(R516&gt;FS$44,(FS517*(FS$44/R516)),FS517)*FT517</f>
        <v>0</v>
      </c>
      <c r="FV517" s="1686">
        <f>DI517</f>
        <v>0</v>
      </c>
      <c r="FW517" s="1686">
        <f>ROUND(FV517+((1-FV517)*FU517),2)</f>
        <v>0</v>
      </c>
      <c r="FX517" s="1686">
        <f>IF(__Retrofit_TI_NC=2,FW517,FV517)</f>
        <v>0</v>
      </c>
      <c r="FY517" s="1697">
        <f>IF(CR517="Interior",VLOOKUP(CS517,Control_Savings_Interior,4,FALSE),0)</f>
        <v>0</v>
      </c>
      <c r="GA517" s="1696"/>
      <c r="GB517" s="1696"/>
      <c r="GC517" s="1696"/>
      <c r="GD517" s="1696"/>
      <c r="GE517" s="1696"/>
      <c r="GF517" s="1696"/>
      <c r="GG517" s="1696"/>
      <c r="GH517" s="1696"/>
      <c r="GI517" s="673" t="b">
        <f>IF(ISNUMBER(SEARCH("TLED",U517)),TRUE,FALSE)</f>
        <v>0</v>
      </c>
      <c r="GJ517" s="1135" t="str">
        <f>IFERROR(VLOOKUP(U517,Fixtures!DM$93:DR$142,6,FALSE),"")</f>
        <v/>
      </c>
      <c r="GK517" s="1832"/>
      <c r="GM517" s="1692"/>
      <c r="GN517" s="1684"/>
      <c r="GP517" s="1684"/>
      <c r="GQ517" s="1684"/>
      <c r="HG517" s="1684"/>
      <c r="HH517" s="1684"/>
      <c r="HI517" s="1684"/>
      <c r="HJ517" s="1684"/>
      <c r="HK517" s="1684"/>
      <c r="HL517" s="1684"/>
      <c r="HM517" s="1684"/>
      <c r="HN517" s="1683"/>
      <c r="HO517" s="1692"/>
      <c r="HP517" s="1692"/>
      <c r="HQ517" s="1670"/>
      <c r="HR517" s="1684"/>
      <c r="HS517" s="1684"/>
      <c r="HT517" s="1670"/>
      <c r="HU517" s="1684"/>
      <c r="HV517" s="1684"/>
      <c r="HW517" s="1684"/>
      <c r="HX517" s="1684"/>
      <c r="HY517" s="1684"/>
      <c r="HZ517" s="1684"/>
      <c r="IB517" s="1692"/>
      <c r="IC517" s="1693" t="b">
        <f>IB515</f>
        <v>0</v>
      </c>
      <c r="ID517" s="1695"/>
      <c r="IE517" s="391"/>
      <c r="IF517" s="1688"/>
      <c r="IG517" s="1689">
        <f ca="1">IF(IF515=TRUE,AC518,0)</f>
        <v>0</v>
      </c>
      <c r="IH517" s="1684"/>
      <c r="IK517" s="1689" t="e">
        <f>ROUND(T517*AB518*N516*R516/1000,0)</f>
        <v>#VALUE!</v>
      </c>
      <c r="IL517" s="1691"/>
      <c r="IM517" s="1693" t="e">
        <f>ROUND(T517*AB518*N516*R516/1000,0)</f>
        <v>#VALUE!</v>
      </c>
      <c r="IN517" s="1691"/>
      <c r="IP517" s="1679"/>
      <c r="IQ517" s="1679" t="e">
        <f t="shared" ref="IQ517:IU517" si="467">IF($CR517="interior",VLOOKUP($CS517,_New_Control_Savings_Interior,IQ$30,FALSE),VLOOKUP($CS517,Control_Savings_Exterior,IQ$30,FALSE))</f>
        <v>#N/A</v>
      </c>
      <c r="IR517" s="1679" t="e">
        <f t="shared" si="467"/>
        <v>#N/A</v>
      </c>
      <c r="IS517" s="1679" t="e">
        <f t="shared" si="467"/>
        <v>#N/A</v>
      </c>
      <c r="IT517" s="1679" t="e">
        <f t="shared" si="467"/>
        <v>#N/A</v>
      </c>
      <c r="IU517" s="1679" t="e">
        <f t="shared" si="467"/>
        <v>#N/A</v>
      </c>
      <c r="IV517" s="1679" t="e">
        <f>IF($CR517="interior",IF(R516&gt;$IP$14,ROUND(($IV$18*($IP$14/R516)),2),$IV$18),VLOOKUP($CS517,Control_Savings_Exterior,IV$30,FALSE))</f>
        <v>#N/A</v>
      </c>
      <c r="IW517" s="1679" t="e">
        <f>IF($CR517="interior",ROUND(((1-IS517)*IV517)+IS517,2),VLOOKUP($CS517,Control_Savings_Exterior,IW$30,FALSE))</f>
        <v>#N/A</v>
      </c>
      <c r="IX517" s="1679" t="e">
        <f>IF($CR517="interior",ROUND(((1-IT517)*IV517)+IT517,2),VLOOKUP($CS517,Control_Savings_Exterior,IX$30,FALSE))</f>
        <v>#N/A</v>
      </c>
      <c r="IY517" s="1679" t="e">
        <f>IF($CR517="interior",IF(R516&gt;$IP$14,ROUND(($IY$18*($IP$14/R516)),2),$IY$18),VLOOKUP($CS517,Control_Savings_Exterior,IY$30,FALSE))</f>
        <v>#N/A</v>
      </c>
      <c r="IZ517" s="1679" t="e">
        <f>IF($CR517="interior",ROUND(((1-IS517)*IY517)+IS517,2),VLOOKUP($CS517,Control_Savings_Exterior,IZ$30,FALSE))</f>
        <v>#N/A</v>
      </c>
      <c r="JA517" s="1679" t="e">
        <f>IF($CR517="interior",ROUND(((1-IT517)*IY517)+IT517,2),VLOOKUP($CS517,Control_Savings_Exterior,JA$30,FALSE))</f>
        <v>#N/A</v>
      </c>
      <c r="JC517" s="1680">
        <f>IFERROR(IF(CR517="Interior",CONCATENATE(G518," ",FQ517),AG517),"")</f>
        <v>0</v>
      </c>
      <c r="JD517" s="1670" t="str">
        <f>IFERROR(VLOOKUP(JC517,_Controls_2023,2,FALSE),"")</f>
        <v/>
      </c>
      <c r="JE517" s="1681">
        <f>IFERROR(CHOOSE(JD517-1,IQ517,IR517,IS517,IT517,IU517,IV517,IW517,IX517,IY517,IZ517,JA517),0)</f>
        <v>0</v>
      </c>
      <c r="JG517" s="1680" t="str">
        <f>FE517</f>
        <v xml:space="preserve"> - </v>
      </c>
      <c r="JH517" s="1670" t="e">
        <f>$FO517</f>
        <v>#N/A</v>
      </c>
      <c r="JI517" s="1060"/>
      <c r="JJ517" s="1670">
        <f>IFERROR(IF($IB515=TRUE,IF(OR(JJ$14="No",JJ515=FALSE,JH517&lt;=JH515,AND(_kWh_Grant=0,GD515=FALSE)),0,IF(JJ$8="Per Line",1,$AF517)),0),0)</f>
        <v>0</v>
      </c>
      <c r="JK517" s="1061"/>
      <c r="JL517" s="1670">
        <f>IFERROR(IF(_kWh_Grant=0,0,IF($IB515=TRUE,IF(OR(JL$14="No",JL515=FALSE,JH517&lt;=JH515),0,IF(JL$8="Per Line",1,$T517)),0)),0)</f>
        <v>0</v>
      </c>
      <c r="JM517" s="1061"/>
      <c r="JN517" s="1670">
        <f>IFERROR(IF(_kWh_Grant=0,0,IF($IB515=TRUE,IF(OR(JN$14="No",JN515=FALSE,JH517&lt;=JH515),0,IF(JN$8="Per Line",1,$AF517)),0)),0)</f>
        <v>0</v>
      </c>
      <c r="JO517" s="1061"/>
      <c r="JP517" s="1670">
        <f>IFERROR(IF(__Retrofit_TI_NC=0,IF(_kWh_Grant=0,0,IF($IB515=TRUE,IF(OR(JP$14="No",JP515=FALSE,$JH517&lt;=$JH515),0,IF(JP$8="Per Line",1,$AF517)),0)),IF($IB515=TRUE,IF(OR(JP$14="No",JP515=FALSE,$JH517&lt;=$JH515),0,IF(JP$8="Per Line",1,$AF517)))),0)</f>
        <v>0</v>
      </c>
      <c r="JQ517" s="1061"/>
      <c r="JR517" s="1670">
        <f>IFERROR(IF(__Retrofit_TI_NC=0,IF(_kWh_Grant=0,0,IF($IB515=TRUE,IF(OR(JR$14="No",JR515=FALSE,$JH517&lt;=$JH515),0,IF(JR$8="Per Line",1,$AF517)),0)),IF($IB515=TRUE,IF(OR(JR$14="No",JR515=FALSE,$JH517&lt;=$JH515),0,IF(JR$8="Per Line",1,$AF517)))),0)</f>
        <v>0</v>
      </c>
      <c r="JS517" s="1061"/>
      <c r="JT517" s="1670">
        <f>IFERROR(IF(__Retrofit_TI_NC=0,IF(_kWh_Grant=0,0,IF($IB515=TRUE,IF(OR(JT$14="No",JT515=FALSE,$JH517&lt;=$JH515),0,IF(JT$8="Per Line",1,$AF517)),0)),IF($IB515=TRUE,IF(OR(JT$14="No",JT515=FALSE,$JH517&lt;=$JH515),0,IF(JT$8="Per Line",1,$AF517)))),0)</f>
        <v>0</v>
      </c>
      <c r="JU517" s="1061"/>
      <c r="JV517" s="1670">
        <f>IFERROR(IF(__Retrofit_TI_NC=0,IF(_kWh_Grant=0,0,IF($IB515=TRUE,IF(OR(JV$14="No",JV515=FALSE,$JH517&lt;=$JH515),0,IF(JV$8="Per Line",1,$AF517)),0)),IF($IB515=TRUE,IF(OR(JV$14="No",JV515=FALSE,$JH517&lt;=$JH515),0,IF(JV$8="Per Line",1,$AF517)))),0)</f>
        <v>0</v>
      </c>
      <c r="JX517" s="1670">
        <f>IFERROR(IF(__Retrofit_TI_NC=0,IF(_kWh_Grant=0,0,IF($IB515=TRUE,IF(OR(JX$14="No",JX515=FALSE,$JH517&lt;=$JH515),0,IF(JX$8="Per Line",1,$AF517)),0)),IF($IB515=TRUE,IF(OR(JX$14="No",JX515=FALSE,$JH517&lt;=$JH515),0,IF(JX$8="Per Line",1,$AF517)))),0)</f>
        <v>0</v>
      </c>
      <c r="JZ517" s="1670">
        <f>IFERROR(IF($IB515=TRUE,IF(OR(JZ$14="No",JZ515=FALSE,$JH517&lt;=$JH515,AND(_kWh_Grant=0,$GD515=FALSE)),0,IF(JZ$8="Per Line",1,$AF517)),0),0)</f>
        <v>0</v>
      </c>
      <c r="KB517" s="1670">
        <f>IFERROR(IF(__Retrofit_TI_NC=0,IF(_kWh_Grant=0,0,IF($IB515=TRUE,IF(OR(KB$14="No",KB515=FALSE,$JH517&lt;=$JH515),0,IF(KB$8="Per Line",1,$AF517)),0)),IF($IB515=TRUE,IF(OR(KB$14="No",KB515=FALSE,$JH517&lt;=$JH515),0,IF(KB$8="Per Line",1,$AF517)))),0)</f>
        <v>0</v>
      </c>
    </row>
    <row r="518" spans="1:288" s="78" customFormat="1" ht="14.95" customHeight="1" thickTop="1" thickBot="1">
      <c r="B518" s="1845"/>
      <c r="C518" s="1846"/>
      <c r="D518" s="1847"/>
      <c r="E518" s="1771" t="s">
        <v>436</v>
      </c>
      <c r="F518" s="1772"/>
      <c r="G518" s="1784" t="s">
        <v>437</v>
      </c>
      <c r="H518" s="1785"/>
      <c r="I518" s="1785"/>
      <c r="J518" s="1785"/>
      <c r="K518" s="1785"/>
      <c r="L518" s="1786"/>
      <c r="M518" s="591">
        <f>IFERROR(VLOOKUP(G518,_Daylight_Table[],2,FALSE),0)</f>
        <v>0</v>
      </c>
      <c r="N518" s="592" t="str">
        <f>IF(AND(__Retrofit_TI_NC&gt;0,CQ515="Interior"),"BAM","")</f>
        <v/>
      </c>
      <c r="O518" s="591" t="e">
        <f>VLOOKUP(G517,'Space Table'!$B$3:$L$163,11,FALSE)</f>
        <v>#N/A</v>
      </c>
      <c r="P518" s="1789"/>
      <c r="Q518" s="1790"/>
      <c r="R518" s="1790"/>
      <c r="S518" s="1788"/>
      <c r="T518" s="593" t="s">
        <v>342</v>
      </c>
      <c r="U518" s="1756" t="str" cm="1">
        <f t="array" aca="1" ref="U518" ca="1">IFERROR(VLOOKUP(INDIRECT("U" &amp; ROW()-1),Fixtures!DM$93:DP$142,4,FALSE),"")</f>
        <v/>
      </c>
      <c r="V518" s="1757"/>
      <c r="W518" s="1757"/>
      <c r="X518" s="1757"/>
      <c r="Y518" s="1757"/>
      <c r="Z518" s="1757"/>
      <c r="AA518" s="1758"/>
      <c r="AB518" s="939" t="str">
        <f>IFERROR(VLOOKUP(U517,Fixtures_Proposed_List,2,FALSE),"")</f>
        <v/>
      </c>
      <c r="AC518" s="933" t="str">
        <f>IFERROR(ROUND(T517*AB518*N516*R516/1000,0),"")</f>
        <v/>
      </c>
      <c r="AD518" s="934" t="str">
        <f>IFERROR(ROUND(T517*AB518/1000,2),"")</f>
        <v/>
      </c>
      <c r="AE518" s="998"/>
      <c r="AF518" s="938" t="s">
        <v>342</v>
      </c>
      <c r="AG518" s="1770"/>
      <c r="AH518" s="1770"/>
      <c r="AI518" s="1770"/>
      <c r="AJ518" s="1770"/>
      <c r="AK518" s="1770"/>
      <c r="AL518" s="1770"/>
      <c r="AM518" s="1727"/>
      <c r="AN518" s="1729"/>
      <c r="AO518" s="1731"/>
      <c r="AP518" s="1782"/>
      <c r="AQ518" s="1783"/>
      <c r="AR518" s="1797"/>
      <c r="AS518" s="1797"/>
      <c r="AT518" s="1798"/>
      <c r="AU518" s="1736"/>
      <c r="AV518" s="1753"/>
      <c r="AW518" s="1706"/>
      <c r="AX518" s="468"/>
      <c r="AY518" s="1750"/>
      <c r="AZ518" s="1750"/>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696"/>
      <c r="CQ518" s="1696"/>
      <c r="CR518" s="1809"/>
      <c r="CS518" s="1811"/>
      <c r="CU518" s="1688"/>
      <c r="CV518" s="1703"/>
      <c r="CW518" s="1703"/>
      <c r="CX518" s="1813"/>
      <c r="CY518" s="1815"/>
      <c r="CZ518" s="1711"/>
      <c r="DA518" s="1815"/>
      <c r="DB518" s="1821"/>
      <c r="DC518" s="1821"/>
      <c r="DD518" s="1821"/>
      <c r="DF518" s="1703"/>
      <c r="DG518" s="1831"/>
      <c r="DH518" s="1813"/>
      <c r="DI518" s="1838"/>
      <c r="DJ518" s="1711"/>
      <c r="DK518" s="1712"/>
      <c r="DN518" s="1718"/>
      <c r="DO518" s="1709"/>
      <c r="DQ518" s="1715"/>
      <c r="DR518" s="1720"/>
      <c r="DS518" s="1703"/>
      <c r="DT518" s="1714"/>
      <c r="DU518" s="1715"/>
      <c r="DV518" s="1716"/>
      <c r="DX518" s="1715"/>
      <c r="DY518" s="1720"/>
      <c r="DZ518" s="1715"/>
      <c r="EA518" s="1715"/>
      <c r="EC518" s="1834"/>
      <c r="ED518" s="1834"/>
      <c r="EF518" s="1707"/>
      <c r="EG518" s="1712"/>
      <c r="EH518" s="1815"/>
      <c r="EI518" s="1712"/>
      <c r="EJ518" s="1712"/>
      <c r="EK518" s="1813"/>
      <c r="EL518" s="1813"/>
      <c r="EM518" s="1807"/>
      <c r="EN518" s="1839"/>
      <c r="EO518" s="1839"/>
      <c r="EP518" s="1817"/>
      <c r="EQ518" s="1817"/>
      <c r="ER518" s="1807"/>
      <c r="ES518" s="1807"/>
      <c r="ET518" s="1807"/>
      <c r="EV518" s="1715"/>
      <c r="EX518" s="1806"/>
      <c r="EY518" s="1806"/>
      <c r="EZ518" s="1806"/>
      <c r="FA518" s="1806"/>
      <c r="FB518" s="1806"/>
      <c r="FC518" s="1828"/>
      <c r="FE518" s="1698"/>
      <c r="FG518" s="1703"/>
      <c r="FH518" s="1703"/>
      <c r="FI518" s="133"/>
      <c r="FL518" s="1823"/>
      <c r="FM518" s="1825"/>
      <c r="FN518" s="1698"/>
      <c r="FO518" s="1698"/>
      <c r="FP518" s="1678"/>
      <c r="FQ518" s="1698"/>
      <c r="FS518" s="1687"/>
      <c r="FT518" s="1687"/>
      <c r="FU518" s="1685"/>
      <c r="FV518" s="1687"/>
      <c r="FW518" s="1687"/>
      <c r="FX518" s="1687"/>
      <c r="FY518" s="1697"/>
      <c r="GA518" s="1696"/>
      <c r="GB518" s="1696"/>
      <c r="GC518" s="1696"/>
      <c r="GD518" s="1696"/>
      <c r="GE518" s="1696"/>
      <c r="GF518" s="1696"/>
      <c r="GG518" s="1696"/>
      <c r="GH518" s="1696"/>
      <c r="GI518" s="673"/>
      <c r="GJ518" s="1135"/>
      <c r="GK518" s="1832"/>
      <c r="GN518" s="674">
        <f>IF(GN516=TRUE,0,GN$16)</f>
        <v>0</v>
      </c>
      <c r="GP518" s="674">
        <f>IF(GP516=TRUE,0,GP$16)</f>
        <v>36</v>
      </c>
      <c r="GQ518" s="674">
        <f ca="1">IF(GQ516=TRUE,0,GQ$16)</f>
        <v>35</v>
      </c>
      <c r="GR518" s="391"/>
      <c r="GS518" s="391"/>
      <c r="GT518" s="391"/>
      <c r="GU518" s="391"/>
      <c r="GV518" s="391"/>
      <c r="HG518" s="674">
        <f>IF(HG516=TRUE,0,HG$16)</f>
        <v>0</v>
      </c>
      <c r="HH518" s="674">
        <f t="shared" ref="HH518:HM518" si="468">IF(HH516=TRUE,0,HH$16)</f>
        <v>19</v>
      </c>
      <c r="HI518" s="674">
        <f t="shared" si="468"/>
        <v>18</v>
      </c>
      <c r="HJ518" s="674">
        <f t="shared" si="468"/>
        <v>17</v>
      </c>
      <c r="HK518" s="674">
        <f t="shared" si="468"/>
        <v>16</v>
      </c>
      <c r="HL518" s="674">
        <f t="shared" si="468"/>
        <v>0</v>
      </c>
      <c r="HM518" s="674">
        <f t="shared" si="468"/>
        <v>0</v>
      </c>
      <c r="HN518" s="674">
        <f>IF(HN516=TRUE,0,HN$16)</f>
        <v>13</v>
      </c>
      <c r="HO518" s="674">
        <f t="shared" ref="HO518:HQ518" si="469">IF(HO516=TRUE,0,HO$16)</f>
        <v>0</v>
      </c>
      <c r="HP518" s="674">
        <f t="shared" si="469"/>
        <v>0</v>
      </c>
      <c r="HQ518" s="674">
        <f t="shared" si="469"/>
        <v>10</v>
      </c>
      <c r="HR518" s="674">
        <f>IF(HR516=TRUE,0,HR$16)</f>
        <v>9</v>
      </c>
      <c r="HS518" s="674">
        <f t="shared" ref="HS518:HW518" si="470">IF(HS516=TRUE,0,HS$16)</f>
        <v>0</v>
      </c>
      <c r="HT518" s="674">
        <f t="shared" si="470"/>
        <v>0</v>
      </c>
      <c r="HU518" s="674">
        <f t="shared" si="470"/>
        <v>0</v>
      </c>
      <c r="HV518" s="674">
        <f t="shared" si="470"/>
        <v>0</v>
      </c>
      <c r="HW518" s="674">
        <f t="shared" si="470"/>
        <v>0</v>
      </c>
      <c r="HX518" s="674">
        <f>IF(HX516=TRUE,0,HX$16)</f>
        <v>0</v>
      </c>
      <c r="HY518" s="674">
        <f>IF(HY516=TRUE,0,HY$16)</f>
        <v>0</v>
      </c>
      <c r="HZ518" s="674">
        <f>IF(HZ516=TRUE,0,HZ$16)</f>
        <v>1</v>
      </c>
      <c r="IB518" s="674">
        <f>IF(GP516=FALSE,GP518,IF(GQ516=FALSE,GQ518,MAX(GN518:HZ518)))</f>
        <v>36</v>
      </c>
      <c r="IC518" s="1692"/>
      <c r="ID518" s="205" t="str">
        <f>VLOOKUP(IB518,_Error_Table,3,FALSE)</f>
        <v xml:space="preserve"> </v>
      </c>
      <c r="IE518" s="205"/>
      <c r="IF518" s="1688"/>
      <c r="IG518" s="1689"/>
      <c r="IH518" s="1684"/>
      <c r="IK518" s="1689"/>
      <c r="IL518" s="1692"/>
      <c r="IM518" s="1692"/>
      <c r="IN518" s="1692"/>
      <c r="IP518" s="1679"/>
      <c r="IQ518" s="1679"/>
      <c r="IR518" s="1679"/>
      <c r="IS518" s="1679"/>
      <c r="IT518" s="1679"/>
      <c r="IU518" s="1679"/>
      <c r="IV518" s="1679"/>
      <c r="IW518" s="1679"/>
      <c r="IX518" s="1679"/>
      <c r="IY518" s="1679"/>
      <c r="IZ518" s="1679"/>
      <c r="JA518" s="1679"/>
      <c r="JC518" s="1680"/>
      <c r="JD518" s="1670"/>
      <c r="JE518" s="1681"/>
      <c r="JG518" s="1680"/>
      <c r="JH518" s="1670"/>
      <c r="JI518" s="1060"/>
      <c r="JJ518" s="1670"/>
      <c r="JK518" s="1061"/>
      <c r="JL518" s="1670"/>
      <c r="JM518" s="1061"/>
      <c r="JN518" s="1670"/>
      <c r="JO518" s="1061"/>
      <c r="JP518" s="1670"/>
      <c r="JQ518" s="1061"/>
      <c r="JR518" s="1670"/>
      <c r="JS518" s="1061"/>
      <c r="JT518" s="1670"/>
      <c r="JU518" s="1061"/>
      <c r="JV518" s="1670"/>
      <c r="JX518" s="1670"/>
      <c r="JZ518" s="1670"/>
      <c r="KB518" s="1670"/>
    </row>
    <row r="519" spans="1:288" s="78" customFormat="1" ht="5.0999999999999996" customHeight="1">
      <c r="B519" s="676"/>
      <c r="C519" s="392"/>
      <c r="D519" s="392"/>
      <c r="E519" s="1733"/>
      <c r="F519" s="1733"/>
      <c r="G519" s="1733"/>
      <c r="H519" s="1733"/>
      <c r="I519" s="1733"/>
      <c r="J519" s="1733"/>
      <c r="K519" s="1733"/>
      <c r="L519" s="1733"/>
      <c r="M519" s="1733"/>
      <c r="N519" s="1733"/>
      <c r="O519" s="1733"/>
      <c r="P519" s="1733"/>
      <c r="Q519" s="1733"/>
      <c r="R519" s="1733"/>
      <c r="S519" s="1733"/>
      <c r="T519" s="1733"/>
      <c r="U519" s="1733"/>
      <c r="V519" s="1733"/>
      <c r="W519" s="1733"/>
      <c r="X519" s="1733"/>
      <c r="Y519" s="1733"/>
      <c r="Z519" s="1733"/>
      <c r="AA519" s="1733"/>
      <c r="AB519" s="1733"/>
      <c r="AC519" s="1733"/>
      <c r="AD519" s="1733"/>
      <c r="AE519" s="1733"/>
      <c r="AF519" s="1733"/>
      <c r="AG519" s="1733"/>
      <c r="AH519" s="1733"/>
      <c r="AI519" s="1733"/>
      <c r="AJ519" s="1733"/>
      <c r="AK519" s="1733"/>
      <c r="AL519" s="1733"/>
      <c r="AM519" s="1733"/>
      <c r="AN519" s="1733"/>
      <c r="AO519" s="1733"/>
      <c r="AP519" s="1733"/>
      <c r="AQ519" s="1733"/>
      <c r="AR519" s="1733"/>
      <c r="AS519" s="1733"/>
      <c r="AT519" s="1733"/>
      <c r="AU519" s="1733"/>
      <c r="AV519" s="1733"/>
      <c r="AW519" s="1733"/>
      <c r="AX519" s="469"/>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663"/>
      <c r="CQ519" s="663"/>
      <c r="CR519" s="438"/>
      <c r="CS519" s="663"/>
      <c r="CV519" s="391"/>
      <c r="CW519" s="391"/>
      <c r="CX519" s="207"/>
      <c r="CY519" s="208"/>
      <c r="CZ519" s="208"/>
      <c r="DA519" s="208"/>
      <c r="DB519" s="209"/>
      <c r="DC519" s="209"/>
      <c r="DD519" s="209"/>
      <c r="DF519" s="664"/>
      <c r="DG519" s="665"/>
      <c r="DH519" s="666"/>
      <c r="DI519" s="667"/>
      <c r="DJ519" s="668"/>
      <c r="DK519" s="668"/>
      <c r="DN519" s="208"/>
      <c r="DO519" s="664"/>
      <c r="DQ519" s="664"/>
      <c r="DR519" s="669"/>
      <c r="DS519" s="391"/>
      <c r="DT519" s="664"/>
      <c r="DU519" s="664"/>
      <c r="DV519" s="664"/>
      <c r="DX519" s="664"/>
      <c r="DY519" s="664"/>
      <c r="DZ519" s="664"/>
      <c r="EA519" s="664"/>
      <c r="EC519" s="670"/>
      <c r="ED519" s="670"/>
      <c r="EF519" s="668"/>
      <c r="EG519" s="668"/>
      <c r="EH519" s="208"/>
      <c r="EI519" s="668"/>
      <c r="EJ519" s="668"/>
      <c r="EK519" s="207"/>
      <c r="EL519" s="207"/>
      <c r="EM519" s="666"/>
      <c r="EN519" s="671"/>
      <c r="EO519" s="671"/>
      <c r="EP519" s="672"/>
      <c r="EQ519" s="672"/>
      <c r="ER519" s="666"/>
      <c r="ES519" s="666"/>
      <c r="ET519" s="666"/>
      <c r="EV519" s="664"/>
      <c r="EX519" s="391"/>
      <c r="EY519" s="391"/>
      <c r="EZ519" s="391"/>
      <c r="FA519" s="391"/>
      <c r="FB519" s="391"/>
      <c r="FC519" s="391"/>
      <c r="FE519" s="569"/>
      <c r="FG519" s="391"/>
      <c r="FH519" s="391"/>
      <c r="FI519" s="391"/>
      <c r="FS519" s="664"/>
      <c r="FT519" s="391"/>
      <c r="FU519" s="391"/>
      <c r="FV519" s="664"/>
      <c r="FW519" s="664"/>
      <c r="GA519" s="663"/>
      <c r="GB519" s="663"/>
      <c r="GC519" s="663"/>
      <c r="GD519" s="663"/>
      <c r="GE519" s="663"/>
      <c r="GF519" s="663"/>
      <c r="GG519" s="663"/>
      <c r="GH519" s="663"/>
      <c r="GI519" s="665"/>
      <c r="GJ519" s="664"/>
      <c r="GK519" s="664"/>
    </row>
    <row r="520" spans="1:288" s="78" customFormat="1" ht="14.95" customHeight="1">
      <c r="B520" s="1845" t="str">
        <f>ID523</f>
        <v xml:space="preserve"> </v>
      </c>
      <c r="C520" s="1846">
        <f>C515+1</f>
        <v>92</v>
      </c>
      <c r="D520" s="1847"/>
      <c r="E520" s="1799" t="s">
        <v>295</v>
      </c>
      <c r="F520" s="1800"/>
      <c r="G520" s="1741"/>
      <c r="H520" s="1742"/>
      <c r="I520" s="1742"/>
      <c r="J520" s="1742"/>
      <c r="K520" s="1742"/>
      <c r="L520" s="1742"/>
      <c r="M520" s="1742"/>
      <c r="N520" s="1742"/>
      <c r="O520" s="1742"/>
      <c r="P520" s="1742"/>
      <c r="Q520" s="1742"/>
      <c r="R520" s="1742"/>
      <c r="S520" s="1791" t="s">
        <v>344</v>
      </c>
      <c r="T520" s="590"/>
      <c r="U520" s="1743"/>
      <c r="V520" s="1744"/>
      <c r="W520" s="1744"/>
      <c r="X520" s="1744"/>
      <c r="Y520" s="1744"/>
      <c r="Z520" s="1744"/>
      <c r="AA520" s="1744"/>
      <c r="AB520" s="961" t="str">
        <f>IFERROR(IF(__Retrofit_TI_NC=0,VLOOKUP(U521,Fixtures_Existing_List,2,FALSE),ROUND(N522*R522/T522,10)),"")</f>
        <v/>
      </c>
      <c r="AC520" s="935" t="str">
        <f>IFERROR(IF(__Retrofit_TI_NC=0,ROUND(T521*AB520*N521*R521/1000,0),IF(CQ520="Interior",N522*R522*R521*N521*_C406_reduction/1000,N522*R522*R521*N521/1000)),"")</f>
        <v/>
      </c>
      <c r="AD520" s="936" t="str">
        <f>IFERROR(IF(C$43=0,ROUND(T521*AB520/1000,2),N522*R522/1000),"")</f>
        <v/>
      </c>
      <c r="AE520" s="997"/>
      <c r="AF520" s="937"/>
      <c r="AG520" s="1745" t="str">
        <f>IF(__Retrofit_TI_NC=0," Control","Select Advanced Control for New System")</f>
        <v xml:space="preserve"> Control</v>
      </c>
      <c r="AH520" s="1745"/>
      <c r="AI520" s="1745"/>
      <c r="AJ520" s="1745"/>
      <c r="AK520" s="1745"/>
      <c r="AL520" s="1745"/>
      <c r="AM520" s="1746">
        <f>IFERROR(DI520,"")</f>
        <v>0</v>
      </c>
      <c r="AN520" s="1774" t="str">
        <f>IFERROR(ROUND(AM520*AC520,0),"")</f>
        <v/>
      </c>
      <c r="AO520" s="1776">
        <f>IFERROR(IF(IB520=FALSE,0,AC520-AN520),0)</f>
        <v>0</v>
      </c>
      <c r="AP520" s="1778">
        <f>AO520-AO522</f>
        <v>0</v>
      </c>
      <c r="AQ520" s="1779"/>
      <c r="AR520" s="1793">
        <f>IFERROR(IF(IB520=FALSE,0,(T522*U523)+(AF522*AG523)),0)</f>
        <v>0</v>
      </c>
      <c r="AS520" s="1793"/>
      <c r="AT520" s="1794"/>
      <c r="AU520" s="1734" t="s">
        <v>237</v>
      </c>
      <c r="AV520" s="1751">
        <f>IF(AU520="Yes",1,0)</f>
        <v>1</v>
      </c>
      <c r="AW520" s="1704" t="str">
        <f>IF(OR(DQ520=4,DQ520=5,DQ520=6,DQ520=12),CONCATENATE("$",IF(GH520=TRUE,Lookup!$K$10,Lookup!$K$2)," /lamp"),CONCATENATE(TEXT(ED520,"$0.00"),"/ kWh"))</f>
        <v>$0.00/ kWh</v>
      </c>
      <c r="AX520" s="467"/>
      <c r="AY520" s="1748">
        <f ca="1">IFERROR(IF(GM521=TRUE,(AB523*T522)/R522,0),"NA")</f>
        <v>0</v>
      </c>
      <c r="AZ520" s="1748"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696" t="str">
        <f>N521</f>
        <v/>
      </c>
      <c r="CQ520" s="1696" t="str">
        <f>IFERROR(VLOOKUP(G521,_Lookup_Heat_Type_Table_New,3,FALSE),"")</f>
        <v/>
      </c>
      <c r="CR520" s="1808" t="str">
        <f>CQ520</f>
        <v/>
      </c>
      <c r="CS520" s="1810" t="str">
        <f>IFERROR(VLOOKUP(G522,'Space Table'!$B$3:$L$163,9,FALSE),"")</f>
        <v/>
      </c>
      <c r="CU520" s="1688" t="s">
        <v>344</v>
      </c>
      <c r="CV520" s="1702">
        <f>IF(IB520=TRUE,T521,0)</f>
        <v>0</v>
      </c>
      <c r="CW520" s="1702" t="str">
        <f>IF(IB520=TRUE,U521,"")</f>
        <v/>
      </c>
      <c r="CX520" s="1702"/>
      <c r="CY520" s="1814">
        <f>IF(IB520=TRUE,AB520,0)</f>
        <v>0</v>
      </c>
      <c r="CZ520" s="1710">
        <f>IF(AND(__Retrofit_TI_NC&gt;0,CR520="interior"),0,IF(IB520=TRUE,AC520,0))</f>
        <v>0</v>
      </c>
      <c r="DA520" s="1814">
        <f>IFERROR(IF(IB520=TRUE,CZ520-CZ522,0),0)</f>
        <v>0</v>
      </c>
      <c r="DB520" s="1819">
        <f>IF(IB520=TRUE,AD520,0)</f>
        <v>0</v>
      </c>
      <c r="DC520" s="1819">
        <f>IF(IB520=TRUE,AD523,0)</f>
        <v>0</v>
      </c>
      <c r="DD520" s="1819">
        <f>IFERROR(DB520-DC520,0)</f>
        <v>0</v>
      </c>
      <c r="DF520" s="1702">
        <f>IF(IB520=TRUE,AF521,0)</f>
        <v>0</v>
      </c>
      <c r="DG520" s="1830">
        <f>IFERROR(IF(__Retrofit_TI_NC=2,IF(CQ520="Exterior",O523,FQ520),FN520),"")</f>
        <v>0</v>
      </c>
      <c r="DH520" s="1702"/>
      <c r="DI520" s="1837">
        <f>JE520</f>
        <v>0</v>
      </c>
      <c r="DJ520" s="1710">
        <f>IF(AND(__Retrofit_TI_NC&gt;0,CR520="interior"),0,IF(IB520=TRUE,AN520,0))</f>
        <v>0</v>
      </c>
      <c r="DK520" s="1712">
        <f>IFERROR(IF(IB520=TRUE,DJ522-DJ520,0),0)</f>
        <v>0</v>
      </c>
      <c r="DM520" s="1717">
        <f>IFERROR(CZ520-DJ520,0)</f>
        <v>0</v>
      </c>
      <c r="DO520" s="1708">
        <f>DM520-DN522</f>
        <v>0</v>
      </c>
      <c r="DQ520" s="1715" t="str">
        <f>IFERROR(IF(AND(OR(GC520=4,GC520=5,GC520=6),OR(GF520=4,GF520=5,GF520=6)),GC520+8,VLOOKUP(CW522,Fixtures!R$31:Y$78,8,FALSE)),"")</f>
        <v/>
      </c>
      <c r="DR520" s="1829" t="str">
        <f>DQ520</f>
        <v/>
      </c>
      <c r="DS520" s="1702" t="str">
        <f>IFERROR(VLOOKUP(DG522,Lookup!BB$3:BC$20,2,FALSE),"")</f>
        <v/>
      </c>
      <c r="DT520" s="1713" t="str">
        <f>IF(OR(DS520=7,DS520=8,DS520=9),"ALC","")</f>
        <v/>
      </c>
      <c r="DU520" s="1715">
        <f>IFERROR(IF(OR(DQ520=4,DQ520=5,DQ520=6,DQ520=12,DQ520=13,DQ520=14),VLOOKUP(CW522,Fixtures!DN$27:EG$77,19,FALSE),1)*CV522,0)</f>
        <v>0</v>
      </c>
      <c r="DV520" s="1716">
        <f>IF(OR(DS520=7,DS520=8,DS520=9),IF(DG520=DG522,0,DF522),0)</f>
        <v>0</v>
      </c>
      <c r="DX520" s="1715" t="str">
        <f>IFERROR(IF(EZ520&lt;EZ522,"Yes","No"),"")</f>
        <v/>
      </c>
      <c r="DY520" s="1829" t="str">
        <f>DX520</f>
        <v/>
      </c>
      <c r="DZ520" s="1715">
        <f>IF(DX520="Yes",DF522,0)</f>
        <v>0</v>
      </c>
      <c r="EA520" s="1715">
        <f>DZ520-DV520</f>
        <v>0</v>
      </c>
      <c r="EC520" s="1834">
        <f>IFERROR(VLOOKUP(DQ520,Lookup!AU$3:AV$16,2,FALSE),0)</f>
        <v>0</v>
      </c>
      <c r="ED520" s="1834">
        <f>IF(IB520=FALSE,0,IF(DX520="Yes",EC520+Lookup!K$6,EC520))</f>
        <v>0</v>
      </c>
      <c r="EF520" s="1707">
        <f>IF(IB520=TRUE,DM520,0)</f>
        <v>0</v>
      </c>
      <c r="EG520" s="1712">
        <f>IF(IB520=TRUE,CZ522,0)</f>
        <v>0</v>
      </c>
      <c r="EH520" s="1814">
        <f>IFERROR(EF520-EG520,0)</f>
        <v>0</v>
      </c>
      <c r="EI520" s="1712">
        <f>IF(IB520=TRUE,DJ522,0)</f>
        <v>0</v>
      </c>
      <c r="EJ520" s="1712">
        <f>IFERROR(EF520-EG520+EI520,0)</f>
        <v>0</v>
      </c>
      <c r="EK520" s="1812">
        <f>IF(IB520=TRUE,CV522*CX522,0)</f>
        <v>0</v>
      </c>
      <c r="EL520" s="1812">
        <f>IF(IB520=TRUE,DF522*DH522,0)</f>
        <v>0</v>
      </c>
      <c r="EM520" s="1807">
        <f>AR520</f>
        <v>0</v>
      </c>
      <c r="EN520" s="1839" t="str">
        <f>IFERROR(IF(IB520=TRUE,VLOOKUP(DQ520,Lookup!AU$3:AW$16,3,FALSE)*DU520,""),0)</f>
        <v/>
      </c>
      <c r="EO520" s="1839">
        <f>IF(IB520=TRUE,DZ520*Lookup!AW$12,0)</f>
        <v>0</v>
      </c>
      <c r="EP520" s="1817">
        <f>IFERROR(IF(IB520=TRUE,EN520/EP$40,0),0)</f>
        <v>0</v>
      </c>
      <c r="EQ520" s="1817">
        <f>IF(IB520=TRUE,EO520/EQ$40,0)</f>
        <v>0</v>
      </c>
      <c r="ER520" s="1807">
        <f>IF(IB520=TRUE,ET$40*EP520,0)</f>
        <v>0</v>
      </c>
      <c r="ES520" s="1807">
        <f>IF(IB520=TRUE,ET$40*EQ520,0)</f>
        <v>0</v>
      </c>
      <c r="ET520" s="1807">
        <f>ER520+ES520</f>
        <v>0</v>
      </c>
      <c r="EV520" s="1715">
        <f>IF(G520="",0,1)</f>
        <v>0</v>
      </c>
      <c r="EX520" s="1804" t="str">
        <f>IFERROR(VLOOKUP(CS522,'Space Table'!$B$3:$L$163,8,FALSE),"")</f>
        <v/>
      </c>
      <c r="EY520" s="1804" t="str">
        <f>IFERROR(IF(FB520="Yes",VLOOKUP(DG520,Lookup_Control_Type_Table2,4,FALSE),VLOOKUP(DG520,Lookup_Control_Type_Table2,3,FALSE)),"")</f>
        <v/>
      </c>
      <c r="EZ520" s="1804" t="e">
        <f>VLOOKUP(DG520,Lookup!BB$3:BC$20,2,FALSE)</f>
        <v>#N/A</v>
      </c>
      <c r="FA520" s="1804" t="e">
        <f>VLOOKUP(EX520,Lookup_Control_Type_Table,2,FALSE)</f>
        <v>#N/A</v>
      </c>
      <c r="FB520" s="1804" t="e">
        <f>VLOOKUP(CS522,'Space Table'!$B$3:$L$163,7,FALSE)</f>
        <v>#N/A</v>
      </c>
      <c r="FC520" s="1826" t="b">
        <f>ISNUMBER(SEARCH("TLED",U522))</f>
        <v>0</v>
      </c>
      <c r="FE520" s="1698" t="str">
        <f>CONCATENATE(CQ520," - ",DG520)</f>
        <v xml:space="preserve"> - 0</v>
      </c>
      <c r="FG520" s="1702" t="str">
        <f>VLOOKUP(CW522,Fixtures!DN$27:EZ$77,38,FALSE)</f>
        <v/>
      </c>
      <c r="FH520" s="1702">
        <f>IFERROR(FG520*EH520,0)</f>
        <v>0</v>
      </c>
      <c r="FI520" s="133"/>
      <c r="FL520" s="1822" t="str">
        <f>IF(CQ520="Exterior","Not Daylighted",G523)</f>
        <v>Not Daylighted</v>
      </c>
      <c r="FM520" s="1824">
        <f>VLOOKUP(FL520,_New_Daylight_Table_Codes,2,FALSE)</f>
        <v>0</v>
      </c>
      <c r="FN520" s="1698">
        <f>IF(__Retrofit_TI_NC&gt;0,VLOOKUP(G522,'Space Table'!$B$3:$L$163,11,FALSE),AG521)</f>
        <v>0</v>
      </c>
      <c r="FO520" s="1698" t="e">
        <f>IF(__Retrofit_TI_NC=2,VLOOKUP(FQ520,_Control_Table,2,FALSE),VLOOKUP(FN520,_Control_Table,2,FALSE))</f>
        <v>#N/A</v>
      </c>
      <c r="FP520" s="1678" t="e">
        <f>VLOOKUP(CONCATENATE(FL520," ",FN520),Lookup!AY$102:AZ530,2,FALSE)</f>
        <v>#N/A</v>
      </c>
      <c r="FQ520" s="1678">
        <f>IF(__Retrofit_TI_NC=0,FN520,IF(AND(FT520&gt;0,FN520="Occupancy Sensor"),"Daylight + Occupancy",IF(AND(FT520&gt;0,VLOOKUP(FN520,_Control_Table,2,FALSE)&lt;4),"Interior Daylight Dimming",FN520)))</f>
        <v>0</v>
      </c>
      <c r="FS520" s="1686">
        <f>IF(CR520="Interior",VLOOKUP(CS520,Control_Savings_Interior,5,FALSE),0)</f>
        <v>0</v>
      </c>
      <c r="FT520" s="1687">
        <f>IF(CQ520="Exterior",0,IF(FM520=2,0.5,IF(OR(FM520=1,FM520=3),1,0)))</f>
        <v>0</v>
      </c>
      <c r="FU520" s="1685">
        <f>IF(R519&gt;FS$44,(FS520*(FS$44/R519)),FS520)*FT520</f>
        <v>0</v>
      </c>
      <c r="FV520" s="1686">
        <f>DI520</f>
        <v>0</v>
      </c>
      <c r="FW520" s="1686">
        <f>ROUND(FV520+((1-FV520)*FU520),2)</f>
        <v>0</v>
      </c>
      <c r="FX520" s="1686">
        <f>IF(__Retrofit_TI_NC=2,FW520,FV520)</f>
        <v>0</v>
      </c>
      <c r="FY520" s="1697"/>
      <c r="GA520" s="1696" t="str">
        <f>IFERROR(VLOOKUP(U521,_Exist_Fixture_Table,3,FALSE),"")</f>
        <v/>
      </c>
      <c r="GB520" s="1696" t="str">
        <f>VLOOKUP(CW520,_Exist_Fixture_Table,4,FALSE)</f>
        <v/>
      </c>
      <c r="GC520" s="1696">
        <f>IFERROR(VLOOKUP(GB520,Lookup!AT$6:AU$8,2,FALSE),0)</f>
        <v>0</v>
      </c>
      <c r="GD520" s="1696" t="b">
        <f>IFERROR(IF(OR(GF520=4,GF520=5,GF520=6),TRUE,FALSE),"")</f>
        <v>0</v>
      </c>
      <c r="GE520" s="1696" t="str">
        <f>IFERROR(VLOOKUP(GF520,GC$6:GD$10,2,FALSE),"")</f>
        <v/>
      </c>
      <c r="GF520" s="1696" t="str">
        <f>VLOOKUP(CW522,Fixtures!R$31:Y$78,8,FALSE)</f>
        <v/>
      </c>
      <c r="GG520" s="1696">
        <f>IF(AND(GA520=TRUE,GD520=TRUE,OR(DQ520=12,DQ520=13,DQ520=14)),GC520+8,0)</f>
        <v>0</v>
      </c>
      <c r="GH520" s="1696" t="b">
        <f>IF(OR(GG520=12,GG520=13,GG520=14),TRUE,FALSE)</f>
        <v>0</v>
      </c>
      <c r="GI520" s="673" t="b">
        <f>IF(ISNUMBER(SEARCH("TLED",U521)),TRUE,FALSE)</f>
        <v>0</v>
      </c>
      <c r="GJ520" s="1135" t="str">
        <f>IFERROR(VLOOKUP(U521,Fixtures!BM$93:BR$142,6,FALSE),"")</f>
        <v/>
      </c>
      <c r="GK520" s="1832" t="b">
        <f>IF(OR(GI520=FALSE,GI522=FALSE),TRUE,IF(GJ520-GJ522&lt;5,FALSE,TRUE))</f>
        <v>1</v>
      </c>
      <c r="GO520" s="674">
        <f>GP520</f>
        <v>0</v>
      </c>
      <c r="GP520" s="674">
        <f>IF(G520="",0,1)</f>
        <v>0</v>
      </c>
      <c r="GQ520" s="674">
        <f ca="1">SUM(GR520:HF520)</f>
        <v>2</v>
      </c>
      <c r="GR520" s="674">
        <f>IF(G521="",0,1)</f>
        <v>0</v>
      </c>
      <c r="GS520" s="674">
        <f>IF(N523="BAM",1,IF(G522="",0,1))</f>
        <v>0</v>
      </c>
      <c r="GT520" s="674">
        <f>IF(N523="BAM",1,IF(R521="",0,1))</f>
        <v>0</v>
      </c>
      <c r="GU520" s="674">
        <f>IF(N523="BAM",1,IF(__Retrofit_TI_NC=0,1,IF(R522="",0,1)))</f>
        <v>1</v>
      </c>
      <c r="GV520" s="674">
        <f>IF(N523="BAM",1,IF(CQ520="Exterior",1,IF(G523="",0,1)))</f>
        <v>1</v>
      </c>
      <c r="GW520" s="674">
        <f>IF(__Retrofit_TI_NC&gt;0,1,IF(T521="",0,1))</f>
        <v>0</v>
      </c>
      <c r="GX520" s="674">
        <f>IF(__Retrofit_TI_NC&gt;0,1,IF(U521="",0,1))</f>
        <v>0</v>
      </c>
      <c r="GY520" s="674">
        <f>IF(N523="BAM",1,IF(T522="",0,1))</f>
        <v>0</v>
      </c>
      <c r="GZ520" s="674">
        <f>IF(N523="BAM",1,IF(U522="",0,1))</f>
        <v>0</v>
      </c>
      <c r="HA520" s="674">
        <f ca="1">IF(N523="BAM",1,IF(__Retrofit_TI_NC&gt;0,1,IF(U523="",0,1)))</f>
        <v>0</v>
      </c>
      <c r="HB520" s="674">
        <f>IF(__Retrofit_TI_NC&lt;&gt;0,1,IF(AF521="",0,1))</f>
        <v>0</v>
      </c>
      <c r="HC520" s="674">
        <f>IF(__Retrofit_TI_NC&lt;&gt;0,1,IF(AG521="",0,1))</f>
        <v>0</v>
      </c>
      <c r="HD520" s="674">
        <f>IF(N523="BAM",1,IF(AF522="",0,1))</f>
        <v>0</v>
      </c>
      <c r="HE520" s="674">
        <f>IF(N523="BAM",1,IF(AG522="",0,1))</f>
        <v>0</v>
      </c>
      <c r="HF520" s="674">
        <f>IF(N523="BAM",1,IF(__Retrofit_TI_NC&gt;0,1,IF(AG523="",0,1)))</f>
        <v>0</v>
      </c>
      <c r="HG520" s="391"/>
      <c r="IA520" s="391"/>
      <c r="IB520" s="1693" t="b">
        <f>IF(OR(IB523=0,IB523=HY$16,IB523=HX$16,IB523=HZ$16),TRUE,FALSE)</f>
        <v>0</v>
      </c>
      <c r="IC520" s="1694" t="b">
        <f>IB520</f>
        <v>0</v>
      </c>
      <c r="ID520" s="391"/>
      <c r="IE520" s="391"/>
      <c r="IF520" s="1688" t="b">
        <f ca="1">IF(MAX(GN523:HU523)&gt;5,FALSE,TRUE)</f>
        <v>0</v>
      </c>
      <c r="IG520" s="1689">
        <f ca="1">IF(IF520=TRUE,AC520,0)</f>
        <v>0</v>
      </c>
      <c r="IH520" s="1689">
        <f ca="1">IG520-IG522</f>
        <v>0</v>
      </c>
      <c r="IK520" s="1689" t="e">
        <f>ROUND(T521*VLOOKUP(U521,Fixtures_Existing_List,2,FALSE)*N521*R521/1000,0)</f>
        <v>#N/A</v>
      </c>
      <c r="IL520" s="1690" t="e">
        <f>IK520-IK522</f>
        <v>#N/A</v>
      </c>
      <c r="IM520" s="1693" t="e">
        <f>ROUND(IF(CQ520="Interior",N522*R522*R521*N521*_C406_reduction/1000,N522*R522*R521*N521/1000),0)</f>
        <v>#N/A</v>
      </c>
      <c r="IN520" s="1693" t="e">
        <f>IM520-IM522</f>
        <v>#N/A</v>
      </c>
      <c r="IP520" s="1679"/>
      <c r="IQ520" s="1679" t="e">
        <f t="shared" ref="IQ520:IU520" si="471">IF($CR520="interior",VLOOKUP($CS520,_New_Control_Savings_Interior,IQ$30,FALSE),VLOOKUP($CS520,Control_Savings_Exterior,IQ$30,FALSE))</f>
        <v>#N/A</v>
      </c>
      <c r="IR520" s="1679" t="e">
        <f t="shared" si="471"/>
        <v>#N/A</v>
      </c>
      <c r="IS520" s="1679" t="e">
        <f t="shared" si="471"/>
        <v>#N/A</v>
      </c>
      <c r="IT520" s="1679" t="e">
        <f t="shared" si="471"/>
        <v>#N/A</v>
      </c>
      <c r="IU520" s="1679" t="e">
        <f t="shared" si="471"/>
        <v>#N/A</v>
      </c>
      <c r="IV520" s="1679" t="e">
        <f>IF($CR520="interior",IF(R521&gt;$IP$14,ROUND(($IV$18*($IP$14/R521)),2),$IV$18),VLOOKUP($CS520,Control_Savings_Exterior,IV$30,FALSE))</f>
        <v>#N/A</v>
      </c>
      <c r="IW520" s="1679" t="e">
        <f>IF($CR520="interior",ROUND(((1-IS520)*IV520)+IS520,2),VLOOKUP($CS520,Control_Savings_Exterior,IW$30,FALSE))</f>
        <v>#N/A</v>
      </c>
      <c r="IX520" s="1679" t="e">
        <f>IF($CR520="interior",ROUND(((1-IT520)*IV520)+IT520,2),VLOOKUP($CS520,Control_Savings_Exterior,IX$30,FALSE))</f>
        <v>#N/A</v>
      </c>
      <c r="IY520" s="1679" t="e">
        <f>IF($CR520="interior",IF(R521&gt;$IP$14,ROUND(($IY$18*($IP$14/R521)),2),$IY$18),VLOOKUP($CS520,Control_Savings_Exterior,IY$30,FALSE))</f>
        <v>#N/A</v>
      </c>
      <c r="IZ520" s="1679" t="e">
        <f>IF($CR520="interior",ROUND(((1-IS520)*IY520)+IS520,2),VLOOKUP($CS520,Control_Savings_Exterior,IZ$30,FALSE))</f>
        <v>#N/A</v>
      </c>
      <c r="JA520" s="1679" t="e">
        <f>IF($CR520="interior",ROUND(((1-IT520)*IY520)+IT520,2),VLOOKUP($CS520,Control_Savings_Exterior,JA$30,FALSE))</f>
        <v>#N/A</v>
      </c>
      <c r="JC520" s="1680">
        <f>IFERROR(IF(CR520="Interior",CONCATENATE(G523," ",FQ520),FQ520),"")</f>
        <v>0</v>
      </c>
      <c r="JD520" s="1670" t="str">
        <f>IFERROR(VLOOKUP(JC520,_Controls_2023,2,FALSE),"")</f>
        <v/>
      </c>
      <c r="JE520" s="1681">
        <f>IFERROR(CHOOSE(JD520-1,IQ520,IR520,IS520,IT520,IU520,IV520,IW520,IX520,IY520,IZ520,JA520),0)</f>
        <v>0</v>
      </c>
      <c r="JG520" s="1680" t="str">
        <f>FE520</f>
        <v xml:space="preserve"> - 0</v>
      </c>
      <c r="JH520" s="1670" t="e">
        <f>$FO520</f>
        <v>#N/A</v>
      </c>
      <c r="JI520" s="1060"/>
      <c r="JJ520" s="1682" t="b">
        <f>IF($JG522=CONCATENATE("Interior - ",JJ$4),TRUE,FALSE)</f>
        <v>0</v>
      </c>
      <c r="JK520" s="1061"/>
      <c r="JL520" s="1682" t="b">
        <f>IF($JG522=CONCATENATE("Interior - ",JL$4),TRUE,FALSE)</f>
        <v>0</v>
      </c>
      <c r="JM520" s="1061"/>
      <c r="JN520" s="1682" t="b">
        <f>IF($JG522=CONCATENATE("Interior - ",JN$4),TRUE,FALSE)</f>
        <v>0</v>
      </c>
      <c r="JO520" s="1061"/>
      <c r="JP520" s="1682" t="b">
        <f>IF(__Retrofit_TI_NC&gt;0,FALSE,IF($JG522=CONCATENATE("Interior - ",JP$4),TRUE,FALSE))</f>
        <v>0</v>
      </c>
      <c r="JQ520" s="1061"/>
      <c r="JR520" s="1682" t="b">
        <f>IF(__Retrofit_TI_NC&gt;0,FALSE,IF($JG522=CONCATENATE("Interior - ",JR$4),TRUE,FALSE))</f>
        <v>0</v>
      </c>
      <c r="JS520" s="1061"/>
      <c r="JT520" s="1670" t="b">
        <f>IF(__Retrofit_TI_NC&gt;0,FALSE,IF($JG522=CONCATENATE("Interior - ",JT$4),TRUE,FALSE))</f>
        <v>0</v>
      </c>
      <c r="JU520" s="1061"/>
      <c r="JV520" s="1670" t="b">
        <f>IF(JC522="AELC on Existing",TRUE,FALSE)</f>
        <v>0</v>
      </c>
      <c r="JX520" s="1670" t="b">
        <f>IF(OR(JG522="Exterior - AELC Occupancy based",JG522="Exterior - AELC Time based"),TRUE,FALSE)</f>
        <v>0</v>
      </c>
      <c r="JZ520" s="1682" t="b">
        <f>IF($JG522=CONCATENATE("Exterior - ",JZ$4),TRUE,FALSE)</f>
        <v>0</v>
      </c>
      <c r="KB520" s="1670" t="b">
        <f>IF(__Retrofit_TI_NC&gt;0,FALSE,IF($JG522=CONCATENATE("Interior - ",KB$4),TRUE,FALSE))</f>
        <v>0</v>
      </c>
    </row>
    <row r="521" spans="1:288" s="78" customFormat="1" ht="14.95" customHeight="1" thickTop="1" thickBot="1">
      <c r="B521" s="1845"/>
      <c r="C521" s="1846"/>
      <c r="D521" s="1847"/>
      <c r="E521" s="1737" t="s">
        <v>297</v>
      </c>
      <c r="F521" s="1738"/>
      <c r="G521" s="1739"/>
      <c r="H521" s="1739"/>
      <c r="I521" s="1739"/>
      <c r="J521" s="1739"/>
      <c r="K521" s="1739"/>
      <c r="L521" s="1739"/>
      <c r="M521" s="461" t="e">
        <f>IF(__Retrofit_TI_NC&lt;&gt;0,IF(VLOOKUP(G522,'Space Table'!$B$3:$L$163,3,FALSE)&gt;0,1,0),IF(__Retrofit_TI_NC=VLOOKUP(G522,'Space Table'!$B$3:$L$163,3,FALSE),1,0))</f>
        <v>#N/A</v>
      </c>
      <c r="N521" s="461" t="str">
        <f>IFERROR(VLOOKUP(G521,_Lookup_Heat_Type_Table_New,2,FALSE),"")</f>
        <v/>
      </c>
      <c r="O521" s="461">
        <f>IF(__Retrofit_TI_NC=1,CONCATENATE("TI ",G521),IF(__Retrofit_TI_NC=2,CONCATENATE("NC ",G521),G521))</f>
        <v>0</v>
      </c>
      <c r="P521" s="1740" t="s">
        <v>435</v>
      </c>
      <c r="Q521" s="1740"/>
      <c r="R521" s="595"/>
      <c r="S521" s="1792"/>
      <c r="T521" s="597"/>
      <c r="U521" s="1765"/>
      <c r="V521" s="1766"/>
      <c r="W521" s="1766"/>
      <c r="X521" s="1766"/>
      <c r="Y521" s="1766"/>
      <c r="Z521" s="1766"/>
      <c r="AA521" s="1766"/>
      <c r="AB521" s="1766"/>
      <c r="AC521" s="1766"/>
      <c r="AD521" s="1767"/>
      <c r="AE521" s="1000"/>
      <c r="AF521" s="597"/>
      <c r="AG521" s="1723"/>
      <c r="AH521" s="1724"/>
      <c r="AI521" s="1724"/>
      <c r="AJ521" s="1724"/>
      <c r="AK521" s="1725"/>
      <c r="AL521" s="996"/>
      <c r="AM521" s="1747"/>
      <c r="AN521" s="1775"/>
      <c r="AO521" s="1777"/>
      <c r="AP521" s="1780"/>
      <c r="AQ521" s="1781"/>
      <c r="AR521" s="1795"/>
      <c r="AS521" s="1795"/>
      <c r="AT521" s="1796"/>
      <c r="AU521" s="1735"/>
      <c r="AV521" s="1752"/>
      <c r="AW521" s="1705"/>
      <c r="AX521" s="467"/>
      <c r="AY521" s="1749"/>
      <c r="AZ521" s="1749"/>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696"/>
      <c r="CQ521" s="1696"/>
      <c r="CR521" s="1809"/>
      <c r="CS521" s="1811"/>
      <c r="CU521" s="1688"/>
      <c r="CV521" s="1703"/>
      <c r="CW521" s="1703"/>
      <c r="CX521" s="1703"/>
      <c r="CY521" s="1815"/>
      <c r="CZ521" s="1711"/>
      <c r="DA521" s="1818"/>
      <c r="DB521" s="1820"/>
      <c r="DC521" s="1820"/>
      <c r="DD521" s="1820"/>
      <c r="DF521" s="1703"/>
      <c r="DG521" s="1831"/>
      <c r="DH521" s="1703"/>
      <c r="DI521" s="1838"/>
      <c r="DJ521" s="1711"/>
      <c r="DK521" s="1712"/>
      <c r="DM521" s="1718"/>
      <c r="DO521" s="1708"/>
      <c r="DQ521" s="1715"/>
      <c r="DR521" s="1720"/>
      <c r="DS521" s="1816"/>
      <c r="DT521" s="1714"/>
      <c r="DU521" s="1715"/>
      <c r="DV521" s="1716"/>
      <c r="DX521" s="1715"/>
      <c r="DY521" s="1720"/>
      <c r="DZ521" s="1715"/>
      <c r="EA521" s="1715"/>
      <c r="EC521" s="1834"/>
      <c r="ED521" s="1834"/>
      <c r="EF521" s="1707"/>
      <c r="EG521" s="1712"/>
      <c r="EH521" s="1818"/>
      <c r="EI521" s="1712"/>
      <c r="EJ521" s="1712"/>
      <c r="EK521" s="1836"/>
      <c r="EL521" s="1836"/>
      <c r="EM521" s="1807"/>
      <c r="EN521" s="1839"/>
      <c r="EO521" s="1839"/>
      <c r="EP521" s="1817"/>
      <c r="EQ521" s="1817"/>
      <c r="ER521" s="1807"/>
      <c r="ES521" s="1807"/>
      <c r="ET521" s="1807"/>
      <c r="EV521" s="1715"/>
      <c r="EX521" s="1805"/>
      <c r="EY521" s="1805"/>
      <c r="EZ521" s="1805"/>
      <c r="FA521" s="1805"/>
      <c r="FB521" s="1805"/>
      <c r="FC521" s="1827"/>
      <c r="FE521" s="1698"/>
      <c r="FG521" s="1816"/>
      <c r="FH521" s="1816"/>
      <c r="FI521" s="133"/>
      <c r="FL521" s="1823"/>
      <c r="FM521" s="1825"/>
      <c r="FN521" s="1698"/>
      <c r="FO521" s="1698"/>
      <c r="FP521" s="1678"/>
      <c r="FQ521" s="1678"/>
      <c r="FS521" s="1687"/>
      <c r="FT521" s="1687"/>
      <c r="FU521" s="1685"/>
      <c r="FV521" s="1687"/>
      <c r="FW521" s="1687"/>
      <c r="FX521" s="1687"/>
      <c r="FY521" s="1697"/>
      <c r="GA521" s="1696"/>
      <c r="GB521" s="1696"/>
      <c r="GC521" s="1696"/>
      <c r="GD521" s="1696"/>
      <c r="GE521" s="1696"/>
      <c r="GF521" s="1696"/>
      <c r="GG521" s="1696"/>
      <c r="GH521" s="1696"/>
      <c r="GI521" s="673"/>
      <c r="GJ521" s="1135"/>
      <c r="GK521" s="1832"/>
      <c r="GM521" s="1693" t="b">
        <f ca="1">IF(AND(GP521=TRUE,GQ521=TRUE),TRUE,FALSE)</f>
        <v>0</v>
      </c>
      <c r="GN521" s="1684" t="b">
        <f>IFERROR(IF(__Retrofit_TI_NC=2,TRUE,IF(AU520="Yes",TRUE,FALSE)),FALSE)</f>
        <v>1</v>
      </c>
      <c r="GP521" s="1684" t="b">
        <f>IFERROR(IF(GP520=1,TRUE,FALSE),FALSE)</f>
        <v>0</v>
      </c>
      <c r="GQ521" s="1684" t="b">
        <f ca="1">IFERROR(IF(GQ520=GQ$14,TRUE,FALSE),FALSE)</f>
        <v>0</v>
      </c>
      <c r="HG521" s="1684" t="b">
        <f>IFERROR(IF(AND(__Retrofit_TI_NC&gt;0,CQ520="Interior"),FALSE,TRUE),FALSE)</f>
        <v>1</v>
      </c>
      <c r="HH521" s="1684" t="b">
        <f>IFERROR(IF(M521=1,TRUE,FALSE),FALSE)</f>
        <v>0</v>
      </c>
      <c r="HI521" s="1684" t="b">
        <f>IFERROR(IF(OR(M522=1,N523="BAM"),TRUE,FALSE),FALSE)</f>
        <v>0</v>
      </c>
      <c r="HJ521" s="1684" t="b">
        <f>IFERROR(IF(__Retrofit_TI_NC&lt;&gt;0,TRUE,IFERROR(IF(VLOOKUP(U521,Fixtures_Existing_List,2,FALSE)&lt;&gt;"",TRUE,FALSE),FALSE)),FALSE)</f>
        <v>0</v>
      </c>
      <c r="HK521" s="1684" t="b">
        <f>IFERROR(IF(VLOOKUP(U522,Fixtures_Proposed_List,2,FALSE)&lt;&gt;"",TRUE,FALSE),FALSE)</f>
        <v>0</v>
      </c>
      <c r="HL521" s="1684" t="b">
        <f>IF(AND(__Retrofit_TI_NC=2,FC520=TRUE),FALSE,TRUE)</f>
        <v>1</v>
      </c>
      <c r="HM521" s="1684" t="b">
        <f>GK520</f>
        <v>1</v>
      </c>
      <c r="HN521" s="1682" t="b">
        <f>IF(ISERROR(MATCH(FE520,_Control_Match[],0))=TRUE,FALSE,TRUE)</f>
        <v>0</v>
      </c>
      <c r="HO521" s="1693" t="b">
        <f>IFERROR(IF(EX520&lt;&gt;EY520,FALSE,TRUE),FALSE)</f>
        <v>1</v>
      </c>
      <c r="HP521" s="1693" t="b">
        <f>IFERROR(IF(EX522&lt;&gt;EY522,FALSE,TRUE),FALSE)</f>
        <v>1</v>
      </c>
      <c r="HQ521" s="1670" t="b">
        <f>IFERROR(IF(CQ520="Exterior",TRUE,IF(AND(OR(FM522=0,FM522=3),JD522&gt;6),FALSE,TRUE)),FALSE)</f>
        <v>0</v>
      </c>
      <c r="HR521" s="1684" t="b">
        <f>IFERROR(IF(AND(FO522=7,FC520=TRUE),FALSE,TRUE),FALSE)</f>
        <v>0</v>
      </c>
      <c r="HS521" s="1684" t="b">
        <f>IFERROR(IF(AND(T522&lt;&gt;AF522,OR(AG522="Interior LLLC", AG522="Interior NLC", AG522="LLLC (outside Daylight)",AG522="LLLC Controls Only"))=TRUE,FALSE,TRUE),FALSE)</f>
        <v>1</v>
      </c>
      <c r="HT521" s="1670" t="b">
        <f>IFERROR(IF(OR(AG522=Lookup!BB$17,AG522=Lookup!BB$18,AG522=Lookup!BB$19)=TRUE,IF(AF522&gt;T522,FALSE,TRUE),TRUE),FALSE)</f>
        <v>1</v>
      </c>
      <c r="HU521" s="1684" t="b">
        <f>IFERROR(IF(__Retrofit_TI_NC=2,IF(EZ522&lt;EZ520,FALSE,TRUE),TRUE),FALSE)</f>
        <v>1</v>
      </c>
      <c r="HV521" s="1684" t="b">
        <f>IF(CQ520="Interior",IL$6,TRUE)</f>
        <v>1</v>
      </c>
      <c r="HW521" s="1684" t="b">
        <f>IF(CQ520="Exterior",IL$8,TRUE)</f>
        <v>1</v>
      </c>
      <c r="HX521" s="1684" t="b">
        <f>IFERROR(IF(__Retrofit_TI_NC&lt;&gt;0,IF(AZ520&lt;AY520,FALSE,TRUE),TRUE),FALSE)</f>
        <v>1</v>
      </c>
      <c r="HY521" s="1684" t="b">
        <f>IFERROR(IF(AND(G521="Exterior",R521&gt;4200),FALSE,TRUE),FALSE)</f>
        <v>1</v>
      </c>
      <c r="HZ521" s="1684" t="b">
        <f>IFERROR(IF(AB523/AB520&lt;HZ$18,FALSE,TRUE),FALSE)</f>
        <v>0</v>
      </c>
      <c r="IB521" s="1691"/>
      <c r="IC521" s="1695"/>
      <c r="ID521" s="1694" t="str">
        <f>VLOOKUP(IB523,_Error_Table,4,FALSE)</f>
        <v>White</v>
      </c>
      <c r="IE521" s="391"/>
      <c r="IF521" s="1688"/>
      <c r="IG521" s="1689"/>
      <c r="IH521" s="1684"/>
      <c r="IK521" s="1689"/>
      <c r="IL521" s="1691"/>
      <c r="IM521" s="1691"/>
      <c r="IN521" s="1691"/>
      <c r="IP521" s="1679"/>
      <c r="IQ521" s="1679"/>
      <c r="IR521" s="1679"/>
      <c r="IS521" s="1679"/>
      <c r="IT521" s="1679"/>
      <c r="IU521" s="1679"/>
      <c r="IV521" s="1679"/>
      <c r="IW521" s="1679"/>
      <c r="IX521" s="1679"/>
      <c r="IY521" s="1679"/>
      <c r="IZ521" s="1679"/>
      <c r="JA521" s="1679"/>
      <c r="JC521" s="1680"/>
      <c r="JD521" s="1670"/>
      <c r="JE521" s="1681"/>
      <c r="JG521" s="1680"/>
      <c r="JH521" s="1670"/>
      <c r="JI521" s="1060"/>
      <c r="JJ521" s="1683"/>
      <c r="JK521" s="1061"/>
      <c r="JL521" s="1683"/>
      <c r="JM521" s="1061"/>
      <c r="JN521" s="1683"/>
      <c r="JO521" s="1061"/>
      <c r="JP521" s="1683"/>
      <c r="JQ521" s="1061"/>
      <c r="JR521" s="1683"/>
      <c r="JS521" s="1061"/>
      <c r="JT521" s="1670"/>
      <c r="JU521" s="1061"/>
      <c r="JV521" s="1670"/>
      <c r="JX521" s="1670"/>
      <c r="JZ521" s="1683"/>
      <c r="KB521" s="1670"/>
    </row>
    <row r="522" spans="1:288" s="78" customFormat="1" ht="14.95" customHeight="1" thickTop="1" thickBot="1">
      <c r="A522" s="78">
        <f>ROW()</f>
        <v>522</v>
      </c>
      <c r="B522" s="1845"/>
      <c r="C522" s="1846"/>
      <c r="D522" s="1847"/>
      <c r="E522" s="1737" t="s">
        <v>298</v>
      </c>
      <c r="F522" s="1738"/>
      <c r="G522" s="1760"/>
      <c r="H522" s="1761"/>
      <c r="I522" s="1761"/>
      <c r="J522" s="1761"/>
      <c r="K522" s="1761"/>
      <c r="L522" s="1762"/>
      <c r="M522" s="461">
        <f>IFERROR(IF(IF(__Retrofit_TI_NC&lt;&gt;0,IF(CQ520="Interior",MATCH(G522,Lookup_Interior_New,0),MATCH(G522,Lookup_Exterior_New,0)),IF(CQ520="Interior",MATCH(G522,Lookup_Interior,0),MATCH(G522,Lookup_Exterior_Areas,0)))&gt;0,1,0),0)</f>
        <v>0</v>
      </c>
      <c r="N522" s="461" t="e">
        <f>IF(__Retrofit_TI_NC=1,
VLOOKUP(G522,'Space Table'!$B$3:$L$163,4,FALSE),
IF(__Retrofit_TI_NC=2,VLOOKUP(G522,'Space Table'!$B$3:$L$163,5,FALSE),VLOOKUP(G522,'Space Table'!$B$3:$L$163,5,FALSE)))</f>
        <v>#N/A</v>
      </c>
      <c r="O522" s="461">
        <f>G522</f>
        <v>0</v>
      </c>
      <c r="P522" s="1738" t="str">
        <f>IFERROR(IF(__Retrofit_TI_NC=1,VLOOKUP(G522,'Space Table'!$B$3:$O$163,13,FALSE),IF(__Retrofit_TI_NC=2,VLOOKUP(G522,'Space Table'!$B$3:$O$163,14,FALSE),"Area (sf):")),"Area (sf):")</f>
        <v>Area (sf):</v>
      </c>
      <c r="Q522" s="1738"/>
      <c r="R522" s="596"/>
      <c r="S522" s="1763" t="s">
        <v>345</v>
      </c>
      <c r="T522" s="594"/>
      <c r="U522" s="1801"/>
      <c r="V522" s="1802"/>
      <c r="W522" s="1802"/>
      <c r="X522" s="1802"/>
      <c r="Y522" s="1802"/>
      <c r="Z522" s="1802"/>
      <c r="AA522" s="1802"/>
      <c r="AB522" s="1802"/>
      <c r="AC522" s="1802"/>
      <c r="AD522" s="1802"/>
      <c r="AE522" s="1803"/>
      <c r="AF522" s="594"/>
      <c r="AG522" s="1787"/>
      <c r="AH522" s="1787"/>
      <c r="AI522" s="1787"/>
      <c r="AJ522" s="1787"/>
      <c r="AK522" s="1787"/>
      <c r="AL522" s="1787"/>
      <c r="AM522" s="1726">
        <f>IFERROR(DI522,"")</f>
        <v>0</v>
      </c>
      <c r="AN522" s="1728" t="str">
        <f>IFERROR(ROUND(AM522*AC523,0),"")</f>
        <v/>
      </c>
      <c r="AO522" s="1730">
        <f>IFERROR(IF(IB520=FALSE,0,AC523-AN522),0)</f>
        <v>0</v>
      </c>
      <c r="AP522" s="1780"/>
      <c r="AQ522" s="1781"/>
      <c r="AR522" s="1795"/>
      <c r="AS522" s="1795"/>
      <c r="AT522" s="1796"/>
      <c r="AU522" s="1735"/>
      <c r="AV522" s="1752"/>
      <c r="AW522" s="1705"/>
      <c r="AX522" s="467"/>
      <c r="AY522" s="1749"/>
      <c r="AZ522" s="1749"/>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696"/>
      <c r="CQ522" s="1696"/>
      <c r="CR522" s="1808" t="str">
        <f>CQ520</f>
        <v/>
      </c>
      <c r="CS522" s="1810" t="str">
        <f>CS520</f>
        <v/>
      </c>
      <c r="CU522" s="1688" t="s">
        <v>345</v>
      </c>
      <c r="CV522" s="1702">
        <f>IF(IB520=TRUE,T522,0)</f>
        <v>0</v>
      </c>
      <c r="CW522" s="1702" t="str">
        <f>IF(IB520=TRUE,U522,"")</f>
        <v/>
      </c>
      <c r="CX522" s="1812">
        <f>IF(IB520=TRUE,U523,0)</f>
        <v>0</v>
      </c>
      <c r="CY522" s="1814">
        <f>IF(IB520=TRUE,AB523,0)</f>
        <v>0</v>
      </c>
      <c r="CZ522" s="1710">
        <f>IF(AND(__Retrofit_TI_NC&gt;0,CR520="interior"),0,IF(IB520=TRUE,AC523,0))</f>
        <v>0</v>
      </c>
      <c r="DA522" s="1818"/>
      <c r="DB522" s="1820"/>
      <c r="DC522" s="1820"/>
      <c r="DD522" s="1820"/>
      <c r="DF522" s="1702">
        <f>IF(IB520=TRUE,AF522,0)</f>
        <v>0</v>
      </c>
      <c r="DG522" s="1830" t="str">
        <f>IF(IB520=TRUE,AG522,"")</f>
        <v/>
      </c>
      <c r="DH522" s="1812">
        <f>AG523</f>
        <v>0</v>
      </c>
      <c r="DI522" s="1837">
        <f>JE522</f>
        <v>0</v>
      </c>
      <c r="DJ522" s="1710">
        <f>IF(AND(__Retrofit_TI_NC&gt;0,CR520="interior"),0,IF(IB520=TRUE,AN522,0))</f>
        <v>0</v>
      </c>
      <c r="DK522" s="1712"/>
      <c r="DN522" s="1717">
        <f>IFERROR(CZ522-DJ522,0)</f>
        <v>0</v>
      </c>
      <c r="DO522" s="1709"/>
      <c r="DQ522" s="1715"/>
      <c r="DR522" s="1719" t="str">
        <f>DQ520</f>
        <v/>
      </c>
      <c r="DS522" s="1816"/>
      <c r="DT522" s="1835" t="str">
        <f>IF(OR(DS520=7,DS520=8,DS520=9),"ALC","")</f>
        <v/>
      </c>
      <c r="DU522" s="1715"/>
      <c r="DV522" s="1716"/>
      <c r="DX522" s="1715"/>
      <c r="DY522" s="1829" t="str">
        <f>DX520</f>
        <v/>
      </c>
      <c r="DZ522" s="1715"/>
      <c r="EA522" s="1715"/>
      <c r="EC522" s="1834"/>
      <c r="ED522" s="1834"/>
      <c r="EF522" s="1707"/>
      <c r="EG522" s="1712"/>
      <c r="EH522" s="1818"/>
      <c r="EI522" s="1712"/>
      <c r="EJ522" s="1712"/>
      <c r="EK522" s="1836"/>
      <c r="EL522" s="1836"/>
      <c r="EM522" s="1807"/>
      <c r="EN522" s="1839"/>
      <c r="EO522" s="1839"/>
      <c r="EP522" s="1817"/>
      <c r="EQ522" s="1817"/>
      <c r="ER522" s="1807"/>
      <c r="ES522" s="1807"/>
      <c r="ET522" s="1807"/>
      <c r="EV522" s="1715"/>
      <c r="EX522" s="1805" t="str">
        <f>IFERROR(VLOOKUP(CS522,'Space Table'!$B$3:$L$163,8,FALSE),"")</f>
        <v/>
      </c>
      <c r="EY522" s="1805" t="str">
        <f>IFERROR(IF(FB522="Yes",VLOOKUP(AG522,Lookup_Control_Type_Table2,4,FALSE),VLOOKUP(AG522,Lookup_Control_Type_Table2,3,FALSE)),"")</f>
        <v/>
      </c>
      <c r="EZ522" s="1805" t="e">
        <f>VLOOKUP(AG522,Lookup!BB$3:BC$20,2,FALSE)</f>
        <v>#N/A</v>
      </c>
      <c r="FA522" s="1805" t="e">
        <f>VLOOKUP(EX520,Lookup_Control_Type_Table,2,FALSE)</f>
        <v>#N/A</v>
      </c>
      <c r="FB522" s="1805" t="e">
        <f>VLOOKUP(CS522,'Space Table'!$B$3:$L$163,7,FALSE)</f>
        <v>#N/A</v>
      </c>
      <c r="FC522" s="1827"/>
      <c r="FE522" s="1698" t="str">
        <f>CONCATENATE(CQ520," - ",AG522)</f>
        <v xml:space="preserve"> - </v>
      </c>
      <c r="FG522" s="1816"/>
      <c r="FH522" s="1816"/>
      <c r="FI522" s="133"/>
      <c r="FL522" s="1822" t="str">
        <f>IF(CQ520="Exterior","Not Daylighted",G523)</f>
        <v>Not Daylighted</v>
      </c>
      <c r="FM522" s="1824">
        <f>VLOOKUP(FL522,_New_Daylight_Table_Codes,2,FALSE)</f>
        <v>0</v>
      </c>
      <c r="FN522" s="1698">
        <f>AG522</f>
        <v>0</v>
      </c>
      <c r="FO522" s="1698" t="e">
        <f>VLOOKUP(FN522,_Control_Table,2,FALSE)</f>
        <v>#N/A</v>
      </c>
      <c r="FP522" s="1678" t="e">
        <f>VLOOKUP(CONCATENATE(FL522," ",FN522),Lookup!AY$102:AZ533,2,FALSE)</f>
        <v>#N/A</v>
      </c>
      <c r="FQ522" s="1698">
        <f>IF(__Retrofit_TI_NC=0,FN522,IF(AND(FT522&gt;0,FN522="Occupancy Sensor"),"Daylight + Occupancy",IF(AND(FT522&gt;0,FO522&lt;4),"Interior Daylight Dimming",FN522)))</f>
        <v>0</v>
      </c>
      <c r="FS522" s="1686">
        <f>IF(CQ520="Interior",VLOOKUP(CS520,Control_Savings_Interior,5,FALSE),0)</f>
        <v>0</v>
      </c>
      <c r="FT522" s="1687">
        <f>IF(CQ522="Exterior",0,IF(FM522=2,0.5,IF(OR(FM522=1,FM522=3),1,0)))</f>
        <v>0</v>
      </c>
      <c r="FU522" s="1685">
        <f>IF(R521&gt;FS$44,(FS522*(FS$44/R521)),FS522)*FT522</f>
        <v>0</v>
      </c>
      <c r="FV522" s="1686">
        <f>DI522</f>
        <v>0</v>
      </c>
      <c r="FW522" s="1686">
        <f>ROUND(FV522+((1-FV522)*FU522),2)</f>
        <v>0</v>
      </c>
      <c r="FX522" s="1686">
        <f>IF(__Retrofit_TI_NC=2,FW522,FV522)</f>
        <v>0</v>
      </c>
      <c r="FY522" s="1697">
        <f>IF(CR522="Interior",VLOOKUP(CS522,Control_Savings_Interior,4,FALSE),0)</f>
        <v>0</v>
      </c>
      <c r="GA522" s="1696"/>
      <c r="GB522" s="1696"/>
      <c r="GC522" s="1696"/>
      <c r="GD522" s="1696"/>
      <c r="GE522" s="1696"/>
      <c r="GF522" s="1696"/>
      <c r="GG522" s="1696"/>
      <c r="GH522" s="1696"/>
      <c r="GI522" s="673" t="b">
        <f>IF(ISNUMBER(SEARCH("TLED",U522)),TRUE,FALSE)</f>
        <v>0</v>
      </c>
      <c r="GJ522" s="1135" t="str">
        <f>IFERROR(VLOOKUP(U522,Fixtures!DM$93:DR$142,6,FALSE),"")</f>
        <v/>
      </c>
      <c r="GK522" s="1832"/>
      <c r="GM522" s="1692"/>
      <c r="GN522" s="1684"/>
      <c r="GP522" s="1684"/>
      <c r="GQ522" s="1684"/>
      <c r="HG522" s="1684"/>
      <c r="HH522" s="1684"/>
      <c r="HI522" s="1684"/>
      <c r="HJ522" s="1684"/>
      <c r="HK522" s="1684"/>
      <c r="HL522" s="1684"/>
      <c r="HM522" s="1684"/>
      <c r="HN522" s="1683"/>
      <c r="HO522" s="1692"/>
      <c r="HP522" s="1692"/>
      <c r="HQ522" s="1670"/>
      <c r="HR522" s="1684"/>
      <c r="HS522" s="1684"/>
      <c r="HT522" s="1670"/>
      <c r="HU522" s="1684"/>
      <c r="HV522" s="1684"/>
      <c r="HW522" s="1684"/>
      <c r="HX522" s="1684"/>
      <c r="HY522" s="1684"/>
      <c r="HZ522" s="1684"/>
      <c r="IB522" s="1692"/>
      <c r="IC522" s="1693" t="b">
        <f>IB520</f>
        <v>0</v>
      </c>
      <c r="ID522" s="1695"/>
      <c r="IE522" s="391"/>
      <c r="IF522" s="1688"/>
      <c r="IG522" s="1689">
        <f ca="1">IF(IF520=TRUE,AC523,0)</f>
        <v>0</v>
      </c>
      <c r="IH522" s="1684"/>
      <c r="IK522" s="1689" t="e">
        <f>ROUND(T522*AB523*N521*R521/1000,0)</f>
        <v>#VALUE!</v>
      </c>
      <c r="IL522" s="1691"/>
      <c r="IM522" s="1693" t="e">
        <f>ROUND(T522*AB523*N521*R521/1000,0)</f>
        <v>#VALUE!</v>
      </c>
      <c r="IN522" s="1691"/>
      <c r="IP522" s="1679"/>
      <c r="IQ522" s="1679" t="e">
        <f t="shared" ref="IQ522:IU522" si="472">IF($CR522="interior",VLOOKUP($CS522,_New_Control_Savings_Interior,IQ$30,FALSE),VLOOKUP($CS522,Control_Savings_Exterior,IQ$30,FALSE))</f>
        <v>#N/A</v>
      </c>
      <c r="IR522" s="1679" t="e">
        <f t="shared" si="472"/>
        <v>#N/A</v>
      </c>
      <c r="IS522" s="1679" t="e">
        <f t="shared" si="472"/>
        <v>#N/A</v>
      </c>
      <c r="IT522" s="1679" t="e">
        <f t="shared" si="472"/>
        <v>#N/A</v>
      </c>
      <c r="IU522" s="1679" t="e">
        <f t="shared" si="472"/>
        <v>#N/A</v>
      </c>
      <c r="IV522" s="1679" t="e">
        <f>IF($CR522="interior",IF(R521&gt;$IP$14,ROUND(($IV$18*($IP$14/R521)),2),$IV$18),VLOOKUP($CS522,Control_Savings_Exterior,IV$30,FALSE))</f>
        <v>#N/A</v>
      </c>
      <c r="IW522" s="1679" t="e">
        <f>IF($CR522="interior",ROUND(((1-IS522)*IV522)+IS522,2),VLOOKUP($CS522,Control_Savings_Exterior,IW$30,FALSE))</f>
        <v>#N/A</v>
      </c>
      <c r="IX522" s="1679" t="e">
        <f>IF($CR522="interior",ROUND(((1-IT522)*IV522)+IT522,2),VLOOKUP($CS522,Control_Savings_Exterior,IX$30,FALSE))</f>
        <v>#N/A</v>
      </c>
      <c r="IY522" s="1679" t="e">
        <f>IF($CR522="interior",IF(R521&gt;$IP$14,ROUND(($IY$18*($IP$14/R521)),2),$IY$18),VLOOKUP($CS522,Control_Savings_Exterior,IY$30,FALSE))</f>
        <v>#N/A</v>
      </c>
      <c r="IZ522" s="1679" t="e">
        <f>IF($CR522="interior",ROUND(((1-IS522)*IY522)+IS522,2),VLOOKUP($CS522,Control_Savings_Exterior,IZ$30,FALSE))</f>
        <v>#N/A</v>
      </c>
      <c r="JA522" s="1679" t="e">
        <f>IF($CR522="interior",ROUND(((1-IT522)*IY522)+IT522,2),VLOOKUP($CS522,Control_Savings_Exterior,JA$30,FALSE))</f>
        <v>#N/A</v>
      </c>
      <c r="JC522" s="1680">
        <f>IFERROR(IF(CR522="Interior",CONCATENATE(G523," ",FQ522),AG522),"")</f>
        <v>0</v>
      </c>
      <c r="JD522" s="1670" t="str">
        <f>IFERROR(VLOOKUP(JC522,_Controls_2023,2,FALSE),"")</f>
        <v/>
      </c>
      <c r="JE522" s="1681">
        <f>IFERROR(CHOOSE(JD522-1,IQ522,IR522,IS522,IT522,IU522,IV522,IW522,IX522,IY522,IZ522,JA522),0)</f>
        <v>0</v>
      </c>
      <c r="JG522" s="1680" t="str">
        <f>FE522</f>
        <v xml:space="preserve"> - </v>
      </c>
      <c r="JH522" s="1670" t="e">
        <f>$FO522</f>
        <v>#N/A</v>
      </c>
      <c r="JI522" s="1060"/>
      <c r="JJ522" s="1670">
        <f>IFERROR(IF($IB520=TRUE,IF(OR(JJ$14="No",JJ520=FALSE,JH522&lt;=JH520,AND(_kWh_Grant=0,GD520=FALSE)),0,IF(JJ$8="Per Line",1,$AF522)),0),0)</f>
        <v>0</v>
      </c>
      <c r="JK522" s="1061"/>
      <c r="JL522" s="1670">
        <f>IFERROR(IF(_kWh_Grant=0,0,IF($IB520=TRUE,IF(OR(JL$14="No",JL520=FALSE,JH522&lt;=JH520),0,IF(JL$8="Per Line",1,$T522)),0)),0)</f>
        <v>0</v>
      </c>
      <c r="JM522" s="1061"/>
      <c r="JN522" s="1670">
        <f>IFERROR(IF(_kWh_Grant=0,0,IF($IB520=TRUE,IF(OR(JN$14="No",JN520=FALSE,JH522&lt;=JH520),0,IF(JN$8="Per Line",1,$AF522)),0)),0)</f>
        <v>0</v>
      </c>
      <c r="JO522" s="1061"/>
      <c r="JP522" s="1670">
        <f>IFERROR(IF(__Retrofit_TI_NC=0,IF(_kWh_Grant=0,0,IF($IB520=TRUE,IF(OR(JP$14="No",JP520=FALSE,$JH522&lt;=$JH520),0,IF(JP$8="Per Line",1,$AF522)),0)),IF($IB520=TRUE,IF(OR(JP$14="No",JP520=FALSE,$JH522&lt;=$JH520),0,IF(JP$8="Per Line",1,$AF522)))),0)</f>
        <v>0</v>
      </c>
      <c r="JQ522" s="1061"/>
      <c r="JR522" s="1670">
        <f>IFERROR(IF(__Retrofit_TI_NC=0,IF(_kWh_Grant=0,0,IF($IB520=TRUE,IF(OR(JR$14="No",JR520=FALSE,$JH522&lt;=$JH520),0,IF(JR$8="Per Line",1,$AF522)),0)),IF($IB520=TRUE,IF(OR(JR$14="No",JR520=FALSE,$JH522&lt;=$JH520),0,IF(JR$8="Per Line",1,$AF522)))),0)</f>
        <v>0</v>
      </c>
      <c r="JS522" s="1061"/>
      <c r="JT522" s="1670">
        <f>IFERROR(IF(__Retrofit_TI_NC=0,IF(_kWh_Grant=0,0,IF($IB520=TRUE,IF(OR(JT$14="No",JT520=FALSE,$JH522&lt;=$JH520),0,IF(JT$8="Per Line",1,$AF522)),0)),IF($IB520=TRUE,IF(OR(JT$14="No",JT520=FALSE,$JH522&lt;=$JH520),0,IF(JT$8="Per Line",1,$AF522)))),0)</f>
        <v>0</v>
      </c>
      <c r="JU522" s="1061"/>
      <c r="JV522" s="1670">
        <f>IFERROR(IF(__Retrofit_TI_NC=0,IF(_kWh_Grant=0,0,IF($IB520=TRUE,IF(OR(JV$14="No",JV520=FALSE,$JH522&lt;=$JH520),0,IF(JV$8="Per Line",1,$AF522)),0)),IF($IB520=TRUE,IF(OR(JV$14="No",JV520=FALSE,$JH522&lt;=$JH520),0,IF(JV$8="Per Line",1,$AF522)))),0)</f>
        <v>0</v>
      </c>
      <c r="JX522" s="1670">
        <f>IFERROR(IF(__Retrofit_TI_NC=0,IF(_kWh_Grant=0,0,IF($IB520=TRUE,IF(OR(JX$14="No",JX520=FALSE,$JH522&lt;=$JH520),0,IF(JX$8="Per Line",1,$AF522)),0)),IF($IB520=TRUE,IF(OR(JX$14="No",JX520=FALSE,$JH522&lt;=$JH520),0,IF(JX$8="Per Line",1,$AF522)))),0)</f>
        <v>0</v>
      </c>
      <c r="JZ522" s="1670">
        <f>IFERROR(IF($IB520=TRUE,IF(OR(JZ$14="No",JZ520=FALSE,$JH522&lt;=$JH520,AND(_kWh_Grant=0,$GD520=FALSE)),0,IF(JZ$8="Per Line",1,$AF522)),0),0)</f>
        <v>0</v>
      </c>
      <c r="KB522" s="1670">
        <f>IFERROR(IF(__Retrofit_TI_NC=0,IF(_kWh_Grant=0,0,IF($IB520=TRUE,IF(OR(KB$14="No",KB520=FALSE,$JH522&lt;=$JH520),0,IF(KB$8="Per Line",1,$AF522)),0)),IF($IB520=TRUE,IF(OR(KB$14="No",KB520=FALSE,$JH522&lt;=$JH520),0,IF(KB$8="Per Line",1,$AF522)))),0)</f>
        <v>0</v>
      </c>
    </row>
    <row r="523" spans="1:288" s="78" customFormat="1" ht="14.95" customHeight="1" thickTop="1" thickBot="1">
      <c r="B523" s="1845"/>
      <c r="C523" s="1846"/>
      <c r="D523" s="1847"/>
      <c r="E523" s="1771" t="s">
        <v>436</v>
      </c>
      <c r="F523" s="1772"/>
      <c r="G523" s="1784" t="s">
        <v>437</v>
      </c>
      <c r="H523" s="1785"/>
      <c r="I523" s="1785"/>
      <c r="J523" s="1785"/>
      <c r="K523" s="1785"/>
      <c r="L523" s="1786"/>
      <c r="M523" s="591">
        <f>IFERROR(VLOOKUP(G523,_Daylight_Table[],2,FALSE),0)</f>
        <v>0</v>
      </c>
      <c r="N523" s="592" t="str">
        <f>IF(AND(__Retrofit_TI_NC&gt;0,CQ520="Interior"),"BAM","")</f>
        <v/>
      </c>
      <c r="O523" s="591" t="e">
        <f>VLOOKUP(G522,'Space Table'!$B$3:$L$163,11,FALSE)</f>
        <v>#N/A</v>
      </c>
      <c r="P523" s="1789"/>
      <c r="Q523" s="1790"/>
      <c r="R523" s="1790"/>
      <c r="S523" s="1788"/>
      <c r="T523" s="593" t="s">
        <v>342</v>
      </c>
      <c r="U523" s="1756" t="str" cm="1">
        <f t="array" aca="1" ref="U523" ca="1">IFERROR(VLOOKUP(INDIRECT("U" &amp; ROW()-1),Fixtures!DM$93:DP$142,4,FALSE),"")</f>
        <v/>
      </c>
      <c r="V523" s="1757"/>
      <c r="W523" s="1757"/>
      <c r="X523" s="1757"/>
      <c r="Y523" s="1757"/>
      <c r="Z523" s="1757"/>
      <c r="AA523" s="1758"/>
      <c r="AB523" s="939" t="str">
        <f>IFERROR(VLOOKUP(U522,Fixtures_Proposed_List,2,FALSE),"")</f>
        <v/>
      </c>
      <c r="AC523" s="933" t="str">
        <f>IFERROR(ROUND(T522*AB523*N521*R521/1000,0),"")</f>
        <v/>
      </c>
      <c r="AD523" s="934" t="str">
        <f>IFERROR(ROUND(T522*AB523/1000,2),"")</f>
        <v/>
      </c>
      <c r="AE523" s="998"/>
      <c r="AF523" s="938" t="s">
        <v>342</v>
      </c>
      <c r="AG523" s="1770"/>
      <c r="AH523" s="1770"/>
      <c r="AI523" s="1770"/>
      <c r="AJ523" s="1770"/>
      <c r="AK523" s="1770"/>
      <c r="AL523" s="1770"/>
      <c r="AM523" s="1727"/>
      <c r="AN523" s="1729"/>
      <c r="AO523" s="1731"/>
      <c r="AP523" s="1782"/>
      <c r="AQ523" s="1783"/>
      <c r="AR523" s="1797"/>
      <c r="AS523" s="1797"/>
      <c r="AT523" s="1798"/>
      <c r="AU523" s="1736"/>
      <c r="AV523" s="1753"/>
      <c r="AW523" s="1706"/>
      <c r="AX523" s="468"/>
      <c r="AY523" s="1750"/>
      <c r="AZ523" s="1750"/>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696"/>
      <c r="CQ523" s="1696"/>
      <c r="CR523" s="1809"/>
      <c r="CS523" s="1811"/>
      <c r="CU523" s="1688"/>
      <c r="CV523" s="1703"/>
      <c r="CW523" s="1703"/>
      <c r="CX523" s="1813"/>
      <c r="CY523" s="1815"/>
      <c r="CZ523" s="1711"/>
      <c r="DA523" s="1815"/>
      <c r="DB523" s="1821"/>
      <c r="DC523" s="1821"/>
      <c r="DD523" s="1821"/>
      <c r="DF523" s="1703"/>
      <c r="DG523" s="1831"/>
      <c r="DH523" s="1813"/>
      <c r="DI523" s="1838"/>
      <c r="DJ523" s="1711"/>
      <c r="DK523" s="1712"/>
      <c r="DN523" s="1718"/>
      <c r="DO523" s="1709"/>
      <c r="DQ523" s="1715"/>
      <c r="DR523" s="1720"/>
      <c r="DS523" s="1703"/>
      <c r="DT523" s="1714"/>
      <c r="DU523" s="1715"/>
      <c r="DV523" s="1716"/>
      <c r="DX523" s="1715"/>
      <c r="DY523" s="1720"/>
      <c r="DZ523" s="1715"/>
      <c r="EA523" s="1715"/>
      <c r="EC523" s="1834"/>
      <c r="ED523" s="1834"/>
      <c r="EF523" s="1707"/>
      <c r="EG523" s="1712"/>
      <c r="EH523" s="1815"/>
      <c r="EI523" s="1712"/>
      <c r="EJ523" s="1712"/>
      <c r="EK523" s="1813"/>
      <c r="EL523" s="1813"/>
      <c r="EM523" s="1807"/>
      <c r="EN523" s="1839"/>
      <c r="EO523" s="1839"/>
      <c r="EP523" s="1817"/>
      <c r="EQ523" s="1817"/>
      <c r="ER523" s="1807"/>
      <c r="ES523" s="1807"/>
      <c r="ET523" s="1807"/>
      <c r="EV523" s="1715"/>
      <c r="EX523" s="1806"/>
      <c r="EY523" s="1806"/>
      <c r="EZ523" s="1806"/>
      <c r="FA523" s="1806"/>
      <c r="FB523" s="1806"/>
      <c r="FC523" s="1828"/>
      <c r="FE523" s="1698"/>
      <c r="FG523" s="1703"/>
      <c r="FH523" s="1703"/>
      <c r="FI523" s="133"/>
      <c r="FL523" s="1823"/>
      <c r="FM523" s="1825"/>
      <c r="FN523" s="1698"/>
      <c r="FO523" s="1698"/>
      <c r="FP523" s="1678"/>
      <c r="FQ523" s="1698"/>
      <c r="FS523" s="1687"/>
      <c r="FT523" s="1687"/>
      <c r="FU523" s="1685"/>
      <c r="FV523" s="1687"/>
      <c r="FW523" s="1687"/>
      <c r="FX523" s="1687"/>
      <c r="FY523" s="1697"/>
      <c r="GA523" s="1696"/>
      <c r="GB523" s="1696"/>
      <c r="GC523" s="1696"/>
      <c r="GD523" s="1696"/>
      <c r="GE523" s="1696"/>
      <c r="GF523" s="1696"/>
      <c r="GG523" s="1696"/>
      <c r="GH523" s="1696"/>
      <c r="GI523" s="673"/>
      <c r="GJ523" s="1135"/>
      <c r="GK523" s="1832"/>
      <c r="GN523" s="674">
        <f>IF(GN521=TRUE,0,GN$16)</f>
        <v>0</v>
      </c>
      <c r="GP523" s="674">
        <f>IF(GP521=TRUE,0,GP$16)</f>
        <v>36</v>
      </c>
      <c r="GQ523" s="674">
        <f ca="1">IF(GQ521=TRUE,0,GQ$16)</f>
        <v>35</v>
      </c>
      <c r="GR523" s="391"/>
      <c r="GS523" s="391"/>
      <c r="GT523" s="391"/>
      <c r="GU523" s="391"/>
      <c r="GV523" s="391"/>
      <c r="HG523" s="674">
        <f>IF(HG521=TRUE,0,HG$16)</f>
        <v>0</v>
      </c>
      <c r="HH523" s="674">
        <f t="shared" ref="HH523:HM523" si="473">IF(HH521=TRUE,0,HH$16)</f>
        <v>19</v>
      </c>
      <c r="HI523" s="674">
        <f t="shared" si="473"/>
        <v>18</v>
      </c>
      <c r="HJ523" s="674">
        <f t="shared" si="473"/>
        <v>17</v>
      </c>
      <c r="HK523" s="674">
        <f t="shared" si="473"/>
        <v>16</v>
      </c>
      <c r="HL523" s="674">
        <f t="shared" si="473"/>
        <v>0</v>
      </c>
      <c r="HM523" s="674">
        <f t="shared" si="473"/>
        <v>0</v>
      </c>
      <c r="HN523" s="674">
        <f>IF(HN521=TRUE,0,HN$16)</f>
        <v>13</v>
      </c>
      <c r="HO523" s="674">
        <f t="shared" ref="HO523:HQ523" si="474">IF(HO521=TRUE,0,HO$16)</f>
        <v>0</v>
      </c>
      <c r="HP523" s="674">
        <f t="shared" si="474"/>
        <v>0</v>
      </c>
      <c r="HQ523" s="674">
        <f t="shared" si="474"/>
        <v>10</v>
      </c>
      <c r="HR523" s="674">
        <f>IF(HR521=TRUE,0,HR$16)</f>
        <v>9</v>
      </c>
      <c r="HS523" s="674">
        <f t="shared" ref="HS523:HW523" si="475">IF(HS521=TRUE,0,HS$16)</f>
        <v>0</v>
      </c>
      <c r="HT523" s="674">
        <f t="shared" si="475"/>
        <v>0</v>
      </c>
      <c r="HU523" s="674">
        <f t="shared" si="475"/>
        <v>0</v>
      </c>
      <c r="HV523" s="674">
        <f t="shared" si="475"/>
        <v>0</v>
      </c>
      <c r="HW523" s="674">
        <f t="shared" si="475"/>
        <v>0</v>
      </c>
      <c r="HX523" s="674">
        <f>IF(HX521=TRUE,0,HX$16)</f>
        <v>0</v>
      </c>
      <c r="HY523" s="674">
        <f>IF(HY521=TRUE,0,HY$16)</f>
        <v>0</v>
      </c>
      <c r="HZ523" s="674">
        <f>IF(HZ521=TRUE,0,HZ$16)</f>
        <v>1</v>
      </c>
      <c r="IB523" s="674">
        <f>IF(GP521=FALSE,GP523,IF(GQ521=FALSE,GQ523,MAX(GN523:HZ523)))</f>
        <v>36</v>
      </c>
      <c r="IC523" s="1692"/>
      <c r="ID523" s="205" t="str">
        <f>VLOOKUP(IB523,_Error_Table,3,FALSE)</f>
        <v xml:space="preserve"> </v>
      </c>
      <c r="IE523" s="205"/>
      <c r="IF523" s="1688"/>
      <c r="IG523" s="1689"/>
      <c r="IH523" s="1684"/>
      <c r="IK523" s="1689"/>
      <c r="IL523" s="1692"/>
      <c r="IM523" s="1692"/>
      <c r="IN523" s="1692"/>
      <c r="IP523" s="1679"/>
      <c r="IQ523" s="1679"/>
      <c r="IR523" s="1679"/>
      <c r="IS523" s="1679"/>
      <c r="IT523" s="1679"/>
      <c r="IU523" s="1679"/>
      <c r="IV523" s="1679"/>
      <c r="IW523" s="1679"/>
      <c r="IX523" s="1679"/>
      <c r="IY523" s="1679"/>
      <c r="IZ523" s="1679"/>
      <c r="JA523" s="1679"/>
      <c r="JC523" s="1680"/>
      <c r="JD523" s="1670"/>
      <c r="JE523" s="1681"/>
      <c r="JG523" s="1680"/>
      <c r="JH523" s="1670"/>
      <c r="JI523" s="1060"/>
      <c r="JJ523" s="1670"/>
      <c r="JK523" s="1061"/>
      <c r="JL523" s="1670"/>
      <c r="JM523" s="1061"/>
      <c r="JN523" s="1670"/>
      <c r="JO523" s="1061"/>
      <c r="JP523" s="1670"/>
      <c r="JQ523" s="1061"/>
      <c r="JR523" s="1670"/>
      <c r="JS523" s="1061"/>
      <c r="JT523" s="1670"/>
      <c r="JU523" s="1061"/>
      <c r="JV523" s="1670"/>
      <c r="JX523" s="1670"/>
      <c r="JZ523" s="1670"/>
      <c r="KB523" s="1670"/>
    </row>
    <row r="524" spans="1:288" s="78" customFormat="1" ht="5.0999999999999996" customHeight="1">
      <c r="B524" s="676"/>
      <c r="C524" s="392"/>
      <c r="D524" s="392"/>
      <c r="E524" s="1733"/>
      <c r="F524" s="1733"/>
      <c r="G524" s="1733"/>
      <c r="H524" s="1733"/>
      <c r="I524" s="1733"/>
      <c r="J524" s="1733"/>
      <c r="K524" s="1733"/>
      <c r="L524" s="1733"/>
      <c r="M524" s="1733"/>
      <c r="N524" s="1733"/>
      <c r="O524" s="1733"/>
      <c r="P524" s="1733"/>
      <c r="Q524" s="1733"/>
      <c r="R524" s="1733"/>
      <c r="S524" s="1733"/>
      <c r="T524" s="1733"/>
      <c r="U524" s="1733"/>
      <c r="V524" s="1733"/>
      <c r="W524" s="1733"/>
      <c r="X524" s="1733"/>
      <c r="Y524" s="1733"/>
      <c r="Z524" s="1733"/>
      <c r="AA524" s="1733"/>
      <c r="AB524" s="1733"/>
      <c r="AC524" s="1733"/>
      <c r="AD524" s="1733"/>
      <c r="AE524" s="1733"/>
      <c r="AF524" s="1733"/>
      <c r="AG524" s="1733"/>
      <c r="AH524" s="1733"/>
      <c r="AI524" s="1733"/>
      <c r="AJ524" s="1733"/>
      <c r="AK524" s="1733"/>
      <c r="AL524" s="1733"/>
      <c r="AM524" s="1733"/>
      <c r="AN524" s="1733"/>
      <c r="AO524" s="1733"/>
      <c r="AP524" s="1733"/>
      <c r="AQ524" s="1733"/>
      <c r="AR524" s="1733"/>
      <c r="AS524" s="1733"/>
      <c r="AT524" s="1733"/>
      <c r="AU524" s="1733"/>
      <c r="AV524" s="1733"/>
      <c r="AW524" s="1733"/>
      <c r="AX524" s="469"/>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663"/>
      <c r="CQ524" s="663"/>
      <c r="CR524" s="438"/>
      <c r="CS524" s="663"/>
      <c r="CV524" s="391"/>
      <c r="CW524" s="391"/>
      <c r="CX524" s="207"/>
      <c r="CY524" s="208"/>
      <c r="CZ524" s="208"/>
      <c r="DA524" s="208"/>
      <c r="DB524" s="209"/>
      <c r="DC524" s="209"/>
      <c r="DD524" s="209"/>
      <c r="DF524" s="664"/>
      <c r="DG524" s="665"/>
      <c r="DH524" s="666"/>
      <c r="DI524" s="667"/>
      <c r="DJ524" s="668"/>
      <c r="DK524" s="668"/>
      <c r="DN524" s="208"/>
      <c r="DO524" s="664"/>
      <c r="DQ524" s="664"/>
      <c r="DR524" s="669"/>
      <c r="DS524" s="391"/>
      <c r="DT524" s="664"/>
      <c r="DU524" s="664"/>
      <c r="DV524" s="664"/>
      <c r="DX524" s="664"/>
      <c r="DY524" s="664"/>
      <c r="DZ524" s="664"/>
      <c r="EA524" s="664"/>
      <c r="EC524" s="670"/>
      <c r="ED524" s="670"/>
      <c r="EF524" s="668"/>
      <c r="EG524" s="668"/>
      <c r="EH524" s="208"/>
      <c r="EI524" s="668"/>
      <c r="EJ524" s="668"/>
      <c r="EK524" s="207"/>
      <c r="EL524" s="207"/>
      <c r="EM524" s="666"/>
      <c r="EN524" s="671"/>
      <c r="EO524" s="671"/>
      <c r="EP524" s="672"/>
      <c r="EQ524" s="672"/>
      <c r="ER524" s="666"/>
      <c r="ES524" s="666"/>
      <c r="ET524" s="666"/>
      <c r="EV524" s="664"/>
      <c r="EX524" s="391"/>
      <c r="EY524" s="391"/>
      <c r="EZ524" s="391"/>
      <c r="FA524" s="391"/>
      <c r="FB524" s="391"/>
      <c r="FC524" s="391"/>
      <c r="FE524" s="569"/>
      <c r="FG524" s="391"/>
      <c r="FH524" s="391"/>
      <c r="FI524" s="391"/>
      <c r="FS524" s="664"/>
      <c r="FT524" s="391"/>
      <c r="FU524" s="391"/>
      <c r="FV524" s="664"/>
      <c r="FW524" s="664"/>
      <c r="GA524" s="663"/>
      <c r="GB524" s="663"/>
      <c r="GC524" s="663"/>
      <c r="GD524" s="663"/>
      <c r="GE524" s="663"/>
      <c r="GF524" s="663"/>
      <c r="GG524" s="663"/>
      <c r="GH524" s="663"/>
      <c r="GI524" s="665"/>
      <c r="GJ524" s="664"/>
      <c r="GK524" s="664"/>
    </row>
    <row r="525" spans="1:288" s="78" customFormat="1" ht="14.95" customHeight="1">
      <c r="B525" s="1845" t="str">
        <f>ID528</f>
        <v xml:space="preserve"> </v>
      </c>
      <c r="C525" s="1846">
        <f>C520+1</f>
        <v>93</v>
      </c>
      <c r="D525" s="1847"/>
      <c r="E525" s="1799" t="s">
        <v>295</v>
      </c>
      <c r="F525" s="1800"/>
      <c r="G525" s="1741"/>
      <c r="H525" s="1742"/>
      <c r="I525" s="1742"/>
      <c r="J525" s="1742"/>
      <c r="K525" s="1742"/>
      <c r="L525" s="1742"/>
      <c r="M525" s="1742"/>
      <c r="N525" s="1742"/>
      <c r="O525" s="1742"/>
      <c r="P525" s="1742"/>
      <c r="Q525" s="1742"/>
      <c r="R525" s="1742"/>
      <c r="S525" s="1791" t="s">
        <v>344</v>
      </c>
      <c r="T525" s="590"/>
      <c r="U525" s="1743"/>
      <c r="V525" s="1744"/>
      <c r="W525" s="1744"/>
      <c r="X525" s="1744"/>
      <c r="Y525" s="1744"/>
      <c r="Z525" s="1744"/>
      <c r="AA525" s="1744"/>
      <c r="AB525" s="961" t="str">
        <f>IFERROR(IF(__Retrofit_TI_NC=0,VLOOKUP(U526,Fixtures_Existing_List,2,FALSE),ROUND(N527*R527/T527,10)),"")</f>
        <v/>
      </c>
      <c r="AC525" s="935" t="str">
        <f>IFERROR(IF(__Retrofit_TI_NC=0,ROUND(T526*AB525*N526*R526/1000,0),IF(CQ525="Interior",N527*R527*R526*N526*_C406_reduction/1000,N527*R527*R526*N526/1000)),"")</f>
        <v/>
      </c>
      <c r="AD525" s="936" t="str">
        <f>IFERROR(IF(C$43=0,ROUND(T526*AB525/1000,2),N527*R527/1000),"")</f>
        <v/>
      </c>
      <c r="AE525" s="997"/>
      <c r="AF525" s="937"/>
      <c r="AG525" s="1745" t="str">
        <f>IF(__Retrofit_TI_NC=0," Control","Select Advanced Control for New System")</f>
        <v xml:space="preserve"> Control</v>
      </c>
      <c r="AH525" s="1745"/>
      <c r="AI525" s="1745"/>
      <c r="AJ525" s="1745"/>
      <c r="AK525" s="1745"/>
      <c r="AL525" s="1745"/>
      <c r="AM525" s="1746">
        <f>IFERROR(DI525,"")</f>
        <v>0</v>
      </c>
      <c r="AN525" s="1774" t="str">
        <f>IFERROR(ROUND(AM525*AC525,0),"")</f>
        <v/>
      </c>
      <c r="AO525" s="1776">
        <f>IFERROR(IF(IB525=FALSE,0,AC525-AN525),0)</f>
        <v>0</v>
      </c>
      <c r="AP525" s="1778">
        <f>AO525-AO527</f>
        <v>0</v>
      </c>
      <c r="AQ525" s="1779"/>
      <c r="AR525" s="1793">
        <f>IFERROR(IF(IB525=FALSE,0,(T527*U528)+(AF527*AG528)),0)</f>
        <v>0</v>
      </c>
      <c r="AS525" s="1793"/>
      <c r="AT525" s="1794"/>
      <c r="AU525" s="1734" t="s">
        <v>237</v>
      </c>
      <c r="AV525" s="1751">
        <f>IF(AU525="Yes",1,0)</f>
        <v>1</v>
      </c>
      <c r="AW525" s="1704" t="str">
        <f>IF(OR(DQ525=4,DQ525=5,DQ525=6,DQ525=12),CONCATENATE("$",IF(GH525=TRUE,Lookup!$K$10,Lookup!$K$2)," /lamp"),CONCATENATE(TEXT(ED525,"$0.00"),"/ kWh"))</f>
        <v>$0.00/ kWh</v>
      </c>
      <c r="AX525" s="467"/>
      <c r="AY525" s="1748">
        <f ca="1">IFERROR(IF(GM526=TRUE,(AB528*T527)/R527,0),"NA")</f>
        <v>0</v>
      </c>
      <c r="AZ525" s="1748"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696" t="str">
        <f>N526</f>
        <v/>
      </c>
      <c r="CQ525" s="1696" t="str">
        <f>IFERROR(VLOOKUP(G526,_Lookup_Heat_Type_Table_New,3,FALSE),"")</f>
        <v/>
      </c>
      <c r="CR525" s="1808" t="str">
        <f>CQ525</f>
        <v/>
      </c>
      <c r="CS525" s="1810" t="str">
        <f>IFERROR(VLOOKUP(G527,'Space Table'!$B$3:$L$163,9,FALSE),"")</f>
        <v/>
      </c>
      <c r="CU525" s="1688" t="s">
        <v>344</v>
      </c>
      <c r="CV525" s="1702">
        <f>IF(IB525=TRUE,T526,0)</f>
        <v>0</v>
      </c>
      <c r="CW525" s="1702" t="str">
        <f>IF(IB525=TRUE,U526,"")</f>
        <v/>
      </c>
      <c r="CX525" s="1702"/>
      <c r="CY525" s="1814">
        <f>IF(IB525=TRUE,AB525,0)</f>
        <v>0</v>
      </c>
      <c r="CZ525" s="1710">
        <f>IF(AND(__Retrofit_TI_NC&gt;0,CR525="interior"),0,IF(IB525=TRUE,AC525,0))</f>
        <v>0</v>
      </c>
      <c r="DA525" s="1814">
        <f>IFERROR(IF(IB525=TRUE,CZ525-CZ527,0),0)</f>
        <v>0</v>
      </c>
      <c r="DB525" s="1819">
        <f>IF(IB525=TRUE,AD525,0)</f>
        <v>0</v>
      </c>
      <c r="DC525" s="1819">
        <f>IF(IB525=TRUE,AD528,0)</f>
        <v>0</v>
      </c>
      <c r="DD525" s="1819">
        <f>IFERROR(DB525-DC525,0)</f>
        <v>0</v>
      </c>
      <c r="DF525" s="1702">
        <f>IF(IB525=TRUE,AF526,0)</f>
        <v>0</v>
      </c>
      <c r="DG525" s="1830">
        <f>IFERROR(IF(__Retrofit_TI_NC=2,IF(CQ525="Exterior",O528,FQ525),FN525),"")</f>
        <v>0</v>
      </c>
      <c r="DH525" s="1702"/>
      <c r="DI525" s="1837">
        <f>JE525</f>
        <v>0</v>
      </c>
      <c r="DJ525" s="1710">
        <f>IF(AND(__Retrofit_TI_NC&gt;0,CR525="interior"),0,IF(IB525=TRUE,AN525,0))</f>
        <v>0</v>
      </c>
      <c r="DK525" s="1712">
        <f>IFERROR(IF(IB525=TRUE,DJ527-DJ525,0),0)</f>
        <v>0</v>
      </c>
      <c r="DM525" s="1717">
        <f>IFERROR(CZ525-DJ525,0)</f>
        <v>0</v>
      </c>
      <c r="DO525" s="1708">
        <f>DM525-DN527</f>
        <v>0</v>
      </c>
      <c r="DQ525" s="1715" t="str">
        <f>IFERROR(IF(AND(OR(GC525=4,GC525=5,GC525=6),OR(GF525=4,GF525=5,GF525=6)),GC525+8,VLOOKUP(CW527,Fixtures!R$31:Y$78,8,FALSE)),"")</f>
        <v/>
      </c>
      <c r="DR525" s="1829" t="str">
        <f>DQ525</f>
        <v/>
      </c>
      <c r="DS525" s="1702" t="str">
        <f>IFERROR(VLOOKUP(DG527,Lookup!BB$3:BC$20,2,FALSE),"")</f>
        <v/>
      </c>
      <c r="DT525" s="1713" t="str">
        <f>IF(OR(DS525=7,DS525=8,DS525=9),"ALC","")</f>
        <v/>
      </c>
      <c r="DU525" s="1715">
        <f>IFERROR(IF(OR(DQ525=4,DQ525=5,DQ525=6,DQ525=12,DQ525=13,DQ525=14),VLOOKUP(CW527,Fixtures!DN$27:EG$77,19,FALSE),1)*CV527,0)</f>
        <v>0</v>
      </c>
      <c r="DV525" s="1716">
        <f>IF(OR(DS525=7,DS525=8,DS525=9),IF(DG525=DG527,0,DF527),0)</f>
        <v>0</v>
      </c>
      <c r="DX525" s="1715" t="str">
        <f>IFERROR(IF(EZ525&lt;EZ527,"Yes","No"),"")</f>
        <v/>
      </c>
      <c r="DY525" s="1829" t="str">
        <f>DX525</f>
        <v/>
      </c>
      <c r="DZ525" s="1715">
        <f>IF(DX525="Yes",DF527,0)</f>
        <v>0</v>
      </c>
      <c r="EA525" s="1715">
        <f>DZ525-DV525</f>
        <v>0</v>
      </c>
      <c r="EC525" s="1834">
        <f>IFERROR(VLOOKUP(DQ525,Lookup!AU$3:AV$16,2,FALSE),0)</f>
        <v>0</v>
      </c>
      <c r="ED525" s="1834">
        <f>IF(IB525=FALSE,0,IF(DX525="Yes",EC525+Lookup!K$6,EC525))</f>
        <v>0</v>
      </c>
      <c r="EF525" s="1707">
        <f>IF(IB525=TRUE,DM525,0)</f>
        <v>0</v>
      </c>
      <c r="EG525" s="1712">
        <f>IF(IB525=TRUE,CZ527,0)</f>
        <v>0</v>
      </c>
      <c r="EH525" s="1814">
        <f>IFERROR(EF525-EG525,0)</f>
        <v>0</v>
      </c>
      <c r="EI525" s="1712">
        <f>IF(IB525=TRUE,DJ527,0)</f>
        <v>0</v>
      </c>
      <c r="EJ525" s="1712">
        <f>IFERROR(EF525-EG525+EI525,0)</f>
        <v>0</v>
      </c>
      <c r="EK525" s="1812">
        <f>IF(IB525=TRUE,CV527*CX527,0)</f>
        <v>0</v>
      </c>
      <c r="EL525" s="1812">
        <f>IF(IB525=TRUE,DF527*DH527,0)</f>
        <v>0</v>
      </c>
      <c r="EM525" s="1807">
        <f>AR525</f>
        <v>0</v>
      </c>
      <c r="EN525" s="1839" t="str">
        <f>IFERROR(IF(IB525=TRUE,VLOOKUP(DQ525,Lookup!AU$3:AW$16,3,FALSE)*DU525,""),0)</f>
        <v/>
      </c>
      <c r="EO525" s="1839">
        <f>IF(IB525=TRUE,DZ525*Lookup!AW$12,0)</f>
        <v>0</v>
      </c>
      <c r="EP525" s="1817">
        <f>IFERROR(IF(IB525=TRUE,EN525/EP$40,0),0)</f>
        <v>0</v>
      </c>
      <c r="EQ525" s="1817">
        <f>IF(IB525=TRUE,EO525/EQ$40,0)</f>
        <v>0</v>
      </c>
      <c r="ER525" s="1807">
        <f>IF(IB525=TRUE,ET$40*EP525,0)</f>
        <v>0</v>
      </c>
      <c r="ES525" s="1807">
        <f>IF(IB525=TRUE,ET$40*EQ525,0)</f>
        <v>0</v>
      </c>
      <c r="ET525" s="1807">
        <f>ER525+ES525</f>
        <v>0</v>
      </c>
      <c r="EV525" s="1715">
        <f>IF(G525="",0,1)</f>
        <v>0</v>
      </c>
      <c r="EX525" s="1804" t="str">
        <f>IFERROR(VLOOKUP(CS527,'Space Table'!$B$3:$L$163,8,FALSE),"")</f>
        <v/>
      </c>
      <c r="EY525" s="1804" t="str">
        <f>IFERROR(IF(FB525="Yes",VLOOKUP(DG525,Lookup_Control_Type_Table2,4,FALSE),VLOOKUP(DG525,Lookup_Control_Type_Table2,3,FALSE)),"")</f>
        <v/>
      </c>
      <c r="EZ525" s="1804" t="e">
        <f>VLOOKUP(DG525,Lookup!BB$3:BC$20,2,FALSE)</f>
        <v>#N/A</v>
      </c>
      <c r="FA525" s="1804" t="e">
        <f>VLOOKUP(EX525,Lookup_Control_Type_Table,2,FALSE)</f>
        <v>#N/A</v>
      </c>
      <c r="FB525" s="1804" t="e">
        <f>VLOOKUP(CS527,'Space Table'!$B$3:$L$163,7,FALSE)</f>
        <v>#N/A</v>
      </c>
      <c r="FC525" s="1826" t="b">
        <f>ISNUMBER(SEARCH("TLED",U527))</f>
        <v>0</v>
      </c>
      <c r="FE525" s="1698" t="str">
        <f>CONCATENATE(CQ525," - ",DG525)</f>
        <v xml:space="preserve"> - 0</v>
      </c>
      <c r="FG525" s="1702" t="str">
        <f>VLOOKUP(CW527,Fixtures!DN$27:EZ$77,38,FALSE)</f>
        <v/>
      </c>
      <c r="FH525" s="1702">
        <f>IFERROR(FG525*EH525,0)</f>
        <v>0</v>
      </c>
      <c r="FI525" s="133"/>
      <c r="FL525" s="1822" t="str">
        <f>IF(CQ525="Exterior","Not Daylighted",G528)</f>
        <v>Not Daylighted</v>
      </c>
      <c r="FM525" s="1824">
        <f>VLOOKUP(FL525,_New_Daylight_Table_Codes,2,FALSE)</f>
        <v>0</v>
      </c>
      <c r="FN525" s="1698">
        <f>IF(__Retrofit_TI_NC&gt;0,VLOOKUP(G527,'Space Table'!$B$3:$L$163,11,FALSE),AG526)</f>
        <v>0</v>
      </c>
      <c r="FO525" s="1698" t="e">
        <f>IF(__Retrofit_TI_NC=2,VLOOKUP(FQ525,_Control_Table,2,FALSE),VLOOKUP(FN525,_Control_Table,2,FALSE))</f>
        <v>#N/A</v>
      </c>
      <c r="FP525" s="1678" t="e">
        <f>VLOOKUP(CONCATENATE(FL525," ",FN525),Lookup!AY$102:AZ535,2,FALSE)</f>
        <v>#N/A</v>
      </c>
      <c r="FQ525" s="1678">
        <f>IF(__Retrofit_TI_NC=0,FN525,IF(AND(FT525&gt;0,FN525="Occupancy Sensor"),"Daylight + Occupancy",IF(AND(FT525&gt;0,VLOOKUP(FN525,_Control_Table,2,FALSE)&lt;4),"Interior Daylight Dimming",FN525)))</f>
        <v>0</v>
      </c>
      <c r="FS525" s="1686">
        <f>IF(CR525="Interior",VLOOKUP(CS525,Control_Savings_Interior,5,FALSE),0)</f>
        <v>0</v>
      </c>
      <c r="FT525" s="1687">
        <f>IF(CQ525="Exterior",0,IF(FM525=2,0.5,IF(OR(FM525=1,FM525=3),1,0)))</f>
        <v>0</v>
      </c>
      <c r="FU525" s="1685">
        <f>IF(R524&gt;FS$44,(FS525*(FS$44/R524)),FS525)*FT525</f>
        <v>0</v>
      </c>
      <c r="FV525" s="1686">
        <f>DI525</f>
        <v>0</v>
      </c>
      <c r="FW525" s="1686">
        <f>ROUND(FV525+((1-FV525)*FU525),2)</f>
        <v>0</v>
      </c>
      <c r="FX525" s="1686">
        <f>IF(__Retrofit_TI_NC=2,FW525,FV525)</f>
        <v>0</v>
      </c>
      <c r="FY525" s="1697"/>
      <c r="GA525" s="1696" t="str">
        <f>IFERROR(VLOOKUP(U526,_Exist_Fixture_Table,3,FALSE),"")</f>
        <v/>
      </c>
      <c r="GB525" s="1696" t="str">
        <f>VLOOKUP(CW525,_Exist_Fixture_Table,4,FALSE)</f>
        <v/>
      </c>
      <c r="GC525" s="1696">
        <f>IFERROR(VLOOKUP(GB525,Lookup!AT$6:AU$8,2,FALSE),0)</f>
        <v>0</v>
      </c>
      <c r="GD525" s="1696" t="b">
        <f>IFERROR(IF(OR(GF525=4,GF525=5,GF525=6),TRUE,FALSE),"")</f>
        <v>0</v>
      </c>
      <c r="GE525" s="1696" t="str">
        <f>IFERROR(VLOOKUP(GF525,GC$6:GD$10,2,FALSE),"")</f>
        <v/>
      </c>
      <c r="GF525" s="1696" t="str">
        <f>VLOOKUP(CW527,Fixtures!R$31:Y$78,8,FALSE)</f>
        <v/>
      </c>
      <c r="GG525" s="1696">
        <f>IF(AND(GA525=TRUE,GD525=TRUE,OR(DQ525=12,DQ525=13,DQ525=14)),GC525+8,0)</f>
        <v>0</v>
      </c>
      <c r="GH525" s="1696" t="b">
        <f>IF(OR(GG525=12,GG525=13,GG525=14),TRUE,FALSE)</f>
        <v>0</v>
      </c>
      <c r="GI525" s="673" t="b">
        <f>IF(ISNUMBER(SEARCH("TLED",U526)),TRUE,FALSE)</f>
        <v>0</v>
      </c>
      <c r="GJ525" s="1135" t="str">
        <f>IFERROR(VLOOKUP(U526,Fixtures!BM$93:BR$142,6,FALSE),"")</f>
        <v/>
      </c>
      <c r="GK525" s="1832" t="b">
        <f>IF(OR(GI525=FALSE,GI527=FALSE),TRUE,IF(GJ525-GJ527&lt;5,FALSE,TRUE))</f>
        <v>1</v>
      </c>
      <c r="GO525" s="674">
        <f>GP525</f>
        <v>0</v>
      </c>
      <c r="GP525" s="674">
        <f>IF(G525="",0,1)</f>
        <v>0</v>
      </c>
      <c r="GQ525" s="674">
        <f ca="1">SUM(GR525:HF525)</f>
        <v>2</v>
      </c>
      <c r="GR525" s="674">
        <f>IF(G526="",0,1)</f>
        <v>0</v>
      </c>
      <c r="GS525" s="674">
        <f>IF(N528="BAM",1,IF(G527="",0,1))</f>
        <v>0</v>
      </c>
      <c r="GT525" s="674">
        <f>IF(N528="BAM",1,IF(R526="",0,1))</f>
        <v>0</v>
      </c>
      <c r="GU525" s="674">
        <f>IF(N528="BAM",1,IF(__Retrofit_TI_NC=0,1,IF(R527="",0,1)))</f>
        <v>1</v>
      </c>
      <c r="GV525" s="674">
        <f>IF(N528="BAM",1,IF(CQ525="Exterior",1,IF(G528="",0,1)))</f>
        <v>1</v>
      </c>
      <c r="GW525" s="674">
        <f>IF(__Retrofit_TI_NC&gt;0,1,IF(T526="",0,1))</f>
        <v>0</v>
      </c>
      <c r="GX525" s="674">
        <f>IF(__Retrofit_TI_NC&gt;0,1,IF(U526="",0,1))</f>
        <v>0</v>
      </c>
      <c r="GY525" s="674">
        <f>IF(N528="BAM",1,IF(T527="",0,1))</f>
        <v>0</v>
      </c>
      <c r="GZ525" s="674">
        <f>IF(N528="BAM",1,IF(U527="",0,1))</f>
        <v>0</v>
      </c>
      <c r="HA525" s="674">
        <f ca="1">IF(N528="BAM",1,IF(__Retrofit_TI_NC&gt;0,1,IF(U528="",0,1)))</f>
        <v>0</v>
      </c>
      <c r="HB525" s="674">
        <f>IF(__Retrofit_TI_NC&lt;&gt;0,1,IF(AF526="",0,1))</f>
        <v>0</v>
      </c>
      <c r="HC525" s="674">
        <f>IF(__Retrofit_TI_NC&lt;&gt;0,1,IF(AG526="",0,1))</f>
        <v>0</v>
      </c>
      <c r="HD525" s="674">
        <f>IF(N528="BAM",1,IF(AF527="",0,1))</f>
        <v>0</v>
      </c>
      <c r="HE525" s="674">
        <f>IF(N528="BAM",1,IF(AG527="",0,1))</f>
        <v>0</v>
      </c>
      <c r="HF525" s="674">
        <f>IF(N528="BAM",1,IF(__Retrofit_TI_NC&gt;0,1,IF(AG528="",0,1)))</f>
        <v>0</v>
      </c>
      <c r="HG525" s="391"/>
      <c r="IA525" s="391"/>
      <c r="IB525" s="1693" t="b">
        <f>IF(OR(IB528=0,IB528=HY$16,IB528=HX$16,IB528=HZ$16),TRUE,FALSE)</f>
        <v>0</v>
      </c>
      <c r="IC525" s="1694" t="b">
        <f>IB525</f>
        <v>0</v>
      </c>
      <c r="ID525" s="391"/>
      <c r="IE525" s="391"/>
      <c r="IF525" s="1688" t="b">
        <f ca="1">IF(MAX(GN528:HU528)&gt;5,FALSE,TRUE)</f>
        <v>0</v>
      </c>
      <c r="IG525" s="1689">
        <f ca="1">IF(IF525=TRUE,AC525,0)</f>
        <v>0</v>
      </c>
      <c r="IH525" s="1689">
        <f ca="1">IG525-IG527</f>
        <v>0</v>
      </c>
      <c r="IK525" s="1689" t="e">
        <f>ROUND(T526*VLOOKUP(U526,Fixtures_Existing_List,2,FALSE)*N526*R526/1000,0)</f>
        <v>#N/A</v>
      </c>
      <c r="IL525" s="1690" t="e">
        <f>IK525-IK527</f>
        <v>#N/A</v>
      </c>
      <c r="IM525" s="1693" t="e">
        <f>ROUND(IF(CQ525="Interior",N527*R527*R526*N526*_C406_reduction/1000,N527*R527*R526*N526/1000),0)</f>
        <v>#N/A</v>
      </c>
      <c r="IN525" s="1693" t="e">
        <f>IM525-IM527</f>
        <v>#N/A</v>
      </c>
      <c r="IP525" s="1679"/>
      <c r="IQ525" s="1679" t="e">
        <f t="shared" ref="IQ525:IU525" si="476">IF($CR525="interior",VLOOKUP($CS525,_New_Control_Savings_Interior,IQ$30,FALSE),VLOOKUP($CS525,Control_Savings_Exterior,IQ$30,FALSE))</f>
        <v>#N/A</v>
      </c>
      <c r="IR525" s="1679" t="e">
        <f t="shared" si="476"/>
        <v>#N/A</v>
      </c>
      <c r="IS525" s="1679" t="e">
        <f t="shared" si="476"/>
        <v>#N/A</v>
      </c>
      <c r="IT525" s="1679" t="e">
        <f t="shared" si="476"/>
        <v>#N/A</v>
      </c>
      <c r="IU525" s="1679" t="e">
        <f t="shared" si="476"/>
        <v>#N/A</v>
      </c>
      <c r="IV525" s="1679" t="e">
        <f>IF($CR525="interior",IF(R526&gt;$IP$14,ROUND(($IV$18*($IP$14/R526)),2),$IV$18),VLOOKUP($CS525,Control_Savings_Exterior,IV$30,FALSE))</f>
        <v>#N/A</v>
      </c>
      <c r="IW525" s="1679" t="e">
        <f>IF($CR525="interior",ROUND(((1-IS525)*IV525)+IS525,2),VLOOKUP($CS525,Control_Savings_Exterior,IW$30,FALSE))</f>
        <v>#N/A</v>
      </c>
      <c r="IX525" s="1679" t="e">
        <f>IF($CR525="interior",ROUND(((1-IT525)*IV525)+IT525,2),VLOOKUP($CS525,Control_Savings_Exterior,IX$30,FALSE))</f>
        <v>#N/A</v>
      </c>
      <c r="IY525" s="1679" t="e">
        <f>IF($CR525="interior",IF(R526&gt;$IP$14,ROUND(($IY$18*($IP$14/R526)),2),$IY$18),VLOOKUP($CS525,Control_Savings_Exterior,IY$30,FALSE))</f>
        <v>#N/A</v>
      </c>
      <c r="IZ525" s="1679" t="e">
        <f>IF($CR525="interior",ROUND(((1-IS525)*IY525)+IS525,2),VLOOKUP($CS525,Control_Savings_Exterior,IZ$30,FALSE))</f>
        <v>#N/A</v>
      </c>
      <c r="JA525" s="1679" t="e">
        <f>IF($CR525="interior",ROUND(((1-IT525)*IY525)+IT525,2),VLOOKUP($CS525,Control_Savings_Exterior,JA$30,FALSE))</f>
        <v>#N/A</v>
      </c>
      <c r="JC525" s="1680">
        <f>IFERROR(IF(CR525="Interior",CONCATENATE(G528," ",FQ525),FQ525),"")</f>
        <v>0</v>
      </c>
      <c r="JD525" s="1670" t="str">
        <f>IFERROR(VLOOKUP(JC525,_Controls_2023,2,FALSE),"")</f>
        <v/>
      </c>
      <c r="JE525" s="1681">
        <f>IFERROR(CHOOSE(JD525-1,IQ525,IR525,IS525,IT525,IU525,IV525,IW525,IX525,IY525,IZ525,JA525),0)</f>
        <v>0</v>
      </c>
      <c r="JG525" s="1680" t="str">
        <f>FE525</f>
        <v xml:space="preserve"> - 0</v>
      </c>
      <c r="JH525" s="1670" t="e">
        <f>$FO525</f>
        <v>#N/A</v>
      </c>
      <c r="JI525" s="1060"/>
      <c r="JJ525" s="1682" t="b">
        <f>IF($JG527=CONCATENATE("Interior - ",JJ$4),TRUE,FALSE)</f>
        <v>0</v>
      </c>
      <c r="JK525" s="1061"/>
      <c r="JL525" s="1682" t="b">
        <f>IF($JG527=CONCATENATE("Interior - ",JL$4),TRUE,FALSE)</f>
        <v>0</v>
      </c>
      <c r="JM525" s="1061"/>
      <c r="JN525" s="1682" t="b">
        <f>IF($JG527=CONCATENATE("Interior - ",JN$4),TRUE,FALSE)</f>
        <v>0</v>
      </c>
      <c r="JO525" s="1061"/>
      <c r="JP525" s="1682" t="b">
        <f>IF(__Retrofit_TI_NC&gt;0,FALSE,IF($JG527=CONCATENATE("Interior - ",JP$4),TRUE,FALSE))</f>
        <v>0</v>
      </c>
      <c r="JQ525" s="1061"/>
      <c r="JR525" s="1682" t="b">
        <f>IF(__Retrofit_TI_NC&gt;0,FALSE,IF($JG527=CONCATENATE("Interior - ",JR$4),TRUE,FALSE))</f>
        <v>0</v>
      </c>
      <c r="JS525" s="1061"/>
      <c r="JT525" s="1670" t="b">
        <f>IF(__Retrofit_TI_NC&gt;0,FALSE,IF($JG527=CONCATENATE("Interior - ",JT$4),TRUE,FALSE))</f>
        <v>0</v>
      </c>
      <c r="JU525" s="1061"/>
      <c r="JV525" s="1670" t="b">
        <f>IF(JC527="AELC on Existing",TRUE,FALSE)</f>
        <v>0</v>
      </c>
      <c r="JX525" s="1670" t="b">
        <f>IF(OR(JG527="Exterior - AELC Occupancy based",JG527="Exterior - AELC Time based"),TRUE,FALSE)</f>
        <v>0</v>
      </c>
      <c r="JZ525" s="1682" t="b">
        <f>IF($JG527=CONCATENATE("Exterior - ",JZ$4),TRUE,FALSE)</f>
        <v>0</v>
      </c>
      <c r="KB525" s="1670" t="b">
        <f>IF(__Retrofit_TI_NC&gt;0,FALSE,IF($JG527=CONCATENATE("Interior - ",KB$4),TRUE,FALSE))</f>
        <v>0</v>
      </c>
    </row>
    <row r="526" spans="1:288" s="78" customFormat="1" ht="14.95" customHeight="1" thickTop="1" thickBot="1">
      <c r="B526" s="1845"/>
      <c r="C526" s="1846"/>
      <c r="D526" s="1847"/>
      <c r="E526" s="1737" t="s">
        <v>297</v>
      </c>
      <c r="F526" s="1738"/>
      <c r="G526" s="1739"/>
      <c r="H526" s="1739"/>
      <c r="I526" s="1739"/>
      <c r="J526" s="1739"/>
      <c r="K526" s="1739"/>
      <c r="L526" s="1739"/>
      <c r="M526" s="461" t="e">
        <f>IF(__Retrofit_TI_NC&lt;&gt;0,IF(VLOOKUP(G527,'Space Table'!$B$3:$L$163,3,FALSE)&gt;0,1,0),IF(__Retrofit_TI_NC=VLOOKUP(G527,'Space Table'!$B$3:$L$163,3,FALSE),1,0))</f>
        <v>#N/A</v>
      </c>
      <c r="N526" s="461" t="str">
        <f>IFERROR(VLOOKUP(G526,_Lookup_Heat_Type_Table_New,2,FALSE),"")</f>
        <v/>
      </c>
      <c r="O526" s="461">
        <f>IF(__Retrofit_TI_NC=1,CONCATENATE("TI ",G526),IF(__Retrofit_TI_NC=2,CONCATENATE("NC ",G526),G526))</f>
        <v>0</v>
      </c>
      <c r="P526" s="1740" t="s">
        <v>435</v>
      </c>
      <c r="Q526" s="1740"/>
      <c r="R526" s="595"/>
      <c r="S526" s="1792"/>
      <c r="T526" s="597"/>
      <c r="U526" s="1765"/>
      <c r="V526" s="1766"/>
      <c r="W526" s="1766"/>
      <c r="X526" s="1766"/>
      <c r="Y526" s="1766"/>
      <c r="Z526" s="1766"/>
      <c r="AA526" s="1766"/>
      <c r="AB526" s="1766"/>
      <c r="AC526" s="1766"/>
      <c r="AD526" s="1767"/>
      <c r="AE526" s="1000"/>
      <c r="AF526" s="597"/>
      <c r="AG526" s="1723"/>
      <c r="AH526" s="1724"/>
      <c r="AI526" s="1724"/>
      <c r="AJ526" s="1724"/>
      <c r="AK526" s="1725"/>
      <c r="AL526" s="996"/>
      <c r="AM526" s="1747"/>
      <c r="AN526" s="1775"/>
      <c r="AO526" s="1777"/>
      <c r="AP526" s="1780"/>
      <c r="AQ526" s="1781"/>
      <c r="AR526" s="1795"/>
      <c r="AS526" s="1795"/>
      <c r="AT526" s="1796"/>
      <c r="AU526" s="1735"/>
      <c r="AV526" s="1752"/>
      <c r="AW526" s="1705"/>
      <c r="AX526" s="467"/>
      <c r="AY526" s="1749"/>
      <c r="AZ526" s="1749"/>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696"/>
      <c r="CQ526" s="1696"/>
      <c r="CR526" s="1809"/>
      <c r="CS526" s="1811"/>
      <c r="CU526" s="1688"/>
      <c r="CV526" s="1703"/>
      <c r="CW526" s="1703"/>
      <c r="CX526" s="1703"/>
      <c r="CY526" s="1815"/>
      <c r="CZ526" s="1711"/>
      <c r="DA526" s="1818"/>
      <c r="DB526" s="1820"/>
      <c r="DC526" s="1820"/>
      <c r="DD526" s="1820"/>
      <c r="DF526" s="1703"/>
      <c r="DG526" s="1831"/>
      <c r="DH526" s="1703"/>
      <c r="DI526" s="1838"/>
      <c r="DJ526" s="1711"/>
      <c r="DK526" s="1712"/>
      <c r="DM526" s="1718"/>
      <c r="DO526" s="1708"/>
      <c r="DQ526" s="1715"/>
      <c r="DR526" s="1720"/>
      <c r="DS526" s="1816"/>
      <c r="DT526" s="1714"/>
      <c r="DU526" s="1715"/>
      <c r="DV526" s="1716"/>
      <c r="DX526" s="1715"/>
      <c r="DY526" s="1720"/>
      <c r="DZ526" s="1715"/>
      <c r="EA526" s="1715"/>
      <c r="EC526" s="1834"/>
      <c r="ED526" s="1834"/>
      <c r="EF526" s="1707"/>
      <c r="EG526" s="1712"/>
      <c r="EH526" s="1818"/>
      <c r="EI526" s="1712"/>
      <c r="EJ526" s="1712"/>
      <c r="EK526" s="1836"/>
      <c r="EL526" s="1836"/>
      <c r="EM526" s="1807"/>
      <c r="EN526" s="1839"/>
      <c r="EO526" s="1839"/>
      <c r="EP526" s="1817"/>
      <c r="EQ526" s="1817"/>
      <c r="ER526" s="1807"/>
      <c r="ES526" s="1807"/>
      <c r="ET526" s="1807"/>
      <c r="EV526" s="1715"/>
      <c r="EX526" s="1805"/>
      <c r="EY526" s="1805"/>
      <c r="EZ526" s="1805"/>
      <c r="FA526" s="1805"/>
      <c r="FB526" s="1805"/>
      <c r="FC526" s="1827"/>
      <c r="FE526" s="1698"/>
      <c r="FG526" s="1816"/>
      <c r="FH526" s="1816"/>
      <c r="FI526" s="133"/>
      <c r="FL526" s="1823"/>
      <c r="FM526" s="1825"/>
      <c r="FN526" s="1698"/>
      <c r="FO526" s="1698"/>
      <c r="FP526" s="1678"/>
      <c r="FQ526" s="1678"/>
      <c r="FS526" s="1687"/>
      <c r="FT526" s="1687"/>
      <c r="FU526" s="1685"/>
      <c r="FV526" s="1687"/>
      <c r="FW526" s="1687"/>
      <c r="FX526" s="1687"/>
      <c r="FY526" s="1697"/>
      <c r="GA526" s="1696"/>
      <c r="GB526" s="1696"/>
      <c r="GC526" s="1696"/>
      <c r="GD526" s="1696"/>
      <c r="GE526" s="1696"/>
      <c r="GF526" s="1696"/>
      <c r="GG526" s="1696"/>
      <c r="GH526" s="1696"/>
      <c r="GI526" s="673"/>
      <c r="GJ526" s="1135"/>
      <c r="GK526" s="1832"/>
      <c r="GM526" s="1693" t="b">
        <f ca="1">IF(AND(GP526=TRUE,GQ526=TRUE),TRUE,FALSE)</f>
        <v>0</v>
      </c>
      <c r="GN526" s="1684" t="b">
        <f>IFERROR(IF(__Retrofit_TI_NC=2,TRUE,IF(AU525="Yes",TRUE,FALSE)),FALSE)</f>
        <v>1</v>
      </c>
      <c r="GP526" s="1684" t="b">
        <f>IFERROR(IF(GP525=1,TRUE,FALSE),FALSE)</f>
        <v>0</v>
      </c>
      <c r="GQ526" s="1684" t="b">
        <f ca="1">IFERROR(IF(GQ525=GQ$14,TRUE,FALSE),FALSE)</f>
        <v>0</v>
      </c>
      <c r="HG526" s="1684" t="b">
        <f>IFERROR(IF(AND(__Retrofit_TI_NC&gt;0,CQ525="Interior"),FALSE,TRUE),FALSE)</f>
        <v>1</v>
      </c>
      <c r="HH526" s="1684" t="b">
        <f>IFERROR(IF(M526=1,TRUE,FALSE),FALSE)</f>
        <v>0</v>
      </c>
      <c r="HI526" s="1684" t="b">
        <f>IFERROR(IF(OR(M527=1,N528="BAM"),TRUE,FALSE),FALSE)</f>
        <v>0</v>
      </c>
      <c r="HJ526" s="1684" t="b">
        <f>IFERROR(IF(__Retrofit_TI_NC&lt;&gt;0,TRUE,IFERROR(IF(VLOOKUP(U526,Fixtures_Existing_List,2,FALSE)&lt;&gt;"",TRUE,FALSE),FALSE)),FALSE)</f>
        <v>0</v>
      </c>
      <c r="HK526" s="1684" t="b">
        <f>IFERROR(IF(VLOOKUP(U527,Fixtures_Proposed_List,2,FALSE)&lt;&gt;"",TRUE,FALSE),FALSE)</f>
        <v>0</v>
      </c>
      <c r="HL526" s="1684" t="b">
        <f>IF(AND(__Retrofit_TI_NC=2,FC525=TRUE),FALSE,TRUE)</f>
        <v>1</v>
      </c>
      <c r="HM526" s="1684" t="b">
        <f>GK525</f>
        <v>1</v>
      </c>
      <c r="HN526" s="1682" t="b">
        <f>IF(ISERROR(MATCH(FE525,_Control_Match[],0))=TRUE,FALSE,TRUE)</f>
        <v>0</v>
      </c>
      <c r="HO526" s="1693" t="b">
        <f>IFERROR(IF(EX525&lt;&gt;EY525,FALSE,TRUE),FALSE)</f>
        <v>1</v>
      </c>
      <c r="HP526" s="1693" t="b">
        <f>IFERROR(IF(EX527&lt;&gt;EY527,FALSE,TRUE),FALSE)</f>
        <v>1</v>
      </c>
      <c r="HQ526" s="1670" t="b">
        <f>IFERROR(IF(CQ525="Exterior",TRUE,IF(AND(OR(FM527=0,FM527=3),JD527&gt;6),FALSE,TRUE)),FALSE)</f>
        <v>0</v>
      </c>
      <c r="HR526" s="1684" t="b">
        <f>IFERROR(IF(AND(FO527=7,FC525=TRUE),FALSE,TRUE),FALSE)</f>
        <v>0</v>
      </c>
      <c r="HS526" s="1684" t="b">
        <f>IFERROR(IF(AND(T527&lt;&gt;AF527,OR(AG527="Interior LLLC", AG527="Interior NLC", AG527="LLLC (outside Daylight)",AG527="LLLC Controls Only"))=TRUE,FALSE,TRUE),FALSE)</f>
        <v>1</v>
      </c>
      <c r="HT526" s="1670" t="b">
        <f>IFERROR(IF(OR(AG527=Lookup!BB$17,AG527=Lookup!BB$18,AG527=Lookup!BB$19)=TRUE,IF(AF527&gt;T527,FALSE,TRUE),TRUE),FALSE)</f>
        <v>1</v>
      </c>
      <c r="HU526" s="1684" t="b">
        <f>IFERROR(IF(__Retrofit_TI_NC=2,IF(EZ527&lt;EZ525,FALSE,TRUE),TRUE),FALSE)</f>
        <v>1</v>
      </c>
      <c r="HV526" s="1684" t="b">
        <f>IF(CQ525="Interior",IL$6,TRUE)</f>
        <v>1</v>
      </c>
      <c r="HW526" s="1684" t="b">
        <f>IF(CQ525="Exterior",IL$8,TRUE)</f>
        <v>1</v>
      </c>
      <c r="HX526" s="1684" t="b">
        <f>IFERROR(IF(__Retrofit_TI_NC&lt;&gt;0,IF(AZ525&lt;AY525,FALSE,TRUE),TRUE),FALSE)</f>
        <v>1</v>
      </c>
      <c r="HY526" s="1684" t="b">
        <f>IFERROR(IF(AND(G526="Exterior",R526&gt;4200),FALSE,TRUE),FALSE)</f>
        <v>1</v>
      </c>
      <c r="HZ526" s="1684" t="b">
        <f>IFERROR(IF(AB528/AB525&lt;HZ$18,FALSE,TRUE),FALSE)</f>
        <v>0</v>
      </c>
      <c r="IB526" s="1691"/>
      <c r="IC526" s="1695"/>
      <c r="ID526" s="1694" t="str">
        <f>VLOOKUP(IB528,_Error_Table,4,FALSE)</f>
        <v>White</v>
      </c>
      <c r="IE526" s="391"/>
      <c r="IF526" s="1688"/>
      <c r="IG526" s="1689"/>
      <c r="IH526" s="1684"/>
      <c r="IK526" s="1689"/>
      <c r="IL526" s="1691"/>
      <c r="IM526" s="1691"/>
      <c r="IN526" s="1691"/>
      <c r="IP526" s="1679"/>
      <c r="IQ526" s="1679"/>
      <c r="IR526" s="1679"/>
      <c r="IS526" s="1679"/>
      <c r="IT526" s="1679"/>
      <c r="IU526" s="1679"/>
      <c r="IV526" s="1679"/>
      <c r="IW526" s="1679"/>
      <c r="IX526" s="1679"/>
      <c r="IY526" s="1679"/>
      <c r="IZ526" s="1679"/>
      <c r="JA526" s="1679"/>
      <c r="JC526" s="1680"/>
      <c r="JD526" s="1670"/>
      <c r="JE526" s="1681"/>
      <c r="JG526" s="1680"/>
      <c r="JH526" s="1670"/>
      <c r="JI526" s="1060"/>
      <c r="JJ526" s="1683"/>
      <c r="JK526" s="1061"/>
      <c r="JL526" s="1683"/>
      <c r="JM526" s="1061"/>
      <c r="JN526" s="1683"/>
      <c r="JO526" s="1061"/>
      <c r="JP526" s="1683"/>
      <c r="JQ526" s="1061"/>
      <c r="JR526" s="1683"/>
      <c r="JS526" s="1061"/>
      <c r="JT526" s="1670"/>
      <c r="JU526" s="1061"/>
      <c r="JV526" s="1670"/>
      <c r="JX526" s="1670"/>
      <c r="JZ526" s="1683"/>
      <c r="KB526" s="1670"/>
    </row>
    <row r="527" spans="1:288" s="78" customFormat="1" ht="14.95" customHeight="1" thickTop="1" thickBot="1">
      <c r="A527" s="78">
        <f>ROW()</f>
        <v>527</v>
      </c>
      <c r="B527" s="1845"/>
      <c r="C527" s="1846"/>
      <c r="D527" s="1847"/>
      <c r="E527" s="1737" t="s">
        <v>298</v>
      </c>
      <c r="F527" s="1738"/>
      <c r="G527" s="1760"/>
      <c r="H527" s="1761"/>
      <c r="I527" s="1761"/>
      <c r="J527" s="1761"/>
      <c r="K527" s="1761"/>
      <c r="L527" s="1762"/>
      <c r="M527" s="461">
        <f>IFERROR(IF(IF(__Retrofit_TI_NC&lt;&gt;0,IF(CQ525="Interior",MATCH(G527,Lookup_Interior_New,0),MATCH(G527,Lookup_Exterior_New,0)),IF(CQ525="Interior",MATCH(G527,Lookup_Interior,0),MATCH(G527,Lookup_Exterior_Areas,0)))&gt;0,1,0),0)</f>
        <v>0</v>
      </c>
      <c r="N527" s="461" t="e">
        <f>IF(__Retrofit_TI_NC=1,
VLOOKUP(G527,'Space Table'!$B$3:$L$163,4,FALSE),
IF(__Retrofit_TI_NC=2,VLOOKUP(G527,'Space Table'!$B$3:$L$163,5,FALSE),VLOOKUP(G527,'Space Table'!$B$3:$L$163,5,FALSE)))</f>
        <v>#N/A</v>
      </c>
      <c r="O527" s="461">
        <f>G527</f>
        <v>0</v>
      </c>
      <c r="P527" s="1738" t="str">
        <f>IFERROR(IF(__Retrofit_TI_NC=1,VLOOKUP(G527,'Space Table'!$B$3:$O$163,13,FALSE),IF(__Retrofit_TI_NC=2,VLOOKUP(G527,'Space Table'!$B$3:$O$163,14,FALSE),"Area (sf):")),"Area (sf):")</f>
        <v>Area (sf):</v>
      </c>
      <c r="Q527" s="1738"/>
      <c r="R527" s="596"/>
      <c r="S527" s="1763" t="s">
        <v>345</v>
      </c>
      <c r="T527" s="594"/>
      <c r="U527" s="1801"/>
      <c r="V527" s="1802"/>
      <c r="W527" s="1802"/>
      <c r="X527" s="1802"/>
      <c r="Y527" s="1802"/>
      <c r="Z527" s="1802"/>
      <c r="AA527" s="1802"/>
      <c r="AB527" s="1802"/>
      <c r="AC527" s="1802"/>
      <c r="AD527" s="1802"/>
      <c r="AE527" s="1803"/>
      <c r="AF527" s="594"/>
      <c r="AG527" s="1787"/>
      <c r="AH527" s="1787"/>
      <c r="AI527" s="1787"/>
      <c r="AJ527" s="1787"/>
      <c r="AK527" s="1787"/>
      <c r="AL527" s="1787"/>
      <c r="AM527" s="1726">
        <f>IFERROR(DI527,"")</f>
        <v>0</v>
      </c>
      <c r="AN527" s="1728" t="str">
        <f>IFERROR(ROUND(AM527*AC528,0),"")</f>
        <v/>
      </c>
      <c r="AO527" s="1730">
        <f>IFERROR(IF(IB525=FALSE,0,AC528-AN527),0)</f>
        <v>0</v>
      </c>
      <c r="AP527" s="1780"/>
      <c r="AQ527" s="1781"/>
      <c r="AR527" s="1795"/>
      <c r="AS527" s="1795"/>
      <c r="AT527" s="1796"/>
      <c r="AU527" s="1735"/>
      <c r="AV527" s="1752"/>
      <c r="AW527" s="1705"/>
      <c r="AX527" s="467"/>
      <c r="AY527" s="1749"/>
      <c r="AZ527" s="1749"/>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696"/>
      <c r="CQ527" s="1696"/>
      <c r="CR527" s="1808" t="str">
        <f>CQ525</f>
        <v/>
      </c>
      <c r="CS527" s="1810" t="str">
        <f>CS525</f>
        <v/>
      </c>
      <c r="CU527" s="1688" t="s">
        <v>345</v>
      </c>
      <c r="CV527" s="1702">
        <f>IF(IB525=TRUE,T527,0)</f>
        <v>0</v>
      </c>
      <c r="CW527" s="1702" t="str">
        <f>IF(IB525=TRUE,U527,"")</f>
        <v/>
      </c>
      <c r="CX527" s="1812">
        <f>IF(IB525=TRUE,U528,0)</f>
        <v>0</v>
      </c>
      <c r="CY527" s="1814">
        <f>IF(IB525=TRUE,AB528,0)</f>
        <v>0</v>
      </c>
      <c r="CZ527" s="1710">
        <f>IF(AND(__Retrofit_TI_NC&gt;0,CR525="interior"),0,IF(IB525=TRUE,AC528,0))</f>
        <v>0</v>
      </c>
      <c r="DA527" s="1818"/>
      <c r="DB527" s="1820"/>
      <c r="DC527" s="1820"/>
      <c r="DD527" s="1820"/>
      <c r="DF527" s="1702">
        <f>IF(IB525=TRUE,AF527,0)</f>
        <v>0</v>
      </c>
      <c r="DG527" s="1830" t="str">
        <f>IF(IB525=TRUE,AG527,"")</f>
        <v/>
      </c>
      <c r="DH527" s="1812">
        <f>AG528</f>
        <v>0</v>
      </c>
      <c r="DI527" s="1837">
        <f>JE527</f>
        <v>0</v>
      </c>
      <c r="DJ527" s="1710">
        <f>IF(AND(__Retrofit_TI_NC&gt;0,CR525="interior"),0,IF(IB525=TRUE,AN527,0))</f>
        <v>0</v>
      </c>
      <c r="DK527" s="1712"/>
      <c r="DN527" s="1717">
        <f>IFERROR(CZ527-DJ527,0)</f>
        <v>0</v>
      </c>
      <c r="DO527" s="1709"/>
      <c r="DQ527" s="1715"/>
      <c r="DR527" s="1719" t="str">
        <f>DQ525</f>
        <v/>
      </c>
      <c r="DS527" s="1816"/>
      <c r="DT527" s="1835" t="str">
        <f>IF(OR(DS525=7,DS525=8,DS525=9),"ALC","")</f>
        <v/>
      </c>
      <c r="DU527" s="1715"/>
      <c r="DV527" s="1716"/>
      <c r="DX527" s="1715"/>
      <c r="DY527" s="1829" t="str">
        <f>DX525</f>
        <v/>
      </c>
      <c r="DZ527" s="1715"/>
      <c r="EA527" s="1715"/>
      <c r="EC527" s="1834"/>
      <c r="ED527" s="1834"/>
      <c r="EF527" s="1707"/>
      <c r="EG527" s="1712"/>
      <c r="EH527" s="1818"/>
      <c r="EI527" s="1712"/>
      <c r="EJ527" s="1712"/>
      <c r="EK527" s="1836"/>
      <c r="EL527" s="1836"/>
      <c r="EM527" s="1807"/>
      <c r="EN527" s="1839"/>
      <c r="EO527" s="1839"/>
      <c r="EP527" s="1817"/>
      <c r="EQ527" s="1817"/>
      <c r="ER527" s="1807"/>
      <c r="ES527" s="1807"/>
      <c r="ET527" s="1807"/>
      <c r="EV527" s="1715"/>
      <c r="EX527" s="1805" t="str">
        <f>IFERROR(VLOOKUP(CS527,'Space Table'!$B$3:$L$163,8,FALSE),"")</f>
        <v/>
      </c>
      <c r="EY527" s="1805" t="str">
        <f>IFERROR(IF(FB527="Yes",VLOOKUP(AG527,Lookup_Control_Type_Table2,4,FALSE),VLOOKUP(AG527,Lookup_Control_Type_Table2,3,FALSE)),"")</f>
        <v/>
      </c>
      <c r="EZ527" s="1805" t="e">
        <f>VLOOKUP(AG527,Lookup!BB$3:BC$20,2,FALSE)</f>
        <v>#N/A</v>
      </c>
      <c r="FA527" s="1805" t="e">
        <f>VLOOKUP(EX525,Lookup_Control_Type_Table,2,FALSE)</f>
        <v>#N/A</v>
      </c>
      <c r="FB527" s="1805" t="e">
        <f>VLOOKUP(CS527,'Space Table'!$B$3:$L$163,7,FALSE)</f>
        <v>#N/A</v>
      </c>
      <c r="FC527" s="1827"/>
      <c r="FE527" s="1698" t="str">
        <f>CONCATENATE(CQ525," - ",AG527)</f>
        <v xml:space="preserve"> - </v>
      </c>
      <c r="FG527" s="1816"/>
      <c r="FH527" s="1816"/>
      <c r="FI527" s="133"/>
      <c r="FL527" s="1822" t="str">
        <f>IF(CQ525="Exterior","Not Daylighted",G528)</f>
        <v>Not Daylighted</v>
      </c>
      <c r="FM527" s="1824">
        <f>VLOOKUP(FL527,_New_Daylight_Table_Codes,2,FALSE)</f>
        <v>0</v>
      </c>
      <c r="FN527" s="1698">
        <f>AG527</f>
        <v>0</v>
      </c>
      <c r="FO527" s="1698" t="e">
        <f>VLOOKUP(FN527,_Control_Table,2,FALSE)</f>
        <v>#N/A</v>
      </c>
      <c r="FP527" s="1678" t="e">
        <f>VLOOKUP(CONCATENATE(FL527," ",FN527),Lookup!AY$102:AZ538,2,FALSE)</f>
        <v>#N/A</v>
      </c>
      <c r="FQ527" s="1698">
        <f>IF(__Retrofit_TI_NC=0,FN527,IF(AND(FT527&gt;0,FN527="Occupancy Sensor"),"Daylight + Occupancy",IF(AND(FT527&gt;0,FO527&lt;4),"Interior Daylight Dimming",FN527)))</f>
        <v>0</v>
      </c>
      <c r="FS527" s="1686">
        <f>IF(CQ525="Interior",VLOOKUP(CS525,Control_Savings_Interior,5,FALSE),0)</f>
        <v>0</v>
      </c>
      <c r="FT527" s="1687">
        <f>IF(CQ527="Exterior",0,IF(FM527=2,0.5,IF(OR(FM527=1,FM527=3),1,0)))</f>
        <v>0</v>
      </c>
      <c r="FU527" s="1685">
        <f>IF(R526&gt;FS$44,(FS527*(FS$44/R526)),FS527)*FT527</f>
        <v>0</v>
      </c>
      <c r="FV527" s="1686">
        <f>DI527</f>
        <v>0</v>
      </c>
      <c r="FW527" s="1686">
        <f>ROUND(FV527+((1-FV527)*FU527),2)</f>
        <v>0</v>
      </c>
      <c r="FX527" s="1686">
        <f>IF(__Retrofit_TI_NC=2,FW527,FV527)</f>
        <v>0</v>
      </c>
      <c r="FY527" s="1697">
        <f>IF(CR527="Interior",VLOOKUP(CS527,Control_Savings_Interior,4,FALSE),0)</f>
        <v>0</v>
      </c>
      <c r="GA527" s="1696"/>
      <c r="GB527" s="1696"/>
      <c r="GC527" s="1696"/>
      <c r="GD527" s="1696"/>
      <c r="GE527" s="1696"/>
      <c r="GF527" s="1696"/>
      <c r="GG527" s="1696"/>
      <c r="GH527" s="1696"/>
      <c r="GI527" s="673" t="b">
        <f>IF(ISNUMBER(SEARCH("TLED",U527)),TRUE,FALSE)</f>
        <v>0</v>
      </c>
      <c r="GJ527" s="1135" t="str">
        <f>IFERROR(VLOOKUP(U527,Fixtures!DM$93:DR$142,6,FALSE),"")</f>
        <v/>
      </c>
      <c r="GK527" s="1832"/>
      <c r="GM527" s="1692"/>
      <c r="GN527" s="1684"/>
      <c r="GP527" s="1684"/>
      <c r="GQ527" s="1684"/>
      <c r="HG527" s="1684"/>
      <c r="HH527" s="1684"/>
      <c r="HI527" s="1684"/>
      <c r="HJ527" s="1684"/>
      <c r="HK527" s="1684"/>
      <c r="HL527" s="1684"/>
      <c r="HM527" s="1684"/>
      <c r="HN527" s="1683"/>
      <c r="HO527" s="1692"/>
      <c r="HP527" s="1692"/>
      <c r="HQ527" s="1670"/>
      <c r="HR527" s="1684"/>
      <c r="HS527" s="1684"/>
      <c r="HT527" s="1670"/>
      <c r="HU527" s="1684"/>
      <c r="HV527" s="1684"/>
      <c r="HW527" s="1684"/>
      <c r="HX527" s="1684"/>
      <c r="HY527" s="1684"/>
      <c r="HZ527" s="1684"/>
      <c r="IB527" s="1692"/>
      <c r="IC527" s="1693" t="b">
        <f>IB525</f>
        <v>0</v>
      </c>
      <c r="ID527" s="1695"/>
      <c r="IE527" s="391"/>
      <c r="IF527" s="1688"/>
      <c r="IG527" s="1689">
        <f ca="1">IF(IF525=TRUE,AC528,0)</f>
        <v>0</v>
      </c>
      <c r="IH527" s="1684"/>
      <c r="IK527" s="1689" t="e">
        <f>ROUND(T527*AB528*N526*R526/1000,0)</f>
        <v>#VALUE!</v>
      </c>
      <c r="IL527" s="1691"/>
      <c r="IM527" s="1693" t="e">
        <f>ROUND(T527*AB528*N526*R526/1000,0)</f>
        <v>#VALUE!</v>
      </c>
      <c r="IN527" s="1691"/>
      <c r="IP527" s="1679"/>
      <c r="IQ527" s="1679" t="e">
        <f t="shared" ref="IQ527:IU527" si="477">IF($CR527="interior",VLOOKUP($CS527,_New_Control_Savings_Interior,IQ$30,FALSE),VLOOKUP($CS527,Control_Savings_Exterior,IQ$30,FALSE))</f>
        <v>#N/A</v>
      </c>
      <c r="IR527" s="1679" t="e">
        <f t="shared" si="477"/>
        <v>#N/A</v>
      </c>
      <c r="IS527" s="1679" t="e">
        <f t="shared" si="477"/>
        <v>#N/A</v>
      </c>
      <c r="IT527" s="1679" t="e">
        <f t="shared" si="477"/>
        <v>#N/A</v>
      </c>
      <c r="IU527" s="1679" t="e">
        <f t="shared" si="477"/>
        <v>#N/A</v>
      </c>
      <c r="IV527" s="1679" t="e">
        <f>IF($CR527="interior",IF(R526&gt;$IP$14,ROUND(($IV$18*($IP$14/R526)),2),$IV$18),VLOOKUP($CS527,Control_Savings_Exterior,IV$30,FALSE))</f>
        <v>#N/A</v>
      </c>
      <c r="IW527" s="1679" t="e">
        <f>IF($CR527="interior",ROUND(((1-IS527)*IV527)+IS527,2),VLOOKUP($CS527,Control_Savings_Exterior,IW$30,FALSE))</f>
        <v>#N/A</v>
      </c>
      <c r="IX527" s="1679" t="e">
        <f>IF($CR527="interior",ROUND(((1-IT527)*IV527)+IT527,2),VLOOKUP($CS527,Control_Savings_Exterior,IX$30,FALSE))</f>
        <v>#N/A</v>
      </c>
      <c r="IY527" s="1679" t="e">
        <f>IF($CR527="interior",IF(R526&gt;$IP$14,ROUND(($IY$18*($IP$14/R526)),2),$IY$18),VLOOKUP($CS527,Control_Savings_Exterior,IY$30,FALSE))</f>
        <v>#N/A</v>
      </c>
      <c r="IZ527" s="1679" t="e">
        <f>IF($CR527="interior",ROUND(((1-IS527)*IY527)+IS527,2),VLOOKUP($CS527,Control_Savings_Exterior,IZ$30,FALSE))</f>
        <v>#N/A</v>
      </c>
      <c r="JA527" s="1679" t="e">
        <f>IF($CR527="interior",ROUND(((1-IT527)*IY527)+IT527,2),VLOOKUP($CS527,Control_Savings_Exterior,JA$30,FALSE))</f>
        <v>#N/A</v>
      </c>
      <c r="JC527" s="1680">
        <f>IFERROR(IF(CR527="Interior",CONCATENATE(G528," ",FQ527),AG527),"")</f>
        <v>0</v>
      </c>
      <c r="JD527" s="1670" t="str">
        <f>IFERROR(VLOOKUP(JC527,_Controls_2023,2,FALSE),"")</f>
        <v/>
      </c>
      <c r="JE527" s="1681">
        <f>IFERROR(CHOOSE(JD527-1,IQ527,IR527,IS527,IT527,IU527,IV527,IW527,IX527,IY527,IZ527,JA527),0)</f>
        <v>0</v>
      </c>
      <c r="JG527" s="1680" t="str">
        <f>FE527</f>
        <v xml:space="preserve"> - </v>
      </c>
      <c r="JH527" s="1670" t="e">
        <f>$FO527</f>
        <v>#N/A</v>
      </c>
      <c r="JI527" s="1060"/>
      <c r="JJ527" s="1670">
        <f>IFERROR(IF($IB525=TRUE,IF(OR(JJ$14="No",JJ525=FALSE,JH527&lt;=JH525,AND(_kWh_Grant=0,GD525=FALSE)),0,IF(JJ$8="Per Line",1,$AF527)),0),0)</f>
        <v>0</v>
      </c>
      <c r="JK527" s="1061"/>
      <c r="JL527" s="1670">
        <f>IFERROR(IF(_kWh_Grant=0,0,IF($IB525=TRUE,IF(OR(JL$14="No",JL525=FALSE,JH527&lt;=JH525),0,IF(JL$8="Per Line",1,$T527)),0)),0)</f>
        <v>0</v>
      </c>
      <c r="JM527" s="1061"/>
      <c r="JN527" s="1670">
        <f>IFERROR(IF(_kWh_Grant=0,0,IF($IB525=TRUE,IF(OR(JN$14="No",JN525=FALSE,JH527&lt;=JH525),0,IF(JN$8="Per Line",1,$AF527)),0)),0)</f>
        <v>0</v>
      </c>
      <c r="JO527" s="1061"/>
      <c r="JP527" s="1670">
        <f>IFERROR(IF(__Retrofit_TI_NC=0,IF(_kWh_Grant=0,0,IF($IB525=TRUE,IF(OR(JP$14="No",JP525=FALSE,$JH527&lt;=$JH525),0,IF(JP$8="Per Line",1,$AF527)),0)),IF($IB525=TRUE,IF(OR(JP$14="No",JP525=FALSE,$JH527&lt;=$JH525),0,IF(JP$8="Per Line",1,$AF527)))),0)</f>
        <v>0</v>
      </c>
      <c r="JQ527" s="1061"/>
      <c r="JR527" s="1670">
        <f>IFERROR(IF(__Retrofit_TI_NC=0,IF(_kWh_Grant=0,0,IF($IB525=TRUE,IF(OR(JR$14="No",JR525=FALSE,$JH527&lt;=$JH525),0,IF(JR$8="Per Line",1,$AF527)),0)),IF($IB525=TRUE,IF(OR(JR$14="No",JR525=FALSE,$JH527&lt;=$JH525),0,IF(JR$8="Per Line",1,$AF527)))),0)</f>
        <v>0</v>
      </c>
      <c r="JS527" s="1061"/>
      <c r="JT527" s="1670">
        <f>IFERROR(IF(__Retrofit_TI_NC=0,IF(_kWh_Grant=0,0,IF($IB525=TRUE,IF(OR(JT$14="No",JT525=FALSE,$JH527&lt;=$JH525),0,IF(JT$8="Per Line",1,$AF527)),0)),IF($IB525=TRUE,IF(OR(JT$14="No",JT525=FALSE,$JH527&lt;=$JH525),0,IF(JT$8="Per Line",1,$AF527)))),0)</f>
        <v>0</v>
      </c>
      <c r="JU527" s="1061"/>
      <c r="JV527" s="1670">
        <f>IFERROR(IF(__Retrofit_TI_NC=0,IF(_kWh_Grant=0,0,IF($IB525=TRUE,IF(OR(JV$14="No",JV525=FALSE,$JH527&lt;=$JH525),0,IF(JV$8="Per Line",1,$AF527)),0)),IF($IB525=TRUE,IF(OR(JV$14="No",JV525=FALSE,$JH527&lt;=$JH525),0,IF(JV$8="Per Line",1,$AF527)))),0)</f>
        <v>0</v>
      </c>
      <c r="JX527" s="1670">
        <f>IFERROR(IF(__Retrofit_TI_NC=0,IF(_kWh_Grant=0,0,IF($IB525=TRUE,IF(OR(JX$14="No",JX525=FALSE,$JH527&lt;=$JH525),0,IF(JX$8="Per Line",1,$AF527)),0)),IF($IB525=TRUE,IF(OR(JX$14="No",JX525=FALSE,$JH527&lt;=$JH525),0,IF(JX$8="Per Line",1,$AF527)))),0)</f>
        <v>0</v>
      </c>
      <c r="JZ527" s="1670">
        <f>IFERROR(IF($IB525=TRUE,IF(OR(JZ$14="No",JZ525=FALSE,$JH527&lt;=$JH525,AND(_kWh_Grant=0,$GD525=FALSE)),0,IF(JZ$8="Per Line",1,$AF527)),0),0)</f>
        <v>0</v>
      </c>
      <c r="KB527" s="1670">
        <f>IFERROR(IF(__Retrofit_TI_NC=0,IF(_kWh_Grant=0,0,IF($IB525=TRUE,IF(OR(KB$14="No",KB525=FALSE,$JH527&lt;=$JH525),0,IF(KB$8="Per Line",1,$AF527)),0)),IF($IB525=TRUE,IF(OR(KB$14="No",KB525=FALSE,$JH527&lt;=$JH525),0,IF(KB$8="Per Line",1,$AF527)))),0)</f>
        <v>0</v>
      </c>
    </row>
    <row r="528" spans="1:288" s="78" customFormat="1" ht="14.95" customHeight="1" thickTop="1" thickBot="1">
      <c r="B528" s="1845"/>
      <c r="C528" s="1846"/>
      <c r="D528" s="1847"/>
      <c r="E528" s="1771" t="s">
        <v>436</v>
      </c>
      <c r="F528" s="1772"/>
      <c r="G528" s="1784" t="s">
        <v>437</v>
      </c>
      <c r="H528" s="1785"/>
      <c r="I528" s="1785"/>
      <c r="J528" s="1785"/>
      <c r="K528" s="1785"/>
      <c r="L528" s="1786"/>
      <c r="M528" s="591">
        <f>IFERROR(VLOOKUP(G528,_Daylight_Table[],2,FALSE),0)</f>
        <v>0</v>
      </c>
      <c r="N528" s="592" t="str">
        <f>IF(AND(__Retrofit_TI_NC&gt;0,CQ525="Interior"),"BAM","")</f>
        <v/>
      </c>
      <c r="O528" s="591" t="e">
        <f>VLOOKUP(G527,'Space Table'!$B$3:$L$163,11,FALSE)</f>
        <v>#N/A</v>
      </c>
      <c r="P528" s="1789"/>
      <c r="Q528" s="1790"/>
      <c r="R528" s="1790"/>
      <c r="S528" s="1788"/>
      <c r="T528" s="593" t="s">
        <v>342</v>
      </c>
      <c r="U528" s="1756" t="str" cm="1">
        <f t="array" aca="1" ref="U528" ca="1">IFERROR(VLOOKUP(INDIRECT("U" &amp; ROW()-1),Fixtures!DM$93:DP$142,4,FALSE),"")</f>
        <v/>
      </c>
      <c r="V528" s="1757"/>
      <c r="W528" s="1757"/>
      <c r="X528" s="1757"/>
      <c r="Y528" s="1757"/>
      <c r="Z528" s="1757"/>
      <c r="AA528" s="1758"/>
      <c r="AB528" s="939" t="str">
        <f>IFERROR(VLOOKUP(U527,Fixtures_Proposed_List,2,FALSE),"")</f>
        <v/>
      </c>
      <c r="AC528" s="933" t="str">
        <f>IFERROR(ROUND(T527*AB528*N526*R526/1000,0),"")</f>
        <v/>
      </c>
      <c r="AD528" s="934" t="str">
        <f>IFERROR(ROUND(T527*AB528/1000,2),"")</f>
        <v/>
      </c>
      <c r="AE528" s="998"/>
      <c r="AF528" s="938" t="s">
        <v>342</v>
      </c>
      <c r="AG528" s="1770"/>
      <c r="AH528" s="1770"/>
      <c r="AI528" s="1770"/>
      <c r="AJ528" s="1770"/>
      <c r="AK528" s="1770"/>
      <c r="AL528" s="1770"/>
      <c r="AM528" s="1727"/>
      <c r="AN528" s="1729"/>
      <c r="AO528" s="1731"/>
      <c r="AP528" s="1782"/>
      <c r="AQ528" s="1783"/>
      <c r="AR528" s="1797"/>
      <c r="AS528" s="1797"/>
      <c r="AT528" s="1798"/>
      <c r="AU528" s="1736"/>
      <c r="AV528" s="1753"/>
      <c r="AW528" s="1706"/>
      <c r="AX528" s="468"/>
      <c r="AY528" s="1750"/>
      <c r="AZ528" s="1750"/>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696"/>
      <c r="CQ528" s="1696"/>
      <c r="CR528" s="1809"/>
      <c r="CS528" s="1811"/>
      <c r="CU528" s="1688"/>
      <c r="CV528" s="1703"/>
      <c r="CW528" s="1703"/>
      <c r="CX528" s="1813"/>
      <c r="CY528" s="1815"/>
      <c r="CZ528" s="1711"/>
      <c r="DA528" s="1815"/>
      <c r="DB528" s="1821"/>
      <c r="DC528" s="1821"/>
      <c r="DD528" s="1821"/>
      <c r="DF528" s="1703"/>
      <c r="DG528" s="1831"/>
      <c r="DH528" s="1813"/>
      <c r="DI528" s="1838"/>
      <c r="DJ528" s="1711"/>
      <c r="DK528" s="1712"/>
      <c r="DN528" s="1718"/>
      <c r="DO528" s="1709"/>
      <c r="DQ528" s="1715"/>
      <c r="DR528" s="1720"/>
      <c r="DS528" s="1703"/>
      <c r="DT528" s="1714"/>
      <c r="DU528" s="1715"/>
      <c r="DV528" s="1716"/>
      <c r="DX528" s="1715"/>
      <c r="DY528" s="1720"/>
      <c r="DZ528" s="1715"/>
      <c r="EA528" s="1715"/>
      <c r="EC528" s="1834"/>
      <c r="ED528" s="1834"/>
      <c r="EF528" s="1707"/>
      <c r="EG528" s="1712"/>
      <c r="EH528" s="1815"/>
      <c r="EI528" s="1712"/>
      <c r="EJ528" s="1712"/>
      <c r="EK528" s="1813"/>
      <c r="EL528" s="1813"/>
      <c r="EM528" s="1807"/>
      <c r="EN528" s="1839"/>
      <c r="EO528" s="1839"/>
      <c r="EP528" s="1817"/>
      <c r="EQ528" s="1817"/>
      <c r="ER528" s="1807"/>
      <c r="ES528" s="1807"/>
      <c r="ET528" s="1807"/>
      <c r="EV528" s="1715"/>
      <c r="EX528" s="1806"/>
      <c r="EY528" s="1806"/>
      <c r="EZ528" s="1806"/>
      <c r="FA528" s="1806"/>
      <c r="FB528" s="1806"/>
      <c r="FC528" s="1828"/>
      <c r="FE528" s="1698"/>
      <c r="FG528" s="1703"/>
      <c r="FH528" s="1703"/>
      <c r="FI528" s="133"/>
      <c r="FL528" s="1823"/>
      <c r="FM528" s="1825"/>
      <c r="FN528" s="1698"/>
      <c r="FO528" s="1698"/>
      <c r="FP528" s="1678"/>
      <c r="FQ528" s="1698"/>
      <c r="FS528" s="1687"/>
      <c r="FT528" s="1687"/>
      <c r="FU528" s="1685"/>
      <c r="FV528" s="1687"/>
      <c r="FW528" s="1687"/>
      <c r="FX528" s="1687"/>
      <c r="FY528" s="1697"/>
      <c r="GA528" s="1696"/>
      <c r="GB528" s="1696"/>
      <c r="GC528" s="1696"/>
      <c r="GD528" s="1696"/>
      <c r="GE528" s="1696"/>
      <c r="GF528" s="1696"/>
      <c r="GG528" s="1696"/>
      <c r="GH528" s="1696"/>
      <c r="GI528" s="673"/>
      <c r="GJ528" s="1135"/>
      <c r="GK528" s="1832"/>
      <c r="GN528" s="674">
        <f>IF(GN526=TRUE,0,GN$16)</f>
        <v>0</v>
      </c>
      <c r="GP528" s="674">
        <f>IF(GP526=TRUE,0,GP$16)</f>
        <v>36</v>
      </c>
      <c r="GQ528" s="674">
        <f ca="1">IF(GQ526=TRUE,0,GQ$16)</f>
        <v>35</v>
      </c>
      <c r="GR528" s="391"/>
      <c r="GS528" s="391"/>
      <c r="GT528" s="391"/>
      <c r="GU528" s="391"/>
      <c r="GV528" s="391"/>
      <c r="HG528" s="674">
        <f>IF(HG526=TRUE,0,HG$16)</f>
        <v>0</v>
      </c>
      <c r="HH528" s="674">
        <f t="shared" ref="HH528:HM528" si="478">IF(HH526=TRUE,0,HH$16)</f>
        <v>19</v>
      </c>
      <c r="HI528" s="674">
        <f t="shared" si="478"/>
        <v>18</v>
      </c>
      <c r="HJ528" s="674">
        <f t="shared" si="478"/>
        <v>17</v>
      </c>
      <c r="HK528" s="674">
        <f t="shared" si="478"/>
        <v>16</v>
      </c>
      <c r="HL528" s="674">
        <f t="shared" si="478"/>
        <v>0</v>
      </c>
      <c r="HM528" s="674">
        <f t="shared" si="478"/>
        <v>0</v>
      </c>
      <c r="HN528" s="674">
        <f>IF(HN526=TRUE,0,HN$16)</f>
        <v>13</v>
      </c>
      <c r="HO528" s="674">
        <f t="shared" ref="HO528:HQ528" si="479">IF(HO526=TRUE,0,HO$16)</f>
        <v>0</v>
      </c>
      <c r="HP528" s="674">
        <f t="shared" si="479"/>
        <v>0</v>
      </c>
      <c r="HQ528" s="674">
        <f t="shared" si="479"/>
        <v>10</v>
      </c>
      <c r="HR528" s="674">
        <f>IF(HR526=TRUE,0,HR$16)</f>
        <v>9</v>
      </c>
      <c r="HS528" s="674">
        <f t="shared" ref="HS528:HW528" si="480">IF(HS526=TRUE,0,HS$16)</f>
        <v>0</v>
      </c>
      <c r="HT528" s="674">
        <f t="shared" si="480"/>
        <v>0</v>
      </c>
      <c r="HU528" s="674">
        <f t="shared" si="480"/>
        <v>0</v>
      </c>
      <c r="HV528" s="674">
        <f t="shared" si="480"/>
        <v>0</v>
      </c>
      <c r="HW528" s="674">
        <f t="shared" si="480"/>
        <v>0</v>
      </c>
      <c r="HX528" s="674">
        <f>IF(HX526=TRUE,0,HX$16)</f>
        <v>0</v>
      </c>
      <c r="HY528" s="674">
        <f>IF(HY526=TRUE,0,HY$16)</f>
        <v>0</v>
      </c>
      <c r="HZ528" s="674">
        <f>IF(HZ526=TRUE,0,HZ$16)</f>
        <v>1</v>
      </c>
      <c r="IB528" s="674">
        <f>IF(GP526=FALSE,GP528,IF(GQ526=FALSE,GQ528,MAX(GN528:HZ528)))</f>
        <v>36</v>
      </c>
      <c r="IC528" s="1692"/>
      <c r="ID528" s="205" t="str">
        <f>VLOOKUP(IB528,_Error_Table,3,FALSE)</f>
        <v xml:space="preserve"> </v>
      </c>
      <c r="IE528" s="205"/>
      <c r="IF528" s="1688"/>
      <c r="IG528" s="1689"/>
      <c r="IH528" s="1684"/>
      <c r="IK528" s="1689"/>
      <c r="IL528" s="1692"/>
      <c r="IM528" s="1692"/>
      <c r="IN528" s="1692"/>
      <c r="IP528" s="1679"/>
      <c r="IQ528" s="1679"/>
      <c r="IR528" s="1679"/>
      <c r="IS528" s="1679"/>
      <c r="IT528" s="1679"/>
      <c r="IU528" s="1679"/>
      <c r="IV528" s="1679"/>
      <c r="IW528" s="1679"/>
      <c r="IX528" s="1679"/>
      <c r="IY528" s="1679"/>
      <c r="IZ528" s="1679"/>
      <c r="JA528" s="1679"/>
      <c r="JC528" s="1680"/>
      <c r="JD528" s="1670"/>
      <c r="JE528" s="1681"/>
      <c r="JG528" s="1680"/>
      <c r="JH528" s="1670"/>
      <c r="JI528" s="1060"/>
      <c r="JJ528" s="1670"/>
      <c r="JK528" s="1061"/>
      <c r="JL528" s="1670"/>
      <c r="JM528" s="1061"/>
      <c r="JN528" s="1670"/>
      <c r="JO528" s="1061"/>
      <c r="JP528" s="1670"/>
      <c r="JQ528" s="1061"/>
      <c r="JR528" s="1670"/>
      <c r="JS528" s="1061"/>
      <c r="JT528" s="1670"/>
      <c r="JU528" s="1061"/>
      <c r="JV528" s="1670"/>
      <c r="JX528" s="1670"/>
      <c r="JZ528" s="1670"/>
      <c r="KB528" s="1670"/>
    </row>
    <row r="529" spans="1:288" s="78" customFormat="1" ht="5.0999999999999996" customHeight="1">
      <c r="B529" s="676"/>
      <c r="C529" s="392"/>
      <c r="D529" s="392"/>
      <c r="E529" s="1733"/>
      <c r="F529" s="1733"/>
      <c r="G529" s="1733"/>
      <c r="H529" s="1733"/>
      <c r="I529" s="1733"/>
      <c r="J529" s="1733"/>
      <c r="K529" s="1733"/>
      <c r="L529" s="1733"/>
      <c r="M529" s="1733"/>
      <c r="N529" s="1733"/>
      <c r="O529" s="1733"/>
      <c r="P529" s="1733"/>
      <c r="Q529" s="1733"/>
      <c r="R529" s="1733"/>
      <c r="S529" s="1733"/>
      <c r="T529" s="1733"/>
      <c r="U529" s="1733"/>
      <c r="V529" s="1733"/>
      <c r="W529" s="1733"/>
      <c r="X529" s="1733"/>
      <c r="Y529" s="1733"/>
      <c r="Z529" s="1733"/>
      <c r="AA529" s="1733"/>
      <c r="AB529" s="1733"/>
      <c r="AC529" s="1733"/>
      <c r="AD529" s="1733"/>
      <c r="AE529" s="1733"/>
      <c r="AF529" s="1733"/>
      <c r="AG529" s="1733"/>
      <c r="AH529" s="1733"/>
      <c r="AI529" s="1733"/>
      <c r="AJ529" s="1733"/>
      <c r="AK529" s="1733"/>
      <c r="AL529" s="1733"/>
      <c r="AM529" s="1733"/>
      <c r="AN529" s="1733"/>
      <c r="AO529" s="1733"/>
      <c r="AP529" s="1733"/>
      <c r="AQ529" s="1733"/>
      <c r="AR529" s="1733"/>
      <c r="AS529" s="1733"/>
      <c r="AT529" s="1733"/>
      <c r="AU529" s="1733"/>
      <c r="AV529" s="1733"/>
      <c r="AW529" s="1733"/>
      <c r="AX529" s="469"/>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663"/>
      <c r="CQ529" s="663"/>
      <c r="CR529" s="438"/>
      <c r="CS529" s="663"/>
      <c r="CV529" s="391"/>
      <c r="CW529" s="391"/>
      <c r="CX529" s="207"/>
      <c r="CY529" s="208"/>
      <c r="CZ529" s="208"/>
      <c r="DA529" s="208"/>
      <c r="DB529" s="209"/>
      <c r="DC529" s="209"/>
      <c r="DD529" s="209"/>
      <c r="DF529" s="664"/>
      <c r="DG529" s="665"/>
      <c r="DH529" s="666"/>
      <c r="DI529" s="667"/>
      <c r="DJ529" s="668"/>
      <c r="DK529" s="668"/>
      <c r="DN529" s="208"/>
      <c r="DO529" s="664"/>
      <c r="DQ529" s="664"/>
      <c r="DR529" s="669"/>
      <c r="DS529" s="391"/>
      <c r="DT529" s="664"/>
      <c r="DU529" s="664"/>
      <c r="DV529" s="664"/>
      <c r="DX529" s="664"/>
      <c r="DY529" s="664"/>
      <c r="DZ529" s="664"/>
      <c r="EA529" s="664"/>
      <c r="EC529" s="670"/>
      <c r="ED529" s="670"/>
      <c r="EF529" s="668"/>
      <c r="EG529" s="668"/>
      <c r="EH529" s="208"/>
      <c r="EI529" s="668"/>
      <c r="EJ529" s="668"/>
      <c r="EK529" s="207"/>
      <c r="EL529" s="207"/>
      <c r="EM529" s="666"/>
      <c r="EN529" s="671"/>
      <c r="EO529" s="671"/>
      <c r="EP529" s="672"/>
      <c r="EQ529" s="672"/>
      <c r="ER529" s="666"/>
      <c r="ES529" s="666"/>
      <c r="ET529" s="666"/>
      <c r="EV529" s="664"/>
      <c r="EX529" s="391"/>
      <c r="EY529" s="391"/>
      <c r="EZ529" s="391"/>
      <c r="FA529" s="391"/>
      <c r="FB529" s="391"/>
      <c r="FC529" s="391"/>
      <c r="FE529" s="569"/>
      <c r="FG529" s="391"/>
      <c r="FH529" s="391"/>
      <c r="FI529" s="391"/>
      <c r="FS529" s="664"/>
      <c r="FT529" s="391"/>
      <c r="FU529" s="391"/>
      <c r="FV529" s="664"/>
      <c r="FW529" s="664"/>
      <c r="GA529" s="663"/>
      <c r="GB529" s="663"/>
      <c r="GC529" s="663"/>
      <c r="GD529" s="663"/>
      <c r="GE529" s="663"/>
      <c r="GF529" s="663"/>
      <c r="GG529" s="663"/>
      <c r="GH529" s="663"/>
      <c r="GI529" s="665"/>
      <c r="GJ529" s="664"/>
      <c r="GK529" s="664"/>
    </row>
    <row r="530" spans="1:288" s="78" customFormat="1" ht="14.95" customHeight="1">
      <c r="B530" s="1845" t="str">
        <f>ID533</f>
        <v xml:space="preserve"> </v>
      </c>
      <c r="C530" s="1846">
        <f>C525+1</f>
        <v>94</v>
      </c>
      <c r="D530" s="1847"/>
      <c r="E530" s="1799" t="s">
        <v>295</v>
      </c>
      <c r="F530" s="1800"/>
      <c r="G530" s="1741"/>
      <c r="H530" s="1742"/>
      <c r="I530" s="1742"/>
      <c r="J530" s="1742"/>
      <c r="K530" s="1742"/>
      <c r="L530" s="1742"/>
      <c r="M530" s="1742"/>
      <c r="N530" s="1742"/>
      <c r="O530" s="1742"/>
      <c r="P530" s="1742"/>
      <c r="Q530" s="1742"/>
      <c r="R530" s="1742"/>
      <c r="S530" s="1791" t="s">
        <v>344</v>
      </c>
      <c r="T530" s="590"/>
      <c r="U530" s="1743"/>
      <c r="V530" s="1744"/>
      <c r="W530" s="1744"/>
      <c r="X530" s="1744"/>
      <c r="Y530" s="1744"/>
      <c r="Z530" s="1744"/>
      <c r="AA530" s="1744"/>
      <c r="AB530" s="961" t="str">
        <f>IFERROR(IF(__Retrofit_TI_NC=0,VLOOKUP(U531,Fixtures_Existing_List,2,FALSE),ROUND(N532*R532/T532,10)),"")</f>
        <v/>
      </c>
      <c r="AC530" s="935" t="str">
        <f>IFERROR(IF(__Retrofit_TI_NC=0,ROUND(T531*AB530*N531*R531/1000,0),IF(CQ530="Interior",N532*R532*R531*N531*_C406_reduction/1000,N532*R532*R531*N531/1000)),"")</f>
        <v/>
      </c>
      <c r="AD530" s="936" t="str">
        <f>IFERROR(IF(C$43=0,ROUND(T531*AB530/1000,2),N532*R532/1000),"")</f>
        <v/>
      </c>
      <c r="AE530" s="997"/>
      <c r="AF530" s="937"/>
      <c r="AG530" s="1745" t="str">
        <f>IF(__Retrofit_TI_NC=0," Control","Select Advanced Control for New System")</f>
        <v xml:space="preserve"> Control</v>
      </c>
      <c r="AH530" s="1745"/>
      <c r="AI530" s="1745"/>
      <c r="AJ530" s="1745"/>
      <c r="AK530" s="1745"/>
      <c r="AL530" s="1745"/>
      <c r="AM530" s="1746">
        <f>IFERROR(DI530,"")</f>
        <v>0</v>
      </c>
      <c r="AN530" s="1774" t="str">
        <f>IFERROR(ROUND(AM530*AC530,0),"")</f>
        <v/>
      </c>
      <c r="AO530" s="1776">
        <f>IFERROR(IF(IB530=FALSE,0,AC530-AN530),0)</f>
        <v>0</v>
      </c>
      <c r="AP530" s="1778">
        <f>AO530-AO532</f>
        <v>0</v>
      </c>
      <c r="AQ530" s="1779"/>
      <c r="AR530" s="1793">
        <f>IFERROR(IF(IB530=FALSE,0,(T532*U533)+(AF532*AG533)),0)</f>
        <v>0</v>
      </c>
      <c r="AS530" s="1793"/>
      <c r="AT530" s="1794"/>
      <c r="AU530" s="1734" t="s">
        <v>237</v>
      </c>
      <c r="AV530" s="1751">
        <f>IF(AU530="Yes",1,0)</f>
        <v>1</v>
      </c>
      <c r="AW530" s="1704" t="str">
        <f>IF(OR(DQ530=4,DQ530=5,DQ530=6,DQ530=12),CONCATENATE("$",IF(GH530=TRUE,Lookup!$K$10,Lookup!$K$2)," /lamp"),CONCATENATE(TEXT(ED530,"$0.00"),"/ kWh"))</f>
        <v>$0.00/ kWh</v>
      </c>
      <c r="AX530" s="467"/>
      <c r="AY530" s="1748">
        <f ca="1">IFERROR(IF(GM531=TRUE,(AB533*T532)/R532,0),"NA")</f>
        <v>0</v>
      </c>
      <c r="AZ530" s="1748"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696" t="str">
        <f>N531</f>
        <v/>
      </c>
      <c r="CQ530" s="1696" t="str">
        <f>IFERROR(VLOOKUP(G531,_Lookup_Heat_Type_Table_New,3,FALSE),"")</f>
        <v/>
      </c>
      <c r="CR530" s="1808" t="str">
        <f>CQ530</f>
        <v/>
      </c>
      <c r="CS530" s="1810" t="str">
        <f>IFERROR(VLOOKUP(G532,'Space Table'!$B$3:$L$163,9,FALSE),"")</f>
        <v/>
      </c>
      <c r="CU530" s="1688" t="s">
        <v>344</v>
      </c>
      <c r="CV530" s="1702">
        <f>IF(IB530=TRUE,T531,0)</f>
        <v>0</v>
      </c>
      <c r="CW530" s="1702" t="str">
        <f>IF(IB530=TRUE,U531,"")</f>
        <v/>
      </c>
      <c r="CX530" s="1702"/>
      <c r="CY530" s="1814">
        <f>IF(IB530=TRUE,AB530,0)</f>
        <v>0</v>
      </c>
      <c r="CZ530" s="1710">
        <f>IF(AND(__Retrofit_TI_NC&gt;0,CR530="interior"),0,IF(IB530=TRUE,AC530,0))</f>
        <v>0</v>
      </c>
      <c r="DA530" s="1814">
        <f>IFERROR(IF(IB530=TRUE,CZ530-CZ532,0),0)</f>
        <v>0</v>
      </c>
      <c r="DB530" s="1819">
        <f>IF(IB530=TRUE,AD530,0)</f>
        <v>0</v>
      </c>
      <c r="DC530" s="1819">
        <f>IF(IB530=TRUE,AD533,0)</f>
        <v>0</v>
      </c>
      <c r="DD530" s="1819">
        <f>IFERROR(DB530-DC530,0)</f>
        <v>0</v>
      </c>
      <c r="DF530" s="1702">
        <f>IF(IB530=TRUE,AF531,0)</f>
        <v>0</v>
      </c>
      <c r="DG530" s="1830">
        <f>IFERROR(IF(__Retrofit_TI_NC=2,IF(CQ530="Exterior",O533,FQ530),FN530),"")</f>
        <v>0</v>
      </c>
      <c r="DH530" s="1702"/>
      <c r="DI530" s="1837">
        <f>JE530</f>
        <v>0</v>
      </c>
      <c r="DJ530" s="1710">
        <f>IF(AND(__Retrofit_TI_NC&gt;0,CR530="interior"),0,IF(IB530=TRUE,AN530,0))</f>
        <v>0</v>
      </c>
      <c r="DK530" s="1712">
        <f>IFERROR(IF(IB530=TRUE,DJ532-DJ530,0),0)</f>
        <v>0</v>
      </c>
      <c r="DM530" s="1717">
        <f>IFERROR(CZ530-DJ530,0)</f>
        <v>0</v>
      </c>
      <c r="DO530" s="1708">
        <f>DM530-DN532</f>
        <v>0</v>
      </c>
      <c r="DQ530" s="1715" t="str">
        <f>IFERROR(IF(AND(OR(GC530=4,GC530=5,GC530=6),OR(GF530=4,GF530=5,GF530=6)),GC530+8,VLOOKUP(CW532,Fixtures!R$31:Y$78,8,FALSE)),"")</f>
        <v/>
      </c>
      <c r="DR530" s="1829" t="str">
        <f>DQ530</f>
        <v/>
      </c>
      <c r="DS530" s="1702" t="str">
        <f>IFERROR(VLOOKUP(DG532,Lookup!BB$3:BC$20,2,FALSE),"")</f>
        <v/>
      </c>
      <c r="DT530" s="1713" t="str">
        <f>IF(OR(DS530=7,DS530=8,DS530=9),"ALC","")</f>
        <v/>
      </c>
      <c r="DU530" s="1715">
        <f>IFERROR(IF(OR(DQ530=4,DQ530=5,DQ530=6,DQ530=12,DQ530=13,DQ530=14),VLOOKUP(CW532,Fixtures!DN$27:EG$77,19,FALSE),1)*CV532,0)</f>
        <v>0</v>
      </c>
      <c r="DV530" s="1716">
        <f>IF(OR(DS530=7,DS530=8,DS530=9),IF(DG530=DG532,0,DF532),0)</f>
        <v>0</v>
      </c>
      <c r="DX530" s="1715" t="str">
        <f>IFERROR(IF(EZ530&lt;EZ532,"Yes","No"),"")</f>
        <v/>
      </c>
      <c r="DY530" s="1829" t="str">
        <f>DX530</f>
        <v/>
      </c>
      <c r="DZ530" s="1715">
        <f>IF(DX530="Yes",DF532,0)</f>
        <v>0</v>
      </c>
      <c r="EA530" s="1715">
        <f>DZ530-DV530</f>
        <v>0</v>
      </c>
      <c r="EC530" s="1834">
        <f>IFERROR(VLOOKUP(DQ530,Lookup!AU$3:AV$16,2,FALSE),0)</f>
        <v>0</v>
      </c>
      <c r="ED530" s="1834">
        <f>IF(IB530=FALSE,0,IF(DX530="Yes",EC530+Lookup!K$6,EC530))</f>
        <v>0</v>
      </c>
      <c r="EF530" s="1707">
        <f>IF(IB530=TRUE,DM530,0)</f>
        <v>0</v>
      </c>
      <c r="EG530" s="1712">
        <f>IF(IB530=TRUE,CZ532,0)</f>
        <v>0</v>
      </c>
      <c r="EH530" s="1814">
        <f>IFERROR(EF530-EG530,0)</f>
        <v>0</v>
      </c>
      <c r="EI530" s="1712">
        <f>IF(IB530=TRUE,DJ532,0)</f>
        <v>0</v>
      </c>
      <c r="EJ530" s="1712">
        <f>IFERROR(EF530-EG530+EI530,0)</f>
        <v>0</v>
      </c>
      <c r="EK530" s="1812">
        <f>IF(IB530=TRUE,CV532*CX532,0)</f>
        <v>0</v>
      </c>
      <c r="EL530" s="1812">
        <f>IF(IB530=TRUE,DF532*DH532,0)</f>
        <v>0</v>
      </c>
      <c r="EM530" s="1807">
        <f>AR530</f>
        <v>0</v>
      </c>
      <c r="EN530" s="1839" t="str">
        <f>IFERROR(IF(IB530=TRUE,VLOOKUP(DQ530,Lookup!AU$3:AW$16,3,FALSE)*DU530,""),0)</f>
        <v/>
      </c>
      <c r="EO530" s="1839">
        <f>IF(IB530=TRUE,DZ530*Lookup!AW$12,0)</f>
        <v>0</v>
      </c>
      <c r="EP530" s="1817">
        <f>IFERROR(IF(IB530=TRUE,EN530/EP$40,0),0)</f>
        <v>0</v>
      </c>
      <c r="EQ530" s="1817">
        <f>IF(IB530=TRUE,EO530/EQ$40,0)</f>
        <v>0</v>
      </c>
      <c r="ER530" s="1807">
        <f>IF(IB530=TRUE,ET$40*EP530,0)</f>
        <v>0</v>
      </c>
      <c r="ES530" s="1807">
        <f>IF(IB530=TRUE,ET$40*EQ530,0)</f>
        <v>0</v>
      </c>
      <c r="ET530" s="1807">
        <f>ER530+ES530</f>
        <v>0</v>
      </c>
      <c r="EV530" s="1715">
        <f>IF(G530="",0,1)</f>
        <v>0</v>
      </c>
      <c r="EX530" s="1804" t="str">
        <f>IFERROR(VLOOKUP(CS532,'Space Table'!$B$3:$L$163,8,FALSE),"")</f>
        <v/>
      </c>
      <c r="EY530" s="1804" t="str">
        <f>IFERROR(IF(FB530="Yes",VLOOKUP(DG530,Lookup_Control_Type_Table2,4,FALSE),VLOOKUP(DG530,Lookup_Control_Type_Table2,3,FALSE)),"")</f>
        <v/>
      </c>
      <c r="EZ530" s="1804" t="e">
        <f>VLOOKUP(DG530,Lookup!BB$3:BC$20,2,FALSE)</f>
        <v>#N/A</v>
      </c>
      <c r="FA530" s="1804" t="e">
        <f>VLOOKUP(EX530,Lookup_Control_Type_Table,2,FALSE)</f>
        <v>#N/A</v>
      </c>
      <c r="FB530" s="1804" t="e">
        <f>VLOOKUP(CS532,'Space Table'!$B$3:$L$163,7,FALSE)</f>
        <v>#N/A</v>
      </c>
      <c r="FC530" s="1826" t="b">
        <f>ISNUMBER(SEARCH("TLED",U532))</f>
        <v>0</v>
      </c>
      <c r="FE530" s="1698" t="str">
        <f>CONCATENATE(CQ530," - ",DG530)</f>
        <v xml:space="preserve"> - 0</v>
      </c>
      <c r="FG530" s="1702" t="str">
        <f>VLOOKUP(CW532,Fixtures!DN$27:EZ$77,38,FALSE)</f>
        <v/>
      </c>
      <c r="FH530" s="1702">
        <f>IFERROR(FG530*EH530,0)</f>
        <v>0</v>
      </c>
      <c r="FI530" s="133"/>
      <c r="FL530" s="1822" t="str">
        <f>IF(CQ530="Exterior","Not Daylighted",G533)</f>
        <v>Not Daylighted</v>
      </c>
      <c r="FM530" s="1824">
        <f>VLOOKUP(FL530,_New_Daylight_Table_Codes,2,FALSE)</f>
        <v>0</v>
      </c>
      <c r="FN530" s="1698">
        <f>IF(__Retrofit_TI_NC&gt;0,VLOOKUP(G532,'Space Table'!$B$3:$L$163,11,FALSE),AG531)</f>
        <v>0</v>
      </c>
      <c r="FO530" s="1698" t="e">
        <f>IF(__Retrofit_TI_NC=2,VLOOKUP(FQ530,_Control_Table,2,FALSE),VLOOKUP(FN530,_Control_Table,2,FALSE))</f>
        <v>#N/A</v>
      </c>
      <c r="FP530" s="1678" t="e">
        <f>VLOOKUP(CONCATENATE(FL530," ",FN530),Lookup!AY$102:AZ540,2,FALSE)</f>
        <v>#N/A</v>
      </c>
      <c r="FQ530" s="1678">
        <f>IF(__Retrofit_TI_NC=0,FN530,IF(AND(FT530&gt;0,FN530="Occupancy Sensor"),"Daylight + Occupancy",IF(AND(FT530&gt;0,VLOOKUP(FN530,_Control_Table,2,FALSE)&lt;4),"Interior Daylight Dimming",FN530)))</f>
        <v>0</v>
      </c>
      <c r="FS530" s="1686">
        <f>IF(CR530="Interior",VLOOKUP(CS530,Control_Savings_Interior,5,FALSE),0)</f>
        <v>0</v>
      </c>
      <c r="FT530" s="1687">
        <f>IF(CQ530="Exterior",0,IF(FM530=2,0.5,IF(OR(FM530=1,FM530=3),1,0)))</f>
        <v>0</v>
      </c>
      <c r="FU530" s="1685">
        <f>IF(R529&gt;FS$44,(FS530*(FS$44/R529)),FS530)*FT530</f>
        <v>0</v>
      </c>
      <c r="FV530" s="1686">
        <f>DI530</f>
        <v>0</v>
      </c>
      <c r="FW530" s="1686">
        <f>ROUND(FV530+((1-FV530)*FU530),2)</f>
        <v>0</v>
      </c>
      <c r="FX530" s="1686">
        <f>IF(__Retrofit_TI_NC=2,FW530,FV530)</f>
        <v>0</v>
      </c>
      <c r="FY530" s="1697"/>
      <c r="GA530" s="1696" t="str">
        <f>IFERROR(VLOOKUP(U531,_Exist_Fixture_Table,3,FALSE),"")</f>
        <v/>
      </c>
      <c r="GB530" s="1696" t="str">
        <f>VLOOKUP(CW530,_Exist_Fixture_Table,4,FALSE)</f>
        <v/>
      </c>
      <c r="GC530" s="1696">
        <f>IFERROR(VLOOKUP(GB530,Lookup!AT$6:AU$8,2,FALSE),0)</f>
        <v>0</v>
      </c>
      <c r="GD530" s="1696" t="b">
        <f>IFERROR(IF(OR(GF530=4,GF530=5,GF530=6),TRUE,FALSE),"")</f>
        <v>0</v>
      </c>
      <c r="GE530" s="1696" t="str">
        <f>IFERROR(VLOOKUP(GF530,GC$6:GD$10,2,FALSE),"")</f>
        <v/>
      </c>
      <c r="GF530" s="1696" t="str">
        <f>VLOOKUP(CW532,Fixtures!R$31:Y$78,8,FALSE)</f>
        <v/>
      </c>
      <c r="GG530" s="1696">
        <f>IF(AND(GA530=TRUE,GD530=TRUE,OR(DQ530=12,DQ530=13,DQ530=14)),GC530+8,0)</f>
        <v>0</v>
      </c>
      <c r="GH530" s="1696" t="b">
        <f>IF(OR(GG530=12,GG530=13,GG530=14),TRUE,FALSE)</f>
        <v>0</v>
      </c>
      <c r="GI530" s="673" t="b">
        <f>IF(ISNUMBER(SEARCH("TLED",U531)),TRUE,FALSE)</f>
        <v>0</v>
      </c>
      <c r="GJ530" s="1135" t="str">
        <f>IFERROR(VLOOKUP(U531,Fixtures!BM$93:BR$142,6,FALSE),"")</f>
        <v/>
      </c>
      <c r="GK530" s="1832" t="b">
        <f>IF(OR(GI530=FALSE,GI532=FALSE),TRUE,IF(GJ530-GJ532&lt;5,FALSE,TRUE))</f>
        <v>1</v>
      </c>
      <c r="GO530" s="674">
        <f>GP530</f>
        <v>0</v>
      </c>
      <c r="GP530" s="674">
        <f>IF(G530="",0,1)</f>
        <v>0</v>
      </c>
      <c r="GQ530" s="674">
        <f ca="1">SUM(GR530:HF530)</f>
        <v>2</v>
      </c>
      <c r="GR530" s="674">
        <f>IF(G531="",0,1)</f>
        <v>0</v>
      </c>
      <c r="GS530" s="674">
        <f>IF(N533="BAM",1,IF(G532="",0,1))</f>
        <v>0</v>
      </c>
      <c r="GT530" s="674">
        <f>IF(N533="BAM",1,IF(R531="",0,1))</f>
        <v>0</v>
      </c>
      <c r="GU530" s="674">
        <f>IF(N533="BAM",1,IF(__Retrofit_TI_NC=0,1,IF(R532="",0,1)))</f>
        <v>1</v>
      </c>
      <c r="GV530" s="674">
        <f>IF(N533="BAM",1,IF(CQ530="Exterior",1,IF(G533="",0,1)))</f>
        <v>1</v>
      </c>
      <c r="GW530" s="674">
        <f>IF(__Retrofit_TI_NC&gt;0,1,IF(T531="",0,1))</f>
        <v>0</v>
      </c>
      <c r="GX530" s="674">
        <f>IF(__Retrofit_TI_NC&gt;0,1,IF(U531="",0,1))</f>
        <v>0</v>
      </c>
      <c r="GY530" s="674">
        <f>IF(N533="BAM",1,IF(T532="",0,1))</f>
        <v>0</v>
      </c>
      <c r="GZ530" s="674">
        <f>IF(N533="BAM",1,IF(U532="",0,1))</f>
        <v>0</v>
      </c>
      <c r="HA530" s="674">
        <f ca="1">IF(N533="BAM",1,IF(__Retrofit_TI_NC&gt;0,1,IF(U533="",0,1)))</f>
        <v>0</v>
      </c>
      <c r="HB530" s="674">
        <f>IF(__Retrofit_TI_NC&lt;&gt;0,1,IF(AF531="",0,1))</f>
        <v>0</v>
      </c>
      <c r="HC530" s="674">
        <f>IF(__Retrofit_TI_NC&lt;&gt;0,1,IF(AG531="",0,1))</f>
        <v>0</v>
      </c>
      <c r="HD530" s="674">
        <f>IF(N533="BAM",1,IF(AF532="",0,1))</f>
        <v>0</v>
      </c>
      <c r="HE530" s="674">
        <f>IF(N533="BAM",1,IF(AG532="",0,1))</f>
        <v>0</v>
      </c>
      <c r="HF530" s="674">
        <f>IF(N533="BAM",1,IF(__Retrofit_TI_NC&gt;0,1,IF(AG533="",0,1)))</f>
        <v>0</v>
      </c>
      <c r="HG530" s="391"/>
      <c r="IA530" s="391"/>
      <c r="IB530" s="1693" t="b">
        <f>IF(OR(IB533=0,IB533=HY$16,IB533=HX$16,IB533=HZ$16),TRUE,FALSE)</f>
        <v>0</v>
      </c>
      <c r="IC530" s="1694" t="b">
        <f>IB530</f>
        <v>0</v>
      </c>
      <c r="ID530" s="391"/>
      <c r="IE530" s="391"/>
      <c r="IF530" s="1688" t="b">
        <f ca="1">IF(MAX(GN533:HU533)&gt;5,FALSE,TRUE)</f>
        <v>0</v>
      </c>
      <c r="IG530" s="1689">
        <f ca="1">IF(IF530=TRUE,AC530,0)</f>
        <v>0</v>
      </c>
      <c r="IH530" s="1689">
        <f ca="1">IG530-IG532</f>
        <v>0</v>
      </c>
      <c r="IK530" s="1689" t="e">
        <f>ROUND(T531*VLOOKUP(U531,Fixtures_Existing_List,2,FALSE)*N531*R531/1000,0)</f>
        <v>#N/A</v>
      </c>
      <c r="IL530" s="1690" t="e">
        <f>IK530-IK532</f>
        <v>#N/A</v>
      </c>
      <c r="IM530" s="1693" t="e">
        <f>ROUND(IF(CQ530="Interior",N532*R532*R531*N531*_C406_reduction/1000,N532*R532*R531*N531/1000),0)</f>
        <v>#N/A</v>
      </c>
      <c r="IN530" s="1693" t="e">
        <f>IM530-IM532</f>
        <v>#N/A</v>
      </c>
      <c r="IP530" s="1679"/>
      <c r="IQ530" s="1679" t="e">
        <f t="shared" ref="IQ530:IU530" si="481">IF($CR530="interior",VLOOKUP($CS530,_New_Control_Savings_Interior,IQ$30,FALSE),VLOOKUP($CS530,Control_Savings_Exterior,IQ$30,FALSE))</f>
        <v>#N/A</v>
      </c>
      <c r="IR530" s="1679" t="e">
        <f t="shared" si="481"/>
        <v>#N/A</v>
      </c>
      <c r="IS530" s="1679" t="e">
        <f t="shared" si="481"/>
        <v>#N/A</v>
      </c>
      <c r="IT530" s="1679" t="e">
        <f t="shared" si="481"/>
        <v>#N/A</v>
      </c>
      <c r="IU530" s="1679" t="e">
        <f t="shared" si="481"/>
        <v>#N/A</v>
      </c>
      <c r="IV530" s="1679" t="e">
        <f>IF($CR530="interior",IF(R531&gt;$IP$14,ROUND(($IV$18*($IP$14/R531)),2),$IV$18),VLOOKUP($CS530,Control_Savings_Exterior,IV$30,FALSE))</f>
        <v>#N/A</v>
      </c>
      <c r="IW530" s="1679" t="e">
        <f>IF($CR530="interior",ROUND(((1-IS530)*IV530)+IS530,2),VLOOKUP($CS530,Control_Savings_Exterior,IW$30,FALSE))</f>
        <v>#N/A</v>
      </c>
      <c r="IX530" s="1679" t="e">
        <f>IF($CR530="interior",ROUND(((1-IT530)*IV530)+IT530,2),VLOOKUP($CS530,Control_Savings_Exterior,IX$30,FALSE))</f>
        <v>#N/A</v>
      </c>
      <c r="IY530" s="1679" t="e">
        <f>IF($CR530="interior",IF(R531&gt;$IP$14,ROUND(($IY$18*($IP$14/R531)),2),$IY$18),VLOOKUP($CS530,Control_Savings_Exterior,IY$30,FALSE))</f>
        <v>#N/A</v>
      </c>
      <c r="IZ530" s="1679" t="e">
        <f>IF($CR530="interior",ROUND(((1-IS530)*IY530)+IS530,2),VLOOKUP($CS530,Control_Savings_Exterior,IZ$30,FALSE))</f>
        <v>#N/A</v>
      </c>
      <c r="JA530" s="1679" t="e">
        <f>IF($CR530="interior",ROUND(((1-IT530)*IY530)+IT530,2),VLOOKUP($CS530,Control_Savings_Exterior,JA$30,FALSE))</f>
        <v>#N/A</v>
      </c>
      <c r="JC530" s="1680">
        <f>IFERROR(IF(CR530="Interior",CONCATENATE(G533," ",FQ530),FQ530),"")</f>
        <v>0</v>
      </c>
      <c r="JD530" s="1670" t="str">
        <f>IFERROR(VLOOKUP(JC530,_Controls_2023,2,FALSE),"")</f>
        <v/>
      </c>
      <c r="JE530" s="1681">
        <f>IFERROR(CHOOSE(JD530-1,IQ530,IR530,IS530,IT530,IU530,IV530,IW530,IX530,IY530,IZ530,JA530),0)</f>
        <v>0</v>
      </c>
      <c r="JG530" s="1680" t="str">
        <f>FE530</f>
        <v xml:space="preserve"> - 0</v>
      </c>
      <c r="JH530" s="1670" t="e">
        <f>$FO530</f>
        <v>#N/A</v>
      </c>
      <c r="JI530" s="1060"/>
      <c r="JJ530" s="1682" t="b">
        <f>IF($JG532=CONCATENATE("Interior - ",JJ$4),TRUE,FALSE)</f>
        <v>0</v>
      </c>
      <c r="JK530" s="1061"/>
      <c r="JL530" s="1682" t="b">
        <f>IF($JG532=CONCATENATE("Interior - ",JL$4),TRUE,FALSE)</f>
        <v>0</v>
      </c>
      <c r="JM530" s="1061"/>
      <c r="JN530" s="1682" t="b">
        <f>IF($JG532=CONCATENATE("Interior - ",JN$4),TRUE,FALSE)</f>
        <v>0</v>
      </c>
      <c r="JO530" s="1061"/>
      <c r="JP530" s="1682" t="b">
        <f>IF(__Retrofit_TI_NC&gt;0,FALSE,IF($JG532=CONCATENATE("Interior - ",JP$4),TRUE,FALSE))</f>
        <v>0</v>
      </c>
      <c r="JQ530" s="1061"/>
      <c r="JR530" s="1682" t="b">
        <f>IF(__Retrofit_TI_NC&gt;0,FALSE,IF($JG532=CONCATENATE("Interior - ",JR$4),TRUE,FALSE))</f>
        <v>0</v>
      </c>
      <c r="JS530" s="1061"/>
      <c r="JT530" s="1670" t="b">
        <f>IF(__Retrofit_TI_NC&gt;0,FALSE,IF($JG532=CONCATENATE("Interior - ",JT$4),TRUE,FALSE))</f>
        <v>0</v>
      </c>
      <c r="JU530" s="1061"/>
      <c r="JV530" s="1670" t="b">
        <f>IF(JC532="AELC on Existing",TRUE,FALSE)</f>
        <v>0</v>
      </c>
      <c r="JX530" s="1670" t="b">
        <f>IF(OR(JG532="Exterior - AELC Occupancy based",JG532="Exterior - AELC Time based"),TRUE,FALSE)</f>
        <v>0</v>
      </c>
      <c r="JZ530" s="1682" t="b">
        <f>IF($JG532=CONCATENATE("Exterior - ",JZ$4),TRUE,FALSE)</f>
        <v>0</v>
      </c>
      <c r="KB530" s="1670" t="b">
        <f>IF(__Retrofit_TI_NC&gt;0,FALSE,IF($JG532=CONCATENATE("Interior - ",KB$4),TRUE,FALSE))</f>
        <v>0</v>
      </c>
    </row>
    <row r="531" spans="1:288" s="78" customFormat="1" ht="14.95" customHeight="1" thickTop="1" thickBot="1">
      <c r="B531" s="1845"/>
      <c r="C531" s="1846"/>
      <c r="D531" s="1847"/>
      <c r="E531" s="1737" t="s">
        <v>297</v>
      </c>
      <c r="F531" s="1738"/>
      <c r="G531" s="1739"/>
      <c r="H531" s="1739"/>
      <c r="I531" s="1739"/>
      <c r="J531" s="1739"/>
      <c r="K531" s="1739"/>
      <c r="L531" s="1739"/>
      <c r="M531" s="461" t="e">
        <f>IF(__Retrofit_TI_NC&lt;&gt;0,IF(VLOOKUP(G532,'Space Table'!$B$3:$L$163,3,FALSE)&gt;0,1,0),IF(__Retrofit_TI_NC=VLOOKUP(G532,'Space Table'!$B$3:$L$163,3,FALSE),1,0))</f>
        <v>#N/A</v>
      </c>
      <c r="N531" s="461" t="str">
        <f>IFERROR(VLOOKUP(G531,_Lookup_Heat_Type_Table_New,2,FALSE),"")</f>
        <v/>
      </c>
      <c r="O531" s="461">
        <f>IF(__Retrofit_TI_NC=1,CONCATENATE("TI ",G531),IF(__Retrofit_TI_NC=2,CONCATENATE("NC ",G531),G531))</f>
        <v>0</v>
      </c>
      <c r="P531" s="1740" t="s">
        <v>435</v>
      </c>
      <c r="Q531" s="1740"/>
      <c r="R531" s="595"/>
      <c r="S531" s="1792"/>
      <c r="T531" s="597"/>
      <c r="U531" s="1765"/>
      <c r="V531" s="1766"/>
      <c r="W531" s="1766"/>
      <c r="X531" s="1766"/>
      <c r="Y531" s="1766"/>
      <c r="Z531" s="1766"/>
      <c r="AA531" s="1766"/>
      <c r="AB531" s="1766"/>
      <c r="AC531" s="1766"/>
      <c r="AD531" s="1767"/>
      <c r="AE531" s="1000"/>
      <c r="AF531" s="597"/>
      <c r="AG531" s="1723"/>
      <c r="AH531" s="1724"/>
      <c r="AI531" s="1724"/>
      <c r="AJ531" s="1724"/>
      <c r="AK531" s="1725"/>
      <c r="AL531" s="996"/>
      <c r="AM531" s="1747"/>
      <c r="AN531" s="1775"/>
      <c r="AO531" s="1777"/>
      <c r="AP531" s="1780"/>
      <c r="AQ531" s="1781"/>
      <c r="AR531" s="1795"/>
      <c r="AS531" s="1795"/>
      <c r="AT531" s="1796"/>
      <c r="AU531" s="1735"/>
      <c r="AV531" s="1752"/>
      <c r="AW531" s="1705"/>
      <c r="AX531" s="467"/>
      <c r="AY531" s="1749"/>
      <c r="AZ531" s="1749"/>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696"/>
      <c r="CQ531" s="1696"/>
      <c r="CR531" s="1809"/>
      <c r="CS531" s="1811"/>
      <c r="CU531" s="1688"/>
      <c r="CV531" s="1703"/>
      <c r="CW531" s="1703"/>
      <c r="CX531" s="1703"/>
      <c r="CY531" s="1815"/>
      <c r="CZ531" s="1711"/>
      <c r="DA531" s="1818"/>
      <c r="DB531" s="1820"/>
      <c r="DC531" s="1820"/>
      <c r="DD531" s="1820"/>
      <c r="DF531" s="1703"/>
      <c r="DG531" s="1831"/>
      <c r="DH531" s="1703"/>
      <c r="DI531" s="1838"/>
      <c r="DJ531" s="1711"/>
      <c r="DK531" s="1712"/>
      <c r="DM531" s="1718"/>
      <c r="DO531" s="1708"/>
      <c r="DQ531" s="1715"/>
      <c r="DR531" s="1720"/>
      <c r="DS531" s="1816"/>
      <c r="DT531" s="1714"/>
      <c r="DU531" s="1715"/>
      <c r="DV531" s="1716"/>
      <c r="DX531" s="1715"/>
      <c r="DY531" s="1720"/>
      <c r="DZ531" s="1715"/>
      <c r="EA531" s="1715"/>
      <c r="EC531" s="1834"/>
      <c r="ED531" s="1834"/>
      <c r="EF531" s="1707"/>
      <c r="EG531" s="1712"/>
      <c r="EH531" s="1818"/>
      <c r="EI531" s="1712"/>
      <c r="EJ531" s="1712"/>
      <c r="EK531" s="1836"/>
      <c r="EL531" s="1836"/>
      <c r="EM531" s="1807"/>
      <c r="EN531" s="1839"/>
      <c r="EO531" s="1839"/>
      <c r="EP531" s="1817"/>
      <c r="EQ531" s="1817"/>
      <c r="ER531" s="1807"/>
      <c r="ES531" s="1807"/>
      <c r="ET531" s="1807"/>
      <c r="EV531" s="1715"/>
      <c r="EX531" s="1805"/>
      <c r="EY531" s="1805"/>
      <c r="EZ531" s="1805"/>
      <c r="FA531" s="1805"/>
      <c r="FB531" s="1805"/>
      <c r="FC531" s="1827"/>
      <c r="FE531" s="1698"/>
      <c r="FG531" s="1816"/>
      <c r="FH531" s="1816"/>
      <c r="FI531" s="133"/>
      <c r="FL531" s="1823"/>
      <c r="FM531" s="1825"/>
      <c r="FN531" s="1698"/>
      <c r="FO531" s="1698"/>
      <c r="FP531" s="1678"/>
      <c r="FQ531" s="1678"/>
      <c r="FS531" s="1687"/>
      <c r="FT531" s="1687"/>
      <c r="FU531" s="1685"/>
      <c r="FV531" s="1687"/>
      <c r="FW531" s="1687"/>
      <c r="FX531" s="1687"/>
      <c r="FY531" s="1697"/>
      <c r="GA531" s="1696"/>
      <c r="GB531" s="1696"/>
      <c r="GC531" s="1696"/>
      <c r="GD531" s="1696"/>
      <c r="GE531" s="1696"/>
      <c r="GF531" s="1696"/>
      <c r="GG531" s="1696"/>
      <c r="GH531" s="1696"/>
      <c r="GI531" s="673"/>
      <c r="GJ531" s="1135"/>
      <c r="GK531" s="1832"/>
      <c r="GM531" s="1693" t="b">
        <f ca="1">IF(AND(GP531=TRUE,GQ531=TRUE),TRUE,FALSE)</f>
        <v>0</v>
      </c>
      <c r="GN531" s="1684" t="b">
        <f>IFERROR(IF(__Retrofit_TI_NC=2,TRUE,IF(AU530="Yes",TRUE,FALSE)),FALSE)</f>
        <v>1</v>
      </c>
      <c r="GP531" s="1684" t="b">
        <f>IFERROR(IF(GP530=1,TRUE,FALSE),FALSE)</f>
        <v>0</v>
      </c>
      <c r="GQ531" s="1684" t="b">
        <f ca="1">IFERROR(IF(GQ530=GQ$14,TRUE,FALSE),FALSE)</f>
        <v>0</v>
      </c>
      <c r="HG531" s="1684" t="b">
        <f>IFERROR(IF(AND(__Retrofit_TI_NC&gt;0,CQ530="Interior"),FALSE,TRUE),FALSE)</f>
        <v>1</v>
      </c>
      <c r="HH531" s="1684" t="b">
        <f>IFERROR(IF(M531=1,TRUE,FALSE),FALSE)</f>
        <v>0</v>
      </c>
      <c r="HI531" s="1684" t="b">
        <f>IFERROR(IF(OR(M532=1,N533="BAM"),TRUE,FALSE),FALSE)</f>
        <v>0</v>
      </c>
      <c r="HJ531" s="1684" t="b">
        <f>IFERROR(IF(__Retrofit_TI_NC&lt;&gt;0,TRUE,IFERROR(IF(VLOOKUP(U531,Fixtures_Existing_List,2,FALSE)&lt;&gt;"",TRUE,FALSE),FALSE)),FALSE)</f>
        <v>0</v>
      </c>
      <c r="HK531" s="1684" t="b">
        <f>IFERROR(IF(VLOOKUP(U532,Fixtures_Proposed_List,2,FALSE)&lt;&gt;"",TRUE,FALSE),FALSE)</f>
        <v>0</v>
      </c>
      <c r="HL531" s="1684" t="b">
        <f>IF(AND(__Retrofit_TI_NC=2,FC530=TRUE),FALSE,TRUE)</f>
        <v>1</v>
      </c>
      <c r="HM531" s="1684" t="b">
        <f>GK530</f>
        <v>1</v>
      </c>
      <c r="HN531" s="1682" t="b">
        <f>IF(ISERROR(MATCH(FE530,_Control_Match[],0))=TRUE,FALSE,TRUE)</f>
        <v>0</v>
      </c>
      <c r="HO531" s="1693" t="b">
        <f>IFERROR(IF(EX530&lt;&gt;EY530,FALSE,TRUE),FALSE)</f>
        <v>1</v>
      </c>
      <c r="HP531" s="1693" t="b">
        <f>IFERROR(IF(EX532&lt;&gt;EY532,FALSE,TRUE),FALSE)</f>
        <v>1</v>
      </c>
      <c r="HQ531" s="1670" t="b">
        <f>IFERROR(IF(CQ530="Exterior",TRUE,IF(AND(OR(FM532=0,FM532=3),JD532&gt;6),FALSE,TRUE)),FALSE)</f>
        <v>0</v>
      </c>
      <c r="HR531" s="1684" t="b">
        <f>IFERROR(IF(AND(FO532=7,FC530=TRUE),FALSE,TRUE),FALSE)</f>
        <v>0</v>
      </c>
      <c r="HS531" s="1684" t="b">
        <f>IFERROR(IF(AND(T532&lt;&gt;AF532,OR(AG532="Interior LLLC", AG532="Interior NLC", AG532="LLLC (outside Daylight)",AG532="LLLC Controls Only"))=TRUE,FALSE,TRUE),FALSE)</f>
        <v>1</v>
      </c>
      <c r="HT531" s="1670" t="b">
        <f>IFERROR(IF(OR(AG532=Lookup!BB$17,AG532=Lookup!BB$18,AG532=Lookup!BB$19)=TRUE,IF(AF532&gt;T532,FALSE,TRUE),TRUE),FALSE)</f>
        <v>1</v>
      </c>
      <c r="HU531" s="1684" t="b">
        <f>IFERROR(IF(__Retrofit_TI_NC=2,IF(EZ532&lt;EZ530,FALSE,TRUE),TRUE),FALSE)</f>
        <v>1</v>
      </c>
      <c r="HV531" s="1684" t="b">
        <f>IF(CQ530="Interior",IL$6,TRUE)</f>
        <v>1</v>
      </c>
      <c r="HW531" s="1684" t="b">
        <f>IF(CQ530="Exterior",IL$8,TRUE)</f>
        <v>1</v>
      </c>
      <c r="HX531" s="1684" t="b">
        <f>IFERROR(IF(__Retrofit_TI_NC&lt;&gt;0,IF(AZ530&lt;AY530,FALSE,TRUE),TRUE),FALSE)</f>
        <v>1</v>
      </c>
      <c r="HY531" s="1684" t="b">
        <f>IFERROR(IF(AND(G531="Exterior",R531&gt;4200),FALSE,TRUE),FALSE)</f>
        <v>1</v>
      </c>
      <c r="HZ531" s="1684" t="b">
        <f>IFERROR(IF(AB533/AB530&lt;HZ$18,FALSE,TRUE),FALSE)</f>
        <v>0</v>
      </c>
      <c r="IB531" s="1691"/>
      <c r="IC531" s="1695"/>
      <c r="ID531" s="1694" t="str">
        <f>VLOOKUP(IB533,_Error_Table,4,FALSE)</f>
        <v>White</v>
      </c>
      <c r="IE531" s="391"/>
      <c r="IF531" s="1688"/>
      <c r="IG531" s="1689"/>
      <c r="IH531" s="1684"/>
      <c r="IK531" s="1689"/>
      <c r="IL531" s="1691"/>
      <c r="IM531" s="1691"/>
      <c r="IN531" s="1691"/>
      <c r="IP531" s="1679"/>
      <c r="IQ531" s="1679"/>
      <c r="IR531" s="1679"/>
      <c r="IS531" s="1679"/>
      <c r="IT531" s="1679"/>
      <c r="IU531" s="1679"/>
      <c r="IV531" s="1679"/>
      <c r="IW531" s="1679"/>
      <c r="IX531" s="1679"/>
      <c r="IY531" s="1679"/>
      <c r="IZ531" s="1679"/>
      <c r="JA531" s="1679"/>
      <c r="JC531" s="1680"/>
      <c r="JD531" s="1670"/>
      <c r="JE531" s="1681"/>
      <c r="JG531" s="1680"/>
      <c r="JH531" s="1670"/>
      <c r="JI531" s="1060"/>
      <c r="JJ531" s="1683"/>
      <c r="JK531" s="1061"/>
      <c r="JL531" s="1683"/>
      <c r="JM531" s="1061"/>
      <c r="JN531" s="1683"/>
      <c r="JO531" s="1061"/>
      <c r="JP531" s="1683"/>
      <c r="JQ531" s="1061"/>
      <c r="JR531" s="1683"/>
      <c r="JS531" s="1061"/>
      <c r="JT531" s="1670"/>
      <c r="JU531" s="1061"/>
      <c r="JV531" s="1670"/>
      <c r="JX531" s="1670"/>
      <c r="JZ531" s="1683"/>
      <c r="KB531" s="1670"/>
    </row>
    <row r="532" spans="1:288" s="78" customFormat="1" ht="14.95" customHeight="1" thickTop="1" thickBot="1">
      <c r="A532" s="78">
        <f>ROW()</f>
        <v>532</v>
      </c>
      <c r="B532" s="1845"/>
      <c r="C532" s="1846"/>
      <c r="D532" s="1847"/>
      <c r="E532" s="1737" t="s">
        <v>298</v>
      </c>
      <c r="F532" s="1738"/>
      <c r="G532" s="1760"/>
      <c r="H532" s="1761"/>
      <c r="I532" s="1761"/>
      <c r="J532" s="1761"/>
      <c r="K532" s="1761"/>
      <c r="L532" s="1762"/>
      <c r="M532" s="461">
        <f>IFERROR(IF(IF(__Retrofit_TI_NC&lt;&gt;0,IF(CQ530="Interior",MATCH(G532,Lookup_Interior_New,0),MATCH(G532,Lookup_Exterior_New,0)),IF(CQ530="Interior",MATCH(G532,Lookup_Interior,0),MATCH(G532,Lookup_Exterior_Areas,0)))&gt;0,1,0),0)</f>
        <v>0</v>
      </c>
      <c r="N532" s="461" t="e">
        <f>IF(__Retrofit_TI_NC=1,
VLOOKUP(G532,'Space Table'!$B$3:$L$163,4,FALSE),
IF(__Retrofit_TI_NC=2,VLOOKUP(G532,'Space Table'!$B$3:$L$163,5,FALSE),VLOOKUP(G532,'Space Table'!$B$3:$L$163,5,FALSE)))</f>
        <v>#N/A</v>
      </c>
      <c r="O532" s="461">
        <f>G532</f>
        <v>0</v>
      </c>
      <c r="P532" s="1738" t="str">
        <f>IFERROR(IF(__Retrofit_TI_NC=1,VLOOKUP(G532,'Space Table'!$B$3:$O$163,13,FALSE),IF(__Retrofit_TI_NC=2,VLOOKUP(G532,'Space Table'!$B$3:$O$163,14,FALSE),"Area (sf):")),"Area (sf):")</f>
        <v>Area (sf):</v>
      </c>
      <c r="Q532" s="1738"/>
      <c r="R532" s="596"/>
      <c r="S532" s="1763" t="s">
        <v>345</v>
      </c>
      <c r="T532" s="594"/>
      <c r="U532" s="1801"/>
      <c r="V532" s="1802"/>
      <c r="W532" s="1802"/>
      <c r="X532" s="1802"/>
      <c r="Y532" s="1802"/>
      <c r="Z532" s="1802"/>
      <c r="AA532" s="1802"/>
      <c r="AB532" s="1802"/>
      <c r="AC532" s="1802"/>
      <c r="AD532" s="1802"/>
      <c r="AE532" s="1803"/>
      <c r="AF532" s="594"/>
      <c r="AG532" s="1787"/>
      <c r="AH532" s="1787"/>
      <c r="AI532" s="1787"/>
      <c r="AJ532" s="1787"/>
      <c r="AK532" s="1787"/>
      <c r="AL532" s="1787"/>
      <c r="AM532" s="1726">
        <f>IFERROR(DI532,"")</f>
        <v>0</v>
      </c>
      <c r="AN532" s="1728" t="str">
        <f>IFERROR(ROUND(AM532*AC533,0),"")</f>
        <v/>
      </c>
      <c r="AO532" s="1730">
        <f>IFERROR(IF(IB530=FALSE,0,AC533-AN532),0)</f>
        <v>0</v>
      </c>
      <c r="AP532" s="1780"/>
      <c r="AQ532" s="1781"/>
      <c r="AR532" s="1795"/>
      <c r="AS532" s="1795"/>
      <c r="AT532" s="1796"/>
      <c r="AU532" s="1735"/>
      <c r="AV532" s="1752"/>
      <c r="AW532" s="1705"/>
      <c r="AX532" s="467"/>
      <c r="AY532" s="1749"/>
      <c r="AZ532" s="1749"/>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696"/>
      <c r="CQ532" s="1696"/>
      <c r="CR532" s="1808" t="str">
        <f>CQ530</f>
        <v/>
      </c>
      <c r="CS532" s="1810" t="str">
        <f>CS530</f>
        <v/>
      </c>
      <c r="CU532" s="1688" t="s">
        <v>345</v>
      </c>
      <c r="CV532" s="1702">
        <f>IF(IB530=TRUE,T532,0)</f>
        <v>0</v>
      </c>
      <c r="CW532" s="1702" t="str">
        <f>IF(IB530=TRUE,U532,"")</f>
        <v/>
      </c>
      <c r="CX532" s="1812">
        <f>IF(IB530=TRUE,U533,0)</f>
        <v>0</v>
      </c>
      <c r="CY532" s="1814">
        <f>IF(IB530=TRUE,AB533,0)</f>
        <v>0</v>
      </c>
      <c r="CZ532" s="1710">
        <f>IF(AND(__Retrofit_TI_NC&gt;0,CR530="interior"),0,IF(IB530=TRUE,AC533,0))</f>
        <v>0</v>
      </c>
      <c r="DA532" s="1818"/>
      <c r="DB532" s="1820"/>
      <c r="DC532" s="1820"/>
      <c r="DD532" s="1820"/>
      <c r="DF532" s="1702">
        <f>IF(IB530=TRUE,AF532,0)</f>
        <v>0</v>
      </c>
      <c r="DG532" s="1830" t="str">
        <f>IF(IB530=TRUE,AG532,"")</f>
        <v/>
      </c>
      <c r="DH532" s="1812">
        <f>AG533</f>
        <v>0</v>
      </c>
      <c r="DI532" s="1837">
        <f>JE532</f>
        <v>0</v>
      </c>
      <c r="DJ532" s="1710">
        <f>IF(AND(__Retrofit_TI_NC&gt;0,CR530="interior"),0,IF(IB530=TRUE,AN532,0))</f>
        <v>0</v>
      </c>
      <c r="DK532" s="1712"/>
      <c r="DN532" s="1717">
        <f>IFERROR(CZ532-DJ532,0)</f>
        <v>0</v>
      </c>
      <c r="DO532" s="1709"/>
      <c r="DQ532" s="1715"/>
      <c r="DR532" s="1719" t="str">
        <f>DQ530</f>
        <v/>
      </c>
      <c r="DS532" s="1816"/>
      <c r="DT532" s="1835" t="str">
        <f>IF(OR(DS530=7,DS530=8,DS530=9),"ALC","")</f>
        <v/>
      </c>
      <c r="DU532" s="1715"/>
      <c r="DV532" s="1716"/>
      <c r="DX532" s="1715"/>
      <c r="DY532" s="1829" t="str">
        <f>DX530</f>
        <v/>
      </c>
      <c r="DZ532" s="1715"/>
      <c r="EA532" s="1715"/>
      <c r="EC532" s="1834"/>
      <c r="ED532" s="1834"/>
      <c r="EF532" s="1707"/>
      <c r="EG532" s="1712"/>
      <c r="EH532" s="1818"/>
      <c r="EI532" s="1712"/>
      <c r="EJ532" s="1712"/>
      <c r="EK532" s="1836"/>
      <c r="EL532" s="1836"/>
      <c r="EM532" s="1807"/>
      <c r="EN532" s="1839"/>
      <c r="EO532" s="1839"/>
      <c r="EP532" s="1817"/>
      <c r="EQ532" s="1817"/>
      <c r="ER532" s="1807"/>
      <c r="ES532" s="1807"/>
      <c r="ET532" s="1807"/>
      <c r="EV532" s="1715"/>
      <c r="EX532" s="1805" t="str">
        <f>IFERROR(VLOOKUP(CS532,'Space Table'!$B$3:$L$163,8,FALSE),"")</f>
        <v/>
      </c>
      <c r="EY532" s="1805" t="str">
        <f>IFERROR(IF(FB532="Yes",VLOOKUP(AG532,Lookup_Control_Type_Table2,4,FALSE),VLOOKUP(AG532,Lookup_Control_Type_Table2,3,FALSE)),"")</f>
        <v/>
      </c>
      <c r="EZ532" s="1805" t="e">
        <f>VLOOKUP(AG532,Lookup!BB$3:BC$20,2,FALSE)</f>
        <v>#N/A</v>
      </c>
      <c r="FA532" s="1805" t="e">
        <f>VLOOKUP(EX530,Lookup_Control_Type_Table,2,FALSE)</f>
        <v>#N/A</v>
      </c>
      <c r="FB532" s="1805" t="e">
        <f>VLOOKUP(CS532,'Space Table'!$B$3:$L$163,7,FALSE)</f>
        <v>#N/A</v>
      </c>
      <c r="FC532" s="1827"/>
      <c r="FE532" s="1698" t="str">
        <f>CONCATENATE(CQ530," - ",AG532)</f>
        <v xml:space="preserve"> - </v>
      </c>
      <c r="FG532" s="1816"/>
      <c r="FH532" s="1816"/>
      <c r="FI532" s="133"/>
      <c r="FL532" s="1822" t="str">
        <f>IF(CQ530="Exterior","Not Daylighted",G533)</f>
        <v>Not Daylighted</v>
      </c>
      <c r="FM532" s="1824">
        <f>VLOOKUP(FL532,_New_Daylight_Table_Codes,2,FALSE)</f>
        <v>0</v>
      </c>
      <c r="FN532" s="1698">
        <f>AG532</f>
        <v>0</v>
      </c>
      <c r="FO532" s="1698" t="e">
        <f>VLOOKUP(FN532,_Control_Table,2,FALSE)</f>
        <v>#N/A</v>
      </c>
      <c r="FP532" s="1678" t="e">
        <f>VLOOKUP(CONCATENATE(FL532," ",FN532),Lookup!AY$102:AZ543,2,FALSE)</f>
        <v>#N/A</v>
      </c>
      <c r="FQ532" s="1698">
        <f>IF(__Retrofit_TI_NC=0,FN532,IF(AND(FT532&gt;0,FN532="Occupancy Sensor"),"Daylight + Occupancy",IF(AND(FT532&gt;0,FO532&lt;4),"Interior Daylight Dimming",FN532)))</f>
        <v>0</v>
      </c>
      <c r="FS532" s="1686">
        <f>IF(CQ530="Interior",VLOOKUP(CS530,Control_Savings_Interior,5,FALSE),0)</f>
        <v>0</v>
      </c>
      <c r="FT532" s="1687">
        <f>IF(CQ532="Exterior",0,IF(FM532=2,0.5,IF(OR(FM532=1,FM532=3),1,0)))</f>
        <v>0</v>
      </c>
      <c r="FU532" s="1685">
        <f>IF(R531&gt;FS$44,(FS532*(FS$44/R531)),FS532)*FT532</f>
        <v>0</v>
      </c>
      <c r="FV532" s="1686">
        <f>DI532</f>
        <v>0</v>
      </c>
      <c r="FW532" s="1686">
        <f>ROUND(FV532+((1-FV532)*FU532),2)</f>
        <v>0</v>
      </c>
      <c r="FX532" s="1686">
        <f>IF(__Retrofit_TI_NC=2,FW532,FV532)</f>
        <v>0</v>
      </c>
      <c r="FY532" s="1697">
        <f>IF(CR532="Interior",VLOOKUP(CS532,Control_Savings_Interior,4,FALSE),0)</f>
        <v>0</v>
      </c>
      <c r="GA532" s="1696"/>
      <c r="GB532" s="1696"/>
      <c r="GC532" s="1696"/>
      <c r="GD532" s="1696"/>
      <c r="GE532" s="1696"/>
      <c r="GF532" s="1696"/>
      <c r="GG532" s="1696"/>
      <c r="GH532" s="1696"/>
      <c r="GI532" s="673" t="b">
        <f>IF(ISNUMBER(SEARCH("TLED",U532)),TRUE,FALSE)</f>
        <v>0</v>
      </c>
      <c r="GJ532" s="1135" t="str">
        <f>IFERROR(VLOOKUP(U532,Fixtures!DM$93:DR$142,6,FALSE),"")</f>
        <v/>
      </c>
      <c r="GK532" s="1832"/>
      <c r="GM532" s="1692"/>
      <c r="GN532" s="1684"/>
      <c r="GP532" s="1684"/>
      <c r="GQ532" s="1684"/>
      <c r="HG532" s="1684"/>
      <c r="HH532" s="1684"/>
      <c r="HI532" s="1684"/>
      <c r="HJ532" s="1684"/>
      <c r="HK532" s="1684"/>
      <c r="HL532" s="1684"/>
      <c r="HM532" s="1684"/>
      <c r="HN532" s="1683"/>
      <c r="HO532" s="1692"/>
      <c r="HP532" s="1692"/>
      <c r="HQ532" s="1670"/>
      <c r="HR532" s="1684"/>
      <c r="HS532" s="1684"/>
      <c r="HT532" s="1670"/>
      <c r="HU532" s="1684"/>
      <c r="HV532" s="1684"/>
      <c r="HW532" s="1684"/>
      <c r="HX532" s="1684"/>
      <c r="HY532" s="1684"/>
      <c r="HZ532" s="1684"/>
      <c r="IB532" s="1692"/>
      <c r="IC532" s="1693" t="b">
        <f>IB530</f>
        <v>0</v>
      </c>
      <c r="ID532" s="1695"/>
      <c r="IE532" s="391"/>
      <c r="IF532" s="1688"/>
      <c r="IG532" s="1689">
        <f ca="1">IF(IF530=TRUE,AC533,0)</f>
        <v>0</v>
      </c>
      <c r="IH532" s="1684"/>
      <c r="IK532" s="1689" t="e">
        <f>ROUND(T532*AB533*N531*R531/1000,0)</f>
        <v>#VALUE!</v>
      </c>
      <c r="IL532" s="1691"/>
      <c r="IM532" s="1693" t="e">
        <f>ROUND(T532*AB533*N531*R531/1000,0)</f>
        <v>#VALUE!</v>
      </c>
      <c r="IN532" s="1691"/>
      <c r="IP532" s="1679"/>
      <c r="IQ532" s="1679" t="e">
        <f t="shared" ref="IQ532:IU532" si="482">IF($CR532="interior",VLOOKUP($CS532,_New_Control_Savings_Interior,IQ$30,FALSE),VLOOKUP($CS532,Control_Savings_Exterior,IQ$30,FALSE))</f>
        <v>#N/A</v>
      </c>
      <c r="IR532" s="1679" t="e">
        <f t="shared" si="482"/>
        <v>#N/A</v>
      </c>
      <c r="IS532" s="1679" t="e">
        <f t="shared" si="482"/>
        <v>#N/A</v>
      </c>
      <c r="IT532" s="1679" t="e">
        <f t="shared" si="482"/>
        <v>#N/A</v>
      </c>
      <c r="IU532" s="1679" t="e">
        <f t="shared" si="482"/>
        <v>#N/A</v>
      </c>
      <c r="IV532" s="1679" t="e">
        <f>IF($CR532="interior",IF(R531&gt;$IP$14,ROUND(($IV$18*($IP$14/R531)),2),$IV$18),VLOOKUP($CS532,Control_Savings_Exterior,IV$30,FALSE))</f>
        <v>#N/A</v>
      </c>
      <c r="IW532" s="1679" t="e">
        <f>IF($CR532="interior",ROUND(((1-IS532)*IV532)+IS532,2),VLOOKUP($CS532,Control_Savings_Exterior,IW$30,FALSE))</f>
        <v>#N/A</v>
      </c>
      <c r="IX532" s="1679" t="e">
        <f>IF($CR532="interior",ROUND(((1-IT532)*IV532)+IT532,2),VLOOKUP($CS532,Control_Savings_Exterior,IX$30,FALSE))</f>
        <v>#N/A</v>
      </c>
      <c r="IY532" s="1679" t="e">
        <f>IF($CR532="interior",IF(R531&gt;$IP$14,ROUND(($IY$18*($IP$14/R531)),2),$IY$18),VLOOKUP($CS532,Control_Savings_Exterior,IY$30,FALSE))</f>
        <v>#N/A</v>
      </c>
      <c r="IZ532" s="1679" t="e">
        <f>IF($CR532="interior",ROUND(((1-IS532)*IY532)+IS532,2),VLOOKUP($CS532,Control_Savings_Exterior,IZ$30,FALSE))</f>
        <v>#N/A</v>
      </c>
      <c r="JA532" s="1679" t="e">
        <f>IF($CR532="interior",ROUND(((1-IT532)*IY532)+IT532,2),VLOOKUP($CS532,Control_Savings_Exterior,JA$30,FALSE))</f>
        <v>#N/A</v>
      </c>
      <c r="JC532" s="1680">
        <f>IFERROR(IF(CR532="Interior",CONCATENATE(G533," ",FQ532),AG532),"")</f>
        <v>0</v>
      </c>
      <c r="JD532" s="1670" t="str">
        <f>IFERROR(VLOOKUP(JC532,_Controls_2023,2,FALSE),"")</f>
        <v/>
      </c>
      <c r="JE532" s="1681">
        <f>IFERROR(CHOOSE(JD532-1,IQ532,IR532,IS532,IT532,IU532,IV532,IW532,IX532,IY532,IZ532,JA532),0)</f>
        <v>0</v>
      </c>
      <c r="JG532" s="1680" t="str">
        <f>FE532</f>
        <v xml:space="preserve"> - </v>
      </c>
      <c r="JH532" s="1670" t="e">
        <f>$FO532</f>
        <v>#N/A</v>
      </c>
      <c r="JI532" s="1060"/>
      <c r="JJ532" s="1670">
        <f>IFERROR(IF($IB530=TRUE,IF(OR(JJ$14="No",JJ530=FALSE,JH532&lt;=JH530,AND(_kWh_Grant=0,GD530=FALSE)),0,IF(JJ$8="Per Line",1,$AF532)),0),0)</f>
        <v>0</v>
      </c>
      <c r="JK532" s="1061"/>
      <c r="JL532" s="1670">
        <f>IFERROR(IF(_kWh_Grant=0,0,IF($IB530=TRUE,IF(OR(JL$14="No",JL530=FALSE,JH532&lt;=JH530),0,IF(JL$8="Per Line",1,$T532)),0)),0)</f>
        <v>0</v>
      </c>
      <c r="JM532" s="1061"/>
      <c r="JN532" s="1670">
        <f>IFERROR(IF(_kWh_Grant=0,0,IF($IB530=TRUE,IF(OR(JN$14="No",JN530=FALSE,JH532&lt;=JH530),0,IF(JN$8="Per Line",1,$AF532)),0)),0)</f>
        <v>0</v>
      </c>
      <c r="JO532" s="1061"/>
      <c r="JP532" s="1670">
        <f>IFERROR(IF(__Retrofit_TI_NC=0,IF(_kWh_Grant=0,0,IF($IB530=TRUE,IF(OR(JP$14="No",JP530=FALSE,$JH532&lt;=$JH530),0,IF(JP$8="Per Line",1,$AF532)),0)),IF($IB530=TRUE,IF(OR(JP$14="No",JP530=FALSE,$JH532&lt;=$JH530),0,IF(JP$8="Per Line",1,$AF532)))),0)</f>
        <v>0</v>
      </c>
      <c r="JQ532" s="1061"/>
      <c r="JR532" s="1670">
        <f>IFERROR(IF(__Retrofit_TI_NC=0,IF(_kWh_Grant=0,0,IF($IB530=TRUE,IF(OR(JR$14="No",JR530=FALSE,$JH532&lt;=$JH530),0,IF(JR$8="Per Line",1,$AF532)),0)),IF($IB530=TRUE,IF(OR(JR$14="No",JR530=FALSE,$JH532&lt;=$JH530),0,IF(JR$8="Per Line",1,$AF532)))),0)</f>
        <v>0</v>
      </c>
      <c r="JS532" s="1061"/>
      <c r="JT532" s="1670">
        <f>IFERROR(IF(__Retrofit_TI_NC=0,IF(_kWh_Grant=0,0,IF($IB530=TRUE,IF(OR(JT$14="No",JT530=FALSE,$JH532&lt;=$JH530),0,IF(JT$8="Per Line",1,$AF532)),0)),IF($IB530=TRUE,IF(OR(JT$14="No",JT530=FALSE,$JH532&lt;=$JH530),0,IF(JT$8="Per Line",1,$AF532)))),0)</f>
        <v>0</v>
      </c>
      <c r="JU532" s="1061"/>
      <c r="JV532" s="1670">
        <f>IFERROR(IF(__Retrofit_TI_NC=0,IF(_kWh_Grant=0,0,IF($IB530=TRUE,IF(OR(JV$14="No",JV530=FALSE,$JH532&lt;=$JH530),0,IF(JV$8="Per Line",1,$AF532)),0)),IF($IB530=TRUE,IF(OR(JV$14="No",JV530=FALSE,$JH532&lt;=$JH530),0,IF(JV$8="Per Line",1,$AF532)))),0)</f>
        <v>0</v>
      </c>
      <c r="JX532" s="1670">
        <f>IFERROR(IF(__Retrofit_TI_NC=0,IF(_kWh_Grant=0,0,IF($IB530=TRUE,IF(OR(JX$14="No",JX530=FALSE,$JH532&lt;=$JH530),0,IF(JX$8="Per Line",1,$AF532)),0)),IF($IB530=TRUE,IF(OR(JX$14="No",JX530=FALSE,$JH532&lt;=$JH530),0,IF(JX$8="Per Line",1,$AF532)))),0)</f>
        <v>0</v>
      </c>
      <c r="JZ532" s="1670">
        <f>IFERROR(IF($IB530=TRUE,IF(OR(JZ$14="No",JZ530=FALSE,$JH532&lt;=$JH530,AND(_kWh_Grant=0,$GD530=FALSE)),0,IF(JZ$8="Per Line",1,$AF532)),0),0)</f>
        <v>0</v>
      </c>
      <c r="KB532" s="1670">
        <f>IFERROR(IF(__Retrofit_TI_NC=0,IF(_kWh_Grant=0,0,IF($IB530=TRUE,IF(OR(KB$14="No",KB530=FALSE,$JH532&lt;=$JH530),0,IF(KB$8="Per Line",1,$AF532)),0)),IF($IB530=TRUE,IF(OR(KB$14="No",KB530=FALSE,$JH532&lt;=$JH530),0,IF(KB$8="Per Line",1,$AF532)))),0)</f>
        <v>0</v>
      </c>
    </row>
    <row r="533" spans="1:288" s="78" customFormat="1" ht="14.95" customHeight="1" thickTop="1" thickBot="1">
      <c r="B533" s="1845"/>
      <c r="C533" s="1846"/>
      <c r="D533" s="1847"/>
      <c r="E533" s="1771" t="s">
        <v>436</v>
      </c>
      <c r="F533" s="1772"/>
      <c r="G533" s="1784" t="s">
        <v>437</v>
      </c>
      <c r="H533" s="1785"/>
      <c r="I533" s="1785"/>
      <c r="J533" s="1785"/>
      <c r="K533" s="1785"/>
      <c r="L533" s="1786"/>
      <c r="M533" s="591">
        <f>IFERROR(VLOOKUP(G533,_Daylight_Table[],2,FALSE),0)</f>
        <v>0</v>
      </c>
      <c r="N533" s="592" t="str">
        <f>IF(AND(__Retrofit_TI_NC&gt;0,CQ530="Interior"),"BAM","")</f>
        <v/>
      </c>
      <c r="O533" s="591" t="e">
        <f>VLOOKUP(G532,'Space Table'!$B$3:$L$163,11,FALSE)</f>
        <v>#N/A</v>
      </c>
      <c r="P533" s="1789"/>
      <c r="Q533" s="1790"/>
      <c r="R533" s="1790"/>
      <c r="S533" s="1788"/>
      <c r="T533" s="593" t="s">
        <v>342</v>
      </c>
      <c r="U533" s="1756" t="str" cm="1">
        <f t="array" aca="1" ref="U533" ca="1">IFERROR(VLOOKUP(INDIRECT("U" &amp; ROW()-1),Fixtures!DM$93:DP$142,4,FALSE),"")</f>
        <v/>
      </c>
      <c r="V533" s="1757"/>
      <c r="W533" s="1757"/>
      <c r="X533" s="1757"/>
      <c r="Y533" s="1757"/>
      <c r="Z533" s="1757"/>
      <c r="AA533" s="1758"/>
      <c r="AB533" s="939" t="str">
        <f>IFERROR(VLOOKUP(U532,Fixtures_Proposed_List,2,FALSE),"")</f>
        <v/>
      </c>
      <c r="AC533" s="933" t="str">
        <f>IFERROR(ROUND(T532*AB533*N531*R531/1000,0),"")</f>
        <v/>
      </c>
      <c r="AD533" s="934" t="str">
        <f>IFERROR(ROUND(T532*AB533/1000,2),"")</f>
        <v/>
      </c>
      <c r="AE533" s="998"/>
      <c r="AF533" s="938" t="s">
        <v>342</v>
      </c>
      <c r="AG533" s="1770"/>
      <c r="AH533" s="1770"/>
      <c r="AI533" s="1770"/>
      <c r="AJ533" s="1770"/>
      <c r="AK533" s="1770"/>
      <c r="AL533" s="1770"/>
      <c r="AM533" s="1727"/>
      <c r="AN533" s="1729"/>
      <c r="AO533" s="1731"/>
      <c r="AP533" s="1782"/>
      <c r="AQ533" s="1783"/>
      <c r="AR533" s="1797"/>
      <c r="AS533" s="1797"/>
      <c r="AT533" s="1798"/>
      <c r="AU533" s="1736"/>
      <c r="AV533" s="1753"/>
      <c r="AW533" s="1706"/>
      <c r="AX533" s="468"/>
      <c r="AY533" s="1750"/>
      <c r="AZ533" s="1750"/>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696"/>
      <c r="CQ533" s="1696"/>
      <c r="CR533" s="1809"/>
      <c r="CS533" s="1811"/>
      <c r="CU533" s="1688"/>
      <c r="CV533" s="1703"/>
      <c r="CW533" s="1703"/>
      <c r="CX533" s="1813"/>
      <c r="CY533" s="1815"/>
      <c r="CZ533" s="1711"/>
      <c r="DA533" s="1815"/>
      <c r="DB533" s="1821"/>
      <c r="DC533" s="1821"/>
      <c r="DD533" s="1821"/>
      <c r="DF533" s="1703"/>
      <c r="DG533" s="1831"/>
      <c r="DH533" s="1813"/>
      <c r="DI533" s="1838"/>
      <c r="DJ533" s="1711"/>
      <c r="DK533" s="1712"/>
      <c r="DN533" s="1718"/>
      <c r="DO533" s="1709"/>
      <c r="DQ533" s="1715"/>
      <c r="DR533" s="1720"/>
      <c r="DS533" s="1703"/>
      <c r="DT533" s="1714"/>
      <c r="DU533" s="1715"/>
      <c r="DV533" s="1716"/>
      <c r="DX533" s="1715"/>
      <c r="DY533" s="1720"/>
      <c r="DZ533" s="1715"/>
      <c r="EA533" s="1715"/>
      <c r="EC533" s="1834"/>
      <c r="ED533" s="1834"/>
      <c r="EF533" s="1707"/>
      <c r="EG533" s="1712"/>
      <c r="EH533" s="1815"/>
      <c r="EI533" s="1712"/>
      <c r="EJ533" s="1712"/>
      <c r="EK533" s="1813"/>
      <c r="EL533" s="1813"/>
      <c r="EM533" s="1807"/>
      <c r="EN533" s="1839"/>
      <c r="EO533" s="1839"/>
      <c r="EP533" s="1817"/>
      <c r="EQ533" s="1817"/>
      <c r="ER533" s="1807"/>
      <c r="ES533" s="1807"/>
      <c r="ET533" s="1807"/>
      <c r="EV533" s="1715"/>
      <c r="EX533" s="1806"/>
      <c r="EY533" s="1806"/>
      <c r="EZ533" s="1806"/>
      <c r="FA533" s="1806"/>
      <c r="FB533" s="1806"/>
      <c r="FC533" s="1828"/>
      <c r="FE533" s="1698"/>
      <c r="FG533" s="1703"/>
      <c r="FH533" s="1703"/>
      <c r="FI533" s="133"/>
      <c r="FL533" s="1823"/>
      <c r="FM533" s="1825"/>
      <c r="FN533" s="1698"/>
      <c r="FO533" s="1698"/>
      <c r="FP533" s="1678"/>
      <c r="FQ533" s="1698"/>
      <c r="FS533" s="1687"/>
      <c r="FT533" s="1687"/>
      <c r="FU533" s="1685"/>
      <c r="FV533" s="1687"/>
      <c r="FW533" s="1687"/>
      <c r="FX533" s="1687"/>
      <c r="FY533" s="1697"/>
      <c r="GA533" s="1696"/>
      <c r="GB533" s="1696"/>
      <c r="GC533" s="1696"/>
      <c r="GD533" s="1696"/>
      <c r="GE533" s="1696"/>
      <c r="GF533" s="1696"/>
      <c r="GG533" s="1696"/>
      <c r="GH533" s="1696"/>
      <c r="GI533" s="673"/>
      <c r="GJ533" s="1135"/>
      <c r="GK533" s="1832"/>
      <c r="GN533" s="674">
        <f>IF(GN531=TRUE,0,GN$16)</f>
        <v>0</v>
      </c>
      <c r="GP533" s="674">
        <f>IF(GP531=TRUE,0,GP$16)</f>
        <v>36</v>
      </c>
      <c r="GQ533" s="674">
        <f ca="1">IF(GQ531=TRUE,0,GQ$16)</f>
        <v>35</v>
      </c>
      <c r="GR533" s="391"/>
      <c r="GS533" s="391"/>
      <c r="GT533" s="391"/>
      <c r="GU533" s="391"/>
      <c r="GV533" s="391"/>
      <c r="HG533" s="674">
        <f>IF(HG531=TRUE,0,HG$16)</f>
        <v>0</v>
      </c>
      <c r="HH533" s="674">
        <f t="shared" ref="HH533:HM533" si="483">IF(HH531=TRUE,0,HH$16)</f>
        <v>19</v>
      </c>
      <c r="HI533" s="674">
        <f t="shared" si="483"/>
        <v>18</v>
      </c>
      <c r="HJ533" s="674">
        <f t="shared" si="483"/>
        <v>17</v>
      </c>
      <c r="HK533" s="674">
        <f t="shared" si="483"/>
        <v>16</v>
      </c>
      <c r="HL533" s="674">
        <f t="shared" si="483"/>
        <v>0</v>
      </c>
      <c r="HM533" s="674">
        <f t="shared" si="483"/>
        <v>0</v>
      </c>
      <c r="HN533" s="674">
        <f>IF(HN531=TRUE,0,HN$16)</f>
        <v>13</v>
      </c>
      <c r="HO533" s="674">
        <f t="shared" ref="HO533:HQ533" si="484">IF(HO531=TRUE,0,HO$16)</f>
        <v>0</v>
      </c>
      <c r="HP533" s="674">
        <f t="shared" si="484"/>
        <v>0</v>
      </c>
      <c r="HQ533" s="674">
        <f t="shared" si="484"/>
        <v>10</v>
      </c>
      <c r="HR533" s="674">
        <f>IF(HR531=TRUE,0,HR$16)</f>
        <v>9</v>
      </c>
      <c r="HS533" s="674">
        <f t="shared" ref="HS533:HW533" si="485">IF(HS531=TRUE,0,HS$16)</f>
        <v>0</v>
      </c>
      <c r="HT533" s="674">
        <f t="shared" si="485"/>
        <v>0</v>
      </c>
      <c r="HU533" s="674">
        <f t="shared" si="485"/>
        <v>0</v>
      </c>
      <c r="HV533" s="674">
        <f t="shared" si="485"/>
        <v>0</v>
      </c>
      <c r="HW533" s="674">
        <f t="shared" si="485"/>
        <v>0</v>
      </c>
      <c r="HX533" s="674">
        <f>IF(HX531=TRUE,0,HX$16)</f>
        <v>0</v>
      </c>
      <c r="HY533" s="674">
        <f>IF(HY531=TRUE,0,HY$16)</f>
        <v>0</v>
      </c>
      <c r="HZ533" s="674">
        <f>IF(HZ531=TRUE,0,HZ$16)</f>
        <v>1</v>
      </c>
      <c r="IB533" s="674">
        <f>IF(GP531=FALSE,GP533,IF(GQ531=FALSE,GQ533,MAX(GN533:HZ533)))</f>
        <v>36</v>
      </c>
      <c r="IC533" s="1692"/>
      <c r="ID533" s="205" t="str">
        <f>VLOOKUP(IB533,_Error_Table,3,FALSE)</f>
        <v xml:space="preserve"> </v>
      </c>
      <c r="IE533" s="205"/>
      <c r="IF533" s="1688"/>
      <c r="IG533" s="1689"/>
      <c r="IH533" s="1684"/>
      <c r="IK533" s="1689"/>
      <c r="IL533" s="1692"/>
      <c r="IM533" s="1692"/>
      <c r="IN533" s="1692"/>
      <c r="IP533" s="1679"/>
      <c r="IQ533" s="1679"/>
      <c r="IR533" s="1679"/>
      <c r="IS533" s="1679"/>
      <c r="IT533" s="1679"/>
      <c r="IU533" s="1679"/>
      <c r="IV533" s="1679"/>
      <c r="IW533" s="1679"/>
      <c r="IX533" s="1679"/>
      <c r="IY533" s="1679"/>
      <c r="IZ533" s="1679"/>
      <c r="JA533" s="1679"/>
      <c r="JC533" s="1680"/>
      <c r="JD533" s="1670"/>
      <c r="JE533" s="1681"/>
      <c r="JG533" s="1680"/>
      <c r="JH533" s="1670"/>
      <c r="JI533" s="1060"/>
      <c r="JJ533" s="1670"/>
      <c r="JK533" s="1061"/>
      <c r="JL533" s="1670"/>
      <c r="JM533" s="1061"/>
      <c r="JN533" s="1670"/>
      <c r="JO533" s="1061"/>
      <c r="JP533" s="1670"/>
      <c r="JQ533" s="1061"/>
      <c r="JR533" s="1670"/>
      <c r="JS533" s="1061"/>
      <c r="JT533" s="1670"/>
      <c r="JU533" s="1061"/>
      <c r="JV533" s="1670"/>
      <c r="JX533" s="1670"/>
      <c r="JZ533" s="1670"/>
      <c r="KB533" s="1670"/>
    </row>
    <row r="534" spans="1:288" s="78" customFormat="1" ht="5.0999999999999996" customHeight="1">
      <c r="B534" s="676"/>
      <c r="C534" s="392"/>
      <c r="D534" s="392"/>
      <c r="E534" s="1733"/>
      <c r="F534" s="1733"/>
      <c r="G534" s="1733"/>
      <c r="H534" s="1733"/>
      <c r="I534" s="1733"/>
      <c r="J534" s="1733"/>
      <c r="K534" s="1733"/>
      <c r="L534" s="1733"/>
      <c r="M534" s="1733"/>
      <c r="N534" s="1733"/>
      <c r="O534" s="1733"/>
      <c r="P534" s="1733"/>
      <c r="Q534" s="1733"/>
      <c r="R534" s="1733"/>
      <c r="S534" s="1733"/>
      <c r="T534" s="1733"/>
      <c r="U534" s="1733"/>
      <c r="V534" s="1733"/>
      <c r="W534" s="1733"/>
      <c r="X534" s="1733"/>
      <c r="Y534" s="1733"/>
      <c r="Z534" s="1733"/>
      <c r="AA534" s="1733"/>
      <c r="AB534" s="1733"/>
      <c r="AC534" s="1733"/>
      <c r="AD534" s="1733"/>
      <c r="AE534" s="1733"/>
      <c r="AF534" s="1733"/>
      <c r="AG534" s="1733"/>
      <c r="AH534" s="1733"/>
      <c r="AI534" s="1733"/>
      <c r="AJ534" s="1733"/>
      <c r="AK534" s="1733"/>
      <c r="AL534" s="1733"/>
      <c r="AM534" s="1733"/>
      <c r="AN534" s="1733"/>
      <c r="AO534" s="1733"/>
      <c r="AP534" s="1733"/>
      <c r="AQ534" s="1733"/>
      <c r="AR534" s="1733"/>
      <c r="AS534" s="1733"/>
      <c r="AT534" s="1733"/>
      <c r="AU534" s="1733"/>
      <c r="AV534" s="1733"/>
      <c r="AW534" s="1733"/>
      <c r="AX534" s="469"/>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663"/>
      <c r="CQ534" s="663"/>
      <c r="CR534" s="438"/>
      <c r="CS534" s="663"/>
      <c r="CV534" s="391"/>
      <c r="CW534" s="391"/>
      <c r="CX534" s="207"/>
      <c r="CY534" s="208"/>
      <c r="CZ534" s="208"/>
      <c r="DA534" s="208"/>
      <c r="DB534" s="209"/>
      <c r="DC534" s="209"/>
      <c r="DD534" s="209"/>
      <c r="DF534" s="664"/>
      <c r="DG534" s="665"/>
      <c r="DH534" s="666"/>
      <c r="DI534" s="667"/>
      <c r="DJ534" s="668"/>
      <c r="DK534" s="668"/>
      <c r="DN534" s="208"/>
      <c r="DO534" s="664"/>
      <c r="DQ534" s="664"/>
      <c r="DR534" s="669"/>
      <c r="DS534" s="391"/>
      <c r="DT534" s="664"/>
      <c r="DU534" s="664"/>
      <c r="DV534" s="664"/>
      <c r="DX534" s="664"/>
      <c r="DY534" s="664"/>
      <c r="DZ534" s="664"/>
      <c r="EA534" s="664"/>
      <c r="EC534" s="670"/>
      <c r="ED534" s="670"/>
      <c r="EF534" s="668"/>
      <c r="EG534" s="668"/>
      <c r="EH534" s="208"/>
      <c r="EI534" s="668"/>
      <c r="EJ534" s="668"/>
      <c r="EK534" s="207"/>
      <c r="EL534" s="207"/>
      <c r="EM534" s="666"/>
      <c r="EN534" s="671"/>
      <c r="EO534" s="671"/>
      <c r="EP534" s="672"/>
      <c r="EQ534" s="672"/>
      <c r="ER534" s="666"/>
      <c r="ES534" s="666"/>
      <c r="ET534" s="666"/>
      <c r="EV534" s="664"/>
      <c r="EX534" s="391"/>
      <c r="EY534" s="391"/>
      <c r="EZ534" s="391"/>
      <c r="FA534" s="391"/>
      <c r="FB534" s="391"/>
      <c r="FC534" s="391"/>
      <c r="FE534" s="569"/>
      <c r="FG534" s="391"/>
      <c r="FH534" s="391"/>
      <c r="FI534" s="391"/>
      <c r="FS534" s="664"/>
      <c r="FT534" s="391"/>
      <c r="FU534" s="391"/>
      <c r="FV534" s="664"/>
      <c r="FW534" s="664"/>
      <c r="GA534" s="663"/>
      <c r="GB534" s="663"/>
      <c r="GC534" s="663"/>
      <c r="GD534" s="663"/>
      <c r="GE534" s="663"/>
      <c r="GF534" s="663"/>
      <c r="GG534" s="663"/>
      <c r="GH534" s="663"/>
      <c r="GI534" s="665"/>
      <c r="GJ534" s="664"/>
      <c r="GK534" s="664"/>
    </row>
    <row r="535" spans="1:288" s="78" customFormat="1" ht="14.95" customHeight="1">
      <c r="B535" s="1845" t="str">
        <f>ID538</f>
        <v xml:space="preserve"> </v>
      </c>
      <c r="C535" s="1846">
        <f>C530+1</f>
        <v>95</v>
      </c>
      <c r="D535" s="1847"/>
      <c r="E535" s="1799" t="s">
        <v>295</v>
      </c>
      <c r="F535" s="1800"/>
      <c r="G535" s="1741"/>
      <c r="H535" s="1742"/>
      <c r="I535" s="1742"/>
      <c r="J535" s="1742"/>
      <c r="K535" s="1742"/>
      <c r="L535" s="1742"/>
      <c r="M535" s="1742"/>
      <c r="N535" s="1742"/>
      <c r="O535" s="1742"/>
      <c r="P535" s="1742"/>
      <c r="Q535" s="1742"/>
      <c r="R535" s="1742"/>
      <c r="S535" s="1791" t="s">
        <v>344</v>
      </c>
      <c r="T535" s="590"/>
      <c r="U535" s="1743"/>
      <c r="V535" s="1744"/>
      <c r="W535" s="1744"/>
      <c r="X535" s="1744"/>
      <c r="Y535" s="1744"/>
      <c r="Z535" s="1744"/>
      <c r="AA535" s="1744"/>
      <c r="AB535" s="961" t="str">
        <f>IFERROR(IF(__Retrofit_TI_NC=0,VLOOKUP(U536,Fixtures_Existing_List,2,FALSE),ROUND(N537*R537/T537,10)),"")</f>
        <v/>
      </c>
      <c r="AC535" s="935" t="str">
        <f>IFERROR(IF(__Retrofit_TI_NC=0,ROUND(T536*AB535*N536*R536/1000,0),IF(CQ535="Interior",N537*R537*R536*N536*_C406_reduction/1000,N537*R537*R536*N536/1000)),"")</f>
        <v/>
      </c>
      <c r="AD535" s="936" t="str">
        <f>IFERROR(IF(C$43=0,ROUND(T536*AB535/1000,2),N537*R537/1000),"")</f>
        <v/>
      </c>
      <c r="AE535" s="997"/>
      <c r="AF535" s="937"/>
      <c r="AG535" s="1745" t="str">
        <f>IF(__Retrofit_TI_NC=0," Control","Select Advanced Control for New System")</f>
        <v xml:space="preserve"> Control</v>
      </c>
      <c r="AH535" s="1745"/>
      <c r="AI535" s="1745"/>
      <c r="AJ535" s="1745"/>
      <c r="AK535" s="1745"/>
      <c r="AL535" s="1745"/>
      <c r="AM535" s="1746">
        <f>IFERROR(DI535,"")</f>
        <v>0</v>
      </c>
      <c r="AN535" s="1774" t="str">
        <f>IFERROR(ROUND(AM535*AC535,0),"")</f>
        <v/>
      </c>
      <c r="AO535" s="1776">
        <f>IFERROR(IF(IB535=FALSE,0,AC535-AN535),0)</f>
        <v>0</v>
      </c>
      <c r="AP535" s="1778">
        <f>AO535-AO537</f>
        <v>0</v>
      </c>
      <c r="AQ535" s="1779"/>
      <c r="AR535" s="1793">
        <f>IFERROR(IF(IB535=FALSE,0,(T537*U538)+(AF537*AG538)),0)</f>
        <v>0</v>
      </c>
      <c r="AS535" s="1793"/>
      <c r="AT535" s="1794"/>
      <c r="AU535" s="1734" t="s">
        <v>237</v>
      </c>
      <c r="AV535" s="1751">
        <f>IF(AU535="Yes",1,0)</f>
        <v>1</v>
      </c>
      <c r="AW535" s="1704" t="str">
        <f>IF(OR(DQ535=4,DQ535=5,DQ535=6,DQ535=12),CONCATENATE("$",IF(GH535=TRUE,Lookup!$K$10,Lookup!$K$2)," /lamp"),CONCATENATE(TEXT(ED535,"$0.00"),"/ kWh"))</f>
        <v>$0.00/ kWh</v>
      </c>
      <c r="AX535" s="467"/>
      <c r="AY535" s="1748">
        <f ca="1">IFERROR(IF(GM536=TRUE,(AB538*T537)/R537,0),"NA")</f>
        <v>0</v>
      </c>
      <c r="AZ535" s="1748"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696" t="str">
        <f>N536</f>
        <v/>
      </c>
      <c r="CQ535" s="1696" t="str">
        <f>IFERROR(VLOOKUP(G536,_Lookup_Heat_Type_Table_New,3,FALSE),"")</f>
        <v/>
      </c>
      <c r="CR535" s="1808" t="str">
        <f>CQ535</f>
        <v/>
      </c>
      <c r="CS535" s="1810" t="str">
        <f>IFERROR(VLOOKUP(G537,'Space Table'!$B$3:$L$163,9,FALSE),"")</f>
        <v/>
      </c>
      <c r="CU535" s="1688" t="s">
        <v>344</v>
      </c>
      <c r="CV535" s="1702">
        <f>IF(IB535=TRUE,T536,0)</f>
        <v>0</v>
      </c>
      <c r="CW535" s="1702" t="str">
        <f>IF(IB535=TRUE,U536,"")</f>
        <v/>
      </c>
      <c r="CX535" s="1702"/>
      <c r="CY535" s="1814">
        <f>IF(IB535=TRUE,AB535,0)</f>
        <v>0</v>
      </c>
      <c r="CZ535" s="1710">
        <f>IF(AND(__Retrofit_TI_NC&gt;0,CR535="interior"),0,IF(IB535=TRUE,AC535,0))</f>
        <v>0</v>
      </c>
      <c r="DA535" s="1814">
        <f>IFERROR(IF(IB535=TRUE,CZ535-CZ537,0),0)</f>
        <v>0</v>
      </c>
      <c r="DB535" s="1819">
        <f>IF(IB535=TRUE,AD535,0)</f>
        <v>0</v>
      </c>
      <c r="DC535" s="1819">
        <f>IF(IB535=TRUE,AD538,0)</f>
        <v>0</v>
      </c>
      <c r="DD535" s="1819">
        <f>IFERROR(DB535-DC535,0)</f>
        <v>0</v>
      </c>
      <c r="DF535" s="1702">
        <f>IF(IB535=TRUE,AF536,0)</f>
        <v>0</v>
      </c>
      <c r="DG535" s="1830">
        <f>IFERROR(IF(__Retrofit_TI_NC=2,IF(CQ535="Exterior",O538,FQ535),FN535),"")</f>
        <v>0</v>
      </c>
      <c r="DH535" s="1702"/>
      <c r="DI535" s="1837">
        <f>JE535</f>
        <v>0</v>
      </c>
      <c r="DJ535" s="1710">
        <f>IF(AND(__Retrofit_TI_NC&gt;0,CR535="interior"),0,IF(IB535=TRUE,AN535,0))</f>
        <v>0</v>
      </c>
      <c r="DK535" s="1712">
        <f>IFERROR(IF(IB535=TRUE,DJ537-DJ535,0),0)</f>
        <v>0</v>
      </c>
      <c r="DM535" s="1717">
        <f>IFERROR(CZ535-DJ535,0)</f>
        <v>0</v>
      </c>
      <c r="DO535" s="1708">
        <f>DM535-DN537</f>
        <v>0</v>
      </c>
      <c r="DQ535" s="1715" t="str">
        <f>IFERROR(IF(AND(OR(GC535=4,GC535=5,GC535=6),OR(GF535=4,GF535=5,GF535=6)),GC535+8,VLOOKUP(CW537,Fixtures!R$31:Y$78,8,FALSE)),"")</f>
        <v/>
      </c>
      <c r="DR535" s="1829" t="str">
        <f>DQ535</f>
        <v/>
      </c>
      <c r="DS535" s="1702" t="str">
        <f>IFERROR(VLOOKUP(DG537,Lookup!BB$3:BC$20,2,FALSE),"")</f>
        <v/>
      </c>
      <c r="DT535" s="1713" t="str">
        <f>IF(OR(DS535=7,DS535=8,DS535=9),"ALC","")</f>
        <v/>
      </c>
      <c r="DU535" s="1715">
        <f>IFERROR(IF(OR(DQ535=4,DQ535=5,DQ535=6,DQ535=12,DQ535=13,DQ535=14),VLOOKUP(CW537,Fixtures!DN$27:EG$77,19,FALSE),1)*CV537,0)</f>
        <v>0</v>
      </c>
      <c r="DV535" s="1716">
        <f>IF(OR(DS535=7,DS535=8,DS535=9),IF(DG535=DG537,0,DF537),0)</f>
        <v>0</v>
      </c>
      <c r="DX535" s="1715" t="str">
        <f>IFERROR(IF(EZ535&lt;EZ537,"Yes","No"),"")</f>
        <v/>
      </c>
      <c r="DY535" s="1829" t="str">
        <f>DX535</f>
        <v/>
      </c>
      <c r="DZ535" s="1715">
        <f>IF(DX535="Yes",DF537,0)</f>
        <v>0</v>
      </c>
      <c r="EA535" s="1715">
        <f>DZ535-DV535</f>
        <v>0</v>
      </c>
      <c r="EC535" s="1834">
        <f>IFERROR(VLOOKUP(DQ535,Lookup!AU$3:AV$16,2,FALSE),0)</f>
        <v>0</v>
      </c>
      <c r="ED535" s="1834">
        <f>IF(IB535=FALSE,0,IF(DX535="Yes",EC535+Lookup!K$6,EC535))</f>
        <v>0</v>
      </c>
      <c r="EF535" s="1707">
        <f>IF(IB535=TRUE,DM535,0)</f>
        <v>0</v>
      </c>
      <c r="EG535" s="1712">
        <f>IF(IB535=TRUE,CZ537,0)</f>
        <v>0</v>
      </c>
      <c r="EH535" s="1814">
        <f>IFERROR(EF535-EG535,0)</f>
        <v>0</v>
      </c>
      <c r="EI535" s="1712">
        <f>IF(IB535=TRUE,DJ537,0)</f>
        <v>0</v>
      </c>
      <c r="EJ535" s="1712">
        <f>IFERROR(EF535-EG535+EI535,0)</f>
        <v>0</v>
      </c>
      <c r="EK535" s="1812">
        <f>IF(IB535=TRUE,CV537*CX537,0)</f>
        <v>0</v>
      </c>
      <c r="EL535" s="1812">
        <f>IF(IB535=TRUE,DF537*DH537,0)</f>
        <v>0</v>
      </c>
      <c r="EM535" s="1807">
        <f>AR535</f>
        <v>0</v>
      </c>
      <c r="EN535" s="1839" t="str">
        <f>IFERROR(IF(IB535=TRUE,VLOOKUP(DQ535,Lookup!AU$3:AW$16,3,FALSE)*DU535,""),0)</f>
        <v/>
      </c>
      <c r="EO535" s="1839">
        <f>IF(IB535=TRUE,DZ535*Lookup!AW$12,0)</f>
        <v>0</v>
      </c>
      <c r="EP535" s="1817">
        <f>IFERROR(IF(IB535=TRUE,EN535/EP$40,0),0)</f>
        <v>0</v>
      </c>
      <c r="EQ535" s="1817">
        <f>IF(IB535=TRUE,EO535/EQ$40,0)</f>
        <v>0</v>
      </c>
      <c r="ER535" s="1807">
        <f>IF(IB535=TRUE,ET$40*EP535,0)</f>
        <v>0</v>
      </c>
      <c r="ES535" s="1807">
        <f>IF(IB535=TRUE,ET$40*EQ535,0)</f>
        <v>0</v>
      </c>
      <c r="ET535" s="1807">
        <f>ER535+ES535</f>
        <v>0</v>
      </c>
      <c r="EV535" s="1715">
        <f>IF(G535="",0,1)</f>
        <v>0</v>
      </c>
      <c r="EX535" s="1804" t="str">
        <f>IFERROR(VLOOKUP(CS537,'Space Table'!$B$3:$L$163,8,FALSE),"")</f>
        <v/>
      </c>
      <c r="EY535" s="1804" t="str">
        <f>IFERROR(IF(FB535="Yes",VLOOKUP(DG535,Lookup_Control_Type_Table2,4,FALSE),VLOOKUP(DG535,Lookup_Control_Type_Table2,3,FALSE)),"")</f>
        <v/>
      </c>
      <c r="EZ535" s="1804" t="e">
        <f>VLOOKUP(DG535,Lookup!BB$3:BC$20,2,FALSE)</f>
        <v>#N/A</v>
      </c>
      <c r="FA535" s="1804" t="e">
        <f>VLOOKUP(EX535,Lookup_Control_Type_Table,2,FALSE)</f>
        <v>#N/A</v>
      </c>
      <c r="FB535" s="1804" t="e">
        <f>VLOOKUP(CS537,'Space Table'!$B$3:$L$163,7,FALSE)</f>
        <v>#N/A</v>
      </c>
      <c r="FC535" s="1826" t="b">
        <f>ISNUMBER(SEARCH("TLED",U537))</f>
        <v>0</v>
      </c>
      <c r="FE535" s="1698" t="str">
        <f>CONCATENATE(CQ535," - ",DG535)</f>
        <v xml:space="preserve"> - 0</v>
      </c>
      <c r="FG535" s="1702" t="str">
        <f>VLOOKUP(CW537,Fixtures!DN$27:EZ$77,38,FALSE)</f>
        <v/>
      </c>
      <c r="FH535" s="1702">
        <f>IFERROR(FG535*EH535,0)</f>
        <v>0</v>
      </c>
      <c r="FI535" s="133"/>
      <c r="FL535" s="1822" t="str">
        <f>IF(CQ535="Exterior","Not Daylighted",G538)</f>
        <v>Not Daylighted</v>
      </c>
      <c r="FM535" s="1824">
        <f>VLOOKUP(FL535,_New_Daylight_Table_Codes,2,FALSE)</f>
        <v>0</v>
      </c>
      <c r="FN535" s="1698">
        <f>IF(__Retrofit_TI_NC&gt;0,VLOOKUP(G537,'Space Table'!$B$3:$L$163,11,FALSE),AG536)</f>
        <v>0</v>
      </c>
      <c r="FO535" s="1698" t="e">
        <f>IF(__Retrofit_TI_NC=2,VLOOKUP(FQ535,_Control_Table,2,FALSE),VLOOKUP(FN535,_Control_Table,2,FALSE))</f>
        <v>#N/A</v>
      </c>
      <c r="FP535" s="1678" t="e">
        <f>VLOOKUP(CONCATENATE(FL535," ",FN535),Lookup!AY$102:AZ545,2,FALSE)</f>
        <v>#N/A</v>
      </c>
      <c r="FQ535" s="1678">
        <f>IF(__Retrofit_TI_NC=0,FN535,IF(AND(FT535&gt;0,FN535="Occupancy Sensor"),"Daylight + Occupancy",IF(AND(FT535&gt;0,VLOOKUP(FN535,_Control_Table,2,FALSE)&lt;4),"Interior Daylight Dimming",FN535)))</f>
        <v>0</v>
      </c>
      <c r="FS535" s="1686">
        <f>IF(CR535="Interior",VLOOKUP(CS535,Control_Savings_Interior,5,FALSE),0)</f>
        <v>0</v>
      </c>
      <c r="FT535" s="1687">
        <f>IF(CQ535="Exterior",0,IF(FM535=2,0.5,IF(OR(FM535=1,FM535=3),1,0)))</f>
        <v>0</v>
      </c>
      <c r="FU535" s="1685">
        <f>IF(R534&gt;FS$44,(FS535*(FS$44/R534)),FS535)*FT535</f>
        <v>0</v>
      </c>
      <c r="FV535" s="1686">
        <f>DI535</f>
        <v>0</v>
      </c>
      <c r="FW535" s="1686">
        <f>ROUND(FV535+((1-FV535)*FU535),2)</f>
        <v>0</v>
      </c>
      <c r="FX535" s="1686">
        <f>IF(__Retrofit_TI_NC=2,FW535,FV535)</f>
        <v>0</v>
      </c>
      <c r="FY535" s="1697"/>
      <c r="GA535" s="1696" t="str">
        <f>IFERROR(VLOOKUP(U536,_Exist_Fixture_Table,3,FALSE),"")</f>
        <v/>
      </c>
      <c r="GB535" s="1696" t="str">
        <f>VLOOKUP(CW535,_Exist_Fixture_Table,4,FALSE)</f>
        <v/>
      </c>
      <c r="GC535" s="1696">
        <f>IFERROR(VLOOKUP(GB535,Lookup!AT$6:AU$8,2,FALSE),0)</f>
        <v>0</v>
      </c>
      <c r="GD535" s="1696" t="b">
        <f>IFERROR(IF(OR(GF535=4,GF535=5,GF535=6),TRUE,FALSE),"")</f>
        <v>0</v>
      </c>
      <c r="GE535" s="1696" t="str">
        <f>IFERROR(VLOOKUP(GF535,GC$6:GD$10,2,FALSE),"")</f>
        <v/>
      </c>
      <c r="GF535" s="1696" t="str">
        <f>VLOOKUP(CW537,Fixtures!R$31:Y$78,8,FALSE)</f>
        <v/>
      </c>
      <c r="GG535" s="1696">
        <f>IF(AND(GA535=TRUE,GD535=TRUE,OR(DQ535=12,DQ535=13,DQ535=14)),GC535+8,0)</f>
        <v>0</v>
      </c>
      <c r="GH535" s="1696" t="b">
        <f>IF(OR(GG535=12,GG535=13,GG535=14),TRUE,FALSE)</f>
        <v>0</v>
      </c>
      <c r="GI535" s="673" t="b">
        <f>IF(ISNUMBER(SEARCH("TLED",U536)),TRUE,FALSE)</f>
        <v>0</v>
      </c>
      <c r="GJ535" s="1135" t="str">
        <f>IFERROR(VLOOKUP(U536,Fixtures!BM$93:BR$142,6,FALSE),"")</f>
        <v/>
      </c>
      <c r="GK535" s="1832" t="b">
        <f>IF(OR(GI535=FALSE,GI537=FALSE),TRUE,IF(GJ535-GJ537&lt;5,FALSE,TRUE))</f>
        <v>1</v>
      </c>
      <c r="GO535" s="674">
        <f>GP535</f>
        <v>0</v>
      </c>
      <c r="GP535" s="674">
        <f>IF(G535="",0,1)</f>
        <v>0</v>
      </c>
      <c r="GQ535" s="674">
        <f ca="1">SUM(GR535:HF535)</f>
        <v>2</v>
      </c>
      <c r="GR535" s="674">
        <f>IF(G536="",0,1)</f>
        <v>0</v>
      </c>
      <c r="GS535" s="674">
        <f>IF(N538="BAM",1,IF(G537="",0,1))</f>
        <v>0</v>
      </c>
      <c r="GT535" s="674">
        <f>IF(N538="BAM",1,IF(R536="",0,1))</f>
        <v>0</v>
      </c>
      <c r="GU535" s="674">
        <f>IF(N538="BAM",1,IF(__Retrofit_TI_NC=0,1,IF(R537="",0,1)))</f>
        <v>1</v>
      </c>
      <c r="GV535" s="674">
        <f>IF(N538="BAM",1,IF(CQ535="Exterior",1,IF(G538="",0,1)))</f>
        <v>1</v>
      </c>
      <c r="GW535" s="674">
        <f>IF(__Retrofit_TI_NC&gt;0,1,IF(T536="",0,1))</f>
        <v>0</v>
      </c>
      <c r="GX535" s="674">
        <f>IF(__Retrofit_TI_NC&gt;0,1,IF(U536="",0,1))</f>
        <v>0</v>
      </c>
      <c r="GY535" s="674">
        <f>IF(N538="BAM",1,IF(T537="",0,1))</f>
        <v>0</v>
      </c>
      <c r="GZ535" s="674">
        <f>IF(N538="BAM",1,IF(U537="",0,1))</f>
        <v>0</v>
      </c>
      <c r="HA535" s="674">
        <f ca="1">IF(N538="BAM",1,IF(__Retrofit_TI_NC&gt;0,1,IF(U538="",0,1)))</f>
        <v>0</v>
      </c>
      <c r="HB535" s="674">
        <f>IF(__Retrofit_TI_NC&lt;&gt;0,1,IF(AF536="",0,1))</f>
        <v>0</v>
      </c>
      <c r="HC535" s="674">
        <f>IF(__Retrofit_TI_NC&lt;&gt;0,1,IF(AG536="",0,1))</f>
        <v>0</v>
      </c>
      <c r="HD535" s="674">
        <f>IF(N538="BAM",1,IF(AF537="",0,1))</f>
        <v>0</v>
      </c>
      <c r="HE535" s="674">
        <f>IF(N538="BAM",1,IF(AG537="",0,1))</f>
        <v>0</v>
      </c>
      <c r="HF535" s="674">
        <f>IF(N538="BAM",1,IF(__Retrofit_TI_NC&gt;0,1,IF(AG538="",0,1)))</f>
        <v>0</v>
      </c>
      <c r="HG535" s="391"/>
      <c r="IA535" s="391"/>
      <c r="IB535" s="1693" t="b">
        <f>IF(OR(IB538=0,IB538=HY$16,IB538=HX$16,IB538=HZ$16),TRUE,FALSE)</f>
        <v>0</v>
      </c>
      <c r="IC535" s="1694" t="b">
        <f>IB535</f>
        <v>0</v>
      </c>
      <c r="ID535" s="391"/>
      <c r="IE535" s="391"/>
      <c r="IF535" s="1688" t="b">
        <f ca="1">IF(MAX(GN538:HU538)&gt;5,FALSE,TRUE)</f>
        <v>0</v>
      </c>
      <c r="IG535" s="1689">
        <f ca="1">IF(IF535=TRUE,AC535,0)</f>
        <v>0</v>
      </c>
      <c r="IH535" s="1689">
        <f ca="1">IG535-IG537</f>
        <v>0</v>
      </c>
      <c r="IK535" s="1689" t="e">
        <f>ROUND(T536*VLOOKUP(U536,Fixtures_Existing_List,2,FALSE)*N536*R536/1000,0)</f>
        <v>#N/A</v>
      </c>
      <c r="IL535" s="1690" t="e">
        <f>IK535-IK537</f>
        <v>#N/A</v>
      </c>
      <c r="IM535" s="1693" t="e">
        <f>ROUND(IF(CQ535="Interior",N537*R537*R536*N536*_C406_reduction/1000,N537*R537*R536*N536/1000),0)</f>
        <v>#N/A</v>
      </c>
      <c r="IN535" s="1693" t="e">
        <f>IM535-IM537</f>
        <v>#N/A</v>
      </c>
      <c r="IP535" s="1679"/>
      <c r="IQ535" s="1679" t="e">
        <f t="shared" ref="IQ535:IU535" si="486">IF($CR535="interior",VLOOKUP($CS535,_New_Control_Savings_Interior,IQ$30,FALSE),VLOOKUP($CS535,Control_Savings_Exterior,IQ$30,FALSE))</f>
        <v>#N/A</v>
      </c>
      <c r="IR535" s="1679" t="e">
        <f t="shared" si="486"/>
        <v>#N/A</v>
      </c>
      <c r="IS535" s="1679" t="e">
        <f t="shared" si="486"/>
        <v>#N/A</v>
      </c>
      <c r="IT535" s="1679" t="e">
        <f t="shared" si="486"/>
        <v>#N/A</v>
      </c>
      <c r="IU535" s="1679" t="e">
        <f t="shared" si="486"/>
        <v>#N/A</v>
      </c>
      <c r="IV535" s="1679" t="e">
        <f>IF($CR535="interior",IF(R536&gt;$IP$14,ROUND(($IV$18*($IP$14/R536)),2),$IV$18),VLOOKUP($CS535,Control_Savings_Exterior,IV$30,FALSE))</f>
        <v>#N/A</v>
      </c>
      <c r="IW535" s="1679" t="e">
        <f>IF($CR535="interior",ROUND(((1-IS535)*IV535)+IS535,2),VLOOKUP($CS535,Control_Savings_Exterior,IW$30,FALSE))</f>
        <v>#N/A</v>
      </c>
      <c r="IX535" s="1679" t="e">
        <f>IF($CR535="interior",ROUND(((1-IT535)*IV535)+IT535,2),VLOOKUP($CS535,Control_Savings_Exterior,IX$30,FALSE))</f>
        <v>#N/A</v>
      </c>
      <c r="IY535" s="1679" t="e">
        <f>IF($CR535="interior",IF(R536&gt;$IP$14,ROUND(($IY$18*($IP$14/R536)),2),$IY$18),VLOOKUP($CS535,Control_Savings_Exterior,IY$30,FALSE))</f>
        <v>#N/A</v>
      </c>
      <c r="IZ535" s="1679" t="e">
        <f>IF($CR535="interior",ROUND(((1-IS535)*IY535)+IS535,2),VLOOKUP($CS535,Control_Savings_Exterior,IZ$30,FALSE))</f>
        <v>#N/A</v>
      </c>
      <c r="JA535" s="1679" t="e">
        <f>IF($CR535="interior",ROUND(((1-IT535)*IY535)+IT535,2),VLOOKUP($CS535,Control_Savings_Exterior,JA$30,FALSE))</f>
        <v>#N/A</v>
      </c>
      <c r="JC535" s="1680">
        <f>IFERROR(IF(CR535="Interior",CONCATENATE(G538," ",FQ535),FQ535),"")</f>
        <v>0</v>
      </c>
      <c r="JD535" s="1670" t="str">
        <f>IFERROR(VLOOKUP(JC535,_Controls_2023,2,FALSE),"")</f>
        <v/>
      </c>
      <c r="JE535" s="1681">
        <f>IFERROR(CHOOSE(JD535-1,IQ535,IR535,IS535,IT535,IU535,IV535,IW535,IX535,IY535,IZ535,JA535),0)</f>
        <v>0</v>
      </c>
      <c r="JG535" s="1680" t="str">
        <f>FE535</f>
        <v xml:space="preserve"> - 0</v>
      </c>
      <c r="JH535" s="1670" t="e">
        <f>$FO535</f>
        <v>#N/A</v>
      </c>
      <c r="JI535" s="1060"/>
      <c r="JJ535" s="1682" t="b">
        <f>IF($JG537=CONCATENATE("Interior - ",JJ$4),TRUE,FALSE)</f>
        <v>0</v>
      </c>
      <c r="JK535" s="1061"/>
      <c r="JL535" s="1682" t="b">
        <f>IF($JG537=CONCATENATE("Interior - ",JL$4),TRUE,FALSE)</f>
        <v>0</v>
      </c>
      <c r="JM535" s="1061"/>
      <c r="JN535" s="1682" t="b">
        <f>IF($JG537=CONCATENATE("Interior - ",JN$4),TRUE,FALSE)</f>
        <v>0</v>
      </c>
      <c r="JO535" s="1061"/>
      <c r="JP535" s="1682" t="b">
        <f>IF(__Retrofit_TI_NC&gt;0,FALSE,IF($JG537=CONCATENATE("Interior - ",JP$4),TRUE,FALSE))</f>
        <v>0</v>
      </c>
      <c r="JQ535" s="1061"/>
      <c r="JR535" s="1682" t="b">
        <f>IF(__Retrofit_TI_NC&gt;0,FALSE,IF($JG537=CONCATENATE("Interior - ",JR$4),TRUE,FALSE))</f>
        <v>0</v>
      </c>
      <c r="JS535" s="1061"/>
      <c r="JT535" s="1670" t="b">
        <f>IF(__Retrofit_TI_NC&gt;0,FALSE,IF($JG537=CONCATENATE("Interior - ",JT$4),TRUE,FALSE))</f>
        <v>0</v>
      </c>
      <c r="JU535" s="1061"/>
      <c r="JV535" s="1670" t="b">
        <f>IF(JC537="AELC on Existing",TRUE,FALSE)</f>
        <v>0</v>
      </c>
      <c r="JX535" s="1670" t="b">
        <f>IF(OR(JG537="Exterior - AELC Occupancy based",JG537="Exterior - AELC Time based"),TRUE,FALSE)</f>
        <v>0</v>
      </c>
      <c r="JZ535" s="1682" t="b">
        <f>IF($JG537=CONCATENATE("Exterior - ",JZ$4),TRUE,FALSE)</f>
        <v>0</v>
      </c>
      <c r="KB535" s="1670" t="b">
        <f>IF(__Retrofit_TI_NC&gt;0,FALSE,IF($JG537=CONCATENATE("Interior - ",KB$4),TRUE,FALSE))</f>
        <v>0</v>
      </c>
    </row>
    <row r="536" spans="1:288" s="78" customFormat="1" ht="14.95" customHeight="1" thickTop="1" thickBot="1">
      <c r="B536" s="1845"/>
      <c r="C536" s="1846"/>
      <c r="D536" s="1847"/>
      <c r="E536" s="1737" t="s">
        <v>297</v>
      </c>
      <c r="F536" s="1738"/>
      <c r="G536" s="1739"/>
      <c r="H536" s="1739"/>
      <c r="I536" s="1739"/>
      <c r="J536" s="1739"/>
      <c r="K536" s="1739"/>
      <c r="L536" s="1739"/>
      <c r="M536" s="461" t="e">
        <f>IF(__Retrofit_TI_NC&lt;&gt;0,IF(VLOOKUP(G537,'Space Table'!$B$3:$L$163,3,FALSE)&gt;0,1,0),IF(__Retrofit_TI_NC=VLOOKUP(G537,'Space Table'!$B$3:$L$163,3,FALSE),1,0))</f>
        <v>#N/A</v>
      </c>
      <c r="N536" s="461" t="str">
        <f>IFERROR(VLOOKUP(G536,_Lookup_Heat_Type_Table_New,2,FALSE),"")</f>
        <v/>
      </c>
      <c r="O536" s="461">
        <f>IF(__Retrofit_TI_NC=1,CONCATENATE("TI ",G536),IF(__Retrofit_TI_NC=2,CONCATENATE("NC ",G536),G536))</f>
        <v>0</v>
      </c>
      <c r="P536" s="1740" t="s">
        <v>435</v>
      </c>
      <c r="Q536" s="1740"/>
      <c r="R536" s="595"/>
      <c r="S536" s="1792"/>
      <c r="T536" s="597"/>
      <c r="U536" s="1765"/>
      <c r="V536" s="1766"/>
      <c r="W536" s="1766"/>
      <c r="X536" s="1766"/>
      <c r="Y536" s="1766"/>
      <c r="Z536" s="1766"/>
      <c r="AA536" s="1766"/>
      <c r="AB536" s="1766"/>
      <c r="AC536" s="1766"/>
      <c r="AD536" s="1767"/>
      <c r="AE536" s="1000"/>
      <c r="AF536" s="597"/>
      <c r="AG536" s="1723"/>
      <c r="AH536" s="1724"/>
      <c r="AI536" s="1724"/>
      <c r="AJ536" s="1724"/>
      <c r="AK536" s="1725"/>
      <c r="AL536" s="996"/>
      <c r="AM536" s="1747"/>
      <c r="AN536" s="1775"/>
      <c r="AO536" s="1777"/>
      <c r="AP536" s="1780"/>
      <c r="AQ536" s="1781"/>
      <c r="AR536" s="1795"/>
      <c r="AS536" s="1795"/>
      <c r="AT536" s="1796"/>
      <c r="AU536" s="1735"/>
      <c r="AV536" s="1752"/>
      <c r="AW536" s="1705"/>
      <c r="AX536" s="467"/>
      <c r="AY536" s="1749"/>
      <c r="AZ536" s="1749"/>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696"/>
      <c r="CQ536" s="1696"/>
      <c r="CR536" s="1809"/>
      <c r="CS536" s="1811"/>
      <c r="CU536" s="1688"/>
      <c r="CV536" s="1703"/>
      <c r="CW536" s="1703"/>
      <c r="CX536" s="1703"/>
      <c r="CY536" s="1815"/>
      <c r="CZ536" s="1711"/>
      <c r="DA536" s="1818"/>
      <c r="DB536" s="1820"/>
      <c r="DC536" s="1820"/>
      <c r="DD536" s="1820"/>
      <c r="DF536" s="1703"/>
      <c r="DG536" s="1831"/>
      <c r="DH536" s="1703"/>
      <c r="DI536" s="1838"/>
      <c r="DJ536" s="1711"/>
      <c r="DK536" s="1712"/>
      <c r="DM536" s="1718"/>
      <c r="DO536" s="1708"/>
      <c r="DQ536" s="1715"/>
      <c r="DR536" s="1720"/>
      <c r="DS536" s="1816"/>
      <c r="DT536" s="1714"/>
      <c r="DU536" s="1715"/>
      <c r="DV536" s="1716"/>
      <c r="DX536" s="1715"/>
      <c r="DY536" s="1720"/>
      <c r="DZ536" s="1715"/>
      <c r="EA536" s="1715"/>
      <c r="EC536" s="1834"/>
      <c r="ED536" s="1834"/>
      <c r="EF536" s="1707"/>
      <c r="EG536" s="1712"/>
      <c r="EH536" s="1818"/>
      <c r="EI536" s="1712"/>
      <c r="EJ536" s="1712"/>
      <c r="EK536" s="1836"/>
      <c r="EL536" s="1836"/>
      <c r="EM536" s="1807"/>
      <c r="EN536" s="1839"/>
      <c r="EO536" s="1839"/>
      <c r="EP536" s="1817"/>
      <c r="EQ536" s="1817"/>
      <c r="ER536" s="1807"/>
      <c r="ES536" s="1807"/>
      <c r="ET536" s="1807"/>
      <c r="EV536" s="1715"/>
      <c r="EX536" s="1805"/>
      <c r="EY536" s="1805"/>
      <c r="EZ536" s="1805"/>
      <c r="FA536" s="1805"/>
      <c r="FB536" s="1805"/>
      <c r="FC536" s="1827"/>
      <c r="FE536" s="1698"/>
      <c r="FG536" s="1816"/>
      <c r="FH536" s="1816"/>
      <c r="FI536" s="133"/>
      <c r="FL536" s="1823"/>
      <c r="FM536" s="1825"/>
      <c r="FN536" s="1698"/>
      <c r="FO536" s="1698"/>
      <c r="FP536" s="1678"/>
      <c r="FQ536" s="1678"/>
      <c r="FS536" s="1687"/>
      <c r="FT536" s="1687"/>
      <c r="FU536" s="1685"/>
      <c r="FV536" s="1687"/>
      <c r="FW536" s="1687"/>
      <c r="FX536" s="1687"/>
      <c r="FY536" s="1697"/>
      <c r="GA536" s="1696"/>
      <c r="GB536" s="1696"/>
      <c r="GC536" s="1696"/>
      <c r="GD536" s="1696"/>
      <c r="GE536" s="1696"/>
      <c r="GF536" s="1696"/>
      <c r="GG536" s="1696"/>
      <c r="GH536" s="1696"/>
      <c r="GI536" s="673"/>
      <c r="GJ536" s="1135"/>
      <c r="GK536" s="1832"/>
      <c r="GM536" s="1693" t="b">
        <f ca="1">IF(AND(GP536=TRUE,GQ536=TRUE),TRUE,FALSE)</f>
        <v>0</v>
      </c>
      <c r="GN536" s="1684" t="b">
        <f>IFERROR(IF(__Retrofit_TI_NC=2,TRUE,IF(AU535="Yes",TRUE,FALSE)),FALSE)</f>
        <v>1</v>
      </c>
      <c r="GP536" s="1684" t="b">
        <f>IFERROR(IF(GP535=1,TRUE,FALSE),FALSE)</f>
        <v>0</v>
      </c>
      <c r="GQ536" s="1684" t="b">
        <f ca="1">IFERROR(IF(GQ535=GQ$14,TRUE,FALSE),FALSE)</f>
        <v>0</v>
      </c>
      <c r="HG536" s="1684" t="b">
        <f>IFERROR(IF(AND(__Retrofit_TI_NC&gt;0,CQ535="Interior"),FALSE,TRUE),FALSE)</f>
        <v>1</v>
      </c>
      <c r="HH536" s="1684" t="b">
        <f>IFERROR(IF(M536=1,TRUE,FALSE),FALSE)</f>
        <v>0</v>
      </c>
      <c r="HI536" s="1684" t="b">
        <f>IFERROR(IF(OR(M537=1,N538="BAM"),TRUE,FALSE),FALSE)</f>
        <v>0</v>
      </c>
      <c r="HJ536" s="1684" t="b">
        <f>IFERROR(IF(__Retrofit_TI_NC&lt;&gt;0,TRUE,IFERROR(IF(VLOOKUP(U536,Fixtures_Existing_List,2,FALSE)&lt;&gt;"",TRUE,FALSE),FALSE)),FALSE)</f>
        <v>0</v>
      </c>
      <c r="HK536" s="1684" t="b">
        <f>IFERROR(IF(VLOOKUP(U537,Fixtures_Proposed_List,2,FALSE)&lt;&gt;"",TRUE,FALSE),FALSE)</f>
        <v>0</v>
      </c>
      <c r="HL536" s="1684" t="b">
        <f>IF(AND(__Retrofit_TI_NC=2,FC535=TRUE),FALSE,TRUE)</f>
        <v>1</v>
      </c>
      <c r="HM536" s="1684" t="b">
        <f>GK535</f>
        <v>1</v>
      </c>
      <c r="HN536" s="1682" t="b">
        <f>IF(ISERROR(MATCH(FE535,_Control_Match[],0))=TRUE,FALSE,TRUE)</f>
        <v>0</v>
      </c>
      <c r="HO536" s="1693" t="b">
        <f>IFERROR(IF(EX535&lt;&gt;EY535,FALSE,TRUE),FALSE)</f>
        <v>1</v>
      </c>
      <c r="HP536" s="1693" t="b">
        <f>IFERROR(IF(EX537&lt;&gt;EY537,FALSE,TRUE),FALSE)</f>
        <v>1</v>
      </c>
      <c r="HQ536" s="1670" t="b">
        <f>IFERROR(IF(CQ535="Exterior",TRUE,IF(AND(OR(FM537=0,FM537=3),JD537&gt;6),FALSE,TRUE)),FALSE)</f>
        <v>0</v>
      </c>
      <c r="HR536" s="1684" t="b">
        <f>IFERROR(IF(AND(FO537=7,FC535=TRUE),FALSE,TRUE),FALSE)</f>
        <v>0</v>
      </c>
      <c r="HS536" s="1684" t="b">
        <f>IFERROR(IF(AND(T537&lt;&gt;AF537,OR(AG537="Interior LLLC", AG537="Interior NLC", AG537="LLLC (outside Daylight)",AG537="LLLC Controls Only"))=TRUE,FALSE,TRUE),FALSE)</f>
        <v>1</v>
      </c>
      <c r="HT536" s="1670" t="b">
        <f>IFERROR(IF(OR(AG537=Lookup!BB$17,AG537=Lookup!BB$18,AG537=Lookup!BB$19)=TRUE,IF(AF537&gt;T537,FALSE,TRUE),TRUE),FALSE)</f>
        <v>1</v>
      </c>
      <c r="HU536" s="1684" t="b">
        <f>IFERROR(IF(__Retrofit_TI_NC=2,IF(EZ537&lt;EZ535,FALSE,TRUE),TRUE),FALSE)</f>
        <v>1</v>
      </c>
      <c r="HV536" s="1684" t="b">
        <f>IF(CQ535="Interior",IL$6,TRUE)</f>
        <v>1</v>
      </c>
      <c r="HW536" s="1684" t="b">
        <f>IF(CQ535="Exterior",IL$8,TRUE)</f>
        <v>1</v>
      </c>
      <c r="HX536" s="1684" t="b">
        <f>IFERROR(IF(__Retrofit_TI_NC&lt;&gt;0,IF(AZ535&lt;AY535,FALSE,TRUE),TRUE),FALSE)</f>
        <v>1</v>
      </c>
      <c r="HY536" s="1684" t="b">
        <f>IFERROR(IF(AND(G536="Exterior",R536&gt;4200),FALSE,TRUE),FALSE)</f>
        <v>1</v>
      </c>
      <c r="HZ536" s="1684" t="b">
        <f>IFERROR(IF(AB538/AB535&lt;HZ$18,FALSE,TRUE),FALSE)</f>
        <v>0</v>
      </c>
      <c r="IB536" s="1691"/>
      <c r="IC536" s="1695"/>
      <c r="ID536" s="1694" t="str">
        <f>VLOOKUP(IB538,_Error_Table,4,FALSE)</f>
        <v>White</v>
      </c>
      <c r="IE536" s="391"/>
      <c r="IF536" s="1688"/>
      <c r="IG536" s="1689"/>
      <c r="IH536" s="1684"/>
      <c r="IK536" s="1689"/>
      <c r="IL536" s="1691"/>
      <c r="IM536" s="1691"/>
      <c r="IN536" s="1691"/>
      <c r="IP536" s="1679"/>
      <c r="IQ536" s="1679"/>
      <c r="IR536" s="1679"/>
      <c r="IS536" s="1679"/>
      <c r="IT536" s="1679"/>
      <c r="IU536" s="1679"/>
      <c r="IV536" s="1679"/>
      <c r="IW536" s="1679"/>
      <c r="IX536" s="1679"/>
      <c r="IY536" s="1679"/>
      <c r="IZ536" s="1679"/>
      <c r="JA536" s="1679"/>
      <c r="JC536" s="1680"/>
      <c r="JD536" s="1670"/>
      <c r="JE536" s="1681"/>
      <c r="JG536" s="1680"/>
      <c r="JH536" s="1670"/>
      <c r="JI536" s="1060"/>
      <c r="JJ536" s="1683"/>
      <c r="JK536" s="1061"/>
      <c r="JL536" s="1683"/>
      <c r="JM536" s="1061"/>
      <c r="JN536" s="1683"/>
      <c r="JO536" s="1061"/>
      <c r="JP536" s="1683"/>
      <c r="JQ536" s="1061"/>
      <c r="JR536" s="1683"/>
      <c r="JS536" s="1061"/>
      <c r="JT536" s="1670"/>
      <c r="JU536" s="1061"/>
      <c r="JV536" s="1670"/>
      <c r="JX536" s="1670"/>
      <c r="JZ536" s="1683"/>
      <c r="KB536" s="1670"/>
    </row>
    <row r="537" spans="1:288" s="78" customFormat="1" ht="14.95" customHeight="1" thickTop="1" thickBot="1">
      <c r="A537" s="78">
        <f>ROW()</f>
        <v>537</v>
      </c>
      <c r="B537" s="1845"/>
      <c r="C537" s="1846"/>
      <c r="D537" s="1847"/>
      <c r="E537" s="1737" t="s">
        <v>298</v>
      </c>
      <c r="F537" s="1738"/>
      <c r="G537" s="1760"/>
      <c r="H537" s="1761"/>
      <c r="I537" s="1761"/>
      <c r="J537" s="1761"/>
      <c r="K537" s="1761"/>
      <c r="L537" s="1762"/>
      <c r="M537" s="461">
        <f>IFERROR(IF(IF(__Retrofit_TI_NC&lt;&gt;0,IF(CQ535="Interior",MATCH(G537,Lookup_Interior_New,0),MATCH(G537,Lookup_Exterior_New,0)),IF(CQ535="Interior",MATCH(G537,Lookup_Interior,0),MATCH(G537,Lookup_Exterior_Areas,0)))&gt;0,1,0),0)</f>
        <v>0</v>
      </c>
      <c r="N537" s="461" t="e">
        <f>IF(__Retrofit_TI_NC=1,
VLOOKUP(G537,'Space Table'!$B$3:$L$163,4,FALSE),
IF(__Retrofit_TI_NC=2,VLOOKUP(G537,'Space Table'!$B$3:$L$163,5,FALSE),VLOOKUP(G537,'Space Table'!$B$3:$L$163,5,FALSE)))</f>
        <v>#N/A</v>
      </c>
      <c r="O537" s="461">
        <f>G537</f>
        <v>0</v>
      </c>
      <c r="P537" s="1738" t="str">
        <f>IFERROR(IF(__Retrofit_TI_NC=1,VLOOKUP(G537,'Space Table'!$B$3:$O$163,13,FALSE),IF(__Retrofit_TI_NC=2,VLOOKUP(G537,'Space Table'!$B$3:$O$163,14,FALSE),"Area (sf):")),"Area (sf):")</f>
        <v>Area (sf):</v>
      </c>
      <c r="Q537" s="1738"/>
      <c r="R537" s="596"/>
      <c r="S537" s="1763" t="s">
        <v>345</v>
      </c>
      <c r="T537" s="594"/>
      <c r="U537" s="1801"/>
      <c r="V537" s="1802"/>
      <c r="W537" s="1802"/>
      <c r="X537" s="1802"/>
      <c r="Y537" s="1802"/>
      <c r="Z537" s="1802"/>
      <c r="AA537" s="1802"/>
      <c r="AB537" s="1802"/>
      <c r="AC537" s="1802"/>
      <c r="AD537" s="1802"/>
      <c r="AE537" s="1803"/>
      <c r="AF537" s="594"/>
      <c r="AG537" s="1787"/>
      <c r="AH537" s="1787"/>
      <c r="AI537" s="1787"/>
      <c r="AJ537" s="1787"/>
      <c r="AK537" s="1787"/>
      <c r="AL537" s="1787"/>
      <c r="AM537" s="1726">
        <f>IFERROR(DI537,"")</f>
        <v>0</v>
      </c>
      <c r="AN537" s="1728" t="str">
        <f>IFERROR(ROUND(AM537*AC538,0),"")</f>
        <v/>
      </c>
      <c r="AO537" s="1730">
        <f>IFERROR(IF(IB535=FALSE,0,AC538-AN537),0)</f>
        <v>0</v>
      </c>
      <c r="AP537" s="1780"/>
      <c r="AQ537" s="1781"/>
      <c r="AR537" s="1795"/>
      <c r="AS537" s="1795"/>
      <c r="AT537" s="1796"/>
      <c r="AU537" s="1735"/>
      <c r="AV537" s="1752"/>
      <c r="AW537" s="1705"/>
      <c r="AX537" s="467"/>
      <c r="AY537" s="1749"/>
      <c r="AZ537" s="1749"/>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696"/>
      <c r="CQ537" s="1696"/>
      <c r="CR537" s="1808" t="str">
        <f>CQ535</f>
        <v/>
      </c>
      <c r="CS537" s="1810" t="str">
        <f>CS535</f>
        <v/>
      </c>
      <c r="CU537" s="1688" t="s">
        <v>345</v>
      </c>
      <c r="CV537" s="1702">
        <f>IF(IB535=TRUE,T537,0)</f>
        <v>0</v>
      </c>
      <c r="CW537" s="1702" t="str">
        <f>IF(IB535=TRUE,U537,"")</f>
        <v/>
      </c>
      <c r="CX537" s="1812">
        <f>IF(IB535=TRUE,U538,0)</f>
        <v>0</v>
      </c>
      <c r="CY537" s="1814">
        <f>IF(IB535=TRUE,AB538,0)</f>
        <v>0</v>
      </c>
      <c r="CZ537" s="1710">
        <f>IF(AND(__Retrofit_TI_NC&gt;0,CR535="interior"),0,IF(IB535=TRUE,AC538,0))</f>
        <v>0</v>
      </c>
      <c r="DA537" s="1818"/>
      <c r="DB537" s="1820"/>
      <c r="DC537" s="1820"/>
      <c r="DD537" s="1820"/>
      <c r="DF537" s="1702">
        <f>IF(IB535=TRUE,AF537,0)</f>
        <v>0</v>
      </c>
      <c r="DG537" s="1830" t="str">
        <f>IF(IB535=TRUE,AG537,"")</f>
        <v/>
      </c>
      <c r="DH537" s="1812">
        <f>AG538</f>
        <v>0</v>
      </c>
      <c r="DI537" s="1837">
        <f>JE537</f>
        <v>0</v>
      </c>
      <c r="DJ537" s="1710">
        <f>IF(AND(__Retrofit_TI_NC&gt;0,CR535="interior"),0,IF(IB535=TRUE,AN537,0))</f>
        <v>0</v>
      </c>
      <c r="DK537" s="1712"/>
      <c r="DN537" s="1717">
        <f>IFERROR(CZ537-DJ537,0)</f>
        <v>0</v>
      </c>
      <c r="DO537" s="1709"/>
      <c r="DQ537" s="1715"/>
      <c r="DR537" s="1719" t="str">
        <f>DQ535</f>
        <v/>
      </c>
      <c r="DS537" s="1816"/>
      <c r="DT537" s="1835" t="str">
        <f>IF(OR(DS535=7,DS535=8,DS535=9),"ALC","")</f>
        <v/>
      </c>
      <c r="DU537" s="1715"/>
      <c r="DV537" s="1716"/>
      <c r="DX537" s="1715"/>
      <c r="DY537" s="1829" t="str">
        <f>DX535</f>
        <v/>
      </c>
      <c r="DZ537" s="1715"/>
      <c r="EA537" s="1715"/>
      <c r="EC537" s="1834"/>
      <c r="ED537" s="1834"/>
      <c r="EF537" s="1707"/>
      <c r="EG537" s="1712"/>
      <c r="EH537" s="1818"/>
      <c r="EI537" s="1712"/>
      <c r="EJ537" s="1712"/>
      <c r="EK537" s="1836"/>
      <c r="EL537" s="1836"/>
      <c r="EM537" s="1807"/>
      <c r="EN537" s="1839"/>
      <c r="EO537" s="1839"/>
      <c r="EP537" s="1817"/>
      <c r="EQ537" s="1817"/>
      <c r="ER537" s="1807"/>
      <c r="ES537" s="1807"/>
      <c r="ET537" s="1807"/>
      <c r="EV537" s="1715"/>
      <c r="EX537" s="1805" t="str">
        <f>IFERROR(VLOOKUP(CS537,'Space Table'!$B$3:$L$163,8,FALSE),"")</f>
        <v/>
      </c>
      <c r="EY537" s="1805" t="str">
        <f>IFERROR(IF(FB537="Yes",VLOOKUP(AG537,Lookup_Control_Type_Table2,4,FALSE),VLOOKUP(AG537,Lookup_Control_Type_Table2,3,FALSE)),"")</f>
        <v/>
      </c>
      <c r="EZ537" s="1805" t="e">
        <f>VLOOKUP(AG537,Lookup!BB$3:BC$20,2,FALSE)</f>
        <v>#N/A</v>
      </c>
      <c r="FA537" s="1805" t="e">
        <f>VLOOKUP(EX535,Lookup_Control_Type_Table,2,FALSE)</f>
        <v>#N/A</v>
      </c>
      <c r="FB537" s="1805" t="e">
        <f>VLOOKUP(CS537,'Space Table'!$B$3:$L$163,7,FALSE)</f>
        <v>#N/A</v>
      </c>
      <c r="FC537" s="1827"/>
      <c r="FE537" s="1698" t="str">
        <f>CONCATENATE(CQ535," - ",AG537)</f>
        <v xml:space="preserve"> - </v>
      </c>
      <c r="FG537" s="1816"/>
      <c r="FH537" s="1816"/>
      <c r="FI537" s="133"/>
      <c r="FL537" s="1822" t="str">
        <f>IF(CQ535="Exterior","Not Daylighted",G538)</f>
        <v>Not Daylighted</v>
      </c>
      <c r="FM537" s="1824">
        <f>VLOOKUP(FL537,_New_Daylight_Table_Codes,2,FALSE)</f>
        <v>0</v>
      </c>
      <c r="FN537" s="1698">
        <f>AG537</f>
        <v>0</v>
      </c>
      <c r="FO537" s="1698" t="e">
        <f>VLOOKUP(FN537,_Control_Table,2,FALSE)</f>
        <v>#N/A</v>
      </c>
      <c r="FP537" s="1678" t="e">
        <f>VLOOKUP(CONCATENATE(FL537," ",FN537),Lookup!AY$102:AZ548,2,FALSE)</f>
        <v>#N/A</v>
      </c>
      <c r="FQ537" s="1698">
        <f>IF(__Retrofit_TI_NC=0,FN537,IF(AND(FT537&gt;0,FN537="Occupancy Sensor"),"Daylight + Occupancy",IF(AND(FT537&gt;0,FO537&lt;4),"Interior Daylight Dimming",FN537)))</f>
        <v>0</v>
      </c>
      <c r="FS537" s="1686">
        <f>IF(CQ535="Interior",VLOOKUP(CS535,Control_Savings_Interior,5,FALSE),0)</f>
        <v>0</v>
      </c>
      <c r="FT537" s="1687">
        <f>IF(CQ537="Exterior",0,IF(FM537=2,0.5,IF(OR(FM537=1,FM537=3),1,0)))</f>
        <v>0</v>
      </c>
      <c r="FU537" s="1685">
        <f>IF(R536&gt;FS$44,(FS537*(FS$44/R536)),FS537)*FT537</f>
        <v>0</v>
      </c>
      <c r="FV537" s="1686">
        <f>DI537</f>
        <v>0</v>
      </c>
      <c r="FW537" s="1686">
        <f>ROUND(FV537+((1-FV537)*FU537),2)</f>
        <v>0</v>
      </c>
      <c r="FX537" s="1686">
        <f>IF(__Retrofit_TI_NC=2,FW537,FV537)</f>
        <v>0</v>
      </c>
      <c r="FY537" s="1697">
        <f>IF(CR537="Interior",VLOOKUP(CS537,Control_Savings_Interior,4,FALSE),0)</f>
        <v>0</v>
      </c>
      <c r="GA537" s="1696"/>
      <c r="GB537" s="1696"/>
      <c r="GC537" s="1696"/>
      <c r="GD537" s="1696"/>
      <c r="GE537" s="1696"/>
      <c r="GF537" s="1696"/>
      <c r="GG537" s="1696"/>
      <c r="GH537" s="1696"/>
      <c r="GI537" s="673" t="b">
        <f>IF(ISNUMBER(SEARCH("TLED",U537)),TRUE,FALSE)</f>
        <v>0</v>
      </c>
      <c r="GJ537" s="1135" t="str">
        <f>IFERROR(VLOOKUP(U537,Fixtures!DM$93:DR$142,6,FALSE),"")</f>
        <v/>
      </c>
      <c r="GK537" s="1832"/>
      <c r="GM537" s="1692"/>
      <c r="GN537" s="1684"/>
      <c r="GP537" s="1684"/>
      <c r="GQ537" s="1684"/>
      <c r="HG537" s="1684"/>
      <c r="HH537" s="1684"/>
      <c r="HI537" s="1684"/>
      <c r="HJ537" s="1684"/>
      <c r="HK537" s="1684"/>
      <c r="HL537" s="1684"/>
      <c r="HM537" s="1684"/>
      <c r="HN537" s="1683"/>
      <c r="HO537" s="1692"/>
      <c r="HP537" s="1692"/>
      <c r="HQ537" s="1670"/>
      <c r="HR537" s="1684"/>
      <c r="HS537" s="1684"/>
      <c r="HT537" s="1670"/>
      <c r="HU537" s="1684"/>
      <c r="HV537" s="1684"/>
      <c r="HW537" s="1684"/>
      <c r="HX537" s="1684"/>
      <c r="HY537" s="1684"/>
      <c r="HZ537" s="1684"/>
      <c r="IB537" s="1692"/>
      <c r="IC537" s="1693" t="b">
        <f>IB535</f>
        <v>0</v>
      </c>
      <c r="ID537" s="1695"/>
      <c r="IE537" s="391"/>
      <c r="IF537" s="1688"/>
      <c r="IG537" s="1689">
        <f ca="1">IF(IF535=TRUE,AC538,0)</f>
        <v>0</v>
      </c>
      <c r="IH537" s="1684"/>
      <c r="IK537" s="1689" t="e">
        <f>ROUND(T537*AB538*N536*R536/1000,0)</f>
        <v>#VALUE!</v>
      </c>
      <c r="IL537" s="1691"/>
      <c r="IM537" s="1693" t="e">
        <f>ROUND(T537*AB538*N536*R536/1000,0)</f>
        <v>#VALUE!</v>
      </c>
      <c r="IN537" s="1691"/>
      <c r="IP537" s="1679"/>
      <c r="IQ537" s="1679" t="e">
        <f t="shared" ref="IQ537:IU537" si="487">IF($CR537="interior",VLOOKUP($CS537,_New_Control_Savings_Interior,IQ$30,FALSE),VLOOKUP($CS537,Control_Savings_Exterior,IQ$30,FALSE))</f>
        <v>#N/A</v>
      </c>
      <c r="IR537" s="1679" t="e">
        <f t="shared" si="487"/>
        <v>#N/A</v>
      </c>
      <c r="IS537" s="1679" t="e">
        <f t="shared" si="487"/>
        <v>#N/A</v>
      </c>
      <c r="IT537" s="1679" t="e">
        <f t="shared" si="487"/>
        <v>#N/A</v>
      </c>
      <c r="IU537" s="1679" t="e">
        <f t="shared" si="487"/>
        <v>#N/A</v>
      </c>
      <c r="IV537" s="1679" t="e">
        <f>IF($CR537="interior",IF(R536&gt;$IP$14,ROUND(($IV$18*($IP$14/R536)),2),$IV$18),VLOOKUP($CS537,Control_Savings_Exterior,IV$30,FALSE))</f>
        <v>#N/A</v>
      </c>
      <c r="IW537" s="1679" t="e">
        <f>IF($CR537="interior",ROUND(((1-IS537)*IV537)+IS537,2),VLOOKUP($CS537,Control_Savings_Exterior,IW$30,FALSE))</f>
        <v>#N/A</v>
      </c>
      <c r="IX537" s="1679" t="e">
        <f>IF($CR537="interior",ROUND(((1-IT537)*IV537)+IT537,2),VLOOKUP($CS537,Control_Savings_Exterior,IX$30,FALSE))</f>
        <v>#N/A</v>
      </c>
      <c r="IY537" s="1679" t="e">
        <f>IF($CR537="interior",IF(R536&gt;$IP$14,ROUND(($IY$18*($IP$14/R536)),2),$IY$18),VLOOKUP($CS537,Control_Savings_Exterior,IY$30,FALSE))</f>
        <v>#N/A</v>
      </c>
      <c r="IZ537" s="1679" t="e">
        <f>IF($CR537="interior",ROUND(((1-IS537)*IY537)+IS537,2),VLOOKUP($CS537,Control_Savings_Exterior,IZ$30,FALSE))</f>
        <v>#N/A</v>
      </c>
      <c r="JA537" s="1679" t="e">
        <f>IF($CR537="interior",ROUND(((1-IT537)*IY537)+IT537,2),VLOOKUP($CS537,Control_Savings_Exterior,JA$30,FALSE))</f>
        <v>#N/A</v>
      </c>
      <c r="JC537" s="1680">
        <f>IFERROR(IF(CR537="Interior",CONCATENATE(G538," ",FQ537),AG537),"")</f>
        <v>0</v>
      </c>
      <c r="JD537" s="1670" t="str">
        <f>IFERROR(VLOOKUP(JC537,_Controls_2023,2,FALSE),"")</f>
        <v/>
      </c>
      <c r="JE537" s="1681">
        <f>IFERROR(CHOOSE(JD537-1,IQ537,IR537,IS537,IT537,IU537,IV537,IW537,IX537,IY537,IZ537,JA537),0)</f>
        <v>0</v>
      </c>
      <c r="JG537" s="1680" t="str">
        <f>FE537</f>
        <v xml:space="preserve"> - </v>
      </c>
      <c r="JH537" s="1670" t="e">
        <f>$FO537</f>
        <v>#N/A</v>
      </c>
      <c r="JI537" s="1060"/>
      <c r="JJ537" s="1670">
        <f>IFERROR(IF($IB535=TRUE,IF(OR(JJ$14="No",JJ535=FALSE,JH537&lt;=JH535,AND(_kWh_Grant=0,GD535=FALSE)),0,IF(JJ$8="Per Line",1,$AF537)),0),0)</f>
        <v>0</v>
      </c>
      <c r="JK537" s="1061"/>
      <c r="JL537" s="1670">
        <f>IFERROR(IF(_kWh_Grant=0,0,IF($IB535=TRUE,IF(OR(JL$14="No",JL535=FALSE,JH537&lt;=JH535),0,IF(JL$8="Per Line",1,$T537)),0)),0)</f>
        <v>0</v>
      </c>
      <c r="JM537" s="1061"/>
      <c r="JN537" s="1670">
        <f>IFERROR(IF(_kWh_Grant=0,0,IF($IB535=TRUE,IF(OR(JN$14="No",JN535=FALSE,JH537&lt;=JH535),0,IF(JN$8="Per Line",1,$AF537)),0)),0)</f>
        <v>0</v>
      </c>
      <c r="JO537" s="1061"/>
      <c r="JP537" s="1670">
        <f>IFERROR(IF(__Retrofit_TI_NC=0,IF(_kWh_Grant=0,0,IF($IB535=TRUE,IF(OR(JP$14="No",JP535=FALSE,$JH537&lt;=$JH535),0,IF(JP$8="Per Line",1,$AF537)),0)),IF($IB535=TRUE,IF(OR(JP$14="No",JP535=FALSE,$JH537&lt;=$JH535),0,IF(JP$8="Per Line",1,$AF537)))),0)</f>
        <v>0</v>
      </c>
      <c r="JQ537" s="1061"/>
      <c r="JR537" s="1670">
        <f>IFERROR(IF(__Retrofit_TI_NC=0,IF(_kWh_Grant=0,0,IF($IB535=TRUE,IF(OR(JR$14="No",JR535=FALSE,$JH537&lt;=$JH535),0,IF(JR$8="Per Line",1,$AF537)),0)),IF($IB535=TRUE,IF(OR(JR$14="No",JR535=FALSE,$JH537&lt;=$JH535),0,IF(JR$8="Per Line",1,$AF537)))),0)</f>
        <v>0</v>
      </c>
      <c r="JS537" s="1061"/>
      <c r="JT537" s="1670">
        <f>IFERROR(IF(__Retrofit_TI_NC=0,IF(_kWh_Grant=0,0,IF($IB535=TRUE,IF(OR(JT$14="No",JT535=FALSE,$JH537&lt;=$JH535),0,IF(JT$8="Per Line",1,$AF537)),0)),IF($IB535=TRUE,IF(OR(JT$14="No",JT535=FALSE,$JH537&lt;=$JH535),0,IF(JT$8="Per Line",1,$AF537)))),0)</f>
        <v>0</v>
      </c>
      <c r="JU537" s="1061"/>
      <c r="JV537" s="1670">
        <f>IFERROR(IF(__Retrofit_TI_NC=0,IF(_kWh_Grant=0,0,IF($IB535=TRUE,IF(OR(JV$14="No",JV535=FALSE,$JH537&lt;=$JH535),0,IF(JV$8="Per Line",1,$AF537)),0)),IF($IB535=TRUE,IF(OR(JV$14="No",JV535=FALSE,$JH537&lt;=$JH535),0,IF(JV$8="Per Line",1,$AF537)))),0)</f>
        <v>0</v>
      </c>
      <c r="JX537" s="1670">
        <f>IFERROR(IF(__Retrofit_TI_NC=0,IF(_kWh_Grant=0,0,IF($IB535=TRUE,IF(OR(JX$14="No",JX535=FALSE,$JH537&lt;=$JH535),0,IF(JX$8="Per Line",1,$AF537)),0)),IF($IB535=TRUE,IF(OR(JX$14="No",JX535=FALSE,$JH537&lt;=$JH535),0,IF(JX$8="Per Line",1,$AF537)))),0)</f>
        <v>0</v>
      </c>
      <c r="JZ537" s="1670">
        <f>IFERROR(IF($IB535=TRUE,IF(OR(JZ$14="No",JZ535=FALSE,$JH537&lt;=$JH535,AND(_kWh_Grant=0,$GD535=FALSE)),0,IF(JZ$8="Per Line",1,$AF537)),0),0)</f>
        <v>0</v>
      </c>
      <c r="KB537" s="1670">
        <f>IFERROR(IF(__Retrofit_TI_NC=0,IF(_kWh_Grant=0,0,IF($IB535=TRUE,IF(OR(KB$14="No",KB535=FALSE,$JH537&lt;=$JH535),0,IF(KB$8="Per Line",1,$AF537)),0)),IF($IB535=TRUE,IF(OR(KB$14="No",KB535=FALSE,$JH537&lt;=$JH535),0,IF(KB$8="Per Line",1,$AF537)))),0)</f>
        <v>0</v>
      </c>
    </row>
    <row r="538" spans="1:288" s="78" customFormat="1" ht="14.95" customHeight="1" thickTop="1" thickBot="1">
      <c r="B538" s="1845"/>
      <c r="C538" s="1846"/>
      <c r="D538" s="1847"/>
      <c r="E538" s="1771" t="s">
        <v>436</v>
      </c>
      <c r="F538" s="1772"/>
      <c r="G538" s="1784" t="s">
        <v>437</v>
      </c>
      <c r="H538" s="1785"/>
      <c r="I538" s="1785"/>
      <c r="J538" s="1785"/>
      <c r="K538" s="1785"/>
      <c r="L538" s="1786"/>
      <c r="M538" s="591">
        <f>IFERROR(VLOOKUP(G538,_Daylight_Table[],2,FALSE),0)</f>
        <v>0</v>
      </c>
      <c r="N538" s="592" t="str">
        <f>IF(AND(__Retrofit_TI_NC&gt;0,CQ535="Interior"),"BAM","")</f>
        <v/>
      </c>
      <c r="O538" s="591" t="e">
        <f>VLOOKUP(G537,'Space Table'!$B$3:$L$163,11,FALSE)</f>
        <v>#N/A</v>
      </c>
      <c r="P538" s="1789"/>
      <c r="Q538" s="1790"/>
      <c r="R538" s="1790"/>
      <c r="S538" s="1788"/>
      <c r="T538" s="593" t="s">
        <v>342</v>
      </c>
      <c r="U538" s="1756" t="str" cm="1">
        <f t="array" aca="1" ref="U538" ca="1">IFERROR(VLOOKUP(INDIRECT("U" &amp; ROW()-1),Fixtures!DM$93:DP$142,4,FALSE),"")</f>
        <v/>
      </c>
      <c r="V538" s="1757"/>
      <c r="W538" s="1757"/>
      <c r="X538" s="1757"/>
      <c r="Y538" s="1757"/>
      <c r="Z538" s="1757"/>
      <c r="AA538" s="1758"/>
      <c r="AB538" s="939" t="str">
        <f>IFERROR(VLOOKUP(U537,Fixtures_Proposed_List,2,FALSE),"")</f>
        <v/>
      </c>
      <c r="AC538" s="933" t="str">
        <f>IFERROR(ROUND(T537*AB538*N536*R536/1000,0),"")</f>
        <v/>
      </c>
      <c r="AD538" s="934" t="str">
        <f>IFERROR(ROUND(T537*AB538/1000,2),"")</f>
        <v/>
      </c>
      <c r="AE538" s="998"/>
      <c r="AF538" s="938" t="s">
        <v>342</v>
      </c>
      <c r="AG538" s="1770"/>
      <c r="AH538" s="1770"/>
      <c r="AI538" s="1770"/>
      <c r="AJ538" s="1770"/>
      <c r="AK538" s="1770"/>
      <c r="AL538" s="1770"/>
      <c r="AM538" s="1727"/>
      <c r="AN538" s="1729"/>
      <c r="AO538" s="1731"/>
      <c r="AP538" s="1782"/>
      <c r="AQ538" s="1783"/>
      <c r="AR538" s="1797"/>
      <c r="AS538" s="1797"/>
      <c r="AT538" s="1798"/>
      <c r="AU538" s="1736"/>
      <c r="AV538" s="1753"/>
      <c r="AW538" s="1706"/>
      <c r="AX538" s="468"/>
      <c r="AY538" s="1750"/>
      <c r="AZ538" s="1750"/>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696"/>
      <c r="CQ538" s="1696"/>
      <c r="CR538" s="1809"/>
      <c r="CS538" s="1811"/>
      <c r="CU538" s="1688"/>
      <c r="CV538" s="1703"/>
      <c r="CW538" s="1703"/>
      <c r="CX538" s="1813"/>
      <c r="CY538" s="1815"/>
      <c r="CZ538" s="1711"/>
      <c r="DA538" s="1815"/>
      <c r="DB538" s="1821"/>
      <c r="DC538" s="1821"/>
      <c r="DD538" s="1821"/>
      <c r="DF538" s="1703"/>
      <c r="DG538" s="1831"/>
      <c r="DH538" s="1813"/>
      <c r="DI538" s="1838"/>
      <c r="DJ538" s="1711"/>
      <c r="DK538" s="1712"/>
      <c r="DN538" s="1718"/>
      <c r="DO538" s="1709"/>
      <c r="DQ538" s="1715"/>
      <c r="DR538" s="1720"/>
      <c r="DS538" s="1703"/>
      <c r="DT538" s="1714"/>
      <c r="DU538" s="1715"/>
      <c r="DV538" s="1716"/>
      <c r="DX538" s="1715"/>
      <c r="DY538" s="1720"/>
      <c r="DZ538" s="1715"/>
      <c r="EA538" s="1715"/>
      <c r="EC538" s="1834"/>
      <c r="ED538" s="1834"/>
      <c r="EF538" s="1707"/>
      <c r="EG538" s="1712"/>
      <c r="EH538" s="1815"/>
      <c r="EI538" s="1712"/>
      <c r="EJ538" s="1712"/>
      <c r="EK538" s="1813"/>
      <c r="EL538" s="1813"/>
      <c r="EM538" s="1807"/>
      <c r="EN538" s="1839"/>
      <c r="EO538" s="1839"/>
      <c r="EP538" s="1817"/>
      <c r="EQ538" s="1817"/>
      <c r="ER538" s="1807"/>
      <c r="ES538" s="1807"/>
      <c r="ET538" s="1807"/>
      <c r="EV538" s="1715"/>
      <c r="EX538" s="1806"/>
      <c r="EY538" s="1806"/>
      <c r="EZ538" s="1806"/>
      <c r="FA538" s="1806"/>
      <c r="FB538" s="1806"/>
      <c r="FC538" s="1828"/>
      <c r="FE538" s="1698"/>
      <c r="FG538" s="1703"/>
      <c r="FH538" s="1703"/>
      <c r="FI538" s="133"/>
      <c r="FL538" s="1823"/>
      <c r="FM538" s="1825"/>
      <c r="FN538" s="1698"/>
      <c r="FO538" s="1698"/>
      <c r="FP538" s="1678"/>
      <c r="FQ538" s="1698"/>
      <c r="FS538" s="1687"/>
      <c r="FT538" s="1687"/>
      <c r="FU538" s="1685"/>
      <c r="FV538" s="1687"/>
      <c r="FW538" s="1687"/>
      <c r="FX538" s="1687"/>
      <c r="FY538" s="1697"/>
      <c r="GA538" s="1696"/>
      <c r="GB538" s="1696"/>
      <c r="GC538" s="1696"/>
      <c r="GD538" s="1696"/>
      <c r="GE538" s="1696"/>
      <c r="GF538" s="1696"/>
      <c r="GG538" s="1696"/>
      <c r="GH538" s="1696"/>
      <c r="GI538" s="673"/>
      <c r="GJ538" s="1135"/>
      <c r="GK538" s="1832"/>
      <c r="GN538" s="674">
        <f>IF(GN536=TRUE,0,GN$16)</f>
        <v>0</v>
      </c>
      <c r="GP538" s="674">
        <f>IF(GP536=TRUE,0,GP$16)</f>
        <v>36</v>
      </c>
      <c r="GQ538" s="674">
        <f ca="1">IF(GQ536=TRUE,0,GQ$16)</f>
        <v>35</v>
      </c>
      <c r="GR538" s="391"/>
      <c r="GS538" s="391"/>
      <c r="GT538" s="391"/>
      <c r="GU538" s="391"/>
      <c r="GV538" s="391"/>
      <c r="HG538" s="674">
        <f>IF(HG536=TRUE,0,HG$16)</f>
        <v>0</v>
      </c>
      <c r="HH538" s="674">
        <f t="shared" ref="HH538:HM538" si="488">IF(HH536=TRUE,0,HH$16)</f>
        <v>19</v>
      </c>
      <c r="HI538" s="674">
        <f t="shared" si="488"/>
        <v>18</v>
      </c>
      <c r="HJ538" s="674">
        <f t="shared" si="488"/>
        <v>17</v>
      </c>
      <c r="HK538" s="674">
        <f t="shared" si="488"/>
        <v>16</v>
      </c>
      <c r="HL538" s="674">
        <f t="shared" si="488"/>
        <v>0</v>
      </c>
      <c r="HM538" s="674">
        <f t="shared" si="488"/>
        <v>0</v>
      </c>
      <c r="HN538" s="674">
        <f>IF(HN536=TRUE,0,HN$16)</f>
        <v>13</v>
      </c>
      <c r="HO538" s="674">
        <f t="shared" ref="HO538:HQ538" si="489">IF(HO536=TRUE,0,HO$16)</f>
        <v>0</v>
      </c>
      <c r="HP538" s="674">
        <f t="shared" si="489"/>
        <v>0</v>
      </c>
      <c r="HQ538" s="674">
        <f t="shared" si="489"/>
        <v>10</v>
      </c>
      <c r="HR538" s="674">
        <f>IF(HR536=TRUE,0,HR$16)</f>
        <v>9</v>
      </c>
      <c r="HS538" s="674">
        <f t="shared" ref="HS538:HW538" si="490">IF(HS536=TRUE,0,HS$16)</f>
        <v>0</v>
      </c>
      <c r="HT538" s="674">
        <f t="shared" si="490"/>
        <v>0</v>
      </c>
      <c r="HU538" s="674">
        <f t="shared" si="490"/>
        <v>0</v>
      </c>
      <c r="HV538" s="674">
        <f t="shared" si="490"/>
        <v>0</v>
      </c>
      <c r="HW538" s="674">
        <f t="shared" si="490"/>
        <v>0</v>
      </c>
      <c r="HX538" s="674">
        <f>IF(HX536=TRUE,0,HX$16)</f>
        <v>0</v>
      </c>
      <c r="HY538" s="674">
        <f>IF(HY536=TRUE,0,HY$16)</f>
        <v>0</v>
      </c>
      <c r="HZ538" s="674">
        <f>IF(HZ536=TRUE,0,HZ$16)</f>
        <v>1</v>
      </c>
      <c r="IB538" s="674">
        <f>IF(GP536=FALSE,GP538,IF(GQ536=FALSE,GQ538,MAX(GN538:HZ538)))</f>
        <v>36</v>
      </c>
      <c r="IC538" s="1692"/>
      <c r="ID538" s="205" t="str">
        <f>VLOOKUP(IB538,_Error_Table,3,FALSE)</f>
        <v xml:space="preserve"> </v>
      </c>
      <c r="IE538" s="205"/>
      <c r="IF538" s="1688"/>
      <c r="IG538" s="1689"/>
      <c r="IH538" s="1684"/>
      <c r="IK538" s="1689"/>
      <c r="IL538" s="1692"/>
      <c r="IM538" s="1692"/>
      <c r="IN538" s="1692"/>
      <c r="IP538" s="1679"/>
      <c r="IQ538" s="1679"/>
      <c r="IR538" s="1679"/>
      <c r="IS538" s="1679"/>
      <c r="IT538" s="1679"/>
      <c r="IU538" s="1679"/>
      <c r="IV538" s="1679"/>
      <c r="IW538" s="1679"/>
      <c r="IX538" s="1679"/>
      <c r="IY538" s="1679"/>
      <c r="IZ538" s="1679"/>
      <c r="JA538" s="1679"/>
      <c r="JC538" s="1680"/>
      <c r="JD538" s="1670"/>
      <c r="JE538" s="1681"/>
      <c r="JG538" s="1680"/>
      <c r="JH538" s="1670"/>
      <c r="JI538" s="1060"/>
      <c r="JJ538" s="1670"/>
      <c r="JK538" s="1061"/>
      <c r="JL538" s="1670"/>
      <c r="JM538" s="1061"/>
      <c r="JN538" s="1670"/>
      <c r="JO538" s="1061"/>
      <c r="JP538" s="1670"/>
      <c r="JQ538" s="1061"/>
      <c r="JR538" s="1670"/>
      <c r="JS538" s="1061"/>
      <c r="JT538" s="1670"/>
      <c r="JU538" s="1061"/>
      <c r="JV538" s="1670"/>
      <c r="JX538" s="1670"/>
      <c r="JZ538" s="1670"/>
      <c r="KB538" s="1670"/>
    </row>
    <row r="539" spans="1:288" s="78" customFormat="1" ht="5.0999999999999996" customHeight="1">
      <c r="B539" s="676"/>
      <c r="C539" s="392"/>
      <c r="D539" s="392"/>
      <c r="E539" s="1733"/>
      <c r="F539" s="1733"/>
      <c r="G539" s="1733"/>
      <c r="H539" s="1733"/>
      <c r="I539" s="1733"/>
      <c r="J539" s="1733"/>
      <c r="K539" s="1733"/>
      <c r="L539" s="1733"/>
      <c r="M539" s="1733"/>
      <c r="N539" s="1733"/>
      <c r="O539" s="1733"/>
      <c r="P539" s="1733"/>
      <c r="Q539" s="1733"/>
      <c r="R539" s="1733"/>
      <c r="S539" s="1733"/>
      <c r="T539" s="1733"/>
      <c r="U539" s="1733"/>
      <c r="V539" s="1733"/>
      <c r="W539" s="1733"/>
      <c r="X539" s="1733"/>
      <c r="Y539" s="1733"/>
      <c r="Z539" s="1733"/>
      <c r="AA539" s="1733"/>
      <c r="AB539" s="1733"/>
      <c r="AC539" s="1733"/>
      <c r="AD539" s="1733"/>
      <c r="AE539" s="1733"/>
      <c r="AF539" s="1733"/>
      <c r="AG539" s="1733"/>
      <c r="AH539" s="1733"/>
      <c r="AI539" s="1733"/>
      <c r="AJ539" s="1733"/>
      <c r="AK539" s="1733"/>
      <c r="AL539" s="1733"/>
      <c r="AM539" s="1733"/>
      <c r="AN539" s="1733"/>
      <c r="AO539" s="1733"/>
      <c r="AP539" s="1733"/>
      <c r="AQ539" s="1733"/>
      <c r="AR539" s="1733"/>
      <c r="AS539" s="1733"/>
      <c r="AT539" s="1733"/>
      <c r="AU539" s="1733"/>
      <c r="AV539" s="1733"/>
      <c r="AW539" s="1733"/>
      <c r="AX539" s="469"/>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663"/>
      <c r="CQ539" s="663"/>
      <c r="CR539" s="438"/>
      <c r="CS539" s="663"/>
      <c r="CV539" s="391"/>
      <c r="CW539" s="391"/>
      <c r="CX539" s="207"/>
      <c r="CY539" s="208"/>
      <c r="CZ539" s="208"/>
      <c r="DA539" s="208"/>
      <c r="DB539" s="209"/>
      <c r="DC539" s="209"/>
      <c r="DD539" s="209"/>
      <c r="DF539" s="664"/>
      <c r="DG539" s="665"/>
      <c r="DH539" s="666"/>
      <c r="DI539" s="667"/>
      <c r="DJ539" s="668"/>
      <c r="DK539" s="668"/>
      <c r="DN539" s="208"/>
      <c r="DO539" s="664"/>
      <c r="DQ539" s="664"/>
      <c r="DR539" s="669"/>
      <c r="DS539" s="391"/>
      <c r="DT539" s="664"/>
      <c r="DU539" s="664"/>
      <c r="DV539" s="664"/>
      <c r="DX539" s="664"/>
      <c r="DY539" s="664"/>
      <c r="DZ539" s="664"/>
      <c r="EA539" s="664"/>
      <c r="EC539" s="670"/>
      <c r="ED539" s="670"/>
      <c r="EF539" s="668"/>
      <c r="EG539" s="668"/>
      <c r="EH539" s="208"/>
      <c r="EI539" s="668"/>
      <c r="EJ539" s="668"/>
      <c r="EK539" s="207"/>
      <c r="EL539" s="207"/>
      <c r="EM539" s="666"/>
      <c r="EN539" s="671"/>
      <c r="EO539" s="671"/>
      <c r="EP539" s="672"/>
      <c r="EQ539" s="672"/>
      <c r="ER539" s="666"/>
      <c r="ES539" s="666"/>
      <c r="ET539" s="666"/>
      <c r="EV539" s="664"/>
      <c r="EX539" s="391"/>
      <c r="EY539" s="391"/>
      <c r="EZ539" s="391"/>
      <c r="FA539" s="391"/>
      <c r="FB539" s="391"/>
      <c r="FC539" s="391"/>
      <c r="FE539" s="569"/>
      <c r="FG539" s="391"/>
      <c r="FH539" s="391"/>
      <c r="FI539" s="391"/>
      <c r="FS539" s="664"/>
      <c r="FT539" s="391"/>
      <c r="FU539" s="391"/>
      <c r="FV539" s="664"/>
      <c r="FW539" s="664"/>
      <c r="GA539" s="663"/>
      <c r="GB539" s="663"/>
      <c r="GC539" s="663"/>
      <c r="GD539" s="663"/>
      <c r="GE539" s="663"/>
      <c r="GF539" s="663"/>
      <c r="GG539" s="663"/>
      <c r="GH539" s="663"/>
      <c r="GI539" s="665"/>
      <c r="GJ539" s="664"/>
      <c r="GK539" s="664"/>
    </row>
    <row r="540" spans="1:288" s="78" customFormat="1" ht="14.95" customHeight="1">
      <c r="B540" s="1845" t="str">
        <f>ID543</f>
        <v xml:space="preserve"> </v>
      </c>
      <c r="C540" s="1846">
        <f>C535+1</f>
        <v>96</v>
      </c>
      <c r="D540" s="1847"/>
      <c r="E540" s="1799" t="s">
        <v>295</v>
      </c>
      <c r="F540" s="1800"/>
      <c r="G540" s="1741"/>
      <c r="H540" s="1742"/>
      <c r="I540" s="1742"/>
      <c r="J540" s="1742"/>
      <c r="K540" s="1742"/>
      <c r="L540" s="1742"/>
      <c r="M540" s="1742"/>
      <c r="N540" s="1742"/>
      <c r="O540" s="1742"/>
      <c r="P540" s="1742"/>
      <c r="Q540" s="1742"/>
      <c r="R540" s="1742"/>
      <c r="S540" s="1791" t="s">
        <v>344</v>
      </c>
      <c r="T540" s="590"/>
      <c r="U540" s="1743"/>
      <c r="V540" s="1744"/>
      <c r="W540" s="1744"/>
      <c r="X540" s="1744"/>
      <c r="Y540" s="1744"/>
      <c r="Z540" s="1744"/>
      <c r="AA540" s="1744"/>
      <c r="AB540" s="961" t="str">
        <f>IFERROR(IF(__Retrofit_TI_NC=0,VLOOKUP(U541,Fixtures_Existing_List,2,FALSE),ROUND(N542*R542/T542,10)),"")</f>
        <v/>
      </c>
      <c r="AC540" s="935" t="str">
        <f>IFERROR(IF(__Retrofit_TI_NC=0,ROUND(T541*AB540*N541*R541/1000,0),IF(CQ540="Interior",N542*R542*R541*N541*_C406_reduction/1000,N542*R542*R541*N541/1000)),"")</f>
        <v/>
      </c>
      <c r="AD540" s="936" t="str">
        <f>IFERROR(IF(C$43=0,ROUND(T541*AB540/1000,2),N542*R542/1000),"")</f>
        <v/>
      </c>
      <c r="AE540" s="997"/>
      <c r="AF540" s="937"/>
      <c r="AG540" s="1745" t="str">
        <f>IF(__Retrofit_TI_NC=0," Control","Select Advanced Control for New System")</f>
        <v xml:space="preserve"> Control</v>
      </c>
      <c r="AH540" s="1745"/>
      <c r="AI540" s="1745"/>
      <c r="AJ540" s="1745"/>
      <c r="AK540" s="1745"/>
      <c r="AL540" s="1745"/>
      <c r="AM540" s="1746">
        <f>IFERROR(DI540,"")</f>
        <v>0</v>
      </c>
      <c r="AN540" s="1774" t="str">
        <f>IFERROR(ROUND(AM540*AC540,0),"")</f>
        <v/>
      </c>
      <c r="AO540" s="1776">
        <f>IFERROR(IF(IB540=FALSE,0,AC540-AN540),0)</f>
        <v>0</v>
      </c>
      <c r="AP540" s="1778">
        <f>AO540-AO542</f>
        <v>0</v>
      </c>
      <c r="AQ540" s="1779"/>
      <c r="AR540" s="1793">
        <f>IFERROR(IF(IB540=FALSE,0,(T542*U543)+(AF542*AG543)),0)</f>
        <v>0</v>
      </c>
      <c r="AS540" s="1793"/>
      <c r="AT540" s="1794"/>
      <c r="AU540" s="1734" t="s">
        <v>237</v>
      </c>
      <c r="AV540" s="1751">
        <f>IF(AU540="Yes",1,0)</f>
        <v>1</v>
      </c>
      <c r="AW540" s="1704" t="str">
        <f>IF(OR(DQ540=4,DQ540=5,DQ540=6,DQ540=12),CONCATENATE("$",IF(GH540=TRUE,Lookup!$K$10,Lookup!$K$2)," /lamp"),CONCATENATE(TEXT(ED540,"$0.00"),"/ kWh"))</f>
        <v>$0.00/ kWh</v>
      </c>
      <c r="AX540" s="467"/>
      <c r="AY540" s="1748">
        <f ca="1">IFERROR(IF(GM541=TRUE,(AB543*T542)/R542,0),"NA")</f>
        <v>0</v>
      </c>
      <c r="AZ540" s="1748"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696" t="str">
        <f>N541</f>
        <v/>
      </c>
      <c r="CQ540" s="1696" t="str">
        <f>IFERROR(VLOOKUP(G541,_Lookup_Heat_Type_Table_New,3,FALSE),"")</f>
        <v/>
      </c>
      <c r="CR540" s="1808" t="str">
        <f>CQ540</f>
        <v/>
      </c>
      <c r="CS540" s="1810" t="str">
        <f>IFERROR(VLOOKUP(G542,'Space Table'!$B$3:$L$163,9,FALSE),"")</f>
        <v/>
      </c>
      <c r="CU540" s="1688" t="s">
        <v>344</v>
      </c>
      <c r="CV540" s="1702">
        <f>IF(IB540=TRUE,T541,0)</f>
        <v>0</v>
      </c>
      <c r="CW540" s="1702" t="str">
        <f>IF(IB540=TRUE,U541,"")</f>
        <v/>
      </c>
      <c r="CX540" s="1702"/>
      <c r="CY540" s="1814">
        <f>IF(IB540=TRUE,AB540,0)</f>
        <v>0</v>
      </c>
      <c r="CZ540" s="1710">
        <f>IF(AND(__Retrofit_TI_NC&gt;0,CR540="interior"),0,IF(IB540=TRUE,AC540,0))</f>
        <v>0</v>
      </c>
      <c r="DA540" s="1814">
        <f>IFERROR(IF(IB540=TRUE,CZ540-CZ542,0),0)</f>
        <v>0</v>
      </c>
      <c r="DB540" s="1819">
        <f>IF(IB540=TRUE,AD540,0)</f>
        <v>0</v>
      </c>
      <c r="DC540" s="1819">
        <f>IF(IB540=TRUE,AD543,0)</f>
        <v>0</v>
      </c>
      <c r="DD540" s="1819">
        <f>IFERROR(DB540-DC540,0)</f>
        <v>0</v>
      </c>
      <c r="DF540" s="1702">
        <f>IF(IB540=TRUE,AF541,0)</f>
        <v>0</v>
      </c>
      <c r="DG540" s="1830">
        <f>IFERROR(IF(__Retrofit_TI_NC=2,IF(CQ540="Exterior",O543,FQ540),FN540),"")</f>
        <v>0</v>
      </c>
      <c r="DH540" s="1702"/>
      <c r="DI540" s="1837">
        <f>JE540</f>
        <v>0</v>
      </c>
      <c r="DJ540" s="1710">
        <f>IF(AND(__Retrofit_TI_NC&gt;0,CR540="interior"),0,IF(IB540=TRUE,AN540,0))</f>
        <v>0</v>
      </c>
      <c r="DK540" s="1712">
        <f>IFERROR(IF(IB540=TRUE,DJ542-DJ540,0),0)</f>
        <v>0</v>
      </c>
      <c r="DM540" s="1717">
        <f>IFERROR(CZ540-DJ540,0)</f>
        <v>0</v>
      </c>
      <c r="DO540" s="1708">
        <f>DM540-DN542</f>
        <v>0</v>
      </c>
      <c r="DQ540" s="1715" t="str">
        <f>IFERROR(IF(AND(OR(GC540=4,GC540=5,GC540=6),OR(GF540=4,GF540=5,GF540=6)),GC540+8,VLOOKUP(CW542,Fixtures!R$31:Y$78,8,FALSE)),"")</f>
        <v/>
      </c>
      <c r="DR540" s="1829" t="str">
        <f>DQ540</f>
        <v/>
      </c>
      <c r="DS540" s="1702" t="str">
        <f>IFERROR(VLOOKUP(DG542,Lookup!BB$3:BC$20,2,FALSE),"")</f>
        <v/>
      </c>
      <c r="DT540" s="1713" t="str">
        <f>IF(OR(DS540=7,DS540=8,DS540=9),"ALC","")</f>
        <v/>
      </c>
      <c r="DU540" s="1715">
        <f>IFERROR(IF(OR(DQ540=4,DQ540=5,DQ540=6,DQ540=12,DQ540=13,DQ540=14),VLOOKUP(CW542,Fixtures!DN$27:EG$77,19,FALSE),1)*CV542,0)</f>
        <v>0</v>
      </c>
      <c r="DV540" s="1716">
        <f>IF(OR(DS540=7,DS540=8,DS540=9),IF(DG540=DG542,0,DF542),0)</f>
        <v>0</v>
      </c>
      <c r="DX540" s="1715" t="str">
        <f>IFERROR(IF(EZ540&lt;EZ542,"Yes","No"),"")</f>
        <v/>
      </c>
      <c r="DY540" s="1829" t="str">
        <f>DX540</f>
        <v/>
      </c>
      <c r="DZ540" s="1715">
        <f>IF(DX540="Yes",DF542,0)</f>
        <v>0</v>
      </c>
      <c r="EA540" s="1715">
        <f>DZ540-DV540</f>
        <v>0</v>
      </c>
      <c r="EC540" s="1834">
        <f>IFERROR(VLOOKUP(DQ540,Lookup!AU$3:AV$16,2,FALSE),0)</f>
        <v>0</v>
      </c>
      <c r="ED540" s="1834">
        <f>IF(IB540=FALSE,0,IF(DX540="Yes",EC540+Lookup!K$6,EC540))</f>
        <v>0</v>
      </c>
      <c r="EF540" s="1707">
        <f>IF(IB540=TRUE,DM540,0)</f>
        <v>0</v>
      </c>
      <c r="EG540" s="1712">
        <f>IF(IB540=TRUE,CZ542,0)</f>
        <v>0</v>
      </c>
      <c r="EH540" s="1814">
        <f>IFERROR(EF540-EG540,0)</f>
        <v>0</v>
      </c>
      <c r="EI540" s="1712">
        <f>IF(IB540=TRUE,DJ542,0)</f>
        <v>0</v>
      </c>
      <c r="EJ540" s="1712">
        <f>IFERROR(EF540-EG540+EI540,0)</f>
        <v>0</v>
      </c>
      <c r="EK540" s="1812">
        <f>IF(IB540=TRUE,CV542*CX542,0)</f>
        <v>0</v>
      </c>
      <c r="EL540" s="1812">
        <f>IF(IB540=TRUE,DF542*DH542,0)</f>
        <v>0</v>
      </c>
      <c r="EM540" s="1807">
        <f>AR540</f>
        <v>0</v>
      </c>
      <c r="EN540" s="1839" t="str">
        <f>IFERROR(IF(IB540=TRUE,VLOOKUP(DQ540,Lookup!AU$3:AW$16,3,FALSE)*DU540,""),0)</f>
        <v/>
      </c>
      <c r="EO540" s="1839">
        <f>IF(IB540=TRUE,DZ540*Lookup!AW$12,0)</f>
        <v>0</v>
      </c>
      <c r="EP540" s="1817">
        <f>IFERROR(IF(IB540=TRUE,EN540/EP$40,0),0)</f>
        <v>0</v>
      </c>
      <c r="EQ540" s="1817">
        <f>IF(IB540=TRUE,EO540/EQ$40,0)</f>
        <v>0</v>
      </c>
      <c r="ER540" s="1807">
        <f>IF(IB540=TRUE,ET$40*EP540,0)</f>
        <v>0</v>
      </c>
      <c r="ES540" s="1807">
        <f>IF(IB540=TRUE,ET$40*EQ540,0)</f>
        <v>0</v>
      </c>
      <c r="ET540" s="1807">
        <f>ER540+ES540</f>
        <v>0</v>
      </c>
      <c r="EV540" s="1715">
        <f>IF(G540="",0,1)</f>
        <v>0</v>
      </c>
      <c r="EX540" s="1804" t="str">
        <f>IFERROR(VLOOKUP(CS542,'Space Table'!$B$3:$L$163,8,FALSE),"")</f>
        <v/>
      </c>
      <c r="EY540" s="1804" t="str">
        <f>IFERROR(IF(FB540="Yes",VLOOKUP(DG540,Lookup_Control_Type_Table2,4,FALSE),VLOOKUP(DG540,Lookup_Control_Type_Table2,3,FALSE)),"")</f>
        <v/>
      </c>
      <c r="EZ540" s="1804" t="e">
        <f>VLOOKUP(DG540,Lookup!BB$3:BC$20,2,FALSE)</f>
        <v>#N/A</v>
      </c>
      <c r="FA540" s="1804" t="e">
        <f>VLOOKUP(EX540,Lookup_Control_Type_Table,2,FALSE)</f>
        <v>#N/A</v>
      </c>
      <c r="FB540" s="1804" t="e">
        <f>VLOOKUP(CS542,'Space Table'!$B$3:$L$163,7,FALSE)</f>
        <v>#N/A</v>
      </c>
      <c r="FC540" s="1826" t="b">
        <f>ISNUMBER(SEARCH("TLED",U542))</f>
        <v>0</v>
      </c>
      <c r="FE540" s="1698" t="str">
        <f>CONCATENATE(CQ540," - ",DG540)</f>
        <v xml:space="preserve"> - 0</v>
      </c>
      <c r="FG540" s="1702" t="str">
        <f>VLOOKUP(CW542,Fixtures!DN$27:EZ$77,38,FALSE)</f>
        <v/>
      </c>
      <c r="FH540" s="1702">
        <f>IFERROR(FG540*EH540,0)</f>
        <v>0</v>
      </c>
      <c r="FI540" s="133"/>
      <c r="FL540" s="1822" t="str">
        <f>IF(CQ540="Exterior","Not Daylighted",G543)</f>
        <v>Not Daylighted</v>
      </c>
      <c r="FM540" s="1824">
        <f>VLOOKUP(FL540,_New_Daylight_Table_Codes,2,FALSE)</f>
        <v>0</v>
      </c>
      <c r="FN540" s="1698">
        <f>IF(__Retrofit_TI_NC&gt;0,VLOOKUP(G542,'Space Table'!$B$3:$L$163,11,FALSE),AG541)</f>
        <v>0</v>
      </c>
      <c r="FO540" s="1698" t="e">
        <f>IF(__Retrofit_TI_NC=2,VLOOKUP(FQ540,_Control_Table,2,FALSE),VLOOKUP(FN540,_Control_Table,2,FALSE))</f>
        <v>#N/A</v>
      </c>
      <c r="FP540" s="1678" t="e">
        <f>VLOOKUP(CONCATENATE(FL540," ",FN540),Lookup!AY$102:AZ550,2,FALSE)</f>
        <v>#N/A</v>
      </c>
      <c r="FQ540" s="1678">
        <f>IF(__Retrofit_TI_NC=0,FN540,IF(AND(FT540&gt;0,FN540="Occupancy Sensor"),"Daylight + Occupancy",IF(AND(FT540&gt;0,VLOOKUP(FN540,_Control_Table,2,FALSE)&lt;4),"Interior Daylight Dimming",FN540)))</f>
        <v>0</v>
      </c>
      <c r="FS540" s="1686">
        <f>IF(CR540="Interior",VLOOKUP(CS540,Control_Savings_Interior,5,FALSE),0)</f>
        <v>0</v>
      </c>
      <c r="FT540" s="1687">
        <f>IF(CQ540="Exterior",0,IF(FM540=2,0.5,IF(OR(FM540=1,FM540=3),1,0)))</f>
        <v>0</v>
      </c>
      <c r="FU540" s="1685">
        <f>IF(R539&gt;FS$44,(FS540*(FS$44/R539)),FS540)*FT540</f>
        <v>0</v>
      </c>
      <c r="FV540" s="1686">
        <f>DI540</f>
        <v>0</v>
      </c>
      <c r="FW540" s="1686">
        <f>ROUND(FV540+((1-FV540)*FU540),2)</f>
        <v>0</v>
      </c>
      <c r="FX540" s="1686">
        <f>IF(__Retrofit_TI_NC=2,FW540,FV540)</f>
        <v>0</v>
      </c>
      <c r="FY540" s="1697"/>
      <c r="GA540" s="1696" t="str">
        <f>IFERROR(VLOOKUP(U541,_Exist_Fixture_Table,3,FALSE),"")</f>
        <v/>
      </c>
      <c r="GB540" s="1696" t="str">
        <f>VLOOKUP(CW540,_Exist_Fixture_Table,4,FALSE)</f>
        <v/>
      </c>
      <c r="GC540" s="1696">
        <f>IFERROR(VLOOKUP(GB540,Lookup!AT$6:AU$8,2,FALSE),0)</f>
        <v>0</v>
      </c>
      <c r="GD540" s="1696" t="b">
        <f>IFERROR(IF(OR(GF540=4,GF540=5,GF540=6),TRUE,FALSE),"")</f>
        <v>0</v>
      </c>
      <c r="GE540" s="1696" t="str">
        <f>IFERROR(VLOOKUP(GF540,GC$6:GD$10,2,FALSE),"")</f>
        <v/>
      </c>
      <c r="GF540" s="1696" t="str">
        <f>VLOOKUP(CW542,Fixtures!R$31:Y$78,8,FALSE)</f>
        <v/>
      </c>
      <c r="GG540" s="1696">
        <f>IF(AND(GA540=TRUE,GD540=TRUE,OR(DQ540=12,DQ540=13,DQ540=14)),GC540+8,0)</f>
        <v>0</v>
      </c>
      <c r="GH540" s="1696" t="b">
        <f>IF(OR(GG540=12,GG540=13,GG540=14),TRUE,FALSE)</f>
        <v>0</v>
      </c>
      <c r="GI540" s="673" t="b">
        <f>IF(ISNUMBER(SEARCH("TLED",U541)),TRUE,FALSE)</f>
        <v>0</v>
      </c>
      <c r="GJ540" s="1135" t="str">
        <f>IFERROR(VLOOKUP(U541,Fixtures!BM$93:BR$142,6,FALSE),"")</f>
        <v/>
      </c>
      <c r="GK540" s="1832" t="b">
        <f>IF(OR(GI540=FALSE,GI542=FALSE),TRUE,IF(GJ540-GJ542&lt;5,FALSE,TRUE))</f>
        <v>1</v>
      </c>
      <c r="GO540" s="674">
        <f>GP540</f>
        <v>0</v>
      </c>
      <c r="GP540" s="674">
        <f>IF(G540="",0,1)</f>
        <v>0</v>
      </c>
      <c r="GQ540" s="674">
        <f ca="1">SUM(GR540:HF540)</f>
        <v>2</v>
      </c>
      <c r="GR540" s="674">
        <f>IF(G541="",0,1)</f>
        <v>0</v>
      </c>
      <c r="GS540" s="674">
        <f>IF(N543="BAM",1,IF(G542="",0,1))</f>
        <v>0</v>
      </c>
      <c r="GT540" s="674">
        <f>IF(N543="BAM",1,IF(R541="",0,1))</f>
        <v>0</v>
      </c>
      <c r="GU540" s="674">
        <f>IF(N543="BAM",1,IF(__Retrofit_TI_NC=0,1,IF(R542="",0,1)))</f>
        <v>1</v>
      </c>
      <c r="GV540" s="674">
        <f>IF(N543="BAM",1,IF(CQ540="Exterior",1,IF(G543="",0,1)))</f>
        <v>1</v>
      </c>
      <c r="GW540" s="674">
        <f>IF(__Retrofit_TI_NC&gt;0,1,IF(T541="",0,1))</f>
        <v>0</v>
      </c>
      <c r="GX540" s="674">
        <f>IF(__Retrofit_TI_NC&gt;0,1,IF(U541="",0,1))</f>
        <v>0</v>
      </c>
      <c r="GY540" s="674">
        <f>IF(N543="BAM",1,IF(T542="",0,1))</f>
        <v>0</v>
      </c>
      <c r="GZ540" s="674">
        <f>IF(N543="BAM",1,IF(U542="",0,1))</f>
        <v>0</v>
      </c>
      <c r="HA540" s="674">
        <f ca="1">IF(N543="BAM",1,IF(__Retrofit_TI_NC&gt;0,1,IF(U543="",0,1)))</f>
        <v>0</v>
      </c>
      <c r="HB540" s="674">
        <f>IF(__Retrofit_TI_NC&lt;&gt;0,1,IF(AF541="",0,1))</f>
        <v>0</v>
      </c>
      <c r="HC540" s="674">
        <f>IF(__Retrofit_TI_NC&lt;&gt;0,1,IF(AG541="",0,1))</f>
        <v>0</v>
      </c>
      <c r="HD540" s="674">
        <f>IF(N543="BAM",1,IF(AF542="",0,1))</f>
        <v>0</v>
      </c>
      <c r="HE540" s="674">
        <f>IF(N543="BAM",1,IF(AG542="",0,1))</f>
        <v>0</v>
      </c>
      <c r="HF540" s="674">
        <f>IF(N543="BAM",1,IF(__Retrofit_TI_NC&gt;0,1,IF(AG543="",0,1)))</f>
        <v>0</v>
      </c>
      <c r="HG540" s="391"/>
      <c r="IA540" s="391"/>
      <c r="IB540" s="1693" t="b">
        <f>IF(OR(IB543=0,IB543=HY$16,IB543=HX$16,IB543=HZ$16),TRUE,FALSE)</f>
        <v>0</v>
      </c>
      <c r="IC540" s="1694" t="b">
        <f>IB540</f>
        <v>0</v>
      </c>
      <c r="ID540" s="391"/>
      <c r="IE540" s="391"/>
      <c r="IF540" s="1688" t="b">
        <f ca="1">IF(MAX(GN543:HU543)&gt;5,FALSE,TRUE)</f>
        <v>0</v>
      </c>
      <c r="IG540" s="1689">
        <f ca="1">IF(IF540=TRUE,AC540,0)</f>
        <v>0</v>
      </c>
      <c r="IH540" s="1689">
        <f ca="1">IG540-IG542</f>
        <v>0</v>
      </c>
      <c r="IK540" s="1689" t="e">
        <f>ROUND(T541*VLOOKUP(U541,Fixtures_Existing_List,2,FALSE)*N541*R541/1000,0)</f>
        <v>#N/A</v>
      </c>
      <c r="IL540" s="1690" t="e">
        <f>IK540-IK542</f>
        <v>#N/A</v>
      </c>
      <c r="IM540" s="1693" t="e">
        <f>ROUND(IF(CQ540="Interior",N542*R542*R541*N541*_C406_reduction/1000,N542*R542*R541*N541/1000),0)</f>
        <v>#N/A</v>
      </c>
      <c r="IN540" s="1693" t="e">
        <f>IM540-IM542</f>
        <v>#N/A</v>
      </c>
      <c r="IP540" s="1679"/>
      <c r="IQ540" s="1679" t="e">
        <f t="shared" ref="IQ540:IU540" si="491">IF($CR540="interior",VLOOKUP($CS540,_New_Control_Savings_Interior,IQ$30,FALSE),VLOOKUP($CS540,Control_Savings_Exterior,IQ$30,FALSE))</f>
        <v>#N/A</v>
      </c>
      <c r="IR540" s="1679" t="e">
        <f t="shared" si="491"/>
        <v>#N/A</v>
      </c>
      <c r="IS540" s="1679" t="e">
        <f t="shared" si="491"/>
        <v>#N/A</v>
      </c>
      <c r="IT540" s="1679" t="e">
        <f t="shared" si="491"/>
        <v>#N/A</v>
      </c>
      <c r="IU540" s="1679" t="e">
        <f t="shared" si="491"/>
        <v>#N/A</v>
      </c>
      <c r="IV540" s="1679" t="e">
        <f>IF($CR540="interior",IF(R541&gt;$IP$14,ROUND(($IV$18*($IP$14/R541)),2),$IV$18),VLOOKUP($CS540,Control_Savings_Exterior,IV$30,FALSE))</f>
        <v>#N/A</v>
      </c>
      <c r="IW540" s="1679" t="e">
        <f>IF($CR540="interior",ROUND(((1-IS540)*IV540)+IS540,2),VLOOKUP($CS540,Control_Savings_Exterior,IW$30,FALSE))</f>
        <v>#N/A</v>
      </c>
      <c r="IX540" s="1679" t="e">
        <f>IF($CR540="interior",ROUND(((1-IT540)*IV540)+IT540,2),VLOOKUP($CS540,Control_Savings_Exterior,IX$30,FALSE))</f>
        <v>#N/A</v>
      </c>
      <c r="IY540" s="1679" t="e">
        <f>IF($CR540="interior",IF(R541&gt;$IP$14,ROUND(($IY$18*($IP$14/R541)),2),$IY$18),VLOOKUP($CS540,Control_Savings_Exterior,IY$30,FALSE))</f>
        <v>#N/A</v>
      </c>
      <c r="IZ540" s="1679" t="e">
        <f>IF($CR540="interior",ROUND(((1-IS540)*IY540)+IS540,2),VLOOKUP($CS540,Control_Savings_Exterior,IZ$30,FALSE))</f>
        <v>#N/A</v>
      </c>
      <c r="JA540" s="1679" t="e">
        <f>IF($CR540="interior",ROUND(((1-IT540)*IY540)+IT540,2),VLOOKUP($CS540,Control_Savings_Exterior,JA$30,FALSE))</f>
        <v>#N/A</v>
      </c>
      <c r="JC540" s="1680">
        <f>IFERROR(IF(CR540="Interior",CONCATENATE(G543," ",FQ540),FQ540),"")</f>
        <v>0</v>
      </c>
      <c r="JD540" s="1670" t="str">
        <f>IFERROR(VLOOKUP(JC540,_Controls_2023,2,FALSE),"")</f>
        <v/>
      </c>
      <c r="JE540" s="1681">
        <f>IFERROR(CHOOSE(JD540-1,IQ540,IR540,IS540,IT540,IU540,IV540,IW540,IX540,IY540,IZ540,JA540),0)</f>
        <v>0</v>
      </c>
      <c r="JG540" s="1680" t="str">
        <f>FE540</f>
        <v xml:space="preserve"> - 0</v>
      </c>
      <c r="JH540" s="1670" t="e">
        <f>$FO540</f>
        <v>#N/A</v>
      </c>
      <c r="JI540" s="1060"/>
      <c r="JJ540" s="1682" t="b">
        <f>IF($JG542=CONCATENATE("Interior - ",JJ$4),TRUE,FALSE)</f>
        <v>0</v>
      </c>
      <c r="JK540" s="1061"/>
      <c r="JL540" s="1682" t="b">
        <f>IF($JG542=CONCATENATE("Interior - ",JL$4),TRUE,FALSE)</f>
        <v>0</v>
      </c>
      <c r="JM540" s="1061"/>
      <c r="JN540" s="1682" t="b">
        <f>IF($JG542=CONCATENATE("Interior - ",JN$4),TRUE,FALSE)</f>
        <v>0</v>
      </c>
      <c r="JO540" s="1061"/>
      <c r="JP540" s="1682" t="b">
        <f>IF(__Retrofit_TI_NC&gt;0,FALSE,IF($JG542=CONCATENATE("Interior - ",JP$4),TRUE,FALSE))</f>
        <v>0</v>
      </c>
      <c r="JQ540" s="1061"/>
      <c r="JR540" s="1682" t="b">
        <f>IF(__Retrofit_TI_NC&gt;0,FALSE,IF($JG542=CONCATENATE("Interior - ",JR$4),TRUE,FALSE))</f>
        <v>0</v>
      </c>
      <c r="JS540" s="1061"/>
      <c r="JT540" s="1670" t="b">
        <f>IF(__Retrofit_TI_NC&gt;0,FALSE,IF($JG542=CONCATENATE("Interior - ",JT$4),TRUE,FALSE))</f>
        <v>0</v>
      </c>
      <c r="JU540" s="1061"/>
      <c r="JV540" s="1670" t="b">
        <f>IF(JC542="AELC on Existing",TRUE,FALSE)</f>
        <v>0</v>
      </c>
      <c r="JX540" s="1670" t="b">
        <f>IF(OR(JG542="Exterior - AELC Occupancy based",JG542="Exterior - AELC Time based"),TRUE,FALSE)</f>
        <v>0</v>
      </c>
      <c r="JZ540" s="1682" t="b">
        <f>IF($JG542=CONCATENATE("Exterior - ",JZ$4),TRUE,FALSE)</f>
        <v>0</v>
      </c>
      <c r="KB540" s="1670" t="b">
        <f>IF(__Retrofit_TI_NC&gt;0,FALSE,IF($JG542=CONCATENATE("Interior - ",KB$4),TRUE,FALSE))</f>
        <v>0</v>
      </c>
    </row>
    <row r="541" spans="1:288" s="78" customFormat="1" ht="14.95" customHeight="1" thickTop="1" thickBot="1">
      <c r="B541" s="1845"/>
      <c r="C541" s="1846"/>
      <c r="D541" s="1847"/>
      <c r="E541" s="1737" t="s">
        <v>297</v>
      </c>
      <c r="F541" s="1738"/>
      <c r="G541" s="1739"/>
      <c r="H541" s="1739"/>
      <c r="I541" s="1739"/>
      <c r="J541" s="1739"/>
      <c r="K541" s="1739"/>
      <c r="L541" s="1739"/>
      <c r="M541" s="461" t="e">
        <f>IF(__Retrofit_TI_NC&lt;&gt;0,IF(VLOOKUP(G542,'Space Table'!$B$3:$L$163,3,FALSE)&gt;0,1,0),IF(__Retrofit_TI_NC=VLOOKUP(G542,'Space Table'!$B$3:$L$163,3,FALSE),1,0))</f>
        <v>#N/A</v>
      </c>
      <c r="N541" s="461" t="str">
        <f>IFERROR(VLOOKUP(G541,_Lookup_Heat_Type_Table_New,2,FALSE),"")</f>
        <v/>
      </c>
      <c r="O541" s="461">
        <f>IF(__Retrofit_TI_NC=1,CONCATENATE("TI ",G541),IF(__Retrofit_TI_NC=2,CONCATENATE("NC ",G541),G541))</f>
        <v>0</v>
      </c>
      <c r="P541" s="1740" t="s">
        <v>435</v>
      </c>
      <c r="Q541" s="1740"/>
      <c r="R541" s="595"/>
      <c r="S541" s="1792"/>
      <c r="T541" s="597"/>
      <c r="U541" s="1765"/>
      <c r="V541" s="1766"/>
      <c r="W541" s="1766"/>
      <c r="X541" s="1766"/>
      <c r="Y541" s="1766"/>
      <c r="Z541" s="1766"/>
      <c r="AA541" s="1766"/>
      <c r="AB541" s="1766"/>
      <c r="AC541" s="1766"/>
      <c r="AD541" s="1767"/>
      <c r="AE541" s="1000"/>
      <c r="AF541" s="597"/>
      <c r="AG541" s="1723"/>
      <c r="AH541" s="1724"/>
      <c r="AI541" s="1724"/>
      <c r="AJ541" s="1724"/>
      <c r="AK541" s="1725"/>
      <c r="AL541" s="996"/>
      <c r="AM541" s="1747"/>
      <c r="AN541" s="1775"/>
      <c r="AO541" s="1777"/>
      <c r="AP541" s="1780"/>
      <c r="AQ541" s="1781"/>
      <c r="AR541" s="1795"/>
      <c r="AS541" s="1795"/>
      <c r="AT541" s="1796"/>
      <c r="AU541" s="1735"/>
      <c r="AV541" s="1752"/>
      <c r="AW541" s="1705"/>
      <c r="AX541" s="467"/>
      <c r="AY541" s="1749"/>
      <c r="AZ541" s="1749"/>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696"/>
      <c r="CQ541" s="1696"/>
      <c r="CR541" s="1809"/>
      <c r="CS541" s="1811"/>
      <c r="CU541" s="1688"/>
      <c r="CV541" s="1703"/>
      <c r="CW541" s="1703"/>
      <c r="CX541" s="1703"/>
      <c r="CY541" s="1815"/>
      <c r="CZ541" s="1711"/>
      <c r="DA541" s="1818"/>
      <c r="DB541" s="1820"/>
      <c r="DC541" s="1820"/>
      <c r="DD541" s="1820"/>
      <c r="DF541" s="1703"/>
      <c r="DG541" s="1831"/>
      <c r="DH541" s="1703"/>
      <c r="DI541" s="1838"/>
      <c r="DJ541" s="1711"/>
      <c r="DK541" s="1712"/>
      <c r="DM541" s="1718"/>
      <c r="DO541" s="1708"/>
      <c r="DQ541" s="1715"/>
      <c r="DR541" s="1720"/>
      <c r="DS541" s="1816"/>
      <c r="DT541" s="1714"/>
      <c r="DU541" s="1715"/>
      <c r="DV541" s="1716"/>
      <c r="DX541" s="1715"/>
      <c r="DY541" s="1720"/>
      <c r="DZ541" s="1715"/>
      <c r="EA541" s="1715"/>
      <c r="EC541" s="1834"/>
      <c r="ED541" s="1834"/>
      <c r="EF541" s="1707"/>
      <c r="EG541" s="1712"/>
      <c r="EH541" s="1818"/>
      <c r="EI541" s="1712"/>
      <c r="EJ541" s="1712"/>
      <c r="EK541" s="1836"/>
      <c r="EL541" s="1836"/>
      <c r="EM541" s="1807"/>
      <c r="EN541" s="1839"/>
      <c r="EO541" s="1839"/>
      <c r="EP541" s="1817"/>
      <c r="EQ541" s="1817"/>
      <c r="ER541" s="1807"/>
      <c r="ES541" s="1807"/>
      <c r="ET541" s="1807"/>
      <c r="EV541" s="1715"/>
      <c r="EX541" s="1805"/>
      <c r="EY541" s="1805"/>
      <c r="EZ541" s="1805"/>
      <c r="FA541" s="1805"/>
      <c r="FB541" s="1805"/>
      <c r="FC541" s="1827"/>
      <c r="FE541" s="1698"/>
      <c r="FG541" s="1816"/>
      <c r="FH541" s="1816"/>
      <c r="FI541" s="133"/>
      <c r="FL541" s="1823"/>
      <c r="FM541" s="1825"/>
      <c r="FN541" s="1698"/>
      <c r="FO541" s="1698"/>
      <c r="FP541" s="1678"/>
      <c r="FQ541" s="1678"/>
      <c r="FS541" s="1687"/>
      <c r="FT541" s="1687"/>
      <c r="FU541" s="1685"/>
      <c r="FV541" s="1687"/>
      <c r="FW541" s="1687"/>
      <c r="FX541" s="1687"/>
      <c r="FY541" s="1697"/>
      <c r="GA541" s="1696"/>
      <c r="GB541" s="1696"/>
      <c r="GC541" s="1696"/>
      <c r="GD541" s="1696"/>
      <c r="GE541" s="1696"/>
      <c r="GF541" s="1696"/>
      <c r="GG541" s="1696"/>
      <c r="GH541" s="1696"/>
      <c r="GI541" s="673"/>
      <c r="GJ541" s="1135"/>
      <c r="GK541" s="1832"/>
      <c r="GM541" s="1693" t="b">
        <f ca="1">IF(AND(GP541=TRUE,GQ541=TRUE),TRUE,FALSE)</f>
        <v>0</v>
      </c>
      <c r="GN541" s="1684" t="b">
        <f>IFERROR(IF(__Retrofit_TI_NC=2,TRUE,IF(AU540="Yes",TRUE,FALSE)),FALSE)</f>
        <v>1</v>
      </c>
      <c r="GP541" s="1684" t="b">
        <f>IFERROR(IF(GP540=1,TRUE,FALSE),FALSE)</f>
        <v>0</v>
      </c>
      <c r="GQ541" s="1684" t="b">
        <f ca="1">IFERROR(IF(GQ540=GQ$14,TRUE,FALSE),FALSE)</f>
        <v>0</v>
      </c>
      <c r="HG541" s="1684" t="b">
        <f>IFERROR(IF(AND(__Retrofit_TI_NC&gt;0,CQ540="Interior"),FALSE,TRUE),FALSE)</f>
        <v>1</v>
      </c>
      <c r="HH541" s="1684" t="b">
        <f>IFERROR(IF(M541=1,TRUE,FALSE),FALSE)</f>
        <v>0</v>
      </c>
      <c r="HI541" s="1684" t="b">
        <f>IFERROR(IF(OR(M542=1,N543="BAM"),TRUE,FALSE),FALSE)</f>
        <v>0</v>
      </c>
      <c r="HJ541" s="1684" t="b">
        <f>IFERROR(IF(__Retrofit_TI_NC&lt;&gt;0,TRUE,IFERROR(IF(VLOOKUP(U541,Fixtures_Existing_List,2,FALSE)&lt;&gt;"",TRUE,FALSE),FALSE)),FALSE)</f>
        <v>0</v>
      </c>
      <c r="HK541" s="1684" t="b">
        <f>IFERROR(IF(VLOOKUP(U542,Fixtures_Proposed_List,2,FALSE)&lt;&gt;"",TRUE,FALSE),FALSE)</f>
        <v>0</v>
      </c>
      <c r="HL541" s="1684" t="b">
        <f>IF(AND(__Retrofit_TI_NC=2,FC540=TRUE),FALSE,TRUE)</f>
        <v>1</v>
      </c>
      <c r="HM541" s="1684" t="b">
        <f>GK540</f>
        <v>1</v>
      </c>
      <c r="HN541" s="1682" t="b">
        <f>IF(ISERROR(MATCH(FE540,_Control_Match[],0))=TRUE,FALSE,TRUE)</f>
        <v>0</v>
      </c>
      <c r="HO541" s="1693" t="b">
        <f>IFERROR(IF(EX540&lt;&gt;EY540,FALSE,TRUE),FALSE)</f>
        <v>1</v>
      </c>
      <c r="HP541" s="1693" t="b">
        <f>IFERROR(IF(EX542&lt;&gt;EY542,FALSE,TRUE),FALSE)</f>
        <v>1</v>
      </c>
      <c r="HQ541" s="1670" t="b">
        <f>IFERROR(IF(CQ540="Exterior",TRUE,IF(AND(OR(FM542=0,FM542=3),JD542&gt;6),FALSE,TRUE)),FALSE)</f>
        <v>0</v>
      </c>
      <c r="HR541" s="1684" t="b">
        <f>IFERROR(IF(AND(FO542=7,FC540=TRUE),FALSE,TRUE),FALSE)</f>
        <v>0</v>
      </c>
      <c r="HS541" s="1684" t="b">
        <f>IFERROR(IF(AND(T542&lt;&gt;AF542,OR(AG542="Interior LLLC", AG542="Interior NLC", AG542="LLLC (outside Daylight)",AG542="LLLC Controls Only"))=TRUE,FALSE,TRUE),FALSE)</f>
        <v>1</v>
      </c>
      <c r="HT541" s="1670" t="b">
        <f>IFERROR(IF(OR(AG542=Lookup!BB$17,AG542=Lookup!BB$18,AG542=Lookup!BB$19)=TRUE,IF(AF542&gt;T542,FALSE,TRUE),TRUE),FALSE)</f>
        <v>1</v>
      </c>
      <c r="HU541" s="1684" t="b">
        <f>IFERROR(IF(__Retrofit_TI_NC=2,IF(EZ542&lt;EZ540,FALSE,TRUE),TRUE),FALSE)</f>
        <v>1</v>
      </c>
      <c r="HV541" s="1684" t="b">
        <f>IF(CQ540="Interior",IL$6,TRUE)</f>
        <v>1</v>
      </c>
      <c r="HW541" s="1684" t="b">
        <f>IF(CQ540="Exterior",IL$8,TRUE)</f>
        <v>1</v>
      </c>
      <c r="HX541" s="1684" t="b">
        <f>IFERROR(IF(__Retrofit_TI_NC&lt;&gt;0,IF(AZ540&lt;AY540,FALSE,TRUE),TRUE),FALSE)</f>
        <v>1</v>
      </c>
      <c r="HY541" s="1684" t="b">
        <f>IFERROR(IF(AND(G541="Exterior",R541&gt;4200),FALSE,TRUE),FALSE)</f>
        <v>1</v>
      </c>
      <c r="HZ541" s="1684" t="b">
        <f>IFERROR(IF(AB543/AB540&lt;HZ$18,FALSE,TRUE),FALSE)</f>
        <v>0</v>
      </c>
      <c r="IB541" s="1691"/>
      <c r="IC541" s="1695"/>
      <c r="ID541" s="1694" t="str">
        <f>VLOOKUP(IB543,_Error_Table,4,FALSE)</f>
        <v>White</v>
      </c>
      <c r="IE541" s="391"/>
      <c r="IF541" s="1688"/>
      <c r="IG541" s="1689"/>
      <c r="IH541" s="1684"/>
      <c r="IK541" s="1689"/>
      <c r="IL541" s="1691"/>
      <c r="IM541" s="1691"/>
      <c r="IN541" s="1691"/>
      <c r="IP541" s="1679"/>
      <c r="IQ541" s="1679"/>
      <c r="IR541" s="1679"/>
      <c r="IS541" s="1679"/>
      <c r="IT541" s="1679"/>
      <c r="IU541" s="1679"/>
      <c r="IV541" s="1679"/>
      <c r="IW541" s="1679"/>
      <c r="IX541" s="1679"/>
      <c r="IY541" s="1679"/>
      <c r="IZ541" s="1679"/>
      <c r="JA541" s="1679"/>
      <c r="JC541" s="1680"/>
      <c r="JD541" s="1670"/>
      <c r="JE541" s="1681"/>
      <c r="JG541" s="1680"/>
      <c r="JH541" s="1670"/>
      <c r="JI541" s="1060"/>
      <c r="JJ541" s="1683"/>
      <c r="JK541" s="1061"/>
      <c r="JL541" s="1683"/>
      <c r="JM541" s="1061"/>
      <c r="JN541" s="1683"/>
      <c r="JO541" s="1061"/>
      <c r="JP541" s="1683"/>
      <c r="JQ541" s="1061"/>
      <c r="JR541" s="1683"/>
      <c r="JS541" s="1061"/>
      <c r="JT541" s="1670"/>
      <c r="JU541" s="1061"/>
      <c r="JV541" s="1670"/>
      <c r="JX541" s="1670"/>
      <c r="JZ541" s="1683"/>
      <c r="KB541" s="1670"/>
    </row>
    <row r="542" spans="1:288" s="78" customFormat="1" ht="14.95" customHeight="1" thickTop="1" thickBot="1">
      <c r="A542" s="78">
        <f>ROW()</f>
        <v>542</v>
      </c>
      <c r="B542" s="1845"/>
      <c r="C542" s="1846"/>
      <c r="D542" s="1847"/>
      <c r="E542" s="1737" t="s">
        <v>298</v>
      </c>
      <c r="F542" s="1738"/>
      <c r="G542" s="1760"/>
      <c r="H542" s="1761"/>
      <c r="I542" s="1761"/>
      <c r="J542" s="1761"/>
      <c r="K542" s="1761"/>
      <c r="L542" s="1762"/>
      <c r="M542" s="461">
        <f>IFERROR(IF(IF(__Retrofit_TI_NC&lt;&gt;0,IF(CQ540="Interior",MATCH(G542,Lookup_Interior_New,0),MATCH(G542,Lookup_Exterior_New,0)),IF(CQ540="Interior",MATCH(G542,Lookup_Interior,0),MATCH(G542,Lookup_Exterior_Areas,0)))&gt;0,1,0),0)</f>
        <v>0</v>
      </c>
      <c r="N542" s="461" t="e">
        <f>IF(__Retrofit_TI_NC=1,
VLOOKUP(G542,'Space Table'!$B$3:$L$163,4,FALSE),
IF(__Retrofit_TI_NC=2,VLOOKUP(G542,'Space Table'!$B$3:$L$163,5,FALSE),VLOOKUP(G542,'Space Table'!$B$3:$L$163,5,FALSE)))</f>
        <v>#N/A</v>
      </c>
      <c r="O542" s="461">
        <f>G542</f>
        <v>0</v>
      </c>
      <c r="P542" s="1738" t="str">
        <f>IFERROR(IF(__Retrofit_TI_NC=1,VLOOKUP(G542,'Space Table'!$B$3:$O$163,13,FALSE),IF(__Retrofit_TI_NC=2,VLOOKUP(G542,'Space Table'!$B$3:$O$163,14,FALSE),"Area (sf):")),"Area (sf):")</f>
        <v>Area (sf):</v>
      </c>
      <c r="Q542" s="1738"/>
      <c r="R542" s="596"/>
      <c r="S542" s="1763" t="s">
        <v>345</v>
      </c>
      <c r="T542" s="594"/>
      <c r="U542" s="1801"/>
      <c r="V542" s="1802"/>
      <c r="W542" s="1802"/>
      <c r="X542" s="1802"/>
      <c r="Y542" s="1802"/>
      <c r="Z542" s="1802"/>
      <c r="AA542" s="1802"/>
      <c r="AB542" s="1802"/>
      <c r="AC542" s="1802"/>
      <c r="AD542" s="1802"/>
      <c r="AE542" s="1803"/>
      <c r="AF542" s="594"/>
      <c r="AG542" s="1787"/>
      <c r="AH542" s="1787"/>
      <c r="AI542" s="1787"/>
      <c r="AJ542" s="1787"/>
      <c r="AK542" s="1787"/>
      <c r="AL542" s="1787"/>
      <c r="AM542" s="1726">
        <f>IFERROR(DI542,"")</f>
        <v>0</v>
      </c>
      <c r="AN542" s="1728" t="str">
        <f>IFERROR(ROUND(AM542*AC543,0),"")</f>
        <v/>
      </c>
      <c r="AO542" s="1730">
        <f>IFERROR(IF(IB540=FALSE,0,AC543-AN542),0)</f>
        <v>0</v>
      </c>
      <c r="AP542" s="1780"/>
      <c r="AQ542" s="1781"/>
      <c r="AR542" s="1795"/>
      <c r="AS542" s="1795"/>
      <c r="AT542" s="1796"/>
      <c r="AU542" s="1735"/>
      <c r="AV542" s="1752"/>
      <c r="AW542" s="1705"/>
      <c r="AX542" s="467"/>
      <c r="AY542" s="1749"/>
      <c r="AZ542" s="1749"/>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696"/>
      <c r="CQ542" s="1696"/>
      <c r="CR542" s="1808" t="str">
        <f>CQ540</f>
        <v/>
      </c>
      <c r="CS542" s="1810" t="str">
        <f>CS540</f>
        <v/>
      </c>
      <c r="CU542" s="1688" t="s">
        <v>345</v>
      </c>
      <c r="CV542" s="1702">
        <f>IF(IB540=TRUE,T542,0)</f>
        <v>0</v>
      </c>
      <c r="CW542" s="1702" t="str">
        <f>IF(IB540=TRUE,U542,"")</f>
        <v/>
      </c>
      <c r="CX542" s="1812">
        <f>IF(IB540=TRUE,U543,0)</f>
        <v>0</v>
      </c>
      <c r="CY542" s="1814">
        <f>IF(IB540=TRUE,AB543,0)</f>
        <v>0</v>
      </c>
      <c r="CZ542" s="1710">
        <f>IF(AND(__Retrofit_TI_NC&gt;0,CR540="interior"),0,IF(IB540=TRUE,AC543,0))</f>
        <v>0</v>
      </c>
      <c r="DA542" s="1818"/>
      <c r="DB542" s="1820"/>
      <c r="DC542" s="1820"/>
      <c r="DD542" s="1820"/>
      <c r="DF542" s="1702">
        <f>IF(IB540=TRUE,AF542,0)</f>
        <v>0</v>
      </c>
      <c r="DG542" s="1830" t="str">
        <f>IF(IB540=TRUE,AG542,"")</f>
        <v/>
      </c>
      <c r="DH542" s="1812">
        <f>AG543</f>
        <v>0</v>
      </c>
      <c r="DI542" s="1837">
        <f>JE542</f>
        <v>0</v>
      </c>
      <c r="DJ542" s="1710">
        <f>IF(AND(__Retrofit_TI_NC&gt;0,CR540="interior"),0,IF(IB540=TRUE,AN542,0))</f>
        <v>0</v>
      </c>
      <c r="DK542" s="1712"/>
      <c r="DN542" s="1717">
        <f>IFERROR(CZ542-DJ542,0)</f>
        <v>0</v>
      </c>
      <c r="DO542" s="1709"/>
      <c r="DQ542" s="1715"/>
      <c r="DR542" s="1719" t="str">
        <f>DQ540</f>
        <v/>
      </c>
      <c r="DS542" s="1816"/>
      <c r="DT542" s="1835" t="str">
        <f>IF(OR(DS540=7,DS540=8,DS540=9),"ALC","")</f>
        <v/>
      </c>
      <c r="DU542" s="1715"/>
      <c r="DV542" s="1716"/>
      <c r="DX542" s="1715"/>
      <c r="DY542" s="1829" t="str">
        <f>DX540</f>
        <v/>
      </c>
      <c r="DZ542" s="1715"/>
      <c r="EA542" s="1715"/>
      <c r="EC542" s="1834"/>
      <c r="ED542" s="1834"/>
      <c r="EF542" s="1707"/>
      <c r="EG542" s="1712"/>
      <c r="EH542" s="1818"/>
      <c r="EI542" s="1712"/>
      <c r="EJ542" s="1712"/>
      <c r="EK542" s="1836"/>
      <c r="EL542" s="1836"/>
      <c r="EM542" s="1807"/>
      <c r="EN542" s="1839"/>
      <c r="EO542" s="1839"/>
      <c r="EP542" s="1817"/>
      <c r="EQ542" s="1817"/>
      <c r="ER542" s="1807"/>
      <c r="ES542" s="1807"/>
      <c r="ET542" s="1807"/>
      <c r="EV542" s="1715"/>
      <c r="EX542" s="1805" t="str">
        <f>IFERROR(VLOOKUP(CS542,'Space Table'!$B$3:$L$163,8,FALSE),"")</f>
        <v/>
      </c>
      <c r="EY542" s="1805" t="str">
        <f>IFERROR(IF(FB542="Yes",VLOOKUP(AG542,Lookup_Control_Type_Table2,4,FALSE),VLOOKUP(AG542,Lookup_Control_Type_Table2,3,FALSE)),"")</f>
        <v/>
      </c>
      <c r="EZ542" s="1805" t="e">
        <f>VLOOKUP(AG542,Lookup!BB$3:BC$20,2,FALSE)</f>
        <v>#N/A</v>
      </c>
      <c r="FA542" s="1805" t="e">
        <f>VLOOKUP(EX540,Lookup_Control_Type_Table,2,FALSE)</f>
        <v>#N/A</v>
      </c>
      <c r="FB542" s="1805" t="e">
        <f>VLOOKUP(CS542,'Space Table'!$B$3:$L$163,7,FALSE)</f>
        <v>#N/A</v>
      </c>
      <c r="FC542" s="1827"/>
      <c r="FE542" s="1698" t="str">
        <f>CONCATENATE(CQ540," - ",AG542)</f>
        <v xml:space="preserve"> - </v>
      </c>
      <c r="FG542" s="1816"/>
      <c r="FH542" s="1816"/>
      <c r="FI542" s="133"/>
      <c r="FL542" s="1822" t="str">
        <f>IF(CQ540="Exterior","Not Daylighted",G543)</f>
        <v>Not Daylighted</v>
      </c>
      <c r="FM542" s="1824">
        <f>VLOOKUP(FL542,_New_Daylight_Table_Codes,2,FALSE)</f>
        <v>0</v>
      </c>
      <c r="FN542" s="1698">
        <f>AG542</f>
        <v>0</v>
      </c>
      <c r="FO542" s="1698" t="e">
        <f>VLOOKUP(FN542,_Control_Table,2,FALSE)</f>
        <v>#N/A</v>
      </c>
      <c r="FP542" s="1678" t="e">
        <f>VLOOKUP(CONCATENATE(FL542," ",FN542),Lookup!AY$102:AZ553,2,FALSE)</f>
        <v>#N/A</v>
      </c>
      <c r="FQ542" s="1698">
        <f>IF(__Retrofit_TI_NC=0,FN542,IF(AND(FT542&gt;0,FN542="Occupancy Sensor"),"Daylight + Occupancy",IF(AND(FT542&gt;0,FO542&lt;4),"Interior Daylight Dimming",FN542)))</f>
        <v>0</v>
      </c>
      <c r="FS542" s="1686">
        <f>IF(CQ540="Interior",VLOOKUP(CS540,Control_Savings_Interior,5,FALSE),0)</f>
        <v>0</v>
      </c>
      <c r="FT542" s="1687">
        <f>IF(CQ542="Exterior",0,IF(FM542=2,0.5,IF(OR(FM542=1,FM542=3),1,0)))</f>
        <v>0</v>
      </c>
      <c r="FU542" s="1685">
        <f>IF(R541&gt;FS$44,(FS542*(FS$44/R541)),FS542)*FT542</f>
        <v>0</v>
      </c>
      <c r="FV542" s="1686">
        <f>DI542</f>
        <v>0</v>
      </c>
      <c r="FW542" s="1686">
        <f>ROUND(FV542+((1-FV542)*FU542),2)</f>
        <v>0</v>
      </c>
      <c r="FX542" s="1686">
        <f>IF(__Retrofit_TI_NC=2,FW542,FV542)</f>
        <v>0</v>
      </c>
      <c r="FY542" s="1697">
        <f>IF(CR542="Interior",VLOOKUP(CS542,Control_Savings_Interior,4,FALSE),0)</f>
        <v>0</v>
      </c>
      <c r="GA542" s="1696"/>
      <c r="GB542" s="1696"/>
      <c r="GC542" s="1696"/>
      <c r="GD542" s="1696"/>
      <c r="GE542" s="1696"/>
      <c r="GF542" s="1696"/>
      <c r="GG542" s="1696"/>
      <c r="GH542" s="1696"/>
      <c r="GI542" s="673" t="b">
        <f>IF(ISNUMBER(SEARCH("TLED",U542)),TRUE,FALSE)</f>
        <v>0</v>
      </c>
      <c r="GJ542" s="1135" t="str">
        <f>IFERROR(VLOOKUP(U542,Fixtures!DM$93:DR$142,6,FALSE),"")</f>
        <v/>
      </c>
      <c r="GK542" s="1832"/>
      <c r="GM542" s="1692"/>
      <c r="GN542" s="1684"/>
      <c r="GP542" s="1684"/>
      <c r="GQ542" s="1684"/>
      <c r="HG542" s="1684"/>
      <c r="HH542" s="1684"/>
      <c r="HI542" s="1684"/>
      <c r="HJ542" s="1684"/>
      <c r="HK542" s="1684"/>
      <c r="HL542" s="1684"/>
      <c r="HM542" s="1684"/>
      <c r="HN542" s="1683"/>
      <c r="HO542" s="1692"/>
      <c r="HP542" s="1692"/>
      <c r="HQ542" s="1670"/>
      <c r="HR542" s="1684"/>
      <c r="HS542" s="1684"/>
      <c r="HT542" s="1670"/>
      <c r="HU542" s="1684"/>
      <c r="HV542" s="1684"/>
      <c r="HW542" s="1684"/>
      <c r="HX542" s="1684"/>
      <c r="HY542" s="1684"/>
      <c r="HZ542" s="1684"/>
      <c r="IB542" s="1692"/>
      <c r="IC542" s="1693" t="b">
        <f>IB540</f>
        <v>0</v>
      </c>
      <c r="ID542" s="1695"/>
      <c r="IE542" s="391"/>
      <c r="IF542" s="1688"/>
      <c r="IG542" s="1689">
        <f ca="1">IF(IF540=TRUE,AC543,0)</f>
        <v>0</v>
      </c>
      <c r="IH542" s="1684"/>
      <c r="IK542" s="1689" t="e">
        <f>ROUND(T542*AB543*N541*R541/1000,0)</f>
        <v>#VALUE!</v>
      </c>
      <c r="IL542" s="1691"/>
      <c r="IM542" s="1693" t="e">
        <f>ROUND(T542*AB543*N541*R541/1000,0)</f>
        <v>#VALUE!</v>
      </c>
      <c r="IN542" s="1691"/>
      <c r="IP542" s="1679"/>
      <c r="IQ542" s="1679" t="e">
        <f t="shared" ref="IQ542:IU542" si="492">IF($CR542="interior",VLOOKUP($CS542,_New_Control_Savings_Interior,IQ$30,FALSE),VLOOKUP($CS542,Control_Savings_Exterior,IQ$30,FALSE))</f>
        <v>#N/A</v>
      </c>
      <c r="IR542" s="1679" t="e">
        <f t="shared" si="492"/>
        <v>#N/A</v>
      </c>
      <c r="IS542" s="1679" t="e">
        <f t="shared" si="492"/>
        <v>#N/A</v>
      </c>
      <c r="IT542" s="1679" t="e">
        <f t="shared" si="492"/>
        <v>#N/A</v>
      </c>
      <c r="IU542" s="1679" t="e">
        <f t="shared" si="492"/>
        <v>#N/A</v>
      </c>
      <c r="IV542" s="1679" t="e">
        <f>IF($CR542="interior",IF(R541&gt;$IP$14,ROUND(($IV$18*($IP$14/R541)),2),$IV$18),VLOOKUP($CS542,Control_Savings_Exterior,IV$30,FALSE))</f>
        <v>#N/A</v>
      </c>
      <c r="IW542" s="1679" t="e">
        <f>IF($CR542="interior",ROUND(((1-IS542)*IV542)+IS542,2),VLOOKUP($CS542,Control_Savings_Exterior,IW$30,FALSE))</f>
        <v>#N/A</v>
      </c>
      <c r="IX542" s="1679" t="e">
        <f>IF($CR542="interior",ROUND(((1-IT542)*IV542)+IT542,2),VLOOKUP($CS542,Control_Savings_Exterior,IX$30,FALSE))</f>
        <v>#N/A</v>
      </c>
      <c r="IY542" s="1679" t="e">
        <f>IF($CR542="interior",IF(R541&gt;$IP$14,ROUND(($IY$18*($IP$14/R541)),2),$IY$18),VLOOKUP($CS542,Control_Savings_Exterior,IY$30,FALSE))</f>
        <v>#N/A</v>
      </c>
      <c r="IZ542" s="1679" t="e">
        <f>IF($CR542="interior",ROUND(((1-IS542)*IY542)+IS542,2),VLOOKUP($CS542,Control_Savings_Exterior,IZ$30,FALSE))</f>
        <v>#N/A</v>
      </c>
      <c r="JA542" s="1679" t="e">
        <f>IF($CR542="interior",ROUND(((1-IT542)*IY542)+IT542,2),VLOOKUP($CS542,Control_Savings_Exterior,JA$30,FALSE))</f>
        <v>#N/A</v>
      </c>
      <c r="JC542" s="1680">
        <f>IFERROR(IF(CR542="Interior",CONCATENATE(G543," ",FQ542),AG542),"")</f>
        <v>0</v>
      </c>
      <c r="JD542" s="1670" t="str">
        <f>IFERROR(VLOOKUP(JC542,_Controls_2023,2,FALSE),"")</f>
        <v/>
      </c>
      <c r="JE542" s="1681">
        <f>IFERROR(CHOOSE(JD542-1,IQ542,IR542,IS542,IT542,IU542,IV542,IW542,IX542,IY542,IZ542,JA542),0)</f>
        <v>0</v>
      </c>
      <c r="JG542" s="1680" t="str">
        <f>FE542</f>
        <v xml:space="preserve"> - </v>
      </c>
      <c r="JH542" s="1670" t="e">
        <f>$FO542</f>
        <v>#N/A</v>
      </c>
      <c r="JI542" s="1060"/>
      <c r="JJ542" s="1670">
        <f>IFERROR(IF($IB540=TRUE,IF(OR(JJ$14="No",JJ540=FALSE,JH542&lt;=JH540,AND(_kWh_Grant=0,GD540=FALSE)),0,IF(JJ$8="Per Line",1,$AF542)),0),0)</f>
        <v>0</v>
      </c>
      <c r="JK542" s="1061"/>
      <c r="JL542" s="1670">
        <f>IFERROR(IF(_kWh_Grant=0,0,IF($IB540=TRUE,IF(OR(JL$14="No",JL540=FALSE,JH542&lt;=JH540),0,IF(JL$8="Per Line",1,$T542)),0)),0)</f>
        <v>0</v>
      </c>
      <c r="JM542" s="1061"/>
      <c r="JN542" s="1670">
        <f>IFERROR(IF(_kWh_Grant=0,0,IF($IB540=TRUE,IF(OR(JN$14="No",JN540=FALSE,JH542&lt;=JH540),0,IF(JN$8="Per Line",1,$AF542)),0)),0)</f>
        <v>0</v>
      </c>
      <c r="JO542" s="1061"/>
      <c r="JP542" s="1670">
        <f>IFERROR(IF(__Retrofit_TI_NC=0,IF(_kWh_Grant=0,0,IF($IB540=TRUE,IF(OR(JP$14="No",JP540=FALSE,$JH542&lt;=$JH540),0,IF(JP$8="Per Line",1,$AF542)),0)),IF($IB540=TRUE,IF(OR(JP$14="No",JP540=FALSE,$JH542&lt;=$JH540),0,IF(JP$8="Per Line",1,$AF542)))),0)</f>
        <v>0</v>
      </c>
      <c r="JQ542" s="1061"/>
      <c r="JR542" s="1670">
        <f>IFERROR(IF(__Retrofit_TI_NC=0,IF(_kWh_Grant=0,0,IF($IB540=TRUE,IF(OR(JR$14="No",JR540=FALSE,$JH542&lt;=$JH540),0,IF(JR$8="Per Line",1,$AF542)),0)),IF($IB540=TRUE,IF(OR(JR$14="No",JR540=FALSE,$JH542&lt;=$JH540),0,IF(JR$8="Per Line",1,$AF542)))),0)</f>
        <v>0</v>
      </c>
      <c r="JS542" s="1061"/>
      <c r="JT542" s="1670">
        <f>IFERROR(IF(__Retrofit_TI_NC=0,IF(_kWh_Grant=0,0,IF($IB540=TRUE,IF(OR(JT$14="No",JT540=FALSE,$JH542&lt;=$JH540),0,IF(JT$8="Per Line",1,$AF542)),0)),IF($IB540=TRUE,IF(OR(JT$14="No",JT540=FALSE,$JH542&lt;=$JH540),0,IF(JT$8="Per Line",1,$AF542)))),0)</f>
        <v>0</v>
      </c>
      <c r="JU542" s="1061"/>
      <c r="JV542" s="1670">
        <f>IFERROR(IF(__Retrofit_TI_NC=0,IF(_kWh_Grant=0,0,IF($IB540=TRUE,IF(OR(JV$14="No",JV540=FALSE,$JH542&lt;=$JH540),0,IF(JV$8="Per Line",1,$AF542)),0)),IF($IB540=TRUE,IF(OR(JV$14="No",JV540=FALSE,$JH542&lt;=$JH540),0,IF(JV$8="Per Line",1,$AF542)))),0)</f>
        <v>0</v>
      </c>
      <c r="JX542" s="1670">
        <f>IFERROR(IF(__Retrofit_TI_NC=0,IF(_kWh_Grant=0,0,IF($IB540=TRUE,IF(OR(JX$14="No",JX540=FALSE,$JH542&lt;=$JH540),0,IF(JX$8="Per Line",1,$AF542)),0)),IF($IB540=TRUE,IF(OR(JX$14="No",JX540=FALSE,$JH542&lt;=$JH540),0,IF(JX$8="Per Line",1,$AF542)))),0)</f>
        <v>0</v>
      </c>
      <c r="JZ542" s="1670">
        <f>IFERROR(IF($IB540=TRUE,IF(OR(JZ$14="No",JZ540=FALSE,$JH542&lt;=$JH540,AND(_kWh_Grant=0,$GD540=FALSE)),0,IF(JZ$8="Per Line",1,$AF542)),0),0)</f>
        <v>0</v>
      </c>
      <c r="KB542" s="1670">
        <f>IFERROR(IF(__Retrofit_TI_NC=0,IF(_kWh_Grant=0,0,IF($IB540=TRUE,IF(OR(KB$14="No",KB540=FALSE,$JH542&lt;=$JH540),0,IF(KB$8="Per Line",1,$AF542)),0)),IF($IB540=TRUE,IF(OR(KB$14="No",KB540=FALSE,$JH542&lt;=$JH540),0,IF(KB$8="Per Line",1,$AF542)))),0)</f>
        <v>0</v>
      </c>
    </row>
    <row r="543" spans="1:288" s="78" customFormat="1" ht="14.95" customHeight="1" thickTop="1" thickBot="1">
      <c r="B543" s="1845"/>
      <c r="C543" s="1846"/>
      <c r="D543" s="1847"/>
      <c r="E543" s="1771" t="s">
        <v>436</v>
      </c>
      <c r="F543" s="1772"/>
      <c r="G543" s="1784" t="s">
        <v>437</v>
      </c>
      <c r="H543" s="1785"/>
      <c r="I543" s="1785"/>
      <c r="J543" s="1785"/>
      <c r="K543" s="1785"/>
      <c r="L543" s="1786"/>
      <c r="M543" s="591">
        <f>IFERROR(VLOOKUP(G543,_Daylight_Table[],2,FALSE),0)</f>
        <v>0</v>
      </c>
      <c r="N543" s="592" t="str">
        <f>IF(AND(__Retrofit_TI_NC&gt;0,CQ540="Interior"),"BAM","")</f>
        <v/>
      </c>
      <c r="O543" s="591" t="e">
        <f>VLOOKUP(G542,'Space Table'!$B$3:$L$163,11,FALSE)</f>
        <v>#N/A</v>
      </c>
      <c r="P543" s="1789"/>
      <c r="Q543" s="1790"/>
      <c r="R543" s="1790"/>
      <c r="S543" s="1788"/>
      <c r="T543" s="593" t="s">
        <v>342</v>
      </c>
      <c r="U543" s="1756" t="str" cm="1">
        <f t="array" aca="1" ref="U543" ca="1">IFERROR(VLOOKUP(INDIRECT("U" &amp; ROW()-1),Fixtures!DM$93:DP$142,4,FALSE),"")</f>
        <v/>
      </c>
      <c r="V543" s="1757"/>
      <c r="W543" s="1757"/>
      <c r="X543" s="1757"/>
      <c r="Y543" s="1757"/>
      <c r="Z543" s="1757"/>
      <c r="AA543" s="1758"/>
      <c r="AB543" s="939" t="str">
        <f>IFERROR(VLOOKUP(U542,Fixtures_Proposed_List,2,FALSE),"")</f>
        <v/>
      </c>
      <c r="AC543" s="933" t="str">
        <f>IFERROR(ROUND(T542*AB543*N541*R541/1000,0),"")</f>
        <v/>
      </c>
      <c r="AD543" s="934" t="str">
        <f>IFERROR(ROUND(T542*AB543/1000,2),"")</f>
        <v/>
      </c>
      <c r="AE543" s="998"/>
      <c r="AF543" s="938" t="s">
        <v>342</v>
      </c>
      <c r="AG543" s="1770"/>
      <c r="AH543" s="1770"/>
      <c r="AI543" s="1770"/>
      <c r="AJ543" s="1770"/>
      <c r="AK543" s="1770"/>
      <c r="AL543" s="1770"/>
      <c r="AM543" s="1727"/>
      <c r="AN543" s="1729"/>
      <c r="AO543" s="1731"/>
      <c r="AP543" s="1782"/>
      <c r="AQ543" s="1783"/>
      <c r="AR543" s="1797"/>
      <c r="AS543" s="1797"/>
      <c r="AT543" s="1798"/>
      <c r="AU543" s="1736"/>
      <c r="AV543" s="1753"/>
      <c r="AW543" s="1706"/>
      <c r="AX543" s="468"/>
      <c r="AY543" s="1750"/>
      <c r="AZ543" s="1750"/>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696"/>
      <c r="CQ543" s="1696"/>
      <c r="CR543" s="1809"/>
      <c r="CS543" s="1811"/>
      <c r="CU543" s="1688"/>
      <c r="CV543" s="1703"/>
      <c r="CW543" s="1703"/>
      <c r="CX543" s="1813"/>
      <c r="CY543" s="1815"/>
      <c r="CZ543" s="1711"/>
      <c r="DA543" s="1815"/>
      <c r="DB543" s="1821"/>
      <c r="DC543" s="1821"/>
      <c r="DD543" s="1821"/>
      <c r="DF543" s="1703"/>
      <c r="DG543" s="1831"/>
      <c r="DH543" s="1813"/>
      <c r="DI543" s="1838"/>
      <c r="DJ543" s="1711"/>
      <c r="DK543" s="1712"/>
      <c r="DN543" s="1718"/>
      <c r="DO543" s="1709"/>
      <c r="DQ543" s="1715"/>
      <c r="DR543" s="1720"/>
      <c r="DS543" s="1703"/>
      <c r="DT543" s="1714"/>
      <c r="DU543" s="1715"/>
      <c r="DV543" s="1716"/>
      <c r="DX543" s="1715"/>
      <c r="DY543" s="1720"/>
      <c r="DZ543" s="1715"/>
      <c r="EA543" s="1715"/>
      <c r="EC543" s="1834"/>
      <c r="ED543" s="1834"/>
      <c r="EF543" s="1707"/>
      <c r="EG543" s="1712"/>
      <c r="EH543" s="1815"/>
      <c r="EI543" s="1712"/>
      <c r="EJ543" s="1712"/>
      <c r="EK543" s="1813"/>
      <c r="EL543" s="1813"/>
      <c r="EM543" s="1807"/>
      <c r="EN543" s="1839"/>
      <c r="EO543" s="1839"/>
      <c r="EP543" s="1817"/>
      <c r="EQ543" s="1817"/>
      <c r="ER543" s="1807"/>
      <c r="ES543" s="1807"/>
      <c r="ET543" s="1807"/>
      <c r="EV543" s="1715"/>
      <c r="EX543" s="1806"/>
      <c r="EY543" s="1806"/>
      <c r="EZ543" s="1806"/>
      <c r="FA543" s="1806"/>
      <c r="FB543" s="1806"/>
      <c r="FC543" s="1828"/>
      <c r="FE543" s="1698"/>
      <c r="FG543" s="1703"/>
      <c r="FH543" s="1703"/>
      <c r="FI543" s="133"/>
      <c r="FL543" s="1823"/>
      <c r="FM543" s="1825"/>
      <c r="FN543" s="1698"/>
      <c r="FO543" s="1698"/>
      <c r="FP543" s="1678"/>
      <c r="FQ543" s="1698"/>
      <c r="FS543" s="1687"/>
      <c r="FT543" s="1687"/>
      <c r="FU543" s="1685"/>
      <c r="FV543" s="1687"/>
      <c r="FW543" s="1687"/>
      <c r="FX543" s="1687"/>
      <c r="FY543" s="1697"/>
      <c r="GA543" s="1696"/>
      <c r="GB543" s="1696"/>
      <c r="GC543" s="1696"/>
      <c r="GD543" s="1696"/>
      <c r="GE543" s="1696"/>
      <c r="GF543" s="1696"/>
      <c r="GG543" s="1696"/>
      <c r="GH543" s="1696"/>
      <c r="GI543" s="673"/>
      <c r="GJ543" s="1135"/>
      <c r="GK543" s="1832"/>
      <c r="GN543" s="674">
        <f>IF(GN541=TRUE,0,GN$16)</f>
        <v>0</v>
      </c>
      <c r="GP543" s="674">
        <f>IF(GP541=TRUE,0,GP$16)</f>
        <v>36</v>
      </c>
      <c r="GQ543" s="674">
        <f ca="1">IF(GQ541=TRUE,0,GQ$16)</f>
        <v>35</v>
      </c>
      <c r="GR543" s="391"/>
      <c r="GS543" s="391"/>
      <c r="GT543" s="391"/>
      <c r="GU543" s="391"/>
      <c r="GV543" s="391"/>
      <c r="HG543" s="674">
        <f>IF(HG541=TRUE,0,HG$16)</f>
        <v>0</v>
      </c>
      <c r="HH543" s="674">
        <f t="shared" ref="HH543:HM543" si="493">IF(HH541=TRUE,0,HH$16)</f>
        <v>19</v>
      </c>
      <c r="HI543" s="674">
        <f t="shared" si="493"/>
        <v>18</v>
      </c>
      <c r="HJ543" s="674">
        <f t="shared" si="493"/>
        <v>17</v>
      </c>
      <c r="HK543" s="674">
        <f t="shared" si="493"/>
        <v>16</v>
      </c>
      <c r="HL543" s="674">
        <f t="shared" si="493"/>
        <v>0</v>
      </c>
      <c r="HM543" s="674">
        <f t="shared" si="493"/>
        <v>0</v>
      </c>
      <c r="HN543" s="674">
        <f>IF(HN541=TRUE,0,HN$16)</f>
        <v>13</v>
      </c>
      <c r="HO543" s="674">
        <f t="shared" ref="HO543:HQ543" si="494">IF(HO541=TRUE,0,HO$16)</f>
        <v>0</v>
      </c>
      <c r="HP543" s="674">
        <f t="shared" si="494"/>
        <v>0</v>
      </c>
      <c r="HQ543" s="674">
        <f t="shared" si="494"/>
        <v>10</v>
      </c>
      <c r="HR543" s="674">
        <f>IF(HR541=TRUE,0,HR$16)</f>
        <v>9</v>
      </c>
      <c r="HS543" s="674">
        <f t="shared" ref="HS543:HW543" si="495">IF(HS541=TRUE,0,HS$16)</f>
        <v>0</v>
      </c>
      <c r="HT543" s="674">
        <f t="shared" si="495"/>
        <v>0</v>
      </c>
      <c r="HU543" s="674">
        <f t="shared" si="495"/>
        <v>0</v>
      </c>
      <c r="HV543" s="674">
        <f t="shared" si="495"/>
        <v>0</v>
      </c>
      <c r="HW543" s="674">
        <f t="shared" si="495"/>
        <v>0</v>
      </c>
      <c r="HX543" s="674">
        <f>IF(HX541=TRUE,0,HX$16)</f>
        <v>0</v>
      </c>
      <c r="HY543" s="674">
        <f>IF(HY541=TRUE,0,HY$16)</f>
        <v>0</v>
      </c>
      <c r="HZ543" s="674">
        <f>IF(HZ541=TRUE,0,HZ$16)</f>
        <v>1</v>
      </c>
      <c r="IB543" s="674">
        <f>IF(GP541=FALSE,GP543,IF(GQ541=FALSE,GQ543,MAX(GN543:HZ543)))</f>
        <v>36</v>
      </c>
      <c r="IC543" s="1692"/>
      <c r="ID543" s="205" t="str">
        <f>VLOOKUP(IB543,_Error_Table,3,FALSE)</f>
        <v xml:space="preserve"> </v>
      </c>
      <c r="IE543" s="205"/>
      <c r="IF543" s="1688"/>
      <c r="IG543" s="1689"/>
      <c r="IH543" s="1684"/>
      <c r="IK543" s="1689"/>
      <c r="IL543" s="1692"/>
      <c r="IM543" s="1692"/>
      <c r="IN543" s="1692"/>
      <c r="IP543" s="1679"/>
      <c r="IQ543" s="1679"/>
      <c r="IR543" s="1679"/>
      <c r="IS543" s="1679"/>
      <c r="IT543" s="1679"/>
      <c r="IU543" s="1679"/>
      <c r="IV543" s="1679"/>
      <c r="IW543" s="1679"/>
      <c r="IX543" s="1679"/>
      <c r="IY543" s="1679"/>
      <c r="IZ543" s="1679"/>
      <c r="JA543" s="1679"/>
      <c r="JC543" s="1680"/>
      <c r="JD543" s="1670"/>
      <c r="JE543" s="1681"/>
      <c r="JG543" s="1680"/>
      <c r="JH543" s="1670"/>
      <c r="JI543" s="1060"/>
      <c r="JJ543" s="1670"/>
      <c r="JK543" s="1061"/>
      <c r="JL543" s="1670"/>
      <c r="JM543" s="1061"/>
      <c r="JN543" s="1670"/>
      <c r="JO543" s="1061"/>
      <c r="JP543" s="1670"/>
      <c r="JQ543" s="1061"/>
      <c r="JR543" s="1670"/>
      <c r="JS543" s="1061"/>
      <c r="JT543" s="1670"/>
      <c r="JU543" s="1061"/>
      <c r="JV543" s="1670"/>
      <c r="JX543" s="1670"/>
      <c r="JZ543" s="1670"/>
      <c r="KB543" s="1670"/>
    </row>
    <row r="544" spans="1:288" s="78" customFormat="1" ht="5.0999999999999996" customHeight="1">
      <c r="B544" s="676"/>
      <c r="C544" s="392"/>
      <c r="D544" s="392"/>
      <c r="E544" s="1733"/>
      <c r="F544" s="1733"/>
      <c r="G544" s="1733"/>
      <c r="H544" s="1733"/>
      <c r="I544" s="1733"/>
      <c r="J544" s="1733"/>
      <c r="K544" s="1733"/>
      <c r="L544" s="1733"/>
      <c r="M544" s="1733"/>
      <c r="N544" s="1733"/>
      <c r="O544" s="1733"/>
      <c r="P544" s="1733"/>
      <c r="Q544" s="1733"/>
      <c r="R544" s="1733"/>
      <c r="S544" s="1733"/>
      <c r="T544" s="1733"/>
      <c r="U544" s="1733"/>
      <c r="V544" s="1733"/>
      <c r="W544" s="1733"/>
      <c r="X544" s="1733"/>
      <c r="Y544" s="1733"/>
      <c r="Z544" s="1733"/>
      <c r="AA544" s="1733"/>
      <c r="AB544" s="1733"/>
      <c r="AC544" s="1733"/>
      <c r="AD544" s="1733"/>
      <c r="AE544" s="1733"/>
      <c r="AF544" s="1733"/>
      <c r="AG544" s="1733"/>
      <c r="AH544" s="1733"/>
      <c r="AI544" s="1733"/>
      <c r="AJ544" s="1733"/>
      <c r="AK544" s="1733"/>
      <c r="AL544" s="1733"/>
      <c r="AM544" s="1733"/>
      <c r="AN544" s="1733"/>
      <c r="AO544" s="1733"/>
      <c r="AP544" s="1733"/>
      <c r="AQ544" s="1733"/>
      <c r="AR544" s="1733"/>
      <c r="AS544" s="1733"/>
      <c r="AT544" s="1733"/>
      <c r="AU544" s="1733"/>
      <c r="AV544" s="1733"/>
      <c r="AW544" s="1733"/>
      <c r="AX544" s="469"/>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663"/>
      <c r="CQ544" s="663"/>
      <c r="CR544" s="438"/>
      <c r="CS544" s="663"/>
      <c r="CV544" s="391"/>
      <c r="CW544" s="391"/>
      <c r="CX544" s="207"/>
      <c r="CY544" s="208"/>
      <c r="CZ544" s="208"/>
      <c r="DA544" s="208"/>
      <c r="DB544" s="209"/>
      <c r="DC544" s="209"/>
      <c r="DD544" s="209"/>
      <c r="DF544" s="664"/>
      <c r="DG544" s="665"/>
      <c r="DH544" s="666"/>
      <c r="DI544" s="667"/>
      <c r="DJ544" s="668"/>
      <c r="DK544" s="668"/>
      <c r="DN544" s="208"/>
      <c r="DO544" s="664"/>
      <c r="DQ544" s="664"/>
      <c r="DR544" s="669"/>
      <c r="DS544" s="391"/>
      <c r="DT544" s="664"/>
      <c r="DU544" s="664"/>
      <c r="DV544" s="664"/>
      <c r="DX544" s="664"/>
      <c r="DY544" s="664"/>
      <c r="DZ544" s="664"/>
      <c r="EA544" s="664"/>
      <c r="EC544" s="670"/>
      <c r="ED544" s="670"/>
      <c r="EF544" s="668"/>
      <c r="EG544" s="668"/>
      <c r="EH544" s="208"/>
      <c r="EI544" s="668"/>
      <c r="EJ544" s="668"/>
      <c r="EK544" s="207"/>
      <c r="EL544" s="207"/>
      <c r="EM544" s="666"/>
      <c r="EN544" s="671"/>
      <c r="EO544" s="671"/>
      <c r="EP544" s="672"/>
      <c r="EQ544" s="672"/>
      <c r="ER544" s="666"/>
      <c r="ES544" s="666"/>
      <c r="ET544" s="666"/>
      <c r="EV544" s="664"/>
      <c r="EX544" s="391"/>
      <c r="EY544" s="391"/>
      <c r="EZ544" s="391"/>
      <c r="FA544" s="391"/>
      <c r="FB544" s="391"/>
      <c r="FC544" s="391"/>
      <c r="FE544" s="569"/>
      <c r="FG544" s="391"/>
      <c r="FH544" s="391"/>
      <c r="FI544" s="391"/>
      <c r="FS544" s="664"/>
      <c r="FT544" s="391"/>
      <c r="FU544" s="391"/>
      <c r="FV544" s="664"/>
      <c r="FW544" s="664"/>
      <c r="GA544" s="663"/>
      <c r="GB544" s="663"/>
      <c r="GC544" s="663"/>
      <c r="GD544" s="663"/>
      <c r="GE544" s="663"/>
      <c r="GF544" s="663"/>
      <c r="GG544" s="663"/>
      <c r="GH544" s="663"/>
      <c r="GI544" s="665"/>
      <c r="GJ544" s="664"/>
      <c r="GK544" s="664"/>
    </row>
    <row r="545" spans="1:288" s="78" customFormat="1" ht="14.95" customHeight="1">
      <c r="B545" s="1845" t="str">
        <f>ID548</f>
        <v xml:space="preserve"> </v>
      </c>
      <c r="C545" s="1846">
        <f>C540+1</f>
        <v>97</v>
      </c>
      <c r="D545" s="1847"/>
      <c r="E545" s="1799" t="s">
        <v>295</v>
      </c>
      <c r="F545" s="1800"/>
      <c r="G545" s="1741"/>
      <c r="H545" s="1742"/>
      <c r="I545" s="1742"/>
      <c r="J545" s="1742"/>
      <c r="K545" s="1742"/>
      <c r="L545" s="1742"/>
      <c r="M545" s="1742"/>
      <c r="N545" s="1742"/>
      <c r="O545" s="1742"/>
      <c r="P545" s="1742"/>
      <c r="Q545" s="1742"/>
      <c r="R545" s="1742"/>
      <c r="S545" s="1791" t="s">
        <v>344</v>
      </c>
      <c r="T545" s="590"/>
      <c r="U545" s="1743"/>
      <c r="V545" s="1744"/>
      <c r="W545" s="1744"/>
      <c r="X545" s="1744"/>
      <c r="Y545" s="1744"/>
      <c r="Z545" s="1744"/>
      <c r="AA545" s="1744"/>
      <c r="AB545" s="961" t="str">
        <f>IFERROR(IF(__Retrofit_TI_NC=0,VLOOKUP(U546,Fixtures_Existing_List,2,FALSE),ROUND(N547*R547/T547,10)),"")</f>
        <v/>
      </c>
      <c r="AC545" s="935" t="str">
        <f>IFERROR(IF(__Retrofit_TI_NC=0,ROUND(T546*AB545*N546*R546/1000,0),IF(CQ545="Interior",N547*R547*R546*N546*_C406_reduction/1000,N547*R547*R546*N546/1000)),"")</f>
        <v/>
      </c>
      <c r="AD545" s="936" t="str">
        <f>IFERROR(IF(C$43=0,ROUND(T546*AB545/1000,2),N547*R547/1000),"")</f>
        <v/>
      </c>
      <c r="AE545" s="997"/>
      <c r="AF545" s="937"/>
      <c r="AG545" s="1745" t="str">
        <f>IF(__Retrofit_TI_NC=0," Control","Select Advanced Control for New System")</f>
        <v xml:space="preserve"> Control</v>
      </c>
      <c r="AH545" s="1745"/>
      <c r="AI545" s="1745"/>
      <c r="AJ545" s="1745"/>
      <c r="AK545" s="1745"/>
      <c r="AL545" s="1745"/>
      <c r="AM545" s="1746">
        <f>IFERROR(DI545,"")</f>
        <v>0</v>
      </c>
      <c r="AN545" s="1774" t="str">
        <f>IFERROR(ROUND(AM545*AC545,0),"")</f>
        <v/>
      </c>
      <c r="AO545" s="1776">
        <f>IFERROR(IF(IB545=FALSE,0,AC545-AN545),0)</f>
        <v>0</v>
      </c>
      <c r="AP545" s="1778">
        <f>AO545-AO547</f>
        <v>0</v>
      </c>
      <c r="AQ545" s="1779"/>
      <c r="AR545" s="1793">
        <f>IFERROR(IF(IB545=FALSE,0,(T547*U548)+(AF547*AG548)),0)</f>
        <v>0</v>
      </c>
      <c r="AS545" s="1793"/>
      <c r="AT545" s="1794"/>
      <c r="AU545" s="1734" t="s">
        <v>237</v>
      </c>
      <c r="AV545" s="1751">
        <f>IF(AU545="Yes",1,0)</f>
        <v>1</v>
      </c>
      <c r="AW545" s="1704" t="str">
        <f>IF(OR(DQ545=4,DQ545=5,DQ545=6,DQ545=12),CONCATENATE("$",IF(GH545=TRUE,Lookup!$K$10,Lookup!$K$2)," /lamp"),CONCATENATE(TEXT(ED545,"$0.00"),"/ kWh"))</f>
        <v>$0.00/ kWh</v>
      </c>
      <c r="AX545" s="467"/>
      <c r="AY545" s="1748">
        <f ca="1">IFERROR(IF(GM546=TRUE,(AB548*T547)/R547,0),"NA")</f>
        <v>0</v>
      </c>
      <c r="AZ545" s="1748"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696" t="str">
        <f>N546</f>
        <v/>
      </c>
      <c r="CQ545" s="1696" t="str">
        <f>IFERROR(VLOOKUP(G546,_Lookup_Heat_Type_Table_New,3,FALSE),"")</f>
        <v/>
      </c>
      <c r="CR545" s="1808" t="str">
        <f>CQ545</f>
        <v/>
      </c>
      <c r="CS545" s="1810" t="str">
        <f>IFERROR(VLOOKUP(G547,'Space Table'!$B$3:$L$163,9,FALSE),"")</f>
        <v/>
      </c>
      <c r="CU545" s="1688" t="s">
        <v>344</v>
      </c>
      <c r="CV545" s="1702">
        <f>IF(IB545=TRUE,T546,0)</f>
        <v>0</v>
      </c>
      <c r="CW545" s="1702" t="str">
        <f>IF(IB545=TRUE,U546,"")</f>
        <v/>
      </c>
      <c r="CX545" s="1702"/>
      <c r="CY545" s="1814">
        <f>IF(IB545=TRUE,AB545,0)</f>
        <v>0</v>
      </c>
      <c r="CZ545" s="1710">
        <f>IF(AND(__Retrofit_TI_NC&gt;0,CR545="interior"),0,IF(IB545=TRUE,AC545,0))</f>
        <v>0</v>
      </c>
      <c r="DA545" s="1814">
        <f>IFERROR(IF(IB545=TRUE,CZ545-CZ547,0),0)</f>
        <v>0</v>
      </c>
      <c r="DB545" s="1819">
        <f>IF(IB545=TRUE,AD545,0)</f>
        <v>0</v>
      </c>
      <c r="DC545" s="1819">
        <f>IF(IB545=TRUE,AD548,0)</f>
        <v>0</v>
      </c>
      <c r="DD545" s="1819">
        <f>IFERROR(DB545-DC545,0)</f>
        <v>0</v>
      </c>
      <c r="DF545" s="1702">
        <f>IF(IB545=TRUE,AF546,0)</f>
        <v>0</v>
      </c>
      <c r="DG545" s="1830">
        <f>IFERROR(IF(__Retrofit_TI_NC=2,IF(CQ545="Exterior",O548,FQ545),FN545),"")</f>
        <v>0</v>
      </c>
      <c r="DH545" s="1702"/>
      <c r="DI545" s="1837">
        <f>JE545</f>
        <v>0</v>
      </c>
      <c r="DJ545" s="1710">
        <f>IF(AND(__Retrofit_TI_NC&gt;0,CR545="interior"),0,IF(IB545=TRUE,AN545,0))</f>
        <v>0</v>
      </c>
      <c r="DK545" s="1712">
        <f>IFERROR(IF(IB545=TRUE,DJ547-DJ545,0),0)</f>
        <v>0</v>
      </c>
      <c r="DM545" s="1717">
        <f>IFERROR(CZ545-DJ545,0)</f>
        <v>0</v>
      </c>
      <c r="DO545" s="1708">
        <f>DM545-DN547</f>
        <v>0</v>
      </c>
      <c r="DQ545" s="1715" t="str">
        <f>IFERROR(IF(AND(OR(GC545=4,GC545=5,GC545=6),OR(GF545=4,GF545=5,GF545=6)),GC545+8,VLOOKUP(CW547,Fixtures!R$31:Y$78,8,FALSE)),"")</f>
        <v/>
      </c>
      <c r="DR545" s="1829" t="str">
        <f>DQ545</f>
        <v/>
      </c>
      <c r="DS545" s="1702" t="str">
        <f>IFERROR(VLOOKUP(DG547,Lookup!BB$3:BC$20,2,FALSE),"")</f>
        <v/>
      </c>
      <c r="DT545" s="1713" t="str">
        <f>IF(OR(DS545=7,DS545=8,DS545=9),"ALC","")</f>
        <v/>
      </c>
      <c r="DU545" s="1715">
        <f>IFERROR(IF(OR(DQ545=4,DQ545=5,DQ545=6,DQ545=12,DQ545=13,DQ545=14),VLOOKUP(CW547,Fixtures!DN$27:EG$77,19,FALSE),1)*CV547,0)</f>
        <v>0</v>
      </c>
      <c r="DV545" s="1716">
        <f>IF(OR(DS545=7,DS545=8,DS545=9),IF(DG545=DG547,0,DF547),0)</f>
        <v>0</v>
      </c>
      <c r="DX545" s="1715" t="str">
        <f>IFERROR(IF(EZ545&lt;EZ547,"Yes","No"),"")</f>
        <v/>
      </c>
      <c r="DY545" s="1829" t="str">
        <f>DX545</f>
        <v/>
      </c>
      <c r="DZ545" s="1715">
        <f>IF(DX545="Yes",DF547,0)</f>
        <v>0</v>
      </c>
      <c r="EA545" s="1715">
        <f>DZ545-DV545</f>
        <v>0</v>
      </c>
      <c r="EC545" s="1834">
        <f>IFERROR(VLOOKUP(DQ545,Lookup!AU$3:AV$16,2,FALSE),0)</f>
        <v>0</v>
      </c>
      <c r="ED545" s="1834">
        <f>IF(IB545=FALSE,0,IF(DX545="Yes",EC545+Lookup!K$6,EC545))</f>
        <v>0</v>
      </c>
      <c r="EF545" s="1707">
        <f>IF(IB545=TRUE,DM545,0)</f>
        <v>0</v>
      </c>
      <c r="EG545" s="1712">
        <f>IF(IB545=TRUE,CZ547,0)</f>
        <v>0</v>
      </c>
      <c r="EH545" s="1814">
        <f>IFERROR(EF545-EG545,0)</f>
        <v>0</v>
      </c>
      <c r="EI545" s="1712">
        <f>IF(IB545=TRUE,DJ547,0)</f>
        <v>0</v>
      </c>
      <c r="EJ545" s="1712">
        <f>IFERROR(EF545-EG545+EI545,0)</f>
        <v>0</v>
      </c>
      <c r="EK545" s="1812">
        <f>IF(IB545=TRUE,CV547*CX547,0)</f>
        <v>0</v>
      </c>
      <c r="EL545" s="1812">
        <f>IF(IB545=TRUE,DF547*DH547,0)</f>
        <v>0</v>
      </c>
      <c r="EM545" s="1807">
        <f>AR545</f>
        <v>0</v>
      </c>
      <c r="EN545" s="1839" t="str">
        <f>IFERROR(IF(IB545=TRUE,VLOOKUP(DQ545,Lookup!AU$3:AW$16,3,FALSE)*DU545,""),0)</f>
        <v/>
      </c>
      <c r="EO545" s="1839">
        <f>IF(IB545=TRUE,DZ545*Lookup!AW$12,0)</f>
        <v>0</v>
      </c>
      <c r="EP545" s="1817">
        <f>IFERROR(IF(IB545=TRUE,EN545/EP$40,0),0)</f>
        <v>0</v>
      </c>
      <c r="EQ545" s="1817">
        <f>IF(IB545=TRUE,EO545/EQ$40,0)</f>
        <v>0</v>
      </c>
      <c r="ER545" s="1807">
        <f>IF(IB545=TRUE,ET$40*EP545,0)</f>
        <v>0</v>
      </c>
      <c r="ES545" s="1807">
        <f>IF(IB545=TRUE,ET$40*EQ545,0)</f>
        <v>0</v>
      </c>
      <c r="ET545" s="1807">
        <f>ER545+ES545</f>
        <v>0</v>
      </c>
      <c r="EV545" s="1715">
        <f>IF(G545="",0,1)</f>
        <v>0</v>
      </c>
      <c r="EX545" s="1804" t="str">
        <f>IFERROR(VLOOKUP(CS547,'Space Table'!$B$3:$L$163,8,FALSE),"")</f>
        <v/>
      </c>
      <c r="EY545" s="1804" t="str">
        <f>IFERROR(IF(FB545="Yes",VLOOKUP(DG545,Lookup_Control_Type_Table2,4,FALSE),VLOOKUP(DG545,Lookup_Control_Type_Table2,3,FALSE)),"")</f>
        <v/>
      </c>
      <c r="EZ545" s="1804" t="e">
        <f>VLOOKUP(DG545,Lookup!BB$3:BC$20,2,FALSE)</f>
        <v>#N/A</v>
      </c>
      <c r="FA545" s="1804" t="e">
        <f>VLOOKUP(EX545,Lookup_Control_Type_Table,2,FALSE)</f>
        <v>#N/A</v>
      </c>
      <c r="FB545" s="1804" t="e">
        <f>VLOOKUP(CS547,'Space Table'!$B$3:$L$163,7,FALSE)</f>
        <v>#N/A</v>
      </c>
      <c r="FC545" s="1826" t="b">
        <f>ISNUMBER(SEARCH("TLED",U547))</f>
        <v>0</v>
      </c>
      <c r="FE545" s="1698" t="str">
        <f>CONCATENATE(CQ545," - ",DG545)</f>
        <v xml:space="preserve"> - 0</v>
      </c>
      <c r="FG545" s="1702" t="str">
        <f>VLOOKUP(CW547,Fixtures!DN$27:EZ$77,38,FALSE)</f>
        <v/>
      </c>
      <c r="FH545" s="1702">
        <f>IFERROR(FG545*EH545,0)</f>
        <v>0</v>
      </c>
      <c r="FI545" s="133"/>
      <c r="FL545" s="1822" t="str">
        <f>IF(CQ545="Exterior","Not Daylighted",G548)</f>
        <v>Not Daylighted</v>
      </c>
      <c r="FM545" s="1824">
        <f>VLOOKUP(FL545,_New_Daylight_Table_Codes,2,FALSE)</f>
        <v>0</v>
      </c>
      <c r="FN545" s="1698">
        <f>IF(__Retrofit_TI_NC&gt;0,VLOOKUP(G547,'Space Table'!$B$3:$L$163,11,FALSE),AG546)</f>
        <v>0</v>
      </c>
      <c r="FO545" s="1698" t="e">
        <f>IF(__Retrofit_TI_NC=2,VLOOKUP(FQ545,_Control_Table,2,FALSE),VLOOKUP(FN545,_Control_Table,2,FALSE))</f>
        <v>#N/A</v>
      </c>
      <c r="FP545" s="1678" t="e">
        <f>VLOOKUP(CONCATENATE(FL545," ",FN545),Lookup!AY$102:AZ555,2,FALSE)</f>
        <v>#N/A</v>
      </c>
      <c r="FQ545" s="1678">
        <f>IF(__Retrofit_TI_NC=0,FN545,IF(AND(FT545&gt;0,FN545="Occupancy Sensor"),"Daylight + Occupancy",IF(AND(FT545&gt;0,VLOOKUP(FN545,_Control_Table,2,FALSE)&lt;4),"Interior Daylight Dimming",FN545)))</f>
        <v>0</v>
      </c>
      <c r="FS545" s="1686">
        <f>IF(CR545="Interior",VLOOKUP(CS545,Control_Savings_Interior,5,FALSE),0)</f>
        <v>0</v>
      </c>
      <c r="FT545" s="1687">
        <f>IF(CQ545="Exterior",0,IF(FM545=2,0.5,IF(OR(FM545=1,FM545=3),1,0)))</f>
        <v>0</v>
      </c>
      <c r="FU545" s="1685">
        <f>IF(R544&gt;FS$44,(FS545*(FS$44/R544)),FS545)*FT545</f>
        <v>0</v>
      </c>
      <c r="FV545" s="1686">
        <f>DI545</f>
        <v>0</v>
      </c>
      <c r="FW545" s="1686">
        <f>ROUND(FV545+((1-FV545)*FU545),2)</f>
        <v>0</v>
      </c>
      <c r="FX545" s="1686">
        <f>IF(__Retrofit_TI_NC=2,FW545,FV545)</f>
        <v>0</v>
      </c>
      <c r="FY545" s="1697"/>
      <c r="GA545" s="1696" t="str">
        <f>IFERROR(VLOOKUP(U546,_Exist_Fixture_Table,3,FALSE),"")</f>
        <v/>
      </c>
      <c r="GB545" s="1696" t="str">
        <f>VLOOKUP(CW545,_Exist_Fixture_Table,4,FALSE)</f>
        <v/>
      </c>
      <c r="GC545" s="1696">
        <f>IFERROR(VLOOKUP(GB545,Lookup!AT$6:AU$8,2,FALSE),0)</f>
        <v>0</v>
      </c>
      <c r="GD545" s="1696" t="b">
        <f>IFERROR(IF(OR(GF545=4,GF545=5,GF545=6),TRUE,FALSE),"")</f>
        <v>0</v>
      </c>
      <c r="GE545" s="1696" t="str">
        <f>IFERROR(VLOOKUP(GF545,GC$6:GD$10,2,FALSE),"")</f>
        <v/>
      </c>
      <c r="GF545" s="1696" t="str">
        <f>VLOOKUP(CW547,Fixtures!R$31:Y$78,8,FALSE)</f>
        <v/>
      </c>
      <c r="GG545" s="1696">
        <f>IF(AND(GA545=TRUE,GD545=TRUE,OR(DQ545=12,DQ545=13,DQ545=14)),GC545+8,0)</f>
        <v>0</v>
      </c>
      <c r="GH545" s="1696" t="b">
        <f>IF(OR(GG545=12,GG545=13,GG545=14),TRUE,FALSE)</f>
        <v>0</v>
      </c>
      <c r="GI545" s="673" t="b">
        <f>IF(ISNUMBER(SEARCH("TLED",U546)),TRUE,FALSE)</f>
        <v>0</v>
      </c>
      <c r="GJ545" s="1135" t="str">
        <f>IFERROR(VLOOKUP(U546,Fixtures!BM$93:BR$142,6,FALSE),"")</f>
        <v/>
      </c>
      <c r="GK545" s="1832" t="b">
        <f>IF(OR(GI545=FALSE,GI547=FALSE),TRUE,IF(GJ545-GJ547&lt;5,FALSE,TRUE))</f>
        <v>1</v>
      </c>
      <c r="GO545" s="674">
        <f>GP545</f>
        <v>0</v>
      </c>
      <c r="GP545" s="674">
        <f>IF(G545="",0,1)</f>
        <v>0</v>
      </c>
      <c r="GQ545" s="674">
        <f ca="1">SUM(GR545:HF545)</f>
        <v>2</v>
      </c>
      <c r="GR545" s="674">
        <f>IF(G546="",0,1)</f>
        <v>0</v>
      </c>
      <c r="GS545" s="674">
        <f>IF(N548="BAM",1,IF(G547="",0,1))</f>
        <v>0</v>
      </c>
      <c r="GT545" s="674">
        <f>IF(N548="BAM",1,IF(R546="",0,1))</f>
        <v>0</v>
      </c>
      <c r="GU545" s="674">
        <f>IF(N548="BAM",1,IF(__Retrofit_TI_NC=0,1,IF(R547="",0,1)))</f>
        <v>1</v>
      </c>
      <c r="GV545" s="674">
        <f>IF(N548="BAM",1,IF(CQ545="Exterior",1,IF(G548="",0,1)))</f>
        <v>1</v>
      </c>
      <c r="GW545" s="674">
        <f>IF(__Retrofit_TI_NC&gt;0,1,IF(T546="",0,1))</f>
        <v>0</v>
      </c>
      <c r="GX545" s="674">
        <f>IF(__Retrofit_TI_NC&gt;0,1,IF(U546="",0,1))</f>
        <v>0</v>
      </c>
      <c r="GY545" s="674">
        <f>IF(N548="BAM",1,IF(T547="",0,1))</f>
        <v>0</v>
      </c>
      <c r="GZ545" s="674">
        <f>IF(N548="BAM",1,IF(U547="",0,1))</f>
        <v>0</v>
      </c>
      <c r="HA545" s="674">
        <f ca="1">IF(N548="BAM",1,IF(__Retrofit_TI_NC&gt;0,1,IF(U548="",0,1)))</f>
        <v>0</v>
      </c>
      <c r="HB545" s="674">
        <f>IF(__Retrofit_TI_NC&lt;&gt;0,1,IF(AF546="",0,1))</f>
        <v>0</v>
      </c>
      <c r="HC545" s="674">
        <f>IF(__Retrofit_TI_NC&lt;&gt;0,1,IF(AG546="",0,1))</f>
        <v>0</v>
      </c>
      <c r="HD545" s="674">
        <f>IF(N548="BAM",1,IF(AF547="",0,1))</f>
        <v>0</v>
      </c>
      <c r="HE545" s="674">
        <f>IF(N548="BAM",1,IF(AG547="",0,1))</f>
        <v>0</v>
      </c>
      <c r="HF545" s="674">
        <f>IF(N548="BAM",1,IF(__Retrofit_TI_NC&gt;0,1,IF(AG548="",0,1)))</f>
        <v>0</v>
      </c>
      <c r="HG545" s="391"/>
      <c r="IA545" s="391"/>
      <c r="IB545" s="1693" t="b">
        <f>IF(OR(IB548=0,IB548=HY$16,IB548=HX$16,IB548=HZ$16),TRUE,FALSE)</f>
        <v>0</v>
      </c>
      <c r="IC545" s="1694" t="b">
        <f>IB545</f>
        <v>0</v>
      </c>
      <c r="ID545" s="391"/>
      <c r="IE545" s="391"/>
      <c r="IF545" s="1688" t="b">
        <f ca="1">IF(MAX(GN548:HU548)&gt;5,FALSE,TRUE)</f>
        <v>0</v>
      </c>
      <c r="IG545" s="1689">
        <f ca="1">IF(IF545=TRUE,AC545,0)</f>
        <v>0</v>
      </c>
      <c r="IH545" s="1689">
        <f ca="1">IG545-IG547</f>
        <v>0</v>
      </c>
      <c r="IK545" s="1689" t="e">
        <f>ROUND(T546*VLOOKUP(U546,Fixtures_Existing_List,2,FALSE)*N546*R546/1000,0)</f>
        <v>#N/A</v>
      </c>
      <c r="IL545" s="1690" t="e">
        <f>IK545-IK547</f>
        <v>#N/A</v>
      </c>
      <c r="IM545" s="1693" t="e">
        <f>ROUND(IF(CQ545="Interior",N547*R547*R546*N546*_C406_reduction/1000,N547*R547*R546*N546/1000),0)</f>
        <v>#N/A</v>
      </c>
      <c r="IN545" s="1693" t="e">
        <f>IM545-IM547</f>
        <v>#N/A</v>
      </c>
      <c r="IP545" s="1679"/>
      <c r="IQ545" s="1679" t="e">
        <f t="shared" ref="IQ545:IU545" si="496">IF($CR545="interior",VLOOKUP($CS545,_New_Control_Savings_Interior,IQ$30,FALSE),VLOOKUP($CS545,Control_Savings_Exterior,IQ$30,FALSE))</f>
        <v>#N/A</v>
      </c>
      <c r="IR545" s="1679" t="e">
        <f t="shared" si="496"/>
        <v>#N/A</v>
      </c>
      <c r="IS545" s="1679" t="e">
        <f t="shared" si="496"/>
        <v>#N/A</v>
      </c>
      <c r="IT545" s="1679" t="e">
        <f t="shared" si="496"/>
        <v>#N/A</v>
      </c>
      <c r="IU545" s="1679" t="e">
        <f t="shared" si="496"/>
        <v>#N/A</v>
      </c>
      <c r="IV545" s="1679" t="e">
        <f>IF($CR545="interior",IF(R546&gt;$IP$14,ROUND(($IV$18*($IP$14/R546)),2),$IV$18),VLOOKUP($CS545,Control_Savings_Exterior,IV$30,FALSE))</f>
        <v>#N/A</v>
      </c>
      <c r="IW545" s="1679" t="e">
        <f>IF($CR545="interior",ROUND(((1-IS545)*IV545)+IS545,2),VLOOKUP($CS545,Control_Savings_Exterior,IW$30,FALSE))</f>
        <v>#N/A</v>
      </c>
      <c r="IX545" s="1679" t="e">
        <f>IF($CR545="interior",ROUND(((1-IT545)*IV545)+IT545,2),VLOOKUP($CS545,Control_Savings_Exterior,IX$30,FALSE))</f>
        <v>#N/A</v>
      </c>
      <c r="IY545" s="1679" t="e">
        <f>IF($CR545="interior",IF(R546&gt;$IP$14,ROUND(($IY$18*($IP$14/R546)),2),$IY$18),VLOOKUP($CS545,Control_Savings_Exterior,IY$30,FALSE))</f>
        <v>#N/A</v>
      </c>
      <c r="IZ545" s="1679" t="e">
        <f>IF($CR545="interior",ROUND(((1-IS545)*IY545)+IS545,2),VLOOKUP($CS545,Control_Savings_Exterior,IZ$30,FALSE))</f>
        <v>#N/A</v>
      </c>
      <c r="JA545" s="1679" t="e">
        <f>IF($CR545="interior",ROUND(((1-IT545)*IY545)+IT545,2),VLOOKUP($CS545,Control_Savings_Exterior,JA$30,FALSE))</f>
        <v>#N/A</v>
      </c>
      <c r="JC545" s="1680">
        <f>IFERROR(IF(CR545="Interior",CONCATENATE(G548," ",FQ545),FQ545),"")</f>
        <v>0</v>
      </c>
      <c r="JD545" s="1670" t="str">
        <f>IFERROR(VLOOKUP(JC545,_Controls_2023,2,FALSE),"")</f>
        <v/>
      </c>
      <c r="JE545" s="1681">
        <f>IFERROR(CHOOSE(JD545-1,IQ545,IR545,IS545,IT545,IU545,IV545,IW545,IX545,IY545,IZ545,JA545),0)</f>
        <v>0</v>
      </c>
      <c r="JG545" s="1680" t="str">
        <f>FE545</f>
        <v xml:space="preserve"> - 0</v>
      </c>
      <c r="JH545" s="1670" t="e">
        <f>$FO545</f>
        <v>#N/A</v>
      </c>
      <c r="JI545" s="1060"/>
      <c r="JJ545" s="1682" t="b">
        <f>IF($JG547=CONCATENATE("Interior - ",JJ$4),TRUE,FALSE)</f>
        <v>0</v>
      </c>
      <c r="JK545" s="1061"/>
      <c r="JL545" s="1682" t="b">
        <f>IF($JG547=CONCATENATE("Interior - ",JL$4),TRUE,FALSE)</f>
        <v>0</v>
      </c>
      <c r="JM545" s="1061"/>
      <c r="JN545" s="1682" t="b">
        <f>IF($JG547=CONCATENATE("Interior - ",JN$4),TRUE,FALSE)</f>
        <v>0</v>
      </c>
      <c r="JO545" s="1061"/>
      <c r="JP545" s="1682" t="b">
        <f>IF(__Retrofit_TI_NC&gt;0,FALSE,IF($JG547=CONCATENATE("Interior - ",JP$4),TRUE,FALSE))</f>
        <v>0</v>
      </c>
      <c r="JQ545" s="1061"/>
      <c r="JR545" s="1682" t="b">
        <f>IF(__Retrofit_TI_NC&gt;0,FALSE,IF($JG547=CONCATENATE("Interior - ",JR$4),TRUE,FALSE))</f>
        <v>0</v>
      </c>
      <c r="JS545" s="1061"/>
      <c r="JT545" s="1670" t="b">
        <f>IF(__Retrofit_TI_NC&gt;0,FALSE,IF($JG547=CONCATENATE("Interior - ",JT$4),TRUE,FALSE))</f>
        <v>0</v>
      </c>
      <c r="JU545" s="1061"/>
      <c r="JV545" s="1670" t="b">
        <f>IF(JC547="AELC on Existing",TRUE,FALSE)</f>
        <v>0</v>
      </c>
      <c r="JX545" s="1670" t="b">
        <f>IF(OR(JG547="Exterior - AELC Occupancy based",JG547="Exterior - AELC Time based"),TRUE,FALSE)</f>
        <v>0</v>
      </c>
      <c r="JZ545" s="1682" t="b">
        <f>IF($JG547=CONCATENATE("Exterior - ",JZ$4),TRUE,FALSE)</f>
        <v>0</v>
      </c>
      <c r="KB545" s="1670" t="b">
        <f>IF(__Retrofit_TI_NC&gt;0,FALSE,IF($JG547=CONCATENATE("Interior - ",KB$4),TRUE,FALSE))</f>
        <v>0</v>
      </c>
    </row>
    <row r="546" spans="1:288" s="78" customFormat="1" ht="14.95" customHeight="1" thickTop="1" thickBot="1">
      <c r="B546" s="1845"/>
      <c r="C546" s="1846"/>
      <c r="D546" s="1847"/>
      <c r="E546" s="1737" t="s">
        <v>297</v>
      </c>
      <c r="F546" s="1738"/>
      <c r="G546" s="1739"/>
      <c r="H546" s="1739"/>
      <c r="I546" s="1739"/>
      <c r="J546" s="1739"/>
      <c r="K546" s="1739"/>
      <c r="L546" s="1739"/>
      <c r="M546" s="461" t="e">
        <f>IF(__Retrofit_TI_NC&lt;&gt;0,IF(VLOOKUP(G547,'Space Table'!$B$3:$L$163,3,FALSE)&gt;0,1,0),IF(__Retrofit_TI_NC=VLOOKUP(G547,'Space Table'!$B$3:$L$163,3,FALSE),1,0))</f>
        <v>#N/A</v>
      </c>
      <c r="N546" s="461" t="str">
        <f>IFERROR(VLOOKUP(G546,_Lookup_Heat_Type_Table_New,2,FALSE),"")</f>
        <v/>
      </c>
      <c r="O546" s="461">
        <f>IF(__Retrofit_TI_NC=1,CONCATENATE("TI ",G546),IF(__Retrofit_TI_NC=2,CONCATENATE("NC ",G546),G546))</f>
        <v>0</v>
      </c>
      <c r="P546" s="1740" t="s">
        <v>435</v>
      </c>
      <c r="Q546" s="1740"/>
      <c r="R546" s="595"/>
      <c r="S546" s="1792"/>
      <c r="T546" s="597"/>
      <c r="U546" s="1765"/>
      <c r="V546" s="1766"/>
      <c r="W546" s="1766"/>
      <c r="X546" s="1766"/>
      <c r="Y546" s="1766"/>
      <c r="Z546" s="1766"/>
      <c r="AA546" s="1766"/>
      <c r="AB546" s="1766"/>
      <c r="AC546" s="1766"/>
      <c r="AD546" s="1767"/>
      <c r="AE546" s="1000"/>
      <c r="AF546" s="597"/>
      <c r="AG546" s="1723"/>
      <c r="AH546" s="1724"/>
      <c r="AI546" s="1724"/>
      <c r="AJ546" s="1724"/>
      <c r="AK546" s="1725"/>
      <c r="AL546" s="996"/>
      <c r="AM546" s="1747"/>
      <c r="AN546" s="1775"/>
      <c r="AO546" s="1777"/>
      <c r="AP546" s="1780"/>
      <c r="AQ546" s="1781"/>
      <c r="AR546" s="1795"/>
      <c r="AS546" s="1795"/>
      <c r="AT546" s="1796"/>
      <c r="AU546" s="1735"/>
      <c r="AV546" s="1752"/>
      <c r="AW546" s="1705"/>
      <c r="AX546" s="467"/>
      <c r="AY546" s="1749"/>
      <c r="AZ546" s="1749"/>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696"/>
      <c r="CQ546" s="1696"/>
      <c r="CR546" s="1809"/>
      <c r="CS546" s="1811"/>
      <c r="CU546" s="1688"/>
      <c r="CV546" s="1703"/>
      <c r="CW546" s="1703"/>
      <c r="CX546" s="1703"/>
      <c r="CY546" s="1815"/>
      <c r="CZ546" s="1711"/>
      <c r="DA546" s="1818"/>
      <c r="DB546" s="1820"/>
      <c r="DC546" s="1820"/>
      <c r="DD546" s="1820"/>
      <c r="DF546" s="1703"/>
      <c r="DG546" s="1831"/>
      <c r="DH546" s="1703"/>
      <c r="DI546" s="1838"/>
      <c r="DJ546" s="1711"/>
      <c r="DK546" s="1712"/>
      <c r="DM546" s="1718"/>
      <c r="DO546" s="1708"/>
      <c r="DQ546" s="1715"/>
      <c r="DR546" s="1720"/>
      <c r="DS546" s="1816"/>
      <c r="DT546" s="1714"/>
      <c r="DU546" s="1715"/>
      <c r="DV546" s="1716"/>
      <c r="DX546" s="1715"/>
      <c r="DY546" s="1720"/>
      <c r="DZ546" s="1715"/>
      <c r="EA546" s="1715"/>
      <c r="EC546" s="1834"/>
      <c r="ED546" s="1834"/>
      <c r="EF546" s="1707"/>
      <c r="EG546" s="1712"/>
      <c r="EH546" s="1818"/>
      <c r="EI546" s="1712"/>
      <c r="EJ546" s="1712"/>
      <c r="EK546" s="1836"/>
      <c r="EL546" s="1836"/>
      <c r="EM546" s="1807"/>
      <c r="EN546" s="1839"/>
      <c r="EO546" s="1839"/>
      <c r="EP546" s="1817"/>
      <c r="EQ546" s="1817"/>
      <c r="ER546" s="1807"/>
      <c r="ES546" s="1807"/>
      <c r="ET546" s="1807"/>
      <c r="EV546" s="1715"/>
      <c r="EX546" s="1805"/>
      <c r="EY546" s="1805"/>
      <c r="EZ546" s="1805"/>
      <c r="FA546" s="1805"/>
      <c r="FB546" s="1805"/>
      <c r="FC546" s="1827"/>
      <c r="FE546" s="1698"/>
      <c r="FG546" s="1816"/>
      <c r="FH546" s="1816"/>
      <c r="FI546" s="133"/>
      <c r="FL546" s="1823"/>
      <c r="FM546" s="1825"/>
      <c r="FN546" s="1698"/>
      <c r="FO546" s="1698"/>
      <c r="FP546" s="1678"/>
      <c r="FQ546" s="1678"/>
      <c r="FS546" s="1687"/>
      <c r="FT546" s="1687"/>
      <c r="FU546" s="1685"/>
      <c r="FV546" s="1687"/>
      <c r="FW546" s="1687"/>
      <c r="FX546" s="1687"/>
      <c r="FY546" s="1697"/>
      <c r="GA546" s="1696"/>
      <c r="GB546" s="1696"/>
      <c r="GC546" s="1696"/>
      <c r="GD546" s="1696"/>
      <c r="GE546" s="1696"/>
      <c r="GF546" s="1696"/>
      <c r="GG546" s="1696"/>
      <c r="GH546" s="1696"/>
      <c r="GI546" s="673"/>
      <c r="GJ546" s="1135"/>
      <c r="GK546" s="1832"/>
      <c r="GM546" s="1693" t="b">
        <f ca="1">IF(AND(GP546=TRUE,GQ546=TRUE),TRUE,FALSE)</f>
        <v>0</v>
      </c>
      <c r="GN546" s="1684" t="b">
        <f>IFERROR(IF(__Retrofit_TI_NC=2,TRUE,IF(AU545="Yes",TRUE,FALSE)),FALSE)</f>
        <v>1</v>
      </c>
      <c r="GP546" s="1684" t="b">
        <f>IFERROR(IF(GP545=1,TRUE,FALSE),FALSE)</f>
        <v>0</v>
      </c>
      <c r="GQ546" s="1684" t="b">
        <f ca="1">IFERROR(IF(GQ545=GQ$14,TRUE,FALSE),FALSE)</f>
        <v>0</v>
      </c>
      <c r="HG546" s="1684" t="b">
        <f>IFERROR(IF(AND(__Retrofit_TI_NC&gt;0,CQ545="Interior"),FALSE,TRUE),FALSE)</f>
        <v>1</v>
      </c>
      <c r="HH546" s="1684" t="b">
        <f>IFERROR(IF(M546=1,TRUE,FALSE),FALSE)</f>
        <v>0</v>
      </c>
      <c r="HI546" s="1684" t="b">
        <f>IFERROR(IF(OR(M547=1,N548="BAM"),TRUE,FALSE),FALSE)</f>
        <v>0</v>
      </c>
      <c r="HJ546" s="1684" t="b">
        <f>IFERROR(IF(__Retrofit_TI_NC&lt;&gt;0,TRUE,IFERROR(IF(VLOOKUP(U546,Fixtures_Existing_List,2,FALSE)&lt;&gt;"",TRUE,FALSE),FALSE)),FALSE)</f>
        <v>0</v>
      </c>
      <c r="HK546" s="1684" t="b">
        <f>IFERROR(IF(VLOOKUP(U547,Fixtures_Proposed_List,2,FALSE)&lt;&gt;"",TRUE,FALSE),FALSE)</f>
        <v>0</v>
      </c>
      <c r="HL546" s="1684" t="b">
        <f>IF(AND(__Retrofit_TI_NC=2,FC545=TRUE),FALSE,TRUE)</f>
        <v>1</v>
      </c>
      <c r="HM546" s="1684" t="b">
        <f>GK545</f>
        <v>1</v>
      </c>
      <c r="HN546" s="1682" t="b">
        <f>IF(ISERROR(MATCH(FE545,_Control_Match[],0))=TRUE,FALSE,TRUE)</f>
        <v>0</v>
      </c>
      <c r="HO546" s="1693" t="b">
        <f>IFERROR(IF(EX545&lt;&gt;EY545,FALSE,TRUE),FALSE)</f>
        <v>1</v>
      </c>
      <c r="HP546" s="1693" t="b">
        <f>IFERROR(IF(EX547&lt;&gt;EY547,FALSE,TRUE),FALSE)</f>
        <v>1</v>
      </c>
      <c r="HQ546" s="1670" t="b">
        <f>IFERROR(IF(CQ545="Exterior",TRUE,IF(AND(OR(FM547=0,FM547=3),JD547&gt;6),FALSE,TRUE)),FALSE)</f>
        <v>0</v>
      </c>
      <c r="HR546" s="1684" t="b">
        <f>IFERROR(IF(AND(FO547=7,FC545=TRUE),FALSE,TRUE),FALSE)</f>
        <v>0</v>
      </c>
      <c r="HS546" s="1684" t="b">
        <f>IFERROR(IF(AND(T547&lt;&gt;AF547,OR(AG547="Interior LLLC", AG547="Interior NLC", AG547="LLLC (outside Daylight)",AG547="LLLC Controls Only"))=TRUE,FALSE,TRUE),FALSE)</f>
        <v>1</v>
      </c>
      <c r="HT546" s="1670" t="b">
        <f>IFERROR(IF(OR(AG547=Lookup!BB$17,AG547=Lookup!BB$18,AG547=Lookup!BB$19)=TRUE,IF(AF547&gt;T547,FALSE,TRUE),TRUE),FALSE)</f>
        <v>1</v>
      </c>
      <c r="HU546" s="1684" t="b">
        <f>IFERROR(IF(__Retrofit_TI_NC=2,IF(EZ547&lt;EZ545,FALSE,TRUE),TRUE),FALSE)</f>
        <v>1</v>
      </c>
      <c r="HV546" s="1684" t="b">
        <f>IF(CQ545="Interior",IL$6,TRUE)</f>
        <v>1</v>
      </c>
      <c r="HW546" s="1684" t="b">
        <f>IF(CQ545="Exterior",IL$8,TRUE)</f>
        <v>1</v>
      </c>
      <c r="HX546" s="1684" t="b">
        <f>IFERROR(IF(__Retrofit_TI_NC&lt;&gt;0,IF(AZ545&lt;AY545,FALSE,TRUE),TRUE),FALSE)</f>
        <v>1</v>
      </c>
      <c r="HY546" s="1684" t="b">
        <f>IFERROR(IF(AND(G546="Exterior",R546&gt;4200),FALSE,TRUE),FALSE)</f>
        <v>1</v>
      </c>
      <c r="HZ546" s="1684" t="b">
        <f>IFERROR(IF(AB548/AB545&lt;HZ$18,FALSE,TRUE),FALSE)</f>
        <v>0</v>
      </c>
      <c r="IB546" s="1691"/>
      <c r="IC546" s="1695"/>
      <c r="ID546" s="1694" t="str">
        <f>VLOOKUP(IB548,_Error_Table,4,FALSE)</f>
        <v>White</v>
      </c>
      <c r="IE546" s="391"/>
      <c r="IF546" s="1688"/>
      <c r="IG546" s="1689"/>
      <c r="IH546" s="1684"/>
      <c r="IK546" s="1689"/>
      <c r="IL546" s="1691"/>
      <c r="IM546" s="1691"/>
      <c r="IN546" s="1691"/>
      <c r="IP546" s="1679"/>
      <c r="IQ546" s="1679"/>
      <c r="IR546" s="1679"/>
      <c r="IS546" s="1679"/>
      <c r="IT546" s="1679"/>
      <c r="IU546" s="1679"/>
      <c r="IV546" s="1679"/>
      <c r="IW546" s="1679"/>
      <c r="IX546" s="1679"/>
      <c r="IY546" s="1679"/>
      <c r="IZ546" s="1679"/>
      <c r="JA546" s="1679"/>
      <c r="JC546" s="1680"/>
      <c r="JD546" s="1670"/>
      <c r="JE546" s="1681"/>
      <c r="JG546" s="1680"/>
      <c r="JH546" s="1670"/>
      <c r="JI546" s="1060"/>
      <c r="JJ546" s="1683"/>
      <c r="JK546" s="1061"/>
      <c r="JL546" s="1683"/>
      <c r="JM546" s="1061"/>
      <c r="JN546" s="1683"/>
      <c r="JO546" s="1061"/>
      <c r="JP546" s="1683"/>
      <c r="JQ546" s="1061"/>
      <c r="JR546" s="1683"/>
      <c r="JS546" s="1061"/>
      <c r="JT546" s="1670"/>
      <c r="JU546" s="1061"/>
      <c r="JV546" s="1670"/>
      <c r="JX546" s="1670"/>
      <c r="JZ546" s="1683"/>
      <c r="KB546" s="1670"/>
    </row>
    <row r="547" spans="1:288" s="78" customFormat="1" ht="14.95" customHeight="1" thickTop="1" thickBot="1">
      <c r="A547" s="78">
        <f>ROW()</f>
        <v>547</v>
      </c>
      <c r="B547" s="1845"/>
      <c r="C547" s="1846"/>
      <c r="D547" s="1847"/>
      <c r="E547" s="1737" t="s">
        <v>298</v>
      </c>
      <c r="F547" s="1738"/>
      <c r="G547" s="1760"/>
      <c r="H547" s="1761"/>
      <c r="I547" s="1761"/>
      <c r="J547" s="1761"/>
      <c r="K547" s="1761"/>
      <c r="L547" s="1762"/>
      <c r="M547" s="461">
        <f>IFERROR(IF(IF(__Retrofit_TI_NC&lt;&gt;0,IF(CQ545="Interior",MATCH(G547,Lookup_Interior_New,0),MATCH(G547,Lookup_Exterior_New,0)),IF(CQ545="Interior",MATCH(G547,Lookup_Interior,0),MATCH(G547,Lookup_Exterior_Areas,0)))&gt;0,1,0),0)</f>
        <v>0</v>
      </c>
      <c r="N547" s="461" t="e">
        <f>IF(__Retrofit_TI_NC=1,
VLOOKUP(G547,'Space Table'!$B$3:$L$163,4,FALSE),
IF(__Retrofit_TI_NC=2,VLOOKUP(G547,'Space Table'!$B$3:$L$163,5,FALSE),VLOOKUP(G547,'Space Table'!$B$3:$L$163,5,FALSE)))</f>
        <v>#N/A</v>
      </c>
      <c r="O547" s="461">
        <f>G547</f>
        <v>0</v>
      </c>
      <c r="P547" s="1738" t="str">
        <f>IFERROR(IF(__Retrofit_TI_NC=1,VLOOKUP(G547,'Space Table'!$B$3:$O$163,13,FALSE),IF(__Retrofit_TI_NC=2,VLOOKUP(G547,'Space Table'!$B$3:$O$163,14,FALSE),"Area (sf):")),"Area (sf):")</f>
        <v>Area (sf):</v>
      </c>
      <c r="Q547" s="1738"/>
      <c r="R547" s="596"/>
      <c r="S547" s="1763" t="s">
        <v>345</v>
      </c>
      <c r="T547" s="594"/>
      <c r="U547" s="1801"/>
      <c r="V547" s="1802"/>
      <c r="W547" s="1802"/>
      <c r="X547" s="1802"/>
      <c r="Y547" s="1802"/>
      <c r="Z547" s="1802"/>
      <c r="AA547" s="1802"/>
      <c r="AB547" s="1802"/>
      <c r="AC547" s="1802"/>
      <c r="AD547" s="1802"/>
      <c r="AE547" s="1803"/>
      <c r="AF547" s="594"/>
      <c r="AG547" s="1787"/>
      <c r="AH547" s="1787"/>
      <c r="AI547" s="1787"/>
      <c r="AJ547" s="1787"/>
      <c r="AK547" s="1787"/>
      <c r="AL547" s="1787"/>
      <c r="AM547" s="1726">
        <f>IFERROR(DI547,"")</f>
        <v>0</v>
      </c>
      <c r="AN547" s="1728" t="str">
        <f>IFERROR(ROUND(AM547*AC548,0),"")</f>
        <v/>
      </c>
      <c r="AO547" s="1730">
        <f>IFERROR(IF(IB545=FALSE,0,AC548-AN547),0)</f>
        <v>0</v>
      </c>
      <c r="AP547" s="1780"/>
      <c r="AQ547" s="1781"/>
      <c r="AR547" s="1795"/>
      <c r="AS547" s="1795"/>
      <c r="AT547" s="1796"/>
      <c r="AU547" s="1735"/>
      <c r="AV547" s="1752"/>
      <c r="AW547" s="1705"/>
      <c r="AX547" s="467"/>
      <c r="AY547" s="1749"/>
      <c r="AZ547" s="1749"/>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696"/>
      <c r="CQ547" s="1696"/>
      <c r="CR547" s="1808" t="str">
        <f>CQ545</f>
        <v/>
      </c>
      <c r="CS547" s="1810" t="str">
        <f>CS545</f>
        <v/>
      </c>
      <c r="CU547" s="1688" t="s">
        <v>345</v>
      </c>
      <c r="CV547" s="1702">
        <f>IF(IB545=TRUE,T547,0)</f>
        <v>0</v>
      </c>
      <c r="CW547" s="1702" t="str">
        <f>IF(IB545=TRUE,U547,"")</f>
        <v/>
      </c>
      <c r="CX547" s="1812">
        <f>IF(IB545=TRUE,U548,0)</f>
        <v>0</v>
      </c>
      <c r="CY547" s="1814">
        <f>IF(IB545=TRUE,AB548,0)</f>
        <v>0</v>
      </c>
      <c r="CZ547" s="1710">
        <f>IF(AND(__Retrofit_TI_NC&gt;0,CR545="interior"),0,IF(IB545=TRUE,AC548,0))</f>
        <v>0</v>
      </c>
      <c r="DA547" s="1818"/>
      <c r="DB547" s="1820"/>
      <c r="DC547" s="1820"/>
      <c r="DD547" s="1820"/>
      <c r="DF547" s="1702">
        <f>IF(IB545=TRUE,AF547,0)</f>
        <v>0</v>
      </c>
      <c r="DG547" s="1830" t="str">
        <f>IF(IB545=TRUE,AG547,"")</f>
        <v/>
      </c>
      <c r="DH547" s="1812">
        <f>AG548</f>
        <v>0</v>
      </c>
      <c r="DI547" s="1837">
        <f>JE547</f>
        <v>0</v>
      </c>
      <c r="DJ547" s="1710">
        <f>IF(AND(__Retrofit_TI_NC&gt;0,CR545="interior"),0,IF(IB545=TRUE,AN547,0))</f>
        <v>0</v>
      </c>
      <c r="DK547" s="1712"/>
      <c r="DN547" s="1717">
        <f>IFERROR(CZ547-DJ547,0)</f>
        <v>0</v>
      </c>
      <c r="DO547" s="1709"/>
      <c r="DQ547" s="1715"/>
      <c r="DR547" s="1719" t="str">
        <f>DQ545</f>
        <v/>
      </c>
      <c r="DS547" s="1816"/>
      <c r="DT547" s="1835" t="str">
        <f>IF(OR(DS545=7,DS545=8,DS545=9),"ALC","")</f>
        <v/>
      </c>
      <c r="DU547" s="1715"/>
      <c r="DV547" s="1716"/>
      <c r="DX547" s="1715"/>
      <c r="DY547" s="1829" t="str">
        <f>DX545</f>
        <v/>
      </c>
      <c r="DZ547" s="1715"/>
      <c r="EA547" s="1715"/>
      <c r="EC547" s="1834"/>
      <c r="ED547" s="1834"/>
      <c r="EF547" s="1707"/>
      <c r="EG547" s="1712"/>
      <c r="EH547" s="1818"/>
      <c r="EI547" s="1712"/>
      <c r="EJ547" s="1712"/>
      <c r="EK547" s="1836"/>
      <c r="EL547" s="1836"/>
      <c r="EM547" s="1807"/>
      <c r="EN547" s="1839"/>
      <c r="EO547" s="1839"/>
      <c r="EP547" s="1817"/>
      <c r="EQ547" s="1817"/>
      <c r="ER547" s="1807"/>
      <c r="ES547" s="1807"/>
      <c r="ET547" s="1807"/>
      <c r="EV547" s="1715"/>
      <c r="EX547" s="1805" t="str">
        <f>IFERROR(VLOOKUP(CS547,'Space Table'!$B$3:$L$163,8,FALSE),"")</f>
        <v/>
      </c>
      <c r="EY547" s="1805" t="str">
        <f>IFERROR(IF(FB547="Yes",VLOOKUP(AG547,Lookup_Control_Type_Table2,4,FALSE),VLOOKUP(AG547,Lookup_Control_Type_Table2,3,FALSE)),"")</f>
        <v/>
      </c>
      <c r="EZ547" s="1805" t="e">
        <f>VLOOKUP(AG547,Lookup!BB$3:BC$20,2,FALSE)</f>
        <v>#N/A</v>
      </c>
      <c r="FA547" s="1805" t="e">
        <f>VLOOKUP(EX545,Lookup_Control_Type_Table,2,FALSE)</f>
        <v>#N/A</v>
      </c>
      <c r="FB547" s="1805" t="e">
        <f>VLOOKUP(CS547,'Space Table'!$B$3:$L$163,7,FALSE)</f>
        <v>#N/A</v>
      </c>
      <c r="FC547" s="1827"/>
      <c r="FE547" s="1698" t="str">
        <f>CONCATENATE(CQ545," - ",AG547)</f>
        <v xml:space="preserve"> - </v>
      </c>
      <c r="FG547" s="1816"/>
      <c r="FH547" s="1816"/>
      <c r="FI547" s="133"/>
      <c r="FL547" s="1822" t="str">
        <f>IF(CQ545="Exterior","Not Daylighted",G548)</f>
        <v>Not Daylighted</v>
      </c>
      <c r="FM547" s="1824">
        <f>VLOOKUP(FL547,_New_Daylight_Table_Codes,2,FALSE)</f>
        <v>0</v>
      </c>
      <c r="FN547" s="1698">
        <f>AG547</f>
        <v>0</v>
      </c>
      <c r="FO547" s="1698" t="e">
        <f>VLOOKUP(FN547,_Control_Table,2,FALSE)</f>
        <v>#N/A</v>
      </c>
      <c r="FP547" s="1678" t="e">
        <f>VLOOKUP(CONCATENATE(FL547," ",FN547),Lookup!AY$102:AZ558,2,FALSE)</f>
        <v>#N/A</v>
      </c>
      <c r="FQ547" s="1698">
        <f>IF(__Retrofit_TI_NC=0,FN547,IF(AND(FT547&gt;0,FN547="Occupancy Sensor"),"Daylight + Occupancy",IF(AND(FT547&gt;0,FO547&lt;4),"Interior Daylight Dimming",FN547)))</f>
        <v>0</v>
      </c>
      <c r="FS547" s="1686">
        <f>IF(CQ545="Interior",VLOOKUP(CS545,Control_Savings_Interior,5,FALSE),0)</f>
        <v>0</v>
      </c>
      <c r="FT547" s="1687">
        <f>IF(CQ547="Exterior",0,IF(FM547=2,0.5,IF(OR(FM547=1,FM547=3),1,0)))</f>
        <v>0</v>
      </c>
      <c r="FU547" s="1685">
        <f>IF(R546&gt;FS$44,(FS547*(FS$44/R546)),FS547)*FT547</f>
        <v>0</v>
      </c>
      <c r="FV547" s="1686">
        <f>DI547</f>
        <v>0</v>
      </c>
      <c r="FW547" s="1686">
        <f>ROUND(FV547+((1-FV547)*FU547),2)</f>
        <v>0</v>
      </c>
      <c r="FX547" s="1686">
        <f>IF(__Retrofit_TI_NC=2,FW547,FV547)</f>
        <v>0</v>
      </c>
      <c r="FY547" s="1697">
        <f>IF(CR547="Interior",VLOOKUP(CS547,Control_Savings_Interior,4,FALSE),0)</f>
        <v>0</v>
      </c>
      <c r="GA547" s="1696"/>
      <c r="GB547" s="1696"/>
      <c r="GC547" s="1696"/>
      <c r="GD547" s="1696"/>
      <c r="GE547" s="1696"/>
      <c r="GF547" s="1696"/>
      <c r="GG547" s="1696"/>
      <c r="GH547" s="1696"/>
      <c r="GI547" s="673" t="b">
        <f>IF(ISNUMBER(SEARCH("TLED",U547)),TRUE,FALSE)</f>
        <v>0</v>
      </c>
      <c r="GJ547" s="1135" t="str">
        <f>IFERROR(VLOOKUP(U547,Fixtures!DM$93:DR$142,6,FALSE),"")</f>
        <v/>
      </c>
      <c r="GK547" s="1832"/>
      <c r="GM547" s="1692"/>
      <c r="GN547" s="1684"/>
      <c r="GP547" s="1684"/>
      <c r="GQ547" s="1684"/>
      <c r="HG547" s="1684"/>
      <c r="HH547" s="1684"/>
      <c r="HI547" s="1684"/>
      <c r="HJ547" s="1684"/>
      <c r="HK547" s="1684"/>
      <c r="HL547" s="1684"/>
      <c r="HM547" s="1684"/>
      <c r="HN547" s="1683"/>
      <c r="HO547" s="1692"/>
      <c r="HP547" s="1692"/>
      <c r="HQ547" s="1670"/>
      <c r="HR547" s="1684"/>
      <c r="HS547" s="1684"/>
      <c r="HT547" s="1670"/>
      <c r="HU547" s="1684"/>
      <c r="HV547" s="1684"/>
      <c r="HW547" s="1684"/>
      <c r="HX547" s="1684"/>
      <c r="HY547" s="1684"/>
      <c r="HZ547" s="1684"/>
      <c r="IB547" s="1692"/>
      <c r="IC547" s="1693" t="b">
        <f>IB545</f>
        <v>0</v>
      </c>
      <c r="ID547" s="1695"/>
      <c r="IE547" s="391"/>
      <c r="IF547" s="1688"/>
      <c r="IG547" s="1689">
        <f ca="1">IF(IF545=TRUE,AC548,0)</f>
        <v>0</v>
      </c>
      <c r="IH547" s="1684"/>
      <c r="IK547" s="1689" t="e">
        <f>ROUND(T547*AB548*N546*R546/1000,0)</f>
        <v>#VALUE!</v>
      </c>
      <c r="IL547" s="1691"/>
      <c r="IM547" s="1693" t="e">
        <f>ROUND(T547*AB548*N546*R546/1000,0)</f>
        <v>#VALUE!</v>
      </c>
      <c r="IN547" s="1691"/>
      <c r="IP547" s="1679"/>
      <c r="IQ547" s="1679" t="e">
        <f t="shared" ref="IQ547:IU547" si="497">IF($CR547="interior",VLOOKUP($CS547,_New_Control_Savings_Interior,IQ$30,FALSE),VLOOKUP($CS547,Control_Savings_Exterior,IQ$30,FALSE))</f>
        <v>#N/A</v>
      </c>
      <c r="IR547" s="1679" t="e">
        <f t="shared" si="497"/>
        <v>#N/A</v>
      </c>
      <c r="IS547" s="1679" t="e">
        <f t="shared" si="497"/>
        <v>#N/A</v>
      </c>
      <c r="IT547" s="1679" t="e">
        <f t="shared" si="497"/>
        <v>#N/A</v>
      </c>
      <c r="IU547" s="1679" t="e">
        <f t="shared" si="497"/>
        <v>#N/A</v>
      </c>
      <c r="IV547" s="1679" t="e">
        <f>IF($CR547="interior",IF(R546&gt;$IP$14,ROUND(($IV$18*($IP$14/R546)),2),$IV$18),VLOOKUP($CS547,Control_Savings_Exterior,IV$30,FALSE))</f>
        <v>#N/A</v>
      </c>
      <c r="IW547" s="1679" t="e">
        <f>IF($CR547="interior",ROUND(((1-IS547)*IV547)+IS547,2),VLOOKUP($CS547,Control_Savings_Exterior,IW$30,FALSE))</f>
        <v>#N/A</v>
      </c>
      <c r="IX547" s="1679" t="e">
        <f>IF($CR547="interior",ROUND(((1-IT547)*IV547)+IT547,2),VLOOKUP($CS547,Control_Savings_Exterior,IX$30,FALSE))</f>
        <v>#N/A</v>
      </c>
      <c r="IY547" s="1679" t="e">
        <f>IF($CR547="interior",IF(R546&gt;$IP$14,ROUND(($IY$18*($IP$14/R546)),2),$IY$18),VLOOKUP($CS547,Control_Savings_Exterior,IY$30,FALSE))</f>
        <v>#N/A</v>
      </c>
      <c r="IZ547" s="1679" t="e">
        <f>IF($CR547="interior",ROUND(((1-IS547)*IY547)+IS547,2),VLOOKUP($CS547,Control_Savings_Exterior,IZ$30,FALSE))</f>
        <v>#N/A</v>
      </c>
      <c r="JA547" s="1679" t="e">
        <f>IF($CR547="interior",ROUND(((1-IT547)*IY547)+IT547,2),VLOOKUP($CS547,Control_Savings_Exterior,JA$30,FALSE))</f>
        <v>#N/A</v>
      </c>
      <c r="JC547" s="1680">
        <f>IFERROR(IF(CR547="Interior",CONCATENATE(G548," ",FQ547),AG547),"")</f>
        <v>0</v>
      </c>
      <c r="JD547" s="1670" t="str">
        <f>IFERROR(VLOOKUP(JC547,_Controls_2023,2,FALSE),"")</f>
        <v/>
      </c>
      <c r="JE547" s="1681">
        <f>IFERROR(CHOOSE(JD547-1,IQ547,IR547,IS547,IT547,IU547,IV547,IW547,IX547,IY547,IZ547,JA547),0)</f>
        <v>0</v>
      </c>
      <c r="JG547" s="1680" t="str">
        <f>FE547</f>
        <v xml:space="preserve"> - </v>
      </c>
      <c r="JH547" s="1670" t="e">
        <f>$FO547</f>
        <v>#N/A</v>
      </c>
      <c r="JI547" s="1060"/>
      <c r="JJ547" s="1670">
        <f>IFERROR(IF($IB545=TRUE,IF(OR(JJ$14="No",JJ545=FALSE,JH547&lt;=JH545,AND(_kWh_Grant=0,GD545=FALSE)),0,IF(JJ$8="Per Line",1,$AF547)),0),0)</f>
        <v>0</v>
      </c>
      <c r="JK547" s="1061"/>
      <c r="JL547" s="1670">
        <f>IFERROR(IF(_kWh_Grant=0,0,IF($IB545=TRUE,IF(OR(JL$14="No",JL545=FALSE,JH547&lt;=JH545),0,IF(JL$8="Per Line",1,$T547)),0)),0)</f>
        <v>0</v>
      </c>
      <c r="JM547" s="1061"/>
      <c r="JN547" s="1670">
        <f>IFERROR(IF(_kWh_Grant=0,0,IF($IB545=TRUE,IF(OR(JN$14="No",JN545=FALSE,JH547&lt;=JH545),0,IF(JN$8="Per Line",1,$AF547)),0)),0)</f>
        <v>0</v>
      </c>
      <c r="JO547" s="1061"/>
      <c r="JP547" s="1670">
        <f>IFERROR(IF(__Retrofit_TI_NC=0,IF(_kWh_Grant=0,0,IF($IB545=TRUE,IF(OR(JP$14="No",JP545=FALSE,$JH547&lt;=$JH545),0,IF(JP$8="Per Line",1,$AF547)),0)),IF($IB545=TRUE,IF(OR(JP$14="No",JP545=FALSE,$JH547&lt;=$JH545),0,IF(JP$8="Per Line",1,$AF547)))),0)</f>
        <v>0</v>
      </c>
      <c r="JQ547" s="1061"/>
      <c r="JR547" s="1670">
        <f>IFERROR(IF(__Retrofit_TI_NC=0,IF(_kWh_Grant=0,0,IF($IB545=TRUE,IF(OR(JR$14="No",JR545=FALSE,$JH547&lt;=$JH545),0,IF(JR$8="Per Line",1,$AF547)),0)),IF($IB545=TRUE,IF(OR(JR$14="No",JR545=FALSE,$JH547&lt;=$JH545),0,IF(JR$8="Per Line",1,$AF547)))),0)</f>
        <v>0</v>
      </c>
      <c r="JS547" s="1061"/>
      <c r="JT547" s="1670">
        <f>IFERROR(IF(__Retrofit_TI_NC=0,IF(_kWh_Grant=0,0,IF($IB545=TRUE,IF(OR(JT$14="No",JT545=FALSE,$JH547&lt;=$JH545),0,IF(JT$8="Per Line",1,$AF547)),0)),IF($IB545=TRUE,IF(OR(JT$14="No",JT545=FALSE,$JH547&lt;=$JH545),0,IF(JT$8="Per Line",1,$AF547)))),0)</f>
        <v>0</v>
      </c>
      <c r="JU547" s="1061"/>
      <c r="JV547" s="1670">
        <f>IFERROR(IF(__Retrofit_TI_NC=0,IF(_kWh_Grant=0,0,IF($IB545=TRUE,IF(OR(JV$14="No",JV545=FALSE,$JH547&lt;=$JH545),0,IF(JV$8="Per Line",1,$AF547)),0)),IF($IB545=TRUE,IF(OR(JV$14="No",JV545=FALSE,$JH547&lt;=$JH545),0,IF(JV$8="Per Line",1,$AF547)))),0)</f>
        <v>0</v>
      </c>
      <c r="JX547" s="1670">
        <f>IFERROR(IF(__Retrofit_TI_NC=0,IF(_kWh_Grant=0,0,IF($IB545=TRUE,IF(OR(JX$14="No",JX545=FALSE,$JH547&lt;=$JH545),0,IF(JX$8="Per Line",1,$AF547)),0)),IF($IB545=TRUE,IF(OR(JX$14="No",JX545=FALSE,$JH547&lt;=$JH545),0,IF(JX$8="Per Line",1,$AF547)))),0)</f>
        <v>0</v>
      </c>
      <c r="JZ547" s="1670">
        <f>IFERROR(IF($IB545=TRUE,IF(OR(JZ$14="No",JZ545=FALSE,$JH547&lt;=$JH545,AND(_kWh_Grant=0,$GD545=FALSE)),0,IF(JZ$8="Per Line",1,$AF547)),0),0)</f>
        <v>0</v>
      </c>
      <c r="KB547" s="1670">
        <f>IFERROR(IF(__Retrofit_TI_NC=0,IF(_kWh_Grant=0,0,IF($IB545=TRUE,IF(OR(KB$14="No",KB545=FALSE,$JH547&lt;=$JH545),0,IF(KB$8="Per Line",1,$AF547)),0)),IF($IB545=TRUE,IF(OR(KB$14="No",KB545=FALSE,$JH547&lt;=$JH545),0,IF(KB$8="Per Line",1,$AF547)))),0)</f>
        <v>0</v>
      </c>
    </row>
    <row r="548" spans="1:288" s="78" customFormat="1" ht="14.95" customHeight="1" thickTop="1" thickBot="1">
      <c r="B548" s="1845"/>
      <c r="C548" s="1846"/>
      <c r="D548" s="1847"/>
      <c r="E548" s="1771" t="s">
        <v>436</v>
      </c>
      <c r="F548" s="1772"/>
      <c r="G548" s="1784" t="s">
        <v>437</v>
      </c>
      <c r="H548" s="1785"/>
      <c r="I548" s="1785"/>
      <c r="J548" s="1785"/>
      <c r="K548" s="1785"/>
      <c r="L548" s="1786"/>
      <c r="M548" s="591">
        <f>IFERROR(VLOOKUP(G548,_Daylight_Table[],2,FALSE),0)</f>
        <v>0</v>
      </c>
      <c r="N548" s="592" t="str">
        <f>IF(AND(__Retrofit_TI_NC&gt;0,CQ545="Interior"),"BAM","")</f>
        <v/>
      </c>
      <c r="O548" s="591" t="e">
        <f>VLOOKUP(G547,'Space Table'!$B$3:$L$163,11,FALSE)</f>
        <v>#N/A</v>
      </c>
      <c r="P548" s="1789"/>
      <c r="Q548" s="1790"/>
      <c r="R548" s="1790"/>
      <c r="S548" s="1788"/>
      <c r="T548" s="593" t="s">
        <v>342</v>
      </c>
      <c r="U548" s="1756" t="str" cm="1">
        <f t="array" aca="1" ref="U548" ca="1">IFERROR(VLOOKUP(INDIRECT("U" &amp; ROW()-1),Fixtures!DM$93:DP$142,4,FALSE),"")</f>
        <v/>
      </c>
      <c r="V548" s="1757"/>
      <c r="W548" s="1757"/>
      <c r="X548" s="1757"/>
      <c r="Y548" s="1757"/>
      <c r="Z548" s="1757"/>
      <c r="AA548" s="1758"/>
      <c r="AB548" s="939" t="str">
        <f>IFERROR(VLOOKUP(U547,Fixtures_Proposed_List,2,FALSE),"")</f>
        <v/>
      </c>
      <c r="AC548" s="933" t="str">
        <f>IFERROR(ROUND(T547*AB548*N546*R546/1000,0),"")</f>
        <v/>
      </c>
      <c r="AD548" s="934" t="str">
        <f>IFERROR(ROUND(T547*AB548/1000,2),"")</f>
        <v/>
      </c>
      <c r="AE548" s="998"/>
      <c r="AF548" s="938" t="s">
        <v>342</v>
      </c>
      <c r="AG548" s="1770"/>
      <c r="AH548" s="1770"/>
      <c r="AI548" s="1770"/>
      <c r="AJ548" s="1770"/>
      <c r="AK548" s="1770"/>
      <c r="AL548" s="1770"/>
      <c r="AM548" s="1727"/>
      <c r="AN548" s="1729"/>
      <c r="AO548" s="1731"/>
      <c r="AP548" s="1782"/>
      <c r="AQ548" s="1783"/>
      <c r="AR548" s="1797"/>
      <c r="AS548" s="1797"/>
      <c r="AT548" s="1798"/>
      <c r="AU548" s="1736"/>
      <c r="AV548" s="1753"/>
      <c r="AW548" s="1706"/>
      <c r="AX548" s="468"/>
      <c r="AY548" s="1750"/>
      <c r="AZ548" s="1750"/>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696"/>
      <c r="CQ548" s="1696"/>
      <c r="CR548" s="1809"/>
      <c r="CS548" s="1811"/>
      <c r="CU548" s="1688"/>
      <c r="CV548" s="1703"/>
      <c r="CW548" s="1703"/>
      <c r="CX548" s="1813"/>
      <c r="CY548" s="1815"/>
      <c r="CZ548" s="1711"/>
      <c r="DA548" s="1815"/>
      <c r="DB548" s="1821"/>
      <c r="DC548" s="1821"/>
      <c r="DD548" s="1821"/>
      <c r="DF548" s="1703"/>
      <c r="DG548" s="1831"/>
      <c r="DH548" s="1813"/>
      <c r="DI548" s="1838"/>
      <c r="DJ548" s="1711"/>
      <c r="DK548" s="1712"/>
      <c r="DN548" s="1718"/>
      <c r="DO548" s="1709"/>
      <c r="DQ548" s="1715"/>
      <c r="DR548" s="1720"/>
      <c r="DS548" s="1703"/>
      <c r="DT548" s="1714"/>
      <c r="DU548" s="1715"/>
      <c r="DV548" s="1716"/>
      <c r="DX548" s="1715"/>
      <c r="DY548" s="1720"/>
      <c r="DZ548" s="1715"/>
      <c r="EA548" s="1715"/>
      <c r="EC548" s="1834"/>
      <c r="ED548" s="1834"/>
      <c r="EF548" s="1707"/>
      <c r="EG548" s="1712"/>
      <c r="EH548" s="1815"/>
      <c r="EI548" s="1712"/>
      <c r="EJ548" s="1712"/>
      <c r="EK548" s="1813"/>
      <c r="EL548" s="1813"/>
      <c r="EM548" s="1807"/>
      <c r="EN548" s="1839"/>
      <c r="EO548" s="1839"/>
      <c r="EP548" s="1817"/>
      <c r="EQ548" s="1817"/>
      <c r="ER548" s="1807"/>
      <c r="ES548" s="1807"/>
      <c r="ET548" s="1807"/>
      <c r="EV548" s="1715"/>
      <c r="EX548" s="1806"/>
      <c r="EY548" s="1806"/>
      <c r="EZ548" s="1806"/>
      <c r="FA548" s="1806"/>
      <c r="FB548" s="1806"/>
      <c r="FC548" s="1828"/>
      <c r="FE548" s="1698"/>
      <c r="FG548" s="1703"/>
      <c r="FH548" s="1703"/>
      <c r="FI548" s="133"/>
      <c r="FL548" s="1823"/>
      <c r="FM548" s="1825"/>
      <c r="FN548" s="1698"/>
      <c r="FO548" s="1698"/>
      <c r="FP548" s="1678"/>
      <c r="FQ548" s="1698"/>
      <c r="FS548" s="1687"/>
      <c r="FT548" s="1687"/>
      <c r="FU548" s="1685"/>
      <c r="FV548" s="1687"/>
      <c r="FW548" s="1687"/>
      <c r="FX548" s="1687"/>
      <c r="FY548" s="1697"/>
      <c r="GA548" s="1696"/>
      <c r="GB548" s="1696"/>
      <c r="GC548" s="1696"/>
      <c r="GD548" s="1696"/>
      <c r="GE548" s="1696"/>
      <c r="GF548" s="1696"/>
      <c r="GG548" s="1696"/>
      <c r="GH548" s="1696"/>
      <c r="GI548" s="673"/>
      <c r="GJ548" s="1135"/>
      <c r="GK548" s="1832"/>
      <c r="GN548" s="674">
        <f>IF(GN546=TRUE,0,GN$16)</f>
        <v>0</v>
      </c>
      <c r="GP548" s="674">
        <f>IF(GP546=TRUE,0,GP$16)</f>
        <v>36</v>
      </c>
      <c r="GQ548" s="674">
        <f ca="1">IF(GQ546=TRUE,0,GQ$16)</f>
        <v>35</v>
      </c>
      <c r="GR548" s="391"/>
      <c r="GS548" s="391"/>
      <c r="GT548" s="391"/>
      <c r="GU548" s="391"/>
      <c r="GV548" s="391"/>
      <c r="HG548" s="674">
        <f>IF(HG546=TRUE,0,HG$16)</f>
        <v>0</v>
      </c>
      <c r="HH548" s="674">
        <f t="shared" ref="HH548:HM548" si="498">IF(HH546=TRUE,0,HH$16)</f>
        <v>19</v>
      </c>
      <c r="HI548" s="674">
        <f t="shared" si="498"/>
        <v>18</v>
      </c>
      <c r="HJ548" s="674">
        <f t="shared" si="498"/>
        <v>17</v>
      </c>
      <c r="HK548" s="674">
        <f t="shared" si="498"/>
        <v>16</v>
      </c>
      <c r="HL548" s="674">
        <f t="shared" si="498"/>
        <v>0</v>
      </c>
      <c r="HM548" s="674">
        <f t="shared" si="498"/>
        <v>0</v>
      </c>
      <c r="HN548" s="674">
        <f>IF(HN546=TRUE,0,HN$16)</f>
        <v>13</v>
      </c>
      <c r="HO548" s="674">
        <f t="shared" ref="HO548:HQ548" si="499">IF(HO546=TRUE,0,HO$16)</f>
        <v>0</v>
      </c>
      <c r="HP548" s="674">
        <f t="shared" si="499"/>
        <v>0</v>
      </c>
      <c r="HQ548" s="674">
        <f t="shared" si="499"/>
        <v>10</v>
      </c>
      <c r="HR548" s="674">
        <f>IF(HR546=TRUE,0,HR$16)</f>
        <v>9</v>
      </c>
      <c r="HS548" s="674">
        <f t="shared" ref="HS548:HW548" si="500">IF(HS546=TRUE,0,HS$16)</f>
        <v>0</v>
      </c>
      <c r="HT548" s="674">
        <f t="shared" si="500"/>
        <v>0</v>
      </c>
      <c r="HU548" s="674">
        <f t="shared" si="500"/>
        <v>0</v>
      </c>
      <c r="HV548" s="674">
        <f t="shared" si="500"/>
        <v>0</v>
      </c>
      <c r="HW548" s="674">
        <f t="shared" si="500"/>
        <v>0</v>
      </c>
      <c r="HX548" s="674">
        <f>IF(HX546=TRUE,0,HX$16)</f>
        <v>0</v>
      </c>
      <c r="HY548" s="674">
        <f>IF(HY546=TRUE,0,HY$16)</f>
        <v>0</v>
      </c>
      <c r="HZ548" s="674">
        <f>IF(HZ546=TRUE,0,HZ$16)</f>
        <v>1</v>
      </c>
      <c r="IB548" s="674">
        <f>IF(GP546=FALSE,GP548,IF(GQ546=FALSE,GQ548,MAX(GN548:HZ548)))</f>
        <v>36</v>
      </c>
      <c r="IC548" s="1692"/>
      <c r="ID548" s="205" t="str">
        <f>VLOOKUP(IB548,_Error_Table,3,FALSE)</f>
        <v xml:space="preserve"> </v>
      </c>
      <c r="IE548" s="205"/>
      <c r="IF548" s="1688"/>
      <c r="IG548" s="1689"/>
      <c r="IH548" s="1684"/>
      <c r="IK548" s="1689"/>
      <c r="IL548" s="1692"/>
      <c r="IM548" s="1692"/>
      <c r="IN548" s="1692"/>
      <c r="IP548" s="1679"/>
      <c r="IQ548" s="1679"/>
      <c r="IR548" s="1679"/>
      <c r="IS548" s="1679"/>
      <c r="IT548" s="1679"/>
      <c r="IU548" s="1679"/>
      <c r="IV548" s="1679"/>
      <c r="IW548" s="1679"/>
      <c r="IX548" s="1679"/>
      <c r="IY548" s="1679"/>
      <c r="IZ548" s="1679"/>
      <c r="JA548" s="1679"/>
      <c r="JC548" s="1680"/>
      <c r="JD548" s="1670"/>
      <c r="JE548" s="1681"/>
      <c r="JG548" s="1680"/>
      <c r="JH548" s="1670"/>
      <c r="JI548" s="1060"/>
      <c r="JJ548" s="1670"/>
      <c r="JK548" s="1061"/>
      <c r="JL548" s="1670"/>
      <c r="JM548" s="1061"/>
      <c r="JN548" s="1670"/>
      <c r="JO548" s="1061"/>
      <c r="JP548" s="1670"/>
      <c r="JQ548" s="1061"/>
      <c r="JR548" s="1670"/>
      <c r="JS548" s="1061"/>
      <c r="JT548" s="1670"/>
      <c r="JU548" s="1061"/>
      <c r="JV548" s="1670"/>
      <c r="JX548" s="1670"/>
      <c r="JZ548" s="1670"/>
      <c r="KB548" s="1670"/>
    </row>
    <row r="549" spans="1:288" s="78" customFormat="1" ht="5.0999999999999996" customHeight="1">
      <c r="B549" s="676"/>
      <c r="C549" s="392"/>
      <c r="D549" s="392"/>
      <c r="E549" s="1733"/>
      <c r="F549" s="1733"/>
      <c r="G549" s="1733"/>
      <c r="H549" s="1733"/>
      <c r="I549" s="1733"/>
      <c r="J549" s="1733"/>
      <c r="K549" s="1733"/>
      <c r="L549" s="1733"/>
      <c r="M549" s="1733"/>
      <c r="N549" s="1733"/>
      <c r="O549" s="1733"/>
      <c r="P549" s="1733"/>
      <c r="Q549" s="1733"/>
      <c r="R549" s="1733"/>
      <c r="S549" s="1733"/>
      <c r="T549" s="1733"/>
      <c r="U549" s="1733"/>
      <c r="V549" s="1733"/>
      <c r="W549" s="1733"/>
      <c r="X549" s="1733"/>
      <c r="Y549" s="1733"/>
      <c r="Z549" s="1733"/>
      <c r="AA549" s="1733"/>
      <c r="AB549" s="1733"/>
      <c r="AC549" s="1733"/>
      <c r="AD549" s="1733"/>
      <c r="AE549" s="1733"/>
      <c r="AF549" s="1733"/>
      <c r="AG549" s="1733"/>
      <c r="AH549" s="1733"/>
      <c r="AI549" s="1733"/>
      <c r="AJ549" s="1733"/>
      <c r="AK549" s="1733"/>
      <c r="AL549" s="1733"/>
      <c r="AM549" s="1733"/>
      <c r="AN549" s="1733"/>
      <c r="AO549" s="1733"/>
      <c r="AP549" s="1733"/>
      <c r="AQ549" s="1733"/>
      <c r="AR549" s="1733"/>
      <c r="AS549" s="1733"/>
      <c r="AT549" s="1733"/>
      <c r="AU549" s="1733"/>
      <c r="AV549" s="1733"/>
      <c r="AW549" s="1733"/>
      <c r="AX549" s="469"/>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663"/>
      <c r="CQ549" s="663"/>
      <c r="CR549" s="438"/>
      <c r="CS549" s="663"/>
      <c r="CV549" s="391"/>
      <c r="CW549" s="391"/>
      <c r="CX549" s="207"/>
      <c r="CY549" s="208"/>
      <c r="CZ549" s="208"/>
      <c r="DA549" s="208"/>
      <c r="DB549" s="209"/>
      <c r="DC549" s="209"/>
      <c r="DD549" s="209"/>
      <c r="DF549" s="664"/>
      <c r="DG549" s="665"/>
      <c r="DH549" s="666"/>
      <c r="DI549" s="667"/>
      <c r="DJ549" s="668"/>
      <c r="DK549" s="668"/>
      <c r="DN549" s="208"/>
      <c r="DO549" s="664"/>
      <c r="DQ549" s="664"/>
      <c r="DR549" s="669"/>
      <c r="DS549" s="391"/>
      <c r="DT549" s="664"/>
      <c r="DU549" s="664"/>
      <c r="DV549" s="664"/>
      <c r="DX549" s="664"/>
      <c r="DY549" s="664"/>
      <c r="DZ549" s="664"/>
      <c r="EA549" s="664"/>
      <c r="EC549" s="670"/>
      <c r="ED549" s="670"/>
      <c r="EF549" s="668"/>
      <c r="EG549" s="668"/>
      <c r="EH549" s="208"/>
      <c r="EI549" s="668"/>
      <c r="EJ549" s="668"/>
      <c r="EK549" s="207"/>
      <c r="EL549" s="207"/>
      <c r="EM549" s="666"/>
      <c r="EN549" s="671"/>
      <c r="EO549" s="671"/>
      <c r="EP549" s="672"/>
      <c r="EQ549" s="672"/>
      <c r="ER549" s="666"/>
      <c r="ES549" s="666"/>
      <c r="ET549" s="666"/>
      <c r="EV549" s="664"/>
      <c r="EX549" s="391"/>
      <c r="EY549" s="391"/>
      <c r="EZ549" s="391"/>
      <c r="FA549" s="391"/>
      <c r="FB549" s="391"/>
      <c r="FC549" s="391"/>
      <c r="FE549" s="569"/>
      <c r="FG549" s="391"/>
      <c r="FH549" s="391"/>
      <c r="FI549" s="391"/>
      <c r="FS549" s="664"/>
      <c r="FT549" s="391"/>
      <c r="FU549" s="391"/>
      <c r="FV549" s="664"/>
      <c r="FW549" s="664"/>
      <c r="GA549" s="663"/>
      <c r="GB549" s="663"/>
      <c r="GC549" s="663"/>
      <c r="GD549" s="663"/>
      <c r="GE549" s="663"/>
      <c r="GF549" s="663"/>
      <c r="GG549" s="663"/>
      <c r="GH549" s="663"/>
      <c r="GI549" s="665"/>
      <c r="GJ549" s="664"/>
      <c r="GK549" s="664"/>
    </row>
    <row r="550" spans="1:288" s="78" customFormat="1" ht="14.95" customHeight="1">
      <c r="B550" s="1845" t="str">
        <f>ID553</f>
        <v xml:space="preserve"> </v>
      </c>
      <c r="C550" s="1846">
        <f>C545+1</f>
        <v>98</v>
      </c>
      <c r="D550" s="1847"/>
      <c r="E550" s="1799" t="s">
        <v>295</v>
      </c>
      <c r="F550" s="1800"/>
      <c r="G550" s="1741"/>
      <c r="H550" s="1742"/>
      <c r="I550" s="1742"/>
      <c r="J550" s="1742"/>
      <c r="K550" s="1742"/>
      <c r="L550" s="1742"/>
      <c r="M550" s="1742"/>
      <c r="N550" s="1742"/>
      <c r="O550" s="1742"/>
      <c r="P550" s="1742"/>
      <c r="Q550" s="1742"/>
      <c r="R550" s="1742"/>
      <c r="S550" s="1791" t="s">
        <v>344</v>
      </c>
      <c r="T550" s="590"/>
      <c r="U550" s="1743"/>
      <c r="V550" s="1744"/>
      <c r="W550" s="1744"/>
      <c r="X550" s="1744"/>
      <c r="Y550" s="1744"/>
      <c r="Z550" s="1744"/>
      <c r="AA550" s="1744"/>
      <c r="AB550" s="961" t="str">
        <f>IFERROR(IF(__Retrofit_TI_NC=0,VLOOKUP(U551,Fixtures_Existing_List,2,FALSE),ROUND(N552*R552/T552,10)),"")</f>
        <v/>
      </c>
      <c r="AC550" s="935" t="str">
        <f>IFERROR(IF(__Retrofit_TI_NC=0,ROUND(T551*AB550*N551*R551/1000,0),IF(CQ550="Interior",N552*R552*R551*N551*_C406_reduction/1000,N552*R552*R551*N551/1000)),"")</f>
        <v/>
      </c>
      <c r="AD550" s="936" t="str">
        <f>IFERROR(IF(C$43=0,ROUND(T551*AB550/1000,2),N552*R552/1000),"")</f>
        <v/>
      </c>
      <c r="AE550" s="997"/>
      <c r="AF550" s="937"/>
      <c r="AG550" s="1745" t="str">
        <f>IF(__Retrofit_TI_NC=0," Control","Select Advanced Control for New System")</f>
        <v xml:space="preserve"> Control</v>
      </c>
      <c r="AH550" s="1745"/>
      <c r="AI550" s="1745"/>
      <c r="AJ550" s="1745"/>
      <c r="AK550" s="1745"/>
      <c r="AL550" s="1745"/>
      <c r="AM550" s="1746">
        <f>IFERROR(DI550,"")</f>
        <v>0</v>
      </c>
      <c r="AN550" s="1774" t="str">
        <f>IFERROR(ROUND(AM550*AC550,0),"")</f>
        <v/>
      </c>
      <c r="AO550" s="1776">
        <f>IFERROR(IF(IB550=FALSE,0,AC550-AN550),0)</f>
        <v>0</v>
      </c>
      <c r="AP550" s="1778">
        <f>AO550-AO552</f>
        <v>0</v>
      </c>
      <c r="AQ550" s="1779"/>
      <c r="AR550" s="1793">
        <f>IFERROR(IF(IB550=FALSE,0,(T552*U553)+(AF552*AG553)),0)</f>
        <v>0</v>
      </c>
      <c r="AS550" s="1793"/>
      <c r="AT550" s="1794"/>
      <c r="AU550" s="1734" t="s">
        <v>237</v>
      </c>
      <c r="AV550" s="1751">
        <f>IF(AU550="Yes",1,0)</f>
        <v>1</v>
      </c>
      <c r="AW550" s="1704" t="str">
        <f>IF(OR(DQ550=4,DQ550=5,DQ550=6,DQ550=12),CONCATENATE("$",IF(GH550=TRUE,Lookup!$K$10,Lookup!$K$2)," /lamp"),CONCATENATE(TEXT(ED550,"$0.00"),"/ kWh"))</f>
        <v>$0.00/ kWh</v>
      </c>
      <c r="AX550" s="467"/>
      <c r="AY550" s="1748">
        <f ca="1">IFERROR(IF(GM551=TRUE,(AB553*T552)/R552,0),"NA")</f>
        <v>0</v>
      </c>
      <c r="AZ550" s="1748"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696" t="str">
        <f>N551</f>
        <v/>
      </c>
      <c r="CQ550" s="1696" t="str">
        <f>IFERROR(VLOOKUP(G551,_Lookup_Heat_Type_Table_New,3,FALSE),"")</f>
        <v/>
      </c>
      <c r="CR550" s="1808" t="str">
        <f>CQ550</f>
        <v/>
      </c>
      <c r="CS550" s="1810" t="str">
        <f>IFERROR(VLOOKUP(G552,'Space Table'!$B$3:$L$163,9,FALSE),"")</f>
        <v/>
      </c>
      <c r="CU550" s="1688" t="s">
        <v>344</v>
      </c>
      <c r="CV550" s="1702">
        <f>IF(IB550=TRUE,T551,0)</f>
        <v>0</v>
      </c>
      <c r="CW550" s="1702" t="str">
        <f>IF(IB550=TRUE,U551,"")</f>
        <v/>
      </c>
      <c r="CX550" s="1702"/>
      <c r="CY550" s="1814">
        <f>IF(IB550=TRUE,AB550,0)</f>
        <v>0</v>
      </c>
      <c r="CZ550" s="1710">
        <f>IF(AND(__Retrofit_TI_NC&gt;0,CR550="interior"),0,IF(IB550=TRUE,AC550,0))</f>
        <v>0</v>
      </c>
      <c r="DA550" s="1814">
        <f>IFERROR(IF(IB550=TRUE,CZ550-CZ552,0),0)</f>
        <v>0</v>
      </c>
      <c r="DB550" s="1819">
        <f>IF(IB550=TRUE,AD550,0)</f>
        <v>0</v>
      </c>
      <c r="DC550" s="1819">
        <f>IF(IB550=TRUE,AD553,0)</f>
        <v>0</v>
      </c>
      <c r="DD550" s="1819">
        <f>IFERROR(DB550-DC550,0)</f>
        <v>0</v>
      </c>
      <c r="DF550" s="1702">
        <f>IF(IB550=TRUE,AF551,0)</f>
        <v>0</v>
      </c>
      <c r="DG550" s="1830">
        <f>IFERROR(IF(__Retrofit_TI_NC=2,IF(CQ550="Exterior",O553,FQ550),FN550),"")</f>
        <v>0</v>
      </c>
      <c r="DH550" s="1702"/>
      <c r="DI550" s="1837">
        <f>JE550</f>
        <v>0</v>
      </c>
      <c r="DJ550" s="1710">
        <f>IF(AND(__Retrofit_TI_NC&gt;0,CR550="interior"),0,IF(IB550=TRUE,AN550,0))</f>
        <v>0</v>
      </c>
      <c r="DK550" s="1712">
        <f>IFERROR(IF(IB550=TRUE,DJ552-DJ550,0),0)</f>
        <v>0</v>
      </c>
      <c r="DM550" s="1717">
        <f>IFERROR(CZ550-DJ550,0)</f>
        <v>0</v>
      </c>
      <c r="DO550" s="1708">
        <f>DM550-DN552</f>
        <v>0</v>
      </c>
      <c r="DQ550" s="1715" t="str">
        <f>IFERROR(IF(AND(OR(GC550=4,GC550=5,GC550=6),OR(GF550=4,GF550=5,GF550=6)),GC550+8,VLOOKUP(CW552,Fixtures!R$31:Y$78,8,FALSE)),"")</f>
        <v/>
      </c>
      <c r="DR550" s="1829" t="str">
        <f>DQ550</f>
        <v/>
      </c>
      <c r="DS550" s="1702" t="str">
        <f>IFERROR(VLOOKUP(DG552,Lookup!BB$3:BC$20,2,FALSE),"")</f>
        <v/>
      </c>
      <c r="DT550" s="1713" t="str">
        <f>IF(OR(DS550=7,DS550=8,DS550=9),"ALC","")</f>
        <v/>
      </c>
      <c r="DU550" s="1715">
        <f>IFERROR(IF(OR(DQ550=4,DQ550=5,DQ550=6,DQ550=12,DQ550=13,DQ550=14),VLOOKUP(CW552,Fixtures!DN$27:EG$77,19,FALSE),1)*CV552,0)</f>
        <v>0</v>
      </c>
      <c r="DV550" s="1716">
        <f>IF(OR(DS550=7,DS550=8,DS550=9),IF(DG550=DG552,0,DF552),0)</f>
        <v>0</v>
      </c>
      <c r="DX550" s="1715" t="str">
        <f>IFERROR(IF(EZ550&lt;EZ552,"Yes","No"),"")</f>
        <v/>
      </c>
      <c r="DY550" s="1829" t="str">
        <f>DX550</f>
        <v/>
      </c>
      <c r="DZ550" s="1715">
        <f>IF(DX550="Yes",DF552,0)</f>
        <v>0</v>
      </c>
      <c r="EA550" s="1715">
        <f>DZ550-DV550</f>
        <v>0</v>
      </c>
      <c r="EC550" s="1834">
        <f>IFERROR(VLOOKUP(DQ550,Lookup!AU$3:AV$16,2,FALSE),0)</f>
        <v>0</v>
      </c>
      <c r="ED550" s="1834">
        <f>IF(IB550=FALSE,0,IF(DX550="Yes",EC550+Lookup!K$6,EC550))</f>
        <v>0</v>
      </c>
      <c r="EF550" s="1707">
        <f>IF(IB550=TRUE,DM550,0)</f>
        <v>0</v>
      </c>
      <c r="EG550" s="1712">
        <f>IF(IB550=TRUE,CZ552,0)</f>
        <v>0</v>
      </c>
      <c r="EH550" s="1814">
        <f>IFERROR(EF550-EG550,0)</f>
        <v>0</v>
      </c>
      <c r="EI550" s="1712">
        <f>IF(IB550=TRUE,DJ552,0)</f>
        <v>0</v>
      </c>
      <c r="EJ550" s="1712">
        <f>IFERROR(EF550-EG550+EI550,0)</f>
        <v>0</v>
      </c>
      <c r="EK550" s="1812">
        <f>IF(IB550=TRUE,CV552*CX552,0)</f>
        <v>0</v>
      </c>
      <c r="EL550" s="1812">
        <f>IF(IB550=TRUE,DF552*DH552,0)</f>
        <v>0</v>
      </c>
      <c r="EM550" s="1807">
        <f>AR550</f>
        <v>0</v>
      </c>
      <c r="EN550" s="1839" t="str">
        <f>IFERROR(IF(IB550=TRUE,VLOOKUP(DQ550,Lookup!AU$3:AW$16,3,FALSE)*DU550,""),0)</f>
        <v/>
      </c>
      <c r="EO550" s="1839">
        <f>IF(IB550=TRUE,DZ550*Lookup!AW$12,0)</f>
        <v>0</v>
      </c>
      <c r="EP550" s="1817">
        <f>IFERROR(IF(IB550=TRUE,EN550/EP$40,0),0)</f>
        <v>0</v>
      </c>
      <c r="EQ550" s="1817">
        <f>IF(IB550=TRUE,EO550/EQ$40,0)</f>
        <v>0</v>
      </c>
      <c r="ER550" s="1807">
        <f>IF(IB550=TRUE,ET$40*EP550,0)</f>
        <v>0</v>
      </c>
      <c r="ES550" s="1807">
        <f>IF(IB550=TRUE,ET$40*EQ550,0)</f>
        <v>0</v>
      </c>
      <c r="ET550" s="1807">
        <f>ER550+ES550</f>
        <v>0</v>
      </c>
      <c r="EV550" s="1715">
        <f>IF(G550="",0,1)</f>
        <v>0</v>
      </c>
      <c r="EX550" s="1804" t="str">
        <f>IFERROR(VLOOKUP(CS552,'Space Table'!$B$3:$L$163,8,FALSE),"")</f>
        <v/>
      </c>
      <c r="EY550" s="1804" t="str">
        <f>IFERROR(IF(FB550="Yes",VLOOKUP(DG550,Lookup_Control_Type_Table2,4,FALSE),VLOOKUP(DG550,Lookup_Control_Type_Table2,3,FALSE)),"")</f>
        <v/>
      </c>
      <c r="EZ550" s="1804" t="e">
        <f>VLOOKUP(DG550,Lookup!BB$3:BC$20,2,FALSE)</f>
        <v>#N/A</v>
      </c>
      <c r="FA550" s="1804" t="e">
        <f>VLOOKUP(EX550,Lookup_Control_Type_Table,2,FALSE)</f>
        <v>#N/A</v>
      </c>
      <c r="FB550" s="1804" t="e">
        <f>VLOOKUP(CS552,'Space Table'!$B$3:$L$163,7,FALSE)</f>
        <v>#N/A</v>
      </c>
      <c r="FC550" s="1826" t="b">
        <f>ISNUMBER(SEARCH("TLED",U552))</f>
        <v>0</v>
      </c>
      <c r="FE550" s="1698" t="str">
        <f>CONCATENATE(CQ550," - ",DG550)</f>
        <v xml:space="preserve"> - 0</v>
      </c>
      <c r="FG550" s="1702" t="str">
        <f>VLOOKUP(CW552,Fixtures!DN$27:EZ$77,38,FALSE)</f>
        <v/>
      </c>
      <c r="FH550" s="1702">
        <f>IFERROR(FG550*EH550,0)</f>
        <v>0</v>
      </c>
      <c r="FI550" s="133"/>
      <c r="FL550" s="1822" t="str">
        <f>IF(CQ550="Exterior","Not Daylighted",G553)</f>
        <v>Not Daylighted</v>
      </c>
      <c r="FM550" s="1824">
        <f>VLOOKUP(FL550,_New_Daylight_Table_Codes,2,FALSE)</f>
        <v>0</v>
      </c>
      <c r="FN550" s="1698">
        <f>IF(__Retrofit_TI_NC&gt;0,VLOOKUP(G552,'Space Table'!$B$3:$L$163,11,FALSE),AG551)</f>
        <v>0</v>
      </c>
      <c r="FO550" s="1698" t="e">
        <f>IF(__Retrofit_TI_NC=2,VLOOKUP(FQ550,_Control_Table,2,FALSE),VLOOKUP(FN550,_Control_Table,2,FALSE))</f>
        <v>#N/A</v>
      </c>
      <c r="FP550" s="1678" t="e">
        <f>VLOOKUP(CONCATENATE(FL550," ",FN550),Lookup!AY$102:AZ560,2,FALSE)</f>
        <v>#N/A</v>
      </c>
      <c r="FQ550" s="1678">
        <f>IF(__Retrofit_TI_NC=0,FN550,IF(AND(FT550&gt;0,FN550="Occupancy Sensor"),"Daylight + Occupancy",IF(AND(FT550&gt;0,VLOOKUP(FN550,_Control_Table,2,FALSE)&lt;4),"Interior Daylight Dimming",FN550)))</f>
        <v>0</v>
      </c>
      <c r="FS550" s="1686">
        <f>IF(CR550="Interior",VLOOKUP(CS550,Control_Savings_Interior,5,FALSE),0)</f>
        <v>0</v>
      </c>
      <c r="FT550" s="1687">
        <f>IF(CQ550="Exterior",0,IF(FM550=2,0.5,IF(OR(FM550=1,FM550=3),1,0)))</f>
        <v>0</v>
      </c>
      <c r="FU550" s="1685">
        <f>IF(R549&gt;FS$44,(FS550*(FS$44/R549)),FS550)*FT550</f>
        <v>0</v>
      </c>
      <c r="FV550" s="1686">
        <f>DI550</f>
        <v>0</v>
      </c>
      <c r="FW550" s="1686">
        <f>ROUND(FV550+((1-FV550)*FU550),2)</f>
        <v>0</v>
      </c>
      <c r="FX550" s="1686">
        <f>IF(__Retrofit_TI_NC=2,FW550,FV550)</f>
        <v>0</v>
      </c>
      <c r="FY550" s="1697"/>
      <c r="GA550" s="1696" t="str">
        <f>IFERROR(VLOOKUP(U551,_Exist_Fixture_Table,3,FALSE),"")</f>
        <v/>
      </c>
      <c r="GB550" s="1696" t="str">
        <f>VLOOKUP(CW550,_Exist_Fixture_Table,4,FALSE)</f>
        <v/>
      </c>
      <c r="GC550" s="1696">
        <f>IFERROR(VLOOKUP(GB550,Lookup!AT$6:AU$8,2,FALSE),0)</f>
        <v>0</v>
      </c>
      <c r="GD550" s="1696" t="b">
        <f>IFERROR(IF(OR(GF550=4,GF550=5,GF550=6),TRUE,FALSE),"")</f>
        <v>0</v>
      </c>
      <c r="GE550" s="1696" t="str">
        <f>IFERROR(VLOOKUP(GF550,GC$6:GD$10,2,FALSE),"")</f>
        <v/>
      </c>
      <c r="GF550" s="1696" t="str">
        <f>VLOOKUP(CW552,Fixtures!R$31:Y$78,8,FALSE)</f>
        <v/>
      </c>
      <c r="GG550" s="1696">
        <f>IF(AND(GA550=TRUE,GD550=TRUE,OR(DQ550=12,DQ550=13,DQ550=14)),GC550+8,0)</f>
        <v>0</v>
      </c>
      <c r="GH550" s="1696" t="b">
        <f>IF(OR(GG550=12,GG550=13,GG550=14),TRUE,FALSE)</f>
        <v>0</v>
      </c>
      <c r="GI550" s="673" t="b">
        <f>IF(ISNUMBER(SEARCH("TLED",U551)),TRUE,FALSE)</f>
        <v>0</v>
      </c>
      <c r="GJ550" s="1135" t="str">
        <f>IFERROR(VLOOKUP(U551,Fixtures!BM$93:BR$142,6,FALSE),"")</f>
        <v/>
      </c>
      <c r="GK550" s="1832" t="b">
        <f>IF(OR(GI550=FALSE,GI552=FALSE),TRUE,IF(GJ550-GJ552&lt;5,FALSE,TRUE))</f>
        <v>1</v>
      </c>
      <c r="GO550" s="674">
        <f>GP550</f>
        <v>0</v>
      </c>
      <c r="GP550" s="674">
        <f>IF(G550="",0,1)</f>
        <v>0</v>
      </c>
      <c r="GQ550" s="674">
        <f ca="1">SUM(GR550:HF550)</f>
        <v>2</v>
      </c>
      <c r="GR550" s="674">
        <f>IF(G551="",0,1)</f>
        <v>0</v>
      </c>
      <c r="GS550" s="674">
        <f>IF(N553="BAM",1,IF(G552="",0,1))</f>
        <v>0</v>
      </c>
      <c r="GT550" s="674">
        <f>IF(N553="BAM",1,IF(R551="",0,1))</f>
        <v>0</v>
      </c>
      <c r="GU550" s="674">
        <f>IF(N553="BAM",1,IF(__Retrofit_TI_NC=0,1,IF(R552="",0,1)))</f>
        <v>1</v>
      </c>
      <c r="GV550" s="674">
        <f>IF(N553="BAM",1,IF(CQ550="Exterior",1,IF(G553="",0,1)))</f>
        <v>1</v>
      </c>
      <c r="GW550" s="674">
        <f>IF(__Retrofit_TI_NC&gt;0,1,IF(T551="",0,1))</f>
        <v>0</v>
      </c>
      <c r="GX550" s="674">
        <f>IF(__Retrofit_TI_NC&gt;0,1,IF(U551="",0,1))</f>
        <v>0</v>
      </c>
      <c r="GY550" s="674">
        <f>IF(N553="BAM",1,IF(T552="",0,1))</f>
        <v>0</v>
      </c>
      <c r="GZ550" s="674">
        <f>IF(N553="BAM",1,IF(U552="",0,1))</f>
        <v>0</v>
      </c>
      <c r="HA550" s="674">
        <f ca="1">IF(N553="BAM",1,IF(__Retrofit_TI_NC&gt;0,1,IF(U553="",0,1)))</f>
        <v>0</v>
      </c>
      <c r="HB550" s="674">
        <f>IF(__Retrofit_TI_NC&lt;&gt;0,1,IF(AF551="",0,1))</f>
        <v>0</v>
      </c>
      <c r="HC550" s="674">
        <f>IF(__Retrofit_TI_NC&lt;&gt;0,1,IF(AG551="",0,1))</f>
        <v>0</v>
      </c>
      <c r="HD550" s="674">
        <f>IF(N553="BAM",1,IF(AF552="",0,1))</f>
        <v>0</v>
      </c>
      <c r="HE550" s="674">
        <f>IF(N553="BAM",1,IF(AG552="",0,1))</f>
        <v>0</v>
      </c>
      <c r="HF550" s="674">
        <f>IF(N553="BAM",1,IF(__Retrofit_TI_NC&gt;0,1,IF(AG553="",0,1)))</f>
        <v>0</v>
      </c>
      <c r="HG550" s="391"/>
      <c r="IA550" s="391"/>
      <c r="IB550" s="1693" t="b">
        <f>IF(OR(IB553=0,IB553=HY$16,IB553=HX$16,IB553=HZ$16),TRUE,FALSE)</f>
        <v>0</v>
      </c>
      <c r="IC550" s="1694" t="b">
        <f>IB550</f>
        <v>0</v>
      </c>
      <c r="ID550" s="391"/>
      <c r="IE550" s="391"/>
      <c r="IF550" s="1688" t="b">
        <f ca="1">IF(MAX(GN553:HU553)&gt;5,FALSE,TRUE)</f>
        <v>0</v>
      </c>
      <c r="IG550" s="1689">
        <f ca="1">IF(IF550=TRUE,AC550,0)</f>
        <v>0</v>
      </c>
      <c r="IH550" s="1689">
        <f ca="1">IG550-IG552</f>
        <v>0</v>
      </c>
      <c r="IK550" s="1689" t="e">
        <f>ROUND(T551*VLOOKUP(U551,Fixtures_Existing_List,2,FALSE)*N551*R551/1000,0)</f>
        <v>#N/A</v>
      </c>
      <c r="IL550" s="1690" t="e">
        <f>IK550-IK552</f>
        <v>#N/A</v>
      </c>
      <c r="IM550" s="1693" t="e">
        <f>ROUND(IF(CQ550="Interior",N552*R552*R551*N551*_C406_reduction/1000,N552*R552*R551*N551/1000),0)</f>
        <v>#N/A</v>
      </c>
      <c r="IN550" s="1693" t="e">
        <f>IM550-IM552</f>
        <v>#N/A</v>
      </c>
      <c r="IP550" s="1679"/>
      <c r="IQ550" s="1679" t="e">
        <f t="shared" ref="IQ550:IU550" si="501">IF($CR550="interior",VLOOKUP($CS550,_New_Control_Savings_Interior,IQ$30,FALSE),VLOOKUP($CS550,Control_Savings_Exterior,IQ$30,FALSE))</f>
        <v>#N/A</v>
      </c>
      <c r="IR550" s="1679" t="e">
        <f t="shared" si="501"/>
        <v>#N/A</v>
      </c>
      <c r="IS550" s="1679" t="e">
        <f t="shared" si="501"/>
        <v>#N/A</v>
      </c>
      <c r="IT550" s="1679" t="e">
        <f t="shared" si="501"/>
        <v>#N/A</v>
      </c>
      <c r="IU550" s="1679" t="e">
        <f t="shared" si="501"/>
        <v>#N/A</v>
      </c>
      <c r="IV550" s="1679" t="e">
        <f>IF($CR550="interior",IF(R551&gt;$IP$14,ROUND(($IV$18*($IP$14/R551)),2),$IV$18),VLOOKUP($CS550,Control_Savings_Exterior,IV$30,FALSE))</f>
        <v>#N/A</v>
      </c>
      <c r="IW550" s="1679" t="e">
        <f>IF($CR550="interior",ROUND(((1-IS550)*IV550)+IS550,2),VLOOKUP($CS550,Control_Savings_Exterior,IW$30,FALSE))</f>
        <v>#N/A</v>
      </c>
      <c r="IX550" s="1679" t="e">
        <f>IF($CR550="interior",ROUND(((1-IT550)*IV550)+IT550,2),VLOOKUP($CS550,Control_Savings_Exterior,IX$30,FALSE))</f>
        <v>#N/A</v>
      </c>
      <c r="IY550" s="1679" t="e">
        <f>IF($CR550="interior",IF(R551&gt;$IP$14,ROUND(($IY$18*($IP$14/R551)),2),$IY$18),VLOOKUP($CS550,Control_Savings_Exterior,IY$30,FALSE))</f>
        <v>#N/A</v>
      </c>
      <c r="IZ550" s="1679" t="e">
        <f>IF($CR550="interior",ROUND(((1-IS550)*IY550)+IS550,2),VLOOKUP($CS550,Control_Savings_Exterior,IZ$30,FALSE))</f>
        <v>#N/A</v>
      </c>
      <c r="JA550" s="1679" t="e">
        <f>IF($CR550="interior",ROUND(((1-IT550)*IY550)+IT550,2),VLOOKUP($CS550,Control_Savings_Exterior,JA$30,FALSE))</f>
        <v>#N/A</v>
      </c>
      <c r="JC550" s="1680">
        <f>IFERROR(IF(CR550="Interior",CONCATENATE(G553," ",FQ550),FQ550),"")</f>
        <v>0</v>
      </c>
      <c r="JD550" s="1670" t="str">
        <f>IFERROR(VLOOKUP(JC550,_Controls_2023,2,FALSE),"")</f>
        <v/>
      </c>
      <c r="JE550" s="1681">
        <f>IFERROR(CHOOSE(JD550-1,IQ550,IR550,IS550,IT550,IU550,IV550,IW550,IX550,IY550,IZ550,JA550),0)</f>
        <v>0</v>
      </c>
      <c r="JG550" s="1680" t="str">
        <f>FE550</f>
        <v xml:space="preserve"> - 0</v>
      </c>
      <c r="JH550" s="1670" t="e">
        <f>$FO550</f>
        <v>#N/A</v>
      </c>
      <c r="JI550" s="1060"/>
      <c r="JJ550" s="1682" t="b">
        <f>IF($JG552=CONCATENATE("Interior - ",JJ$4),TRUE,FALSE)</f>
        <v>0</v>
      </c>
      <c r="JK550" s="1061"/>
      <c r="JL550" s="1682" t="b">
        <f>IF($JG552=CONCATENATE("Interior - ",JL$4),TRUE,FALSE)</f>
        <v>0</v>
      </c>
      <c r="JM550" s="1061"/>
      <c r="JN550" s="1682" t="b">
        <f>IF($JG552=CONCATENATE("Interior - ",JN$4),TRUE,FALSE)</f>
        <v>0</v>
      </c>
      <c r="JO550" s="1061"/>
      <c r="JP550" s="1682" t="b">
        <f>IF(__Retrofit_TI_NC&gt;0,FALSE,IF($JG552=CONCATENATE("Interior - ",JP$4),TRUE,FALSE))</f>
        <v>0</v>
      </c>
      <c r="JQ550" s="1061"/>
      <c r="JR550" s="1682" t="b">
        <f>IF(__Retrofit_TI_NC&gt;0,FALSE,IF($JG552=CONCATENATE("Interior - ",JR$4),TRUE,FALSE))</f>
        <v>0</v>
      </c>
      <c r="JS550" s="1061"/>
      <c r="JT550" s="1670" t="b">
        <f>IF(__Retrofit_TI_NC&gt;0,FALSE,IF($JG552=CONCATENATE("Interior - ",JT$4),TRUE,FALSE))</f>
        <v>0</v>
      </c>
      <c r="JU550" s="1061"/>
      <c r="JV550" s="1670" t="b">
        <f>IF(JC552="AELC on Existing",TRUE,FALSE)</f>
        <v>0</v>
      </c>
      <c r="JX550" s="1670" t="b">
        <f>IF(OR(JG552="Exterior - AELC Occupancy based",JG552="Exterior - AELC Time based"),TRUE,FALSE)</f>
        <v>0</v>
      </c>
      <c r="JZ550" s="1682" t="b">
        <f>IF($JG552=CONCATENATE("Exterior - ",JZ$4),TRUE,FALSE)</f>
        <v>0</v>
      </c>
      <c r="KB550" s="1670" t="b">
        <f>IF(__Retrofit_TI_NC&gt;0,FALSE,IF($JG552=CONCATENATE("Interior - ",KB$4),TRUE,FALSE))</f>
        <v>0</v>
      </c>
    </row>
    <row r="551" spans="1:288" s="78" customFormat="1" ht="14.95" customHeight="1" thickTop="1" thickBot="1">
      <c r="B551" s="1845"/>
      <c r="C551" s="1846"/>
      <c r="D551" s="1847"/>
      <c r="E551" s="1737" t="s">
        <v>297</v>
      </c>
      <c r="F551" s="1738"/>
      <c r="G551" s="1739"/>
      <c r="H551" s="1739"/>
      <c r="I551" s="1739"/>
      <c r="J551" s="1739"/>
      <c r="K551" s="1739"/>
      <c r="L551" s="1739"/>
      <c r="M551" s="461" t="e">
        <f>IF(__Retrofit_TI_NC&lt;&gt;0,IF(VLOOKUP(G552,'Space Table'!$B$3:$L$163,3,FALSE)&gt;0,1,0),IF(__Retrofit_TI_NC=VLOOKUP(G552,'Space Table'!$B$3:$L$163,3,FALSE),1,0))</f>
        <v>#N/A</v>
      </c>
      <c r="N551" s="461" t="str">
        <f>IFERROR(VLOOKUP(G551,_Lookup_Heat_Type_Table_New,2,FALSE),"")</f>
        <v/>
      </c>
      <c r="O551" s="461">
        <f>IF(__Retrofit_TI_NC=1,CONCATENATE("TI ",G551),IF(__Retrofit_TI_NC=2,CONCATENATE("NC ",G551),G551))</f>
        <v>0</v>
      </c>
      <c r="P551" s="1740" t="s">
        <v>435</v>
      </c>
      <c r="Q551" s="1740"/>
      <c r="R551" s="595"/>
      <c r="S551" s="1792"/>
      <c r="T551" s="597"/>
      <c r="U551" s="1765"/>
      <c r="V551" s="1766"/>
      <c r="W551" s="1766"/>
      <c r="X551" s="1766"/>
      <c r="Y551" s="1766"/>
      <c r="Z551" s="1766"/>
      <c r="AA551" s="1766"/>
      <c r="AB551" s="1766"/>
      <c r="AC551" s="1766"/>
      <c r="AD551" s="1767"/>
      <c r="AE551" s="1000"/>
      <c r="AF551" s="597"/>
      <c r="AG551" s="1723"/>
      <c r="AH551" s="1724"/>
      <c r="AI551" s="1724"/>
      <c r="AJ551" s="1724"/>
      <c r="AK551" s="1725"/>
      <c r="AL551" s="996"/>
      <c r="AM551" s="1747"/>
      <c r="AN551" s="1775"/>
      <c r="AO551" s="1777"/>
      <c r="AP551" s="1780"/>
      <c r="AQ551" s="1781"/>
      <c r="AR551" s="1795"/>
      <c r="AS551" s="1795"/>
      <c r="AT551" s="1796"/>
      <c r="AU551" s="1735"/>
      <c r="AV551" s="1752"/>
      <c r="AW551" s="1705"/>
      <c r="AX551" s="467"/>
      <c r="AY551" s="1749"/>
      <c r="AZ551" s="1749"/>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696"/>
      <c r="CQ551" s="1696"/>
      <c r="CR551" s="1809"/>
      <c r="CS551" s="1811"/>
      <c r="CU551" s="1688"/>
      <c r="CV551" s="1703"/>
      <c r="CW551" s="1703"/>
      <c r="CX551" s="1703"/>
      <c r="CY551" s="1815"/>
      <c r="CZ551" s="1711"/>
      <c r="DA551" s="1818"/>
      <c r="DB551" s="1820"/>
      <c r="DC551" s="1820"/>
      <c r="DD551" s="1820"/>
      <c r="DF551" s="1703"/>
      <c r="DG551" s="1831"/>
      <c r="DH551" s="1703"/>
      <c r="DI551" s="1838"/>
      <c r="DJ551" s="1711"/>
      <c r="DK551" s="1712"/>
      <c r="DM551" s="1718"/>
      <c r="DO551" s="1708"/>
      <c r="DQ551" s="1715"/>
      <c r="DR551" s="1720"/>
      <c r="DS551" s="1816"/>
      <c r="DT551" s="1714"/>
      <c r="DU551" s="1715"/>
      <c r="DV551" s="1716"/>
      <c r="DX551" s="1715"/>
      <c r="DY551" s="1720"/>
      <c r="DZ551" s="1715"/>
      <c r="EA551" s="1715"/>
      <c r="EC551" s="1834"/>
      <c r="ED551" s="1834"/>
      <c r="EF551" s="1707"/>
      <c r="EG551" s="1712"/>
      <c r="EH551" s="1818"/>
      <c r="EI551" s="1712"/>
      <c r="EJ551" s="1712"/>
      <c r="EK551" s="1836"/>
      <c r="EL551" s="1836"/>
      <c r="EM551" s="1807"/>
      <c r="EN551" s="1839"/>
      <c r="EO551" s="1839"/>
      <c r="EP551" s="1817"/>
      <c r="EQ551" s="1817"/>
      <c r="ER551" s="1807"/>
      <c r="ES551" s="1807"/>
      <c r="ET551" s="1807"/>
      <c r="EV551" s="1715"/>
      <c r="EX551" s="1805"/>
      <c r="EY551" s="1805"/>
      <c r="EZ551" s="1805"/>
      <c r="FA551" s="1805"/>
      <c r="FB551" s="1805"/>
      <c r="FC551" s="1827"/>
      <c r="FE551" s="1698"/>
      <c r="FG551" s="1816"/>
      <c r="FH551" s="1816"/>
      <c r="FI551" s="133"/>
      <c r="FL551" s="1823"/>
      <c r="FM551" s="1825"/>
      <c r="FN551" s="1698"/>
      <c r="FO551" s="1698"/>
      <c r="FP551" s="1678"/>
      <c r="FQ551" s="1678"/>
      <c r="FS551" s="1687"/>
      <c r="FT551" s="1687"/>
      <c r="FU551" s="1685"/>
      <c r="FV551" s="1687"/>
      <c r="FW551" s="1687"/>
      <c r="FX551" s="1687"/>
      <c r="FY551" s="1697"/>
      <c r="GA551" s="1696"/>
      <c r="GB551" s="1696"/>
      <c r="GC551" s="1696"/>
      <c r="GD551" s="1696"/>
      <c r="GE551" s="1696"/>
      <c r="GF551" s="1696"/>
      <c r="GG551" s="1696"/>
      <c r="GH551" s="1696"/>
      <c r="GI551" s="673"/>
      <c r="GJ551" s="1135"/>
      <c r="GK551" s="1832"/>
      <c r="GM551" s="1693" t="b">
        <f ca="1">IF(AND(GP551=TRUE,GQ551=TRUE),TRUE,FALSE)</f>
        <v>0</v>
      </c>
      <c r="GN551" s="1684" t="b">
        <f>IFERROR(IF(__Retrofit_TI_NC=2,TRUE,IF(AU550="Yes",TRUE,FALSE)),FALSE)</f>
        <v>1</v>
      </c>
      <c r="GP551" s="1684" t="b">
        <f>IFERROR(IF(GP550=1,TRUE,FALSE),FALSE)</f>
        <v>0</v>
      </c>
      <c r="GQ551" s="1684" t="b">
        <f ca="1">IFERROR(IF(GQ550=GQ$14,TRUE,FALSE),FALSE)</f>
        <v>0</v>
      </c>
      <c r="HG551" s="1684" t="b">
        <f>IFERROR(IF(AND(__Retrofit_TI_NC&gt;0,CQ550="Interior"),FALSE,TRUE),FALSE)</f>
        <v>1</v>
      </c>
      <c r="HH551" s="1684" t="b">
        <f>IFERROR(IF(M551=1,TRUE,FALSE),FALSE)</f>
        <v>0</v>
      </c>
      <c r="HI551" s="1684" t="b">
        <f>IFERROR(IF(OR(M552=1,N553="BAM"),TRUE,FALSE),FALSE)</f>
        <v>0</v>
      </c>
      <c r="HJ551" s="1684" t="b">
        <f>IFERROR(IF(__Retrofit_TI_NC&lt;&gt;0,TRUE,IFERROR(IF(VLOOKUP(U551,Fixtures_Existing_List,2,FALSE)&lt;&gt;"",TRUE,FALSE),FALSE)),FALSE)</f>
        <v>0</v>
      </c>
      <c r="HK551" s="1684" t="b">
        <f>IFERROR(IF(VLOOKUP(U552,Fixtures_Proposed_List,2,FALSE)&lt;&gt;"",TRUE,FALSE),FALSE)</f>
        <v>0</v>
      </c>
      <c r="HL551" s="1684" t="b">
        <f>IF(AND(__Retrofit_TI_NC=2,FC550=TRUE),FALSE,TRUE)</f>
        <v>1</v>
      </c>
      <c r="HM551" s="1684" t="b">
        <f>GK550</f>
        <v>1</v>
      </c>
      <c r="HN551" s="1682" t="b">
        <f>IF(ISERROR(MATCH(FE550,_Control_Match[],0))=TRUE,FALSE,TRUE)</f>
        <v>0</v>
      </c>
      <c r="HO551" s="1693" t="b">
        <f>IFERROR(IF(EX550&lt;&gt;EY550,FALSE,TRUE),FALSE)</f>
        <v>1</v>
      </c>
      <c r="HP551" s="1693" t="b">
        <f>IFERROR(IF(EX552&lt;&gt;EY552,FALSE,TRUE),FALSE)</f>
        <v>1</v>
      </c>
      <c r="HQ551" s="1670" t="b">
        <f>IFERROR(IF(CQ550="Exterior",TRUE,IF(AND(OR(FM552=0,FM552=3),JD552&gt;6),FALSE,TRUE)),FALSE)</f>
        <v>0</v>
      </c>
      <c r="HR551" s="1684" t="b">
        <f>IFERROR(IF(AND(FO552=7,FC550=TRUE),FALSE,TRUE),FALSE)</f>
        <v>0</v>
      </c>
      <c r="HS551" s="1684" t="b">
        <f>IFERROR(IF(AND(T552&lt;&gt;AF552,OR(AG552="Interior LLLC", AG552="Interior NLC", AG552="LLLC (outside Daylight)",AG552="LLLC Controls Only"))=TRUE,FALSE,TRUE),FALSE)</f>
        <v>1</v>
      </c>
      <c r="HT551" s="1670" t="b">
        <f>IFERROR(IF(OR(AG552=Lookup!BB$17,AG552=Lookup!BB$18,AG552=Lookup!BB$19)=TRUE,IF(AF552&gt;T552,FALSE,TRUE),TRUE),FALSE)</f>
        <v>1</v>
      </c>
      <c r="HU551" s="1684" t="b">
        <f>IFERROR(IF(__Retrofit_TI_NC=2,IF(EZ552&lt;EZ550,FALSE,TRUE),TRUE),FALSE)</f>
        <v>1</v>
      </c>
      <c r="HV551" s="1684" t="b">
        <f>IF(CQ550="Interior",IL$6,TRUE)</f>
        <v>1</v>
      </c>
      <c r="HW551" s="1684" t="b">
        <f>IF(CQ550="Exterior",IL$8,TRUE)</f>
        <v>1</v>
      </c>
      <c r="HX551" s="1684" t="b">
        <f>IFERROR(IF(__Retrofit_TI_NC&lt;&gt;0,IF(AZ550&lt;AY550,FALSE,TRUE),TRUE),FALSE)</f>
        <v>1</v>
      </c>
      <c r="HY551" s="1684" t="b">
        <f>IFERROR(IF(AND(G551="Exterior",R551&gt;4200),FALSE,TRUE),FALSE)</f>
        <v>1</v>
      </c>
      <c r="HZ551" s="1684" t="b">
        <f>IFERROR(IF(AB553/AB550&lt;HZ$18,FALSE,TRUE),FALSE)</f>
        <v>0</v>
      </c>
      <c r="IB551" s="1691"/>
      <c r="IC551" s="1695"/>
      <c r="ID551" s="1694" t="str">
        <f>VLOOKUP(IB553,_Error_Table,4,FALSE)</f>
        <v>White</v>
      </c>
      <c r="IE551" s="391"/>
      <c r="IF551" s="1688"/>
      <c r="IG551" s="1689"/>
      <c r="IH551" s="1684"/>
      <c r="IK551" s="1689"/>
      <c r="IL551" s="1691"/>
      <c r="IM551" s="1691"/>
      <c r="IN551" s="1691"/>
      <c r="IP551" s="1679"/>
      <c r="IQ551" s="1679"/>
      <c r="IR551" s="1679"/>
      <c r="IS551" s="1679"/>
      <c r="IT551" s="1679"/>
      <c r="IU551" s="1679"/>
      <c r="IV551" s="1679"/>
      <c r="IW551" s="1679"/>
      <c r="IX551" s="1679"/>
      <c r="IY551" s="1679"/>
      <c r="IZ551" s="1679"/>
      <c r="JA551" s="1679"/>
      <c r="JC551" s="1680"/>
      <c r="JD551" s="1670"/>
      <c r="JE551" s="1681"/>
      <c r="JG551" s="1680"/>
      <c r="JH551" s="1670"/>
      <c r="JI551" s="1060"/>
      <c r="JJ551" s="1683"/>
      <c r="JK551" s="1061"/>
      <c r="JL551" s="1683"/>
      <c r="JM551" s="1061"/>
      <c r="JN551" s="1683"/>
      <c r="JO551" s="1061"/>
      <c r="JP551" s="1683"/>
      <c r="JQ551" s="1061"/>
      <c r="JR551" s="1683"/>
      <c r="JS551" s="1061"/>
      <c r="JT551" s="1670"/>
      <c r="JU551" s="1061"/>
      <c r="JV551" s="1670"/>
      <c r="JX551" s="1670"/>
      <c r="JZ551" s="1683"/>
      <c r="KB551" s="1670"/>
    </row>
    <row r="552" spans="1:288" s="78" customFormat="1" ht="14.95" customHeight="1" thickTop="1" thickBot="1">
      <c r="A552" s="78">
        <f>ROW()</f>
        <v>552</v>
      </c>
      <c r="B552" s="1845"/>
      <c r="C552" s="1846"/>
      <c r="D552" s="1847"/>
      <c r="E552" s="1737" t="s">
        <v>298</v>
      </c>
      <c r="F552" s="1738"/>
      <c r="G552" s="1760"/>
      <c r="H552" s="1761"/>
      <c r="I552" s="1761"/>
      <c r="J552" s="1761"/>
      <c r="K552" s="1761"/>
      <c r="L552" s="1762"/>
      <c r="M552" s="461">
        <f>IFERROR(IF(IF(__Retrofit_TI_NC&lt;&gt;0,IF(CQ550="Interior",MATCH(G552,Lookup_Interior_New,0),MATCH(G552,Lookup_Exterior_New,0)),IF(CQ550="Interior",MATCH(G552,Lookup_Interior,0),MATCH(G552,Lookup_Exterior_Areas,0)))&gt;0,1,0),0)</f>
        <v>0</v>
      </c>
      <c r="N552" s="461" t="e">
        <f>IF(__Retrofit_TI_NC=1,
VLOOKUP(G552,'Space Table'!$B$3:$L$163,4,FALSE),
IF(__Retrofit_TI_NC=2,VLOOKUP(G552,'Space Table'!$B$3:$L$163,5,FALSE),VLOOKUP(G552,'Space Table'!$B$3:$L$163,5,FALSE)))</f>
        <v>#N/A</v>
      </c>
      <c r="O552" s="461">
        <f>G552</f>
        <v>0</v>
      </c>
      <c r="P552" s="1738" t="str">
        <f>IFERROR(IF(__Retrofit_TI_NC=1,VLOOKUP(G552,'Space Table'!$B$3:$O$163,13,FALSE),IF(__Retrofit_TI_NC=2,VLOOKUP(G552,'Space Table'!$B$3:$O$163,14,FALSE),"Area (sf):")),"Area (sf):")</f>
        <v>Area (sf):</v>
      </c>
      <c r="Q552" s="1738"/>
      <c r="R552" s="596"/>
      <c r="S552" s="1763" t="s">
        <v>345</v>
      </c>
      <c r="T552" s="594"/>
      <c r="U552" s="1801"/>
      <c r="V552" s="1802"/>
      <c r="W552" s="1802"/>
      <c r="X552" s="1802"/>
      <c r="Y552" s="1802"/>
      <c r="Z552" s="1802"/>
      <c r="AA552" s="1802"/>
      <c r="AB552" s="1802"/>
      <c r="AC552" s="1802"/>
      <c r="AD552" s="1802"/>
      <c r="AE552" s="1803"/>
      <c r="AF552" s="594"/>
      <c r="AG552" s="1787"/>
      <c r="AH552" s="1787"/>
      <c r="AI552" s="1787"/>
      <c r="AJ552" s="1787"/>
      <c r="AK552" s="1787"/>
      <c r="AL552" s="1787"/>
      <c r="AM552" s="1726">
        <f>IFERROR(DI552,"")</f>
        <v>0</v>
      </c>
      <c r="AN552" s="1728" t="str">
        <f>IFERROR(ROUND(AM552*AC553,0),"")</f>
        <v/>
      </c>
      <c r="AO552" s="1730">
        <f>IFERROR(IF(IB550=FALSE,0,AC553-AN552),0)</f>
        <v>0</v>
      </c>
      <c r="AP552" s="1780"/>
      <c r="AQ552" s="1781"/>
      <c r="AR552" s="1795"/>
      <c r="AS552" s="1795"/>
      <c r="AT552" s="1796"/>
      <c r="AU552" s="1735"/>
      <c r="AV552" s="1752"/>
      <c r="AW552" s="1705"/>
      <c r="AX552" s="467"/>
      <c r="AY552" s="1749"/>
      <c r="AZ552" s="1749"/>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696"/>
      <c r="CQ552" s="1696"/>
      <c r="CR552" s="1808" t="str">
        <f>CQ550</f>
        <v/>
      </c>
      <c r="CS552" s="1810" t="str">
        <f>CS550</f>
        <v/>
      </c>
      <c r="CU552" s="1688" t="s">
        <v>345</v>
      </c>
      <c r="CV552" s="1702">
        <f>IF(IB550=TRUE,T552,0)</f>
        <v>0</v>
      </c>
      <c r="CW552" s="1702" t="str">
        <f>IF(IB550=TRUE,U552,"")</f>
        <v/>
      </c>
      <c r="CX552" s="1812">
        <f>IF(IB550=TRUE,U553,0)</f>
        <v>0</v>
      </c>
      <c r="CY552" s="1814">
        <f>IF(IB550=TRUE,AB553,0)</f>
        <v>0</v>
      </c>
      <c r="CZ552" s="1710">
        <f>IF(AND(__Retrofit_TI_NC&gt;0,CR550="interior"),0,IF(IB550=TRUE,AC553,0))</f>
        <v>0</v>
      </c>
      <c r="DA552" s="1818"/>
      <c r="DB552" s="1820"/>
      <c r="DC552" s="1820"/>
      <c r="DD552" s="1820"/>
      <c r="DF552" s="1702">
        <f>IF(IB550=TRUE,AF552,0)</f>
        <v>0</v>
      </c>
      <c r="DG552" s="1830" t="str">
        <f>IF(IB550=TRUE,AG552,"")</f>
        <v/>
      </c>
      <c r="DH552" s="1812">
        <f>AG553</f>
        <v>0</v>
      </c>
      <c r="DI552" s="1837">
        <f>JE552</f>
        <v>0</v>
      </c>
      <c r="DJ552" s="1710">
        <f>IF(AND(__Retrofit_TI_NC&gt;0,CR550="interior"),0,IF(IB550=TRUE,AN552,0))</f>
        <v>0</v>
      </c>
      <c r="DK552" s="1712"/>
      <c r="DN552" s="1717">
        <f>IFERROR(CZ552-DJ552,0)</f>
        <v>0</v>
      </c>
      <c r="DO552" s="1709"/>
      <c r="DQ552" s="1715"/>
      <c r="DR552" s="1719" t="str">
        <f>DQ550</f>
        <v/>
      </c>
      <c r="DS552" s="1816"/>
      <c r="DT552" s="1835" t="str">
        <f>IF(OR(DS550=7,DS550=8,DS550=9),"ALC","")</f>
        <v/>
      </c>
      <c r="DU552" s="1715"/>
      <c r="DV552" s="1716"/>
      <c r="DX552" s="1715"/>
      <c r="DY552" s="1829" t="str">
        <f>DX550</f>
        <v/>
      </c>
      <c r="DZ552" s="1715"/>
      <c r="EA552" s="1715"/>
      <c r="EC552" s="1834"/>
      <c r="ED552" s="1834"/>
      <c r="EF552" s="1707"/>
      <c r="EG552" s="1712"/>
      <c r="EH552" s="1818"/>
      <c r="EI552" s="1712"/>
      <c r="EJ552" s="1712"/>
      <c r="EK552" s="1836"/>
      <c r="EL552" s="1836"/>
      <c r="EM552" s="1807"/>
      <c r="EN552" s="1839"/>
      <c r="EO552" s="1839"/>
      <c r="EP552" s="1817"/>
      <c r="EQ552" s="1817"/>
      <c r="ER552" s="1807"/>
      <c r="ES552" s="1807"/>
      <c r="ET552" s="1807"/>
      <c r="EV552" s="1715"/>
      <c r="EX552" s="1805" t="str">
        <f>IFERROR(VLOOKUP(CS552,'Space Table'!$B$3:$L$163,8,FALSE),"")</f>
        <v/>
      </c>
      <c r="EY552" s="1805" t="str">
        <f>IFERROR(IF(FB552="Yes",VLOOKUP(AG552,Lookup_Control_Type_Table2,4,FALSE),VLOOKUP(AG552,Lookup_Control_Type_Table2,3,FALSE)),"")</f>
        <v/>
      </c>
      <c r="EZ552" s="1805" t="e">
        <f>VLOOKUP(AG552,Lookup!BB$3:BC$20,2,FALSE)</f>
        <v>#N/A</v>
      </c>
      <c r="FA552" s="1805" t="e">
        <f>VLOOKUP(EX550,Lookup_Control_Type_Table,2,FALSE)</f>
        <v>#N/A</v>
      </c>
      <c r="FB552" s="1805" t="e">
        <f>VLOOKUP(CS552,'Space Table'!$B$3:$L$163,7,FALSE)</f>
        <v>#N/A</v>
      </c>
      <c r="FC552" s="1827"/>
      <c r="FE552" s="1698" t="str">
        <f>CONCATENATE(CQ550," - ",AG552)</f>
        <v xml:space="preserve"> - </v>
      </c>
      <c r="FG552" s="1816"/>
      <c r="FH552" s="1816"/>
      <c r="FI552" s="133"/>
      <c r="FL552" s="1822" t="str">
        <f>IF(CQ550="Exterior","Not Daylighted",G553)</f>
        <v>Not Daylighted</v>
      </c>
      <c r="FM552" s="1824">
        <f>VLOOKUP(FL552,_New_Daylight_Table_Codes,2,FALSE)</f>
        <v>0</v>
      </c>
      <c r="FN552" s="1698">
        <f>AG552</f>
        <v>0</v>
      </c>
      <c r="FO552" s="1698" t="e">
        <f>VLOOKUP(FN552,_Control_Table,2,FALSE)</f>
        <v>#N/A</v>
      </c>
      <c r="FP552" s="1678" t="e">
        <f>VLOOKUP(CONCATENATE(FL552," ",FN552),Lookup!AY$102:AZ563,2,FALSE)</f>
        <v>#N/A</v>
      </c>
      <c r="FQ552" s="1698">
        <f>IF(__Retrofit_TI_NC=0,FN552,IF(AND(FT552&gt;0,FN552="Occupancy Sensor"),"Daylight + Occupancy",IF(AND(FT552&gt;0,FO552&lt;4),"Interior Daylight Dimming",FN552)))</f>
        <v>0</v>
      </c>
      <c r="FS552" s="1686">
        <f>IF(CQ550="Interior",VLOOKUP(CS550,Control_Savings_Interior,5,FALSE),0)</f>
        <v>0</v>
      </c>
      <c r="FT552" s="1687">
        <f>IF(CQ552="Exterior",0,IF(FM552=2,0.5,IF(OR(FM552=1,FM552=3),1,0)))</f>
        <v>0</v>
      </c>
      <c r="FU552" s="1685">
        <f>IF(R551&gt;FS$44,(FS552*(FS$44/R551)),FS552)*FT552</f>
        <v>0</v>
      </c>
      <c r="FV552" s="1686">
        <f>DI552</f>
        <v>0</v>
      </c>
      <c r="FW552" s="1686">
        <f>ROUND(FV552+((1-FV552)*FU552),2)</f>
        <v>0</v>
      </c>
      <c r="FX552" s="1686">
        <f>IF(__Retrofit_TI_NC=2,FW552,FV552)</f>
        <v>0</v>
      </c>
      <c r="FY552" s="1697">
        <f>IF(CR552="Interior",VLOOKUP(CS552,Control_Savings_Interior,4,FALSE),0)</f>
        <v>0</v>
      </c>
      <c r="GA552" s="1696"/>
      <c r="GB552" s="1696"/>
      <c r="GC552" s="1696"/>
      <c r="GD552" s="1696"/>
      <c r="GE552" s="1696"/>
      <c r="GF552" s="1696"/>
      <c r="GG552" s="1696"/>
      <c r="GH552" s="1696"/>
      <c r="GI552" s="673" t="b">
        <f>IF(ISNUMBER(SEARCH("TLED",U552)),TRUE,FALSE)</f>
        <v>0</v>
      </c>
      <c r="GJ552" s="1135" t="str">
        <f>IFERROR(VLOOKUP(U552,Fixtures!DM$93:DR$142,6,FALSE),"")</f>
        <v/>
      </c>
      <c r="GK552" s="1832"/>
      <c r="GM552" s="1692"/>
      <c r="GN552" s="1684"/>
      <c r="GP552" s="1684"/>
      <c r="GQ552" s="1684"/>
      <c r="HG552" s="1684"/>
      <c r="HH552" s="1684"/>
      <c r="HI552" s="1684"/>
      <c r="HJ552" s="1684"/>
      <c r="HK552" s="1684"/>
      <c r="HL552" s="1684"/>
      <c r="HM552" s="1684"/>
      <c r="HN552" s="1683"/>
      <c r="HO552" s="1692"/>
      <c r="HP552" s="1692"/>
      <c r="HQ552" s="1670"/>
      <c r="HR552" s="1684"/>
      <c r="HS552" s="1684"/>
      <c r="HT552" s="1670"/>
      <c r="HU552" s="1684"/>
      <c r="HV552" s="1684"/>
      <c r="HW552" s="1684"/>
      <c r="HX552" s="1684"/>
      <c r="HY552" s="1684"/>
      <c r="HZ552" s="1684"/>
      <c r="IB552" s="1692"/>
      <c r="IC552" s="1693" t="b">
        <f>IB550</f>
        <v>0</v>
      </c>
      <c r="ID552" s="1695"/>
      <c r="IE552" s="391"/>
      <c r="IF552" s="1688"/>
      <c r="IG552" s="1689">
        <f ca="1">IF(IF550=TRUE,AC553,0)</f>
        <v>0</v>
      </c>
      <c r="IH552" s="1684"/>
      <c r="IK552" s="1689" t="e">
        <f>ROUND(T552*AB553*N551*R551/1000,0)</f>
        <v>#VALUE!</v>
      </c>
      <c r="IL552" s="1691"/>
      <c r="IM552" s="1693" t="e">
        <f>ROUND(T552*AB553*N551*R551/1000,0)</f>
        <v>#VALUE!</v>
      </c>
      <c r="IN552" s="1691"/>
      <c r="IP552" s="1679"/>
      <c r="IQ552" s="1679" t="e">
        <f t="shared" ref="IQ552:IU552" si="502">IF($CR552="interior",VLOOKUP($CS552,_New_Control_Savings_Interior,IQ$30,FALSE),VLOOKUP($CS552,Control_Savings_Exterior,IQ$30,FALSE))</f>
        <v>#N/A</v>
      </c>
      <c r="IR552" s="1679" t="e">
        <f t="shared" si="502"/>
        <v>#N/A</v>
      </c>
      <c r="IS552" s="1679" t="e">
        <f t="shared" si="502"/>
        <v>#N/A</v>
      </c>
      <c r="IT552" s="1679" t="e">
        <f t="shared" si="502"/>
        <v>#N/A</v>
      </c>
      <c r="IU552" s="1679" t="e">
        <f t="shared" si="502"/>
        <v>#N/A</v>
      </c>
      <c r="IV552" s="1679" t="e">
        <f>IF($CR552="interior",IF(R551&gt;$IP$14,ROUND(($IV$18*($IP$14/R551)),2),$IV$18),VLOOKUP($CS552,Control_Savings_Exterior,IV$30,FALSE))</f>
        <v>#N/A</v>
      </c>
      <c r="IW552" s="1679" t="e">
        <f>IF($CR552="interior",ROUND(((1-IS552)*IV552)+IS552,2),VLOOKUP($CS552,Control_Savings_Exterior,IW$30,FALSE))</f>
        <v>#N/A</v>
      </c>
      <c r="IX552" s="1679" t="e">
        <f>IF($CR552="interior",ROUND(((1-IT552)*IV552)+IT552,2),VLOOKUP($CS552,Control_Savings_Exterior,IX$30,FALSE))</f>
        <v>#N/A</v>
      </c>
      <c r="IY552" s="1679" t="e">
        <f>IF($CR552="interior",IF(R551&gt;$IP$14,ROUND(($IY$18*($IP$14/R551)),2),$IY$18),VLOOKUP($CS552,Control_Savings_Exterior,IY$30,FALSE))</f>
        <v>#N/A</v>
      </c>
      <c r="IZ552" s="1679" t="e">
        <f>IF($CR552="interior",ROUND(((1-IS552)*IY552)+IS552,2),VLOOKUP($CS552,Control_Savings_Exterior,IZ$30,FALSE))</f>
        <v>#N/A</v>
      </c>
      <c r="JA552" s="1679" t="e">
        <f>IF($CR552="interior",ROUND(((1-IT552)*IY552)+IT552,2),VLOOKUP($CS552,Control_Savings_Exterior,JA$30,FALSE))</f>
        <v>#N/A</v>
      </c>
      <c r="JC552" s="1680">
        <f>IFERROR(IF(CR552="Interior",CONCATENATE(G553," ",FQ552),AG552),"")</f>
        <v>0</v>
      </c>
      <c r="JD552" s="1670" t="str">
        <f>IFERROR(VLOOKUP(JC552,_Controls_2023,2,FALSE),"")</f>
        <v/>
      </c>
      <c r="JE552" s="1681">
        <f>IFERROR(CHOOSE(JD552-1,IQ552,IR552,IS552,IT552,IU552,IV552,IW552,IX552,IY552,IZ552,JA552),0)</f>
        <v>0</v>
      </c>
      <c r="JG552" s="1680" t="str">
        <f>FE552</f>
        <v xml:space="preserve"> - </v>
      </c>
      <c r="JH552" s="1670" t="e">
        <f>$FO552</f>
        <v>#N/A</v>
      </c>
      <c r="JI552" s="1060"/>
      <c r="JJ552" s="1670">
        <f>IFERROR(IF($IB550=TRUE,IF(OR(JJ$14="No",JJ550=FALSE,JH552&lt;=JH550,AND(_kWh_Grant=0,GD550=FALSE)),0,IF(JJ$8="Per Line",1,$AF552)),0),0)</f>
        <v>0</v>
      </c>
      <c r="JK552" s="1061"/>
      <c r="JL552" s="1670">
        <f>IFERROR(IF(_kWh_Grant=0,0,IF($IB550=TRUE,IF(OR(JL$14="No",JL550=FALSE,JH552&lt;=JH550),0,IF(JL$8="Per Line",1,$T552)),0)),0)</f>
        <v>0</v>
      </c>
      <c r="JM552" s="1061"/>
      <c r="JN552" s="1670">
        <f>IFERROR(IF(_kWh_Grant=0,0,IF($IB550=TRUE,IF(OR(JN$14="No",JN550=FALSE,JH552&lt;=JH550),0,IF(JN$8="Per Line",1,$AF552)),0)),0)</f>
        <v>0</v>
      </c>
      <c r="JO552" s="1061"/>
      <c r="JP552" s="1670">
        <f>IFERROR(IF(__Retrofit_TI_NC=0,IF(_kWh_Grant=0,0,IF($IB550=TRUE,IF(OR(JP$14="No",JP550=FALSE,$JH552&lt;=$JH550),0,IF(JP$8="Per Line",1,$AF552)),0)),IF($IB550=TRUE,IF(OR(JP$14="No",JP550=FALSE,$JH552&lt;=$JH550),0,IF(JP$8="Per Line",1,$AF552)))),0)</f>
        <v>0</v>
      </c>
      <c r="JQ552" s="1061"/>
      <c r="JR552" s="1670">
        <f>IFERROR(IF(__Retrofit_TI_NC=0,IF(_kWh_Grant=0,0,IF($IB550=TRUE,IF(OR(JR$14="No",JR550=FALSE,$JH552&lt;=$JH550),0,IF(JR$8="Per Line",1,$AF552)),0)),IF($IB550=TRUE,IF(OR(JR$14="No",JR550=FALSE,$JH552&lt;=$JH550),0,IF(JR$8="Per Line",1,$AF552)))),0)</f>
        <v>0</v>
      </c>
      <c r="JS552" s="1061"/>
      <c r="JT552" s="1670">
        <f>IFERROR(IF(__Retrofit_TI_NC=0,IF(_kWh_Grant=0,0,IF($IB550=TRUE,IF(OR(JT$14="No",JT550=FALSE,$JH552&lt;=$JH550),0,IF(JT$8="Per Line",1,$AF552)),0)),IF($IB550=TRUE,IF(OR(JT$14="No",JT550=FALSE,$JH552&lt;=$JH550),0,IF(JT$8="Per Line",1,$AF552)))),0)</f>
        <v>0</v>
      </c>
      <c r="JU552" s="1061"/>
      <c r="JV552" s="1670">
        <f>IFERROR(IF(__Retrofit_TI_NC=0,IF(_kWh_Grant=0,0,IF($IB550=TRUE,IF(OR(JV$14="No",JV550=FALSE,$JH552&lt;=$JH550),0,IF(JV$8="Per Line",1,$AF552)),0)),IF($IB550=TRUE,IF(OR(JV$14="No",JV550=FALSE,$JH552&lt;=$JH550),0,IF(JV$8="Per Line",1,$AF552)))),0)</f>
        <v>0</v>
      </c>
      <c r="JX552" s="1670">
        <f>IFERROR(IF(__Retrofit_TI_NC=0,IF(_kWh_Grant=0,0,IF($IB550=TRUE,IF(OR(JX$14="No",JX550=FALSE,$JH552&lt;=$JH550),0,IF(JX$8="Per Line",1,$AF552)),0)),IF($IB550=TRUE,IF(OR(JX$14="No",JX550=FALSE,$JH552&lt;=$JH550),0,IF(JX$8="Per Line",1,$AF552)))),0)</f>
        <v>0</v>
      </c>
      <c r="JZ552" s="1670">
        <f>IFERROR(IF($IB550=TRUE,IF(OR(JZ$14="No",JZ550=FALSE,$JH552&lt;=$JH550,AND(_kWh_Grant=0,$GD550=FALSE)),0,IF(JZ$8="Per Line",1,$AF552)),0),0)</f>
        <v>0</v>
      </c>
      <c r="KB552" s="1670">
        <f>IFERROR(IF(__Retrofit_TI_NC=0,IF(_kWh_Grant=0,0,IF($IB550=TRUE,IF(OR(KB$14="No",KB550=FALSE,$JH552&lt;=$JH550),0,IF(KB$8="Per Line",1,$AF552)),0)),IF($IB550=TRUE,IF(OR(KB$14="No",KB550=FALSE,$JH552&lt;=$JH550),0,IF(KB$8="Per Line",1,$AF552)))),0)</f>
        <v>0</v>
      </c>
    </row>
    <row r="553" spans="1:288" s="78" customFormat="1" ht="14.95" customHeight="1" thickTop="1" thickBot="1">
      <c r="B553" s="1845"/>
      <c r="C553" s="1846"/>
      <c r="D553" s="1847"/>
      <c r="E553" s="1902" t="s">
        <v>436</v>
      </c>
      <c r="F553" s="1903"/>
      <c r="G553" s="1904" t="s">
        <v>437</v>
      </c>
      <c r="H553" s="1905"/>
      <c r="I553" s="1905"/>
      <c r="J553" s="1905"/>
      <c r="K553" s="1905"/>
      <c r="L553" s="1906"/>
      <c r="M553" s="1145">
        <f>IFERROR(VLOOKUP(G553,_Daylight_Table[],2,FALSE),0)</f>
        <v>0</v>
      </c>
      <c r="N553" s="1146" t="str">
        <f>IF(AND(__Retrofit_TI_NC&gt;0,CQ550="Interior"),"BAM","")</f>
        <v/>
      </c>
      <c r="O553" s="1145" t="e">
        <f>VLOOKUP(G552,'Space Table'!$B$3:$L$163,11,FALSE)</f>
        <v>#N/A</v>
      </c>
      <c r="P553" s="1754"/>
      <c r="Q553" s="1755"/>
      <c r="R553" s="1755"/>
      <c r="S553" s="1764"/>
      <c r="T553" s="1147" t="s">
        <v>342</v>
      </c>
      <c r="U553" s="1756" t="str" cm="1">
        <f t="array" aca="1" ref="U553" ca="1">IFERROR(VLOOKUP(INDIRECT("U" &amp; ROW()-1),Fixtures!DM$93:DP$142,4,FALSE),"")</f>
        <v/>
      </c>
      <c r="V553" s="1757"/>
      <c r="W553" s="1757"/>
      <c r="X553" s="1757"/>
      <c r="Y553" s="1757"/>
      <c r="Z553" s="1757"/>
      <c r="AA553" s="1758"/>
      <c r="AB553" s="939" t="str">
        <f>IFERROR(VLOOKUP(U552,Fixtures_Proposed_List,2,FALSE),"")</f>
        <v/>
      </c>
      <c r="AC553" s="1148" t="str">
        <f>IFERROR(ROUND(T552*AB553*N551*R551/1000,0),"")</f>
        <v/>
      </c>
      <c r="AD553" s="1149" t="str">
        <f>IFERROR(ROUND(T552*AB553/1000,2),"")</f>
        <v/>
      </c>
      <c r="AE553" s="1150"/>
      <c r="AF553" s="1151" t="s">
        <v>342</v>
      </c>
      <c r="AG553" s="1759"/>
      <c r="AH553" s="1759"/>
      <c r="AI553" s="1759"/>
      <c r="AJ553" s="1759"/>
      <c r="AK553" s="1759"/>
      <c r="AL553" s="1759"/>
      <c r="AM553" s="1921"/>
      <c r="AN553" s="1922"/>
      <c r="AO553" s="1923"/>
      <c r="AP553" s="1782"/>
      <c r="AQ553" s="1783"/>
      <c r="AR553" s="1917"/>
      <c r="AS553" s="1917"/>
      <c r="AT553" s="1918"/>
      <c r="AU553" s="1919"/>
      <c r="AV553" s="1752"/>
      <c r="AW553" s="1706"/>
      <c r="AX553" s="468"/>
      <c r="AY553" s="1750"/>
      <c r="AZ553" s="1750"/>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696"/>
      <c r="CQ553" s="1696"/>
      <c r="CR553" s="1809"/>
      <c r="CS553" s="1811"/>
      <c r="CU553" s="1688"/>
      <c r="CV553" s="1703"/>
      <c r="CW553" s="1703"/>
      <c r="CX553" s="1813"/>
      <c r="CY553" s="1815"/>
      <c r="CZ553" s="1711"/>
      <c r="DA553" s="1815"/>
      <c r="DB553" s="1821"/>
      <c r="DC553" s="1821"/>
      <c r="DD553" s="1821"/>
      <c r="DF553" s="1703"/>
      <c r="DG553" s="1831"/>
      <c r="DH553" s="1813"/>
      <c r="DI553" s="1838"/>
      <c r="DJ553" s="1711"/>
      <c r="DK553" s="1712"/>
      <c r="DN553" s="1718"/>
      <c r="DO553" s="1709"/>
      <c r="DQ553" s="1715"/>
      <c r="DR553" s="1720"/>
      <c r="DS553" s="1703"/>
      <c r="DT553" s="1714"/>
      <c r="DU553" s="1715"/>
      <c r="DV553" s="1716"/>
      <c r="DX553" s="1715"/>
      <c r="DY553" s="1720"/>
      <c r="DZ553" s="1715"/>
      <c r="EA553" s="1715"/>
      <c r="EC553" s="1834"/>
      <c r="ED553" s="1834"/>
      <c r="EF553" s="1707"/>
      <c r="EG553" s="1712"/>
      <c r="EH553" s="1815"/>
      <c r="EI553" s="1712"/>
      <c r="EJ553" s="1712"/>
      <c r="EK553" s="1813"/>
      <c r="EL553" s="1813"/>
      <c r="EM553" s="1807"/>
      <c r="EN553" s="1839"/>
      <c r="EO553" s="1839"/>
      <c r="EP553" s="1817"/>
      <c r="EQ553" s="1817"/>
      <c r="ER553" s="1807"/>
      <c r="ES553" s="1807"/>
      <c r="ET553" s="1807"/>
      <c r="EV553" s="1715"/>
      <c r="EX553" s="1806"/>
      <c r="EY553" s="1806"/>
      <c r="EZ553" s="1806"/>
      <c r="FA553" s="1806"/>
      <c r="FB553" s="1806"/>
      <c r="FC553" s="1828"/>
      <c r="FE553" s="1698"/>
      <c r="FG553" s="1703"/>
      <c r="FH553" s="1703"/>
      <c r="FI553" s="133"/>
      <c r="FL553" s="1823"/>
      <c r="FM553" s="1825"/>
      <c r="FN553" s="1698"/>
      <c r="FO553" s="1698"/>
      <c r="FP553" s="1678"/>
      <c r="FQ553" s="1698"/>
      <c r="FS553" s="1687"/>
      <c r="FT553" s="1687"/>
      <c r="FU553" s="1685"/>
      <c r="FV553" s="1687"/>
      <c r="FW553" s="1687"/>
      <c r="FX553" s="1687"/>
      <c r="FY553" s="1697"/>
      <c r="GA553" s="1696"/>
      <c r="GB553" s="1696"/>
      <c r="GC553" s="1696"/>
      <c r="GD553" s="1696"/>
      <c r="GE553" s="1696"/>
      <c r="GF553" s="1696"/>
      <c r="GG553" s="1696"/>
      <c r="GH553" s="1696"/>
      <c r="GI553" s="673"/>
      <c r="GJ553" s="1135"/>
      <c r="GK553" s="1832"/>
      <c r="GN553" s="674">
        <f>IF(GN551=TRUE,0,GN$16)</f>
        <v>0</v>
      </c>
      <c r="GP553" s="674">
        <f>IF(GP551=TRUE,0,GP$16)</f>
        <v>36</v>
      </c>
      <c r="GQ553" s="674">
        <f ca="1">IF(GQ551=TRUE,0,GQ$16)</f>
        <v>35</v>
      </c>
      <c r="GR553" s="391"/>
      <c r="GS553" s="391"/>
      <c r="GT553" s="391"/>
      <c r="GU553" s="391"/>
      <c r="GV553" s="391"/>
      <c r="HG553" s="674">
        <f>IF(HG551=TRUE,0,HG$16)</f>
        <v>0</v>
      </c>
      <c r="HH553" s="674">
        <f t="shared" ref="HH553:HM553" si="503">IF(HH551=TRUE,0,HH$16)</f>
        <v>19</v>
      </c>
      <c r="HI553" s="674">
        <f t="shared" si="503"/>
        <v>18</v>
      </c>
      <c r="HJ553" s="674">
        <f t="shared" si="503"/>
        <v>17</v>
      </c>
      <c r="HK553" s="674">
        <f t="shared" si="503"/>
        <v>16</v>
      </c>
      <c r="HL553" s="674">
        <f t="shared" si="503"/>
        <v>0</v>
      </c>
      <c r="HM553" s="674">
        <f t="shared" si="503"/>
        <v>0</v>
      </c>
      <c r="HN553" s="674">
        <f>IF(HN551=TRUE,0,HN$16)</f>
        <v>13</v>
      </c>
      <c r="HO553" s="674">
        <f t="shared" ref="HO553:HQ553" si="504">IF(HO551=TRUE,0,HO$16)</f>
        <v>0</v>
      </c>
      <c r="HP553" s="674">
        <f t="shared" si="504"/>
        <v>0</v>
      </c>
      <c r="HQ553" s="674">
        <f t="shared" si="504"/>
        <v>10</v>
      </c>
      <c r="HR553" s="674">
        <f>IF(HR551=TRUE,0,HR$16)</f>
        <v>9</v>
      </c>
      <c r="HS553" s="674">
        <f t="shared" ref="HS553:HW553" si="505">IF(HS551=TRUE,0,HS$16)</f>
        <v>0</v>
      </c>
      <c r="HT553" s="674">
        <f t="shared" si="505"/>
        <v>0</v>
      </c>
      <c r="HU553" s="674">
        <f t="shared" si="505"/>
        <v>0</v>
      </c>
      <c r="HV553" s="674">
        <f t="shared" si="505"/>
        <v>0</v>
      </c>
      <c r="HW553" s="674">
        <f t="shared" si="505"/>
        <v>0</v>
      </c>
      <c r="HX553" s="674">
        <f>IF(HX551=TRUE,0,HX$16)</f>
        <v>0</v>
      </c>
      <c r="HY553" s="674">
        <f>IF(HY551=TRUE,0,HY$16)</f>
        <v>0</v>
      </c>
      <c r="HZ553" s="674">
        <f>IF(HZ551=TRUE,0,HZ$16)</f>
        <v>1</v>
      </c>
      <c r="IB553" s="674">
        <f>IF(GP551=FALSE,GP553,IF(GQ551=FALSE,GQ553,MAX(GN553:HZ553)))</f>
        <v>36</v>
      </c>
      <c r="IC553" s="1692"/>
      <c r="ID553" s="205" t="str">
        <f>VLOOKUP(IB553,_Error_Table,3,FALSE)</f>
        <v xml:space="preserve"> </v>
      </c>
      <c r="IE553" s="205"/>
      <c r="IF553" s="1688"/>
      <c r="IG553" s="1689"/>
      <c r="IH553" s="1684"/>
      <c r="IK553" s="1689"/>
      <c r="IL553" s="1692"/>
      <c r="IM553" s="1692"/>
      <c r="IN553" s="1692"/>
      <c r="IP553" s="1679"/>
      <c r="IQ553" s="1679"/>
      <c r="IR553" s="1679"/>
      <c r="IS553" s="1679"/>
      <c r="IT553" s="1679"/>
      <c r="IU553" s="1679"/>
      <c r="IV553" s="1679"/>
      <c r="IW553" s="1679"/>
      <c r="IX553" s="1679"/>
      <c r="IY553" s="1679"/>
      <c r="IZ553" s="1679"/>
      <c r="JA553" s="1679"/>
      <c r="JC553" s="1680"/>
      <c r="JD553" s="1670"/>
      <c r="JE553" s="1681"/>
      <c r="JG553" s="1680"/>
      <c r="JH553" s="1670"/>
      <c r="JI553" s="1060"/>
      <c r="JJ553" s="1670"/>
      <c r="JK553" s="1061"/>
      <c r="JL553" s="1670"/>
      <c r="JM553" s="1061"/>
      <c r="JN553" s="1670"/>
      <c r="JO553" s="1061"/>
      <c r="JP553" s="1670"/>
      <c r="JQ553" s="1061"/>
      <c r="JR553" s="1670"/>
      <c r="JS553" s="1061"/>
      <c r="JT553" s="1670"/>
      <c r="JU553" s="1061"/>
      <c r="JV553" s="1670"/>
      <c r="JX553" s="1670"/>
      <c r="JZ553" s="1670"/>
      <c r="KB553" s="1670"/>
    </row>
    <row r="554" spans="1:288" s="78" customFormat="1" ht="5.0999999999999996" customHeight="1">
      <c r="B554" s="676"/>
      <c r="C554" s="392"/>
      <c r="D554" s="392"/>
      <c r="E554" s="1773"/>
      <c r="F554" s="1773"/>
      <c r="G554" s="1773"/>
      <c r="H554" s="1773"/>
      <c r="I554" s="1773"/>
      <c r="J554" s="1773"/>
      <c r="K554" s="1773"/>
      <c r="L554" s="1773"/>
      <c r="M554" s="1773"/>
      <c r="N554" s="1773"/>
      <c r="O554" s="1773"/>
      <c r="P554" s="1773"/>
      <c r="Q554" s="1773"/>
      <c r="R554" s="1773"/>
      <c r="S554" s="1773"/>
      <c r="T554" s="1773"/>
      <c r="U554" s="1773"/>
      <c r="V554" s="1773"/>
      <c r="W554" s="1773"/>
      <c r="X554" s="1773"/>
      <c r="Y554" s="1773"/>
      <c r="Z554" s="1773"/>
      <c r="AA554" s="1773"/>
      <c r="AB554" s="1773"/>
      <c r="AC554" s="1773"/>
      <c r="AD554" s="1773"/>
      <c r="AE554" s="1773"/>
      <c r="AF554" s="1773"/>
      <c r="AG554" s="1773"/>
      <c r="AH554" s="1773"/>
      <c r="AI554" s="1773"/>
      <c r="AJ554" s="1773"/>
      <c r="AK554" s="1773"/>
      <c r="AL554" s="1773"/>
      <c r="AM554" s="1920"/>
      <c r="AN554" s="1920"/>
      <c r="AO554" s="1920"/>
      <c r="AP554" s="1920"/>
      <c r="AQ554" s="1920"/>
      <c r="AR554" s="1920"/>
      <c r="AS554" s="1920"/>
      <c r="AT554" s="1920"/>
      <c r="AU554" s="1920"/>
      <c r="AV554" s="1773"/>
      <c r="AW554" s="1773"/>
      <c r="AX554" s="469"/>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663"/>
      <c r="CQ554" s="663"/>
      <c r="CR554" s="438"/>
      <c r="CS554" s="663"/>
      <c r="CV554" s="391"/>
      <c r="CW554" s="391"/>
      <c r="CX554" s="207"/>
      <c r="CY554" s="208"/>
      <c r="CZ554" s="208"/>
      <c r="DA554" s="208"/>
      <c r="DB554" s="209"/>
      <c r="DC554" s="209"/>
      <c r="DD554" s="209"/>
      <c r="DF554" s="664"/>
      <c r="DG554" s="665"/>
      <c r="DH554" s="666"/>
      <c r="DI554" s="667"/>
      <c r="DJ554" s="668"/>
      <c r="DK554" s="668"/>
      <c r="DN554" s="208"/>
      <c r="DO554" s="664"/>
      <c r="DQ554" s="664"/>
      <c r="DR554" s="669"/>
      <c r="DS554" s="391"/>
      <c r="DT554" s="664"/>
      <c r="DU554" s="664"/>
      <c r="DV554" s="664"/>
      <c r="DX554" s="664"/>
      <c r="DY554" s="664"/>
      <c r="DZ554" s="664"/>
      <c r="EA554" s="664"/>
      <c r="EC554" s="670"/>
      <c r="ED554" s="670"/>
      <c r="EF554" s="668"/>
      <c r="EG554" s="668"/>
      <c r="EH554" s="208"/>
      <c r="EI554" s="668"/>
      <c r="EJ554" s="668"/>
      <c r="EK554" s="207"/>
      <c r="EL554" s="207"/>
      <c r="EM554" s="666"/>
      <c r="EN554" s="671"/>
      <c r="EO554" s="671"/>
      <c r="EP554" s="672"/>
      <c r="EQ554" s="672"/>
      <c r="ER554" s="666"/>
      <c r="ES554" s="666"/>
      <c r="ET554" s="666"/>
      <c r="EV554" s="664"/>
      <c r="EX554" s="391"/>
      <c r="EY554" s="391"/>
      <c r="EZ554" s="391"/>
      <c r="FA554" s="391"/>
      <c r="FB554" s="391"/>
      <c r="FC554" s="391"/>
      <c r="FE554" s="569"/>
      <c r="FG554" s="391"/>
      <c r="FH554" s="391"/>
      <c r="FI554" s="391"/>
      <c r="FS554" s="664"/>
      <c r="FT554" s="391"/>
      <c r="FU554" s="391"/>
      <c r="FV554" s="664"/>
      <c r="FW554" s="664"/>
      <c r="GA554" s="663"/>
      <c r="GB554" s="663"/>
      <c r="GC554" s="663"/>
      <c r="GD554" s="663"/>
      <c r="GE554" s="663"/>
      <c r="GF554" s="663"/>
      <c r="GG554" s="663"/>
      <c r="GH554" s="663"/>
      <c r="GI554" s="665"/>
      <c r="GJ554" s="664"/>
      <c r="GK554" s="664"/>
    </row>
    <row r="555" spans="1:288" s="78" customFormat="1" ht="14.95" customHeight="1">
      <c r="B555" s="1845" t="str">
        <f>ID558</f>
        <v xml:space="preserve"> </v>
      </c>
      <c r="C555" s="1846">
        <f>C550+1</f>
        <v>99</v>
      </c>
      <c r="D555" s="1847"/>
      <c r="E555" s="1799" t="s">
        <v>295</v>
      </c>
      <c r="F555" s="1800"/>
      <c r="G555" s="1741"/>
      <c r="H555" s="1742"/>
      <c r="I555" s="1742"/>
      <c r="J555" s="1742"/>
      <c r="K555" s="1742"/>
      <c r="L555" s="1742"/>
      <c r="M555" s="1742"/>
      <c r="N555" s="1742"/>
      <c r="O555" s="1742"/>
      <c r="P555" s="1742"/>
      <c r="Q555" s="1742"/>
      <c r="R555" s="1742"/>
      <c r="S555" s="1791" t="s">
        <v>344</v>
      </c>
      <c r="T555" s="590"/>
      <c r="U555" s="1743"/>
      <c r="V555" s="1744"/>
      <c r="W555" s="1744"/>
      <c r="X555" s="1744"/>
      <c r="Y555" s="1744"/>
      <c r="Z555" s="1744"/>
      <c r="AA555" s="1744"/>
      <c r="AB555" s="961" t="str">
        <f>IFERROR(IF(__Retrofit_TI_NC=0,VLOOKUP(U556,Fixtures_Existing_List,2,FALSE),ROUND(N557*R557/T557,10)),"")</f>
        <v/>
      </c>
      <c r="AC555" s="935" t="str">
        <f>IFERROR(IF(__Retrofit_TI_NC=0,ROUND(T556*AB555*N556*R556/1000,0),IF(CQ555="Interior",N557*R557*R556*N556*_C406_reduction/1000,N557*R557*R556*N556/1000)),"")</f>
        <v/>
      </c>
      <c r="AD555" s="936" t="str">
        <f>IFERROR(IF(C$43=0,ROUND(T556*AB555/1000,2),N557*R557/1000),"")</f>
        <v/>
      </c>
      <c r="AE555" s="997"/>
      <c r="AF555" s="937"/>
      <c r="AG555" s="1745" t="str">
        <f>IF(__Retrofit_TI_NC=0," Control","Select Advanced Control for New System")</f>
        <v xml:space="preserve"> Control</v>
      </c>
      <c r="AH555" s="1745"/>
      <c r="AI555" s="1745"/>
      <c r="AJ555" s="1745"/>
      <c r="AK555" s="1745"/>
      <c r="AL555" s="1745"/>
      <c r="AM555" s="1746">
        <f>IFERROR(DI555,"")</f>
        <v>0</v>
      </c>
      <c r="AN555" s="1774" t="str">
        <f>IFERROR(ROUND(AM555*AC555,0),"")</f>
        <v/>
      </c>
      <c r="AO555" s="1776">
        <f>IFERROR(IF(IB555=FALSE,0,AC555-AN555),0)</f>
        <v>0</v>
      </c>
      <c r="AP555" s="1778">
        <f>AO555-AO557</f>
        <v>0</v>
      </c>
      <c r="AQ555" s="1779"/>
      <c r="AR555" s="1793">
        <f>IFERROR(IF(IB555=FALSE,0,(T557*U558)+(AF557*AG558)),0)</f>
        <v>0</v>
      </c>
      <c r="AS555" s="1793"/>
      <c r="AT555" s="1794"/>
      <c r="AU555" s="1734" t="s">
        <v>237</v>
      </c>
      <c r="AV555" s="1751">
        <f>IF(AU555="Yes",1,0)</f>
        <v>1</v>
      </c>
      <c r="AW555" s="1704" t="str">
        <f>IF(OR(DQ555=4,DQ555=5,DQ555=6,DQ555=12),CONCATENATE("$",IF(GH555=TRUE,Lookup!$K$10,Lookup!$K$2)," /lamp"),CONCATENATE(TEXT(ED555,"$0.00"),"/ kWh"))</f>
        <v>$0.00/ kWh</v>
      </c>
      <c r="AX555" s="467"/>
      <c r="AY555" s="1748">
        <f ca="1">IFERROR(IF(GM556=TRUE,(AB558*T557)/R557,0),"NA")</f>
        <v>0</v>
      </c>
      <c r="AZ555" s="1748"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696" t="str">
        <f>N556</f>
        <v/>
      </c>
      <c r="CQ555" s="1696" t="str">
        <f>IFERROR(VLOOKUP(G556,_Lookup_Heat_Type_Table_New,3,FALSE),"")</f>
        <v/>
      </c>
      <c r="CR555" s="1808" t="str">
        <f>CQ555</f>
        <v/>
      </c>
      <c r="CS555" s="1810" t="str">
        <f>IFERROR(VLOOKUP(G557,'Space Table'!$B$3:$L$163,9,FALSE),"")</f>
        <v/>
      </c>
      <c r="CU555" s="1688" t="s">
        <v>344</v>
      </c>
      <c r="CV555" s="1702">
        <f>IF(IB555=TRUE,T556,0)</f>
        <v>0</v>
      </c>
      <c r="CW555" s="1702" t="str">
        <f>IF(IB555=TRUE,U556,"")</f>
        <v/>
      </c>
      <c r="CX555" s="1702"/>
      <c r="CY555" s="1814">
        <f>IF(IB555=TRUE,AB555,0)</f>
        <v>0</v>
      </c>
      <c r="CZ555" s="1710">
        <f>IF(AND(__Retrofit_TI_NC&gt;0,CR555="interior"),0,IF(IB555=TRUE,AC555,0))</f>
        <v>0</v>
      </c>
      <c r="DA555" s="1814">
        <f>IFERROR(IF(IB555=TRUE,CZ555-CZ557,0),0)</f>
        <v>0</v>
      </c>
      <c r="DB555" s="1819">
        <f>IF(IB555=TRUE,AD555,0)</f>
        <v>0</v>
      </c>
      <c r="DC555" s="1819">
        <f>IF(IB555=TRUE,AD558,0)</f>
        <v>0</v>
      </c>
      <c r="DD555" s="1819">
        <f>IFERROR(DB555-DC555,0)</f>
        <v>0</v>
      </c>
      <c r="DF555" s="1702">
        <f>IF(IB555=TRUE,AF556,0)</f>
        <v>0</v>
      </c>
      <c r="DG555" s="1830">
        <f>IFERROR(IF(__Retrofit_TI_NC=2,IF(CQ555="Exterior",O558,FQ555),FN555),"")</f>
        <v>0</v>
      </c>
      <c r="DH555" s="1702"/>
      <c r="DI555" s="1837">
        <f>JE555</f>
        <v>0</v>
      </c>
      <c r="DJ555" s="1710">
        <f>IF(AND(__Retrofit_TI_NC&gt;0,CR555="interior"),0,IF(IB555=TRUE,AN555,0))</f>
        <v>0</v>
      </c>
      <c r="DK555" s="1712">
        <f>IFERROR(IF(IB555=TRUE,DJ557-DJ555,0),0)</f>
        <v>0</v>
      </c>
      <c r="DM555" s="1717">
        <f>IFERROR(CZ555-DJ555,0)</f>
        <v>0</v>
      </c>
      <c r="DO555" s="1708">
        <f>DM555-DN557</f>
        <v>0</v>
      </c>
      <c r="DQ555" s="1715" t="str">
        <f>IFERROR(IF(AND(OR(GC555=4,GC555=5,GC555=6),OR(GF555=4,GF555=5,GF555=6)),GC555+8,VLOOKUP(CW557,Fixtures!R$31:Y$78,8,FALSE)),"")</f>
        <v/>
      </c>
      <c r="DR555" s="1829" t="str">
        <f>DQ555</f>
        <v/>
      </c>
      <c r="DS555" s="1702" t="str">
        <f>IFERROR(VLOOKUP(DG557,Lookup!BB$3:BC$20,2,FALSE),"")</f>
        <v/>
      </c>
      <c r="DT555" s="1713" t="str">
        <f>IF(OR(DS555=7,DS555=8,DS555=9),"ALC","")</f>
        <v/>
      </c>
      <c r="DU555" s="1715">
        <f>IFERROR(IF(OR(DQ555=4,DQ555=5,DQ555=6,DQ555=12,DQ555=13,DQ555=14),VLOOKUP(CW557,Fixtures!DN$27:EG$77,19,FALSE),1)*CV557,0)</f>
        <v>0</v>
      </c>
      <c r="DV555" s="1716">
        <f>IF(OR(DS555=7,DS555=8,DS555=9),IF(DG555=DG557,0,DF557),0)</f>
        <v>0</v>
      </c>
      <c r="DX555" s="1715" t="str">
        <f>IFERROR(IF(EZ555&lt;EZ557,"Yes","No"),"")</f>
        <v/>
      </c>
      <c r="DY555" s="1829" t="str">
        <f>DX555</f>
        <v/>
      </c>
      <c r="DZ555" s="1715">
        <f>IF(DX555="Yes",DF557,0)</f>
        <v>0</v>
      </c>
      <c r="EA555" s="1715">
        <f>DZ555-DV555</f>
        <v>0</v>
      </c>
      <c r="EC555" s="1834">
        <f>IFERROR(VLOOKUP(DQ555,Lookup!AU$3:AV$16,2,FALSE),0)</f>
        <v>0</v>
      </c>
      <c r="ED555" s="1834">
        <f>IF(IB555=FALSE,0,IF(DX555="Yes",EC555+Lookup!K$6,EC555))</f>
        <v>0</v>
      </c>
      <c r="EF555" s="1707">
        <f>IF(IB555=TRUE,DM555,0)</f>
        <v>0</v>
      </c>
      <c r="EG555" s="1712">
        <f>IF(IB555=TRUE,CZ557,0)</f>
        <v>0</v>
      </c>
      <c r="EH555" s="1814">
        <f>IFERROR(EF555-EG555,0)</f>
        <v>0</v>
      </c>
      <c r="EI555" s="1712">
        <f>IF(IB555=TRUE,DJ557,0)</f>
        <v>0</v>
      </c>
      <c r="EJ555" s="1712">
        <f>IFERROR(EF555-EG555+EI555,0)</f>
        <v>0</v>
      </c>
      <c r="EK555" s="1812">
        <f>IF(IB555=TRUE,CV557*CX557,0)</f>
        <v>0</v>
      </c>
      <c r="EL555" s="1812">
        <f>IF(IB555=TRUE,DF557*DH557,0)</f>
        <v>0</v>
      </c>
      <c r="EM555" s="1807">
        <f>AR555</f>
        <v>0</v>
      </c>
      <c r="EN555" s="1839" t="str">
        <f>IFERROR(IF(IB555=TRUE,VLOOKUP(DQ555,Lookup!AU$3:AW$16,3,FALSE)*DU555,""),0)</f>
        <v/>
      </c>
      <c r="EO555" s="1839">
        <f>IF(IB555=TRUE,DZ555*Lookup!AW$12,0)</f>
        <v>0</v>
      </c>
      <c r="EP555" s="1817">
        <f>IFERROR(IF(IB555=TRUE,EN555/EP$40,0),0)</f>
        <v>0</v>
      </c>
      <c r="EQ555" s="1817">
        <f>IF(IB555=TRUE,EO555/EQ$40,0)</f>
        <v>0</v>
      </c>
      <c r="ER555" s="1807">
        <f>IF(IB555=TRUE,ET$40*EP555,0)</f>
        <v>0</v>
      </c>
      <c r="ES555" s="1807">
        <f>IF(IB555=TRUE,ET$40*EQ555,0)</f>
        <v>0</v>
      </c>
      <c r="ET555" s="1807">
        <f>ER555+ES555</f>
        <v>0</v>
      </c>
      <c r="EV555" s="1715">
        <f>IF(G555="",0,1)</f>
        <v>0</v>
      </c>
      <c r="EX555" s="1804" t="str">
        <f>IFERROR(VLOOKUP(CS557,'Space Table'!$B$3:$L$163,8,FALSE),"")</f>
        <v/>
      </c>
      <c r="EY555" s="1804" t="str">
        <f>IFERROR(IF(FB555="Yes",VLOOKUP(DG555,Lookup_Control_Type_Table2,4,FALSE),VLOOKUP(DG555,Lookup_Control_Type_Table2,3,FALSE)),"")</f>
        <v/>
      </c>
      <c r="EZ555" s="1804" t="e">
        <f>VLOOKUP(DG555,Lookup!BB$3:BC$20,2,FALSE)</f>
        <v>#N/A</v>
      </c>
      <c r="FA555" s="1804" t="e">
        <f>VLOOKUP(EX555,Lookup_Control_Type_Table,2,FALSE)</f>
        <v>#N/A</v>
      </c>
      <c r="FB555" s="1804" t="e">
        <f>VLOOKUP(CS557,'Space Table'!$B$3:$L$163,7,FALSE)</f>
        <v>#N/A</v>
      </c>
      <c r="FC555" s="1826" t="b">
        <f>ISNUMBER(SEARCH("TLED",U557))</f>
        <v>0</v>
      </c>
      <c r="FE555" s="1698" t="str">
        <f>CONCATENATE(CQ555," - ",DG555)</f>
        <v xml:space="preserve"> - 0</v>
      </c>
      <c r="FG555" s="1702" t="str">
        <f>VLOOKUP(CW557,Fixtures!DN$27:EZ$77,38,FALSE)</f>
        <v/>
      </c>
      <c r="FH555" s="1702">
        <f>IFERROR(FG555*EH555,0)</f>
        <v>0</v>
      </c>
      <c r="FI555" s="133"/>
      <c r="FL555" s="1822" t="str">
        <f>IF(CQ555="Exterior","Not Daylighted",G558)</f>
        <v>Not Daylighted</v>
      </c>
      <c r="FM555" s="1824">
        <f>VLOOKUP(FL555,_New_Daylight_Table_Codes,2,FALSE)</f>
        <v>0</v>
      </c>
      <c r="FN555" s="1698">
        <f>IF(__Retrofit_TI_NC&gt;0,VLOOKUP(G557,'Space Table'!$B$3:$L$163,11,FALSE),AG556)</f>
        <v>0</v>
      </c>
      <c r="FO555" s="1698" t="e">
        <f>IF(__Retrofit_TI_NC=2,VLOOKUP(FQ555,_Control_Table,2,FALSE),VLOOKUP(FN555,_Control_Table,2,FALSE))</f>
        <v>#N/A</v>
      </c>
      <c r="FP555" s="1678" t="e">
        <f>VLOOKUP(CONCATENATE(FL555," ",FN555),Lookup!AY$102:AZ565,2,FALSE)</f>
        <v>#N/A</v>
      </c>
      <c r="FQ555" s="1678">
        <f>IF(__Retrofit_TI_NC=0,FN555,IF(AND(FT555&gt;0,FN555="Occupancy Sensor"),"Daylight + Occupancy",IF(AND(FT555&gt;0,VLOOKUP(FN555,_Control_Table,2,FALSE)&lt;4),"Interior Daylight Dimming",FN555)))</f>
        <v>0</v>
      </c>
      <c r="FS555" s="1686">
        <f>IF(CR555="Interior",VLOOKUP(CS555,Control_Savings_Interior,5,FALSE),0)</f>
        <v>0</v>
      </c>
      <c r="FT555" s="1687">
        <f>IF(CQ555="Exterior",0,IF(FM555=2,0.5,IF(OR(FM555=1,FM555=3),1,0)))</f>
        <v>0</v>
      </c>
      <c r="FU555" s="1685">
        <f>IF(R554&gt;FS$44,(FS555*(FS$44/R554)),FS555)*FT555</f>
        <v>0</v>
      </c>
      <c r="FV555" s="1686">
        <f>DI555</f>
        <v>0</v>
      </c>
      <c r="FW555" s="1686">
        <f>ROUND(FV555+((1-FV555)*FU555),2)</f>
        <v>0</v>
      </c>
      <c r="FX555" s="1686">
        <f>IF(__Retrofit_TI_NC=2,FW555,FV555)</f>
        <v>0</v>
      </c>
      <c r="FY555" s="1697"/>
      <c r="GA555" s="1696" t="str">
        <f>IFERROR(VLOOKUP(U556,_Exist_Fixture_Table,3,FALSE),"")</f>
        <v/>
      </c>
      <c r="GB555" s="1696" t="str">
        <f>VLOOKUP(CW555,_Exist_Fixture_Table,4,FALSE)</f>
        <v/>
      </c>
      <c r="GC555" s="1696">
        <f>IFERROR(VLOOKUP(GB555,Lookup!AT$6:AU$8,2,FALSE),0)</f>
        <v>0</v>
      </c>
      <c r="GD555" s="1696" t="b">
        <f>IFERROR(IF(OR(GF555=4,GF555=5,GF555=6),TRUE,FALSE),"")</f>
        <v>0</v>
      </c>
      <c r="GE555" s="1696" t="str">
        <f>IFERROR(VLOOKUP(GF555,GC$6:GD$10,2,FALSE),"")</f>
        <v/>
      </c>
      <c r="GF555" s="1696" t="str">
        <f>VLOOKUP(CW557,Fixtures!R$31:Y$78,8,FALSE)</f>
        <v/>
      </c>
      <c r="GG555" s="1696">
        <f>IF(AND(GA555=TRUE,GD555=TRUE,OR(DQ555=12,DQ555=13,DQ555=14)),GC555+8,0)</f>
        <v>0</v>
      </c>
      <c r="GH555" s="1696" t="b">
        <f>IF(OR(GG555=12,GG555=13,GG555=14),TRUE,FALSE)</f>
        <v>0</v>
      </c>
      <c r="GI555" s="673" t="b">
        <f>IF(ISNUMBER(SEARCH("TLED",U556)),TRUE,FALSE)</f>
        <v>0</v>
      </c>
      <c r="GJ555" s="1135" t="str">
        <f>IFERROR(VLOOKUP(U556,Fixtures!BM$93:BR$142,6,FALSE),"")</f>
        <v/>
      </c>
      <c r="GK555" s="1832" t="b">
        <f>IF(OR(GI555=FALSE,GI557=FALSE),TRUE,IF(GJ555-GJ557&lt;5,FALSE,TRUE))</f>
        <v>1</v>
      </c>
      <c r="GO555" s="674">
        <f>GP555</f>
        <v>0</v>
      </c>
      <c r="GP555" s="674">
        <f>IF(G555="",0,1)</f>
        <v>0</v>
      </c>
      <c r="GQ555" s="674">
        <f ca="1">SUM(GR555:HF555)</f>
        <v>2</v>
      </c>
      <c r="GR555" s="674">
        <f>IF(G556="",0,1)</f>
        <v>0</v>
      </c>
      <c r="GS555" s="674">
        <f>IF(N558="BAM",1,IF(G557="",0,1))</f>
        <v>0</v>
      </c>
      <c r="GT555" s="674">
        <f>IF(N558="BAM",1,IF(R556="",0,1))</f>
        <v>0</v>
      </c>
      <c r="GU555" s="674">
        <f>IF(N558="BAM",1,IF(__Retrofit_TI_NC=0,1,IF(R557="",0,1)))</f>
        <v>1</v>
      </c>
      <c r="GV555" s="674">
        <f>IF(N558="BAM",1,IF(CQ555="Exterior",1,IF(G558="",0,1)))</f>
        <v>1</v>
      </c>
      <c r="GW555" s="674">
        <f>IF(__Retrofit_TI_NC&gt;0,1,IF(T556="",0,1))</f>
        <v>0</v>
      </c>
      <c r="GX555" s="674">
        <f>IF(__Retrofit_TI_NC&gt;0,1,IF(U556="",0,1))</f>
        <v>0</v>
      </c>
      <c r="GY555" s="674">
        <f>IF(N558="BAM",1,IF(T557="",0,1))</f>
        <v>0</v>
      </c>
      <c r="GZ555" s="674">
        <f>IF(N558="BAM",1,IF(U557="",0,1))</f>
        <v>0</v>
      </c>
      <c r="HA555" s="674">
        <f ca="1">IF(N558="BAM",1,IF(__Retrofit_TI_NC&gt;0,1,IF(U558="",0,1)))</f>
        <v>0</v>
      </c>
      <c r="HB555" s="674">
        <f>IF(__Retrofit_TI_NC&lt;&gt;0,1,IF(AF556="",0,1))</f>
        <v>0</v>
      </c>
      <c r="HC555" s="674">
        <f>IF(__Retrofit_TI_NC&lt;&gt;0,1,IF(AG556="",0,1))</f>
        <v>0</v>
      </c>
      <c r="HD555" s="674">
        <f>IF(N558="BAM",1,IF(AF557="",0,1))</f>
        <v>0</v>
      </c>
      <c r="HE555" s="674">
        <f>IF(N558="BAM",1,IF(AG557="",0,1))</f>
        <v>0</v>
      </c>
      <c r="HF555" s="674">
        <f>IF(N558="BAM",1,IF(__Retrofit_TI_NC&gt;0,1,IF(AG558="",0,1)))</f>
        <v>0</v>
      </c>
      <c r="HG555" s="391"/>
      <c r="IA555" s="391"/>
      <c r="IB555" s="1693" t="b">
        <f>IF(OR(IB558=0,IB558=HY$16,IB558=HX$16,IB558=HZ$16),TRUE,FALSE)</f>
        <v>0</v>
      </c>
      <c r="IC555" s="1694" t="b">
        <f>IB555</f>
        <v>0</v>
      </c>
      <c r="ID555" s="391"/>
      <c r="IE555" s="391"/>
      <c r="IF555" s="1688" t="b">
        <f ca="1">IF(MAX(GN558:HU558)&gt;5,FALSE,TRUE)</f>
        <v>0</v>
      </c>
      <c r="IG555" s="1689">
        <f ca="1">IF(IF555=TRUE,AC555,0)</f>
        <v>0</v>
      </c>
      <c r="IH555" s="1689">
        <f ca="1">IG555-IG557</f>
        <v>0</v>
      </c>
      <c r="IK555" s="1689" t="e">
        <f>ROUND(T556*VLOOKUP(U556,Fixtures_Existing_List,2,FALSE)*N556*R556/1000,0)</f>
        <v>#N/A</v>
      </c>
      <c r="IL555" s="1690" t="e">
        <f>IK555-IK557</f>
        <v>#N/A</v>
      </c>
      <c r="IM555" s="1693" t="e">
        <f>ROUND(IF(CQ555="Interior",N557*R557*R556*N556*_C406_reduction/1000,N557*R557*R556*N556/1000),0)</f>
        <v>#N/A</v>
      </c>
      <c r="IN555" s="1693" t="e">
        <f>IM555-IM557</f>
        <v>#N/A</v>
      </c>
      <c r="IP555" s="1679"/>
      <c r="IQ555" s="1679" t="e">
        <f t="shared" ref="IQ555:IU555" si="506">IF($CR555="interior",VLOOKUP($CS555,_New_Control_Savings_Interior,IQ$30,FALSE),VLOOKUP($CS555,Control_Savings_Exterior,IQ$30,FALSE))</f>
        <v>#N/A</v>
      </c>
      <c r="IR555" s="1679" t="e">
        <f t="shared" si="506"/>
        <v>#N/A</v>
      </c>
      <c r="IS555" s="1679" t="e">
        <f t="shared" si="506"/>
        <v>#N/A</v>
      </c>
      <c r="IT555" s="1679" t="e">
        <f t="shared" si="506"/>
        <v>#N/A</v>
      </c>
      <c r="IU555" s="1679" t="e">
        <f t="shared" si="506"/>
        <v>#N/A</v>
      </c>
      <c r="IV555" s="1679" t="e">
        <f>IF($CR555="interior",IF(R556&gt;$IP$14,ROUND(($IV$18*($IP$14/R556)),2),$IV$18),VLOOKUP($CS555,Control_Savings_Exterior,IV$30,FALSE))</f>
        <v>#N/A</v>
      </c>
      <c r="IW555" s="1679" t="e">
        <f>IF($CR555="interior",ROUND(((1-IS555)*IV555)+IS555,2),VLOOKUP($CS555,Control_Savings_Exterior,IW$30,FALSE))</f>
        <v>#N/A</v>
      </c>
      <c r="IX555" s="1679" t="e">
        <f>IF($CR555="interior",ROUND(((1-IT555)*IV555)+IT555,2),VLOOKUP($CS555,Control_Savings_Exterior,IX$30,FALSE))</f>
        <v>#N/A</v>
      </c>
      <c r="IY555" s="1679" t="e">
        <f>IF($CR555="interior",IF(R556&gt;$IP$14,ROUND(($IY$18*($IP$14/R556)),2),$IY$18),VLOOKUP($CS555,Control_Savings_Exterior,IY$30,FALSE))</f>
        <v>#N/A</v>
      </c>
      <c r="IZ555" s="1679" t="e">
        <f>IF($CR555="interior",ROUND(((1-IS555)*IY555)+IS555,2),VLOOKUP($CS555,Control_Savings_Exterior,IZ$30,FALSE))</f>
        <v>#N/A</v>
      </c>
      <c r="JA555" s="1679" t="e">
        <f>IF($CR555="interior",ROUND(((1-IT555)*IY555)+IT555,2),VLOOKUP($CS555,Control_Savings_Exterior,JA$30,FALSE))</f>
        <v>#N/A</v>
      </c>
      <c r="JC555" s="1680">
        <f>IFERROR(IF(CR555="Interior",CONCATENATE(G558," ",FQ555),FQ555),"")</f>
        <v>0</v>
      </c>
      <c r="JD555" s="1670" t="str">
        <f>IFERROR(VLOOKUP(JC555,_Controls_2023,2,FALSE),"")</f>
        <v/>
      </c>
      <c r="JE555" s="1681">
        <f>IFERROR(CHOOSE(JD555-1,IQ555,IR555,IS555,IT555,IU555,IV555,IW555,IX555,IY555,IZ555,JA555),0)</f>
        <v>0</v>
      </c>
      <c r="JG555" s="1680" t="str">
        <f>FE555</f>
        <v xml:space="preserve"> - 0</v>
      </c>
      <c r="JH555" s="1670" t="e">
        <f>$FO555</f>
        <v>#N/A</v>
      </c>
      <c r="JI555" s="1060"/>
      <c r="JJ555" s="1682" t="b">
        <f>IF($JG557=CONCATENATE("Interior - ",JJ$4),TRUE,FALSE)</f>
        <v>0</v>
      </c>
      <c r="JK555" s="1061"/>
      <c r="JL555" s="1682" t="b">
        <f>IF($JG557=CONCATENATE("Interior - ",JL$4),TRUE,FALSE)</f>
        <v>0</v>
      </c>
      <c r="JM555" s="1061"/>
      <c r="JN555" s="1682" t="b">
        <f>IF($JG557=CONCATENATE("Interior - ",JN$4),TRUE,FALSE)</f>
        <v>0</v>
      </c>
      <c r="JO555" s="1061"/>
      <c r="JP555" s="1682" t="b">
        <f>IF(__Retrofit_TI_NC&gt;0,FALSE,IF($JG557=CONCATENATE("Interior - ",JP$4),TRUE,FALSE))</f>
        <v>0</v>
      </c>
      <c r="JQ555" s="1061"/>
      <c r="JR555" s="1682" t="b">
        <f>IF(__Retrofit_TI_NC&gt;0,FALSE,IF($JG557=CONCATENATE("Interior - ",JR$4),TRUE,FALSE))</f>
        <v>0</v>
      </c>
      <c r="JS555" s="1061"/>
      <c r="JT555" s="1670" t="b">
        <f>IF(__Retrofit_TI_NC&gt;0,FALSE,IF($JG557=CONCATENATE("Interior - ",JT$4),TRUE,FALSE))</f>
        <v>0</v>
      </c>
      <c r="JU555" s="1061"/>
      <c r="JV555" s="1670" t="b">
        <f>IF(JC557="AELC on Existing",TRUE,FALSE)</f>
        <v>0</v>
      </c>
      <c r="JX555" s="1670" t="b">
        <f>IF(OR(JG557="Exterior - AELC Occupancy based",JG557="Exterior - AELC Time based"),TRUE,FALSE)</f>
        <v>0</v>
      </c>
      <c r="JZ555" s="1682" t="b">
        <f>IF($JG557=CONCATENATE("Exterior - ",JZ$4),TRUE,FALSE)</f>
        <v>0</v>
      </c>
      <c r="KB555" s="1670" t="b">
        <f>IF(__Retrofit_TI_NC&gt;0,FALSE,IF($JG557=CONCATENATE("Interior - ",KB$4),TRUE,FALSE))</f>
        <v>0</v>
      </c>
    </row>
    <row r="556" spans="1:288" s="78" customFormat="1" ht="14.95" customHeight="1" thickTop="1" thickBot="1">
      <c r="B556" s="1845"/>
      <c r="C556" s="1846"/>
      <c r="D556" s="1847"/>
      <c r="E556" s="1737" t="s">
        <v>297</v>
      </c>
      <c r="F556" s="1738"/>
      <c r="G556" s="1739"/>
      <c r="H556" s="1739"/>
      <c r="I556" s="1739"/>
      <c r="J556" s="1739"/>
      <c r="K556" s="1739"/>
      <c r="L556" s="1739"/>
      <c r="M556" s="461" t="e">
        <f>IF(__Retrofit_TI_NC&lt;&gt;0,IF(VLOOKUP(G557,'Space Table'!$B$3:$L$163,3,FALSE)&gt;0,1,0),IF(__Retrofit_TI_NC=VLOOKUP(G557,'Space Table'!$B$3:$L$163,3,FALSE),1,0))</f>
        <v>#N/A</v>
      </c>
      <c r="N556" s="461" t="str">
        <f>IFERROR(VLOOKUP(G556,_Lookup_Heat_Type_Table_New,2,FALSE),"")</f>
        <v/>
      </c>
      <c r="O556" s="461">
        <f>IF(__Retrofit_TI_NC=1,CONCATENATE("TI ",G556),IF(__Retrofit_TI_NC=2,CONCATENATE("NC ",G556),G556))</f>
        <v>0</v>
      </c>
      <c r="P556" s="1740" t="s">
        <v>435</v>
      </c>
      <c r="Q556" s="1740"/>
      <c r="R556" s="595"/>
      <c r="S556" s="1792"/>
      <c r="T556" s="597"/>
      <c r="U556" s="1765"/>
      <c r="V556" s="1766"/>
      <c r="W556" s="1766"/>
      <c r="X556" s="1766"/>
      <c r="Y556" s="1766"/>
      <c r="Z556" s="1766"/>
      <c r="AA556" s="1766"/>
      <c r="AB556" s="1766"/>
      <c r="AC556" s="1766"/>
      <c r="AD556" s="1767"/>
      <c r="AE556" s="1000"/>
      <c r="AF556" s="597"/>
      <c r="AG556" s="1723"/>
      <c r="AH556" s="1724"/>
      <c r="AI556" s="1724"/>
      <c r="AJ556" s="1724"/>
      <c r="AK556" s="1725"/>
      <c r="AL556" s="996"/>
      <c r="AM556" s="1747"/>
      <c r="AN556" s="1775"/>
      <c r="AO556" s="1777"/>
      <c r="AP556" s="1780"/>
      <c r="AQ556" s="1781"/>
      <c r="AR556" s="1795"/>
      <c r="AS556" s="1795"/>
      <c r="AT556" s="1796"/>
      <c r="AU556" s="1735"/>
      <c r="AV556" s="1752"/>
      <c r="AW556" s="1705"/>
      <c r="AX556" s="467"/>
      <c r="AY556" s="1749"/>
      <c r="AZ556" s="1749"/>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696"/>
      <c r="CQ556" s="1696"/>
      <c r="CR556" s="1809"/>
      <c r="CS556" s="1811"/>
      <c r="CU556" s="1688"/>
      <c r="CV556" s="1703"/>
      <c r="CW556" s="1703"/>
      <c r="CX556" s="1703"/>
      <c r="CY556" s="1815"/>
      <c r="CZ556" s="1711"/>
      <c r="DA556" s="1818"/>
      <c r="DB556" s="1820"/>
      <c r="DC556" s="1820"/>
      <c r="DD556" s="1820"/>
      <c r="DF556" s="1703"/>
      <c r="DG556" s="1831"/>
      <c r="DH556" s="1703"/>
      <c r="DI556" s="1838"/>
      <c r="DJ556" s="1711"/>
      <c r="DK556" s="1712"/>
      <c r="DM556" s="1718"/>
      <c r="DO556" s="1708"/>
      <c r="DQ556" s="1715"/>
      <c r="DR556" s="1720"/>
      <c r="DS556" s="1816"/>
      <c r="DT556" s="1714"/>
      <c r="DU556" s="1715"/>
      <c r="DV556" s="1716"/>
      <c r="DX556" s="1715"/>
      <c r="DY556" s="1720"/>
      <c r="DZ556" s="1715"/>
      <c r="EA556" s="1715"/>
      <c r="EC556" s="1834"/>
      <c r="ED556" s="1834"/>
      <c r="EF556" s="1707"/>
      <c r="EG556" s="1712"/>
      <c r="EH556" s="1818"/>
      <c r="EI556" s="1712"/>
      <c r="EJ556" s="1712"/>
      <c r="EK556" s="1836"/>
      <c r="EL556" s="1836"/>
      <c r="EM556" s="1807"/>
      <c r="EN556" s="1839"/>
      <c r="EO556" s="1839"/>
      <c r="EP556" s="1817"/>
      <c r="EQ556" s="1817"/>
      <c r="ER556" s="1807"/>
      <c r="ES556" s="1807"/>
      <c r="ET556" s="1807"/>
      <c r="EV556" s="1715"/>
      <c r="EX556" s="1805"/>
      <c r="EY556" s="1805"/>
      <c r="EZ556" s="1805"/>
      <c r="FA556" s="1805"/>
      <c r="FB556" s="1805"/>
      <c r="FC556" s="1827"/>
      <c r="FE556" s="1698"/>
      <c r="FG556" s="1816"/>
      <c r="FH556" s="1816"/>
      <c r="FI556" s="133"/>
      <c r="FL556" s="1823"/>
      <c r="FM556" s="1825"/>
      <c r="FN556" s="1698"/>
      <c r="FO556" s="1698"/>
      <c r="FP556" s="1678"/>
      <c r="FQ556" s="1678"/>
      <c r="FS556" s="1687"/>
      <c r="FT556" s="1687"/>
      <c r="FU556" s="1685"/>
      <c r="FV556" s="1687"/>
      <c r="FW556" s="1687"/>
      <c r="FX556" s="1687"/>
      <c r="FY556" s="1697"/>
      <c r="GA556" s="1696"/>
      <c r="GB556" s="1696"/>
      <c r="GC556" s="1696"/>
      <c r="GD556" s="1696"/>
      <c r="GE556" s="1696"/>
      <c r="GF556" s="1696"/>
      <c r="GG556" s="1696"/>
      <c r="GH556" s="1696"/>
      <c r="GI556" s="673"/>
      <c r="GJ556" s="1135"/>
      <c r="GK556" s="1832"/>
      <c r="GM556" s="1693" t="b">
        <f ca="1">IF(AND(GP556=TRUE,GQ556=TRUE),TRUE,FALSE)</f>
        <v>0</v>
      </c>
      <c r="GN556" s="1684" t="b">
        <f>IFERROR(IF(__Retrofit_TI_NC=2,TRUE,IF(AU555="Yes",TRUE,FALSE)),FALSE)</f>
        <v>1</v>
      </c>
      <c r="GP556" s="1684" t="b">
        <f>IFERROR(IF(GP555=1,TRUE,FALSE),FALSE)</f>
        <v>0</v>
      </c>
      <c r="GQ556" s="1684" t="b">
        <f ca="1">IFERROR(IF(GQ555=GQ$14,TRUE,FALSE),FALSE)</f>
        <v>0</v>
      </c>
      <c r="HG556" s="1684" t="b">
        <f>IFERROR(IF(AND(__Retrofit_TI_NC&gt;0,CQ555="Interior"),FALSE,TRUE),FALSE)</f>
        <v>1</v>
      </c>
      <c r="HH556" s="1684" t="b">
        <f>IFERROR(IF(M556=1,TRUE,FALSE),FALSE)</f>
        <v>0</v>
      </c>
      <c r="HI556" s="1684" t="b">
        <f>IFERROR(IF(OR(M557=1,N558="BAM"),TRUE,FALSE),FALSE)</f>
        <v>0</v>
      </c>
      <c r="HJ556" s="1684" t="b">
        <f>IFERROR(IF(__Retrofit_TI_NC&lt;&gt;0,TRUE,IFERROR(IF(VLOOKUP(U556,Fixtures_Existing_List,2,FALSE)&lt;&gt;"",TRUE,FALSE),FALSE)),FALSE)</f>
        <v>0</v>
      </c>
      <c r="HK556" s="1684" t="b">
        <f>IFERROR(IF(VLOOKUP(U557,Fixtures_Proposed_List,2,FALSE)&lt;&gt;"",TRUE,FALSE),FALSE)</f>
        <v>0</v>
      </c>
      <c r="HL556" s="1684" t="b">
        <f>IF(AND(__Retrofit_TI_NC=2,FC555=TRUE),FALSE,TRUE)</f>
        <v>1</v>
      </c>
      <c r="HM556" s="1684" t="b">
        <f>GK555</f>
        <v>1</v>
      </c>
      <c r="HN556" s="1682" t="b">
        <f>IF(ISERROR(MATCH(FE555,_Control_Match[],0))=TRUE,FALSE,TRUE)</f>
        <v>0</v>
      </c>
      <c r="HO556" s="1693" t="b">
        <f>IFERROR(IF(EX555&lt;&gt;EY555,FALSE,TRUE),FALSE)</f>
        <v>1</v>
      </c>
      <c r="HP556" s="1693" t="b">
        <f>IFERROR(IF(EX557&lt;&gt;EY557,FALSE,TRUE),FALSE)</f>
        <v>1</v>
      </c>
      <c r="HQ556" s="1670" t="b">
        <f>IFERROR(IF(CQ555="Exterior",TRUE,IF(AND(OR(FM557=0,FM557=3),JD557&gt;6),FALSE,TRUE)),FALSE)</f>
        <v>0</v>
      </c>
      <c r="HR556" s="1684" t="b">
        <f>IFERROR(IF(AND(FO557=7,FC555=TRUE),FALSE,TRUE),FALSE)</f>
        <v>0</v>
      </c>
      <c r="HS556" s="1684" t="b">
        <f>IFERROR(IF(AND(T557&lt;&gt;AF557,OR(AG557="Interior LLLC", AG557="Interior NLC", AG557="LLLC (outside Daylight)",AG557="LLLC Controls Only"))=TRUE,FALSE,TRUE),FALSE)</f>
        <v>1</v>
      </c>
      <c r="HT556" s="1670" t="b">
        <f>IFERROR(IF(OR(AG557=Lookup!BB$17,AG557=Lookup!BB$18,AG557=Lookup!BB$19)=TRUE,IF(AF557&gt;T557,FALSE,TRUE),TRUE),FALSE)</f>
        <v>1</v>
      </c>
      <c r="HU556" s="1684" t="b">
        <f>IFERROR(IF(__Retrofit_TI_NC=2,IF(EZ557&lt;EZ555,FALSE,TRUE),TRUE),FALSE)</f>
        <v>1</v>
      </c>
      <c r="HV556" s="1684" t="b">
        <f>IF(CQ555="Interior",IL$6,TRUE)</f>
        <v>1</v>
      </c>
      <c r="HW556" s="1684" t="b">
        <f>IF(CQ555="Exterior",IL$8,TRUE)</f>
        <v>1</v>
      </c>
      <c r="HX556" s="1684" t="b">
        <f>IFERROR(IF(__Retrofit_TI_NC&lt;&gt;0,IF(AZ555&lt;AY555,FALSE,TRUE),TRUE),FALSE)</f>
        <v>1</v>
      </c>
      <c r="HY556" s="1684" t="b">
        <f>IFERROR(IF(AND(G556="Exterior",R556&gt;4200),FALSE,TRUE),FALSE)</f>
        <v>1</v>
      </c>
      <c r="HZ556" s="1684" t="b">
        <f>IFERROR(IF(AB558/AB555&lt;HZ$18,FALSE,TRUE),FALSE)</f>
        <v>0</v>
      </c>
      <c r="IB556" s="1691"/>
      <c r="IC556" s="1695"/>
      <c r="ID556" s="1694" t="str">
        <f>VLOOKUP(IB558,_Error_Table,4,FALSE)</f>
        <v>White</v>
      </c>
      <c r="IE556" s="391"/>
      <c r="IF556" s="1688"/>
      <c r="IG556" s="1689"/>
      <c r="IH556" s="1684"/>
      <c r="IK556" s="1689"/>
      <c r="IL556" s="1691"/>
      <c r="IM556" s="1691"/>
      <c r="IN556" s="1691"/>
      <c r="IP556" s="1679"/>
      <c r="IQ556" s="1679"/>
      <c r="IR556" s="1679"/>
      <c r="IS556" s="1679"/>
      <c r="IT556" s="1679"/>
      <c r="IU556" s="1679"/>
      <c r="IV556" s="1679"/>
      <c r="IW556" s="1679"/>
      <c r="IX556" s="1679"/>
      <c r="IY556" s="1679"/>
      <c r="IZ556" s="1679"/>
      <c r="JA556" s="1679"/>
      <c r="JC556" s="1680"/>
      <c r="JD556" s="1670"/>
      <c r="JE556" s="1681"/>
      <c r="JG556" s="1680"/>
      <c r="JH556" s="1670"/>
      <c r="JI556" s="1060"/>
      <c r="JJ556" s="1683"/>
      <c r="JK556" s="1061"/>
      <c r="JL556" s="1683"/>
      <c r="JM556" s="1061"/>
      <c r="JN556" s="1683"/>
      <c r="JO556" s="1061"/>
      <c r="JP556" s="1683"/>
      <c r="JQ556" s="1061"/>
      <c r="JR556" s="1683"/>
      <c r="JS556" s="1061"/>
      <c r="JT556" s="1670"/>
      <c r="JU556" s="1061"/>
      <c r="JV556" s="1670"/>
      <c r="JX556" s="1670"/>
      <c r="JZ556" s="1683"/>
      <c r="KB556" s="1670"/>
    </row>
    <row r="557" spans="1:288" s="78" customFormat="1" ht="14.95" customHeight="1" thickTop="1" thickBot="1">
      <c r="A557" s="78">
        <f>ROW()</f>
        <v>557</v>
      </c>
      <c r="B557" s="1845"/>
      <c r="C557" s="1846"/>
      <c r="D557" s="1847"/>
      <c r="E557" s="1737" t="s">
        <v>298</v>
      </c>
      <c r="F557" s="1738"/>
      <c r="G557" s="1760"/>
      <c r="H557" s="1761"/>
      <c r="I557" s="1761"/>
      <c r="J557" s="1761"/>
      <c r="K557" s="1761"/>
      <c r="L557" s="1762"/>
      <c r="M557" s="461">
        <f>IFERROR(IF(IF(__Retrofit_TI_NC&lt;&gt;0,IF(CQ555="Interior",MATCH(G557,Lookup_Interior_New,0),MATCH(G557,Lookup_Exterior_New,0)),IF(CQ555="Interior",MATCH(G557,Lookup_Interior,0),MATCH(G557,Lookup_Exterior_Areas,0)))&gt;0,1,0),0)</f>
        <v>0</v>
      </c>
      <c r="N557" s="461" t="e">
        <f>IF(__Retrofit_TI_NC=1,
VLOOKUP(G557,'Space Table'!$B$3:$L$163,4,FALSE),
IF(__Retrofit_TI_NC=2,VLOOKUP(G557,'Space Table'!$B$3:$L$163,5,FALSE),VLOOKUP(G557,'Space Table'!$B$3:$L$163,5,FALSE)))</f>
        <v>#N/A</v>
      </c>
      <c r="O557" s="461">
        <f>G557</f>
        <v>0</v>
      </c>
      <c r="P557" s="1738" t="str">
        <f>IFERROR(IF(__Retrofit_TI_NC=1,VLOOKUP(G557,'Space Table'!$B$3:$O$163,13,FALSE),IF(__Retrofit_TI_NC=2,VLOOKUP(G557,'Space Table'!$B$3:$O$163,14,FALSE),"Area (sf):")),"Area (sf):")</f>
        <v>Area (sf):</v>
      </c>
      <c r="Q557" s="1738"/>
      <c r="R557" s="596"/>
      <c r="S557" s="1763" t="s">
        <v>345</v>
      </c>
      <c r="T557" s="594"/>
      <c r="U557" s="1801"/>
      <c r="V557" s="1802"/>
      <c r="W557" s="1802"/>
      <c r="X557" s="1802"/>
      <c r="Y557" s="1802"/>
      <c r="Z557" s="1802"/>
      <c r="AA557" s="1802"/>
      <c r="AB557" s="1802"/>
      <c r="AC557" s="1802"/>
      <c r="AD557" s="1802"/>
      <c r="AE557" s="1803"/>
      <c r="AF557" s="594"/>
      <c r="AG557" s="1787"/>
      <c r="AH557" s="1787"/>
      <c r="AI557" s="1787"/>
      <c r="AJ557" s="1787"/>
      <c r="AK557" s="1787"/>
      <c r="AL557" s="1787"/>
      <c r="AM557" s="1726">
        <f>IFERROR(DI557,"")</f>
        <v>0</v>
      </c>
      <c r="AN557" s="1728" t="str">
        <f>IFERROR(ROUND(AM557*AC558,0),"")</f>
        <v/>
      </c>
      <c r="AO557" s="1730">
        <f>IFERROR(IF(IB555=FALSE,0,AC558-AN557),0)</f>
        <v>0</v>
      </c>
      <c r="AP557" s="1780"/>
      <c r="AQ557" s="1781"/>
      <c r="AR557" s="1795"/>
      <c r="AS557" s="1795"/>
      <c r="AT557" s="1796"/>
      <c r="AU557" s="1735"/>
      <c r="AV557" s="1752"/>
      <c r="AW557" s="1705"/>
      <c r="AX557" s="467"/>
      <c r="AY557" s="1749"/>
      <c r="AZ557" s="1749"/>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696"/>
      <c r="CQ557" s="1696"/>
      <c r="CR557" s="1808" t="str">
        <f>CQ555</f>
        <v/>
      </c>
      <c r="CS557" s="1810" t="str">
        <f>CS555</f>
        <v/>
      </c>
      <c r="CU557" s="1688" t="s">
        <v>345</v>
      </c>
      <c r="CV557" s="1702">
        <f>IF(IB555=TRUE,T557,0)</f>
        <v>0</v>
      </c>
      <c r="CW557" s="1702" t="str">
        <f>IF(IB555=TRUE,U557,"")</f>
        <v/>
      </c>
      <c r="CX557" s="1812">
        <f>IF(IB555=TRUE,U558,0)</f>
        <v>0</v>
      </c>
      <c r="CY557" s="1814">
        <f>IF(IB555=TRUE,AB558,0)</f>
        <v>0</v>
      </c>
      <c r="CZ557" s="1710">
        <f>IF(AND(__Retrofit_TI_NC&gt;0,CR555="interior"),0,IF(IB555=TRUE,AC558,0))</f>
        <v>0</v>
      </c>
      <c r="DA557" s="1818"/>
      <c r="DB557" s="1820"/>
      <c r="DC557" s="1820"/>
      <c r="DD557" s="1820"/>
      <c r="DF557" s="1702">
        <f>IF(IB555=TRUE,AF557,0)</f>
        <v>0</v>
      </c>
      <c r="DG557" s="1830" t="str">
        <f>IF(IB555=TRUE,AG557,"")</f>
        <v/>
      </c>
      <c r="DH557" s="1812">
        <f>AG558</f>
        <v>0</v>
      </c>
      <c r="DI557" s="1837">
        <f>JE557</f>
        <v>0</v>
      </c>
      <c r="DJ557" s="1710">
        <f>IF(AND(__Retrofit_TI_NC&gt;0,CR555="interior"),0,IF(IB555=TRUE,AN557,0))</f>
        <v>0</v>
      </c>
      <c r="DK557" s="1712"/>
      <c r="DN557" s="1717">
        <f>IFERROR(CZ557-DJ557,0)</f>
        <v>0</v>
      </c>
      <c r="DO557" s="1709"/>
      <c r="DQ557" s="1715"/>
      <c r="DR557" s="1719" t="str">
        <f>DQ555</f>
        <v/>
      </c>
      <c r="DS557" s="1816"/>
      <c r="DT557" s="1835" t="str">
        <f>IF(OR(DS555=7,DS555=8,DS555=9),"ALC","")</f>
        <v/>
      </c>
      <c r="DU557" s="1715"/>
      <c r="DV557" s="1716"/>
      <c r="DX557" s="1715"/>
      <c r="DY557" s="1829" t="str">
        <f>DX555</f>
        <v/>
      </c>
      <c r="DZ557" s="1715"/>
      <c r="EA557" s="1715"/>
      <c r="EC557" s="1834"/>
      <c r="ED557" s="1834"/>
      <c r="EF557" s="1707"/>
      <c r="EG557" s="1712"/>
      <c r="EH557" s="1818"/>
      <c r="EI557" s="1712"/>
      <c r="EJ557" s="1712"/>
      <c r="EK557" s="1836"/>
      <c r="EL557" s="1836"/>
      <c r="EM557" s="1807"/>
      <c r="EN557" s="1839"/>
      <c r="EO557" s="1839"/>
      <c r="EP557" s="1817"/>
      <c r="EQ557" s="1817"/>
      <c r="ER557" s="1807"/>
      <c r="ES557" s="1807"/>
      <c r="ET557" s="1807"/>
      <c r="EV557" s="1715"/>
      <c r="EX557" s="1805" t="str">
        <f>IFERROR(VLOOKUP(CS557,'Space Table'!$B$3:$L$163,8,FALSE),"")</f>
        <v/>
      </c>
      <c r="EY557" s="1805" t="str">
        <f>IFERROR(IF(FB557="Yes",VLOOKUP(AG557,Lookup_Control_Type_Table2,4,FALSE),VLOOKUP(AG557,Lookup_Control_Type_Table2,3,FALSE)),"")</f>
        <v/>
      </c>
      <c r="EZ557" s="1805" t="e">
        <f>VLOOKUP(AG557,Lookup!BB$3:BC$20,2,FALSE)</f>
        <v>#N/A</v>
      </c>
      <c r="FA557" s="1805" t="e">
        <f>VLOOKUP(EX555,Lookup_Control_Type_Table,2,FALSE)</f>
        <v>#N/A</v>
      </c>
      <c r="FB557" s="1805" t="e">
        <f>VLOOKUP(CS557,'Space Table'!$B$3:$L$163,7,FALSE)</f>
        <v>#N/A</v>
      </c>
      <c r="FC557" s="1827"/>
      <c r="FE557" s="1698" t="str">
        <f>CONCATENATE(CQ555," - ",AG557)</f>
        <v xml:space="preserve"> - </v>
      </c>
      <c r="FG557" s="1816"/>
      <c r="FH557" s="1816"/>
      <c r="FI557" s="133"/>
      <c r="FL557" s="1822" t="str">
        <f>IF(CQ555="Exterior","Not Daylighted",G558)</f>
        <v>Not Daylighted</v>
      </c>
      <c r="FM557" s="1824">
        <f>VLOOKUP(FL557,_New_Daylight_Table_Codes,2,FALSE)</f>
        <v>0</v>
      </c>
      <c r="FN557" s="1698">
        <f>AG557</f>
        <v>0</v>
      </c>
      <c r="FO557" s="1698" t="e">
        <f>VLOOKUP(FN557,_Control_Table,2,FALSE)</f>
        <v>#N/A</v>
      </c>
      <c r="FP557" s="1678" t="e">
        <f>VLOOKUP(CONCATENATE(FL557," ",FN557),Lookup!AY$102:AZ568,2,FALSE)</f>
        <v>#N/A</v>
      </c>
      <c r="FQ557" s="1698">
        <f>IF(__Retrofit_TI_NC=0,FN557,IF(AND(FT557&gt;0,FN557="Occupancy Sensor"),"Daylight + Occupancy",IF(AND(FT557&gt;0,FO557&lt;4),"Interior Daylight Dimming",FN557)))</f>
        <v>0</v>
      </c>
      <c r="FS557" s="1686">
        <f>IF(CQ555="Interior",VLOOKUP(CS555,Control_Savings_Interior,5,FALSE),0)</f>
        <v>0</v>
      </c>
      <c r="FT557" s="1687">
        <f>IF(CQ557="Exterior",0,IF(FM557=2,0.5,IF(OR(FM557=1,FM557=3),1,0)))</f>
        <v>0</v>
      </c>
      <c r="FU557" s="1685">
        <f>IF(R556&gt;FS$44,(FS557*(FS$44/R556)),FS557)*FT557</f>
        <v>0</v>
      </c>
      <c r="FV557" s="1686">
        <f>DI557</f>
        <v>0</v>
      </c>
      <c r="FW557" s="1686">
        <f>ROUND(FV557+((1-FV557)*FU557),2)</f>
        <v>0</v>
      </c>
      <c r="FX557" s="1686">
        <f>IF(__Retrofit_TI_NC=2,FW557,FV557)</f>
        <v>0</v>
      </c>
      <c r="FY557" s="1697">
        <f>IF(CR557="Interior",VLOOKUP(CS557,Control_Savings_Interior,4,FALSE),0)</f>
        <v>0</v>
      </c>
      <c r="GA557" s="1696"/>
      <c r="GB557" s="1696"/>
      <c r="GC557" s="1696"/>
      <c r="GD557" s="1696"/>
      <c r="GE557" s="1696"/>
      <c r="GF557" s="1696"/>
      <c r="GG557" s="1696"/>
      <c r="GH557" s="1696"/>
      <c r="GI557" s="673" t="b">
        <f>IF(ISNUMBER(SEARCH("TLED",U557)),TRUE,FALSE)</f>
        <v>0</v>
      </c>
      <c r="GJ557" s="1135" t="str">
        <f>IFERROR(VLOOKUP(U557,Fixtures!DM$93:DR$142,6,FALSE),"")</f>
        <v/>
      </c>
      <c r="GK557" s="1832"/>
      <c r="GM557" s="1692"/>
      <c r="GN557" s="1684"/>
      <c r="GP557" s="1684"/>
      <c r="GQ557" s="1684"/>
      <c r="HG557" s="1684"/>
      <c r="HH557" s="1684"/>
      <c r="HI557" s="1684"/>
      <c r="HJ557" s="1684"/>
      <c r="HK557" s="1684"/>
      <c r="HL557" s="1684"/>
      <c r="HM557" s="1684"/>
      <c r="HN557" s="1683"/>
      <c r="HO557" s="1692"/>
      <c r="HP557" s="1692"/>
      <c r="HQ557" s="1670"/>
      <c r="HR557" s="1684"/>
      <c r="HS557" s="1684"/>
      <c r="HT557" s="1670"/>
      <c r="HU557" s="1684"/>
      <c r="HV557" s="1684"/>
      <c r="HW557" s="1684"/>
      <c r="HX557" s="1684"/>
      <c r="HY557" s="1684"/>
      <c r="HZ557" s="1684"/>
      <c r="IB557" s="1692"/>
      <c r="IC557" s="1693" t="b">
        <f>IB555</f>
        <v>0</v>
      </c>
      <c r="ID557" s="1695"/>
      <c r="IE557" s="391"/>
      <c r="IF557" s="1688"/>
      <c r="IG557" s="1689">
        <f ca="1">IF(IF555=TRUE,AC558,0)</f>
        <v>0</v>
      </c>
      <c r="IH557" s="1684"/>
      <c r="IK557" s="1689" t="e">
        <f>ROUND(T557*AB558*N556*R556/1000,0)</f>
        <v>#VALUE!</v>
      </c>
      <c r="IL557" s="1691"/>
      <c r="IM557" s="1693" t="e">
        <f>ROUND(T557*AB558*N556*R556/1000,0)</f>
        <v>#VALUE!</v>
      </c>
      <c r="IN557" s="1691"/>
      <c r="IP557" s="1679"/>
      <c r="IQ557" s="1679" t="e">
        <f t="shared" ref="IQ557:IU557" si="507">IF($CR557="interior",VLOOKUP($CS557,_New_Control_Savings_Interior,IQ$30,FALSE),VLOOKUP($CS557,Control_Savings_Exterior,IQ$30,FALSE))</f>
        <v>#N/A</v>
      </c>
      <c r="IR557" s="1679" t="e">
        <f t="shared" si="507"/>
        <v>#N/A</v>
      </c>
      <c r="IS557" s="1679" t="e">
        <f t="shared" si="507"/>
        <v>#N/A</v>
      </c>
      <c r="IT557" s="1679" t="e">
        <f t="shared" si="507"/>
        <v>#N/A</v>
      </c>
      <c r="IU557" s="1679" t="e">
        <f t="shared" si="507"/>
        <v>#N/A</v>
      </c>
      <c r="IV557" s="1679" t="e">
        <f>IF($CR557="interior",IF(R556&gt;$IP$14,ROUND(($IV$18*($IP$14/R556)),2),$IV$18),VLOOKUP($CS557,Control_Savings_Exterior,IV$30,FALSE))</f>
        <v>#N/A</v>
      </c>
      <c r="IW557" s="1679" t="e">
        <f>IF($CR557="interior",ROUND(((1-IS557)*IV557)+IS557,2),VLOOKUP($CS557,Control_Savings_Exterior,IW$30,FALSE))</f>
        <v>#N/A</v>
      </c>
      <c r="IX557" s="1679" t="e">
        <f>IF($CR557="interior",ROUND(((1-IT557)*IV557)+IT557,2),VLOOKUP($CS557,Control_Savings_Exterior,IX$30,FALSE))</f>
        <v>#N/A</v>
      </c>
      <c r="IY557" s="1679" t="e">
        <f>IF($CR557="interior",IF(R556&gt;$IP$14,ROUND(($IY$18*($IP$14/R556)),2),$IY$18),VLOOKUP($CS557,Control_Savings_Exterior,IY$30,FALSE))</f>
        <v>#N/A</v>
      </c>
      <c r="IZ557" s="1679" t="e">
        <f>IF($CR557="interior",ROUND(((1-IS557)*IY557)+IS557,2),VLOOKUP($CS557,Control_Savings_Exterior,IZ$30,FALSE))</f>
        <v>#N/A</v>
      </c>
      <c r="JA557" s="1679" t="e">
        <f>IF($CR557="interior",ROUND(((1-IT557)*IY557)+IT557,2),VLOOKUP($CS557,Control_Savings_Exterior,JA$30,FALSE))</f>
        <v>#N/A</v>
      </c>
      <c r="JC557" s="1680">
        <f>IFERROR(IF(CR557="Interior",CONCATENATE(G558," ",FQ557),AG557),"")</f>
        <v>0</v>
      </c>
      <c r="JD557" s="1670" t="str">
        <f>IFERROR(VLOOKUP(JC557,_Controls_2023,2,FALSE),"")</f>
        <v/>
      </c>
      <c r="JE557" s="1681">
        <f>IFERROR(CHOOSE(JD557-1,IQ557,IR557,IS557,IT557,IU557,IV557,IW557,IX557,IY557,IZ557,JA557),0)</f>
        <v>0</v>
      </c>
      <c r="JG557" s="1680" t="str">
        <f>FE557</f>
        <v xml:space="preserve"> - </v>
      </c>
      <c r="JH557" s="1670" t="e">
        <f>$FO557</f>
        <v>#N/A</v>
      </c>
      <c r="JI557" s="1060"/>
      <c r="JJ557" s="1670">
        <f>IFERROR(IF($IB555=TRUE,IF(OR(JJ$14="No",JJ555=FALSE,JH557&lt;=JH555,AND(_kWh_Grant=0,GD555=FALSE)),0,IF(JJ$8="Per Line",1,$AF557)),0),0)</f>
        <v>0</v>
      </c>
      <c r="JK557" s="1061"/>
      <c r="JL557" s="1670">
        <f>IFERROR(IF(_kWh_Grant=0,0,IF($IB555=TRUE,IF(OR(JL$14="No",JL555=FALSE,JH557&lt;=JH555),0,IF(JL$8="Per Line",1,$T557)),0)),0)</f>
        <v>0</v>
      </c>
      <c r="JM557" s="1061"/>
      <c r="JN557" s="1670">
        <f>IFERROR(IF(_kWh_Grant=0,0,IF($IB555=TRUE,IF(OR(JN$14="No",JN555=FALSE,JH557&lt;=JH555),0,IF(JN$8="Per Line",1,$AF557)),0)),0)</f>
        <v>0</v>
      </c>
      <c r="JO557" s="1061"/>
      <c r="JP557" s="1670">
        <f>IFERROR(IF(__Retrofit_TI_NC=0,IF(_kWh_Grant=0,0,IF($IB555=TRUE,IF(OR(JP$14="No",JP555=FALSE,$JH557&lt;=$JH555),0,IF(JP$8="Per Line",1,$AF557)),0)),IF($IB555=TRUE,IF(OR(JP$14="No",JP555=FALSE,$JH557&lt;=$JH555),0,IF(JP$8="Per Line",1,$AF557)))),0)</f>
        <v>0</v>
      </c>
      <c r="JQ557" s="1061"/>
      <c r="JR557" s="1670">
        <f>IFERROR(IF(__Retrofit_TI_NC=0,IF(_kWh_Grant=0,0,IF($IB555=TRUE,IF(OR(JR$14="No",JR555=FALSE,$JH557&lt;=$JH555),0,IF(JR$8="Per Line",1,$AF557)),0)),IF($IB555=TRUE,IF(OR(JR$14="No",JR555=FALSE,$JH557&lt;=$JH555),0,IF(JR$8="Per Line",1,$AF557)))),0)</f>
        <v>0</v>
      </c>
      <c r="JS557" s="1061"/>
      <c r="JT557" s="1670">
        <f>IFERROR(IF(__Retrofit_TI_NC=0,IF(_kWh_Grant=0,0,IF($IB555=TRUE,IF(OR(JT$14="No",JT555=FALSE,$JH557&lt;=$JH555),0,IF(JT$8="Per Line",1,$AF557)),0)),IF($IB555=TRUE,IF(OR(JT$14="No",JT555=FALSE,$JH557&lt;=$JH555),0,IF(JT$8="Per Line",1,$AF557)))),0)</f>
        <v>0</v>
      </c>
      <c r="JU557" s="1061"/>
      <c r="JV557" s="1670">
        <f>IFERROR(IF(__Retrofit_TI_NC=0,IF(_kWh_Grant=0,0,IF($IB555=TRUE,IF(OR(JV$14="No",JV555=FALSE,$JH557&lt;=$JH555),0,IF(JV$8="Per Line",1,$AF557)),0)),IF($IB555=TRUE,IF(OR(JV$14="No",JV555=FALSE,$JH557&lt;=$JH555),0,IF(JV$8="Per Line",1,$AF557)))),0)</f>
        <v>0</v>
      </c>
      <c r="JX557" s="1670">
        <f>IFERROR(IF(__Retrofit_TI_NC=0,IF(_kWh_Grant=0,0,IF($IB555=TRUE,IF(OR(JX$14="No",JX555=FALSE,$JH557&lt;=$JH555),0,IF(JX$8="Per Line",1,$AF557)),0)),IF($IB555=TRUE,IF(OR(JX$14="No",JX555=FALSE,$JH557&lt;=$JH555),0,IF(JX$8="Per Line",1,$AF557)))),0)</f>
        <v>0</v>
      </c>
      <c r="JZ557" s="1670">
        <f>IFERROR(IF($IB555=TRUE,IF(OR(JZ$14="No",JZ555=FALSE,$JH557&lt;=$JH555,AND(_kWh_Grant=0,$GD555=FALSE)),0,IF(JZ$8="Per Line",1,$AF557)),0),0)</f>
        <v>0</v>
      </c>
      <c r="KB557" s="1670">
        <f>IFERROR(IF(__Retrofit_TI_NC=0,IF(_kWh_Grant=0,0,IF($IB555=TRUE,IF(OR(KB$14="No",KB555=FALSE,$JH557&lt;=$JH555),0,IF(KB$8="Per Line",1,$AF557)),0)),IF($IB555=TRUE,IF(OR(KB$14="No",KB555=FALSE,$JH557&lt;=$JH555),0,IF(KB$8="Per Line",1,$AF557)))),0)</f>
        <v>0</v>
      </c>
    </row>
    <row r="558" spans="1:288" s="78" customFormat="1" ht="14.95" customHeight="1" thickTop="1" thickBot="1">
      <c r="B558" s="1845"/>
      <c r="C558" s="1846"/>
      <c r="D558" s="1847"/>
      <c r="E558" s="1771" t="s">
        <v>436</v>
      </c>
      <c r="F558" s="1772"/>
      <c r="G558" s="1784" t="s">
        <v>437</v>
      </c>
      <c r="H558" s="1785"/>
      <c r="I558" s="1785"/>
      <c r="J558" s="1785"/>
      <c r="K558" s="1785"/>
      <c r="L558" s="1786"/>
      <c r="M558" s="591">
        <f>IFERROR(VLOOKUP(G558,_Daylight_Table[],2,FALSE),0)</f>
        <v>0</v>
      </c>
      <c r="N558" s="592" t="str">
        <f>IF(AND(__Retrofit_TI_NC&gt;0,CQ555="Interior"),"BAM","")</f>
        <v/>
      </c>
      <c r="O558" s="591" t="e">
        <f>VLOOKUP(G557,'Space Table'!$B$3:$L$163,11,FALSE)</f>
        <v>#N/A</v>
      </c>
      <c r="P558" s="1789"/>
      <c r="Q558" s="1790"/>
      <c r="R558" s="1790"/>
      <c r="S558" s="1788"/>
      <c r="T558" s="593" t="s">
        <v>342</v>
      </c>
      <c r="U558" s="1756" t="str" cm="1">
        <f t="array" aca="1" ref="U558" ca="1">IFERROR(VLOOKUP(INDIRECT("U" &amp; ROW()-1),Fixtures!DM$93:DP$142,4,FALSE),"")</f>
        <v/>
      </c>
      <c r="V558" s="1757"/>
      <c r="W558" s="1757"/>
      <c r="X558" s="1757"/>
      <c r="Y558" s="1757"/>
      <c r="Z558" s="1757"/>
      <c r="AA558" s="1758"/>
      <c r="AB558" s="939" t="str">
        <f>IFERROR(VLOOKUP(U557,Fixtures_Proposed_List,2,FALSE),"")</f>
        <v/>
      </c>
      <c r="AC558" s="933" t="str">
        <f>IFERROR(ROUND(T557*AB558*N556*R556/1000,0),"")</f>
        <v/>
      </c>
      <c r="AD558" s="934" t="str">
        <f>IFERROR(ROUND(T557*AB558/1000,2),"")</f>
        <v/>
      </c>
      <c r="AE558" s="998"/>
      <c r="AF558" s="938" t="s">
        <v>342</v>
      </c>
      <c r="AG558" s="1770"/>
      <c r="AH558" s="1770"/>
      <c r="AI558" s="1770"/>
      <c r="AJ558" s="1770"/>
      <c r="AK558" s="1770"/>
      <c r="AL558" s="1770"/>
      <c r="AM558" s="1727"/>
      <c r="AN558" s="1729"/>
      <c r="AO558" s="1731"/>
      <c r="AP558" s="1782"/>
      <c r="AQ558" s="1783"/>
      <c r="AR558" s="1797"/>
      <c r="AS558" s="1797"/>
      <c r="AT558" s="1798"/>
      <c r="AU558" s="1736"/>
      <c r="AV558" s="1753"/>
      <c r="AW558" s="1706"/>
      <c r="AX558" s="468"/>
      <c r="AY558" s="1750"/>
      <c r="AZ558" s="1750"/>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696"/>
      <c r="CQ558" s="1696"/>
      <c r="CR558" s="1809"/>
      <c r="CS558" s="1811"/>
      <c r="CU558" s="1688"/>
      <c r="CV558" s="1703"/>
      <c r="CW558" s="1703"/>
      <c r="CX558" s="1813"/>
      <c r="CY558" s="1815"/>
      <c r="CZ558" s="1711"/>
      <c r="DA558" s="1815"/>
      <c r="DB558" s="1821"/>
      <c r="DC558" s="1821"/>
      <c r="DD558" s="1821"/>
      <c r="DF558" s="1703"/>
      <c r="DG558" s="1831"/>
      <c r="DH558" s="1813"/>
      <c r="DI558" s="1838"/>
      <c r="DJ558" s="1711"/>
      <c r="DK558" s="1712"/>
      <c r="DN558" s="1718"/>
      <c r="DO558" s="1709"/>
      <c r="DQ558" s="1715"/>
      <c r="DR558" s="1720"/>
      <c r="DS558" s="1703"/>
      <c r="DT558" s="1714"/>
      <c r="DU558" s="1715"/>
      <c r="DV558" s="1716"/>
      <c r="DX558" s="1715"/>
      <c r="DY558" s="1720"/>
      <c r="DZ558" s="1715"/>
      <c r="EA558" s="1715"/>
      <c r="EC558" s="1834"/>
      <c r="ED558" s="1834"/>
      <c r="EF558" s="1707"/>
      <c r="EG558" s="1712"/>
      <c r="EH558" s="1815"/>
      <c r="EI558" s="1712"/>
      <c r="EJ558" s="1712"/>
      <c r="EK558" s="1813"/>
      <c r="EL558" s="1813"/>
      <c r="EM558" s="1807"/>
      <c r="EN558" s="1839"/>
      <c r="EO558" s="1839"/>
      <c r="EP558" s="1817"/>
      <c r="EQ558" s="1817"/>
      <c r="ER558" s="1807"/>
      <c r="ES558" s="1807"/>
      <c r="ET558" s="1807"/>
      <c r="EV558" s="1715"/>
      <c r="EX558" s="1806"/>
      <c r="EY558" s="1806"/>
      <c r="EZ558" s="1806"/>
      <c r="FA558" s="1806"/>
      <c r="FB558" s="1806"/>
      <c r="FC558" s="1828"/>
      <c r="FE558" s="1698"/>
      <c r="FG558" s="1703"/>
      <c r="FH558" s="1703"/>
      <c r="FI558" s="133"/>
      <c r="FL558" s="1823"/>
      <c r="FM558" s="1825"/>
      <c r="FN558" s="1698"/>
      <c r="FO558" s="1698"/>
      <c r="FP558" s="1678"/>
      <c r="FQ558" s="1698"/>
      <c r="FS558" s="1687"/>
      <c r="FT558" s="1687"/>
      <c r="FU558" s="1685"/>
      <c r="FV558" s="1687"/>
      <c r="FW558" s="1687"/>
      <c r="FX558" s="1687"/>
      <c r="FY558" s="1697"/>
      <c r="GA558" s="1696"/>
      <c r="GB558" s="1696"/>
      <c r="GC558" s="1696"/>
      <c r="GD558" s="1696"/>
      <c r="GE558" s="1696"/>
      <c r="GF558" s="1696"/>
      <c r="GG558" s="1696"/>
      <c r="GH558" s="1696"/>
      <c r="GI558" s="673"/>
      <c r="GJ558" s="1135"/>
      <c r="GK558" s="1832"/>
      <c r="GN558" s="674">
        <f>IF(GN556=TRUE,0,GN$16)</f>
        <v>0</v>
      </c>
      <c r="GP558" s="674">
        <f>IF(GP556=TRUE,0,GP$16)</f>
        <v>36</v>
      </c>
      <c r="GQ558" s="674">
        <f ca="1">IF(GQ556=TRUE,0,GQ$16)</f>
        <v>35</v>
      </c>
      <c r="GR558" s="391"/>
      <c r="GS558" s="391"/>
      <c r="GT558" s="391"/>
      <c r="GU558" s="391"/>
      <c r="GV558" s="391"/>
      <c r="HG558" s="674">
        <f>IF(HG556=TRUE,0,HG$16)</f>
        <v>0</v>
      </c>
      <c r="HH558" s="674">
        <f t="shared" ref="HH558:HM558" si="508">IF(HH556=TRUE,0,HH$16)</f>
        <v>19</v>
      </c>
      <c r="HI558" s="674">
        <f t="shared" si="508"/>
        <v>18</v>
      </c>
      <c r="HJ558" s="674">
        <f t="shared" si="508"/>
        <v>17</v>
      </c>
      <c r="HK558" s="674">
        <f t="shared" si="508"/>
        <v>16</v>
      </c>
      <c r="HL558" s="674">
        <f t="shared" si="508"/>
        <v>0</v>
      </c>
      <c r="HM558" s="674">
        <f t="shared" si="508"/>
        <v>0</v>
      </c>
      <c r="HN558" s="674">
        <f>IF(HN556=TRUE,0,HN$16)</f>
        <v>13</v>
      </c>
      <c r="HO558" s="674">
        <f t="shared" ref="HO558:HQ558" si="509">IF(HO556=TRUE,0,HO$16)</f>
        <v>0</v>
      </c>
      <c r="HP558" s="674">
        <f t="shared" si="509"/>
        <v>0</v>
      </c>
      <c r="HQ558" s="674">
        <f t="shared" si="509"/>
        <v>10</v>
      </c>
      <c r="HR558" s="674">
        <f>IF(HR556=TRUE,0,HR$16)</f>
        <v>9</v>
      </c>
      <c r="HS558" s="674">
        <f t="shared" ref="HS558:HW558" si="510">IF(HS556=TRUE,0,HS$16)</f>
        <v>0</v>
      </c>
      <c r="HT558" s="674">
        <f t="shared" si="510"/>
        <v>0</v>
      </c>
      <c r="HU558" s="674">
        <f t="shared" si="510"/>
        <v>0</v>
      </c>
      <c r="HV558" s="674">
        <f t="shared" si="510"/>
        <v>0</v>
      </c>
      <c r="HW558" s="674">
        <f t="shared" si="510"/>
        <v>0</v>
      </c>
      <c r="HX558" s="674">
        <f>IF(HX556=TRUE,0,HX$16)</f>
        <v>0</v>
      </c>
      <c r="HY558" s="674">
        <f>IF(HY556=TRUE,0,HY$16)</f>
        <v>0</v>
      </c>
      <c r="HZ558" s="674">
        <f>IF(HZ556=TRUE,0,HZ$16)</f>
        <v>1</v>
      </c>
      <c r="IB558" s="674">
        <f>IF(GP556=FALSE,GP558,IF(GQ556=FALSE,GQ558,MAX(GN558:HZ558)))</f>
        <v>36</v>
      </c>
      <c r="IC558" s="1692"/>
      <c r="ID558" s="205" t="str">
        <f>VLOOKUP(IB558,_Error_Table,3,FALSE)</f>
        <v xml:space="preserve"> </v>
      </c>
      <c r="IE558" s="205"/>
      <c r="IF558" s="1688"/>
      <c r="IG558" s="1689"/>
      <c r="IH558" s="1684"/>
      <c r="IK558" s="1689"/>
      <c r="IL558" s="1692"/>
      <c r="IM558" s="1692"/>
      <c r="IN558" s="1692"/>
      <c r="IP558" s="1679"/>
      <c r="IQ558" s="1679"/>
      <c r="IR558" s="1679"/>
      <c r="IS558" s="1679"/>
      <c r="IT558" s="1679"/>
      <c r="IU558" s="1679"/>
      <c r="IV558" s="1679"/>
      <c r="IW558" s="1679"/>
      <c r="IX558" s="1679"/>
      <c r="IY558" s="1679"/>
      <c r="IZ558" s="1679"/>
      <c r="JA558" s="1679"/>
      <c r="JC558" s="1680"/>
      <c r="JD558" s="1670"/>
      <c r="JE558" s="1681"/>
      <c r="JG558" s="1680"/>
      <c r="JH558" s="1670"/>
      <c r="JI558" s="1060"/>
      <c r="JJ558" s="1670"/>
      <c r="JK558" s="1061"/>
      <c r="JL558" s="1670"/>
      <c r="JM558" s="1061"/>
      <c r="JN558" s="1670"/>
      <c r="JO558" s="1061"/>
      <c r="JP558" s="1670"/>
      <c r="JQ558" s="1061"/>
      <c r="JR558" s="1670"/>
      <c r="JS558" s="1061"/>
      <c r="JT558" s="1670"/>
      <c r="JU558" s="1061"/>
      <c r="JV558" s="1670"/>
      <c r="JX558" s="1670"/>
      <c r="JZ558" s="1670"/>
      <c r="KB558" s="1670"/>
    </row>
    <row r="559" spans="1:288" s="78" customFormat="1" ht="5.0999999999999996" customHeight="1">
      <c r="B559" s="676"/>
      <c r="C559" s="392"/>
      <c r="D559" s="392"/>
      <c r="E559" s="1733"/>
      <c r="F559" s="1733"/>
      <c r="G559" s="1733"/>
      <c r="H559" s="1733"/>
      <c r="I559" s="1733"/>
      <c r="J559" s="1733"/>
      <c r="K559" s="1733"/>
      <c r="L559" s="1733"/>
      <c r="M559" s="1733"/>
      <c r="N559" s="1733"/>
      <c r="O559" s="1733"/>
      <c r="P559" s="1733"/>
      <c r="Q559" s="1733"/>
      <c r="R559" s="1733"/>
      <c r="S559" s="1733"/>
      <c r="T559" s="1733"/>
      <c r="U559" s="1733"/>
      <c r="V559" s="1733"/>
      <c r="W559" s="1733"/>
      <c r="X559" s="1733"/>
      <c r="Y559" s="1733"/>
      <c r="Z559" s="1733"/>
      <c r="AA559" s="1733"/>
      <c r="AB559" s="1733"/>
      <c r="AC559" s="1733"/>
      <c r="AD559" s="1733"/>
      <c r="AE559" s="1733"/>
      <c r="AF559" s="1733"/>
      <c r="AG559" s="1733"/>
      <c r="AH559" s="1733"/>
      <c r="AI559" s="1733"/>
      <c r="AJ559" s="1733"/>
      <c r="AK559" s="1733"/>
      <c r="AL559" s="1733"/>
      <c r="AM559" s="1733"/>
      <c r="AN559" s="1733"/>
      <c r="AO559" s="1733"/>
      <c r="AP559" s="1733"/>
      <c r="AQ559" s="1733"/>
      <c r="AR559" s="1733"/>
      <c r="AS559" s="1733"/>
      <c r="AT559" s="1733"/>
      <c r="AU559" s="1733"/>
      <c r="AV559" s="1733"/>
      <c r="AW559" s="1733"/>
      <c r="AX559" s="469"/>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663"/>
      <c r="CQ559" s="663"/>
      <c r="CR559" s="438"/>
      <c r="CS559" s="663"/>
      <c r="CV559" s="391"/>
      <c r="CW559" s="391"/>
      <c r="CX559" s="207"/>
      <c r="CY559" s="208"/>
      <c r="CZ559" s="208"/>
      <c r="DA559" s="208"/>
      <c r="DB559" s="209"/>
      <c r="DC559" s="209"/>
      <c r="DD559" s="209"/>
      <c r="DF559" s="664"/>
      <c r="DG559" s="665"/>
      <c r="DH559" s="666"/>
      <c r="DI559" s="667"/>
      <c r="DJ559" s="668"/>
      <c r="DK559" s="668"/>
      <c r="DN559" s="208"/>
      <c r="DO559" s="664"/>
      <c r="DQ559" s="664"/>
      <c r="DR559" s="669"/>
      <c r="DS559" s="391"/>
      <c r="DT559" s="664"/>
      <c r="DU559" s="664"/>
      <c r="DV559" s="664"/>
      <c r="DX559" s="664"/>
      <c r="DY559" s="664"/>
      <c r="DZ559" s="664"/>
      <c r="EA559" s="664"/>
      <c r="EC559" s="670"/>
      <c r="ED559" s="670"/>
      <c r="EF559" s="668"/>
      <c r="EG559" s="668"/>
      <c r="EH559" s="208"/>
      <c r="EI559" s="668"/>
      <c r="EJ559" s="668"/>
      <c r="EK559" s="207"/>
      <c r="EL559" s="207"/>
      <c r="EM559" s="666"/>
      <c r="EN559" s="671"/>
      <c r="EO559" s="671"/>
      <c r="EP559" s="672"/>
      <c r="EQ559" s="672"/>
      <c r="ER559" s="666"/>
      <c r="ES559" s="666"/>
      <c r="ET559" s="666"/>
      <c r="EV559" s="664"/>
      <c r="EX559" s="391"/>
      <c r="EY559" s="391"/>
      <c r="EZ559" s="391"/>
      <c r="FA559" s="391"/>
      <c r="FB559" s="391"/>
      <c r="FC559" s="391"/>
      <c r="FE559" s="569"/>
      <c r="FG559" s="391"/>
      <c r="FH559" s="391"/>
      <c r="FI559" s="391"/>
      <c r="FS559" s="664"/>
      <c r="FT559" s="391"/>
      <c r="FU559" s="391"/>
      <c r="FV559" s="664"/>
      <c r="FW559" s="664"/>
      <c r="GA559" s="663"/>
      <c r="GB559" s="663"/>
      <c r="GC559" s="663"/>
      <c r="GD559" s="663"/>
      <c r="GE559" s="663"/>
      <c r="GF559" s="663"/>
      <c r="GG559" s="663"/>
      <c r="GH559" s="663"/>
      <c r="GI559" s="665"/>
      <c r="GJ559" s="664"/>
      <c r="GK559" s="664"/>
    </row>
    <row r="560" spans="1:288">
      <c r="DX560" s="669"/>
      <c r="DY560" s="669"/>
      <c r="DZ560" s="669"/>
      <c r="EA560" s="669"/>
      <c r="EB560" s="669"/>
      <c r="EC560" s="669"/>
      <c r="ED560" s="669"/>
      <c r="EE560" s="669"/>
      <c r="EF560" s="677" t="s">
        <v>344</v>
      </c>
      <c r="EG560" s="677" t="s">
        <v>345</v>
      </c>
      <c r="EH560" s="677" t="s">
        <v>234</v>
      </c>
      <c r="EI560" s="677" t="s">
        <v>347</v>
      </c>
      <c r="EJ560" s="677" t="s">
        <v>348</v>
      </c>
      <c r="EK560" s="677"/>
      <c r="EL560" s="677"/>
      <c r="EM560" s="677" t="s">
        <v>349</v>
      </c>
      <c r="EN560" s="677" t="s">
        <v>234</v>
      </c>
      <c r="EO560" s="677" t="s">
        <v>347</v>
      </c>
      <c r="EP560" s="677" t="s">
        <v>234</v>
      </c>
      <c r="EQ560" s="677" t="s">
        <v>347</v>
      </c>
      <c r="ER560" s="677" t="s">
        <v>234</v>
      </c>
      <c r="ES560" s="677" t="s">
        <v>347</v>
      </c>
      <c r="ET560" s="677"/>
      <c r="EV560" s="38">
        <f>ROW()</f>
        <v>560</v>
      </c>
    </row>
    <row r="561" spans="1:288" s="78" customFormat="1" ht="20.05" customHeight="1">
      <c r="B561" s="211"/>
      <c r="C561" s="392"/>
      <c r="D561" s="392"/>
      <c r="E561" s="211"/>
      <c r="F561" s="211"/>
      <c r="G561" s="211"/>
      <c r="H561" s="211"/>
      <c r="I561" s="438"/>
      <c r="J561" s="438"/>
      <c r="K561" s="438"/>
      <c r="L561" s="438"/>
      <c r="M561" s="438"/>
      <c r="N561" s="438"/>
      <c r="O561" s="438"/>
      <c r="P561" s="438"/>
      <c r="Q561" s="438"/>
      <c r="R561" s="391"/>
      <c r="S561" s="206"/>
      <c r="T561" s="391"/>
      <c r="U561" s="205"/>
      <c r="V561" s="205"/>
      <c r="W561" s="205"/>
      <c r="X561" s="205"/>
      <c r="Y561" s="205"/>
      <c r="Z561" s="205"/>
      <c r="AA561" s="207"/>
      <c r="AB561" s="391"/>
      <c r="AC561" s="208"/>
      <c r="AD561" s="209"/>
      <c r="AE561" s="209"/>
      <c r="AF561" s="391"/>
      <c r="AG561" s="205"/>
      <c r="AH561" s="205"/>
      <c r="AI561" s="205"/>
      <c r="AJ561" s="205"/>
      <c r="AK561" s="205"/>
      <c r="AL561" s="207"/>
      <c r="AM561" s="210"/>
      <c r="AN561" s="208"/>
      <c r="AO561" s="208"/>
      <c r="AP561" s="1768" t="s">
        <v>407</v>
      </c>
      <c r="AQ561" s="1769"/>
      <c r="AR561" s="1867" t="s">
        <v>433</v>
      </c>
      <c r="AS561" s="1867"/>
      <c r="AT561" s="1867" t="s">
        <v>257</v>
      </c>
      <c r="AU561" s="1867"/>
      <c r="AV561" s="1867"/>
      <c r="AW561" s="1867"/>
      <c r="AX561" s="4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101" t="s">
        <v>354</v>
      </c>
      <c r="CQ561" s="101" t="s">
        <v>355</v>
      </c>
      <c r="CR561" s="101"/>
      <c r="CS561" s="101" t="s">
        <v>356</v>
      </c>
      <c r="CT561" s="38"/>
      <c r="CU561" s="38"/>
      <c r="CV561" s="37" t="s">
        <v>341</v>
      </c>
      <c r="CW561" s="38"/>
      <c r="CX561" s="101" t="s">
        <v>342</v>
      </c>
      <c r="CY561" s="38"/>
      <c r="CZ561" s="38"/>
      <c r="DA561" s="101" t="s">
        <v>343</v>
      </c>
      <c r="DB561" s="101" t="s">
        <v>344</v>
      </c>
      <c r="DC561" s="101" t="s">
        <v>345</v>
      </c>
      <c r="DD561" s="101" t="s">
        <v>346</v>
      </c>
      <c r="DE561" s="391"/>
      <c r="DF561" s="37" t="s">
        <v>357</v>
      </c>
      <c r="DG561" s="38"/>
      <c r="DH561" s="101" t="s">
        <v>342</v>
      </c>
      <c r="DI561" s="37"/>
      <c r="DJ561" s="101" t="s">
        <v>343</v>
      </c>
      <c r="DK561" s="101" t="s">
        <v>343</v>
      </c>
      <c r="DL561" s="38"/>
      <c r="DM561" s="101" t="s">
        <v>430</v>
      </c>
      <c r="DN561" s="101" t="s">
        <v>430</v>
      </c>
      <c r="DO561" s="101" t="s">
        <v>286</v>
      </c>
      <c r="DP561" s="38"/>
      <c r="DQ561" s="1732" t="s">
        <v>234</v>
      </c>
      <c r="DR561" s="1732"/>
      <c r="DS561" s="101" t="s">
        <v>347</v>
      </c>
      <c r="DT561" s="101"/>
      <c r="DU561" s="101" t="s">
        <v>358</v>
      </c>
      <c r="DV561" s="101" t="s">
        <v>358</v>
      </c>
      <c r="DW561" s="38"/>
      <c r="DX561" s="1732" t="s">
        <v>347</v>
      </c>
      <c r="DY561" s="1732"/>
      <c r="DZ561" s="101" t="s">
        <v>358</v>
      </c>
      <c r="EA561" s="101" t="s">
        <v>359</v>
      </c>
      <c r="EB561" s="38"/>
      <c r="EC561" s="101" t="s">
        <v>360</v>
      </c>
      <c r="ED561" s="101" t="s">
        <v>361</v>
      </c>
      <c r="EE561" s="391"/>
      <c r="EF561" s="609" t="s">
        <v>234</v>
      </c>
      <c r="EG561" s="609" t="s">
        <v>234</v>
      </c>
      <c r="EH561" s="609" t="s">
        <v>362</v>
      </c>
      <c r="EI561" s="609" t="s">
        <v>362</v>
      </c>
      <c r="EJ561" s="609" t="s">
        <v>362</v>
      </c>
      <c r="EK561" s="609" t="s">
        <v>234</v>
      </c>
      <c r="EL561" s="609" t="s">
        <v>347</v>
      </c>
      <c r="EM561" s="609" t="s">
        <v>347</v>
      </c>
      <c r="EN561" s="609" t="s">
        <v>363</v>
      </c>
      <c r="EO561" s="609" t="s">
        <v>363</v>
      </c>
      <c r="EP561" s="609" t="s">
        <v>363</v>
      </c>
      <c r="EQ561" s="609" t="s">
        <v>363</v>
      </c>
      <c r="ER561" s="609" t="s">
        <v>363</v>
      </c>
      <c r="ES561" s="609" t="s">
        <v>363</v>
      </c>
      <c r="ET561" s="609" t="s">
        <v>363</v>
      </c>
      <c r="EU561" s="391"/>
      <c r="EV561" s="391"/>
      <c r="EX561" s="391"/>
      <c r="EY561" s="391"/>
      <c r="EZ561" s="391"/>
      <c r="FA561" s="391"/>
      <c r="FB561" s="391"/>
      <c r="FC561" s="391"/>
      <c r="FG561" s="391"/>
      <c r="FH561" s="391"/>
      <c r="FI561" s="391"/>
      <c r="FL561" s="101" t="s">
        <v>364</v>
      </c>
      <c r="FM561" s="101" t="s">
        <v>365</v>
      </c>
      <c r="FN561" s="101" t="s">
        <v>366</v>
      </c>
      <c r="FO561" s="101" t="s">
        <v>367</v>
      </c>
      <c r="FP561" s="101"/>
      <c r="FQ561" s="38"/>
      <c r="FR561" s="38" t="s">
        <v>368</v>
      </c>
      <c r="FS561" s="101">
        <v>3200</v>
      </c>
      <c r="FT561" s="101" t="s">
        <v>369</v>
      </c>
      <c r="FU561" s="101" t="s">
        <v>370</v>
      </c>
      <c r="FV561" s="101" t="s">
        <v>371</v>
      </c>
      <c r="FW561" s="101" t="s">
        <v>370</v>
      </c>
      <c r="FX561" s="38"/>
      <c r="FY561" s="38"/>
    </row>
    <row r="562" spans="1:288" s="78" customFormat="1" ht="20.05" customHeight="1">
      <c r="B562" s="211"/>
      <c r="C562" s="585">
        <f>1+C484</f>
        <v>8</v>
      </c>
      <c r="D562" s="392"/>
      <c r="E562" s="205" t="str">
        <f>CONCATENATE(AH$20," - page ",C562)</f>
        <v xml:space="preserve"> - page 8</v>
      </c>
      <c r="F562" s="211"/>
      <c r="G562" s="211"/>
      <c r="H562" s="211"/>
      <c r="I562" s="438"/>
      <c r="J562" s="438"/>
      <c r="K562" s="438"/>
      <c r="L562" s="438"/>
      <c r="M562" s="438"/>
      <c r="N562" s="438"/>
      <c r="O562" s="438"/>
      <c r="P562" s="438"/>
      <c r="Q562" s="438"/>
      <c r="R562" s="391"/>
      <c r="S562" s="206"/>
      <c r="T562" s="391"/>
      <c r="U562" s="205"/>
      <c r="V562" s="205"/>
      <c r="W562" s="205"/>
      <c r="X562" s="205"/>
      <c r="Y562" s="205"/>
      <c r="Z562" s="205"/>
      <c r="AA562" s="207"/>
      <c r="AB562" s="599" t="s">
        <v>194</v>
      </c>
      <c r="AC562" s="599" t="s">
        <v>343</v>
      </c>
      <c r="AD562" s="599" t="s">
        <v>383</v>
      </c>
      <c r="AE562" s="999"/>
      <c r="AF562" s="391"/>
      <c r="AG562" s="205"/>
      <c r="AH562" s="205"/>
      <c r="AI562" s="205"/>
      <c r="AJ562" s="205"/>
      <c r="AK562" s="205"/>
      <c r="AL562" s="207"/>
      <c r="AM562" s="600" t="s">
        <v>286</v>
      </c>
      <c r="AN562" s="600" t="s">
        <v>407</v>
      </c>
      <c r="AO562" s="601" t="s">
        <v>432</v>
      </c>
      <c r="AP562" s="1840">
        <f>BA$4</f>
        <v>0</v>
      </c>
      <c r="AQ562" s="1841"/>
      <c r="AR562" s="1842">
        <f>BA$6</f>
        <v>0</v>
      </c>
      <c r="AS562" s="1843"/>
      <c r="AT562" s="1844"/>
      <c r="AU562" s="1898" t="str">
        <f>BA$2</f>
        <v>Rate Sch?</v>
      </c>
      <c r="AV562" s="1898"/>
      <c r="AW562" s="1684"/>
      <c r="AX562" s="391"/>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101" t="s">
        <v>381</v>
      </c>
      <c r="CQ562" s="101" t="s">
        <v>333</v>
      </c>
      <c r="CR562" s="101"/>
      <c r="CS562" s="101" t="s">
        <v>221</v>
      </c>
      <c r="CT562" s="38"/>
      <c r="CU562" s="38"/>
      <c r="CV562" s="101" t="s">
        <v>239</v>
      </c>
      <c r="CW562" s="101" t="s">
        <v>234</v>
      </c>
      <c r="CX562" s="101" t="s">
        <v>382</v>
      </c>
      <c r="CY562" s="101" t="s">
        <v>194</v>
      </c>
      <c r="CZ562" s="101" t="s">
        <v>343</v>
      </c>
      <c r="DA562" s="101" t="s">
        <v>346</v>
      </c>
      <c r="DB562" s="101" t="s">
        <v>383</v>
      </c>
      <c r="DC562" s="101" t="s">
        <v>383</v>
      </c>
      <c r="DD562" s="101" t="s">
        <v>383</v>
      </c>
      <c r="DE562" s="391"/>
      <c r="DF562" s="101" t="s">
        <v>239</v>
      </c>
      <c r="DG562" s="37" t="s">
        <v>347</v>
      </c>
      <c r="DH562" s="101" t="s">
        <v>382</v>
      </c>
      <c r="DI562" s="101" t="s">
        <v>384</v>
      </c>
      <c r="DJ562" s="101" t="s">
        <v>346</v>
      </c>
      <c r="DK562" s="101" t="s">
        <v>346</v>
      </c>
      <c r="DL562" s="38"/>
      <c r="DM562" s="101" t="s">
        <v>432</v>
      </c>
      <c r="DN562" s="101" t="s">
        <v>345</v>
      </c>
      <c r="DO562" s="38"/>
      <c r="DP562" s="38"/>
      <c r="DQ562" s="1833" t="s">
        <v>221</v>
      </c>
      <c r="DR562" s="1833"/>
      <c r="DS562" s="101" t="s">
        <v>221</v>
      </c>
      <c r="DT562" s="101"/>
      <c r="DU562" s="101" t="s">
        <v>234</v>
      </c>
      <c r="DV562" s="101" t="s">
        <v>385</v>
      </c>
      <c r="DW562" s="38"/>
      <c r="DX562" s="1833" t="s">
        <v>386</v>
      </c>
      <c r="DY562" s="1833"/>
      <c r="DZ562" s="101" t="s">
        <v>387</v>
      </c>
      <c r="EA562" s="101" t="s">
        <v>385</v>
      </c>
      <c r="EB562" s="38"/>
      <c r="EC562" s="101" t="s">
        <v>257</v>
      </c>
      <c r="ED562" s="101" t="s">
        <v>257</v>
      </c>
      <c r="EE562" s="391"/>
      <c r="EF562" s="609" t="s">
        <v>343</v>
      </c>
      <c r="EG562" s="609" t="s">
        <v>343</v>
      </c>
      <c r="EH562" s="609" t="s">
        <v>343</v>
      </c>
      <c r="EI562" s="609" t="s">
        <v>343</v>
      </c>
      <c r="EJ562" s="609" t="s">
        <v>343</v>
      </c>
      <c r="EK562" s="609" t="s">
        <v>342</v>
      </c>
      <c r="EL562" s="609" t="s">
        <v>342</v>
      </c>
      <c r="EM562" s="609" t="s">
        <v>342</v>
      </c>
      <c r="EN562" s="609" t="s">
        <v>388</v>
      </c>
      <c r="EO562" s="609" t="s">
        <v>388</v>
      </c>
      <c r="EP562" s="609" t="s">
        <v>389</v>
      </c>
      <c r="EQ562" s="609" t="s">
        <v>389</v>
      </c>
      <c r="ER562" s="609" t="s">
        <v>342</v>
      </c>
      <c r="ES562" s="609" t="s">
        <v>342</v>
      </c>
      <c r="ET562" s="609" t="s">
        <v>342</v>
      </c>
      <c r="EU562" s="391"/>
      <c r="EV562" s="391">
        <f>SUM(EV563:EV636)</f>
        <v>0</v>
      </c>
      <c r="EX562" s="391"/>
      <c r="EY562" s="391"/>
      <c r="EZ562" s="391"/>
      <c r="FA562" s="391"/>
      <c r="FB562" s="85" t="s">
        <v>385</v>
      </c>
      <c r="FC562" s="85" t="s">
        <v>218</v>
      </c>
      <c r="FG562" s="391"/>
      <c r="FH562" s="391"/>
      <c r="FI562" s="391"/>
      <c r="FL562" s="38"/>
      <c r="FM562" s="101" t="s">
        <v>328</v>
      </c>
      <c r="FN562" s="38"/>
      <c r="FO562" s="38"/>
      <c r="FP562" s="38"/>
      <c r="FQ562" s="38"/>
      <c r="FR562" s="38" t="s">
        <v>286</v>
      </c>
      <c r="FS562" s="101" t="s">
        <v>369</v>
      </c>
      <c r="FT562" s="101" t="s">
        <v>391</v>
      </c>
      <c r="FU562" s="101" t="s">
        <v>369</v>
      </c>
      <c r="FV562" s="101" t="s">
        <v>347</v>
      </c>
      <c r="FW562" s="37" t="s">
        <v>392</v>
      </c>
      <c r="FX562" s="38"/>
      <c r="FY562" s="101" t="s">
        <v>393</v>
      </c>
    </row>
    <row r="563" spans="1:288" s="78" customFormat="1" ht="14.95" customHeight="1">
      <c r="B563" s="1845" t="str">
        <f>ID566</f>
        <v xml:space="preserve"> </v>
      </c>
      <c r="C563" s="1846">
        <f>C555+1</f>
        <v>100</v>
      </c>
      <c r="D563" s="1847"/>
      <c r="E563" s="1799" t="s">
        <v>295</v>
      </c>
      <c r="F563" s="1800"/>
      <c r="G563" s="1741"/>
      <c r="H563" s="1742"/>
      <c r="I563" s="1742"/>
      <c r="J563" s="1742"/>
      <c r="K563" s="1742"/>
      <c r="L563" s="1742"/>
      <c r="M563" s="1742"/>
      <c r="N563" s="1742"/>
      <c r="O563" s="1742"/>
      <c r="P563" s="1742"/>
      <c r="Q563" s="1742"/>
      <c r="R563" s="1742"/>
      <c r="S563" s="1791" t="s">
        <v>344</v>
      </c>
      <c r="T563" s="590"/>
      <c r="U563" s="1743"/>
      <c r="V563" s="1744"/>
      <c r="W563" s="1744"/>
      <c r="X563" s="1744"/>
      <c r="Y563" s="1744"/>
      <c r="Z563" s="1744"/>
      <c r="AA563" s="1744"/>
      <c r="AB563" s="961" t="str">
        <f>IFERROR(IF(__Retrofit_TI_NC=0,VLOOKUP(U564,Fixtures_Existing_List,2,FALSE),ROUND(N565*R565/T565,10)),"")</f>
        <v/>
      </c>
      <c r="AC563" s="935" t="str">
        <f>IFERROR(IF(__Retrofit_TI_NC=0,ROUND(T564*AB563*N564*R564/1000,0),IF(CQ563="Interior",N565*R565*R564*N564*_C406_reduction/1000,N565*R565*R564*N564/1000)),"")</f>
        <v/>
      </c>
      <c r="AD563" s="936" t="str">
        <f>IFERROR(IF(C$43=0,ROUND(T564*AB563/1000,2),N565*R565/1000),"")</f>
        <v/>
      </c>
      <c r="AE563" s="997"/>
      <c r="AF563" s="937"/>
      <c r="AG563" s="1745" t="str">
        <f>IF(__Retrofit_TI_NC=0," Control","Select Advanced Control for New System")</f>
        <v xml:space="preserve"> Control</v>
      </c>
      <c r="AH563" s="1745"/>
      <c r="AI563" s="1745"/>
      <c r="AJ563" s="1745"/>
      <c r="AK563" s="1745"/>
      <c r="AL563" s="1745"/>
      <c r="AM563" s="1746">
        <f>IFERROR(DI563,"")</f>
        <v>0</v>
      </c>
      <c r="AN563" s="1774" t="str">
        <f>IFERROR(ROUND(AM563*AC563,0),"")</f>
        <v/>
      </c>
      <c r="AO563" s="1776">
        <f>IFERROR(IF(IB563=FALSE,0,AC563-AN563),0)</f>
        <v>0</v>
      </c>
      <c r="AP563" s="1778">
        <f>AO563-AO565</f>
        <v>0</v>
      </c>
      <c r="AQ563" s="1779"/>
      <c r="AR563" s="1793">
        <f>IFERROR(IF(IB563=FALSE,0,(T565*U566)+(AF565*AG566)),0)</f>
        <v>0</v>
      </c>
      <c r="AS563" s="1793"/>
      <c r="AT563" s="1794"/>
      <c r="AU563" s="1734" t="s">
        <v>237</v>
      </c>
      <c r="AV563" s="1751">
        <f>IF(AU563="Yes",1,0)</f>
        <v>1</v>
      </c>
      <c r="AW563" s="1704" t="str">
        <f>IF(OR(DQ563=4,DQ563=5,DQ563=6,DQ563=12),CONCATENATE("$",IF(GH563=TRUE,Lookup!$K$10,Lookup!$K$2)," /lamp"),CONCATENATE(TEXT(ED563,"$0.00"),"/ kWh"))</f>
        <v>$0.00/ kWh</v>
      </c>
      <c r="AX563" s="467"/>
      <c r="AY563" s="1748">
        <f ca="1">IFERROR(IF(GM564=TRUE,(AB566*T565)/R565,0),"NA")</f>
        <v>0</v>
      </c>
      <c r="AZ563" s="1748"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696" t="str">
        <f>N564</f>
        <v/>
      </c>
      <c r="CQ563" s="1696" t="str">
        <f>IFERROR(VLOOKUP(G564,_Lookup_Heat_Type_Table_New,3,FALSE),"")</f>
        <v/>
      </c>
      <c r="CR563" s="1808" t="str">
        <f>CQ563</f>
        <v/>
      </c>
      <c r="CS563" s="1810" t="str">
        <f>IFERROR(VLOOKUP(G565,'Space Table'!$B$3:$L$163,9,FALSE),"")</f>
        <v/>
      </c>
      <c r="CU563" s="1688" t="s">
        <v>344</v>
      </c>
      <c r="CV563" s="1702">
        <f>IF(IB563=TRUE,T564,0)</f>
        <v>0</v>
      </c>
      <c r="CW563" s="1702" t="str">
        <f>IF(IB563=TRUE,U564,"")</f>
        <v/>
      </c>
      <c r="CX563" s="1702"/>
      <c r="CY563" s="1814">
        <f>IF(IB563=TRUE,AB563,0)</f>
        <v>0</v>
      </c>
      <c r="CZ563" s="1710">
        <f>IF(AND(__Retrofit_TI_NC&gt;0,CR563="interior"),0,IF(IB563=TRUE,AC563,0))</f>
        <v>0</v>
      </c>
      <c r="DA563" s="1814">
        <f>IFERROR(IF(IB563=TRUE,CZ563-CZ565,0),0)</f>
        <v>0</v>
      </c>
      <c r="DB563" s="1819">
        <f>IF(IB563=TRUE,AD563,0)</f>
        <v>0</v>
      </c>
      <c r="DC563" s="1819">
        <f>IF(IB563=TRUE,AD566,0)</f>
        <v>0</v>
      </c>
      <c r="DD563" s="1819">
        <f>IFERROR(DB563-DC563,0)</f>
        <v>0</v>
      </c>
      <c r="DF563" s="1702">
        <f>IF(IB563=TRUE,AF564,0)</f>
        <v>0</v>
      </c>
      <c r="DG563" s="1830">
        <f>IFERROR(IF(__Retrofit_TI_NC=2,IF(CQ563="Exterior",O566,FQ563),FN563),"")</f>
        <v>0</v>
      </c>
      <c r="DH563" s="1702"/>
      <c r="DI563" s="1837">
        <f>JE563</f>
        <v>0</v>
      </c>
      <c r="DJ563" s="1710">
        <f>IF(AND(__Retrofit_TI_NC&gt;0,CR563="interior"),0,IF(IB563=TRUE,AN563,0))</f>
        <v>0</v>
      </c>
      <c r="DK563" s="1712">
        <f>IFERROR(IF(IB563=TRUE,DJ565-DJ563,0),0)</f>
        <v>0</v>
      </c>
      <c r="DM563" s="1717">
        <f>IFERROR(CZ563-DJ563,0)</f>
        <v>0</v>
      </c>
      <c r="DO563" s="1708">
        <f>DM563-DN565</f>
        <v>0</v>
      </c>
      <c r="DQ563" s="1715" t="str">
        <f>IFERROR(IF(AND(OR(GC563=4,GC563=5,GC563=6),OR(GF563=4,GF563=5,GF563=6)),GC563+8,VLOOKUP(CW565,Fixtures!R$31:Y$78,8,FALSE)),"")</f>
        <v/>
      </c>
      <c r="DR563" s="1829" t="str">
        <f>DQ563</f>
        <v/>
      </c>
      <c r="DS563" s="1702" t="str">
        <f>IFERROR(VLOOKUP(DG565,Lookup!BB$3:BC$20,2,FALSE),"")</f>
        <v/>
      </c>
      <c r="DT563" s="1713" t="str">
        <f>IF(OR(DS563=7,DS563=8,DS563=9),"ALC","")</f>
        <v/>
      </c>
      <c r="DU563" s="1715">
        <f>IFERROR(IF(OR(DQ563=4,DQ563=5,DQ563=6,DQ563=12,DQ563=13,DQ563=14),VLOOKUP(CW565,Fixtures!DN$27:EG$77,19,FALSE),1)*CV565,0)</f>
        <v>0</v>
      </c>
      <c r="DV563" s="1716">
        <f>IF(OR(DS563=7,DS563=8,DS563=9),IF(DG563=DG565,0,DF565),0)</f>
        <v>0</v>
      </c>
      <c r="DX563" s="1715" t="str">
        <f>IFERROR(IF(EZ563&lt;EZ565,"Yes","No"),"")</f>
        <v/>
      </c>
      <c r="DY563" s="1829" t="str">
        <f>DX563</f>
        <v/>
      </c>
      <c r="DZ563" s="1715">
        <f>IF(DX563="Yes",DF565,0)</f>
        <v>0</v>
      </c>
      <c r="EA563" s="1715">
        <f>DZ563-DV563</f>
        <v>0</v>
      </c>
      <c r="EC563" s="1834">
        <f>IFERROR(VLOOKUP(DQ563,Lookup!AU$3:AV$16,2,FALSE),0)</f>
        <v>0</v>
      </c>
      <c r="ED563" s="1834">
        <f>IF(IB563=FALSE,0,IF(DX563="Yes",EC563+Lookup!K$6,EC563))</f>
        <v>0</v>
      </c>
      <c r="EF563" s="1707">
        <f>IF(IB563=TRUE,DM563,0)</f>
        <v>0</v>
      </c>
      <c r="EG563" s="1712">
        <f>IF(IB563=TRUE,CZ565,0)</f>
        <v>0</v>
      </c>
      <c r="EH563" s="1814">
        <f>IFERROR(EF563-EG563,0)</f>
        <v>0</v>
      </c>
      <c r="EI563" s="1712">
        <f>IF(IB563=TRUE,DJ565,0)</f>
        <v>0</v>
      </c>
      <c r="EJ563" s="1712">
        <f>IFERROR(EF563-EG563+EI563,0)</f>
        <v>0</v>
      </c>
      <c r="EK563" s="1812">
        <f>IF(IB563=TRUE,CV565*CX565,0)</f>
        <v>0</v>
      </c>
      <c r="EL563" s="1812">
        <f>IF(IB563=TRUE,DF565*DH565,0)</f>
        <v>0</v>
      </c>
      <c r="EM563" s="1807">
        <f>AR563</f>
        <v>0</v>
      </c>
      <c r="EN563" s="1839" t="str">
        <f>IFERROR(IF(IB563=TRUE,VLOOKUP(DQ563,Lookup!AU$3:AW$16,3,FALSE)*DU563,""),0)</f>
        <v/>
      </c>
      <c r="EO563" s="1839">
        <f>IF(IB563=TRUE,DZ563*Lookup!AW$12,0)</f>
        <v>0</v>
      </c>
      <c r="EP563" s="1817">
        <f>IFERROR(IF(IB563=TRUE,EN563/EP$40,0),0)</f>
        <v>0</v>
      </c>
      <c r="EQ563" s="1817">
        <f>IF(IB563=TRUE,EO563/EQ$40,0)</f>
        <v>0</v>
      </c>
      <c r="ER563" s="1807">
        <f>IF(IB563=TRUE,ET$40*EP563,0)</f>
        <v>0</v>
      </c>
      <c r="ES563" s="1807">
        <f>IF(IB563=TRUE,ET$40*EQ563,0)</f>
        <v>0</v>
      </c>
      <c r="ET563" s="1807">
        <f>ER563+ES563</f>
        <v>0</v>
      </c>
      <c r="EV563" s="1715">
        <f>IF(G563="",0,1)</f>
        <v>0</v>
      </c>
      <c r="EX563" s="1804" t="str">
        <f>IFERROR(VLOOKUP(CS565,'Space Table'!$B$3:$L$163,8,FALSE),"")</f>
        <v/>
      </c>
      <c r="EY563" s="1804" t="str">
        <f>IFERROR(IF(FB563="Yes",VLOOKUP(DG563,Lookup_Control_Type_Table2,4,FALSE),VLOOKUP(DG563,Lookup_Control_Type_Table2,3,FALSE)),"")</f>
        <v/>
      </c>
      <c r="EZ563" s="1804" t="e">
        <f>VLOOKUP(DG563,Lookup!BB$3:BC$20,2,FALSE)</f>
        <v>#N/A</v>
      </c>
      <c r="FA563" s="1804" t="e">
        <f>VLOOKUP(EX563,Lookup_Control_Type_Table,2,FALSE)</f>
        <v>#N/A</v>
      </c>
      <c r="FB563" s="1804" t="e">
        <f>VLOOKUP(CS565,'Space Table'!$B$3:$L$163,7,FALSE)</f>
        <v>#N/A</v>
      </c>
      <c r="FC563" s="1826" t="b">
        <f>ISNUMBER(SEARCH("TLED",U565))</f>
        <v>0</v>
      </c>
      <c r="FE563" s="1698" t="str">
        <f>CONCATENATE(CQ563," - ",DG563)</f>
        <v xml:space="preserve"> - 0</v>
      </c>
      <c r="FG563" s="1702" t="str">
        <f>VLOOKUP(CW565,Fixtures!DN$27:EZ$77,38,FALSE)</f>
        <v/>
      </c>
      <c r="FH563" s="1702">
        <f>IFERROR(FG563*EH563,0)</f>
        <v>0</v>
      </c>
      <c r="FI563" s="133"/>
      <c r="FL563" s="1822" t="str">
        <f>IF(CQ563="Exterior","Not Daylighted",G566)</f>
        <v>Not Daylighted</v>
      </c>
      <c r="FM563" s="1824">
        <f>VLOOKUP(FL563,_New_Daylight_Table_Codes,2,FALSE)</f>
        <v>0</v>
      </c>
      <c r="FN563" s="1698">
        <f>IF(__Retrofit_TI_NC&gt;0,VLOOKUP(G565,'Space Table'!$B$3:$L$163,11,FALSE),AG564)</f>
        <v>0</v>
      </c>
      <c r="FO563" s="1698" t="e">
        <f>IF(__Retrofit_TI_NC=2,VLOOKUP(FQ563,_Control_Table,2,FALSE),VLOOKUP(FN563,_Control_Table,2,FALSE))</f>
        <v>#N/A</v>
      </c>
      <c r="FP563" s="1678" t="e">
        <f>VLOOKUP(CONCATENATE(FL563," ",FN563),Lookup!AY$102:AZ573,2,FALSE)</f>
        <v>#N/A</v>
      </c>
      <c r="FQ563" s="1678">
        <f>IF(__Retrofit_TI_NC=0,FN563,IF(AND(FT563&gt;0,FN563="Occupancy Sensor"),"Daylight + Occupancy",IF(AND(FT563&gt;0,VLOOKUP(FN563,_Control_Table,2,FALSE)&lt;4),"Interior Daylight Dimming",FN563)))</f>
        <v>0</v>
      </c>
      <c r="FS563" s="1686">
        <f>IF(CR563="Interior",VLOOKUP(CS563,Control_Savings_Interior,5,FALSE),0)</f>
        <v>0</v>
      </c>
      <c r="FT563" s="1687">
        <f>IF(CQ563="Exterior",0,IF(FM563=2,0.5,IF(OR(FM563=1,FM563=3),1,0)))</f>
        <v>0</v>
      </c>
      <c r="FU563" s="1685">
        <f>IF(R562&gt;FS$44,(FS563*(FS$44/R562)),FS563)*FT563</f>
        <v>0</v>
      </c>
      <c r="FV563" s="1686">
        <f>DI563</f>
        <v>0</v>
      </c>
      <c r="FW563" s="1686">
        <f>ROUND(FV563+((1-FV563)*FU563),2)</f>
        <v>0</v>
      </c>
      <c r="FX563" s="1686">
        <f>IF(__Retrofit_TI_NC=2,FW563,FV563)</f>
        <v>0</v>
      </c>
      <c r="FY563" s="1697"/>
      <c r="GA563" s="1696" t="str">
        <f>IFERROR(VLOOKUP(U564,_Exist_Fixture_Table,3,FALSE),"")</f>
        <v/>
      </c>
      <c r="GB563" s="1696" t="str">
        <f>VLOOKUP(CW563,_Exist_Fixture_Table,4,FALSE)</f>
        <v/>
      </c>
      <c r="GC563" s="1696">
        <f>IFERROR(VLOOKUP(GB563,Lookup!AT$6:AU$8,2,FALSE),0)</f>
        <v>0</v>
      </c>
      <c r="GD563" s="1696" t="b">
        <f>IFERROR(IF(OR(GF563=4,GF563=5,GF563=6),TRUE,FALSE),"")</f>
        <v>0</v>
      </c>
      <c r="GE563" s="1696" t="str">
        <f>IFERROR(VLOOKUP(GF563,GC$6:GD$10,2,FALSE),"")</f>
        <v/>
      </c>
      <c r="GF563" s="1696" t="str">
        <f>VLOOKUP(CW565,Fixtures!R$31:Y$78,8,FALSE)</f>
        <v/>
      </c>
      <c r="GG563" s="1696">
        <f>IF(AND(GA563=TRUE,GD563=TRUE,OR(DQ563=12,DQ563=13,DQ563=14)),GC563+8,0)</f>
        <v>0</v>
      </c>
      <c r="GH563" s="1696" t="b">
        <f>IF(OR(GG563=12,GG563=13,GG563=14),TRUE,FALSE)</f>
        <v>0</v>
      </c>
      <c r="GI563" s="673" t="b">
        <f>IF(ISNUMBER(SEARCH("TLED",U564)),TRUE,FALSE)</f>
        <v>0</v>
      </c>
      <c r="GJ563" s="1135" t="str">
        <f>IFERROR(VLOOKUP(U564,Fixtures!BM$93:BR$142,6,FALSE),"")</f>
        <v/>
      </c>
      <c r="GK563" s="1832" t="b">
        <f>IF(OR(GI563=FALSE,GI565=FALSE),TRUE,IF(GJ563-GJ565&lt;5,FALSE,TRUE))</f>
        <v>1</v>
      </c>
      <c r="GO563" s="674">
        <f>GP563</f>
        <v>0</v>
      </c>
      <c r="GP563" s="674">
        <f>IF(G563="",0,1)</f>
        <v>0</v>
      </c>
      <c r="GQ563" s="674">
        <f ca="1">SUM(GR563:HF563)</f>
        <v>2</v>
      </c>
      <c r="GR563" s="674">
        <f>IF(G564="",0,1)</f>
        <v>0</v>
      </c>
      <c r="GS563" s="674">
        <f>IF(N566="BAM",1,IF(G565="",0,1))</f>
        <v>0</v>
      </c>
      <c r="GT563" s="674">
        <f>IF(N566="BAM",1,IF(R564="",0,1))</f>
        <v>0</v>
      </c>
      <c r="GU563" s="674">
        <f>IF(N566="BAM",1,IF(__Retrofit_TI_NC=0,1,IF(R565="",0,1)))</f>
        <v>1</v>
      </c>
      <c r="GV563" s="674">
        <f>IF(N566="BAM",1,IF(CQ563="Exterior",1,IF(G566="",0,1)))</f>
        <v>1</v>
      </c>
      <c r="GW563" s="674">
        <f>IF(__Retrofit_TI_NC&gt;0,1,IF(T564="",0,1))</f>
        <v>0</v>
      </c>
      <c r="GX563" s="674">
        <f>IF(__Retrofit_TI_NC&gt;0,1,IF(U564="",0,1))</f>
        <v>0</v>
      </c>
      <c r="GY563" s="674">
        <f>IF(N566="BAM",1,IF(T565="",0,1))</f>
        <v>0</v>
      </c>
      <c r="GZ563" s="674">
        <f>IF(N566="BAM",1,IF(U565="",0,1))</f>
        <v>0</v>
      </c>
      <c r="HA563" s="674">
        <f ca="1">IF(N566="BAM",1,IF(__Retrofit_TI_NC&gt;0,1,IF(U566="",0,1)))</f>
        <v>0</v>
      </c>
      <c r="HB563" s="674">
        <f>IF(__Retrofit_TI_NC&lt;&gt;0,1,IF(AF564="",0,1))</f>
        <v>0</v>
      </c>
      <c r="HC563" s="674">
        <f>IF(__Retrofit_TI_NC&lt;&gt;0,1,IF(AG564="",0,1))</f>
        <v>0</v>
      </c>
      <c r="HD563" s="674">
        <f>IF(N566="BAM",1,IF(AF565="",0,1))</f>
        <v>0</v>
      </c>
      <c r="HE563" s="674">
        <f>IF(N566="BAM",1,IF(AG565="",0,1))</f>
        <v>0</v>
      </c>
      <c r="HF563" s="674">
        <f>IF(N566="BAM",1,IF(__Retrofit_TI_NC&gt;0,1,IF(AG566="",0,1)))</f>
        <v>0</v>
      </c>
      <c r="HG563" s="391"/>
      <c r="IA563" s="391"/>
      <c r="IB563" s="1693" t="b">
        <f>IF(OR(IB566=0,IB566=HY$16,IB566=HX$16,IB566=HZ$16),TRUE,FALSE)</f>
        <v>0</v>
      </c>
      <c r="IC563" s="1694" t="b">
        <f>IB563</f>
        <v>0</v>
      </c>
      <c r="ID563" s="391"/>
      <c r="IE563" s="391"/>
      <c r="IF563" s="1688" t="b">
        <f ca="1">IF(MAX(GN566:HU566)&gt;5,FALSE,TRUE)</f>
        <v>0</v>
      </c>
      <c r="IG563" s="1689">
        <f ca="1">IF(IF563=TRUE,AC563,0)</f>
        <v>0</v>
      </c>
      <c r="IH563" s="1689">
        <f ca="1">IG563-IG565</f>
        <v>0</v>
      </c>
      <c r="IK563" s="1689" t="e">
        <f>ROUND(T564*VLOOKUP(U564,Fixtures_Existing_List,2,FALSE)*N564*R564/1000,0)</f>
        <v>#N/A</v>
      </c>
      <c r="IL563" s="1690" t="e">
        <f>IK563-IK565</f>
        <v>#N/A</v>
      </c>
      <c r="IM563" s="1693" t="e">
        <f>ROUND(IF(CQ563="Interior",N565*R565*R564*N564*_C406_reduction/1000,N565*R565*R564*N564/1000),0)</f>
        <v>#N/A</v>
      </c>
      <c r="IN563" s="1693" t="e">
        <f>IM563-IM565</f>
        <v>#N/A</v>
      </c>
      <c r="IP563" s="1679"/>
      <c r="IQ563" s="1679" t="e">
        <f t="shared" ref="IQ563:IU563" si="511">IF($CR563="interior",VLOOKUP($CS563,_New_Control_Savings_Interior,IQ$30,FALSE),VLOOKUP($CS563,Control_Savings_Exterior,IQ$30,FALSE))</f>
        <v>#N/A</v>
      </c>
      <c r="IR563" s="1679" t="e">
        <f t="shared" si="511"/>
        <v>#N/A</v>
      </c>
      <c r="IS563" s="1679" t="e">
        <f t="shared" si="511"/>
        <v>#N/A</v>
      </c>
      <c r="IT563" s="1679" t="e">
        <f t="shared" si="511"/>
        <v>#N/A</v>
      </c>
      <c r="IU563" s="1679" t="e">
        <f t="shared" si="511"/>
        <v>#N/A</v>
      </c>
      <c r="IV563" s="1679" t="e">
        <f>IF($CR563="interior",IF(R564&gt;$IP$14,ROUND(($IV$18*($IP$14/R564)),2),$IV$18),VLOOKUP($CS563,Control_Savings_Exterior,IV$30,FALSE))</f>
        <v>#N/A</v>
      </c>
      <c r="IW563" s="1679" t="e">
        <f>IF($CR563="interior",ROUND(((1-IS563)*IV563)+IS563,2),VLOOKUP($CS563,Control_Savings_Exterior,IW$30,FALSE))</f>
        <v>#N/A</v>
      </c>
      <c r="IX563" s="1679" t="e">
        <f>IF($CR563="interior",ROUND(((1-IT563)*IV563)+IT563,2),VLOOKUP($CS563,Control_Savings_Exterior,IX$30,FALSE))</f>
        <v>#N/A</v>
      </c>
      <c r="IY563" s="1679" t="e">
        <f>IF($CR563="interior",IF(R564&gt;$IP$14,ROUND(($IY$18*($IP$14/R564)),2),$IY$18),VLOOKUP($CS563,Control_Savings_Exterior,IY$30,FALSE))</f>
        <v>#N/A</v>
      </c>
      <c r="IZ563" s="1679" t="e">
        <f>IF($CR563="interior",ROUND(((1-IS563)*IY563)+IS563,2),VLOOKUP($CS563,Control_Savings_Exterior,IZ$30,FALSE))</f>
        <v>#N/A</v>
      </c>
      <c r="JA563" s="1679" t="e">
        <f>IF($CR563="interior",ROUND(((1-IT563)*IY563)+IT563,2),VLOOKUP($CS563,Control_Savings_Exterior,JA$30,FALSE))</f>
        <v>#N/A</v>
      </c>
      <c r="JC563" s="1680">
        <f>IFERROR(IF(CR563="Interior",CONCATENATE(G566," ",FQ563),FQ563),"")</f>
        <v>0</v>
      </c>
      <c r="JD563" s="1670" t="str">
        <f>IFERROR(VLOOKUP(JC563,_Controls_2023,2,FALSE),"")</f>
        <v/>
      </c>
      <c r="JE563" s="1681">
        <f>IFERROR(CHOOSE(JD563-1,IQ563,IR563,IS563,IT563,IU563,IV563,IW563,IX563,IY563,IZ563,JA563),0)</f>
        <v>0</v>
      </c>
      <c r="JG563" s="1680" t="str">
        <f>FE563</f>
        <v xml:space="preserve"> - 0</v>
      </c>
      <c r="JH563" s="1670" t="e">
        <f>$FO563</f>
        <v>#N/A</v>
      </c>
      <c r="JI563" s="1060"/>
      <c r="JJ563" s="1682" t="b">
        <f>IF($JG565=CONCATENATE("Interior - ",JJ$4),TRUE,FALSE)</f>
        <v>0</v>
      </c>
      <c r="JK563" s="1061"/>
      <c r="JL563" s="1682" t="b">
        <f>IF($JG565=CONCATENATE("Interior - ",JL$4),TRUE,FALSE)</f>
        <v>0</v>
      </c>
      <c r="JM563" s="1061"/>
      <c r="JN563" s="1682" t="b">
        <f>IF($JG565=CONCATENATE("Interior - ",JN$4),TRUE,FALSE)</f>
        <v>0</v>
      </c>
      <c r="JO563" s="1061"/>
      <c r="JP563" s="1682" t="b">
        <f>IF(__Retrofit_TI_NC&gt;0,FALSE,IF($JG565=CONCATENATE("Interior - ",JP$4),TRUE,FALSE))</f>
        <v>0</v>
      </c>
      <c r="JQ563" s="1061"/>
      <c r="JR563" s="1682" t="b">
        <f>IF(__Retrofit_TI_NC&gt;0,FALSE,IF($JG565=CONCATENATE("Interior - ",JR$4),TRUE,FALSE))</f>
        <v>0</v>
      </c>
      <c r="JS563" s="1061"/>
      <c r="JT563" s="1670" t="b">
        <f>IF(__Retrofit_TI_NC&gt;0,FALSE,IF($JG565=CONCATENATE("Interior - ",JT$4),TRUE,FALSE))</f>
        <v>0</v>
      </c>
      <c r="JU563" s="1061"/>
      <c r="JV563" s="1670" t="b">
        <f>IF(JC565="AELC on Existing",TRUE,FALSE)</f>
        <v>0</v>
      </c>
      <c r="JX563" s="1670" t="b">
        <f>IF(OR(JG565="Exterior - AELC Occupancy based",JG565="Exterior - AELC Time based"),TRUE,FALSE)</f>
        <v>0</v>
      </c>
      <c r="JZ563" s="1682" t="b">
        <f>IF($JG565=CONCATENATE("Exterior - ",JZ$4),TRUE,FALSE)</f>
        <v>0</v>
      </c>
      <c r="KB563" s="1670" t="b">
        <f>IF(__Retrofit_TI_NC&gt;0,FALSE,IF($JG565=CONCATENATE("Interior - ",KB$4),TRUE,FALSE))</f>
        <v>0</v>
      </c>
    </row>
    <row r="564" spans="1:288" s="78" customFormat="1" ht="14.95" customHeight="1" thickTop="1" thickBot="1">
      <c r="B564" s="1845"/>
      <c r="C564" s="1846"/>
      <c r="D564" s="1847"/>
      <c r="E564" s="1737" t="s">
        <v>297</v>
      </c>
      <c r="F564" s="1738"/>
      <c r="G564" s="1739"/>
      <c r="H564" s="1739"/>
      <c r="I564" s="1739"/>
      <c r="J564" s="1739"/>
      <c r="K564" s="1739"/>
      <c r="L564" s="1739"/>
      <c r="M564" s="461" t="e">
        <f>IF(__Retrofit_TI_NC&lt;&gt;0,IF(VLOOKUP(G565,'Space Table'!$B$3:$L$163,3,FALSE)&gt;0,1,0),IF(__Retrofit_TI_NC=VLOOKUP(G565,'Space Table'!$B$3:$L$163,3,FALSE),1,0))</f>
        <v>#N/A</v>
      </c>
      <c r="N564" s="461" t="str">
        <f>IFERROR(VLOOKUP(G564,_Lookup_Heat_Type_Table_New,2,FALSE),"")</f>
        <v/>
      </c>
      <c r="O564" s="461">
        <f>IF(__Retrofit_TI_NC=1,CONCATENATE("TI ",G564),IF(__Retrofit_TI_NC=2,CONCATENATE("NC ",G564),G564))</f>
        <v>0</v>
      </c>
      <c r="P564" s="1740" t="s">
        <v>435</v>
      </c>
      <c r="Q564" s="1740"/>
      <c r="R564" s="595"/>
      <c r="S564" s="1792"/>
      <c r="T564" s="597"/>
      <c r="U564" s="1765"/>
      <c r="V564" s="1766"/>
      <c r="W564" s="1766"/>
      <c r="X564" s="1766"/>
      <c r="Y564" s="1766"/>
      <c r="Z564" s="1766"/>
      <c r="AA564" s="1766"/>
      <c r="AB564" s="1766"/>
      <c r="AC564" s="1766"/>
      <c r="AD564" s="1767"/>
      <c r="AE564" s="1000"/>
      <c r="AF564" s="597"/>
      <c r="AG564" s="1723"/>
      <c r="AH564" s="1724"/>
      <c r="AI564" s="1724"/>
      <c r="AJ564" s="1724"/>
      <c r="AK564" s="1725"/>
      <c r="AL564" s="996"/>
      <c r="AM564" s="1747"/>
      <c r="AN564" s="1775"/>
      <c r="AO564" s="1777"/>
      <c r="AP564" s="1780"/>
      <c r="AQ564" s="1781"/>
      <c r="AR564" s="1795"/>
      <c r="AS564" s="1795"/>
      <c r="AT564" s="1796"/>
      <c r="AU564" s="1735"/>
      <c r="AV564" s="1752"/>
      <c r="AW564" s="1705"/>
      <c r="AX564" s="467"/>
      <c r="AY564" s="1749"/>
      <c r="AZ564" s="1749"/>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696"/>
      <c r="CQ564" s="1696"/>
      <c r="CR564" s="1809"/>
      <c r="CS564" s="1811"/>
      <c r="CU564" s="1688"/>
      <c r="CV564" s="1703"/>
      <c r="CW564" s="1703"/>
      <c r="CX564" s="1703"/>
      <c r="CY564" s="1815"/>
      <c r="CZ564" s="1711"/>
      <c r="DA564" s="1818"/>
      <c r="DB564" s="1820"/>
      <c r="DC564" s="1820"/>
      <c r="DD564" s="1820"/>
      <c r="DF564" s="1703"/>
      <c r="DG564" s="1831"/>
      <c r="DH564" s="1703"/>
      <c r="DI564" s="1838"/>
      <c r="DJ564" s="1711"/>
      <c r="DK564" s="1712"/>
      <c r="DM564" s="1718"/>
      <c r="DO564" s="1708"/>
      <c r="DQ564" s="1715"/>
      <c r="DR564" s="1720"/>
      <c r="DS564" s="1816"/>
      <c r="DT564" s="1714"/>
      <c r="DU564" s="1715"/>
      <c r="DV564" s="1716"/>
      <c r="DX564" s="1715"/>
      <c r="DY564" s="1720"/>
      <c r="DZ564" s="1715"/>
      <c r="EA564" s="1715"/>
      <c r="EC564" s="1834"/>
      <c r="ED564" s="1834"/>
      <c r="EF564" s="1707"/>
      <c r="EG564" s="1712"/>
      <c r="EH564" s="1818"/>
      <c r="EI564" s="1712"/>
      <c r="EJ564" s="1712"/>
      <c r="EK564" s="1836"/>
      <c r="EL564" s="1836"/>
      <c r="EM564" s="1807"/>
      <c r="EN564" s="1839"/>
      <c r="EO564" s="1839"/>
      <c r="EP564" s="1817"/>
      <c r="EQ564" s="1817"/>
      <c r="ER564" s="1807"/>
      <c r="ES564" s="1807"/>
      <c r="ET564" s="1807"/>
      <c r="EV564" s="1715"/>
      <c r="EX564" s="1805"/>
      <c r="EY564" s="1805"/>
      <c r="EZ564" s="1805"/>
      <c r="FA564" s="1805"/>
      <c r="FB564" s="1805"/>
      <c r="FC564" s="1827"/>
      <c r="FE564" s="1698"/>
      <c r="FG564" s="1816"/>
      <c r="FH564" s="1816"/>
      <c r="FI564" s="133"/>
      <c r="FL564" s="1823"/>
      <c r="FM564" s="1825"/>
      <c r="FN564" s="1698"/>
      <c r="FO564" s="1698"/>
      <c r="FP564" s="1678"/>
      <c r="FQ564" s="1678"/>
      <c r="FS564" s="1687"/>
      <c r="FT564" s="1687"/>
      <c r="FU564" s="1685"/>
      <c r="FV564" s="1687"/>
      <c r="FW564" s="1687"/>
      <c r="FX564" s="1687"/>
      <c r="FY564" s="1697"/>
      <c r="GA564" s="1696"/>
      <c r="GB564" s="1696"/>
      <c r="GC564" s="1696"/>
      <c r="GD564" s="1696"/>
      <c r="GE564" s="1696"/>
      <c r="GF564" s="1696"/>
      <c r="GG564" s="1696"/>
      <c r="GH564" s="1696"/>
      <c r="GI564" s="673"/>
      <c r="GJ564" s="1135"/>
      <c r="GK564" s="1832"/>
      <c r="GM564" s="1693" t="b">
        <f ca="1">IF(AND(GP564=TRUE,GQ564=TRUE),TRUE,FALSE)</f>
        <v>0</v>
      </c>
      <c r="GN564" s="1684" t="b">
        <f>IFERROR(IF(__Retrofit_TI_NC=2,TRUE,IF(AU563="Yes",TRUE,FALSE)),FALSE)</f>
        <v>1</v>
      </c>
      <c r="GP564" s="1684" t="b">
        <f>IFERROR(IF(GP563=1,TRUE,FALSE),FALSE)</f>
        <v>0</v>
      </c>
      <c r="GQ564" s="1684" t="b">
        <f ca="1">IFERROR(IF(GQ563=GQ$14,TRUE,FALSE),FALSE)</f>
        <v>0</v>
      </c>
      <c r="HG564" s="1684" t="b">
        <f>IFERROR(IF(AND(__Retrofit_TI_NC&gt;0,CQ563="Interior"),FALSE,TRUE),FALSE)</f>
        <v>1</v>
      </c>
      <c r="HH564" s="1684" t="b">
        <f>IFERROR(IF(M564=1,TRUE,FALSE),FALSE)</f>
        <v>0</v>
      </c>
      <c r="HI564" s="1684" t="b">
        <f>IFERROR(IF(OR(M565=1,N566="BAM"),TRUE,FALSE),FALSE)</f>
        <v>0</v>
      </c>
      <c r="HJ564" s="1684" t="b">
        <f>IFERROR(IF(__Retrofit_TI_NC&lt;&gt;0,TRUE,IFERROR(IF(VLOOKUP(U564,Fixtures_Existing_List,2,FALSE)&lt;&gt;"",TRUE,FALSE),FALSE)),FALSE)</f>
        <v>0</v>
      </c>
      <c r="HK564" s="1684" t="b">
        <f>IFERROR(IF(VLOOKUP(U565,Fixtures_Proposed_List,2,FALSE)&lt;&gt;"",TRUE,FALSE),FALSE)</f>
        <v>0</v>
      </c>
      <c r="HL564" s="1684" t="b">
        <f>IF(AND(__Retrofit_TI_NC=2,FC563=TRUE),FALSE,TRUE)</f>
        <v>1</v>
      </c>
      <c r="HM564" s="1684" t="b">
        <f>GK563</f>
        <v>1</v>
      </c>
      <c r="HN564" s="1682" t="b">
        <f>IF(ISERROR(MATCH(FE563,_Control_Match[],0))=TRUE,FALSE,TRUE)</f>
        <v>0</v>
      </c>
      <c r="HO564" s="1693" t="b">
        <f>IFERROR(IF(EX563&lt;&gt;EY563,FALSE,TRUE),FALSE)</f>
        <v>1</v>
      </c>
      <c r="HP564" s="1693" t="b">
        <f>IFERROR(IF(EX565&lt;&gt;EY565,FALSE,TRUE),FALSE)</f>
        <v>1</v>
      </c>
      <c r="HQ564" s="1670" t="b">
        <f>IFERROR(IF(CQ563="Exterior",TRUE,IF(AND(OR(FM565=0,FM565=3),JD565&gt;6),FALSE,TRUE)),FALSE)</f>
        <v>0</v>
      </c>
      <c r="HR564" s="1684" t="b">
        <f>IFERROR(IF(AND(FO565=7,FC563=TRUE),FALSE,TRUE),FALSE)</f>
        <v>0</v>
      </c>
      <c r="HS564" s="1684" t="b">
        <f>IFERROR(IF(AND(T565&lt;&gt;AF565,OR(AG565="Interior LLLC", AG565="Interior NLC", AG565="LLLC (outside Daylight)",AG565="LLLC Controls Only"))=TRUE,FALSE,TRUE),FALSE)</f>
        <v>1</v>
      </c>
      <c r="HT564" s="1670" t="b">
        <f>IFERROR(IF(OR(AG565=Lookup!BB$17,AG565=Lookup!BB$18,AG565=Lookup!BB$19)=TRUE,IF(AF565&gt;T565,FALSE,TRUE),TRUE),FALSE)</f>
        <v>1</v>
      </c>
      <c r="HU564" s="1684" t="b">
        <f>IFERROR(IF(__Retrofit_TI_NC=2,IF(EZ565&lt;EZ563,FALSE,TRUE),TRUE),FALSE)</f>
        <v>1</v>
      </c>
      <c r="HV564" s="1684" t="b">
        <f>IF(CQ563="Interior",IL$6,TRUE)</f>
        <v>1</v>
      </c>
      <c r="HW564" s="1684" t="b">
        <f>IF(CQ563="Exterior",IL$8,TRUE)</f>
        <v>1</v>
      </c>
      <c r="HX564" s="1684" t="b">
        <f>IFERROR(IF(__Retrofit_TI_NC&lt;&gt;0,IF(AZ563&lt;AY563,FALSE,TRUE),TRUE),FALSE)</f>
        <v>1</v>
      </c>
      <c r="HY564" s="1684" t="b">
        <f>IFERROR(IF(AND(G564="Exterior",R564&gt;4200),FALSE,TRUE),FALSE)</f>
        <v>1</v>
      </c>
      <c r="HZ564" s="1684" t="b">
        <f>IFERROR(IF(AB566/AB563&lt;HZ$18,FALSE,TRUE),FALSE)</f>
        <v>0</v>
      </c>
      <c r="IB564" s="1691"/>
      <c r="IC564" s="1695"/>
      <c r="ID564" s="1694" t="str">
        <f>VLOOKUP(IB566,_Error_Table,4,FALSE)</f>
        <v>White</v>
      </c>
      <c r="IE564" s="391"/>
      <c r="IF564" s="1688"/>
      <c r="IG564" s="1689"/>
      <c r="IH564" s="1684"/>
      <c r="IK564" s="1689"/>
      <c r="IL564" s="1691"/>
      <c r="IM564" s="1691"/>
      <c r="IN564" s="1691"/>
      <c r="IP564" s="1679"/>
      <c r="IQ564" s="1679"/>
      <c r="IR564" s="1679"/>
      <c r="IS564" s="1679"/>
      <c r="IT564" s="1679"/>
      <c r="IU564" s="1679"/>
      <c r="IV564" s="1679"/>
      <c r="IW564" s="1679"/>
      <c r="IX564" s="1679"/>
      <c r="IY564" s="1679"/>
      <c r="IZ564" s="1679"/>
      <c r="JA564" s="1679"/>
      <c r="JC564" s="1680"/>
      <c r="JD564" s="1670"/>
      <c r="JE564" s="1681"/>
      <c r="JG564" s="1680"/>
      <c r="JH564" s="1670"/>
      <c r="JI564" s="1060"/>
      <c r="JJ564" s="1683"/>
      <c r="JK564" s="1061"/>
      <c r="JL564" s="1683"/>
      <c r="JM564" s="1061"/>
      <c r="JN564" s="1683"/>
      <c r="JO564" s="1061"/>
      <c r="JP564" s="1683"/>
      <c r="JQ564" s="1061"/>
      <c r="JR564" s="1683"/>
      <c r="JS564" s="1061"/>
      <c r="JT564" s="1670"/>
      <c r="JU564" s="1061"/>
      <c r="JV564" s="1670"/>
      <c r="JX564" s="1670"/>
      <c r="JZ564" s="1683"/>
      <c r="KB564" s="1670"/>
    </row>
    <row r="565" spans="1:288" s="78" customFormat="1" ht="14.95" customHeight="1" thickTop="1" thickBot="1">
      <c r="A565" s="78">
        <f>ROW()</f>
        <v>565</v>
      </c>
      <c r="B565" s="1845"/>
      <c r="C565" s="1846"/>
      <c r="D565" s="1847"/>
      <c r="E565" s="1737" t="s">
        <v>298</v>
      </c>
      <c r="F565" s="1738"/>
      <c r="G565" s="1760"/>
      <c r="H565" s="1761"/>
      <c r="I565" s="1761"/>
      <c r="J565" s="1761"/>
      <c r="K565" s="1761"/>
      <c r="L565" s="1762"/>
      <c r="M565" s="461">
        <f>IFERROR(IF(IF(__Retrofit_TI_NC&lt;&gt;0,IF(CQ563="Interior",MATCH(G565,Lookup_Interior_New,0),MATCH(G565,Lookup_Exterior_New,0)),IF(CQ563="Interior",MATCH(G565,Lookup_Interior,0),MATCH(G565,Lookup_Exterior_Areas,0)))&gt;0,1,0),0)</f>
        <v>0</v>
      </c>
      <c r="N565" s="461" t="e">
        <f>IF(__Retrofit_TI_NC=1,
VLOOKUP(G565,'Space Table'!$B$3:$L$163,4,FALSE),
IF(__Retrofit_TI_NC=2,VLOOKUP(G565,'Space Table'!$B$3:$L$163,5,FALSE),VLOOKUP(G565,'Space Table'!$B$3:$L$163,5,FALSE)))</f>
        <v>#N/A</v>
      </c>
      <c r="O565" s="461">
        <f>G565</f>
        <v>0</v>
      </c>
      <c r="P565" s="1738" t="str">
        <f>IFERROR(IF(__Retrofit_TI_NC=1,VLOOKUP(G565,'Space Table'!$B$3:$O$163,13,FALSE),IF(__Retrofit_TI_NC=2,VLOOKUP(G565,'Space Table'!$B$3:$O$163,14,FALSE),"Area (sf):")),"Area (sf):")</f>
        <v>Area (sf):</v>
      </c>
      <c r="Q565" s="1738"/>
      <c r="R565" s="596"/>
      <c r="S565" s="1763" t="s">
        <v>345</v>
      </c>
      <c r="T565" s="594"/>
      <c r="U565" s="1801"/>
      <c r="V565" s="1802"/>
      <c r="W565" s="1802"/>
      <c r="X565" s="1802"/>
      <c r="Y565" s="1802"/>
      <c r="Z565" s="1802"/>
      <c r="AA565" s="1802"/>
      <c r="AB565" s="1802"/>
      <c r="AC565" s="1802"/>
      <c r="AD565" s="1802"/>
      <c r="AE565" s="1803"/>
      <c r="AF565" s="594"/>
      <c r="AG565" s="1787"/>
      <c r="AH565" s="1787"/>
      <c r="AI565" s="1787"/>
      <c r="AJ565" s="1787"/>
      <c r="AK565" s="1787"/>
      <c r="AL565" s="1787"/>
      <c r="AM565" s="1726">
        <f>IFERROR(DI565,"")</f>
        <v>0</v>
      </c>
      <c r="AN565" s="1728" t="str">
        <f>IFERROR(ROUND(AM565*AC566,0),"")</f>
        <v/>
      </c>
      <c r="AO565" s="1730">
        <f>IFERROR(IF(IB563=FALSE,0,AC566-AN565),0)</f>
        <v>0</v>
      </c>
      <c r="AP565" s="1780"/>
      <c r="AQ565" s="1781"/>
      <c r="AR565" s="1795"/>
      <c r="AS565" s="1795"/>
      <c r="AT565" s="1796"/>
      <c r="AU565" s="1735"/>
      <c r="AV565" s="1752"/>
      <c r="AW565" s="1705"/>
      <c r="AX565" s="467"/>
      <c r="AY565" s="1749"/>
      <c r="AZ565" s="1749"/>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696"/>
      <c r="CQ565" s="1696"/>
      <c r="CR565" s="1808" t="str">
        <f>CQ563</f>
        <v/>
      </c>
      <c r="CS565" s="1810" t="str">
        <f>CS563</f>
        <v/>
      </c>
      <c r="CU565" s="1688" t="s">
        <v>345</v>
      </c>
      <c r="CV565" s="1702">
        <f>IF(IB563=TRUE,T565,0)</f>
        <v>0</v>
      </c>
      <c r="CW565" s="1702" t="str">
        <f>IF(IB563=TRUE,U565,"")</f>
        <v/>
      </c>
      <c r="CX565" s="1812">
        <f>IF(IB563=TRUE,U566,0)</f>
        <v>0</v>
      </c>
      <c r="CY565" s="1814">
        <f>IF(IB563=TRUE,AB566,0)</f>
        <v>0</v>
      </c>
      <c r="CZ565" s="1710">
        <f>IF(AND(__Retrofit_TI_NC&gt;0,CR563="interior"),0,IF(IB563=TRUE,AC566,0))</f>
        <v>0</v>
      </c>
      <c r="DA565" s="1818"/>
      <c r="DB565" s="1820"/>
      <c r="DC565" s="1820"/>
      <c r="DD565" s="1820"/>
      <c r="DF565" s="1702">
        <f>IF(IB563=TRUE,AF565,0)</f>
        <v>0</v>
      </c>
      <c r="DG565" s="1830" t="str">
        <f>IF(IB563=TRUE,AG565,"")</f>
        <v/>
      </c>
      <c r="DH565" s="1812">
        <f>AG566</f>
        <v>0</v>
      </c>
      <c r="DI565" s="1837">
        <f>JE565</f>
        <v>0</v>
      </c>
      <c r="DJ565" s="1710">
        <f>IF(AND(__Retrofit_TI_NC&gt;0,CR563="interior"),0,IF(IB563=TRUE,AN565,0))</f>
        <v>0</v>
      </c>
      <c r="DK565" s="1712"/>
      <c r="DN565" s="1717">
        <f>IFERROR(CZ565-DJ565,0)</f>
        <v>0</v>
      </c>
      <c r="DO565" s="1709"/>
      <c r="DQ565" s="1715"/>
      <c r="DR565" s="1719" t="str">
        <f>DQ563</f>
        <v/>
      </c>
      <c r="DS565" s="1816"/>
      <c r="DT565" s="1835" t="str">
        <f>IF(OR(DS563=7,DS563=8,DS563=9),"ALC","")</f>
        <v/>
      </c>
      <c r="DU565" s="1715"/>
      <c r="DV565" s="1716"/>
      <c r="DX565" s="1715"/>
      <c r="DY565" s="1829" t="str">
        <f>DX563</f>
        <v/>
      </c>
      <c r="DZ565" s="1715"/>
      <c r="EA565" s="1715"/>
      <c r="EC565" s="1834"/>
      <c r="ED565" s="1834"/>
      <c r="EF565" s="1707"/>
      <c r="EG565" s="1712"/>
      <c r="EH565" s="1818"/>
      <c r="EI565" s="1712"/>
      <c r="EJ565" s="1712"/>
      <c r="EK565" s="1836"/>
      <c r="EL565" s="1836"/>
      <c r="EM565" s="1807"/>
      <c r="EN565" s="1839"/>
      <c r="EO565" s="1839"/>
      <c r="EP565" s="1817"/>
      <c r="EQ565" s="1817"/>
      <c r="ER565" s="1807"/>
      <c r="ES565" s="1807"/>
      <c r="ET565" s="1807"/>
      <c r="EV565" s="1715"/>
      <c r="EX565" s="1805" t="str">
        <f>IFERROR(VLOOKUP(CS565,'Space Table'!$B$3:$L$163,8,FALSE),"")</f>
        <v/>
      </c>
      <c r="EY565" s="1805" t="str">
        <f>IFERROR(IF(FB565="Yes",VLOOKUP(AG565,Lookup_Control_Type_Table2,4,FALSE),VLOOKUP(AG565,Lookup_Control_Type_Table2,3,FALSE)),"")</f>
        <v/>
      </c>
      <c r="EZ565" s="1805" t="e">
        <f>VLOOKUP(AG565,Lookup!BB$3:BC$20,2,FALSE)</f>
        <v>#N/A</v>
      </c>
      <c r="FA565" s="1805" t="e">
        <f>VLOOKUP(EX563,Lookup_Control_Type_Table,2,FALSE)</f>
        <v>#N/A</v>
      </c>
      <c r="FB565" s="1805" t="e">
        <f>VLOOKUP(CS565,'Space Table'!$B$3:$L$163,7,FALSE)</f>
        <v>#N/A</v>
      </c>
      <c r="FC565" s="1827"/>
      <c r="FE565" s="1698" t="str">
        <f>CONCATENATE(CQ563," - ",AG565)</f>
        <v xml:space="preserve"> - </v>
      </c>
      <c r="FG565" s="1816"/>
      <c r="FH565" s="1816"/>
      <c r="FI565" s="133"/>
      <c r="FL565" s="1822" t="str">
        <f>IF(CQ563="Exterior","Not Daylighted",G566)</f>
        <v>Not Daylighted</v>
      </c>
      <c r="FM565" s="1824">
        <f>VLOOKUP(FL565,_New_Daylight_Table_Codes,2,FALSE)</f>
        <v>0</v>
      </c>
      <c r="FN565" s="1698">
        <f>AG565</f>
        <v>0</v>
      </c>
      <c r="FO565" s="1698" t="e">
        <f>VLOOKUP(FN565,_Control_Table,2,FALSE)</f>
        <v>#N/A</v>
      </c>
      <c r="FP565" s="1678" t="e">
        <f>VLOOKUP(CONCATENATE(FL565," ",FN565),Lookup!AY$102:AZ576,2,FALSE)</f>
        <v>#N/A</v>
      </c>
      <c r="FQ565" s="1698">
        <f>IF(__Retrofit_TI_NC=0,FN565,IF(AND(FT565&gt;0,FN565="Occupancy Sensor"),"Daylight + Occupancy",IF(AND(FT565&gt;0,FO565&lt;4),"Interior Daylight Dimming",FN565)))</f>
        <v>0</v>
      </c>
      <c r="FS565" s="1686">
        <f>IF(CQ563="Interior",VLOOKUP(CS563,Control_Savings_Interior,5,FALSE),0)</f>
        <v>0</v>
      </c>
      <c r="FT565" s="1687">
        <f>IF(CQ565="Exterior",0,IF(FM565=2,0.5,IF(OR(FM565=1,FM565=3),1,0)))</f>
        <v>0</v>
      </c>
      <c r="FU565" s="1685">
        <f>IF(R564&gt;FS$44,(FS565*(FS$44/R564)),FS565)*FT565</f>
        <v>0</v>
      </c>
      <c r="FV565" s="1686">
        <f>DI565</f>
        <v>0</v>
      </c>
      <c r="FW565" s="1686">
        <f>ROUND(FV565+((1-FV565)*FU565),2)</f>
        <v>0</v>
      </c>
      <c r="FX565" s="1686">
        <f>IF(__Retrofit_TI_NC=2,FW565,FV565)</f>
        <v>0</v>
      </c>
      <c r="FY565" s="1697">
        <f>IF(CR565="Interior",VLOOKUP(CS565,Control_Savings_Interior,4,FALSE),0)</f>
        <v>0</v>
      </c>
      <c r="GA565" s="1696"/>
      <c r="GB565" s="1696"/>
      <c r="GC565" s="1696"/>
      <c r="GD565" s="1696"/>
      <c r="GE565" s="1696"/>
      <c r="GF565" s="1696"/>
      <c r="GG565" s="1696"/>
      <c r="GH565" s="1696"/>
      <c r="GI565" s="673" t="b">
        <f>IF(ISNUMBER(SEARCH("TLED",U565)),TRUE,FALSE)</f>
        <v>0</v>
      </c>
      <c r="GJ565" s="1135" t="str">
        <f>IFERROR(VLOOKUP(U565,Fixtures!DM$93:DR$142,6,FALSE),"")</f>
        <v/>
      </c>
      <c r="GK565" s="1832"/>
      <c r="GM565" s="1692"/>
      <c r="GN565" s="1684"/>
      <c r="GP565" s="1684"/>
      <c r="GQ565" s="1684"/>
      <c r="HG565" s="1684"/>
      <c r="HH565" s="1684"/>
      <c r="HI565" s="1684"/>
      <c r="HJ565" s="1684"/>
      <c r="HK565" s="1684"/>
      <c r="HL565" s="1684"/>
      <c r="HM565" s="1684"/>
      <c r="HN565" s="1683"/>
      <c r="HO565" s="1692"/>
      <c r="HP565" s="1692"/>
      <c r="HQ565" s="1670"/>
      <c r="HR565" s="1684"/>
      <c r="HS565" s="1684"/>
      <c r="HT565" s="1670"/>
      <c r="HU565" s="1684"/>
      <c r="HV565" s="1684"/>
      <c r="HW565" s="1684"/>
      <c r="HX565" s="1684"/>
      <c r="HY565" s="1684"/>
      <c r="HZ565" s="1684"/>
      <c r="IB565" s="1692"/>
      <c r="IC565" s="1693" t="b">
        <f>IB563</f>
        <v>0</v>
      </c>
      <c r="ID565" s="1695"/>
      <c r="IE565" s="391"/>
      <c r="IF565" s="1688"/>
      <c r="IG565" s="1689">
        <f ca="1">IF(IF563=TRUE,AC566,0)</f>
        <v>0</v>
      </c>
      <c r="IH565" s="1684"/>
      <c r="IK565" s="1689" t="e">
        <f>ROUND(T565*AB566*N564*R564/1000,0)</f>
        <v>#VALUE!</v>
      </c>
      <c r="IL565" s="1691"/>
      <c r="IM565" s="1693" t="e">
        <f>ROUND(T565*AB566*N564*R564/1000,0)</f>
        <v>#VALUE!</v>
      </c>
      <c r="IN565" s="1691"/>
      <c r="IP565" s="1679"/>
      <c r="IQ565" s="1679" t="e">
        <f t="shared" ref="IQ565:IU565" si="512">IF($CR565="interior",VLOOKUP($CS565,_New_Control_Savings_Interior,IQ$30,FALSE),VLOOKUP($CS565,Control_Savings_Exterior,IQ$30,FALSE))</f>
        <v>#N/A</v>
      </c>
      <c r="IR565" s="1679" t="e">
        <f t="shared" si="512"/>
        <v>#N/A</v>
      </c>
      <c r="IS565" s="1679" t="e">
        <f t="shared" si="512"/>
        <v>#N/A</v>
      </c>
      <c r="IT565" s="1679" t="e">
        <f t="shared" si="512"/>
        <v>#N/A</v>
      </c>
      <c r="IU565" s="1679" t="e">
        <f t="shared" si="512"/>
        <v>#N/A</v>
      </c>
      <c r="IV565" s="1679" t="e">
        <f>IF($CR565="interior",IF(R564&gt;$IP$14,ROUND(($IV$18*($IP$14/R564)),2),$IV$18),VLOOKUP($CS565,Control_Savings_Exterior,IV$30,FALSE))</f>
        <v>#N/A</v>
      </c>
      <c r="IW565" s="1679" t="e">
        <f>IF($CR565="interior",ROUND(((1-IS565)*IV565)+IS565,2),VLOOKUP($CS565,Control_Savings_Exterior,IW$30,FALSE))</f>
        <v>#N/A</v>
      </c>
      <c r="IX565" s="1679" t="e">
        <f>IF($CR565="interior",ROUND(((1-IT565)*IV565)+IT565,2),VLOOKUP($CS565,Control_Savings_Exterior,IX$30,FALSE))</f>
        <v>#N/A</v>
      </c>
      <c r="IY565" s="1679" t="e">
        <f>IF($CR565="interior",IF(R564&gt;$IP$14,ROUND(($IY$18*($IP$14/R564)),2),$IY$18),VLOOKUP($CS565,Control_Savings_Exterior,IY$30,FALSE))</f>
        <v>#N/A</v>
      </c>
      <c r="IZ565" s="1679" t="e">
        <f>IF($CR565="interior",ROUND(((1-IS565)*IY565)+IS565,2),VLOOKUP($CS565,Control_Savings_Exterior,IZ$30,FALSE))</f>
        <v>#N/A</v>
      </c>
      <c r="JA565" s="1679" t="e">
        <f>IF($CR565="interior",ROUND(((1-IT565)*IY565)+IT565,2),VLOOKUP($CS565,Control_Savings_Exterior,JA$30,FALSE))</f>
        <v>#N/A</v>
      </c>
      <c r="JC565" s="1680">
        <f>IFERROR(IF(CR565="Interior",CONCATENATE(G566," ",FQ565),AG565),"")</f>
        <v>0</v>
      </c>
      <c r="JD565" s="1670" t="str">
        <f>IFERROR(VLOOKUP(JC565,_Controls_2023,2,FALSE),"")</f>
        <v/>
      </c>
      <c r="JE565" s="1681">
        <f>IFERROR(CHOOSE(JD565-1,IQ565,IR565,IS565,IT565,IU565,IV565,IW565,IX565,IY565,IZ565,JA565),0)</f>
        <v>0</v>
      </c>
      <c r="JG565" s="1680" t="str">
        <f>FE565</f>
        <v xml:space="preserve"> - </v>
      </c>
      <c r="JH565" s="1670" t="e">
        <f>$FO565</f>
        <v>#N/A</v>
      </c>
      <c r="JI565" s="1060"/>
      <c r="JJ565" s="1670">
        <f>IFERROR(IF($IB563=TRUE,IF(OR(JJ$14="No",JJ563=FALSE,JH565&lt;=JH563,AND(_kWh_Grant=0,GD563=FALSE)),0,IF(JJ$8="Per Line",1,$AF565)),0),0)</f>
        <v>0</v>
      </c>
      <c r="JK565" s="1061"/>
      <c r="JL565" s="1670">
        <f>IFERROR(IF(_kWh_Grant=0,0,IF($IB563=TRUE,IF(OR(JL$14="No",JL563=FALSE,JH565&lt;=JH563),0,IF(JL$8="Per Line",1,$T565)),0)),0)</f>
        <v>0</v>
      </c>
      <c r="JM565" s="1061"/>
      <c r="JN565" s="1670">
        <f>IFERROR(IF(_kWh_Grant=0,0,IF($IB563=TRUE,IF(OR(JN$14="No",JN563=FALSE,JH565&lt;=JH563),0,IF(JN$8="Per Line",1,$AF565)),0)),0)</f>
        <v>0</v>
      </c>
      <c r="JO565" s="1061"/>
      <c r="JP565" s="1670">
        <f>IFERROR(IF(__Retrofit_TI_NC=0,IF(_kWh_Grant=0,0,IF($IB563=TRUE,IF(OR(JP$14="No",JP563=FALSE,$JH565&lt;=$JH563),0,IF(JP$8="Per Line",1,$AF565)),0)),IF($IB563=TRUE,IF(OR(JP$14="No",JP563=FALSE,$JH565&lt;=$JH563),0,IF(JP$8="Per Line",1,$AF565)))),0)</f>
        <v>0</v>
      </c>
      <c r="JQ565" s="1061"/>
      <c r="JR565" s="1670">
        <f>IFERROR(IF(__Retrofit_TI_NC=0,IF(_kWh_Grant=0,0,IF($IB563=TRUE,IF(OR(JR$14="No",JR563=FALSE,$JH565&lt;=$JH563),0,IF(JR$8="Per Line",1,$AF565)),0)),IF($IB563=TRUE,IF(OR(JR$14="No",JR563=FALSE,$JH565&lt;=$JH563),0,IF(JR$8="Per Line",1,$AF565)))),0)</f>
        <v>0</v>
      </c>
      <c r="JS565" s="1061"/>
      <c r="JT565" s="1670">
        <f>IFERROR(IF(__Retrofit_TI_NC=0,IF(_kWh_Grant=0,0,IF($IB563=TRUE,IF(OR(JT$14="No",JT563=FALSE,$JH565&lt;=$JH563),0,IF(JT$8="Per Line",1,$AF565)),0)),IF($IB563=TRUE,IF(OR(JT$14="No",JT563=FALSE,$JH565&lt;=$JH563),0,IF(JT$8="Per Line",1,$AF565)))),0)</f>
        <v>0</v>
      </c>
      <c r="JU565" s="1061"/>
      <c r="JV565" s="1670">
        <f>IFERROR(IF(__Retrofit_TI_NC=0,IF(_kWh_Grant=0,0,IF($IB563=TRUE,IF(OR(JV$14="No",JV563=FALSE,$JH565&lt;=$JH563),0,IF(JV$8="Per Line",1,$AF565)),0)),IF($IB563=TRUE,IF(OR(JV$14="No",JV563=FALSE,$JH565&lt;=$JH563),0,IF(JV$8="Per Line",1,$AF565)))),0)</f>
        <v>0</v>
      </c>
      <c r="JX565" s="1670">
        <f>IFERROR(IF(__Retrofit_TI_NC=0,IF(_kWh_Grant=0,0,IF($IB563=TRUE,IF(OR(JX$14="No",JX563=FALSE,$JH565&lt;=$JH563),0,IF(JX$8="Per Line",1,$AF565)),0)),IF($IB563=TRUE,IF(OR(JX$14="No",JX563=FALSE,$JH565&lt;=$JH563),0,IF(JX$8="Per Line",1,$AF565)))),0)</f>
        <v>0</v>
      </c>
      <c r="JZ565" s="1670">
        <f>IFERROR(IF($IB563=TRUE,IF(OR(JZ$14="No",JZ563=FALSE,$JH565&lt;=$JH563,AND(_kWh_Grant=0,$GD563=FALSE)),0,IF(JZ$8="Per Line",1,$AF565)),0),0)</f>
        <v>0</v>
      </c>
      <c r="KB565" s="1670">
        <f>IFERROR(IF(__Retrofit_TI_NC=0,IF(_kWh_Grant=0,0,IF($IB563=TRUE,IF(OR(KB$14="No",KB563=FALSE,$JH565&lt;=$JH563),0,IF(KB$8="Per Line",1,$AF565)),0)),IF($IB563=TRUE,IF(OR(KB$14="No",KB563=FALSE,$JH565&lt;=$JH563),0,IF(KB$8="Per Line",1,$AF565)))),0)</f>
        <v>0</v>
      </c>
    </row>
    <row r="566" spans="1:288" s="78" customFormat="1" ht="14.95" customHeight="1" thickTop="1" thickBot="1">
      <c r="B566" s="1845"/>
      <c r="C566" s="1846"/>
      <c r="D566" s="1847"/>
      <c r="E566" s="1771" t="s">
        <v>436</v>
      </c>
      <c r="F566" s="1772"/>
      <c r="G566" s="1784" t="s">
        <v>437</v>
      </c>
      <c r="H566" s="1785"/>
      <c r="I566" s="1785"/>
      <c r="J566" s="1785"/>
      <c r="K566" s="1785"/>
      <c r="L566" s="1786"/>
      <c r="M566" s="591">
        <f>IFERROR(VLOOKUP(G566,_Daylight_Table[],2,FALSE),0)</f>
        <v>0</v>
      </c>
      <c r="N566" s="592" t="str">
        <f>IF(AND(__Retrofit_TI_NC&gt;0,CQ563="Interior"),"BAM","")</f>
        <v/>
      </c>
      <c r="O566" s="591" t="e">
        <f>VLOOKUP(G565,'Space Table'!$B$3:$L$163,11,FALSE)</f>
        <v>#N/A</v>
      </c>
      <c r="P566" s="1789"/>
      <c r="Q566" s="1790"/>
      <c r="R566" s="1790"/>
      <c r="S566" s="1788"/>
      <c r="T566" s="593" t="s">
        <v>342</v>
      </c>
      <c r="U566" s="1756" t="str" cm="1">
        <f t="array" aca="1" ref="U566" ca="1">IFERROR(VLOOKUP(INDIRECT("U" &amp; ROW()-1),Fixtures!DM$93:DP$142,4,FALSE),"")</f>
        <v/>
      </c>
      <c r="V566" s="1757"/>
      <c r="W566" s="1757"/>
      <c r="X566" s="1757"/>
      <c r="Y566" s="1757"/>
      <c r="Z566" s="1757"/>
      <c r="AA566" s="1758"/>
      <c r="AB566" s="939" t="str">
        <f>IFERROR(VLOOKUP(U565,Fixtures_Proposed_List,2,FALSE),"")</f>
        <v/>
      </c>
      <c r="AC566" s="933" t="str">
        <f>IFERROR(ROUND(T565*AB566*N564*R564/1000,0),"")</f>
        <v/>
      </c>
      <c r="AD566" s="934" t="str">
        <f>IFERROR(ROUND(T565*AB566/1000,2),"")</f>
        <v/>
      </c>
      <c r="AE566" s="998"/>
      <c r="AF566" s="938" t="s">
        <v>342</v>
      </c>
      <c r="AG566" s="1770"/>
      <c r="AH566" s="1770"/>
      <c r="AI566" s="1770"/>
      <c r="AJ566" s="1770"/>
      <c r="AK566" s="1770"/>
      <c r="AL566" s="1770"/>
      <c r="AM566" s="1727"/>
      <c r="AN566" s="1729"/>
      <c r="AO566" s="1731"/>
      <c r="AP566" s="1782"/>
      <c r="AQ566" s="1783"/>
      <c r="AR566" s="1797"/>
      <c r="AS566" s="1797"/>
      <c r="AT566" s="1798"/>
      <c r="AU566" s="1736"/>
      <c r="AV566" s="1753"/>
      <c r="AW566" s="1706"/>
      <c r="AX566" s="468"/>
      <c r="AY566" s="1750"/>
      <c r="AZ566" s="1750"/>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696"/>
      <c r="CQ566" s="1696"/>
      <c r="CR566" s="1809"/>
      <c r="CS566" s="1811"/>
      <c r="CU566" s="1688"/>
      <c r="CV566" s="1703"/>
      <c r="CW566" s="1703"/>
      <c r="CX566" s="1813"/>
      <c r="CY566" s="1815"/>
      <c r="CZ566" s="1711"/>
      <c r="DA566" s="1815"/>
      <c r="DB566" s="1821"/>
      <c r="DC566" s="1821"/>
      <c r="DD566" s="1821"/>
      <c r="DF566" s="1703"/>
      <c r="DG566" s="1831"/>
      <c r="DH566" s="1813"/>
      <c r="DI566" s="1838"/>
      <c r="DJ566" s="1711"/>
      <c r="DK566" s="1712"/>
      <c r="DN566" s="1718"/>
      <c r="DO566" s="1709"/>
      <c r="DQ566" s="1715"/>
      <c r="DR566" s="1720"/>
      <c r="DS566" s="1703"/>
      <c r="DT566" s="1714"/>
      <c r="DU566" s="1715"/>
      <c r="DV566" s="1716"/>
      <c r="DX566" s="1715"/>
      <c r="DY566" s="1720"/>
      <c r="DZ566" s="1715"/>
      <c r="EA566" s="1715"/>
      <c r="EC566" s="1834"/>
      <c r="ED566" s="1834"/>
      <c r="EF566" s="1707"/>
      <c r="EG566" s="1712"/>
      <c r="EH566" s="1815"/>
      <c r="EI566" s="1712"/>
      <c r="EJ566" s="1712"/>
      <c r="EK566" s="1813"/>
      <c r="EL566" s="1813"/>
      <c r="EM566" s="1807"/>
      <c r="EN566" s="1839"/>
      <c r="EO566" s="1839"/>
      <c r="EP566" s="1817"/>
      <c r="EQ566" s="1817"/>
      <c r="ER566" s="1807"/>
      <c r="ES566" s="1807"/>
      <c r="ET566" s="1807"/>
      <c r="EV566" s="1715"/>
      <c r="EX566" s="1806"/>
      <c r="EY566" s="1806"/>
      <c r="EZ566" s="1806"/>
      <c r="FA566" s="1806"/>
      <c r="FB566" s="1806"/>
      <c r="FC566" s="1828"/>
      <c r="FE566" s="1698"/>
      <c r="FG566" s="1703"/>
      <c r="FH566" s="1703"/>
      <c r="FI566" s="133"/>
      <c r="FL566" s="1823"/>
      <c r="FM566" s="1825"/>
      <c r="FN566" s="1698"/>
      <c r="FO566" s="1698"/>
      <c r="FP566" s="1678"/>
      <c r="FQ566" s="1698"/>
      <c r="FS566" s="1687"/>
      <c r="FT566" s="1687"/>
      <c r="FU566" s="1685"/>
      <c r="FV566" s="1687"/>
      <c r="FW566" s="1687"/>
      <c r="FX566" s="1687"/>
      <c r="FY566" s="1697"/>
      <c r="GA566" s="1696"/>
      <c r="GB566" s="1696"/>
      <c r="GC566" s="1696"/>
      <c r="GD566" s="1696"/>
      <c r="GE566" s="1696"/>
      <c r="GF566" s="1696"/>
      <c r="GG566" s="1696"/>
      <c r="GH566" s="1696"/>
      <c r="GI566" s="673"/>
      <c r="GJ566" s="1135"/>
      <c r="GK566" s="1832"/>
      <c r="GN566" s="674">
        <f>IF(GN564=TRUE,0,GN$16)</f>
        <v>0</v>
      </c>
      <c r="GP566" s="674">
        <f>IF(GP564=TRUE,0,GP$16)</f>
        <v>36</v>
      </c>
      <c r="GQ566" s="674">
        <f ca="1">IF(GQ564=TRUE,0,GQ$16)</f>
        <v>35</v>
      </c>
      <c r="GR566" s="391"/>
      <c r="GS566" s="391"/>
      <c r="GT566" s="391"/>
      <c r="GU566" s="391"/>
      <c r="GV566" s="391"/>
      <c r="HG566" s="674">
        <f>IF(HG564=TRUE,0,HG$16)</f>
        <v>0</v>
      </c>
      <c r="HH566" s="674">
        <f t="shared" ref="HH566:HM566" si="513">IF(HH564=TRUE,0,HH$16)</f>
        <v>19</v>
      </c>
      <c r="HI566" s="674">
        <f t="shared" si="513"/>
        <v>18</v>
      </c>
      <c r="HJ566" s="674">
        <f t="shared" si="513"/>
        <v>17</v>
      </c>
      <c r="HK566" s="674">
        <f t="shared" si="513"/>
        <v>16</v>
      </c>
      <c r="HL566" s="674">
        <f t="shared" si="513"/>
        <v>0</v>
      </c>
      <c r="HM566" s="674">
        <f t="shared" si="513"/>
        <v>0</v>
      </c>
      <c r="HN566" s="674">
        <f>IF(HN564=TRUE,0,HN$16)</f>
        <v>13</v>
      </c>
      <c r="HO566" s="674">
        <f t="shared" ref="HO566:HQ566" si="514">IF(HO564=TRUE,0,HO$16)</f>
        <v>0</v>
      </c>
      <c r="HP566" s="674">
        <f t="shared" si="514"/>
        <v>0</v>
      </c>
      <c r="HQ566" s="674">
        <f t="shared" si="514"/>
        <v>10</v>
      </c>
      <c r="HR566" s="674">
        <f>IF(HR564=TRUE,0,HR$16)</f>
        <v>9</v>
      </c>
      <c r="HS566" s="674">
        <f t="shared" ref="HS566:HW566" si="515">IF(HS564=TRUE,0,HS$16)</f>
        <v>0</v>
      </c>
      <c r="HT566" s="674">
        <f t="shared" si="515"/>
        <v>0</v>
      </c>
      <c r="HU566" s="674">
        <f t="shared" si="515"/>
        <v>0</v>
      </c>
      <c r="HV566" s="674">
        <f t="shared" si="515"/>
        <v>0</v>
      </c>
      <c r="HW566" s="674">
        <f t="shared" si="515"/>
        <v>0</v>
      </c>
      <c r="HX566" s="674">
        <f>IF(HX564=TRUE,0,HX$16)</f>
        <v>0</v>
      </c>
      <c r="HY566" s="674">
        <f>IF(HY564=TRUE,0,HY$16)</f>
        <v>0</v>
      </c>
      <c r="HZ566" s="674">
        <f>IF(HZ564=TRUE,0,HZ$16)</f>
        <v>1</v>
      </c>
      <c r="IB566" s="674">
        <f>IF(GP564=FALSE,GP566,IF(GQ564=FALSE,GQ566,MAX(GN566:HZ566)))</f>
        <v>36</v>
      </c>
      <c r="IC566" s="1692"/>
      <c r="ID566" s="205" t="str">
        <f>VLOOKUP(IB566,_Error_Table,3,FALSE)</f>
        <v xml:space="preserve"> </v>
      </c>
      <c r="IE566" s="205"/>
      <c r="IF566" s="1688"/>
      <c r="IG566" s="1689"/>
      <c r="IH566" s="1684"/>
      <c r="IK566" s="1689"/>
      <c r="IL566" s="1692"/>
      <c r="IM566" s="1692"/>
      <c r="IN566" s="1692"/>
      <c r="IP566" s="1679"/>
      <c r="IQ566" s="1679"/>
      <c r="IR566" s="1679"/>
      <c r="IS566" s="1679"/>
      <c r="IT566" s="1679"/>
      <c r="IU566" s="1679"/>
      <c r="IV566" s="1679"/>
      <c r="IW566" s="1679"/>
      <c r="IX566" s="1679"/>
      <c r="IY566" s="1679"/>
      <c r="IZ566" s="1679"/>
      <c r="JA566" s="1679"/>
      <c r="JC566" s="1680"/>
      <c r="JD566" s="1670"/>
      <c r="JE566" s="1681"/>
      <c r="JG566" s="1680"/>
      <c r="JH566" s="1670"/>
      <c r="JI566" s="1060"/>
      <c r="JJ566" s="1670"/>
      <c r="JK566" s="1061"/>
      <c r="JL566" s="1670"/>
      <c r="JM566" s="1061"/>
      <c r="JN566" s="1670"/>
      <c r="JO566" s="1061"/>
      <c r="JP566" s="1670"/>
      <c r="JQ566" s="1061"/>
      <c r="JR566" s="1670"/>
      <c r="JS566" s="1061"/>
      <c r="JT566" s="1670"/>
      <c r="JU566" s="1061"/>
      <c r="JV566" s="1670"/>
      <c r="JX566" s="1670"/>
      <c r="JZ566" s="1670"/>
      <c r="KB566" s="1670"/>
    </row>
    <row r="567" spans="1:288" s="78" customFormat="1" ht="4.95" customHeight="1">
      <c r="B567" s="676"/>
      <c r="C567" s="392"/>
      <c r="D567" s="392"/>
      <c r="E567" s="1733"/>
      <c r="F567" s="1733"/>
      <c r="G567" s="1733"/>
      <c r="H567" s="1733"/>
      <c r="I567" s="1733"/>
      <c r="J567" s="1733"/>
      <c r="K567" s="1733"/>
      <c r="L567" s="1733"/>
      <c r="M567" s="1733"/>
      <c r="N567" s="1733"/>
      <c r="O567" s="1733"/>
      <c r="P567" s="1733"/>
      <c r="Q567" s="1733"/>
      <c r="R567" s="1733"/>
      <c r="S567" s="1733"/>
      <c r="T567" s="1733"/>
      <c r="U567" s="1733"/>
      <c r="V567" s="1733"/>
      <c r="W567" s="1733"/>
      <c r="X567" s="1733"/>
      <c r="Y567" s="1733"/>
      <c r="Z567" s="1733"/>
      <c r="AA567" s="1733"/>
      <c r="AB567" s="1733"/>
      <c r="AC567" s="1733"/>
      <c r="AD567" s="1733"/>
      <c r="AE567" s="1733"/>
      <c r="AF567" s="1733"/>
      <c r="AG567" s="1733"/>
      <c r="AH567" s="1733"/>
      <c r="AI567" s="1733"/>
      <c r="AJ567" s="1733"/>
      <c r="AK567" s="1733"/>
      <c r="AL567" s="1733"/>
      <c r="AM567" s="1733"/>
      <c r="AN567" s="1733"/>
      <c r="AO567" s="1733"/>
      <c r="AP567" s="1733"/>
      <c r="AQ567" s="1733"/>
      <c r="AR567" s="1733"/>
      <c r="AS567" s="1733"/>
      <c r="AT567" s="1733"/>
      <c r="AU567" s="1733"/>
      <c r="AV567" s="1733"/>
      <c r="AW567" s="1733"/>
      <c r="AX567" s="469"/>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663"/>
      <c r="CQ567" s="663"/>
      <c r="CR567" s="438"/>
      <c r="CS567" s="663"/>
      <c r="CV567" s="391"/>
      <c r="CW567" s="391"/>
      <c r="CX567" s="207"/>
      <c r="CY567" s="208"/>
      <c r="CZ567" s="208"/>
      <c r="DA567" s="208"/>
      <c r="DB567" s="209"/>
      <c r="DC567" s="209"/>
      <c r="DD567" s="209"/>
      <c r="DF567" s="664"/>
      <c r="DG567" s="665"/>
      <c r="DH567" s="666"/>
      <c r="DI567" s="667"/>
      <c r="DJ567" s="668"/>
      <c r="DK567" s="668"/>
      <c r="DN567" s="208"/>
      <c r="DO567" s="664"/>
      <c r="DQ567" s="664"/>
      <c r="DR567" s="669"/>
      <c r="DS567" s="391"/>
      <c r="DT567" s="664"/>
      <c r="DU567" s="664"/>
      <c r="DV567" s="664"/>
      <c r="DX567" s="664"/>
      <c r="DY567" s="664"/>
      <c r="DZ567" s="664"/>
      <c r="EA567" s="664"/>
      <c r="EC567" s="670"/>
      <c r="ED567" s="670"/>
      <c r="EF567" s="668"/>
      <c r="EG567" s="668"/>
      <c r="EH567" s="208"/>
      <c r="EI567" s="668"/>
      <c r="EJ567" s="668"/>
      <c r="EK567" s="207"/>
      <c r="EL567" s="207"/>
      <c r="EM567" s="666"/>
      <c r="EN567" s="671"/>
      <c r="EO567" s="671"/>
      <c r="EP567" s="672"/>
      <c r="EQ567" s="672"/>
      <c r="ER567" s="666"/>
      <c r="ES567" s="666"/>
      <c r="ET567" s="666"/>
      <c r="EV567" s="664"/>
      <c r="EX567" s="391"/>
      <c r="EY567" s="391"/>
      <c r="EZ567" s="391"/>
      <c r="FA567" s="391"/>
      <c r="FB567" s="391"/>
      <c r="FC567" s="391"/>
      <c r="FE567" s="569"/>
      <c r="FG567" s="391"/>
      <c r="FH567" s="391"/>
      <c r="FI567" s="391"/>
      <c r="FS567" s="664"/>
      <c r="FT567" s="391"/>
      <c r="FU567" s="391"/>
      <c r="FV567" s="664"/>
      <c r="FW567" s="664"/>
      <c r="GA567" s="663"/>
      <c r="GB567" s="663"/>
      <c r="GC567" s="663"/>
      <c r="GD567" s="663"/>
      <c r="GE567" s="663"/>
      <c r="GF567" s="663"/>
      <c r="GG567" s="663"/>
      <c r="GH567" s="663"/>
      <c r="GI567" s="665"/>
      <c r="GJ567" s="664"/>
      <c r="GK567" s="664"/>
    </row>
    <row r="568" spans="1:288" s="78" customFormat="1" ht="14.95" customHeight="1">
      <c r="B568" s="1845" t="str">
        <f>ID571</f>
        <v xml:space="preserve"> </v>
      </c>
      <c r="C568" s="1846">
        <f>C563+1</f>
        <v>101</v>
      </c>
      <c r="D568" s="1847"/>
      <c r="E568" s="1799" t="s">
        <v>295</v>
      </c>
      <c r="F568" s="1800"/>
      <c r="G568" s="1741"/>
      <c r="H568" s="1742"/>
      <c r="I568" s="1742"/>
      <c r="J568" s="1742"/>
      <c r="K568" s="1742"/>
      <c r="L568" s="1742"/>
      <c r="M568" s="1742"/>
      <c r="N568" s="1742"/>
      <c r="O568" s="1742"/>
      <c r="P568" s="1742"/>
      <c r="Q568" s="1742"/>
      <c r="R568" s="1742"/>
      <c r="S568" s="1791" t="s">
        <v>344</v>
      </c>
      <c r="T568" s="590"/>
      <c r="U568" s="1743"/>
      <c r="V568" s="1744"/>
      <c r="W568" s="1744"/>
      <c r="X568" s="1744"/>
      <c r="Y568" s="1744"/>
      <c r="Z568" s="1744"/>
      <c r="AA568" s="1744"/>
      <c r="AB568" s="961" t="str">
        <f>IFERROR(IF(__Retrofit_TI_NC=0,VLOOKUP(U569,Fixtures_Existing_List,2,FALSE),ROUND(N570*R570/T570,10)),"")</f>
        <v/>
      </c>
      <c r="AC568" s="935" t="str">
        <f>IFERROR(IF(__Retrofit_TI_NC=0,ROUND(T569*AB568*N569*R569/1000,0),IF(CQ568="Interior",N570*R570*R569*N569*_C406_reduction/1000,N570*R570*R569*N569/1000)),"")</f>
        <v/>
      </c>
      <c r="AD568" s="936" t="str">
        <f>IFERROR(IF(C$43=0,ROUND(T569*AB568/1000,2),N570*R570/1000),"")</f>
        <v/>
      </c>
      <c r="AE568" s="997"/>
      <c r="AF568" s="937"/>
      <c r="AG568" s="1745" t="str">
        <f>IF(__Retrofit_TI_NC=0," Control","Select Advanced Control for New System")</f>
        <v xml:space="preserve"> Control</v>
      </c>
      <c r="AH568" s="1745"/>
      <c r="AI568" s="1745"/>
      <c r="AJ568" s="1745"/>
      <c r="AK568" s="1745"/>
      <c r="AL568" s="1745"/>
      <c r="AM568" s="1746">
        <f>IFERROR(DI568,"")</f>
        <v>0</v>
      </c>
      <c r="AN568" s="1774" t="str">
        <f>IFERROR(ROUND(AM568*AC568,0),"")</f>
        <v/>
      </c>
      <c r="AO568" s="1776">
        <f>IFERROR(IF(IB568=FALSE,0,AC568-AN568),0)</f>
        <v>0</v>
      </c>
      <c r="AP568" s="1778">
        <f>AO568-AO570</f>
        <v>0</v>
      </c>
      <c r="AQ568" s="1779"/>
      <c r="AR568" s="1793">
        <f>IFERROR(IF(IB568=FALSE,0,(T570*U571)+(AF570*AG571)),0)</f>
        <v>0</v>
      </c>
      <c r="AS568" s="1793"/>
      <c r="AT568" s="1794"/>
      <c r="AU568" s="1734" t="s">
        <v>237</v>
      </c>
      <c r="AV568" s="1751">
        <f>IF(AU568="Yes",1,0)</f>
        <v>1</v>
      </c>
      <c r="AW568" s="1704" t="str">
        <f>IF(OR(DQ568=4,DQ568=5,DQ568=6,DQ568=12),CONCATENATE("$",IF(GH568=TRUE,Lookup!$K$10,Lookup!$K$2)," /lamp"),CONCATENATE(TEXT(ED568,"$0.00"),"/ kWh"))</f>
        <v>$0.00/ kWh</v>
      </c>
      <c r="AX568" s="467"/>
      <c r="AY568" s="1748">
        <f ca="1">IFERROR(IF(GM569=TRUE,(AB571*T570)/R570,0),"NA")</f>
        <v>0</v>
      </c>
      <c r="AZ568" s="1748"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696" t="str">
        <f>N569</f>
        <v/>
      </c>
      <c r="CQ568" s="1696" t="str">
        <f>IFERROR(VLOOKUP(G569,_Lookup_Heat_Type_Table_New,3,FALSE),"")</f>
        <v/>
      </c>
      <c r="CR568" s="1808" t="str">
        <f>CQ568</f>
        <v/>
      </c>
      <c r="CS568" s="1810" t="str">
        <f>IFERROR(VLOOKUP(G570,'Space Table'!$B$3:$L$163,9,FALSE),"")</f>
        <v/>
      </c>
      <c r="CU568" s="1688" t="s">
        <v>344</v>
      </c>
      <c r="CV568" s="1702">
        <f>IF(IB568=TRUE,T569,0)</f>
        <v>0</v>
      </c>
      <c r="CW568" s="1702" t="str">
        <f>IF(IB568=TRUE,U569,"")</f>
        <v/>
      </c>
      <c r="CX568" s="1702"/>
      <c r="CY568" s="1814">
        <f>IF(IB568=TRUE,AB568,0)</f>
        <v>0</v>
      </c>
      <c r="CZ568" s="1710">
        <f>IF(AND(__Retrofit_TI_NC&gt;0,CR568="interior"),0,IF(IB568=TRUE,AC568,0))</f>
        <v>0</v>
      </c>
      <c r="DA568" s="1814">
        <f>IFERROR(IF(IB568=TRUE,CZ568-CZ570,0),0)</f>
        <v>0</v>
      </c>
      <c r="DB568" s="1819">
        <f>IF(IB568=TRUE,AD568,0)</f>
        <v>0</v>
      </c>
      <c r="DC568" s="1819">
        <f>IF(IB568=TRUE,AD571,0)</f>
        <v>0</v>
      </c>
      <c r="DD568" s="1819">
        <f>IFERROR(DB568-DC568,0)</f>
        <v>0</v>
      </c>
      <c r="DF568" s="1702">
        <f>IF(IB568=TRUE,AF569,0)</f>
        <v>0</v>
      </c>
      <c r="DG568" s="1830">
        <f>IFERROR(IF(__Retrofit_TI_NC=2,IF(CQ568="Exterior",O571,FQ568),FN568),"")</f>
        <v>0</v>
      </c>
      <c r="DH568" s="1702"/>
      <c r="DI568" s="1837">
        <f>JE568</f>
        <v>0</v>
      </c>
      <c r="DJ568" s="1710">
        <f>IF(AND(__Retrofit_TI_NC&gt;0,CR568="interior"),0,IF(IB568=TRUE,AN568,0))</f>
        <v>0</v>
      </c>
      <c r="DK568" s="1712">
        <f>IFERROR(IF(IB568=TRUE,DJ570-DJ568,0),0)</f>
        <v>0</v>
      </c>
      <c r="DM568" s="1717">
        <f>IFERROR(CZ568-DJ568,0)</f>
        <v>0</v>
      </c>
      <c r="DO568" s="1708">
        <f>DM568-DN570</f>
        <v>0</v>
      </c>
      <c r="DQ568" s="1715" t="str">
        <f>IFERROR(IF(AND(OR(GC568=4,GC568=5,GC568=6),OR(GF568=4,GF568=5,GF568=6)),GC568+8,VLOOKUP(CW570,Fixtures!R$31:Y$78,8,FALSE)),"")</f>
        <v/>
      </c>
      <c r="DR568" s="1829" t="str">
        <f>DQ568</f>
        <v/>
      </c>
      <c r="DS568" s="1702" t="str">
        <f>IFERROR(VLOOKUP(DG570,Lookup!BB$3:BC$20,2,FALSE),"")</f>
        <v/>
      </c>
      <c r="DT568" s="1713" t="str">
        <f>IF(OR(DS568=7,DS568=8,DS568=9),"ALC","")</f>
        <v/>
      </c>
      <c r="DU568" s="1715">
        <f>IFERROR(IF(OR(DQ568=4,DQ568=5,DQ568=6,DQ568=12,DQ568=13,DQ568=14),VLOOKUP(CW570,Fixtures!DN$27:EG$77,19,FALSE),1)*CV570,0)</f>
        <v>0</v>
      </c>
      <c r="DV568" s="1716">
        <f>IF(OR(DS568=7,DS568=8,DS568=9),IF(DG568=DG570,0,DF570),0)</f>
        <v>0</v>
      </c>
      <c r="DX568" s="1715" t="str">
        <f>IFERROR(IF(EZ568&lt;EZ570,"Yes","No"),"")</f>
        <v/>
      </c>
      <c r="DY568" s="1829" t="str">
        <f>DX568</f>
        <v/>
      </c>
      <c r="DZ568" s="1715">
        <f>IF(DX568="Yes",DF570,0)</f>
        <v>0</v>
      </c>
      <c r="EA568" s="1715">
        <f>DZ568-DV568</f>
        <v>0</v>
      </c>
      <c r="EC568" s="1834">
        <f>IFERROR(VLOOKUP(DQ568,Lookup!AU$3:AV$16,2,FALSE),0)</f>
        <v>0</v>
      </c>
      <c r="ED568" s="1834">
        <f>IF(IB568=FALSE,0,IF(DX568="Yes",EC568+Lookup!K$6,EC568))</f>
        <v>0</v>
      </c>
      <c r="EF568" s="1707">
        <f>IF(IB568=TRUE,DM568,0)</f>
        <v>0</v>
      </c>
      <c r="EG568" s="1712">
        <f>IF(IB568=TRUE,CZ570,0)</f>
        <v>0</v>
      </c>
      <c r="EH568" s="1814">
        <f>IFERROR(EF568-EG568,0)</f>
        <v>0</v>
      </c>
      <c r="EI568" s="1712">
        <f>IF(IB568=TRUE,DJ570,0)</f>
        <v>0</v>
      </c>
      <c r="EJ568" s="1712">
        <f>IFERROR(EF568-EG568+EI568,0)</f>
        <v>0</v>
      </c>
      <c r="EK568" s="1812">
        <f>IF(IB568=TRUE,CV570*CX570,0)</f>
        <v>0</v>
      </c>
      <c r="EL568" s="1812">
        <f>IF(IB568=TRUE,DF570*DH570,0)</f>
        <v>0</v>
      </c>
      <c r="EM568" s="1807">
        <f>AR568</f>
        <v>0</v>
      </c>
      <c r="EN568" s="1839" t="str">
        <f>IFERROR(IF(IB568=TRUE,VLOOKUP(DQ568,Lookup!AU$3:AW$16,3,FALSE)*DU568,""),0)</f>
        <v/>
      </c>
      <c r="EO568" s="1839">
        <f>IF(IB568=TRUE,DZ568*Lookup!AW$12,0)</f>
        <v>0</v>
      </c>
      <c r="EP568" s="1817">
        <f>IFERROR(IF(IB568=TRUE,EN568/EP$40,0),0)</f>
        <v>0</v>
      </c>
      <c r="EQ568" s="1817">
        <f>IF(IB568=TRUE,EO568/EQ$40,0)</f>
        <v>0</v>
      </c>
      <c r="ER568" s="1807">
        <f>IF(IB568=TRUE,ET$40*EP568,0)</f>
        <v>0</v>
      </c>
      <c r="ES568" s="1807">
        <f>IF(IB568=TRUE,ET$40*EQ568,0)</f>
        <v>0</v>
      </c>
      <c r="ET568" s="1807">
        <f>ER568+ES568</f>
        <v>0</v>
      </c>
      <c r="EV568" s="1715">
        <f>IF(G568="",0,1)</f>
        <v>0</v>
      </c>
      <c r="EX568" s="1804" t="str">
        <f>IFERROR(VLOOKUP(CS570,'Space Table'!$B$3:$L$163,8,FALSE),"")</f>
        <v/>
      </c>
      <c r="EY568" s="1804" t="str">
        <f>IFERROR(IF(FB568="Yes",VLOOKUP(DG568,Lookup_Control_Type_Table2,4,FALSE),VLOOKUP(DG568,Lookup_Control_Type_Table2,3,FALSE)),"")</f>
        <v/>
      </c>
      <c r="EZ568" s="1804" t="e">
        <f>VLOOKUP(DG568,Lookup!BB$3:BC$20,2,FALSE)</f>
        <v>#N/A</v>
      </c>
      <c r="FA568" s="1804" t="e">
        <f>VLOOKUP(EX568,Lookup_Control_Type_Table,2,FALSE)</f>
        <v>#N/A</v>
      </c>
      <c r="FB568" s="1804" t="e">
        <f>VLOOKUP(CS570,'Space Table'!$B$3:$L$163,7,FALSE)</f>
        <v>#N/A</v>
      </c>
      <c r="FC568" s="1826" t="b">
        <f>ISNUMBER(SEARCH("TLED",U570))</f>
        <v>0</v>
      </c>
      <c r="FE568" s="1698" t="str">
        <f>CONCATENATE(CQ568," - ",DG568)</f>
        <v xml:space="preserve"> - 0</v>
      </c>
      <c r="FG568" s="1702" t="str">
        <f>VLOOKUP(CW570,Fixtures!DN$27:EZ$77,38,FALSE)</f>
        <v/>
      </c>
      <c r="FH568" s="1702">
        <f>IFERROR(FG568*EH568,0)</f>
        <v>0</v>
      </c>
      <c r="FI568" s="133"/>
      <c r="FL568" s="1822" t="str">
        <f>IF(CQ568="Exterior","Not Daylighted",G571)</f>
        <v>Not Daylighted</v>
      </c>
      <c r="FM568" s="1824">
        <f>VLOOKUP(FL568,_New_Daylight_Table_Codes,2,FALSE)</f>
        <v>0</v>
      </c>
      <c r="FN568" s="1698">
        <f>IF(__Retrofit_TI_NC&gt;0,VLOOKUP(G570,'Space Table'!$B$3:$L$163,11,FALSE),AG569)</f>
        <v>0</v>
      </c>
      <c r="FO568" s="1698" t="e">
        <f>IF(__Retrofit_TI_NC=2,VLOOKUP(FQ568,_Control_Table,2,FALSE),VLOOKUP(FN568,_Control_Table,2,FALSE))</f>
        <v>#N/A</v>
      </c>
      <c r="FP568" s="1678" t="e">
        <f>VLOOKUP(CONCATENATE(FL568," ",FN568),Lookup!AY$102:AZ578,2,FALSE)</f>
        <v>#N/A</v>
      </c>
      <c r="FQ568" s="1678">
        <f>IF(__Retrofit_TI_NC=0,FN568,IF(AND(FT568&gt;0,FN568="Occupancy Sensor"),"Daylight + Occupancy",IF(AND(FT568&gt;0,VLOOKUP(FN568,_Control_Table,2,FALSE)&lt;4),"Interior Daylight Dimming",FN568)))</f>
        <v>0</v>
      </c>
      <c r="FS568" s="1686">
        <f>IF(CR568="Interior",VLOOKUP(CS568,Control_Savings_Interior,5,FALSE),0)</f>
        <v>0</v>
      </c>
      <c r="FT568" s="1687">
        <f>IF(CQ568="Exterior",0,IF(FM568=2,0.5,IF(OR(FM568=1,FM568=3),1,0)))</f>
        <v>0</v>
      </c>
      <c r="FU568" s="1685">
        <f>IF(R567&gt;FS$44,(FS568*(FS$44/R567)),FS568)*FT568</f>
        <v>0</v>
      </c>
      <c r="FV568" s="1686">
        <f>DI568</f>
        <v>0</v>
      </c>
      <c r="FW568" s="1686">
        <f>ROUND(FV568+((1-FV568)*FU568),2)</f>
        <v>0</v>
      </c>
      <c r="FX568" s="1686">
        <f>IF(__Retrofit_TI_NC=2,FW568,FV568)</f>
        <v>0</v>
      </c>
      <c r="FY568" s="1697"/>
      <c r="GA568" s="1696" t="str">
        <f>IFERROR(VLOOKUP(U569,_Exist_Fixture_Table,3,FALSE),"")</f>
        <v/>
      </c>
      <c r="GB568" s="1696" t="str">
        <f>VLOOKUP(CW568,_Exist_Fixture_Table,4,FALSE)</f>
        <v/>
      </c>
      <c r="GC568" s="1696">
        <f>IFERROR(VLOOKUP(GB568,Lookup!AT$6:AU$8,2,FALSE),0)</f>
        <v>0</v>
      </c>
      <c r="GD568" s="1696" t="b">
        <f>IFERROR(IF(OR(GF568=4,GF568=5,GF568=6),TRUE,FALSE),"")</f>
        <v>0</v>
      </c>
      <c r="GE568" s="1696" t="str">
        <f>IFERROR(VLOOKUP(GF568,GC$6:GD$10,2,FALSE),"")</f>
        <v/>
      </c>
      <c r="GF568" s="1696" t="str">
        <f>VLOOKUP(CW570,Fixtures!R$31:Y$78,8,FALSE)</f>
        <v/>
      </c>
      <c r="GG568" s="1696">
        <f>IF(AND(GA568=TRUE,GD568=TRUE,OR(DQ568=12,DQ568=13,DQ568=14)),GC568+8,0)</f>
        <v>0</v>
      </c>
      <c r="GH568" s="1696" t="b">
        <f>IF(OR(GG568=12,GG568=13,GG568=14),TRUE,FALSE)</f>
        <v>0</v>
      </c>
      <c r="GI568" s="673" t="b">
        <f>IF(ISNUMBER(SEARCH("TLED",U569)),TRUE,FALSE)</f>
        <v>0</v>
      </c>
      <c r="GJ568" s="1135" t="str">
        <f>IFERROR(VLOOKUP(U569,Fixtures!BM$93:BR$142,6,FALSE),"")</f>
        <v/>
      </c>
      <c r="GK568" s="1832" t="b">
        <f>IF(OR(GI568=FALSE,GI570=FALSE),TRUE,IF(GJ568-GJ570&lt;5,FALSE,TRUE))</f>
        <v>1</v>
      </c>
      <c r="GO568" s="674">
        <f>GP568</f>
        <v>0</v>
      </c>
      <c r="GP568" s="674">
        <f>IF(G568="",0,1)</f>
        <v>0</v>
      </c>
      <c r="GQ568" s="674">
        <f ca="1">SUM(GR568:HF568)</f>
        <v>2</v>
      </c>
      <c r="GR568" s="674">
        <f>IF(G569="",0,1)</f>
        <v>0</v>
      </c>
      <c r="GS568" s="674">
        <f>IF(N571="BAM",1,IF(G570="",0,1))</f>
        <v>0</v>
      </c>
      <c r="GT568" s="674">
        <f>IF(N571="BAM",1,IF(R569="",0,1))</f>
        <v>0</v>
      </c>
      <c r="GU568" s="674">
        <f>IF(N571="BAM",1,IF(__Retrofit_TI_NC=0,1,IF(R570="",0,1)))</f>
        <v>1</v>
      </c>
      <c r="GV568" s="674">
        <f>IF(N571="BAM",1,IF(CQ568="Exterior",1,IF(G571="",0,1)))</f>
        <v>1</v>
      </c>
      <c r="GW568" s="674">
        <f>IF(__Retrofit_TI_NC&gt;0,1,IF(T569="",0,1))</f>
        <v>0</v>
      </c>
      <c r="GX568" s="674">
        <f>IF(__Retrofit_TI_NC&gt;0,1,IF(U569="",0,1))</f>
        <v>0</v>
      </c>
      <c r="GY568" s="674">
        <f>IF(N571="BAM",1,IF(T570="",0,1))</f>
        <v>0</v>
      </c>
      <c r="GZ568" s="674">
        <f>IF(N571="BAM",1,IF(U570="",0,1))</f>
        <v>0</v>
      </c>
      <c r="HA568" s="674">
        <f ca="1">IF(N571="BAM",1,IF(__Retrofit_TI_NC&gt;0,1,IF(U571="",0,1)))</f>
        <v>0</v>
      </c>
      <c r="HB568" s="674">
        <f>IF(__Retrofit_TI_NC&lt;&gt;0,1,IF(AF569="",0,1))</f>
        <v>0</v>
      </c>
      <c r="HC568" s="674">
        <f>IF(__Retrofit_TI_NC&lt;&gt;0,1,IF(AG569="",0,1))</f>
        <v>0</v>
      </c>
      <c r="HD568" s="674">
        <f>IF(N571="BAM",1,IF(AF570="",0,1))</f>
        <v>0</v>
      </c>
      <c r="HE568" s="674">
        <f>IF(N571="BAM",1,IF(AG570="",0,1))</f>
        <v>0</v>
      </c>
      <c r="HF568" s="674">
        <f>IF(N571="BAM",1,IF(__Retrofit_TI_NC&gt;0,1,IF(AG571="",0,1)))</f>
        <v>0</v>
      </c>
      <c r="HG568" s="391"/>
      <c r="IA568" s="391"/>
      <c r="IB568" s="1693" t="b">
        <f>IF(OR(IB571=0,IB571=HY$16,IB571=HX$16,IB571=HZ$16),TRUE,FALSE)</f>
        <v>0</v>
      </c>
      <c r="IC568" s="1694" t="b">
        <f>IB568</f>
        <v>0</v>
      </c>
      <c r="ID568" s="391"/>
      <c r="IE568" s="391"/>
      <c r="IF568" s="1688" t="b">
        <f ca="1">IF(MAX(GN571:HU571)&gt;5,FALSE,TRUE)</f>
        <v>0</v>
      </c>
      <c r="IG568" s="1689">
        <f ca="1">IF(IF568=TRUE,AC568,0)</f>
        <v>0</v>
      </c>
      <c r="IH568" s="1689">
        <f ca="1">IG568-IG570</f>
        <v>0</v>
      </c>
      <c r="IK568" s="1689" t="e">
        <f>ROUND(T569*VLOOKUP(U569,Fixtures_Existing_List,2,FALSE)*N569*R569/1000,0)</f>
        <v>#N/A</v>
      </c>
      <c r="IL568" s="1690" t="e">
        <f>IK568-IK570</f>
        <v>#N/A</v>
      </c>
      <c r="IM568" s="1693" t="e">
        <f>ROUND(IF(CQ568="Interior",N570*R570*R569*N569*_C406_reduction/1000,N570*R570*R569*N569/1000),0)</f>
        <v>#N/A</v>
      </c>
      <c r="IN568" s="1693" t="e">
        <f>IM568-IM570</f>
        <v>#N/A</v>
      </c>
      <c r="IP568" s="1679"/>
      <c r="IQ568" s="1679" t="e">
        <f t="shared" ref="IQ568:IU568" si="516">IF($CR568="interior",VLOOKUP($CS568,_New_Control_Savings_Interior,IQ$30,FALSE),VLOOKUP($CS568,Control_Savings_Exterior,IQ$30,FALSE))</f>
        <v>#N/A</v>
      </c>
      <c r="IR568" s="1679" t="e">
        <f t="shared" si="516"/>
        <v>#N/A</v>
      </c>
      <c r="IS568" s="1679" t="e">
        <f t="shared" si="516"/>
        <v>#N/A</v>
      </c>
      <c r="IT568" s="1679" t="e">
        <f t="shared" si="516"/>
        <v>#N/A</v>
      </c>
      <c r="IU568" s="1679" t="e">
        <f t="shared" si="516"/>
        <v>#N/A</v>
      </c>
      <c r="IV568" s="1679" t="e">
        <f>IF($CR568="interior",IF(R569&gt;$IP$14,ROUND(($IV$18*($IP$14/R569)),2),$IV$18),VLOOKUP($CS568,Control_Savings_Exterior,IV$30,FALSE))</f>
        <v>#N/A</v>
      </c>
      <c r="IW568" s="1679" t="e">
        <f>IF($CR568="interior",ROUND(((1-IS568)*IV568)+IS568,2),VLOOKUP($CS568,Control_Savings_Exterior,IW$30,FALSE))</f>
        <v>#N/A</v>
      </c>
      <c r="IX568" s="1679" t="e">
        <f>IF($CR568="interior",ROUND(((1-IT568)*IV568)+IT568,2),VLOOKUP($CS568,Control_Savings_Exterior,IX$30,FALSE))</f>
        <v>#N/A</v>
      </c>
      <c r="IY568" s="1679" t="e">
        <f>IF($CR568="interior",IF(R569&gt;$IP$14,ROUND(($IY$18*($IP$14/R569)),2),$IY$18),VLOOKUP($CS568,Control_Savings_Exterior,IY$30,FALSE))</f>
        <v>#N/A</v>
      </c>
      <c r="IZ568" s="1679" t="e">
        <f>IF($CR568="interior",ROUND(((1-IS568)*IY568)+IS568,2),VLOOKUP($CS568,Control_Savings_Exterior,IZ$30,FALSE))</f>
        <v>#N/A</v>
      </c>
      <c r="JA568" s="1679" t="e">
        <f>IF($CR568="interior",ROUND(((1-IT568)*IY568)+IT568,2),VLOOKUP($CS568,Control_Savings_Exterior,JA$30,FALSE))</f>
        <v>#N/A</v>
      </c>
      <c r="JC568" s="1680">
        <f>IFERROR(IF(CR568="Interior",CONCATENATE(G571," ",FQ568),FQ568),"")</f>
        <v>0</v>
      </c>
      <c r="JD568" s="1670" t="str">
        <f>IFERROR(VLOOKUP(JC568,_Controls_2023,2,FALSE),"")</f>
        <v/>
      </c>
      <c r="JE568" s="1681">
        <f>IFERROR(CHOOSE(JD568-1,IQ568,IR568,IS568,IT568,IU568,IV568,IW568,IX568,IY568,IZ568,JA568),0)</f>
        <v>0</v>
      </c>
      <c r="JG568" s="1680" t="str">
        <f>FE568</f>
        <v xml:space="preserve"> - 0</v>
      </c>
      <c r="JH568" s="1670" t="e">
        <f>$FO568</f>
        <v>#N/A</v>
      </c>
      <c r="JI568" s="1060"/>
      <c r="JJ568" s="1682" t="b">
        <f>IF($JG570=CONCATENATE("Interior - ",JJ$4),TRUE,FALSE)</f>
        <v>0</v>
      </c>
      <c r="JK568" s="1061"/>
      <c r="JL568" s="1682" t="b">
        <f>IF($JG570=CONCATENATE("Interior - ",JL$4),TRUE,FALSE)</f>
        <v>0</v>
      </c>
      <c r="JM568" s="1061"/>
      <c r="JN568" s="1682" t="b">
        <f>IF($JG570=CONCATENATE("Interior - ",JN$4),TRUE,FALSE)</f>
        <v>0</v>
      </c>
      <c r="JO568" s="1061"/>
      <c r="JP568" s="1682" t="b">
        <f>IF(__Retrofit_TI_NC&gt;0,FALSE,IF($JG570=CONCATENATE("Interior - ",JP$4),TRUE,FALSE))</f>
        <v>0</v>
      </c>
      <c r="JQ568" s="1061"/>
      <c r="JR568" s="1682" t="b">
        <f>IF(__Retrofit_TI_NC&gt;0,FALSE,IF($JG570=CONCATENATE("Interior - ",JR$4),TRUE,FALSE))</f>
        <v>0</v>
      </c>
      <c r="JS568" s="1061"/>
      <c r="JT568" s="1670" t="b">
        <f>IF(__Retrofit_TI_NC&gt;0,FALSE,IF($JG570=CONCATENATE("Interior - ",JT$4),TRUE,FALSE))</f>
        <v>0</v>
      </c>
      <c r="JU568" s="1061"/>
      <c r="JV568" s="1670" t="b">
        <f>IF(JC570="AELC on Existing",TRUE,FALSE)</f>
        <v>0</v>
      </c>
      <c r="JX568" s="1670" t="b">
        <f>IF(OR(JG570="Exterior - AELC Occupancy based",JG570="Exterior - AELC Time based"),TRUE,FALSE)</f>
        <v>0</v>
      </c>
      <c r="JZ568" s="1682" t="b">
        <f>IF($JG570=CONCATENATE("Exterior - ",JZ$4),TRUE,FALSE)</f>
        <v>0</v>
      </c>
      <c r="KB568" s="1670" t="b">
        <f>IF(__Retrofit_TI_NC&gt;0,FALSE,IF($JG570=CONCATENATE("Interior - ",KB$4),TRUE,FALSE))</f>
        <v>0</v>
      </c>
    </row>
    <row r="569" spans="1:288" s="78" customFormat="1" ht="14.95" customHeight="1" thickTop="1" thickBot="1">
      <c r="B569" s="1845"/>
      <c r="C569" s="1846"/>
      <c r="D569" s="1847"/>
      <c r="E569" s="1737" t="s">
        <v>297</v>
      </c>
      <c r="F569" s="1738"/>
      <c r="G569" s="1739"/>
      <c r="H569" s="1739"/>
      <c r="I569" s="1739"/>
      <c r="J569" s="1739"/>
      <c r="K569" s="1739"/>
      <c r="L569" s="1739"/>
      <c r="M569" s="461" t="e">
        <f>IF(__Retrofit_TI_NC&lt;&gt;0,IF(VLOOKUP(G570,'Space Table'!$B$3:$L$163,3,FALSE)&gt;0,1,0),IF(__Retrofit_TI_NC=VLOOKUP(G570,'Space Table'!$B$3:$L$163,3,FALSE),1,0))</f>
        <v>#N/A</v>
      </c>
      <c r="N569" s="461" t="str">
        <f>IFERROR(VLOOKUP(G569,_Lookup_Heat_Type_Table_New,2,FALSE),"")</f>
        <v/>
      </c>
      <c r="O569" s="461">
        <f>IF(__Retrofit_TI_NC=1,CONCATENATE("TI ",G569),IF(__Retrofit_TI_NC=2,CONCATENATE("NC ",G569),G569))</f>
        <v>0</v>
      </c>
      <c r="P569" s="1740" t="s">
        <v>435</v>
      </c>
      <c r="Q569" s="1740"/>
      <c r="R569" s="595"/>
      <c r="S569" s="1792"/>
      <c r="T569" s="597"/>
      <c r="U569" s="1765"/>
      <c r="V569" s="1766"/>
      <c r="W569" s="1766"/>
      <c r="X569" s="1766"/>
      <c r="Y569" s="1766"/>
      <c r="Z569" s="1766"/>
      <c r="AA569" s="1766"/>
      <c r="AB569" s="1766"/>
      <c r="AC569" s="1766"/>
      <c r="AD569" s="1767"/>
      <c r="AE569" s="1000"/>
      <c r="AF569" s="597"/>
      <c r="AG569" s="1723"/>
      <c r="AH569" s="1724"/>
      <c r="AI569" s="1724"/>
      <c r="AJ569" s="1724"/>
      <c r="AK569" s="1725"/>
      <c r="AL569" s="996"/>
      <c r="AM569" s="1747"/>
      <c r="AN569" s="1775"/>
      <c r="AO569" s="1777"/>
      <c r="AP569" s="1780"/>
      <c r="AQ569" s="1781"/>
      <c r="AR569" s="1795"/>
      <c r="AS569" s="1795"/>
      <c r="AT569" s="1796"/>
      <c r="AU569" s="1735"/>
      <c r="AV569" s="1752"/>
      <c r="AW569" s="1705"/>
      <c r="AX569" s="467"/>
      <c r="AY569" s="1749"/>
      <c r="AZ569" s="1749"/>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696"/>
      <c r="CQ569" s="1696"/>
      <c r="CR569" s="1809"/>
      <c r="CS569" s="1811"/>
      <c r="CU569" s="1688"/>
      <c r="CV569" s="1703"/>
      <c r="CW569" s="1703"/>
      <c r="CX569" s="1703"/>
      <c r="CY569" s="1815"/>
      <c r="CZ569" s="1711"/>
      <c r="DA569" s="1818"/>
      <c r="DB569" s="1820"/>
      <c r="DC569" s="1820"/>
      <c r="DD569" s="1820"/>
      <c r="DF569" s="1703"/>
      <c r="DG569" s="1831"/>
      <c r="DH569" s="1703"/>
      <c r="DI569" s="1838"/>
      <c r="DJ569" s="1711"/>
      <c r="DK569" s="1712"/>
      <c r="DM569" s="1718"/>
      <c r="DO569" s="1708"/>
      <c r="DQ569" s="1715"/>
      <c r="DR569" s="1720"/>
      <c r="DS569" s="1816"/>
      <c r="DT569" s="1714"/>
      <c r="DU569" s="1715"/>
      <c r="DV569" s="1716"/>
      <c r="DX569" s="1715"/>
      <c r="DY569" s="1720"/>
      <c r="DZ569" s="1715"/>
      <c r="EA569" s="1715"/>
      <c r="EC569" s="1834"/>
      <c r="ED569" s="1834"/>
      <c r="EF569" s="1707"/>
      <c r="EG569" s="1712"/>
      <c r="EH569" s="1818"/>
      <c r="EI569" s="1712"/>
      <c r="EJ569" s="1712"/>
      <c r="EK569" s="1836"/>
      <c r="EL569" s="1836"/>
      <c r="EM569" s="1807"/>
      <c r="EN569" s="1839"/>
      <c r="EO569" s="1839"/>
      <c r="EP569" s="1817"/>
      <c r="EQ569" s="1817"/>
      <c r="ER569" s="1807"/>
      <c r="ES569" s="1807"/>
      <c r="ET569" s="1807"/>
      <c r="EV569" s="1715"/>
      <c r="EX569" s="1805"/>
      <c r="EY569" s="1805"/>
      <c r="EZ569" s="1805"/>
      <c r="FA569" s="1805"/>
      <c r="FB569" s="1805"/>
      <c r="FC569" s="1827"/>
      <c r="FE569" s="1698"/>
      <c r="FG569" s="1816"/>
      <c r="FH569" s="1816"/>
      <c r="FI569" s="133"/>
      <c r="FL569" s="1823"/>
      <c r="FM569" s="1825"/>
      <c r="FN569" s="1698"/>
      <c r="FO569" s="1698"/>
      <c r="FP569" s="1678"/>
      <c r="FQ569" s="1678"/>
      <c r="FS569" s="1687"/>
      <c r="FT569" s="1687"/>
      <c r="FU569" s="1685"/>
      <c r="FV569" s="1687"/>
      <c r="FW569" s="1687"/>
      <c r="FX569" s="1687"/>
      <c r="FY569" s="1697"/>
      <c r="GA569" s="1696"/>
      <c r="GB569" s="1696"/>
      <c r="GC569" s="1696"/>
      <c r="GD569" s="1696"/>
      <c r="GE569" s="1696"/>
      <c r="GF569" s="1696"/>
      <c r="GG569" s="1696"/>
      <c r="GH569" s="1696"/>
      <c r="GI569" s="673"/>
      <c r="GJ569" s="1135"/>
      <c r="GK569" s="1832"/>
      <c r="GM569" s="1693" t="b">
        <f ca="1">IF(AND(GP569=TRUE,GQ569=TRUE),TRUE,FALSE)</f>
        <v>0</v>
      </c>
      <c r="GN569" s="1684" t="b">
        <f>IFERROR(IF(__Retrofit_TI_NC=2,TRUE,IF(AU568="Yes",TRUE,FALSE)),FALSE)</f>
        <v>1</v>
      </c>
      <c r="GP569" s="1684" t="b">
        <f>IFERROR(IF(GP568=1,TRUE,FALSE),FALSE)</f>
        <v>0</v>
      </c>
      <c r="GQ569" s="1684" t="b">
        <f ca="1">IFERROR(IF(GQ568=GQ$14,TRUE,FALSE),FALSE)</f>
        <v>0</v>
      </c>
      <c r="HG569" s="1684" t="b">
        <f>IFERROR(IF(AND(__Retrofit_TI_NC&gt;0,CQ568="Interior"),FALSE,TRUE),FALSE)</f>
        <v>1</v>
      </c>
      <c r="HH569" s="1684" t="b">
        <f>IFERROR(IF(M569=1,TRUE,FALSE),FALSE)</f>
        <v>0</v>
      </c>
      <c r="HI569" s="1684" t="b">
        <f>IFERROR(IF(OR(M570=1,N571="BAM"),TRUE,FALSE),FALSE)</f>
        <v>0</v>
      </c>
      <c r="HJ569" s="1684" t="b">
        <f>IFERROR(IF(__Retrofit_TI_NC&lt;&gt;0,TRUE,IFERROR(IF(VLOOKUP(U569,Fixtures_Existing_List,2,FALSE)&lt;&gt;"",TRUE,FALSE),FALSE)),FALSE)</f>
        <v>0</v>
      </c>
      <c r="HK569" s="1684" t="b">
        <f>IFERROR(IF(VLOOKUP(U570,Fixtures_Proposed_List,2,FALSE)&lt;&gt;"",TRUE,FALSE),FALSE)</f>
        <v>0</v>
      </c>
      <c r="HL569" s="1684" t="b">
        <f>IF(AND(__Retrofit_TI_NC=2,FC568=TRUE),FALSE,TRUE)</f>
        <v>1</v>
      </c>
      <c r="HM569" s="1684" t="b">
        <f>GK568</f>
        <v>1</v>
      </c>
      <c r="HN569" s="1682" t="b">
        <f>IF(ISERROR(MATCH(FE568,_Control_Match[],0))=TRUE,FALSE,TRUE)</f>
        <v>0</v>
      </c>
      <c r="HO569" s="1693" t="b">
        <f>IFERROR(IF(EX568&lt;&gt;EY568,FALSE,TRUE),FALSE)</f>
        <v>1</v>
      </c>
      <c r="HP569" s="1693" t="b">
        <f>IFERROR(IF(EX570&lt;&gt;EY570,FALSE,TRUE),FALSE)</f>
        <v>1</v>
      </c>
      <c r="HQ569" s="1670" t="b">
        <f>IFERROR(IF(CQ568="Exterior",TRUE,IF(AND(OR(FM570=0,FM570=3),JD570&gt;6),FALSE,TRUE)),FALSE)</f>
        <v>0</v>
      </c>
      <c r="HR569" s="1684" t="b">
        <f>IFERROR(IF(AND(FO570=7,FC568=TRUE),FALSE,TRUE),FALSE)</f>
        <v>0</v>
      </c>
      <c r="HS569" s="1684" t="b">
        <f>IFERROR(IF(AND(T570&lt;&gt;AF570,OR(AG570="Interior LLLC", AG570="Interior NLC", AG570="LLLC (outside Daylight)",AG570="LLLC Controls Only"))=TRUE,FALSE,TRUE),FALSE)</f>
        <v>1</v>
      </c>
      <c r="HT569" s="1670" t="b">
        <f>IFERROR(IF(OR(AG570=Lookup!BB$17,AG570=Lookup!BB$18,AG570=Lookup!BB$19)=TRUE,IF(AF570&gt;T570,FALSE,TRUE),TRUE),FALSE)</f>
        <v>1</v>
      </c>
      <c r="HU569" s="1684" t="b">
        <f>IFERROR(IF(__Retrofit_TI_NC=2,IF(EZ570&lt;EZ568,FALSE,TRUE),TRUE),FALSE)</f>
        <v>1</v>
      </c>
      <c r="HV569" s="1684" t="b">
        <f>IF(CQ568="Interior",IL$6,TRUE)</f>
        <v>1</v>
      </c>
      <c r="HW569" s="1684" t="b">
        <f>IF(CQ568="Exterior",IL$8,TRUE)</f>
        <v>1</v>
      </c>
      <c r="HX569" s="1684" t="b">
        <f>IFERROR(IF(__Retrofit_TI_NC&lt;&gt;0,IF(AZ568&lt;AY568,FALSE,TRUE),TRUE),FALSE)</f>
        <v>1</v>
      </c>
      <c r="HY569" s="1684" t="b">
        <f>IFERROR(IF(AND(G569="Exterior",R569&gt;4200),FALSE,TRUE),FALSE)</f>
        <v>1</v>
      </c>
      <c r="HZ569" s="1684" t="b">
        <f>IFERROR(IF(AB571/AB568&lt;HZ$18,FALSE,TRUE),FALSE)</f>
        <v>0</v>
      </c>
      <c r="IB569" s="1691"/>
      <c r="IC569" s="1695"/>
      <c r="ID569" s="1694" t="str">
        <f>VLOOKUP(IB571,_Error_Table,4,FALSE)</f>
        <v>White</v>
      </c>
      <c r="IE569" s="391"/>
      <c r="IF569" s="1688"/>
      <c r="IG569" s="1689"/>
      <c r="IH569" s="1684"/>
      <c r="IK569" s="1689"/>
      <c r="IL569" s="1691"/>
      <c r="IM569" s="1691"/>
      <c r="IN569" s="1691"/>
      <c r="IP569" s="1679"/>
      <c r="IQ569" s="1679"/>
      <c r="IR569" s="1679"/>
      <c r="IS569" s="1679"/>
      <c r="IT569" s="1679"/>
      <c r="IU569" s="1679"/>
      <c r="IV569" s="1679"/>
      <c r="IW569" s="1679"/>
      <c r="IX569" s="1679"/>
      <c r="IY569" s="1679"/>
      <c r="IZ569" s="1679"/>
      <c r="JA569" s="1679"/>
      <c r="JC569" s="1680"/>
      <c r="JD569" s="1670"/>
      <c r="JE569" s="1681"/>
      <c r="JG569" s="1680"/>
      <c r="JH569" s="1670"/>
      <c r="JI569" s="1060"/>
      <c r="JJ569" s="1683"/>
      <c r="JK569" s="1061"/>
      <c r="JL569" s="1683"/>
      <c r="JM569" s="1061"/>
      <c r="JN569" s="1683"/>
      <c r="JO569" s="1061"/>
      <c r="JP569" s="1683"/>
      <c r="JQ569" s="1061"/>
      <c r="JR569" s="1683"/>
      <c r="JS569" s="1061"/>
      <c r="JT569" s="1670"/>
      <c r="JU569" s="1061"/>
      <c r="JV569" s="1670"/>
      <c r="JX569" s="1670"/>
      <c r="JZ569" s="1683"/>
      <c r="KB569" s="1670"/>
    </row>
    <row r="570" spans="1:288" s="78" customFormat="1" ht="14.95" customHeight="1" thickTop="1" thickBot="1">
      <c r="A570" s="78">
        <f>ROW()</f>
        <v>570</v>
      </c>
      <c r="B570" s="1845"/>
      <c r="C570" s="1846"/>
      <c r="D570" s="1847"/>
      <c r="E570" s="1737" t="s">
        <v>298</v>
      </c>
      <c r="F570" s="1738"/>
      <c r="G570" s="1760"/>
      <c r="H570" s="1761"/>
      <c r="I570" s="1761"/>
      <c r="J570" s="1761"/>
      <c r="K570" s="1761"/>
      <c r="L570" s="1762"/>
      <c r="M570" s="461">
        <f>IFERROR(IF(IF(__Retrofit_TI_NC&lt;&gt;0,IF(CQ568="Interior",MATCH(G570,Lookup_Interior_New,0),MATCH(G570,Lookup_Exterior_New,0)),IF(CQ568="Interior",MATCH(G570,Lookup_Interior,0),MATCH(G570,Lookup_Exterior_Areas,0)))&gt;0,1,0),0)</f>
        <v>0</v>
      </c>
      <c r="N570" s="461" t="e">
        <f>IF(__Retrofit_TI_NC=1,
VLOOKUP(G570,'Space Table'!$B$3:$L$163,4,FALSE),
IF(__Retrofit_TI_NC=2,VLOOKUP(G570,'Space Table'!$B$3:$L$163,5,FALSE),VLOOKUP(G570,'Space Table'!$B$3:$L$163,5,FALSE)))</f>
        <v>#N/A</v>
      </c>
      <c r="O570" s="461">
        <f>G570</f>
        <v>0</v>
      </c>
      <c r="P570" s="1738" t="str">
        <f>IFERROR(IF(__Retrofit_TI_NC=1,VLOOKUP(G570,'Space Table'!$B$3:$O$163,13,FALSE),IF(__Retrofit_TI_NC=2,VLOOKUP(G570,'Space Table'!$B$3:$O$163,14,FALSE),"Area (sf):")),"Area (sf):")</f>
        <v>Area (sf):</v>
      </c>
      <c r="Q570" s="1738"/>
      <c r="R570" s="596"/>
      <c r="S570" s="1763" t="s">
        <v>345</v>
      </c>
      <c r="T570" s="594"/>
      <c r="U570" s="1801"/>
      <c r="V570" s="1802"/>
      <c r="W570" s="1802"/>
      <c r="X570" s="1802"/>
      <c r="Y570" s="1802"/>
      <c r="Z570" s="1802"/>
      <c r="AA570" s="1802"/>
      <c r="AB570" s="1802"/>
      <c r="AC570" s="1802"/>
      <c r="AD570" s="1802"/>
      <c r="AE570" s="1803"/>
      <c r="AF570" s="594"/>
      <c r="AG570" s="1787"/>
      <c r="AH570" s="1787"/>
      <c r="AI570" s="1787"/>
      <c r="AJ570" s="1787"/>
      <c r="AK570" s="1787"/>
      <c r="AL570" s="1787"/>
      <c r="AM570" s="1726">
        <f>IFERROR(DI570,"")</f>
        <v>0</v>
      </c>
      <c r="AN570" s="1728" t="str">
        <f>IFERROR(ROUND(AM570*AC571,0),"")</f>
        <v/>
      </c>
      <c r="AO570" s="1730">
        <f>IFERROR(IF(IB568=FALSE,0,AC571-AN570),0)</f>
        <v>0</v>
      </c>
      <c r="AP570" s="1780"/>
      <c r="AQ570" s="1781"/>
      <c r="AR570" s="1795"/>
      <c r="AS570" s="1795"/>
      <c r="AT570" s="1796"/>
      <c r="AU570" s="1735"/>
      <c r="AV570" s="1752"/>
      <c r="AW570" s="1705"/>
      <c r="AX570" s="467"/>
      <c r="AY570" s="1749"/>
      <c r="AZ570" s="1749"/>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696"/>
      <c r="CQ570" s="1696"/>
      <c r="CR570" s="1808" t="str">
        <f>CQ568</f>
        <v/>
      </c>
      <c r="CS570" s="1810" t="str">
        <f>CS568</f>
        <v/>
      </c>
      <c r="CU570" s="1688" t="s">
        <v>345</v>
      </c>
      <c r="CV570" s="1702">
        <f>IF(IB568=TRUE,T570,0)</f>
        <v>0</v>
      </c>
      <c r="CW570" s="1702" t="str">
        <f>IF(IB568=TRUE,U570,"")</f>
        <v/>
      </c>
      <c r="CX570" s="1812">
        <f>IF(IB568=TRUE,U571,0)</f>
        <v>0</v>
      </c>
      <c r="CY570" s="1814">
        <f>IF(IB568=TRUE,AB571,0)</f>
        <v>0</v>
      </c>
      <c r="CZ570" s="1710">
        <f>IF(AND(__Retrofit_TI_NC&gt;0,CR568="interior"),0,IF(IB568=TRUE,AC571,0))</f>
        <v>0</v>
      </c>
      <c r="DA570" s="1818"/>
      <c r="DB570" s="1820"/>
      <c r="DC570" s="1820"/>
      <c r="DD570" s="1820"/>
      <c r="DF570" s="1702">
        <f>IF(IB568=TRUE,AF570,0)</f>
        <v>0</v>
      </c>
      <c r="DG570" s="1830" t="str">
        <f>IF(IB568=TRUE,AG570,"")</f>
        <v/>
      </c>
      <c r="DH570" s="1812">
        <f>AG571</f>
        <v>0</v>
      </c>
      <c r="DI570" s="1837">
        <f>JE570</f>
        <v>0</v>
      </c>
      <c r="DJ570" s="1710">
        <f>IF(AND(__Retrofit_TI_NC&gt;0,CR568="interior"),0,IF(IB568=TRUE,AN570,0))</f>
        <v>0</v>
      </c>
      <c r="DK570" s="1712"/>
      <c r="DN570" s="1717">
        <f>IFERROR(CZ570-DJ570,0)</f>
        <v>0</v>
      </c>
      <c r="DO570" s="1709"/>
      <c r="DQ570" s="1715"/>
      <c r="DR570" s="1719" t="str">
        <f>DQ568</f>
        <v/>
      </c>
      <c r="DS570" s="1816"/>
      <c r="DT570" s="1835" t="str">
        <f>IF(OR(DS568=7,DS568=8,DS568=9),"ALC","")</f>
        <v/>
      </c>
      <c r="DU570" s="1715"/>
      <c r="DV570" s="1716"/>
      <c r="DX570" s="1715"/>
      <c r="DY570" s="1829" t="str">
        <f>DX568</f>
        <v/>
      </c>
      <c r="DZ570" s="1715"/>
      <c r="EA570" s="1715"/>
      <c r="EC570" s="1834"/>
      <c r="ED570" s="1834"/>
      <c r="EF570" s="1707"/>
      <c r="EG570" s="1712"/>
      <c r="EH570" s="1818"/>
      <c r="EI570" s="1712"/>
      <c r="EJ570" s="1712"/>
      <c r="EK570" s="1836"/>
      <c r="EL570" s="1836"/>
      <c r="EM570" s="1807"/>
      <c r="EN570" s="1839"/>
      <c r="EO570" s="1839"/>
      <c r="EP570" s="1817"/>
      <c r="EQ570" s="1817"/>
      <c r="ER570" s="1807"/>
      <c r="ES570" s="1807"/>
      <c r="ET570" s="1807"/>
      <c r="EV570" s="1715"/>
      <c r="EX570" s="1805" t="str">
        <f>IFERROR(VLOOKUP(CS570,'Space Table'!$B$3:$L$163,8,FALSE),"")</f>
        <v/>
      </c>
      <c r="EY570" s="1805" t="str">
        <f>IFERROR(IF(FB570="Yes",VLOOKUP(AG570,Lookup_Control_Type_Table2,4,FALSE),VLOOKUP(AG570,Lookup_Control_Type_Table2,3,FALSE)),"")</f>
        <v/>
      </c>
      <c r="EZ570" s="1805" t="e">
        <f>VLOOKUP(AG570,Lookup!BB$3:BC$20,2,FALSE)</f>
        <v>#N/A</v>
      </c>
      <c r="FA570" s="1805" t="e">
        <f>VLOOKUP(EX568,Lookup_Control_Type_Table,2,FALSE)</f>
        <v>#N/A</v>
      </c>
      <c r="FB570" s="1805" t="e">
        <f>VLOOKUP(CS570,'Space Table'!$B$3:$L$163,7,FALSE)</f>
        <v>#N/A</v>
      </c>
      <c r="FC570" s="1827"/>
      <c r="FE570" s="1698" t="str">
        <f>CONCATENATE(CQ568," - ",AG570)</f>
        <v xml:space="preserve"> - </v>
      </c>
      <c r="FG570" s="1816"/>
      <c r="FH570" s="1816"/>
      <c r="FI570" s="133"/>
      <c r="FL570" s="1822" t="str">
        <f>IF(CQ568="Exterior","Not Daylighted",G571)</f>
        <v>Not Daylighted</v>
      </c>
      <c r="FM570" s="1824">
        <f>VLOOKUP(FL570,_New_Daylight_Table_Codes,2,FALSE)</f>
        <v>0</v>
      </c>
      <c r="FN570" s="1698">
        <f>AG570</f>
        <v>0</v>
      </c>
      <c r="FO570" s="1698" t="e">
        <f>VLOOKUP(FN570,_Control_Table,2,FALSE)</f>
        <v>#N/A</v>
      </c>
      <c r="FP570" s="1678" t="e">
        <f>VLOOKUP(CONCATENATE(FL570," ",FN570),Lookup!AY$102:AZ581,2,FALSE)</f>
        <v>#N/A</v>
      </c>
      <c r="FQ570" s="1698">
        <f>IF(__Retrofit_TI_NC=0,FN570,IF(AND(FT570&gt;0,FN570="Occupancy Sensor"),"Daylight + Occupancy",IF(AND(FT570&gt;0,FO570&lt;4),"Interior Daylight Dimming",FN570)))</f>
        <v>0</v>
      </c>
      <c r="FS570" s="1686">
        <f>IF(CQ568="Interior",VLOOKUP(CS568,Control_Savings_Interior,5,FALSE),0)</f>
        <v>0</v>
      </c>
      <c r="FT570" s="1687">
        <f>IF(CQ570="Exterior",0,IF(FM570=2,0.5,IF(OR(FM570=1,FM570=3),1,0)))</f>
        <v>0</v>
      </c>
      <c r="FU570" s="1685">
        <f>IF(R569&gt;FS$44,(FS570*(FS$44/R569)),FS570)*FT570</f>
        <v>0</v>
      </c>
      <c r="FV570" s="1686">
        <f>DI570</f>
        <v>0</v>
      </c>
      <c r="FW570" s="1686">
        <f>ROUND(FV570+((1-FV570)*FU570),2)</f>
        <v>0</v>
      </c>
      <c r="FX570" s="1686">
        <f>IF(__Retrofit_TI_NC=2,FW570,FV570)</f>
        <v>0</v>
      </c>
      <c r="FY570" s="1697">
        <f>IF(CR570="Interior",VLOOKUP(CS570,Control_Savings_Interior,4,FALSE),0)</f>
        <v>0</v>
      </c>
      <c r="GA570" s="1696"/>
      <c r="GB570" s="1696"/>
      <c r="GC570" s="1696"/>
      <c r="GD570" s="1696"/>
      <c r="GE570" s="1696"/>
      <c r="GF570" s="1696"/>
      <c r="GG570" s="1696"/>
      <c r="GH570" s="1696"/>
      <c r="GI570" s="673" t="b">
        <f>IF(ISNUMBER(SEARCH("TLED",U570)),TRUE,FALSE)</f>
        <v>0</v>
      </c>
      <c r="GJ570" s="1135" t="str">
        <f>IFERROR(VLOOKUP(U570,Fixtures!DM$93:DR$142,6,FALSE),"")</f>
        <v/>
      </c>
      <c r="GK570" s="1832"/>
      <c r="GM570" s="1692"/>
      <c r="GN570" s="1684"/>
      <c r="GP570" s="1684"/>
      <c r="GQ570" s="1684"/>
      <c r="HG570" s="1684"/>
      <c r="HH570" s="1684"/>
      <c r="HI570" s="1684"/>
      <c r="HJ570" s="1684"/>
      <c r="HK570" s="1684"/>
      <c r="HL570" s="1684"/>
      <c r="HM570" s="1684"/>
      <c r="HN570" s="1683"/>
      <c r="HO570" s="1692"/>
      <c r="HP570" s="1692"/>
      <c r="HQ570" s="1670"/>
      <c r="HR570" s="1684"/>
      <c r="HS570" s="1684"/>
      <c r="HT570" s="1670"/>
      <c r="HU570" s="1684"/>
      <c r="HV570" s="1684"/>
      <c r="HW570" s="1684"/>
      <c r="HX570" s="1684"/>
      <c r="HY570" s="1684"/>
      <c r="HZ570" s="1684"/>
      <c r="IB570" s="1692"/>
      <c r="IC570" s="1693" t="b">
        <f>IB568</f>
        <v>0</v>
      </c>
      <c r="ID570" s="1695"/>
      <c r="IE570" s="391"/>
      <c r="IF570" s="1688"/>
      <c r="IG570" s="1689">
        <f ca="1">IF(IF568=TRUE,AC571,0)</f>
        <v>0</v>
      </c>
      <c r="IH570" s="1684"/>
      <c r="IK570" s="1689" t="e">
        <f>ROUND(T570*AB571*N569*R569/1000,0)</f>
        <v>#VALUE!</v>
      </c>
      <c r="IL570" s="1691"/>
      <c r="IM570" s="1693" t="e">
        <f>ROUND(T570*AB571*N569*R569/1000,0)</f>
        <v>#VALUE!</v>
      </c>
      <c r="IN570" s="1691"/>
      <c r="IP570" s="1679"/>
      <c r="IQ570" s="1679" t="e">
        <f t="shared" ref="IQ570:IU570" si="517">IF($CR570="interior",VLOOKUP($CS570,_New_Control_Savings_Interior,IQ$30,FALSE),VLOOKUP($CS570,Control_Savings_Exterior,IQ$30,FALSE))</f>
        <v>#N/A</v>
      </c>
      <c r="IR570" s="1679" t="e">
        <f t="shared" si="517"/>
        <v>#N/A</v>
      </c>
      <c r="IS570" s="1679" t="e">
        <f t="shared" si="517"/>
        <v>#N/A</v>
      </c>
      <c r="IT570" s="1679" t="e">
        <f t="shared" si="517"/>
        <v>#N/A</v>
      </c>
      <c r="IU570" s="1679" t="e">
        <f t="shared" si="517"/>
        <v>#N/A</v>
      </c>
      <c r="IV570" s="1679" t="e">
        <f>IF($CR570="interior",IF(R569&gt;$IP$14,ROUND(($IV$18*($IP$14/R569)),2),$IV$18),VLOOKUP($CS570,Control_Savings_Exterior,IV$30,FALSE))</f>
        <v>#N/A</v>
      </c>
      <c r="IW570" s="1679" t="e">
        <f>IF($CR570="interior",ROUND(((1-IS570)*IV570)+IS570,2),VLOOKUP($CS570,Control_Savings_Exterior,IW$30,FALSE))</f>
        <v>#N/A</v>
      </c>
      <c r="IX570" s="1679" t="e">
        <f>IF($CR570="interior",ROUND(((1-IT570)*IV570)+IT570,2),VLOOKUP($CS570,Control_Savings_Exterior,IX$30,FALSE))</f>
        <v>#N/A</v>
      </c>
      <c r="IY570" s="1679" t="e">
        <f>IF($CR570="interior",IF(R569&gt;$IP$14,ROUND(($IY$18*($IP$14/R569)),2),$IY$18),VLOOKUP($CS570,Control_Savings_Exterior,IY$30,FALSE))</f>
        <v>#N/A</v>
      </c>
      <c r="IZ570" s="1679" t="e">
        <f>IF($CR570="interior",ROUND(((1-IS570)*IY570)+IS570,2),VLOOKUP($CS570,Control_Savings_Exterior,IZ$30,FALSE))</f>
        <v>#N/A</v>
      </c>
      <c r="JA570" s="1679" t="e">
        <f>IF($CR570="interior",ROUND(((1-IT570)*IY570)+IT570,2),VLOOKUP($CS570,Control_Savings_Exterior,JA$30,FALSE))</f>
        <v>#N/A</v>
      </c>
      <c r="JC570" s="1680">
        <f>IFERROR(IF(CR570="Interior",CONCATENATE(G571," ",FQ570),AG570),"")</f>
        <v>0</v>
      </c>
      <c r="JD570" s="1670" t="str">
        <f>IFERROR(VLOOKUP(JC570,_Controls_2023,2,FALSE),"")</f>
        <v/>
      </c>
      <c r="JE570" s="1681">
        <f>IFERROR(CHOOSE(JD570-1,IQ570,IR570,IS570,IT570,IU570,IV570,IW570,IX570,IY570,IZ570,JA570),0)</f>
        <v>0</v>
      </c>
      <c r="JG570" s="1680" t="str">
        <f>FE570</f>
        <v xml:space="preserve"> - </v>
      </c>
      <c r="JH570" s="1670" t="e">
        <f>$FO570</f>
        <v>#N/A</v>
      </c>
      <c r="JI570" s="1060"/>
      <c r="JJ570" s="1670">
        <f>IFERROR(IF($IB568=TRUE,IF(OR(JJ$14="No",JJ568=FALSE,JH570&lt;=JH568,AND(_kWh_Grant=0,GD568=FALSE)),0,IF(JJ$8="Per Line",1,$AF570)),0),0)</f>
        <v>0</v>
      </c>
      <c r="JK570" s="1061"/>
      <c r="JL570" s="1670">
        <f>IFERROR(IF(_kWh_Grant=0,0,IF($IB568=TRUE,IF(OR(JL$14="No",JL568=FALSE,JH570&lt;=JH568),0,IF(JL$8="Per Line",1,$T570)),0)),0)</f>
        <v>0</v>
      </c>
      <c r="JM570" s="1061"/>
      <c r="JN570" s="1670">
        <f>IFERROR(IF(_kWh_Grant=0,0,IF($IB568=TRUE,IF(OR(JN$14="No",JN568=FALSE,JH570&lt;=JH568),0,IF(JN$8="Per Line",1,$AF570)),0)),0)</f>
        <v>0</v>
      </c>
      <c r="JO570" s="1061"/>
      <c r="JP570" s="1670">
        <f>IFERROR(IF(__Retrofit_TI_NC=0,IF(_kWh_Grant=0,0,IF($IB568=TRUE,IF(OR(JP$14="No",JP568=FALSE,$JH570&lt;=$JH568),0,IF(JP$8="Per Line",1,$AF570)),0)),IF($IB568=TRUE,IF(OR(JP$14="No",JP568=FALSE,$JH570&lt;=$JH568),0,IF(JP$8="Per Line",1,$AF570)))),0)</f>
        <v>0</v>
      </c>
      <c r="JQ570" s="1061"/>
      <c r="JR570" s="1670">
        <f>IFERROR(IF(__Retrofit_TI_NC=0,IF(_kWh_Grant=0,0,IF($IB568=TRUE,IF(OR(JR$14="No",JR568=FALSE,$JH570&lt;=$JH568),0,IF(JR$8="Per Line",1,$AF570)),0)),IF($IB568=TRUE,IF(OR(JR$14="No",JR568=FALSE,$JH570&lt;=$JH568),0,IF(JR$8="Per Line",1,$AF570)))),0)</f>
        <v>0</v>
      </c>
      <c r="JS570" s="1061"/>
      <c r="JT570" s="1670">
        <f>IFERROR(IF(__Retrofit_TI_NC=0,IF(_kWh_Grant=0,0,IF($IB568=TRUE,IF(OR(JT$14="No",JT568=FALSE,$JH570&lt;=$JH568),0,IF(JT$8="Per Line",1,$AF570)),0)),IF($IB568=TRUE,IF(OR(JT$14="No",JT568=FALSE,$JH570&lt;=$JH568),0,IF(JT$8="Per Line",1,$AF570)))),0)</f>
        <v>0</v>
      </c>
      <c r="JU570" s="1061"/>
      <c r="JV570" s="1670">
        <f>IFERROR(IF(__Retrofit_TI_NC=0,IF(_kWh_Grant=0,0,IF($IB568=TRUE,IF(OR(JV$14="No",JV568=FALSE,$JH570&lt;=$JH568),0,IF(JV$8="Per Line",1,$AF570)),0)),IF($IB568=TRUE,IF(OR(JV$14="No",JV568=FALSE,$JH570&lt;=$JH568),0,IF(JV$8="Per Line",1,$AF570)))),0)</f>
        <v>0</v>
      </c>
      <c r="JX570" s="1670">
        <f>IFERROR(IF(__Retrofit_TI_NC=0,IF(_kWh_Grant=0,0,IF($IB568=TRUE,IF(OR(JX$14="No",JX568=FALSE,$JH570&lt;=$JH568),0,IF(JX$8="Per Line",1,$AF570)),0)),IF($IB568=TRUE,IF(OR(JX$14="No",JX568=FALSE,$JH570&lt;=$JH568),0,IF(JX$8="Per Line",1,$AF570)))),0)</f>
        <v>0</v>
      </c>
      <c r="JZ570" s="1670">
        <f>IFERROR(IF($IB568=TRUE,IF(OR(JZ$14="No",JZ568=FALSE,$JH570&lt;=$JH568,AND(_kWh_Grant=0,$GD568=FALSE)),0,IF(JZ$8="Per Line",1,$AF570)),0),0)</f>
        <v>0</v>
      </c>
      <c r="KB570" s="1670">
        <f>IFERROR(IF(__Retrofit_TI_NC=0,IF(_kWh_Grant=0,0,IF($IB568=TRUE,IF(OR(KB$14="No",KB568=FALSE,$JH570&lt;=$JH568),0,IF(KB$8="Per Line",1,$AF570)),0)),IF($IB568=TRUE,IF(OR(KB$14="No",KB568=FALSE,$JH570&lt;=$JH568),0,IF(KB$8="Per Line",1,$AF570)))),0)</f>
        <v>0</v>
      </c>
    </row>
    <row r="571" spans="1:288" s="78" customFormat="1" ht="14.95" customHeight="1" thickTop="1" thickBot="1">
      <c r="B571" s="1845"/>
      <c r="C571" s="1846"/>
      <c r="D571" s="1847"/>
      <c r="E571" s="1771" t="s">
        <v>436</v>
      </c>
      <c r="F571" s="1772"/>
      <c r="G571" s="1784" t="s">
        <v>437</v>
      </c>
      <c r="H571" s="1785"/>
      <c r="I571" s="1785"/>
      <c r="J571" s="1785"/>
      <c r="K571" s="1785"/>
      <c r="L571" s="1786"/>
      <c r="M571" s="591">
        <f>IFERROR(VLOOKUP(G571,_Daylight_Table[],2,FALSE),0)</f>
        <v>0</v>
      </c>
      <c r="N571" s="592" t="str">
        <f>IF(AND(__Retrofit_TI_NC&gt;0,CQ568="Interior"),"BAM","")</f>
        <v/>
      </c>
      <c r="O571" s="591" t="e">
        <f>VLOOKUP(G570,'Space Table'!$B$3:$L$163,11,FALSE)</f>
        <v>#N/A</v>
      </c>
      <c r="P571" s="1789"/>
      <c r="Q571" s="1790"/>
      <c r="R571" s="1790"/>
      <c r="S571" s="1788"/>
      <c r="T571" s="593" t="s">
        <v>342</v>
      </c>
      <c r="U571" s="1756" t="str" cm="1">
        <f t="array" aca="1" ref="U571" ca="1">IFERROR(VLOOKUP(INDIRECT("U" &amp; ROW()-1),Fixtures!DM$93:DP$142,4,FALSE),"")</f>
        <v/>
      </c>
      <c r="V571" s="1757"/>
      <c r="W571" s="1757"/>
      <c r="X571" s="1757"/>
      <c r="Y571" s="1757"/>
      <c r="Z571" s="1757"/>
      <c r="AA571" s="1758"/>
      <c r="AB571" s="939" t="str">
        <f>IFERROR(VLOOKUP(U570,Fixtures_Proposed_List,2,FALSE),"")</f>
        <v/>
      </c>
      <c r="AC571" s="933" t="str">
        <f>IFERROR(ROUND(T570*AB571*N569*R569/1000,0),"")</f>
        <v/>
      </c>
      <c r="AD571" s="934" t="str">
        <f>IFERROR(ROUND(T570*AB571/1000,2),"")</f>
        <v/>
      </c>
      <c r="AE571" s="998"/>
      <c r="AF571" s="938" t="s">
        <v>342</v>
      </c>
      <c r="AG571" s="1770"/>
      <c r="AH571" s="1770"/>
      <c r="AI571" s="1770"/>
      <c r="AJ571" s="1770"/>
      <c r="AK571" s="1770"/>
      <c r="AL571" s="1770"/>
      <c r="AM571" s="1727"/>
      <c r="AN571" s="1729"/>
      <c r="AO571" s="1731"/>
      <c r="AP571" s="1782"/>
      <c r="AQ571" s="1783"/>
      <c r="AR571" s="1797"/>
      <c r="AS571" s="1797"/>
      <c r="AT571" s="1798"/>
      <c r="AU571" s="1736"/>
      <c r="AV571" s="1753"/>
      <c r="AW571" s="1706"/>
      <c r="AX571" s="468"/>
      <c r="AY571" s="1750"/>
      <c r="AZ571" s="1750"/>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696"/>
      <c r="CQ571" s="1696"/>
      <c r="CR571" s="1809"/>
      <c r="CS571" s="1811"/>
      <c r="CU571" s="1688"/>
      <c r="CV571" s="1703"/>
      <c r="CW571" s="1703"/>
      <c r="CX571" s="1813"/>
      <c r="CY571" s="1815"/>
      <c r="CZ571" s="1711"/>
      <c r="DA571" s="1815"/>
      <c r="DB571" s="1821"/>
      <c r="DC571" s="1821"/>
      <c r="DD571" s="1821"/>
      <c r="DF571" s="1703"/>
      <c r="DG571" s="1831"/>
      <c r="DH571" s="1813"/>
      <c r="DI571" s="1838"/>
      <c r="DJ571" s="1711"/>
      <c r="DK571" s="1712"/>
      <c r="DN571" s="1718"/>
      <c r="DO571" s="1709"/>
      <c r="DQ571" s="1715"/>
      <c r="DR571" s="1720"/>
      <c r="DS571" s="1703"/>
      <c r="DT571" s="1714"/>
      <c r="DU571" s="1715"/>
      <c r="DV571" s="1716"/>
      <c r="DX571" s="1715"/>
      <c r="DY571" s="1720"/>
      <c r="DZ571" s="1715"/>
      <c r="EA571" s="1715"/>
      <c r="EC571" s="1834"/>
      <c r="ED571" s="1834"/>
      <c r="EF571" s="1707"/>
      <c r="EG571" s="1712"/>
      <c r="EH571" s="1815"/>
      <c r="EI571" s="1712"/>
      <c r="EJ571" s="1712"/>
      <c r="EK571" s="1813"/>
      <c r="EL571" s="1813"/>
      <c r="EM571" s="1807"/>
      <c r="EN571" s="1839"/>
      <c r="EO571" s="1839"/>
      <c r="EP571" s="1817"/>
      <c r="EQ571" s="1817"/>
      <c r="ER571" s="1807"/>
      <c r="ES571" s="1807"/>
      <c r="ET571" s="1807"/>
      <c r="EV571" s="1715"/>
      <c r="EX571" s="1806"/>
      <c r="EY571" s="1806"/>
      <c r="EZ571" s="1806"/>
      <c r="FA571" s="1806"/>
      <c r="FB571" s="1806"/>
      <c r="FC571" s="1828"/>
      <c r="FE571" s="1698"/>
      <c r="FG571" s="1703"/>
      <c r="FH571" s="1703"/>
      <c r="FI571" s="133"/>
      <c r="FL571" s="1823"/>
      <c r="FM571" s="1825"/>
      <c r="FN571" s="1698"/>
      <c r="FO571" s="1698"/>
      <c r="FP571" s="1678"/>
      <c r="FQ571" s="1698"/>
      <c r="FS571" s="1687"/>
      <c r="FT571" s="1687"/>
      <c r="FU571" s="1685"/>
      <c r="FV571" s="1687"/>
      <c r="FW571" s="1687"/>
      <c r="FX571" s="1687"/>
      <c r="FY571" s="1697"/>
      <c r="GA571" s="1696"/>
      <c r="GB571" s="1696"/>
      <c r="GC571" s="1696"/>
      <c r="GD571" s="1696"/>
      <c r="GE571" s="1696"/>
      <c r="GF571" s="1696"/>
      <c r="GG571" s="1696"/>
      <c r="GH571" s="1696"/>
      <c r="GI571" s="673"/>
      <c r="GJ571" s="1135"/>
      <c r="GK571" s="1832"/>
      <c r="GN571" s="674">
        <f>IF(GN569=TRUE,0,GN$16)</f>
        <v>0</v>
      </c>
      <c r="GP571" s="674">
        <f>IF(GP569=TRUE,0,GP$16)</f>
        <v>36</v>
      </c>
      <c r="GQ571" s="674">
        <f ca="1">IF(GQ569=TRUE,0,GQ$16)</f>
        <v>35</v>
      </c>
      <c r="GR571" s="391"/>
      <c r="GS571" s="391"/>
      <c r="GT571" s="391"/>
      <c r="GU571" s="391"/>
      <c r="GV571" s="391"/>
      <c r="HG571" s="674">
        <f>IF(HG569=TRUE,0,HG$16)</f>
        <v>0</v>
      </c>
      <c r="HH571" s="674">
        <f t="shared" ref="HH571:HM571" si="518">IF(HH569=TRUE,0,HH$16)</f>
        <v>19</v>
      </c>
      <c r="HI571" s="674">
        <f t="shared" si="518"/>
        <v>18</v>
      </c>
      <c r="HJ571" s="674">
        <f t="shared" si="518"/>
        <v>17</v>
      </c>
      <c r="HK571" s="674">
        <f t="shared" si="518"/>
        <v>16</v>
      </c>
      <c r="HL571" s="674">
        <f t="shared" si="518"/>
        <v>0</v>
      </c>
      <c r="HM571" s="674">
        <f t="shared" si="518"/>
        <v>0</v>
      </c>
      <c r="HN571" s="674">
        <f>IF(HN569=TRUE,0,HN$16)</f>
        <v>13</v>
      </c>
      <c r="HO571" s="674">
        <f t="shared" ref="HO571:HQ571" si="519">IF(HO569=TRUE,0,HO$16)</f>
        <v>0</v>
      </c>
      <c r="HP571" s="674">
        <f t="shared" si="519"/>
        <v>0</v>
      </c>
      <c r="HQ571" s="674">
        <f t="shared" si="519"/>
        <v>10</v>
      </c>
      <c r="HR571" s="674">
        <f>IF(HR569=TRUE,0,HR$16)</f>
        <v>9</v>
      </c>
      <c r="HS571" s="674">
        <f t="shared" ref="HS571:HW571" si="520">IF(HS569=TRUE,0,HS$16)</f>
        <v>0</v>
      </c>
      <c r="HT571" s="674">
        <f t="shared" si="520"/>
        <v>0</v>
      </c>
      <c r="HU571" s="674">
        <f t="shared" si="520"/>
        <v>0</v>
      </c>
      <c r="HV571" s="674">
        <f t="shared" si="520"/>
        <v>0</v>
      </c>
      <c r="HW571" s="674">
        <f t="shared" si="520"/>
        <v>0</v>
      </c>
      <c r="HX571" s="674">
        <f>IF(HX569=TRUE,0,HX$16)</f>
        <v>0</v>
      </c>
      <c r="HY571" s="674">
        <f>IF(HY569=TRUE,0,HY$16)</f>
        <v>0</v>
      </c>
      <c r="HZ571" s="674">
        <f>IF(HZ569=TRUE,0,HZ$16)</f>
        <v>1</v>
      </c>
      <c r="IB571" s="674">
        <f>IF(GP569=FALSE,GP571,IF(GQ569=FALSE,GQ571,MAX(GN571:HZ571)))</f>
        <v>36</v>
      </c>
      <c r="IC571" s="1692"/>
      <c r="ID571" s="205" t="str">
        <f>VLOOKUP(IB571,_Error_Table,3,FALSE)</f>
        <v xml:space="preserve"> </v>
      </c>
      <c r="IE571" s="205"/>
      <c r="IF571" s="1688"/>
      <c r="IG571" s="1689"/>
      <c r="IH571" s="1684"/>
      <c r="IK571" s="1689"/>
      <c r="IL571" s="1692"/>
      <c r="IM571" s="1692"/>
      <c r="IN571" s="1692"/>
      <c r="IP571" s="1679"/>
      <c r="IQ571" s="1679"/>
      <c r="IR571" s="1679"/>
      <c r="IS571" s="1679"/>
      <c r="IT571" s="1679"/>
      <c r="IU571" s="1679"/>
      <c r="IV571" s="1679"/>
      <c r="IW571" s="1679"/>
      <c r="IX571" s="1679"/>
      <c r="IY571" s="1679"/>
      <c r="IZ571" s="1679"/>
      <c r="JA571" s="1679"/>
      <c r="JC571" s="1680"/>
      <c r="JD571" s="1670"/>
      <c r="JE571" s="1681"/>
      <c r="JG571" s="1680"/>
      <c r="JH571" s="1670"/>
      <c r="JI571" s="1060"/>
      <c r="JJ571" s="1670"/>
      <c r="JK571" s="1061"/>
      <c r="JL571" s="1670"/>
      <c r="JM571" s="1061"/>
      <c r="JN571" s="1670"/>
      <c r="JO571" s="1061"/>
      <c r="JP571" s="1670"/>
      <c r="JQ571" s="1061"/>
      <c r="JR571" s="1670"/>
      <c r="JS571" s="1061"/>
      <c r="JT571" s="1670"/>
      <c r="JU571" s="1061"/>
      <c r="JV571" s="1670"/>
      <c r="JX571" s="1670"/>
      <c r="JZ571" s="1670"/>
      <c r="KB571" s="1670"/>
    </row>
    <row r="572" spans="1:288" s="78" customFormat="1" ht="5.0999999999999996" customHeight="1">
      <c r="B572" s="676"/>
      <c r="C572" s="392"/>
      <c r="D572" s="392"/>
      <c r="E572" s="1733"/>
      <c r="F572" s="1733"/>
      <c r="G572" s="1733"/>
      <c r="H572" s="1733"/>
      <c r="I572" s="1733"/>
      <c r="J572" s="1733"/>
      <c r="K572" s="1733"/>
      <c r="L572" s="1733"/>
      <c r="M572" s="1733"/>
      <c r="N572" s="1733"/>
      <c r="O572" s="1733"/>
      <c r="P572" s="1733"/>
      <c r="Q572" s="1733"/>
      <c r="R572" s="1733"/>
      <c r="S572" s="1733"/>
      <c r="T572" s="1733"/>
      <c r="U572" s="1733"/>
      <c r="V572" s="1733"/>
      <c r="W572" s="1733"/>
      <c r="X572" s="1733"/>
      <c r="Y572" s="1733"/>
      <c r="Z572" s="1733"/>
      <c r="AA572" s="1733"/>
      <c r="AB572" s="1733"/>
      <c r="AC572" s="1733"/>
      <c r="AD572" s="1733"/>
      <c r="AE572" s="1733"/>
      <c r="AF572" s="1733"/>
      <c r="AG572" s="1733"/>
      <c r="AH572" s="1733"/>
      <c r="AI572" s="1733"/>
      <c r="AJ572" s="1733"/>
      <c r="AK572" s="1733"/>
      <c r="AL572" s="1733"/>
      <c r="AM572" s="1733"/>
      <c r="AN572" s="1733"/>
      <c r="AO572" s="1733"/>
      <c r="AP572" s="1733"/>
      <c r="AQ572" s="1733"/>
      <c r="AR572" s="1733"/>
      <c r="AS572" s="1733"/>
      <c r="AT572" s="1733"/>
      <c r="AU572" s="1733"/>
      <c r="AV572" s="1733"/>
      <c r="AW572" s="1733"/>
      <c r="AX572" s="469"/>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663"/>
      <c r="CQ572" s="663"/>
      <c r="CR572" s="438"/>
      <c r="CS572" s="663"/>
      <c r="CV572" s="391"/>
      <c r="CW572" s="391"/>
      <c r="CX572" s="207"/>
      <c r="CY572" s="208"/>
      <c r="CZ572" s="208"/>
      <c r="DA572" s="208"/>
      <c r="DB572" s="209"/>
      <c r="DC572" s="209"/>
      <c r="DD572" s="209"/>
      <c r="DF572" s="664"/>
      <c r="DG572" s="665"/>
      <c r="DH572" s="666"/>
      <c r="DI572" s="667"/>
      <c r="DJ572" s="668"/>
      <c r="DK572" s="668"/>
      <c r="DN572" s="208"/>
      <c r="DO572" s="664"/>
      <c r="DQ572" s="664"/>
      <c r="DR572" s="669"/>
      <c r="DS572" s="391"/>
      <c r="DT572" s="664"/>
      <c r="DU572" s="664"/>
      <c r="DV572" s="664"/>
      <c r="DX572" s="664"/>
      <c r="DY572" s="664"/>
      <c r="DZ572" s="664"/>
      <c r="EA572" s="664"/>
      <c r="EC572" s="670"/>
      <c r="ED572" s="670"/>
      <c r="EF572" s="668"/>
      <c r="EG572" s="668"/>
      <c r="EH572" s="208"/>
      <c r="EI572" s="668"/>
      <c r="EJ572" s="668"/>
      <c r="EK572" s="207"/>
      <c r="EL572" s="207"/>
      <c r="EM572" s="666"/>
      <c r="EN572" s="671"/>
      <c r="EO572" s="671"/>
      <c r="EP572" s="672"/>
      <c r="EQ572" s="672"/>
      <c r="ER572" s="666"/>
      <c r="ES572" s="666"/>
      <c r="ET572" s="666"/>
      <c r="EV572" s="664"/>
      <c r="EX572" s="391"/>
      <c r="EY572" s="391"/>
      <c r="EZ572" s="391"/>
      <c r="FA572" s="391"/>
      <c r="FB572" s="391"/>
      <c r="FC572" s="391"/>
      <c r="FE572" s="569"/>
      <c r="FG572" s="391"/>
      <c r="FH572" s="391"/>
      <c r="FI572" s="391"/>
      <c r="FS572" s="664"/>
      <c r="FT572" s="391"/>
      <c r="FU572" s="391"/>
      <c r="FV572" s="664"/>
      <c r="FW572" s="664"/>
      <c r="GA572" s="663"/>
      <c r="GB572" s="663"/>
      <c r="GC572" s="663"/>
      <c r="GD572" s="663"/>
      <c r="GE572" s="663"/>
      <c r="GF572" s="663"/>
      <c r="GG572" s="663"/>
      <c r="GH572" s="663"/>
      <c r="GI572" s="665"/>
      <c r="GJ572" s="664"/>
      <c r="GK572" s="664"/>
    </row>
    <row r="573" spans="1:288" s="78" customFormat="1" ht="14.95" customHeight="1">
      <c r="B573" s="1845" t="str">
        <f>ID576</f>
        <v xml:space="preserve"> </v>
      </c>
      <c r="C573" s="1846">
        <f>C568+1</f>
        <v>102</v>
      </c>
      <c r="D573" s="1847"/>
      <c r="E573" s="1799" t="s">
        <v>295</v>
      </c>
      <c r="F573" s="1800"/>
      <c r="G573" s="1741"/>
      <c r="H573" s="1742"/>
      <c r="I573" s="1742"/>
      <c r="J573" s="1742"/>
      <c r="K573" s="1742"/>
      <c r="L573" s="1742"/>
      <c r="M573" s="1742"/>
      <c r="N573" s="1742"/>
      <c r="O573" s="1742"/>
      <c r="P573" s="1742"/>
      <c r="Q573" s="1742"/>
      <c r="R573" s="1742"/>
      <c r="S573" s="1791" t="s">
        <v>344</v>
      </c>
      <c r="T573" s="590"/>
      <c r="U573" s="1743"/>
      <c r="V573" s="1744"/>
      <c r="W573" s="1744"/>
      <c r="X573" s="1744"/>
      <c r="Y573" s="1744"/>
      <c r="Z573" s="1744"/>
      <c r="AA573" s="1744"/>
      <c r="AB573" s="961" t="str">
        <f>IFERROR(IF(__Retrofit_TI_NC=0,VLOOKUP(U574,Fixtures_Existing_List,2,FALSE),ROUND(N575*R575/T575,10)),"")</f>
        <v/>
      </c>
      <c r="AC573" s="935" t="str">
        <f>IFERROR(IF(__Retrofit_TI_NC=0,ROUND(T574*AB573*N574*R574/1000,0),IF(CQ573="Interior",N575*R575*R574*N574*_C406_reduction/1000,N575*R575*R574*N574/1000)),"")</f>
        <v/>
      </c>
      <c r="AD573" s="936" t="str">
        <f>IFERROR(IF(C$43=0,ROUND(T574*AB573/1000,2),N575*R575/1000),"")</f>
        <v/>
      </c>
      <c r="AE573" s="997"/>
      <c r="AF573" s="937"/>
      <c r="AG573" s="1745" t="str">
        <f>IF(__Retrofit_TI_NC=0," Control","Select Advanced Control for New System")</f>
        <v xml:space="preserve"> Control</v>
      </c>
      <c r="AH573" s="1745"/>
      <c r="AI573" s="1745"/>
      <c r="AJ573" s="1745"/>
      <c r="AK573" s="1745"/>
      <c r="AL573" s="1745"/>
      <c r="AM573" s="1746">
        <f>IFERROR(DI573,"")</f>
        <v>0</v>
      </c>
      <c r="AN573" s="1774" t="str">
        <f>IFERROR(ROUND(AM573*AC573,0),"")</f>
        <v/>
      </c>
      <c r="AO573" s="1776">
        <f>IFERROR(IF(IB573=FALSE,0,AC573-AN573),0)</f>
        <v>0</v>
      </c>
      <c r="AP573" s="1778">
        <f>AO573-AO575</f>
        <v>0</v>
      </c>
      <c r="AQ573" s="1779"/>
      <c r="AR573" s="1793">
        <f>IFERROR(IF(IB573=FALSE,0,(T575*U576)+(AF575*AG576)),0)</f>
        <v>0</v>
      </c>
      <c r="AS573" s="1793"/>
      <c r="AT573" s="1794"/>
      <c r="AU573" s="1734" t="s">
        <v>237</v>
      </c>
      <c r="AV573" s="1751">
        <f>IF(AU573="Yes",1,0)</f>
        <v>1</v>
      </c>
      <c r="AW573" s="1704" t="str">
        <f>IF(OR(DQ573=4,DQ573=5,DQ573=6,DQ573=12),CONCATENATE("$",IF(GH573=TRUE,Lookup!$K$10,Lookup!$K$2)," /lamp"),CONCATENATE(TEXT(ED573,"$0.00"),"/ kWh"))</f>
        <v>$0.00/ kWh</v>
      </c>
      <c r="AX573" s="467"/>
      <c r="AY573" s="1748">
        <f ca="1">IFERROR(IF(GM574=TRUE,(AB576*T575)/R575,0),"NA")</f>
        <v>0</v>
      </c>
      <c r="AZ573" s="1748"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696" t="str">
        <f>N574</f>
        <v/>
      </c>
      <c r="CQ573" s="1696" t="str">
        <f>IFERROR(VLOOKUP(G574,_Lookup_Heat_Type_Table_New,3,FALSE),"")</f>
        <v/>
      </c>
      <c r="CR573" s="1808" t="str">
        <f>CQ573</f>
        <v/>
      </c>
      <c r="CS573" s="1810" t="str">
        <f>IFERROR(VLOOKUP(G575,'Space Table'!$B$3:$L$163,9,FALSE),"")</f>
        <v/>
      </c>
      <c r="CU573" s="1688" t="s">
        <v>344</v>
      </c>
      <c r="CV573" s="1702">
        <f>IF(IB573=TRUE,T574,0)</f>
        <v>0</v>
      </c>
      <c r="CW573" s="1702" t="str">
        <f>IF(IB573=TRUE,U574,"")</f>
        <v/>
      </c>
      <c r="CX573" s="1702"/>
      <c r="CY573" s="1814">
        <f>IF(IB573=TRUE,AB573,0)</f>
        <v>0</v>
      </c>
      <c r="CZ573" s="1710">
        <f>IF(AND(__Retrofit_TI_NC&gt;0,CR573="interior"),0,IF(IB573=TRUE,AC573,0))</f>
        <v>0</v>
      </c>
      <c r="DA573" s="1814">
        <f>IFERROR(IF(IB573=TRUE,CZ573-CZ575,0),0)</f>
        <v>0</v>
      </c>
      <c r="DB573" s="1819">
        <f>IF(IB573=TRUE,AD573,0)</f>
        <v>0</v>
      </c>
      <c r="DC573" s="1819">
        <f>IF(IB573=TRUE,AD576,0)</f>
        <v>0</v>
      </c>
      <c r="DD573" s="1819">
        <f>IFERROR(DB573-DC573,0)</f>
        <v>0</v>
      </c>
      <c r="DF573" s="1702">
        <f>IF(IB573=TRUE,AF574,0)</f>
        <v>0</v>
      </c>
      <c r="DG573" s="1830">
        <f>IFERROR(IF(__Retrofit_TI_NC=2,IF(CQ573="Exterior",O576,FQ573),FN573),"")</f>
        <v>0</v>
      </c>
      <c r="DH573" s="1702"/>
      <c r="DI573" s="1837">
        <f>JE573</f>
        <v>0</v>
      </c>
      <c r="DJ573" s="1710">
        <f>IF(AND(__Retrofit_TI_NC&gt;0,CR573="interior"),0,IF(IB573=TRUE,AN573,0))</f>
        <v>0</v>
      </c>
      <c r="DK573" s="1712">
        <f>IFERROR(IF(IB573=TRUE,DJ575-DJ573,0),0)</f>
        <v>0</v>
      </c>
      <c r="DM573" s="1717">
        <f>IFERROR(CZ573-DJ573,0)</f>
        <v>0</v>
      </c>
      <c r="DO573" s="1708">
        <f>DM573-DN575</f>
        <v>0</v>
      </c>
      <c r="DQ573" s="1715" t="str">
        <f>IFERROR(IF(AND(OR(GC573=4,GC573=5,GC573=6),OR(GF573=4,GF573=5,GF573=6)),GC573+8,VLOOKUP(CW575,Fixtures!R$31:Y$78,8,FALSE)),"")</f>
        <v/>
      </c>
      <c r="DR573" s="1829" t="str">
        <f>DQ573</f>
        <v/>
      </c>
      <c r="DS573" s="1702" t="str">
        <f>IFERROR(VLOOKUP(DG575,Lookup!BB$3:BC$20,2,FALSE),"")</f>
        <v/>
      </c>
      <c r="DT573" s="1713" t="str">
        <f>IF(OR(DS573=7,DS573=8,DS573=9),"ALC","")</f>
        <v/>
      </c>
      <c r="DU573" s="1715">
        <f>IFERROR(IF(OR(DQ573=4,DQ573=5,DQ573=6,DQ573=12,DQ573=13,DQ573=14),VLOOKUP(CW575,Fixtures!DN$27:EG$77,19,FALSE),1)*CV575,0)</f>
        <v>0</v>
      </c>
      <c r="DV573" s="1716">
        <f>IF(OR(DS573=7,DS573=8,DS573=9),IF(DG573=DG575,0,DF575),0)</f>
        <v>0</v>
      </c>
      <c r="DX573" s="1715" t="str">
        <f>IFERROR(IF(EZ573&lt;EZ575,"Yes","No"),"")</f>
        <v/>
      </c>
      <c r="DY573" s="1829" t="str">
        <f>DX573</f>
        <v/>
      </c>
      <c r="DZ573" s="1715">
        <f>IF(DX573="Yes",DF575,0)</f>
        <v>0</v>
      </c>
      <c r="EA573" s="1715">
        <f>DZ573-DV573</f>
        <v>0</v>
      </c>
      <c r="EC573" s="1834">
        <f>IFERROR(VLOOKUP(DQ573,Lookup!AU$3:AV$16,2,FALSE),0)</f>
        <v>0</v>
      </c>
      <c r="ED573" s="1834">
        <f>IF(IB573=FALSE,0,IF(DX573="Yes",EC573+Lookup!K$6,EC573))</f>
        <v>0</v>
      </c>
      <c r="EF573" s="1707">
        <f>IF(IB573=TRUE,DM573,0)</f>
        <v>0</v>
      </c>
      <c r="EG573" s="1712">
        <f>IF(IB573=TRUE,CZ575,0)</f>
        <v>0</v>
      </c>
      <c r="EH573" s="1814">
        <f>IFERROR(EF573-EG573,0)</f>
        <v>0</v>
      </c>
      <c r="EI573" s="1712">
        <f>IF(IB573=TRUE,DJ575,0)</f>
        <v>0</v>
      </c>
      <c r="EJ573" s="1712">
        <f>IFERROR(EF573-EG573+EI573,0)</f>
        <v>0</v>
      </c>
      <c r="EK573" s="1812">
        <f>IF(IB573=TRUE,CV575*CX575,0)</f>
        <v>0</v>
      </c>
      <c r="EL573" s="1812">
        <f>IF(IB573=TRUE,DF575*DH575,0)</f>
        <v>0</v>
      </c>
      <c r="EM573" s="1807">
        <f>AR573</f>
        <v>0</v>
      </c>
      <c r="EN573" s="1839" t="str">
        <f>IFERROR(IF(IB573=TRUE,VLOOKUP(DQ573,Lookup!AU$3:AW$16,3,FALSE)*DU573,""),0)</f>
        <v/>
      </c>
      <c r="EO573" s="1839">
        <f>IF(IB573=TRUE,DZ573*Lookup!AW$12,0)</f>
        <v>0</v>
      </c>
      <c r="EP573" s="1817">
        <f>IFERROR(IF(IB573=TRUE,EN573/EP$40,0),0)</f>
        <v>0</v>
      </c>
      <c r="EQ573" s="1817">
        <f>IF(IB573=TRUE,EO573/EQ$40,0)</f>
        <v>0</v>
      </c>
      <c r="ER573" s="1807">
        <f>IF(IB573=TRUE,ET$40*EP573,0)</f>
        <v>0</v>
      </c>
      <c r="ES573" s="1807">
        <f>IF(IB573=TRUE,ET$40*EQ573,0)</f>
        <v>0</v>
      </c>
      <c r="ET573" s="1807">
        <f>ER573+ES573</f>
        <v>0</v>
      </c>
      <c r="EV573" s="1715">
        <f>IF(G573="",0,1)</f>
        <v>0</v>
      </c>
      <c r="EX573" s="1804" t="str">
        <f>IFERROR(VLOOKUP(CS575,'Space Table'!$B$3:$L$163,8,FALSE),"")</f>
        <v/>
      </c>
      <c r="EY573" s="1804" t="str">
        <f>IFERROR(IF(FB573="Yes",VLOOKUP(DG573,Lookup_Control_Type_Table2,4,FALSE),VLOOKUP(DG573,Lookup_Control_Type_Table2,3,FALSE)),"")</f>
        <v/>
      </c>
      <c r="EZ573" s="1804" t="e">
        <f>VLOOKUP(DG573,Lookup!BB$3:BC$20,2,FALSE)</f>
        <v>#N/A</v>
      </c>
      <c r="FA573" s="1804" t="e">
        <f>VLOOKUP(EX573,Lookup_Control_Type_Table,2,FALSE)</f>
        <v>#N/A</v>
      </c>
      <c r="FB573" s="1804" t="e">
        <f>VLOOKUP(CS575,'Space Table'!$B$3:$L$163,7,FALSE)</f>
        <v>#N/A</v>
      </c>
      <c r="FC573" s="1826" t="b">
        <f>ISNUMBER(SEARCH("TLED",U575))</f>
        <v>0</v>
      </c>
      <c r="FE573" s="1698" t="str">
        <f>CONCATENATE(CQ573," - ",DG573)</f>
        <v xml:space="preserve"> - 0</v>
      </c>
      <c r="FG573" s="1702" t="str">
        <f>VLOOKUP(CW575,Fixtures!DN$27:EZ$77,38,FALSE)</f>
        <v/>
      </c>
      <c r="FH573" s="1702">
        <f>IFERROR(FG573*EH573,0)</f>
        <v>0</v>
      </c>
      <c r="FI573" s="133"/>
      <c r="FL573" s="1822" t="str">
        <f>IF(CQ573="Exterior","Not Daylighted",G576)</f>
        <v>Not Daylighted</v>
      </c>
      <c r="FM573" s="1824">
        <f>VLOOKUP(FL573,_New_Daylight_Table_Codes,2,FALSE)</f>
        <v>0</v>
      </c>
      <c r="FN573" s="1698">
        <f>IF(__Retrofit_TI_NC&gt;0,VLOOKUP(G575,'Space Table'!$B$3:$L$163,11,FALSE),AG574)</f>
        <v>0</v>
      </c>
      <c r="FO573" s="1698" t="e">
        <f>IF(__Retrofit_TI_NC=2,VLOOKUP(FQ573,_Control_Table,2,FALSE),VLOOKUP(FN573,_Control_Table,2,FALSE))</f>
        <v>#N/A</v>
      </c>
      <c r="FP573" s="1678" t="e">
        <f>VLOOKUP(CONCATENATE(FL573," ",FN573),Lookup!AY$102:AZ583,2,FALSE)</f>
        <v>#N/A</v>
      </c>
      <c r="FQ573" s="1678">
        <f>IF(__Retrofit_TI_NC=0,FN573,IF(AND(FT573&gt;0,FN573="Occupancy Sensor"),"Daylight + Occupancy",IF(AND(FT573&gt;0,VLOOKUP(FN573,_Control_Table,2,FALSE)&lt;4),"Interior Daylight Dimming",FN573)))</f>
        <v>0</v>
      </c>
      <c r="FS573" s="1686">
        <f>IF(CR573="Interior",VLOOKUP(CS573,Control_Savings_Interior,5,FALSE),0)</f>
        <v>0</v>
      </c>
      <c r="FT573" s="1687">
        <f>IF(CQ573="Exterior",0,IF(FM573=2,0.5,IF(OR(FM573=1,FM573=3),1,0)))</f>
        <v>0</v>
      </c>
      <c r="FU573" s="1685">
        <f>IF(R572&gt;FS$44,(FS573*(FS$44/R572)),FS573)*FT573</f>
        <v>0</v>
      </c>
      <c r="FV573" s="1686">
        <f>DI573</f>
        <v>0</v>
      </c>
      <c r="FW573" s="1686">
        <f>ROUND(FV573+((1-FV573)*FU573),2)</f>
        <v>0</v>
      </c>
      <c r="FX573" s="1686">
        <f>IF(__Retrofit_TI_NC=2,FW573,FV573)</f>
        <v>0</v>
      </c>
      <c r="FY573" s="1697"/>
      <c r="GA573" s="1696" t="str">
        <f>IFERROR(VLOOKUP(U574,_Exist_Fixture_Table,3,FALSE),"")</f>
        <v/>
      </c>
      <c r="GB573" s="1696" t="str">
        <f>VLOOKUP(CW573,_Exist_Fixture_Table,4,FALSE)</f>
        <v/>
      </c>
      <c r="GC573" s="1696">
        <f>IFERROR(VLOOKUP(GB573,Lookup!AT$6:AU$8,2,FALSE),0)</f>
        <v>0</v>
      </c>
      <c r="GD573" s="1696" t="b">
        <f>IFERROR(IF(OR(GF573=4,GF573=5,GF573=6),TRUE,FALSE),"")</f>
        <v>0</v>
      </c>
      <c r="GE573" s="1696" t="str">
        <f>IFERROR(VLOOKUP(GF573,GC$6:GD$10,2,FALSE),"")</f>
        <v/>
      </c>
      <c r="GF573" s="1696" t="str">
        <f>VLOOKUP(CW575,Fixtures!R$31:Y$78,8,FALSE)</f>
        <v/>
      </c>
      <c r="GG573" s="1696">
        <f>IF(AND(GA573=TRUE,GD573=TRUE,OR(DQ573=12,DQ573=13,DQ573=14)),GC573+8,0)</f>
        <v>0</v>
      </c>
      <c r="GH573" s="1696" t="b">
        <f>IF(OR(GG573=12,GG573=13,GG573=14),TRUE,FALSE)</f>
        <v>0</v>
      </c>
      <c r="GI573" s="673" t="b">
        <f>IF(ISNUMBER(SEARCH("TLED",U574)),TRUE,FALSE)</f>
        <v>0</v>
      </c>
      <c r="GJ573" s="1135" t="str">
        <f>IFERROR(VLOOKUP(U574,Fixtures!BM$93:BR$142,6,FALSE),"")</f>
        <v/>
      </c>
      <c r="GK573" s="1832" t="b">
        <f>IF(OR(GI573=FALSE,GI575=FALSE),TRUE,IF(GJ573-GJ575&lt;5,FALSE,TRUE))</f>
        <v>1</v>
      </c>
      <c r="GO573" s="674">
        <f>GP573</f>
        <v>0</v>
      </c>
      <c r="GP573" s="674">
        <f>IF(G573="",0,1)</f>
        <v>0</v>
      </c>
      <c r="GQ573" s="674">
        <f ca="1">SUM(GR573:HF573)</f>
        <v>2</v>
      </c>
      <c r="GR573" s="674">
        <f>IF(G574="",0,1)</f>
        <v>0</v>
      </c>
      <c r="GS573" s="674">
        <f>IF(N576="BAM",1,IF(G575="",0,1))</f>
        <v>0</v>
      </c>
      <c r="GT573" s="674">
        <f>IF(N576="BAM",1,IF(R574="",0,1))</f>
        <v>0</v>
      </c>
      <c r="GU573" s="674">
        <f>IF(N576="BAM",1,IF(__Retrofit_TI_NC=0,1,IF(R575="",0,1)))</f>
        <v>1</v>
      </c>
      <c r="GV573" s="674">
        <f>IF(N576="BAM",1,IF(CQ573="Exterior",1,IF(G576="",0,1)))</f>
        <v>1</v>
      </c>
      <c r="GW573" s="674">
        <f>IF(__Retrofit_TI_NC&gt;0,1,IF(T574="",0,1))</f>
        <v>0</v>
      </c>
      <c r="GX573" s="674">
        <f>IF(__Retrofit_TI_NC&gt;0,1,IF(U574="",0,1))</f>
        <v>0</v>
      </c>
      <c r="GY573" s="674">
        <f>IF(N576="BAM",1,IF(T575="",0,1))</f>
        <v>0</v>
      </c>
      <c r="GZ573" s="674">
        <f>IF(N576="BAM",1,IF(U575="",0,1))</f>
        <v>0</v>
      </c>
      <c r="HA573" s="674">
        <f ca="1">IF(N576="BAM",1,IF(__Retrofit_TI_NC&gt;0,1,IF(U576="",0,1)))</f>
        <v>0</v>
      </c>
      <c r="HB573" s="674">
        <f>IF(__Retrofit_TI_NC&lt;&gt;0,1,IF(AF574="",0,1))</f>
        <v>0</v>
      </c>
      <c r="HC573" s="674">
        <f>IF(__Retrofit_TI_NC&lt;&gt;0,1,IF(AG574="",0,1))</f>
        <v>0</v>
      </c>
      <c r="HD573" s="674">
        <f>IF(N576="BAM",1,IF(AF575="",0,1))</f>
        <v>0</v>
      </c>
      <c r="HE573" s="674">
        <f>IF(N576="BAM",1,IF(AG575="",0,1))</f>
        <v>0</v>
      </c>
      <c r="HF573" s="674">
        <f>IF(N576="BAM",1,IF(__Retrofit_TI_NC&gt;0,1,IF(AG576="",0,1)))</f>
        <v>0</v>
      </c>
      <c r="HG573" s="391"/>
      <c r="IA573" s="391"/>
      <c r="IB573" s="1693" t="b">
        <f>IF(OR(IB576=0,IB576=HY$16,IB576=HX$16,IB576=HZ$16),TRUE,FALSE)</f>
        <v>0</v>
      </c>
      <c r="IC573" s="1694" t="b">
        <f>IB573</f>
        <v>0</v>
      </c>
      <c r="ID573" s="391"/>
      <c r="IE573" s="391"/>
      <c r="IF573" s="1688" t="b">
        <f ca="1">IF(MAX(GN576:HU576)&gt;5,FALSE,TRUE)</f>
        <v>0</v>
      </c>
      <c r="IG573" s="1689">
        <f ca="1">IF(IF573=TRUE,AC573,0)</f>
        <v>0</v>
      </c>
      <c r="IH573" s="1689">
        <f ca="1">IG573-IG575</f>
        <v>0</v>
      </c>
      <c r="IK573" s="1689" t="e">
        <f>ROUND(T574*VLOOKUP(U574,Fixtures_Existing_List,2,FALSE)*N574*R574/1000,0)</f>
        <v>#N/A</v>
      </c>
      <c r="IL573" s="1690" t="e">
        <f>IK573-IK575</f>
        <v>#N/A</v>
      </c>
      <c r="IM573" s="1693" t="e">
        <f>ROUND(IF(CQ573="Interior",N575*R575*R574*N574*_C406_reduction/1000,N575*R575*R574*N574/1000),0)</f>
        <v>#N/A</v>
      </c>
      <c r="IN573" s="1693" t="e">
        <f>IM573-IM575</f>
        <v>#N/A</v>
      </c>
      <c r="IP573" s="1679"/>
      <c r="IQ573" s="1679" t="e">
        <f t="shared" ref="IQ573:IU573" si="521">IF($CR573="interior",VLOOKUP($CS573,_New_Control_Savings_Interior,IQ$30,FALSE),VLOOKUP($CS573,Control_Savings_Exterior,IQ$30,FALSE))</f>
        <v>#N/A</v>
      </c>
      <c r="IR573" s="1679" t="e">
        <f t="shared" si="521"/>
        <v>#N/A</v>
      </c>
      <c r="IS573" s="1679" t="e">
        <f t="shared" si="521"/>
        <v>#N/A</v>
      </c>
      <c r="IT573" s="1679" t="e">
        <f t="shared" si="521"/>
        <v>#N/A</v>
      </c>
      <c r="IU573" s="1679" t="e">
        <f t="shared" si="521"/>
        <v>#N/A</v>
      </c>
      <c r="IV573" s="1679" t="e">
        <f>IF($CR573="interior",IF(R574&gt;$IP$14,ROUND(($IV$18*($IP$14/R574)),2),$IV$18),VLOOKUP($CS573,Control_Savings_Exterior,IV$30,FALSE))</f>
        <v>#N/A</v>
      </c>
      <c r="IW573" s="1679" t="e">
        <f>IF($CR573="interior",ROUND(((1-IS573)*IV573)+IS573,2),VLOOKUP($CS573,Control_Savings_Exterior,IW$30,FALSE))</f>
        <v>#N/A</v>
      </c>
      <c r="IX573" s="1679" t="e">
        <f>IF($CR573="interior",ROUND(((1-IT573)*IV573)+IT573,2),VLOOKUP($CS573,Control_Savings_Exterior,IX$30,FALSE))</f>
        <v>#N/A</v>
      </c>
      <c r="IY573" s="1679" t="e">
        <f>IF($CR573="interior",IF(R574&gt;$IP$14,ROUND(($IY$18*($IP$14/R574)),2),$IY$18),VLOOKUP($CS573,Control_Savings_Exterior,IY$30,FALSE))</f>
        <v>#N/A</v>
      </c>
      <c r="IZ573" s="1679" t="e">
        <f>IF($CR573="interior",ROUND(((1-IS573)*IY573)+IS573,2),VLOOKUP($CS573,Control_Savings_Exterior,IZ$30,FALSE))</f>
        <v>#N/A</v>
      </c>
      <c r="JA573" s="1679" t="e">
        <f>IF($CR573="interior",ROUND(((1-IT573)*IY573)+IT573,2),VLOOKUP($CS573,Control_Savings_Exterior,JA$30,FALSE))</f>
        <v>#N/A</v>
      </c>
      <c r="JC573" s="1680">
        <f>IFERROR(IF(CR573="Interior",CONCATENATE(G576," ",FQ573),FQ573),"")</f>
        <v>0</v>
      </c>
      <c r="JD573" s="1670" t="str">
        <f>IFERROR(VLOOKUP(JC573,_Controls_2023,2,FALSE),"")</f>
        <v/>
      </c>
      <c r="JE573" s="1681">
        <f>IFERROR(CHOOSE(JD573-1,IQ573,IR573,IS573,IT573,IU573,IV573,IW573,IX573,IY573,IZ573,JA573),0)</f>
        <v>0</v>
      </c>
      <c r="JG573" s="1680" t="str">
        <f>FE573</f>
        <v xml:space="preserve"> - 0</v>
      </c>
      <c r="JH573" s="1670" t="e">
        <f>$FO573</f>
        <v>#N/A</v>
      </c>
      <c r="JI573" s="1060"/>
      <c r="JJ573" s="1682" t="b">
        <f>IF($JG575=CONCATENATE("Interior - ",JJ$4),TRUE,FALSE)</f>
        <v>0</v>
      </c>
      <c r="JK573" s="1061"/>
      <c r="JL573" s="1682" t="b">
        <f>IF($JG575=CONCATENATE("Interior - ",JL$4),TRUE,FALSE)</f>
        <v>0</v>
      </c>
      <c r="JM573" s="1061"/>
      <c r="JN573" s="1682" t="b">
        <f>IF($JG575=CONCATENATE("Interior - ",JN$4),TRUE,FALSE)</f>
        <v>0</v>
      </c>
      <c r="JO573" s="1061"/>
      <c r="JP573" s="1682" t="b">
        <f>IF(__Retrofit_TI_NC&gt;0,FALSE,IF($JG575=CONCATENATE("Interior - ",JP$4),TRUE,FALSE))</f>
        <v>0</v>
      </c>
      <c r="JQ573" s="1061"/>
      <c r="JR573" s="1682" t="b">
        <f>IF(__Retrofit_TI_NC&gt;0,FALSE,IF($JG575=CONCATENATE("Interior - ",JR$4),TRUE,FALSE))</f>
        <v>0</v>
      </c>
      <c r="JS573" s="1061"/>
      <c r="JT573" s="1670" t="b">
        <f>IF(__Retrofit_TI_NC&gt;0,FALSE,IF($JG575=CONCATENATE("Interior - ",JT$4),TRUE,FALSE))</f>
        <v>0</v>
      </c>
      <c r="JU573" s="1061"/>
      <c r="JV573" s="1670" t="b">
        <f>IF(JC575="AELC on Existing",TRUE,FALSE)</f>
        <v>0</v>
      </c>
      <c r="JX573" s="1670" t="b">
        <f>IF(OR(JG575="Exterior - AELC Occupancy based",JG575="Exterior - AELC Time based"),TRUE,FALSE)</f>
        <v>0</v>
      </c>
      <c r="JZ573" s="1682" t="b">
        <f>IF($JG575=CONCATENATE("Exterior - ",JZ$4),TRUE,FALSE)</f>
        <v>0</v>
      </c>
      <c r="KB573" s="1670" t="b">
        <f>IF(__Retrofit_TI_NC&gt;0,FALSE,IF($JG575=CONCATENATE("Interior - ",KB$4),TRUE,FALSE))</f>
        <v>0</v>
      </c>
    </row>
    <row r="574" spans="1:288" s="78" customFormat="1" ht="14.95" customHeight="1" thickTop="1" thickBot="1">
      <c r="B574" s="1845"/>
      <c r="C574" s="1846"/>
      <c r="D574" s="1847"/>
      <c r="E574" s="1737" t="s">
        <v>297</v>
      </c>
      <c r="F574" s="1738"/>
      <c r="G574" s="1739"/>
      <c r="H574" s="1739"/>
      <c r="I574" s="1739"/>
      <c r="J574" s="1739"/>
      <c r="K574" s="1739"/>
      <c r="L574" s="1739"/>
      <c r="M574" s="461" t="e">
        <f>IF(__Retrofit_TI_NC&lt;&gt;0,IF(VLOOKUP(G575,'Space Table'!$B$3:$L$163,3,FALSE)&gt;0,1,0),IF(__Retrofit_TI_NC=VLOOKUP(G575,'Space Table'!$B$3:$L$163,3,FALSE),1,0))</f>
        <v>#N/A</v>
      </c>
      <c r="N574" s="461" t="str">
        <f>IFERROR(VLOOKUP(G574,_Lookup_Heat_Type_Table_New,2,FALSE),"")</f>
        <v/>
      </c>
      <c r="O574" s="461">
        <f>IF(__Retrofit_TI_NC=1,CONCATENATE("TI ",G574),IF(__Retrofit_TI_NC=2,CONCATENATE("NC ",G574),G574))</f>
        <v>0</v>
      </c>
      <c r="P574" s="1740" t="s">
        <v>435</v>
      </c>
      <c r="Q574" s="1740"/>
      <c r="R574" s="595"/>
      <c r="S574" s="1792"/>
      <c r="T574" s="597"/>
      <c r="U574" s="1765"/>
      <c r="V574" s="1766"/>
      <c r="W574" s="1766"/>
      <c r="X574" s="1766"/>
      <c r="Y574" s="1766"/>
      <c r="Z574" s="1766"/>
      <c r="AA574" s="1766"/>
      <c r="AB574" s="1766"/>
      <c r="AC574" s="1766"/>
      <c r="AD574" s="1767"/>
      <c r="AE574" s="1000"/>
      <c r="AF574" s="597"/>
      <c r="AG574" s="1723"/>
      <c r="AH574" s="1724"/>
      <c r="AI574" s="1724"/>
      <c r="AJ574" s="1724"/>
      <c r="AK574" s="1725"/>
      <c r="AL574" s="996"/>
      <c r="AM574" s="1747"/>
      <c r="AN574" s="1775"/>
      <c r="AO574" s="1777"/>
      <c r="AP574" s="1780"/>
      <c r="AQ574" s="1781"/>
      <c r="AR574" s="1795"/>
      <c r="AS574" s="1795"/>
      <c r="AT574" s="1796"/>
      <c r="AU574" s="1735"/>
      <c r="AV574" s="1752"/>
      <c r="AW574" s="1705"/>
      <c r="AX574" s="467"/>
      <c r="AY574" s="1749"/>
      <c r="AZ574" s="1749"/>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696"/>
      <c r="CQ574" s="1696"/>
      <c r="CR574" s="1809"/>
      <c r="CS574" s="1811"/>
      <c r="CU574" s="1688"/>
      <c r="CV574" s="1703"/>
      <c r="CW574" s="1703"/>
      <c r="CX574" s="1703"/>
      <c r="CY574" s="1815"/>
      <c r="CZ574" s="1711"/>
      <c r="DA574" s="1818"/>
      <c r="DB574" s="1820"/>
      <c r="DC574" s="1820"/>
      <c r="DD574" s="1820"/>
      <c r="DF574" s="1703"/>
      <c r="DG574" s="1831"/>
      <c r="DH574" s="1703"/>
      <c r="DI574" s="1838"/>
      <c r="DJ574" s="1711"/>
      <c r="DK574" s="1712"/>
      <c r="DM574" s="1718"/>
      <c r="DO574" s="1708"/>
      <c r="DQ574" s="1715"/>
      <c r="DR574" s="1720"/>
      <c r="DS574" s="1816"/>
      <c r="DT574" s="1714"/>
      <c r="DU574" s="1715"/>
      <c r="DV574" s="1716"/>
      <c r="DX574" s="1715"/>
      <c r="DY574" s="1720"/>
      <c r="DZ574" s="1715"/>
      <c r="EA574" s="1715"/>
      <c r="EC574" s="1834"/>
      <c r="ED574" s="1834"/>
      <c r="EF574" s="1707"/>
      <c r="EG574" s="1712"/>
      <c r="EH574" s="1818"/>
      <c r="EI574" s="1712"/>
      <c r="EJ574" s="1712"/>
      <c r="EK574" s="1836"/>
      <c r="EL574" s="1836"/>
      <c r="EM574" s="1807"/>
      <c r="EN574" s="1839"/>
      <c r="EO574" s="1839"/>
      <c r="EP574" s="1817"/>
      <c r="EQ574" s="1817"/>
      <c r="ER574" s="1807"/>
      <c r="ES574" s="1807"/>
      <c r="ET574" s="1807"/>
      <c r="EV574" s="1715"/>
      <c r="EX574" s="1805"/>
      <c r="EY574" s="1805"/>
      <c r="EZ574" s="1805"/>
      <c r="FA574" s="1805"/>
      <c r="FB574" s="1805"/>
      <c r="FC574" s="1827"/>
      <c r="FE574" s="1698"/>
      <c r="FG574" s="1816"/>
      <c r="FH574" s="1816"/>
      <c r="FI574" s="133"/>
      <c r="FL574" s="1823"/>
      <c r="FM574" s="1825"/>
      <c r="FN574" s="1698"/>
      <c r="FO574" s="1698"/>
      <c r="FP574" s="1678"/>
      <c r="FQ574" s="1678"/>
      <c r="FS574" s="1687"/>
      <c r="FT574" s="1687"/>
      <c r="FU574" s="1685"/>
      <c r="FV574" s="1687"/>
      <c r="FW574" s="1687"/>
      <c r="FX574" s="1687"/>
      <c r="FY574" s="1697"/>
      <c r="GA574" s="1696"/>
      <c r="GB574" s="1696"/>
      <c r="GC574" s="1696"/>
      <c r="GD574" s="1696"/>
      <c r="GE574" s="1696"/>
      <c r="GF574" s="1696"/>
      <c r="GG574" s="1696"/>
      <c r="GH574" s="1696"/>
      <c r="GI574" s="673"/>
      <c r="GJ574" s="1135"/>
      <c r="GK574" s="1832"/>
      <c r="GM574" s="1693" t="b">
        <f ca="1">IF(AND(GP574=TRUE,GQ574=TRUE),TRUE,FALSE)</f>
        <v>0</v>
      </c>
      <c r="GN574" s="1684" t="b">
        <f>IFERROR(IF(__Retrofit_TI_NC=2,TRUE,IF(AU573="Yes",TRUE,FALSE)),FALSE)</f>
        <v>1</v>
      </c>
      <c r="GP574" s="1684" t="b">
        <f>IFERROR(IF(GP573=1,TRUE,FALSE),FALSE)</f>
        <v>0</v>
      </c>
      <c r="GQ574" s="1684" t="b">
        <f ca="1">IFERROR(IF(GQ573=GQ$14,TRUE,FALSE),FALSE)</f>
        <v>0</v>
      </c>
      <c r="HG574" s="1684" t="b">
        <f>IFERROR(IF(AND(__Retrofit_TI_NC&gt;0,CQ573="Interior"),FALSE,TRUE),FALSE)</f>
        <v>1</v>
      </c>
      <c r="HH574" s="1684" t="b">
        <f>IFERROR(IF(M574=1,TRUE,FALSE),FALSE)</f>
        <v>0</v>
      </c>
      <c r="HI574" s="1684" t="b">
        <f>IFERROR(IF(OR(M575=1,N576="BAM"),TRUE,FALSE),FALSE)</f>
        <v>0</v>
      </c>
      <c r="HJ574" s="1684" t="b">
        <f>IFERROR(IF(__Retrofit_TI_NC&lt;&gt;0,TRUE,IFERROR(IF(VLOOKUP(U574,Fixtures_Existing_List,2,FALSE)&lt;&gt;"",TRUE,FALSE),FALSE)),FALSE)</f>
        <v>0</v>
      </c>
      <c r="HK574" s="1684" t="b">
        <f>IFERROR(IF(VLOOKUP(U575,Fixtures_Proposed_List,2,FALSE)&lt;&gt;"",TRUE,FALSE),FALSE)</f>
        <v>0</v>
      </c>
      <c r="HL574" s="1684" t="b">
        <f>IF(AND(__Retrofit_TI_NC=2,FC573=TRUE),FALSE,TRUE)</f>
        <v>1</v>
      </c>
      <c r="HM574" s="1684" t="b">
        <f>GK573</f>
        <v>1</v>
      </c>
      <c r="HN574" s="1682" t="b">
        <f>IF(ISERROR(MATCH(FE573,_Control_Match[],0))=TRUE,FALSE,TRUE)</f>
        <v>0</v>
      </c>
      <c r="HO574" s="1693" t="b">
        <f>IFERROR(IF(EX573&lt;&gt;EY573,FALSE,TRUE),FALSE)</f>
        <v>1</v>
      </c>
      <c r="HP574" s="1693" t="b">
        <f>IFERROR(IF(EX575&lt;&gt;EY575,FALSE,TRUE),FALSE)</f>
        <v>1</v>
      </c>
      <c r="HQ574" s="1670" t="b">
        <f>IFERROR(IF(CQ573="Exterior",TRUE,IF(AND(OR(FM575=0,FM575=3),JD575&gt;6),FALSE,TRUE)),FALSE)</f>
        <v>0</v>
      </c>
      <c r="HR574" s="1684" t="b">
        <f>IFERROR(IF(AND(FO575=7,FC573=TRUE),FALSE,TRUE),FALSE)</f>
        <v>0</v>
      </c>
      <c r="HS574" s="1684" t="b">
        <f>IFERROR(IF(AND(T575&lt;&gt;AF575,OR(AG575="Interior LLLC", AG575="Interior NLC", AG575="LLLC (outside Daylight)",AG575="LLLC Controls Only"))=TRUE,FALSE,TRUE),FALSE)</f>
        <v>1</v>
      </c>
      <c r="HT574" s="1670" t="b">
        <f>IFERROR(IF(OR(AG575=Lookup!BB$17,AG575=Lookup!BB$18,AG575=Lookup!BB$19)=TRUE,IF(AF575&gt;T575,FALSE,TRUE),TRUE),FALSE)</f>
        <v>1</v>
      </c>
      <c r="HU574" s="1684" t="b">
        <f>IFERROR(IF(__Retrofit_TI_NC=2,IF(EZ575&lt;EZ573,FALSE,TRUE),TRUE),FALSE)</f>
        <v>1</v>
      </c>
      <c r="HV574" s="1684" t="b">
        <f>IF(CQ573="Interior",IL$6,TRUE)</f>
        <v>1</v>
      </c>
      <c r="HW574" s="1684" t="b">
        <f>IF(CQ573="Exterior",IL$8,TRUE)</f>
        <v>1</v>
      </c>
      <c r="HX574" s="1684" t="b">
        <f>IFERROR(IF(__Retrofit_TI_NC&lt;&gt;0,IF(AZ573&lt;AY573,FALSE,TRUE),TRUE),FALSE)</f>
        <v>1</v>
      </c>
      <c r="HY574" s="1684" t="b">
        <f>IFERROR(IF(AND(G574="Exterior",R574&gt;4200),FALSE,TRUE),FALSE)</f>
        <v>1</v>
      </c>
      <c r="HZ574" s="1684" t="b">
        <f>IFERROR(IF(AB576/AB573&lt;HZ$18,FALSE,TRUE),FALSE)</f>
        <v>0</v>
      </c>
      <c r="IB574" s="1691"/>
      <c r="IC574" s="1695"/>
      <c r="ID574" s="1694" t="str">
        <f>VLOOKUP(IB576,_Error_Table,4,FALSE)</f>
        <v>White</v>
      </c>
      <c r="IE574" s="391"/>
      <c r="IF574" s="1688"/>
      <c r="IG574" s="1689"/>
      <c r="IH574" s="1684"/>
      <c r="IK574" s="1689"/>
      <c r="IL574" s="1691"/>
      <c r="IM574" s="1691"/>
      <c r="IN574" s="1691"/>
      <c r="IP574" s="1679"/>
      <c r="IQ574" s="1679"/>
      <c r="IR574" s="1679"/>
      <c r="IS574" s="1679"/>
      <c r="IT574" s="1679"/>
      <c r="IU574" s="1679"/>
      <c r="IV574" s="1679"/>
      <c r="IW574" s="1679"/>
      <c r="IX574" s="1679"/>
      <c r="IY574" s="1679"/>
      <c r="IZ574" s="1679"/>
      <c r="JA574" s="1679"/>
      <c r="JC574" s="1680"/>
      <c r="JD574" s="1670"/>
      <c r="JE574" s="1681"/>
      <c r="JG574" s="1680"/>
      <c r="JH574" s="1670"/>
      <c r="JI574" s="1060"/>
      <c r="JJ574" s="1683"/>
      <c r="JK574" s="1061"/>
      <c r="JL574" s="1683"/>
      <c r="JM574" s="1061"/>
      <c r="JN574" s="1683"/>
      <c r="JO574" s="1061"/>
      <c r="JP574" s="1683"/>
      <c r="JQ574" s="1061"/>
      <c r="JR574" s="1683"/>
      <c r="JS574" s="1061"/>
      <c r="JT574" s="1670"/>
      <c r="JU574" s="1061"/>
      <c r="JV574" s="1670"/>
      <c r="JX574" s="1670"/>
      <c r="JZ574" s="1683"/>
      <c r="KB574" s="1670"/>
    </row>
    <row r="575" spans="1:288" s="78" customFormat="1" ht="14.95" customHeight="1" thickTop="1" thickBot="1">
      <c r="A575" s="78">
        <f>ROW()</f>
        <v>575</v>
      </c>
      <c r="B575" s="1845"/>
      <c r="C575" s="1846"/>
      <c r="D575" s="1847"/>
      <c r="E575" s="1737" t="s">
        <v>298</v>
      </c>
      <c r="F575" s="1738"/>
      <c r="G575" s="1760"/>
      <c r="H575" s="1761"/>
      <c r="I575" s="1761"/>
      <c r="J575" s="1761"/>
      <c r="K575" s="1761"/>
      <c r="L575" s="1762"/>
      <c r="M575" s="461">
        <f>IFERROR(IF(IF(__Retrofit_TI_NC&lt;&gt;0,IF(CQ573="Interior",MATCH(G575,Lookup_Interior_New,0),MATCH(G575,Lookup_Exterior_New,0)),IF(CQ573="Interior",MATCH(G575,Lookup_Interior,0),MATCH(G575,Lookup_Exterior_Areas,0)))&gt;0,1,0),0)</f>
        <v>0</v>
      </c>
      <c r="N575" s="461" t="e">
        <f>IF(__Retrofit_TI_NC=1,
VLOOKUP(G575,'Space Table'!$B$3:$L$163,4,FALSE),
IF(__Retrofit_TI_NC=2,VLOOKUP(G575,'Space Table'!$B$3:$L$163,5,FALSE),VLOOKUP(G575,'Space Table'!$B$3:$L$163,5,FALSE)))</f>
        <v>#N/A</v>
      </c>
      <c r="O575" s="461">
        <f>G575</f>
        <v>0</v>
      </c>
      <c r="P575" s="1738" t="str">
        <f>IFERROR(IF(__Retrofit_TI_NC=1,VLOOKUP(G575,'Space Table'!$B$3:$O$163,13,FALSE),IF(__Retrofit_TI_NC=2,VLOOKUP(G575,'Space Table'!$B$3:$O$163,14,FALSE),"Area (sf):")),"Area (sf):")</f>
        <v>Area (sf):</v>
      </c>
      <c r="Q575" s="1738"/>
      <c r="R575" s="596"/>
      <c r="S575" s="1763" t="s">
        <v>345</v>
      </c>
      <c r="T575" s="594"/>
      <c r="U575" s="1801"/>
      <c r="V575" s="1802"/>
      <c r="W575" s="1802"/>
      <c r="X575" s="1802"/>
      <c r="Y575" s="1802"/>
      <c r="Z575" s="1802"/>
      <c r="AA575" s="1802"/>
      <c r="AB575" s="1802"/>
      <c r="AC575" s="1802"/>
      <c r="AD575" s="1802"/>
      <c r="AE575" s="1803"/>
      <c r="AF575" s="594"/>
      <c r="AG575" s="1787"/>
      <c r="AH575" s="1787"/>
      <c r="AI575" s="1787"/>
      <c r="AJ575" s="1787"/>
      <c r="AK575" s="1787"/>
      <c r="AL575" s="1787"/>
      <c r="AM575" s="1726">
        <f>IFERROR(DI575,"")</f>
        <v>0</v>
      </c>
      <c r="AN575" s="1728" t="str">
        <f>IFERROR(ROUND(AM575*AC576,0),"")</f>
        <v/>
      </c>
      <c r="AO575" s="1730">
        <f>IFERROR(IF(IB573=FALSE,0,AC576-AN575),0)</f>
        <v>0</v>
      </c>
      <c r="AP575" s="1780"/>
      <c r="AQ575" s="1781"/>
      <c r="AR575" s="1795"/>
      <c r="AS575" s="1795"/>
      <c r="AT575" s="1796"/>
      <c r="AU575" s="1735"/>
      <c r="AV575" s="1752"/>
      <c r="AW575" s="1705"/>
      <c r="AX575" s="467"/>
      <c r="AY575" s="1749"/>
      <c r="AZ575" s="1749"/>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696"/>
      <c r="CQ575" s="1696"/>
      <c r="CR575" s="1808" t="str">
        <f>CQ573</f>
        <v/>
      </c>
      <c r="CS575" s="1810" t="str">
        <f>CS573</f>
        <v/>
      </c>
      <c r="CU575" s="1688" t="s">
        <v>345</v>
      </c>
      <c r="CV575" s="1702">
        <f>IF(IB573=TRUE,T575,0)</f>
        <v>0</v>
      </c>
      <c r="CW575" s="1702" t="str">
        <f>IF(IB573=TRUE,U575,"")</f>
        <v/>
      </c>
      <c r="CX575" s="1812">
        <f>IF(IB573=TRUE,U576,0)</f>
        <v>0</v>
      </c>
      <c r="CY575" s="1814">
        <f>IF(IB573=TRUE,AB576,0)</f>
        <v>0</v>
      </c>
      <c r="CZ575" s="1710">
        <f>IF(AND(__Retrofit_TI_NC&gt;0,CR573="interior"),0,IF(IB573=TRUE,AC576,0))</f>
        <v>0</v>
      </c>
      <c r="DA575" s="1818"/>
      <c r="DB575" s="1820"/>
      <c r="DC575" s="1820"/>
      <c r="DD575" s="1820"/>
      <c r="DF575" s="1702">
        <f>IF(IB573=TRUE,AF575,0)</f>
        <v>0</v>
      </c>
      <c r="DG575" s="1830" t="str">
        <f>IF(IB573=TRUE,AG575,"")</f>
        <v/>
      </c>
      <c r="DH575" s="1812">
        <f>AG576</f>
        <v>0</v>
      </c>
      <c r="DI575" s="1837">
        <f>JE575</f>
        <v>0</v>
      </c>
      <c r="DJ575" s="1710">
        <f>IF(AND(__Retrofit_TI_NC&gt;0,CR573="interior"),0,IF(IB573=TRUE,AN575,0))</f>
        <v>0</v>
      </c>
      <c r="DK575" s="1712"/>
      <c r="DN575" s="1717">
        <f>IFERROR(CZ575-DJ575,0)</f>
        <v>0</v>
      </c>
      <c r="DO575" s="1709"/>
      <c r="DQ575" s="1715"/>
      <c r="DR575" s="1719" t="str">
        <f>DQ573</f>
        <v/>
      </c>
      <c r="DS575" s="1816"/>
      <c r="DT575" s="1835" t="str">
        <f>IF(OR(DS573=7,DS573=8,DS573=9),"ALC","")</f>
        <v/>
      </c>
      <c r="DU575" s="1715"/>
      <c r="DV575" s="1716"/>
      <c r="DX575" s="1715"/>
      <c r="DY575" s="1829" t="str">
        <f>DX573</f>
        <v/>
      </c>
      <c r="DZ575" s="1715"/>
      <c r="EA575" s="1715"/>
      <c r="EC575" s="1834"/>
      <c r="ED575" s="1834"/>
      <c r="EF575" s="1707"/>
      <c r="EG575" s="1712"/>
      <c r="EH575" s="1818"/>
      <c r="EI575" s="1712"/>
      <c r="EJ575" s="1712"/>
      <c r="EK575" s="1836"/>
      <c r="EL575" s="1836"/>
      <c r="EM575" s="1807"/>
      <c r="EN575" s="1839"/>
      <c r="EO575" s="1839"/>
      <c r="EP575" s="1817"/>
      <c r="EQ575" s="1817"/>
      <c r="ER575" s="1807"/>
      <c r="ES575" s="1807"/>
      <c r="ET575" s="1807"/>
      <c r="EV575" s="1715"/>
      <c r="EX575" s="1805" t="str">
        <f>IFERROR(VLOOKUP(CS575,'Space Table'!$B$3:$L$163,8,FALSE),"")</f>
        <v/>
      </c>
      <c r="EY575" s="1805" t="str">
        <f>IFERROR(IF(FB575="Yes",VLOOKUP(AG575,Lookup_Control_Type_Table2,4,FALSE),VLOOKUP(AG575,Lookup_Control_Type_Table2,3,FALSE)),"")</f>
        <v/>
      </c>
      <c r="EZ575" s="1805" t="e">
        <f>VLOOKUP(AG575,Lookup!BB$3:BC$20,2,FALSE)</f>
        <v>#N/A</v>
      </c>
      <c r="FA575" s="1805" t="e">
        <f>VLOOKUP(EX573,Lookup_Control_Type_Table,2,FALSE)</f>
        <v>#N/A</v>
      </c>
      <c r="FB575" s="1805" t="e">
        <f>VLOOKUP(CS575,'Space Table'!$B$3:$L$163,7,FALSE)</f>
        <v>#N/A</v>
      </c>
      <c r="FC575" s="1827"/>
      <c r="FE575" s="1698" t="str">
        <f>CONCATENATE(CQ573," - ",AG575)</f>
        <v xml:space="preserve"> - </v>
      </c>
      <c r="FG575" s="1816"/>
      <c r="FH575" s="1816"/>
      <c r="FI575" s="133"/>
      <c r="FL575" s="1822" t="str">
        <f>IF(CQ573="Exterior","Not Daylighted",G576)</f>
        <v>Not Daylighted</v>
      </c>
      <c r="FM575" s="1824">
        <f>VLOOKUP(FL575,_New_Daylight_Table_Codes,2,FALSE)</f>
        <v>0</v>
      </c>
      <c r="FN575" s="1698">
        <f>AG575</f>
        <v>0</v>
      </c>
      <c r="FO575" s="1698" t="e">
        <f>VLOOKUP(FN575,_Control_Table,2,FALSE)</f>
        <v>#N/A</v>
      </c>
      <c r="FP575" s="1678" t="e">
        <f>VLOOKUP(CONCATENATE(FL575," ",FN575),Lookup!AY$102:AZ586,2,FALSE)</f>
        <v>#N/A</v>
      </c>
      <c r="FQ575" s="1698">
        <f>IF(__Retrofit_TI_NC=0,FN575,IF(AND(FT575&gt;0,FN575="Occupancy Sensor"),"Daylight + Occupancy",IF(AND(FT575&gt;0,FO575&lt;4),"Interior Daylight Dimming",FN575)))</f>
        <v>0</v>
      </c>
      <c r="FS575" s="1686">
        <f>IF(CQ573="Interior",VLOOKUP(CS573,Control_Savings_Interior,5,FALSE),0)</f>
        <v>0</v>
      </c>
      <c r="FT575" s="1687">
        <f>IF(CQ575="Exterior",0,IF(FM575=2,0.5,IF(OR(FM575=1,FM575=3),1,0)))</f>
        <v>0</v>
      </c>
      <c r="FU575" s="1685">
        <f>IF(R574&gt;FS$44,(FS575*(FS$44/R574)),FS575)*FT575</f>
        <v>0</v>
      </c>
      <c r="FV575" s="1686">
        <f>DI575</f>
        <v>0</v>
      </c>
      <c r="FW575" s="1686">
        <f>ROUND(FV575+((1-FV575)*FU575),2)</f>
        <v>0</v>
      </c>
      <c r="FX575" s="1686">
        <f>IF(__Retrofit_TI_NC=2,FW575,FV575)</f>
        <v>0</v>
      </c>
      <c r="FY575" s="1697">
        <f>IF(CR575="Interior",VLOOKUP(CS575,Control_Savings_Interior,4,FALSE),0)</f>
        <v>0</v>
      </c>
      <c r="GA575" s="1696"/>
      <c r="GB575" s="1696"/>
      <c r="GC575" s="1696"/>
      <c r="GD575" s="1696"/>
      <c r="GE575" s="1696"/>
      <c r="GF575" s="1696"/>
      <c r="GG575" s="1696"/>
      <c r="GH575" s="1696"/>
      <c r="GI575" s="673" t="b">
        <f>IF(ISNUMBER(SEARCH("TLED",U575)),TRUE,FALSE)</f>
        <v>0</v>
      </c>
      <c r="GJ575" s="1135" t="str">
        <f>IFERROR(VLOOKUP(U575,Fixtures!DM$93:DR$142,6,FALSE),"")</f>
        <v/>
      </c>
      <c r="GK575" s="1832"/>
      <c r="GM575" s="1692"/>
      <c r="GN575" s="1684"/>
      <c r="GP575" s="1684"/>
      <c r="GQ575" s="1684"/>
      <c r="HG575" s="1684"/>
      <c r="HH575" s="1684"/>
      <c r="HI575" s="1684"/>
      <c r="HJ575" s="1684"/>
      <c r="HK575" s="1684"/>
      <c r="HL575" s="1684"/>
      <c r="HM575" s="1684"/>
      <c r="HN575" s="1683"/>
      <c r="HO575" s="1692"/>
      <c r="HP575" s="1692"/>
      <c r="HQ575" s="1670"/>
      <c r="HR575" s="1684"/>
      <c r="HS575" s="1684"/>
      <c r="HT575" s="1670"/>
      <c r="HU575" s="1684"/>
      <c r="HV575" s="1684"/>
      <c r="HW575" s="1684"/>
      <c r="HX575" s="1684"/>
      <c r="HY575" s="1684"/>
      <c r="HZ575" s="1684"/>
      <c r="IB575" s="1692"/>
      <c r="IC575" s="1693" t="b">
        <f>IB573</f>
        <v>0</v>
      </c>
      <c r="ID575" s="1695"/>
      <c r="IE575" s="391"/>
      <c r="IF575" s="1688"/>
      <c r="IG575" s="1689">
        <f ca="1">IF(IF573=TRUE,AC576,0)</f>
        <v>0</v>
      </c>
      <c r="IH575" s="1684"/>
      <c r="IK575" s="1689" t="e">
        <f>ROUND(T575*AB576*N574*R574/1000,0)</f>
        <v>#VALUE!</v>
      </c>
      <c r="IL575" s="1691"/>
      <c r="IM575" s="1693" t="e">
        <f>ROUND(T575*AB576*N574*R574/1000,0)</f>
        <v>#VALUE!</v>
      </c>
      <c r="IN575" s="1691"/>
      <c r="IP575" s="1679"/>
      <c r="IQ575" s="1679" t="e">
        <f t="shared" ref="IQ575:IU575" si="522">IF($CR575="interior",VLOOKUP($CS575,_New_Control_Savings_Interior,IQ$30,FALSE),VLOOKUP($CS575,Control_Savings_Exterior,IQ$30,FALSE))</f>
        <v>#N/A</v>
      </c>
      <c r="IR575" s="1679" t="e">
        <f t="shared" si="522"/>
        <v>#N/A</v>
      </c>
      <c r="IS575" s="1679" t="e">
        <f t="shared" si="522"/>
        <v>#N/A</v>
      </c>
      <c r="IT575" s="1679" t="e">
        <f t="shared" si="522"/>
        <v>#N/A</v>
      </c>
      <c r="IU575" s="1679" t="e">
        <f t="shared" si="522"/>
        <v>#N/A</v>
      </c>
      <c r="IV575" s="1679" t="e">
        <f>IF($CR575="interior",IF(R574&gt;$IP$14,ROUND(($IV$18*($IP$14/R574)),2),$IV$18),VLOOKUP($CS575,Control_Savings_Exterior,IV$30,FALSE))</f>
        <v>#N/A</v>
      </c>
      <c r="IW575" s="1679" t="e">
        <f>IF($CR575="interior",ROUND(((1-IS575)*IV575)+IS575,2),VLOOKUP($CS575,Control_Savings_Exterior,IW$30,FALSE))</f>
        <v>#N/A</v>
      </c>
      <c r="IX575" s="1679" t="e">
        <f>IF($CR575="interior",ROUND(((1-IT575)*IV575)+IT575,2),VLOOKUP($CS575,Control_Savings_Exterior,IX$30,FALSE))</f>
        <v>#N/A</v>
      </c>
      <c r="IY575" s="1679" t="e">
        <f>IF($CR575="interior",IF(R574&gt;$IP$14,ROUND(($IY$18*($IP$14/R574)),2),$IY$18),VLOOKUP($CS575,Control_Savings_Exterior,IY$30,FALSE))</f>
        <v>#N/A</v>
      </c>
      <c r="IZ575" s="1679" t="e">
        <f>IF($CR575="interior",ROUND(((1-IS575)*IY575)+IS575,2),VLOOKUP($CS575,Control_Savings_Exterior,IZ$30,FALSE))</f>
        <v>#N/A</v>
      </c>
      <c r="JA575" s="1679" t="e">
        <f>IF($CR575="interior",ROUND(((1-IT575)*IY575)+IT575,2),VLOOKUP($CS575,Control_Savings_Exterior,JA$30,FALSE))</f>
        <v>#N/A</v>
      </c>
      <c r="JC575" s="1680">
        <f>IFERROR(IF(CR575="Interior",CONCATENATE(G576," ",FQ575),AG575),"")</f>
        <v>0</v>
      </c>
      <c r="JD575" s="1670" t="str">
        <f>IFERROR(VLOOKUP(JC575,_Controls_2023,2,FALSE),"")</f>
        <v/>
      </c>
      <c r="JE575" s="1681">
        <f>IFERROR(CHOOSE(JD575-1,IQ575,IR575,IS575,IT575,IU575,IV575,IW575,IX575,IY575,IZ575,JA575),0)</f>
        <v>0</v>
      </c>
      <c r="JG575" s="1680" t="str">
        <f>FE575</f>
        <v xml:space="preserve"> - </v>
      </c>
      <c r="JH575" s="1670" t="e">
        <f>$FO575</f>
        <v>#N/A</v>
      </c>
      <c r="JI575" s="1060"/>
      <c r="JJ575" s="1670">
        <f>IFERROR(IF($IB573=TRUE,IF(OR(JJ$14="No",JJ573=FALSE,JH575&lt;=JH573,AND(_kWh_Grant=0,GD573=FALSE)),0,IF(JJ$8="Per Line",1,$AF575)),0),0)</f>
        <v>0</v>
      </c>
      <c r="JK575" s="1061"/>
      <c r="JL575" s="1670">
        <f>IFERROR(IF(_kWh_Grant=0,0,IF($IB573=TRUE,IF(OR(JL$14="No",JL573=FALSE,JH575&lt;=JH573),0,IF(JL$8="Per Line",1,$T575)),0)),0)</f>
        <v>0</v>
      </c>
      <c r="JM575" s="1061"/>
      <c r="JN575" s="1670">
        <f>IFERROR(IF(_kWh_Grant=0,0,IF($IB573=TRUE,IF(OR(JN$14="No",JN573=FALSE,JH575&lt;=JH573),0,IF(JN$8="Per Line",1,$AF575)),0)),0)</f>
        <v>0</v>
      </c>
      <c r="JO575" s="1061"/>
      <c r="JP575" s="1670">
        <f>IFERROR(IF(__Retrofit_TI_NC=0,IF(_kWh_Grant=0,0,IF($IB573=TRUE,IF(OR(JP$14="No",JP573=FALSE,$JH575&lt;=$JH573),0,IF(JP$8="Per Line",1,$AF575)),0)),IF($IB573=TRUE,IF(OR(JP$14="No",JP573=FALSE,$JH575&lt;=$JH573),0,IF(JP$8="Per Line",1,$AF575)))),0)</f>
        <v>0</v>
      </c>
      <c r="JQ575" s="1061"/>
      <c r="JR575" s="1670">
        <f>IFERROR(IF(__Retrofit_TI_NC=0,IF(_kWh_Grant=0,0,IF($IB573=TRUE,IF(OR(JR$14="No",JR573=FALSE,$JH575&lt;=$JH573),0,IF(JR$8="Per Line",1,$AF575)),0)),IF($IB573=TRUE,IF(OR(JR$14="No",JR573=FALSE,$JH575&lt;=$JH573),0,IF(JR$8="Per Line",1,$AF575)))),0)</f>
        <v>0</v>
      </c>
      <c r="JS575" s="1061"/>
      <c r="JT575" s="1670">
        <f>IFERROR(IF(__Retrofit_TI_NC=0,IF(_kWh_Grant=0,0,IF($IB573=TRUE,IF(OR(JT$14="No",JT573=FALSE,$JH575&lt;=$JH573),0,IF(JT$8="Per Line",1,$AF575)),0)),IF($IB573=TRUE,IF(OR(JT$14="No",JT573=FALSE,$JH575&lt;=$JH573),0,IF(JT$8="Per Line",1,$AF575)))),0)</f>
        <v>0</v>
      </c>
      <c r="JU575" s="1061"/>
      <c r="JV575" s="1670">
        <f>IFERROR(IF(__Retrofit_TI_NC=0,IF(_kWh_Grant=0,0,IF($IB573=TRUE,IF(OR(JV$14="No",JV573=FALSE,$JH575&lt;=$JH573),0,IF(JV$8="Per Line",1,$AF575)),0)),IF($IB573=TRUE,IF(OR(JV$14="No",JV573=FALSE,$JH575&lt;=$JH573),0,IF(JV$8="Per Line",1,$AF575)))),0)</f>
        <v>0</v>
      </c>
      <c r="JX575" s="1670">
        <f>IFERROR(IF(__Retrofit_TI_NC=0,IF(_kWh_Grant=0,0,IF($IB573=TRUE,IF(OR(JX$14="No",JX573=FALSE,$JH575&lt;=$JH573),0,IF(JX$8="Per Line",1,$AF575)),0)),IF($IB573=TRUE,IF(OR(JX$14="No",JX573=FALSE,$JH575&lt;=$JH573),0,IF(JX$8="Per Line",1,$AF575)))),0)</f>
        <v>0</v>
      </c>
      <c r="JZ575" s="1670">
        <f>IFERROR(IF($IB573=TRUE,IF(OR(JZ$14="No",JZ573=FALSE,$JH575&lt;=$JH573,AND(_kWh_Grant=0,$GD573=FALSE)),0,IF(JZ$8="Per Line",1,$AF575)),0),0)</f>
        <v>0</v>
      </c>
      <c r="KB575" s="1670">
        <f>IFERROR(IF(__Retrofit_TI_NC=0,IF(_kWh_Grant=0,0,IF($IB573=TRUE,IF(OR(KB$14="No",KB573=FALSE,$JH575&lt;=$JH573),0,IF(KB$8="Per Line",1,$AF575)),0)),IF($IB573=TRUE,IF(OR(KB$14="No",KB573=FALSE,$JH575&lt;=$JH573),0,IF(KB$8="Per Line",1,$AF575)))),0)</f>
        <v>0</v>
      </c>
    </row>
    <row r="576" spans="1:288" s="78" customFormat="1" ht="14.95" customHeight="1" thickTop="1" thickBot="1">
      <c r="B576" s="1845"/>
      <c r="C576" s="1846"/>
      <c r="D576" s="1847"/>
      <c r="E576" s="1771" t="s">
        <v>436</v>
      </c>
      <c r="F576" s="1772"/>
      <c r="G576" s="1784" t="s">
        <v>437</v>
      </c>
      <c r="H576" s="1785"/>
      <c r="I576" s="1785"/>
      <c r="J576" s="1785"/>
      <c r="K576" s="1785"/>
      <c r="L576" s="1786"/>
      <c r="M576" s="591">
        <f>IFERROR(VLOOKUP(G576,_Daylight_Table[],2,FALSE),0)</f>
        <v>0</v>
      </c>
      <c r="N576" s="592" t="str">
        <f>IF(AND(__Retrofit_TI_NC&gt;0,CQ573="Interior"),"BAM","")</f>
        <v/>
      </c>
      <c r="O576" s="591" t="e">
        <f>VLOOKUP(G575,'Space Table'!$B$3:$L$163,11,FALSE)</f>
        <v>#N/A</v>
      </c>
      <c r="P576" s="1789"/>
      <c r="Q576" s="1790"/>
      <c r="R576" s="1790"/>
      <c r="S576" s="1788"/>
      <c r="T576" s="593" t="s">
        <v>342</v>
      </c>
      <c r="U576" s="1756" t="str" cm="1">
        <f t="array" aca="1" ref="U576" ca="1">IFERROR(VLOOKUP(INDIRECT("U" &amp; ROW()-1),Fixtures!DM$93:DP$142,4,FALSE),"")</f>
        <v/>
      </c>
      <c r="V576" s="1757"/>
      <c r="W576" s="1757"/>
      <c r="X576" s="1757"/>
      <c r="Y576" s="1757"/>
      <c r="Z576" s="1757"/>
      <c r="AA576" s="1758"/>
      <c r="AB576" s="939" t="str">
        <f>IFERROR(VLOOKUP(U575,Fixtures_Proposed_List,2,FALSE),"")</f>
        <v/>
      </c>
      <c r="AC576" s="933" t="str">
        <f>IFERROR(ROUND(T575*AB576*N574*R574/1000,0),"")</f>
        <v/>
      </c>
      <c r="AD576" s="934" t="str">
        <f>IFERROR(ROUND(T575*AB576/1000,2),"")</f>
        <v/>
      </c>
      <c r="AE576" s="998"/>
      <c r="AF576" s="938" t="s">
        <v>342</v>
      </c>
      <c r="AG576" s="1770"/>
      <c r="AH576" s="1770"/>
      <c r="AI576" s="1770"/>
      <c r="AJ576" s="1770"/>
      <c r="AK576" s="1770"/>
      <c r="AL576" s="1770"/>
      <c r="AM576" s="1727"/>
      <c r="AN576" s="1729"/>
      <c r="AO576" s="1731"/>
      <c r="AP576" s="1782"/>
      <c r="AQ576" s="1783"/>
      <c r="AR576" s="1797"/>
      <c r="AS576" s="1797"/>
      <c r="AT576" s="1798"/>
      <c r="AU576" s="1736"/>
      <c r="AV576" s="1753"/>
      <c r="AW576" s="1706"/>
      <c r="AX576" s="468"/>
      <c r="AY576" s="1750"/>
      <c r="AZ576" s="1750"/>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696"/>
      <c r="CQ576" s="1696"/>
      <c r="CR576" s="1809"/>
      <c r="CS576" s="1811"/>
      <c r="CU576" s="1688"/>
      <c r="CV576" s="1703"/>
      <c r="CW576" s="1703"/>
      <c r="CX576" s="1813"/>
      <c r="CY576" s="1815"/>
      <c r="CZ576" s="1711"/>
      <c r="DA576" s="1815"/>
      <c r="DB576" s="1821"/>
      <c r="DC576" s="1821"/>
      <c r="DD576" s="1821"/>
      <c r="DF576" s="1703"/>
      <c r="DG576" s="1831"/>
      <c r="DH576" s="1813"/>
      <c r="DI576" s="1838"/>
      <c r="DJ576" s="1711"/>
      <c r="DK576" s="1712"/>
      <c r="DN576" s="1718"/>
      <c r="DO576" s="1709"/>
      <c r="DQ576" s="1715"/>
      <c r="DR576" s="1720"/>
      <c r="DS576" s="1703"/>
      <c r="DT576" s="1714"/>
      <c r="DU576" s="1715"/>
      <c r="DV576" s="1716"/>
      <c r="DX576" s="1715"/>
      <c r="DY576" s="1720"/>
      <c r="DZ576" s="1715"/>
      <c r="EA576" s="1715"/>
      <c r="EC576" s="1834"/>
      <c r="ED576" s="1834"/>
      <c r="EF576" s="1707"/>
      <c r="EG576" s="1712"/>
      <c r="EH576" s="1815"/>
      <c r="EI576" s="1712"/>
      <c r="EJ576" s="1712"/>
      <c r="EK576" s="1813"/>
      <c r="EL576" s="1813"/>
      <c r="EM576" s="1807"/>
      <c r="EN576" s="1839"/>
      <c r="EO576" s="1839"/>
      <c r="EP576" s="1817"/>
      <c r="EQ576" s="1817"/>
      <c r="ER576" s="1807"/>
      <c r="ES576" s="1807"/>
      <c r="ET576" s="1807"/>
      <c r="EV576" s="1715"/>
      <c r="EX576" s="1806"/>
      <c r="EY576" s="1806"/>
      <c r="EZ576" s="1806"/>
      <c r="FA576" s="1806"/>
      <c r="FB576" s="1806"/>
      <c r="FC576" s="1828"/>
      <c r="FE576" s="1698"/>
      <c r="FG576" s="1703"/>
      <c r="FH576" s="1703"/>
      <c r="FI576" s="133"/>
      <c r="FL576" s="1823"/>
      <c r="FM576" s="1825"/>
      <c r="FN576" s="1698"/>
      <c r="FO576" s="1698"/>
      <c r="FP576" s="1678"/>
      <c r="FQ576" s="1698"/>
      <c r="FS576" s="1687"/>
      <c r="FT576" s="1687"/>
      <c r="FU576" s="1685"/>
      <c r="FV576" s="1687"/>
      <c r="FW576" s="1687"/>
      <c r="FX576" s="1687"/>
      <c r="FY576" s="1697"/>
      <c r="GA576" s="1696"/>
      <c r="GB576" s="1696"/>
      <c r="GC576" s="1696"/>
      <c r="GD576" s="1696"/>
      <c r="GE576" s="1696"/>
      <c r="GF576" s="1696"/>
      <c r="GG576" s="1696"/>
      <c r="GH576" s="1696"/>
      <c r="GI576" s="673"/>
      <c r="GJ576" s="1135"/>
      <c r="GK576" s="1832"/>
      <c r="GN576" s="674">
        <f>IF(GN574=TRUE,0,GN$16)</f>
        <v>0</v>
      </c>
      <c r="GP576" s="674">
        <f>IF(GP574=TRUE,0,GP$16)</f>
        <v>36</v>
      </c>
      <c r="GQ576" s="674">
        <f ca="1">IF(GQ574=TRUE,0,GQ$16)</f>
        <v>35</v>
      </c>
      <c r="GR576" s="391"/>
      <c r="GS576" s="391"/>
      <c r="GT576" s="391"/>
      <c r="GU576" s="391"/>
      <c r="GV576" s="391"/>
      <c r="HG576" s="674">
        <f>IF(HG574=TRUE,0,HG$16)</f>
        <v>0</v>
      </c>
      <c r="HH576" s="674">
        <f t="shared" ref="HH576:HM576" si="523">IF(HH574=TRUE,0,HH$16)</f>
        <v>19</v>
      </c>
      <c r="HI576" s="674">
        <f t="shared" si="523"/>
        <v>18</v>
      </c>
      <c r="HJ576" s="674">
        <f t="shared" si="523"/>
        <v>17</v>
      </c>
      <c r="HK576" s="674">
        <f t="shared" si="523"/>
        <v>16</v>
      </c>
      <c r="HL576" s="674">
        <f t="shared" si="523"/>
        <v>0</v>
      </c>
      <c r="HM576" s="674">
        <f t="shared" si="523"/>
        <v>0</v>
      </c>
      <c r="HN576" s="674">
        <f>IF(HN574=TRUE,0,HN$16)</f>
        <v>13</v>
      </c>
      <c r="HO576" s="674">
        <f t="shared" ref="HO576:HQ576" si="524">IF(HO574=TRUE,0,HO$16)</f>
        <v>0</v>
      </c>
      <c r="HP576" s="674">
        <f t="shared" si="524"/>
        <v>0</v>
      </c>
      <c r="HQ576" s="674">
        <f t="shared" si="524"/>
        <v>10</v>
      </c>
      <c r="HR576" s="674">
        <f>IF(HR574=TRUE,0,HR$16)</f>
        <v>9</v>
      </c>
      <c r="HS576" s="674">
        <f t="shared" ref="HS576:HW576" si="525">IF(HS574=TRUE,0,HS$16)</f>
        <v>0</v>
      </c>
      <c r="HT576" s="674">
        <f t="shared" si="525"/>
        <v>0</v>
      </c>
      <c r="HU576" s="674">
        <f t="shared" si="525"/>
        <v>0</v>
      </c>
      <c r="HV576" s="674">
        <f t="shared" si="525"/>
        <v>0</v>
      </c>
      <c r="HW576" s="674">
        <f t="shared" si="525"/>
        <v>0</v>
      </c>
      <c r="HX576" s="674">
        <f>IF(HX574=TRUE,0,HX$16)</f>
        <v>0</v>
      </c>
      <c r="HY576" s="674">
        <f>IF(HY574=TRUE,0,HY$16)</f>
        <v>0</v>
      </c>
      <c r="HZ576" s="674">
        <f>IF(HZ574=TRUE,0,HZ$16)</f>
        <v>1</v>
      </c>
      <c r="IB576" s="674">
        <f>IF(GP574=FALSE,GP576,IF(GQ574=FALSE,GQ576,MAX(GN576:HZ576)))</f>
        <v>36</v>
      </c>
      <c r="IC576" s="1692"/>
      <c r="ID576" s="205" t="str">
        <f>VLOOKUP(IB576,_Error_Table,3,FALSE)</f>
        <v xml:space="preserve"> </v>
      </c>
      <c r="IE576" s="205"/>
      <c r="IF576" s="1688"/>
      <c r="IG576" s="1689"/>
      <c r="IH576" s="1684"/>
      <c r="IK576" s="1689"/>
      <c r="IL576" s="1692"/>
      <c r="IM576" s="1692"/>
      <c r="IN576" s="1692"/>
      <c r="IP576" s="1679"/>
      <c r="IQ576" s="1679"/>
      <c r="IR576" s="1679"/>
      <c r="IS576" s="1679"/>
      <c r="IT576" s="1679"/>
      <c r="IU576" s="1679"/>
      <c r="IV576" s="1679"/>
      <c r="IW576" s="1679"/>
      <c r="IX576" s="1679"/>
      <c r="IY576" s="1679"/>
      <c r="IZ576" s="1679"/>
      <c r="JA576" s="1679"/>
      <c r="JC576" s="1680"/>
      <c r="JD576" s="1670"/>
      <c r="JE576" s="1681"/>
      <c r="JG576" s="1680"/>
      <c r="JH576" s="1670"/>
      <c r="JI576" s="1060"/>
      <c r="JJ576" s="1670"/>
      <c r="JK576" s="1061"/>
      <c r="JL576" s="1670"/>
      <c r="JM576" s="1061"/>
      <c r="JN576" s="1670"/>
      <c r="JO576" s="1061"/>
      <c r="JP576" s="1670"/>
      <c r="JQ576" s="1061"/>
      <c r="JR576" s="1670"/>
      <c r="JS576" s="1061"/>
      <c r="JT576" s="1670"/>
      <c r="JU576" s="1061"/>
      <c r="JV576" s="1670"/>
      <c r="JX576" s="1670"/>
      <c r="JZ576" s="1670"/>
      <c r="KB576" s="1670"/>
    </row>
    <row r="577" spans="1:288" s="78" customFormat="1" ht="5.0999999999999996" customHeight="1">
      <c r="B577" s="676"/>
      <c r="C577" s="392"/>
      <c r="D577" s="392"/>
      <c r="E577" s="1733"/>
      <c r="F577" s="1733"/>
      <c r="G577" s="1733"/>
      <c r="H577" s="1733"/>
      <c r="I577" s="1733"/>
      <c r="J577" s="1733"/>
      <c r="K577" s="1733"/>
      <c r="L577" s="1733"/>
      <c r="M577" s="1733"/>
      <c r="N577" s="1733"/>
      <c r="O577" s="1733"/>
      <c r="P577" s="1733"/>
      <c r="Q577" s="1733"/>
      <c r="R577" s="1733"/>
      <c r="S577" s="1733"/>
      <c r="T577" s="1733"/>
      <c r="U577" s="1733"/>
      <c r="V577" s="1733"/>
      <c r="W577" s="1733"/>
      <c r="X577" s="1733"/>
      <c r="Y577" s="1733"/>
      <c r="Z577" s="1733"/>
      <c r="AA577" s="1733"/>
      <c r="AB577" s="1733"/>
      <c r="AC577" s="1733"/>
      <c r="AD577" s="1733"/>
      <c r="AE577" s="1733"/>
      <c r="AF577" s="1733"/>
      <c r="AG577" s="1733"/>
      <c r="AH577" s="1733"/>
      <c r="AI577" s="1733"/>
      <c r="AJ577" s="1733"/>
      <c r="AK577" s="1733"/>
      <c r="AL577" s="1733"/>
      <c r="AM577" s="1733"/>
      <c r="AN577" s="1733"/>
      <c r="AO577" s="1733"/>
      <c r="AP577" s="1733"/>
      <c r="AQ577" s="1733"/>
      <c r="AR577" s="1733"/>
      <c r="AS577" s="1733"/>
      <c r="AT577" s="1733"/>
      <c r="AU577" s="1733"/>
      <c r="AV577" s="1733"/>
      <c r="AW577" s="1733"/>
      <c r="AX577" s="469"/>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663"/>
      <c r="CQ577" s="663"/>
      <c r="CR577" s="438"/>
      <c r="CS577" s="663"/>
      <c r="CV577" s="391"/>
      <c r="CW577" s="391"/>
      <c r="CX577" s="207"/>
      <c r="CY577" s="208"/>
      <c r="CZ577" s="208"/>
      <c r="DA577" s="208"/>
      <c r="DB577" s="209"/>
      <c r="DC577" s="209"/>
      <c r="DD577" s="209"/>
      <c r="DF577" s="664"/>
      <c r="DG577" s="665"/>
      <c r="DH577" s="666"/>
      <c r="DI577" s="667"/>
      <c r="DJ577" s="668"/>
      <c r="DK577" s="668"/>
      <c r="DN577" s="208"/>
      <c r="DO577" s="664"/>
      <c r="DQ577" s="664"/>
      <c r="DR577" s="669"/>
      <c r="DS577" s="391"/>
      <c r="DT577" s="664"/>
      <c r="DU577" s="664"/>
      <c r="DV577" s="664"/>
      <c r="DX577" s="664"/>
      <c r="DY577" s="664"/>
      <c r="DZ577" s="664"/>
      <c r="EA577" s="664"/>
      <c r="EC577" s="670"/>
      <c r="ED577" s="670"/>
      <c r="EF577" s="668"/>
      <c r="EG577" s="668"/>
      <c r="EH577" s="208"/>
      <c r="EI577" s="668"/>
      <c r="EJ577" s="668"/>
      <c r="EK577" s="207"/>
      <c r="EL577" s="207"/>
      <c r="EM577" s="666"/>
      <c r="EN577" s="671"/>
      <c r="EO577" s="671"/>
      <c r="EP577" s="672"/>
      <c r="EQ577" s="672"/>
      <c r="ER577" s="666"/>
      <c r="ES577" s="666"/>
      <c r="ET577" s="666"/>
      <c r="EV577" s="664"/>
      <c r="EX577" s="391"/>
      <c r="EY577" s="391"/>
      <c r="EZ577" s="391"/>
      <c r="FA577" s="391"/>
      <c r="FB577" s="391"/>
      <c r="FC577" s="391"/>
      <c r="FE577" s="569"/>
      <c r="FG577" s="391"/>
      <c r="FH577" s="391"/>
      <c r="FI577" s="391"/>
      <c r="FS577" s="664"/>
      <c r="FT577" s="391"/>
      <c r="FU577" s="391"/>
      <c r="FV577" s="664"/>
      <c r="FW577" s="664"/>
      <c r="GA577" s="663"/>
      <c r="GB577" s="663"/>
      <c r="GC577" s="663"/>
      <c r="GD577" s="663"/>
      <c r="GE577" s="663"/>
      <c r="GF577" s="663"/>
      <c r="GG577" s="663"/>
      <c r="GH577" s="663"/>
      <c r="GI577" s="665"/>
      <c r="GJ577" s="664"/>
      <c r="GK577" s="664"/>
    </row>
    <row r="578" spans="1:288" s="78" customFormat="1" ht="14.95" customHeight="1">
      <c r="B578" s="1845" t="str">
        <f>ID581</f>
        <v xml:space="preserve"> </v>
      </c>
      <c r="C578" s="1846">
        <f>C573+1</f>
        <v>103</v>
      </c>
      <c r="D578" s="1847"/>
      <c r="E578" s="1799" t="s">
        <v>295</v>
      </c>
      <c r="F578" s="1800"/>
      <c r="G578" s="1741"/>
      <c r="H578" s="1742"/>
      <c r="I578" s="1742"/>
      <c r="J578" s="1742"/>
      <c r="K578" s="1742"/>
      <c r="L578" s="1742"/>
      <c r="M578" s="1742"/>
      <c r="N578" s="1742"/>
      <c r="O578" s="1742"/>
      <c r="P578" s="1742"/>
      <c r="Q578" s="1742"/>
      <c r="R578" s="1742"/>
      <c r="S578" s="1791" t="s">
        <v>344</v>
      </c>
      <c r="T578" s="590"/>
      <c r="U578" s="1743"/>
      <c r="V578" s="1744"/>
      <c r="W578" s="1744"/>
      <c r="X578" s="1744"/>
      <c r="Y578" s="1744"/>
      <c r="Z578" s="1744"/>
      <c r="AA578" s="1744"/>
      <c r="AB578" s="961" t="str">
        <f>IFERROR(IF(__Retrofit_TI_NC=0,VLOOKUP(U579,Fixtures_Existing_List,2,FALSE),ROUND(N580*R580/T580,10)),"")</f>
        <v/>
      </c>
      <c r="AC578" s="935" t="str">
        <f>IFERROR(IF(__Retrofit_TI_NC=0,ROUND(T579*AB578*N579*R579/1000,0),IF(CQ578="Interior",N580*R580*R579*N579*_C406_reduction/1000,N580*R580*R579*N579/1000)),"")</f>
        <v/>
      </c>
      <c r="AD578" s="936" t="str">
        <f>IFERROR(IF(C$43=0,ROUND(T579*AB578/1000,2),N580*R580/1000),"")</f>
        <v/>
      </c>
      <c r="AE578" s="997"/>
      <c r="AF578" s="937"/>
      <c r="AG578" s="1745" t="str">
        <f>IF(__Retrofit_TI_NC=0," Control","Select Advanced Control for New System")</f>
        <v xml:space="preserve"> Control</v>
      </c>
      <c r="AH578" s="1745"/>
      <c r="AI578" s="1745"/>
      <c r="AJ578" s="1745"/>
      <c r="AK578" s="1745"/>
      <c r="AL578" s="1745"/>
      <c r="AM578" s="1746">
        <f>IFERROR(DI578,"")</f>
        <v>0</v>
      </c>
      <c r="AN578" s="1774" t="str">
        <f>IFERROR(ROUND(AM578*AC578,0),"")</f>
        <v/>
      </c>
      <c r="AO578" s="1776">
        <f>IFERROR(IF(IB578=FALSE,0,AC578-AN578),0)</f>
        <v>0</v>
      </c>
      <c r="AP578" s="1778">
        <f>AO578-AO580</f>
        <v>0</v>
      </c>
      <c r="AQ578" s="1779"/>
      <c r="AR578" s="1793">
        <f>IFERROR(IF(IB578=FALSE,0,(T580*U581)+(AF580*AG581)),0)</f>
        <v>0</v>
      </c>
      <c r="AS578" s="1793"/>
      <c r="AT578" s="1794"/>
      <c r="AU578" s="1734" t="s">
        <v>237</v>
      </c>
      <c r="AV578" s="1751">
        <f>IF(AU578="Yes",1,0)</f>
        <v>1</v>
      </c>
      <c r="AW578" s="1704" t="str">
        <f>IF(OR(DQ578=4,DQ578=5,DQ578=6,DQ578=12),CONCATENATE("$",IF(GH578=TRUE,Lookup!$K$10,Lookup!$K$2)," /lamp"),CONCATENATE(TEXT(ED578,"$0.00"),"/ kWh"))</f>
        <v>$0.00/ kWh</v>
      </c>
      <c r="AX578" s="467"/>
      <c r="AY578" s="1748">
        <f ca="1">IFERROR(IF(GM579=TRUE,(AB581*T580)/R580,0),"NA")</f>
        <v>0</v>
      </c>
      <c r="AZ578" s="1748"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696" t="str">
        <f>N579</f>
        <v/>
      </c>
      <c r="CQ578" s="1696" t="str">
        <f>IFERROR(VLOOKUP(G579,_Lookup_Heat_Type_Table_New,3,FALSE),"")</f>
        <v/>
      </c>
      <c r="CR578" s="1808" t="str">
        <f>CQ578</f>
        <v/>
      </c>
      <c r="CS578" s="1810" t="str">
        <f>IFERROR(VLOOKUP(G580,'Space Table'!$B$3:$L$163,9,FALSE),"")</f>
        <v/>
      </c>
      <c r="CU578" s="1688" t="s">
        <v>344</v>
      </c>
      <c r="CV578" s="1702">
        <f>IF(IB578=TRUE,T579,0)</f>
        <v>0</v>
      </c>
      <c r="CW578" s="1702" t="str">
        <f>IF(IB578=TRUE,U579,"")</f>
        <v/>
      </c>
      <c r="CX578" s="1702"/>
      <c r="CY578" s="1814">
        <f>IF(IB578=TRUE,AB578,0)</f>
        <v>0</v>
      </c>
      <c r="CZ578" s="1710">
        <f>IF(AND(__Retrofit_TI_NC&gt;0,CR578="interior"),0,IF(IB578=TRUE,AC578,0))</f>
        <v>0</v>
      </c>
      <c r="DA578" s="1814">
        <f>IFERROR(IF(IB578=TRUE,CZ578-CZ580,0),0)</f>
        <v>0</v>
      </c>
      <c r="DB578" s="1819">
        <f>IF(IB578=TRUE,AD578,0)</f>
        <v>0</v>
      </c>
      <c r="DC578" s="1819">
        <f>IF(IB578=TRUE,AD581,0)</f>
        <v>0</v>
      </c>
      <c r="DD578" s="1819">
        <f>IFERROR(DB578-DC578,0)</f>
        <v>0</v>
      </c>
      <c r="DF578" s="1702">
        <f>IF(IB578=TRUE,AF579,0)</f>
        <v>0</v>
      </c>
      <c r="DG578" s="1830">
        <f>IFERROR(IF(__Retrofit_TI_NC=2,IF(CQ578="Exterior",O581,FQ578),FN578),"")</f>
        <v>0</v>
      </c>
      <c r="DH578" s="1702"/>
      <c r="DI578" s="1837">
        <f>JE578</f>
        <v>0</v>
      </c>
      <c r="DJ578" s="1710">
        <f>IF(AND(__Retrofit_TI_NC&gt;0,CR578="interior"),0,IF(IB578=TRUE,AN578,0))</f>
        <v>0</v>
      </c>
      <c r="DK578" s="1712">
        <f>IFERROR(IF(IB578=TRUE,DJ580-DJ578,0),0)</f>
        <v>0</v>
      </c>
      <c r="DM578" s="1717">
        <f>IFERROR(CZ578-DJ578,0)</f>
        <v>0</v>
      </c>
      <c r="DO578" s="1708">
        <f>DM578-DN580</f>
        <v>0</v>
      </c>
      <c r="DQ578" s="1715" t="str">
        <f>IFERROR(IF(AND(OR(GC578=4,GC578=5,GC578=6),OR(GF578=4,GF578=5,GF578=6)),GC578+8,VLOOKUP(CW580,Fixtures!R$31:Y$78,8,FALSE)),"")</f>
        <v/>
      </c>
      <c r="DR578" s="1829" t="str">
        <f>DQ578</f>
        <v/>
      </c>
      <c r="DS578" s="1702" t="str">
        <f>IFERROR(VLOOKUP(DG580,Lookup!BB$3:BC$20,2,FALSE),"")</f>
        <v/>
      </c>
      <c r="DT578" s="1713" t="str">
        <f>IF(OR(DS578=7,DS578=8,DS578=9),"ALC","")</f>
        <v/>
      </c>
      <c r="DU578" s="1715">
        <f>IFERROR(IF(OR(DQ578=4,DQ578=5,DQ578=6,DQ578=12,DQ578=13,DQ578=14),VLOOKUP(CW580,Fixtures!DN$27:EG$77,19,FALSE),1)*CV580,0)</f>
        <v>0</v>
      </c>
      <c r="DV578" s="1716">
        <f>IF(OR(DS578=7,DS578=8,DS578=9),IF(DG578=DG580,0,DF580),0)</f>
        <v>0</v>
      </c>
      <c r="DX578" s="1715" t="str">
        <f>IFERROR(IF(EZ578&lt;EZ580,"Yes","No"),"")</f>
        <v/>
      </c>
      <c r="DY578" s="1829" t="str">
        <f>DX578</f>
        <v/>
      </c>
      <c r="DZ578" s="1715">
        <f>IF(DX578="Yes",DF580,0)</f>
        <v>0</v>
      </c>
      <c r="EA578" s="1715">
        <f>DZ578-DV578</f>
        <v>0</v>
      </c>
      <c r="EC578" s="1834">
        <f>IFERROR(VLOOKUP(DQ578,Lookup!AU$3:AV$16,2,FALSE),0)</f>
        <v>0</v>
      </c>
      <c r="ED578" s="1834">
        <f>IF(IB578=FALSE,0,IF(DX578="Yes",EC578+Lookup!K$6,EC578))</f>
        <v>0</v>
      </c>
      <c r="EF578" s="1707">
        <f>IF(IB578=TRUE,DM578,0)</f>
        <v>0</v>
      </c>
      <c r="EG578" s="1712">
        <f>IF(IB578=TRUE,CZ580,0)</f>
        <v>0</v>
      </c>
      <c r="EH578" s="1814">
        <f>IFERROR(EF578-EG578,0)</f>
        <v>0</v>
      </c>
      <c r="EI578" s="1712">
        <f>IF(IB578=TRUE,DJ580,0)</f>
        <v>0</v>
      </c>
      <c r="EJ578" s="1712">
        <f>IFERROR(EF578-EG578+EI578,0)</f>
        <v>0</v>
      </c>
      <c r="EK578" s="1812">
        <f>IF(IB578=TRUE,CV580*CX580,0)</f>
        <v>0</v>
      </c>
      <c r="EL578" s="1812">
        <f>IF(IB578=TRUE,DF580*DH580,0)</f>
        <v>0</v>
      </c>
      <c r="EM578" s="1807">
        <f>AR578</f>
        <v>0</v>
      </c>
      <c r="EN578" s="1839" t="str">
        <f>IFERROR(IF(IB578=TRUE,VLOOKUP(DQ578,Lookup!AU$3:AW$16,3,FALSE)*DU578,""),0)</f>
        <v/>
      </c>
      <c r="EO578" s="1839">
        <f>IF(IB578=TRUE,DZ578*Lookup!AW$12,0)</f>
        <v>0</v>
      </c>
      <c r="EP578" s="1817">
        <f>IFERROR(IF(IB578=TRUE,EN578/EP$40,0),0)</f>
        <v>0</v>
      </c>
      <c r="EQ578" s="1817">
        <f>IF(IB578=TRUE,EO578/EQ$40,0)</f>
        <v>0</v>
      </c>
      <c r="ER578" s="1807">
        <f>IF(IB578=TRUE,ET$40*EP578,0)</f>
        <v>0</v>
      </c>
      <c r="ES578" s="1807">
        <f>IF(IB578=TRUE,ET$40*EQ578,0)</f>
        <v>0</v>
      </c>
      <c r="ET578" s="1807">
        <f>ER578+ES578</f>
        <v>0</v>
      </c>
      <c r="EV578" s="1715">
        <f>IF(G578="",0,1)</f>
        <v>0</v>
      </c>
      <c r="EX578" s="1804" t="str">
        <f>IFERROR(VLOOKUP(CS580,'Space Table'!$B$3:$L$163,8,FALSE),"")</f>
        <v/>
      </c>
      <c r="EY578" s="1804" t="str">
        <f>IFERROR(IF(FB578="Yes",VLOOKUP(DG578,Lookup_Control_Type_Table2,4,FALSE),VLOOKUP(DG578,Lookup_Control_Type_Table2,3,FALSE)),"")</f>
        <v/>
      </c>
      <c r="EZ578" s="1804" t="e">
        <f>VLOOKUP(DG578,Lookup!BB$3:BC$20,2,FALSE)</f>
        <v>#N/A</v>
      </c>
      <c r="FA578" s="1804" t="e">
        <f>VLOOKUP(EX578,Lookup_Control_Type_Table,2,FALSE)</f>
        <v>#N/A</v>
      </c>
      <c r="FB578" s="1804" t="e">
        <f>VLOOKUP(CS580,'Space Table'!$B$3:$L$163,7,FALSE)</f>
        <v>#N/A</v>
      </c>
      <c r="FC578" s="1826" t="b">
        <f>ISNUMBER(SEARCH("TLED",U580))</f>
        <v>0</v>
      </c>
      <c r="FE578" s="1698" t="str">
        <f>CONCATENATE(CQ578," - ",DG578)</f>
        <v xml:space="preserve"> - 0</v>
      </c>
      <c r="FG578" s="1702" t="str">
        <f>VLOOKUP(CW580,Fixtures!DN$27:EZ$77,38,FALSE)</f>
        <v/>
      </c>
      <c r="FH578" s="1702">
        <f>IFERROR(FG578*EH578,0)</f>
        <v>0</v>
      </c>
      <c r="FI578" s="133"/>
      <c r="FL578" s="1822" t="str">
        <f>IF(CQ578="Exterior","Not Daylighted",G581)</f>
        <v>Not Daylighted</v>
      </c>
      <c r="FM578" s="1824">
        <f>VLOOKUP(FL578,_New_Daylight_Table_Codes,2,FALSE)</f>
        <v>0</v>
      </c>
      <c r="FN578" s="1698">
        <f>IF(__Retrofit_TI_NC&gt;0,VLOOKUP(G580,'Space Table'!$B$3:$L$163,11,FALSE),AG579)</f>
        <v>0</v>
      </c>
      <c r="FO578" s="1698" t="e">
        <f>IF(__Retrofit_TI_NC=2,VLOOKUP(FQ578,_Control_Table,2,FALSE),VLOOKUP(FN578,_Control_Table,2,FALSE))</f>
        <v>#N/A</v>
      </c>
      <c r="FP578" s="1678" t="e">
        <f>VLOOKUP(CONCATENATE(FL578," ",FN578),Lookup!AY$102:AZ588,2,FALSE)</f>
        <v>#N/A</v>
      </c>
      <c r="FQ578" s="1678">
        <f>IF(__Retrofit_TI_NC=0,FN578,IF(AND(FT578&gt;0,FN578="Occupancy Sensor"),"Daylight + Occupancy",IF(AND(FT578&gt;0,VLOOKUP(FN578,_Control_Table,2,FALSE)&lt;4),"Interior Daylight Dimming",FN578)))</f>
        <v>0</v>
      </c>
      <c r="FS578" s="1686">
        <f>IF(CR578="Interior",VLOOKUP(CS578,Control_Savings_Interior,5,FALSE),0)</f>
        <v>0</v>
      </c>
      <c r="FT578" s="1687">
        <f>IF(CQ578="Exterior",0,IF(FM578=2,0.5,IF(OR(FM578=1,FM578=3),1,0)))</f>
        <v>0</v>
      </c>
      <c r="FU578" s="1685">
        <f>IF(R577&gt;FS$44,(FS578*(FS$44/R577)),FS578)*FT578</f>
        <v>0</v>
      </c>
      <c r="FV578" s="1686">
        <f>DI578</f>
        <v>0</v>
      </c>
      <c r="FW578" s="1686">
        <f>ROUND(FV578+((1-FV578)*FU578),2)</f>
        <v>0</v>
      </c>
      <c r="FX578" s="1686">
        <f>IF(__Retrofit_TI_NC=2,FW578,FV578)</f>
        <v>0</v>
      </c>
      <c r="FY578" s="1697"/>
      <c r="GA578" s="1696" t="str">
        <f>IFERROR(VLOOKUP(U579,_Exist_Fixture_Table,3,FALSE),"")</f>
        <v/>
      </c>
      <c r="GB578" s="1696" t="str">
        <f>VLOOKUP(CW578,_Exist_Fixture_Table,4,FALSE)</f>
        <v/>
      </c>
      <c r="GC578" s="1696">
        <f>IFERROR(VLOOKUP(GB578,Lookup!AT$6:AU$8,2,FALSE),0)</f>
        <v>0</v>
      </c>
      <c r="GD578" s="1696" t="b">
        <f>IFERROR(IF(OR(GF578=4,GF578=5,GF578=6),TRUE,FALSE),"")</f>
        <v>0</v>
      </c>
      <c r="GE578" s="1696" t="str">
        <f>IFERROR(VLOOKUP(GF578,GC$6:GD$10,2,FALSE),"")</f>
        <v/>
      </c>
      <c r="GF578" s="1696" t="str">
        <f>VLOOKUP(CW580,Fixtures!R$31:Y$78,8,FALSE)</f>
        <v/>
      </c>
      <c r="GG578" s="1696">
        <f>IF(AND(GA578=TRUE,GD578=TRUE,OR(DQ578=12,DQ578=13,DQ578=14)),GC578+8,0)</f>
        <v>0</v>
      </c>
      <c r="GH578" s="1696" t="b">
        <f>IF(OR(GG578=12,GG578=13,GG578=14),TRUE,FALSE)</f>
        <v>0</v>
      </c>
      <c r="GI578" s="673" t="b">
        <f>IF(ISNUMBER(SEARCH("TLED",U579)),TRUE,FALSE)</f>
        <v>0</v>
      </c>
      <c r="GJ578" s="1135" t="str">
        <f>IFERROR(VLOOKUP(U579,Fixtures!BM$93:BR$142,6,FALSE),"")</f>
        <v/>
      </c>
      <c r="GK578" s="1832" t="b">
        <f>IF(OR(GI578=FALSE,GI580=FALSE),TRUE,IF(GJ578-GJ580&lt;5,FALSE,TRUE))</f>
        <v>1</v>
      </c>
      <c r="GO578" s="674">
        <f>GP578</f>
        <v>0</v>
      </c>
      <c r="GP578" s="674">
        <f>IF(G578="",0,1)</f>
        <v>0</v>
      </c>
      <c r="GQ578" s="674">
        <f ca="1">SUM(GR578:HF578)</f>
        <v>2</v>
      </c>
      <c r="GR578" s="674">
        <f>IF(G579="",0,1)</f>
        <v>0</v>
      </c>
      <c r="GS578" s="674">
        <f>IF(N581="BAM",1,IF(G580="",0,1))</f>
        <v>0</v>
      </c>
      <c r="GT578" s="674">
        <f>IF(N581="BAM",1,IF(R579="",0,1))</f>
        <v>0</v>
      </c>
      <c r="GU578" s="674">
        <f>IF(N581="BAM",1,IF(__Retrofit_TI_NC=0,1,IF(R580="",0,1)))</f>
        <v>1</v>
      </c>
      <c r="GV578" s="674">
        <f>IF(N581="BAM",1,IF(CQ578="Exterior",1,IF(G581="",0,1)))</f>
        <v>1</v>
      </c>
      <c r="GW578" s="674">
        <f>IF(__Retrofit_TI_NC&gt;0,1,IF(T579="",0,1))</f>
        <v>0</v>
      </c>
      <c r="GX578" s="674">
        <f>IF(__Retrofit_TI_NC&gt;0,1,IF(U579="",0,1))</f>
        <v>0</v>
      </c>
      <c r="GY578" s="674">
        <f>IF(N581="BAM",1,IF(T580="",0,1))</f>
        <v>0</v>
      </c>
      <c r="GZ578" s="674">
        <f>IF(N581="BAM",1,IF(U580="",0,1))</f>
        <v>0</v>
      </c>
      <c r="HA578" s="674">
        <f ca="1">IF(N581="BAM",1,IF(__Retrofit_TI_NC&gt;0,1,IF(U581="",0,1)))</f>
        <v>0</v>
      </c>
      <c r="HB578" s="674">
        <f>IF(__Retrofit_TI_NC&lt;&gt;0,1,IF(AF579="",0,1))</f>
        <v>0</v>
      </c>
      <c r="HC578" s="674">
        <f>IF(__Retrofit_TI_NC&lt;&gt;0,1,IF(AG579="",0,1))</f>
        <v>0</v>
      </c>
      <c r="HD578" s="674">
        <f>IF(N581="BAM",1,IF(AF580="",0,1))</f>
        <v>0</v>
      </c>
      <c r="HE578" s="674">
        <f>IF(N581="BAM",1,IF(AG580="",0,1))</f>
        <v>0</v>
      </c>
      <c r="HF578" s="674">
        <f>IF(N581="BAM",1,IF(__Retrofit_TI_NC&gt;0,1,IF(AG581="",0,1)))</f>
        <v>0</v>
      </c>
      <c r="HG578" s="391"/>
      <c r="IA578" s="391"/>
      <c r="IB578" s="1693" t="b">
        <f>IF(OR(IB581=0,IB581=HY$16,IB581=HX$16,IB581=HZ$16),TRUE,FALSE)</f>
        <v>0</v>
      </c>
      <c r="IC578" s="1694" t="b">
        <f>IB578</f>
        <v>0</v>
      </c>
      <c r="ID578" s="391"/>
      <c r="IE578" s="391"/>
      <c r="IF578" s="1688" t="b">
        <f ca="1">IF(MAX(GN581:HU581)&gt;5,FALSE,TRUE)</f>
        <v>0</v>
      </c>
      <c r="IG578" s="1689">
        <f ca="1">IF(IF578=TRUE,AC578,0)</f>
        <v>0</v>
      </c>
      <c r="IH578" s="1689">
        <f ca="1">IG578-IG580</f>
        <v>0</v>
      </c>
      <c r="IK578" s="1689" t="e">
        <f>ROUND(T579*VLOOKUP(U579,Fixtures_Existing_List,2,FALSE)*N579*R579/1000,0)</f>
        <v>#N/A</v>
      </c>
      <c r="IL578" s="1690" t="e">
        <f>IK578-IK580</f>
        <v>#N/A</v>
      </c>
      <c r="IM578" s="1693" t="e">
        <f>ROUND(IF(CQ578="Interior",N580*R580*R579*N579*_C406_reduction/1000,N580*R580*R579*N579/1000),0)</f>
        <v>#N/A</v>
      </c>
      <c r="IN578" s="1693" t="e">
        <f>IM578-IM580</f>
        <v>#N/A</v>
      </c>
      <c r="IP578" s="1679"/>
      <c r="IQ578" s="1679" t="e">
        <f t="shared" ref="IQ578:IU578" si="526">IF($CR578="interior",VLOOKUP($CS578,_New_Control_Savings_Interior,IQ$30,FALSE),VLOOKUP($CS578,Control_Savings_Exterior,IQ$30,FALSE))</f>
        <v>#N/A</v>
      </c>
      <c r="IR578" s="1679" t="e">
        <f t="shared" si="526"/>
        <v>#N/A</v>
      </c>
      <c r="IS578" s="1679" t="e">
        <f t="shared" si="526"/>
        <v>#N/A</v>
      </c>
      <c r="IT578" s="1679" t="e">
        <f t="shared" si="526"/>
        <v>#N/A</v>
      </c>
      <c r="IU578" s="1679" t="e">
        <f t="shared" si="526"/>
        <v>#N/A</v>
      </c>
      <c r="IV578" s="1679" t="e">
        <f>IF($CR578="interior",IF(R579&gt;$IP$14,ROUND(($IV$18*($IP$14/R579)),2),$IV$18),VLOOKUP($CS578,Control_Savings_Exterior,IV$30,FALSE))</f>
        <v>#N/A</v>
      </c>
      <c r="IW578" s="1679" t="e">
        <f>IF($CR578="interior",ROUND(((1-IS578)*IV578)+IS578,2),VLOOKUP($CS578,Control_Savings_Exterior,IW$30,FALSE))</f>
        <v>#N/A</v>
      </c>
      <c r="IX578" s="1679" t="e">
        <f>IF($CR578="interior",ROUND(((1-IT578)*IV578)+IT578,2),VLOOKUP($CS578,Control_Savings_Exterior,IX$30,FALSE))</f>
        <v>#N/A</v>
      </c>
      <c r="IY578" s="1679" t="e">
        <f>IF($CR578="interior",IF(R579&gt;$IP$14,ROUND(($IY$18*($IP$14/R579)),2),$IY$18),VLOOKUP($CS578,Control_Savings_Exterior,IY$30,FALSE))</f>
        <v>#N/A</v>
      </c>
      <c r="IZ578" s="1679" t="e">
        <f>IF($CR578="interior",ROUND(((1-IS578)*IY578)+IS578,2),VLOOKUP($CS578,Control_Savings_Exterior,IZ$30,FALSE))</f>
        <v>#N/A</v>
      </c>
      <c r="JA578" s="1679" t="e">
        <f>IF($CR578="interior",ROUND(((1-IT578)*IY578)+IT578,2),VLOOKUP($CS578,Control_Savings_Exterior,JA$30,FALSE))</f>
        <v>#N/A</v>
      </c>
      <c r="JC578" s="1680">
        <f>IFERROR(IF(CR578="Interior",CONCATENATE(G581," ",FQ578),FQ578),"")</f>
        <v>0</v>
      </c>
      <c r="JD578" s="1670" t="str">
        <f>IFERROR(VLOOKUP(JC578,_Controls_2023,2,FALSE),"")</f>
        <v/>
      </c>
      <c r="JE578" s="1681">
        <f>IFERROR(CHOOSE(JD578-1,IQ578,IR578,IS578,IT578,IU578,IV578,IW578,IX578,IY578,IZ578,JA578),0)</f>
        <v>0</v>
      </c>
      <c r="JG578" s="1680" t="str">
        <f>FE578</f>
        <v xml:space="preserve"> - 0</v>
      </c>
      <c r="JH578" s="1670" t="e">
        <f>$FO578</f>
        <v>#N/A</v>
      </c>
      <c r="JI578" s="1060"/>
      <c r="JJ578" s="1682" t="b">
        <f>IF($JG580=CONCATENATE("Interior - ",JJ$4),TRUE,FALSE)</f>
        <v>0</v>
      </c>
      <c r="JK578" s="1061"/>
      <c r="JL578" s="1682" t="b">
        <f>IF($JG580=CONCATENATE("Interior - ",JL$4),TRUE,FALSE)</f>
        <v>0</v>
      </c>
      <c r="JM578" s="1061"/>
      <c r="JN578" s="1682" t="b">
        <f>IF($JG580=CONCATENATE("Interior - ",JN$4),TRUE,FALSE)</f>
        <v>0</v>
      </c>
      <c r="JO578" s="1061"/>
      <c r="JP578" s="1682" t="b">
        <f>IF(__Retrofit_TI_NC&gt;0,FALSE,IF($JG580=CONCATENATE("Interior - ",JP$4),TRUE,FALSE))</f>
        <v>0</v>
      </c>
      <c r="JQ578" s="1061"/>
      <c r="JR578" s="1682" t="b">
        <f>IF(__Retrofit_TI_NC&gt;0,FALSE,IF($JG580=CONCATENATE("Interior - ",JR$4),TRUE,FALSE))</f>
        <v>0</v>
      </c>
      <c r="JS578" s="1061"/>
      <c r="JT578" s="1670" t="b">
        <f>IF(__Retrofit_TI_NC&gt;0,FALSE,IF($JG580=CONCATENATE("Interior - ",JT$4),TRUE,FALSE))</f>
        <v>0</v>
      </c>
      <c r="JU578" s="1061"/>
      <c r="JV578" s="1670" t="b">
        <f>IF(JC580="AELC on Existing",TRUE,FALSE)</f>
        <v>0</v>
      </c>
      <c r="JX578" s="1670" t="b">
        <f>IF(OR(JG580="Exterior - AELC Occupancy based",JG580="Exterior - AELC Time based"),TRUE,FALSE)</f>
        <v>0</v>
      </c>
      <c r="JZ578" s="1682" t="b">
        <f>IF($JG580=CONCATENATE("Exterior - ",JZ$4),TRUE,FALSE)</f>
        <v>0</v>
      </c>
      <c r="KB578" s="1670" t="b">
        <f>IF(__Retrofit_TI_NC&gt;0,FALSE,IF($JG580=CONCATENATE("Interior - ",KB$4),TRUE,FALSE))</f>
        <v>0</v>
      </c>
    </row>
    <row r="579" spans="1:288" s="78" customFormat="1" ht="14.95" customHeight="1" thickTop="1" thickBot="1">
      <c r="B579" s="1845"/>
      <c r="C579" s="1846"/>
      <c r="D579" s="1847"/>
      <c r="E579" s="1737" t="s">
        <v>297</v>
      </c>
      <c r="F579" s="1738"/>
      <c r="G579" s="1739"/>
      <c r="H579" s="1739"/>
      <c r="I579" s="1739"/>
      <c r="J579" s="1739"/>
      <c r="K579" s="1739"/>
      <c r="L579" s="1739"/>
      <c r="M579" s="461" t="e">
        <f>IF(__Retrofit_TI_NC&lt;&gt;0,IF(VLOOKUP(G580,'Space Table'!$B$3:$L$163,3,FALSE)&gt;0,1,0),IF(__Retrofit_TI_NC=VLOOKUP(G580,'Space Table'!$B$3:$L$163,3,FALSE),1,0))</f>
        <v>#N/A</v>
      </c>
      <c r="N579" s="461" t="str">
        <f>IFERROR(VLOOKUP(G579,_Lookup_Heat_Type_Table_New,2,FALSE),"")</f>
        <v/>
      </c>
      <c r="O579" s="461">
        <f>IF(__Retrofit_TI_NC=1,CONCATENATE("TI ",G579),IF(__Retrofit_TI_NC=2,CONCATENATE("NC ",G579),G579))</f>
        <v>0</v>
      </c>
      <c r="P579" s="1740" t="s">
        <v>435</v>
      </c>
      <c r="Q579" s="1740"/>
      <c r="R579" s="595"/>
      <c r="S579" s="1792"/>
      <c r="T579" s="597"/>
      <c r="U579" s="1765"/>
      <c r="V579" s="1766"/>
      <c r="W579" s="1766"/>
      <c r="X579" s="1766"/>
      <c r="Y579" s="1766"/>
      <c r="Z579" s="1766"/>
      <c r="AA579" s="1766"/>
      <c r="AB579" s="1766"/>
      <c r="AC579" s="1766"/>
      <c r="AD579" s="1767"/>
      <c r="AE579" s="1000"/>
      <c r="AF579" s="597"/>
      <c r="AG579" s="1723"/>
      <c r="AH579" s="1724"/>
      <c r="AI579" s="1724"/>
      <c r="AJ579" s="1724"/>
      <c r="AK579" s="1725"/>
      <c r="AL579" s="996"/>
      <c r="AM579" s="1747"/>
      <c r="AN579" s="1775"/>
      <c r="AO579" s="1777"/>
      <c r="AP579" s="1780"/>
      <c r="AQ579" s="1781"/>
      <c r="AR579" s="1795"/>
      <c r="AS579" s="1795"/>
      <c r="AT579" s="1796"/>
      <c r="AU579" s="1735"/>
      <c r="AV579" s="1752"/>
      <c r="AW579" s="1705"/>
      <c r="AX579" s="467"/>
      <c r="AY579" s="1749"/>
      <c r="AZ579" s="1749"/>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696"/>
      <c r="CQ579" s="1696"/>
      <c r="CR579" s="1809"/>
      <c r="CS579" s="1811"/>
      <c r="CU579" s="1688"/>
      <c r="CV579" s="1703"/>
      <c r="CW579" s="1703"/>
      <c r="CX579" s="1703"/>
      <c r="CY579" s="1815"/>
      <c r="CZ579" s="1711"/>
      <c r="DA579" s="1818"/>
      <c r="DB579" s="1820"/>
      <c r="DC579" s="1820"/>
      <c r="DD579" s="1820"/>
      <c r="DF579" s="1703"/>
      <c r="DG579" s="1831"/>
      <c r="DH579" s="1703"/>
      <c r="DI579" s="1838"/>
      <c r="DJ579" s="1711"/>
      <c r="DK579" s="1712"/>
      <c r="DM579" s="1718"/>
      <c r="DO579" s="1708"/>
      <c r="DQ579" s="1715"/>
      <c r="DR579" s="1720"/>
      <c r="DS579" s="1816"/>
      <c r="DT579" s="1714"/>
      <c r="DU579" s="1715"/>
      <c r="DV579" s="1716"/>
      <c r="DX579" s="1715"/>
      <c r="DY579" s="1720"/>
      <c r="DZ579" s="1715"/>
      <c r="EA579" s="1715"/>
      <c r="EC579" s="1834"/>
      <c r="ED579" s="1834"/>
      <c r="EF579" s="1707"/>
      <c r="EG579" s="1712"/>
      <c r="EH579" s="1818"/>
      <c r="EI579" s="1712"/>
      <c r="EJ579" s="1712"/>
      <c r="EK579" s="1836"/>
      <c r="EL579" s="1836"/>
      <c r="EM579" s="1807"/>
      <c r="EN579" s="1839"/>
      <c r="EO579" s="1839"/>
      <c r="EP579" s="1817"/>
      <c r="EQ579" s="1817"/>
      <c r="ER579" s="1807"/>
      <c r="ES579" s="1807"/>
      <c r="ET579" s="1807"/>
      <c r="EV579" s="1715"/>
      <c r="EX579" s="1805"/>
      <c r="EY579" s="1805"/>
      <c r="EZ579" s="1805"/>
      <c r="FA579" s="1805"/>
      <c r="FB579" s="1805"/>
      <c r="FC579" s="1827"/>
      <c r="FE579" s="1698"/>
      <c r="FG579" s="1816"/>
      <c r="FH579" s="1816"/>
      <c r="FI579" s="133"/>
      <c r="FL579" s="1823"/>
      <c r="FM579" s="1825"/>
      <c r="FN579" s="1698"/>
      <c r="FO579" s="1698"/>
      <c r="FP579" s="1678"/>
      <c r="FQ579" s="1678"/>
      <c r="FS579" s="1687"/>
      <c r="FT579" s="1687"/>
      <c r="FU579" s="1685"/>
      <c r="FV579" s="1687"/>
      <c r="FW579" s="1687"/>
      <c r="FX579" s="1687"/>
      <c r="FY579" s="1697"/>
      <c r="GA579" s="1696"/>
      <c r="GB579" s="1696"/>
      <c r="GC579" s="1696"/>
      <c r="GD579" s="1696"/>
      <c r="GE579" s="1696"/>
      <c r="GF579" s="1696"/>
      <c r="GG579" s="1696"/>
      <c r="GH579" s="1696"/>
      <c r="GI579" s="673"/>
      <c r="GJ579" s="1135"/>
      <c r="GK579" s="1832"/>
      <c r="GM579" s="1693" t="b">
        <f ca="1">IF(AND(GP579=TRUE,GQ579=TRUE),TRUE,FALSE)</f>
        <v>0</v>
      </c>
      <c r="GN579" s="1684" t="b">
        <f>IFERROR(IF(__Retrofit_TI_NC=2,TRUE,IF(AU578="Yes",TRUE,FALSE)),FALSE)</f>
        <v>1</v>
      </c>
      <c r="GP579" s="1684" t="b">
        <f>IFERROR(IF(GP578=1,TRUE,FALSE),FALSE)</f>
        <v>0</v>
      </c>
      <c r="GQ579" s="1684" t="b">
        <f ca="1">IFERROR(IF(GQ578=GQ$14,TRUE,FALSE),FALSE)</f>
        <v>0</v>
      </c>
      <c r="HG579" s="1684" t="b">
        <f>IFERROR(IF(AND(__Retrofit_TI_NC&gt;0,CQ578="Interior"),FALSE,TRUE),FALSE)</f>
        <v>1</v>
      </c>
      <c r="HH579" s="1684" t="b">
        <f>IFERROR(IF(M579=1,TRUE,FALSE),FALSE)</f>
        <v>0</v>
      </c>
      <c r="HI579" s="1684" t="b">
        <f>IFERROR(IF(OR(M580=1,N581="BAM"),TRUE,FALSE),FALSE)</f>
        <v>0</v>
      </c>
      <c r="HJ579" s="1684" t="b">
        <f>IFERROR(IF(__Retrofit_TI_NC&lt;&gt;0,TRUE,IFERROR(IF(VLOOKUP(U579,Fixtures_Existing_List,2,FALSE)&lt;&gt;"",TRUE,FALSE),FALSE)),FALSE)</f>
        <v>0</v>
      </c>
      <c r="HK579" s="1684" t="b">
        <f>IFERROR(IF(VLOOKUP(U580,Fixtures_Proposed_List,2,FALSE)&lt;&gt;"",TRUE,FALSE),FALSE)</f>
        <v>0</v>
      </c>
      <c r="HL579" s="1684" t="b">
        <f>IF(AND(__Retrofit_TI_NC=2,FC578=TRUE),FALSE,TRUE)</f>
        <v>1</v>
      </c>
      <c r="HM579" s="1684" t="b">
        <f>GK578</f>
        <v>1</v>
      </c>
      <c r="HN579" s="1682" t="b">
        <f>IF(ISERROR(MATCH(FE578,_Control_Match[],0))=TRUE,FALSE,TRUE)</f>
        <v>0</v>
      </c>
      <c r="HO579" s="1693" t="b">
        <f>IFERROR(IF(EX578&lt;&gt;EY578,FALSE,TRUE),FALSE)</f>
        <v>1</v>
      </c>
      <c r="HP579" s="1693" t="b">
        <f>IFERROR(IF(EX580&lt;&gt;EY580,FALSE,TRUE),FALSE)</f>
        <v>1</v>
      </c>
      <c r="HQ579" s="1670" t="b">
        <f>IFERROR(IF(CQ578="Exterior",TRUE,IF(AND(OR(FM580=0,FM580=3),JD580&gt;6),FALSE,TRUE)),FALSE)</f>
        <v>0</v>
      </c>
      <c r="HR579" s="1684" t="b">
        <f>IFERROR(IF(AND(FO580=7,FC578=TRUE),FALSE,TRUE),FALSE)</f>
        <v>0</v>
      </c>
      <c r="HS579" s="1684" t="b">
        <f>IFERROR(IF(AND(T580&lt;&gt;AF580,OR(AG580="Interior LLLC", AG580="Interior NLC", AG580="LLLC (outside Daylight)",AG580="LLLC Controls Only"))=TRUE,FALSE,TRUE),FALSE)</f>
        <v>1</v>
      </c>
      <c r="HT579" s="1670" t="b">
        <f>IFERROR(IF(OR(AG580=Lookup!BB$17,AG580=Lookup!BB$18,AG580=Lookup!BB$19)=TRUE,IF(AF580&gt;T580,FALSE,TRUE),TRUE),FALSE)</f>
        <v>1</v>
      </c>
      <c r="HU579" s="1684" t="b">
        <f>IFERROR(IF(__Retrofit_TI_NC=2,IF(EZ580&lt;EZ578,FALSE,TRUE),TRUE),FALSE)</f>
        <v>1</v>
      </c>
      <c r="HV579" s="1684" t="b">
        <f>IF(CQ578="Interior",IL$6,TRUE)</f>
        <v>1</v>
      </c>
      <c r="HW579" s="1684" t="b">
        <f>IF(CQ578="Exterior",IL$8,TRUE)</f>
        <v>1</v>
      </c>
      <c r="HX579" s="1684" t="b">
        <f>IFERROR(IF(__Retrofit_TI_NC&lt;&gt;0,IF(AZ578&lt;AY578,FALSE,TRUE),TRUE),FALSE)</f>
        <v>1</v>
      </c>
      <c r="HY579" s="1684" t="b">
        <f>IFERROR(IF(AND(G579="Exterior",R579&gt;4200),FALSE,TRUE),FALSE)</f>
        <v>1</v>
      </c>
      <c r="HZ579" s="1684" t="b">
        <f>IFERROR(IF(AB581/AB578&lt;HZ$18,FALSE,TRUE),FALSE)</f>
        <v>0</v>
      </c>
      <c r="IB579" s="1691"/>
      <c r="IC579" s="1695"/>
      <c r="ID579" s="1694" t="str">
        <f>VLOOKUP(IB581,_Error_Table,4,FALSE)</f>
        <v>White</v>
      </c>
      <c r="IE579" s="391"/>
      <c r="IF579" s="1688"/>
      <c r="IG579" s="1689"/>
      <c r="IH579" s="1684"/>
      <c r="IK579" s="1689"/>
      <c r="IL579" s="1691"/>
      <c r="IM579" s="1691"/>
      <c r="IN579" s="1691"/>
      <c r="IP579" s="1679"/>
      <c r="IQ579" s="1679"/>
      <c r="IR579" s="1679"/>
      <c r="IS579" s="1679"/>
      <c r="IT579" s="1679"/>
      <c r="IU579" s="1679"/>
      <c r="IV579" s="1679"/>
      <c r="IW579" s="1679"/>
      <c r="IX579" s="1679"/>
      <c r="IY579" s="1679"/>
      <c r="IZ579" s="1679"/>
      <c r="JA579" s="1679"/>
      <c r="JC579" s="1680"/>
      <c r="JD579" s="1670"/>
      <c r="JE579" s="1681"/>
      <c r="JG579" s="1680"/>
      <c r="JH579" s="1670"/>
      <c r="JI579" s="1060"/>
      <c r="JJ579" s="1683"/>
      <c r="JK579" s="1061"/>
      <c r="JL579" s="1683"/>
      <c r="JM579" s="1061"/>
      <c r="JN579" s="1683"/>
      <c r="JO579" s="1061"/>
      <c r="JP579" s="1683"/>
      <c r="JQ579" s="1061"/>
      <c r="JR579" s="1683"/>
      <c r="JS579" s="1061"/>
      <c r="JT579" s="1670"/>
      <c r="JU579" s="1061"/>
      <c r="JV579" s="1670"/>
      <c r="JX579" s="1670"/>
      <c r="JZ579" s="1683"/>
      <c r="KB579" s="1670"/>
    </row>
    <row r="580" spans="1:288" s="78" customFormat="1" ht="14.95" customHeight="1" thickTop="1" thickBot="1">
      <c r="A580" s="78">
        <f>ROW()</f>
        <v>580</v>
      </c>
      <c r="B580" s="1845"/>
      <c r="C580" s="1846"/>
      <c r="D580" s="1847"/>
      <c r="E580" s="1737" t="s">
        <v>298</v>
      </c>
      <c r="F580" s="1738"/>
      <c r="G580" s="1760"/>
      <c r="H580" s="1761"/>
      <c r="I580" s="1761"/>
      <c r="J580" s="1761"/>
      <c r="K580" s="1761"/>
      <c r="L580" s="1762"/>
      <c r="M580" s="461">
        <f>IFERROR(IF(IF(__Retrofit_TI_NC&lt;&gt;0,IF(CQ578="Interior",MATCH(G580,Lookup_Interior_New,0),MATCH(G580,Lookup_Exterior_New,0)),IF(CQ578="Interior",MATCH(G580,Lookup_Interior,0),MATCH(G580,Lookup_Exterior_Areas,0)))&gt;0,1,0),0)</f>
        <v>0</v>
      </c>
      <c r="N580" s="461" t="e">
        <f>IF(__Retrofit_TI_NC=1,
VLOOKUP(G580,'Space Table'!$B$3:$L$163,4,FALSE),
IF(__Retrofit_TI_NC=2,VLOOKUP(G580,'Space Table'!$B$3:$L$163,5,FALSE),VLOOKUP(G580,'Space Table'!$B$3:$L$163,5,FALSE)))</f>
        <v>#N/A</v>
      </c>
      <c r="O580" s="461">
        <f>G580</f>
        <v>0</v>
      </c>
      <c r="P580" s="1738" t="str">
        <f>IFERROR(IF(__Retrofit_TI_NC=1,VLOOKUP(G580,'Space Table'!$B$3:$O$163,13,FALSE),IF(__Retrofit_TI_NC=2,VLOOKUP(G580,'Space Table'!$B$3:$O$163,14,FALSE),"Area (sf):")),"Area (sf):")</f>
        <v>Area (sf):</v>
      </c>
      <c r="Q580" s="1738"/>
      <c r="R580" s="596"/>
      <c r="S580" s="1763" t="s">
        <v>345</v>
      </c>
      <c r="T580" s="594"/>
      <c r="U580" s="1801"/>
      <c r="V580" s="1802"/>
      <c r="W580" s="1802"/>
      <c r="X580" s="1802"/>
      <c r="Y580" s="1802"/>
      <c r="Z580" s="1802"/>
      <c r="AA580" s="1802"/>
      <c r="AB580" s="1802"/>
      <c r="AC580" s="1802"/>
      <c r="AD580" s="1802"/>
      <c r="AE580" s="1803"/>
      <c r="AF580" s="594"/>
      <c r="AG580" s="1787"/>
      <c r="AH580" s="1787"/>
      <c r="AI580" s="1787"/>
      <c r="AJ580" s="1787"/>
      <c r="AK580" s="1787"/>
      <c r="AL580" s="1787"/>
      <c r="AM580" s="1726">
        <f>IFERROR(DI580,"")</f>
        <v>0</v>
      </c>
      <c r="AN580" s="1728" t="str">
        <f>IFERROR(ROUND(AM580*AC581,0),"")</f>
        <v/>
      </c>
      <c r="AO580" s="1730">
        <f>IFERROR(IF(IB578=FALSE,0,AC581-AN580),0)</f>
        <v>0</v>
      </c>
      <c r="AP580" s="1780"/>
      <c r="AQ580" s="1781"/>
      <c r="AR580" s="1795"/>
      <c r="AS580" s="1795"/>
      <c r="AT580" s="1796"/>
      <c r="AU580" s="1735"/>
      <c r="AV580" s="1752"/>
      <c r="AW580" s="1705"/>
      <c r="AX580" s="467"/>
      <c r="AY580" s="1749"/>
      <c r="AZ580" s="1749"/>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696"/>
      <c r="CQ580" s="1696"/>
      <c r="CR580" s="1808" t="str">
        <f>CQ578</f>
        <v/>
      </c>
      <c r="CS580" s="1810" t="str">
        <f>CS578</f>
        <v/>
      </c>
      <c r="CU580" s="1688" t="s">
        <v>345</v>
      </c>
      <c r="CV580" s="1702">
        <f>IF(IB578=TRUE,T580,0)</f>
        <v>0</v>
      </c>
      <c r="CW580" s="1702" t="str">
        <f>IF(IB578=TRUE,U580,"")</f>
        <v/>
      </c>
      <c r="CX580" s="1812">
        <f>IF(IB578=TRUE,U581,0)</f>
        <v>0</v>
      </c>
      <c r="CY580" s="1814">
        <f>IF(IB578=TRUE,AB581,0)</f>
        <v>0</v>
      </c>
      <c r="CZ580" s="1710">
        <f>IF(AND(__Retrofit_TI_NC&gt;0,CR578="interior"),0,IF(IB578=TRUE,AC581,0))</f>
        <v>0</v>
      </c>
      <c r="DA580" s="1818"/>
      <c r="DB580" s="1820"/>
      <c r="DC580" s="1820"/>
      <c r="DD580" s="1820"/>
      <c r="DF580" s="1702">
        <f>IF(IB578=TRUE,AF580,0)</f>
        <v>0</v>
      </c>
      <c r="DG580" s="1830" t="str">
        <f>IF(IB578=TRUE,AG580,"")</f>
        <v/>
      </c>
      <c r="DH580" s="1812">
        <f>AG581</f>
        <v>0</v>
      </c>
      <c r="DI580" s="1837">
        <f>JE580</f>
        <v>0</v>
      </c>
      <c r="DJ580" s="1710">
        <f>IF(AND(__Retrofit_TI_NC&gt;0,CR578="interior"),0,IF(IB578=TRUE,AN580,0))</f>
        <v>0</v>
      </c>
      <c r="DK580" s="1712"/>
      <c r="DN580" s="1717">
        <f>IFERROR(CZ580-DJ580,0)</f>
        <v>0</v>
      </c>
      <c r="DO580" s="1709"/>
      <c r="DQ580" s="1715"/>
      <c r="DR580" s="1719" t="str">
        <f>DQ578</f>
        <v/>
      </c>
      <c r="DS580" s="1816"/>
      <c r="DT580" s="1835" t="str">
        <f>IF(OR(DS578=7,DS578=8,DS578=9),"ALC","")</f>
        <v/>
      </c>
      <c r="DU580" s="1715"/>
      <c r="DV580" s="1716"/>
      <c r="DX580" s="1715"/>
      <c r="DY580" s="1829" t="str">
        <f>DX578</f>
        <v/>
      </c>
      <c r="DZ580" s="1715"/>
      <c r="EA580" s="1715"/>
      <c r="EC580" s="1834"/>
      <c r="ED580" s="1834"/>
      <c r="EF580" s="1707"/>
      <c r="EG580" s="1712"/>
      <c r="EH580" s="1818"/>
      <c r="EI580" s="1712"/>
      <c r="EJ580" s="1712"/>
      <c r="EK580" s="1836"/>
      <c r="EL580" s="1836"/>
      <c r="EM580" s="1807"/>
      <c r="EN580" s="1839"/>
      <c r="EO580" s="1839"/>
      <c r="EP580" s="1817"/>
      <c r="EQ580" s="1817"/>
      <c r="ER580" s="1807"/>
      <c r="ES580" s="1807"/>
      <c r="ET580" s="1807"/>
      <c r="EV580" s="1715"/>
      <c r="EX580" s="1805" t="str">
        <f>IFERROR(VLOOKUP(CS580,'Space Table'!$B$3:$L$163,8,FALSE),"")</f>
        <v/>
      </c>
      <c r="EY580" s="1805" t="str">
        <f>IFERROR(IF(FB580="Yes",VLOOKUP(AG580,Lookup_Control_Type_Table2,4,FALSE),VLOOKUP(AG580,Lookup_Control_Type_Table2,3,FALSE)),"")</f>
        <v/>
      </c>
      <c r="EZ580" s="1805" t="e">
        <f>VLOOKUP(AG580,Lookup!BB$3:BC$20,2,FALSE)</f>
        <v>#N/A</v>
      </c>
      <c r="FA580" s="1805" t="e">
        <f>VLOOKUP(EX578,Lookup_Control_Type_Table,2,FALSE)</f>
        <v>#N/A</v>
      </c>
      <c r="FB580" s="1805" t="e">
        <f>VLOOKUP(CS580,'Space Table'!$B$3:$L$163,7,FALSE)</f>
        <v>#N/A</v>
      </c>
      <c r="FC580" s="1827"/>
      <c r="FE580" s="1698" t="str">
        <f>CONCATENATE(CQ578," - ",AG580)</f>
        <v xml:space="preserve"> - </v>
      </c>
      <c r="FG580" s="1816"/>
      <c r="FH580" s="1816"/>
      <c r="FI580" s="133"/>
      <c r="FL580" s="1822" t="str">
        <f>IF(CQ578="Exterior","Not Daylighted",G581)</f>
        <v>Not Daylighted</v>
      </c>
      <c r="FM580" s="1824">
        <f>VLOOKUP(FL580,_New_Daylight_Table_Codes,2,FALSE)</f>
        <v>0</v>
      </c>
      <c r="FN580" s="1698">
        <f>AG580</f>
        <v>0</v>
      </c>
      <c r="FO580" s="1698" t="e">
        <f>VLOOKUP(FN580,_Control_Table,2,FALSE)</f>
        <v>#N/A</v>
      </c>
      <c r="FP580" s="1678" t="e">
        <f>VLOOKUP(CONCATENATE(FL580," ",FN580),Lookup!AY$102:AZ591,2,FALSE)</f>
        <v>#N/A</v>
      </c>
      <c r="FQ580" s="1698">
        <f>IF(__Retrofit_TI_NC=0,FN580,IF(AND(FT580&gt;0,FN580="Occupancy Sensor"),"Daylight + Occupancy",IF(AND(FT580&gt;0,FO580&lt;4),"Interior Daylight Dimming",FN580)))</f>
        <v>0</v>
      </c>
      <c r="FS580" s="1686">
        <f>IF(CQ578="Interior",VLOOKUP(CS578,Control_Savings_Interior,5,FALSE),0)</f>
        <v>0</v>
      </c>
      <c r="FT580" s="1687">
        <f>IF(CQ580="Exterior",0,IF(FM580=2,0.5,IF(OR(FM580=1,FM580=3),1,0)))</f>
        <v>0</v>
      </c>
      <c r="FU580" s="1685">
        <f>IF(R579&gt;FS$44,(FS580*(FS$44/R579)),FS580)*FT580</f>
        <v>0</v>
      </c>
      <c r="FV580" s="1686">
        <f>DI580</f>
        <v>0</v>
      </c>
      <c r="FW580" s="1686">
        <f>ROUND(FV580+((1-FV580)*FU580),2)</f>
        <v>0</v>
      </c>
      <c r="FX580" s="1686">
        <f>IF(__Retrofit_TI_NC=2,FW580,FV580)</f>
        <v>0</v>
      </c>
      <c r="FY580" s="1697">
        <f>IF(CR580="Interior",VLOOKUP(CS580,Control_Savings_Interior,4,FALSE),0)</f>
        <v>0</v>
      </c>
      <c r="GA580" s="1696"/>
      <c r="GB580" s="1696"/>
      <c r="GC580" s="1696"/>
      <c r="GD580" s="1696"/>
      <c r="GE580" s="1696"/>
      <c r="GF580" s="1696"/>
      <c r="GG580" s="1696"/>
      <c r="GH580" s="1696"/>
      <c r="GI580" s="673" t="b">
        <f>IF(ISNUMBER(SEARCH("TLED",U580)),TRUE,FALSE)</f>
        <v>0</v>
      </c>
      <c r="GJ580" s="1135" t="str">
        <f>IFERROR(VLOOKUP(U580,Fixtures!DM$93:DR$142,6,FALSE),"")</f>
        <v/>
      </c>
      <c r="GK580" s="1832"/>
      <c r="GM580" s="1692"/>
      <c r="GN580" s="1684"/>
      <c r="GP580" s="1684"/>
      <c r="GQ580" s="1684"/>
      <c r="HG580" s="1684"/>
      <c r="HH580" s="1684"/>
      <c r="HI580" s="1684"/>
      <c r="HJ580" s="1684"/>
      <c r="HK580" s="1684"/>
      <c r="HL580" s="1684"/>
      <c r="HM580" s="1684"/>
      <c r="HN580" s="1683"/>
      <c r="HO580" s="1692"/>
      <c r="HP580" s="1692"/>
      <c r="HQ580" s="1670"/>
      <c r="HR580" s="1684"/>
      <c r="HS580" s="1684"/>
      <c r="HT580" s="1670"/>
      <c r="HU580" s="1684"/>
      <c r="HV580" s="1684"/>
      <c r="HW580" s="1684"/>
      <c r="HX580" s="1684"/>
      <c r="HY580" s="1684"/>
      <c r="HZ580" s="1684"/>
      <c r="IB580" s="1692"/>
      <c r="IC580" s="1693" t="b">
        <f>IB578</f>
        <v>0</v>
      </c>
      <c r="ID580" s="1695"/>
      <c r="IE580" s="391"/>
      <c r="IF580" s="1688"/>
      <c r="IG580" s="1689">
        <f ca="1">IF(IF578=TRUE,AC581,0)</f>
        <v>0</v>
      </c>
      <c r="IH580" s="1684"/>
      <c r="IK580" s="1689" t="e">
        <f>ROUND(T580*AB581*N579*R579/1000,0)</f>
        <v>#VALUE!</v>
      </c>
      <c r="IL580" s="1691"/>
      <c r="IM580" s="1693" t="e">
        <f>ROUND(T580*AB581*N579*R579/1000,0)</f>
        <v>#VALUE!</v>
      </c>
      <c r="IN580" s="1691"/>
      <c r="IP580" s="1679"/>
      <c r="IQ580" s="1679" t="e">
        <f t="shared" ref="IQ580:IU580" si="527">IF($CR580="interior",VLOOKUP($CS580,_New_Control_Savings_Interior,IQ$30,FALSE),VLOOKUP($CS580,Control_Savings_Exterior,IQ$30,FALSE))</f>
        <v>#N/A</v>
      </c>
      <c r="IR580" s="1679" t="e">
        <f t="shared" si="527"/>
        <v>#N/A</v>
      </c>
      <c r="IS580" s="1679" t="e">
        <f t="shared" si="527"/>
        <v>#N/A</v>
      </c>
      <c r="IT580" s="1679" t="e">
        <f t="shared" si="527"/>
        <v>#N/A</v>
      </c>
      <c r="IU580" s="1679" t="e">
        <f t="shared" si="527"/>
        <v>#N/A</v>
      </c>
      <c r="IV580" s="1679" t="e">
        <f>IF($CR580="interior",IF(R579&gt;$IP$14,ROUND(($IV$18*($IP$14/R579)),2),$IV$18),VLOOKUP($CS580,Control_Savings_Exterior,IV$30,FALSE))</f>
        <v>#N/A</v>
      </c>
      <c r="IW580" s="1679" t="e">
        <f>IF($CR580="interior",ROUND(((1-IS580)*IV580)+IS580,2),VLOOKUP($CS580,Control_Savings_Exterior,IW$30,FALSE))</f>
        <v>#N/A</v>
      </c>
      <c r="IX580" s="1679" t="e">
        <f>IF($CR580="interior",ROUND(((1-IT580)*IV580)+IT580,2),VLOOKUP($CS580,Control_Savings_Exterior,IX$30,FALSE))</f>
        <v>#N/A</v>
      </c>
      <c r="IY580" s="1679" t="e">
        <f>IF($CR580="interior",IF(R579&gt;$IP$14,ROUND(($IY$18*($IP$14/R579)),2),$IY$18),VLOOKUP($CS580,Control_Savings_Exterior,IY$30,FALSE))</f>
        <v>#N/A</v>
      </c>
      <c r="IZ580" s="1679" t="e">
        <f>IF($CR580="interior",ROUND(((1-IS580)*IY580)+IS580,2),VLOOKUP($CS580,Control_Savings_Exterior,IZ$30,FALSE))</f>
        <v>#N/A</v>
      </c>
      <c r="JA580" s="1679" t="e">
        <f>IF($CR580="interior",ROUND(((1-IT580)*IY580)+IT580,2),VLOOKUP($CS580,Control_Savings_Exterior,JA$30,FALSE))</f>
        <v>#N/A</v>
      </c>
      <c r="JC580" s="1680">
        <f>IFERROR(IF(CR580="Interior",CONCATENATE(G581," ",FQ580),AG580),"")</f>
        <v>0</v>
      </c>
      <c r="JD580" s="1670" t="str">
        <f>IFERROR(VLOOKUP(JC580,_Controls_2023,2,FALSE),"")</f>
        <v/>
      </c>
      <c r="JE580" s="1681">
        <f>IFERROR(CHOOSE(JD580-1,IQ580,IR580,IS580,IT580,IU580,IV580,IW580,IX580,IY580,IZ580,JA580),0)</f>
        <v>0</v>
      </c>
      <c r="JG580" s="1680" t="str">
        <f>FE580</f>
        <v xml:space="preserve"> - </v>
      </c>
      <c r="JH580" s="1670" t="e">
        <f>$FO580</f>
        <v>#N/A</v>
      </c>
      <c r="JI580" s="1060"/>
      <c r="JJ580" s="1670">
        <f>IFERROR(IF($IB578=TRUE,IF(OR(JJ$14="No",JJ578=FALSE,JH580&lt;=JH578,AND(_kWh_Grant=0,GD578=FALSE)),0,IF(JJ$8="Per Line",1,$AF580)),0),0)</f>
        <v>0</v>
      </c>
      <c r="JK580" s="1061"/>
      <c r="JL580" s="1670">
        <f>IFERROR(IF(_kWh_Grant=0,0,IF($IB578=TRUE,IF(OR(JL$14="No",JL578=FALSE,JH580&lt;=JH578),0,IF(JL$8="Per Line",1,$T580)),0)),0)</f>
        <v>0</v>
      </c>
      <c r="JM580" s="1061"/>
      <c r="JN580" s="1670">
        <f>IFERROR(IF(_kWh_Grant=0,0,IF($IB578=TRUE,IF(OR(JN$14="No",JN578=FALSE,JH580&lt;=JH578),0,IF(JN$8="Per Line",1,$AF580)),0)),0)</f>
        <v>0</v>
      </c>
      <c r="JO580" s="1061"/>
      <c r="JP580" s="1670">
        <f>IFERROR(IF(__Retrofit_TI_NC=0,IF(_kWh_Grant=0,0,IF($IB578=TRUE,IF(OR(JP$14="No",JP578=FALSE,$JH580&lt;=$JH578),0,IF(JP$8="Per Line",1,$AF580)),0)),IF($IB578=TRUE,IF(OR(JP$14="No",JP578=FALSE,$JH580&lt;=$JH578),0,IF(JP$8="Per Line",1,$AF580)))),0)</f>
        <v>0</v>
      </c>
      <c r="JQ580" s="1061"/>
      <c r="JR580" s="1670">
        <f>IFERROR(IF(__Retrofit_TI_NC=0,IF(_kWh_Grant=0,0,IF($IB578=TRUE,IF(OR(JR$14="No",JR578=FALSE,$JH580&lt;=$JH578),0,IF(JR$8="Per Line",1,$AF580)),0)),IF($IB578=TRUE,IF(OR(JR$14="No",JR578=FALSE,$JH580&lt;=$JH578),0,IF(JR$8="Per Line",1,$AF580)))),0)</f>
        <v>0</v>
      </c>
      <c r="JS580" s="1061"/>
      <c r="JT580" s="1670">
        <f>IFERROR(IF(__Retrofit_TI_NC=0,IF(_kWh_Grant=0,0,IF($IB578=TRUE,IF(OR(JT$14="No",JT578=FALSE,$JH580&lt;=$JH578),0,IF(JT$8="Per Line",1,$AF580)),0)),IF($IB578=TRUE,IF(OR(JT$14="No",JT578=FALSE,$JH580&lt;=$JH578),0,IF(JT$8="Per Line",1,$AF580)))),0)</f>
        <v>0</v>
      </c>
      <c r="JU580" s="1061"/>
      <c r="JV580" s="1670">
        <f>IFERROR(IF(__Retrofit_TI_NC=0,IF(_kWh_Grant=0,0,IF($IB578=TRUE,IF(OR(JV$14="No",JV578=FALSE,$JH580&lt;=$JH578),0,IF(JV$8="Per Line",1,$AF580)),0)),IF($IB578=TRUE,IF(OR(JV$14="No",JV578=FALSE,$JH580&lt;=$JH578),0,IF(JV$8="Per Line",1,$AF580)))),0)</f>
        <v>0</v>
      </c>
      <c r="JX580" s="1670">
        <f>IFERROR(IF(__Retrofit_TI_NC=0,IF(_kWh_Grant=0,0,IF($IB578=TRUE,IF(OR(JX$14="No",JX578=FALSE,$JH580&lt;=$JH578),0,IF(JX$8="Per Line",1,$AF580)),0)),IF($IB578=TRUE,IF(OR(JX$14="No",JX578=FALSE,$JH580&lt;=$JH578),0,IF(JX$8="Per Line",1,$AF580)))),0)</f>
        <v>0</v>
      </c>
      <c r="JZ580" s="1670">
        <f>IFERROR(IF($IB578=TRUE,IF(OR(JZ$14="No",JZ578=FALSE,$JH580&lt;=$JH578,AND(_kWh_Grant=0,$GD578=FALSE)),0,IF(JZ$8="Per Line",1,$AF580)),0),0)</f>
        <v>0</v>
      </c>
      <c r="KB580" s="1670">
        <f>IFERROR(IF(__Retrofit_TI_NC=0,IF(_kWh_Grant=0,0,IF($IB578=TRUE,IF(OR(KB$14="No",KB578=FALSE,$JH580&lt;=$JH578),0,IF(KB$8="Per Line",1,$AF580)),0)),IF($IB578=TRUE,IF(OR(KB$14="No",KB578=FALSE,$JH580&lt;=$JH578),0,IF(KB$8="Per Line",1,$AF580)))),0)</f>
        <v>0</v>
      </c>
    </row>
    <row r="581" spans="1:288" s="78" customFormat="1" ht="14.95" customHeight="1" thickTop="1" thickBot="1">
      <c r="B581" s="1845"/>
      <c r="C581" s="1846"/>
      <c r="D581" s="1847"/>
      <c r="E581" s="1771" t="s">
        <v>436</v>
      </c>
      <c r="F581" s="1772"/>
      <c r="G581" s="1784" t="s">
        <v>437</v>
      </c>
      <c r="H581" s="1785"/>
      <c r="I581" s="1785"/>
      <c r="J581" s="1785"/>
      <c r="K581" s="1785"/>
      <c r="L581" s="1786"/>
      <c r="M581" s="591">
        <f>IFERROR(VLOOKUP(G581,_Daylight_Table[],2,FALSE),0)</f>
        <v>0</v>
      </c>
      <c r="N581" s="592" t="str">
        <f>IF(AND(__Retrofit_TI_NC&gt;0,CQ578="Interior"),"BAM","")</f>
        <v/>
      </c>
      <c r="O581" s="591" t="e">
        <f>VLOOKUP(G580,'Space Table'!$B$3:$L$163,11,FALSE)</f>
        <v>#N/A</v>
      </c>
      <c r="P581" s="1789"/>
      <c r="Q581" s="1790"/>
      <c r="R581" s="1790"/>
      <c r="S581" s="1788"/>
      <c r="T581" s="593" t="s">
        <v>342</v>
      </c>
      <c r="U581" s="1756" t="str" cm="1">
        <f t="array" aca="1" ref="U581" ca="1">IFERROR(VLOOKUP(INDIRECT("U" &amp; ROW()-1),Fixtures!DM$93:DP$142,4,FALSE),"")</f>
        <v/>
      </c>
      <c r="V581" s="1757"/>
      <c r="W581" s="1757"/>
      <c r="X581" s="1757"/>
      <c r="Y581" s="1757"/>
      <c r="Z581" s="1757"/>
      <c r="AA581" s="1758"/>
      <c r="AB581" s="939" t="str">
        <f>IFERROR(VLOOKUP(U580,Fixtures_Proposed_List,2,FALSE),"")</f>
        <v/>
      </c>
      <c r="AC581" s="933" t="str">
        <f>IFERROR(ROUND(T580*AB581*N579*R579/1000,0),"")</f>
        <v/>
      </c>
      <c r="AD581" s="934" t="str">
        <f>IFERROR(ROUND(T580*AB581/1000,2),"")</f>
        <v/>
      </c>
      <c r="AE581" s="998"/>
      <c r="AF581" s="938" t="s">
        <v>342</v>
      </c>
      <c r="AG581" s="1770"/>
      <c r="AH581" s="1770"/>
      <c r="AI581" s="1770"/>
      <c r="AJ581" s="1770"/>
      <c r="AK581" s="1770"/>
      <c r="AL581" s="1770"/>
      <c r="AM581" s="1727"/>
      <c r="AN581" s="1729"/>
      <c r="AO581" s="1731"/>
      <c r="AP581" s="1782"/>
      <c r="AQ581" s="1783"/>
      <c r="AR581" s="1797"/>
      <c r="AS581" s="1797"/>
      <c r="AT581" s="1798"/>
      <c r="AU581" s="1736"/>
      <c r="AV581" s="1753"/>
      <c r="AW581" s="1706"/>
      <c r="AX581" s="468"/>
      <c r="AY581" s="1750"/>
      <c r="AZ581" s="1750"/>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696"/>
      <c r="CQ581" s="1696"/>
      <c r="CR581" s="1809"/>
      <c r="CS581" s="1811"/>
      <c r="CU581" s="1688"/>
      <c r="CV581" s="1703"/>
      <c r="CW581" s="1703"/>
      <c r="CX581" s="1813"/>
      <c r="CY581" s="1815"/>
      <c r="CZ581" s="1711"/>
      <c r="DA581" s="1815"/>
      <c r="DB581" s="1821"/>
      <c r="DC581" s="1821"/>
      <c r="DD581" s="1821"/>
      <c r="DF581" s="1703"/>
      <c r="DG581" s="1831"/>
      <c r="DH581" s="1813"/>
      <c r="DI581" s="1838"/>
      <c r="DJ581" s="1711"/>
      <c r="DK581" s="1712"/>
      <c r="DN581" s="1718"/>
      <c r="DO581" s="1709"/>
      <c r="DQ581" s="1715"/>
      <c r="DR581" s="1720"/>
      <c r="DS581" s="1703"/>
      <c r="DT581" s="1714"/>
      <c r="DU581" s="1715"/>
      <c r="DV581" s="1716"/>
      <c r="DX581" s="1715"/>
      <c r="DY581" s="1720"/>
      <c r="DZ581" s="1715"/>
      <c r="EA581" s="1715"/>
      <c r="EC581" s="1834"/>
      <c r="ED581" s="1834"/>
      <c r="EF581" s="1707"/>
      <c r="EG581" s="1712"/>
      <c r="EH581" s="1815"/>
      <c r="EI581" s="1712"/>
      <c r="EJ581" s="1712"/>
      <c r="EK581" s="1813"/>
      <c r="EL581" s="1813"/>
      <c r="EM581" s="1807"/>
      <c r="EN581" s="1839"/>
      <c r="EO581" s="1839"/>
      <c r="EP581" s="1817"/>
      <c r="EQ581" s="1817"/>
      <c r="ER581" s="1807"/>
      <c r="ES581" s="1807"/>
      <c r="ET581" s="1807"/>
      <c r="EV581" s="1715"/>
      <c r="EX581" s="1806"/>
      <c r="EY581" s="1806"/>
      <c r="EZ581" s="1806"/>
      <c r="FA581" s="1806"/>
      <c r="FB581" s="1806"/>
      <c r="FC581" s="1828"/>
      <c r="FE581" s="1698"/>
      <c r="FG581" s="1703"/>
      <c r="FH581" s="1703"/>
      <c r="FI581" s="133"/>
      <c r="FL581" s="1823"/>
      <c r="FM581" s="1825"/>
      <c r="FN581" s="1698"/>
      <c r="FO581" s="1698"/>
      <c r="FP581" s="1678"/>
      <c r="FQ581" s="1698"/>
      <c r="FS581" s="1687"/>
      <c r="FT581" s="1687"/>
      <c r="FU581" s="1685"/>
      <c r="FV581" s="1687"/>
      <c r="FW581" s="1687"/>
      <c r="FX581" s="1687"/>
      <c r="FY581" s="1697"/>
      <c r="GA581" s="1696"/>
      <c r="GB581" s="1696"/>
      <c r="GC581" s="1696"/>
      <c r="GD581" s="1696"/>
      <c r="GE581" s="1696"/>
      <c r="GF581" s="1696"/>
      <c r="GG581" s="1696"/>
      <c r="GH581" s="1696"/>
      <c r="GI581" s="673"/>
      <c r="GJ581" s="1135"/>
      <c r="GK581" s="1832"/>
      <c r="GN581" s="674">
        <f>IF(GN579=TRUE,0,GN$16)</f>
        <v>0</v>
      </c>
      <c r="GP581" s="674">
        <f>IF(GP579=TRUE,0,GP$16)</f>
        <v>36</v>
      </c>
      <c r="GQ581" s="674">
        <f ca="1">IF(GQ579=TRUE,0,GQ$16)</f>
        <v>35</v>
      </c>
      <c r="GR581" s="391"/>
      <c r="GS581" s="391"/>
      <c r="GT581" s="391"/>
      <c r="GU581" s="391"/>
      <c r="GV581" s="391"/>
      <c r="HG581" s="674">
        <f>IF(HG579=TRUE,0,HG$16)</f>
        <v>0</v>
      </c>
      <c r="HH581" s="674">
        <f t="shared" ref="HH581:HM581" si="528">IF(HH579=TRUE,0,HH$16)</f>
        <v>19</v>
      </c>
      <c r="HI581" s="674">
        <f t="shared" si="528"/>
        <v>18</v>
      </c>
      <c r="HJ581" s="674">
        <f t="shared" si="528"/>
        <v>17</v>
      </c>
      <c r="HK581" s="674">
        <f t="shared" si="528"/>
        <v>16</v>
      </c>
      <c r="HL581" s="674">
        <f t="shared" si="528"/>
        <v>0</v>
      </c>
      <c r="HM581" s="674">
        <f t="shared" si="528"/>
        <v>0</v>
      </c>
      <c r="HN581" s="674">
        <f>IF(HN579=TRUE,0,HN$16)</f>
        <v>13</v>
      </c>
      <c r="HO581" s="674">
        <f t="shared" ref="HO581:HQ581" si="529">IF(HO579=TRUE,0,HO$16)</f>
        <v>0</v>
      </c>
      <c r="HP581" s="674">
        <f t="shared" si="529"/>
        <v>0</v>
      </c>
      <c r="HQ581" s="674">
        <f t="shared" si="529"/>
        <v>10</v>
      </c>
      <c r="HR581" s="674">
        <f>IF(HR579=TRUE,0,HR$16)</f>
        <v>9</v>
      </c>
      <c r="HS581" s="674">
        <f t="shared" ref="HS581:HW581" si="530">IF(HS579=TRUE,0,HS$16)</f>
        <v>0</v>
      </c>
      <c r="HT581" s="674">
        <f t="shared" si="530"/>
        <v>0</v>
      </c>
      <c r="HU581" s="674">
        <f t="shared" si="530"/>
        <v>0</v>
      </c>
      <c r="HV581" s="674">
        <f t="shared" si="530"/>
        <v>0</v>
      </c>
      <c r="HW581" s="674">
        <f t="shared" si="530"/>
        <v>0</v>
      </c>
      <c r="HX581" s="674">
        <f>IF(HX579=TRUE,0,HX$16)</f>
        <v>0</v>
      </c>
      <c r="HY581" s="674">
        <f>IF(HY579=TRUE,0,HY$16)</f>
        <v>0</v>
      </c>
      <c r="HZ581" s="674">
        <f>IF(HZ579=TRUE,0,HZ$16)</f>
        <v>1</v>
      </c>
      <c r="IB581" s="674">
        <f>IF(GP579=FALSE,GP581,IF(GQ579=FALSE,GQ581,MAX(GN581:HZ581)))</f>
        <v>36</v>
      </c>
      <c r="IC581" s="1692"/>
      <c r="ID581" s="205" t="str">
        <f>VLOOKUP(IB581,_Error_Table,3,FALSE)</f>
        <v xml:space="preserve"> </v>
      </c>
      <c r="IE581" s="205"/>
      <c r="IF581" s="1688"/>
      <c r="IG581" s="1689"/>
      <c r="IH581" s="1684"/>
      <c r="IK581" s="1689"/>
      <c r="IL581" s="1692"/>
      <c r="IM581" s="1692"/>
      <c r="IN581" s="1692"/>
      <c r="IP581" s="1679"/>
      <c r="IQ581" s="1679"/>
      <c r="IR581" s="1679"/>
      <c r="IS581" s="1679"/>
      <c r="IT581" s="1679"/>
      <c r="IU581" s="1679"/>
      <c r="IV581" s="1679"/>
      <c r="IW581" s="1679"/>
      <c r="IX581" s="1679"/>
      <c r="IY581" s="1679"/>
      <c r="IZ581" s="1679"/>
      <c r="JA581" s="1679"/>
      <c r="JC581" s="1680"/>
      <c r="JD581" s="1670"/>
      <c r="JE581" s="1681"/>
      <c r="JG581" s="1680"/>
      <c r="JH581" s="1670"/>
      <c r="JI581" s="1060"/>
      <c r="JJ581" s="1670"/>
      <c r="JK581" s="1061"/>
      <c r="JL581" s="1670"/>
      <c r="JM581" s="1061"/>
      <c r="JN581" s="1670"/>
      <c r="JO581" s="1061"/>
      <c r="JP581" s="1670"/>
      <c r="JQ581" s="1061"/>
      <c r="JR581" s="1670"/>
      <c r="JS581" s="1061"/>
      <c r="JT581" s="1670"/>
      <c r="JU581" s="1061"/>
      <c r="JV581" s="1670"/>
      <c r="JX581" s="1670"/>
      <c r="JZ581" s="1670"/>
      <c r="KB581" s="1670"/>
    </row>
    <row r="582" spans="1:288" s="78" customFormat="1" ht="5.0999999999999996" customHeight="1">
      <c r="B582" s="676"/>
      <c r="C582" s="392"/>
      <c r="D582" s="392"/>
      <c r="E582" s="1733"/>
      <c r="F582" s="1733"/>
      <c r="G582" s="1733"/>
      <c r="H582" s="1733"/>
      <c r="I582" s="1733"/>
      <c r="J582" s="1733"/>
      <c r="K582" s="1733"/>
      <c r="L582" s="1733"/>
      <c r="M582" s="1733"/>
      <c r="N582" s="1733"/>
      <c r="O582" s="1733"/>
      <c r="P582" s="1733"/>
      <c r="Q582" s="1733"/>
      <c r="R582" s="1733"/>
      <c r="S582" s="1733"/>
      <c r="T582" s="1733"/>
      <c r="U582" s="1733"/>
      <c r="V582" s="1733"/>
      <c r="W582" s="1733"/>
      <c r="X582" s="1733"/>
      <c r="Y582" s="1733"/>
      <c r="Z582" s="1733"/>
      <c r="AA582" s="1733"/>
      <c r="AB582" s="1733"/>
      <c r="AC582" s="1733"/>
      <c r="AD582" s="1733"/>
      <c r="AE582" s="1733"/>
      <c r="AF582" s="1733"/>
      <c r="AG582" s="1733"/>
      <c r="AH582" s="1733"/>
      <c r="AI582" s="1733"/>
      <c r="AJ582" s="1733"/>
      <c r="AK582" s="1733"/>
      <c r="AL582" s="1733"/>
      <c r="AM582" s="1733"/>
      <c r="AN582" s="1733"/>
      <c r="AO582" s="1733"/>
      <c r="AP582" s="1733"/>
      <c r="AQ582" s="1733"/>
      <c r="AR582" s="1733"/>
      <c r="AS582" s="1733"/>
      <c r="AT582" s="1733"/>
      <c r="AU582" s="1733"/>
      <c r="AV582" s="1733"/>
      <c r="AW582" s="1733"/>
      <c r="AX582" s="469"/>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663"/>
      <c r="CQ582" s="663"/>
      <c r="CR582" s="438"/>
      <c r="CS582" s="663"/>
      <c r="CV582" s="391"/>
      <c r="CW582" s="391"/>
      <c r="CX582" s="207"/>
      <c r="CY582" s="208"/>
      <c r="CZ582" s="208"/>
      <c r="DA582" s="208"/>
      <c r="DB582" s="209"/>
      <c r="DC582" s="209"/>
      <c r="DD582" s="209"/>
      <c r="DF582" s="664"/>
      <c r="DG582" s="665"/>
      <c r="DH582" s="666"/>
      <c r="DI582" s="667"/>
      <c r="DJ582" s="668"/>
      <c r="DK582" s="668"/>
      <c r="DN582" s="208"/>
      <c r="DO582" s="664"/>
      <c r="DQ582" s="664"/>
      <c r="DR582" s="669"/>
      <c r="DS582" s="391"/>
      <c r="DT582" s="664"/>
      <c r="DU582" s="664"/>
      <c r="DV582" s="664"/>
      <c r="DX582" s="664"/>
      <c r="DY582" s="664"/>
      <c r="DZ582" s="664"/>
      <c r="EA582" s="664"/>
      <c r="EC582" s="670"/>
      <c r="ED582" s="670"/>
      <c r="EF582" s="668"/>
      <c r="EG582" s="668"/>
      <c r="EH582" s="208"/>
      <c r="EI582" s="668"/>
      <c r="EJ582" s="668"/>
      <c r="EK582" s="207"/>
      <c r="EL582" s="207"/>
      <c r="EM582" s="666"/>
      <c r="EN582" s="671"/>
      <c r="EO582" s="671"/>
      <c r="EP582" s="672"/>
      <c r="EQ582" s="672"/>
      <c r="ER582" s="666"/>
      <c r="ES582" s="666"/>
      <c r="ET582" s="666"/>
      <c r="EV582" s="664"/>
      <c r="EX582" s="391"/>
      <c r="EY582" s="391"/>
      <c r="EZ582" s="391"/>
      <c r="FA582" s="391"/>
      <c r="FB582" s="391"/>
      <c r="FC582" s="391"/>
      <c r="FE582" s="569"/>
      <c r="FG582" s="391"/>
      <c r="FH582" s="391"/>
      <c r="FI582" s="391"/>
      <c r="FS582" s="664"/>
      <c r="FT582" s="391"/>
      <c r="FU582" s="391"/>
      <c r="FV582" s="664"/>
      <c r="FW582" s="664"/>
      <c r="GA582" s="663"/>
      <c r="GB582" s="663"/>
      <c r="GC582" s="663"/>
      <c r="GD582" s="663"/>
      <c r="GE582" s="663"/>
      <c r="GF582" s="663"/>
      <c r="GG582" s="663"/>
      <c r="GH582" s="663"/>
      <c r="GI582" s="665"/>
      <c r="GJ582" s="664"/>
      <c r="GK582" s="664"/>
    </row>
    <row r="583" spans="1:288" s="78" customFormat="1" ht="14.95" customHeight="1">
      <c r="B583" s="1845" t="str">
        <f>ID586</f>
        <v xml:space="preserve"> </v>
      </c>
      <c r="C583" s="1846">
        <f>C578+1</f>
        <v>104</v>
      </c>
      <c r="D583" s="1847"/>
      <c r="E583" s="1799" t="s">
        <v>295</v>
      </c>
      <c r="F583" s="1800"/>
      <c r="G583" s="1741"/>
      <c r="H583" s="1742"/>
      <c r="I583" s="1742"/>
      <c r="J583" s="1742"/>
      <c r="K583" s="1742"/>
      <c r="L583" s="1742"/>
      <c r="M583" s="1742"/>
      <c r="N583" s="1742"/>
      <c r="O583" s="1742"/>
      <c r="P583" s="1742"/>
      <c r="Q583" s="1742"/>
      <c r="R583" s="1742"/>
      <c r="S583" s="1791" t="s">
        <v>344</v>
      </c>
      <c r="T583" s="590"/>
      <c r="U583" s="1743"/>
      <c r="V583" s="1744"/>
      <c r="W583" s="1744"/>
      <c r="X583" s="1744"/>
      <c r="Y583" s="1744"/>
      <c r="Z583" s="1744"/>
      <c r="AA583" s="1744"/>
      <c r="AB583" s="961" t="str">
        <f>IFERROR(IF(__Retrofit_TI_NC=0,VLOOKUP(U584,Fixtures_Existing_List,2,FALSE),ROUND(N585*R585/T585,10)),"")</f>
        <v/>
      </c>
      <c r="AC583" s="935" t="str">
        <f>IFERROR(IF(__Retrofit_TI_NC=0,ROUND(T584*AB583*N584*R584/1000,0),IF(CQ583="Interior",N585*R585*R584*N584*_C406_reduction/1000,N585*R585*R584*N584/1000)),"")</f>
        <v/>
      </c>
      <c r="AD583" s="936" t="str">
        <f>IFERROR(IF(C$43=0,ROUND(T584*AB583/1000,2),N585*R585/1000),"")</f>
        <v/>
      </c>
      <c r="AE583" s="997"/>
      <c r="AF583" s="937"/>
      <c r="AG583" s="1745" t="str">
        <f>IF(__Retrofit_TI_NC=0," Control","Select Advanced Control for New System")</f>
        <v xml:space="preserve"> Control</v>
      </c>
      <c r="AH583" s="1745"/>
      <c r="AI583" s="1745"/>
      <c r="AJ583" s="1745"/>
      <c r="AK583" s="1745"/>
      <c r="AL583" s="1745"/>
      <c r="AM583" s="1746">
        <f>IFERROR(DI583,"")</f>
        <v>0</v>
      </c>
      <c r="AN583" s="1774" t="str">
        <f>IFERROR(ROUND(AM583*AC583,0),"")</f>
        <v/>
      </c>
      <c r="AO583" s="1776">
        <f>IFERROR(IF(IB583=FALSE,0,AC583-AN583),0)</f>
        <v>0</v>
      </c>
      <c r="AP583" s="1778">
        <f>AO583-AO585</f>
        <v>0</v>
      </c>
      <c r="AQ583" s="1779"/>
      <c r="AR583" s="1793">
        <f>IFERROR(IF(IB583=FALSE,0,(T585*U586)+(AF585*AG586)),0)</f>
        <v>0</v>
      </c>
      <c r="AS583" s="1793"/>
      <c r="AT583" s="1794"/>
      <c r="AU583" s="1734" t="s">
        <v>237</v>
      </c>
      <c r="AV583" s="1751">
        <f>IF(AU583="Yes",1,0)</f>
        <v>1</v>
      </c>
      <c r="AW583" s="1704" t="str">
        <f>IF(OR(DQ583=4,DQ583=5,DQ583=6,DQ583=12),CONCATENATE("$",IF(GH583=TRUE,Lookup!$K$10,Lookup!$K$2)," /lamp"),CONCATENATE(TEXT(ED583,"$0.00"),"/ kWh"))</f>
        <v>$0.00/ kWh</v>
      </c>
      <c r="AX583" s="467"/>
      <c r="AY583" s="1748">
        <f ca="1">IFERROR(IF(GM584=TRUE,(AB586*T585)/R585,0),"NA")</f>
        <v>0</v>
      </c>
      <c r="AZ583" s="1748"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696" t="str">
        <f>N584</f>
        <v/>
      </c>
      <c r="CQ583" s="1696" t="str">
        <f>IFERROR(VLOOKUP(G584,_Lookup_Heat_Type_Table_New,3,FALSE),"")</f>
        <v/>
      </c>
      <c r="CR583" s="1808" t="str">
        <f>CQ583</f>
        <v/>
      </c>
      <c r="CS583" s="1810" t="str">
        <f>IFERROR(VLOOKUP(G585,'Space Table'!$B$3:$L$163,9,FALSE),"")</f>
        <v/>
      </c>
      <c r="CU583" s="1688" t="s">
        <v>344</v>
      </c>
      <c r="CV583" s="1702">
        <f>IF(IB583=TRUE,T584,0)</f>
        <v>0</v>
      </c>
      <c r="CW583" s="1702" t="str">
        <f>IF(IB583=TRUE,U584,"")</f>
        <v/>
      </c>
      <c r="CX583" s="1702"/>
      <c r="CY583" s="1814">
        <f>IF(IB583=TRUE,AB583,0)</f>
        <v>0</v>
      </c>
      <c r="CZ583" s="1710">
        <f>IF(AND(__Retrofit_TI_NC&gt;0,CR583="interior"),0,IF(IB583=TRUE,AC583,0))</f>
        <v>0</v>
      </c>
      <c r="DA583" s="1814">
        <f>IFERROR(IF(IB583=TRUE,CZ583-CZ585,0),0)</f>
        <v>0</v>
      </c>
      <c r="DB583" s="1819">
        <f>IF(IB583=TRUE,AD583,0)</f>
        <v>0</v>
      </c>
      <c r="DC583" s="1819">
        <f>IF(IB583=TRUE,AD586,0)</f>
        <v>0</v>
      </c>
      <c r="DD583" s="1819">
        <f>IFERROR(DB583-DC583,0)</f>
        <v>0</v>
      </c>
      <c r="DF583" s="1702">
        <f>IF(IB583=TRUE,AF584,0)</f>
        <v>0</v>
      </c>
      <c r="DG583" s="1830">
        <f>IFERROR(IF(__Retrofit_TI_NC=2,IF(CQ583="Exterior",O586,FQ583),FN583),"")</f>
        <v>0</v>
      </c>
      <c r="DH583" s="1702"/>
      <c r="DI583" s="1837">
        <f>JE583</f>
        <v>0</v>
      </c>
      <c r="DJ583" s="1710">
        <f>IF(AND(__Retrofit_TI_NC&gt;0,CR583="interior"),0,IF(IB583=TRUE,AN583,0))</f>
        <v>0</v>
      </c>
      <c r="DK583" s="1712">
        <f>IFERROR(IF(IB583=TRUE,DJ585-DJ583,0),0)</f>
        <v>0</v>
      </c>
      <c r="DM583" s="1717">
        <f>IFERROR(CZ583-DJ583,0)</f>
        <v>0</v>
      </c>
      <c r="DO583" s="1708">
        <f>DM583-DN585</f>
        <v>0</v>
      </c>
      <c r="DQ583" s="1715" t="str">
        <f>IFERROR(IF(AND(OR(GC583=4,GC583=5,GC583=6),OR(GF583=4,GF583=5,GF583=6)),GC583+8,VLOOKUP(CW585,Fixtures!R$31:Y$78,8,FALSE)),"")</f>
        <v/>
      </c>
      <c r="DR583" s="1829" t="str">
        <f>DQ583</f>
        <v/>
      </c>
      <c r="DS583" s="1702" t="str">
        <f>IFERROR(VLOOKUP(DG585,Lookup!BB$3:BC$20,2,FALSE),"")</f>
        <v/>
      </c>
      <c r="DT583" s="1713" t="str">
        <f>IF(OR(DS583=7,DS583=8,DS583=9),"ALC","")</f>
        <v/>
      </c>
      <c r="DU583" s="1715">
        <f>IFERROR(IF(OR(DQ583=4,DQ583=5,DQ583=6,DQ583=12,DQ583=13,DQ583=14),VLOOKUP(CW585,Fixtures!DN$27:EG$77,19,FALSE),1)*CV585,0)</f>
        <v>0</v>
      </c>
      <c r="DV583" s="1716">
        <f>IF(OR(DS583=7,DS583=8,DS583=9),IF(DG583=DG585,0,DF585),0)</f>
        <v>0</v>
      </c>
      <c r="DX583" s="1715" t="str">
        <f>IFERROR(IF(EZ583&lt;EZ585,"Yes","No"),"")</f>
        <v/>
      </c>
      <c r="DY583" s="1829" t="str">
        <f>DX583</f>
        <v/>
      </c>
      <c r="DZ583" s="1715">
        <f>IF(DX583="Yes",DF585,0)</f>
        <v>0</v>
      </c>
      <c r="EA583" s="1715">
        <f>DZ583-DV583</f>
        <v>0</v>
      </c>
      <c r="EC583" s="1834">
        <f>IFERROR(VLOOKUP(DQ583,Lookup!AU$3:AV$16,2,FALSE),0)</f>
        <v>0</v>
      </c>
      <c r="ED583" s="1834">
        <f>IF(IB583=FALSE,0,IF(DX583="Yes",EC583+Lookup!K$6,EC583))</f>
        <v>0</v>
      </c>
      <c r="EF583" s="1707">
        <f>IF(IB583=TRUE,DM583,0)</f>
        <v>0</v>
      </c>
      <c r="EG583" s="1712">
        <f>IF(IB583=TRUE,CZ585,0)</f>
        <v>0</v>
      </c>
      <c r="EH583" s="1814">
        <f>IFERROR(EF583-EG583,0)</f>
        <v>0</v>
      </c>
      <c r="EI583" s="1712">
        <f>IF(IB583=TRUE,DJ585,0)</f>
        <v>0</v>
      </c>
      <c r="EJ583" s="1712">
        <f>IFERROR(EF583-EG583+EI583,0)</f>
        <v>0</v>
      </c>
      <c r="EK583" s="1812">
        <f>IF(IB583=TRUE,CV585*CX585,0)</f>
        <v>0</v>
      </c>
      <c r="EL583" s="1812">
        <f>IF(IB583=TRUE,DF585*DH585,0)</f>
        <v>0</v>
      </c>
      <c r="EM583" s="1807">
        <f>AR583</f>
        <v>0</v>
      </c>
      <c r="EN583" s="1839" t="str">
        <f>IFERROR(IF(IB583=TRUE,VLOOKUP(DQ583,Lookup!AU$3:AW$16,3,FALSE)*DU583,""),0)</f>
        <v/>
      </c>
      <c r="EO583" s="1839">
        <f>IF(IB583=TRUE,DZ583*Lookup!AW$12,0)</f>
        <v>0</v>
      </c>
      <c r="EP583" s="1817">
        <f>IFERROR(IF(IB583=TRUE,EN583/EP$40,0),0)</f>
        <v>0</v>
      </c>
      <c r="EQ583" s="1817">
        <f>IF(IB583=TRUE,EO583/EQ$40,0)</f>
        <v>0</v>
      </c>
      <c r="ER583" s="1807">
        <f>IF(IB583=TRUE,ET$40*EP583,0)</f>
        <v>0</v>
      </c>
      <c r="ES583" s="1807">
        <f>IF(IB583=TRUE,ET$40*EQ583,0)</f>
        <v>0</v>
      </c>
      <c r="ET583" s="1807">
        <f>ER583+ES583</f>
        <v>0</v>
      </c>
      <c r="EV583" s="1715">
        <f>IF(G583="",0,1)</f>
        <v>0</v>
      </c>
      <c r="EX583" s="1804" t="str">
        <f>IFERROR(VLOOKUP(CS585,'Space Table'!$B$3:$L$163,8,FALSE),"")</f>
        <v/>
      </c>
      <c r="EY583" s="1804" t="str">
        <f>IFERROR(IF(FB583="Yes",VLOOKUP(DG583,Lookup_Control_Type_Table2,4,FALSE),VLOOKUP(DG583,Lookup_Control_Type_Table2,3,FALSE)),"")</f>
        <v/>
      </c>
      <c r="EZ583" s="1804" t="e">
        <f>VLOOKUP(DG583,Lookup!BB$3:BC$20,2,FALSE)</f>
        <v>#N/A</v>
      </c>
      <c r="FA583" s="1804" t="e">
        <f>VLOOKUP(EX583,Lookup_Control_Type_Table,2,FALSE)</f>
        <v>#N/A</v>
      </c>
      <c r="FB583" s="1804" t="e">
        <f>VLOOKUP(CS585,'Space Table'!$B$3:$L$163,7,FALSE)</f>
        <v>#N/A</v>
      </c>
      <c r="FC583" s="1826" t="b">
        <f>ISNUMBER(SEARCH("TLED",U585))</f>
        <v>0</v>
      </c>
      <c r="FE583" s="1698" t="str">
        <f>CONCATENATE(CQ583," - ",DG583)</f>
        <v xml:space="preserve"> - 0</v>
      </c>
      <c r="FG583" s="1702" t="str">
        <f>VLOOKUP(CW585,Fixtures!DN$27:EZ$77,38,FALSE)</f>
        <v/>
      </c>
      <c r="FH583" s="1702">
        <f>IFERROR(FG583*EH583,0)</f>
        <v>0</v>
      </c>
      <c r="FI583" s="133"/>
      <c r="FL583" s="1822" t="str">
        <f>IF(CQ583="Exterior","Not Daylighted",G586)</f>
        <v>Not Daylighted</v>
      </c>
      <c r="FM583" s="1824">
        <f>VLOOKUP(FL583,_New_Daylight_Table_Codes,2,FALSE)</f>
        <v>0</v>
      </c>
      <c r="FN583" s="1698">
        <f>IF(__Retrofit_TI_NC&gt;0,VLOOKUP(G585,'Space Table'!$B$3:$L$163,11,FALSE),AG584)</f>
        <v>0</v>
      </c>
      <c r="FO583" s="1698" t="e">
        <f>IF(__Retrofit_TI_NC=2,VLOOKUP(FQ583,_Control_Table,2,FALSE),VLOOKUP(FN583,_Control_Table,2,FALSE))</f>
        <v>#N/A</v>
      </c>
      <c r="FP583" s="1678" t="e">
        <f>VLOOKUP(CONCATENATE(FL583," ",FN583),Lookup!AY$102:AZ593,2,FALSE)</f>
        <v>#N/A</v>
      </c>
      <c r="FQ583" s="1678">
        <f>IF(__Retrofit_TI_NC=0,FN583,IF(AND(FT583&gt;0,FN583="Occupancy Sensor"),"Daylight + Occupancy",IF(AND(FT583&gt;0,VLOOKUP(FN583,_Control_Table,2,FALSE)&lt;4),"Interior Daylight Dimming",FN583)))</f>
        <v>0</v>
      </c>
      <c r="FS583" s="1686">
        <f>IF(CR583="Interior",VLOOKUP(CS583,Control_Savings_Interior,5,FALSE),0)</f>
        <v>0</v>
      </c>
      <c r="FT583" s="1687">
        <f>IF(CQ583="Exterior",0,IF(FM583=2,0.5,IF(OR(FM583=1,FM583=3),1,0)))</f>
        <v>0</v>
      </c>
      <c r="FU583" s="1685">
        <f>IF(R582&gt;FS$44,(FS583*(FS$44/R582)),FS583)*FT583</f>
        <v>0</v>
      </c>
      <c r="FV583" s="1686">
        <f>DI583</f>
        <v>0</v>
      </c>
      <c r="FW583" s="1686">
        <f>ROUND(FV583+((1-FV583)*FU583),2)</f>
        <v>0</v>
      </c>
      <c r="FX583" s="1686">
        <f>IF(__Retrofit_TI_NC=2,FW583,FV583)</f>
        <v>0</v>
      </c>
      <c r="FY583" s="1697"/>
      <c r="GA583" s="1696" t="str">
        <f>IFERROR(VLOOKUP(U584,_Exist_Fixture_Table,3,FALSE),"")</f>
        <v/>
      </c>
      <c r="GB583" s="1696" t="str">
        <f>VLOOKUP(CW583,_Exist_Fixture_Table,4,FALSE)</f>
        <v/>
      </c>
      <c r="GC583" s="1696">
        <f>IFERROR(VLOOKUP(GB583,Lookup!AT$6:AU$8,2,FALSE),0)</f>
        <v>0</v>
      </c>
      <c r="GD583" s="1696" t="b">
        <f>IFERROR(IF(OR(GF583=4,GF583=5,GF583=6),TRUE,FALSE),"")</f>
        <v>0</v>
      </c>
      <c r="GE583" s="1696" t="str">
        <f>IFERROR(VLOOKUP(GF583,GC$6:GD$10,2,FALSE),"")</f>
        <v/>
      </c>
      <c r="GF583" s="1696" t="str">
        <f>VLOOKUP(CW585,Fixtures!R$31:Y$78,8,FALSE)</f>
        <v/>
      </c>
      <c r="GG583" s="1696">
        <f>IF(AND(GA583=TRUE,GD583=TRUE,OR(DQ583=12,DQ583=13,DQ583=14)),GC583+8,0)</f>
        <v>0</v>
      </c>
      <c r="GH583" s="1696" t="b">
        <f>IF(OR(GG583=12,GG583=13,GG583=14),TRUE,FALSE)</f>
        <v>0</v>
      </c>
      <c r="GI583" s="673" t="b">
        <f>IF(ISNUMBER(SEARCH("TLED",U584)),TRUE,FALSE)</f>
        <v>0</v>
      </c>
      <c r="GJ583" s="1135" t="str">
        <f>IFERROR(VLOOKUP(U584,Fixtures!BM$93:BR$142,6,FALSE),"")</f>
        <v/>
      </c>
      <c r="GK583" s="1832" t="b">
        <f>IF(OR(GI583=FALSE,GI585=FALSE),TRUE,IF(GJ583-GJ585&lt;5,FALSE,TRUE))</f>
        <v>1</v>
      </c>
      <c r="GO583" s="674">
        <f>GP583</f>
        <v>0</v>
      </c>
      <c r="GP583" s="674">
        <f>IF(G583="",0,1)</f>
        <v>0</v>
      </c>
      <c r="GQ583" s="674">
        <f ca="1">SUM(GR583:HF583)</f>
        <v>2</v>
      </c>
      <c r="GR583" s="674">
        <f>IF(G584="",0,1)</f>
        <v>0</v>
      </c>
      <c r="GS583" s="674">
        <f>IF(N586="BAM",1,IF(G585="",0,1))</f>
        <v>0</v>
      </c>
      <c r="GT583" s="674">
        <f>IF(N586="BAM",1,IF(R584="",0,1))</f>
        <v>0</v>
      </c>
      <c r="GU583" s="674">
        <f>IF(N586="BAM",1,IF(__Retrofit_TI_NC=0,1,IF(R585="",0,1)))</f>
        <v>1</v>
      </c>
      <c r="GV583" s="674">
        <f>IF(N586="BAM",1,IF(CQ583="Exterior",1,IF(G586="",0,1)))</f>
        <v>1</v>
      </c>
      <c r="GW583" s="674">
        <f>IF(__Retrofit_TI_NC&gt;0,1,IF(T584="",0,1))</f>
        <v>0</v>
      </c>
      <c r="GX583" s="674">
        <f>IF(__Retrofit_TI_NC&gt;0,1,IF(U584="",0,1))</f>
        <v>0</v>
      </c>
      <c r="GY583" s="674">
        <f>IF(N586="BAM",1,IF(T585="",0,1))</f>
        <v>0</v>
      </c>
      <c r="GZ583" s="674">
        <f>IF(N586="BAM",1,IF(U585="",0,1))</f>
        <v>0</v>
      </c>
      <c r="HA583" s="674">
        <f ca="1">IF(N586="BAM",1,IF(__Retrofit_TI_NC&gt;0,1,IF(U586="",0,1)))</f>
        <v>0</v>
      </c>
      <c r="HB583" s="674">
        <f>IF(__Retrofit_TI_NC&lt;&gt;0,1,IF(AF584="",0,1))</f>
        <v>0</v>
      </c>
      <c r="HC583" s="674">
        <f>IF(__Retrofit_TI_NC&lt;&gt;0,1,IF(AG584="",0,1))</f>
        <v>0</v>
      </c>
      <c r="HD583" s="674">
        <f>IF(N586="BAM",1,IF(AF585="",0,1))</f>
        <v>0</v>
      </c>
      <c r="HE583" s="674">
        <f>IF(N586="BAM",1,IF(AG585="",0,1))</f>
        <v>0</v>
      </c>
      <c r="HF583" s="674">
        <f>IF(N586="BAM",1,IF(__Retrofit_TI_NC&gt;0,1,IF(AG586="",0,1)))</f>
        <v>0</v>
      </c>
      <c r="HG583" s="391"/>
      <c r="IA583" s="391"/>
      <c r="IB583" s="1693" t="b">
        <f>IF(OR(IB586=0,IB586=HY$16,IB586=HX$16,IB586=HZ$16),TRUE,FALSE)</f>
        <v>0</v>
      </c>
      <c r="IC583" s="1694" t="b">
        <f>IB583</f>
        <v>0</v>
      </c>
      <c r="ID583" s="391"/>
      <c r="IE583" s="391"/>
      <c r="IF583" s="1688" t="b">
        <f ca="1">IF(MAX(GN586:HU586)&gt;5,FALSE,TRUE)</f>
        <v>0</v>
      </c>
      <c r="IG583" s="1689">
        <f ca="1">IF(IF583=TRUE,AC583,0)</f>
        <v>0</v>
      </c>
      <c r="IH583" s="1689">
        <f ca="1">IG583-IG585</f>
        <v>0</v>
      </c>
      <c r="IK583" s="1689" t="e">
        <f>ROUND(T584*VLOOKUP(U584,Fixtures_Existing_List,2,FALSE)*N584*R584/1000,0)</f>
        <v>#N/A</v>
      </c>
      <c r="IL583" s="1690" t="e">
        <f>IK583-IK585</f>
        <v>#N/A</v>
      </c>
      <c r="IM583" s="1693" t="e">
        <f>ROUND(IF(CQ583="Interior",N585*R585*R584*N584*_C406_reduction/1000,N585*R585*R584*N584/1000),0)</f>
        <v>#N/A</v>
      </c>
      <c r="IN583" s="1693" t="e">
        <f>IM583-IM585</f>
        <v>#N/A</v>
      </c>
      <c r="IP583" s="1679"/>
      <c r="IQ583" s="1679" t="e">
        <f t="shared" ref="IQ583:IU583" si="531">IF($CR583="interior",VLOOKUP($CS583,_New_Control_Savings_Interior,IQ$30,FALSE),VLOOKUP($CS583,Control_Savings_Exterior,IQ$30,FALSE))</f>
        <v>#N/A</v>
      </c>
      <c r="IR583" s="1679" t="e">
        <f t="shared" si="531"/>
        <v>#N/A</v>
      </c>
      <c r="IS583" s="1679" t="e">
        <f t="shared" si="531"/>
        <v>#N/A</v>
      </c>
      <c r="IT583" s="1679" t="e">
        <f t="shared" si="531"/>
        <v>#N/A</v>
      </c>
      <c r="IU583" s="1679" t="e">
        <f t="shared" si="531"/>
        <v>#N/A</v>
      </c>
      <c r="IV583" s="1679" t="e">
        <f>IF($CR583="interior",IF(R584&gt;$IP$14,ROUND(($IV$18*($IP$14/R584)),2),$IV$18),VLOOKUP($CS583,Control_Savings_Exterior,IV$30,FALSE))</f>
        <v>#N/A</v>
      </c>
      <c r="IW583" s="1679" t="e">
        <f>IF($CR583="interior",ROUND(((1-IS583)*IV583)+IS583,2),VLOOKUP($CS583,Control_Savings_Exterior,IW$30,FALSE))</f>
        <v>#N/A</v>
      </c>
      <c r="IX583" s="1679" t="e">
        <f>IF($CR583="interior",ROUND(((1-IT583)*IV583)+IT583,2),VLOOKUP($CS583,Control_Savings_Exterior,IX$30,FALSE))</f>
        <v>#N/A</v>
      </c>
      <c r="IY583" s="1679" t="e">
        <f>IF($CR583="interior",IF(R584&gt;$IP$14,ROUND(($IY$18*($IP$14/R584)),2),$IY$18),VLOOKUP($CS583,Control_Savings_Exterior,IY$30,FALSE))</f>
        <v>#N/A</v>
      </c>
      <c r="IZ583" s="1679" t="e">
        <f>IF($CR583="interior",ROUND(((1-IS583)*IY583)+IS583,2),VLOOKUP($CS583,Control_Savings_Exterior,IZ$30,FALSE))</f>
        <v>#N/A</v>
      </c>
      <c r="JA583" s="1679" t="e">
        <f>IF($CR583="interior",ROUND(((1-IT583)*IY583)+IT583,2),VLOOKUP($CS583,Control_Savings_Exterior,JA$30,FALSE))</f>
        <v>#N/A</v>
      </c>
      <c r="JC583" s="1680">
        <f>IFERROR(IF(CR583="Interior",CONCATENATE(G586," ",FQ583),FQ583),"")</f>
        <v>0</v>
      </c>
      <c r="JD583" s="1670" t="str">
        <f>IFERROR(VLOOKUP(JC583,_Controls_2023,2,FALSE),"")</f>
        <v/>
      </c>
      <c r="JE583" s="1681">
        <f>IFERROR(CHOOSE(JD583-1,IQ583,IR583,IS583,IT583,IU583,IV583,IW583,IX583,IY583,IZ583,JA583),0)</f>
        <v>0</v>
      </c>
      <c r="JG583" s="1680" t="str">
        <f>FE583</f>
        <v xml:space="preserve"> - 0</v>
      </c>
      <c r="JH583" s="1670" t="e">
        <f>$FO583</f>
        <v>#N/A</v>
      </c>
      <c r="JI583" s="1060"/>
      <c r="JJ583" s="1682" t="b">
        <f>IF($JG585=CONCATENATE("Interior - ",JJ$4),TRUE,FALSE)</f>
        <v>0</v>
      </c>
      <c r="JK583" s="1061"/>
      <c r="JL583" s="1682" t="b">
        <f>IF($JG585=CONCATENATE("Interior - ",JL$4),TRUE,FALSE)</f>
        <v>0</v>
      </c>
      <c r="JM583" s="1061"/>
      <c r="JN583" s="1682" t="b">
        <f>IF($JG585=CONCATENATE("Interior - ",JN$4),TRUE,FALSE)</f>
        <v>0</v>
      </c>
      <c r="JO583" s="1061"/>
      <c r="JP583" s="1682" t="b">
        <f>IF(__Retrofit_TI_NC&gt;0,FALSE,IF($JG585=CONCATENATE("Interior - ",JP$4),TRUE,FALSE))</f>
        <v>0</v>
      </c>
      <c r="JQ583" s="1061"/>
      <c r="JR583" s="1682" t="b">
        <f>IF(__Retrofit_TI_NC&gt;0,FALSE,IF($JG585=CONCATENATE("Interior - ",JR$4),TRUE,FALSE))</f>
        <v>0</v>
      </c>
      <c r="JS583" s="1061"/>
      <c r="JT583" s="1670" t="b">
        <f>IF(__Retrofit_TI_NC&gt;0,FALSE,IF($JG585=CONCATENATE("Interior - ",JT$4),TRUE,FALSE))</f>
        <v>0</v>
      </c>
      <c r="JU583" s="1061"/>
      <c r="JV583" s="1670" t="b">
        <f>IF(JC585="AELC on Existing",TRUE,FALSE)</f>
        <v>0</v>
      </c>
      <c r="JX583" s="1670" t="b">
        <f>IF(OR(JG585="Exterior - AELC Occupancy based",JG585="Exterior - AELC Time based"),TRUE,FALSE)</f>
        <v>0</v>
      </c>
      <c r="JZ583" s="1682" t="b">
        <f>IF($JG585=CONCATENATE("Exterior - ",JZ$4),TRUE,FALSE)</f>
        <v>0</v>
      </c>
      <c r="KB583" s="1670" t="b">
        <f>IF(__Retrofit_TI_NC&gt;0,FALSE,IF($JG585=CONCATENATE("Interior - ",KB$4),TRUE,FALSE))</f>
        <v>0</v>
      </c>
    </row>
    <row r="584" spans="1:288" s="78" customFormat="1" ht="14.95" customHeight="1" thickTop="1" thickBot="1">
      <c r="B584" s="1845"/>
      <c r="C584" s="1846"/>
      <c r="D584" s="1847"/>
      <c r="E584" s="1737" t="s">
        <v>297</v>
      </c>
      <c r="F584" s="1738"/>
      <c r="G584" s="1739"/>
      <c r="H584" s="1739"/>
      <c r="I584" s="1739"/>
      <c r="J584" s="1739"/>
      <c r="K584" s="1739"/>
      <c r="L584" s="1739"/>
      <c r="M584" s="461" t="e">
        <f>IF(__Retrofit_TI_NC&lt;&gt;0,IF(VLOOKUP(G585,'Space Table'!$B$3:$L$163,3,FALSE)&gt;0,1,0),IF(__Retrofit_TI_NC=VLOOKUP(G585,'Space Table'!$B$3:$L$163,3,FALSE),1,0))</f>
        <v>#N/A</v>
      </c>
      <c r="N584" s="461" t="str">
        <f>IFERROR(VLOOKUP(G584,_Lookup_Heat_Type_Table_New,2,FALSE),"")</f>
        <v/>
      </c>
      <c r="O584" s="461">
        <f>IF(__Retrofit_TI_NC=1,CONCATENATE("TI ",G584),IF(__Retrofit_TI_NC=2,CONCATENATE("NC ",G584),G584))</f>
        <v>0</v>
      </c>
      <c r="P584" s="1740" t="s">
        <v>435</v>
      </c>
      <c r="Q584" s="1740"/>
      <c r="R584" s="595"/>
      <c r="S584" s="1792"/>
      <c r="T584" s="597"/>
      <c r="U584" s="1765"/>
      <c r="V584" s="1766"/>
      <c r="W584" s="1766"/>
      <c r="X584" s="1766"/>
      <c r="Y584" s="1766"/>
      <c r="Z584" s="1766"/>
      <c r="AA584" s="1766"/>
      <c r="AB584" s="1766"/>
      <c r="AC584" s="1766"/>
      <c r="AD584" s="1767"/>
      <c r="AE584" s="1000"/>
      <c r="AF584" s="597"/>
      <c r="AG584" s="1723"/>
      <c r="AH584" s="1724"/>
      <c r="AI584" s="1724"/>
      <c r="AJ584" s="1724"/>
      <c r="AK584" s="1725"/>
      <c r="AL584" s="996"/>
      <c r="AM584" s="1747"/>
      <c r="AN584" s="1775"/>
      <c r="AO584" s="1777"/>
      <c r="AP584" s="1780"/>
      <c r="AQ584" s="1781"/>
      <c r="AR584" s="1795"/>
      <c r="AS584" s="1795"/>
      <c r="AT584" s="1796"/>
      <c r="AU584" s="1735"/>
      <c r="AV584" s="1752"/>
      <c r="AW584" s="1705"/>
      <c r="AX584" s="467"/>
      <c r="AY584" s="1749"/>
      <c r="AZ584" s="1749"/>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696"/>
      <c r="CQ584" s="1696"/>
      <c r="CR584" s="1809"/>
      <c r="CS584" s="1811"/>
      <c r="CU584" s="1688"/>
      <c r="CV584" s="1703"/>
      <c r="CW584" s="1703"/>
      <c r="CX584" s="1703"/>
      <c r="CY584" s="1815"/>
      <c r="CZ584" s="1711"/>
      <c r="DA584" s="1818"/>
      <c r="DB584" s="1820"/>
      <c r="DC584" s="1820"/>
      <c r="DD584" s="1820"/>
      <c r="DF584" s="1703"/>
      <c r="DG584" s="1831"/>
      <c r="DH584" s="1703"/>
      <c r="DI584" s="1838"/>
      <c r="DJ584" s="1711"/>
      <c r="DK584" s="1712"/>
      <c r="DM584" s="1718"/>
      <c r="DO584" s="1708"/>
      <c r="DQ584" s="1715"/>
      <c r="DR584" s="1720"/>
      <c r="DS584" s="1816"/>
      <c r="DT584" s="1714"/>
      <c r="DU584" s="1715"/>
      <c r="DV584" s="1716"/>
      <c r="DX584" s="1715"/>
      <c r="DY584" s="1720"/>
      <c r="DZ584" s="1715"/>
      <c r="EA584" s="1715"/>
      <c r="EC584" s="1834"/>
      <c r="ED584" s="1834"/>
      <c r="EF584" s="1707"/>
      <c r="EG584" s="1712"/>
      <c r="EH584" s="1818"/>
      <c r="EI584" s="1712"/>
      <c r="EJ584" s="1712"/>
      <c r="EK584" s="1836"/>
      <c r="EL584" s="1836"/>
      <c r="EM584" s="1807"/>
      <c r="EN584" s="1839"/>
      <c r="EO584" s="1839"/>
      <c r="EP584" s="1817"/>
      <c r="EQ584" s="1817"/>
      <c r="ER584" s="1807"/>
      <c r="ES584" s="1807"/>
      <c r="ET584" s="1807"/>
      <c r="EV584" s="1715"/>
      <c r="EX584" s="1805"/>
      <c r="EY584" s="1805"/>
      <c r="EZ584" s="1805"/>
      <c r="FA584" s="1805"/>
      <c r="FB584" s="1805"/>
      <c r="FC584" s="1827"/>
      <c r="FE584" s="1698"/>
      <c r="FG584" s="1816"/>
      <c r="FH584" s="1816"/>
      <c r="FI584" s="133"/>
      <c r="FL584" s="1823"/>
      <c r="FM584" s="1825"/>
      <c r="FN584" s="1698"/>
      <c r="FO584" s="1698"/>
      <c r="FP584" s="1678"/>
      <c r="FQ584" s="1678"/>
      <c r="FS584" s="1687"/>
      <c r="FT584" s="1687"/>
      <c r="FU584" s="1685"/>
      <c r="FV584" s="1687"/>
      <c r="FW584" s="1687"/>
      <c r="FX584" s="1687"/>
      <c r="FY584" s="1697"/>
      <c r="GA584" s="1696"/>
      <c r="GB584" s="1696"/>
      <c r="GC584" s="1696"/>
      <c r="GD584" s="1696"/>
      <c r="GE584" s="1696"/>
      <c r="GF584" s="1696"/>
      <c r="GG584" s="1696"/>
      <c r="GH584" s="1696"/>
      <c r="GI584" s="673"/>
      <c r="GJ584" s="1135"/>
      <c r="GK584" s="1832"/>
      <c r="GM584" s="1693" t="b">
        <f ca="1">IF(AND(GP584=TRUE,GQ584=TRUE),TRUE,FALSE)</f>
        <v>0</v>
      </c>
      <c r="GN584" s="1684" t="b">
        <f>IFERROR(IF(__Retrofit_TI_NC=2,TRUE,IF(AU583="Yes",TRUE,FALSE)),FALSE)</f>
        <v>1</v>
      </c>
      <c r="GP584" s="1684" t="b">
        <f>IFERROR(IF(GP583=1,TRUE,FALSE),FALSE)</f>
        <v>0</v>
      </c>
      <c r="GQ584" s="1684" t="b">
        <f ca="1">IFERROR(IF(GQ583=GQ$14,TRUE,FALSE),FALSE)</f>
        <v>0</v>
      </c>
      <c r="HG584" s="1684" t="b">
        <f>IFERROR(IF(AND(__Retrofit_TI_NC&gt;0,CQ583="Interior"),FALSE,TRUE),FALSE)</f>
        <v>1</v>
      </c>
      <c r="HH584" s="1684" t="b">
        <f>IFERROR(IF(M584=1,TRUE,FALSE),FALSE)</f>
        <v>0</v>
      </c>
      <c r="HI584" s="1684" t="b">
        <f>IFERROR(IF(OR(M585=1,N586="BAM"),TRUE,FALSE),FALSE)</f>
        <v>0</v>
      </c>
      <c r="HJ584" s="1684" t="b">
        <f>IFERROR(IF(__Retrofit_TI_NC&lt;&gt;0,TRUE,IFERROR(IF(VLOOKUP(U584,Fixtures_Existing_List,2,FALSE)&lt;&gt;"",TRUE,FALSE),FALSE)),FALSE)</f>
        <v>0</v>
      </c>
      <c r="HK584" s="1684" t="b">
        <f>IFERROR(IF(VLOOKUP(U585,Fixtures_Proposed_List,2,FALSE)&lt;&gt;"",TRUE,FALSE),FALSE)</f>
        <v>0</v>
      </c>
      <c r="HL584" s="1684" t="b">
        <f>IF(AND(__Retrofit_TI_NC=2,FC583=TRUE),FALSE,TRUE)</f>
        <v>1</v>
      </c>
      <c r="HM584" s="1684" t="b">
        <f>GK583</f>
        <v>1</v>
      </c>
      <c r="HN584" s="1682" t="b">
        <f>IF(ISERROR(MATCH(FE583,_Control_Match[],0))=TRUE,FALSE,TRUE)</f>
        <v>0</v>
      </c>
      <c r="HO584" s="1693" t="b">
        <f>IFERROR(IF(EX583&lt;&gt;EY583,FALSE,TRUE),FALSE)</f>
        <v>1</v>
      </c>
      <c r="HP584" s="1693" t="b">
        <f>IFERROR(IF(EX585&lt;&gt;EY585,FALSE,TRUE),FALSE)</f>
        <v>1</v>
      </c>
      <c r="HQ584" s="1670" t="b">
        <f>IFERROR(IF(CQ583="Exterior",TRUE,IF(AND(OR(FM585=0,FM585=3),JD585&gt;6),FALSE,TRUE)),FALSE)</f>
        <v>0</v>
      </c>
      <c r="HR584" s="1684" t="b">
        <f>IFERROR(IF(AND(FO585=7,FC583=TRUE),FALSE,TRUE),FALSE)</f>
        <v>0</v>
      </c>
      <c r="HS584" s="1684" t="b">
        <f>IFERROR(IF(AND(T585&lt;&gt;AF585,OR(AG585="Interior LLLC", AG585="Interior NLC", AG585="LLLC (outside Daylight)",AG585="LLLC Controls Only"))=TRUE,FALSE,TRUE),FALSE)</f>
        <v>1</v>
      </c>
      <c r="HT584" s="1670" t="b">
        <f>IFERROR(IF(OR(AG585=Lookup!BB$17,AG585=Lookup!BB$18,AG585=Lookup!BB$19)=TRUE,IF(AF585&gt;T585,FALSE,TRUE),TRUE),FALSE)</f>
        <v>1</v>
      </c>
      <c r="HU584" s="1684" t="b">
        <f>IFERROR(IF(__Retrofit_TI_NC=2,IF(EZ585&lt;EZ583,FALSE,TRUE),TRUE),FALSE)</f>
        <v>1</v>
      </c>
      <c r="HV584" s="1684" t="b">
        <f>IF(CQ583="Interior",IL$6,TRUE)</f>
        <v>1</v>
      </c>
      <c r="HW584" s="1684" t="b">
        <f>IF(CQ583="Exterior",IL$8,TRUE)</f>
        <v>1</v>
      </c>
      <c r="HX584" s="1684" t="b">
        <f>IFERROR(IF(__Retrofit_TI_NC&lt;&gt;0,IF(AZ583&lt;AY583,FALSE,TRUE),TRUE),FALSE)</f>
        <v>1</v>
      </c>
      <c r="HY584" s="1684" t="b">
        <f>IFERROR(IF(AND(G584="Exterior",R584&gt;4200),FALSE,TRUE),FALSE)</f>
        <v>1</v>
      </c>
      <c r="HZ584" s="1684" t="b">
        <f>IFERROR(IF(AB586/AB583&lt;HZ$18,FALSE,TRUE),FALSE)</f>
        <v>0</v>
      </c>
      <c r="IB584" s="1691"/>
      <c r="IC584" s="1695"/>
      <c r="ID584" s="1694" t="str">
        <f>VLOOKUP(IB586,_Error_Table,4,FALSE)</f>
        <v>White</v>
      </c>
      <c r="IE584" s="391"/>
      <c r="IF584" s="1688"/>
      <c r="IG584" s="1689"/>
      <c r="IH584" s="1684"/>
      <c r="IK584" s="1689"/>
      <c r="IL584" s="1691"/>
      <c r="IM584" s="1691"/>
      <c r="IN584" s="1691"/>
      <c r="IP584" s="1679"/>
      <c r="IQ584" s="1679"/>
      <c r="IR584" s="1679"/>
      <c r="IS584" s="1679"/>
      <c r="IT584" s="1679"/>
      <c r="IU584" s="1679"/>
      <c r="IV584" s="1679"/>
      <c r="IW584" s="1679"/>
      <c r="IX584" s="1679"/>
      <c r="IY584" s="1679"/>
      <c r="IZ584" s="1679"/>
      <c r="JA584" s="1679"/>
      <c r="JC584" s="1680"/>
      <c r="JD584" s="1670"/>
      <c r="JE584" s="1681"/>
      <c r="JG584" s="1680"/>
      <c r="JH584" s="1670"/>
      <c r="JI584" s="1060"/>
      <c r="JJ584" s="1683"/>
      <c r="JK584" s="1061"/>
      <c r="JL584" s="1683"/>
      <c r="JM584" s="1061"/>
      <c r="JN584" s="1683"/>
      <c r="JO584" s="1061"/>
      <c r="JP584" s="1683"/>
      <c r="JQ584" s="1061"/>
      <c r="JR584" s="1683"/>
      <c r="JS584" s="1061"/>
      <c r="JT584" s="1670"/>
      <c r="JU584" s="1061"/>
      <c r="JV584" s="1670"/>
      <c r="JX584" s="1670"/>
      <c r="JZ584" s="1683"/>
      <c r="KB584" s="1670"/>
    </row>
    <row r="585" spans="1:288" s="78" customFormat="1" ht="14.95" customHeight="1" thickTop="1" thickBot="1">
      <c r="A585" s="78">
        <f>ROW()</f>
        <v>585</v>
      </c>
      <c r="B585" s="1845"/>
      <c r="C585" s="1846"/>
      <c r="D585" s="1847"/>
      <c r="E585" s="1737" t="s">
        <v>298</v>
      </c>
      <c r="F585" s="1738"/>
      <c r="G585" s="1760"/>
      <c r="H585" s="1761"/>
      <c r="I585" s="1761"/>
      <c r="J585" s="1761"/>
      <c r="K585" s="1761"/>
      <c r="L585" s="1762"/>
      <c r="M585" s="461">
        <f>IFERROR(IF(IF(__Retrofit_TI_NC&lt;&gt;0,IF(CQ583="Interior",MATCH(G585,Lookup_Interior_New,0),MATCH(G585,Lookup_Exterior_New,0)),IF(CQ583="Interior",MATCH(G585,Lookup_Interior,0),MATCH(G585,Lookup_Exterior_Areas,0)))&gt;0,1,0),0)</f>
        <v>0</v>
      </c>
      <c r="N585" s="461" t="e">
        <f>IF(__Retrofit_TI_NC=1,
VLOOKUP(G585,'Space Table'!$B$3:$L$163,4,FALSE),
IF(__Retrofit_TI_NC=2,VLOOKUP(G585,'Space Table'!$B$3:$L$163,5,FALSE),VLOOKUP(G585,'Space Table'!$B$3:$L$163,5,FALSE)))</f>
        <v>#N/A</v>
      </c>
      <c r="O585" s="461">
        <f>G585</f>
        <v>0</v>
      </c>
      <c r="P585" s="1738" t="str">
        <f>IFERROR(IF(__Retrofit_TI_NC=1,VLOOKUP(G585,'Space Table'!$B$3:$O$163,13,FALSE),IF(__Retrofit_TI_NC=2,VLOOKUP(G585,'Space Table'!$B$3:$O$163,14,FALSE),"Area (sf):")),"Area (sf):")</f>
        <v>Area (sf):</v>
      </c>
      <c r="Q585" s="1738"/>
      <c r="R585" s="596"/>
      <c r="S585" s="1763" t="s">
        <v>345</v>
      </c>
      <c r="T585" s="594"/>
      <c r="U585" s="1801"/>
      <c r="V585" s="1802"/>
      <c r="W585" s="1802"/>
      <c r="X585" s="1802"/>
      <c r="Y585" s="1802"/>
      <c r="Z585" s="1802"/>
      <c r="AA585" s="1802"/>
      <c r="AB585" s="1802"/>
      <c r="AC585" s="1802"/>
      <c r="AD585" s="1802"/>
      <c r="AE585" s="1803"/>
      <c r="AF585" s="594"/>
      <c r="AG585" s="1787"/>
      <c r="AH585" s="1787"/>
      <c r="AI585" s="1787"/>
      <c r="AJ585" s="1787"/>
      <c r="AK585" s="1787"/>
      <c r="AL585" s="1787"/>
      <c r="AM585" s="1726">
        <f>IFERROR(DI585,"")</f>
        <v>0</v>
      </c>
      <c r="AN585" s="1728" t="str">
        <f>IFERROR(ROUND(AM585*AC586,0),"")</f>
        <v/>
      </c>
      <c r="AO585" s="1730">
        <f>IFERROR(IF(IB583=FALSE,0,AC586-AN585),0)</f>
        <v>0</v>
      </c>
      <c r="AP585" s="1780"/>
      <c r="AQ585" s="1781"/>
      <c r="AR585" s="1795"/>
      <c r="AS585" s="1795"/>
      <c r="AT585" s="1796"/>
      <c r="AU585" s="1735"/>
      <c r="AV585" s="1752"/>
      <c r="AW585" s="1705"/>
      <c r="AX585" s="467"/>
      <c r="AY585" s="1749"/>
      <c r="AZ585" s="1749"/>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696"/>
      <c r="CQ585" s="1696"/>
      <c r="CR585" s="1808" t="str">
        <f>CQ583</f>
        <v/>
      </c>
      <c r="CS585" s="1810" t="str">
        <f>CS583</f>
        <v/>
      </c>
      <c r="CU585" s="1688" t="s">
        <v>345</v>
      </c>
      <c r="CV585" s="1702">
        <f>IF(IB583=TRUE,T585,0)</f>
        <v>0</v>
      </c>
      <c r="CW585" s="1702" t="str">
        <f>IF(IB583=TRUE,U585,"")</f>
        <v/>
      </c>
      <c r="CX585" s="1812">
        <f>IF(IB583=TRUE,U586,0)</f>
        <v>0</v>
      </c>
      <c r="CY585" s="1814">
        <f>IF(IB583=TRUE,AB586,0)</f>
        <v>0</v>
      </c>
      <c r="CZ585" s="1710">
        <f>IF(AND(__Retrofit_TI_NC&gt;0,CR583="interior"),0,IF(IB583=TRUE,AC586,0))</f>
        <v>0</v>
      </c>
      <c r="DA585" s="1818"/>
      <c r="DB585" s="1820"/>
      <c r="DC585" s="1820"/>
      <c r="DD585" s="1820"/>
      <c r="DF585" s="1702">
        <f>IF(IB583=TRUE,AF585,0)</f>
        <v>0</v>
      </c>
      <c r="DG585" s="1830" t="str">
        <f>IF(IB583=TRUE,AG585,"")</f>
        <v/>
      </c>
      <c r="DH585" s="1812">
        <f>AG586</f>
        <v>0</v>
      </c>
      <c r="DI585" s="1837">
        <f>JE585</f>
        <v>0</v>
      </c>
      <c r="DJ585" s="1710">
        <f>IF(AND(__Retrofit_TI_NC&gt;0,CR583="interior"),0,IF(IB583=TRUE,AN585,0))</f>
        <v>0</v>
      </c>
      <c r="DK585" s="1712"/>
      <c r="DN585" s="1717">
        <f>IFERROR(CZ585-DJ585,0)</f>
        <v>0</v>
      </c>
      <c r="DO585" s="1709"/>
      <c r="DQ585" s="1715"/>
      <c r="DR585" s="1719" t="str">
        <f>DQ583</f>
        <v/>
      </c>
      <c r="DS585" s="1816"/>
      <c r="DT585" s="1835" t="str">
        <f>IF(OR(DS583=7,DS583=8,DS583=9),"ALC","")</f>
        <v/>
      </c>
      <c r="DU585" s="1715"/>
      <c r="DV585" s="1716"/>
      <c r="DX585" s="1715"/>
      <c r="DY585" s="1829" t="str">
        <f>DX583</f>
        <v/>
      </c>
      <c r="DZ585" s="1715"/>
      <c r="EA585" s="1715"/>
      <c r="EC585" s="1834"/>
      <c r="ED585" s="1834"/>
      <c r="EF585" s="1707"/>
      <c r="EG585" s="1712"/>
      <c r="EH585" s="1818"/>
      <c r="EI585" s="1712"/>
      <c r="EJ585" s="1712"/>
      <c r="EK585" s="1836"/>
      <c r="EL585" s="1836"/>
      <c r="EM585" s="1807"/>
      <c r="EN585" s="1839"/>
      <c r="EO585" s="1839"/>
      <c r="EP585" s="1817"/>
      <c r="EQ585" s="1817"/>
      <c r="ER585" s="1807"/>
      <c r="ES585" s="1807"/>
      <c r="ET585" s="1807"/>
      <c r="EV585" s="1715"/>
      <c r="EX585" s="1805" t="str">
        <f>IFERROR(VLOOKUP(CS585,'Space Table'!$B$3:$L$163,8,FALSE),"")</f>
        <v/>
      </c>
      <c r="EY585" s="1805" t="str">
        <f>IFERROR(IF(FB585="Yes",VLOOKUP(AG585,Lookup_Control_Type_Table2,4,FALSE),VLOOKUP(AG585,Lookup_Control_Type_Table2,3,FALSE)),"")</f>
        <v/>
      </c>
      <c r="EZ585" s="1805" t="e">
        <f>VLOOKUP(AG585,Lookup!BB$3:BC$20,2,FALSE)</f>
        <v>#N/A</v>
      </c>
      <c r="FA585" s="1805" t="e">
        <f>VLOOKUP(EX583,Lookup_Control_Type_Table,2,FALSE)</f>
        <v>#N/A</v>
      </c>
      <c r="FB585" s="1805" t="e">
        <f>VLOOKUP(CS585,'Space Table'!$B$3:$L$163,7,FALSE)</f>
        <v>#N/A</v>
      </c>
      <c r="FC585" s="1827"/>
      <c r="FE585" s="1698" t="str">
        <f>CONCATENATE(CQ583," - ",AG585)</f>
        <v xml:space="preserve"> - </v>
      </c>
      <c r="FG585" s="1816"/>
      <c r="FH585" s="1816"/>
      <c r="FI585" s="133"/>
      <c r="FL585" s="1822" t="str">
        <f>IF(CQ583="Exterior","Not Daylighted",G586)</f>
        <v>Not Daylighted</v>
      </c>
      <c r="FM585" s="1824">
        <f>VLOOKUP(FL585,_New_Daylight_Table_Codes,2,FALSE)</f>
        <v>0</v>
      </c>
      <c r="FN585" s="1698">
        <f>AG585</f>
        <v>0</v>
      </c>
      <c r="FO585" s="1698" t="e">
        <f>VLOOKUP(FN585,_Control_Table,2,FALSE)</f>
        <v>#N/A</v>
      </c>
      <c r="FP585" s="1678" t="e">
        <f>VLOOKUP(CONCATENATE(FL585," ",FN585),Lookup!AY$102:AZ596,2,FALSE)</f>
        <v>#N/A</v>
      </c>
      <c r="FQ585" s="1698">
        <f>IF(__Retrofit_TI_NC=0,FN585,IF(AND(FT585&gt;0,FN585="Occupancy Sensor"),"Daylight + Occupancy",IF(AND(FT585&gt;0,FO585&lt;4),"Interior Daylight Dimming",FN585)))</f>
        <v>0</v>
      </c>
      <c r="FS585" s="1686">
        <f>IF(CQ583="Interior",VLOOKUP(CS583,Control_Savings_Interior,5,FALSE),0)</f>
        <v>0</v>
      </c>
      <c r="FT585" s="1687">
        <f>IF(CQ585="Exterior",0,IF(FM585=2,0.5,IF(OR(FM585=1,FM585=3),1,0)))</f>
        <v>0</v>
      </c>
      <c r="FU585" s="1685">
        <f>IF(R584&gt;FS$44,(FS585*(FS$44/R584)),FS585)*FT585</f>
        <v>0</v>
      </c>
      <c r="FV585" s="1686">
        <f>DI585</f>
        <v>0</v>
      </c>
      <c r="FW585" s="1686">
        <f>ROUND(FV585+((1-FV585)*FU585),2)</f>
        <v>0</v>
      </c>
      <c r="FX585" s="1686">
        <f>IF(__Retrofit_TI_NC=2,FW585,FV585)</f>
        <v>0</v>
      </c>
      <c r="FY585" s="1697">
        <f>IF(CR585="Interior",VLOOKUP(CS585,Control_Savings_Interior,4,FALSE),0)</f>
        <v>0</v>
      </c>
      <c r="GA585" s="1696"/>
      <c r="GB585" s="1696"/>
      <c r="GC585" s="1696"/>
      <c r="GD585" s="1696"/>
      <c r="GE585" s="1696"/>
      <c r="GF585" s="1696"/>
      <c r="GG585" s="1696"/>
      <c r="GH585" s="1696"/>
      <c r="GI585" s="673" t="b">
        <f>IF(ISNUMBER(SEARCH("TLED",U585)),TRUE,FALSE)</f>
        <v>0</v>
      </c>
      <c r="GJ585" s="1135" t="str">
        <f>IFERROR(VLOOKUP(U585,Fixtures!DM$93:DR$142,6,FALSE),"")</f>
        <v/>
      </c>
      <c r="GK585" s="1832"/>
      <c r="GM585" s="1692"/>
      <c r="GN585" s="1684"/>
      <c r="GP585" s="1684"/>
      <c r="GQ585" s="1684"/>
      <c r="HG585" s="1684"/>
      <c r="HH585" s="1684"/>
      <c r="HI585" s="1684"/>
      <c r="HJ585" s="1684"/>
      <c r="HK585" s="1684"/>
      <c r="HL585" s="1684"/>
      <c r="HM585" s="1684"/>
      <c r="HN585" s="1683"/>
      <c r="HO585" s="1692"/>
      <c r="HP585" s="1692"/>
      <c r="HQ585" s="1670"/>
      <c r="HR585" s="1684"/>
      <c r="HS585" s="1684"/>
      <c r="HT585" s="1670"/>
      <c r="HU585" s="1684"/>
      <c r="HV585" s="1684"/>
      <c r="HW585" s="1684"/>
      <c r="HX585" s="1684"/>
      <c r="HY585" s="1684"/>
      <c r="HZ585" s="1684"/>
      <c r="IB585" s="1692"/>
      <c r="IC585" s="1693" t="b">
        <f>IB583</f>
        <v>0</v>
      </c>
      <c r="ID585" s="1695"/>
      <c r="IE585" s="391"/>
      <c r="IF585" s="1688"/>
      <c r="IG585" s="1689">
        <f ca="1">IF(IF583=TRUE,AC586,0)</f>
        <v>0</v>
      </c>
      <c r="IH585" s="1684"/>
      <c r="IK585" s="1689" t="e">
        <f>ROUND(T585*AB586*N584*R584/1000,0)</f>
        <v>#VALUE!</v>
      </c>
      <c r="IL585" s="1691"/>
      <c r="IM585" s="1693" t="e">
        <f>ROUND(T585*AB586*N584*R584/1000,0)</f>
        <v>#VALUE!</v>
      </c>
      <c r="IN585" s="1691"/>
      <c r="IP585" s="1679"/>
      <c r="IQ585" s="1679" t="e">
        <f t="shared" ref="IQ585:IU585" si="532">IF($CR585="interior",VLOOKUP($CS585,_New_Control_Savings_Interior,IQ$30,FALSE),VLOOKUP($CS585,Control_Savings_Exterior,IQ$30,FALSE))</f>
        <v>#N/A</v>
      </c>
      <c r="IR585" s="1679" t="e">
        <f t="shared" si="532"/>
        <v>#N/A</v>
      </c>
      <c r="IS585" s="1679" t="e">
        <f t="shared" si="532"/>
        <v>#N/A</v>
      </c>
      <c r="IT585" s="1679" t="e">
        <f t="shared" si="532"/>
        <v>#N/A</v>
      </c>
      <c r="IU585" s="1679" t="e">
        <f t="shared" si="532"/>
        <v>#N/A</v>
      </c>
      <c r="IV585" s="1679" t="e">
        <f>IF($CR585="interior",IF(R584&gt;$IP$14,ROUND(($IV$18*($IP$14/R584)),2),$IV$18),VLOOKUP($CS585,Control_Savings_Exterior,IV$30,FALSE))</f>
        <v>#N/A</v>
      </c>
      <c r="IW585" s="1679" t="e">
        <f>IF($CR585="interior",ROUND(((1-IS585)*IV585)+IS585,2),VLOOKUP($CS585,Control_Savings_Exterior,IW$30,FALSE))</f>
        <v>#N/A</v>
      </c>
      <c r="IX585" s="1679" t="e">
        <f>IF($CR585="interior",ROUND(((1-IT585)*IV585)+IT585,2),VLOOKUP($CS585,Control_Savings_Exterior,IX$30,FALSE))</f>
        <v>#N/A</v>
      </c>
      <c r="IY585" s="1679" t="e">
        <f>IF($CR585="interior",IF(R584&gt;$IP$14,ROUND(($IY$18*($IP$14/R584)),2),$IY$18),VLOOKUP($CS585,Control_Savings_Exterior,IY$30,FALSE))</f>
        <v>#N/A</v>
      </c>
      <c r="IZ585" s="1679" t="e">
        <f>IF($CR585="interior",ROUND(((1-IS585)*IY585)+IS585,2),VLOOKUP($CS585,Control_Savings_Exterior,IZ$30,FALSE))</f>
        <v>#N/A</v>
      </c>
      <c r="JA585" s="1679" t="e">
        <f>IF($CR585="interior",ROUND(((1-IT585)*IY585)+IT585,2),VLOOKUP($CS585,Control_Savings_Exterior,JA$30,FALSE))</f>
        <v>#N/A</v>
      </c>
      <c r="JC585" s="1680">
        <f>IFERROR(IF(CR585="Interior",CONCATENATE(G586," ",FQ585),AG585),"")</f>
        <v>0</v>
      </c>
      <c r="JD585" s="1670" t="str">
        <f>IFERROR(VLOOKUP(JC585,_Controls_2023,2,FALSE),"")</f>
        <v/>
      </c>
      <c r="JE585" s="1681">
        <f>IFERROR(CHOOSE(JD585-1,IQ585,IR585,IS585,IT585,IU585,IV585,IW585,IX585,IY585,IZ585,JA585),0)</f>
        <v>0</v>
      </c>
      <c r="JG585" s="1680" t="str">
        <f>FE585</f>
        <v xml:space="preserve"> - </v>
      </c>
      <c r="JH585" s="1670" t="e">
        <f>$FO585</f>
        <v>#N/A</v>
      </c>
      <c r="JI585" s="1060"/>
      <c r="JJ585" s="1670">
        <f>IFERROR(IF($IB583=TRUE,IF(OR(JJ$14="No",JJ583=FALSE,JH585&lt;=JH583,AND(_kWh_Grant=0,GD583=FALSE)),0,IF(JJ$8="Per Line",1,$AF585)),0),0)</f>
        <v>0</v>
      </c>
      <c r="JK585" s="1061"/>
      <c r="JL585" s="1670">
        <f>IFERROR(IF(_kWh_Grant=0,0,IF($IB583=TRUE,IF(OR(JL$14="No",JL583=FALSE,JH585&lt;=JH583),0,IF(JL$8="Per Line",1,$T585)),0)),0)</f>
        <v>0</v>
      </c>
      <c r="JM585" s="1061"/>
      <c r="JN585" s="1670">
        <f>IFERROR(IF(_kWh_Grant=0,0,IF($IB583=TRUE,IF(OR(JN$14="No",JN583=FALSE,JH585&lt;=JH583),0,IF(JN$8="Per Line",1,$AF585)),0)),0)</f>
        <v>0</v>
      </c>
      <c r="JO585" s="1061"/>
      <c r="JP585" s="1670">
        <f>IFERROR(IF(__Retrofit_TI_NC=0,IF(_kWh_Grant=0,0,IF($IB583=TRUE,IF(OR(JP$14="No",JP583=FALSE,$JH585&lt;=$JH583),0,IF(JP$8="Per Line",1,$AF585)),0)),IF($IB583=TRUE,IF(OR(JP$14="No",JP583=FALSE,$JH585&lt;=$JH583),0,IF(JP$8="Per Line",1,$AF585)))),0)</f>
        <v>0</v>
      </c>
      <c r="JQ585" s="1061"/>
      <c r="JR585" s="1670">
        <f>IFERROR(IF(__Retrofit_TI_NC=0,IF(_kWh_Grant=0,0,IF($IB583=TRUE,IF(OR(JR$14="No",JR583=FALSE,$JH585&lt;=$JH583),0,IF(JR$8="Per Line",1,$AF585)),0)),IF($IB583=TRUE,IF(OR(JR$14="No",JR583=FALSE,$JH585&lt;=$JH583),0,IF(JR$8="Per Line",1,$AF585)))),0)</f>
        <v>0</v>
      </c>
      <c r="JS585" s="1061"/>
      <c r="JT585" s="1670">
        <f>IFERROR(IF(__Retrofit_TI_NC=0,IF(_kWh_Grant=0,0,IF($IB583=TRUE,IF(OR(JT$14="No",JT583=FALSE,$JH585&lt;=$JH583),0,IF(JT$8="Per Line",1,$AF585)),0)),IF($IB583=TRUE,IF(OR(JT$14="No",JT583=FALSE,$JH585&lt;=$JH583),0,IF(JT$8="Per Line",1,$AF585)))),0)</f>
        <v>0</v>
      </c>
      <c r="JU585" s="1061"/>
      <c r="JV585" s="1670">
        <f>IFERROR(IF(__Retrofit_TI_NC=0,IF(_kWh_Grant=0,0,IF($IB583=TRUE,IF(OR(JV$14="No",JV583=FALSE,$JH585&lt;=$JH583),0,IF(JV$8="Per Line",1,$AF585)),0)),IF($IB583=TRUE,IF(OR(JV$14="No",JV583=FALSE,$JH585&lt;=$JH583),0,IF(JV$8="Per Line",1,$AF585)))),0)</f>
        <v>0</v>
      </c>
      <c r="JX585" s="1670">
        <f>IFERROR(IF(__Retrofit_TI_NC=0,IF(_kWh_Grant=0,0,IF($IB583=TRUE,IF(OR(JX$14="No",JX583=FALSE,$JH585&lt;=$JH583),0,IF(JX$8="Per Line",1,$AF585)),0)),IF($IB583=TRUE,IF(OR(JX$14="No",JX583=FALSE,$JH585&lt;=$JH583),0,IF(JX$8="Per Line",1,$AF585)))),0)</f>
        <v>0</v>
      </c>
      <c r="JZ585" s="1670">
        <f>IFERROR(IF($IB583=TRUE,IF(OR(JZ$14="No",JZ583=FALSE,$JH585&lt;=$JH583,AND(_kWh_Grant=0,$GD583=FALSE)),0,IF(JZ$8="Per Line",1,$AF585)),0),0)</f>
        <v>0</v>
      </c>
      <c r="KB585" s="1670">
        <f>IFERROR(IF(__Retrofit_TI_NC=0,IF(_kWh_Grant=0,0,IF($IB583=TRUE,IF(OR(KB$14="No",KB583=FALSE,$JH585&lt;=$JH583),0,IF(KB$8="Per Line",1,$AF585)),0)),IF($IB583=TRUE,IF(OR(KB$14="No",KB583=FALSE,$JH585&lt;=$JH583),0,IF(KB$8="Per Line",1,$AF585)))),0)</f>
        <v>0</v>
      </c>
    </row>
    <row r="586" spans="1:288" s="78" customFormat="1" ht="14.95" customHeight="1" thickTop="1" thickBot="1">
      <c r="B586" s="1845"/>
      <c r="C586" s="1846"/>
      <c r="D586" s="1847"/>
      <c r="E586" s="1771" t="s">
        <v>436</v>
      </c>
      <c r="F586" s="1772"/>
      <c r="G586" s="1784" t="s">
        <v>437</v>
      </c>
      <c r="H586" s="1785"/>
      <c r="I586" s="1785"/>
      <c r="J586" s="1785"/>
      <c r="K586" s="1785"/>
      <c r="L586" s="1786"/>
      <c r="M586" s="591">
        <f>IFERROR(VLOOKUP(G586,_Daylight_Table[],2,FALSE),0)</f>
        <v>0</v>
      </c>
      <c r="N586" s="592" t="str">
        <f>IF(AND(__Retrofit_TI_NC&gt;0,CQ583="Interior"),"BAM","")</f>
        <v/>
      </c>
      <c r="O586" s="591" t="e">
        <f>VLOOKUP(G585,'Space Table'!$B$3:$L$163,11,FALSE)</f>
        <v>#N/A</v>
      </c>
      <c r="P586" s="1789"/>
      <c r="Q586" s="1790"/>
      <c r="R586" s="1790"/>
      <c r="S586" s="1788"/>
      <c r="T586" s="593" t="s">
        <v>342</v>
      </c>
      <c r="U586" s="1756" t="str" cm="1">
        <f t="array" aca="1" ref="U586" ca="1">IFERROR(VLOOKUP(INDIRECT("U" &amp; ROW()-1),Fixtures!DM$93:DP$142,4,FALSE),"")</f>
        <v/>
      </c>
      <c r="V586" s="1757"/>
      <c r="W586" s="1757"/>
      <c r="X586" s="1757"/>
      <c r="Y586" s="1757"/>
      <c r="Z586" s="1757"/>
      <c r="AA586" s="1758"/>
      <c r="AB586" s="939" t="str">
        <f>IFERROR(VLOOKUP(U585,Fixtures_Proposed_List,2,FALSE),"")</f>
        <v/>
      </c>
      <c r="AC586" s="933" t="str">
        <f>IFERROR(ROUND(T585*AB586*N584*R584/1000,0),"")</f>
        <v/>
      </c>
      <c r="AD586" s="934" t="str">
        <f>IFERROR(ROUND(T585*AB586/1000,2),"")</f>
        <v/>
      </c>
      <c r="AE586" s="998"/>
      <c r="AF586" s="938" t="s">
        <v>342</v>
      </c>
      <c r="AG586" s="1770"/>
      <c r="AH586" s="1770"/>
      <c r="AI586" s="1770"/>
      <c r="AJ586" s="1770"/>
      <c r="AK586" s="1770"/>
      <c r="AL586" s="1770"/>
      <c r="AM586" s="1727"/>
      <c r="AN586" s="1729"/>
      <c r="AO586" s="1731"/>
      <c r="AP586" s="1782"/>
      <c r="AQ586" s="1783"/>
      <c r="AR586" s="1797"/>
      <c r="AS586" s="1797"/>
      <c r="AT586" s="1798"/>
      <c r="AU586" s="1736"/>
      <c r="AV586" s="1753"/>
      <c r="AW586" s="1706"/>
      <c r="AX586" s="468"/>
      <c r="AY586" s="1750"/>
      <c r="AZ586" s="1750"/>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696"/>
      <c r="CQ586" s="1696"/>
      <c r="CR586" s="1809"/>
      <c r="CS586" s="1811"/>
      <c r="CU586" s="1688"/>
      <c r="CV586" s="1703"/>
      <c r="CW586" s="1703"/>
      <c r="CX586" s="1813"/>
      <c r="CY586" s="1815"/>
      <c r="CZ586" s="1711"/>
      <c r="DA586" s="1815"/>
      <c r="DB586" s="1821"/>
      <c r="DC586" s="1821"/>
      <c r="DD586" s="1821"/>
      <c r="DF586" s="1703"/>
      <c r="DG586" s="1831"/>
      <c r="DH586" s="1813"/>
      <c r="DI586" s="1838"/>
      <c r="DJ586" s="1711"/>
      <c r="DK586" s="1712"/>
      <c r="DN586" s="1718"/>
      <c r="DO586" s="1709"/>
      <c r="DQ586" s="1715"/>
      <c r="DR586" s="1720"/>
      <c r="DS586" s="1703"/>
      <c r="DT586" s="1714"/>
      <c r="DU586" s="1715"/>
      <c r="DV586" s="1716"/>
      <c r="DX586" s="1715"/>
      <c r="DY586" s="1720"/>
      <c r="DZ586" s="1715"/>
      <c r="EA586" s="1715"/>
      <c r="EC586" s="1834"/>
      <c r="ED586" s="1834"/>
      <c r="EF586" s="1707"/>
      <c r="EG586" s="1712"/>
      <c r="EH586" s="1815"/>
      <c r="EI586" s="1712"/>
      <c r="EJ586" s="1712"/>
      <c r="EK586" s="1813"/>
      <c r="EL586" s="1813"/>
      <c r="EM586" s="1807"/>
      <c r="EN586" s="1839"/>
      <c r="EO586" s="1839"/>
      <c r="EP586" s="1817"/>
      <c r="EQ586" s="1817"/>
      <c r="ER586" s="1807"/>
      <c r="ES586" s="1807"/>
      <c r="ET586" s="1807"/>
      <c r="EV586" s="1715"/>
      <c r="EX586" s="1806"/>
      <c r="EY586" s="1806"/>
      <c r="EZ586" s="1806"/>
      <c r="FA586" s="1806"/>
      <c r="FB586" s="1806"/>
      <c r="FC586" s="1828"/>
      <c r="FE586" s="1698"/>
      <c r="FG586" s="1703"/>
      <c r="FH586" s="1703"/>
      <c r="FI586" s="133"/>
      <c r="FL586" s="1823"/>
      <c r="FM586" s="1825"/>
      <c r="FN586" s="1698"/>
      <c r="FO586" s="1698"/>
      <c r="FP586" s="1678"/>
      <c r="FQ586" s="1698"/>
      <c r="FS586" s="1687"/>
      <c r="FT586" s="1687"/>
      <c r="FU586" s="1685"/>
      <c r="FV586" s="1687"/>
      <c r="FW586" s="1687"/>
      <c r="FX586" s="1687"/>
      <c r="FY586" s="1697"/>
      <c r="GA586" s="1696"/>
      <c r="GB586" s="1696"/>
      <c r="GC586" s="1696"/>
      <c r="GD586" s="1696"/>
      <c r="GE586" s="1696"/>
      <c r="GF586" s="1696"/>
      <c r="GG586" s="1696"/>
      <c r="GH586" s="1696"/>
      <c r="GI586" s="673"/>
      <c r="GJ586" s="1135"/>
      <c r="GK586" s="1832"/>
      <c r="GN586" s="674">
        <f>IF(GN584=TRUE,0,GN$16)</f>
        <v>0</v>
      </c>
      <c r="GP586" s="674">
        <f>IF(GP584=TRUE,0,GP$16)</f>
        <v>36</v>
      </c>
      <c r="GQ586" s="674">
        <f ca="1">IF(GQ584=TRUE,0,GQ$16)</f>
        <v>35</v>
      </c>
      <c r="GR586" s="391"/>
      <c r="GS586" s="391"/>
      <c r="GT586" s="391"/>
      <c r="GU586" s="391"/>
      <c r="GV586" s="391"/>
      <c r="HG586" s="674">
        <f>IF(HG584=TRUE,0,HG$16)</f>
        <v>0</v>
      </c>
      <c r="HH586" s="674">
        <f t="shared" ref="HH586:HM586" si="533">IF(HH584=TRUE,0,HH$16)</f>
        <v>19</v>
      </c>
      <c r="HI586" s="674">
        <f t="shared" si="533"/>
        <v>18</v>
      </c>
      <c r="HJ586" s="674">
        <f t="shared" si="533"/>
        <v>17</v>
      </c>
      <c r="HK586" s="674">
        <f t="shared" si="533"/>
        <v>16</v>
      </c>
      <c r="HL586" s="674">
        <f t="shared" si="533"/>
        <v>0</v>
      </c>
      <c r="HM586" s="674">
        <f t="shared" si="533"/>
        <v>0</v>
      </c>
      <c r="HN586" s="674">
        <f>IF(HN584=TRUE,0,HN$16)</f>
        <v>13</v>
      </c>
      <c r="HO586" s="674">
        <f t="shared" ref="HO586:HQ586" si="534">IF(HO584=TRUE,0,HO$16)</f>
        <v>0</v>
      </c>
      <c r="HP586" s="674">
        <f t="shared" si="534"/>
        <v>0</v>
      </c>
      <c r="HQ586" s="674">
        <f t="shared" si="534"/>
        <v>10</v>
      </c>
      <c r="HR586" s="674">
        <f>IF(HR584=TRUE,0,HR$16)</f>
        <v>9</v>
      </c>
      <c r="HS586" s="674">
        <f t="shared" ref="HS586:HW586" si="535">IF(HS584=TRUE,0,HS$16)</f>
        <v>0</v>
      </c>
      <c r="HT586" s="674">
        <f t="shared" si="535"/>
        <v>0</v>
      </c>
      <c r="HU586" s="674">
        <f t="shared" si="535"/>
        <v>0</v>
      </c>
      <c r="HV586" s="674">
        <f t="shared" si="535"/>
        <v>0</v>
      </c>
      <c r="HW586" s="674">
        <f t="shared" si="535"/>
        <v>0</v>
      </c>
      <c r="HX586" s="674">
        <f>IF(HX584=TRUE,0,HX$16)</f>
        <v>0</v>
      </c>
      <c r="HY586" s="674">
        <f>IF(HY584=TRUE,0,HY$16)</f>
        <v>0</v>
      </c>
      <c r="HZ586" s="674">
        <f>IF(HZ584=TRUE,0,HZ$16)</f>
        <v>1</v>
      </c>
      <c r="IB586" s="674">
        <f>IF(GP584=FALSE,GP586,IF(GQ584=FALSE,GQ586,MAX(GN586:HZ586)))</f>
        <v>36</v>
      </c>
      <c r="IC586" s="1692"/>
      <c r="ID586" s="205" t="str">
        <f>VLOOKUP(IB586,_Error_Table,3,FALSE)</f>
        <v xml:space="preserve"> </v>
      </c>
      <c r="IE586" s="205"/>
      <c r="IF586" s="1688"/>
      <c r="IG586" s="1689"/>
      <c r="IH586" s="1684"/>
      <c r="IK586" s="1689"/>
      <c r="IL586" s="1692"/>
      <c r="IM586" s="1692"/>
      <c r="IN586" s="1692"/>
      <c r="IP586" s="1679"/>
      <c r="IQ586" s="1679"/>
      <c r="IR586" s="1679"/>
      <c r="IS586" s="1679"/>
      <c r="IT586" s="1679"/>
      <c r="IU586" s="1679"/>
      <c r="IV586" s="1679"/>
      <c r="IW586" s="1679"/>
      <c r="IX586" s="1679"/>
      <c r="IY586" s="1679"/>
      <c r="IZ586" s="1679"/>
      <c r="JA586" s="1679"/>
      <c r="JC586" s="1680"/>
      <c r="JD586" s="1670"/>
      <c r="JE586" s="1681"/>
      <c r="JG586" s="1680"/>
      <c r="JH586" s="1670"/>
      <c r="JI586" s="1060"/>
      <c r="JJ586" s="1670"/>
      <c r="JK586" s="1061"/>
      <c r="JL586" s="1670"/>
      <c r="JM586" s="1061"/>
      <c r="JN586" s="1670"/>
      <c r="JO586" s="1061"/>
      <c r="JP586" s="1670"/>
      <c r="JQ586" s="1061"/>
      <c r="JR586" s="1670"/>
      <c r="JS586" s="1061"/>
      <c r="JT586" s="1670"/>
      <c r="JU586" s="1061"/>
      <c r="JV586" s="1670"/>
      <c r="JX586" s="1670"/>
      <c r="JZ586" s="1670"/>
      <c r="KB586" s="1670"/>
    </row>
    <row r="587" spans="1:288" s="78" customFormat="1" ht="5.0999999999999996" customHeight="1">
      <c r="B587" s="676"/>
      <c r="C587" s="392"/>
      <c r="D587" s="392"/>
      <c r="E587" s="1733"/>
      <c r="F587" s="1733"/>
      <c r="G587" s="1733"/>
      <c r="H587" s="1733"/>
      <c r="I587" s="1733"/>
      <c r="J587" s="1733"/>
      <c r="K587" s="1733"/>
      <c r="L587" s="1733"/>
      <c r="M587" s="1733"/>
      <c r="N587" s="1733"/>
      <c r="O587" s="1733"/>
      <c r="P587" s="1733"/>
      <c r="Q587" s="1733"/>
      <c r="R587" s="1733"/>
      <c r="S587" s="1733"/>
      <c r="T587" s="1733"/>
      <c r="U587" s="1733"/>
      <c r="V587" s="1733"/>
      <c r="W587" s="1733"/>
      <c r="X587" s="1733"/>
      <c r="Y587" s="1733"/>
      <c r="Z587" s="1733"/>
      <c r="AA587" s="1733"/>
      <c r="AB587" s="1733"/>
      <c r="AC587" s="1733"/>
      <c r="AD587" s="1733"/>
      <c r="AE587" s="1733"/>
      <c r="AF587" s="1733"/>
      <c r="AG587" s="1733"/>
      <c r="AH587" s="1733"/>
      <c r="AI587" s="1733"/>
      <c r="AJ587" s="1733"/>
      <c r="AK587" s="1733"/>
      <c r="AL587" s="1733"/>
      <c r="AM587" s="1733"/>
      <c r="AN587" s="1733"/>
      <c r="AO587" s="1733"/>
      <c r="AP587" s="1733"/>
      <c r="AQ587" s="1733"/>
      <c r="AR587" s="1733"/>
      <c r="AS587" s="1733"/>
      <c r="AT587" s="1733"/>
      <c r="AU587" s="1733"/>
      <c r="AV587" s="1733"/>
      <c r="AW587" s="1733"/>
      <c r="AX587" s="469"/>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663"/>
      <c r="CQ587" s="663"/>
      <c r="CR587" s="438"/>
      <c r="CS587" s="663"/>
      <c r="CV587" s="391"/>
      <c r="CW587" s="391"/>
      <c r="CX587" s="207"/>
      <c r="CY587" s="208"/>
      <c r="CZ587" s="208"/>
      <c r="DA587" s="208"/>
      <c r="DB587" s="209"/>
      <c r="DC587" s="209"/>
      <c r="DD587" s="209"/>
      <c r="DF587" s="664"/>
      <c r="DG587" s="665"/>
      <c r="DH587" s="666"/>
      <c r="DI587" s="667"/>
      <c r="DJ587" s="668"/>
      <c r="DK587" s="668"/>
      <c r="DN587" s="208"/>
      <c r="DO587" s="664"/>
      <c r="DQ587" s="664"/>
      <c r="DR587" s="669"/>
      <c r="DS587" s="391"/>
      <c r="DT587" s="664"/>
      <c r="DU587" s="664"/>
      <c r="DV587" s="664"/>
      <c r="DX587" s="664"/>
      <c r="DY587" s="664"/>
      <c r="DZ587" s="664"/>
      <c r="EA587" s="664"/>
      <c r="EC587" s="670"/>
      <c r="ED587" s="670"/>
      <c r="EF587" s="668"/>
      <c r="EG587" s="668"/>
      <c r="EH587" s="208"/>
      <c r="EI587" s="668"/>
      <c r="EJ587" s="668"/>
      <c r="EK587" s="207"/>
      <c r="EL587" s="207"/>
      <c r="EM587" s="666"/>
      <c r="EN587" s="671"/>
      <c r="EO587" s="671"/>
      <c r="EP587" s="672"/>
      <c r="EQ587" s="672"/>
      <c r="ER587" s="666"/>
      <c r="ES587" s="666"/>
      <c r="ET587" s="666"/>
      <c r="EV587" s="664"/>
      <c r="EX587" s="391"/>
      <c r="EY587" s="391"/>
      <c r="EZ587" s="391"/>
      <c r="FA587" s="391"/>
      <c r="FB587" s="391"/>
      <c r="FC587" s="391"/>
      <c r="FE587" s="569"/>
      <c r="FG587" s="391"/>
      <c r="FH587" s="391"/>
      <c r="FI587" s="391"/>
      <c r="FS587" s="664"/>
      <c r="FT587" s="391"/>
      <c r="FU587" s="391"/>
      <c r="FV587" s="664"/>
      <c r="FW587" s="664"/>
      <c r="GA587" s="663"/>
      <c r="GB587" s="663"/>
      <c r="GC587" s="663"/>
      <c r="GD587" s="663"/>
      <c r="GE587" s="663"/>
      <c r="GF587" s="663"/>
      <c r="GG587" s="663"/>
      <c r="GH587" s="663"/>
      <c r="GI587" s="665"/>
      <c r="GJ587" s="664"/>
      <c r="GK587" s="664"/>
    </row>
    <row r="588" spans="1:288" s="78" customFormat="1" ht="14.95" customHeight="1">
      <c r="B588" s="1845" t="str">
        <f>ID591</f>
        <v xml:space="preserve"> </v>
      </c>
      <c r="C588" s="1846">
        <f>C583+1</f>
        <v>105</v>
      </c>
      <c r="D588" s="1847"/>
      <c r="E588" s="1799" t="s">
        <v>295</v>
      </c>
      <c r="F588" s="1800"/>
      <c r="G588" s="1741"/>
      <c r="H588" s="1742"/>
      <c r="I588" s="1742"/>
      <c r="J588" s="1742"/>
      <c r="K588" s="1742"/>
      <c r="L588" s="1742"/>
      <c r="M588" s="1742"/>
      <c r="N588" s="1742"/>
      <c r="O588" s="1742"/>
      <c r="P588" s="1742"/>
      <c r="Q588" s="1742"/>
      <c r="R588" s="1742"/>
      <c r="S588" s="1791" t="s">
        <v>344</v>
      </c>
      <c r="T588" s="590"/>
      <c r="U588" s="1743"/>
      <c r="V588" s="1744"/>
      <c r="W588" s="1744"/>
      <c r="X588" s="1744"/>
      <c r="Y588" s="1744"/>
      <c r="Z588" s="1744"/>
      <c r="AA588" s="1744"/>
      <c r="AB588" s="961" t="str">
        <f>IFERROR(IF(__Retrofit_TI_NC=0,VLOOKUP(U589,Fixtures_Existing_List,2,FALSE),ROUND(N590*R590/T590,10)),"")</f>
        <v/>
      </c>
      <c r="AC588" s="935" t="str">
        <f>IFERROR(IF(__Retrofit_TI_NC=0,ROUND(T589*AB588*N589*R589/1000,0),IF(CQ588="Interior",N590*R590*R589*N589*_C406_reduction/1000,N590*R590*R589*N589/1000)),"")</f>
        <v/>
      </c>
      <c r="AD588" s="936" t="str">
        <f>IFERROR(IF(C$43=0,ROUND(T589*AB588/1000,2),N590*R590/1000),"")</f>
        <v/>
      </c>
      <c r="AE588" s="997"/>
      <c r="AF588" s="937"/>
      <c r="AG588" s="1745" t="str">
        <f>IF(__Retrofit_TI_NC=0," Control","Select Advanced Control for New System")</f>
        <v xml:space="preserve"> Control</v>
      </c>
      <c r="AH588" s="1745"/>
      <c r="AI588" s="1745"/>
      <c r="AJ588" s="1745"/>
      <c r="AK588" s="1745"/>
      <c r="AL588" s="1745"/>
      <c r="AM588" s="1746">
        <f>IFERROR(DI588,"")</f>
        <v>0</v>
      </c>
      <c r="AN588" s="1774" t="str">
        <f>IFERROR(ROUND(AM588*AC588,0),"")</f>
        <v/>
      </c>
      <c r="AO588" s="1776">
        <f>IFERROR(IF(IB588=FALSE,0,AC588-AN588),0)</f>
        <v>0</v>
      </c>
      <c r="AP588" s="1778">
        <f>AO588-AO590</f>
        <v>0</v>
      </c>
      <c r="AQ588" s="1779"/>
      <c r="AR588" s="1793">
        <f>IFERROR(IF(IB588=FALSE,0,(T590*U591)+(AF590*AG591)),0)</f>
        <v>0</v>
      </c>
      <c r="AS588" s="1793"/>
      <c r="AT588" s="1794"/>
      <c r="AU588" s="1734" t="s">
        <v>237</v>
      </c>
      <c r="AV588" s="1751">
        <f>IF(AU588="Yes",1,0)</f>
        <v>1</v>
      </c>
      <c r="AW588" s="1704" t="str">
        <f>IF(OR(DQ588=4,DQ588=5,DQ588=6,DQ588=12),CONCATENATE("$",IF(GH588=TRUE,Lookup!$K$10,Lookup!$K$2)," /lamp"),CONCATENATE(TEXT(ED588,"$0.00"),"/ kWh"))</f>
        <v>$0.00/ kWh</v>
      </c>
      <c r="AX588" s="467"/>
      <c r="AY588" s="1748">
        <f ca="1">IFERROR(IF(GM589=TRUE,(AB591*T590)/R590,0),"NA")</f>
        <v>0</v>
      </c>
      <c r="AZ588" s="1748"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696" t="str">
        <f>N589</f>
        <v/>
      </c>
      <c r="CQ588" s="1696" t="str">
        <f>IFERROR(VLOOKUP(G589,_Lookup_Heat_Type_Table_New,3,FALSE),"")</f>
        <v/>
      </c>
      <c r="CR588" s="1808" t="str">
        <f>CQ588</f>
        <v/>
      </c>
      <c r="CS588" s="1810" t="str">
        <f>IFERROR(VLOOKUP(G590,'Space Table'!$B$3:$L$163,9,FALSE),"")</f>
        <v/>
      </c>
      <c r="CU588" s="1688" t="s">
        <v>344</v>
      </c>
      <c r="CV588" s="1702">
        <f>IF(IB588=TRUE,T589,0)</f>
        <v>0</v>
      </c>
      <c r="CW588" s="1702" t="str">
        <f>IF(IB588=TRUE,U589,"")</f>
        <v/>
      </c>
      <c r="CX588" s="1702"/>
      <c r="CY588" s="1814">
        <f>IF(IB588=TRUE,AB588,0)</f>
        <v>0</v>
      </c>
      <c r="CZ588" s="1710">
        <f>IF(AND(__Retrofit_TI_NC&gt;0,CR588="interior"),0,IF(IB588=TRUE,AC588,0))</f>
        <v>0</v>
      </c>
      <c r="DA588" s="1814">
        <f>IFERROR(IF(IB588=TRUE,CZ588-CZ590,0),0)</f>
        <v>0</v>
      </c>
      <c r="DB588" s="1819">
        <f>IF(IB588=TRUE,AD588,0)</f>
        <v>0</v>
      </c>
      <c r="DC588" s="1819">
        <f>IF(IB588=TRUE,AD591,0)</f>
        <v>0</v>
      </c>
      <c r="DD588" s="1819">
        <f>IFERROR(DB588-DC588,0)</f>
        <v>0</v>
      </c>
      <c r="DF588" s="1702">
        <f>IF(IB588=TRUE,AF589,0)</f>
        <v>0</v>
      </c>
      <c r="DG588" s="1830">
        <f>IFERROR(IF(__Retrofit_TI_NC=2,IF(CQ588="Exterior",O591,FQ588),FN588),"")</f>
        <v>0</v>
      </c>
      <c r="DH588" s="1702"/>
      <c r="DI588" s="1837">
        <f>JE588</f>
        <v>0</v>
      </c>
      <c r="DJ588" s="1710">
        <f>IF(AND(__Retrofit_TI_NC&gt;0,CR588="interior"),0,IF(IB588=TRUE,AN588,0))</f>
        <v>0</v>
      </c>
      <c r="DK588" s="1712">
        <f>IFERROR(IF(IB588=TRUE,DJ590-DJ588,0),0)</f>
        <v>0</v>
      </c>
      <c r="DM588" s="1717">
        <f>IFERROR(CZ588-DJ588,0)</f>
        <v>0</v>
      </c>
      <c r="DO588" s="1708">
        <f>DM588-DN590</f>
        <v>0</v>
      </c>
      <c r="DQ588" s="1715" t="str">
        <f>IFERROR(IF(AND(OR(GC588=4,GC588=5,GC588=6),OR(GF588=4,GF588=5,GF588=6)),GC588+8,VLOOKUP(CW590,Fixtures!R$31:Y$78,8,FALSE)),"")</f>
        <v/>
      </c>
      <c r="DR588" s="1829" t="str">
        <f>DQ588</f>
        <v/>
      </c>
      <c r="DS588" s="1702" t="str">
        <f>IFERROR(VLOOKUP(DG590,Lookup!BB$3:BC$20,2,FALSE),"")</f>
        <v/>
      </c>
      <c r="DT588" s="1713" t="str">
        <f>IF(OR(DS588=7,DS588=8,DS588=9),"ALC","")</f>
        <v/>
      </c>
      <c r="DU588" s="1715">
        <f>IFERROR(IF(OR(DQ588=4,DQ588=5,DQ588=6,DQ588=12,DQ588=13,DQ588=14),VLOOKUP(CW590,Fixtures!DN$27:EG$77,19,FALSE),1)*CV590,0)</f>
        <v>0</v>
      </c>
      <c r="DV588" s="1716">
        <f>IF(OR(DS588=7,DS588=8,DS588=9),IF(DG588=DG590,0,DF590),0)</f>
        <v>0</v>
      </c>
      <c r="DX588" s="1715" t="str">
        <f>IFERROR(IF(EZ588&lt;EZ590,"Yes","No"),"")</f>
        <v/>
      </c>
      <c r="DY588" s="1829" t="str">
        <f>DX588</f>
        <v/>
      </c>
      <c r="DZ588" s="1715">
        <f>IF(DX588="Yes",DF590,0)</f>
        <v>0</v>
      </c>
      <c r="EA588" s="1715">
        <f>DZ588-DV588</f>
        <v>0</v>
      </c>
      <c r="EC588" s="1834">
        <f>IFERROR(VLOOKUP(DQ588,Lookup!AU$3:AV$16,2,FALSE),0)</f>
        <v>0</v>
      </c>
      <c r="ED588" s="1834">
        <f>IF(IB588=FALSE,0,IF(DX588="Yes",EC588+Lookup!K$6,EC588))</f>
        <v>0</v>
      </c>
      <c r="EF588" s="1707">
        <f>IF(IB588=TRUE,DM588,0)</f>
        <v>0</v>
      </c>
      <c r="EG588" s="1712">
        <f>IF(IB588=TRUE,CZ590,0)</f>
        <v>0</v>
      </c>
      <c r="EH588" s="1814">
        <f>IFERROR(EF588-EG588,0)</f>
        <v>0</v>
      </c>
      <c r="EI588" s="1712">
        <f>IF(IB588=TRUE,DJ590,0)</f>
        <v>0</v>
      </c>
      <c r="EJ588" s="1712">
        <f>IFERROR(EF588-EG588+EI588,0)</f>
        <v>0</v>
      </c>
      <c r="EK588" s="1812">
        <f>IF(IB588=TRUE,CV590*CX590,0)</f>
        <v>0</v>
      </c>
      <c r="EL588" s="1812">
        <f>IF(IB588=TRUE,DF590*DH590,0)</f>
        <v>0</v>
      </c>
      <c r="EM588" s="1807">
        <f>AR588</f>
        <v>0</v>
      </c>
      <c r="EN588" s="1839" t="str">
        <f>IFERROR(IF(IB588=TRUE,VLOOKUP(DQ588,Lookup!AU$3:AW$16,3,FALSE)*DU588,""),0)</f>
        <v/>
      </c>
      <c r="EO588" s="1839">
        <f>IF(IB588=TRUE,DZ588*Lookup!AW$12,0)</f>
        <v>0</v>
      </c>
      <c r="EP588" s="1817">
        <f>IFERROR(IF(IB588=TRUE,EN588/EP$40,0),0)</f>
        <v>0</v>
      </c>
      <c r="EQ588" s="1817">
        <f>IF(IB588=TRUE,EO588/EQ$40,0)</f>
        <v>0</v>
      </c>
      <c r="ER588" s="1807">
        <f>IF(IB588=TRUE,ET$40*EP588,0)</f>
        <v>0</v>
      </c>
      <c r="ES588" s="1807">
        <f>IF(IB588=TRUE,ET$40*EQ588,0)</f>
        <v>0</v>
      </c>
      <c r="ET588" s="1807">
        <f>ER588+ES588</f>
        <v>0</v>
      </c>
      <c r="EV588" s="1715">
        <f>IF(G588="",0,1)</f>
        <v>0</v>
      </c>
      <c r="EX588" s="1804" t="str">
        <f>IFERROR(VLOOKUP(CS590,'Space Table'!$B$3:$L$163,8,FALSE),"")</f>
        <v/>
      </c>
      <c r="EY588" s="1804" t="str">
        <f>IFERROR(IF(FB588="Yes",VLOOKUP(DG588,Lookup_Control_Type_Table2,4,FALSE),VLOOKUP(DG588,Lookup_Control_Type_Table2,3,FALSE)),"")</f>
        <v/>
      </c>
      <c r="EZ588" s="1804" t="e">
        <f>VLOOKUP(DG588,Lookup!BB$3:BC$20,2,FALSE)</f>
        <v>#N/A</v>
      </c>
      <c r="FA588" s="1804" t="e">
        <f>VLOOKUP(EX588,Lookup_Control_Type_Table,2,FALSE)</f>
        <v>#N/A</v>
      </c>
      <c r="FB588" s="1804" t="e">
        <f>VLOOKUP(CS590,'Space Table'!$B$3:$L$163,7,FALSE)</f>
        <v>#N/A</v>
      </c>
      <c r="FC588" s="1826" t="b">
        <f>ISNUMBER(SEARCH("TLED",U590))</f>
        <v>0</v>
      </c>
      <c r="FE588" s="1698" t="str">
        <f>CONCATENATE(CQ588," - ",DG588)</f>
        <v xml:space="preserve"> - 0</v>
      </c>
      <c r="FG588" s="1702" t="str">
        <f>VLOOKUP(CW590,Fixtures!DN$27:EZ$77,38,FALSE)</f>
        <v/>
      </c>
      <c r="FH588" s="1702">
        <f>IFERROR(FG588*EH588,0)</f>
        <v>0</v>
      </c>
      <c r="FI588" s="133"/>
      <c r="FL588" s="1822" t="str">
        <f>IF(CQ588="Exterior","Not Daylighted",G591)</f>
        <v>Not Daylighted</v>
      </c>
      <c r="FM588" s="1824">
        <f>VLOOKUP(FL588,_New_Daylight_Table_Codes,2,FALSE)</f>
        <v>0</v>
      </c>
      <c r="FN588" s="1698">
        <f>IF(__Retrofit_TI_NC&gt;0,VLOOKUP(G590,'Space Table'!$B$3:$L$163,11,FALSE),AG589)</f>
        <v>0</v>
      </c>
      <c r="FO588" s="1698" t="e">
        <f>IF(__Retrofit_TI_NC=2,VLOOKUP(FQ588,_Control_Table,2,FALSE),VLOOKUP(FN588,_Control_Table,2,FALSE))</f>
        <v>#N/A</v>
      </c>
      <c r="FP588" s="1678" t="e">
        <f>VLOOKUP(CONCATENATE(FL588," ",FN588),Lookup!AY$102:AZ598,2,FALSE)</f>
        <v>#N/A</v>
      </c>
      <c r="FQ588" s="1678">
        <f>IF(__Retrofit_TI_NC=0,FN588,IF(AND(FT588&gt;0,FN588="Occupancy Sensor"),"Daylight + Occupancy",IF(AND(FT588&gt;0,VLOOKUP(FN588,_Control_Table,2,FALSE)&lt;4),"Interior Daylight Dimming",FN588)))</f>
        <v>0</v>
      </c>
      <c r="FS588" s="1686">
        <f>IF(CR588="Interior",VLOOKUP(CS588,Control_Savings_Interior,5,FALSE),0)</f>
        <v>0</v>
      </c>
      <c r="FT588" s="1687">
        <f>IF(CQ588="Exterior",0,IF(FM588=2,0.5,IF(OR(FM588=1,FM588=3),1,0)))</f>
        <v>0</v>
      </c>
      <c r="FU588" s="1685">
        <f>IF(R587&gt;FS$44,(FS588*(FS$44/R587)),FS588)*FT588</f>
        <v>0</v>
      </c>
      <c r="FV588" s="1686">
        <f>DI588</f>
        <v>0</v>
      </c>
      <c r="FW588" s="1686">
        <f>ROUND(FV588+((1-FV588)*FU588),2)</f>
        <v>0</v>
      </c>
      <c r="FX588" s="1686">
        <f>IF(__Retrofit_TI_NC=2,FW588,FV588)</f>
        <v>0</v>
      </c>
      <c r="FY588" s="1697"/>
      <c r="GA588" s="1696" t="str">
        <f>IFERROR(VLOOKUP(U589,_Exist_Fixture_Table,3,FALSE),"")</f>
        <v/>
      </c>
      <c r="GB588" s="1696" t="str">
        <f>VLOOKUP(CW588,_Exist_Fixture_Table,4,FALSE)</f>
        <v/>
      </c>
      <c r="GC588" s="1696">
        <f>IFERROR(VLOOKUP(GB588,Lookup!AT$6:AU$8,2,FALSE),0)</f>
        <v>0</v>
      </c>
      <c r="GD588" s="1696" t="b">
        <f>IFERROR(IF(OR(GF588=4,GF588=5,GF588=6),TRUE,FALSE),"")</f>
        <v>0</v>
      </c>
      <c r="GE588" s="1696" t="str">
        <f>IFERROR(VLOOKUP(GF588,GC$6:GD$10,2,FALSE),"")</f>
        <v/>
      </c>
      <c r="GF588" s="1696" t="str">
        <f>VLOOKUP(CW590,Fixtures!R$31:Y$78,8,FALSE)</f>
        <v/>
      </c>
      <c r="GG588" s="1696">
        <f>IF(AND(GA588=TRUE,GD588=TRUE,OR(DQ588=12,DQ588=13,DQ588=14)),GC588+8,0)</f>
        <v>0</v>
      </c>
      <c r="GH588" s="1696" t="b">
        <f>IF(OR(GG588=12,GG588=13,GG588=14),TRUE,FALSE)</f>
        <v>0</v>
      </c>
      <c r="GI588" s="673" t="b">
        <f>IF(ISNUMBER(SEARCH("TLED",U589)),TRUE,FALSE)</f>
        <v>0</v>
      </c>
      <c r="GJ588" s="1135" t="str">
        <f>IFERROR(VLOOKUP(U589,Fixtures!BM$93:BR$142,6,FALSE),"")</f>
        <v/>
      </c>
      <c r="GK588" s="1832" t="b">
        <f>IF(OR(GI588=FALSE,GI590=FALSE),TRUE,IF(GJ588-GJ590&lt;5,FALSE,TRUE))</f>
        <v>1</v>
      </c>
      <c r="GO588" s="674">
        <f>GP588</f>
        <v>0</v>
      </c>
      <c r="GP588" s="674">
        <f>IF(G588="",0,1)</f>
        <v>0</v>
      </c>
      <c r="GQ588" s="674">
        <f ca="1">SUM(GR588:HF588)</f>
        <v>2</v>
      </c>
      <c r="GR588" s="674">
        <f>IF(G589="",0,1)</f>
        <v>0</v>
      </c>
      <c r="GS588" s="674">
        <f>IF(N591="BAM",1,IF(G590="",0,1))</f>
        <v>0</v>
      </c>
      <c r="GT588" s="674">
        <f>IF(N591="BAM",1,IF(R589="",0,1))</f>
        <v>0</v>
      </c>
      <c r="GU588" s="674">
        <f>IF(N591="BAM",1,IF(__Retrofit_TI_NC=0,1,IF(R590="",0,1)))</f>
        <v>1</v>
      </c>
      <c r="GV588" s="674">
        <f>IF(N591="BAM",1,IF(CQ588="Exterior",1,IF(G591="",0,1)))</f>
        <v>1</v>
      </c>
      <c r="GW588" s="674">
        <f>IF(__Retrofit_TI_NC&gt;0,1,IF(T589="",0,1))</f>
        <v>0</v>
      </c>
      <c r="GX588" s="674">
        <f>IF(__Retrofit_TI_NC&gt;0,1,IF(U589="",0,1))</f>
        <v>0</v>
      </c>
      <c r="GY588" s="674">
        <f>IF(N591="BAM",1,IF(T590="",0,1))</f>
        <v>0</v>
      </c>
      <c r="GZ588" s="674">
        <f>IF(N591="BAM",1,IF(U590="",0,1))</f>
        <v>0</v>
      </c>
      <c r="HA588" s="674">
        <f ca="1">IF(N591="BAM",1,IF(__Retrofit_TI_NC&gt;0,1,IF(U591="",0,1)))</f>
        <v>0</v>
      </c>
      <c r="HB588" s="674">
        <f>IF(__Retrofit_TI_NC&lt;&gt;0,1,IF(AF589="",0,1))</f>
        <v>0</v>
      </c>
      <c r="HC588" s="674">
        <f>IF(__Retrofit_TI_NC&lt;&gt;0,1,IF(AG589="",0,1))</f>
        <v>0</v>
      </c>
      <c r="HD588" s="674">
        <f>IF(N591="BAM",1,IF(AF590="",0,1))</f>
        <v>0</v>
      </c>
      <c r="HE588" s="674">
        <f>IF(N591="BAM",1,IF(AG590="",0,1))</f>
        <v>0</v>
      </c>
      <c r="HF588" s="674">
        <f>IF(N591="BAM",1,IF(__Retrofit_TI_NC&gt;0,1,IF(AG591="",0,1)))</f>
        <v>0</v>
      </c>
      <c r="HG588" s="391"/>
      <c r="IA588" s="391"/>
      <c r="IB588" s="1693" t="b">
        <f>IF(OR(IB591=0,IB591=HY$16,IB591=HX$16,IB591=HZ$16),TRUE,FALSE)</f>
        <v>0</v>
      </c>
      <c r="IC588" s="1694" t="b">
        <f>IB588</f>
        <v>0</v>
      </c>
      <c r="ID588" s="391"/>
      <c r="IE588" s="391"/>
      <c r="IF588" s="1688" t="b">
        <f ca="1">IF(MAX(GN591:HU591)&gt;5,FALSE,TRUE)</f>
        <v>0</v>
      </c>
      <c r="IG588" s="1689">
        <f ca="1">IF(IF588=TRUE,AC588,0)</f>
        <v>0</v>
      </c>
      <c r="IH588" s="1689">
        <f ca="1">IG588-IG590</f>
        <v>0</v>
      </c>
      <c r="IK588" s="1689" t="e">
        <f>ROUND(T589*VLOOKUP(U589,Fixtures_Existing_List,2,FALSE)*N589*R589/1000,0)</f>
        <v>#N/A</v>
      </c>
      <c r="IL588" s="1690" t="e">
        <f>IK588-IK590</f>
        <v>#N/A</v>
      </c>
      <c r="IM588" s="1693" t="e">
        <f>ROUND(IF(CQ588="Interior",N590*R590*R589*N589*_C406_reduction/1000,N590*R590*R589*N589/1000),0)</f>
        <v>#N/A</v>
      </c>
      <c r="IN588" s="1693" t="e">
        <f>IM588-IM590</f>
        <v>#N/A</v>
      </c>
      <c r="IP588" s="1679"/>
      <c r="IQ588" s="1679" t="e">
        <f t="shared" ref="IQ588:IU588" si="536">IF($CR588="interior",VLOOKUP($CS588,_New_Control_Savings_Interior,IQ$30,FALSE),VLOOKUP($CS588,Control_Savings_Exterior,IQ$30,FALSE))</f>
        <v>#N/A</v>
      </c>
      <c r="IR588" s="1679" t="e">
        <f t="shared" si="536"/>
        <v>#N/A</v>
      </c>
      <c r="IS588" s="1679" t="e">
        <f t="shared" si="536"/>
        <v>#N/A</v>
      </c>
      <c r="IT588" s="1679" t="e">
        <f t="shared" si="536"/>
        <v>#N/A</v>
      </c>
      <c r="IU588" s="1679" t="e">
        <f t="shared" si="536"/>
        <v>#N/A</v>
      </c>
      <c r="IV588" s="1679" t="e">
        <f>IF($CR588="interior",IF(R589&gt;$IP$14,ROUND(($IV$18*($IP$14/R589)),2),$IV$18),VLOOKUP($CS588,Control_Savings_Exterior,IV$30,FALSE))</f>
        <v>#N/A</v>
      </c>
      <c r="IW588" s="1679" t="e">
        <f>IF($CR588="interior",ROUND(((1-IS588)*IV588)+IS588,2),VLOOKUP($CS588,Control_Savings_Exterior,IW$30,FALSE))</f>
        <v>#N/A</v>
      </c>
      <c r="IX588" s="1679" t="e">
        <f>IF($CR588="interior",ROUND(((1-IT588)*IV588)+IT588,2),VLOOKUP($CS588,Control_Savings_Exterior,IX$30,FALSE))</f>
        <v>#N/A</v>
      </c>
      <c r="IY588" s="1679" t="e">
        <f>IF($CR588="interior",IF(R589&gt;$IP$14,ROUND(($IY$18*($IP$14/R589)),2),$IY$18),VLOOKUP($CS588,Control_Savings_Exterior,IY$30,FALSE))</f>
        <v>#N/A</v>
      </c>
      <c r="IZ588" s="1679" t="e">
        <f>IF($CR588="interior",ROUND(((1-IS588)*IY588)+IS588,2),VLOOKUP($CS588,Control_Savings_Exterior,IZ$30,FALSE))</f>
        <v>#N/A</v>
      </c>
      <c r="JA588" s="1679" t="e">
        <f>IF($CR588="interior",ROUND(((1-IT588)*IY588)+IT588,2),VLOOKUP($CS588,Control_Savings_Exterior,JA$30,FALSE))</f>
        <v>#N/A</v>
      </c>
      <c r="JC588" s="1680">
        <f>IFERROR(IF(CR588="Interior",CONCATENATE(G591," ",FQ588),FQ588),"")</f>
        <v>0</v>
      </c>
      <c r="JD588" s="1670" t="str">
        <f>IFERROR(VLOOKUP(JC588,_Controls_2023,2,FALSE),"")</f>
        <v/>
      </c>
      <c r="JE588" s="1681">
        <f>IFERROR(CHOOSE(JD588-1,IQ588,IR588,IS588,IT588,IU588,IV588,IW588,IX588,IY588,IZ588,JA588),0)</f>
        <v>0</v>
      </c>
      <c r="JG588" s="1680" t="str">
        <f>FE588</f>
        <v xml:space="preserve"> - 0</v>
      </c>
      <c r="JH588" s="1670" t="e">
        <f>$FO588</f>
        <v>#N/A</v>
      </c>
      <c r="JI588" s="1060"/>
      <c r="JJ588" s="1682" t="b">
        <f>IF($JG590=CONCATENATE("Interior - ",JJ$4),TRUE,FALSE)</f>
        <v>0</v>
      </c>
      <c r="JK588" s="1061"/>
      <c r="JL588" s="1682" t="b">
        <f>IF($JG590=CONCATENATE("Interior - ",JL$4),TRUE,FALSE)</f>
        <v>0</v>
      </c>
      <c r="JM588" s="1061"/>
      <c r="JN588" s="1682" t="b">
        <f>IF($JG590=CONCATENATE("Interior - ",JN$4),TRUE,FALSE)</f>
        <v>0</v>
      </c>
      <c r="JO588" s="1061"/>
      <c r="JP588" s="1682" t="b">
        <f>IF(__Retrofit_TI_NC&gt;0,FALSE,IF($JG590=CONCATENATE("Interior - ",JP$4),TRUE,FALSE))</f>
        <v>0</v>
      </c>
      <c r="JQ588" s="1061"/>
      <c r="JR588" s="1682" t="b">
        <f>IF(__Retrofit_TI_NC&gt;0,FALSE,IF($JG590=CONCATENATE("Interior - ",JR$4),TRUE,FALSE))</f>
        <v>0</v>
      </c>
      <c r="JS588" s="1061"/>
      <c r="JT588" s="1670" t="b">
        <f>IF(__Retrofit_TI_NC&gt;0,FALSE,IF($JG590=CONCATENATE("Interior - ",JT$4),TRUE,FALSE))</f>
        <v>0</v>
      </c>
      <c r="JU588" s="1061"/>
      <c r="JV588" s="1670" t="b">
        <f>IF(JC590="AELC on Existing",TRUE,FALSE)</f>
        <v>0</v>
      </c>
      <c r="JX588" s="1670" t="b">
        <f>IF(OR(JG590="Exterior - AELC Occupancy based",JG590="Exterior - AELC Time based"),TRUE,FALSE)</f>
        <v>0</v>
      </c>
      <c r="JZ588" s="1682" t="b">
        <f>IF($JG590=CONCATENATE("Exterior - ",JZ$4),TRUE,FALSE)</f>
        <v>0</v>
      </c>
      <c r="KB588" s="1670" t="b">
        <f>IF(__Retrofit_TI_NC&gt;0,FALSE,IF($JG590=CONCATENATE("Interior - ",KB$4),TRUE,FALSE))</f>
        <v>0</v>
      </c>
    </row>
    <row r="589" spans="1:288" s="78" customFormat="1" ht="14.95" customHeight="1" thickTop="1" thickBot="1">
      <c r="B589" s="1845"/>
      <c r="C589" s="1846"/>
      <c r="D589" s="1847"/>
      <c r="E589" s="1737" t="s">
        <v>297</v>
      </c>
      <c r="F589" s="1738"/>
      <c r="G589" s="1739"/>
      <c r="H589" s="1739"/>
      <c r="I589" s="1739"/>
      <c r="J589" s="1739"/>
      <c r="K589" s="1739"/>
      <c r="L589" s="1739"/>
      <c r="M589" s="461" t="e">
        <f>IF(__Retrofit_TI_NC&lt;&gt;0,IF(VLOOKUP(G590,'Space Table'!$B$3:$L$163,3,FALSE)&gt;0,1,0),IF(__Retrofit_TI_NC=VLOOKUP(G590,'Space Table'!$B$3:$L$163,3,FALSE),1,0))</f>
        <v>#N/A</v>
      </c>
      <c r="N589" s="461" t="str">
        <f>IFERROR(VLOOKUP(G589,_Lookup_Heat_Type_Table_New,2,FALSE),"")</f>
        <v/>
      </c>
      <c r="O589" s="461">
        <f>IF(__Retrofit_TI_NC=1,CONCATENATE("TI ",G589),IF(__Retrofit_TI_NC=2,CONCATENATE("NC ",G589),G589))</f>
        <v>0</v>
      </c>
      <c r="P589" s="1740" t="s">
        <v>435</v>
      </c>
      <c r="Q589" s="1740"/>
      <c r="R589" s="595"/>
      <c r="S589" s="1792"/>
      <c r="T589" s="597"/>
      <c r="U589" s="1765"/>
      <c r="V589" s="1766"/>
      <c r="W589" s="1766"/>
      <c r="X589" s="1766"/>
      <c r="Y589" s="1766"/>
      <c r="Z589" s="1766"/>
      <c r="AA589" s="1766"/>
      <c r="AB589" s="1766"/>
      <c r="AC589" s="1766"/>
      <c r="AD589" s="1767"/>
      <c r="AE589" s="1000"/>
      <c r="AF589" s="597"/>
      <c r="AG589" s="1723"/>
      <c r="AH589" s="1724"/>
      <c r="AI589" s="1724"/>
      <c r="AJ589" s="1724"/>
      <c r="AK589" s="1725"/>
      <c r="AL589" s="996"/>
      <c r="AM589" s="1747"/>
      <c r="AN589" s="1775"/>
      <c r="AO589" s="1777"/>
      <c r="AP589" s="1780"/>
      <c r="AQ589" s="1781"/>
      <c r="AR589" s="1795"/>
      <c r="AS589" s="1795"/>
      <c r="AT589" s="1796"/>
      <c r="AU589" s="1735"/>
      <c r="AV589" s="1752"/>
      <c r="AW589" s="1705"/>
      <c r="AX589" s="467"/>
      <c r="AY589" s="1749"/>
      <c r="AZ589" s="1749"/>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696"/>
      <c r="CQ589" s="1696"/>
      <c r="CR589" s="1809"/>
      <c r="CS589" s="1811"/>
      <c r="CU589" s="1688"/>
      <c r="CV589" s="1703"/>
      <c r="CW589" s="1703"/>
      <c r="CX589" s="1703"/>
      <c r="CY589" s="1815"/>
      <c r="CZ589" s="1711"/>
      <c r="DA589" s="1818"/>
      <c r="DB589" s="1820"/>
      <c r="DC589" s="1820"/>
      <c r="DD589" s="1820"/>
      <c r="DF589" s="1703"/>
      <c r="DG589" s="1831"/>
      <c r="DH589" s="1703"/>
      <c r="DI589" s="1838"/>
      <c r="DJ589" s="1711"/>
      <c r="DK589" s="1712"/>
      <c r="DM589" s="1718"/>
      <c r="DO589" s="1708"/>
      <c r="DQ589" s="1715"/>
      <c r="DR589" s="1720"/>
      <c r="DS589" s="1816"/>
      <c r="DT589" s="1714"/>
      <c r="DU589" s="1715"/>
      <c r="DV589" s="1716"/>
      <c r="DX589" s="1715"/>
      <c r="DY589" s="1720"/>
      <c r="DZ589" s="1715"/>
      <c r="EA589" s="1715"/>
      <c r="EC589" s="1834"/>
      <c r="ED589" s="1834"/>
      <c r="EF589" s="1707"/>
      <c r="EG589" s="1712"/>
      <c r="EH589" s="1818"/>
      <c r="EI589" s="1712"/>
      <c r="EJ589" s="1712"/>
      <c r="EK589" s="1836"/>
      <c r="EL589" s="1836"/>
      <c r="EM589" s="1807"/>
      <c r="EN589" s="1839"/>
      <c r="EO589" s="1839"/>
      <c r="EP589" s="1817"/>
      <c r="EQ589" s="1817"/>
      <c r="ER589" s="1807"/>
      <c r="ES589" s="1807"/>
      <c r="ET589" s="1807"/>
      <c r="EV589" s="1715"/>
      <c r="EX589" s="1805"/>
      <c r="EY589" s="1805"/>
      <c r="EZ589" s="1805"/>
      <c r="FA589" s="1805"/>
      <c r="FB589" s="1805"/>
      <c r="FC589" s="1827"/>
      <c r="FE589" s="1698"/>
      <c r="FG589" s="1816"/>
      <c r="FH589" s="1816"/>
      <c r="FI589" s="133"/>
      <c r="FL589" s="1823"/>
      <c r="FM589" s="1825"/>
      <c r="FN589" s="1698"/>
      <c r="FO589" s="1698"/>
      <c r="FP589" s="1678"/>
      <c r="FQ589" s="1678"/>
      <c r="FS589" s="1687"/>
      <c r="FT589" s="1687"/>
      <c r="FU589" s="1685"/>
      <c r="FV589" s="1687"/>
      <c r="FW589" s="1687"/>
      <c r="FX589" s="1687"/>
      <c r="FY589" s="1697"/>
      <c r="GA589" s="1696"/>
      <c r="GB589" s="1696"/>
      <c r="GC589" s="1696"/>
      <c r="GD589" s="1696"/>
      <c r="GE589" s="1696"/>
      <c r="GF589" s="1696"/>
      <c r="GG589" s="1696"/>
      <c r="GH589" s="1696"/>
      <c r="GI589" s="673"/>
      <c r="GJ589" s="1135"/>
      <c r="GK589" s="1832"/>
      <c r="GM589" s="1693" t="b">
        <f ca="1">IF(AND(GP589=TRUE,GQ589=TRUE),TRUE,FALSE)</f>
        <v>0</v>
      </c>
      <c r="GN589" s="1684" t="b">
        <f>IFERROR(IF(__Retrofit_TI_NC=2,TRUE,IF(AU588="Yes",TRUE,FALSE)),FALSE)</f>
        <v>1</v>
      </c>
      <c r="GP589" s="1684" t="b">
        <f>IFERROR(IF(GP588=1,TRUE,FALSE),FALSE)</f>
        <v>0</v>
      </c>
      <c r="GQ589" s="1684" t="b">
        <f ca="1">IFERROR(IF(GQ588=GQ$14,TRUE,FALSE),FALSE)</f>
        <v>0</v>
      </c>
      <c r="HG589" s="1684" t="b">
        <f>IFERROR(IF(AND(__Retrofit_TI_NC&gt;0,CQ588="Interior"),FALSE,TRUE),FALSE)</f>
        <v>1</v>
      </c>
      <c r="HH589" s="1684" t="b">
        <f>IFERROR(IF(M589=1,TRUE,FALSE),FALSE)</f>
        <v>0</v>
      </c>
      <c r="HI589" s="1684" t="b">
        <f>IFERROR(IF(OR(M590=1,N591="BAM"),TRUE,FALSE),FALSE)</f>
        <v>0</v>
      </c>
      <c r="HJ589" s="1684" t="b">
        <f>IFERROR(IF(__Retrofit_TI_NC&lt;&gt;0,TRUE,IFERROR(IF(VLOOKUP(U589,Fixtures_Existing_List,2,FALSE)&lt;&gt;"",TRUE,FALSE),FALSE)),FALSE)</f>
        <v>0</v>
      </c>
      <c r="HK589" s="1684" t="b">
        <f>IFERROR(IF(VLOOKUP(U590,Fixtures_Proposed_List,2,FALSE)&lt;&gt;"",TRUE,FALSE),FALSE)</f>
        <v>0</v>
      </c>
      <c r="HL589" s="1684" t="b">
        <f>IF(AND(__Retrofit_TI_NC=2,FC588=TRUE),FALSE,TRUE)</f>
        <v>1</v>
      </c>
      <c r="HM589" s="1684" t="b">
        <f>GK588</f>
        <v>1</v>
      </c>
      <c r="HN589" s="1682" t="b">
        <f>IF(ISERROR(MATCH(FE588,_Control_Match[],0))=TRUE,FALSE,TRUE)</f>
        <v>0</v>
      </c>
      <c r="HO589" s="1693" t="b">
        <f>IFERROR(IF(EX588&lt;&gt;EY588,FALSE,TRUE),FALSE)</f>
        <v>1</v>
      </c>
      <c r="HP589" s="1693" t="b">
        <f>IFERROR(IF(EX590&lt;&gt;EY590,FALSE,TRUE),FALSE)</f>
        <v>1</v>
      </c>
      <c r="HQ589" s="1670" t="b">
        <f>IFERROR(IF(CQ588="Exterior",TRUE,IF(AND(OR(FM590=0,FM590=3),JD590&gt;6),FALSE,TRUE)),FALSE)</f>
        <v>0</v>
      </c>
      <c r="HR589" s="1684" t="b">
        <f>IFERROR(IF(AND(FO590=7,FC588=TRUE),FALSE,TRUE),FALSE)</f>
        <v>0</v>
      </c>
      <c r="HS589" s="1684" t="b">
        <f>IFERROR(IF(AND(T590&lt;&gt;AF590,OR(AG590="Interior LLLC", AG590="Interior NLC", AG590="LLLC (outside Daylight)",AG590="LLLC Controls Only"))=TRUE,FALSE,TRUE),FALSE)</f>
        <v>1</v>
      </c>
      <c r="HT589" s="1670" t="b">
        <f>IFERROR(IF(OR(AG590=Lookup!BB$17,AG590=Lookup!BB$18,AG590=Lookup!BB$19)=TRUE,IF(AF590&gt;T590,FALSE,TRUE),TRUE),FALSE)</f>
        <v>1</v>
      </c>
      <c r="HU589" s="1684" t="b">
        <f>IFERROR(IF(__Retrofit_TI_NC=2,IF(EZ590&lt;EZ588,FALSE,TRUE),TRUE),FALSE)</f>
        <v>1</v>
      </c>
      <c r="HV589" s="1684" t="b">
        <f>IF(CQ588="Interior",IL$6,TRUE)</f>
        <v>1</v>
      </c>
      <c r="HW589" s="1684" t="b">
        <f>IF(CQ588="Exterior",IL$8,TRUE)</f>
        <v>1</v>
      </c>
      <c r="HX589" s="1684" t="b">
        <f>IFERROR(IF(__Retrofit_TI_NC&lt;&gt;0,IF(AZ588&lt;AY588,FALSE,TRUE),TRUE),FALSE)</f>
        <v>1</v>
      </c>
      <c r="HY589" s="1684" t="b">
        <f>IFERROR(IF(AND(G589="Exterior",R589&gt;4200),FALSE,TRUE),FALSE)</f>
        <v>1</v>
      </c>
      <c r="HZ589" s="1684" t="b">
        <f>IFERROR(IF(AB591/AB588&lt;HZ$18,FALSE,TRUE),FALSE)</f>
        <v>0</v>
      </c>
      <c r="IB589" s="1691"/>
      <c r="IC589" s="1695"/>
      <c r="ID589" s="1694" t="str">
        <f>VLOOKUP(IB591,_Error_Table,4,FALSE)</f>
        <v>White</v>
      </c>
      <c r="IE589" s="391"/>
      <c r="IF589" s="1688"/>
      <c r="IG589" s="1689"/>
      <c r="IH589" s="1684"/>
      <c r="IK589" s="1689"/>
      <c r="IL589" s="1691"/>
      <c r="IM589" s="1691"/>
      <c r="IN589" s="1691"/>
      <c r="IP589" s="1679"/>
      <c r="IQ589" s="1679"/>
      <c r="IR589" s="1679"/>
      <c r="IS589" s="1679"/>
      <c r="IT589" s="1679"/>
      <c r="IU589" s="1679"/>
      <c r="IV589" s="1679"/>
      <c r="IW589" s="1679"/>
      <c r="IX589" s="1679"/>
      <c r="IY589" s="1679"/>
      <c r="IZ589" s="1679"/>
      <c r="JA589" s="1679"/>
      <c r="JC589" s="1680"/>
      <c r="JD589" s="1670"/>
      <c r="JE589" s="1681"/>
      <c r="JG589" s="1680"/>
      <c r="JH589" s="1670"/>
      <c r="JI589" s="1060"/>
      <c r="JJ589" s="1683"/>
      <c r="JK589" s="1061"/>
      <c r="JL589" s="1683"/>
      <c r="JM589" s="1061"/>
      <c r="JN589" s="1683"/>
      <c r="JO589" s="1061"/>
      <c r="JP589" s="1683"/>
      <c r="JQ589" s="1061"/>
      <c r="JR589" s="1683"/>
      <c r="JS589" s="1061"/>
      <c r="JT589" s="1670"/>
      <c r="JU589" s="1061"/>
      <c r="JV589" s="1670"/>
      <c r="JX589" s="1670"/>
      <c r="JZ589" s="1683"/>
      <c r="KB589" s="1670"/>
    </row>
    <row r="590" spans="1:288" s="78" customFormat="1" ht="14.95" customHeight="1" thickTop="1" thickBot="1">
      <c r="A590" s="78">
        <f>ROW()</f>
        <v>590</v>
      </c>
      <c r="B590" s="1845"/>
      <c r="C590" s="1846"/>
      <c r="D590" s="1847"/>
      <c r="E590" s="1737" t="s">
        <v>298</v>
      </c>
      <c r="F590" s="1738"/>
      <c r="G590" s="1760"/>
      <c r="H590" s="1761"/>
      <c r="I590" s="1761"/>
      <c r="J590" s="1761"/>
      <c r="K590" s="1761"/>
      <c r="L590" s="1762"/>
      <c r="M590" s="461">
        <f>IFERROR(IF(IF(__Retrofit_TI_NC&lt;&gt;0,IF(CQ588="Interior",MATCH(G590,Lookup_Interior_New,0),MATCH(G590,Lookup_Exterior_New,0)),IF(CQ588="Interior",MATCH(G590,Lookup_Interior,0),MATCH(G590,Lookup_Exterior_Areas,0)))&gt;0,1,0),0)</f>
        <v>0</v>
      </c>
      <c r="N590" s="461" t="e">
        <f>IF(__Retrofit_TI_NC=1,
VLOOKUP(G590,'Space Table'!$B$3:$L$163,4,FALSE),
IF(__Retrofit_TI_NC=2,VLOOKUP(G590,'Space Table'!$B$3:$L$163,5,FALSE),VLOOKUP(G590,'Space Table'!$B$3:$L$163,5,FALSE)))</f>
        <v>#N/A</v>
      </c>
      <c r="O590" s="461">
        <f>G590</f>
        <v>0</v>
      </c>
      <c r="P590" s="1738" t="str">
        <f>IFERROR(IF(__Retrofit_TI_NC=1,VLOOKUP(G590,'Space Table'!$B$3:$O$163,13,FALSE),IF(__Retrofit_TI_NC=2,VLOOKUP(G590,'Space Table'!$B$3:$O$163,14,FALSE),"Area (sf):")),"Area (sf):")</f>
        <v>Area (sf):</v>
      </c>
      <c r="Q590" s="1738"/>
      <c r="R590" s="596"/>
      <c r="S590" s="1763" t="s">
        <v>345</v>
      </c>
      <c r="T590" s="594"/>
      <c r="U590" s="1801"/>
      <c r="V590" s="1802"/>
      <c r="W590" s="1802"/>
      <c r="X590" s="1802"/>
      <c r="Y590" s="1802"/>
      <c r="Z590" s="1802"/>
      <c r="AA590" s="1802"/>
      <c r="AB590" s="1802"/>
      <c r="AC590" s="1802"/>
      <c r="AD590" s="1802"/>
      <c r="AE590" s="1803"/>
      <c r="AF590" s="594"/>
      <c r="AG590" s="1787"/>
      <c r="AH590" s="1787"/>
      <c r="AI590" s="1787"/>
      <c r="AJ590" s="1787"/>
      <c r="AK590" s="1787"/>
      <c r="AL590" s="1787"/>
      <c r="AM590" s="1726">
        <f>IFERROR(DI590,"")</f>
        <v>0</v>
      </c>
      <c r="AN590" s="1728" t="str">
        <f>IFERROR(ROUND(AM590*AC591,0),"")</f>
        <v/>
      </c>
      <c r="AO590" s="1730">
        <f>IFERROR(IF(IB588=FALSE,0,AC591-AN590),0)</f>
        <v>0</v>
      </c>
      <c r="AP590" s="1780"/>
      <c r="AQ590" s="1781"/>
      <c r="AR590" s="1795"/>
      <c r="AS590" s="1795"/>
      <c r="AT590" s="1796"/>
      <c r="AU590" s="1735"/>
      <c r="AV590" s="1752"/>
      <c r="AW590" s="1705"/>
      <c r="AX590" s="467"/>
      <c r="AY590" s="1749"/>
      <c r="AZ590" s="1749"/>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696"/>
      <c r="CQ590" s="1696"/>
      <c r="CR590" s="1808" t="str">
        <f>CQ588</f>
        <v/>
      </c>
      <c r="CS590" s="1810" t="str">
        <f>CS588</f>
        <v/>
      </c>
      <c r="CU590" s="1688" t="s">
        <v>345</v>
      </c>
      <c r="CV590" s="1702">
        <f>IF(IB588=TRUE,T590,0)</f>
        <v>0</v>
      </c>
      <c r="CW590" s="1702" t="str">
        <f>IF(IB588=TRUE,U590,"")</f>
        <v/>
      </c>
      <c r="CX590" s="1812">
        <f>IF(IB588=TRUE,U591,0)</f>
        <v>0</v>
      </c>
      <c r="CY590" s="1814">
        <f>IF(IB588=TRUE,AB591,0)</f>
        <v>0</v>
      </c>
      <c r="CZ590" s="1710">
        <f>IF(AND(__Retrofit_TI_NC&gt;0,CR588="interior"),0,IF(IB588=TRUE,AC591,0))</f>
        <v>0</v>
      </c>
      <c r="DA590" s="1818"/>
      <c r="DB590" s="1820"/>
      <c r="DC590" s="1820"/>
      <c r="DD590" s="1820"/>
      <c r="DF590" s="1702">
        <f>IF(IB588=TRUE,AF590,0)</f>
        <v>0</v>
      </c>
      <c r="DG590" s="1830" t="str">
        <f>IF(IB588=TRUE,AG590,"")</f>
        <v/>
      </c>
      <c r="DH590" s="1812">
        <f>AG591</f>
        <v>0</v>
      </c>
      <c r="DI590" s="1837">
        <f>JE590</f>
        <v>0</v>
      </c>
      <c r="DJ590" s="1710">
        <f>IF(AND(__Retrofit_TI_NC&gt;0,CR588="interior"),0,IF(IB588=TRUE,AN590,0))</f>
        <v>0</v>
      </c>
      <c r="DK590" s="1712"/>
      <c r="DN590" s="1717">
        <f>IFERROR(CZ590-DJ590,0)</f>
        <v>0</v>
      </c>
      <c r="DO590" s="1709"/>
      <c r="DQ590" s="1715"/>
      <c r="DR590" s="1719" t="str">
        <f>DQ588</f>
        <v/>
      </c>
      <c r="DS590" s="1816"/>
      <c r="DT590" s="1835" t="str">
        <f>IF(OR(DS588=7,DS588=8,DS588=9),"ALC","")</f>
        <v/>
      </c>
      <c r="DU590" s="1715"/>
      <c r="DV590" s="1716"/>
      <c r="DX590" s="1715"/>
      <c r="DY590" s="1829" t="str">
        <f>DX588</f>
        <v/>
      </c>
      <c r="DZ590" s="1715"/>
      <c r="EA590" s="1715"/>
      <c r="EC590" s="1834"/>
      <c r="ED590" s="1834"/>
      <c r="EF590" s="1707"/>
      <c r="EG590" s="1712"/>
      <c r="EH590" s="1818"/>
      <c r="EI590" s="1712"/>
      <c r="EJ590" s="1712"/>
      <c r="EK590" s="1836"/>
      <c r="EL590" s="1836"/>
      <c r="EM590" s="1807"/>
      <c r="EN590" s="1839"/>
      <c r="EO590" s="1839"/>
      <c r="EP590" s="1817"/>
      <c r="EQ590" s="1817"/>
      <c r="ER590" s="1807"/>
      <c r="ES590" s="1807"/>
      <c r="ET590" s="1807"/>
      <c r="EV590" s="1715"/>
      <c r="EX590" s="1805" t="str">
        <f>IFERROR(VLOOKUP(CS590,'Space Table'!$B$3:$L$163,8,FALSE),"")</f>
        <v/>
      </c>
      <c r="EY590" s="1805" t="str">
        <f>IFERROR(IF(FB590="Yes",VLOOKUP(AG590,Lookup_Control_Type_Table2,4,FALSE),VLOOKUP(AG590,Lookup_Control_Type_Table2,3,FALSE)),"")</f>
        <v/>
      </c>
      <c r="EZ590" s="1805" t="e">
        <f>VLOOKUP(AG590,Lookup!BB$3:BC$20,2,FALSE)</f>
        <v>#N/A</v>
      </c>
      <c r="FA590" s="1805" t="e">
        <f>VLOOKUP(EX588,Lookup_Control_Type_Table,2,FALSE)</f>
        <v>#N/A</v>
      </c>
      <c r="FB590" s="1805" t="e">
        <f>VLOOKUP(CS590,'Space Table'!$B$3:$L$163,7,FALSE)</f>
        <v>#N/A</v>
      </c>
      <c r="FC590" s="1827"/>
      <c r="FE590" s="1698" t="str">
        <f>CONCATENATE(CQ588," - ",AG590)</f>
        <v xml:space="preserve"> - </v>
      </c>
      <c r="FG590" s="1816"/>
      <c r="FH590" s="1816"/>
      <c r="FI590" s="133"/>
      <c r="FL590" s="1822" t="str">
        <f>IF(CQ588="Exterior","Not Daylighted",G591)</f>
        <v>Not Daylighted</v>
      </c>
      <c r="FM590" s="1824">
        <f>VLOOKUP(FL590,_New_Daylight_Table_Codes,2,FALSE)</f>
        <v>0</v>
      </c>
      <c r="FN590" s="1698">
        <f>AG590</f>
        <v>0</v>
      </c>
      <c r="FO590" s="1698" t="e">
        <f>VLOOKUP(FN590,_Control_Table,2,FALSE)</f>
        <v>#N/A</v>
      </c>
      <c r="FP590" s="1678" t="e">
        <f>VLOOKUP(CONCATENATE(FL590," ",FN590),Lookup!AY$102:AZ601,2,FALSE)</f>
        <v>#N/A</v>
      </c>
      <c r="FQ590" s="1698">
        <f>IF(__Retrofit_TI_NC=0,FN590,IF(AND(FT590&gt;0,FN590="Occupancy Sensor"),"Daylight + Occupancy",IF(AND(FT590&gt;0,FO590&lt;4),"Interior Daylight Dimming",FN590)))</f>
        <v>0</v>
      </c>
      <c r="FS590" s="1686">
        <f>IF(CQ588="Interior",VLOOKUP(CS588,Control_Savings_Interior,5,FALSE),0)</f>
        <v>0</v>
      </c>
      <c r="FT590" s="1687">
        <f>IF(CQ590="Exterior",0,IF(FM590=2,0.5,IF(OR(FM590=1,FM590=3),1,0)))</f>
        <v>0</v>
      </c>
      <c r="FU590" s="1685">
        <f>IF(R589&gt;FS$44,(FS590*(FS$44/R589)),FS590)*FT590</f>
        <v>0</v>
      </c>
      <c r="FV590" s="1686">
        <f>DI590</f>
        <v>0</v>
      </c>
      <c r="FW590" s="1686">
        <f>ROUND(FV590+((1-FV590)*FU590),2)</f>
        <v>0</v>
      </c>
      <c r="FX590" s="1686">
        <f>IF(__Retrofit_TI_NC=2,FW590,FV590)</f>
        <v>0</v>
      </c>
      <c r="FY590" s="1697">
        <f>IF(CR590="Interior",VLOOKUP(CS590,Control_Savings_Interior,4,FALSE),0)</f>
        <v>0</v>
      </c>
      <c r="GA590" s="1696"/>
      <c r="GB590" s="1696"/>
      <c r="GC590" s="1696"/>
      <c r="GD590" s="1696"/>
      <c r="GE590" s="1696"/>
      <c r="GF590" s="1696"/>
      <c r="GG590" s="1696"/>
      <c r="GH590" s="1696"/>
      <c r="GI590" s="673" t="b">
        <f>IF(ISNUMBER(SEARCH("TLED",U590)),TRUE,FALSE)</f>
        <v>0</v>
      </c>
      <c r="GJ590" s="1135" t="str">
        <f>IFERROR(VLOOKUP(U590,Fixtures!DM$93:DR$142,6,FALSE),"")</f>
        <v/>
      </c>
      <c r="GK590" s="1832"/>
      <c r="GM590" s="1692"/>
      <c r="GN590" s="1684"/>
      <c r="GP590" s="1684"/>
      <c r="GQ590" s="1684"/>
      <c r="HG590" s="1684"/>
      <c r="HH590" s="1684"/>
      <c r="HI590" s="1684"/>
      <c r="HJ590" s="1684"/>
      <c r="HK590" s="1684"/>
      <c r="HL590" s="1684"/>
      <c r="HM590" s="1684"/>
      <c r="HN590" s="1683"/>
      <c r="HO590" s="1692"/>
      <c r="HP590" s="1692"/>
      <c r="HQ590" s="1670"/>
      <c r="HR590" s="1684"/>
      <c r="HS590" s="1684"/>
      <c r="HT590" s="1670"/>
      <c r="HU590" s="1684"/>
      <c r="HV590" s="1684"/>
      <c r="HW590" s="1684"/>
      <c r="HX590" s="1684"/>
      <c r="HY590" s="1684"/>
      <c r="HZ590" s="1684"/>
      <c r="IB590" s="1692"/>
      <c r="IC590" s="1693" t="b">
        <f>IB588</f>
        <v>0</v>
      </c>
      <c r="ID590" s="1695"/>
      <c r="IE590" s="391"/>
      <c r="IF590" s="1688"/>
      <c r="IG590" s="1689">
        <f ca="1">IF(IF588=TRUE,AC591,0)</f>
        <v>0</v>
      </c>
      <c r="IH590" s="1684"/>
      <c r="IK590" s="1689" t="e">
        <f>ROUND(T590*AB591*N589*R589/1000,0)</f>
        <v>#VALUE!</v>
      </c>
      <c r="IL590" s="1691"/>
      <c r="IM590" s="1693" t="e">
        <f>ROUND(T590*AB591*N589*R589/1000,0)</f>
        <v>#VALUE!</v>
      </c>
      <c r="IN590" s="1691"/>
      <c r="IP590" s="1679"/>
      <c r="IQ590" s="1679" t="e">
        <f t="shared" ref="IQ590:IU590" si="537">IF($CR590="interior",VLOOKUP($CS590,_New_Control_Savings_Interior,IQ$30,FALSE),VLOOKUP($CS590,Control_Savings_Exterior,IQ$30,FALSE))</f>
        <v>#N/A</v>
      </c>
      <c r="IR590" s="1679" t="e">
        <f t="shared" si="537"/>
        <v>#N/A</v>
      </c>
      <c r="IS590" s="1679" t="e">
        <f t="shared" si="537"/>
        <v>#N/A</v>
      </c>
      <c r="IT590" s="1679" t="e">
        <f t="shared" si="537"/>
        <v>#N/A</v>
      </c>
      <c r="IU590" s="1679" t="e">
        <f t="shared" si="537"/>
        <v>#N/A</v>
      </c>
      <c r="IV590" s="1679" t="e">
        <f>IF($CR590="interior",IF(R589&gt;$IP$14,ROUND(($IV$18*($IP$14/R589)),2),$IV$18),VLOOKUP($CS590,Control_Savings_Exterior,IV$30,FALSE))</f>
        <v>#N/A</v>
      </c>
      <c r="IW590" s="1679" t="e">
        <f>IF($CR590="interior",ROUND(((1-IS590)*IV590)+IS590,2),VLOOKUP($CS590,Control_Savings_Exterior,IW$30,FALSE))</f>
        <v>#N/A</v>
      </c>
      <c r="IX590" s="1679" t="e">
        <f>IF($CR590="interior",ROUND(((1-IT590)*IV590)+IT590,2),VLOOKUP($CS590,Control_Savings_Exterior,IX$30,FALSE))</f>
        <v>#N/A</v>
      </c>
      <c r="IY590" s="1679" t="e">
        <f>IF($CR590="interior",IF(R589&gt;$IP$14,ROUND(($IY$18*($IP$14/R589)),2),$IY$18),VLOOKUP($CS590,Control_Savings_Exterior,IY$30,FALSE))</f>
        <v>#N/A</v>
      </c>
      <c r="IZ590" s="1679" t="e">
        <f>IF($CR590="interior",ROUND(((1-IS590)*IY590)+IS590,2),VLOOKUP($CS590,Control_Savings_Exterior,IZ$30,FALSE))</f>
        <v>#N/A</v>
      </c>
      <c r="JA590" s="1679" t="e">
        <f>IF($CR590="interior",ROUND(((1-IT590)*IY590)+IT590,2),VLOOKUP($CS590,Control_Savings_Exterior,JA$30,FALSE))</f>
        <v>#N/A</v>
      </c>
      <c r="JC590" s="1680">
        <f>IFERROR(IF(CR590="Interior",CONCATENATE(G591," ",FQ590),AG590),"")</f>
        <v>0</v>
      </c>
      <c r="JD590" s="1670" t="str">
        <f>IFERROR(VLOOKUP(JC590,_Controls_2023,2,FALSE),"")</f>
        <v/>
      </c>
      <c r="JE590" s="1681">
        <f>IFERROR(CHOOSE(JD590-1,IQ590,IR590,IS590,IT590,IU590,IV590,IW590,IX590,IY590,IZ590,JA590),0)</f>
        <v>0</v>
      </c>
      <c r="JG590" s="1680" t="str">
        <f>FE590</f>
        <v xml:space="preserve"> - </v>
      </c>
      <c r="JH590" s="1670" t="e">
        <f>$FO590</f>
        <v>#N/A</v>
      </c>
      <c r="JI590" s="1060"/>
      <c r="JJ590" s="1670">
        <f>IFERROR(IF($IB588=TRUE,IF(OR(JJ$14="No",JJ588=FALSE,JH590&lt;=JH588,AND(_kWh_Grant=0,GD588=FALSE)),0,IF(JJ$8="Per Line",1,$AF590)),0),0)</f>
        <v>0</v>
      </c>
      <c r="JK590" s="1061"/>
      <c r="JL590" s="1670">
        <f>IFERROR(IF(_kWh_Grant=0,0,IF($IB588=TRUE,IF(OR(JL$14="No",JL588=FALSE,JH590&lt;=JH588),0,IF(JL$8="Per Line",1,$T590)),0)),0)</f>
        <v>0</v>
      </c>
      <c r="JM590" s="1061"/>
      <c r="JN590" s="1670">
        <f>IFERROR(IF(_kWh_Grant=0,0,IF($IB588=TRUE,IF(OR(JN$14="No",JN588=FALSE,JH590&lt;=JH588),0,IF(JN$8="Per Line",1,$AF590)),0)),0)</f>
        <v>0</v>
      </c>
      <c r="JO590" s="1061"/>
      <c r="JP590" s="1670">
        <f>IFERROR(IF(__Retrofit_TI_NC=0,IF(_kWh_Grant=0,0,IF($IB588=TRUE,IF(OR(JP$14="No",JP588=FALSE,$JH590&lt;=$JH588),0,IF(JP$8="Per Line",1,$AF590)),0)),IF($IB588=TRUE,IF(OR(JP$14="No",JP588=FALSE,$JH590&lt;=$JH588),0,IF(JP$8="Per Line",1,$AF590)))),0)</f>
        <v>0</v>
      </c>
      <c r="JQ590" s="1061"/>
      <c r="JR590" s="1670">
        <f>IFERROR(IF(__Retrofit_TI_NC=0,IF(_kWh_Grant=0,0,IF($IB588=TRUE,IF(OR(JR$14="No",JR588=FALSE,$JH590&lt;=$JH588),0,IF(JR$8="Per Line",1,$AF590)),0)),IF($IB588=TRUE,IF(OR(JR$14="No",JR588=FALSE,$JH590&lt;=$JH588),0,IF(JR$8="Per Line",1,$AF590)))),0)</f>
        <v>0</v>
      </c>
      <c r="JS590" s="1061"/>
      <c r="JT590" s="1670">
        <f>IFERROR(IF(__Retrofit_TI_NC=0,IF(_kWh_Grant=0,0,IF($IB588=TRUE,IF(OR(JT$14="No",JT588=FALSE,$JH590&lt;=$JH588),0,IF(JT$8="Per Line",1,$AF590)),0)),IF($IB588=TRUE,IF(OR(JT$14="No",JT588=FALSE,$JH590&lt;=$JH588),0,IF(JT$8="Per Line",1,$AF590)))),0)</f>
        <v>0</v>
      </c>
      <c r="JU590" s="1061"/>
      <c r="JV590" s="1670">
        <f>IFERROR(IF(__Retrofit_TI_NC=0,IF(_kWh_Grant=0,0,IF($IB588=TRUE,IF(OR(JV$14="No",JV588=FALSE,$JH590&lt;=$JH588),0,IF(JV$8="Per Line",1,$AF590)),0)),IF($IB588=TRUE,IF(OR(JV$14="No",JV588=FALSE,$JH590&lt;=$JH588),0,IF(JV$8="Per Line",1,$AF590)))),0)</f>
        <v>0</v>
      </c>
      <c r="JX590" s="1670">
        <f>IFERROR(IF(__Retrofit_TI_NC=0,IF(_kWh_Grant=0,0,IF($IB588=TRUE,IF(OR(JX$14="No",JX588=FALSE,$JH590&lt;=$JH588),0,IF(JX$8="Per Line",1,$AF590)),0)),IF($IB588=TRUE,IF(OR(JX$14="No",JX588=FALSE,$JH590&lt;=$JH588),0,IF(JX$8="Per Line",1,$AF590)))),0)</f>
        <v>0</v>
      </c>
      <c r="JZ590" s="1670">
        <f>IFERROR(IF($IB588=TRUE,IF(OR(JZ$14="No",JZ588=FALSE,$JH590&lt;=$JH588,AND(_kWh_Grant=0,$GD588=FALSE)),0,IF(JZ$8="Per Line",1,$AF590)),0),0)</f>
        <v>0</v>
      </c>
      <c r="KB590" s="1670">
        <f>IFERROR(IF(__Retrofit_TI_NC=0,IF(_kWh_Grant=0,0,IF($IB588=TRUE,IF(OR(KB$14="No",KB588=FALSE,$JH590&lt;=$JH588),0,IF(KB$8="Per Line",1,$AF590)),0)),IF($IB588=TRUE,IF(OR(KB$14="No",KB588=FALSE,$JH590&lt;=$JH588),0,IF(KB$8="Per Line",1,$AF590)))),0)</f>
        <v>0</v>
      </c>
    </row>
    <row r="591" spans="1:288" s="78" customFormat="1" ht="14.95" customHeight="1" thickTop="1" thickBot="1">
      <c r="B591" s="1845"/>
      <c r="C591" s="1846"/>
      <c r="D591" s="1847"/>
      <c r="E591" s="1771" t="s">
        <v>436</v>
      </c>
      <c r="F591" s="1772"/>
      <c r="G591" s="1784" t="s">
        <v>437</v>
      </c>
      <c r="H591" s="1785"/>
      <c r="I591" s="1785"/>
      <c r="J591" s="1785"/>
      <c r="K591" s="1785"/>
      <c r="L591" s="1786"/>
      <c r="M591" s="591">
        <f>IFERROR(VLOOKUP(G591,_Daylight_Table[],2,FALSE),0)</f>
        <v>0</v>
      </c>
      <c r="N591" s="592" t="str">
        <f>IF(AND(__Retrofit_TI_NC&gt;0,CQ588="Interior"),"BAM","")</f>
        <v/>
      </c>
      <c r="O591" s="591" t="e">
        <f>VLOOKUP(G590,'Space Table'!$B$3:$L$163,11,FALSE)</f>
        <v>#N/A</v>
      </c>
      <c r="P591" s="1789"/>
      <c r="Q591" s="1790"/>
      <c r="R591" s="1790"/>
      <c r="S591" s="1788"/>
      <c r="T591" s="593" t="s">
        <v>342</v>
      </c>
      <c r="U591" s="1756" t="str" cm="1">
        <f t="array" aca="1" ref="U591" ca="1">IFERROR(VLOOKUP(INDIRECT("U" &amp; ROW()-1),Fixtures!DM$93:DP$142,4,FALSE),"")</f>
        <v/>
      </c>
      <c r="V591" s="1757"/>
      <c r="W591" s="1757"/>
      <c r="X591" s="1757"/>
      <c r="Y591" s="1757"/>
      <c r="Z591" s="1757"/>
      <c r="AA591" s="1758"/>
      <c r="AB591" s="939" t="str">
        <f>IFERROR(VLOOKUP(U590,Fixtures_Proposed_List,2,FALSE),"")</f>
        <v/>
      </c>
      <c r="AC591" s="933" t="str">
        <f>IFERROR(ROUND(T590*AB591*N589*R589/1000,0),"")</f>
        <v/>
      </c>
      <c r="AD591" s="934" t="str">
        <f>IFERROR(ROUND(T590*AB591/1000,2),"")</f>
        <v/>
      </c>
      <c r="AE591" s="998"/>
      <c r="AF591" s="938" t="s">
        <v>342</v>
      </c>
      <c r="AG591" s="1770"/>
      <c r="AH591" s="1770"/>
      <c r="AI591" s="1770"/>
      <c r="AJ591" s="1770"/>
      <c r="AK591" s="1770"/>
      <c r="AL591" s="1770"/>
      <c r="AM591" s="1727"/>
      <c r="AN591" s="1729"/>
      <c r="AO591" s="1731"/>
      <c r="AP591" s="1782"/>
      <c r="AQ591" s="1783"/>
      <c r="AR591" s="1797"/>
      <c r="AS591" s="1797"/>
      <c r="AT591" s="1798"/>
      <c r="AU591" s="1736"/>
      <c r="AV591" s="1753"/>
      <c r="AW591" s="1706"/>
      <c r="AX591" s="468"/>
      <c r="AY591" s="1750"/>
      <c r="AZ591" s="1750"/>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696"/>
      <c r="CQ591" s="1696"/>
      <c r="CR591" s="1809"/>
      <c r="CS591" s="1811"/>
      <c r="CU591" s="1688"/>
      <c r="CV591" s="1703"/>
      <c r="CW591" s="1703"/>
      <c r="CX591" s="1813"/>
      <c r="CY591" s="1815"/>
      <c r="CZ591" s="1711"/>
      <c r="DA591" s="1815"/>
      <c r="DB591" s="1821"/>
      <c r="DC591" s="1821"/>
      <c r="DD591" s="1821"/>
      <c r="DF591" s="1703"/>
      <c r="DG591" s="1831"/>
      <c r="DH591" s="1813"/>
      <c r="DI591" s="1838"/>
      <c r="DJ591" s="1711"/>
      <c r="DK591" s="1712"/>
      <c r="DN591" s="1718"/>
      <c r="DO591" s="1709"/>
      <c r="DQ591" s="1715"/>
      <c r="DR591" s="1720"/>
      <c r="DS591" s="1703"/>
      <c r="DT591" s="1714"/>
      <c r="DU591" s="1715"/>
      <c r="DV591" s="1716"/>
      <c r="DX591" s="1715"/>
      <c r="DY591" s="1720"/>
      <c r="DZ591" s="1715"/>
      <c r="EA591" s="1715"/>
      <c r="EC591" s="1834"/>
      <c r="ED591" s="1834"/>
      <c r="EF591" s="1707"/>
      <c r="EG591" s="1712"/>
      <c r="EH591" s="1815"/>
      <c r="EI591" s="1712"/>
      <c r="EJ591" s="1712"/>
      <c r="EK591" s="1813"/>
      <c r="EL591" s="1813"/>
      <c r="EM591" s="1807"/>
      <c r="EN591" s="1839"/>
      <c r="EO591" s="1839"/>
      <c r="EP591" s="1817"/>
      <c r="EQ591" s="1817"/>
      <c r="ER591" s="1807"/>
      <c r="ES591" s="1807"/>
      <c r="ET591" s="1807"/>
      <c r="EV591" s="1715"/>
      <c r="EX591" s="1806"/>
      <c r="EY591" s="1806"/>
      <c r="EZ591" s="1806"/>
      <c r="FA591" s="1806"/>
      <c r="FB591" s="1806"/>
      <c r="FC591" s="1828"/>
      <c r="FE591" s="1698"/>
      <c r="FG591" s="1703"/>
      <c r="FH591" s="1703"/>
      <c r="FI591" s="133"/>
      <c r="FL591" s="1823"/>
      <c r="FM591" s="1825"/>
      <c r="FN591" s="1698"/>
      <c r="FO591" s="1698"/>
      <c r="FP591" s="1678"/>
      <c r="FQ591" s="1698"/>
      <c r="FS591" s="1687"/>
      <c r="FT591" s="1687"/>
      <c r="FU591" s="1685"/>
      <c r="FV591" s="1687"/>
      <c r="FW591" s="1687"/>
      <c r="FX591" s="1687"/>
      <c r="FY591" s="1697"/>
      <c r="GA591" s="1696"/>
      <c r="GB591" s="1696"/>
      <c r="GC591" s="1696"/>
      <c r="GD591" s="1696"/>
      <c r="GE591" s="1696"/>
      <c r="GF591" s="1696"/>
      <c r="GG591" s="1696"/>
      <c r="GH591" s="1696"/>
      <c r="GI591" s="673"/>
      <c r="GJ591" s="1135"/>
      <c r="GK591" s="1832"/>
      <c r="GN591" s="674">
        <f>IF(GN589=TRUE,0,GN$16)</f>
        <v>0</v>
      </c>
      <c r="GP591" s="674">
        <f>IF(GP589=TRUE,0,GP$16)</f>
        <v>36</v>
      </c>
      <c r="GQ591" s="674">
        <f ca="1">IF(GQ589=TRUE,0,GQ$16)</f>
        <v>35</v>
      </c>
      <c r="GR591" s="391"/>
      <c r="GS591" s="391"/>
      <c r="GT591" s="391"/>
      <c r="GU591" s="391"/>
      <c r="GV591" s="391"/>
      <c r="HG591" s="674">
        <f>IF(HG589=TRUE,0,HG$16)</f>
        <v>0</v>
      </c>
      <c r="HH591" s="674">
        <f t="shared" ref="HH591:HM591" si="538">IF(HH589=TRUE,0,HH$16)</f>
        <v>19</v>
      </c>
      <c r="HI591" s="674">
        <f t="shared" si="538"/>
        <v>18</v>
      </c>
      <c r="HJ591" s="674">
        <f t="shared" si="538"/>
        <v>17</v>
      </c>
      <c r="HK591" s="674">
        <f t="shared" si="538"/>
        <v>16</v>
      </c>
      <c r="HL591" s="674">
        <f t="shared" si="538"/>
        <v>0</v>
      </c>
      <c r="HM591" s="674">
        <f t="shared" si="538"/>
        <v>0</v>
      </c>
      <c r="HN591" s="674">
        <f>IF(HN589=TRUE,0,HN$16)</f>
        <v>13</v>
      </c>
      <c r="HO591" s="674">
        <f t="shared" ref="HO591:HQ591" si="539">IF(HO589=TRUE,0,HO$16)</f>
        <v>0</v>
      </c>
      <c r="HP591" s="674">
        <f t="shared" si="539"/>
        <v>0</v>
      </c>
      <c r="HQ591" s="674">
        <f t="shared" si="539"/>
        <v>10</v>
      </c>
      <c r="HR591" s="674">
        <f>IF(HR589=TRUE,0,HR$16)</f>
        <v>9</v>
      </c>
      <c r="HS591" s="674">
        <f t="shared" ref="HS591:HW591" si="540">IF(HS589=TRUE,0,HS$16)</f>
        <v>0</v>
      </c>
      <c r="HT591" s="674">
        <f t="shared" si="540"/>
        <v>0</v>
      </c>
      <c r="HU591" s="674">
        <f t="shared" si="540"/>
        <v>0</v>
      </c>
      <c r="HV591" s="674">
        <f t="shared" si="540"/>
        <v>0</v>
      </c>
      <c r="HW591" s="674">
        <f t="shared" si="540"/>
        <v>0</v>
      </c>
      <c r="HX591" s="674">
        <f>IF(HX589=TRUE,0,HX$16)</f>
        <v>0</v>
      </c>
      <c r="HY591" s="674">
        <f>IF(HY589=TRUE,0,HY$16)</f>
        <v>0</v>
      </c>
      <c r="HZ591" s="674">
        <f>IF(HZ589=TRUE,0,HZ$16)</f>
        <v>1</v>
      </c>
      <c r="IB591" s="674">
        <f>IF(GP589=FALSE,GP591,IF(GQ589=FALSE,GQ591,MAX(GN591:HZ591)))</f>
        <v>36</v>
      </c>
      <c r="IC591" s="1692"/>
      <c r="ID591" s="205" t="str">
        <f>VLOOKUP(IB591,_Error_Table,3,FALSE)</f>
        <v xml:space="preserve"> </v>
      </c>
      <c r="IE591" s="205"/>
      <c r="IF591" s="1688"/>
      <c r="IG591" s="1689"/>
      <c r="IH591" s="1684"/>
      <c r="IK591" s="1689"/>
      <c r="IL591" s="1692"/>
      <c r="IM591" s="1692"/>
      <c r="IN591" s="1692"/>
      <c r="IP591" s="1679"/>
      <c r="IQ591" s="1679"/>
      <c r="IR591" s="1679"/>
      <c r="IS591" s="1679"/>
      <c r="IT591" s="1679"/>
      <c r="IU591" s="1679"/>
      <c r="IV591" s="1679"/>
      <c r="IW591" s="1679"/>
      <c r="IX591" s="1679"/>
      <c r="IY591" s="1679"/>
      <c r="IZ591" s="1679"/>
      <c r="JA591" s="1679"/>
      <c r="JC591" s="1680"/>
      <c r="JD591" s="1670"/>
      <c r="JE591" s="1681"/>
      <c r="JG591" s="1680"/>
      <c r="JH591" s="1670"/>
      <c r="JI591" s="1060"/>
      <c r="JJ591" s="1670"/>
      <c r="JK591" s="1061"/>
      <c r="JL591" s="1670"/>
      <c r="JM591" s="1061"/>
      <c r="JN591" s="1670"/>
      <c r="JO591" s="1061"/>
      <c r="JP591" s="1670"/>
      <c r="JQ591" s="1061"/>
      <c r="JR591" s="1670"/>
      <c r="JS591" s="1061"/>
      <c r="JT591" s="1670"/>
      <c r="JU591" s="1061"/>
      <c r="JV591" s="1670"/>
      <c r="JX591" s="1670"/>
      <c r="JZ591" s="1670"/>
      <c r="KB591" s="1670"/>
    </row>
    <row r="592" spans="1:288" s="78" customFormat="1" ht="5.0999999999999996" customHeight="1">
      <c r="B592" s="676"/>
      <c r="C592" s="392"/>
      <c r="D592" s="392"/>
      <c r="E592" s="1733"/>
      <c r="F592" s="1733"/>
      <c r="G592" s="1733"/>
      <c r="H592" s="1733"/>
      <c r="I592" s="1733"/>
      <c r="J592" s="1733"/>
      <c r="K592" s="1733"/>
      <c r="L592" s="1733"/>
      <c r="M592" s="1733"/>
      <c r="N592" s="1733"/>
      <c r="O592" s="1733"/>
      <c r="P592" s="1733"/>
      <c r="Q592" s="1733"/>
      <c r="R592" s="1733"/>
      <c r="S592" s="1733"/>
      <c r="T592" s="1733"/>
      <c r="U592" s="1733"/>
      <c r="V592" s="1733"/>
      <c r="W592" s="1733"/>
      <c r="X592" s="1733"/>
      <c r="Y592" s="1733"/>
      <c r="Z592" s="1733"/>
      <c r="AA592" s="1733"/>
      <c r="AB592" s="1733"/>
      <c r="AC592" s="1733"/>
      <c r="AD592" s="1733"/>
      <c r="AE592" s="1733"/>
      <c r="AF592" s="1733"/>
      <c r="AG592" s="1733"/>
      <c r="AH592" s="1733"/>
      <c r="AI592" s="1733"/>
      <c r="AJ592" s="1733"/>
      <c r="AK592" s="1733"/>
      <c r="AL592" s="1733"/>
      <c r="AM592" s="1733"/>
      <c r="AN592" s="1733"/>
      <c r="AO592" s="1733"/>
      <c r="AP592" s="1733"/>
      <c r="AQ592" s="1733"/>
      <c r="AR592" s="1733"/>
      <c r="AS592" s="1733"/>
      <c r="AT592" s="1733"/>
      <c r="AU592" s="1733"/>
      <c r="AV592" s="1733"/>
      <c r="AW592" s="1733"/>
      <c r="AX592" s="469"/>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663"/>
      <c r="CQ592" s="663"/>
      <c r="CR592" s="438"/>
      <c r="CS592" s="663"/>
      <c r="CV592" s="391"/>
      <c r="CW592" s="391"/>
      <c r="CX592" s="207"/>
      <c r="CY592" s="208"/>
      <c r="CZ592" s="208"/>
      <c r="DA592" s="208"/>
      <c r="DB592" s="209"/>
      <c r="DC592" s="209"/>
      <c r="DD592" s="209"/>
      <c r="DF592" s="664"/>
      <c r="DG592" s="665"/>
      <c r="DH592" s="666"/>
      <c r="DI592" s="667"/>
      <c r="DJ592" s="668"/>
      <c r="DK592" s="668"/>
      <c r="DN592" s="208"/>
      <c r="DO592" s="664"/>
      <c r="DQ592" s="664"/>
      <c r="DR592" s="669"/>
      <c r="DS592" s="391"/>
      <c r="DT592" s="664"/>
      <c r="DU592" s="664"/>
      <c r="DV592" s="664"/>
      <c r="DX592" s="664"/>
      <c r="DY592" s="664"/>
      <c r="DZ592" s="664"/>
      <c r="EA592" s="664"/>
      <c r="EC592" s="670"/>
      <c r="ED592" s="670"/>
      <c r="EF592" s="668"/>
      <c r="EG592" s="668"/>
      <c r="EH592" s="208"/>
      <c r="EI592" s="668"/>
      <c r="EJ592" s="668"/>
      <c r="EK592" s="207"/>
      <c r="EL592" s="207"/>
      <c r="EM592" s="666"/>
      <c r="EN592" s="671"/>
      <c r="EO592" s="671"/>
      <c r="EP592" s="672"/>
      <c r="EQ592" s="672"/>
      <c r="ER592" s="666"/>
      <c r="ES592" s="666"/>
      <c r="ET592" s="666"/>
      <c r="EV592" s="664"/>
      <c r="EX592" s="391"/>
      <c r="EY592" s="391"/>
      <c r="EZ592" s="391"/>
      <c r="FA592" s="391"/>
      <c r="FB592" s="391"/>
      <c r="FC592" s="391"/>
      <c r="FE592" s="569"/>
      <c r="FG592" s="391"/>
      <c r="FH592" s="391"/>
      <c r="FI592" s="391"/>
      <c r="FS592" s="664"/>
      <c r="FT592" s="391"/>
      <c r="FU592" s="391"/>
      <c r="FV592" s="664"/>
      <c r="FW592" s="664"/>
      <c r="GA592" s="663"/>
      <c r="GB592" s="663"/>
      <c r="GC592" s="663"/>
      <c r="GD592" s="663"/>
      <c r="GE592" s="663"/>
      <c r="GF592" s="663"/>
      <c r="GG592" s="663"/>
      <c r="GH592" s="663"/>
      <c r="GI592" s="665"/>
      <c r="GJ592" s="664"/>
      <c r="GK592" s="664"/>
    </row>
    <row r="593" spans="1:288" s="78" customFormat="1" ht="14.95" customHeight="1">
      <c r="B593" s="1845" t="str">
        <f>ID596</f>
        <v xml:space="preserve"> </v>
      </c>
      <c r="C593" s="1846">
        <f>C588+1</f>
        <v>106</v>
      </c>
      <c r="D593" s="1847"/>
      <c r="E593" s="1799" t="s">
        <v>295</v>
      </c>
      <c r="F593" s="1800"/>
      <c r="G593" s="1741"/>
      <c r="H593" s="1742"/>
      <c r="I593" s="1742"/>
      <c r="J593" s="1742"/>
      <c r="K593" s="1742"/>
      <c r="L593" s="1742"/>
      <c r="M593" s="1742"/>
      <c r="N593" s="1742"/>
      <c r="O593" s="1742"/>
      <c r="P593" s="1742"/>
      <c r="Q593" s="1742"/>
      <c r="R593" s="1742"/>
      <c r="S593" s="1791" t="s">
        <v>344</v>
      </c>
      <c r="T593" s="590"/>
      <c r="U593" s="1743"/>
      <c r="V593" s="1744"/>
      <c r="W593" s="1744"/>
      <c r="X593" s="1744"/>
      <c r="Y593" s="1744"/>
      <c r="Z593" s="1744"/>
      <c r="AA593" s="1744"/>
      <c r="AB593" s="961" t="str">
        <f>IFERROR(IF(__Retrofit_TI_NC=0,VLOOKUP(U594,Fixtures_Existing_List,2,FALSE),ROUND(N595*R595/T595,10)),"")</f>
        <v/>
      </c>
      <c r="AC593" s="935" t="str">
        <f>IFERROR(IF(__Retrofit_TI_NC=0,ROUND(T594*AB593*N594*R594/1000,0),IF(CQ593="Interior",N595*R595*R594*N594*_C406_reduction/1000,N595*R595*R594*N594/1000)),"")</f>
        <v/>
      </c>
      <c r="AD593" s="936" t="str">
        <f>IFERROR(IF(C$43=0,ROUND(T594*AB593/1000,2),N595*R595/1000),"")</f>
        <v/>
      </c>
      <c r="AE593" s="997"/>
      <c r="AF593" s="937"/>
      <c r="AG593" s="1745" t="str">
        <f>IF(__Retrofit_TI_NC=0," Control","Select Advanced Control for New System")</f>
        <v xml:space="preserve"> Control</v>
      </c>
      <c r="AH593" s="1745"/>
      <c r="AI593" s="1745"/>
      <c r="AJ593" s="1745"/>
      <c r="AK593" s="1745"/>
      <c r="AL593" s="1745"/>
      <c r="AM593" s="1746">
        <f>IFERROR(DI593,"")</f>
        <v>0</v>
      </c>
      <c r="AN593" s="1774" t="str">
        <f>IFERROR(ROUND(AM593*AC593,0),"")</f>
        <v/>
      </c>
      <c r="AO593" s="1776">
        <f>IFERROR(IF(IB593=FALSE,0,AC593-AN593),0)</f>
        <v>0</v>
      </c>
      <c r="AP593" s="1778">
        <f>AO593-AO595</f>
        <v>0</v>
      </c>
      <c r="AQ593" s="1779"/>
      <c r="AR593" s="1793">
        <f>IFERROR(IF(IB593=FALSE,0,(T595*U596)+(AF595*AG596)),0)</f>
        <v>0</v>
      </c>
      <c r="AS593" s="1793"/>
      <c r="AT593" s="1794"/>
      <c r="AU593" s="1734" t="s">
        <v>237</v>
      </c>
      <c r="AV593" s="1751">
        <f>IF(AU593="Yes",1,0)</f>
        <v>1</v>
      </c>
      <c r="AW593" s="1704" t="str">
        <f>IF(OR(DQ593=4,DQ593=5,DQ593=6,DQ593=12),CONCATENATE("$",IF(GH593=TRUE,Lookup!$K$10,Lookup!$K$2)," /lamp"),CONCATENATE(TEXT(ED593,"$0.00"),"/ kWh"))</f>
        <v>$0.00/ kWh</v>
      </c>
      <c r="AX593" s="467"/>
      <c r="AY593" s="1748">
        <f ca="1">IFERROR(IF(GM594=TRUE,(AB596*T595)/R595,0),"NA")</f>
        <v>0</v>
      </c>
      <c r="AZ593" s="1748"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696" t="str">
        <f>N594</f>
        <v/>
      </c>
      <c r="CQ593" s="1696" t="str">
        <f>IFERROR(VLOOKUP(G594,_Lookup_Heat_Type_Table_New,3,FALSE),"")</f>
        <v/>
      </c>
      <c r="CR593" s="1808" t="str">
        <f>CQ593</f>
        <v/>
      </c>
      <c r="CS593" s="1810" t="str">
        <f>IFERROR(VLOOKUP(G595,'Space Table'!$B$3:$L$163,9,FALSE),"")</f>
        <v/>
      </c>
      <c r="CU593" s="1688" t="s">
        <v>344</v>
      </c>
      <c r="CV593" s="1702">
        <f>IF(IB593=TRUE,T594,0)</f>
        <v>0</v>
      </c>
      <c r="CW593" s="1702" t="str">
        <f>IF(IB593=TRUE,U594,"")</f>
        <v/>
      </c>
      <c r="CX593" s="1702"/>
      <c r="CY593" s="1814">
        <f>IF(IB593=TRUE,AB593,0)</f>
        <v>0</v>
      </c>
      <c r="CZ593" s="1710">
        <f>IF(AND(__Retrofit_TI_NC&gt;0,CR593="interior"),0,IF(IB593=TRUE,AC593,0))</f>
        <v>0</v>
      </c>
      <c r="DA593" s="1814">
        <f>IFERROR(IF(IB593=TRUE,CZ593-CZ595,0),0)</f>
        <v>0</v>
      </c>
      <c r="DB593" s="1819">
        <f>IF(IB593=TRUE,AD593,0)</f>
        <v>0</v>
      </c>
      <c r="DC593" s="1819">
        <f>IF(IB593=TRUE,AD596,0)</f>
        <v>0</v>
      </c>
      <c r="DD593" s="1819">
        <f>IFERROR(DB593-DC593,0)</f>
        <v>0</v>
      </c>
      <c r="DF593" s="1702">
        <f>IF(IB593=TRUE,AF594,0)</f>
        <v>0</v>
      </c>
      <c r="DG593" s="1830">
        <f>IFERROR(IF(__Retrofit_TI_NC=2,IF(CQ593="Exterior",O596,FQ593),FN593),"")</f>
        <v>0</v>
      </c>
      <c r="DH593" s="1702"/>
      <c r="DI593" s="1837">
        <f>JE593</f>
        <v>0</v>
      </c>
      <c r="DJ593" s="1710">
        <f>IF(AND(__Retrofit_TI_NC&gt;0,CR593="interior"),0,IF(IB593=TRUE,AN593,0))</f>
        <v>0</v>
      </c>
      <c r="DK593" s="1712">
        <f>IFERROR(IF(IB593=TRUE,DJ595-DJ593,0),0)</f>
        <v>0</v>
      </c>
      <c r="DM593" s="1717">
        <f>IFERROR(CZ593-DJ593,0)</f>
        <v>0</v>
      </c>
      <c r="DO593" s="1708">
        <f>DM593-DN595</f>
        <v>0</v>
      </c>
      <c r="DQ593" s="1715" t="str">
        <f>IFERROR(IF(AND(OR(GC593=4,GC593=5,GC593=6),OR(GF593=4,GF593=5,GF593=6)),GC593+8,VLOOKUP(CW595,Fixtures!R$31:Y$78,8,FALSE)),"")</f>
        <v/>
      </c>
      <c r="DR593" s="1829" t="str">
        <f>DQ593</f>
        <v/>
      </c>
      <c r="DS593" s="1702" t="str">
        <f>IFERROR(VLOOKUP(DG595,Lookup!BB$3:BC$20,2,FALSE),"")</f>
        <v/>
      </c>
      <c r="DT593" s="1713" t="str">
        <f>IF(OR(DS593=7,DS593=8,DS593=9),"ALC","")</f>
        <v/>
      </c>
      <c r="DU593" s="1715">
        <f>IFERROR(IF(OR(DQ593=4,DQ593=5,DQ593=6,DQ593=12,DQ593=13,DQ593=14),VLOOKUP(CW595,Fixtures!DN$27:EG$77,19,FALSE),1)*CV595,0)</f>
        <v>0</v>
      </c>
      <c r="DV593" s="1716">
        <f>IF(OR(DS593=7,DS593=8,DS593=9),IF(DG593=DG595,0,DF595),0)</f>
        <v>0</v>
      </c>
      <c r="DX593" s="1715" t="str">
        <f>IFERROR(IF(EZ593&lt;EZ595,"Yes","No"),"")</f>
        <v/>
      </c>
      <c r="DY593" s="1829" t="str">
        <f>DX593</f>
        <v/>
      </c>
      <c r="DZ593" s="1715">
        <f>IF(DX593="Yes",DF595,0)</f>
        <v>0</v>
      </c>
      <c r="EA593" s="1715">
        <f>DZ593-DV593</f>
        <v>0</v>
      </c>
      <c r="EC593" s="1834">
        <f>IFERROR(VLOOKUP(DQ593,Lookup!AU$3:AV$16,2,FALSE),0)</f>
        <v>0</v>
      </c>
      <c r="ED593" s="1834">
        <f>IF(IB593=FALSE,0,IF(DX593="Yes",EC593+Lookup!K$6,EC593))</f>
        <v>0</v>
      </c>
      <c r="EF593" s="1707">
        <f>IF(IB593=TRUE,DM593,0)</f>
        <v>0</v>
      </c>
      <c r="EG593" s="1712">
        <f>IF(IB593=TRUE,CZ595,0)</f>
        <v>0</v>
      </c>
      <c r="EH593" s="1814">
        <f>IFERROR(EF593-EG593,0)</f>
        <v>0</v>
      </c>
      <c r="EI593" s="1712">
        <f>IF(IB593=TRUE,DJ595,0)</f>
        <v>0</v>
      </c>
      <c r="EJ593" s="1712">
        <f>IFERROR(EF593-EG593+EI593,0)</f>
        <v>0</v>
      </c>
      <c r="EK593" s="1812">
        <f>IF(IB593=TRUE,CV595*CX595,0)</f>
        <v>0</v>
      </c>
      <c r="EL593" s="1812">
        <f>IF(IB593=TRUE,DF595*DH595,0)</f>
        <v>0</v>
      </c>
      <c r="EM593" s="1807">
        <f>AR593</f>
        <v>0</v>
      </c>
      <c r="EN593" s="1839" t="str">
        <f>IFERROR(IF(IB593=TRUE,VLOOKUP(DQ593,Lookup!AU$3:AW$16,3,FALSE)*DU593,""),0)</f>
        <v/>
      </c>
      <c r="EO593" s="1839">
        <f>IF(IB593=TRUE,DZ593*Lookup!AW$12,0)</f>
        <v>0</v>
      </c>
      <c r="EP593" s="1817">
        <f>IFERROR(IF(IB593=TRUE,EN593/EP$40,0),0)</f>
        <v>0</v>
      </c>
      <c r="EQ593" s="1817">
        <f>IF(IB593=TRUE,EO593/EQ$40,0)</f>
        <v>0</v>
      </c>
      <c r="ER593" s="1807">
        <f>IF(IB593=TRUE,ET$40*EP593,0)</f>
        <v>0</v>
      </c>
      <c r="ES593" s="1807">
        <f>IF(IB593=TRUE,ET$40*EQ593,0)</f>
        <v>0</v>
      </c>
      <c r="ET593" s="1807">
        <f>ER593+ES593</f>
        <v>0</v>
      </c>
      <c r="EV593" s="1715">
        <f>IF(G593="",0,1)</f>
        <v>0</v>
      </c>
      <c r="EX593" s="1804" t="str">
        <f>IFERROR(VLOOKUP(CS595,'Space Table'!$B$3:$L$163,8,FALSE),"")</f>
        <v/>
      </c>
      <c r="EY593" s="1804" t="str">
        <f>IFERROR(IF(FB593="Yes",VLOOKUP(DG593,Lookup_Control_Type_Table2,4,FALSE),VLOOKUP(DG593,Lookup_Control_Type_Table2,3,FALSE)),"")</f>
        <v/>
      </c>
      <c r="EZ593" s="1804" t="e">
        <f>VLOOKUP(DG593,Lookup!BB$3:BC$20,2,FALSE)</f>
        <v>#N/A</v>
      </c>
      <c r="FA593" s="1804" t="e">
        <f>VLOOKUP(EX593,Lookup_Control_Type_Table,2,FALSE)</f>
        <v>#N/A</v>
      </c>
      <c r="FB593" s="1804" t="e">
        <f>VLOOKUP(CS595,'Space Table'!$B$3:$L$163,7,FALSE)</f>
        <v>#N/A</v>
      </c>
      <c r="FC593" s="1826" t="b">
        <f>ISNUMBER(SEARCH("TLED",U595))</f>
        <v>0</v>
      </c>
      <c r="FE593" s="1698" t="str">
        <f>CONCATENATE(CQ593," - ",DG593)</f>
        <v xml:space="preserve"> - 0</v>
      </c>
      <c r="FG593" s="1702" t="str">
        <f>VLOOKUP(CW595,Fixtures!DN$27:EZ$77,38,FALSE)</f>
        <v/>
      </c>
      <c r="FH593" s="1702">
        <f>IFERROR(FG593*EH593,0)</f>
        <v>0</v>
      </c>
      <c r="FI593" s="133"/>
      <c r="FL593" s="1822" t="str">
        <f>IF(CQ593="Exterior","Not Daylighted",G596)</f>
        <v>Not Daylighted</v>
      </c>
      <c r="FM593" s="1824">
        <f>VLOOKUP(FL593,_New_Daylight_Table_Codes,2,FALSE)</f>
        <v>0</v>
      </c>
      <c r="FN593" s="1698">
        <f>IF(__Retrofit_TI_NC&gt;0,VLOOKUP(G595,'Space Table'!$B$3:$L$163,11,FALSE),AG594)</f>
        <v>0</v>
      </c>
      <c r="FO593" s="1698" t="e">
        <f>IF(__Retrofit_TI_NC=2,VLOOKUP(FQ593,_Control_Table,2,FALSE),VLOOKUP(FN593,_Control_Table,2,FALSE))</f>
        <v>#N/A</v>
      </c>
      <c r="FP593" s="1678" t="e">
        <f>VLOOKUP(CONCATENATE(FL593," ",FN593),Lookup!AY$102:AZ603,2,FALSE)</f>
        <v>#N/A</v>
      </c>
      <c r="FQ593" s="1678">
        <f>IF(__Retrofit_TI_NC=0,FN593,IF(AND(FT593&gt;0,FN593="Occupancy Sensor"),"Daylight + Occupancy",IF(AND(FT593&gt;0,VLOOKUP(FN593,_Control_Table,2,FALSE)&lt;4),"Interior Daylight Dimming",FN593)))</f>
        <v>0</v>
      </c>
      <c r="FS593" s="1686">
        <f>IF(CR593="Interior",VLOOKUP(CS593,Control_Savings_Interior,5,FALSE),0)</f>
        <v>0</v>
      </c>
      <c r="FT593" s="1687">
        <f>IF(CQ593="Exterior",0,IF(FM593=2,0.5,IF(OR(FM593=1,FM593=3),1,0)))</f>
        <v>0</v>
      </c>
      <c r="FU593" s="1685">
        <f>IF(R592&gt;FS$44,(FS593*(FS$44/R592)),FS593)*FT593</f>
        <v>0</v>
      </c>
      <c r="FV593" s="1686">
        <f>DI593</f>
        <v>0</v>
      </c>
      <c r="FW593" s="1686">
        <f>ROUND(FV593+((1-FV593)*FU593),2)</f>
        <v>0</v>
      </c>
      <c r="FX593" s="1686">
        <f>IF(__Retrofit_TI_NC=2,FW593,FV593)</f>
        <v>0</v>
      </c>
      <c r="FY593" s="1697"/>
      <c r="GA593" s="1696" t="str">
        <f>IFERROR(VLOOKUP(U594,_Exist_Fixture_Table,3,FALSE),"")</f>
        <v/>
      </c>
      <c r="GB593" s="1696" t="str">
        <f>VLOOKUP(CW593,_Exist_Fixture_Table,4,FALSE)</f>
        <v/>
      </c>
      <c r="GC593" s="1696">
        <f>IFERROR(VLOOKUP(GB593,Lookup!AT$6:AU$8,2,FALSE),0)</f>
        <v>0</v>
      </c>
      <c r="GD593" s="1696" t="b">
        <f>IFERROR(IF(OR(GF593=4,GF593=5,GF593=6),TRUE,FALSE),"")</f>
        <v>0</v>
      </c>
      <c r="GE593" s="1696" t="str">
        <f>IFERROR(VLOOKUP(GF593,GC$6:GD$10,2,FALSE),"")</f>
        <v/>
      </c>
      <c r="GF593" s="1696" t="str">
        <f>VLOOKUP(CW595,Fixtures!R$31:Y$78,8,FALSE)</f>
        <v/>
      </c>
      <c r="GG593" s="1696">
        <f>IF(AND(GA593=TRUE,GD593=TRUE,OR(DQ593=12,DQ593=13,DQ593=14)),GC593+8,0)</f>
        <v>0</v>
      </c>
      <c r="GH593" s="1696" t="b">
        <f>IF(OR(GG593=12,GG593=13,GG593=14),TRUE,FALSE)</f>
        <v>0</v>
      </c>
      <c r="GI593" s="673" t="b">
        <f>IF(ISNUMBER(SEARCH("TLED",U594)),TRUE,FALSE)</f>
        <v>0</v>
      </c>
      <c r="GJ593" s="1135" t="str">
        <f>IFERROR(VLOOKUP(U594,Fixtures!BM$93:BR$142,6,FALSE),"")</f>
        <v/>
      </c>
      <c r="GK593" s="1832" t="b">
        <f>IF(OR(GI593=FALSE,GI595=FALSE),TRUE,IF(GJ593-GJ595&lt;5,FALSE,TRUE))</f>
        <v>1</v>
      </c>
      <c r="GO593" s="674">
        <f>GP593</f>
        <v>0</v>
      </c>
      <c r="GP593" s="674">
        <f>IF(G593="",0,1)</f>
        <v>0</v>
      </c>
      <c r="GQ593" s="674">
        <f ca="1">SUM(GR593:HF593)</f>
        <v>2</v>
      </c>
      <c r="GR593" s="674">
        <f>IF(G594="",0,1)</f>
        <v>0</v>
      </c>
      <c r="GS593" s="674">
        <f>IF(N596="BAM",1,IF(G595="",0,1))</f>
        <v>0</v>
      </c>
      <c r="GT593" s="674">
        <f>IF(N596="BAM",1,IF(R594="",0,1))</f>
        <v>0</v>
      </c>
      <c r="GU593" s="674">
        <f>IF(N596="BAM",1,IF(__Retrofit_TI_NC=0,1,IF(R595="",0,1)))</f>
        <v>1</v>
      </c>
      <c r="GV593" s="674">
        <f>IF(N596="BAM",1,IF(CQ593="Exterior",1,IF(G596="",0,1)))</f>
        <v>1</v>
      </c>
      <c r="GW593" s="674">
        <f>IF(__Retrofit_TI_NC&gt;0,1,IF(T594="",0,1))</f>
        <v>0</v>
      </c>
      <c r="GX593" s="674">
        <f>IF(__Retrofit_TI_NC&gt;0,1,IF(U594="",0,1))</f>
        <v>0</v>
      </c>
      <c r="GY593" s="674">
        <f>IF(N596="BAM",1,IF(T595="",0,1))</f>
        <v>0</v>
      </c>
      <c r="GZ593" s="674">
        <f>IF(N596="BAM",1,IF(U595="",0,1))</f>
        <v>0</v>
      </c>
      <c r="HA593" s="674">
        <f ca="1">IF(N596="BAM",1,IF(__Retrofit_TI_NC&gt;0,1,IF(U596="",0,1)))</f>
        <v>0</v>
      </c>
      <c r="HB593" s="674">
        <f>IF(__Retrofit_TI_NC&lt;&gt;0,1,IF(AF594="",0,1))</f>
        <v>0</v>
      </c>
      <c r="HC593" s="674">
        <f>IF(__Retrofit_TI_NC&lt;&gt;0,1,IF(AG594="",0,1))</f>
        <v>0</v>
      </c>
      <c r="HD593" s="674">
        <f>IF(N596="BAM",1,IF(AF595="",0,1))</f>
        <v>0</v>
      </c>
      <c r="HE593" s="674">
        <f>IF(N596="BAM",1,IF(AG595="",0,1))</f>
        <v>0</v>
      </c>
      <c r="HF593" s="674">
        <f>IF(N596="BAM",1,IF(__Retrofit_TI_NC&gt;0,1,IF(AG596="",0,1)))</f>
        <v>0</v>
      </c>
      <c r="HG593" s="391"/>
      <c r="IA593" s="391"/>
      <c r="IB593" s="1693" t="b">
        <f>IF(OR(IB596=0,IB596=HY$16,IB596=HX$16,IB596=HZ$16),TRUE,FALSE)</f>
        <v>0</v>
      </c>
      <c r="IC593" s="1694" t="b">
        <f>IB593</f>
        <v>0</v>
      </c>
      <c r="ID593" s="391"/>
      <c r="IE593" s="391"/>
      <c r="IF593" s="1688" t="b">
        <f ca="1">IF(MAX(GN596:HU596)&gt;5,FALSE,TRUE)</f>
        <v>0</v>
      </c>
      <c r="IG593" s="1689">
        <f ca="1">IF(IF593=TRUE,AC593,0)</f>
        <v>0</v>
      </c>
      <c r="IH593" s="1689">
        <f ca="1">IG593-IG595</f>
        <v>0</v>
      </c>
      <c r="IK593" s="1689" t="e">
        <f>ROUND(T594*VLOOKUP(U594,Fixtures_Existing_List,2,FALSE)*N594*R594/1000,0)</f>
        <v>#N/A</v>
      </c>
      <c r="IL593" s="1690" t="e">
        <f>IK593-IK595</f>
        <v>#N/A</v>
      </c>
      <c r="IM593" s="1693" t="e">
        <f>ROUND(IF(CQ593="Interior",N595*R595*R594*N594*_C406_reduction/1000,N595*R595*R594*N594/1000),0)</f>
        <v>#N/A</v>
      </c>
      <c r="IN593" s="1693" t="e">
        <f>IM593-IM595</f>
        <v>#N/A</v>
      </c>
      <c r="IP593" s="1679"/>
      <c r="IQ593" s="1679" t="e">
        <f t="shared" ref="IQ593:IU593" si="541">IF($CR593="interior",VLOOKUP($CS593,_New_Control_Savings_Interior,IQ$30,FALSE),VLOOKUP($CS593,Control_Savings_Exterior,IQ$30,FALSE))</f>
        <v>#N/A</v>
      </c>
      <c r="IR593" s="1679" t="e">
        <f t="shared" si="541"/>
        <v>#N/A</v>
      </c>
      <c r="IS593" s="1679" t="e">
        <f t="shared" si="541"/>
        <v>#N/A</v>
      </c>
      <c r="IT593" s="1679" t="e">
        <f t="shared" si="541"/>
        <v>#N/A</v>
      </c>
      <c r="IU593" s="1679" t="e">
        <f t="shared" si="541"/>
        <v>#N/A</v>
      </c>
      <c r="IV593" s="1679" t="e">
        <f>IF($CR593="interior",IF(R594&gt;$IP$14,ROUND(($IV$18*($IP$14/R594)),2),$IV$18),VLOOKUP($CS593,Control_Savings_Exterior,IV$30,FALSE))</f>
        <v>#N/A</v>
      </c>
      <c r="IW593" s="1679" t="e">
        <f>IF($CR593="interior",ROUND(((1-IS593)*IV593)+IS593,2),VLOOKUP($CS593,Control_Savings_Exterior,IW$30,FALSE))</f>
        <v>#N/A</v>
      </c>
      <c r="IX593" s="1679" t="e">
        <f>IF($CR593="interior",ROUND(((1-IT593)*IV593)+IT593,2),VLOOKUP($CS593,Control_Savings_Exterior,IX$30,FALSE))</f>
        <v>#N/A</v>
      </c>
      <c r="IY593" s="1679" t="e">
        <f>IF($CR593="interior",IF(R594&gt;$IP$14,ROUND(($IY$18*($IP$14/R594)),2),$IY$18),VLOOKUP($CS593,Control_Savings_Exterior,IY$30,FALSE))</f>
        <v>#N/A</v>
      </c>
      <c r="IZ593" s="1679" t="e">
        <f>IF($CR593="interior",ROUND(((1-IS593)*IY593)+IS593,2),VLOOKUP($CS593,Control_Savings_Exterior,IZ$30,FALSE))</f>
        <v>#N/A</v>
      </c>
      <c r="JA593" s="1679" t="e">
        <f>IF($CR593="interior",ROUND(((1-IT593)*IY593)+IT593,2),VLOOKUP($CS593,Control_Savings_Exterior,JA$30,FALSE))</f>
        <v>#N/A</v>
      </c>
      <c r="JC593" s="1680">
        <f>IFERROR(IF(CR593="Interior",CONCATENATE(G596," ",FQ593),FQ593),"")</f>
        <v>0</v>
      </c>
      <c r="JD593" s="1670" t="str">
        <f>IFERROR(VLOOKUP(JC593,_Controls_2023,2,FALSE),"")</f>
        <v/>
      </c>
      <c r="JE593" s="1681">
        <f>IFERROR(CHOOSE(JD593-1,IQ593,IR593,IS593,IT593,IU593,IV593,IW593,IX593,IY593,IZ593,JA593),0)</f>
        <v>0</v>
      </c>
      <c r="JG593" s="1680" t="str">
        <f>FE593</f>
        <v xml:space="preserve"> - 0</v>
      </c>
      <c r="JH593" s="1670" t="e">
        <f>$FO593</f>
        <v>#N/A</v>
      </c>
      <c r="JI593" s="1060"/>
      <c r="JJ593" s="1682" t="b">
        <f>IF($JG595=CONCATENATE("Interior - ",JJ$4),TRUE,FALSE)</f>
        <v>0</v>
      </c>
      <c r="JK593" s="1061"/>
      <c r="JL593" s="1682" t="b">
        <f>IF($JG595=CONCATENATE("Interior - ",JL$4),TRUE,FALSE)</f>
        <v>0</v>
      </c>
      <c r="JM593" s="1061"/>
      <c r="JN593" s="1682" t="b">
        <f>IF($JG595=CONCATENATE("Interior - ",JN$4),TRUE,FALSE)</f>
        <v>0</v>
      </c>
      <c r="JO593" s="1061"/>
      <c r="JP593" s="1682" t="b">
        <f>IF(__Retrofit_TI_NC&gt;0,FALSE,IF($JG595=CONCATENATE("Interior - ",JP$4),TRUE,FALSE))</f>
        <v>0</v>
      </c>
      <c r="JQ593" s="1061"/>
      <c r="JR593" s="1682" t="b">
        <f>IF(__Retrofit_TI_NC&gt;0,FALSE,IF($JG595=CONCATENATE("Interior - ",JR$4),TRUE,FALSE))</f>
        <v>0</v>
      </c>
      <c r="JS593" s="1061"/>
      <c r="JT593" s="1670" t="b">
        <f>IF(__Retrofit_TI_NC&gt;0,FALSE,IF($JG595=CONCATENATE("Interior - ",JT$4),TRUE,FALSE))</f>
        <v>0</v>
      </c>
      <c r="JU593" s="1061"/>
      <c r="JV593" s="1670" t="b">
        <f>IF(JC595="AELC on Existing",TRUE,FALSE)</f>
        <v>0</v>
      </c>
      <c r="JX593" s="1670" t="b">
        <f>IF(OR(JG595="Exterior - AELC Occupancy based",JG595="Exterior - AELC Time based"),TRUE,FALSE)</f>
        <v>0</v>
      </c>
      <c r="JZ593" s="1682" t="b">
        <f>IF($JG595=CONCATENATE("Exterior - ",JZ$4),TRUE,FALSE)</f>
        <v>0</v>
      </c>
      <c r="KB593" s="1670" t="b">
        <f>IF(__Retrofit_TI_NC&gt;0,FALSE,IF($JG595=CONCATENATE("Interior - ",KB$4),TRUE,FALSE))</f>
        <v>0</v>
      </c>
    </row>
    <row r="594" spans="1:288" s="78" customFormat="1" ht="14.95" customHeight="1" thickTop="1" thickBot="1">
      <c r="B594" s="1845"/>
      <c r="C594" s="1846"/>
      <c r="D594" s="1847"/>
      <c r="E594" s="1737" t="s">
        <v>297</v>
      </c>
      <c r="F594" s="1738"/>
      <c r="G594" s="1739"/>
      <c r="H594" s="1739"/>
      <c r="I594" s="1739"/>
      <c r="J594" s="1739"/>
      <c r="K594" s="1739"/>
      <c r="L594" s="1739"/>
      <c r="M594" s="461" t="e">
        <f>IF(__Retrofit_TI_NC&lt;&gt;0,IF(VLOOKUP(G595,'Space Table'!$B$3:$L$163,3,FALSE)&gt;0,1,0),IF(__Retrofit_TI_NC=VLOOKUP(G595,'Space Table'!$B$3:$L$163,3,FALSE),1,0))</f>
        <v>#N/A</v>
      </c>
      <c r="N594" s="461" t="str">
        <f>IFERROR(VLOOKUP(G594,_Lookup_Heat_Type_Table_New,2,FALSE),"")</f>
        <v/>
      </c>
      <c r="O594" s="461">
        <f>IF(__Retrofit_TI_NC=1,CONCATENATE("TI ",G594),IF(__Retrofit_TI_NC=2,CONCATENATE("NC ",G594),G594))</f>
        <v>0</v>
      </c>
      <c r="P594" s="1740" t="s">
        <v>435</v>
      </c>
      <c r="Q594" s="1740"/>
      <c r="R594" s="595"/>
      <c r="S594" s="1792"/>
      <c r="T594" s="597"/>
      <c r="U594" s="1765"/>
      <c r="V594" s="1766"/>
      <c r="W594" s="1766"/>
      <c r="X594" s="1766"/>
      <c r="Y594" s="1766"/>
      <c r="Z594" s="1766"/>
      <c r="AA594" s="1766"/>
      <c r="AB594" s="1766"/>
      <c r="AC594" s="1766"/>
      <c r="AD594" s="1767"/>
      <c r="AE594" s="1000"/>
      <c r="AF594" s="597"/>
      <c r="AG594" s="1723"/>
      <c r="AH594" s="1724"/>
      <c r="AI594" s="1724"/>
      <c r="AJ594" s="1724"/>
      <c r="AK594" s="1725"/>
      <c r="AL594" s="996"/>
      <c r="AM594" s="1747"/>
      <c r="AN594" s="1775"/>
      <c r="AO594" s="1777"/>
      <c r="AP594" s="1780"/>
      <c r="AQ594" s="1781"/>
      <c r="AR594" s="1795"/>
      <c r="AS594" s="1795"/>
      <c r="AT594" s="1796"/>
      <c r="AU594" s="1735"/>
      <c r="AV594" s="1752"/>
      <c r="AW594" s="1705"/>
      <c r="AX594" s="467"/>
      <c r="AY594" s="1749"/>
      <c r="AZ594" s="1749"/>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696"/>
      <c r="CQ594" s="1696"/>
      <c r="CR594" s="1809"/>
      <c r="CS594" s="1811"/>
      <c r="CU594" s="1688"/>
      <c r="CV594" s="1703"/>
      <c r="CW594" s="1703"/>
      <c r="CX594" s="1703"/>
      <c r="CY594" s="1815"/>
      <c r="CZ594" s="1711"/>
      <c r="DA594" s="1818"/>
      <c r="DB594" s="1820"/>
      <c r="DC594" s="1820"/>
      <c r="DD594" s="1820"/>
      <c r="DF594" s="1703"/>
      <c r="DG594" s="1831"/>
      <c r="DH594" s="1703"/>
      <c r="DI594" s="1838"/>
      <c r="DJ594" s="1711"/>
      <c r="DK594" s="1712"/>
      <c r="DM594" s="1718"/>
      <c r="DO594" s="1708"/>
      <c r="DQ594" s="1715"/>
      <c r="DR594" s="1720"/>
      <c r="DS594" s="1816"/>
      <c r="DT594" s="1714"/>
      <c r="DU594" s="1715"/>
      <c r="DV594" s="1716"/>
      <c r="DX594" s="1715"/>
      <c r="DY594" s="1720"/>
      <c r="DZ594" s="1715"/>
      <c r="EA594" s="1715"/>
      <c r="EC594" s="1834"/>
      <c r="ED594" s="1834"/>
      <c r="EF594" s="1707"/>
      <c r="EG594" s="1712"/>
      <c r="EH594" s="1818"/>
      <c r="EI594" s="1712"/>
      <c r="EJ594" s="1712"/>
      <c r="EK594" s="1836"/>
      <c r="EL594" s="1836"/>
      <c r="EM594" s="1807"/>
      <c r="EN594" s="1839"/>
      <c r="EO594" s="1839"/>
      <c r="EP594" s="1817"/>
      <c r="EQ594" s="1817"/>
      <c r="ER594" s="1807"/>
      <c r="ES594" s="1807"/>
      <c r="ET594" s="1807"/>
      <c r="EV594" s="1715"/>
      <c r="EX594" s="1805"/>
      <c r="EY594" s="1805"/>
      <c r="EZ594" s="1805"/>
      <c r="FA594" s="1805"/>
      <c r="FB594" s="1805"/>
      <c r="FC594" s="1827"/>
      <c r="FE594" s="1698"/>
      <c r="FG594" s="1816"/>
      <c r="FH594" s="1816"/>
      <c r="FI594" s="133"/>
      <c r="FL594" s="1823"/>
      <c r="FM594" s="1825"/>
      <c r="FN594" s="1698"/>
      <c r="FO594" s="1698"/>
      <c r="FP594" s="1678"/>
      <c r="FQ594" s="1678"/>
      <c r="FS594" s="1687"/>
      <c r="FT594" s="1687"/>
      <c r="FU594" s="1685"/>
      <c r="FV594" s="1687"/>
      <c r="FW594" s="1687"/>
      <c r="FX594" s="1687"/>
      <c r="FY594" s="1697"/>
      <c r="GA594" s="1696"/>
      <c r="GB594" s="1696"/>
      <c r="GC594" s="1696"/>
      <c r="GD594" s="1696"/>
      <c r="GE594" s="1696"/>
      <c r="GF594" s="1696"/>
      <c r="GG594" s="1696"/>
      <c r="GH594" s="1696"/>
      <c r="GI594" s="673"/>
      <c r="GJ594" s="1135"/>
      <c r="GK594" s="1832"/>
      <c r="GM594" s="1693" t="b">
        <f ca="1">IF(AND(GP594=TRUE,GQ594=TRUE),TRUE,FALSE)</f>
        <v>0</v>
      </c>
      <c r="GN594" s="1684" t="b">
        <f>IFERROR(IF(__Retrofit_TI_NC=2,TRUE,IF(AU593="Yes",TRUE,FALSE)),FALSE)</f>
        <v>1</v>
      </c>
      <c r="GP594" s="1684" t="b">
        <f>IFERROR(IF(GP593=1,TRUE,FALSE),FALSE)</f>
        <v>0</v>
      </c>
      <c r="GQ594" s="1684" t="b">
        <f ca="1">IFERROR(IF(GQ593=GQ$14,TRUE,FALSE),FALSE)</f>
        <v>0</v>
      </c>
      <c r="HG594" s="1684" t="b">
        <f>IFERROR(IF(AND(__Retrofit_TI_NC&gt;0,CQ593="Interior"),FALSE,TRUE),FALSE)</f>
        <v>1</v>
      </c>
      <c r="HH594" s="1684" t="b">
        <f>IFERROR(IF(M594=1,TRUE,FALSE),FALSE)</f>
        <v>0</v>
      </c>
      <c r="HI594" s="1684" t="b">
        <f>IFERROR(IF(OR(M595=1,N596="BAM"),TRUE,FALSE),FALSE)</f>
        <v>0</v>
      </c>
      <c r="HJ594" s="1684" t="b">
        <f>IFERROR(IF(__Retrofit_TI_NC&lt;&gt;0,TRUE,IFERROR(IF(VLOOKUP(U594,Fixtures_Existing_List,2,FALSE)&lt;&gt;"",TRUE,FALSE),FALSE)),FALSE)</f>
        <v>0</v>
      </c>
      <c r="HK594" s="1684" t="b">
        <f>IFERROR(IF(VLOOKUP(U595,Fixtures_Proposed_List,2,FALSE)&lt;&gt;"",TRUE,FALSE),FALSE)</f>
        <v>0</v>
      </c>
      <c r="HL594" s="1684" t="b">
        <f>IF(AND(__Retrofit_TI_NC=2,FC593=TRUE),FALSE,TRUE)</f>
        <v>1</v>
      </c>
      <c r="HM594" s="1684" t="b">
        <f>GK593</f>
        <v>1</v>
      </c>
      <c r="HN594" s="1682" t="b">
        <f>IF(ISERROR(MATCH(FE593,_Control_Match[],0))=TRUE,FALSE,TRUE)</f>
        <v>0</v>
      </c>
      <c r="HO594" s="1693" t="b">
        <f>IFERROR(IF(EX593&lt;&gt;EY593,FALSE,TRUE),FALSE)</f>
        <v>1</v>
      </c>
      <c r="HP594" s="1693" t="b">
        <f>IFERROR(IF(EX595&lt;&gt;EY595,FALSE,TRUE),FALSE)</f>
        <v>1</v>
      </c>
      <c r="HQ594" s="1670" t="b">
        <f>IFERROR(IF(CQ593="Exterior",TRUE,IF(AND(OR(FM595=0,FM595=3),JD595&gt;6),FALSE,TRUE)),FALSE)</f>
        <v>0</v>
      </c>
      <c r="HR594" s="1684" t="b">
        <f>IFERROR(IF(AND(FO595=7,FC593=TRUE),FALSE,TRUE),FALSE)</f>
        <v>0</v>
      </c>
      <c r="HS594" s="1684" t="b">
        <f>IFERROR(IF(AND(T595&lt;&gt;AF595,OR(AG595="Interior LLLC", AG595="Interior NLC", AG595="LLLC (outside Daylight)",AG595="LLLC Controls Only"))=TRUE,FALSE,TRUE),FALSE)</f>
        <v>1</v>
      </c>
      <c r="HT594" s="1670" t="b">
        <f>IFERROR(IF(OR(AG595=Lookup!BB$17,AG595=Lookup!BB$18,AG595=Lookup!BB$19)=TRUE,IF(AF595&gt;T595,FALSE,TRUE),TRUE),FALSE)</f>
        <v>1</v>
      </c>
      <c r="HU594" s="1684" t="b">
        <f>IFERROR(IF(__Retrofit_TI_NC=2,IF(EZ595&lt;EZ593,FALSE,TRUE),TRUE),FALSE)</f>
        <v>1</v>
      </c>
      <c r="HV594" s="1684" t="b">
        <f>IF(CQ593="Interior",IL$6,TRUE)</f>
        <v>1</v>
      </c>
      <c r="HW594" s="1684" t="b">
        <f>IF(CQ593="Exterior",IL$8,TRUE)</f>
        <v>1</v>
      </c>
      <c r="HX594" s="1684" t="b">
        <f>IFERROR(IF(__Retrofit_TI_NC&lt;&gt;0,IF(AZ593&lt;AY593,FALSE,TRUE),TRUE),FALSE)</f>
        <v>1</v>
      </c>
      <c r="HY594" s="1684" t="b">
        <f>IFERROR(IF(AND(G594="Exterior",R594&gt;4200),FALSE,TRUE),FALSE)</f>
        <v>1</v>
      </c>
      <c r="HZ594" s="1684" t="b">
        <f>IFERROR(IF(AB596/AB593&lt;HZ$18,FALSE,TRUE),FALSE)</f>
        <v>0</v>
      </c>
      <c r="IB594" s="1691"/>
      <c r="IC594" s="1695"/>
      <c r="ID594" s="1694" t="str">
        <f>VLOOKUP(IB596,_Error_Table,4,FALSE)</f>
        <v>White</v>
      </c>
      <c r="IE594" s="391"/>
      <c r="IF594" s="1688"/>
      <c r="IG594" s="1689"/>
      <c r="IH594" s="1684"/>
      <c r="IK594" s="1689"/>
      <c r="IL594" s="1691"/>
      <c r="IM594" s="1691"/>
      <c r="IN594" s="1691"/>
      <c r="IP594" s="1679"/>
      <c r="IQ594" s="1679"/>
      <c r="IR594" s="1679"/>
      <c r="IS594" s="1679"/>
      <c r="IT594" s="1679"/>
      <c r="IU594" s="1679"/>
      <c r="IV594" s="1679"/>
      <c r="IW594" s="1679"/>
      <c r="IX594" s="1679"/>
      <c r="IY594" s="1679"/>
      <c r="IZ594" s="1679"/>
      <c r="JA594" s="1679"/>
      <c r="JC594" s="1680"/>
      <c r="JD594" s="1670"/>
      <c r="JE594" s="1681"/>
      <c r="JG594" s="1680"/>
      <c r="JH594" s="1670"/>
      <c r="JI594" s="1060"/>
      <c r="JJ594" s="1683"/>
      <c r="JK594" s="1061"/>
      <c r="JL594" s="1683"/>
      <c r="JM594" s="1061"/>
      <c r="JN594" s="1683"/>
      <c r="JO594" s="1061"/>
      <c r="JP594" s="1683"/>
      <c r="JQ594" s="1061"/>
      <c r="JR594" s="1683"/>
      <c r="JS594" s="1061"/>
      <c r="JT594" s="1670"/>
      <c r="JU594" s="1061"/>
      <c r="JV594" s="1670"/>
      <c r="JX594" s="1670"/>
      <c r="JZ594" s="1683"/>
      <c r="KB594" s="1670"/>
    </row>
    <row r="595" spans="1:288" s="78" customFormat="1" ht="14.95" customHeight="1" thickTop="1" thickBot="1">
      <c r="A595" s="78">
        <f>ROW()</f>
        <v>595</v>
      </c>
      <c r="B595" s="1845"/>
      <c r="C595" s="1846"/>
      <c r="D595" s="1847"/>
      <c r="E595" s="1737" t="s">
        <v>298</v>
      </c>
      <c r="F595" s="1738"/>
      <c r="G595" s="1760"/>
      <c r="H595" s="1761"/>
      <c r="I595" s="1761"/>
      <c r="J595" s="1761"/>
      <c r="K595" s="1761"/>
      <c r="L595" s="1762"/>
      <c r="M595" s="461">
        <f>IFERROR(IF(IF(__Retrofit_TI_NC&lt;&gt;0,IF(CQ593="Interior",MATCH(G595,Lookup_Interior_New,0),MATCH(G595,Lookup_Exterior_New,0)),IF(CQ593="Interior",MATCH(G595,Lookup_Interior,0),MATCH(G595,Lookup_Exterior_Areas,0)))&gt;0,1,0),0)</f>
        <v>0</v>
      </c>
      <c r="N595" s="461" t="e">
        <f>IF(__Retrofit_TI_NC=1,
VLOOKUP(G595,'Space Table'!$B$3:$L$163,4,FALSE),
IF(__Retrofit_TI_NC=2,VLOOKUP(G595,'Space Table'!$B$3:$L$163,5,FALSE),VLOOKUP(G595,'Space Table'!$B$3:$L$163,5,FALSE)))</f>
        <v>#N/A</v>
      </c>
      <c r="O595" s="461">
        <f>G595</f>
        <v>0</v>
      </c>
      <c r="P595" s="1738" t="str">
        <f>IFERROR(IF(__Retrofit_TI_NC=1,VLOOKUP(G595,'Space Table'!$B$3:$O$163,13,FALSE),IF(__Retrofit_TI_NC=2,VLOOKUP(G595,'Space Table'!$B$3:$O$163,14,FALSE),"Area (sf):")),"Area (sf):")</f>
        <v>Area (sf):</v>
      </c>
      <c r="Q595" s="1738"/>
      <c r="R595" s="596"/>
      <c r="S595" s="1763" t="s">
        <v>345</v>
      </c>
      <c r="T595" s="594"/>
      <c r="U595" s="1801"/>
      <c r="V595" s="1802"/>
      <c r="W595" s="1802"/>
      <c r="X595" s="1802"/>
      <c r="Y595" s="1802"/>
      <c r="Z595" s="1802"/>
      <c r="AA595" s="1802"/>
      <c r="AB595" s="1802"/>
      <c r="AC595" s="1802"/>
      <c r="AD595" s="1802"/>
      <c r="AE595" s="1803"/>
      <c r="AF595" s="594"/>
      <c r="AG595" s="1787"/>
      <c r="AH595" s="1787"/>
      <c r="AI595" s="1787"/>
      <c r="AJ595" s="1787"/>
      <c r="AK595" s="1787"/>
      <c r="AL595" s="1787"/>
      <c r="AM595" s="1726">
        <f>IFERROR(DI595,"")</f>
        <v>0</v>
      </c>
      <c r="AN595" s="1728" t="str">
        <f>IFERROR(ROUND(AM595*AC596,0),"")</f>
        <v/>
      </c>
      <c r="AO595" s="1730">
        <f>IFERROR(IF(IB593=FALSE,0,AC596-AN595),0)</f>
        <v>0</v>
      </c>
      <c r="AP595" s="1780"/>
      <c r="AQ595" s="1781"/>
      <c r="AR595" s="1795"/>
      <c r="AS595" s="1795"/>
      <c r="AT595" s="1796"/>
      <c r="AU595" s="1735"/>
      <c r="AV595" s="1752"/>
      <c r="AW595" s="1705"/>
      <c r="AX595" s="467"/>
      <c r="AY595" s="1749"/>
      <c r="AZ595" s="1749"/>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696"/>
      <c r="CQ595" s="1696"/>
      <c r="CR595" s="1808" t="str">
        <f>CQ593</f>
        <v/>
      </c>
      <c r="CS595" s="1810" t="str">
        <f>CS593</f>
        <v/>
      </c>
      <c r="CU595" s="1688" t="s">
        <v>345</v>
      </c>
      <c r="CV595" s="1702">
        <f>IF(IB593=TRUE,T595,0)</f>
        <v>0</v>
      </c>
      <c r="CW595" s="1702" t="str">
        <f>IF(IB593=TRUE,U595,"")</f>
        <v/>
      </c>
      <c r="CX595" s="1812">
        <f>IF(IB593=TRUE,U596,0)</f>
        <v>0</v>
      </c>
      <c r="CY595" s="1814">
        <f>IF(IB593=TRUE,AB596,0)</f>
        <v>0</v>
      </c>
      <c r="CZ595" s="1710">
        <f>IF(AND(__Retrofit_TI_NC&gt;0,CR593="interior"),0,IF(IB593=TRUE,AC596,0))</f>
        <v>0</v>
      </c>
      <c r="DA595" s="1818"/>
      <c r="DB595" s="1820"/>
      <c r="DC595" s="1820"/>
      <c r="DD595" s="1820"/>
      <c r="DF595" s="1702">
        <f>IF(IB593=TRUE,AF595,0)</f>
        <v>0</v>
      </c>
      <c r="DG595" s="1830" t="str">
        <f>IF(IB593=TRUE,AG595,"")</f>
        <v/>
      </c>
      <c r="DH595" s="1812">
        <f>AG596</f>
        <v>0</v>
      </c>
      <c r="DI595" s="1837">
        <f>JE595</f>
        <v>0</v>
      </c>
      <c r="DJ595" s="1710">
        <f>IF(AND(__Retrofit_TI_NC&gt;0,CR593="interior"),0,IF(IB593=TRUE,AN595,0))</f>
        <v>0</v>
      </c>
      <c r="DK595" s="1712"/>
      <c r="DN595" s="1717">
        <f>IFERROR(CZ595-DJ595,0)</f>
        <v>0</v>
      </c>
      <c r="DO595" s="1709"/>
      <c r="DQ595" s="1715"/>
      <c r="DR595" s="1719" t="str">
        <f>DQ593</f>
        <v/>
      </c>
      <c r="DS595" s="1816"/>
      <c r="DT595" s="1835" t="str">
        <f>IF(OR(DS593=7,DS593=8,DS593=9),"ALC","")</f>
        <v/>
      </c>
      <c r="DU595" s="1715"/>
      <c r="DV595" s="1716"/>
      <c r="DX595" s="1715"/>
      <c r="DY595" s="1829" t="str">
        <f>DX593</f>
        <v/>
      </c>
      <c r="DZ595" s="1715"/>
      <c r="EA595" s="1715"/>
      <c r="EC595" s="1834"/>
      <c r="ED595" s="1834"/>
      <c r="EF595" s="1707"/>
      <c r="EG595" s="1712"/>
      <c r="EH595" s="1818"/>
      <c r="EI595" s="1712"/>
      <c r="EJ595" s="1712"/>
      <c r="EK595" s="1836"/>
      <c r="EL595" s="1836"/>
      <c r="EM595" s="1807"/>
      <c r="EN595" s="1839"/>
      <c r="EO595" s="1839"/>
      <c r="EP595" s="1817"/>
      <c r="EQ595" s="1817"/>
      <c r="ER595" s="1807"/>
      <c r="ES595" s="1807"/>
      <c r="ET595" s="1807"/>
      <c r="EV595" s="1715"/>
      <c r="EX595" s="1805" t="str">
        <f>IFERROR(VLOOKUP(CS595,'Space Table'!$B$3:$L$163,8,FALSE),"")</f>
        <v/>
      </c>
      <c r="EY595" s="1805" t="str">
        <f>IFERROR(IF(FB595="Yes",VLOOKUP(AG595,Lookup_Control_Type_Table2,4,FALSE),VLOOKUP(AG595,Lookup_Control_Type_Table2,3,FALSE)),"")</f>
        <v/>
      </c>
      <c r="EZ595" s="1805" t="e">
        <f>VLOOKUP(AG595,Lookup!BB$3:BC$20,2,FALSE)</f>
        <v>#N/A</v>
      </c>
      <c r="FA595" s="1805" t="e">
        <f>VLOOKUP(EX593,Lookup_Control_Type_Table,2,FALSE)</f>
        <v>#N/A</v>
      </c>
      <c r="FB595" s="1805" t="e">
        <f>VLOOKUP(CS595,'Space Table'!$B$3:$L$163,7,FALSE)</f>
        <v>#N/A</v>
      </c>
      <c r="FC595" s="1827"/>
      <c r="FE595" s="1698" t="str">
        <f>CONCATENATE(CQ593," - ",AG595)</f>
        <v xml:space="preserve"> - </v>
      </c>
      <c r="FG595" s="1816"/>
      <c r="FH595" s="1816"/>
      <c r="FI595" s="133"/>
      <c r="FL595" s="1822" t="str">
        <f>IF(CQ593="Exterior","Not Daylighted",G596)</f>
        <v>Not Daylighted</v>
      </c>
      <c r="FM595" s="1824">
        <f>VLOOKUP(FL595,_New_Daylight_Table_Codes,2,FALSE)</f>
        <v>0</v>
      </c>
      <c r="FN595" s="1698">
        <f>AG595</f>
        <v>0</v>
      </c>
      <c r="FO595" s="1698" t="e">
        <f>VLOOKUP(FN595,_Control_Table,2,FALSE)</f>
        <v>#N/A</v>
      </c>
      <c r="FP595" s="1678" t="e">
        <f>VLOOKUP(CONCATENATE(FL595," ",FN595),Lookup!AY$102:AZ606,2,FALSE)</f>
        <v>#N/A</v>
      </c>
      <c r="FQ595" s="1698">
        <f>IF(__Retrofit_TI_NC=0,FN595,IF(AND(FT595&gt;0,FN595="Occupancy Sensor"),"Daylight + Occupancy",IF(AND(FT595&gt;0,FO595&lt;4),"Interior Daylight Dimming",FN595)))</f>
        <v>0</v>
      </c>
      <c r="FS595" s="1686">
        <f>IF(CQ593="Interior",VLOOKUP(CS593,Control_Savings_Interior,5,FALSE),0)</f>
        <v>0</v>
      </c>
      <c r="FT595" s="1687">
        <f>IF(CQ595="Exterior",0,IF(FM595=2,0.5,IF(OR(FM595=1,FM595=3),1,0)))</f>
        <v>0</v>
      </c>
      <c r="FU595" s="1685">
        <f>IF(R594&gt;FS$44,(FS595*(FS$44/R594)),FS595)*FT595</f>
        <v>0</v>
      </c>
      <c r="FV595" s="1686">
        <f>DI595</f>
        <v>0</v>
      </c>
      <c r="FW595" s="1686">
        <f>ROUND(FV595+((1-FV595)*FU595),2)</f>
        <v>0</v>
      </c>
      <c r="FX595" s="1686">
        <f>IF(__Retrofit_TI_NC=2,FW595,FV595)</f>
        <v>0</v>
      </c>
      <c r="FY595" s="1697">
        <f>IF(CR595="Interior",VLOOKUP(CS595,Control_Savings_Interior,4,FALSE),0)</f>
        <v>0</v>
      </c>
      <c r="GA595" s="1696"/>
      <c r="GB595" s="1696"/>
      <c r="GC595" s="1696"/>
      <c r="GD595" s="1696"/>
      <c r="GE595" s="1696"/>
      <c r="GF595" s="1696"/>
      <c r="GG595" s="1696"/>
      <c r="GH595" s="1696"/>
      <c r="GI595" s="673" t="b">
        <f>IF(ISNUMBER(SEARCH("TLED",U595)),TRUE,FALSE)</f>
        <v>0</v>
      </c>
      <c r="GJ595" s="1135" t="str">
        <f>IFERROR(VLOOKUP(U595,Fixtures!DM$93:DR$142,6,FALSE),"")</f>
        <v/>
      </c>
      <c r="GK595" s="1832"/>
      <c r="GM595" s="1692"/>
      <c r="GN595" s="1684"/>
      <c r="GP595" s="1684"/>
      <c r="GQ595" s="1684"/>
      <c r="HG595" s="1684"/>
      <c r="HH595" s="1684"/>
      <c r="HI595" s="1684"/>
      <c r="HJ595" s="1684"/>
      <c r="HK595" s="1684"/>
      <c r="HL595" s="1684"/>
      <c r="HM595" s="1684"/>
      <c r="HN595" s="1683"/>
      <c r="HO595" s="1692"/>
      <c r="HP595" s="1692"/>
      <c r="HQ595" s="1670"/>
      <c r="HR595" s="1684"/>
      <c r="HS595" s="1684"/>
      <c r="HT595" s="1670"/>
      <c r="HU595" s="1684"/>
      <c r="HV595" s="1684"/>
      <c r="HW595" s="1684"/>
      <c r="HX595" s="1684"/>
      <c r="HY595" s="1684"/>
      <c r="HZ595" s="1684"/>
      <c r="IB595" s="1692"/>
      <c r="IC595" s="1693" t="b">
        <f>IB593</f>
        <v>0</v>
      </c>
      <c r="ID595" s="1695"/>
      <c r="IE595" s="391"/>
      <c r="IF595" s="1688"/>
      <c r="IG595" s="1689">
        <f ca="1">IF(IF593=TRUE,AC596,0)</f>
        <v>0</v>
      </c>
      <c r="IH595" s="1684"/>
      <c r="IK595" s="1689" t="e">
        <f>ROUND(T595*AB596*N594*R594/1000,0)</f>
        <v>#VALUE!</v>
      </c>
      <c r="IL595" s="1691"/>
      <c r="IM595" s="1693" t="e">
        <f>ROUND(T595*AB596*N594*R594/1000,0)</f>
        <v>#VALUE!</v>
      </c>
      <c r="IN595" s="1691"/>
      <c r="IP595" s="1679"/>
      <c r="IQ595" s="1679" t="e">
        <f t="shared" ref="IQ595:IU595" si="542">IF($CR595="interior",VLOOKUP($CS595,_New_Control_Savings_Interior,IQ$30,FALSE),VLOOKUP($CS595,Control_Savings_Exterior,IQ$30,FALSE))</f>
        <v>#N/A</v>
      </c>
      <c r="IR595" s="1679" t="e">
        <f t="shared" si="542"/>
        <v>#N/A</v>
      </c>
      <c r="IS595" s="1679" t="e">
        <f t="shared" si="542"/>
        <v>#N/A</v>
      </c>
      <c r="IT595" s="1679" t="e">
        <f t="shared" si="542"/>
        <v>#N/A</v>
      </c>
      <c r="IU595" s="1679" t="e">
        <f t="shared" si="542"/>
        <v>#N/A</v>
      </c>
      <c r="IV595" s="1679" t="e">
        <f>IF($CR595="interior",IF(R594&gt;$IP$14,ROUND(($IV$18*($IP$14/R594)),2),$IV$18),VLOOKUP($CS595,Control_Savings_Exterior,IV$30,FALSE))</f>
        <v>#N/A</v>
      </c>
      <c r="IW595" s="1679" t="e">
        <f>IF($CR595="interior",ROUND(((1-IS595)*IV595)+IS595,2),VLOOKUP($CS595,Control_Savings_Exterior,IW$30,FALSE))</f>
        <v>#N/A</v>
      </c>
      <c r="IX595" s="1679" t="e">
        <f>IF($CR595="interior",ROUND(((1-IT595)*IV595)+IT595,2),VLOOKUP($CS595,Control_Savings_Exterior,IX$30,FALSE))</f>
        <v>#N/A</v>
      </c>
      <c r="IY595" s="1679" t="e">
        <f>IF($CR595="interior",IF(R594&gt;$IP$14,ROUND(($IY$18*($IP$14/R594)),2),$IY$18),VLOOKUP($CS595,Control_Savings_Exterior,IY$30,FALSE))</f>
        <v>#N/A</v>
      </c>
      <c r="IZ595" s="1679" t="e">
        <f>IF($CR595="interior",ROUND(((1-IS595)*IY595)+IS595,2),VLOOKUP($CS595,Control_Savings_Exterior,IZ$30,FALSE))</f>
        <v>#N/A</v>
      </c>
      <c r="JA595" s="1679" t="e">
        <f>IF($CR595="interior",ROUND(((1-IT595)*IY595)+IT595,2),VLOOKUP($CS595,Control_Savings_Exterior,JA$30,FALSE))</f>
        <v>#N/A</v>
      </c>
      <c r="JC595" s="1680">
        <f>IFERROR(IF(CR595="Interior",CONCATENATE(G596," ",FQ595),AG595),"")</f>
        <v>0</v>
      </c>
      <c r="JD595" s="1670" t="str">
        <f>IFERROR(VLOOKUP(JC595,_Controls_2023,2,FALSE),"")</f>
        <v/>
      </c>
      <c r="JE595" s="1681">
        <f>IFERROR(CHOOSE(JD595-1,IQ595,IR595,IS595,IT595,IU595,IV595,IW595,IX595,IY595,IZ595,JA595),0)</f>
        <v>0</v>
      </c>
      <c r="JG595" s="1680" t="str">
        <f>FE595</f>
        <v xml:space="preserve"> - </v>
      </c>
      <c r="JH595" s="1670" t="e">
        <f>$FO595</f>
        <v>#N/A</v>
      </c>
      <c r="JI595" s="1060"/>
      <c r="JJ595" s="1670">
        <f>IFERROR(IF($IB593=TRUE,IF(OR(JJ$14="No",JJ593=FALSE,JH595&lt;=JH593,AND(_kWh_Grant=0,GD593=FALSE)),0,IF(JJ$8="Per Line",1,$AF595)),0),0)</f>
        <v>0</v>
      </c>
      <c r="JK595" s="1061"/>
      <c r="JL595" s="1670">
        <f>IFERROR(IF(_kWh_Grant=0,0,IF($IB593=TRUE,IF(OR(JL$14="No",JL593=FALSE,JH595&lt;=JH593),0,IF(JL$8="Per Line",1,$T595)),0)),0)</f>
        <v>0</v>
      </c>
      <c r="JM595" s="1061"/>
      <c r="JN595" s="1670">
        <f>IFERROR(IF(_kWh_Grant=0,0,IF($IB593=TRUE,IF(OR(JN$14="No",JN593=FALSE,JH595&lt;=JH593),0,IF(JN$8="Per Line",1,$AF595)),0)),0)</f>
        <v>0</v>
      </c>
      <c r="JO595" s="1061"/>
      <c r="JP595" s="1670">
        <f>IFERROR(IF(__Retrofit_TI_NC=0,IF(_kWh_Grant=0,0,IF($IB593=TRUE,IF(OR(JP$14="No",JP593=FALSE,$JH595&lt;=$JH593),0,IF(JP$8="Per Line",1,$AF595)),0)),IF($IB593=TRUE,IF(OR(JP$14="No",JP593=FALSE,$JH595&lt;=$JH593),0,IF(JP$8="Per Line",1,$AF595)))),0)</f>
        <v>0</v>
      </c>
      <c r="JQ595" s="1061"/>
      <c r="JR595" s="1670">
        <f>IFERROR(IF(__Retrofit_TI_NC=0,IF(_kWh_Grant=0,0,IF($IB593=TRUE,IF(OR(JR$14="No",JR593=FALSE,$JH595&lt;=$JH593),0,IF(JR$8="Per Line",1,$AF595)),0)),IF($IB593=TRUE,IF(OR(JR$14="No",JR593=FALSE,$JH595&lt;=$JH593),0,IF(JR$8="Per Line",1,$AF595)))),0)</f>
        <v>0</v>
      </c>
      <c r="JS595" s="1061"/>
      <c r="JT595" s="1670">
        <f>IFERROR(IF(__Retrofit_TI_NC=0,IF(_kWh_Grant=0,0,IF($IB593=TRUE,IF(OR(JT$14="No",JT593=FALSE,$JH595&lt;=$JH593),0,IF(JT$8="Per Line",1,$AF595)),0)),IF($IB593=TRUE,IF(OR(JT$14="No",JT593=FALSE,$JH595&lt;=$JH593),0,IF(JT$8="Per Line",1,$AF595)))),0)</f>
        <v>0</v>
      </c>
      <c r="JU595" s="1061"/>
      <c r="JV595" s="1670">
        <f>IFERROR(IF(__Retrofit_TI_NC=0,IF(_kWh_Grant=0,0,IF($IB593=TRUE,IF(OR(JV$14="No",JV593=FALSE,$JH595&lt;=$JH593),0,IF(JV$8="Per Line",1,$AF595)),0)),IF($IB593=TRUE,IF(OR(JV$14="No",JV593=FALSE,$JH595&lt;=$JH593),0,IF(JV$8="Per Line",1,$AF595)))),0)</f>
        <v>0</v>
      </c>
      <c r="JX595" s="1670">
        <f>IFERROR(IF(__Retrofit_TI_NC=0,IF(_kWh_Grant=0,0,IF($IB593=TRUE,IF(OR(JX$14="No",JX593=FALSE,$JH595&lt;=$JH593),0,IF(JX$8="Per Line",1,$AF595)),0)),IF($IB593=TRUE,IF(OR(JX$14="No",JX593=FALSE,$JH595&lt;=$JH593),0,IF(JX$8="Per Line",1,$AF595)))),0)</f>
        <v>0</v>
      </c>
      <c r="JZ595" s="1670">
        <f>IFERROR(IF($IB593=TRUE,IF(OR(JZ$14="No",JZ593=FALSE,$JH595&lt;=$JH593,AND(_kWh_Grant=0,$GD593=FALSE)),0,IF(JZ$8="Per Line",1,$AF595)),0),0)</f>
        <v>0</v>
      </c>
      <c r="KB595" s="1670">
        <f>IFERROR(IF(__Retrofit_TI_NC=0,IF(_kWh_Grant=0,0,IF($IB593=TRUE,IF(OR(KB$14="No",KB593=FALSE,$JH595&lt;=$JH593),0,IF(KB$8="Per Line",1,$AF595)),0)),IF($IB593=TRUE,IF(OR(KB$14="No",KB593=FALSE,$JH595&lt;=$JH593),0,IF(KB$8="Per Line",1,$AF595)))),0)</f>
        <v>0</v>
      </c>
    </row>
    <row r="596" spans="1:288" s="78" customFormat="1" ht="14.95" customHeight="1" thickTop="1" thickBot="1">
      <c r="B596" s="1845"/>
      <c r="C596" s="1846"/>
      <c r="D596" s="1847"/>
      <c r="E596" s="1771" t="s">
        <v>436</v>
      </c>
      <c r="F596" s="1772"/>
      <c r="G596" s="1784" t="s">
        <v>437</v>
      </c>
      <c r="H596" s="1785"/>
      <c r="I596" s="1785"/>
      <c r="J596" s="1785"/>
      <c r="K596" s="1785"/>
      <c r="L596" s="1786"/>
      <c r="M596" s="591">
        <f>IFERROR(VLOOKUP(G596,_Daylight_Table[],2,FALSE),0)</f>
        <v>0</v>
      </c>
      <c r="N596" s="592" t="str">
        <f>IF(AND(__Retrofit_TI_NC&gt;0,CQ593="Interior"),"BAM","")</f>
        <v/>
      </c>
      <c r="O596" s="591" t="e">
        <f>VLOOKUP(G595,'Space Table'!$B$3:$L$163,11,FALSE)</f>
        <v>#N/A</v>
      </c>
      <c r="P596" s="1789"/>
      <c r="Q596" s="1790"/>
      <c r="R596" s="1790"/>
      <c r="S596" s="1788"/>
      <c r="T596" s="593" t="s">
        <v>342</v>
      </c>
      <c r="U596" s="1756" t="str" cm="1">
        <f t="array" aca="1" ref="U596" ca="1">IFERROR(VLOOKUP(INDIRECT("U" &amp; ROW()-1),Fixtures!DM$93:DP$142,4,FALSE),"")</f>
        <v/>
      </c>
      <c r="V596" s="1757"/>
      <c r="W596" s="1757"/>
      <c r="X596" s="1757"/>
      <c r="Y596" s="1757"/>
      <c r="Z596" s="1757"/>
      <c r="AA596" s="1758"/>
      <c r="AB596" s="939" t="str">
        <f>IFERROR(VLOOKUP(U595,Fixtures_Proposed_List,2,FALSE),"")</f>
        <v/>
      </c>
      <c r="AC596" s="933" t="str">
        <f>IFERROR(ROUND(T595*AB596*N594*R594/1000,0),"")</f>
        <v/>
      </c>
      <c r="AD596" s="934" t="str">
        <f>IFERROR(ROUND(T595*AB596/1000,2),"")</f>
        <v/>
      </c>
      <c r="AE596" s="998"/>
      <c r="AF596" s="938" t="s">
        <v>342</v>
      </c>
      <c r="AG596" s="1770"/>
      <c r="AH596" s="1770"/>
      <c r="AI596" s="1770"/>
      <c r="AJ596" s="1770"/>
      <c r="AK596" s="1770"/>
      <c r="AL596" s="1770"/>
      <c r="AM596" s="1727"/>
      <c r="AN596" s="1729"/>
      <c r="AO596" s="1731"/>
      <c r="AP596" s="1782"/>
      <c r="AQ596" s="1783"/>
      <c r="AR596" s="1797"/>
      <c r="AS596" s="1797"/>
      <c r="AT596" s="1798"/>
      <c r="AU596" s="1736"/>
      <c r="AV596" s="1753"/>
      <c r="AW596" s="1706"/>
      <c r="AX596" s="468"/>
      <c r="AY596" s="1750"/>
      <c r="AZ596" s="1750"/>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696"/>
      <c r="CQ596" s="1696"/>
      <c r="CR596" s="1809"/>
      <c r="CS596" s="1811"/>
      <c r="CU596" s="1688"/>
      <c r="CV596" s="1703"/>
      <c r="CW596" s="1703"/>
      <c r="CX596" s="1813"/>
      <c r="CY596" s="1815"/>
      <c r="CZ596" s="1711"/>
      <c r="DA596" s="1815"/>
      <c r="DB596" s="1821"/>
      <c r="DC596" s="1821"/>
      <c r="DD596" s="1821"/>
      <c r="DF596" s="1703"/>
      <c r="DG596" s="1831"/>
      <c r="DH596" s="1813"/>
      <c r="DI596" s="1838"/>
      <c r="DJ596" s="1711"/>
      <c r="DK596" s="1712"/>
      <c r="DN596" s="1718"/>
      <c r="DO596" s="1709"/>
      <c r="DQ596" s="1715"/>
      <c r="DR596" s="1720"/>
      <c r="DS596" s="1703"/>
      <c r="DT596" s="1714"/>
      <c r="DU596" s="1715"/>
      <c r="DV596" s="1716"/>
      <c r="DX596" s="1715"/>
      <c r="DY596" s="1720"/>
      <c r="DZ596" s="1715"/>
      <c r="EA596" s="1715"/>
      <c r="EC596" s="1834"/>
      <c r="ED596" s="1834"/>
      <c r="EF596" s="1707"/>
      <c r="EG596" s="1712"/>
      <c r="EH596" s="1815"/>
      <c r="EI596" s="1712"/>
      <c r="EJ596" s="1712"/>
      <c r="EK596" s="1813"/>
      <c r="EL596" s="1813"/>
      <c r="EM596" s="1807"/>
      <c r="EN596" s="1839"/>
      <c r="EO596" s="1839"/>
      <c r="EP596" s="1817"/>
      <c r="EQ596" s="1817"/>
      <c r="ER596" s="1807"/>
      <c r="ES596" s="1807"/>
      <c r="ET596" s="1807"/>
      <c r="EV596" s="1715"/>
      <c r="EX596" s="1806"/>
      <c r="EY596" s="1806"/>
      <c r="EZ596" s="1806"/>
      <c r="FA596" s="1806"/>
      <c r="FB596" s="1806"/>
      <c r="FC596" s="1828"/>
      <c r="FE596" s="1698"/>
      <c r="FG596" s="1703"/>
      <c r="FH596" s="1703"/>
      <c r="FI596" s="133"/>
      <c r="FL596" s="1823"/>
      <c r="FM596" s="1825"/>
      <c r="FN596" s="1698"/>
      <c r="FO596" s="1698"/>
      <c r="FP596" s="1678"/>
      <c r="FQ596" s="1698"/>
      <c r="FS596" s="1687"/>
      <c r="FT596" s="1687"/>
      <c r="FU596" s="1685"/>
      <c r="FV596" s="1687"/>
      <c r="FW596" s="1687"/>
      <c r="FX596" s="1687"/>
      <c r="FY596" s="1697"/>
      <c r="GA596" s="1696"/>
      <c r="GB596" s="1696"/>
      <c r="GC596" s="1696"/>
      <c r="GD596" s="1696"/>
      <c r="GE596" s="1696"/>
      <c r="GF596" s="1696"/>
      <c r="GG596" s="1696"/>
      <c r="GH596" s="1696"/>
      <c r="GI596" s="673"/>
      <c r="GJ596" s="1135"/>
      <c r="GK596" s="1832"/>
      <c r="GN596" s="674">
        <f>IF(GN594=TRUE,0,GN$16)</f>
        <v>0</v>
      </c>
      <c r="GP596" s="674">
        <f>IF(GP594=TRUE,0,GP$16)</f>
        <v>36</v>
      </c>
      <c r="GQ596" s="674">
        <f ca="1">IF(GQ594=TRUE,0,GQ$16)</f>
        <v>35</v>
      </c>
      <c r="GR596" s="391"/>
      <c r="GS596" s="391"/>
      <c r="GT596" s="391"/>
      <c r="GU596" s="391"/>
      <c r="GV596" s="391"/>
      <c r="HG596" s="674">
        <f>IF(HG594=TRUE,0,HG$16)</f>
        <v>0</v>
      </c>
      <c r="HH596" s="674">
        <f t="shared" ref="HH596:HM596" si="543">IF(HH594=TRUE,0,HH$16)</f>
        <v>19</v>
      </c>
      <c r="HI596" s="674">
        <f t="shared" si="543"/>
        <v>18</v>
      </c>
      <c r="HJ596" s="674">
        <f t="shared" si="543"/>
        <v>17</v>
      </c>
      <c r="HK596" s="674">
        <f t="shared" si="543"/>
        <v>16</v>
      </c>
      <c r="HL596" s="674">
        <f t="shared" si="543"/>
        <v>0</v>
      </c>
      <c r="HM596" s="674">
        <f t="shared" si="543"/>
        <v>0</v>
      </c>
      <c r="HN596" s="674">
        <f>IF(HN594=TRUE,0,HN$16)</f>
        <v>13</v>
      </c>
      <c r="HO596" s="674">
        <f t="shared" ref="HO596:HQ596" si="544">IF(HO594=TRUE,0,HO$16)</f>
        <v>0</v>
      </c>
      <c r="HP596" s="674">
        <f t="shared" si="544"/>
        <v>0</v>
      </c>
      <c r="HQ596" s="674">
        <f t="shared" si="544"/>
        <v>10</v>
      </c>
      <c r="HR596" s="674">
        <f>IF(HR594=TRUE,0,HR$16)</f>
        <v>9</v>
      </c>
      <c r="HS596" s="674">
        <f t="shared" ref="HS596:HW596" si="545">IF(HS594=TRUE,0,HS$16)</f>
        <v>0</v>
      </c>
      <c r="HT596" s="674">
        <f t="shared" si="545"/>
        <v>0</v>
      </c>
      <c r="HU596" s="674">
        <f t="shared" si="545"/>
        <v>0</v>
      </c>
      <c r="HV596" s="674">
        <f t="shared" si="545"/>
        <v>0</v>
      </c>
      <c r="HW596" s="674">
        <f t="shared" si="545"/>
        <v>0</v>
      </c>
      <c r="HX596" s="674">
        <f>IF(HX594=TRUE,0,HX$16)</f>
        <v>0</v>
      </c>
      <c r="HY596" s="674">
        <f>IF(HY594=TRUE,0,HY$16)</f>
        <v>0</v>
      </c>
      <c r="HZ596" s="674">
        <f>IF(HZ594=TRUE,0,HZ$16)</f>
        <v>1</v>
      </c>
      <c r="IB596" s="674">
        <f>IF(GP594=FALSE,GP596,IF(GQ594=FALSE,GQ596,MAX(GN596:HZ596)))</f>
        <v>36</v>
      </c>
      <c r="IC596" s="1692"/>
      <c r="ID596" s="205" t="str">
        <f>VLOOKUP(IB596,_Error_Table,3,FALSE)</f>
        <v xml:space="preserve"> </v>
      </c>
      <c r="IE596" s="205"/>
      <c r="IF596" s="1688"/>
      <c r="IG596" s="1689"/>
      <c r="IH596" s="1684"/>
      <c r="IK596" s="1689"/>
      <c r="IL596" s="1692"/>
      <c r="IM596" s="1692"/>
      <c r="IN596" s="1692"/>
      <c r="IP596" s="1679"/>
      <c r="IQ596" s="1679"/>
      <c r="IR596" s="1679"/>
      <c r="IS596" s="1679"/>
      <c r="IT596" s="1679"/>
      <c r="IU596" s="1679"/>
      <c r="IV596" s="1679"/>
      <c r="IW596" s="1679"/>
      <c r="IX596" s="1679"/>
      <c r="IY596" s="1679"/>
      <c r="IZ596" s="1679"/>
      <c r="JA596" s="1679"/>
      <c r="JC596" s="1680"/>
      <c r="JD596" s="1670"/>
      <c r="JE596" s="1681"/>
      <c r="JG596" s="1680"/>
      <c r="JH596" s="1670"/>
      <c r="JI596" s="1060"/>
      <c r="JJ596" s="1670"/>
      <c r="JK596" s="1061"/>
      <c r="JL596" s="1670"/>
      <c r="JM596" s="1061"/>
      <c r="JN596" s="1670"/>
      <c r="JO596" s="1061"/>
      <c r="JP596" s="1670"/>
      <c r="JQ596" s="1061"/>
      <c r="JR596" s="1670"/>
      <c r="JS596" s="1061"/>
      <c r="JT596" s="1670"/>
      <c r="JU596" s="1061"/>
      <c r="JV596" s="1670"/>
      <c r="JX596" s="1670"/>
      <c r="JZ596" s="1670"/>
      <c r="KB596" s="1670"/>
    </row>
    <row r="597" spans="1:288" s="78" customFormat="1" ht="5.0999999999999996" customHeight="1">
      <c r="B597" s="676"/>
      <c r="C597" s="392"/>
      <c r="D597" s="392"/>
      <c r="E597" s="1733"/>
      <c r="F597" s="1733"/>
      <c r="G597" s="1733"/>
      <c r="H597" s="1733"/>
      <c r="I597" s="1733"/>
      <c r="J597" s="1733"/>
      <c r="K597" s="1733"/>
      <c r="L597" s="1733"/>
      <c r="M597" s="1733"/>
      <c r="N597" s="1733"/>
      <c r="O597" s="1733"/>
      <c r="P597" s="1733"/>
      <c r="Q597" s="1733"/>
      <c r="R597" s="1733"/>
      <c r="S597" s="1733"/>
      <c r="T597" s="1733"/>
      <c r="U597" s="1733"/>
      <c r="V597" s="1733"/>
      <c r="W597" s="1733"/>
      <c r="X597" s="1733"/>
      <c r="Y597" s="1733"/>
      <c r="Z597" s="1733"/>
      <c r="AA597" s="1733"/>
      <c r="AB597" s="1733"/>
      <c r="AC597" s="1733"/>
      <c r="AD597" s="1733"/>
      <c r="AE597" s="1733"/>
      <c r="AF597" s="1733"/>
      <c r="AG597" s="1733"/>
      <c r="AH597" s="1733"/>
      <c r="AI597" s="1733"/>
      <c r="AJ597" s="1733"/>
      <c r="AK597" s="1733"/>
      <c r="AL597" s="1733"/>
      <c r="AM597" s="1733"/>
      <c r="AN597" s="1733"/>
      <c r="AO597" s="1733"/>
      <c r="AP597" s="1733"/>
      <c r="AQ597" s="1733"/>
      <c r="AR597" s="1733"/>
      <c r="AS597" s="1733"/>
      <c r="AT597" s="1733"/>
      <c r="AU597" s="1733"/>
      <c r="AV597" s="1733"/>
      <c r="AW597" s="1733"/>
      <c r="AX597" s="469"/>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663"/>
      <c r="CQ597" s="663"/>
      <c r="CR597" s="438"/>
      <c r="CS597" s="663"/>
      <c r="CV597" s="391"/>
      <c r="CW597" s="391"/>
      <c r="CX597" s="207"/>
      <c r="CY597" s="208"/>
      <c r="CZ597" s="208"/>
      <c r="DA597" s="208"/>
      <c r="DB597" s="209"/>
      <c r="DC597" s="209"/>
      <c r="DD597" s="209"/>
      <c r="DF597" s="664"/>
      <c r="DG597" s="665"/>
      <c r="DH597" s="666"/>
      <c r="DI597" s="667"/>
      <c r="DJ597" s="668"/>
      <c r="DK597" s="668"/>
      <c r="DN597" s="208"/>
      <c r="DO597" s="664"/>
      <c r="DQ597" s="664"/>
      <c r="DR597" s="669"/>
      <c r="DS597" s="391"/>
      <c r="DT597" s="664"/>
      <c r="DU597" s="664"/>
      <c r="DV597" s="664"/>
      <c r="DX597" s="664"/>
      <c r="DY597" s="664"/>
      <c r="DZ597" s="664"/>
      <c r="EA597" s="664"/>
      <c r="EC597" s="670"/>
      <c r="ED597" s="670"/>
      <c r="EF597" s="668"/>
      <c r="EG597" s="668"/>
      <c r="EH597" s="208"/>
      <c r="EI597" s="668"/>
      <c r="EJ597" s="668"/>
      <c r="EK597" s="207"/>
      <c r="EL597" s="207"/>
      <c r="EM597" s="666"/>
      <c r="EN597" s="671"/>
      <c r="EO597" s="671"/>
      <c r="EP597" s="672"/>
      <c r="EQ597" s="672"/>
      <c r="ER597" s="666"/>
      <c r="ES597" s="666"/>
      <c r="ET597" s="666"/>
      <c r="EV597" s="664"/>
      <c r="EX597" s="391"/>
      <c r="EY597" s="391"/>
      <c r="EZ597" s="391"/>
      <c r="FA597" s="391"/>
      <c r="FB597" s="391"/>
      <c r="FC597" s="391"/>
      <c r="FE597" s="569"/>
      <c r="FG597" s="391"/>
      <c r="FH597" s="391"/>
      <c r="FI597" s="391"/>
      <c r="FS597" s="664"/>
      <c r="FT597" s="391"/>
      <c r="FU597" s="391"/>
      <c r="FV597" s="664"/>
      <c r="FW597" s="664"/>
      <c r="GA597" s="663"/>
      <c r="GB597" s="663"/>
      <c r="GC597" s="663"/>
      <c r="GD597" s="663"/>
      <c r="GE597" s="663"/>
      <c r="GF597" s="663"/>
      <c r="GG597" s="663"/>
      <c r="GH597" s="663"/>
      <c r="GI597" s="665"/>
      <c r="GJ597" s="664"/>
      <c r="GK597" s="664"/>
    </row>
    <row r="598" spans="1:288" s="78" customFormat="1" ht="14.95" customHeight="1">
      <c r="B598" s="1845" t="str">
        <f>ID601</f>
        <v xml:space="preserve"> </v>
      </c>
      <c r="C598" s="1846">
        <f>C593+1</f>
        <v>107</v>
      </c>
      <c r="D598" s="1847"/>
      <c r="E598" s="1799" t="s">
        <v>295</v>
      </c>
      <c r="F598" s="1800"/>
      <c r="G598" s="1741"/>
      <c r="H598" s="1742"/>
      <c r="I598" s="1742"/>
      <c r="J598" s="1742"/>
      <c r="K598" s="1742"/>
      <c r="L598" s="1742"/>
      <c r="M598" s="1742"/>
      <c r="N598" s="1742"/>
      <c r="O598" s="1742"/>
      <c r="P598" s="1742"/>
      <c r="Q598" s="1742"/>
      <c r="R598" s="1742"/>
      <c r="S598" s="1791" t="s">
        <v>344</v>
      </c>
      <c r="T598" s="590"/>
      <c r="U598" s="1743"/>
      <c r="V598" s="1744"/>
      <c r="W598" s="1744"/>
      <c r="X598" s="1744"/>
      <c r="Y598" s="1744"/>
      <c r="Z598" s="1744"/>
      <c r="AA598" s="1744"/>
      <c r="AB598" s="961" t="str">
        <f>IFERROR(IF(__Retrofit_TI_NC=0,VLOOKUP(U599,Fixtures_Existing_List,2,FALSE),ROUND(N600*R600/T600,10)),"")</f>
        <v/>
      </c>
      <c r="AC598" s="935" t="str">
        <f>IFERROR(IF(__Retrofit_TI_NC=0,ROUND(T599*AB598*N599*R599/1000,0),IF(CQ598="Interior",N600*R600*R599*N599*_C406_reduction/1000,N600*R600*R599*N599/1000)),"")</f>
        <v/>
      </c>
      <c r="AD598" s="936" t="str">
        <f>IFERROR(IF(C$43=0,ROUND(T599*AB598/1000,2),N600*R600/1000),"")</f>
        <v/>
      </c>
      <c r="AE598" s="997"/>
      <c r="AF598" s="937"/>
      <c r="AG598" s="1745" t="str">
        <f>IF(__Retrofit_TI_NC=0," Control","Select Advanced Control for New System")</f>
        <v xml:space="preserve"> Control</v>
      </c>
      <c r="AH598" s="1745"/>
      <c r="AI598" s="1745"/>
      <c r="AJ598" s="1745"/>
      <c r="AK598" s="1745"/>
      <c r="AL598" s="1745"/>
      <c r="AM598" s="1746">
        <f>IFERROR(DI598,"")</f>
        <v>0</v>
      </c>
      <c r="AN598" s="1774" t="str">
        <f>IFERROR(ROUND(AM598*AC598,0),"")</f>
        <v/>
      </c>
      <c r="AO598" s="1776">
        <f>IFERROR(IF(IB598=FALSE,0,AC598-AN598),0)</f>
        <v>0</v>
      </c>
      <c r="AP598" s="1778">
        <f>AO598-AO600</f>
        <v>0</v>
      </c>
      <c r="AQ598" s="1779"/>
      <c r="AR598" s="1793">
        <f>IFERROR(IF(IB598=FALSE,0,(T600*U601)+(AF600*AG601)),0)</f>
        <v>0</v>
      </c>
      <c r="AS598" s="1793"/>
      <c r="AT598" s="1794"/>
      <c r="AU598" s="1734" t="s">
        <v>237</v>
      </c>
      <c r="AV598" s="1751">
        <f>IF(AU598="Yes",1,0)</f>
        <v>1</v>
      </c>
      <c r="AW598" s="1704" t="str">
        <f>IF(OR(DQ598=4,DQ598=5,DQ598=6,DQ598=12),CONCATENATE("$",IF(GH598=TRUE,Lookup!$K$10,Lookup!$K$2)," /lamp"),CONCATENATE(TEXT(ED598,"$0.00"),"/ kWh"))</f>
        <v>$0.00/ kWh</v>
      </c>
      <c r="AX598" s="467"/>
      <c r="AY598" s="1748">
        <f ca="1">IFERROR(IF(GM599=TRUE,(AB601*T600)/R600,0),"NA")</f>
        <v>0</v>
      </c>
      <c r="AZ598" s="1748"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696" t="str">
        <f>N599</f>
        <v/>
      </c>
      <c r="CQ598" s="1696" t="str">
        <f>IFERROR(VLOOKUP(G599,_Lookup_Heat_Type_Table_New,3,FALSE),"")</f>
        <v/>
      </c>
      <c r="CR598" s="1808" t="str">
        <f>CQ598</f>
        <v/>
      </c>
      <c r="CS598" s="1810" t="str">
        <f>IFERROR(VLOOKUP(G600,'Space Table'!$B$3:$L$163,9,FALSE),"")</f>
        <v/>
      </c>
      <c r="CU598" s="1688" t="s">
        <v>344</v>
      </c>
      <c r="CV598" s="1702">
        <f>IF(IB598=TRUE,T599,0)</f>
        <v>0</v>
      </c>
      <c r="CW598" s="1702" t="str">
        <f>IF(IB598=TRUE,U599,"")</f>
        <v/>
      </c>
      <c r="CX598" s="1702"/>
      <c r="CY598" s="1814">
        <f>IF(IB598=TRUE,AB598,0)</f>
        <v>0</v>
      </c>
      <c r="CZ598" s="1710">
        <f>IF(AND(__Retrofit_TI_NC&gt;0,CR598="interior"),0,IF(IB598=TRUE,AC598,0))</f>
        <v>0</v>
      </c>
      <c r="DA598" s="1814">
        <f>IFERROR(IF(IB598=TRUE,CZ598-CZ600,0),0)</f>
        <v>0</v>
      </c>
      <c r="DB598" s="1819">
        <f>IF(IB598=TRUE,AD598,0)</f>
        <v>0</v>
      </c>
      <c r="DC598" s="1819">
        <f>IF(IB598=TRUE,AD601,0)</f>
        <v>0</v>
      </c>
      <c r="DD598" s="1819">
        <f>IFERROR(DB598-DC598,0)</f>
        <v>0</v>
      </c>
      <c r="DF598" s="1702">
        <f>IF(IB598=TRUE,AF599,0)</f>
        <v>0</v>
      </c>
      <c r="DG598" s="1830">
        <f>IFERROR(IF(__Retrofit_TI_NC=2,IF(CQ598="Exterior",O601,FQ598),FN598),"")</f>
        <v>0</v>
      </c>
      <c r="DH598" s="1702"/>
      <c r="DI598" s="1837">
        <f>JE598</f>
        <v>0</v>
      </c>
      <c r="DJ598" s="1710">
        <f>IF(AND(__Retrofit_TI_NC&gt;0,CR598="interior"),0,IF(IB598=TRUE,AN598,0))</f>
        <v>0</v>
      </c>
      <c r="DK598" s="1712">
        <f>IFERROR(IF(IB598=TRUE,DJ600-DJ598,0),0)</f>
        <v>0</v>
      </c>
      <c r="DM598" s="1717">
        <f>IFERROR(CZ598-DJ598,0)</f>
        <v>0</v>
      </c>
      <c r="DO598" s="1708">
        <f>DM598-DN600</f>
        <v>0</v>
      </c>
      <c r="DQ598" s="1715" t="str">
        <f>IFERROR(IF(AND(OR(GC598=4,GC598=5,GC598=6),OR(GF598=4,GF598=5,GF598=6)),GC598+8,VLOOKUP(CW600,Fixtures!R$31:Y$78,8,FALSE)),"")</f>
        <v/>
      </c>
      <c r="DR598" s="1829" t="str">
        <f>DQ598</f>
        <v/>
      </c>
      <c r="DS598" s="1702" t="str">
        <f>IFERROR(VLOOKUP(DG600,Lookup!BB$3:BC$20,2,FALSE),"")</f>
        <v/>
      </c>
      <c r="DT598" s="1713" t="str">
        <f>IF(OR(DS598=7,DS598=8,DS598=9),"ALC","")</f>
        <v/>
      </c>
      <c r="DU598" s="1715">
        <f>IFERROR(IF(OR(DQ598=4,DQ598=5,DQ598=6,DQ598=12,DQ598=13,DQ598=14),VLOOKUP(CW600,Fixtures!DN$27:EG$77,19,FALSE),1)*CV600,0)</f>
        <v>0</v>
      </c>
      <c r="DV598" s="1716">
        <f>IF(OR(DS598=7,DS598=8,DS598=9),IF(DG598=DG600,0,DF600),0)</f>
        <v>0</v>
      </c>
      <c r="DX598" s="1715" t="str">
        <f>IFERROR(IF(EZ598&lt;EZ600,"Yes","No"),"")</f>
        <v/>
      </c>
      <c r="DY598" s="1829" t="str">
        <f>DX598</f>
        <v/>
      </c>
      <c r="DZ598" s="1715">
        <f>IF(DX598="Yes",DF600,0)</f>
        <v>0</v>
      </c>
      <c r="EA598" s="1715">
        <f>DZ598-DV598</f>
        <v>0</v>
      </c>
      <c r="EC598" s="1834">
        <f>IFERROR(VLOOKUP(DQ598,Lookup!AU$3:AV$16,2,FALSE),0)</f>
        <v>0</v>
      </c>
      <c r="ED598" s="1834">
        <f>IF(IB598=FALSE,0,IF(DX598="Yes",EC598+Lookup!K$6,EC598))</f>
        <v>0</v>
      </c>
      <c r="EF598" s="1707">
        <f>IF(IB598=TRUE,DM598,0)</f>
        <v>0</v>
      </c>
      <c r="EG598" s="1712">
        <f>IF(IB598=TRUE,CZ600,0)</f>
        <v>0</v>
      </c>
      <c r="EH598" s="1814">
        <f>IFERROR(EF598-EG598,0)</f>
        <v>0</v>
      </c>
      <c r="EI598" s="1712">
        <f>IF(IB598=TRUE,DJ600,0)</f>
        <v>0</v>
      </c>
      <c r="EJ598" s="1712">
        <f>IFERROR(EF598-EG598+EI598,0)</f>
        <v>0</v>
      </c>
      <c r="EK598" s="1812">
        <f>IF(IB598=TRUE,CV600*CX600,0)</f>
        <v>0</v>
      </c>
      <c r="EL598" s="1812">
        <f>IF(IB598=TRUE,DF600*DH600,0)</f>
        <v>0</v>
      </c>
      <c r="EM598" s="1807">
        <f>AR598</f>
        <v>0</v>
      </c>
      <c r="EN598" s="1839" t="str">
        <f>IFERROR(IF(IB598=TRUE,VLOOKUP(DQ598,Lookup!AU$3:AW$16,3,FALSE)*DU598,""),0)</f>
        <v/>
      </c>
      <c r="EO598" s="1839">
        <f>IF(IB598=TRUE,DZ598*Lookup!AW$12,0)</f>
        <v>0</v>
      </c>
      <c r="EP598" s="1817">
        <f>IFERROR(IF(IB598=TRUE,EN598/EP$40,0),0)</f>
        <v>0</v>
      </c>
      <c r="EQ598" s="1817">
        <f>IF(IB598=TRUE,EO598/EQ$40,0)</f>
        <v>0</v>
      </c>
      <c r="ER598" s="1807">
        <f>IF(IB598=TRUE,ET$40*EP598,0)</f>
        <v>0</v>
      </c>
      <c r="ES598" s="1807">
        <f>IF(IB598=TRUE,ET$40*EQ598,0)</f>
        <v>0</v>
      </c>
      <c r="ET598" s="1807">
        <f>ER598+ES598</f>
        <v>0</v>
      </c>
      <c r="EV598" s="1715">
        <f>IF(G598="",0,1)</f>
        <v>0</v>
      </c>
      <c r="EX598" s="1804" t="str">
        <f>IFERROR(VLOOKUP(CS600,'Space Table'!$B$3:$L$163,8,FALSE),"")</f>
        <v/>
      </c>
      <c r="EY598" s="1804" t="str">
        <f>IFERROR(IF(FB598="Yes",VLOOKUP(DG598,Lookup_Control_Type_Table2,4,FALSE),VLOOKUP(DG598,Lookup_Control_Type_Table2,3,FALSE)),"")</f>
        <v/>
      </c>
      <c r="EZ598" s="1804" t="e">
        <f>VLOOKUP(DG598,Lookup!BB$3:BC$20,2,FALSE)</f>
        <v>#N/A</v>
      </c>
      <c r="FA598" s="1804" t="e">
        <f>VLOOKUP(EX598,Lookup_Control_Type_Table,2,FALSE)</f>
        <v>#N/A</v>
      </c>
      <c r="FB598" s="1804" t="e">
        <f>VLOOKUP(CS600,'Space Table'!$B$3:$L$163,7,FALSE)</f>
        <v>#N/A</v>
      </c>
      <c r="FC598" s="1826" t="b">
        <f>ISNUMBER(SEARCH("TLED",U600))</f>
        <v>0</v>
      </c>
      <c r="FE598" s="1698" t="str">
        <f>CONCATENATE(CQ598," - ",DG598)</f>
        <v xml:space="preserve"> - 0</v>
      </c>
      <c r="FG598" s="1702" t="str">
        <f>VLOOKUP(CW600,Fixtures!DN$27:EZ$77,38,FALSE)</f>
        <v/>
      </c>
      <c r="FH598" s="1702">
        <f>IFERROR(FG598*EH598,0)</f>
        <v>0</v>
      </c>
      <c r="FI598" s="133"/>
      <c r="FL598" s="1822" t="str">
        <f>IF(CQ598="Exterior","Not Daylighted",G601)</f>
        <v>Not Daylighted</v>
      </c>
      <c r="FM598" s="1824">
        <f>VLOOKUP(FL598,_New_Daylight_Table_Codes,2,FALSE)</f>
        <v>0</v>
      </c>
      <c r="FN598" s="1698">
        <f>IF(__Retrofit_TI_NC&gt;0,VLOOKUP(G600,'Space Table'!$B$3:$L$163,11,FALSE),AG599)</f>
        <v>0</v>
      </c>
      <c r="FO598" s="1698" t="e">
        <f>IF(__Retrofit_TI_NC=2,VLOOKUP(FQ598,_Control_Table,2,FALSE),VLOOKUP(FN598,_Control_Table,2,FALSE))</f>
        <v>#N/A</v>
      </c>
      <c r="FP598" s="1678" t="e">
        <f>VLOOKUP(CONCATENATE(FL598," ",FN598),Lookup!AY$102:AZ608,2,FALSE)</f>
        <v>#N/A</v>
      </c>
      <c r="FQ598" s="1678">
        <f>IF(__Retrofit_TI_NC=0,FN598,IF(AND(FT598&gt;0,FN598="Occupancy Sensor"),"Daylight + Occupancy",IF(AND(FT598&gt;0,VLOOKUP(FN598,_Control_Table,2,FALSE)&lt;4),"Interior Daylight Dimming",FN598)))</f>
        <v>0</v>
      </c>
      <c r="FS598" s="1686">
        <f>IF(CR598="Interior",VLOOKUP(CS598,Control_Savings_Interior,5,FALSE),0)</f>
        <v>0</v>
      </c>
      <c r="FT598" s="1687">
        <f>IF(CQ598="Exterior",0,IF(FM598=2,0.5,IF(OR(FM598=1,FM598=3),1,0)))</f>
        <v>0</v>
      </c>
      <c r="FU598" s="1685">
        <f>IF(R597&gt;FS$44,(FS598*(FS$44/R597)),FS598)*FT598</f>
        <v>0</v>
      </c>
      <c r="FV598" s="1686">
        <f>DI598</f>
        <v>0</v>
      </c>
      <c r="FW598" s="1686">
        <f>ROUND(FV598+((1-FV598)*FU598),2)</f>
        <v>0</v>
      </c>
      <c r="FX598" s="1686">
        <f>IF(__Retrofit_TI_NC=2,FW598,FV598)</f>
        <v>0</v>
      </c>
      <c r="FY598" s="1697"/>
      <c r="GA598" s="1696" t="str">
        <f>IFERROR(VLOOKUP(U599,_Exist_Fixture_Table,3,FALSE),"")</f>
        <v/>
      </c>
      <c r="GB598" s="1696" t="str">
        <f>VLOOKUP(CW598,_Exist_Fixture_Table,4,FALSE)</f>
        <v/>
      </c>
      <c r="GC598" s="1696">
        <f>IFERROR(VLOOKUP(GB598,Lookup!AT$6:AU$8,2,FALSE),0)</f>
        <v>0</v>
      </c>
      <c r="GD598" s="1696" t="b">
        <f>IFERROR(IF(OR(GF598=4,GF598=5,GF598=6),TRUE,FALSE),"")</f>
        <v>0</v>
      </c>
      <c r="GE598" s="1696" t="str">
        <f>IFERROR(VLOOKUP(GF598,GC$6:GD$10,2,FALSE),"")</f>
        <v/>
      </c>
      <c r="GF598" s="1696" t="str">
        <f>VLOOKUP(CW600,Fixtures!R$31:Y$78,8,FALSE)</f>
        <v/>
      </c>
      <c r="GG598" s="1696">
        <f>IF(AND(GA598=TRUE,GD598=TRUE,OR(DQ598=12,DQ598=13,DQ598=14)),GC598+8,0)</f>
        <v>0</v>
      </c>
      <c r="GH598" s="1696" t="b">
        <f>IF(OR(GG598=12,GG598=13,GG598=14),TRUE,FALSE)</f>
        <v>0</v>
      </c>
      <c r="GI598" s="673" t="b">
        <f>IF(ISNUMBER(SEARCH("TLED",U599)),TRUE,FALSE)</f>
        <v>0</v>
      </c>
      <c r="GJ598" s="1135" t="str">
        <f>IFERROR(VLOOKUP(U599,Fixtures!BM$93:BR$142,6,FALSE),"")</f>
        <v/>
      </c>
      <c r="GK598" s="1832" t="b">
        <f>IF(OR(GI598=FALSE,GI600=FALSE),TRUE,IF(GJ598-GJ600&lt;5,FALSE,TRUE))</f>
        <v>1</v>
      </c>
      <c r="GO598" s="674">
        <f>GP598</f>
        <v>0</v>
      </c>
      <c r="GP598" s="674">
        <f>IF(G598="",0,1)</f>
        <v>0</v>
      </c>
      <c r="GQ598" s="674">
        <f ca="1">SUM(GR598:HF598)</f>
        <v>2</v>
      </c>
      <c r="GR598" s="674">
        <f>IF(G599="",0,1)</f>
        <v>0</v>
      </c>
      <c r="GS598" s="674">
        <f>IF(N601="BAM",1,IF(G600="",0,1))</f>
        <v>0</v>
      </c>
      <c r="GT598" s="674">
        <f>IF(N601="BAM",1,IF(R599="",0,1))</f>
        <v>0</v>
      </c>
      <c r="GU598" s="674">
        <f>IF(N601="BAM",1,IF(__Retrofit_TI_NC=0,1,IF(R600="",0,1)))</f>
        <v>1</v>
      </c>
      <c r="GV598" s="674">
        <f>IF(N601="BAM",1,IF(CQ598="Exterior",1,IF(G601="",0,1)))</f>
        <v>1</v>
      </c>
      <c r="GW598" s="674">
        <f>IF(__Retrofit_TI_NC&gt;0,1,IF(T599="",0,1))</f>
        <v>0</v>
      </c>
      <c r="GX598" s="674">
        <f>IF(__Retrofit_TI_NC&gt;0,1,IF(U599="",0,1))</f>
        <v>0</v>
      </c>
      <c r="GY598" s="674">
        <f>IF(N601="BAM",1,IF(T600="",0,1))</f>
        <v>0</v>
      </c>
      <c r="GZ598" s="674">
        <f>IF(N601="BAM",1,IF(U600="",0,1))</f>
        <v>0</v>
      </c>
      <c r="HA598" s="674">
        <f ca="1">IF(N601="BAM",1,IF(__Retrofit_TI_NC&gt;0,1,IF(U601="",0,1)))</f>
        <v>0</v>
      </c>
      <c r="HB598" s="674">
        <f>IF(__Retrofit_TI_NC&lt;&gt;0,1,IF(AF599="",0,1))</f>
        <v>0</v>
      </c>
      <c r="HC598" s="674">
        <f>IF(__Retrofit_TI_NC&lt;&gt;0,1,IF(AG599="",0,1))</f>
        <v>0</v>
      </c>
      <c r="HD598" s="674">
        <f>IF(N601="BAM",1,IF(AF600="",0,1))</f>
        <v>0</v>
      </c>
      <c r="HE598" s="674">
        <f>IF(N601="BAM",1,IF(AG600="",0,1))</f>
        <v>0</v>
      </c>
      <c r="HF598" s="674">
        <f>IF(N601="BAM",1,IF(__Retrofit_TI_NC&gt;0,1,IF(AG601="",0,1)))</f>
        <v>0</v>
      </c>
      <c r="HG598" s="391"/>
      <c r="IA598" s="391"/>
      <c r="IB598" s="1693" t="b">
        <f>IF(OR(IB601=0,IB601=HY$16,IB601=HX$16,IB601=HZ$16),TRUE,FALSE)</f>
        <v>0</v>
      </c>
      <c r="IC598" s="1694" t="b">
        <f>IB598</f>
        <v>0</v>
      </c>
      <c r="ID598" s="391"/>
      <c r="IE598" s="391"/>
      <c r="IF598" s="1688" t="b">
        <f ca="1">IF(MAX(GN601:HU601)&gt;5,FALSE,TRUE)</f>
        <v>0</v>
      </c>
      <c r="IG598" s="1689">
        <f ca="1">IF(IF598=TRUE,AC598,0)</f>
        <v>0</v>
      </c>
      <c r="IH598" s="1689">
        <f ca="1">IG598-IG600</f>
        <v>0</v>
      </c>
      <c r="IK598" s="1689" t="e">
        <f>ROUND(T599*VLOOKUP(U599,Fixtures_Existing_List,2,FALSE)*N599*R599/1000,0)</f>
        <v>#N/A</v>
      </c>
      <c r="IL598" s="1690" t="e">
        <f>IK598-IK600</f>
        <v>#N/A</v>
      </c>
      <c r="IM598" s="1693" t="e">
        <f>ROUND(IF(CQ598="Interior",N600*R600*R599*N599*_C406_reduction/1000,N600*R600*R599*N599/1000),0)</f>
        <v>#N/A</v>
      </c>
      <c r="IN598" s="1693" t="e">
        <f>IM598-IM600</f>
        <v>#N/A</v>
      </c>
      <c r="IP598" s="1679"/>
      <c r="IQ598" s="1679" t="e">
        <f t="shared" ref="IQ598:IU598" si="546">IF($CR598="interior",VLOOKUP($CS598,_New_Control_Savings_Interior,IQ$30,FALSE),VLOOKUP($CS598,Control_Savings_Exterior,IQ$30,FALSE))</f>
        <v>#N/A</v>
      </c>
      <c r="IR598" s="1679" t="e">
        <f t="shared" si="546"/>
        <v>#N/A</v>
      </c>
      <c r="IS598" s="1679" t="e">
        <f t="shared" si="546"/>
        <v>#N/A</v>
      </c>
      <c r="IT598" s="1679" t="e">
        <f t="shared" si="546"/>
        <v>#N/A</v>
      </c>
      <c r="IU598" s="1679" t="e">
        <f t="shared" si="546"/>
        <v>#N/A</v>
      </c>
      <c r="IV598" s="1679" t="e">
        <f>IF($CR598="interior",IF(R599&gt;$IP$14,ROUND(($IV$18*($IP$14/R599)),2),$IV$18),VLOOKUP($CS598,Control_Savings_Exterior,IV$30,FALSE))</f>
        <v>#N/A</v>
      </c>
      <c r="IW598" s="1679" t="e">
        <f>IF($CR598="interior",ROUND(((1-IS598)*IV598)+IS598,2),VLOOKUP($CS598,Control_Savings_Exterior,IW$30,FALSE))</f>
        <v>#N/A</v>
      </c>
      <c r="IX598" s="1679" t="e">
        <f>IF($CR598="interior",ROUND(((1-IT598)*IV598)+IT598,2),VLOOKUP($CS598,Control_Savings_Exterior,IX$30,FALSE))</f>
        <v>#N/A</v>
      </c>
      <c r="IY598" s="1679" t="e">
        <f>IF($CR598="interior",IF(R599&gt;$IP$14,ROUND(($IY$18*($IP$14/R599)),2),$IY$18),VLOOKUP($CS598,Control_Savings_Exterior,IY$30,FALSE))</f>
        <v>#N/A</v>
      </c>
      <c r="IZ598" s="1679" t="e">
        <f>IF($CR598="interior",ROUND(((1-IS598)*IY598)+IS598,2),VLOOKUP($CS598,Control_Savings_Exterior,IZ$30,FALSE))</f>
        <v>#N/A</v>
      </c>
      <c r="JA598" s="1679" t="e">
        <f>IF($CR598="interior",ROUND(((1-IT598)*IY598)+IT598,2),VLOOKUP($CS598,Control_Savings_Exterior,JA$30,FALSE))</f>
        <v>#N/A</v>
      </c>
      <c r="JC598" s="1680">
        <f>IFERROR(IF(CR598="Interior",CONCATENATE(G601," ",FQ598),FQ598),"")</f>
        <v>0</v>
      </c>
      <c r="JD598" s="1670" t="str">
        <f>IFERROR(VLOOKUP(JC598,_Controls_2023,2,FALSE),"")</f>
        <v/>
      </c>
      <c r="JE598" s="1681">
        <f>IFERROR(CHOOSE(JD598-1,IQ598,IR598,IS598,IT598,IU598,IV598,IW598,IX598,IY598,IZ598,JA598),0)</f>
        <v>0</v>
      </c>
      <c r="JG598" s="1680" t="str">
        <f>FE598</f>
        <v xml:space="preserve"> - 0</v>
      </c>
      <c r="JH598" s="1670" t="e">
        <f>$FO598</f>
        <v>#N/A</v>
      </c>
      <c r="JI598" s="1060"/>
      <c r="JJ598" s="1682" t="b">
        <f>IF($JG600=CONCATENATE("Interior - ",JJ$4),TRUE,FALSE)</f>
        <v>0</v>
      </c>
      <c r="JK598" s="1061"/>
      <c r="JL598" s="1682" t="b">
        <f>IF($JG600=CONCATENATE("Interior - ",JL$4),TRUE,FALSE)</f>
        <v>0</v>
      </c>
      <c r="JM598" s="1061"/>
      <c r="JN598" s="1682" t="b">
        <f>IF($JG600=CONCATENATE("Interior - ",JN$4),TRUE,FALSE)</f>
        <v>0</v>
      </c>
      <c r="JO598" s="1061"/>
      <c r="JP598" s="1682" t="b">
        <f>IF(__Retrofit_TI_NC&gt;0,FALSE,IF($JG600=CONCATENATE("Interior - ",JP$4),TRUE,FALSE))</f>
        <v>0</v>
      </c>
      <c r="JQ598" s="1061"/>
      <c r="JR598" s="1682" t="b">
        <f>IF(__Retrofit_TI_NC&gt;0,FALSE,IF($JG600=CONCATENATE("Interior - ",JR$4),TRUE,FALSE))</f>
        <v>0</v>
      </c>
      <c r="JS598" s="1061"/>
      <c r="JT598" s="1670" t="b">
        <f>IF(__Retrofit_TI_NC&gt;0,FALSE,IF($JG600=CONCATENATE("Interior - ",JT$4),TRUE,FALSE))</f>
        <v>0</v>
      </c>
      <c r="JU598" s="1061"/>
      <c r="JV598" s="1670" t="b">
        <f>IF(JC600="AELC on Existing",TRUE,FALSE)</f>
        <v>0</v>
      </c>
      <c r="JX598" s="1670" t="b">
        <f>IF(OR(JG600="Exterior - AELC Occupancy based",JG600="Exterior - AELC Time based"),TRUE,FALSE)</f>
        <v>0</v>
      </c>
      <c r="JZ598" s="1682" t="b">
        <f>IF($JG600=CONCATENATE("Exterior - ",JZ$4),TRUE,FALSE)</f>
        <v>0</v>
      </c>
      <c r="KB598" s="1670" t="b">
        <f>IF(__Retrofit_TI_NC&gt;0,FALSE,IF($JG600=CONCATENATE("Interior - ",KB$4),TRUE,FALSE))</f>
        <v>0</v>
      </c>
    </row>
    <row r="599" spans="1:288" s="78" customFormat="1" ht="14.95" customHeight="1" thickTop="1" thickBot="1">
      <c r="B599" s="1845"/>
      <c r="C599" s="1846"/>
      <c r="D599" s="1847"/>
      <c r="E599" s="1737" t="s">
        <v>297</v>
      </c>
      <c r="F599" s="1738"/>
      <c r="G599" s="1739"/>
      <c r="H599" s="1739"/>
      <c r="I599" s="1739"/>
      <c r="J599" s="1739"/>
      <c r="K599" s="1739"/>
      <c r="L599" s="1739"/>
      <c r="M599" s="461" t="e">
        <f>IF(__Retrofit_TI_NC&lt;&gt;0,IF(VLOOKUP(G600,'Space Table'!$B$3:$L$163,3,FALSE)&gt;0,1,0),IF(__Retrofit_TI_NC=VLOOKUP(G600,'Space Table'!$B$3:$L$163,3,FALSE),1,0))</f>
        <v>#N/A</v>
      </c>
      <c r="N599" s="461" t="str">
        <f>IFERROR(VLOOKUP(G599,_Lookup_Heat_Type_Table_New,2,FALSE),"")</f>
        <v/>
      </c>
      <c r="O599" s="461">
        <f>IF(__Retrofit_TI_NC=1,CONCATENATE("TI ",G599),IF(__Retrofit_TI_NC=2,CONCATENATE("NC ",G599),G599))</f>
        <v>0</v>
      </c>
      <c r="P599" s="1740" t="s">
        <v>435</v>
      </c>
      <c r="Q599" s="1740"/>
      <c r="R599" s="595"/>
      <c r="S599" s="1792"/>
      <c r="T599" s="597"/>
      <c r="U599" s="1765"/>
      <c r="V599" s="1766"/>
      <c r="W599" s="1766"/>
      <c r="X599" s="1766"/>
      <c r="Y599" s="1766"/>
      <c r="Z599" s="1766"/>
      <c r="AA599" s="1766"/>
      <c r="AB599" s="1766"/>
      <c r="AC599" s="1766"/>
      <c r="AD599" s="1767"/>
      <c r="AE599" s="1000"/>
      <c r="AF599" s="597"/>
      <c r="AG599" s="1723"/>
      <c r="AH599" s="1724"/>
      <c r="AI599" s="1724"/>
      <c r="AJ599" s="1724"/>
      <c r="AK599" s="1725"/>
      <c r="AL599" s="996"/>
      <c r="AM599" s="1747"/>
      <c r="AN599" s="1775"/>
      <c r="AO599" s="1777"/>
      <c r="AP599" s="1780"/>
      <c r="AQ599" s="1781"/>
      <c r="AR599" s="1795"/>
      <c r="AS599" s="1795"/>
      <c r="AT599" s="1796"/>
      <c r="AU599" s="1735"/>
      <c r="AV599" s="1752"/>
      <c r="AW599" s="1705"/>
      <c r="AX599" s="467"/>
      <c r="AY599" s="1749"/>
      <c r="AZ599" s="1749"/>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696"/>
      <c r="CQ599" s="1696"/>
      <c r="CR599" s="1809"/>
      <c r="CS599" s="1811"/>
      <c r="CU599" s="1688"/>
      <c r="CV599" s="1703"/>
      <c r="CW599" s="1703"/>
      <c r="CX599" s="1703"/>
      <c r="CY599" s="1815"/>
      <c r="CZ599" s="1711"/>
      <c r="DA599" s="1818"/>
      <c r="DB599" s="1820"/>
      <c r="DC599" s="1820"/>
      <c r="DD599" s="1820"/>
      <c r="DF599" s="1703"/>
      <c r="DG599" s="1831"/>
      <c r="DH599" s="1703"/>
      <c r="DI599" s="1838"/>
      <c r="DJ599" s="1711"/>
      <c r="DK599" s="1712"/>
      <c r="DM599" s="1718"/>
      <c r="DO599" s="1708"/>
      <c r="DQ599" s="1715"/>
      <c r="DR599" s="1720"/>
      <c r="DS599" s="1816"/>
      <c r="DT599" s="1714"/>
      <c r="DU599" s="1715"/>
      <c r="DV599" s="1716"/>
      <c r="DX599" s="1715"/>
      <c r="DY599" s="1720"/>
      <c r="DZ599" s="1715"/>
      <c r="EA599" s="1715"/>
      <c r="EC599" s="1834"/>
      <c r="ED599" s="1834"/>
      <c r="EF599" s="1707"/>
      <c r="EG599" s="1712"/>
      <c r="EH599" s="1818"/>
      <c r="EI599" s="1712"/>
      <c r="EJ599" s="1712"/>
      <c r="EK599" s="1836"/>
      <c r="EL599" s="1836"/>
      <c r="EM599" s="1807"/>
      <c r="EN599" s="1839"/>
      <c r="EO599" s="1839"/>
      <c r="EP599" s="1817"/>
      <c r="EQ599" s="1817"/>
      <c r="ER599" s="1807"/>
      <c r="ES599" s="1807"/>
      <c r="ET599" s="1807"/>
      <c r="EV599" s="1715"/>
      <c r="EX599" s="1805"/>
      <c r="EY599" s="1805"/>
      <c r="EZ599" s="1805"/>
      <c r="FA599" s="1805"/>
      <c r="FB599" s="1805"/>
      <c r="FC599" s="1827"/>
      <c r="FE599" s="1698"/>
      <c r="FG599" s="1816"/>
      <c r="FH599" s="1816"/>
      <c r="FI599" s="133"/>
      <c r="FL599" s="1823"/>
      <c r="FM599" s="1825"/>
      <c r="FN599" s="1698"/>
      <c r="FO599" s="1698"/>
      <c r="FP599" s="1678"/>
      <c r="FQ599" s="1678"/>
      <c r="FS599" s="1687"/>
      <c r="FT599" s="1687"/>
      <c r="FU599" s="1685"/>
      <c r="FV599" s="1687"/>
      <c r="FW599" s="1687"/>
      <c r="FX599" s="1687"/>
      <c r="FY599" s="1697"/>
      <c r="GA599" s="1696"/>
      <c r="GB599" s="1696"/>
      <c r="GC599" s="1696"/>
      <c r="GD599" s="1696"/>
      <c r="GE599" s="1696"/>
      <c r="GF599" s="1696"/>
      <c r="GG599" s="1696"/>
      <c r="GH599" s="1696"/>
      <c r="GI599" s="673"/>
      <c r="GJ599" s="1135"/>
      <c r="GK599" s="1832"/>
      <c r="GM599" s="1693" t="b">
        <f ca="1">IF(AND(GP599=TRUE,GQ599=TRUE),TRUE,FALSE)</f>
        <v>0</v>
      </c>
      <c r="GN599" s="1684" t="b">
        <f>IFERROR(IF(__Retrofit_TI_NC=2,TRUE,IF(AU598="Yes",TRUE,FALSE)),FALSE)</f>
        <v>1</v>
      </c>
      <c r="GP599" s="1684" t="b">
        <f>IFERROR(IF(GP598=1,TRUE,FALSE),FALSE)</f>
        <v>0</v>
      </c>
      <c r="GQ599" s="1684" t="b">
        <f ca="1">IFERROR(IF(GQ598=GQ$14,TRUE,FALSE),FALSE)</f>
        <v>0</v>
      </c>
      <c r="HG599" s="1684" t="b">
        <f>IFERROR(IF(AND(__Retrofit_TI_NC&gt;0,CQ598="Interior"),FALSE,TRUE),FALSE)</f>
        <v>1</v>
      </c>
      <c r="HH599" s="1684" t="b">
        <f>IFERROR(IF(M599=1,TRUE,FALSE),FALSE)</f>
        <v>0</v>
      </c>
      <c r="HI599" s="1684" t="b">
        <f>IFERROR(IF(OR(M600=1,N601="BAM"),TRUE,FALSE),FALSE)</f>
        <v>0</v>
      </c>
      <c r="HJ599" s="1684" t="b">
        <f>IFERROR(IF(__Retrofit_TI_NC&lt;&gt;0,TRUE,IFERROR(IF(VLOOKUP(U599,Fixtures_Existing_List,2,FALSE)&lt;&gt;"",TRUE,FALSE),FALSE)),FALSE)</f>
        <v>0</v>
      </c>
      <c r="HK599" s="1684" t="b">
        <f>IFERROR(IF(VLOOKUP(U600,Fixtures_Proposed_List,2,FALSE)&lt;&gt;"",TRUE,FALSE),FALSE)</f>
        <v>0</v>
      </c>
      <c r="HL599" s="1684" t="b">
        <f>IF(AND(__Retrofit_TI_NC=2,FC598=TRUE),FALSE,TRUE)</f>
        <v>1</v>
      </c>
      <c r="HM599" s="1684" t="b">
        <f>GK598</f>
        <v>1</v>
      </c>
      <c r="HN599" s="1682" t="b">
        <f>IF(ISERROR(MATCH(FE598,_Control_Match[],0))=TRUE,FALSE,TRUE)</f>
        <v>0</v>
      </c>
      <c r="HO599" s="1693" t="b">
        <f>IFERROR(IF(EX598&lt;&gt;EY598,FALSE,TRUE),FALSE)</f>
        <v>1</v>
      </c>
      <c r="HP599" s="1693" t="b">
        <f>IFERROR(IF(EX600&lt;&gt;EY600,FALSE,TRUE),FALSE)</f>
        <v>1</v>
      </c>
      <c r="HQ599" s="1670" t="b">
        <f>IFERROR(IF(CQ598="Exterior",TRUE,IF(AND(OR(FM600=0,FM600=3),JD600&gt;6),FALSE,TRUE)),FALSE)</f>
        <v>0</v>
      </c>
      <c r="HR599" s="1684" t="b">
        <f>IFERROR(IF(AND(FO600=7,FC598=TRUE),FALSE,TRUE),FALSE)</f>
        <v>0</v>
      </c>
      <c r="HS599" s="1684" t="b">
        <f>IFERROR(IF(AND(T600&lt;&gt;AF600,OR(AG600="Interior LLLC", AG600="Interior NLC", AG600="LLLC (outside Daylight)",AG600="LLLC Controls Only"))=TRUE,FALSE,TRUE),FALSE)</f>
        <v>1</v>
      </c>
      <c r="HT599" s="1670" t="b">
        <f>IFERROR(IF(OR(AG600=Lookup!BB$17,AG600=Lookup!BB$18,AG600=Lookup!BB$19)=TRUE,IF(AF600&gt;T600,FALSE,TRUE),TRUE),FALSE)</f>
        <v>1</v>
      </c>
      <c r="HU599" s="1684" t="b">
        <f>IFERROR(IF(__Retrofit_TI_NC=2,IF(EZ600&lt;EZ598,FALSE,TRUE),TRUE),FALSE)</f>
        <v>1</v>
      </c>
      <c r="HV599" s="1684" t="b">
        <f>IF(CQ598="Interior",IL$6,TRUE)</f>
        <v>1</v>
      </c>
      <c r="HW599" s="1684" t="b">
        <f>IF(CQ598="Exterior",IL$8,TRUE)</f>
        <v>1</v>
      </c>
      <c r="HX599" s="1684" t="b">
        <f>IFERROR(IF(__Retrofit_TI_NC&lt;&gt;0,IF(AZ598&lt;AY598,FALSE,TRUE),TRUE),FALSE)</f>
        <v>1</v>
      </c>
      <c r="HY599" s="1684" t="b">
        <f>IFERROR(IF(AND(G599="Exterior",R599&gt;4200),FALSE,TRUE),FALSE)</f>
        <v>1</v>
      </c>
      <c r="HZ599" s="1684" t="b">
        <f>IFERROR(IF(AB601/AB598&lt;HZ$18,FALSE,TRUE),FALSE)</f>
        <v>0</v>
      </c>
      <c r="IB599" s="1691"/>
      <c r="IC599" s="1695"/>
      <c r="ID599" s="1694" t="str">
        <f>VLOOKUP(IB601,_Error_Table,4,FALSE)</f>
        <v>White</v>
      </c>
      <c r="IE599" s="391"/>
      <c r="IF599" s="1688"/>
      <c r="IG599" s="1689"/>
      <c r="IH599" s="1684"/>
      <c r="IK599" s="1689"/>
      <c r="IL599" s="1691"/>
      <c r="IM599" s="1691"/>
      <c r="IN599" s="1691"/>
      <c r="IP599" s="1679"/>
      <c r="IQ599" s="1679"/>
      <c r="IR599" s="1679"/>
      <c r="IS599" s="1679"/>
      <c r="IT599" s="1679"/>
      <c r="IU599" s="1679"/>
      <c r="IV599" s="1679"/>
      <c r="IW599" s="1679"/>
      <c r="IX599" s="1679"/>
      <c r="IY599" s="1679"/>
      <c r="IZ599" s="1679"/>
      <c r="JA599" s="1679"/>
      <c r="JC599" s="1680"/>
      <c r="JD599" s="1670"/>
      <c r="JE599" s="1681"/>
      <c r="JG599" s="1680"/>
      <c r="JH599" s="1670"/>
      <c r="JI599" s="1060"/>
      <c r="JJ599" s="1683"/>
      <c r="JK599" s="1061"/>
      <c r="JL599" s="1683"/>
      <c r="JM599" s="1061"/>
      <c r="JN599" s="1683"/>
      <c r="JO599" s="1061"/>
      <c r="JP599" s="1683"/>
      <c r="JQ599" s="1061"/>
      <c r="JR599" s="1683"/>
      <c r="JS599" s="1061"/>
      <c r="JT599" s="1670"/>
      <c r="JU599" s="1061"/>
      <c r="JV599" s="1670"/>
      <c r="JX599" s="1670"/>
      <c r="JZ599" s="1683"/>
      <c r="KB599" s="1670"/>
    </row>
    <row r="600" spans="1:288" s="78" customFormat="1" ht="14.95" customHeight="1" thickTop="1" thickBot="1">
      <c r="A600" s="78">
        <f>ROW()</f>
        <v>600</v>
      </c>
      <c r="B600" s="1845"/>
      <c r="C600" s="1846"/>
      <c r="D600" s="1847"/>
      <c r="E600" s="1737" t="s">
        <v>298</v>
      </c>
      <c r="F600" s="1738"/>
      <c r="G600" s="1760"/>
      <c r="H600" s="1761"/>
      <c r="I600" s="1761"/>
      <c r="J600" s="1761"/>
      <c r="K600" s="1761"/>
      <c r="L600" s="1762"/>
      <c r="M600" s="461">
        <f>IFERROR(IF(IF(__Retrofit_TI_NC&lt;&gt;0,IF(CQ598="Interior",MATCH(G600,Lookup_Interior_New,0),MATCH(G600,Lookup_Exterior_New,0)),IF(CQ598="Interior",MATCH(G600,Lookup_Interior,0),MATCH(G600,Lookup_Exterior_Areas,0)))&gt;0,1,0),0)</f>
        <v>0</v>
      </c>
      <c r="N600" s="461" t="e">
        <f>IF(__Retrofit_TI_NC=1,
VLOOKUP(G600,'Space Table'!$B$3:$L$163,4,FALSE),
IF(__Retrofit_TI_NC=2,VLOOKUP(G600,'Space Table'!$B$3:$L$163,5,FALSE),VLOOKUP(G600,'Space Table'!$B$3:$L$163,5,FALSE)))</f>
        <v>#N/A</v>
      </c>
      <c r="O600" s="461">
        <f>G600</f>
        <v>0</v>
      </c>
      <c r="P600" s="1738" t="str">
        <f>IFERROR(IF(__Retrofit_TI_NC=1,VLOOKUP(G600,'Space Table'!$B$3:$O$163,13,FALSE),IF(__Retrofit_TI_NC=2,VLOOKUP(G600,'Space Table'!$B$3:$O$163,14,FALSE),"Area (sf):")),"Area (sf):")</f>
        <v>Area (sf):</v>
      </c>
      <c r="Q600" s="1738"/>
      <c r="R600" s="596"/>
      <c r="S600" s="1763" t="s">
        <v>345</v>
      </c>
      <c r="T600" s="594"/>
      <c r="U600" s="1801"/>
      <c r="V600" s="1802"/>
      <c r="W600" s="1802"/>
      <c r="X600" s="1802"/>
      <c r="Y600" s="1802"/>
      <c r="Z600" s="1802"/>
      <c r="AA600" s="1802"/>
      <c r="AB600" s="1802"/>
      <c r="AC600" s="1802"/>
      <c r="AD600" s="1802"/>
      <c r="AE600" s="1803"/>
      <c r="AF600" s="594"/>
      <c r="AG600" s="1787"/>
      <c r="AH600" s="1787"/>
      <c r="AI600" s="1787"/>
      <c r="AJ600" s="1787"/>
      <c r="AK600" s="1787"/>
      <c r="AL600" s="1787"/>
      <c r="AM600" s="1726">
        <f>IFERROR(DI600,"")</f>
        <v>0</v>
      </c>
      <c r="AN600" s="1728" t="str">
        <f>IFERROR(ROUND(AM600*AC601,0),"")</f>
        <v/>
      </c>
      <c r="AO600" s="1730">
        <f>IFERROR(IF(IB598=FALSE,0,AC601-AN600),0)</f>
        <v>0</v>
      </c>
      <c r="AP600" s="1780"/>
      <c r="AQ600" s="1781"/>
      <c r="AR600" s="1795"/>
      <c r="AS600" s="1795"/>
      <c r="AT600" s="1796"/>
      <c r="AU600" s="1735"/>
      <c r="AV600" s="1752"/>
      <c r="AW600" s="1705"/>
      <c r="AX600" s="467"/>
      <c r="AY600" s="1749"/>
      <c r="AZ600" s="1749"/>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696"/>
      <c r="CQ600" s="1696"/>
      <c r="CR600" s="1808" t="str">
        <f>CQ598</f>
        <v/>
      </c>
      <c r="CS600" s="1810" t="str">
        <f>CS598</f>
        <v/>
      </c>
      <c r="CU600" s="1688" t="s">
        <v>345</v>
      </c>
      <c r="CV600" s="1702">
        <f>IF(IB598=TRUE,T600,0)</f>
        <v>0</v>
      </c>
      <c r="CW600" s="1702" t="str">
        <f>IF(IB598=TRUE,U600,"")</f>
        <v/>
      </c>
      <c r="CX600" s="1812">
        <f>IF(IB598=TRUE,U601,0)</f>
        <v>0</v>
      </c>
      <c r="CY600" s="1814">
        <f>IF(IB598=TRUE,AB601,0)</f>
        <v>0</v>
      </c>
      <c r="CZ600" s="1710">
        <f>IF(AND(__Retrofit_TI_NC&gt;0,CR598="interior"),0,IF(IB598=TRUE,AC601,0))</f>
        <v>0</v>
      </c>
      <c r="DA600" s="1818"/>
      <c r="DB600" s="1820"/>
      <c r="DC600" s="1820"/>
      <c r="DD600" s="1820"/>
      <c r="DF600" s="1702">
        <f>IF(IB598=TRUE,AF600,0)</f>
        <v>0</v>
      </c>
      <c r="DG600" s="1830" t="str">
        <f>IF(IB598=TRUE,AG600,"")</f>
        <v/>
      </c>
      <c r="DH600" s="1812">
        <f>AG601</f>
        <v>0</v>
      </c>
      <c r="DI600" s="1837">
        <f>JE600</f>
        <v>0</v>
      </c>
      <c r="DJ600" s="1710">
        <f>IF(AND(__Retrofit_TI_NC&gt;0,CR598="interior"),0,IF(IB598=TRUE,AN600,0))</f>
        <v>0</v>
      </c>
      <c r="DK600" s="1712"/>
      <c r="DN600" s="1717">
        <f>IFERROR(CZ600-DJ600,0)</f>
        <v>0</v>
      </c>
      <c r="DO600" s="1709"/>
      <c r="DQ600" s="1715"/>
      <c r="DR600" s="1719" t="str">
        <f>DQ598</f>
        <v/>
      </c>
      <c r="DS600" s="1816"/>
      <c r="DT600" s="1835" t="str">
        <f>IF(OR(DS598=7,DS598=8,DS598=9),"ALC","")</f>
        <v/>
      </c>
      <c r="DU600" s="1715"/>
      <c r="DV600" s="1716"/>
      <c r="DX600" s="1715"/>
      <c r="DY600" s="1829" t="str">
        <f>DX598</f>
        <v/>
      </c>
      <c r="DZ600" s="1715"/>
      <c r="EA600" s="1715"/>
      <c r="EC600" s="1834"/>
      <c r="ED600" s="1834"/>
      <c r="EF600" s="1707"/>
      <c r="EG600" s="1712"/>
      <c r="EH600" s="1818"/>
      <c r="EI600" s="1712"/>
      <c r="EJ600" s="1712"/>
      <c r="EK600" s="1836"/>
      <c r="EL600" s="1836"/>
      <c r="EM600" s="1807"/>
      <c r="EN600" s="1839"/>
      <c r="EO600" s="1839"/>
      <c r="EP600" s="1817"/>
      <c r="EQ600" s="1817"/>
      <c r="ER600" s="1807"/>
      <c r="ES600" s="1807"/>
      <c r="ET600" s="1807"/>
      <c r="EV600" s="1715"/>
      <c r="EX600" s="1805" t="str">
        <f>IFERROR(VLOOKUP(CS600,'Space Table'!$B$3:$L$163,8,FALSE),"")</f>
        <v/>
      </c>
      <c r="EY600" s="1805" t="str">
        <f>IFERROR(IF(FB600="Yes",VLOOKUP(AG600,Lookup_Control_Type_Table2,4,FALSE),VLOOKUP(AG600,Lookup_Control_Type_Table2,3,FALSE)),"")</f>
        <v/>
      </c>
      <c r="EZ600" s="1805" t="e">
        <f>VLOOKUP(AG600,Lookup!BB$3:BC$20,2,FALSE)</f>
        <v>#N/A</v>
      </c>
      <c r="FA600" s="1805" t="e">
        <f>VLOOKUP(EX598,Lookup_Control_Type_Table,2,FALSE)</f>
        <v>#N/A</v>
      </c>
      <c r="FB600" s="1805" t="e">
        <f>VLOOKUP(CS600,'Space Table'!$B$3:$L$163,7,FALSE)</f>
        <v>#N/A</v>
      </c>
      <c r="FC600" s="1827"/>
      <c r="FE600" s="1698" t="str">
        <f>CONCATENATE(CQ598," - ",AG600)</f>
        <v xml:space="preserve"> - </v>
      </c>
      <c r="FG600" s="1816"/>
      <c r="FH600" s="1816"/>
      <c r="FI600" s="133"/>
      <c r="FL600" s="1822" t="str">
        <f>IF(CQ598="Exterior","Not Daylighted",G601)</f>
        <v>Not Daylighted</v>
      </c>
      <c r="FM600" s="1824">
        <f>VLOOKUP(FL600,_New_Daylight_Table_Codes,2,FALSE)</f>
        <v>0</v>
      </c>
      <c r="FN600" s="1698">
        <f>AG600</f>
        <v>0</v>
      </c>
      <c r="FO600" s="1698" t="e">
        <f>VLOOKUP(FN600,_Control_Table,2,FALSE)</f>
        <v>#N/A</v>
      </c>
      <c r="FP600" s="1678" t="e">
        <f>VLOOKUP(CONCATENATE(FL600," ",FN600),Lookup!AY$102:AZ611,2,FALSE)</f>
        <v>#N/A</v>
      </c>
      <c r="FQ600" s="1698">
        <f>IF(__Retrofit_TI_NC=0,FN600,IF(AND(FT600&gt;0,FN600="Occupancy Sensor"),"Daylight + Occupancy",IF(AND(FT600&gt;0,FO600&lt;4),"Interior Daylight Dimming",FN600)))</f>
        <v>0</v>
      </c>
      <c r="FS600" s="1686">
        <f>IF(CQ598="Interior",VLOOKUP(CS598,Control_Savings_Interior,5,FALSE),0)</f>
        <v>0</v>
      </c>
      <c r="FT600" s="1687">
        <f>IF(CQ600="Exterior",0,IF(FM600=2,0.5,IF(OR(FM600=1,FM600=3),1,0)))</f>
        <v>0</v>
      </c>
      <c r="FU600" s="1685">
        <f>IF(R599&gt;FS$44,(FS600*(FS$44/R599)),FS600)*FT600</f>
        <v>0</v>
      </c>
      <c r="FV600" s="1686">
        <f>DI600</f>
        <v>0</v>
      </c>
      <c r="FW600" s="1686">
        <f>ROUND(FV600+((1-FV600)*FU600),2)</f>
        <v>0</v>
      </c>
      <c r="FX600" s="1686">
        <f>IF(__Retrofit_TI_NC=2,FW600,FV600)</f>
        <v>0</v>
      </c>
      <c r="FY600" s="1697">
        <f>IF(CR600="Interior",VLOOKUP(CS600,Control_Savings_Interior,4,FALSE),0)</f>
        <v>0</v>
      </c>
      <c r="GA600" s="1696"/>
      <c r="GB600" s="1696"/>
      <c r="GC600" s="1696"/>
      <c r="GD600" s="1696"/>
      <c r="GE600" s="1696"/>
      <c r="GF600" s="1696"/>
      <c r="GG600" s="1696"/>
      <c r="GH600" s="1696"/>
      <c r="GI600" s="673" t="b">
        <f>IF(ISNUMBER(SEARCH("TLED",U600)),TRUE,FALSE)</f>
        <v>0</v>
      </c>
      <c r="GJ600" s="1135" t="str">
        <f>IFERROR(VLOOKUP(U600,Fixtures!DM$93:DR$142,6,FALSE),"")</f>
        <v/>
      </c>
      <c r="GK600" s="1832"/>
      <c r="GM600" s="1692"/>
      <c r="GN600" s="1684"/>
      <c r="GP600" s="1684"/>
      <c r="GQ600" s="1684"/>
      <c r="HG600" s="1684"/>
      <c r="HH600" s="1684"/>
      <c r="HI600" s="1684"/>
      <c r="HJ600" s="1684"/>
      <c r="HK600" s="1684"/>
      <c r="HL600" s="1684"/>
      <c r="HM600" s="1684"/>
      <c r="HN600" s="1683"/>
      <c r="HO600" s="1692"/>
      <c r="HP600" s="1692"/>
      <c r="HQ600" s="1670"/>
      <c r="HR600" s="1684"/>
      <c r="HS600" s="1684"/>
      <c r="HT600" s="1670"/>
      <c r="HU600" s="1684"/>
      <c r="HV600" s="1684"/>
      <c r="HW600" s="1684"/>
      <c r="HX600" s="1684"/>
      <c r="HY600" s="1684"/>
      <c r="HZ600" s="1684"/>
      <c r="IB600" s="1692"/>
      <c r="IC600" s="1693" t="b">
        <f>IB598</f>
        <v>0</v>
      </c>
      <c r="ID600" s="1695"/>
      <c r="IE600" s="391"/>
      <c r="IF600" s="1688"/>
      <c r="IG600" s="1689">
        <f ca="1">IF(IF598=TRUE,AC601,0)</f>
        <v>0</v>
      </c>
      <c r="IH600" s="1684"/>
      <c r="IK600" s="1689" t="e">
        <f>ROUND(T600*AB601*N599*R599/1000,0)</f>
        <v>#VALUE!</v>
      </c>
      <c r="IL600" s="1691"/>
      <c r="IM600" s="1693" t="e">
        <f>ROUND(T600*AB601*N599*R599/1000,0)</f>
        <v>#VALUE!</v>
      </c>
      <c r="IN600" s="1691"/>
      <c r="IP600" s="1679"/>
      <c r="IQ600" s="1679" t="e">
        <f t="shared" ref="IQ600:IU600" si="547">IF($CR600="interior",VLOOKUP($CS600,_New_Control_Savings_Interior,IQ$30,FALSE),VLOOKUP($CS600,Control_Savings_Exterior,IQ$30,FALSE))</f>
        <v>#N/A</v>
      </c>
      <c r="IR600" s="1679" t="e">
        <f t="shared" si="547"/>
        <v>#N/A</v>
      </c>
      <c r="IS600" s="1679" t="e">
        <f t="shared" si="547"/>
        <v>#N/A</v>
      </c>
      <c r="IT600" s="1679" t="e">
        <f t="shared" si="547"/>
        <v>#N/A</v>
      </c>
      <c r="IU600" s="1679" t="e">
        <f t="shared" si="547"/>
        <v>#N/A</v>
      </c>
      <c r="IV600" s="1679" t="e">
        <f>IF($CR600="interior",IF(R599&gt;$IP$14,ROUND(($IV$18*($IP$14/R599)),2),$IV$18),VLOOKUP($CS600,Control_Savings_Exterior,IV$30,FALSE))</f>
        <v>#N/A</v>
      </c>
      <c r="IW600" s="1679" t="e">
        <f>IF($CR600="interior",ROUND(((1-IS600)*IV600)+IS600,2),VLOOKUP($CS600,Control_Savings_Exterior,IW$30,FALSE))</f>
        <v>#N/A</v>
      </c>
      <c r="IX600" s="1679" t="e">
        <f>IF($CR600="interior",ROUND(((1-IT600)*IV600)+IT600,2),VLOOKUP($CS600,Control_Savings_Exterior,IX$30,FALSE))</f>
        <v>#N/A</v>
      </c>
      <c r="IY600" s="1679" t="e">
        <f>IF($CR600="interior",IF(R599&gt;$IP$14,ROUND(($IY$18*($IP$14/R599)),2),$IY$18),VLOOKUP($CS600,Control_Savings_Exterior,IY$30,FALSE))</f>
        <v>#N/A</v>
      </c>
      <c r="IZ600" s="1679" t="e">
        <f>IF($CR600="interior",ROUND(((1-IS600)*IY600)+IS600,2),VLOOKUP($CS600,Control_Savings_Exterior,IZ$30,FALSE))</f>
        <v>#N/A</v>
      </c>
      <c r="JA600" s="1679" t="e">
        <f>IF($CR600="interior",ROUND(((1-IT600)*IY600)+IT600,2),VLOOKUP($CS600,Control_Savings_Exterior,JA$30,FALSE))</f>
        <v>#N/A</v>
      </c>
      <c r="JC600" s="1680">
        <f>IFERROR(IF(CR600="Interior",CONCATENATE(G601," ",FQ600),AG600),"")</f>
        <v>0</v>
      </c>
      <c r="JD600" s="1670" t="str">
        <f>IFERROR(VLOOKUP(JC600,_Controls_2023,2,FALSE),"")</f>
        <v/>
      </c>
      <c r="JE600" s="1681">
        <f>IFERROR(CHOOSE(JD600-1,IQ600,IR600,IS600,IT600,IU600,IV600,IW600,IX600,IY600,IZ600,JA600),0)</f>
        <v>0</v>
      </c>
      <c r="JG600" s="1680" t="str">
        <f>FE600</f>
        <v xml:space="preserve"> - </v>
      </c>
      <c r="JH600" s="1670" t="e">
        <f>$FO600</f>
        <v>#N/A</v>
      </c>
      <c r="JI600" s="1060"/>
      <c r="JJ600" s="1670">
        <f>IFERROR(IF($IB598=TRUE,IF(OR(JJ$14="No",JJ598=FALSE,JH600&lt;=JH598,AND(_kWh_Grant=0,GD598=FALSE)),0,IF(JJ$8="Per Line",1,$AF600)),0),0)</f>
        <v>0</v>
      </c>
      <c r="JK600" s="1061"/>
      <c r="JL600" s="1670">
        <f>IFERROR(IF(_kWh_Grant=0,0,IF($IB598=TRUE,IF(OR(JL$14="No",JL598=FALSE,JH600&lt;=JH598),0,IF(JL$8="Per Line",1,$T600)),0)),0)</f>
        <v>0</v>
      </c>
      <c r="JM600" s="1061"/>
      <c r="JN600" s="1670">
        <f>IFERROR(IF(_kWh_Grant=0,0,IF($IB598=TRUE,IF(OR(JN$14="No",JN598=FALSE,JH600&lt;=JH598),0,IF(JN$8="Per Line",1,$AF600)),0)),0)</f>
        <v>0</v>
      </c>
      <c r="JO600" s="1061"/>
      <c r="JP600" s="1670">
        <f>IFERROR(IF(__Retrofit_TI_NC=0,IF(_kWh_Grant=0,0,IF($IB598=TRUE,IF(OR(JP$14="No",JP598=FALSE,$JH600&lt;=$JH598),0,IF(JP$8="Per Line",1,$AF600)),0)),IF($IB598=TRUE,IF(OR(JP$14="No",JP598=FALSE,$JH600&lt;=$JH598),0,IF(JP$8="Per Line",1,$AF600)))),0)</f>
        <v>0</v>
      </c>
      <c r="JQ600" s="1061"/>
      <c r="JR600" s="1670">
        <f>IFERROR(IF(__Retrofit_TI_NC=0,IF(_kWh_Grant=0,0,IF($IB598=TRUE,IF(OR(JR$14="No",JR598=FALSE,$JH600&lt;=$JH598),0,IF(JR$8="Per Line",1,$AF600)),0)),IF($IB598=TRUE,IF(OR(JR$14="No",JR598=FALSE,$JH600&lt;=$JH598),0,IF(JR$8="Per Line",1,$AF600)))),0)</f>
        <v>0</v>
      </c>
      <c r="JS600" s="1061"/>
      <c r="JT600" s="1670">
        <f>IFERROR(IF(__Retrofit_TI_NC=0,IF(_kWh_Grant=0,0,IF($IB598=TRUE,IF(OR(JT$14="No",JT598=FALSE,$JH600&lt;=$JH598),0,IF(JT$8="Per Line",1,$AF600)),0)),IF($IB598=TRUE,IF(OR(JT$14="No",JT598=FALSE,$JH600&lt;=$JH598),0,IF(JT$8="Per Line",1,$AF600)))),0)</f>
        <v>0</v>
      </c>
      <c r="JU600" s="1061"/>
      <c r="JV600" s="1670">
        <f>IFERROR(IF(__Retrofit_TI_NC=0,IF(_kWh_Grant=0,0,IF($IB598=TRUE,IF(OR(JV$14="No",JV598=FALSE,$JH600&lt;=$JH598),0,IF(JV$8="Per Line",1,$AF600)),0)),IF($IB598=TRUE,IF(OR(JV$14="No",JV598=FALSE,$JH600&lt;=$JH598),0,IF(JV$8="Per Line",1,$AF600)))),0)</f>
        <v>0</v>
      </c>
      <c r="JX600" s="1670">
        <f>IFERROR(IF(__Retrofit_TI_NC=0,IF(_kWh_Grant=0,0,IF($IB598=TRUE,IF(OR(JX$14="No",JX598=FALSE,$JH600&lt;=$JH598),0,IF(JX$8="Per Line",1,$AF600)),0)),IF($IB598=TRUE,IF(OR(JX$14="No",JX598=FALSE,$JH600&lt;=$JH598),0,IF(JX$8="Per Line",1,$AF600)))),0)</f>
        <v>0</v>
      </c>
      <c r="JZ600" s="1670">
        <f>IFERROR(IF($IB598=TRUE,IF(OR(JZ$14="No",JZ598=FALSE,$JH600&lt;=$JH598,AND(_kWh_Grant=0,$GD598=FALSE)),0,IF(JZ$8="Per Line",1,$AF600)),0),0)</f>
        <v>0</v>
      </c>
      <c r="KB600" s="1670">
        <f>IFERROR(IF(__Retrofit_TI_NC=0,IF(_kWh_Grant=0,0,IF($IB598=TRUE,IF(OR(KB$14="No",KB598=FALSE,$JH600&lt;=$JH598),0,IF(KB$8="Per Line",1,$AF600)),0)),IF($IB598=TRUE,IF(OR(KB$14="No",KB598=FALSE,$JH600&lt;=$JH598),0,IF(KB$8="Per Line",1,$AF600)))),0)</f>
        <v>0</v>
      </c>
    </row>
    <row r="601" spans="1:288" s="78" customFormat="1" ht="14.95" customHeight="1" thickTop="1" thickBot="1">
      <c r="B601" s="1845"/>
      <c r="C601" s="1846"/>
      <c r="D601" s="1847"/>
      <c r="E601" s="1771" t="s">
        <v>436</v>
      </c>
      <c r="F601" s="1772"/>
      <c r="G601" s="1784" t="s">
        <v>437</v>
      </c>
      <c r="H601" s="1785"/>
      <c r="I601" s="1785"/>
      <c r="J601" s="1785"/>
      <c r="K601" s="1785"/>
      <c r="L601" s="1786"/>
      <c r="M601" s="591">
        <f>IFERROR(VLOOKUP(G601,_Daylight_Table[],2,FALSE),0)</f>
        <v>0</v>
      </c>
      <c r="N601" s="592" t="str">
        <f>IF(AND(__Retrofit_TI_NC&gt;0,CQ598="Interior"),"BAM","")</f>
        <v/>
      </c>
      <c r="O601" s="591" t="e">
        <f>VLOOKUP(G600,'Space Table'!$B$3:$L$163,11,FALSE)</f>
        <v>#N/A</v>
      </c>
      <c r="P601" s="1789"/>
      <c r="Q601" s="1790"/>
      <c r="R601" s="1790"/>
      <c r="S601" s="1788"/>
      <c r="T601" s="593" t="s">
        <v>342</v>
      </c>
      <c r="U601" s="1756" t="str" cm="1">
        <f t="array" aca="1" ref="U601" ca="1">IFERROR(VLOOKUP(INDIRECT("U" &amp; ROW()-1),Fixtures!DM$93:DP$142,4,FALSE),"")</f>
        <v/>
      </c>
      <c r="V601" s="1757"/>
      <c r="W601" s="1757"/>
      <c r="X601" s="1757"/>
      <c r="Y601" s="1757"/>
      <c r="Z601" s="1757"/>
      <c r="AA601" s="1758"/>
      <c r="AB601" s="939" t="str">
        <f>IFERROR(VLOOKUP(U600,Fixtures_Proposed_List,2,FALSE),"")</f>
        <v/>
      </c>
      <c r="AC601" s="933" t="str">
        <f>IFERROR(ROUND(T600*AB601*N599*R599/1000,0),"")</f>
        <v/>
      </c>
      <c r="AD601" s="934" t="str">
        <f>IFERROR(ROUND(T600*AB601/1000,2),"")</f>
        <v/>
      </c>
      <c r="AE601" s="998"/>
      <c r="AF601" s="938" t="s">
        <v>342</v>
      </c>
      <c r="AG601" s="1770"/>
      <c r="AH601" s="1770"/>
      <c r="AI601" s="1770"/>
      <c r="AJ601" s="1770"/>
      <c r="AK601" s="1770"/>
      <c r="AL601" s="1770"/>
      <c r="AM601" s="1727"/>
      <c r="AN601" s="1729"/>
      <c r="AO601" s="1731"/>
      <c r="AP601" s="1782"/>
      <c r="AQ601" s="1783"/>
      <c r="AR601" s="1797"/>
      <c r="AS601" s="1797"/>
      <c r="AT601" s="1798"/>
      <c r="AU601" s="1736"/>
      <c r="AV601" s="1753"/>
      <c r="AW601" s="1706"/>
      <c r="AX601" s="468"/>
      <c r="AY601" s="1750"/>
      <c r="AZ601" s="1750"/>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696"/>
      <c r="CQ601" s="1696"/>
      <c r="CR601" s="1809"/>
      <c r="CS601" s="1811"/>
      <c r="CU601" s="1688"/>
      <c r="CV601" s="1703"/>
      <c r="CW601" s="1703"/>
      <c r="CX601" s="1813"/>
      <c r="CY601" s="1815"/>
      <c r="CZ601" s="1711"/>
      <c r="DA601" s="1815"/>
      <c r="DB601" s="1821"/>
      <c r="DC601" s="1821"/>
      <c r="DD601" s="1821"/>
      <c r="DF601" s="1703"/>
      <c r="DG601" s="1831"/>
      <c r="DH601" s="1813"/>
      <c r="DI601" s="1838"/>
      <c r="DJ601" s="1711"/>
      <c r="DK601" s="1712"/>
      <c r="DN601" s="1718"/>
      <c r="DO601" s="1709"/>
      <c r="DQ601" s="1715"/>
      <c r="DR601" s="1720"/>
      <c r="DS601" s="1703"/>
      <c r="DT601" s="1714"/>
      <c r="DU601" s="1715"/>
      <c r="DV601" s="1716"/>
      <c r="DX601" s="1715"/>
      <c r="DY601" s="1720"/>
      <c r="DZ601" s="1715"/>
      <c r="EA601" s="1715"/>
      <c r="EC601" s="1834"/>
      <c r="ED601" s="1834"/>
      <c r="EF601" s="1707"/>
      <c r="EG601" s="1712"/>
      <c r="EH601" s="1815"/>
      <c r="EI601" s="1712"/>
      <c r="EJ601" s="1712"/>
      <c r="EK601" s="1813"/>
      <c r="EL601" s="1813"/>
      <c r="EM601" s="1807"/>
      <c r="EN601" s="1839"/>
      <c r="EO601" s="1839"/>
      <c r="EP601" s="1817"/>
      <c r="EQ601" s="1817"/>
      <c r="ER601" s="1807"/>
      <c r="ES601" s="1807"/>
      <c r="ET601" s="1807"/>
      <c r="EV601" s="1715"/>
      <c r="EX601" s="1806"/>
      <c r="EY601" s="1806"/>
      <c r="EZ601" s="1806"/>
      <c r="FA601" s="1806"/>
      <c r="FB601" s="1806"/>
      <c r="FC601" s="1828"/>
      <c r="FE601" s="1698"/>
      <c r="FG601" s="1703"/>
      <c r="FH601" s="1703"/>
      <c r="FI601" s="133"/>
      <c r="FL601" s="1823"/>
      <c r="FM601" s="1825"/>
      <c r="FN601" s="1698"/>
      <c r="FO601" s="1698"/>
      <c r="FP601" s="1678"/>
      <c r="FQ601" s="1698"/>
      <c r="FS601" s="1687"/>
      <c r="FT601" s="1687"/>
      <c r="FU601" s="1685"/>
      <c r="FV601" s="1687"/>
      <c r="FW601" s="1687"/>
      <c r="FX601" s="1687"/>
      <c r="FY601" s="1697"/>
      <c r="GA601" s="1696"/>
      <c r="GB601" s="1696"/>
      <c r="GC601" s="1696"/>
      <c r="GD601" s="1696"/>
      <c r="GE601" s="1696"/>
      <c r="GF601" s="1696"/>
      <c r="GG601" s="1696"/>
      <c r="GH601" s="1696"/>
      <c r="GI601" s="673"/>
      <c r="GJ601" s="1135"/>
      <c r="GK601" s="1832"/>
      <c r="GN601" s="674">
        <f>IF(GN599=TRUE,0,GN$16)</f>
        <v>0</v>
      </c>
      <c r="GP601" s="674">
        <f>IF(GP599=TRUE,0,GP$16)</f>
        <v>36</v>
      </c>
      <c r="GQ601" s="674">
        <f ca="1">IF(GQ599=TRUE,0,GQ$16)</f>
        <v>35</v>
      </c>
      <c r="GR601" s="391"/>
      <c r="GS601" s="391"/>
      <c r="GT601" s="391"/>
      <c r="GU601" s="391"/>
      <c r="GV601" s="391"/>
      <c r="HG601" s="674">
        <f>IF(HG599=TRUE,0,HG$16)</f>
        <v>0</v>
      </c>
      <c r="HH601" s="674">
        <f t="shared" ref="HH601:HM601" si="548">IF(HH599=TRUE,0,HH$16)</f>
        <v>19</v>
      </c>
      <c r="HI601" s="674">
        <f t="shared" si="548"/>
        <v>18</v>
      </c>
      <c r="HJ601" s="674">
        <f t="shared" si="548"/>
        <v>17</v>
      </c>
      <c r="HK601" s="674">
        <f t="shared" si="548"/>
        <v>16</v>
      </c>
      <c r="HL601" s="674">
        <f t="shared" si="548"/>
        <v>0</v>
      </c>
      <c r="HM601" s="674">
        <f t="shared" si="548"/>
        <v>0</v>
      </c>
      <c r="HN601" s="674">
        <f>IF(HN599=TRUE,0,HN$16)</f>
        <v>13</v>
      </c>
      <c r="HO601" s="674">
        <f t="shared" ref="HO601:HQ601" si="549">IF(HO599=TRUE,0,HO$16)</f>
        <v>0</v>
      </c>
      <c r="HP601" s="674">
        <f t="shared" si="549"/>
        <v>0</v>
      </c>
      <c r="HQ601" s="674">
        <f t="shared" si="549"/>
        <v>10</v>
      </c>
      <c r="HR601" s="674">
        <f>IF(HR599=TRUE,0,HR$16)</f>
        <v>9</v>
      </c>
      <c r="HS601" s="674">
        <f t="shared" ref="HS601:HW601" si="550">IF(HS599=TRUE,0,HS$16)</f>
        <v>0</v>
      </c>
      <c r="HT601" s="674">
        <f t="shared" si="550"/>
        <v>0</v>
      </c>
      <c r="HU601" s="674">
        <f t="shared" si="550"/>
        <v>0</v>
      </c>
      <c r="HV601" s="674">
        <f t="shared" si="550"/>
        <v>0</v>
      </c>
      <c r="HW601" s="674">
        <f t="shared" si="550"/>
        <v>0</v>
      </c>
      <c r="HX601" s="674">
        <f>IF(HX599=TRUE,0,HX$16)</f>
        <v>0</v>
      </c>
      <c r="HY601" s="674">
        <f>IF(HY599=TRUE,0,HY$16)</f>
        <v>0</v>
      </c>
      <c r="HZ601" s="674">
        <f>IF(HZ599=TRUE,0,HZ$16)</f>
        <v>1</v>
      </c>
      <c r="IB601" s="674">
        <f>IF(GP599=FALSE,GP601,IF(GQ599=FALSE,GQ601,MAX(GN601:HZ601)))</f>
        <v>36</v>
      </c>
      <c r="IC601" s="1692"/>
      <c r="ID601" s="205" t="str">
        <f>VLOOKUP(IB601,_Error_Table,3,FALSE)</f>
        <v xml:space="preserve"> </v>
      </c>
      <c r="IE601" s="205"/>
      <c r="IF601" s="1688"/>
      <c r="IG601" s="1689"/>
      <c r="IH601" s="1684"/>
      <c r="IK601" s="1689"/>
      <c r="IL601" s="1692"/>
      <c r="IM601" s="1692"/>
      <c r="IN601" s="1692"/>
      <c r="IP601" s="1679"/>
      <c r="IQ601" s="1679"/>
      <c r="IR601" s="1679"/>
      <c r="IS601" s="1679"/>
      <c r="IT601" s="1679"/>
      <c r="IU601" s="1679"/>
      <c r="IV601" s="1679"/>
      <c r="IW601" s="1679"/>
      <c r="IX601" s="1679"/>
      <c r="IY601" s="1679"/>
      <c r="IZ601" s="1679"/>
      <c r="JA601" s="1679"/>
      <c r="JC601" s="1680"/>
      <c r="JD601" s="1670"/>
      <c r="JE601" s="1681"/>
      <c r="JG601" s="1680"/>
      <c r="JH601" s="1670"/>
      <c r="JI601" s="1060"/>
      <c r="JJ601" s="1670"/>
      <c r="JK601" s="1061"/>
      <c r="JL601" s="1670"/>
      <c r="JM601" s="1061"/>
      <c r="JN601" s="1670"/>
      <c r="JO601" s="1061"/>
      <c r="JP601" s="1670"/>
      <c r="JQ601" s="1061"/>
      <c r="JR601" s="1670"/>
      <c r="JS601" s="1061"/>
      <c r="JT601" s="1670"/>
      <c r="JU601" s="1061"/>
      <c r="JV601" s="1670"/>
      <c r="JX601" s="1670"/>
      <c r="JZ601" s="1670"/>
      <c r="KB601" s="1670"/>
    </row>
    <row r="602" spans="1:288" s="78" customFormat="1" ht="5.0999999999999996" customHeight="1">
      <c r="B602" s="676"/>
      <c r="C602" s="392"/>
      <c r="D602" s="392"/>
      <c r="E602" s="1733"/>
      <c r="F602" s="1733"/>
      <c r="G602" s="1733"/>
      <c r="H602" s="1733"/>
      <c r="I602" s="1733"/>
      <c r="J602" s="1733"/>
      <c r="K602" s="1733"/>
      <c r="L602" s="1733"/>
      <c r="M602" s="1733"/>
      <c r="N602" s="1733"/>
      <c r="O602" s="1733"/>
      <c r="P602" s="1733"/>
      <c r="Q602" s="1733"/>
      <c r="R602" s="1733"/>
      <c r="S602" s="1733"/>
      <c r="T602" s="1733"/>
      <c r="U602" s="1733"/>
      <c r="V602" s="1733"/>
      <c r="W602" s="1733"/>
      <c r="X602" s="1733"/>
      <c r="Y602" s="1733"/>
      <c r="Z602" s="1733"/>
      <c r="AA602" s="1733"/>
      <c r="AB602" s="1733"/>
      <c r="AC602" s="1733"/>
      <c r="AD602" s="1733"/>
      <c r="AE602" s="1733"/>
      <c r="AF602" s="1733"/>
      <c r="AG602" s="1733"/>
      <c r="AH602" s="1733"/>
      <c r="AI602" s="1733"/>
      <c r="AJ602" s="1733"/>
      <c r="AK602" s="1733"/>
      <c r="AL602" s="1733"/>
      <c r="AM602" s="1733"/>
      <c r="AN602" s="1733"/>
      <c r="AO602" s="1733"/>
      <c r="AP602" s="1733"/>
      <c r="AQ602" s="1733"/>
      <c r="AR602" s="1733"/>
      <c r="AS602" s="1733"/>
      <c r="AT602" s="1733"/>
      <c r="AU602" s="1733"/>
      <c r="AV602" s="1733"/>
      <c r="AW602" s="1733"/>
      <c r="AX602" s="469"/>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663"/>
      <c r="CQ602" s="663"/>
      <c r="CR602" s="438"/>
      <c r="CS602" s="663"/>
      <c r="CV602" s="391"/>
      <c r="CW602" s="391"/>
      <c r="CX602" s="207"/>
      <c r="CY602" s="208"/>
      <c r="CZ602" s="208"/>
      <c r="DA602" s="208"/>
      <c r="DB602" s="209"/>
      <c r="DC602" s="209"/>
      <c r="DD602" s="209"/>
      <c r="DF602" s="664"/>
      <c r="DG602" s="665"/>
      <c r="DH602" s="666"/>
      <c r="DI602" s="667"/>
      <c r="DJ602" s="668"/>
      <c r="DK602" s="668"/>
      <c r="DN602" s="208"/>
      <c r="DO602" s="664"/>
      <c r="DQ602" s="664"/>
      <c r="DR602" s="669"/>
      <c r="DS602" s="391"/>
      <c r="DT602" s="664"/>
      <c r="DU602" s="664"/>
      <c r="DV602" s="664"/>
      <c r="DX602" s="664"/>
      <c r="DY602" s="664"/>
      <c r="DZ602" s="664"/>
      <c r="EA602" s="664"/>
      <c r="EC602" s="670"/>
      <c r="ED602" s="670"/>
      <c r="EF602" s="668"/>
      <c r="EG602" s="668"/>
      <c r="EH602" s="208"/>
      <c r="EI602" s="668"/>
      <c r="EJ602" s="668"/>
      <c r="EK602" s="207"/>
      <c r="EL602" s="207"/>
      <c r="EM602" s="666"/>
      <c r="EN602" s="671"/>
      <c r="EO602" s="671"/>
      <c r="EP602" s="672"/>
      <c r="EQ602" s="672"/>
      <c r="ER602" s="666"/>
      <c r="ES602" s="666"/>
      <c r="ET602" s="666"/>
      <c r="EV602" s="664"/>
      <c r="EX602" s="391"/>
      <c r="EY602" s="391"/>
      <c r="EZ602" s="391"/>
      <c r="FA602" s="391"/>
      <c r="FB602" s="391"/>
      <c r="FC602" s="391"/>
      <c r="FE602" s="569"/>
      <c r="FG602" s="391"/>
      <c r="FH602" s="391"/>
      <c r="FI602" s="391"/>
      <c r="FS602" s="664"/>
      <c r="FT602" s="391"/>
      <c r="FU602" s="391"/>
      <c r="FV602" s="664"/>
      <c r="FW602" s="664"/>
      <c r="GA602" s="663"/>
      <c r="GB602" s="663"/>
      <c r="GC602" s="663"/>
      <c r="GD602" s="663"/>
      <c r="GE602" s="663"/>
      <c r="GF602" s="663"/>
      <c r="GG602" s="663"/>
      <c r="GH602" s="663"/>
      <c r="GI602" s="665"/>
      <c r="GJ602" s="664"/>
      <c r="GK602" s="664"/>
    </row>
    <row r="603" spans="1:288" s="78" customFormat="1" ht="14.95" customHeight="1">
      <c r="B603" s="1845" t="str">
        <f>ID606</f>
        <v xml:space="preserve"> </v>
      </c>
      <c r="C603" s="1846">
        <f>C598+1</f>
        <v>108</v>
      </c>
      <c r="D603" s="1847"/>
      <c r="E603" s="1799" t="s">
        <v>295</v>
      </c>
      <c r="F603" s="1800"/>
      <c r="G603" s="1741"/>
      <c r="H603" s="1742"/>
      <c r="I603" s="1742"/>
      <c r="J603" s="1742"/>
      <c r="K603" s="1742"/>
      <c r="L603" s="1742"/>
      <c r="M603" s="1742"/>
      <c r="N603" s="1742"/>
      <c r="O603" s="1742"/>
      <c r="P603" s="1742"/>
      <c r="Q603" s="1742"/>
      <c r="R603" s="1742"/>
      <c r="S603" s="1791" t="s">
        <v>344</v>
      </c>
      <c r="T603" s="590"/>
      <c r="U603" s="1743"/>
      <c r="V603" s="1744"/>
      <c r="W603" s="1744"/>
      <c r="X603" s="1744"/>
      <c r="Y603" s="1744"/>
      <c r="Z603" s="1744"/>
      <c r="AA603" s="1744"/>
      <c r="AB603" s="961" t="str">
        <f>IFERROR(IF(__Retrofit_TI_NC=0,VLOOKUP(U604,Fixtures_Existing_List,2,FALSE),ROUND(N605*R605/T605,10)),"")</f>
        <v/>
      </c>
      <c r="AC603" s="935" t="str">
        <f>IFERROR(IF(__Retrofit_TI_NC=0,ROUND(T604*AB603*N604*R604/1000,0),IF(CQ603="Interior",N605*R605*R604*N604*_C406_reduction/1000,N605*R605*R604*N604/1000)),"")</f>
        <v/>
      </c>
      <c r="AD603" s="936" t="str">
        <f>IFERROR(IF(C$43=0,ROUND(T604*AB603/1000,2),N605*R605/1000),"")</f>
        <v/>
      </c>
      <c r="AE603" s="997"/>
      <c r="AF603" s="937"/>
      <c r="AG603" s="1745" t="str">
        <f>IF(__Retrofit_TI_NC=0," Control","Select Advanced Control for New System")</f>
        <v xml:space="preserve"> Control</v>
      </c>
      <c r="AH603" s="1745"/>
      <c r="AI603" s="1745"/>
      <c r="AJ603" s="1745"/>
      <c r="AK603" s="1745"/>
      <c r="AL603" s="1745"/>
      <c r="AM603" s="1746">
        <f>IFERROR(DI603,"")</f>
        <v>0</v>
      </c>
      <c r="AN603" s="1774" t="str">
        <f>IFERROR(ROUND(AM603*AC603,0),"")</f>
        <v/>
      </c>
      <c r="AO603" s="1776">
        <f>IFERROR(IF(IB603=FALSE,0,AC603-AN603),0)</f>
        <v>0</v>
      </c>
      <c r="AP603" s="1778">
        <f>AO603-AO605</f>
        <v>0</v>
      </c>
      <c r="AQ603" s="1779"/>
      <c r="AR603" s="1793">
        <f>IFERROR(IF(IB603=FALSE,0,(T605*U606)+(AF605*AG606)),0)</f>
        <v>0</v>
      </c>
      <c r="AS603" s="1793"/>
      <c r="AT603" s="1794"/>
      <c r="AU603" s="1734" t="s">
        <v>237</v>
      </c>
      <c r="AV603" s="1751">
        <f>IF(AU603="Yes",1,0)</f>
        <v>1</v>
      </c>
      <c r="AW603" s="1704" t="str">
        <f>IF(OR(DQ603=4,DQ603=5,DQ603=6,DQ603=12),CONCATENATE("$",IF(GH603=TRUE,Lookup!$K$10,Lookup!$K$2)," /lamp"),CONCATENATE(TEXT(ED603,"$0.00"),"/ kWh"))</f>
        <v>$0.00/ kWh</v>
      </c>
      <c r="AX603" s="467"/>
      <c r="AY603" s="1748">
        <f ca="1">IFERROR(IF(GM604=TRUE,(AB606*T605)/R605,0),"NA")</f>
        <v>0</v>
      </c>
      <c r="AZ603" s="1748"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696" t="str">
        <f>N604</f>
        <v/>
      </c>
      <c r="CQ603" s="1696" t="str">
        <f>IFERROR(VLOOKUP(G604,_Lookup_Heat_Type_Table_New,3,FALSE),"")</f>
        <v/>
      </c>
      <c r="CR603" s="1808" t="str">
        <f>CQ603</f>
        <v/>
      </c>
      <c r="CS603" s="1810" t="str">
        <f>IFERROR(VLOOKUP(G605,'Space Table'!$B$3:$L$163,9,FALSE),"")</f>
        <v/>
      </c>
      <c r="CU603" s="1688" t="s">
        <v>344</v>
      </c>
      <c r="CV603" s="1702">
        <f>IF(IB603=TRUE,T604,0)</f>
        <v>0</v>
      </c>
      <c r="CW603" s="1702" t="str">
        <f>IF(IB603=TRUE,U604,"")</f>
        <v/>
      </c>
      <c r="CX603" s="1702"/>
      <c r="CY603" s="1814">
        <f>IF(IB603=TRUE,AB603,0)</f>
        <v>0</v>
      </c>
      <c r="CZ603" s="1710">
        <f>IF(AND(__Retrofit_TI_NC&gt;0,CR603="interior"),0,IF(IB603=TRUE,AC603,0))</f>
        <v>0</v>
      </c>
      <c r="DA603" s="1814">
        <f>IFERROR(IF(IB603=TRUE,CZ603-CZ605,0),0)</f>
        <v>0</v>
      </c>
      <c r="DB603" s="1819">
        <f>IF(IB603=TRUE,AD603,0)</f>
        <v>0</v>
      </c>
      <c r="DC603" s="1819">
        <f>IF(IB603=TRUE,AD606,0)</f>
        <v>0</v>
      </c>
      <c r="DD603" s="1819">
        <f>IFERROR(DB603-DC603,0)</f>
        <v>0</v>
      </c>
      <c r="DF603" s="1702">
        <f>IF(IB603=TRUE,AF604,0)</f>
        <v>0</v>
      </c>
      <c r="DG603" s="1830">
        <f>IFERROR(IF(__Retrofit_TI_NC=2,IF(CQ603="Exterior",O606,FQ603),FN603),"")</f>
        <v>0</v>
      </c>
      <c r="DH603" s="1702"/>
      <c r="DI603" s="1837">
        <f>JE603</f>
        <v>0</v>
      </c>
      <c r="DJ603" s="1710">
        <f>IF(AND(__Retrofit_TI_NC&gt;0,CR603="interior"),0,IF(IB603=TRUE,AN603,0))</f>
        <v>0</v>
      </c>
      <c r="DK603" s="1712">
        <f>IFERROR(IF(IB603=TRUE,DJ605-DJ603,0),0)</f>
        <v>0</v>
      </c>
      <c r="DM603" s="1717">
        <f>IFERROR(CZ603-DJ603,0)</f>
        <v>0</v>
      </c>
      <c r="DO603" s="1708">
        <f>DM603-DN605</f>
        <v>0</v>
      </c>
      <c r="DQ603" s="1715" t="str">
        <f>IFERROR(IF(AND(OR(GC603=4,GC603=5,GC603=6),OR(GF603=4,GF603=5,GF603=6)),GC603+8,VLOOKUP(CW605,Fixtures!R$31:Y$78,8,FALSE)),"")</f>
        <v/>
      </c>
      <c r="DR603" s="1829" t="str">
        <f>DQ603</f>
        <v/>
      </c>
      <c r="DS603" s="1702" t="str">
        <f>IFERROR(VLOOKUP(DG605,Lookup!BB$3:BC$20,2,FALSE),"")</f>
        <v/>
      </c>
      <c r="DT603" s="1713" t="str">
        <f>IF(OR(DS603=7,DS603=8,DS603=9),"ALC","")</f>
        <v/>
      </c>
      <c r="DU603" s="1715">
        <f>IFERROR(IF(OR(DQ603=4,DQ603=5,DQ603=6,DQ603=12,DQ603=13,DQ603=14),VLOOKUP(CW605,Fixtures!DN$27:EG$77,19,FALSE),1)*CV605,0)</f>
        <v>0</v>
      </c>
      <c r="DV603" s="1716">
        <f>IF(OR(DS603=7,DS603=8,DS603=9),IF(DG603=DG605,0,DF605),0)</f>
        <v>0</v>
      </c>
      <c r="DX603" s="1715" t="str">
        <f>IFERROR(IF(EZ603&lt;EZ605,"Yes","No"),"")</f>
        <v/>
      </c>
      <c r="DY603" s="1829" t="str">
        <f>DX603</f>
        <v/>
      </c>
      <c r="DZ603" s="1715">
        <f>IF(DX603="Yes",DF605,0)</f>
        <v>0</v>
      </c>
      <c r="EA603" s="1715">
        <f>DZ603-DV603</f>
        <v>0</v>
      </c>
      <c r="EC603" s="1834">
        <f>IFERROR(VLOOKUP(DQ603,Lookup!AU$3:AV$16,2,FALSE),0)</f>
        <v>0</v>
      </c>
      <c r="ED603" s="1834">
        <f>IF(IB603=FALSE,0,IF(DX603="Yes",EC603+Lookup!K$6,EC603))</f>
        <v>0</v>
      </c>
      <c r="EF603" s="1707">
        <f>IF(IB603=TRUE,DM603,0)</f>
        <v>0</v>
      </c>
      <c r="EG603" s="1712">
        <f>IF(IB603=TRUE,CZ605,0)</f>
        <v>0</v>
      </c>
      <c r="EH603" s="1814">
        <f>IFERROR(EF603-EG603,0)</f>
        <v>0</v>
      </c>
      <c r="EI603" s="1712">
        <f>IF(IB603=TRUE,DJ605,0)</f>
        <v>0</v>
      </c>
      <c r="EJ603" s="1712">
        <f>IFERROR(EF603-EG603+EI603,0)</f>
        <v>0</v>
      </c>
      <c r="EK603" s="1812">
        <f>IF(IB603=TRUE,CV605*CX605,0)</f>
        <v>0</v>
      </c>
      <c r="EL603" s="1812">
        <f>IF(IB603=TRUE,DF605*DH605,0)</f>
        <v>0</v>
      </c>
      <c r="EM603" s="1807">
        <f>AR603</f>
        <v>0</v>
      </c>
      <c r="EN603" s="1839" t="str">
        <f>IFERROR(IF(IB603=TRUE,VLOOKUP(DQ603,Lookup!AU$3:AW$16,3,FALSE)*DU603,""),0)</f>
        <v/>
      </c>
      <c r="EO603" s="1839">
        <f>IF(IB603=TRUE,DZ603*Lookup!AW$12,0)</f>
        <v>0</v>
      </c>
      <c r="EP603" s="1817">
        <f>IFERROR(IF(IB603=TRUE,EN603/EP$40,0),0)</f>
        <v>0</v>
      </c>
      <c r="EQ603" s="1817">
        <f>IF(IB603=TRUE,EO603/EQ$40,0)</f>
        <v>0</v>
      </c>
      <c r="ER603" s="1807">
        <f>IF(IB603=TRUE,ET$40*EP603,0)</f>
        <v>0</v>
      </c>
      <c r="ES603" s="1807">
        <f>IF(IB603=TRUE,ET$40*EQ603,0)</f>
        <v>0</v>
      </c>
      <c r="ET603" s="1807">
        <f>ER603+ES603</f>
        <v>0</v>
      </c>
      <c r="EV603" s="1715">
        <f>IF(G603="",0,1)</f>
        <v>0</v>
      </c>
      <c r="EX603" s="1804" t="str">
        <f>IFERROR(VLOOKUP(CS605,'Space Table'!$B$3:$L$163,8,FALSE),"")</f>
        <v/>
      </c>
      <c r="EY603" s="1804" t="str">
        <f>IFERROR(IF(FB603="Yes",VLOOKUP(DG603,Lookup_Control_Type_Table2,4,FALSE),VLOOKUP(DG603,Lookup_Control_Type_Table2,3,FALSE)),"")</f>
        <v/>
      </c>
      <c r="EZ603" s="1804" t="e">
        <f>VLOOKUP(DG603,Lookup!BB$3:BC$20,2,FALSE)</f>
        <v>#N/A</v>
      </c>
      <c r="FA603" s="1804" t="e">
        <f>VLOOKUP(EX603,Lookup_Control_Type_Table,2,FALSE)</f>
        <v>#N/A</v>
      </c>
      <c r="FB603" s="1804" t="e">
        <f>VLOOKUP(CS605,'Space Table'!$B$3:$L$163,7,FALSE)</f>
        <v>#N/A</v>
      </c>
      <c r="FC603" s="1826" t="b">
        <f>ISNUMBER(SEARCH("TLED",U605))</f>
        <v>0</v>
      </c>
      <c r="FE603" s="1698" t="str">
        <f>CONCATENATE(CQ603," - ",DG603)</f>
        <v xml:space="preserve"> - 0</v>
      </c>
      <c r="FG603" s="1702" t="str">
        <f>VLOOKUP(CW605,Fixtures!DN$27:EZ$77,38,FALSE)</f>
        <v/>
      </c>
      <c r="FH603" s="1702">
        <f>IFERROR(FG603*EH603,0)</f>
        <v>0</v>
      </c>
      <c r="FI603" s="133"/>
      <c r="FL603" s="1822" t="str">
        <f>IF(CQ603="Exterior","Not Daylighted",G606)</f>
        <v>Not Daylighted</v>
      </c>
      <c r="FM603" s="1824">
        <f>VLOOKUP(FL603,_New_Daylight_Table_Codes,2,FALSE)</f>
        <v>0</v>
      </c>
      <c r="FN603" s="1698">
        <f>IF(__Retrofit_TI_NC&gt;0,VLOOKUP(G605,'Space Table'!$B$3:$L$163,11,FALSE),AG604)</f>
        <v>0</v>
      </c>
      <c r="FO603" s="1698" t="e">
        <f>IF(__Retrofit_TI_NC=2,VLOOKUP(FQ603,_Control_Table,2,FALSE),VLOOKUP(FN603,_Control_Table,2,FALSE))</f>
        <v>#N/A</v>
      </c>
      <c r="FP603" s="1678" t="e">
        <f>VLOOKUP(CONCATENATE(FL603," ",FN603),Lookup!AY$102:AZ613,2,FALSE)</f>
        <v>#N/A</v>
      </c>
      <c r="FQ603" s="1678">
        <f>IF(__Retrofit_TI_NC=0,FN603,IF(AND(FT603&gt;0,FN603="Occupancy Sensor"),"Daylight + Occupancy",IF(AND(FT603&gt;0,VLOOKUP(FN603,_Control_Table,2,FALSE)&lt;4),"Interior Daylight Dimming",FN603)))</f>
        <v>0</v>
      </c>
      <c r="FS603" s="1686">
        <f>IF(CR603="Interior",VLOOKUP(CS603,Control_Savings_Interior,5,FALSE),0)</f>
        <v>0</v>
      </c>
      <c r="FT603" s="1687">
        <f>IF(CQ603="Exterior",0,IF(FM603=2,0.5,IF(OR(FM603=1,FM603=3),1,0)))</f>
        <v>0</v>
      </c>
      <c r="FU603" s="1685">
        <f>IF(R602&gt;FS$44,(FS603*(FS$44/R602)),FS603)*FT603</f>
        <v>0</v>
      </c>
      <c r="FV603" s="1686">
        <f>DI603</f>
        <v>0</v>
      </c>
      <c r="FW603" s="1686">
        <f>ROUND(FV603+((1-FV603)*FU603),2)</f>
        <v>0</v>
      </c>
      <c r="FX603" s="1686">
        <f>IF(__Retrofit_TI_NC=2,FW603,FV603)</f>
        <v>0</v>
      </c>
      <c r="FY603" s="1697"/>
      <c r="GA603" s="1696" t="str">
        <f>IFERROR(VLOOKUP(U604,_Exist_Fixture_Table,3,FALSE),"")</f>
        <v/>
      </c>
      <c r="GB603" s="1696" t="str">
        <f>VLOOKUP(CW603,_Exist_Fixture_Table,4,FALSE)</f>
        <v/>
      </c>
      <c r="GC603" s="1696">
        <f>IFERROR(VLOOKUP(GB603,Lookup!AT$6:AU$8,2,FALSE),0)</f>
        <v>0</v>
      </c>
      <c r="GD603" s="1696" t="b">
        <f>IFERROR(IF(OR(GF603=4,GF603=5,GF603=6),TRUE,FALSE),"")</f>
        <v>0</v>
      </c>
      <c r="GE603" s="1696" t="str">
        <f>IFERROR(VLOOKUP(GF603,GC$6:GD$10,2,FALSE),"")</f>
        <v/>
      </c>
      <c r="GF603" s="1696" t="str">
        <f>VLOOKUP(CW605,Fixtures!R$31:Y$78,8,FALSE)</f>
        <v/>
      </c>
      <c r="GG603" s="1696">
        <f>IF(AND(GA603=TRUE,GD603=TRUE,OR(DQ603=12,DQ603=13,DQ603=14)),GC603+8,0)</f>
        <v>0</v>
      </c>
      <c r="GH603" s="1696" t="b">
        <f>IF(OR(GG603=12,GG603=13,GG603=14),TRUE,FALSE)</f>
        <v>0</v>
      </c>
      <c r="GI603" s="673" t="b">
        <f>IF(ISNUMBER(SEARCH("TLED",U604)),TRUE,FALSE)</f>
        <v>0</v>
      </c>
      <c r="GJ603" s="1135" t="str">
        <f>IFERROR(VLOOKUP(U604,Fixtures!BM$93:BR$142,6,FALSE),"")</f>
        <v/>
      </c>
      <c r="GK603" s="1832" t="b">
        <f>IF(OR(GI603=FALSE,GI605=FALSE),TRUE,IF(GJ603-GJ605&lt;5,FALSE,TRUE))</f>
        <v>1</v>
      </c>
      <c r="GO603" s="674">
        <f>GP603</f>
        <v>0</v>
      </c>
      <c r="GP603" s="674">
        <f>IF(G603="",0,1)</f>
        <v>0</v>
      </c>
      <c r="GQ603" s="674">
        <f ca="1">SUM(GR603:HF603)</f>
        <v>2</v>
      </c>
      <c r="GR603" s="674">
        <f>IF(G604="",0,1)</f>
        <v>0</v>
      </c>
      <c r="GS603" s="674">
        <f>IF(N606="BAM",1,IF(G605="",0,1))</f>
        <v>0</v>
      </c>
      <c r="GT603" s="674">
        <f>IF(N606="BAM",1,IF(R604="",0,1))</f>
        <v>0</v>
      </c>
      <c r="GU603" s="674">
        <f>IF(N606="BAM",1,IF(__Retrofit_TI_NC=0,1,IF(R605="",0,1)))</f>
        <v>1</v>
      </c>
      <c r="GV603" s="674">
        <f>IF(N606="BAM",1,IF(CQ603="Exterior",1,IF(G606="",0,1)))</f>
        <v>1</v>
      </c>
      <c r="GW603" s="674">
        <f>IF(__Retrofit_TI_NC&gt;0,1,IF(T604="",0,1))</f>
        <v>0</v>
      </c>
      <c r="GX603" s="674">
        <f>IF(__Retrofit_TI_NC&gt;0,1,IF(U604="",0,1))</f>
        <v>0</v>
      </c>
      <c r="GY603" s="674">
        <f>IF(N606="BAM",1,IF(T605="",0,1))</f>
        <v>0</v>
      </c>
      <c r="GZ603" s="674">
        <f>IF(N606="BAM",1,IF(U605="",0,1))</f>
        <v>0</v>
      </c>
      <c r="HA603" s="674">
        <f ca="1">IF(N606="BAM",1,IF(__Retrofit_TI_NC&gt;0,1,IF(U606="",0,1)))</f>
        <v>0</v>
      </c>
      <c r="HB603" s="674">
        <f>IF(__Retrofit_TI_NC&lt;&gt;0,1,IF(AF604="",0,1))</f>
        <v>0</v>
      </c>
      <c r="HC603" s="674">
        <f>IF(__Retrofit_TI_NC&lt;&gt;0,1,IF(AG604="",0,1))</f>
        <v>0</v>
      </c>
      <c r="HD603" s="674">
        <f>IF(N606="BAM",1,IF(AF605="",0,1))</f>
        <v>0</v>
      </c>
      <c r="HE603" s="674">
        <f>IF(N606="BAM",1,IF(AG605="",0,1))</f>
        <v>0</v>
      </c>
      <c r="HF603" s="674">
        <f>IF(N606="BAM",1,IF(__Retrofit_TI_NC&gt;0,1,IF(AG606="",0,1)))</f>
        <v>0</v>
      </c>
      <c r="HG603" s="391"/>
      <c r="IA603" s="391"/>
      <c r="IB603" s="1693" t="b">
        <f>IF(OR(IB606=0,IB606=HY$16,IB606=HX$16,IB606=HZ$16),TRUE,FALSE)</f>
        <v>0</v>
      </c>
      <c r="IC603" s="1694" t="b">
        <f>IB603</f>
        <v>0</v>
      </c>
      <c r="ID603" s="391"/>
      <c r="IE603" s="391"/>
      <c r="IF603" s="1688" t="b">
        <f ca="1">IF(MAX(GN606:HU606)&gt;5,FALSE,TRUE)</f>
        <v>0</v>
      </c>
      <c r="IG603" s="1689">
        <f ca="1">IF(IF603=TRUE,AC603,0)</f>
        <v>0</v>
      </c>
      <c r="IH603" s="1689">
        <f ca="1">IG603-IG605</f>
        <v>0</v>
      </c>
      <c r="IK603" s="1689" t="e">
        <f>ROUND(T604*VLOOKUP(U604,Fixtures_Existing_List,2,FALSE)*N604*R604/1000,0)</f>
        <v>#N/A</v>
      </c>
      <c r="IL603" s="1690" t="e">
        <f>IK603-IK605</f>
        <v>#N/A</v>
      </c>
      <c r="IM603" s="1693" t="e">
        <f>ROUND(IF(CQ603="Interior",N605*R605*R604*N604*_C406_reduction/1000,N605*R605*R604*N604/1000),0)</f>
        <v>#N/A</v>
      </c>
      <c r="IN603" s="1693" t="e">
        <f>IM603-IM605</f>
        <v>#N/A</v>
      </c>
      <c r="IP603" s="1679"/>
      <c r="IQ603" s="1679" t="e">
        <f t="shared" ref="IQ603:IU603" si="551">IF($CR603="interior",VLOOKUP($CS603,_New_Control_Savings_Interior,IQ$30,FALSE),VLOOKUP($CS603,Control_Savings_Exterior,IQ$30,FALSE))</f>
        <v>#N/A</v>
      </c>
      <c r="IR603" s="1679" t="e">
        <f t="shared" si="551"/>
        <v>#N/A</v>
      </c>
      <c r="IS603" s="1679" t="e">
        <f t="shared" si="551"/>
        <v>#N/A</v>
      </c>
      <c r="IT603" s="1679" t="e">
        <f t="shared" si="551"/>
        <v>#N/A</v>
      </c>
      <c r="IU603" s="1679" t="e">
        <f t="shared" si="551"/>
        <v>#N/A</v>
      </c>
      <c r="IV603" s="1679" t="e">
        <f>IF($CR603="interior",IF(R604&gt;$IP$14,ROUND(($IV$18*($IP$14/R604)),2),$IV$18),VLOOKUP($CS603,Control_Savings_Exterior,IV$30,FALSE))</f>
        <v>#N/A</v>
      </c>
      <c r="IW603" s="1679" t="e">
        <f>IF($CR603="interior",ROUND(((1-IS603)*IV603)+IS603,2),VLOOKUP($CS603,Control_Savings_Exterior,IW$30,FALSE))</f>
        <v>#N/A</v>
      </c>
      <c r="IX603" s="1679" t="e">
        <f>IF($CR603="interior",ROUND(((1-IT603)*IV603)+IT603,2),VLOOKUP($CS603,Control_Savings_Exterior,IX$30,FALSE))</f>
        <v>#N/A</v>
      </c>
      <c r="IY603" s="1679" t="e">
        <f>IF($CR603="interior",IF(R604&gt;$IP$14,ROUND(($IY$18*($IP$14/R604)),2),$IY$18),VLOOKUP($CS603,Control_Savings_Exterior,IY$30,FALSE))</f>
        <v>#N/A</v>
      </c>
      <c r="IZ603" s="1679" t="e">
        <f>IF($CR603="interior",ROUND(((1-IS603)*IY603)+IS603,2),VLOOKUP($CS603,Control_Savings_Exterior,IZ$30,FALSE))</f>
        <v>#N/A</v>
      </c>
      <c r="JA603" s="1679" t="e">
        <f>IF($CR603="interior",ROUND(((1-IT603)*IY603)+IT603,2),VLOOKUP($CS603,Control_Savings_Exterior,JA$30,FALSE))</f>
        <v>#N/A</v>
      </c>
      <c r="JC603" s="1680">
        <f>IFERROR(IF(CR603="Interior",CONCATENATE(G606," ",FQ603),FQ603),"")</f>
        <v>0</v>
      </c>
      <c r="JD603" s="1670" t="str">
        <f>IFERROR(VLOOKUP(JC603,_Controls_2023,2,FALSE),"")</f>
        <v/>
      </c>
      <c r="JE603" s="1681">
        <f>IFERROR(CHOOSE(JD603-1,IQ603,IR603,IS603,IT603,IU603,IV603,IW603,IX603,IY603,IZ603,JA603),0)</f>
        <v>0</v>
      </c>
      <c r="JG603" s="1680" t="str">
        <f>FE603</f>
        <v xml:space="preserve"> - 0</v>
      </c>
      <c r="JH603" s="1670" t="e">
        <f>$FO603</f>
        <v>#N/A</v>
      </c>
      <c r="JI603" s="1060"/>
      <c r="JJ603" s="1682" t="b">
        <f>IF($JG605=CONCATENATE("Interior - ",JJ$4),TRUE,FALSE)</f>
        <v>0</v>
      </c>
      <c r="JK603" s="1061"/>
      <c r="JL603" s="1682" t="b">
        <f>IF($JG605=CONCATENATE("Interior - ",JL$4),TRUE,FALSE)</f>
        <v>0</v>
      </c>
      <c r="JM603" s="1061"/>
      <c r="JN603" s="1682" t="b">
        <f>IF($JG605=CONCATENATE("Interior - ",JN$4),TRUE,FALSE)</f>
        <v>0</v>
      </c>
      <c r="JO603" s="1061"/>
      <c r="JP603" s="1682" t="b">
        <f>IF(__Retrofit_TI_NC&gt;0,FALSE,IF($JG605=CONCATENATE("Interior - ",JP$4),TRUE,FALSE))</f>
        <v>0</v>
      </c>
      <c r="JQ603" s="1061"/>
      <c r="JR603" s="1682" t="b">
        <f>IF(__Retrofit_TI_NC&gt;0,FALSE,IF($JG605=CONCATENATE("Interior - ",JR$4),TRUE,FALSE))</f>
        <v>0</v>
      </c>
      <c r="JS603" s="1061"/>
      <c r="JT603" s="1670" t="b">
        <f>IF(__Retrofit_TI_NC&gt;0,FALSE,IF($JG605=CONCATENATE("Interior - ",JT$4),TRUE,FALSE))</f>
        <v>0</v>
      </c>
      <c r="JU603" s="1061"/>
      <c r="JV603" s="1670" t="b">
        <f>IF(JC605="AELC on Existing",TRUE,FALSE)</f>
        <v>0</v>
      </c>
      <c r="JX603" s="1670" t="b">
        <f>IF(OR(JG605="Exterior - AELC Occupancy based",JG605="Exterior - AELC Time based"),TRUE,FALSE)</f>
        <v>0</v>
      </c>
      <c r="JZ603" s="1682" t="b">
        <f>IF($JG605=CONCATENATE("Exterior - ",JZ$4),TRUE,FALSE)</f>
        <v>0</v>
      </c>
      <c r="KB603" s="1670" t="b">
        <f>IF(__Retrofit_TI_NC&gt;0,FALSE,IF($JG605=CONCATENATE("Interior - ",KB$4),TRUE,FALSE))</f>
        <v>0</v>
      </c>
    </row>
    <row r="604" spans="1:288" s="78" customFormat="1" ht="14.95" customHeight="1" thickTop="1" thickBot="1">
      <c r="B604" s="1845"/>
      <c r="C604" s="1846"/>
      <c r="D604" s="1847"/>
      <c r="E604" s="1737" t="s">
        <v>297</v>
      </c>
      <c r="F604" s="1738"/>
      <c r="G604" s="1739"/>
      <c r="H604" s="1739"/>
      <c r="I604" s="1739"/>
      <c r="J604" s="1739"/>
      <c r="K604" s="1739"/>
      <c r="L604" s="1739"/>
      <c r="M604" s="461" t="e">
        <f>IF(__Retrofit_TI_NC&lt;&gt;0,IF(VLOOKUP(G605,'Space Table'!$B$3:$L$163,3,FALSE)&gt;0,1,0),IF(__Retrofit_TI_NC=VLOOKUP(G605,'Space Table'!$B$3:$L$163,3,FALSE),1,0))</f>
        <v>#N/A</v>
      </c>
      <c r="N604" s="461" t="str">
        <f>IFERROR(VLOOKUP(G604,_Lookup_Heat_Type_Table_New,2,FALSE),"")</f>
        <v/>
      </c>
      <c r="O604" s="461">
        <f>IF(__Retrofit_TI_NC=1,CONCATENATE("TI ",G604),IF(__Retrofit_TI_NC=2,CONCATENATE("NC ",G604),G604))</f>
        <v>0</v>
      </c>
      <c r="P604" s="1740" t="s">
        <v>435</v>
      </c>
      <c r="Q604" s="1740"/>
      <c r="R604" s="595"/>
      <c r="S604" s="1792"/>
      <c r="T604" s="597"/>
      <c r="U604" s="1765"/>
      <c r="V604" s="1766"/>
      <c r="W604" s="1766"/>
      <c r="X604" s="1766"/>
      <c r="Y604" s="1766"/>
      <c r="Z604" s="1766"/>
      <c r="AA604" s="1766"/>
      <c r="AB604" s="1766"/>
      <c r="AC604" s="1766"/>
      <c r="AD604" s="1767"/>
      <c r="AE604" s="1000"/>
      <c r="AF604" s="597"/>
      <c r="AG604" s="1723"/>
      <c r="AH604" s="1724"/>
      <c r="AI604" s="1724"/>
      <c r="AJ604" s="1724"/>
      <c r="AK604" s="1725"/>
      <c r="AL604" s="996"/>
      <c r="AM604" s="1747"/>
      <c r="AN604" s="1775"/>
      <c r="AO604" s="1777"/>
      <c r="AP604" s="1780"/>
      <c r="AQ604" s="1781"/>
      <c r="AR604" s="1795"/>
      <c r="AS604" s="1795"/>
      <c r="AT604" s="1796"/>
      <c r="AU604" s="1735"/>
      <c r="AV604" s="1752"/>
      <c r="AW604" s="1705"/>
      <c r="AX604" s="467"/>
      <c r="AY604" s="1749"/>
      <c r="AZ604" s="1749"/>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696"/>
      <c r="CQ604" s="1696"/>
      <c r="CR604" s="1809"/>
      <c r="CS604" s="1811"/>
      <c r="CU604" s="1688"/>
      <c r="CV604" s="1703"/>
      <c r="CW604" s="1703"/>
      <c r="CX604" s="1703"/>
      <c r="CY604" s="1815"/>
      <c r="CZ604" s="1711"/>
      <c r="DA604" s="1818"/>
      <c r="DB604" s="1820"/>
      <c r="DC604" s="1820"/>
      <c r="DD604" s="1820"/>
      <c r="DF604" s="1703"/>
      <c r="DG604" s="1831"/>
      <c r="DH604" s="1703"/>
      <c r="DI604" s="1838"/>
      <c r="DJ604" s="1711"/>
      <c r="DK604" s="1712"/>
      <c r="DM604" s="1718"/>
      <c r="DO604" s="1708"/>
      <c r="DQ604" s="1715"/>
      <c r="DR604" s="1720"/>
      <c r="DS604" s="1816"/>
      <c r="DT604" s="1714"/>
      <c r="DU604" s="1715"/>
      <c r="DV604" s="1716"/>
      <c r="DX604" s="1715"/>
      <c r="DY604" s="1720"/>
      <c r="DZ604" s="1715"/>
      <c r="EA604" s="1715"/>
      <c r="EC604" s="1834"/>
      <c r="ED604" s="1834"/>
      <c r="EF604" s="1707"/>
      <c r="EG604" s="1712"/>
      <c r="EH604" s="1818"/>
      <c r="EI604" s="1712"/>
      <c r="EJ604" s="1712"/>
      <c r="EK604" s="1836"/>
      <c r="EL604" s="1836"/>
      <c r="EM604" s="1807"/>
      <c r="EN604" s="1839"/>
      <c r="EO604" s="1839"/>
      <c r="EP604" s="1817"/>
      <c r="EQ604" s="1817"/>
      <c r="ER604" s="1807"/>
      <c r="ES604" s="1807"/>
      <c r="ET604" s="1807"/>
      <c r="EV604" s="1715"/>
      <c r="EX604" s="1805"/>
      <c r="EY604" s="1805"/>
      <c r="EZ604" s="1805"/>
      <c r="FA604" s="1805"/>
      <c r="FB604" s="1805"/>
      <c r="FC604" s="1827"/>
      <c r="FE604" s="1698"/>
      <c r="FG604" s="1816"/>
      <c r="FH604" s="1816"/>
      <c r="FI604" s="133"/>
      <c r="FL604" s="1823"/>
      <c r="FM604" s="1825"/>
      <c r="FN604" s="1698"/>
      <c r="FO604" s="1698"/>
      <c r="FP604" s="1678"/>
      <c r="FQ604" s="1678"/>
      <c r="FS604" s="1687"/>
      <c r="FT604" s="1687"/>
      <c r="FU604" s="1685"/>
      <c r="FV604" s="1687"/>
      <c r="FW604" s="1687"/>
      <c r="FX604" s="1687"/>
      <c r="FY604" s="1697"/>
      <c r="GA604" s="1696"/>
      <c r="GB604" s="1696"/>
      <c r="GC604" s="1696"/>
      <c r="GD604" s="1696"/>
      <c r="GE604" s="1696"/>
      <c r="GF604" s="1696"/>
      <c r="GG604" s="1696"/>
      <c r="GH604" s="1696"/>
      <c r="GI604" s="673"/>
      <c r="GJ604" s="1135"/>
      <c r="GK604" s="1832"/>
      <c r="GM604" s="1693" t="b">
        <f ca="1">IF(AND(GP604=TRUE,GQ604=TRUE),TRUE,FALSE)</f>
        <v>0</v>
      </c>
      <c r="GN604" s="1684" t="b">
        <f>IFERROR(IF(__Retrofit_TI_NC=2,TRUE,IF(AU603="Yes",TRUE,FALSE)),FALSE)</f>
        <v>1</v>
      </c>
      <c r="GP604" s="1684" t="b">
        <f>IFERROR(IF(GP603=1,TRUE,FALSE),FALSE)</f>
        <v>0</v>
      </c>
      <c r="GQ604" s="1684" t="b">
        <f ca="1">IFERROR(IF(GQ603=GQ$14,TRUE,FALSE),FALSE)</f>
        <v>0</v>
      </c>
      <c r="HG604" s="1684" t="b">
        <f>IFERROR(IF(AND(__Retrofit_TI_NC&gt;0,CQ603="Interior"),FALSE,TRUE),FALSE)</f>
        <v>1</v>
      </c>
      <c r="HH604" s="1684" t="b">
        <f>IFERROR(IF(M604=1,TRUE,FALSE),FALSE)</f>
        <v>0</v>
      </c>
      <c r="HI604" s="1684" t="b">
        <f>IFERROR(IF(OR(M605=1,N606="BAM"),TRUE,FALSE),FALSE)</f>
        <v>0</v>
      </c>
      <c r="HJ604" s="1684" t="b">
        <f>IFERROR(IF(__Retrofit_TI_NC&lt;&gt;0,TRUE,IFERROR(IF(VLOOKUP(U604,Fixtures_Existing_List,2,FALSE)&lt;&gt;"",TRUE,FALSE),FALSE)),FALSE)</f>
        <v>0</v>
      </c>
      <c r="HK604" s="1684" t="b">
        <f>IFERROR(IF(VLOOKUP(U605,Fixtures_Proposed_List,2,FALSE)&lt;&gt;"",TRUE,FALSE),FALSE)</f>
        <v>0</v>
      </c>
      <c r="HL604" s="1684" t="b">
        <f>IF(AND(__Retrofit_TI_NC=2,FC603=TRUE),FALSE,TRUE)</f>
        <v>1</v>
      </c>
      <c r="HM604" s="1684" t="b">
        <f>GK603</f>
        <v>1</v>
      </c>
      <c r="HN604" s="1682" t="b">
        <f>IF(ISERROR(MATCH(FE603,_Control_Match[],0))=TRUE,FALSE,TRUE)</f>
        <v>0</v>
      </c>
      <c r="HO604" s="1693" t="b">
        <f>IFERROR(IF(EX603&lt;&gt;EY603,FALSE,TRUE),FALSE)</f>
        <v>1</v>
      </c>
      <c r="HP604" s="1693" t="b">
        <f>IFERROR(IF(EX605&lt;&gt;EY605,FALSE,TRUE),FALSE)</f>
        <v>1</v>
      </c>
      <c r="HQ604" s="1670" t="b">
        <f>IFERROR(IF(CQ603="Exterior",TRUE,IF(AND(OR(FM605=0,FM605=3),JD605&gt;6),FALSE,TRUE)),FALSE)</f>
        <v>0</v>
      </c>
      <c r="HR604" s="1684" t="b">
        <f>IFERROR(IF(AND(FO605=7,FC603=TRUE),FALSE,TRUE),FALSE)</f>
        <v>0</v>
      </c>
      <c r="HS604" s="1684" t="b">
        <f>IFERROR(IF(AND(T605&lt;&gt;AF605,OR(AG605="Interior LLLC", AG605="Interior NLC", AG605="LLLC (outside Daylight)",AG605="LLLC Controls Only"))=TRUE,FALSE,TRUE),FALSE)</f>
        <v>1</v>
      </c>
      <c r="HT604" s="1670" t="b">
        <f>IFERROR(IF(OR(AG605=Lookup!BB$17,AG605=Lookup!BB$18,AG605=Lookup!BB$19)=TRUE,IF(AF605&gt;T605,FALSE,TRUE),TRUE),FALSE)</f>
        <v>1</v>
      </c>
      <c r="HU604" s="1684" t="b">
        <f>IFERROR(IF(__Retrofit_TI_NC=2,IF(EZ605&lt;EZ603,FALSE,TRUE),TRUE),FALSE)</f>
        <v>1</v>
      </c>
      <c r="HV604" s="1684" t="b">
        <f>IF(CQ603="Interior",IL$6,TRUE)</f>
        <v>1</v>
      </c>
      <c r="HW604" s="1684" t="b">
        <f>IF(CQ603="Exterior",IL$8,TRUE)</f>
        <v>1</v>
      </c>
      <c r="HX604" s="1684" t="b">
        <f>IFERROR(IF(__Retrofit_TI_NC&lt;&gt;0,IF(AZ603&lt;AY603,FALSE,TRUE),TRUE),FALSE)</f>
        <v>1</v>
      </c>
      <c r="HY604" s="1684" t="b">
        <f>IFERROR(IF(AND(G604="Exterior",R604&gt;4200),FALSE,TRUE),FALSE)</f>
        <v>1</v>
      </c>
      <c r="HZ604" s="1684" t="b">
        <f>IFERROR(IF(AB606/AB603&lt;HZ$18,FALSE,TRUE),FALSE)</f>
        <v>0</v>
      </c>
      <c r="IB604" s="1691"/>
      <c r="IC604" s="1695"/>
      <c r="ID604" s="1694" t="str">
        <f>VLOOKUP(IB606,_Error_Table,4,FALSE)</f>
        <v>White</v>
      </c>
      <c r="IE604" s="391"/>
      <c r="IF604" s="1688"/>
      <c r="IG604" s="1689"/>
      <c r="IH604" s="1684"/>
      <c r="IK604" s="1689"/>
      <c r="IL604" s="1691"/>
      <c r="IM604" s="1691"/>
      <c r="IN604" s="1691"/>
      <c r="IP604" s="1679"/>
      <c r="IQ604" s="1679"/>
      <c r="IR604" s="1679"/>
      <c r="IS604" s="1679"/>
      <c r="IT604" s="1679"/>
      <c r="IU604" s="1679"/>
      <c r="IV604" s="1679"/>
      <c r="IW604" s="1679"/>
      <c r="IX604" s="1679"/>
      <c r="IY604" s="1679"/>
      <c r="IZ604" s="1679"/>
      <c r="JA604" s="1679"/>
      <c r="JC604" s="1680"/>
      <c r="JD604" s="1670"/>
      <c r="JE604" s="1681"/>
      <c r="JG604" s="1680"/>
      <c r="JH604" s="1670"/>
      <c r="JI604" s="1060"/>
      <c r="JJ604" s="1683"/>
      <c r="JK604" s="1061"/>
      <c r="JL604" s="1683"/>
      <c r="JM604" s="1061"/>
      <c r="JN604" s="1683"/>
      <c r="JO604" s="1061"/>
      <c r="JP604" s="1683"/>
      <c r="JQ604" s="1061"/>
      <c r="JR604" s="1683"/>
      <c r="JS604" s="1061"/>
      <c r="JT604" s="1670"/>
      <c r="JU604" s="1061"/>
      <c r="JV604" s="1670"/>
      <c r="JX604" s="1670"/>
      <c r="JZ604" s="1683"/>
      <c r="KB604" s="1670"/>
    </row>
    <row r="605" spans="1:288" s="78" customFormat="1" ht="14.95" customHeight="1" thickTop="1" thickBot="1">
      <c r="A605" s="78">
        <f>ROW()</f>
        <v>605</v>
      </c>
      <c r="B605" s="1845"/>
      <c r="C605" s="1846"/>
      <c r="D605" s="1847"/>
      <c r="E605" s="1737" t="s">
        <v>298</v>
      </c>
      <c r="F605" s="1738"/>
      <c r="G605" s="1760"/>
      <c r="H605" s="1761"/>
      <c r="I605" s="1761"/>
      <c r="J605" s="1761"/>
      <c r="K605" s="1761"/>
      <c r="L605" s="1762"/>
      <c r="M605" s="461">
        <f>IFERROR(IF(IF(__Retrofit_TI_NC&lt;&gt;0,IF(CQ603="Interior",MATCH(G605,Lookup_Interior_New,0),MATCH(G605,Lookup_Exterior_New,0)),IF(CQ603="Interior",MATCH(G605,Lookup_Interior,0),MATCH(G605,Lookup_Exterior_Areas,0)))&gt;0,1,0),0)</f>
        <v>0</v>
      </c>
      <c r="N605" s="461" t="e">
        <f>IF(__Retrofit_TI_NC=1,
VLOOKUP(G605,'Space Table'!$B$3:$L$163,4,FALSE),
IF(__Retrofit_TI_NC=2,VLOOKUP(G605,'Space Table'!$B$3:$L$163,5,FALSE),VLOOKUP(G605,'Space Table'!$B$3:$L$163,5,FALSE)))</f>
        <v>#N/A</v>
      </c>
      <c r="O605" s="461">
        <f>G605</f>
        <v>0</v>
      </c>
      <c r="P605" s="1738" t="str">
        <f>IFERROR(IF(__Retrofit_TI_NC=1,VLOOKUP(G605,'Space Table'!$B$3:$O$163,13,FALSE),IF(__Retrofit_TI_NC=2,VLOOKUP(G605,'Space Table'!$B$3:$O$163,14,FALSE),"Area (sf):")),"Area (sf):")</f>
        <v>Area (sf):</v>
      </c>
      <c r="Q605" s="1738"/>
      <c r="R605" s="596"/>
      <c r="S605" s="1763" t="s">
        <v>345</v>
      </c>
      <c r="T605" s="594"/>
      <c r="U605" s="1801"/>
      <c r="V605" s="1802"/>
      <c r="W605" s="1802"/>
      <c r="X605" s="1802"/>
      <c r="Y605" s="1802"/>
      <c r="Z605" s="1802"/>
      <c r="AA605" s="1802"/>
      <c r="AB605" s="1802"/>
      <c r="AC605" s="1802"/>
      <c r="AD605" s="1802"/>
      <c r="AE605" s="1803"/>
      <c r="AF605" s="594"/>
      <c r="AG605" s="1787"/>
      <c r="AH605" s="1787"/>
      <c r="AI605" s="1787"/>
      <c r="AJ605" s="1787"/>
      <c r="AK605" s="1787"/>
      <c r="AL605" s="1787"/>
      <c r="AM605" s="1726">
        <f>IFERROR(DI605,"")</f>
        <v>0</v>
      </c>
      <c r="AN605" s="1728" t="str">
        <f>IFERROR(ROUND(AM605*AC606,0),"")</f>
        <v/>
      </c>
      <c r="AO605" s="1730">
        <f>IFERROR(IF(IB603=FALSE,0,AC606-AN605),0)</f>
        <v>0</v>
      </c>
      <c r="AP605" s="1780"/>
      <c r="AQ605" s="1781"/>
      <c r="AR605" s="1795"/>
      <c r="AS605" s="1795"/>
      <c r="AT605" s="1796"/>
      <c r="AU605" s="1735"/>
      <c r="AV605" s="1752"/>
      <c r="AW605" s="1705"/>
      <c r="AX605" s="467"/>
      <c r="AY605" s="1749"/>
      <c r="AZ605" s="1749"/>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696"/>
      <c r="CQ605" s="1696"/>
      <c r="CR605" s="1808" t="str">
        <f>CQ603</f>
        <v/>
      </c>
      <c r="CS605" s="1810" t="str">
        <f>CS603</f>
        <v/>
      </c>
      <c r="CU605" s="1688" t="s">
        <v>345</v>
      </c>
      <c r="CV605" s="1702">
        <f>IF(IB603=TRUE,T605,0)</f>
        <v>0</v>
      </c>
      <c r="CW605" s="1702" t="str">
        <f>IF(IB603=TRUE,U605,"")</f>
        <v/>
      </c>
      <c r="CX605" s="1812">
        <f>IF(IB603=TRUE,U606,0)</f>
        <v>0</v>
      </c>
      <c r="CY605" s="1814">
        <f>IF(IB603=TRUE,AB606,0)</f>
        <v>0</v>
      </c>
      <c r="CZ605" s="1710">
        <f>IF(AND(__Retrofit_TI_NC&gt;0,CR603="interior"),0,IF(IB603=TRUE,AC606,0))</f>
        <v>0</v>
      </c>
      <c r="DA605" s="1818"/>
      <c r="DB605" s="1820"/>
      <c r="DC605" s="1820"/>
      <c r="DD605" s="1820"/>
      <c r="DF605" s="1702">
        <f>IF(IB603=TRUE,AF605,0)</f>
        <v>0</v>
      </c>
      <c r="DG605" s="1830" t="str">
        <f>IF(IB603=TRUE,AG605,"")</f>
        <v/>
      </c>
      <c r="DH605" s="1812">
        <f>AG606</f>
        <v>0</v>
      </c>
      <c r="DI605" s="1837">
        <f>JE605</f>
        <v>0</v>
      </c>
      <c r="DJ605" s="1710">
        <f>IF(AND(__Retrofit_TI_NC&gt;0,CR603="interior"),0,IF(IB603=TRUE,AN605,0))</f>
        <v>0</v>
      </c>
      <c r="DK605" s="1712"/>
      <c r="DN605" s="1717">
        <f>IFERROR(CZ605-DJ605,0)</f>
        <v>0</v>
      </c>
      <c r="DO605" s="1709"/>
      <c r="DQ605" s="1715"/>
      <c r="DR605" s="1719" t="str">
        <f>DQ603</f>
        <v/>
      </c>
      <c r="DS605" s="1816"/>
      <c r="DT605" s="1835" t="str">
        <f>IF(OR(DS603=7,DS603=8,DS603=9),"ALC","")</f>
        <v/>
      </c>
      <c r="DU605" s="1715"/>
      <c r="DV605" s="1716"/>
      <c r="DX605" s="1715"/>
      <c r="DY605" s="1829" t="str">
        <f>DX603</f>
        <v/>
      </c>
      <c r="DZ605" s="1715"/>
      <c r="EA605" s="1715"/>
      <c r="EC605" s="1834"/>
      <c r="ED605" s="1834"/>
      <c r="EF605" s="1707"/>
      <c r="EG605" s="1712"/>
      <c r="EH605" s="1818"/>
      <c r="EI605" s="1712"/>
      <c r="EJ605" s="1712"/>
      <c r="EK605" s="1836"/>
      <c r="EL605" s="1836"/>
      <c r="EM605" s="1807"/>
      <c r="EN605" s="1839"/>
      <c r="EO605" s="1839"/>
      <c r="EP605" s="1817"/>
      <c r="EQ605" s="1817"/>
      <c r="ER605" s="1807"/>
      <c r="ES605" s="1807"/>
      <c r="ET605" s="1807"/>
      <c r="EV605" s="1715"/>
      <c r="EX605" s="1805" t="str">
        <f>IFERROR(VLOOKUP(CS605,'Space Table'!$B$3:$L$163,8,FALSE),"")</f>
        <v/>
      </c>
      <c r="EY605" s="1805" t="str">
        <f>IFERROR(IF(FB605="Yes",VLOOKUP(AG605,Lookup_Control_Type_Table2,4,FALSE),VLOOKUP(AG605,Lookup_Control_Type_Table2,3,FALSE)),"")</f>
        <v/>
      </c>
      <c r="EZ605" s="1805" t="e">
        <f>VLOOKUP(AG605,Lookup!BB$3:BC$20,2,FALSE)</f>
        <v>#N/A</v>
      </c>
      <c r="FA605" s="1805" t="e">
        <f>VLOOKUP(EX603,Lookup_Control_Type_Table,2,FALSE)</f>
        <v>#N/A</v>
      </c>
      <c r="FB605" s="1805" t="e">
        <f>VLOOKUP(CS605,'Space Table'!$B$3:$L$163,7,FALSE)</f>
        <v>#N/A</v>
      </c>
      <c r="FC605" s="1827"/>
      <c r="FE605" s="1698" t="str">
        <f>CONCATENATE(CQ603," - ",AG605)</f>
        <v xml:space="preserve"> - </v>
      </c>
      <c r="FG605" s="1816"/>
      <c r="FH605" s="1816"/>
      <c r="FI605" s="133"/>
      <c r="FL605" s="1822" t="str">
        <f>IF(CQ603="Exterior","Not Daylighted",G606)</f>
        <v>Not Daylighted</v>
      </c>
      <c r="FM605" s="1824">
        <f>VLOOKUP(FL605,_New_Daylight_Table_Codes,2,FALSE)</f>
        <v>0</v>
      </c>
      <c r="FN605" s="1698">
        <f>AG605</f>
        <v>0</v>
      </c>
      <c r="FO605" s="1698" t="e">
        <f>VLOOKUP(FN605,_Control_Table,2,FALSE)</f>
        <v>#N/A</v>
      </c>
      <c r="FP605" s="1678" t="e">
        <f>VLOOKUP(CONCATENATE(FL605," ",FN605),Lookup!AY$102:AZ616,2,FALSE)</f>
        <v>#N/A</v>
      </c>
      <c r="FQ605" s="1698">
        <f>IF(__Retrofit_TI_NC=0,FN605,IF(AND(FT605&gt;0,FN605="Occupancy Sensor"),"Daylight + Occupancy",IF(AND(FT605&gt;0,FO605&lt;4),"Interior Daylight Dimming",FN605)))</f>
        <v>0</v>
      </c>
      <c r="FS605" s="1686">
        <f>IF(CQ603="Interior",VLOOKUP(CS603,Control_Savings_Interior,5,FALSE),0)</f>
        <v>0</v>
      </c>
      <c r="FT605" s="1687">
        <f>IF(CQ605="Exterior",0,IF(FM605=2,0.5,IF(OR(FM605=1,FM605=3),1,0)))</f>
        <v>0</v>
      </c>
      <c r="FU605" s="1685">
        <f>IF(R604&gt;FS$44,(FS605*(FS$44/R604)),FS605)*FT605</f>
        <v>0</v>
      </c>
      <c r="FV605" s="1686">
        <f>DI605</f>
        <v>0</v>
      </c>
      <c r="FW605" s="1686">
        <f>ROUND(FV605+((1-FV605)*FU605),2)</f>
        <v>0</v>
      </c>
      <c r="FX605" s="1686">
        <f>IF(__Retrofit_TI_NC=2,FW605,FV605)</f>
        <v>0</v>
      </c>
      <c r="FY605" s="1697">
        <f>IF(CR605="Interior",VLOOKUP(CS605,Control_Savings_Interior,4,FALSE),0)</f>
        <v>0</v>
      </c>
      <c r="GA605" s="1696"/>
      <c r="GB605" s="1696"/>
      <c r="GC605" s="1696"/>
      <c r="GD605" s="1696"/>
      <c r="GE605" s="1696"/>
      <c r="GF605" s="1696"/>
      <c r="GG605" s="1696"/>
      <c r="GH605" s="1696"/>
      <c r="GI605" s="673" t="b">
        <f>IF(ISNUMBER(SEARCH("TLED",U605)),TRUE,FALSE)</f>
        <v>0</v>
      </c>
      <c r="GJ605" s="1135" t="str">
        <f>IFERROR(VLOOKUP(U605,Fixtures!DM$93:DR$142,6,FALSE),"")</f>
        <v/>
      </c>
      <c r="GK605" s="1832"/>
      <c r="GM605" s="1692"/>
      <c r="GN605" s="1684"/>
      <c r="GP605" s="1684"/>
      <c r="GQ605" s="1684"/>
      <c r="HG605" s="1684"/>
      <c r="HH605" s="1684"/>
      <c r="HI605" s="1684"/>
      <c r="HJ605" s="1684"/>
      <c r="HK605" s="1684"/>
      <c r="HL605" s="1684"/>
      <c r="HM605" s="1684"/>
      <c r="HN605" s="1683"/>
      <c r="HO605" s="1692"/>
      <c r="HP605" s="1692"/>
      <c r="HQ605" s="1670"/>
      <c r="HR605" s="1684"/>
      <c r="HS605" s="1684"/>
      <c r="HT605" s="1670"/>
      <c r="HU605" s="1684"/>
      <c r="HV605" s="1684"/>
      <c r="HW605" s="1684"/>
      <c r="HX605" s="1684"/>
      <c r="HY605" s="1684"/>
      <c r="HZ605" s="1684"/>
      <c r="IB605" s="1692"/>
      <c r="IC605" s="1693" t="b">
        <f>IB603</f>
        <v>0</v>
      </c>
      <c r="ID605" s="1695"/>
      <c r="IE605" s="391"/>
      <c r="IF605" s="1688"/>
      <c r="IG605" s="1689">
        <f ca="1">IF(IF603=TRUE,AC606,0)</f>
        <v>0</v>
      </c>
      <c r="IH605" s="1684"/>
      <c r="IK605" s="1689" t="e">
        <f>ROUND(T605*AB606*N604*R604/1000,0)</f>
        <v>#VALUE!</v>
      </c>
      <c r="IL605" s="1691"/>
      <c r="IM605" s="1693" t="e">
        <f>ROUND(T605*AB606*N604*R604/1000,0)</f>
        <v>#VALUE!</v>
      </c>
      <c r="IN605" s="1691"/>
      <c r="IP605" s="1679"/>
      <c r="IQ605" s="1679" t="e">
        <f t="shared" ref="IQ605:IU605" si="552">IF($CR605="interior",VLOOKUP($CS605,_New_Control_Savings_Interior,IQ$30,FALSE),VLOOKUP($CS605,Control_Savings_Exterior,IQ$30,FALSE))</f>
        <v>#N/A</v>
      </c>
      <c r="IR605" s="1679" t="e">
        <f t="shared" si="552"/>
        <v>#N/A</v>
      </c>
      <c r="IS605" s="1679" t="e">
        <f t="shared" si="552"/>
        <v>#N/A</v>
      </c>
      <c r="IT605" s="1679" t="e">
        <f t="shared" si="552"/>
        <v>#N/A</v>
      </c>
      <c r="IU605" s="1679" t="e">
        <f t="shared" si="552"/>
        <v>#N/A</v>
      </c>
      <c r="IV605" s="1679" t="e">
        <f>IF($CR605="interior",IF(R604&gt;$IP$14,ROUND(($IV$18*($IP$14/R604)),2),$IV$18),VLOOKUP($CS605,Control_Savings_Exterior,IV$30,FALSE))</f>
        <v>#N/A</v>
      </c>
      <c r="IW605" s="1679" t="e">
        <f>IF($CR605="interior",ROUND(((1-IS605)*IV605)+IS605,2),VLOOKUP($CS605,Control_Savings_Exterior,IW$30,FALSE))</f>
        <v>#N/A</v>
      </c>
      <c r="IX605" s="1679" t="e">
        <f>IF($CR605="interior",ROUND(((1-IT605)*IV605)+IT605,2),VLOOKUP($CS605,Control_Savings_Exterior,IX$30,FALSE))</f>
        <v>#N/A</v>
      </c>
      <c r="IY605" s="1679" t="e">
        <f>IF($CR605="interior",IF(R604&gt;$IP$14,ROUND(($IY$18*($IP$14/R604)),2),$IY$18),VLOOKUP($CS605,Control_Savings_Exterior,IY$30,FALSE))</f>
        <v>#N/A</v>
      </c>
      <c r="IZ605" s="1679" t="e">
        <f>IF($CR605="interior",ROUND(((1-IS605)*IY605)+IS605,2),VLOOKUP($CS605,Control_Savings_Exterior,IZ$30,FALSE))</f>
        <v>#N/A</v>
      </c>
      <c r="JA605" s="1679" t="e">
        <f>IF($CR605="interior",ROUND(((1-IT605)*IY605)+IT605,2),VLOOKUP($CS605,Control_Savings_Exterior,JA$30,FALSE))</f>
        <v>#N/A</v>
      </c>
      <c r="JC605" s="1680">
        <f>IFERROR(IF(CR605="Interior",CONCATENATE(G606," ",FQ605),AG605),"")</f>
        <v>0</v>
      </c>
      <c r="JD605" s="1670" t="str">
        <f>IFERROR(VLOOKUP(JC605,_Controls_2023,2,FALSE),"")</f>
        <v/>
      </c>
      <c r="JE605" s="1681">
        <f>IFERROR(CHOOSE(JD605-1,IQ605,IR605,IS605,IT605,IU605,IV605,IW605,IX605,IY605,IZ605,JA605),0)</f>
        <v>0</v>
      </c>
      <c r="JG605" s="1680" t="str">
        <f>FE605</f>
        <v xml:space="preserve"> - </v>
      </c>
      <c r="JH605" s="1670" t="e">
        <f>$FO605</f>
        <v>#N/A</v>
      </c>
      <c r="JI605" s="1060"/>
      <c r="JJ605" s="1670">
        <f>IFERROR(IF($IB603=TRUE,IF(OR(JJ$14="No",JJ603=FALSE,JH605&lt;=JH603,AND(_kWh_Grant=0,GD603=FALSE)),0,IF(JJ$8="Per Line",1,$AF605)),0),0)</f>
        <v>0</v>
      </c>
      <c r="JK605" s="1061"/>
      <c r="JL605" s="1670">
        <f>IFERROR(IF(_kWh_Grant=0,0,IF($IB603=TRUE,IF(OR(JL$14="No",JL603=FALSE,JH605&lt;=JH603),0,IF(JL$8="Per Line",1,$T605)),0)),0)</f>
        <v>0</v>
      </c>
      <c r="JM605" s="1061"/>
      <c r="JN605" s="1670">
        <f>IFERROR(IF(_kWh_Grant=0,0,IF($IB603=TRUE,IF(OR(JN$14="No",JN603=FALSE,JH605&lt;=JH603),0,IF(JN$8="Per Line",1,$AF605)),0)),0)</f>
        <v>0</v>
      </c>
      <c r="JO605" s="1061"/>
      <c r="JP605" s="1670">
        <f>IFERROR(IF(__Retrofit_TI_NC=0,IF(_kWh_Grant=0,0,IF($IB603=TRUE,IF(OR(JP$14="No",JP603=FALSE,$JH605&lt;=$JH603),0,IF(JP$8="Per Line",1,$AF605)),0)),IF($IB603=TRUE,IF(OR(JP$14="No",JP603=FALSE,$JH605&lt;=$JH603),0,IF(JP$8="Per Line",1,$AF605)))),0)</f>
        <v>0</v>
      </c>
      <c r="JQ605" s="1061"/>
      <c r="JR605" s="1670">
        <f>IFERROR(IF(__Retrofit_TI_NC=0,IF(_kWh_Grant=0,0,IF($IB603=TRUE,IF(OR(JR$14="No",JR603=FALSE,$JH605&lt;=$JH603),0,IF(JR$8="Per Line",1,$AF605)),0)),IF($IB603=TRUE,IF(OR(JR$14="No",JR603=FALSE,$JH605&lt;=$JH603),0,IF(JR$8="Per Line",1,$AF605)))),0)</f>
        <v>0</v>
      </c>
      <c r="JS605" s="1061"/>
      <c r="JT605" s="1670">
        <f>IFERROR(IF(__Retrofit_TI_NC=0,IF(_kWh_Grant=0,0,IF($IB603=TRUE,IF(OR(JT$14="No",JT603=FALSE,$JH605&lt;=$JH603),0,IF(JT$8="Per Line",1,$AF605)),0)),IF($IB603=TRUE,IF(OR(JT$14="No",JT603=FALSE,$JH605&lt;=$JH603),0,IF(JT$8="Per Line",1,$AF605)))),0)</f>
        <v>0</v>
      </c>
      <c r="JU605" s="1061"/>
      <c r="JV605" s="1670">
        <f>IFERROR(IF(__Retrofit_TI_NC=0,IF(_kWh_Grant=0,0,IF($IB603=TRUE,IF(OR(JV$14="No",JV603=FALSE,$JH605&lt;=$JH603),0,IF(JV$8="Per Line",1,$AF605)),0)),IF($IB603=TRUE,IF(OR(JV$14="No",JV603=FALSE,$JH605&lt;=$JH603),0,IF(JV$8="Per Line",1,$AF605)))),0)</f>
        <v>0</v>
      </c>
      <c r="JX605" s="1670">
        <f>IFERROR(IF(__Retrofit_TI_NC=0,IF(_kWh_Grant=0,0,IF($IB603=TRUE,IF(OR(JX$14="No",JX603=FALSE,$JH605&lt;=$JH603),0,IF(JX$8="Per Line",1,$AF605)),0)),IF($IB603=TRUE,IF(OR(JX$14="No",JX603=FALSE,$JH605&lt;=$JH603),0,IF(JX$8="Per Line",1,$AF605)))),0)</f>
        <v>0</v>
      </c>
      <c r="JZ605" s="1670">
        <f>IFERROR(IF($IB603=TRUE,IF(OR(JZ$14="No",JZ603=FALSE,$JH605&lt;=$JH603,AND(_kWh_Grant=0,$GD603=FALSE)),0,IF(JZ$8="Per Line",1,$AF605)),0),0)</f>
        <v>0</v>
      </c>
      <c r="KB605" s="1670">
        <f>IFERROR(IF(__Retrofit_TI_NC=0,IF(_kWh_Grant=0,0,IF($IB603=TRUE,IF(OR(KB$14="No",KB603=FALSE,$JH605&lt;=$JH603),0,IF(KB$8="Per Line",1,$AF605)),0)),IF($IB603=TRUE,IF(OR(KB$14="No",KB603=FALSE,$JH605&lt;=$JH603),0,IF(KB$8="Per Line",1,$AF605)))),0)</f>
        <v>0</v>
      </c>
    </row>
    <row r="606" spans="1:288" s="78" customFormat="1" ht="14.95" customHeight="1" thickTop="1" thickBot="1">
      <c r="B606" s="1845"/>
      <c r="C606" s="1846"/>
      <c r="D606" s="1847"/>
      <c r="E606" s="1771" t="s">
        <v>436</v>
      </c>
      <c r="F606" s="1772"/>
      <c r="G606" s="1784" t="s">
        <v>437</v>
      </c>
      <c r="H606" s="1785"/>
      <c r="I606" s="1785"/>
      <c r="J606" s="1785"/>
      <c r="K606" s="1785"/>
      <c r="L606" s="1786"/>
      <c r="M606" s="591">
        <f>IFERROR(VLOOKUP(G606,_Daylight_Table[],2,FALSE),0)</f>
        <v>0</v>
      </c>
      <c r="N606" s="592" t="str">
        <f>IF(AND(__Retrofit_TI_NC&gt;0,CQ603="Interior"),"BAM","")</f>
        <v/>
      </c>
      <c r="O606" s="591" t="e">
        <f>VLOOKUP(G605,'Space Table'!$B$3:$L$163,11,FALSE)</f>
        <v>#N/A</v>
      </c>
      <c r="P606" s="1789"/>
      <c r="Q606" s="1790"/>
      <c r="R606" s="1790"/>
      <c r="S606" s="1788"/>
      <c r="T606" s="593" t="s">
        <v>342</v>
      </c>
      <c r="U606" s="1756" t="str" cm="1">
        <f t="array" aca="1" ref="U606" ca="1">IFERROR(VLOOKUP(INDIRECT("U" &amp; ROW()-1),Fixtures!DM$93:DP$142,4,FALSE),"")</f>
        <v/>
      </c>
      <c r="V606" s="1757"/>
      <c r="W606" s="1757"/>
      <c r="X606" s="1757"/>
      <c r="Y606" s="1757"/>
      <c r="Z606" s="1757"/>
      <c r="AA606" s="1758"/>
      <c r="AB606" s="939" t="str">
        <f>IFERROR(VLOOKUP(U605,Fixtures_Proposed_List,2,FALSE),"")</f>
        <v/>
      </c>
      <c r="AC606" s="933" t="str">
        <f>IFERROR(ROUND(T605*AB606*N604*R604/1000,0),"")</f>
        <v/>
      </c>
      <c r="AD606" s="934" t="str">
        <f>IFERROR(ROUND(T605*AB606/1000,2),"")</f>
        <v/>
      </c>
      <c r="AE606" s="998"/>
      <c r="AF606" s="938" t="s">
        <v>342</v>
      </c>
      <c r="AG606" s="1770"/>
      <c r="AH606" s="1770"/>
      <c r="AI606" s="1770"/>
      <c r="AJ606" s="1770"/>
      <c r="AK606" s="1770"/>
      <c r="AL606" s="1770"/>
      <c r="AM606" s="1727"/>
      <c r="AN606" s="1729"/>
      <c r="AO606" s="1731"/>
      <c r="AP606" s="1782"/>
      <c r="AQ606" s="1783"/>
      <c r="AR606" s="1797"/>
      <c r="AS606" s="1797"/>
      <c r="AT606" s="1798"/>
      <c r="AU606" s="1736"/>
      <c r="AV606" s="1753"/>
      <c r="AW606" s="1706"/>
      <c r="AX606" s="468"/>
      <c r="AY606" s="1750"/>
      <c r="AZ606" s="1750"/>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696"/>
      <c r="CQ606" s="1696"/>
      <c r="CR606" s="1809"/>
      <c r="CS606" s="1811"/>
      <c r="CU606" s="1688"/>
      <c r="CV606" s="1703"/>
      <c r="CW606" s="1703"/>
      <c r="CX606" s="1813"/>
      <c r="CY606" s="1815"/>
      <c r="CZ606" s="1711"/>
      <c r="DA606" s="1815"/>
      <c r="DB606" s="1821"/>
      <c r="DC606" s="1821"/>
      <c r="DD606" s="1821"/>
      <c r="DF606" s="1703"/>
      <c r="DG606" s="1831"/>
      <c r="DH606" s="1813"/>
      <c r="DI606" s="1838"/>
      <c r="DJ606" s="1711"/>
      <c r="DK606" s="1712"/>
      <c r="DN606" s="1718"/>
      <c r="DO606" s="1709"/>
      <c r="DQ606" s="1715"/>
      <c r="DR606" s="1720"/>
      <c r="DS606" s="1703"/>
      <c r="DT606" s="1714"/>
      <c r="DU606" s="1715"/>
      <c r="DV606" s="1716"/>
      <c r="DX606" s="1715"/>
      <c r="DY606" s="1720"/>
      <c r="DZ606" s="1715"/>
      <c r="EA606" s="1715"/>
      <c r="EC606" s="1834"/>
      <c r="ED606" s="1834"/>
      <c r="EF606" s="1707"/>
      <c r="EG606" s="1712"/>
      <c r="EH606" s="1815"/>
      <c r="EI606" s="1712"/>
      <c r="EJ606" s="1712"/>
      <c r="EK606" s="1813"/>
      <c r="EL606" s="1813"/>
      <c r="EM606" s="1807"/>
      <c r="EN606" s="1839"/>
      <c r="EO606" s="1839"/>
      <c r="EP606" s="1817"/>
      <c r="EQ606" s="1817"/>
      <c r="ER606" s="1807"/>
      <c r="ES606" s="1807"/>
      <c r="ET606" s="1807"/>
      <c r="EV606" s="1715"/>
      <c r="EX606" s="1806"/>
      <c r="EY606" s="1806"/>
      <c r="EZ606" s="1806"/>
      <c r="FA606" s="1806"/>
      <c r="FB606" s="1806"/>
      <c r="FC606" s="1828"/>
      <c r="FE606" s="1698"/>
      <c r="FG606" s="1703"/>
      <c r="FH606" s="1703"/>
      <c r="FI606" s="133"/>
      <c r="FL606" s="1823"/>
      <c r="FM606" s="1825"/>
      <c r="FN606" s="1698"/>
      <c r="FO606" s="1698"/>
      <c r="FP606" s="1678"/>
      <c r="FQ606" s="1698"/>
      <c r="FS606" s="1687"/>
      <c r="FT606" s="1687"/>
      <c r="FU606" s="1685"/>
      <c r="FV606" s="1687"/>
      <c r="FW606" s="1687"/>
      <c r="FX606" s="1687"/>
      <c r="FY606" s="1697"/>
      <c r="GA606" s="1696"/>
      <c r="GB606" s="1696"/>
      <c r="GC606" s="1696"/>
      <c r="GD606" s="1696"/>
      <c r="GE606" s="1696"/>
      <c r="GF606" s="1696"/>
      <c r="GG606" s="1696"/>
      <c r="GH606" s="1696"/>
      <c r="GI606" s="673"/>
      <c r="GJ606" s="1135"/>
      <c r="GK606" s="1832"/>
      <c r="GN606" s="674">
        <f>IF(GN604=TRUE,0,GN$16)</f>
        <v>0</v>
      </c>
      <c r="GP606" s="674">
        <f>IF(GP604=TRUE,0,GP$16)</f>
        <v>36</v>
      </c>
      <c r="GQ606" s="674">
        <f ca="1">IF(GQ604=TRUE,0,GQ$16)</f>
        <v>35</v>
      </c>
      <c r="GR606" s="391"/>
      <c r="GS606" s="391"/>
      <c r="GT606" s="391"/>
      <c r="GU606" s="391"/>
      <c r="GV606" s="391"/>
      <c r="HG606" s="674">
        <f>IF(HG604=TRUE,0,HG$16)</f>
        <v>0</v>
      </c>
      <c r="HH606" s="674">
        <f t="shared" ref="HH606:HM606" si="553">IF(HH604=TRUE,0,HH$16)</f>
        <v>19</v>
      </c>
      <c r="HI606" s="674">
        <f t="shared" si="553"/>
        <v>18</v>
      </c>
      <c r="HJ606" s="674">
        <f t="shared" si="553"/>
        <v>17</v>
      </c>
      <c r="HK606" s="674">
        <f t="shared" si="553"/>
        <v>16</v>
      </c>
      <c r="HL606" s="674">
        <f t="shared" si="553"/>
        <v>0</v>
      </c>
      <c r="HM606" s="674">
        <f t="shared" si="553"/>
        <v>0</v>
      </c>
      <c r="HN606" s="674">
        <f>IF(HN604=TRUE,0,HN$16)</f>
        <v>13</v>
      </c>
      <c r="HO606" s="674">
        <f t="shared" ref="HO606:HQ606" si="554">IF(HO604=TRUE,0,HO$16)</f>
        <v>0</v>
      </c>
      <c r="HP606" s="674">
        <f t="shared" si="554"/>
        <v>0</v>
      </c>
      <c r="HQ606" s="674">
        <f t="shared" si="554"/>
        <v>10</v>
      </c>
      <c r="HR606" s="674">
        <f>IF(HR604=TRUE,0,HR$16)</f>
        <v>9</v>
      </c>
      <c r="HS606" s="674">
        <f t="shared" ref="HS606:HW606" si="555">IF(HS604=TRUE,0,HS$16)</f>
        <v>0</v>
      </c>
      <c r="HT606" s="674">
        <f t="shared" si="555"/>
        <v>0</v>
      </c>
      <c r="HU606" s="674">
        <f t="shared" si="555"/>
        <v>0</v>
      </c>
      <c r="HV606" s="674">
        <f t="shared" si="555"/>
        <v>0</v>
      </c>
      <c r="HW606" s="674">
        <f t="shared" si="555"/>
        <v>0</v>
      </c>
      <c r="HX606" s="674">
        <f>IF(HX604=TRUE,0,HX$16)</f>
        <v>0</v>
      </c>
      <c r="HY606" s="674">
        <f>IF(HY604=TRUE,0,HY$16)</f>
        <v>0</v>
      </c>
      <c r="HZ606" s="674">
        <f>IF(HZ604=TRUE,0,HZ$16)</f>
        <v>1</v>
      </c>
      <c r="IB606" s="674">
        <f>IF(GP604=FALSE,GP606,IF(GQ604=FALSE,GQ606,MAX(GN606:HZ606)))</f>
        <v>36</v>
      </c>
      <c r="IC606" s="1692"/>
      <c r="ID606" s="205" t="str">
        <f>VLOOKUP(IB606,_Error_Table,3,FALSE)</f>
        <v xml:space="preserve"> </v>
      </c>
      <c r="IE606" s="205"/>
      <c r="IF606" s="1688"/>
      <c r="IG606" s="1689"/>
      <c r="IH606" s="1684"/>
      <c r="IK606" s="1689"/>
      <c r="IL606" s="1692"/>
      <c r="IM606" s="1692"/>
      <c r="IN606" s="1692"/>
      <c r="IP606" s="1679"/>
      <c r="IQ606" s="1679"/>
      <c r="IR606" s="1679"/>
      <c r="IS606" s="1679"/>
      <c r="IT606" s="1679"/>
      <c r="IU606" s="1679"/>
      <c r="IV606" s="1679"/>
      <c r="IW606" s="1679"/>
      <c r="IX606" s="1679"/>
      <c r="IY606" s="1679"/>
      <c r="IZ606" s="1679"/>
      <c r="JA606" s="1679"/>
      <c r="JC606" s="1680"/>
      <c r="JD606" s="1670"/>
      <c r="JE606" s="1681"/>
      <c r="JG606" s="1680"/>
      <c r="JH606" s="1670"/>
      <c r="JI606" s="1060"/>
      <c r="JJ606" s="1670"/>
      <c r="JK606" s="1061"/>
      <c r="JL606" s="1670"/>
      <c r="JM606" s="1061"/>
      <c r="JN606" s="1670"/>
      <c r="JO606" s="1061"/>
      <c r="JP606" s="1670"/>
      <c r="JQ606" s="1061"/>
      <c r="JR606" s="1670"/>
      <c r="JS606" s="1061"/>
      <c r="JT606" s="1670"/>
      <c r="JU606" s="1061"/>
      <c r="JV606" s="1670"/>
      <c r="JX606" s="1670"/>
      <c r="JZ606" s="1670"/>
      <c r="KB606" s="1670"/>
    </row>
    <row r="607" spans="1:288" s="78" customFormat="1" ht="5.0999999999999996" customHeight="1">
      <c r="B607" s="676"/>
      <c r="C607" s="392"/>
      <c r="D607" s="392"/>
      <c r="E607" s="1733"/>
      <c r="F607" s="1733"/>
      <c r="G607" s="1733"/>
      <c r="H607" s="1733"/>
      <c r="I607" s="1733"/>
      <c r="J607" s="1733"/>
      <c r="K607" s="1733"/>
      <c r="L607" s="1733"/>
      <c r="M607" s="1733"/>
      <c r="N607" s="1733"/>
      <c r="O607" s="1733"/>
      <c r="P607" s="1733"/>
      <c r="Q607" s="1733"/>
      <c r="R607" s="1733"/>
      <c r="S607" s="1733"/>
      <c r="T607" s="1733"/>
      <c r="U607" s="1733"/>
      <c r="V607" s="1733"/>
      <c r="W607" s="1733"/>
      <c r="X607" s="1733"/>
      <c r="Y607" s="1733"/>
      <c r="Z607" s="1733"/>
      <c r="AA607" s="1733"/>
      <c r="AB607" s="1733"/>
      <c r="AC607" s="1733"/>
      <c r="AD607" s="1733"/>
      <c r="AE607" s="1733"/>
      <c r="AF607" s="1733"/>
      <c r="AG607" s="1733"/>
      <c r="AH607" s="1733"/>
      <c r="AI607" s="1733"/>
      <c r="AJ607" s="1733"/>
      <c r="AK607" s="1733"/>
      <c r="AL607" s="1733"/>
      <c r="AM607" s="1733"/>
      <c r="AN607" s="1733"/>
      <c r="AO607" s="1733"/>
      <c r="AP607" s="1733"/>
      <c r="AQ607" s="1733"/>
      <c r="AR607" s="1733"/>
      <c r="AS607" s="1733"/>
      <c r="AT607" s="1733"/>
      <c r="AU607" s="1733"/>
      <c r="AV607" s="1733"/>
      <c r="AW607" s="1733"/>
      <c r="AX607" s="469"/>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663"/>
      <c r="CQ607" s="663"/>
      <c r="CR607" s="438"/>
      <c r="CS607" s="663"/>
      <c r="CV607" s="391"/>
      <c r="CW607" s="391"/>
      <c r="CX607" s="207"/>
      <c r="CY607" s="208"/>
      <c r="CZ607" s="208"/>
      <c r="DA607" s="208"/>
      <c r="DB607" s="209"/>
      <c r="DC607" s="209"/>
      <c r="DD607" s="209"/>
      <c r="DF607" s="664"/>
      <c r="DG607" s="665"/>
      <c r="DH607" s="666"/>
      <c r="DI607" s="667"/>
      <c r="DJ607" s="668"/>
      <c r="DK607" s="668"/>
      <c r="DN607" s="208"/>
      <c r="DO607" s="664"/>
      <c r="DQ607" s="664"/>
      <c r="DR607" s="669"/>
      <c r="DS607" s="391"/>
      <c r="DT607" s="664"/>
      <c r="DU607" s="664"/>
      <c r="DV607" s="664"/>
      <c r="DX607" s="664"/>
      <c r="DY607" s="664"/>
      <c r="DZ607" s="664"/>
      <c r="EA607" s="664"/>
      <c r="EC607" s="670"/>
      <c r="ED607" s="670"/>
      <c r="EF607" s="668"/>
      <c r="EG607" s="668"/>
      <c r="EH607" s="208"/>
      <c r="EI607" s="668"/>
      <c r="EJ607" s="668"/>
      <c r="EK607" s="207"/>
      <c r="EL607" s="207"/>
      <c r="EM607" s="666"/>
      <c r="EN607" s="671"/>
      <c r="EO607" s="671"/>
      <c r="EP607" s="672"/>
      <c r="EQ607" s="672"/>
      <c r="ER607" s="666"/>
      <c r="ES607" s="666"/>
      <c r="ET607" s="666"/>
      <c r="EV607" s="664"/>
      <c r="EX607" s="391"/>
      <c r="EY607" s="391"/>
      <c r="EZ607" s="391"/>
      <c r="FA607" s="391"/>
      <c r="FB607" s="391"/>
      <c r="FC607" s="391"/>
      <c r="FE607" s="569"/>
      <c r="FG607" s="391"/>
      <c r="FH607" s="391"/>
      <c r="FI607" s="391"/>
      <c r="FS607" s="664"/>
      <c r="FT607" s="391"/>
      <c r="FU607" s="391"/>
      <c r="FV607" s="664"/>
      <c r="FW607" s="664"/>
      <c r="GA607" s="663"/>
      <c r="GB607" s="663"/>
      <c r="GC607" s="663"/>
      <c r="GD607" s="663"/>
      <c r="GE607" s="663"/>
      <c r="GF607" s="663"/>
      <c r="GG607" s="663"/>
      <c r="GH607" s="663"/>
      <c r="GI607" s="665"/>
      <c r="GJ607" s="664"/>
      <c r="GK607" s="664"/>
    </row>
    <row r="608" spans="1:288" s="78" customFormat="1" ht="14.95" customHeight="1">
      <c r="B608" s="1845" t="str">
        <f>ID611</f>
        <v xml:space="preserve"> </v>
      </c>
      <c r="C608" s="1846">
        <f>C603+1</f>
        <v>109</v>
      </c>
      <c r="D608" s="1847"/>
      <c r="E608" s="1799" t="s">
        <v>295</v>
      </c>
      <c r="F608" s="1800"/>
      <c r="G608" s="1741"/>
      <c r="H608" s="1742"/>
      <c r="I608" s="1742"/>
      <c r="J608" s="1742"/>
      <c r="K608" s="1742"/>
      <c r="L608" s="1742"/>
      <c r="M608" s="1742"/>
      <c r="N608" s="1742"/>
      <c r="O608" s="1742"/>
      <c r="P608" s="1742"/>
      <c r="Q608" s="1742"/>
      <c r="R608" s="1742"/>
      <c r="S608" s="1791" t="s">
        <v>344</v>
      </c>
      <c r="T608" s="590"/>
      <c r="U608" s="1743"/>
      <c r="V608" s="1744"/>
      <c r="W608" s="1744"/>
      <c r="X608" s="1744"/>
      <c r="Y608" s="1744"/>
      <c r="Z608" s="1744"/>
      <c r="AA608" s="1744"/>
      <c r="AB608" s="961" t="str">
        <f>IFERROR(IF(__Retrofit_TI_NC=0,VLOOKUP(U609,Fixtures_Existing_List,2,FALSE),ROUND(N610*R610/T610,10)),"")</f>
        <v/>
      </c>
      <c r="AC608" s="935" t="str">
        <f>IFERROR(IF(__Retrofit_TI_NC=0,ROUND(T609*AB608*N609*R609/1000,0),IF(CQ608="Interior",N610*R610*R609*N609*_C406_reduction/1000,N610*R610*R609*N609/1000)),"")</f>
        <v/>
      </c>
      <c r="AD608" s="936" t="str">
        <f>IFERROR(IF(C$43=0,ROUND(T609*AB608/1000,2),N610*R610/1000),"")</f>
        <v/>
      </c>
      <c r="AE608" s="997"/>
      <c r="AF608" s="937"/>
      <c r="AG608" s="1745" t="str">
        <f>IF(__Retrofit_TI_NC=0," Control","Select Advanced Control for New System")</f>
        <v xml:space="preserve"> Control</v>
      </c>
      <c r="AH608" s="1745"/>
      <c r="AI608" s="1745"/>
      <c r="AJ608" s="1745"/>
      <c r="AK608" s="1745"/>
      <c r="AL608" s="1745"/>
      <c r="AM608" s="1746">
        <f>IFERROR(DI608,"")</f>
        <v>0</v>
      </c>
      <c r="AN608" s="1774" t="str">
        <f>IFERROR(ROUND(AM608*AC608,0),"")</f>
        <v/>
      </c>
      <c r="AO608" s="1776">
        <f>IFERROR(IF(IB608=FALSE,0,AC608-AN608),0)</f>
        <v>0</v>
      </c>
      <c r="AP608" s="1778">
        <f>AO608-AO610</f>
        <v>0</v>
      </c>
      <c r="AQ608" s="1779"/>
      <c r="AR608" s="1793">
        <f>IFERROR(IF(IB608=FALSE,0,(T610*U611)+(AF610*AG611)),0)</f>
        <v>0</v>
      </c>
      <c r="AS608" s="1793"/>
      <c r="AT608" s="1794"/>
      <c r="AU608" s="1734" t="s">
        <v>237</v>
      </c>
      <c r="AV608" s="1751">
        <f>IF(AU608="Yes",1,0)</f>
        <v>1</v>
      </c>
      <c r="AW608" s="1704" t="str">
        <f>IF(OR(DQ608=4,DQ608=5,DQ608=6,DQ608=12),CONCATENATE("$",IF(GH608=TRUE,Lookup!$K$10,Lookup!$K$2)," /lamp"),CONCATENATE(TEXT(ED608,"$0.00"),"/ kWh"))</f>
        <v>$0.00/ kWh</v>
      </c>
      <c r="AX608" s="467"/>
      <c r="AY608" s="1748">
        <f ca="1">IFERROR(IF(GM609=TRUE,(AB611*T610)/R610,0),"NA")</f>
        <v>0</v>
      </c>
      <c r="AZ608" s="1748"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696" t="str">
        <f>N609</f>
        <v/>
      </c>
      <c r="CQ608" s="1696" t="str">
        <f>IFERROR(VLOOKUP(G609,_Lookup_Heat_Type_Table_New,3,FALSE),"")</f>
        <v/>
      </c>
      <c r="CR608" s="1808" t="str">
        <f>CQ608</f>
        <v/>
      </c>
      <c r="CS608" s="1810" t="str">
        <f>IFERROR(VLOOKUP(G610,'Space Table'!$B$3:$L$163,9,FALSE),"")</f>
        <v/>
      </c>
      <c r="CU608" s="1688" t="s">
        <v>344</v>
      </c>
      <c r="CV608" s="1702">
        <f>IF(IB608=TRUE,T609,0)</f>
        <v>0</v>
      </c>
      <c r="CW608" s="1702" t="str">
        <f>IF(IB608=TRUE,U609,"")</f>
        <v/>
      </c>
      <c r="CX608" s="1702"/>
      <c r="CY608" s="1814">
        <f>IF(IB608=TRUE,AB608,0)</f>
        <v>0</v>
      </c>
      <c r="CZ608" s="1710">
        <f>IF(AND(__Retrofit_TI_NC&gt;0,CR608="interior"),0,IF(IB608=TRUE,AC608,0))</f>
        <v>0</v>
      </c>
      <c r="DA608" s="1814">
        <f>IFERROR(IF(IB608=TRUE,CZ608-CZ610,0),0)</f>
        <v>0</v>
      </c>
      <c r="DB608" s="1819">
        <f>IF(IB608=TRUE,AD608,0)</f>
        <v>0</v>
      </c>
      <c r="DC608" s="1819">
        <f>IF(IB608=TRUE,AD611,0)</f>
        <v>0</v>
      </c>
      <c r="DD608" s="1819">
        <f>IFERROR(DB608-DC608,0)</f>
        <v>0</v>
      </c>
      <c r="DF608" s="1702">
        <f>IF(IB608=TRUE,AF609,0)</f>
        <v>0</v>
      </c>
      <c r="DG608" s="1830">
        <f>IFERROR(IF(__Retrofit_TI_NC=2,IF(CQ608="Exterior",O611,FQ608),FN608),"")</f>
        <v>0</v>
      </c>
      <c r="DH608" s="1702"/>
      <c r="DI608" s="1837">
        <f>JE608</f>
        <v>0</v>
      </c>
      <c r="DJ608" s="1710">
        <f>IF(AND(__Retrofit_TI_NC&gt;0,CR608="interior"),0,IF(IB608=TRUE,AN608,0))</f>
        <v>0</v>
      </c>
      <c r="DK608" s="1712">
        <f>IFERROR(IF(IB608=TRUE,DJ610-DJ608,0),0)</f>
        <v>0</v>
      </c>
      <c r="DM608" s="1717">
        <f>IFERROR(CZ608-DJ608,0)</f>
        <v>0</v>
      </c>
      <c r="DO608" s="1708">
        <f>DM608-DN610</f>
        <v>0</v>
      </c>
      <c r="DQ608" s="1715" t="str">
        <f>IFERROR(IF(AND(OR(GC608=4,GC608=5,GC608=6),OR(GF608=4,GF608=5,GF608=6)),GC608+8,VLOOKUP(CW610,Fixtures!R$31:Y$78,8,FALSE)),"")</f>
        <v/>
      </c>
      <c r="DR608" s="1829" t="str">
        <f>DQ608</f>
        <v/>
      </c>
      <c r="DS608" s="1702" t="str">
        <f>IFERROR(VLOOKUP(DG610,Lookup!BB$3:BC$20,2,FALSE),"")</f>
        <v/>
      </c>
      <c r="DT608" s="1713" t="str">
        <f>IF(OR(DS608=7,DS608=8,DS608=9),"ALC","")</f>
        <v/>
      </c>
      <c r="DU608" s="1715">
        <f>IFERROR(IF(OR(DQ608=4,DQ608=5,DQ608=6,DQ608=12,DQ608=13,DQ608=14),VLOOKUP(CW610,Fixtures!DN$27:EG$77,19,FALSE),1)*CV610,0)</f>
        <v>0</v>
      </c>
      <c r="DV608" s="1716">
        <f>IF(OR(DS608=7,DS608=8,DS608=9),IF(DG608=DG610,0,DF610),0)</f>
        <v>0</v>
      </c>
      <c r="DX608" s="1715" t="str">
        <f>IFERROR(IF(EZ608&lt;EZ610,"Yes","No"),"")</f>
        <v/>
      </c>
      <c r="DY608" s="1829" t="str">
        <f>DX608</f>
        <v/>
      </c>
      <c r="DZ608" s="1715">
        <f>IF(DX608="Yes",DF610,0)</f>
        <v>0</v>
      </c>
      <c r="EA608" s="1715">
        <f>DZ608-DV608</f>
        <v>0</v>
      </c>
      <c r="EC608" s="1834">
        <f>IFERROR(VLOOKUP(DQ608,Lookup!AU$3:AV$16,2,FALSE),0)</f>
        <v>0</v>
      </c>
      <c r="ED608" s="1834">
        <f>IF(IB608=FALSE,0,IF(DX608="Yes",EC608+Lookup!K$6,EC608))</f>
        <v>0</v>
      </c>
      <c r="EF608" s="1707">
        <f>IF(IB608=TRUE,DM608,0)</f>
        <v>0</v>
      </c>
      <c r="EG608" s="1712">
        <f>IF(IB608=TRUE,CZ610,0)</f>
        <v>0</v>
      </c>
      <c r="EH608" s="1814">
        <f>IFERROR(EF608-EG608,0)</f>
        <v>0</v>
      </c>
      <c r="EI608" s="1712">
        <f>IF(IB608=TRUE,DJ610,0)</f>
        <v>0</v>
      </c>
      <c r="EJ608" s="1712">
        <f>IFERROR(EF608-EG608+EI608,0)</f>
        <v>0</v>
      </c>
      <c r="EK608" s="1812">
        <f>IF(IB608=TRUE,CV610*CX610,0)</f>
        <v>0</v>
      </c>
      <c r="EL608" s="1812">
        <f>IF(IB608=TRUE,DF610*DH610,0)</f>
        <v>0</v>
      </c>
      <c r="EM608" s="1807">
        <f>AR608</f>
        <v>0</v>
      </c>
      <c r="EN608" s="1839" t="str">
        <f>IFERROR(IF(IB608=TRUE,VLOOKUP(DQ608,Lookup!AU$3:AW$16,3,FALSE)*DU608,""),0)</f>
        <v/>
      </c>
      <c r="EO608" s="1839">
        <f>IF(IB608=TRUE,DZ608*Lookup!AW$12,0)</f>
        <v>0</v>
      </c>
      <c r="EP608" s="1817">
        <f>IFERROR(IF(IB608=TRUE,EN608/EP$40,0),0)</f>
        <v>0</v>
      </c>
      <c r="EQ608" s="1817">
        <f>IF(IB608=TRUE,EO608/EQ$40,0)</f>
        <v>0</v>
      </c>
      <c r="ER608" s="1807">
        <f>IF(IB608=TRUE,ET$40*EP608,0)</f>
        <v>0</v>
      </c>
      <c r="ES608" s="1807">
        <f>IF(IB608=TRUE,ET$40*EQ608,0)</f>
        <v>0</v>
      </c>
      <c r="ET608" s="1807">
        <f>ER608+ES608</f>
        <v>0</v>
      </c>
      <c r="EV608" s="1715">
        <f>IF(G608="",0,1)</f>
        <v>0</v>
      </c>
      <c r="EX608" s="1804" t="str">
        <f>IFERROR(VLOOKUP(CS610,'Space Table'!$B$3:$L$163,8,FALSE),"")</f>
        <v/>
      </c>
      <c r="EY608" s="1804" t="str">
        <f>IFERROR(IF(FB608="Yes",VLOOKUP(DG608,Lookup_Control_Type_Table2,4,FALSE),VLOOKUP(DG608,Lookup_Control_Type_Table2,3,FALSE)),"")</f>
        <v/>
      </c>
      <c r="EZ608" s="1804" t="e">
        <f>VLOOKUP(DG608,Lookup!BB$3:BC$20,2,FALSE)</f>
        <v>#N/A</v>
      </c>
      <c r="FA608" s="1804" t="e">
        <f>VLOOKUP(EX608,Lookup_Control_Type_Table,2,FALSE)</f>
        <v>#N/A</v>
      </c>
      <c r="FB608" s="1804" t="e">
        <f>VLOOKUP(CS610,'Space Table'!$B$3:$L$163,7,FALSE)</f>
        <v>#N/A</v>
      </c>
      <c r="FC608" s="1826" t="b">
        <f>ISNUMBER(SEARCH("TLED",U610))</f>
        <v>0</v>
      </c>
      <c r="FE608" s="1698" t="str">
        <f>CONCATENATE(CQ608," - ",DG608)</f>
        <v xml:space="preserve"> - 0</v>
      </c>
      <c r="FG608" s="1702" t="str">
        <f>VLOOKUP(CW610,Fixtures!DN$27:EZ$77,38,FALSE)</f>
        <v/>
      </c>
      <c r="FH608" s="1702">
        <f>IFERROR(FG608*EH608,0)</f>
        <v>0</v>
      </c>
      <c r="FI608" s="133"/>
      <c r="FL608" s="1822" t="str">
        <f>IF(CQ608="Exterior","Not Daylighted",G611)</f>
        <v>Not Daylighted</v>
      </c>
      <c r="FM608" s="1824">
        <f>VLOOKUP(FL608,_New_Daylight_Table_Codes,2,FALSE)</f>
        <v>0</v>
      </c>
      <c r="FN608" s="1698">
        <f>IF(__Retrofit_TI_NC&gt;0,VLOOKUP(G610,'Space Table'!$B$3:$L$163,11,FALSE),AG609)</f>
        <v>0</v>
      </c>
      <c r="FO608" s="1698" t="e">
        <f>IF(__Retrofit_TI_NC=2,VLOOKUP(FQ608,_Control_Table,2,FALSE),VLOOKUP(FN608,_Control_Table,2,FALSE))</f>
        <v>#N/A</v>
      </c>
      <c r="FP608" s="1678" t="e">
        <f>VLOOKUP(CONCATENATE(FL608," ",FN608),Lookup!AY$102:AZ618,2,FALSE)</f>
        <v>#N/A</v>
      </c>
      <c r="FQ608" s="1678">
        <f>IF(__Retrofit_TI_NC=0,FN608,IF(AND(FT608&gt;0,FN608="Occupancy Sensor"),"Daylight + Occupancy",IF(AND(FT608&gt;0,VLOOKUP(FN608,_Control_Table,2,FALSE)&lt;4),"Interior Daylight Dimming",FN608)))</f>
        <v>0</v>
      </c>
      <c r="FS608" s="1686">
        <f>IF(CR608="Interior",VLOOKUP(CS608,Control_Savings_Interior,5,FALSE),0)</f>
        <v>0</v>
      </c>
      <c r="FT608" s="1687">
        <f>IF(CQ608="Exterior",0,IF(FM608=2,0.5,IF(OR(FM608=1,FM608=3),1,0)))</f>
        <v>0</v>
      </c>
      <c r="FU608" s="1685">
        <f>IF(R607&gt;FS$44,(FS608*(FS$44/R607)),FS608)*FT608</f>
        <v>0</v>
      </c>
      <c r="FV608" s="1686">
        <f>DI608</f>
        <v>0</v>
      </c>
      <c r="FW608" s="1686">
        <f>ROUND(FV608+((1-FV608)*FU608),2)</f>
        <v>0</v>
      </c>
      <c r="FX608" s="1686">
        <f>IF(__Retrofit_TI_NC=2,FW608,FV608)</f>
        <v>0</v>
      </c>
      <c r="FY608" s="1697"/>
      <c r="GA608" s="1696" t="str">
        <f>IFERROR(VLOOKUP(U609,_Exist_Fixture_Table,3,FALSE),"")</f>
        <v/>
      </c>
      <c r="GB608" s="1696" t="str">
        <f>VLOOKUP(CW608,_Exist_Fixture_Table,4,FALSE)</f>
        <v/>
      </c>
      <c r="GC608" s="1696">
        <f>IFERROR(VLOOKUP(GB608,Lookup!AT$6:AU$8,2,FALSE),0)</f>
        <v>0</v>
      </c>
      <c r="GD608" s="1696" t="b">
        <f>IFERROR(IF(OR(GF608=4,GF608=5,GF608=6),TRUE,FALSE),"")</f>
        <v>0</v>
      </c>
      <c r="GE608" s="1696" t="str">
        <f>IFERROR(VLOOKUP(GF608,GC$6:GD$10,2,FALSE),"")</f>
        <v/>
      </c>
      <c r="GF608" s="1696" t="str">
        <f>VLOOKUP(CW610,Fixtures!R$31:Y$78,8,FALSE)</f>
        <v/>
      </c>
      <c r="GG608" s="1696">
        <f>IF(AND(GA608=TRUE,GD608=TRUE,OR(DQ608=12,DQ608=13,DQ608=14)),GC608+8,0)</f>
        <v>0</v>
      </c>
      <c r="GH608" s="1696" t="b">
        <f>IF(OR(GG608=12,GG608=13,GG608=14),TRUE,FALSE)</f>
        <v>0</v>
      </c>
      <c r="GI608" s="673" t="b">
        <f>IF(ISNUMBER(SEARCH("TLED",U609)),TRUE,FALSE)</f>
        <v>0</v>
      </c>
      <c r="GJ608" s="1135" t="str">
        <f>IFERROR(VLOOKUP(U609,Fixtures!BM$93:BR$142,6,FALSE),"")</f>
        <v/>
      </c>
      <c r="GK608" s="1832" t="b">
        <f>IF(OR(GI608=FALSE,GI610=FALSE),TRUE,IF(GJ608-GJ610&lt;5,FALSE,TRUE))</f>
        <v>1</v>
      </c>
      <c r="GO608" s="674">
        <f>GP608</f>
        <v>0</v>
      </c>
      <c r="GP608" s="674">
        <f>IF(G608="",0,1)</f>
        <v>0</v>
      </c>
      <c r="GQ608" s="674">
        <f ca="1">SUM(GR608:HF608)</f>
        <v>2</v>
      </c>
      <c r="GR608" s="674">
        <f>IF(G609="",0,1)</f>
        <v>0</v>
      </c>
      <c r="GS608" s="674">
        <f>IF(N611="BAM",1,IF(G610="",0,1))</f>
        <v>0</v>
      </c>
      <c r="GT608" s="674">
        <f>IF(N611="BAM",1,IF(R609="",0,1))</f>
        <v>0</v>
      </c>
      <c r="GU608" s="674">
        <f>IF(N611="BAM",1,IF(__Retrofit_TI_NC=0,1,IF(R610="",0,1)))</f>
        <v>1</v>
      </c>
      <c r="GV608" s="674">
        <f>IF(N611="BAM",1,IF(CQ608="Exterior",1,IF(G611="",0,1)))</f>
        <v>1</v>
      </c>
      <c r="GW608" s="674">
        <f>IF(__Retrofit_TI_NC&gt;0,1,IF(T609="",0,1))</f>
        <v>0</v>
      </c>
      <c r="GX608" s="674">
        <f>IF(__Retrofit_TI_NC&gt;0,1,IF(U609="",0,1))</f>
        <v>0</v>
      </c>
      <c r="GY608" s="674">
        <f>IF(N611="BAM",1,IF(T610="",0,1))</f>
        <v>0</v>
      </c>
      <c r="GZ608" s="674">
        <f>IF(N611="BAM",1,IF(U610="",0,1))</f>
        <v>0</v>
      </c>
      <c r="HA608" s="674">
        <f ca="1">IF(N611="BAM",1,IF(__Retrofit_TI_NC&gt;0,1,IF(U611="",0,1)))</f>
        <v>0</v>
      </c>
      <c r="HB608" s="674">
        <f>IF(__Retrofit_TI_NC&lt;&gt;0,1,IF(AF609="",0,1))</f>
        <v>0</v>
      </c>
      <c r="HC608" s="674">
        <f>IF(__Retrofit_TI_NC&lt;&gt;0,1,IF(AG609="",0,1))</f>
        <v>0</v>
      </c>
      <c r="HD608" s="674">
        <f>IF(N611="BAM",1,IF(AF610="",0,1))</f>
        <v>0</v>
      </c>
      <c r="HE608" s="674">
        <f>IF(N611="BAM",1,IF(AG610="",0,1))</f>
        <v>0</v>
      </c>
      <c r="HF608" s="674">
        <f>IF(N611="BAM",1,IF(__Retrofit_TI_NC&gt;0,1,IF(AG611="",0,1)))</f>
        <v>0</v>
      </c>
      <c r="HG608" s="391"/>
      <c r="IA608" s="391"/>
      <c r="IB608" s="1693" t="b">
        <f>IF(OR(IB611=0,IB611=HY$16,IB611=HX$16,IB611=HZ$16),TRUE,FALSE)</f>
        <v>0</v>
      </c>
      <c r="IC608" s="1694" t="b">
        <f>IB608</f>
        <v>0</v>
      </c>
      <c r="ID608" s="391"/>
      <c r="IE608" s="391"/>
      <c r="IF608" s="1688" t="b">
        <f ca="1">IF(MAX(GN611:HU611)&gt;5,FALSE,TRUE)</f>
        <v>0</v>
      </c>
      <c r="IG608" s="1689">
        <f ca="1">IF(IF608=TRUE,AC608,0)</f>
        <v>0</v>
      </c>
      <c r="IH608" s="1689">
        <f ca="1">IG608-IG610</f>
        <v>0</v>
      </c>
      <c r="IK608" s="1689" t="e">
        <f>ROUND(T609*VLOOKUP(U609,Fixtures_Existing_List,2,FALSE)*N609*R609/1000,0)</f>
        <v>#N/A</v>
      </c>
      <c r="IL608" s="1690" t="e">
        <f>IK608-IK610</f>
        <v>#N/A</v>
      </c>
      <c r="IM608" s="1693" t="e">
        <f>ROUND(IF(CQ608="Interior",N610*R610*R609*N609*_C406_reduction/1000,N610*R610*R609*N609/1000),0)</f>
        <v>#N/A</v>
      </c>
      <c r="IN608" s="1693" t="e">
        <f>IM608-IM610</f>
        <v>#N/A</v>
      </c>
      <c r="IP608" s="1679"/>
      <c r="IQ608" s="1679" t="e">
        <f t="shared" ref="IQ608:IU608" si="556">IF($CR608="interior",VLOOKUP($CS608,_New_Control_Savings_Interior,IQ$30,FALSE),VLOOKUP($CS608,Control_Savings_Exterior,IQ$30,FALSE))</f>
        <v>#N/A</v>
      </c>
      <c r="IR608" s="1679" t="e">
        <f t="shared" si="556"/>
        <v>#N/A</v>
      </c>
      <c r="IS608" s="1679" t="e">
        <f t="shared" si="556"/>
        <v>#N/A</v>
      </c>
      <c r="IT608" s="1679" t="e">
        <f t="shared" si="556"/>
        <v>#N/A</v>
      </c>
      <c r="IU608" s="1679" t="e">
        <f t="shared" si="556"/>
        <v>#N/A</v>
      </c>
      <c r="IV608" s="1679" t="e">
        <f>IF($CR608="interior",IF(R609&gt;$IP$14,ROUND(($IV$18*($IP$14/R609)),2),$IV$18),VLOOKUP($CS608,Control_Savings_Exterior,IV$30,FALSE))</f>
        <v>#N/A</v>
      </c>
      <c r="IW608" s="1679" t="e">
        <f>IF($CR608="interior",ROUND(((1-IS608)*IV608)+IS608,2),VLOOKUP($CS608,Control_Savings_Exterior,IW$30,FALSE))</f>
        <v>#N/A</v>
      </c>
      <c r="IX608" s="1679" t="e">
        <f>IF($CR608="interior",ROUND(((1-IT608)*IV608)+IT608,2),VLOOKUP($CS608,Control_Savings_Exterior,IX$30,FALSE))</f>
        <v>#N/A</v>
      </c>
      <c r="IY608" s="1679" t="e">
        <f>IF($CR608="interior",IF(R609&gt;$IP$14,ROUND(($IY$18*($IP$14/R609)),2),$IY$18),VLOOKUP($CS608,Control_Savings_Exterior,IY$30,FALSE))</f>
        <v>#N/A</v>
      </c>
      <c r="IZ608" s="1679" t="e">
        <f>IF($CR608="interior",ROUND(((1-IS608)*IY608)+IS608,2),VLOOKUP($CS608,Control_Savings_Exterior,IZ$30,FALSE))</f>
        <v>#N/A</v>
      </c>
      <c r="JA608" s="1679" t="e">
        <f>IF($CR608="interior",ROUND(((1-IT608)*IY608)+IT608,2),VLOOKUP($CS608,Control_Savings_Exterior,JA$30,FALSE))</f>
        <v>#N/A</v>
      </c>
      <c r="JC608" s="1680">
        <f>IFERROR(IF(CR608="Interior",CONCATENATE(G611," ",FQ608),FQ608),"")</f>
        <v>0</v>
      </c>
      <c r="JD608" s="1670" t="str">
        <f>IFERROR(VLOOKUP(JC608,_Controls_2023,2,FALSE),"")</f>
        <v/>
      </c>
      <c r="JE608" s="1681">
        <f>IFERROR(CHOOSE(JD608-1,IQ608,IR608,IS608,IT608,IU608,IV608,IW608,IX608,IY608,IZ608,JA608),0)</f>
        <v>0</v>
      </c>
      <c r="JG608" s="1680" t="str">
        <f>FE608</f>
        <v xml:space="preserve"> - 0</v>
      </c>
      <c r="JH608" s="1670" t="e">
        <f>$FO608</f>
        <v>#N/A</v>
      </c>
      <c r="JI608" s="1060"/>
      <c r="JJ608" s="1682" t="b">
        <f>IF($JG610=CONCATENATE("Interior - ",JJ$4),TRUE,FALSE)</f>
        <v>0</v>
      </c>
      <c r="JK608" s="1061"/>
      <c r="JL608" s="1682" t="b">
        <f>IF($JG610=CONCATENATE("Interior - ",JL$4),TRUE,FALSE)</f>
        <v>0</v>
      </c>
      <c r="JM608" s="1061"/>
      <c r="JN608" s="1682" t="b">
        <f>IF($JG610=CONCATENATE("Interior - ",JN$4),TRUE,FALSE)</f>
        <v>0</v>
      </c>
      <c r="JO608" s="1061"/>
      <c r="JP608" s="1682" t="b">
        <f>IF(__Retrofit_TI_NC&gt;0,FALSE,IF($JG610=CONCATENATE("Interior - ",JP$4),TRUE,FALSE))</f>
        <v>0</v>
      </c>
      <c r="JQ608" s="1061"/>
      <c r="JR608" s="1682" t="b">
        <f>IF(__Retrofit_TI_NC&gt;0,FALSE,IF($JG610=CONCATENATE("Interior - ",JR$4),TRUE,FALSE))</f>
        <v>0</v>
      </c>
      <c r="JS608" s="1061"/>
      <c r="JT608" s="1670" t="b">
        <f>IF(__Retrofit_TI_NC&gt;0,FALSE,IF($JG610=CONCATENATE("Interior - ",JT$4),TRUE,FALSE))</f>
        <v>0</v>
      </c>
      <c r="JU608" s="1061"/>
      <c r="JV608" s="1670" t="b">
        <f>IF(JC610="AELC on Existing",TRUE,FALSE)</f>
        <v>0</v>
      </c>
      <c r="JX608" s="1670" t="b">
        <f>IF(OR(JG610="Exterior - AELC Occupancy based",JG610="Exterior - AELC Time based"),TRUE,FALSE)</f>
        <v>0</v>
      </c>
      <c r="JZ608" s="1682" t="b">
        <f>IF($JG610=CONCATENATE("Exterior - ",JZ$4),TRUE,FALSE)</f>
        <v>0</v>
      </c>
      <c r="KB608" s="1670" t="b">
        <f>IF(__Retrofit_TI_NC&gt;0,FALSE,IF($JG610=CONCATENATE("Interior - ",KB$4),TRUE,FALSE))</f>
        <v>0</v>
      </c>
    </row>
    <row r="609" spans="1:288" s="78" customFormat="1" ht="14.95" customHeight="1" thickTop="1" thickBot="1">
      <c r="B609" s="1845"/>
      <c r="C609" s="1846"/>
      <c r="D609" s="1847"/>
      <c r="E609" s="1737" t="s">
        <v>297</v>
      </c>
      <c r="F609" s="1738"/>
      <c r="G609" s="1739"/>
      <c r="H609" s="1739"/>
      <c r="I609" s="1739"/>
      <c r="J609" s="1739"/>
      <c r="K609" s="1739"/>
      <c r="L609" s="1739"/>
      <c r="M609" s="461" t="e">
        <f>IF(__Retrofit_TI_NC&lt;&gt;0,IF(VLOOKUP(G610,'Space Table'!$B$3:$L$163,3,FALSE)&gt;0,1,0),IF(__Retrofit_TI_NC=VLOOKUP(G610,'Space Table'!$B$3:$L$163,3,FALSE),1,0))</f>
        <v>#N/A</v>
      </c>
      <c r="N609" s="461" t="str">
        <f>IFERROR(VLOOKUP(G609,_Lookup_Heat_Type_Table_New,2,FALSE),"")</f>
        <v/>
      </c>
      <c r="O609" s="461">
        <f>IF(__Retrofit_TI_NC=1,CONCATENATE("TI ",G609),IF(__Retrofit_TI_NC=2,CONCATENATE("NC ",G609),G609))</f>
        <v>0</v>
      </c>
      <c r="P609" s="1740" t="s">
        <v>435</v>
      </c>
      <c r="Q609" s="1740"/>
      <c r="R609" s="595"/>
      <c r="S609" s="1792"/>
      <c r="T609" s="597"/>
      <c r="U609" s="1765"/>
      <c r="V609" s="1766"/>
      <c r="W609" s="1766"/>
      <c r="X609" s="1766"/>
      <c r="Y609" s="1766"/>
      <c r="Z609" s="1766"/>
      <c r="AA609" s="1766"/>
      <c r="AB609" s="1766"/>
      <c r="AC609" s="1766"/>
      <c r="AD609" s="1767"/>
      <c r="AE609" s="1000"/>
      <c r="AF609" s="597"/>
      <c r="AG609" s="1723"/>
      <c r="AH609" s="1724"/>
      <c r="AI609" s="1724"/>
      <c r="AJ609" s="1724"/>
      <c r="AK609" s="1725"/>
      <c r="AL609" s="996"/>
      <c r="AM609" s="1747"/>
      <c r="AN609" s="1775"/>
      <c r="AO609" s="1777"/>
      <c r="AP609" s="1780"/>
      <c r="AQ609" s="1781"/>
      <c r="AR609" s="1795"/>
      <c r="AS609" s="1795"/>
      <c r="AT609" s="1796"/>
      <c r="AU609" s="1735"/>
      <c r="AV609" s="1752"/>
      <c r="AW609" s="1705"/>
      <c r="AX609" s="467"/>
      <c r="AY609" s="1749"/>
      <c r="AZ609" s="1749"/>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696"/>
      <c r="CQ609" s="1696"/>
      <c r="CR609" s="1809"/>
      <c r="CS609" s="1811"/>
      <c r="CU609" s="1688"/>
      <c r="CV609" s="1703"/>
      <c r="CW609" s="1703"/>
      <c r="CX609" s="1703"/>
      <c r="CY609" s="1815"/>
      <c r="CZ609" s="1711"/>
      <c r="DA609" s="1818"/>
      <c r="DB609" s="1820"/>
      <c r="DC609" s="1820"/>
      <c r="DD609" s="1820"/>
      <c r="DF609" s="1703"/>
      <c r="DG609" s="1831"/>
      <c r="DH609" s="1703"/>
      <c r="DI609" s="1838"/>
      <c r="DJ609" s="1711"/>
      <c r="DK609" s="1712"/>
      <c r="DM609" s="1718"/>
      <c r="DO609" s="1708"/>
      <c r="DQ609" s="1715"/>
      <c r="DR609" s="1720"/>
      <c r="DS609" s="1816"/>
      <c r="DT609" s="1714"/>
      <c r="DU609" s="1715"/>
      <c r="DV609" s="1716"/>
      <c r="DX609" s="1715"/>
      <c r="DY609" s="1720"/>
      <c r="DZ609" s="1715"/>
      <c r="EA609" s="1715"/>
      <c r="EC609" s="1834"/>
      <c r="ED609" s="1834"/>
      <c r="EF609" s="1707"/>
      <c r="EG609" s="1712"/>
      <c r="EH609" s="1818"/>
      <c r="EI609" s="1712"/>
      <c r="EJ609" s="1712"/>
      <c r="EK609" s="1836"/>
      <c r="EL609" s="1836"/>
      <c r="EM609" s="1807"/>
      <c r="EN609" s="1839"/>
      <c r="EO609" s="1839"/>
      <c r="EP609" s="1817"/>
      <c r="EQ609" s="1817"/>
      <c r="ER609" s="1807"/>
      <c r="ES609" s="1807"/>
      <c r="ET609" s="1807"/>
      <c r="EV609" s="1715"/>
      <c r="EX609" s="1805"/>
      <c r="EY609" s="1805"/>
      <c r="EZ609" s="1805"/>
      <c r="FA609" s="1805"/>
      <c r="FB609" s="1805"/>
      <c r="FC609" s="1827"/>
      <c r="FE609" s="1698"/>
      <c r="FG609" s="1816"/>
      <c r="FH609" s="1816"/>
      <c r="FI609" s="133"/>
      <c r="FL609" s="1823"/>
      <c r="FM609" s="1825"/>
      <c r="FN609" s="1698"/>
      <c r="FO609" s="1698"/>
      <c r="FP609" s="1678"/>
      <c r="FQ609" s="1678"/>
      <c r="FS609" s="1687"/>
      <c r="FT609" s="1687"/>
      <c r="FU609" s="1685"/>
      <c r="FV609" s="1687"/>
      <c r="FW609" s="1687"/>
      <c r="FX609" s="1687"/>
      <c r="FY609" s="1697"/>
      <c r="GA609" s="1696"/>
      <c r="GB609" s="1696"/>
      <c r="GC609" s="1696"/>
      <c r="GD609" s="1696"/>
      <c r="GE609" s="1696"/>
      <c r="GF609" s="1696"/>
      <c r="GG609" s="1696"/>
      <c r="GH609" s="1696"/>
      <c r="GI609" s="673"/>
      <c r="GJ609" s="1135"/>
      <c r="GK609" s="1832"/>
      <c r="GM609" s="1693" t="b">
        <f ca="1">IF(AND(GP609=TRUE,GQ609=TRUE),TRUE,FALSE)</f>
        <v>0</v>
      </c>
      <c r="GN609" s="1684" t="b">
        <f>IFERROR(IF(__Retrofit_TI_NC=2,TRUE,IF(AU608="Yes",TRUE,FALSE)),FALSE)</f>
        <v>1</v>
      </c>
      <c r="GP609" s="1684" t="b">
        <f>IFERROR(IF(GP608=1,TRUE,FALSE),FALSE)</f>
        <v>0</v>
      </c>
      <c r="GQ609" s="1684" t="b">
        <f ca="1">IFERROR(IF(GQ608=GQ$14,TRUE,FALSE),FALSE)</f>
        <v>0</v>
      </c>
      <c r="HG609" s="1684" t="b">
        <f>IFERROR(IF(AND(__Retrofit_TI_NC&gt;0,CQ608="Interior"),FALSE,TRUE),FALSE)</f>
        <v>1</v>
      </c>
      <c r="HH609" s="1684" t="b">
        <f>IFERROR(IF(M609=1,TRUE,FALSE),FALSE)</f>
        <v>0</v>
      </c>
      <c r="HI609" s="1684" t="b">
        <f>IFERROR(IF(OR(M610=1,N611="BAM"),TRUE,FALSE),FALSE)</f>
        <v>0</v>
      </c>
      <c r="HJ609" s="1684" t="b">
        <f>IFERROR(IF(__Retrofit_TI_NC&lt;&gt;0,TRUE,IFERROR(IF(VLOOKUP(U609,Fixtures_Existing_List,2,FALSE)&lt;&gt;"",TRUE,FALSE),FALSE)),FALSE)</f>
        <v>0</v>
      </c>
      <c r="HK609" s="1684" t="b">
        <f>IFERROR(IF(VLOOKUP(U610,Fixtures_Proposed_List,2,FALSE)&lt;&gt;"",TRUE,FALSE),FALSE)</f>
        <v>0</v>
      </c>
      <c r="HL609" s="1684" t="b">
        <f>IF(AND(__Retrofit_TI_NC=2,FC608=TRUE),FALSE,TRUE)</f>
        <v>1</v>
      </c>
      <c r="HM609" s="1684" t="b">
        <f>GK608</f>
        <v>1</v>
      </c>
      <c r="HN609" s="1682" t="b">
        <f>IF(ISERROR(MATCH(FE608,_Control_Match[],0))=TRUE,FALSE,TRUE)</f>
        <v>0</v>
      </c>
      <c r="HO609" s="1693" t="b">
        <f>IFERROR(IF(EX608&lt;&gt;EY608,FALSE,TRUE),FALSE)</f>
        <v>1</v>
      </c>
      <c r="HP609" s="1693" t="b">
        <f>IFERROR(IF(EX610&lt;&gt;EY610,FALSE,TRUE),FALSE)</f>
        <v>1</v>
      </c>
      <c r="HQ609" s="1670" t="b">
        <f>IFERROR(IF(CQ608="Exterior",TRUE,IF(AND(OR(FM610=0,FM610=3),JD610&gt;6),FALSE,TRUE)),FALSE)</f>
        <v>0</v>
      </c>
      <c r="HR609" s="1684" t="b">
        <f>IFERROR(IF(AND(FO610=7,FC608=TRUE),FALSE,TRUE),FALSE)</f>
        <v>0</v>
      </c>
      <c r="HS609" s="1684" t="b">
        <f>IFERROR(IF(AND(T610&lt;&gt;AF610,OR(AG610="Interior LLLC", AG610="Interior NLC", AG610="LLLC (outside Daylight)",AG610="LLLC Controls Only"))=TRUE,FALSE,TRUE),FALSE)</f>
        <v>1</v>
      </c>
      <c r="HT609" s="1670" t="b">
        <f>IFERROR(IF(OR(AG610=Lookup!BB$17,AG610=Lookup!BB$18,AG610=Lookup!BB$19)=TRUE,IF(AF610&gt;T610,FALSE,TRUE),TRUE),FALSE)</f>
        <v>1</v>
      </c>
      <c r="HU609" s="1684" t="b">
        <f>IFERROR(IF(__Retrofit_TI_NC=2,IF(EZ610&lt;EZ608,FALSE,TRUE),TRUE),FALSE)</f>
        <v>1</v>
      </c>
      <c r="HV609" s="1684" t="b">
        <f>IF(CQ608="Interior",IL$6,TRUE)</f>
        <v>1</v>
      </c>
      <c r="HW609" s="1684" t="b">
        <f>IF(CQ608="Exterior",IL$8,TRUE)</f>
        <v>1</v>
      </c>
      <c r="HX609" s="1684" t="b">
        <f>IFERROR(IF(__Retrofit_TI_NC&lt;&gt;0,IF(AZ608&lt;AY608,FALSE,TRUE),TRUE),FALSE)</f>
        <v>1</v>
      </c>
      <c r="HY609" s="1684" t="b">
        <f>IFERROR(IF(AND(G609="Exterior",R609&gt;4200),FALSE,TRUE),FALSE)</f>
        <v>1</v>
      </c>
      <c r="HZ609" s="1684" t="b">
        <f>IFERROR(IF(AB611/AB608&lt;HZ$18,FALSE,TRUE),FALSE)</f>
        <v>0</v>
      </c>
      <c r="IB609" s="1691"/>
      <c r="IC609" s="1695"/>
      <c r="ID609" s="1694" t="str">
        <f>VLOOKUP(IB611,_Error_Table,4,FALSE)</f>
        <v>White</v>
      </c>
      <c r="IE609" s="391"/>
      <c r="IF609" s="1688"/>
      <c r="IG609" s="1689"/>
      <c r="IH609" s="1684"/>
      <c r="IK609" s="1689"/>
      <c r="IL609" s="1691"/>
      <c r="IM609" s="1691"/>
      <c r="IN609" s="1691"/>
      <c r="IP609" s="1679"/>
      <c r="IQ609" s="1679"/>
      <c r="IR609" s="1679"/>
      <c r="IS609" s="1679"/>
      <c r="IT609" s="1679"/>
      <c r="IU609" s="1679"/>
      <c r="IV609" s="1679"/>
      <c r="IW609" s="1679"/>
      <c r="IX609" s="1679"/>
      <c r="IY609" s="1679"/>
      <c r="IZ609" s="1679"/>
      <c r="JA609" s="1679"/>
      <c r="JC609" s="1680"/>
      <c r="JD609" s="1670"/>
      <c r="JE609" s="1681"/>
      <c r="JG609" s="1680"/>
      <c r="JH609" s="1670"/>
      <c r="JI609" s="1060"/>
      <c r="JJ609" s="1683"/>
      <c r="JK609" s="1061"/>
      <c r="JL609" s="1683"/>
      <c r="JM609" s="1061"/>
      <c r="JN609" s="1683"/>
      <c r="JO609" s="1061"/>
      <c r="JP609" s="1683"/>
      <c r="JQ609" s="1061"/>
      <c r="JR609" s="1683"/>
      <c r="JS609" s="1061"/>
      <c r="JT609" s="1670"/>
      <c r="JU609" s="1061"/>
      <c r="JV609" s="1670"/>
      <c r="JX609" s="1670"/>
      <c r="JZ609" s="1683"/>
      <c r="KB609" s="1670"/>
    </row>
    <row r="610" spans="1:288" s="78" customFormat="1" ht="14.95" customHeight="1" thickTop="1" thickBot="1">
      <c r="A610" s="78">
        <f>ROW()</f>
        <v>610</v>
      </c>
      <c r="B610" s="1845"/>
      <c r="C610" s="1846"/>
      <c r="D610" s="1847"/>
      <c r="E610" s="1737" t="s">
        <v>298</v>
      </c>
      <c r="F610" s="1738"/>
      <c r="G610" s="1760"/>
      <c r="H610" s="1761"/>
      <c r="I610" s="1761"/>
      <c r="J610" s="1761"/>
      <c r="K610" s="1761"/>
      <c r="L610" s="1762"/>
      <c r="M610" s="461">
        <f>IFERROR(IF(IF(__Retrofit_TI_NC&lt;&gt;0,IF(CQ608="Interior",MATCH(G610,Lookup_Interior_New,0),MATCH(G610,Lookup_Exterior_New,0)),IF(CQ608="Interior",MATCH(G610,Lookup_Interior,0),MATCH(G610,Lookup_Exterior_Areas,0)))&gt;0,1,0),0)</f>
        <v>0</v>
      </c>
      <c r="N610" s="461" t="e">
        <f>IF(__Retrofit_TI_NC=1,
VLOOKUP(G610,'Space Table'!$B$3:$L$163,4,FALSE),
IF(__Retrofit_TI_NC=2,VLOOKUP(G610,'Space Table'!$B$3:$L$163,5,FALSE),VLOOKUP(G610,'Space Table'!$B$3:$L$163,5,FALSE)))</f>
        <v>#N/A</v>
      </c>
      <c r="O610" s="461">
        <f>G610</f>
        <v>0</v>
      </c>
      <c r="P610" s="1738" t="str">
        <f>IFERROR(IF(__Retrofit_TI_NC=1,VLOOKUP(G610,'Space Table'!$B$3:$O$163,13,FALSE),IF(__Retrofit_TI_NC=2,VLOOKUP(G610,'Space Table'!$B$3:$O$163,14,FALSE),"Area (sf):")),"Area (sf):")</f>
        <v>Area (sf):</v>
      </c>
      <c r="Q610" s="1738"/>
      <c r="R610" s="596"/>
      <c r="S610" s="1763" t="s">
        <v>345</v>
      </c>
      <c r="T610" s="594"/>
      <c r="U610" s="1801"/>
      <c r="V610" s="1802"/>
      <c r="W610" s="1802"/>
      <c r="X610" s="1802"/>
      <c r="Y610" s="1802"/>
      <c r="Z610" s="1802"/>
      <c r="AA610" s="1802"/>
      <c r="AB610" s="1802"/>
      <c r="AC610" s="1802"/>
      <c r="AD610" s="1802"/>
      <c r="AE610" s="1803"/>
      <c r="AF610" s="594"/>
      <c r="AG610" s="1787"/>
      <c r="AH610" s="1787"/>
      <c r="AI610" s="1787"/>
      <c r="AJ610" s="1787"/>
      <c r="AK610" s="1787"/>
      <c r="AL610" s="1787"/>
      <c r="AM610" s="1726">
        <f>IFERROR(DI610,"")</f>
        <v>0</v>
      </c>
      <c r="AN610" s="1728" t="str">
        <f>IFERROR(ROUND(AM610*AC611,0),"")</f>
        <v/>
      </c>
      <c r="AO610" s="1730">
        <f>IFERROR(IF(IB608=FALSE,0,AC611-AN610),0)</f>
        <v>0</v>
      </c>
      <c r="AP610" s="1780"/>
      <c r="AQ610" s="1781"/>
      <c r="AR610" s="1795"/>
      <c r="AS610" s="1795"/>
      <c r="AT610" s="1796"/>
      <c r="AU610" s="1735"/>
      <c r="AV610" s="1752"/>
      <c r="AW610" s="1705"/>
      <c r="AX610" s="467"/>
      <c r="AY610" s="1749"/>
      <c r="AZ610" s="1749"/>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696"/>
      <c r="CQ610" s="1696"/>
      <c r="CR610" s="1808" t="str">
        <f>CQ608</f>
        <v/>
      </c>
      <c r="CS610" s="1810" t="str">
        <f>CS608</f>
        <v/>
      </c>
      <c r="CU610" s="1688" t="s">
        <v>345</v>
      </c>
      <c r="CV610" s="1702">
        <f>IF(IB608=TRUE,T610,0)</f>
        <v>0</v>
      </c>
      <c r="CW610" s="1702" t="str">
        <f>IF(IB608=TRUE,U610,"")</f>
        <v/>
      </c>
      <c r="CX610" s="1812">
        <f>IF(IB608=TRUE,U611,0)</f>
        <v>0</v>
      </c>
      <c r="CY610" s="1814">
        <f>IF(IB608=TRUE,AB611,0)</f>
        <v>0</v>
      </c>
      <c r="CZ610" s="1710">
        <f>IF(AND(__Retrofit_TI_NC&gt;0,CR608="interior"),0,IF(IB608=TRUE,AC611,0))</f>
        <v>0</v>
      </c>
      <c r="DA610" s="1818"/>
      <c r="DB610" s="1820"/>
      <c r="DC610" s="1820"/>
      <c r="DD610" s="1820"/>
      <c r="DF610" s="1702">
        <f>IF(IB608=TRUE,AF610,0)</f>
        <v>0</v>
      </c>
      <c r="DG610" s="1830" t="str">
        <f>IF(IB608=TRUE,AG610,"")</f>
        <v/>
      </c>
      <c r="DH610" s="1812">
        <f>AG611</f>
        <v>0</v>
      </c>
      <c r="DI610" s="1837">
        <f>JE610</f>
        <v>0</v>
      </c>
      <c r="DJ610" s="1710">
        <f>IF(AND(__Retrofit_TI_NC&gt;0,CR608="interior"),0,IF(IB608=TRUE,AN610,0))</f>
        <v>0</v>
      </c>
      <c r="DK610" s="1712"/>
      <c r="DN610" s="1717">
        <f>IFERROR(CZ610-DJ610,0)</f>
        <v>0</v>
      </c>
      <c r="DO610" s="1709"/>
      <c r="DQ610" s="1715"/>
      <c r="DR610" s="1719" t="str">
        <f>DQ608</f>
        <v/>
      </c>
      <c r="DS610" s="1816"/>
      <c r="DT610" s="1835" t="str">
        <f>IF(OR(DS608=7,DS608=8,DS608=9),"ALC","")</f>
        <v/>
      </c>
      <c r="DU610" s="1715"/>
      <c r="DV610" s="1716"/>
      <c r="DX610" s="1715"/>
      <c r="DY610" s="1829" t="str">
        <f>DX608</f>
        <v/>
      </c>
      <c r="DZ610" s="1715"/>
      <c r="EA610" s="1715"/>
      <c r="EC610" s="1834"/>
      <c r="ED610" s="1834"/>
      <c r="EF610" s="1707"/>
      <c r="EG610" s="1712"/>
      <c r="EH610" s="1818"/>
      <c r="EI610" s="1712"/>
      <c r="EJ610" s="1712"/>
      <c r="EK610" s="1836"/>
      <c r="EL610" s="1836"/>
      <c r="EM610" s="1807"/>
      <c r="EN610" s="1839"/>
      <c r="EO610" s="1839"/>
      <c r="EP610" s="1817"/>
      <c r="EQ610" s="1817"/>
      <c r="ER610" s="1807"/>
      <c r="ES610" s="1807"/>
      <c r="ET610" s="1807"/>
      <c r="EV610" s="1715"/>
      <c r="EX610" s="1805" t="str">
        <f>IFERROR(VLOOKUP(CS610,'Space Table'!$B$3:$L$163,8,FALSE),"")</f>
        <v/>
      </c>
      <c r="EY610" s="1805" t="str">
        <f>IFERROR(IF(FB610="Yes",VLOOKUP(AG610,Lookup_Control_Type_Table2,4,FALSE),VLOOKUP(AG610,Lookup_Control_Type_Table2,3,FALSE)),"")</f>
        <v/>
      </c>
      <c r="EZ610" s="1805" t="e">
        <f>VLOOKUP(AG610,Lookup!BB$3:BC$20,2,FALSE)</f>
        <v>#N/A</v>
      </c>
      <c r="FA610" s="1805" t="e">
        <f>VLOOKUP(EX608,Lookup_Control_Type_Table,2,FALSE)</f>
        <v>#N/A</v>
      </c>
      <c r="FB610" s="1805" t="e">
        <f>VLOOKUP(CS610,'Space Table'!$B$3:$L$163,7,FALSE)</f>
        <v>#N/A</v>
      </c>
      <c r="FC610" s="1827"/>
      <c r="FE610" s="1698" t="str">
        <f>CONCATENATE(CQ608," - ",AG610)</f>
        <v xml:space="preserve"> - </v>
      </c>
      <c r="FG610" s="1816"/>
      <c r="FH610" s="1816"/>
      <c r="FI610" s="133"/>
      <c r="FL610" s="1822" t="str">
        <f>IF(CQ608="Exterior","Not Daylighted",G611)</f>
        <v>Not Daylighted</v>
      </c>
      <c r="FM610" s="1824">
        <f>VLOOKUP(FL610,_New_Daylight_Table_Codes,2,FALSE)</f>
        <v>0</v>
      </c>
      <c r="FN610" s="1698">
        <f>AG610</f>
        <v>0</v>
      </c>
      <c r="FO610" s="1698" t="e">
        <f>VLOOKUP(FN610,_Control_Table,2,FALSE)</f>
        <v>#N/A</v>
      </c>
      <c r="FP610" s="1678" t="e">
        <f>VLOOKUP(CONCATENATE(FL610," ",FN610),Lookup!AY$102:AZ621,2,FALSE)</f>
        <v>#N/A</v>
      </c>
      <c r="FQ610" s="1698">
        <f>IF(__Retrofit_TI_NC=0,FN610,IF(AND(FT610&gt;0,FN610="Occupancy Sensor"),"Daylight + Occupancy",IF(AND(FT610&gt;0,FO610&lt;4),"Interior Daylight Dimming",FN610)))</f>
        <v>0</v>
      </c>
      <c r="FS610" s="1686">
        <f>IF(CQ608="Interior",VLOOKUP(CS608,Control_Savings_Interior,5,FALSE),0)</f>
        <v>0</v>
      </c>
      <c r="FT610" s="1687">
        <f>IF(CQ610="Exterior",0,IF(FM610=2,0.5,IF(OR(FM610=1,FM610=3),1,0)))</f>
        <v>0</v>
      </c>
      <c r="FU610" s="1685">
        <f>IF(R609&gt;FS$44,(FS610*(FS$44/R609)),FS610)*FT610</f>
        <v>0</v>
      </c>
      <c r="FV610" s="1686">
        <f>DI610</f>
        <v>0</v>
      </c>
      <c r="FW610" s="1686">
        <f>ROUND(FV610+((1-FV610)*FU610),2)</f>
        <v>0</v>
      </c>
      <c r="FX610" s="1686">
        <f>IF(__Retrofit_TI_NC=2,FW610,FV610)</f>
        <v>0</v>
      </c>
      <c r="FY610" s="1697">
        <f>IF(CR610="Interior",VLOOKUP(CS610,Control_Savings_Interior,4,FALSE),0)</f>
        <v>0</v>
      </c>
      <c r="GA610" s="1696"/>
      <c r="GB610" s="1696"/>
      <c r="GC610" s="1696"/>
      <c r="GD610" s="1696"/>
      <c r="GE610" s="1696"/>
      <c r="GF610" s="1696"/>
      <c r="GG610" s="1696"/>
      <c r="GH610" s="1696"/>
      <c r="GI610" s="673" t="b">
        <f>IF(ISNUMBER(SEARCH("TLED",U610)),TRUE,FALSE)</f>
        <v>0</v>
      </c>
      <c r="GJ610" s="1135" t="str">
        <f>IFERROR(VLOOKUP(U610,Fixtures!DM$93:DR$142,6,FALSE),"")</f>
        <v/>
      </c>
      <c r="GK610" s="1832"/>
      <c r="GM610" s="1692"/>
      <c r="GN610" s="1684"/>
      <c r="GP610" s="1684"/>
      <c r="GQ610" s="1684"/>
      <c r="HG610" s="1684"/>
      <c r="HH610" s="1684"/>
      <c r="HI610" s="1684"/>
      <c r="HJ610" s="1684"/>
      <c r="HK610" s="1684"/>
      <c r="HL610" s="1684"/>
      <c r="HM610" s="1684"/>
      <c r="HN610" s="1683"/>
      <c r="HO610" s="1692"/>
      <c r="HP610" s="1692"/>
      <c r="HQ610" s="1670"/>
      <c r="HR610" s="1684"/>
      <c r="HS610" s="1684"/>
      <c r="HT610" s="1670"/>
      <c r="HU610" s="1684"/>
      <c r="HV610" s="1684"/>
      <c r="HW610" s="1684"/>
      <c r="HX610" s="1684"/>
      <c r="HY610" s="1684"/>
      <c r="HZ610" s="1684"/>
      <c r="IB610" s="1692"/>
      <c r="IC610" s="1693" t="b">
        <f>IB608</f>
        <v>0</v>
      </c>
      <c r="ID610" s="1695"/>
      <c r="IE610" s="391"/>
      <c r="IF610" s="1688"/>
      <c r="IG610" s="1689">
        <f ca="1">IF(IF608=TRUE,AC611,0)</f>
        <v>0</v>
      </c>
      <c r="IH610" s="1684"/>
      <c r="IK610" s="1689" t="e">
        <f>ROUND(T610*AB611*N609*R609/1000,0)</f>
        <v>#VALUE!</v>
      </c>
      <c r="IL610" s="1691"/>
      <c r="IM610" s="1693" t="e">
        <f>ROUND(T610*AB611*N609*R609/1000,0)</f>
        <v>#VALUE!</v>
      </c>
      <c r="IN610" s="1691"/>
      <c r="IP610" s="1679"/>
      <c r="IQ610" s="1679" t="e">
        <f t="shared" ref="IQ610:IU610" si="557">IF($CR610="interior",VLOOKUP($CS610,_New_Control_Savings_Interior,IQ$30,FALSE),VLOOKUP($CS610,Control_Savings_Exterior,IQ$30,FALSE))</f>
        <v>#N/A</v>
      </c>
      <c r="IR610" s="1679" t="e">
        <f t="shared" si="557"/>
        <v>#N/A</v>
      </c>
      <c r="IS610" s="1679" t="e">
        <f t="shared" si="557"/>
        <v>#N/A</v>
      </c>
      <c r="IT610" s="1679" t="e">
        <f t="shared" si="557"/>
        <v>#N/A</v>
      </c>
      <c r="IU610" s="1679" t="e">
        <f t="shared" si="557"/>
        <v>#N/A</v>
      </c>
      <c r="IV610" s="1679" t="e">
        <f>IF($CR610="interior",IF(R609&gt;$IP$14,ROUND(($IV$18*($IP$14/R609)),2),$IV$18),VLOOKUP($CS610,Control_Savings_Exterior,IV$30,FALSE))</f>
        <v>#N/A</v>
      </c>
      <c r="IW610" s="1679" t="e">
        <f>IF($CR610="interior",ROUND(((1-IS610)*IV610)+IS610,2),VLOOKUP($CS610,Control_Savings_Exterior,IW$30,FALSE))</f>
        <v>#N/A</v>
      </c>
      <c r="IX610" s="1679" t="e">
        <f>IF($CR610="interior",ROUND(((1-IT610)*IV610)+IT610,2),VLOOKUP($CS610,Control_Savings_Exterior,IX$30,FALSE))</f>
        <v>#N/A</v>
      </c>
      <c r="IY610" s="1679" t="e">
        <f>IF($CR610="interior",IF(R609&gt;$IP$14,ROUND(($IY$18*($IP$14/R609)),2),$IY$18),VLOOKUP($CS610,Control_Savings_Exterior,IY$30,FALSE))</f>
        <v>#N/A</v>
      </c>
      <c r="IZ610" s="1679" t="e">
        <f>IF($CR610="interior",ROUND(((1-IS610)*IY610)+IS610,2),VLOOKUP($CS610,Control_Savings_Exterior,IZ$30,FALSE))</f>
        <v>#N/A</v>
      </c>
      <c r="JA610" s="1679" t="e">
        <f>IF($CR610="interior",ROUND(((1-IT610)*IY610)+IT610,2),VLOOKUP($CS610,Control_Savings_Exterior,JA$30,FALSE))</f>
        <v>#N/A</v>
      </c>
      <c r="JC610" s="1680">
        <f>IFERROR(IF(CR610="Interior",CONCATENATE(G611," ",FQ610),AG610),"")</f>
        <v>0</v>
      </c>
      <c r="JD610" s="1670" t="str">
        <f>IFERROR(VLOOKUP(JC610,_Controls_2023,2,FALSE),"")</f>
        <v/>
      </c>
      <c r="JE610" s="1681">
        <f>IFERROR(CHOOSE(JD610-1,IQ610,IR610,IS610,IT610,IU610,IV610,IW610,IX610,IY610,IZ610,JA610),0)</f>
        <v>0</v>
      </c>
      <c r="JG610" s="1680" t="str">
        <f>FE610</f>
        <v xml:space="preserve"> - </v>
      </c>
      <c r="JH610" s="1670" t="e">
        <f>$FO610</f>
        <v>#N/A</v>
      </c>
      <c r="JI610" s="1060"/>
      <c r="JJ610" s="1670">
        <f>IFERROR(IF($IB608=TRUE,IF(OR(JJ$14="No",JJ608=FALSE,JH610&lt;=JH608,AND(_kWh_Grant=0,GD608=FALSE)),0,IF(JJ$8="Per Line",1,$AF610)),0),0)</f>
        <v>0</v>
      </c>
      <c r="JK610" s="1061"/>
      <c r="JL610" s="1670">
        <f>IFERROR(IF(_kWh_Grant=0,0,IF($IB608=TRUE,IF(OR(JL$14="No",JL608=FALSE,JH610&lt;=JH608),0,IF(JL$8="Per Line",1,$T610)),0)),0)</f>
        <v>0</v>
      </c>
      <c r="JM610" s="1061"/>
      <c r="JN610" s="1670">
        <f>IFERROR(IF(_kWh_Grant=0,0,IF($IB608=TRUE,IF(OR(JN$14="No",JN608=FALSE,JH610&lt;=JH608),0,IF(JN$8="Per Line",1,$AF610)),0)),0)</f>
        <v>0</v>
      </c>
      <c r="JO610" s="1061"/>
      <c r="JP610" s="1670">
        <f>IFERROR(IF(__Retrofit_TI_NC=0,IF(_kWh_Grant=0,0,IF($IB608=TRUE,IF(OR(JP$14="No",JP608=FALSE,$JH610&lt;=$JH608),0,IF(JP$8="Per Line",1,$AF610)),0)),IF($IB608=TRUE,IF(OR(JP$14="No",JP608=FALSE,$JH610&lt;=$JH608),0,IF(JP$8="Per Line",1,$AF610)))),0)</f>
        <v>0</v>
      </c>
      <c r="JQ610" s="1061"/>
      <c r="JR610" s="1670">
        <f>IFERROR(IF(__Retrofit_TI_NC=0,IF(_kWh_Grant=0,0,IF($IB608=TRUE,IF(OR(JR$14="No",JR608=FALSE,$JH610&lt;=$JH608),0,IF(JR$8="Per Line",1,$AF610)),0)),IF($IB608=TRUE,IF(OR(JR$14="No",JR608=FALSE,$JH610&lt;=$JH608),0,IF(JR$8="Per Line",1,$AF610)))),0)</f>
        <v>0</v>
      </c>
      <c r="JS610" s="1061"/>
      <c r="JT610" s="1670">
        <f>IFERROR(IF(__Retrofit_TI_NC=0,IF(_kWh_Grant=0,0,IF($IB608=TRUE,IF(OR(JT$14="No",JT608=FALSE,$JH610&lt;=$JH608),0,IF(JT$8="Per Line",1,$AF610)),0)),IF($IB608=TRUE,IF(OR(JT$14="No",JT608=FALSE,$JH610&lt;=$JH608),0,IF(JT$8="Per Line",1,$AF610)))),0)</f>
        <v>0</v>
      </c>
      <c r="JU610" s="1061"/>
      <c r="JV610" s="1670">
        <f>IFERROR(IF(__Retrofit_TI_NC=0,IF(_kWh_Grant=0,0,IF($IB608=TRUE,IF(OR(JV$14="No",JV608=FALSE,$JH610&lt;=$JH608),0,IF(JV$8="Per Line",1,$AF610)),0)),IF($IB608=TRUE,IF(OR(JV$14="No",JV608=FALSE,$JH610&lt;=$JH608),0,IF(JV$8="Per Line",1,$AF610)))),0)</f>
        <v>0</v>
      </c>
      <c r="JX610" s="1670">
        <f>IFERROR(IF(__Retrofit_TI_NC=0,IF(_kWh_Grant=0,0,IF($IB608=TRUE,IF(OR(JX$14="No",JX608=FALSE,$JH610&lt;=$JH608),0,IF(JX$8="Per Line",1,$AF610)),0)),IF($IB608=TRUE,IF(OR(JX$14="No",JX608=FALSE,$JH610&lt;=$JH608),0,IF(JX$8="Per Line",1,$AF610)))),0)</f>
        <v>0</v>
      </c>
      <c r="JZ610" s="1670">
        <f>IFERROR(IF($IB608=TRUE,IF(OR(JZ$14="No",JZ608=FALSE,$JH610&lt;=$JH608,AND(_kWh_Grant=0,$GD608=FALSE)),0,IF(JZ$8="Per Line",1,$AF610)),0),0)</f>
        <v>0</v>
      </c>
      <c r="KB610" s="1670">
        <f>IFERROR(IF(__Retrofit_TI_NC=0,IF(_kWh_Grant=0,0,IF($IB608=TRUE,IF(OR(KB$14="No",KB608=FALSE,$JH610&lt;=$JH608),0,IF(KB$8="Per Line",1,$AF610)),0)),IF($IB608=TRUE,IF(OR(KB$14="No",KB608=FALSE,$JH610&lt;=$JH608),0,IF(KB$8="Per Line",1,$AF610)))),0)</f>
        <v>0</v>
      </c>
    </row>
    <row r="611" spans="1:288" s="78" customFormat="1" ht="14.95" customHeight="1" thickTop="1" thickBot="1">
      <c r="B611" s="1845"/>
      <c r="C611" s="1846"/>
      <c r="D611" s="1847"/>
      <c r="E611" s="1771" t="s">
        <v>436</v>
      </c>
      <c r="F611" s="1772"/>
      <c r="G611" s="1784" t="s">
        <v>437</v>
      </c>
      <c r="H611" s="1785"/>
      <c r="I611" s="1785"/>
      <c r="J611" s="1785"/>
      <c r="K611" s="1785"/>
      <c r="L611" s="1786"/>
      <c r="M611" s="591">
        <f>IFERROR(VLOOKUP(G611,_Daylight_Table[],2,FALSE),0)</f>
        <v>0</v>
      </c>
      <c r="N611" s="592" t="str">
        <f>IF(AND(__Retrofit_TI_NC&gt;0,CQ608="Interior"),"BAM","")</f>
        <v/>
      </c>
      <c r="O611" s="591" t="e">
        <f>VLOOKUP(G610,'Space Table'!$B$3:$L$163,11,FALSE)</f>
        <v>#N/A</v>
      </c>
      <c r="P611" s="1789"/>
      <c r="Q611" s="1790"/>
      <c r="R611" s="1790"/>
      <c r="S611" s="1788"/>
      <c r="T611" s="593" t="s">
        <v>342</v>
      </c>
      <c r="U611" s="1756" t="str" cm="1">
        <f t="array" aca="1" ref="U611" ca="1">IFERROR(VLOOKUP(INDIRECT("U" &amp; ROW()-1),Fixtures!DM$93:DP$142,4,FALSE),"")</f>
        <v/>
      </c>
      <c r="V611" s="1757"/>
      <c r="W611" s="1757"/>
      <c r="X611" s="1757"/>
      <c r="Y611" s="1757"/>
      <c r="Z611" s="1757"/>
      <c r="AA611" s="1758"/>
      <c r="AB611" s="939" t="str">
        <f>IFERROR(VLOOKUP(U610,Fixtures_Proposed_List,2,FALSE),"")</f>
        <v/>
      </c>
      <c r="AC611" s="933" t="str">
        <f>IFERROR(ROUND(T610*AB611*N609*R609/1000,0),"")</f>
        <v/>
      </c>
      <c r="AD611" s="934" t="str">
        <f>IFERROR(ROUND(T610*AB611/1000,2),"")</f>
        <v/>
      </c>
      <c r="AE611" s="998"/>
      <c r="AF611" s="938" t="s">
        <v>342</v>
      </c>
      <c r="AG611" s="1770"/>
      <c r="AH611" s="1770"/>
      <c r="AI611" s="1770"/>
      <c r="AJ611" s="1770"/>
      <c r="AK611" s="1770"/>
      <c r="AL611" s="1770"/>
      <c r="AM611" s="1727"/>
      <c r="AN611" s="1729"/>
      <c r="AO611" s="1731"/>
      <c r="AP611" s="1782"/>
      <c r="AQ611" s="1783"/>
      <c r="AR611" s="1797"/>
      <c r="AS611" s="1797"/>
      <c r="AT611" s="1798"/>
      <c r="AU611" s="1736"/>
      <c r="AV611" s="1753"/>
      <c r="AW611" s="1706"/>
      <c r="AX611" s="468"/>
      <c r="AY611" s="1750"/>
      <c r="AZ611" s="1750"/>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696"/>
      <c r="CQ611" s="1696"/>
      <c r="CR611" s="1809"/>
      <c r="CS611" s="1811"/>
      <c r="CU611" s="1688"/>
      <c r="CV611" s="1703"/>
      <c r="CW611" s="1703"/>
      <c r="CX611" s="1813"/>
      <c r="CY611" s="1815"/>
      <c r="CZ611" s="1711"/>
      <c r="DA611" s="1815"/>
      <c r="DB611" s="1821"/>
      <c r="DC611" s="1821"/>
      <c r="DD611" s="1821"/>
      <c r="DF611" s="1703"/>
      <c r="DG611" s="1831"/>
      <c r="DH611" s="1813"/>
      <c r="DI611" s="1838"/>
      <c r="DJ611" s="1711"/>
      <c r="DK611" s="1712"/>
      <c r="DN611" s="1718"/>
      <c r="DO611" s="1709"/>
      <c r="DQ611" s="1715"/>
      <c r="DR611" s="1720"/>
      <c r="DS611" s="1703"/>
      <c r="DT611" s="1714"/>
      <c r="DU611" s="1715"/>
      <c r="DV611" s="1716"/>
      <c r="DX611" s="1715"/>
      <c r="DY611" s="1720"/>
      <c r="DZ611" s="1715"/>
      <c r="EA611" s="1715"/>
      <c r="EC611" s="1834"/>
      <c r="ED611" s="1834"/>
      <c r="EF611" s="1707"/>
      <c r="EG611" s="1712"/>
      <c r="EH611" s="1815"/>
      <c r="EI611" s="1712"/>
      <c r="EJ611" s="1712"/>
      <c r="EK611" s="1813"/>
      <c r="EL611" s="1813"/>
      <c r="EM611" s="1807"/>
      <c r="EN611" s="1839"/>
      <c r="EO611" s="1839"/>
      <c r="EP611" s="1817"/>
      <c r="EQ611" s="1817"/>
      <c r="ER611" s="1807"/>
      <c r="ES611" s="1807"/>
      <c r="ET611" s="1807"/>
      <c r="EV611" s="1715"/>
      <c r="EX611" s="1806"/>
      <c r="EY611" s="1806"/>
      <c r="EZ611" s="1806"/>
      <c r="FA611" s="1806"/>
      <c r="FB611" s="1806"/>
      <c r="FC611" s="1828"/>
      <c r="FE611" s="1698"/>
      <c r="FG611" s="1703"/>
      <c r="FH611" s="1703"/>
      <c r="FI611" s="133"/>
      <c r="FL611" s="1823"/>
      <c r="FM611" s="1825"/>
      <c r="FN611" s="1698"/>
      <c r="FO611" s="1698"/>
      <c r="FP611" s="1678"/>
      <c r="FQ611" s="1698"/>
      <c r="FS611" s="1687"/>
      <c r="FT611" s="1687"/>
      <c r="FU611" s="1685"/>
      <c r="FV611" s="1687"/>
      <c r="FW611" s="1687"/>
      <c r="FX611" s="1687"/>
      <c r="FY611" s="1697"/>
      <c r="GA611" s="1696"/>
      <c r="GB611" s="1696"/>
      <c r="GC611" s="1696"/>
      <c r="GD611" s="1696"/>
      <c r="GE611" s="1696"/>
      <c r="GF611" s="1696"/>
      <c r="GG611" s="1696"/>
      <c r="GH611" s="1696"/>
      <c r="GI611" s="673"/>
      <c r="GJ611" s="1135"/>
      <c r="GK611" s="1832"/>
      <c r="GN611" s="674">
        <f>IF(GN609=TRUE,0,GN$16)</f>
        <v>0</v>
      </c>
      <c r="GP611" s="674">
        <f>IF(GP609=TRUE,0,GP$16)</f>
        <v>36</v>
      </c>
      <c r="GQ611" s="674">
        <f ca="1">IF(GQ609=TRUE,0,GQ$16)</f>
        <v>35</v>
      </c>
      <c r="GR611" s="391"/>
      <c r="GS611" s="391"/>
      <c r="GT611" s="391"/>
      <c r="GU611" s="391"/>
      <c r="GV611" s="391"/>
      <c r="HG611" s="674">
        <f>IF(HG609=TRUE,0,HG$16)</f>
        <v>0</v>
      </c>
      <c r="HH611" s="674">
        <f t="shared" ref="HH611:HM611" si="558">IF(HH609=TRUE,0,HH$16)</f>
        <v>19</v>
      </c>
      <c r="HI611" s="674">
        <f t="shared" si="558"/>
        <v>18</v>
      </c>
      <c r="HJ611" s="674">
        <f t="shared" si="558"/>
        <v>17</v>
      </c>
      <c r="HK611" s="674">
        <f t="shared" si="558"/>
        <v>16</v>
      </c>
      <c r="HL611" s="674">
        <f t="shared" si="558"/>
        <v>0</v>
      </c>
      <c r="HM611" s="674">
        <f t="shared" si="558"/>
        <v>0</v>
      </c>
      <c r="HN611" s="674">
        <f>IF(HN609=TRUE,0,HN$16)</f>
        <v>13</v>
      </c>
      <c r="HO611" s="674">
        <f t="shared" ref="HO611:HQ611" si="559">IF(HO609=TRUE,0,HO$16)</f>
        <v>0</v>
      </c>
      <c r="HP611" s="674">
        <f t="shared" si="559"/>
        <v>0</v>
      </c>
      <c r="HQ611" s="674">
        <f t="shared" si="559"/>
        <v>10</v>
      </c>
      <c r="HR611" s="674">
        <f>IF(HR609=TRUE,0,HR$16)</f>
        <v>9</v>
      </c>
      <c r="HS611" s="674">
        <f t="shared" ref="HS611:HW611" si="560">IF(HS609=TRUE,0,HS$16)</f>
        <v>0</v>
      </c>
      <c r="HT611" s="674">
        <f t="shared" si="560"/>
        <v>0</v>
      </c>
      <c r="HU611" s="674">
        <f t="shared" si="560"/>
        <v>0</v>
      </c>
      <c r="HV611" s="674">
        <f t="shared" si="560"/>
        <v>0</v>
      </c>
      <c r="HW611" s="674">
        <f t="shared" si="560"/>
        <v>0</v>
      </c>
      <c r="HX611" s="674">
        <f>IF(HX609=TRUE,0,HX$16)</f>
        <v>0</v>
      </c>
      <c r="HY611" s="674">
        <f>IF(HY609=TRUE,0,HY$16)</f>
        <v>0</v>
      </c>
      <c r="HZ611" s="674">
        <f>IF(HZ609=TRUE,0,HZ$16)</f>
        <v>1</v>
      </c>
      <c r="IB611" s="674">
        <f>IF(GP609=FALSE,GP611,IF(GQ609=FALSE,GQ611,MAX(GN611:HZ611)))</f>
        <v>36</v>
      </c>
      <c r="IC611" s="1692"/>
      <c r="ID611" s="205" t="str">
        <f>VLOOKUP(IB611,_Error_Table,3,FALSE)</f>
        <v xml:space="preserve"> </v>
      </c>
      <c r="IE611" s="205"/>
      <c r="IF611" s="1688"/>
      <c r="IG611" s="1689"/>
      <c r="IH611" s="1684"/>
      <c r="IK611" s="1689"/>
      <c r="IL611" s="1692"/>
      <c r="IM611" s="1692"/>
      <c r="IN611" s="1692"/>
      <c r="IP611" s="1679"/>
      <c r="IQ611" s="1679"/>
      <c r="IR611" s="1679"/>
      <c r="IS611" s="1679"/>
      <c r="IT611" s="1679"/>
      <c r="IU611" s="1679"/>
      <c r="IV611" s="1679"/>
      <c r="IW611" s="1679"/>
      <c r="IX611" s="1679"/>
      <c r="IY611" s="1679"/>
      <c r="IZ611" s="1679"/>
      <c r="JA611" s="1679"/>
      <c r="JC611" s="1680"/>
      <c r="JD611" s="1670"/>
      <c r="JE611" s="1681"/>
      <c r="JG611" s="1680"/>
      <c r="JH611" s="1670"/>
      <c r="JI611" s="1060"/>
      <c r="JJ611" s="1670"/>
      <c r="JK611" s="1061"/>
      <c r="JL611" s="1670"/>
      <c r="JM611" s="1061"/>
      <c r="JN611" s="1670"/>
      <c r="JO611" s="1061"/>
      <c r="JP611" s="1670"/>
      <c r="JQ611" s="1061"/>
      <c r="JR611" s="1670"/>
      <c r="JS611" s="1061"/>
      <c r="JT611" s="1670"/>
      <c r="JU611" s="1061"/>
      <c r="JV611" s="1670"/>
      <c r="JX611" s="1670"/>
      <c r="JZ611" s="1670"/>
      <c r="KB611" s="1670"/>
    </row>
    <row r="612" spans="1:288" s="78" customFormat="1" ht="5.0999999999999996" customHeight="1">
      <c r="B612" s="676"/>
      <c r="C612" s="392"/>
      <c r="D612" s="392"/>
      <c r="E612" s="1733"/>
      <c r="F612" s="1733"/>
      <c r="G612" s="1733"/>
      <c r="H612" s="1733"/>
      <c r="I612" s="1733"/>
      <c r="J612" s="1733"/>
      <c r="K612" s="1733"/>
      <c r="L612" s="1733"/>
      <c r="M612" s="1733"/>
      <c r="N612" s="1733"/>
      <c r="O612" s="1733"/>
      <c r="P612" s="1733"/>
      <c r="Q612" s="1733"/>
      <c r="R612" s="1733"/>
      <c r="S612" s="1733"/>
      <c r="T612" s="1733"/>
      <c r="U612" s="1733"/>
      <c r="V612" s="1733"/>
      <c r="W612" s="1733"/>
      <c r="X612" s="1733"/>
      <c r="Y612" s="1733"/>
      <c r="Z612" s="1733"/>
      <c r="AA612" s="1733"/>
      <c r="AB612" s="1733"/>
      <c r="AC612" s="1733"/>
      <c r="AD612" s="1733"/>
      <c r="AE612" s="1733"/>
      <c r="AF612" s="1733"/>
      <c r="AG612" s="1733"/>
      <c r="AH612" s="1733"/>
      <c r="AI612" s="1733"/>
      <c r="AJ612" s="1733"/>
      <c r="AK612" s="1733"/>
      <c r="AL612" s="1733"/>
      <c r="AM612" s="1733"/>
      <c r="AN612" s="1733"/>
      <c r="AO612" s="1733"/>
      <c r="AP612" s="1733"/>
      <c r="AQ612" s="1733"/>
      <c r="AR612" s="1733"/>
      <c r="AS612" s="1733"/>
      <c r="AT612" s="1733"/>
      <c r="AU612" s="1733"/>
      <c r="AV612" s="1733"/>
      <c r="AW612" s="1733"/>
      <c r="AX612" s="469"/>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663"/>
      <c r="CQ612" s="663"/>
      <c r="CR612" s="438"/>
      <c r="CS612" s="663"/>
      <c r="CV612" s="391"/>
      <c r="CW612" s="391"/>
      <c r="CX612" s="207"/>
      <c r="CY612" s="208"/>
      <c r="CZ612" s="208"/>
      <c r="DA612" s="208"/>
      <c r="DB612" s="209"/>
      <c r="DC612" s="209"/>
      <c r="DD612" s="209"/>
      <c r="DF612" s="664"/>
      <c r="DG612" s="665"/>
      <c r="DH612" s="666"/>
      <c r="DI612" s="667"/>
      <c r="DJ612" s="668"/>
      <c r="DK612" s="668"/>
      <c r="DN612" s="208"/>
      <c r="DO612" s="664"/>
      <c r="DQ612" s="664"/>
      <c r="DR612" s="669"/>
      <c r="DS612" s="391"/>
      <c r="DT612" s="664"/>
      <c r="DU612" s="664"/>
      <c r="DV612" s="664"/>
      <c r="DX612" s="664"/>
      <c r="DY612" s="664"/>
      <c r="DZ612" s="664"/>
      <c r="EA612" s="664"/>
      <c r="EC612" s="670"/>
      <c r="ED612" s="670"/>
      <c r="EF612" s="668"/>
      <c r="EG612" s="668"/>
      <c r="EH612" s="208"/>
      <c r="EI612" s="668"/>
      <c r="EJ612" s="668"/>
      <c r="EK612" s="207"/>
      <c r="EL612" s="207"/>
      <c r="EM612" s="666"/>
      <c r="EN612" s="671"/>
      <c r="EO612" s="671"/>
      <c r="EP612" s="672"/>
      <c r="EQ612" s="672"/>
      <c r="ER612" s="666"/>
      <c r="ES612" s="666"/>
      <c r="ET612" s="666"/>
      <c r="EV612" s="664"/>
      <c r="EX612" s="391"/>
      <c r="EY612" s="391"/>
      <c r="EZ612" s="391"/>
      <c r="FA612" s="391"/>
      <c r="FB612" s="391"/>
      <c r="FC612" s="391"/>
      <c r="FE612" s="569"/>
      <c r="FG612" s="391"/>
      <c r="FH612" s="391"/>
      <c r="FI612" s="391"/>
      <c r="FS612" s="664"/>
      <c r="FT612" s="391"/>
      <c r="FU612" s="391"/>
      <c r="FV612" s="664"/>
      <c r="FW612" s="664"/>
      <c r="GA612" s="663"/>
      <c r="GB612" s="663"/>
      <c r="GC612" s="663"/>
      <c r="GD612" s="663"/>
      <c r="GE612" s="663"/>
      <c r="GF612" s="663"/>
      <c r="GG612" s="663"/>
      <c r="GH612" s="663"/>
      <c r="GI612" s="665"/>
      <c r="GJ612" s="664"/>
      <c r="GK612" s="664"/>
    </row>
    <row r="613" spans="1:288" s="78" customFormat="1" ht="14.95" customHeight="1">
      <c r="B613" s="1845" t="str">
        <f>ID616</f>
        <v xml:space="preserve"> </v>
      </c>
      <c r="C613" s="1846">
        <f>C608+1</f>
        <v>110</v>
      </c>
      <c r="D613" s="1847"/>
      <c r="E613" s="1799" t="s">
        <v>295</v>
      </c>
      <c r="F613" s="1800"/>
      <c r="G613" s="1741"/>
      <c r="H613" s="1742"/>
      <c r="I613" s="1742"/>
      <c r="J613" s="1742"/>
      <c r="K613" s="1742"/>
      <c r="L613" s="1742"/>
      <c r="M613" s="1742"/>
      <c r="N613" s="1742"/>
      <c r="O613" s="1742"/>
      <c r="P613" s="1742"/>
      <c r="Q613" s="1742"/>
      <c r="R613" s="1742"/>
      <c r="S613" s="1791" t="s">
        <v>344</v>
      </c>
      <c r="T613" s="590"/>
      <c r="U613" s="1743"/>
      <c r="V613" s="1744"/>
      <c r="W613" s="1744"/>
      <c r="X613" s="1744"/>
      <c r="Y613" s="1744"/>
      <c r="Z613" s="1744"/>
      <c r="AA613" s="1744"/>
      <c r="AB613" s="961" t="str">
        <f>IFERROR(IF(__Retrofit_TI_NC=0,VLOOKUP(U614,Fixtures_Existing_List,2,FALSE),ROUND(N615*R615/T615,10)),"")</f>
        <v/>
      </c>
      <c r="AC613" s="935" t="str">
        <f>IFERROR(IF(__Retrofit_TI_NC=0,ROUND(T614*AB613*N614*R614/1000,0),IF(CQ613="Interior",N615*R615*R614*N614*_C406_reduction/1000,N615*R615*R614*N614/1000)),"")</f>
        <v/>
      </c>
      <c r="AD613" s="936" t="str">
        <f>IFERROR(IF(C$43=0,ROUND(T614*AB613/1000,2),N615*R615/1000),"")</f>
        <v/>
      </c>
      <c r="AE613" s="997"/>
      <c r="AF613" s="937"/>
      <c r="AG613" s="1745" t="str">
        <f>IF(__Retrofit_TI_NC=0," Control","Select Advanced Control for New System")</f>
        <v xml:space="preserve"> Control</v>
      </c>
      <c r="AH613" s="1745"/>
      <c r="AI613" s="1745"/>
      <c r="AJ613" s="1745"/>
      <c r="AK613" s="1745"/>
      <c r="AL613" s="1745"/>
      <c r="AM613" s="1746">
        <f>IFERROR(DI613,"")</f>
        <v>0</v>
      </c>
      <c r="AN613" s="1774" t="str">
        <f>IFERROR(ROUND(AM613*AC613,0),"")</f>
        <v/>
      </c>
      <c r="AO613" s="1776">
        <f>IFERROR(IF(IB613=FALSE,0,AC613-AN613),0)</f>
        <v>0</v>
      </c>
      <c r="AP613" s="1778">
        <f>AO613-AO615</f>
        <v>0</v>
      </c>
      <c r="AQ613" s="1779"/>
      <c r="AR613" s="1793">
        <f>IFERROR(IF(IB613=FALSE,0,(T615*U616)+(AF615*AG616)),0)</f>
        <v>0</v>
      </c>
      <c r="AS613" s="1793"/>
      <c r="AT613" s="1794"/>
      <c r="AU613" s="1734" t="s">
        <v>237</v>
      </c>
      <c r="AV613" s="1751">
        <f>IF(AU613="Yes",1,0)</f>
        <v>1</v>
      </c>
      <c r="AW613" s="1704" t="str">
        <f>IF(OR(DQ613=4,DQ613=5,DQ613=6,DQ613=12),CONCATENATE("$",IF(GH613=TRUE,Lookup!$K$10,Lookup!$K$2)," /lamp"),CONCATENATE(TEXT(ED613,"$0.00"),"/ kWh"))</f>
        <v>$0.00/ kWh</v>
      </c>
      <c r="AX613" s="467"/>
      <c r="AY613" s="1748">
        <f ca="1">IFERROR(IF(GM614=TRUE,(AB616*T615)/R615,0),"NA")</f>
        <v>0</v>
      </c>
      <c r="AZ613" s="1748"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696" t="str">
        <f>N614</f>
        <v/>
      </c>
      <c r="CQ613" s="1696" t="str">
        <f>IFERROR(VLOOKUP(G614,_Lookup_Heat_Type_Table_New,3,FALSE),"")</f>
        <v/>
      </c>
      <c r="CR613" s="1808" t="str">
        <f>CQ613</f>
        <v/>
      </c>
      <c r="CS613" s="1810" t="str">
        <f>IFERROR(VLOOKUP(G615,'Space Table'!$B$3:$L$163,9,FALSE),"")</f>
        <v/>
      </c>
      <c r="CU613" s="1688" t="s">
        <v>344</v>
      </c>
      <c r="CV613" s="1702">
        <f>IF(IB613=TRUE,T614,0)</f>
        <v>0</v>
      </c>
      <c r="CW613" s="1702" t="str">
        <f>IF(IB613=TRUE,U614,"")</f>
        <v/>
      </c>
      <c r="CX613" s="1702"/>
      <c r="CY613" s="1814">
        <f>IF(IB613=TRUE,AB613,0)</f>
        <v>0</v>
      </c>
      <c r="CZ613" s="1710">
        <f>IF(AND(__Retrofit_TI_NC&gt;0,CR613="interior"),0,IF(IB613=TRUE,AC613,0))</f>
        <v>0</v>
      </c>
      <c r="DA613" s="1814">
        <f>IFERROR(IF(IB613=TRUE,CZ613-CZ615,0),0)</f>
        <v>0</v>
      </c>
      <c r="DB613" s="1819">
        <f>IF(IB613=TRUE,AD613,0)</f>
        <v>0</v>
      </c>
      <c r="DC613" s="1819">
        <f>IF(IB613=TRUE,AD616,0)</f>
        <v>0</v>
      </c>
      <c r="DD613" s="1819">
        <f>IFERROR(DB613-DC613,0)</f>
        <v>0</v>
      </c>
      <c r="DF613" s="1702">
        <f>IF(IB613=TRUE,AF614,0)</f>
        <v>0</v>
      </c>
      <c r="DG613" s="1830">
        <f>IFERROR(IF(__Retrofit_TI_NC=2,IF(CQ613="Exterior",O616,FQ613),FN613),"")</f>
        <v>0</v>
      </c>
      <c r="DH613" s="1702"/>
      <c r="DI613" s="1837">
        <f>JE613</f>
        <v>0</v>
      </c>
      <c r="DJ613" s="1710">
        <f>IF(AND(__Retrofit_TI_NC&gt;0,CR613="interior"),0,IF(IB613=TRUE,AN613,0))</f>
        <v>0</v>
      </c>
      <c r="DK613" s="1712">
        <f>IFERROR(IF(IB613=TRUE,DJ615-DJ613,0),0)</f>
        <v>0</v>
      </c>
      <c r="DM613" s="1717">
        <f>IFERROR(CZ613-DJ613,0)</f>
        <v>0</v>
      </c>
      <c r="DO613" s="1708">
        <f>DM613-DN615</f>
        <v>0</v>
      </c>
      <c r="DQ613" s="1715" t="str">
        <f>IFERROR(IF(AND(OR(GC613=4,GC613=5,GC613=6),OR(GF613=4,GF613=5,GF613=6)),GC613+8,VLOOKUP(CW615,Fixtures!R$31:Y$78,8,FALSE)),"")</f>
        <v/>
      </c>
      <c r="DR613" s="1829" t="str">
        <f>DQ613</f>
        <v/>
      </c>
      <c r="DS613" s="1702" t="str">
        <f>IFERROR(VLOOKUP(DG615,Lookup!BB$3:BC$20,2,FALSE),"")</f>
        <v/>
      </c>
      <c r="DT613" s="1713" t="str">
        <f>IF(OR(DS613=7,DS613=8,DS613=9),"ALC","")</f>
        <v/>
      </c>
      <c r="DU613" s="1715">
        <f>IFERROR(IF(OR(DQ613=4,DQ613=5,DQ613=6,DQ613=12,DQ613=13,DQ613=14),VLOOKUP(CW615,Fixtures!DN$27:EG$77,19,FALSE),1)*CV615,0)</f>
        <v>0</v>
      </c>
      <c r="DV613" s="1716">
        <f>IF(OR(DS613=7,DS613=8,DS613=9),IF(DG613=DG615,0,DF615),0)</f>
        <v>0</v>
      </c>
      <c r="DX613" s="1715" t="str">
        <f>IFERROR(IF(EZ613&lt;EZ615,"Yes","No"),"")</f>
        <v/>
      </c>
      <c r="DY613" s="1829" t="str">
        <f>DX613</f>
        <v/>
      </c>
      <c r="DZ613" s="1715">
        <f>IF(DX613="Yes",DF615,0)</f>
        <v>0</v>
      </c>
      <c r="EA613" s="1715">
        <f>DZ613-DV613</f>
        <v>0</v>
      </c>
      <c r="EC613" s="1834">
        <f>IFERROR(VLOOKUP(DQ613,Lookup!AU$3:AV$16,2,FALSE),0)</f>
        <v>0</v>
      </c>
      <c r="ED613" s="1834">
        <f>IF(IB613=FALSE,0,IF(DX613="Yes",EC613+Lookup!K$6,EC613))</f>
        <v>0</v>
      </c>
      <c r="EF613" s="1707">
        <f>IF(IB613=TRUE,DM613,0)</f>
        <v>0</v>
      </c>
      <c r="EG613" s="1712">
        <f>IF(IB613=TRUE,CZ615,0)</f>
        <v>0</v>
      </c>
      <c r="EH613" s="1814">
        <f>IFERROR(EF613-EG613,0)</f>
        <v>0</v>
      </c>
      <c r="EI613" s="1712">
        <f>IF(IB613=TRUE,DJ615,0)</f>
        <v>0</v>
      </c>
      <c r="EJ613" s="1712">
        <f>IFERROR(EF613-EG613+EI613,0)</f>
        <v>0</v>
      </c>
      <c r="EK613" s="1812">
        <f>IF(IB613=TRUE,CV615*CX615,0)</f>
        <v>0</v>
      </c>
      <c r="EL613" s="1812">
        <f>IF(IB613=TRUE,DF615*DH615,0)</f>
        <v>0</v>
      </c>
      <c r="EM613" s="1807">
        <f>AR613</f>
        <v>0</v>
      </c>
      <c r="EN613" s="1839" t="str">
        <f>IFERROR(IF(IB613=TRUE,VLOOKUP(DQ613,Lookup!AU$3:AW$16,3,FALSE)*DU613,""),0)</f>
        <v/>
      </c>
      <c r="EO613" s="1839">
        <f>IF(IB613=TRUE,DZ613*Lookup!AW$12,0)</f>
        <v>0</v>
      </c>
      <c r="EP613" s="1817">
        <f>IFERROR(IF(IB613=TRUE,EN613/EP$40,0),0)</f>
        <v>0</v>
      </c>
      <c r="EQ613" s="1817">
        <f>IF(IB613=TRUE,EO613/EQ$40,0)</f>
        <v>0</v>
      </c>
      <c r="ER613" s="1807">
        <f>IF(IB613=TRUE,ET$40*EP613,0)</f>
        <v>0</v>
      </c>
      <c r="ES613" s="1807">
        <f>IF(IB613=TRUE,ET$40*EQ613,0)</f>
        <v>0</v>
      </c>
      <c r="ET613" s="1807">
        <f>ER613+ES613</f>
        <v>0</v>
      </c>
      <c r="EV613" s="1715">
        <f>IF(G613="",0,1)</f>
        <v>0</v>
      </c>
      <c r="EX613" s="1804" t="str">
        <f>IFERROR(VLOOKUP(CS615,'Space Table'!$B$3:$L$163,8,FALSE),"")</f>
        <v/>
      </c>
      <c r="EY613" s="1804" t="str">
        <f>IFERROR(IF(FB613="Yes",VLOOKUP(DG613,Lookup_Control_Type_Table2,4,FALSE),VLOOKUP(DG613,Lookup_Control_Type_Table2,3,FALSE)),"")</f>
        <v/>
      </c>
      <c r="EZ613" s="1804" t="e">
        <f>VLOOKUP(DG613,Lookup!BB$3:BC$20,2,FALSE)</f>
        <v>#N/A</v>
      </c>
      <c r="FA613" s="1804" t="e">
        <f>VLOOKUP(EX613,Lookup_Control_Type_Table,2,FALSE)</f>
        <v>#N/A</v>
      </c>
      <c r="FB613" s="1804" t="e">
        <f>VLOOKUP(CS615,'Space Table'!$B$3:$L$163,7,FALSE)</f>
        <v>#N/A</v>
      </c>
      <c r="FC613" s="1826" t="b">
        <f>ISNUMBER(SEARCH("TLED",U615))</f>
        <v>0</v>
      </c>
      <c r="FE613" s="1698" t="str">
        <f>CONCATENATE(CQ613," - ",DG613)</f>
        <v xml:space="preserve"> - 0</v>
      </c>
      <c r="FG613" s="1702" t="str">
        <f>VLOOKUP(CW615,Fixtures!DN$27:EZ$77,38,FALSE)</f>
        <v/>
      </c>
      <c r="FH613" s="1702">
        <f>IFERROR(FG613*EH613,0)</f>
        <v>0</v>
      </c>
      <c r="FI613" s="133"/>
      <c r="FL613" s="1822" t="str">
        <f>IF(CQ613="Exterior","Not Daylighted",G616)</f>
        <v>Not Daylighted</v>
      </c>
      <c r="FM613" s="1824">
        <f>VLOOKUP(FL613,_New_Daylight_Table_Codes,2,FALSE)</f>
        <v>0</v>
      </c>
      <c r="FN613" s="1698">
        <f>IF(__Retrofit_TI_NC&gt;0,VLOOKUP(G615,'Space Table'!$B$3:$L$163,11,FALSE),AG614)</f>
        <v>0</v>
      </c>
      <c r="FO613" s="1698" t="e">
        <f>IF(__Retrofit_TI_NC=2,VLOOKUP(FQ613,_Control_Table,2,FALSE),VLOOKUP(FN613,_Control_Table,2,FALSE))</f>
        <v>#N/A</v>
      </c>
      <c r="FP613" s="1678" t="e">
        <f>VLOOKUP(CONCATENATE(FL613," ",FN613),Lookup!AY$102:AZ623,2,FALSE)</f>
        <v>#N/A</v>
      </c>
      <c r="FQ613" s="1678">
        <f>IF(__Retrofit_TI_NC=0,FN613,IF(AND(FT613&gt;0,FN613="Occupancy Sensor"),"Daylight + Occupancy",IF(AND(FT613&gt;0,VLOOKUP(FN613,_Control_Table,2,FALSE)&lt;4),"Interior Daylight Dimming",FN613)))</f>
        <v>0</v>
      </c>
      <c r="FS613" s="1686">
        <f>IF(CR613="Interior",VLOOKUP(CS613,Control_Savings_Interior,5,FALSE),0)</f>
        <v>0</v>
      </c>
      <c r="FT613" s="1687">
        <f>IF(CQ613="Exterior",0,IF(FM613=2,0.5,IF(OR(FM613=1,FM613=3),1,0)))</f>
        <v>0</v>
      </c>
      <c r="FU613" s="1685">
        <f>IF(R612&gt;FS$44,(FS613*(FS$44/R612)),FS613)*FT613</f>
        <v>0</v>
      </c>
      <c r="FV613" s="1686">
        <f>DI613</f>
        <v>0</v>
      </c>
      <c r="FW613" s="1686">
        <f>ROUND(FV613+((1-FV613)*FU613),2)</f>
        <v>0</v>
      </c>
      <c r="FX613" s="1686">
        <f>IF(__Retrofit_TI_NC=2,FW613,FV613)</f>
        <v>0</v>
      </c>
      <c r="FY613" s="1697"/>
      <c r="GA613" s="1696" t="str">
        <f>IFERROR(VLOOKUP(U614,_Exist_Fixture_Table,3,FALSE),"")</f>
        <v/>
      </c>
      <c r="GB613" s="1696" t="str">
        <f>VLOOKUP(CW613,_Exist_Fixture_Table,4,FALSE)</f>
        <v/>
      </c>
      <c r="GC613" s="1696">
        <f>IFERROR(VLOOKUP(GB613,Lookup!AT$6:AU$8,2,FALSE),0)</f>
        <v>0</v>
      </c>
      <c r="GD613" s="1696" t="b">
        <f>IFERROR(IF(OR(GF613=4,GF613=5,GF613=6),TRUE,FALSE),"")</f>
        <v>0</v>
      </c>
      <c r="GE613" s="1696" t="str">
        <f>IFERROR(VLOOKUP(GF613,GC$6:GD$10,2,FALSE),"")</f>
        <v/>
      </c>
      <c r="GF613" s="1696" t="str">
        <f>VLOOKUP(CW615,Fixtures!R$31:Y$78,8,FALSE)</f>
        <v/>
      </c>
      <c r="GG613" s="1696">
        <f>IF(AND(GA613=TRUE,GD613=TRUE,OR(DQ613=12,DQ613=13,DQ613=14)),GC613+8,0)</f>
        <v>0</v>
      </c>
      <c r="GH613" s="1696" t="b">
        <f>IF(OR(GG613=12,GG613=13,GG613=14),TRUE,FALSE)</f>
        <v>0</v>
      </c>
      <c r="GI613" s="673" t="b">
        <f>IF(ISNUMBER(SEARCH("TLED",U614)),TRUE,FALSE)</f>
        <v>0</v>
      </c>
      <c r="GJ613" s="1135" t="str">
        <f>IFERROR(VLOOKUP(U614,Fixtures!BM$93:BR$142,6,FALSE),"")</f>
        <v/>
      </c>
      <c r="GK613" s="1832" t="b">
        <f>IF(OR(GI613=FALSE,GI615=FALSE),TRUE,IF(GJ613-GJ615&lt;5,FALSE,TRUE))</f>
        <v>1</v>
      </c>
      <c r="GO613" s="674">
        <f>GP613</f>
        <v>0</v>
      </c>
      <c r="GP613" s="674">
        <f>IF(G613="",0,1)</f>
        <v>0</v>
      </c>
      <c r="GQ613" s="674">
        <f ca="1">SUM(GR613:HF613)</f>
        <v>2</v>
      </c>
      <c r="GR613" s="674">
        <f>IF(G614="",0,1)</f>
        <v>0</v>
      </c>
      <c r="GS613" s="674">
        <f>IF(N616="BAM",1,IF(G615="",0,1))</f>
        <v>0</v>
      </c>
      <c r="GT613" s="674">
        <f>IF(N616="BAM",1,IF(R614="",0,1))</f>
        <v>0</v>
      </c>
      <c r="GU613" s="674">
        <f>IF(N616="BAM",1,IF(__Retrofit_TI_NC=0,1,IF(R615="",0,1)))</f>
        <v>1</v>
      </c>
      <c r="GV613" s="674">
        <f>IF(N616="BAM",1,IF(CQ613="Exterior",1,IF(G616="",0,1)))</f>
        <v>1</v>
      </c>
      <c r="GW613" s="674">
        <f>IF(__Retrofit_TI_NC&gt;0,1,IF(T614="",0,1))</f>
        <v>0</v>
      </c>
      <c r="GX613" s="674">
        <f>IF(__Retrofit_TI_NC&gt;0,1,IF(U614="",0,1))</f>
        <v>0</v>
      </c>
      <c r="GY613" s="674">
        <f>IF(N616="BAM",1,IF(T615="",0,1))</f>
        <v>0</v>
      </c>
      <c r="GZ613" s="674">
        <f>IF(N616="BAM",1,IF(U615="",0,1))</f>
        <v>0</v>
      </c>
      <c r="HA613" s="674">
        <f ca="1">IF(N616="BAM",1,IF(__Retrofit_TI_NC&gt;0,1,IF(U616="",0,1)))</f>
        <v>0</v>
      </c>
      <c r="HB613" s="674">
        <f>IF(__Retrofit_TI_NC&lt;&gt;0,1,IF(AF614="",0,1))</f>
        <v>0</v>
      </c>
      <c r="HC613" s="674">
        <f>IF(__Retrofit_TI_NC&lt;&gt;0,1,IF(AG614="",0,1))</f>
        <v>0</v>
      </c>
      <c r="HD613" s="674">
        <f>IF(N616="BAM",1,IF(AF615="",0,1))</f>
        <v>0</v>
      </c>
      <c r="HE613" s="674">
        <f>IF(N616="BAM",1,IF(AG615="",0,1))</f>
        <v>0</v>
      </c>
      <c r="HF613" s="674">
        <f>IF(N616="BAM",1,IF(__Retrofit_TI_NC&gt;0,1,IF(AG616="",0,1)))</f>
        <v>0</v>
      </c>
      <c r="HG613" s="391"/>
      <c r="IA613" s="391"/>
      <c r="IB613" s="1693" t="b">
        <f>IF(OR(IB616=0,IB616=HY$16,IB616=HX$16,IB616=HZ$16),TRUE,FALSE)</f>
        <v>0</v>
      </c>
      <c r="IC613" s="1694" t="b">
        <f>IB613</f>
        <v>0</v>
      </c>
      <c r="ID613" s="391"/>
      <c r="IE613" s="391"/>
      <c r="IF613" s="1688" t="b">
        <f ca="1">IF(MAX(GN616:HU616)&gt;5,FALSE,TRUE)</f>
        <v>0</v>
      </c>
      <c r="IG613" s="1689">
        <f ca="1">IF(IF613=TRUE,AC613,0)</f>
        <v>0</v>
      </c>
      <c r="IH613" s="1689">
        <f ca="1">IG613-IG615</f>
        <v>0</v>
      </c>
      <c r="IK613" s="1689" t="e">
        <f>ROUND(T614*VLOOKUP(U614,Fixtures_Existing_List,2,FALSE)*N614*R614/1000,0)</f>
        <v>#N/A</v>
      </c>
      <c r="IL613" s="1690" t="e">
        <f>IK613-IK615</f>
        <v>#N/A</v>
      </c>
      <c r="IM613" s="1693" t="e">
        <f>ROUND(IF(CQ613="Interior",N615*R615*R614*N614*_C406_reduction/1000,N615*R615*R614*N614/1000),0)</f>
        <v>#N/A</v>
      </c>
      <c r="IN613" s="1693" t="e">
        <f>IM613-IM615</f>
        <v>#N/A</v>
      </c>
      <c r="IP613" s="1679"/>
      <c r="IQ613" s="1679" t="e">
        <f t="shared" ref="IQ613:IU613" si="561">IF($CR613="interior",VLOOKUP($CS613,_New_Control_Savings_Interior,IQ$30,FALSE),VLOOKUP($CS613,Control_Savings_Exterior,IQ$30,FALSE))</f>
        <v>#N/A</v>
      </c>
      <c r="IR613" s="1679" t="e">
        <f t="shared" si="561"/>
        <v>#N/A</v>
      </c>
      <c r="IS613" s="1679" t="e">
        <f t="shared" si="561"/>
        <v>#N/A</v>
      </c>
      <c r="IT613" s="1679" t="e">
        <f t="shared" si="561"/>
        <v>#N/A</v>
      </c>
      <c r="IU613" s="1679" t="e">
        <f t="shared" si="561"/>
        <v>#N/A</v>
      </c>
      <c r="IV613" s="1679" t="e">
        <f>IF($CR613="interior",IF(R614&gt;$IP$14,ROUND(($IV$18*($IP$14/R614)),2),$IV$18),VLOOKUP($CS613,Control_Savings_Exterior,IV$30,FALSE))</f>
        <v>#N/A</v>
      </c>
      <c r="IW613" s="1679" t="e">
        <f>IF($CR613="interior",ROUND(((1-IS613)*IV613)+IS613,2),VLOOKUP($CS613,Control_Savings_Exterior,IW$30,FALSE))</f>
        <v>#N/A</v>
      </c>
      <c r="IX613" s="1679" t="e">
        <f>IF($CR613="interior",ROUND(((1-IT613)*IV613)+IT613,2),VLOOKUP($CS613,Control_Savings_Exterior,IX$30,FALSE))</f>
        <v>#N/A</v>
      </c>
      <c r="IY613" s="1679" t="e">
        <f>IF($CR613="interior",IF(R614&gt;$IP$14,ROUND(($IY$18*($IP$14/R614)),2),$IY$18),VLOOKUP($CS613,Control_Savings_Exterior,IY$30,FALSE))</f>
        <v>#N/A</v>
      </c>
      <c r="IZ613" s="1679" t="e">
        <f>IF($CR613="interior",ROUND(((1-IS613)*IY613)+IS613,2),VLOOKUP($CS613,Control_Savings_Exterior,IZ$30,FALSE))</f>
        <v>#N/A</v>
      </c>
      <c r="JA613" s="1679" t="e">
        <f>IF($CR613="interior",ROUND(((1-IT613)*IY613)+IT613,2),VLOOKUP($CS613,Control_Savings_Exterior,JA$30,FALSE))</f>
        <v>#N/A</v>
      </c>
      <c r="JC613" s="1680">
        <f>IFERROR(IF(CR613="Interior",CONCATENATE(G616," ",FQ613),FQ613),"")</f>
        <v>0</v>
      </c>
      <c r="JD613" s="1670" t="str">
        <f>IFERROR(VLOOKUP(JC613,_Controls_2023,2,FALSE),"")</f>
        <v/>
      </c>
      <c r="JE613" s="1681">
        <f>IFERROR(CHOOSE(JD613-1,IQ613,IR613,IS613,IT613,IU613,IV613,IW613,IX613,IY613,IZ613,JA613),0)</f>
        <v>0</v>
      </c>
      <c r="JG613" s="1680" t="str">
        <f>FE613</f>
        <v xml:space="preserve"> - 0</v>
      </c>
      <c r="JH613" s="1670" t="e">
        <f>$FO613</f>
        <v>#N/A</v>
      </c>
      <c r="JI613" s="1060"/>
      <c r="JJ613" s="1682" t="b">
        <f>IF($JG615=CONCATENATE("Interior - ",JJ$4),TRUE,FALSE)</f>
        <v>0</v>
      </c>
      <c r="JK613" s="1061"/>
      <c r="JL613" s="1682" t="b">
        <f>IF($JG615=CONCATENATE("Interior - ",JL$4),TRUE,FALSE)</f>
        <v>0</v>
      </c>
      <c r="JM613" s="1061"/>
      <c r="JN613" s="1682" t="b">
        <f>IF($JG615=CONCATENATE("Interior - ",JN$4),TRUE,FALSE)</f>
        <v>0</v>
      </c>
      <c r="JO613" s="1061"/>
      <c r="JP613" s="1682" t="b">
        <f>IF(__Retrofit_TI_NC&gt;0,FALSE,IF($JG615=CONCATENATE("Interior - ",JP$4),TRUE,FALSE))</f>
        <v>0</v>
      </c>
      <c r="JQ613" s="1061"/>
      <c r="JR613" s="1682" t="b">
        <f>IF(__Retrofit_TI_NC&gt;0,FALSE,IF($JG615=CONCATENATE("Interior - ",JR$4),TRUE,FALSE))</f>
        <v>0</v>
      </c>
      <c r="JS613" s="1061"/>
      <c r="JT613" s="1670" t="b">
        <f>IF(__Retrofit_TI_NC&gt;0,FALSE,IF($JG615=CONCATENATE("Interior - ",JT$4),TRUE,FALSE))</f>
        <v>0</v>
      </c>
      <c r="JU613" s="1061"/>
      <c r="JV613" s="1670" t="b">
        <f>IF(JC615="AELC on Existing",TRUE,FALSE)</f>
        <v>0</v>
      </c>
      <c r="JX613" s="1670" t="b">
        <f>IF(OR(JG615="Exterior - AELC Occupancy based",JG615="Exterior - AELC Time based"),TRUE,FALSE)</f>
        <v>0</v>
      </c>
      <c r="JZ613" s="1682" t="b">
        <f>IF($JG615=CONCATENATE("Exterior - ",JZ$4),TRUE,FALSE)</f>
        <v>0</v>
      </c>
      <c r="KB613" s="1670" t="b">
        <f>IF(__Retrofit_TI_NC&gt;0,FALSE,IF($JG615=CONCATENATE("Interior - ",KB$4),TRUE,FALSE))</f>
        <v>0</v>
      </c>
    </row>
    <row r="614" spans="1:288" s="78" customFormat="1" ht="14.95" customHeight="1" thickTop="1" thickBot="1">
      <c r="B614" s="1845"/>
      <c r="C614" s="1846"/>
      <c r="D614" s="1847"/>
      <c r="E614" s="1737" t="s">
        <v>297</v>
      </c>
      <c r="F614" s="1738"/>
      <c r="G614" s="1739"/>
      <c r="H614" s="1739"/>
      <c r="I614" s="1739"/>
      <c r="J614" s="1739"/>
      <c r="K614" s="1739"/>
      <c r="L614" s="1739"/>
      <c r="M614" s="461" t="e">
        <f>IF(__Retrofit_TI_NC&lt;&gt;0,IF(VLOOKUP(G615,'Space Table'!$B$3:$L$163,3,FALSE)&gt;0,1,0),IF(__Retrofit_TI_NC=VLOOKUP(G615,'Space Table'!$B$3:$L$163,3,FALSE),1,0))</f>
        <v>#N/A</v>
      </c>
      <c r="N614" s="461" t="str">
        <f>IFERROR(VLOOKUP(G614,_Lookup_Heat_Type_Table_New,2,FALSE),"")</f>
        <v/>
      </c>
      <c r="O614" s="461">
        <f>IF(__Retrofit_TI_NC=1,CONCATENATE("TI ",G614),IF(__Retrofit_TI_NC=2,CONCATENATE("NC ",G614),G614))</f>
        <v>0</v>
      </c>
      <c r="P614" s="1740" t="s">
        <v>435</v>
      </c>
      <c r="Q614" s="1740"/>
      <c r="R614" s="595"/>
      <c r="S614" s="1792"/>
      <c r="T614" s="597"/>
      <c r="U614" s="1765"/>
      <c r="V614" s="1766"/>
      <c r="W614" s="1766"/>
      <c r="X614" s="1766"/>
      <c r="Y614" s="1766"/>
      <c r="Z614" s="1766"/>
      <c r="AA614" s="1766"/>
      <c r="AB614" s="1766"/>
      <c r="AC614" s="1766"/>
      <c r="AD614" s="1767"/>
      <c r="AE614" s="1000"/>
      <c r="AF614" s="597"/>
      <c r="AG614" s="1723"/>
      <c r="AH614" s="1724"/>
      <c r="AI614" s="1724"/>
      <c r="AJ614" s="1724"/>
      <c r="AK614" s="1725"/>
      <c r="AL614" s="996"/>
      <c r="AM614" s="1747"/>
      <c r="AN614" s="1775"/>
      <c r="AO614" s="1777"/>
      <c r="AP614" s="1780"/>
      <c r="AQ614" s="1781"/>
      <c r="AR614" s="1795"/>
      <c r="AS614" s="1795"/>
      <c r="AT614" s="1796"/>
      <c r="AU614" s="1735"/>
      <c r="AV614" s="1752"/>
      <c r="AW614" s="1705"/>
      <c r="AX614" s="467"/>
      <c r="AY614" s="1749"/>
      <c r="AZ614" s="1749"/>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696"/>
      <c r="CQ614" s="1696"/>
      <c r="CR614" s="1809"/>
      <c r="CS614" s="1811"/>
      <c r="CU614" s="1688"/>
      <c r="CV614" s="1703"/>
      <c r="CW614" s="1703"/>
      <c r="CX614" s="1703"/>
      <c r="CY614" s="1815"/>
      <c r="CZ614" s="1711"/>
      <c r="DA614" s="1818"/>
      <c r="DB614" s="1820"/>
      <c r="DC614" s="1820"/>
      <c r="DD614" s="1820"/>
      <c r="DF614" s="1703"/>
      <c r="DG614" s="1831"/>
      <c r="DH614" s="1703"/>
      <c r="DI614" s="1838"/>
      <c r="DJ614" s="1711"/>
      <c r="DK614" s="1712"/>
      <c r="DM614" s="1718"/>
      <c r="DO614" s="1708"/>
      <c r="DQ614" s="1715"/>
      <c r="DR614" s="1720"/>
      <c r="DS614" s="1816"/>
      <c r="DT614" s="1714"/>
      <c r="DU614" s="1715"/>
      <c r="DV614" s="1716"/>
      <c r="DX614" s="1715"/>
      <c r="DY614" s="1720"/>
      <c r="DZ614" s="1715"/>
      <c r="EA614" s="1715"/>
      <c r="EC614" s="1834"/>
      <c r="ED614" s="1834"/>
      <c r="EF614" s="1707"/>
      <c r="EG614" s="1712"/>
      <c r="EH614" s="1818"/>
      <c r="EI614" s="1712"/>
      <c r="EJ614" s="1712"/>
      <c r="EK614" s="1836"/>
      <c r="EL614" s="1836"/>
      <c r="EM614" s="1807"/>
      <c r="EN614" s="1839"/>
      <c r="EO614" s="1839"/>
      <c r="EP614" s="1817"/>
      <c r="EQ614" s="1817"/>
      <c r="ER614" s="1807"/>
      <c r="ES614" s="1807"/>
      <c r="ET614" s="1807"/>
      <c r="EV614" s="1715"/>
      <c r="EX614" s="1805"/>
      <c r="EY614" s="1805"/>
      <c r="EZ614" s="1805"/>
      <c r="FA614" s="1805"/>
      <c r="FB614" s="1805"/>
      <c r="FC614" s="1827"/>
      <c r="FE614" s="1698"/>
      <c r="FG614" s="1816"/>
      <c r="FH614" s="1816"/>
      <c r="FI614" s="133"/>
      <c r="FL614" s="1823"/>
      <c r="FM614" s="1825"/>
      <c r="FN614" s="1698"/>
      <c r="FO614" s="1698"/>
      <c r="FP614" s="1678"/>
      <c r="FQ614" s="1678"/>
      <c r="FS614" s="1687"/>
      <c r="FT614" s="1687"/>
      <c r="FU614" s="1685"/>
      <c r="FV614" s="1687"/>
      <c r="FW614" s="1687"/>
      <c r="FX614" s="1687"/>
      <c r="FY614" s="1697"/>
      <c r="GA614" s="1696"/>
      <c r="GB614" s="1696"/>
      <c r="GC614" s="1696"/>
      <c r="GD614" s="1696"/>
      <c r="GE614" s="1696"/>
      <c r="GF614" s="1696"/>
      <c r="GG614" s="1696"/>
      <c r="GH614" s="1696"/>
      <c r="GI614" s="673"/>
      <c r="GJ614" s="1135"/>
      <c r="GK614" s="1832"/>
      <c r="GM614" s="1693" t="b">
        <f ca="1">IF(AND(GP614=TRUE,GQ614=TRUE),TRUE,FALSE)</f>
        <v>0</v>
      </c>
      <c r="GN614" s="1684" t="b">
        <f>IFERROR(IF(__Retrofit_TI_NC=2,TRUE,IF(AU613="Yes",TRUE,FALSE)),FALSE)</f>
        <v>1</v>
      </c>
      <c r="GP614" s="1684" t="b">
        <f>IFERROR(IF(GP613=1,TRUE,FALSE),FALSE)</f>
        <v>0</v>
      </c>
      <c r="GQ614" s="1684" t="b">
        <f ca="1">IFERROR(IF(GQ613=GQ$14,TRUE,FALSE),FALSE)</f>
        <v>0</v>
      </c>
      <c r="HG614" s="1684" t="b">
        <f>IFERROR(IF(AND(__Retrofit_TI_NC&gt;0,CQ613="Interior"),FALSE,TRUE),FALSE)</f>
        <v>1</v>
      </c>
      <c r="HH614" s="1684" t="b">
        <f>IFERROR(IF(M614=1,TRUE,FALSE),FALSE)</f>
        <v>0</v>
      </c>
      <c r="HI614" s="1684" t="b">
        <f>IFERROR(IF(OR(M615=1,N616="BAM"),TRUE,FALSE),FALSE)</f>
        <v>0</v>
      </c>
      <c r="HJ614" s="1684" t="b">
        <f>IFERROR(IF(__Retrofit_TI_NC&lt;&gt;0,TRUE,IFERROR(IF(VLOOKUP(U614,Fixtures_Existing_List,2,FALSE)&lt;&gt;"",TRUE,FALSE),FALSE)),FALSE)</f>
        <v>0</v>
      </c>
      <c r="HK614" s="1684" t="b">
        <f>IFERROR(IF(VLOOKUP(U615,Fixtures_Proposed_List,2,FALSE)&lt;&gt;"",TRUE,FALSE),FALSE)</f>
        <v>0</v>
      </c>
      <c r="HL614" s="1684" t="b">
        <f>IF(AND(__Retrofit_TI_NC=2,FC613=TRUE),FALSE,TRUE)</f>
        <v>1</v>
      </c>
      <c r="HM614" s="1684" t="b">
        <f>GK613</f>
        <v>1</v>
      </c>
      <c r="HN614" s="1682" t="b">
        <f>IF(ISERROR(MATCH(FE613,_Control_Match[],0))=TRUE,FALSE,TRUE)</f>
        <v>0</v>
      </c>
      <c r="HO614" s="1693" t="b">
        <f>IFERROR(IF(EX613&lt;&gt;EY613,FALSE,TRUE),FALSE)</f>
        <v>1</v>
      </c>
      <c r="HP614" s="1693" t="b">
        <f>IFERROR(IF(EX615&lt;&gt;EY615,FALSE,TRUE),FALSE)</f>
        <v>1</v>
      </c>
      <c r="HQ614" s="1670" t="b">
        <f>IFERROR(IF(CQ613="Exterior",TRUE,IF(AND(OR(FM615=0,FM615=3),JD615&gt;6),FALSE,TRUE)),FALSE)</f>
        <v>0</v>
      </c>
      <c r="HR614" s="1684" t="b">
        <f>IFERROR(IF(AND(FO615=7,FC613=TRUE),FALSE,TRUE),FALSE)</f>
        <v>0</v>
      </c>
      <c r="HS614" s="1684" t="b">
        <f>IFERROR(IF(AND(T615&lt;&gt;AF615,OR(AG615="Interior LLLC", AG615="Interior NLC", AG615="LLLC (outside Daylight)",AG615="LLLC Controls Only"))=TRUE,FALSE,TRUE),FALSE)</f>
        <v>1</v>
      </c>
      <c r="HT614" s="1670" t="b">
        <f>IFERROR(IF(OR(AG615=Lookup!BB$17,AG615=Lookup!BB$18,AG615=Lookup!BB$19)=TRUE,IF(AF615&gt;T615,FALSE,TRUE),TRUE),FALSE)</f>
        <v>1</v>
      </c>
      <c r="HU614" s="1684" t="b">
        <f>IFERROR(IF(__Retrofit_TI_NC=2,IF(EZ615&lt;EZ613,FALSE,TRUE),TRUE),FALSE)</f>
        <v>1</v>
      </c>
      <c r="HV614" s="1684" t="b">
        <f>IF(CQ613="Interior",IL$6,TRUE)</f>
        <v>1</v>
      </c>
      <c r="HW614" s="1684" t="b">
        <f>IF(CQ613="Exterior",IL$8,TRUE)</f>
        <v>1</v>
      </c>
      <c r="HX614" s="1684" t="b">
        <f>IFERROR(IF(__Retrofit_TI_NC&lt;&gt;0,IF(AZ613&lt;AY613,FALSE,TRUE),TRUE),FALSE)</f>
        <v>1</v>
      </c>
      <c r="HY614" s="1684" t="b">
        <f>IFERROR(IF(AND(G614="Exterior",R614&gt;4200),FALSE,TRUE),FALSE)</f>
        <v>1</v>
      </c>
      <c r="HZ614" s="1684" t="b">
        <f>IFERROR(IF(AB616/AB613&lt;HZ$18,FALSE,TRUE),FALSE)</f>
        <v>0</v>
      </c>
      <c r="IB614" s="1691"/>
      <c r="IC614" s="1695"/>
      <c r="ID614" s="1694" t="str">
        <f>VLOOKUP(IB616,_Error_Table,4,FALSE)</f>
        <v>White</v>
      </c>
      <c r="IE614" s="391"/>
      <c r="IF614" s="1688"/>
      <c r="IG614" s="1689"/>
      <c r="IH614" s="1684"/>
      <c r="IK614" s="1689"/>
      <c r="IL614" s="1691"/>
      <c r="IM614" s="1691"/>
      <c r="IN614" s="1691"/>
      <c r="IP614" s="1679"/>
      <c r="IQ614" s="1679"/>
      <c r="IR614" s="1679"/>
      <c r="IS614" s="1679"/>
      <c r="IT614" s="1679"/>
      <c r="IU614" s="1679"/>
      <c r="IV614" s="1679"/>
      <c r="IW614" s="1679"/>
      <c r="IX614" s="1679"/>
      <c r="IY614" s="1679"/>
      <c r="IZ614" s="1679"/>
      <c r="JA614" s="1679"/>
      <c r="JC614" s="1680"/>
      <c r="JD614" s="1670"/>
      <c r="JE614" s="1681"/>
      <c r="JG614" s="1680"/>
      <c r="JH614" s="1670"/>
      <c r="JI614" s="1060"/>
      <c r="JJ614" s="1683"/>
      <c r="JK614" s="1061"/>
      <c r="JL614" s="1683"/>
      <c r="JM614" s="1061"/>
      <c r="JN614" s="1683"/>
      <c r="JO614" s="1061"/>
      <c r="JP614" s="1683"/>
      <c r="JQ614" s="1061"/>
      <c r="JR614" s="1683"/>
      <c r="JS614" s="1061"/>
      <c r="JT614" s="1670"/>
      <c r="JU614" s="1061"/>
      <c r="JV614" s="1670"/>
      <c r="JX614" s="1670"/>
      <c r="JZ614" s="1683"/>
      <c r="KB614" s="1670"/>
    </row>
    <row r="615" spans="1:288" s="78" customFormat="1" ht="14.95" customHeight="1" thickTop="1" thickBot="1">
      <c r="A615" s="78">
        <f>ROW()</f>
        <v>615</v>
      </c>
      <c r="B615" s="1845"/>
      <c r="C615" s="1846"/>
      <c r="D615" s="1847"/>
      <c r="E615" s="1737" t="s">
        <v>298</v>
      </c>
      <c r="F615" s="1738"/>
      <c r="G615" s="1760"/>
      <c r="H615" s="1761"/>
      <c r="I615" s="1761"/>
      <c r="J615" s="1761"/>
      <c r="K615" s="1761"/>
      <c r="L615" s="1762"/>
      <c r="M615" s="461">
        <f>IFERROR(IF(IF(__Retrofit_TI_NC&lt;&gt;0,IF(CQ613="Interior",MATCH(G615,Lookup_Interior_New,0),MATCH(G615,Lookup_Exterior_New,0)),IF(CQ613="Interior",MATCH(G615,Lookup_Interior,0),MATCH(G615,Lookup_Exterior_Areas,0)))&gt;0,1,0),0)</f>
        <v>0</v>
      </c>
      <c r="N615" s="461" t="e">
        <f>IF(__Retrofit_TI_NC=1,
VLOOKUP(G615,'Space Table'!$B$3:$L$163,4,FALSE),
IF(__Retrofit_TI_NC=2,VLOOKUP(G615,'Space Table'!$B$3:$L$163,5,FALSE),VLOOKUP(G615,'Space Table'!$B$3:$L$163,5,FALSE)))</f>
        <v>#N/A</v>
      </c>
      <c r="O615" s="461">
        <f>G615</f>
        <v>0</v>
      </c>
      <c r="P615" s="1738" t="str">
        <f>IFERROR(IF(__Retrofit_TI_NC=1,VLOOKUP(G615,'Space Table'!$B$3:$O$163,13,FALSE),IF(__Retrofit_TI_NC=2,VLOOKUP(G615,'Space Table'!$B$3:$O$163,14,FALSE),"Area (sf):")),"Area (sf):")</f>
        <v>Area (sf):</v>
      </c>
      <c r="Q615" s="1738"/>
      <c r="R615" s="596"/>
      <c r="S615" s="1763" t="s">
        <v>345</v>
      </c>
      <c r="T615" s="594"/>
      <c r="U615" s="1801"/>
      <c r="V615" s="1802"/>
      <c r="W615" s="1802"/>
      <c r="X615" s="1802"/>
      <c r="Y615" s="1802"/>
      <c r="Z615" s="1802"/>
      <c r="AA615" s="1802"/>
      <c r="AB615" s="1802"/>
      <c r="AC615" s="1802"/>
      <c r="AD615" s="1802"/>
      <c r="AE615" s="1803"/>
      <c r="AF615" s="594"/>
      <c r="AG615" s="1787"/>
      <c r="AH615" s="1787"/>
      <c r="AI615" s="1787"/>
      <c r="AJ615" s="1787"/>
      <c r="AK615" s="1787"/>
      <c r="AL615" s="1787"/>
      <c r="AM615" s="1726">
        <f>IFERROR(DI615,"")</f>
        <v>0</v>
      </c>
      <c r="AN615" s="1728" t="str">
        <f>IFERROR(ROUND(AM615*AC616,0),"")</f>
        <v/>
      </c>
      <c r="AO615" s="1730">
        <f>IFERROR(IF(IB613=FALSE,0,AC616-AN615),0)</f>
        <v>0</v>
      </c>
      <c r="AP615" s="1780"/>
      <c r="AQ615" s="1781"/>
      <c r="AR615" s="1795"/>
      <c r="AS615" s="1795"/>
      <c r="AT615" s="1796"/>
      <c r="AU615" s="1735"/>
      <c r="AV615" s="1752"/>
      <c r="AW615" s="1705"/>
      <c r="AX615" s="467"/>
      <c r="AY615" s="1749"/>
      <c r="AZ615" s="1749"/>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696"/>
      <c r="CQ615" s="1696"/>
      <c r="CR615" s="1808" t="str">
        <f>CQ613</f>
        <v/>
      </c>
      <c r="CS615" s="1810" t="str">
        <f>CS613</f>
        <v/>
      </c>
      <c r="CU615" s="1688" t="s">
        <v>345</v>
      </c>
      <c r="CV615" s="1702">
        <f>IF(IB613=TRUE,T615,0)</f>
        <v>0</v>
      </c>
      <c r="CW615" s="1702" t="str">
        <f>IF(IB613=TRUE,U615,"")</f>
        <v/>
      </c>
      <c r="CX615" s="1812">
        <f>IF(IB613=TRUE,U616,0)</f>
        <v>0</v>
      </c>
      <c r="CY615" s="1814">
        <f>IF(IB613=TRUE,AB616,0)</f>
        <v>0</v>
      </c>
      <c r="CZ615" s="1710">
        <f>IF(AND(__Retrofit_TI_NC&gt;0,CR613="interior"),0,IF(IB613=TRUE,AC616,0))</f>
        <v>0</v>
      </c>
      <c r="DA615" s="1818"/>
      <c r="DB615" s="1820"/>
      <c r="DC615" s="1820"/>
      <c r="DD615" s="1820"/>
      <c r="DF615" s="1702">
        <f>IF(IB613=TRUE,AF615,0)</f>
        <v>0</v>
      </c>
      <c r="DG615" s="1830" t="str">
        <f>IF(IB613=TRUE,AG615,"")</f>
        <v/>
      </c>
      <c r="DH615" s="1812">
        <f>AG616</f>
        <v>0</v>
      </c>
      <c r="DI615" s="1837">
        <f>JE615</f>
        <v>0</v>
      </c>
      <c r="DJ615" s="1710">
        <f>IF(AND(__Retrofit_TI_NC&gt;0,CR613="interior"),0,IF(IB613=TRUE,AN615,0))</f>
        <v>0</v>
      </c>
      <c r="DK615" s="1712"/>
      <c r="DN615" s="1717">
        <f>IFERROR(CZ615-DJ615,0)</f>
        <v>0</v>
      </c>
      <c r="DO615" s="1709"/>
      <c r="DQ615" s="1715"/>
      <c r="DR615" s="1719" t="str">
        <f>DQ613</f>
        <v/>
      </c>
      <c r="DS615" s="1816"/>
      <c r="DT615" s="1835" t="str">
        <f>IF(OR(DS613=7,DS613=8,DS613=9),"ALC","")</f>
        <v/>
      </c>
      <c r="DU615" s="1715"/>
      <c r="DV615" s="1716"/>
      <c r="DX615" s="1715"/>
      <c r="DY615" s="1829" t="str">
        <f>DX613</f>
        <v/>
      </c>
      <c r="DZ615" s="1715"/>
      <c r="EA615" s="1715"/>
      <c r="EC615" s="1834"/>
      <c r="ED615" s="1834"/>
      <c r="EF615" s="1707"/>
      <c r="EG615" s="1712"/>
      <c r="EH615" s="1818"/>
      <c r="EI615" s="1712"/>
      <c r="EJ615" s="1712"/>
      <c r="EK615" s="1836"/>
      <c r="EL615" s="1836"/>
      <c r="EM615" s="1807"/>
      <c r="EN615" s="1839"/>
      <c r="EO615" s="1839"/>
      <c r="EP615" s="1817"/>
      <c r="EQ615" s="1817"/>
      <c r="ER615" s="1807"/>
      <c r="ES615" s="1807"/>
      <c r="ET615" s="1807"/>
      <c r="EV615" s="1715"/>
      <c r="EX615" s="1805" t="str">
        <f>IFERROR(VLOOKUP(CS615,'Space Table'!$B$3:$L$163,8,FALSE),"")</f>
        <v/>
      </c>
      <c r="EY615" s="1805" t="str">
        <f>IFERROR(IF(FB615="Yes",VLOOKUP(AG615,Lookup_Control_Type_Table2,4,FALSE),VLOOKUP(AG615,Lookup_Control_Type_Table2,3,FALSE)),"")</f>
        <v/>
      </c>
      <c r="EZ615" s="1805" t="e">
        <f>VLOOKUP(AG615,Lookup!BB$3:BC$20,2,FALSE)</f>
        <v>#N/A</v>
      </c>
      <c r="FA615" s="1805" t="e">
        <f>VLOOKUP(EX613,Lookup_Control_Type_Table,2,FALSE)</f>
        <v>#N/A</v>
      </c>
      <c r="FB615" s="1805" t="e">
        <f>VLOOKUP(CS615,'Space Table'!$B$3:$L$163,7,FALSE)</f>
        <v>#N/A</v>
      </c>
      <c r="FC615" s="1827"/>
      <c r="FE615" s="1698" t="str">
        <f>CONCATENATE(CQ613," - ",AG615)</f>
        <v xml:space="preserve"> - </v>
      </c>
      <c r="FG615" s="1816"/>
      <c r="FH615" s="1816"/>
      <c r="FI615" s="133"/>
      <c r="FL615" s="1822" t="str">
        <f>IF(CQ613="Exterior","Not Daylighted",G616)</f>
        <v>Not Daylighted</v>
      </c>
      <c r="FM615" s="1824">
        <f>VLOOKUP(FL615,_New_Daylight_Table_Codes,2,FALSE)</f>
        <v>0</v>
      </c>
      <c r="FN615" s="1698">
        <f>AG615</f>
        <v>0</v>
      </c>
      <c r="FO615" s="1698" t="e">
        <f>VLOOKUP(FN615,_Control_Table,2,FALSE)</f>
        <v>#N/A</v>
      </c>
      <c r="FP615" s="1678" t="e">
        <f>VLOOKUP(CONCATENATE(FL615," ",FN615),Lookup!AY$102:AZ626,2,FALSE)</f>
        <v>#N/A</v>
      </c>
      <c r="FQ615" s="1698">
        <f>IF(__Retrofit_TI_NC=0,FN615,IF(AND(FT615&gt;0,FN615="Occupancy Sensor"),"Daylight + Occupancy",IF(AND(FT615&gt;0,FO615&lt;4),"Interior Daylight Dimming",FN615)))</f>
        <v>0</v>
      </c>
      <c r="FS615" s="1686">
        <f>IF(CQ613="Interior",VLOOKUP(CS613,Control_Savings_Interior,5,FALSE),0)</f>
        <v>0</v>
      </c>
      <c r="FT615" s="1687">
        <f>IF(CQ615="Exterior",0,IF(FM615=2,0.5,IF(OR(FM615=1,FM615=3),1,0)))</f>
        <v>0</v>
      </c>
      <c r="FU615" s="1685">
        <f>IF(R614&gt;FS$44,(FS615*(FS$44/R614)),FS615)*FT615</f>
        <v>0</v>
      </c>
      <c r="FV615" s="1686">
        <f>DI615</f>
        <v>0</v>
      </c>
      <c r="FW615" s="1686">
        <f>ROUND(FV615+((1-FV615)*FU615),2)</f>
        <v>0</v>
      </c>
      <c r="FX615" s="1686">
        <f>IF(__Retrofit_TI_NC=2,FW615,FV615)</f>
        <v>0</v>
      </c>
      <c r="FY615" s="1697">
        <f>IF(CR615="Interior",VLOOKUP(CS615,Control_Savings_Interior,4,FALSE),0)</f>
        <v>0</v>
      </c>
      <c r="GA615" s="1696"/>
      <c r="GB615" s="1696"/>
      <c r="GC615" s="1696"/>
      <c r="GD615" s="1696"/>
      <c r="GE615" s="1696"/>
      <c r="GF615" s="1696"/>
      <c r="GG615" s="1696"/>
      <c r="GH615" s="1696"/>
      <c r="GI615" s="673" t="b">
        <f>IF(ISNUMBER(SEARCH("TLED",U615)),TRUE,FALSE)</f>
        <v>0</v>
      </c>
      <c r="GJ615" s="1135" t="str">
        <f>IFERROR(VLOOKUP(U615,Fixtures!DM$93:DR$142,6,FALSE),"")</f>
        <v/>
      </c>
      <c r="GK615" s="1832"/>
      <c r="GM615" s="1692"/>
      <c r="GN615" s="1684"/>
      <c r="GP615" s="1684"/>
      <c r="GQ615" s="1684"/>
      <c r="HG615" s="1684"/>
      <c r="HH615" s="1684"/>
      <c r="HI615" s="1684"/>
      <c r="HJ615" s="1684"/>
      <c r="HK615" s="1684"/>
      <c r="HL615" s="1684"/>
      <c r="HM615" s="1684"/>
      <c r="HN615" s="1683"/>
      <c r="HO615" s="1692"/>
      <c r="HP615" s="1692"/>
      <c r="HQ615" s="1670"/>
      <c r="HR615" s="1684"/>
      <c r="HS615" s="1684"/>
      <c r="HT615" s="1670"/>
      <c r="HU615" s="1684"/>
      <c r="HV615" s="1684"/>
      <c r="HW615" s="1684"/>
      <c r="HX615" s="1684"/>
      <c r="HY615" s="1684"/>
      <c r="HZ615" s="1684"/>
      <c r="IB615" s="1692"/>
      <c r="IC615" s="1693" t="b">
        <f>IB613</f>
        <v>0</v>
      </c>
      <c r="ID615" s="1695"/>
      <c r="IE615" s="391"/>
      <c r="IF615" s="1688"/>
      <c r="IG615" s="1689">
        <f ca="1">IF(IF613=TRUE,AC616,0)</f>
        <v>0</v>
      </c>
      <c r="IH615" s="1684"/>
      <c r="IK615" s="1689" t="e">
        <f>ROUND(T615*AB616*N614*R614/1000,0)</f>
        <v>#VALUE!</v>
      </c>
      <c r="IL615" s="1691"/>
      <c r="IM615" s="1693" t="e">
        <f>ROUND(T615*AB616*N614*R614/1000,0)</f>
        <v>#VALUE!</v>
      </c>
      <c r="IN615" s="1691"/>
      <c r="IP615" s="1679"/>
      <c r="IQ615" s="1679" t="e">
        <f t="shared" ref="IQ615:IU615" si="562">IF($CR615="interior",VLOOKUP($CS615,_New_Control_Savings_Interior,IQ$30,FALSE),VLOOKUP($CS615,Control_Savings_Exterior,IQ$30,FALSE))</f>
        <v>#N/A</v>
      </c>
      <c r="IR615" s="1679" t="e">
        <f t="shared" si="562"/>
        <v>#N/A</v>
      </c>
      <c r="IS615" s="1679" t="e">
        <f t="shared" si="562"/>
        <v>#N/A</v>
      </c>
      <c r="IT615" s="1679" t="e">
        <f t="shared" si="562"/>
        <v>#N/A</v>
      </c>
      <c r="IU615" s="1679" t="e">
        <f t="shared" si="562"/>
        <v>#N/A</v>
      </c>
      <c r="IV615" s="1679" t="e">
        <f>IF($CR615="interior",IF(R614&gt;$IP$14,ROUND(($IV$18*($IP$14/R614)),2),$IV$18),VLOOKUP($CS615,Control_Savings_Exterior,IV$30,FALSE))</f>
        <v>#N/A</v>
      </c>
      <c r="IW615" s="1679" t="e">
        <f>IF($CR615="interior",ROUND(((1-IS615)*IV615)+IS615,2),VLOOKUP($CS615,Control_Savings_Exterior,IW$30,FALSE))</f>
        <v>#N/A</v>
      </c>
      <c r="IX615" s="1679" t="e">
        <f>IF($CR615="interior",ROUND(((1-IT615)*IV615)+IT615,2),VLOOKUP($CS615,Control_Savings_Exterior,IX$30,FALSE))</f>
        <v>#N/A</v>
      </c>
      <c r="IY615" s="1679" t="e">
        <f>IF($CR615="interior",IF(R614&gt;$IP$14,ROUND(($IY$18*($IP$14/R614)),2),$IY$18),VLOOKUP($CS615,Control_Savings_Exterior,IY$30,FALSE))</f>
        <v>#N/A</v>
      </c>
      <c r="IZ615" s="1679" t="e">
        <f>IF($CR615="interior",ROUND(((1-IS615)*IY615)+IS615,2),VLOOKUP($CS615,Control_Savings_Exterior,IZ$30,FALSE))</f>
        <v>#N/A</v>
      </c>
      <c r="JA615" s="1679" t="e">
        <f>IF($CR615="interior",ROUND(((1-IT615)*IY615)+IT615,2),VLOOKUP($CS615,Control_Savings_Exterior,JA$30,FALSE))</f>
        <v>#N/A</v>
      </c>
      <c r="JC615" s="1680">
        <f>IFERROR(IF(CR615="Interior",CONCATENATE(G616," ",FQ615),AG615),"")</f>
        <v>0</v>
      </c>
      <c r="JD615" s="1670" t="str">
        <f>IFERROR(VLOOKUP(JC615,_Controls_2023,2,FALSE),"")</f>
        <v/>
      </c>
      <c r="JE615" s="1681">
        <f>IFERROR(CHOOSE(JD615-1,IQ615,IR615,IS615,IT615,IU615,IV615,IW615,IX615,IY615,IZ615,JA615),0)</f>
        <v>0</v>
      </c>
      <c r="JG615" s="1680" t="str">
        <f>FE615</f>
        <v xml:space="preserve"> - </v>
      </c>
      <c r="JH615" s="1670" t="e">
        <f>$FO615</f>
        <v>#N/A</v>
      </c>
      <c r="JI615" s="1060"/>
      <c r="JJ615" s="1670">
        <f>IFERROR(IF($IB613=TRUE,IF(OR(JJ$14="No",JJ613=FALSE,JH615&lt;=JH613,AND(_kWh_Grant=0,GD613=FALSE)),0,IF(JJ$8="Per Line",1,$AF615)),0),0)</f>
        <v>0</v>
      </c>
      <c r="JK615" s="1061"/>
      <c r="JL615" s="1670">
        <f>IFERROR(IF(_kWh_Grant=0,0,IF($IB613=TRUE,IF(OR(JL$14="No",JL613=FALSE,JH615&lt;=JH613),0,IF(JL$8="Per Line",1,$T615)),0)),0)</f>
        <v>0</v>
      </c>
      <c r="JM615" s="1061"/>
      <c r="JN615" s="1670">
        <f>IFERROR(IF(_kWh_Grant=0,0,IF($IB613=TRUE,IF(OR(JN$14="No",JN613=FALSE,JH615&lt;=JH613),0,IF(JN$8="Per Line",1,$AF615)),0)),0)</f>
        <v>0</v>
      </c>
      <c r="JO615" s="1061"/>
      <c r="JP615" s="1670">
        <f>IFERROR(IF(__Retrofit_TI_NC=0,IF(_kWh_Grant=0,0,IF($IB613=TRUE,IF(OR(JP$14="No",JP613=FALSE,$JH615&lt;=$JH613),0,IF(JP$8="Per Line",1,$AF615)),0)),IF($IB613=TRUE,IF(OR(JP$14="No",JP613=FALSE,$JH615&lt;=$JH613),0,IF(JP$8="Per Line",1,$AF615)))),0)</f>
        <v>0</v>
      </c>
      <c r="JQ615" s="1061"/>
      <c r="JR615" s="1670">
        <f>IFERROR(IF(__Retrofit_TI_NC=0,IF(_kWh_Grant=0,0,IF($IB613=TRUE,IF(OR(JR$14="No",JR613=FALSE,$JH615&lt;=$JH613),0,IF(JR$8="Per Line",1,$AF615)),0)),IF($IB613=TRUE,IF(OR(JR$14="No",JR613=FALSE,$JH615&lt;=$JH613),0,IF(JR$8="Per Line",1,$AF615)))),0)</f>
        <v>0</v>
      </c>
      <c r="JS615" s="1061"/>
      <c r="JT615" s="1670">
        <f>IFERROR(IF(__Retrofit_TI_NC=0,IF(_kWh_Grant=0,0,IF($IB613=TRUE,IF(OR(JT$14="No",JT613=FALSE,$JH615&lt;=$JH613),0,IF(JT$8="Per Line",1,$AF615)),0)),IF($IB613=TRUE,IF(OR(JT$14="No",JT613=FALSE,$JH615&lt;=$JH613),0,IF(JT$8="Per Line",1,$AF615)))),0)</f>
        <v>0</v>
      </c>
      <c r="JU615" s="1061"/>
      <c r="JV615" s="1670">
        <f>IFERROR(IF(__Retrofit_TI_NC=0,IF(_kWh_Grant=0,0,IF($IB613=TRUE,IF(OR(JV$14="No",JV613=FALSE,$JH615&lt;=$JH613),0,IF(JV$8="Per Line",1,$AF615)),0)),IF($IB613=TRUE,IF(OR(JV$14="No",JV613=FALSE,$JH615&lt;=$JH613),0,IF(JV$8="Per Line",1,$AF615)))),0)</f>
        <v>0</v>
      </c>
      <c r="JX615" s="1670">
        <f>IFERROR(IF(__Retrofit_TI_NC=0,IF(_kWh_Grant=0,0,IF($IB613=TRUE,IF(OR(JX$14="No",JX613=FALSE,$JH615&lt;=$JH613),0,IF(JX$8="Per Line",1,$AF615)),0)),IF($IB613=TRUE,IF(OR(JX$14="No",JX613=FALSE,$JH615&lt;=$JH613),0,IF(JX$8="Per Line",1,$AF615)))),0)</f>
        <v>0</v>
      </c>
      <c r="JZ615" s="1670">
        <f>IFERROR(IF($IB613=TRUE,IF(OR(JZ$14="No",JZ613=FALSE,$JH615&lt;=$JH613,AND(_kWh_Grant=0,$GD613=FALSE)),0,IF(JZ$8="Per Line",1,$AF615)),0),0)</f>
        <v>0</v>
      </c>
      <c r="KB615" s="1670">
        <f>IFERROR(IF(__Retrofit_TI_NC=0,IF(_kWh_Grant=0,0,IF($IB613=TRUE,IF(OR(KB$14="No",KB613=FALSE,$JH615&lt;=$JH613),0,IF(KB$8="Per Line",1,$AF615)),0)),IF($IB613=TRUE,IF(OR(KB$14="No",KB613=FALSE,$JH615&lt;=$JH613),0,IF(KB$8="Per Line",1,$AF615)))),0)</f>
        <v>0</v>
      </c>
    </row>
    <row r="616" spans="1:288" s="78" customFormat="1" ht="14.95" customHeight="1" thickTop="1" thickBot="1">
      <c r="B616" s="1845"/>
      <c r="C616" s="1846"/>
      <c r="D616" s="1847"/>
      <c r="E616" s="1771" t="s">
        <v>436</v>
      </c>
      <c r="F616" s="1772"/>
      <c r="G616" s="1784" t="s">
        <v>437</v>
      </c>
      <c r="H616" s="1785"/>
      <c r="I616" s="1785"/>
      <c r="J616" s="1785"/>
      <c r="K616" s="1785"/>
      <c r="L616" s="1786"/>
      <c r="M616" s="591">
        <f>IFERROR(VLOOKUP(G616,_Daylight_Table[],2,FALSE),0)</f>
        <v>0</v>
      </c>
      <c r="N616" s="592" t="str">
        <f>IF(AND(__Retrofit_TI_NC&gt;0,CQ613="Interior"),"BAM","")</f>
        <v/>
      </c>
      <c r="O616" s="591" t="e">
        <f>VLOOKUP(G615,'Space Table'!$B$3:$L$163,11,FALSE)</f>
        <v>#N/A</v>
      </c>
      <c r="P616" s="1789"/>
      <c r="Q616" s="1790"/>
      <c r="R616" s="1790"/>
      <c r="S616" s="1788"/>
      <c r="T616" s="593" t="s">
        <v>342</v>
      </c>
      <c r="U616" s="1756" t="str" cm="1">
        <f t="array" aca="1" ref="U616" ca="1">IFERROR(VLOOKUP(INDIRECT("U" &amp; ROW()-1),Fixtures!DM$93:DP$142,4,FALSE),"")</f>
        <v/>
      </c>
      <c r="V616" s="1757"/>
      <c r="W616" s="1757"/>
      <c r="X616" s="1757"/>
      <c r="Y616" s="1757"/>
      <c r="Z616" s="1757"/>
      <c r="AA616" s="1758"/>
      <c r="AB616" s="939" t="str">
        <f>IFERROR(VLOOKUP(U615,Fixtures_Proposed_List,2,FALSE),"")</f>
        <v/>
      </c>
      <c r="AC616" s="933" t="str">
        <f>IFERROR(ROUND(T615*AB616*N614*R614/1000,0),"")</f>
        <v/>
      </c>
      <c r="AD616" s="934" t="str">
        <f>IFERROR(ROUND(T615*AB616/1000,2),"")</f>
        <v/>
      </c>
      <c r="AE616" s="998"/>
      <c r="AF616" s="938" t="s">
        <v>342</v>
      </c>
      <c r="AG616" s="1770"/>
      <c r="AH616" s="1770"/>
      <c r="AI616" s="1770"/>
      <c r="AJ616" s="1770"/>
      <c r="AK616" s="1770"/>
      <c r="AL616" s="1770"/>
      <c r="AM616" s="1727"/>
      <c r="AN616" s="1729"/>
      <c r="AO616" s="1731"/>
      <c r="AP616" s="1782"/>
      <c r="AQ616" s="1783"/>
      <c r="AR616" s="1797"/>
      <c r="AS616" s="1797"/>
      <c r="AT616" s="1798"/>
      <c r="AU616" s="1736"/>
      <c r="AV616" s="1753"/>
      <c r="AW616" s="1706"/>
      <c r="AX616" s="468"/>
      <c r="AY616" s="1750"/>
      <c r="AZ616" s="1750"/>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696"/>
      <c r="CQ616" s="1696"/>
      <c r="CR616" s="1809"/>
      <c r="CS616" s="1811"/>
      <c r="CU616" s="1688"/>
      <c r="CV616" s="1703"/>
      <c r="CW616" s="1703"/>
      <c r="CX616" s="1813"/>
      <c r="CY616" s="1815"/>
      <c r="CZ616" s="1711"/>
      <c r="DA616" s="1815"/>
      <c r="DB616" s="1821"/>
      <c r="DC616" s="1821"/>
      <c r="DD616" s="1821"/>
      <c r="DF616" s="1703"/>
      <c r="DG616" s="1831"/>
      <c r="DH616" s="1813"/>
      <c r="DI616" s="1838"/>
      <c r="DJ616" s="1711"/>
      <c r="DK616" s="1712"/>
      <c r="DN616" s="1718"/>
      <c r="DO616" s="1709"/>
      <c r="DQ616" s="1715"/>
      <c r="DR616" s="1720"/>
      <c r="DS616" s="1703"/>
      <c r="DT616" s="1714"/>
      <c r="DU616" s="1715"/>
      <c r="DV616" s="1716"/>
      <c r="DX616" s="1715"/>
      <c r="DY616" s="1720"/>
      <c r="DZ616" s="1715"/>
      <c r="EA616" s="1715"/>
      <c r="EC616" s="1834"/>
      <c r="ED616" s="1834"/>
      <c r="EF616" s="1707"/>
      <c r="EG616" s="1712"/>
      <c r="EH616" s="1815"/>
      <c r="EI616" s="1712"/>
      <c r="EJ616" s="1712"/>
      <c r="EK616" s="1813"/>
      <c r="EL616" s="1813"/>
      <c r="EM616" s="1807"/>
      <c r="EN616" s="1839"/>
      <c r="EO616" s="1839"/>
      <c r="EP616" s="1817"/>
      <c r="EQ616" s="1817"/>
      <c r="ER616" s="1807"/>
      <c r="ES616" s="1807"/>
      <c r="ET616" s="1807"/>
      <c r="EV616" s="1715"/>
      <c r="EX616" s="1806"/>
      <c r="EY616" s="1806"/>
      <c r="EZ616" s="1806"/>
      <c r="FA616" s="1806"/>
      <c r="FB616" s="1806"/>
      <c r="FC616" s="1828"/>
      <c r="FE616" s="1698"/>
      <c r="FG616" s="1703"/>
      <c r="FH616" s="1703"/>
      <c r="FI616" s="133"/>
      <c r="FL616" s="1823"/>
      <c r="FM616" s="1825"/>
      <c r="FN616" s="1698"/>
      <c r="FO616" s="1698"/>
      <c r="FP616" s="1678"/>
      <c r="FQ616" s="1698"/>
      <c r="FS616" s="1687"/>
      <c r="FT616" s="1687"/>
      <c r="FU616" s="1685"/>
      <c r="FV616" s="1687"/>
      <c r="FW616" s="1687"/>
      <c r="FX616" s="1687"/>
      <c r="FY616" s="1697"/>
      <c r="GA616" s="1696"/>
      <c r="GB616" s="1696"/>
      <c r="GC616" s="1696"/>
      <c r="GD616" s="1696"/>
      <c r="GE616" s="1696"/>
      <c r="GF616" s="1696"/>
      <c r="GG616" s="1696"/>
      <c r="GH616" s="1696"/>
      <c r="GI616" s="673"/>
      <c r="GJ616" s="1135"/>
      <c r="GK616" s="1832"/>
      <c r="GN616" s="674">
        <f>IF(GN614=TRUE,0,GN$16)</f>
        <v>0</v>
      </c>
      <c r="GP616" s="674">
        <f>IF(GP614=TRUE,0,GP$16)</f>
        <v>36</v>
      </c>
      <c r="GQ616" s="674">
        <f ca="1">IF(GQ614=TRUE,0,GQ$16)</f>
        <v>35</v>
      </c>
      <c r="GR616" s="391"/>
      <c r="GS616" s="391"/>
      <c r="GT616" s="391"/>
      <c r="GU616" s="391"/>
      <c r="GV616" s="391"/>
      <c r="HG616" s="674">
        <f>IF(HG614=TRUE,0,HG$16)</f>
        <v>0</v>
      </c>
      <c r="HH616" s="674">
        <f t="shared" ref="HH616:HM616" si="563">IF(HH614=TRUE,0,HH$16)</f>
        <v>19</v>
      </c>
      <c r="HI616" s="674">
        <f t="shared" si="563"/>
        <v>18</v>
      </c>
      <c r="HJ616" s="674">
        <f t="shared" si="563"/>
        <v>17</v>
      </c>
      <c r="HK616" s="674">
        <f t="shared" si="563"/>
        <v>16</v>
      </c>
      <c r="HL616" s="674">
        <f t="shared" si="563"/>
        <v>0</v>
      </c>
      <c r="HM616" s="674">
        <f t="shared" si="563"/>
        <v>0</v>
      </c>
      <c r="HN616" s="674">
        <f>IF(HN614=TRUE,0,HN$16)</f>
        <v>13</v>
      </c>
      <c r="HO616" s="674">
        <f t="shared" ref="HO616:HQ616" si="564">IF(HO614=TRUE,0,HO$16)</f>
        <v>0</v>
      </c>
      <c r="HP616" s="674">
        <f t="shared" si="564"/>
        <v>0</v>
      </c>
      <c r="HQ616" s="674">
        <f t="shared" si="564"/>
        <v>10</v>
      </c>
      <c r="HR616" s="674">
        <f>IF(HR614=TRUE,0,HR$16)</f>
        <v>9</v>
      </c>
      <c r="HS616" s="674">
        <f t="shared" ref="HS616:HW616" si="565">IF(HS614=TRUE,0,HS$16)</f>
        <v>0</v>
      </c>
      <c r="HT616" s="674">
        <f t="shared" si="565"/>
        <v>0</v>
      </c>
      <c r="HU616" s="674">
        <f t="shared" si="565"/>
        <v>0</v>
      </c>
      <c r="HV616" s="674">
        <f t="shared" si="565"/>
        <v>0</v>
      </c>
      <c r="HW616" s="674">
        <f t="shared" si="565"/>
        <v>0</v>
      </c>
      <c r="HX616" s="674">
        <f>IF(HX614=TRUE,0,HX$16)</f>
        <v>0</v>
      </c>
      <c r="HY616" s="674">
        <f>IF(HY614=TRUE,0,HY$16)</f>
        <v>0</v>
      </c>
      <c r="HZ616" s="674">
        <f>IF(HZ614=TRUE,0,HZ$16)</f>
        <v>1</v>
      </c>
      <c r="IB616" s="674">
        <f>IF(GP614=FALSE,GP616,IF(GQ614=FALSE,GQ616,MAX(GN616:HZ616)))</f>
        <v>36</v>
      </c>
      <c r="IC616" s="1692"/>
      <c r="ID616" s="205" t="str">
        <f>VLOOKUP(IB616,_Error_Table,3,FALSE)</f>
        <v xml:space="preserve"> </v>
      </c>
      <c r="IE616" s="205"/>
      <c r="IF616" s="1688"/>
      <c r="IG616" s="1689"/>
      <c r="IH616" s="1684"/>
      <c r="IK616" s="1689"/>
      <c r="IL616" s="1692"/>
      <c r="IM616" s="1692"/>
      <c r="IN616" s="1692"/>
      <c r="IP616" s="1679"/>
      <c r="IQ616" s="1679"/>
      <c r="IR616" s="1679"/>
      <c r="IS616" s="1679"/>
      <c r="IT616" s="1679"/>
      <c r="IU616" s="1679"/>
      <c r="IV616" s="1679"/>
      <c r="IW616" s="1679"/>
      <c r="IX616" s="1679"/>
      <c r="IY616" s="1679"/>
      <c r="IZ616" s="1679"/>
      <c r="JA616" s="1679"/>
      <c r="JC616" s="1680"/>
      <c r="JD616" s="1670"/>
      <c r="JE616" s="1681"/>
      <c r="JG616" s="1680"/>
      <c r="JH616" s="1670"/>
      <c r="JI616" s="1060"/>
      <c r="JJ616" s="1670"/>
      <c r="JK616" s="1061"/>
      <c r="JL616" s="1670"/>
      <c r="JM616" s="1061"/>
      <c r="JN616" s="1670"/>
      <c r="JO616" s="1061"/>
      <c r="JP616" s="1670"/>
      <c r="JQ616" s="1061"/>
      <c r="JR616" s="1670"/>
      <c r="JS616" s="1061"/>
      <c r="JT616" s="1670"/>
      <c r="JU616" s="1061"/>
      <c r="JV616" s="1670"/>
      <c r="JX616" s="1670"/>
      <c r="JZ616" s="1670"/>
      <c r="KB616" s="1670"/>
    </row>
    <row r="617" spans="1:288" s="78" customFormat="1" ht="5.0999999999999996" customHeight="1">
      <c r="B617" s="676"/>
      <c r="C617" s="392"/>
      <c r="D617" s="392"/>
      <c r="E617" s="1733"/>
      <c r="F617" s="1733"/>
      <c r="G617" s="1733"/>
      <c r="H617" s="1733"/>
      <c r="I617" s="1733"/>
      <c r="J617" s="1733"/>
      <c r="K617" s="1733"/>
      <c r="L617" s="1733"/>
      <c r="M617" s="1733"/>
      <c r="N617" s="1733"/>
      <c r="O617" s="1733"/>
      <c r="P617" s="1733"/>
      <c r="Q617" s="1733"/>
      <c r="R617" s="1733"/>
      <c r="S617" s="1733"/>
      <c r="T617" s="1733"/>
      <c r="U617" s="1733"/>
      <c r="V617" s="1733"/>
      <c r="W617" s="1733"/>
      <c r="X617" s="1733"/>
      <c r="Y617" s="1733"/>
      <c r="Z617" s="1733"/>
      <c r="AA617" s="1733"/>
      <c r="AB617" s="1733"/>
      <c r="AC617" s="1733"/>
      <c r="AD617" s="1733"/>
      <c r="AE617" s="1733"/>
      <c r="AF617" s="1733"/>
      <c r="AG617" s="1733"/>
      <c r="AH617" s="1733"/>
      <c r="AI617" s="1733"/>
      <c r="AJ617" s="1733"/>
      <c r="AK617" s="1733"/>
      <c r="AL617" s="1733"/>
      <c r="AM617" s="1733"/>
      <c r="AN617" s="1733"/>
      <c r="AO617" s="1733"/>
      <c r="AP617" s="1733"/>
      <c r="AQ617" s="1733"/>
      <c r="AR617" s="1733"/>
      <c r="AS617" s="1733"/>
      <c r="AT617" s="1733"/>
      <c r="AU617" s="1733"/>
      <c r="AV617" s="1733"/>
      <c r="AW617" s="1733"/>
      <c r="AX617" s="469"/>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663"/>
      <c r="CQ617" s="663"/>
      <c r="CR617" s="438"/>
      <c r="CS617" s="663"/>
      <c r="CV617" s="391"/>
      <c r="CW617" s="391"/>
      <c r="CX617" s="207"/>
      <c r="CY617" s="208"/>
      <c r="CZ617" s="208"/>
      <c r="DA617" s="208"/>
      <c r="DB617" s="209"/>
      <c r="DC617" s="209"/>
      <c r="DD617" s="209"/>
      <c r="DF617" s="664"/>
      <c r="DG617" s="665"/>
      <c r="DH617" s="666"/>
      <c r="DI617" s="667"/>
      <c r="DJ617" s="668"/>
      <c r="DK617" s="668"/>
      <c r="DN617" s="208"/>
      <c r="DO617" s="664"/>
      <c r="DQ617" s="664"/>
      <c r="DR617" s="669"/>
      <c r="DS617" s="391"/>
      <c r="DT617" s="664"/>
      <c r="DU617" s="664"/>
      <c r="DV617" s="664"/>
      <c r="DX617" s="664"/>
      <c r="DY617" s="664"/>
      <c r="DZ617" s="664"/>
      <c r="EA617" s="664"/>
      <c r="EC617" s="670"/>
      <c r="ED617" s="670"/>
      <c r="EF617" s="668"/>
      <c r="EG617" s="668"/>
      <c r="EH617" s="208"/>
      <c r="EI617" s="668"/>
      <c r="EJ617" s="668"/>
      <c r="EK617" s="207"/>
      <c r="EL617" s="207"/>
      <c r="EM617" s="666"/>
      <c r="EN617" s="671"/>
      <c r="EO617" s="671"/>
      <c r="EP617" s="672"/>
      <c r="EQ617" s="672"/>
      <c r="ER617" s="666"/>
      <c r="ES617" s="666"/>
      <c r="ET617" s="666"/>
      <c r="EV617" s="664"/>
      <c r="EX617" s="391"/>
      <c r="EY617" s="391"/>
      <c r="EZ617" s="391"/>
      <c r="FA617" s="391"/>
      <c r="FB617" s="391"/>
      <c r="FC617" s="391"/>
      <c r="FE617" s="569"/>
      <c r="FG617" s="391"/>
      <c r="FH617" s="391"/>
      <c r="FI617" s="391"/>
      <c r="FS617" s="664"/>
      <c r="FT617" s="391"/>
      <c r="FU617" s="391"/>
      <c r="FV617" s="664"/>
      <c r="FW617" s="664"/>
      <c r="GA617" s="663"/>
      <c r="GB617" s="663"/>
      <c r="GC617" s="663"/>
      <c r="GD617" s="663"/>
      <c r="GE617" s="663"/>
      <c r="GF617" s="663"/>
      <c r="GG617" s="663"/>
      <c r="GH617" s="663"/>
      <c r="GI617" s="665"/>
      <c r="GJ617" s="664"/>
      <c r="GK617" s="664"/>
    </row>
    <row r="618" spans="1:288" s="78" customFormat="1" ht="14.95" customHeight="1">
      <c r="B618" s="1845" t="str">
        <f>ID621</f>
        <v xml:space="preserve"> </v>
      </c>
      <c r="C618" s="1846">
        <f>C613+1</f>
        <v>111</v>
      </c>
      <c r="D618" s="1847"/>
      <c r="E618" s="1799" t="s">
        <v>295</v>
      </c>
      <c r="F618" s="1800"/>
      <c r="G618" s="1741"/>
      <c r="H618" s="1742"/>
      <c r="I618" s="1742"/>
      <c r="J618" s="1742"/>
      <c r="K618" s="1742"/>
      <c r="L618" s="1742"/>
      <c r="M618" s="1742"/>
      <c r="N618" s="1742"/>
      <c r="O618" s="1742"/>
      <c r="P618" s="1742"/>
      <c r="Q618" s="1742"/>
      <c r="R618" s="1742"/>
      <c r="S618" s="1791" t="s">
        <v>344</v>
      </c>
      <c r="T618" s="590"/>
      <c r="U618" s="1743"/>
      <c r="V618" s="1744"/>
      <c r="W618" s="1744"/>
      <c r="X618" s="1744"/>
      <c r="Y618" s="1744"/>
      <c r="Z618" s="1744"/>
      <c r="AA618" s="1744"/>
      <c r="AB618" s="961" t="str">
        <f>IFERROR(IF(__Retrofit_TI_NC=0,VLOOKUP(U619,Fixtures_Existing_List,2,FALSE),ROUND(N620*R620/T620,10)),"")</f>
        <v/>
      </c>
      <c r="AC618" s="935" t="str">
        <f>IFERROR(IF(__Retrofit_TI_NC=0,ROUND(T619*AB618*N619*R619/1000,0),IF(CQ618="Interior",N620*R620*R619*N619*_C406_reduction/1000,N620*R620*R619*N619/1000)),"")</f>
        <v/>
      </c>
      <c r="AD618" s="936" t="str">
        <f>IFERROR(IF(C$43=0,ROUND(T619*AB618/1000,2),N620*R620/1000),"")</f>
        <v/>
      </c>
      <c r="AE618" s="997"/>
      <c r="AF618" s="937"/>
      <c r="AG618" s="1745" t="str">
        <f>IF(__Retrofit_TI_NC=0," Control","Select Advanced Control for New System")</f>
        <v xml:space="preserve"> Control</v>
      </c>
      <c r="AH618" s="1745"/>
      <c r="AI618" s="1745"/>
      <c r="AJ618" s="1745"/>
      <c r="AK618" s="1745"/>
      <c r="AL618" s="1745"/>
      <c r="AM618" s="1746">
        <f>IFERROR(DI618,"")</f>
        <v>0</v>
      </c>
      <c r="AN618" s="1774" t="str">
        <f>IFERROR(ROUND(AM618*AC618,0),"")</f>
        <v/>
      </c>
      <c r="AO618" s="1776">
        <f>IFERROR(IF(IB618=FALSE,0,AC618-AN618),0)</f>
        <v>0</v>
      </c>
      <c r="AP618" s="1778">
        <f>AO618-AO620</f>
        <v>0</v>
      </c>
      <c r="AQ618" s="1779"/>
      <c r="AR618" s="1793">
        <f>IFERROR(IF(IB618=FALSE,0,(T620*U621)+(AF620*AG621)),0)</f>
        <v>0</v>
      </c>
      <c r="AS618" s="1793"/>
      <c r="AT618" s="1794"/>
      <c r="AU618" s="1734" t="s">
        <v>237</v>
      </c>
      <c r="AV618" s="1751">
        <f>IF(AU618="Yes",1,0)</f>
        <v>1</v>
      </c>
      <c r="AW618" s="1704" t="str">
        <f>IF(OR(DQ618=4,DQ618=5,DQ618=6,DQ618=12),CONCATENATE("$",IF(GH618=TRUE,Lookup!$K$10,Lookup!$K$2)," /lamp"),CONCATENATE(TEXT(ED618,"$0.00"),"/ kWh"))</f>
        <v>$0.00/ kWh</v>
      </c>
      <c r="AX618" s="467"/>
      <c r="AY618" s="1748">
        <f ca="1">IFERROR(IF(GM619=TRUE,(AB621*T620)/R620,0),"NA")</f>
        <v>0</v>
      </c>
      <c r="AZ618" s="1748"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696" t="str">
        <f>N619</f>
        <v/>
      </c>
      <c r="CQ618" s="1696" t="str">
        <f>IFERROR(VLOOKUP(G619,_Lookup_Heat_Type_Table_New,3,FALSE),"")</f>
        <v/>
      </c>
      <c r="CR618" s="1808" t="str">
        <f>CQ618</f>
        <v/>
      </c>
      <c r="CS618" s="1810" t="str">
        <f>IFERROR(VLOOKUP(G620,'Space Table'!$B$3:$L$163,9,FALSE),"")</f>
        <v/>
      </c>
      <c r="CU618" s="1688" t="s">
        <v>344</v>
      </c>
      <c r="CV618" s="1702">
        <f>IF(IB618=TRUE,T619,0)</f>
        <v>0</v>
      </c>
      <c r="CW618" s="1702" t="str">
        <f>IF(IB618=TRUE,U619,"")</f>
        <v/>
      </c>
      <c r="CX618" s="1702"/>
      <c r="CY618" s="1814">
        <f>IF(IB618=TRUE,AB618,0)</f>
        <v>0</v>
      </c>
      <c r="CZ618" s="1710">
        <f>IF(AND(__Retrofit_TI_NC&gt;0,CR618="interior"),0,IF(IB618=TRUE,AC618,0))</f>
        <v>0</v>
      </c>
      <c r="DA618" s="1814">
        <f>IFERROR(IF(IB618=TRUE,CZ618-CZ620,0),0)</f>
        <v>0</v>
      </c>
      <c r="DB618" s="1819">
        <f>IF(IB618=TRUE,AD618,0)</f>
        <v>0</v>
      </c>
      <c r="DC618" s="1819">
        <f>IF(IB618=TRUE,AD621,0)</f>
        <v>0</v>
      </c>
      <c r="DD618" s="1819">
        <f>IFERROR(DB618-DC618,0)</f>
        <v>0</v>
      </c>
      <c r="DF618" s="1702">
        <f>IF(IB618=TRUE,AF619,0)</f>
        <v>0</v>
      </c>
      <c r="DG618" s="1830">
        <f>IFERROR(IF(__Retrofit_TI_NC=2,IF(CQ618="Exterior",O621,FQ618),FN618),"")</f>
        <v>0</v>
      </c>
      <c r="DH618" s="1702"/>
      <c r="DI618" s="1837">
        <f>JE618</f>
        <v>0</v>
      </c>
      <c r="DJ618" s="1710">
        <f>IF(AND(__Retrofit_TI_NC&gt;0,CR618="interior"),0,IF(IB618=TRUE,AN618,0))</f>
        <v>0</v>
      </c>
      <c r="DK618" s="1712">
        <f>IFERROR(IF(IB618=TRUE,DJ620-DJ618,0),0)</f>
        <v>0</v>
      </c>
      <c r="DM618" s="1717">
        <f>IFERROR(CZ618-DJ618,0)</f>
        <v>0</v>
      </c>
      <c r="DO618" s="1708">
        <f>DM618-DN620</f>
        <v>0</v>
      </c>
      <c r="DQ618" s="1715" t="str">
        <f>IFERROR(IF(AND(OR(GC618=4,GC618=5,GC618=6),OR(GF618=4,GF618=5,GF618=6)),GC618+8,VLOOKUP(CW620,Fixtures!R$31:Y$78,8,FALSE)),"")</f>
        <v/>
      </c>
      <c r="DR618" s="1829" t="str">
        <f>DQ618</f>
        <v/>
      </c>
      <c r="DS618" s="1702" t="str">
        <f>IFERROR(VLOOKUP(DG620,Lookup!BB$3:BC$20,2,FALSE),"")</f>
        <v/>
      </c>
      <c r="DT618" s="1713" t="str">
        <f>IF(OR(DS618=7,DS618=8,DS618=9),"ALC","")</f>
        <v/>
      </c>
      <c r="DU618" s="1715">
        <f>IFERROR(IF(OR(DQ618=4,DQ618=5,DQ618=6,DQ618=12,DQ618=13,DQ618=14),VLOOKUP(CW620,Fixtures!DN$27:EG$77,19,FALSE),1)*CV620,0)</f>
        <v>0</v>
      </c>
      <c r="DV618" s="1716">
        <f>IF(OR(DS618=7,DS618=8,DS618=9),IF(DG618=DG620,0,DF620),0)</f>
        <v>0</v>
      </c>
      <c r="DX618" s="1715" t="str">
        <f>IFERROR(IF(EZ618&lt;EZ620,"Yes","No"),"")</f>
        <v/>
      </c>
      <c r="DY618" s="1829" t="str">
        <f>DX618</f>
        <v/>
      </c>
      <c r="DZ618" s="1715">
        <f>IF(DX618="Yes",DF620,0)</f>
        <v>0</v>
      </c>
      <c r="EA618" s="1715">
        <f>DZ618-DV618</f>
        <v>0</v>
      </c>
      <c r="EC618" s="1834">
        <f>IFERROR(VLOOKUP(DQ618,Lookup!AU$3:AV$16,2,FALSE),0)</f>
        <v>0</v>
      </c>
      <c r="ED618" s="1834">
        <f>IF(IB618=FALSE,0,IF(DX618="Yes",EC618+Lookup!K$6,EC618))</f>
        <v>0</v>
      </c>
      <c r="EF618" s="1707">
        <f>IF(IB618=TRUE,DM618,0)</f>
        <v>0</v>
      </c>
      <c r="EG618" s="1712">
        <f>IF(IB618=TRUE,CZ620,0)</f>
        <v>0</v>
      </c>
      <c r="EH618" s="1814">
        <f>IFERROR(EF618-EG618,0)</f>
        <v>0</v>
      </c>
      <c r="EI618" s="1712">
        <f>IF(IB618=TRUE,DJ620,0)</f>
        <v>0</v>
      </c>
      <c r="EJ618" s="1712">
        <f>IFERROR(EF618-EG618+EI618,0)</f>
        <v>0</v>
      </c>
      <c r="EK618" s="1812">
        <f>IF(IB618=TRUE,CV620*CX620,0)</f>
        <v>0</v>
      </c>
      <c r="EL618" s="1812">
        <f>IF(IB618=TRUE,DF620*DH620,0)</f>
        <v>0</v>
      </c>
      <c r="EM618" s="1807">
        <f>AR618</f>
        <v>0</v>
      </c>
      <c r="EN618" s="1839" t="str">
        <f>IFERROR(IF(IB618=TRUE,VLOOKUP(DQ618,Lookup!AU$3:AW$16,3,FALSE)*DU618,""),0)</f>
        <v/>
      </c>
      <c r="EO618" s="1839">
        <f>IF(IB618=TRUE,DZ618*Lookup!AW$12,0)</f>
        <v>0</v>
      </c>
      <c r="EP618" s="1817">
        <f>IFERROR(IF(IB618=TRUE,EN618/EP$40,0),0)</f>
        <v>0</v>
      </c>
      <c r="EQ618" s="1817">
        <f>IF(IB618=TRUE,EO618/EQ$40,0)</f>
        <v>0</v>
      </c>
      <c r="ER618" s="1807">
        <f>IF(IB618=TRUE,ET$40*EP618,0)</f>
        <v>0</v>
      </c>
      <c r="ES618" s="1807">
        <f>IF(IB618=TRUE,ET$40*EQ618,0)</f>
        <v>0</v>
      </c>
      <c r="ET618" s="1807">
        <f>ER618+ES618</f>
        <v>0</v>
      </c>
      <c r="EV618" s="1715">
        <f>IF(G618="",0,1)</f>
        <v>0</v>
      </c>
      <c r="EX618" s="1804" t="str">
        <f>IFERROR(VLOOKUP(CS620,'Space Table'!$B$3:$L$163,8,FALSE),"")</f>
        <v/>
      </c>
      <c r="EY618" s="1804" t="str">
        <f>IFERROR(IF(FB618="Yes",VLOOKUP(DG618,Lookup_Control_Type_Table2,4,FALSE),VLOOKUP(DG618,Lookup_Control_Type_Table2,3,FALSE)),"")</f>
        <v/>
      </c>
      <c r="EZ618" s="1804" t="e">
        <f>VLOOKUP(DG618,Lookup!BB$3:BC$20,2,FALSE)</f>
        <v>#N/A</v>
      </c>
      <c r="FA618" s="1804" t="e">
        <f>VLOOKUP(EX618,Lookup_Control_Type_Table,2,FALSE)</f>
        <v>#N/A</v>
      </c>
      <c r="FB618" s="1804" t="e">
        <f>VLOOKUP(CS620,'Space Table'!$B$3:$L$163,7,FALSE)</f>
        <v>#N/A</v>
      </c>
      <c r="FC618" s="1826" t="b">
        <f>ISNUMBER(SEARCH("TLED",U620))</f>
        <v>0</v>
      </c>
      <c r="FE618" s="1698" t="str">
        <f>CONCATENATE(CQ618," - ",DG618)</f>
        <v xml:space="preserve"> - 0</v>
      </c>
      <c r="FG618" s="1702" t="str">
        <f>VLOOKUP(CW620,Fixtures!DN$27:EZ$77,38,FALSE)</f>
        <v/>
      </c>
      <c r="FH618" s="1702">
        <f>IFERROR(FG618*EH618,0)</f>
        <v>0</v>
      </c>
      <c r="FI618" s="133"/>
      <c r="FL618" s="1822" t="str">
        <f>IF(CQ618="Exterior","Not Daylighted",G621)</f>
        <v>Not Daylighted</v>
      </c>
      <c r="FM618" s="1824">
        <f>VLOOKUP(FL618,_New_Daylight_Table_Codes,2,FALSE)</f>
        <v>0</v>
      </c>
      <c r="FN618" s="1698">
        <f>IF(__Retrofit_TI_NC&gt;0,VLOOKUP(G620,'Space Table'!$B$3:$L$163,11,FALSE),AG619)</f>
        <v>0</v>
      </c>
      <c r="FO618" s="1698" t="e">
        <f>IF(__Retrofit_TI_NC=2,VLOOKUP(FQ618,_Control_Table,2,FALSE),VLOOKUP(FN618,_Control_Table,2,FALSE))</f>
        <v>#N/A</v>
      </c>
      <c r="FP618" s="1678" t="e">
        <f>VLOOKUP(CONCATENATE(FL618," ",FN618),Lookup!AY$102:AZ628,2,FALSE)</f>
        <v>#N/A</v>
      </c>
      <c r="FQ618" s="1678">
        <f>IF(__Retrofit_TI_NC=0,FN618,IF(AND(FT618&gt;0,FN618="Occupancy Sensor"),"Daylight + Occupancy",IF(AND(FT618&gt;0,VLOOKUP(FN618,_Control_Table,2,FALSE)&lt;4),"Interior Daylight Dimming",FN618)))</f>
        <v>0</v>
      </c>
      <c r="FS618" s="1686">
        <f>IF(CR618="Interior",VLOOKUP(CS618,Control_Savings_Interior,5,FALSE),0)</f>
        <v>0</v>
      </c>
      <c r="FT618" s="1687">
        <f>IF(CQ618="Exterior",0,IF(FM618=2,0.5,IF(OR(FM618=1,FM618=3),1,0)))</f>
        <v>0</v>
      </c>
      <c r="FU618" s="1685">
        <f>IF(R617&gt;FS$44,(FS618*(FS$44/R617)),FS618)*FT618</f>
        <v>0</v>
      </c>
      <c r="FV618" s="1686">
        <f>DI618</f>
        <v>0</v>
      </c>
      <c r="FW618" s="1686">
        <f>ROUND(FV618+((1-FV618)*FU618),2)</f>
        <v>0</v>
      </c>
      <c r="FX618" s="1686">
        <f>IF(__Retrofit_TI_NC=2,FW618,FV618)</f>
        <v>0</v>
      </c>
      <c r="FY618" s="1697"/>
      <c r="GA618" s="1696" t="str">
        <f>IFERROR(VLOOKUP(U619,_Exist_Fixture_Table,3,FALSE),"")</f>
        <v/>
      </c>
      <c r="GB618" s="1696" t="str">
        <f>VLOOKUP(CW618,_Exist_Fixture_Table,4,FALSE)</f>
        <v/>
      </c>
      <c r="GC618" s="1696">
        <f>IFERROR(VLOOKUP(GB618,Lookup!AT$6:AU$8,2,FALSE),0)</f>
        <v>0</v>
      </c>
      <c r="GD618" s="1696" t="b">
        <f>IFERROR(IF(OR(GF618=4,GF618=5,GF618=6),TRUE,FALSE),"")</f>
        <v>0</v>
      </c>
      <c r="GE618" s="1696" t="str">
        <f>IFERROR(VLOOKUP(GF618,GC$6:GD$10,2,FALSE),"")</f>
        <v/>
      </c>
      <c r="GF618" s="1696" t="str">
        <f>VLOOKUP(CW620,Fixtures!R$31:Y$78,8,FALSE)</f>
        <v/>
      </c>
      <c r="GG618" s="1696">
        <f>IF(AND(GA618=TRUE,GD618=TRUE,OR(DQ618=12,DQ618=13,DQ618=14)),GC618+8,0)</f>
        <v>0</v>
      </c>
      <c r="GH618" s="1696" t="b">
        <f>IF(OR(GG618=12,GG618=13,GG618=14),TRUE,FALSE)</f>
        <v>0</v>
      </c>
      <c r="GI618" s="673" t="b">
        <f>IF(ISNUMBER(SEARCH("TLED",U619)),TRUE,FALSE)</f>
        <v>0</v>
      </c>
      <c r="GJ618" s="1135" t="str">
        <f>IFERROR(VLOOKUP(U619,Fixtures!BM$93:BR$142,6,FALSE),"")</f>
        <v/>
      </c>
      <c r="GK618" s="1832" t="b">
        <f>IF(OR(GI618=FALSE,GI620=FALSE),TRUE,IF(GJ618-GJ620&lt;5,FALSE,TRUE))</f>
        <v>1</v>
      </c>
      <c r="GO618" s="674">
        <f>GP618</f>
        <v>0</v>
      </c>
      <c r="GP618" s="674">
        <f>IF(G618="",0,1)</f>
        <v>0</v>
      </c>
      <c r="GQ618" s="674">
        <f ca="1">SUM(GR618:HF618)</f>
        <v>2</v>
      </c>
      <c r="GR618" s="674">
        <f>IF(G619="",0,1)</f>
        <v>0</v>
      </c>
      <c r="GS618" s="674">
        <f>IF(N621="BAM",1,IF(G620="",0,1))</f>
        <v>0</v>
      </c>
      <c r="GT618" s="674">
        <f>IF(N621="BAM",1,IF(R619="",0,1))</f>
        <v>0</v>
      </c>
      <c r="GU618" s="674">
        <f>IF(N621="BAM",1,IF(__Retrofit_TI_NC=0,1,IF(R620="",0,1)))</f>
        <v>1</v>
      </c>
      <c r="GV618" s="674">
        <f>IF(N621="BAM",1,IF(CQ618="Exterior",1,IF(G621="",0,1)))</f>
        <v>1</v>
      </c>
      <c r="GW618" s="674">
        <f>IF(__Retrofit_TI_NC&gt;0,1,IF(T619="",0,1))</f>
        <v>0</v>
      </c>
      <c r="GX618" s="674">
        <f>IF(__Retrofit_TI_NC&gt;0,1,IF(U619="",0,1))</f>
        <v>0</v>
      </c>
      <c r="GY618" s="674">
        <f>IF(N621="BAM",1,IF(T620="",0,1))</f>
        <v>0</v>
      </c>
      <c r="GZ618" s="674">
        <f>IF(N621="BAM",1,IF(U620="",0,1))</f>
        <v>0</v>
      </c>
      <c r="HA618" s="674">
        <f ca="1">IF(N621="BAM",1,IF(__Retrofit_TI_NC&gt;0,1,IF(U621="",0,1)))</f>
        <v>0</v>
      </c>
      <c r="HB618" s="674">
        <f>IF(__Retrofit_TI_NC&lt;&gt;0,1,IF(AF619="",0,1))</f>
        <v>0</v>
      </c>
      <c r="HC618" s="674">
        <f>IF(__Retrofit_TI_NC&lt;&gt;0,1,IF(AG619="",0,1))</f>
        <v>0</v>
      </c>
      <c r="HD618" s="674">
        <f>IF(N621="BAM",1,IF(AF620="",0,1))</f>
        <v>0</v>
      </c>
      <c r="HE618" s="674">
        <f>IF(N621="BAM",1,IF(AG620="",0,1))</f>
        <v>0</v>
      </c>
      <c r="HF618" s="674">
        <f>IF(N621="BAM",1,IF(__Retrofit_TI_NC&gt;0,1,IF(AG621="",0,1)))</f>
        <v>0</v>
      </c>
      <c r="HG618" s="391"/>
      <c r="IA618" s="391"/>
      <c r="IB618" s="1693" t="b">
        <f>IF(OR(IB621=0,IB621=HY$16,IB621=HX$16,IB621=HZ$16),TRUE,FALSE)</f>
        <v>0</v>
      </c>
      <c r="IC618" s="1694" t="b">
        <f>IB618</f>
        <v>0</v>
      </c>
      <c r="ID618" s="391"/>
      <c r="IE618" s="391"/>
      <c r="IF618" s="1688" t="b">
        <f ca="1">IF(MAX(GN621:HU621)&gt;5,FALSE,TRUE)</f>
        <v>0</v>
      </c>
      <c r="IG618" s="1689">
        <f ca="1">IF(IF618=TRUE,AC618,0)</f>
        <v>0</v>
      </c>
      <c r="IH618" s="1689">
        <f ca="1">IG618-IG620</f>
        <v>0</v>
      </c>
      <c r="IK618" s="1689" t="e">
        <f>ROUND(T619*VLOOKUP(U619,Fixtures_Existing_List,2,FALSE)*N619*R619/1000,0)</f>
        <v>#N/A</v>
      </c>
      <c r="IL618" s="1690" t="e">
        <f>IK618-IK620</f>
        <v>#N/A</v>
      </c>
      <c r="IM618" s="1693" t="e">
        <f>ROUND(IF(CQ618="Interior",N620*R620*R619*N619*_C406_reduction/1000,N620*R620*R619*N619/1000),0)</f>
        <v>#N/A</v>
      </c>
      <c r="IN618" s="1693" t="e">
        <f>IM618-IM620</f>
        <v>#N/A</v>
      </c>
      <c r="IP618" s="1679"/>
      <c r="IQ618" s="1679" t="e">
        <f t="shared" ref="IQ618:IU618" si="566">IF($CR618="interior",VLOOKUP($CS618,_New_Control_Savings_Interior,IQ$30,FALSE),VLOOKUP($CS618,Control_Savings_Exterior,IQ$30,FALSE))</f>
        <v>#N/A</v>
      </c>
      <c r="IR618" s="1679" t="e">
        <f t="shared" si="566"/>
        <v>#N/A</v>
      </c>
      <c r="IS618" s="1679" t="e">
        <f t="shared" si="566"/>
        <v>#N/A</v>
      </c>
      <c r="IT618" s="1679" t="e">
        <f t="shared" si="566"/>
        <v>#N/A</v>
      </c>
      <c r="IU618" s="1679" t="e">
        <f t="shared" si="566"/>
        <v>#N/A</v>
      </c>
      <c r="IV618" s="1679" t="e">
        <f>IF($CR618="interior",IF(R619&gt;$IP$14,ROUND(($IV$18*($IP$14/R619)),2),$IV$18),VLOOKUP($CS618,Control_Savings_Exterior,IV$30,FALSE))</f>
        <v>#N/A</v>
      </c>
      <c r="IW618" s="1679" t="e">
        <f>IF($CR618="interior",ROUND(((1-IS618)*IV618)+IS618,2),VLOOKUP($CS618,Control_Savings_Exterior,IW$30,FALSE))</f>
        <v>#N/A</v>
      </c>
      <c r="IX618" s="1679" t="e">
        <f>IF($CR618="interior",ROUND(((1-IT618)*IV618)+IT618,2),VLOOKUP($CS618,Control_Savings_Exterior,IX$30,FALSE))</f>
        <v>#N/A</v>
      </c>
      <c r="IY618" s="1679" t="e">
        <f>IF($CR618="interior",IF(R619&gt;$IP$14,ROUND(($IY$18*($IP$14/R619)),2),$IY$18),VLOOKUP($CS618,Control_Savings_Exterior,IY$30,FALSE))</f>
        <v>#N/A</v>
      </c>
      <c r="IZ618" s="1679" t="e">
        <f>IF($CR618="interior",ROUND(((1-IS618)*IY618)+IS618,2),VLOOKUP($CS618,Control_Savings_Exterior,IZ$30,FALSE))</f>
        <v>#N/A</v>
      </c>
      <c r="JA618" s="1679" t="e">
        <f>IF($CR618="interior",ROUND(((1-IT618)*IY618)+IT618,2),VLOOKUP($CS618,Control_Savings_Exterior,JA$30,FALSE))</f>
        <v>#N/A</v>
      </c>
      <c r="JC618" s="1680">
        <f>IFERROR(IF(CR618="Interior",CONCATENATE(G621," ",FQ618),FQ618),"")</f>
        <v>0</v>
      </c>
      <c r="JD618" s="1670" t="str">
        <f>IFERROR(VLOOKUP(JC618,_Controls_2023,2,FALSE),"")</f>
        <v/>
      </c>
      <c r="JE618" s="1681">
        <f>IFERROR(CHOOSE(JD618-1,IQ618,IR618,IS618,IT618,IU618,IV618,IW618,IX618,IY618,IZ618,JA618),0)</f>
        <v>0</v>
      </c>
      <c r="JG618" s="1680" t="str">
        <f>FE618</f>
        <v xml:space="preserve"> - 0</v>
      </c>
      <c r="JH618" s="1670" t="e">
        <f>$FO618</f>
        <v>#N/A</v>
      </c>
      <c r="JI618" s="1060"/>
      <c r="JJ618" s="1682" t="b">
        <f>IF($JG620=CONCATENATE("Interior - ",JJ$4),TRUE,FALSE)</f>
        <v>0</v>
      </c>
      <c r="JK618" s="1061"/>
      <c r="JL618" s="1682" t="b">
        <f>IF($JG620=CONCATENATE("Interior - ",JL$4),TRUE,FALSE)</f>
        <v>0</v>
      </c>
      <c r="JM618" s="1061"/>
      <c r="JN618" s="1682" t="b">
        <f>IF($JG620=CONCATENATE("Interior - ",JN$4),TRUE,FALSE)</f>
        <v>0</v>
      </c>
      <c r="JO618" s="1061"/>
      <c r="JP618" s="1682" t="b">
        <f>IF(__Retrofit_TI_NC&gt;0,FALSE,IF($JG620=CONCATENATE("Interior - ",JP$4),TRUE,FALSE))</f>
        <v>0</v>
      </c>
      <c r="JQ618" s="1061"/>
      <c r="JR618" s="1682" t="b">
        <f>IF(__Retrofit_TI_NC&gt;0,FALSE,IF($JG620=CONCATENATE("Interior - ",JR$4),TRUE,FALSE))</f>
        <v>0</v>
      </c>
      <c r="JS618" s="1061"/>
      <c r="JT618" s="1670" t="b">
        <f>IF(__Retrofit_TI_NC&gt;0,FALSE,IF($JG620=CONCATENATE("Interior - ",JT$4),TRUE,FALSE))</f>
        <v>0</v>
      </c>
      <c r="JU618" s="1061"/>
      <c r="JV618" s="1670" t="b">
        <f>IF(JC620="AELC on Existing",TRUE,FALSE)</f>
        <v>0</v>
      </c>
      <c r="JX618" s="1670" t="b">
        <f>IF(OR(JG620="Exterior - AELC Occupancy based",JG620="Exterior - AELC Time based"),TRUE,FALSE)</f>
        <v>0</v>
      </c>
      <c r="JZ618" s="1682" t="b">
        <f>IF($JG620=CONCATENATE("Exterior - ",JZ$4),TRUE,FALSE)</f>
        <v>0</v>
      </c>
      <c r="KB618" s="1670" t="b">
        <f>IF(__Retrofit_TI_NC&gt;0,FALSE,IF($JG620=CONCATENATE("Interior - ",KB$4),TRUE,FALSE))</f>
        <v>0</v>
      </c>
    </row>
    <row r="619" spans="1:288" s="78" customFormat="1" ht="14.95" customHeight="1" thickTop="1" thickBot="1">
      <c r="B619" s="1845"/>
      <c r="C619" s="1846"/>
      <c r="D619" s="1847"/>
      <c r="E619" s="1737" t="s">
        <v>297</v>
      </c>
      <c r="F619" s="1738"/>
      <c r="G619" s="1739"/>
      <c r="H619" s="1739"/>
      <c r="I619" s="1739"/>
      <c r="J619" s="1739"/>
      <c r="K619" s="1739"/>
      <c r="L619" s="1739"/>
      <c r="M619" s="461" t="e">
        <f>IF(__Retrofit_TI_NC&lt;&gt;0,IF(VLOOKUP(G620,'Space Table'!$B$3:$L$163,3,FALSE)&gt;0,1,0),IF(__Retrofit_TI_NC=VLOOKUP(G620,'Space Table'!$B$3:$L$163,3,FALSE),1,0))</f>
        <v>#N/A</v>
      </c>
      <c r="N619" s="461" t="str">
        <f>IFERROR(VLOOKUP(G619,_Lookup_Heat_Type_Table_New,2,FALSE),"")</f>
        <v/>
      </c>
      <c r="O619" s="461">
        <f>IF(__Retrofit_TI_NC=1,CONCATENATE("TI ",G619),IF(__Retrofit_TI_NC=2,CONCATENATE("NC ",G619),G619))</f>
        <v>0</v>
      </c>
      <c r="P619" s="1740" t="s">
        <v>435</v>
      </c>
      <c r="Q619" s="1740"/>
      <c r="R619" s="595"/>
      <c r="S619" s="1792"/>
      <c r="T619" s="597"/>
      <c r="U619" s="1765"/>
      <c r="V619" s="1766"/>
      <c r="W619" s="1766"/>
      <c r="X619" s="1766"/>
      <c r="Y619" s="1766"/>
      <c r="Z619" s="1766"/>
      <c r="AA619" s="1766"/>
      <c r="AB619" s="1766"/>
      <c r="AC619" s="1766"/>
      <c r="AD619" s="1767"/>
      <c r="AE619" s="1000"/>
      <c r="AF619" s="597"/>
      <c r="AG619" s="1723"/>
      <c r="AH619" s="1724"/>
      <c r="AI619" s="1724"/>
      <c r="AJ619" s="1724"/>
      <c r="AK619" s="1725"/>
      <c r="AL619" s="996"/>
      <c r="AM619" s="1747"/>
      <c r="AN619" s="1775"/>
      <c r="AO619" s="1777"/>
      <c r="AP619" s="1780"/>
      <c r="AQ619" s="1781"/>
      <c r="AR619" s="1795"/>
      <c r="AS619" s="1795"/>
      <c r="AT619" s="1796"/>
      <c r="AU619" s="1735"/>
      <c r="AV619" s="1752"/>
      <c r="AW619" s="1705"/>
      <c r="AX619" s="467"/>
      <c r="AY619" s="1749"/>
      <c r="AZ619" s="1749"/>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696"/>
      <c r="CQ619" s="1696"/>
      <c r="CR619" s="1809"/>
      <c r="CS619" s="1811"/>
      <c r="CU619" s="1688"/>
      <c r="CV619" s="1703"/>
      <c r="CW619" s="1703"/>
      <c r="CX619" s="1703"/>
      <c r="CY619" s="1815"/>
      <c r="CZ619" s="1711"/>
      <c r="DA619" s="1818"/>
      <c r="DB619" s="1820"/>
      <c r="DC619" s="1820"/>
      <c r="DD619" s="1820"/>
      <c r="DF619" s="1703"/>
      <c r="DG619" s="1831"/>
      <c r="DH619" s="1703"/>
      <c r="DI619" s="1838"/>
      <c r="DJ619" s="1711"/>
      <c r="DK619" s="1712"/>
      <c r="DM619" s="1718"/>
      <c r="DO619" s="1708"/>
      <c r="DQ619" s="1715"/>
      <c r="DR619" s="1720"/>
      <c r="DS619" s="1816"/>
      <c r="DT619" s="1714"/>
      <c r="DU619" s="1715"/>
      <c r="DV619" s="1716"/>
      <c r="DX619" s="1715"/>
      <c r="DY619" s="1720"/>
      <c r="DZ619" s="1715"/>
      <c r="EA619" s="1715"/>
      <c r="EC619" s="1834"/>
      <c r="ED619" s="1834"/>
      <c r="EF619" s="1707"/>
      <c r="EG619" s="1712"/>
      <c r="EH619" s="1818"/>
      <c r="EI619" s="1712"/>
      <c r="EJ619" s="1712"/>
      <c r="EK619" s="1836"/>
      <c r="EL619" s="1836"/>
      <c r="EM619" s="1807"/>
      <c r="EN619" s="1839"/>
      <c r="EO619" s="1839"/>
      <c r="EP619" s="1817"/>
      <c r="EQ619" s="1817"/>
      <c r="ER619" s="1807"/>
      <c r="ES619" s="1807"/>
      <c r="ET619" s="1807"/>
      <c r="EV619" s="1715"/>
      <c r="EX619" s="1805"/>
      <c r="EY619" s="1805"/>
      <c r="EZ619" s="1805"/>
      <c r="FA619" s="1805"/>
      <c r="FB619" s="1805"/>
      <c r="FC619" s="1827"/>
      <c r="FE619" s="1698"/>
      <c r="FG619" s="1816"/>
      <c r="FH619" s="1816"/>
      <c r="FI619" s="133"/>
      <c r="FL619" s="1823"/>
      <c r="FM619" s="1825"/>
      <c r="FN619" s="1698"/>
      <c r="FO619" s="1698"/>
      <c r="FP619" s="1678"/>
      <c r="FQ619" s="1678"/>
      <c r="FS619" s="1687"/>
      <c r="FT619" s="1687"/>
      <c r="FU619" s="1685"/>
      <c r="FV619" s="1687"/>
      <c r="FW619" s="1687"/>
      <c r="FX619" s="1687"/>
      <c r="FY619" s="1697"/>
      <c r="GA619" s="1696"/>
      <c r="GB619" s="1696"/>
      <c r="GC619" s="1696"/>
      <c r="GD619" s="1696"/>
      <c r="GE619" s="1696"/>
      <c r="GF619" s="1696"/>
      <c r="GG619" s="1696"/>
      <c r="GH619" s="1696"/>
      <c r="GI619" s="673"/>
      <c r="GJ619" s="1135"/>
      <c r="GK619" s="1832"/>
      <c r="GM619" s="1693" t="b">
        <f ca="1">IF(AND(GP619=TRUE,GQ619=TRUE),TRUE,FALSE)</f>
        <v>0</v>
      </c>
      <c r="GN619" s="1684" t="b">
        <f>IFERROR(IF(__Retrofit_TI_NC=2,TRUE,IF(AU618="Yes",TRUE,FALSE)),FALSE)</f>
        <v>1</v>
      </c>
      <c r="GP619" s="1684" t="b">
        <f>IFERROR(IF(GP618=1,TRUE,FALSE),FALSE)</f>
        <v>0</v>
      </c>
      <c r="GQ619" s="1684" t="b">
        <f ca="1">IFERROR(IF(GQ618=GQ$14,TRUE,FALSE),FALSE)</f>
        <v>0</v>
      </c>
      <c r="HG619" s="1684" t="b">
        <f>IFERROR(IF(AND(__Retrofit_TI_NC&gt;0,CQ618="Interior"),FALSE,TRUE),FALSE)</f>
        <v>1</v>
      </c>
      <c r="HH619" s="1684" t="b">
        <f>IFERROR(IF(M619=1,TRUE,FALSE),FALSE)</f>
        <v>0</v>
      </c>
      <c r="HI619" s="1684" t="b">
        <f>IFERROR(IF(OR(M620=1,N621="BAM"),TRUE,FALSE),FALSE)</f>
        <v>0</v>
      </c>
      <c r="HJ619" s="1684" t="b">
        <f>IFERROR(IF(__Retrofit_TI_NC&lt;&gt;0,TRUE,IFERROR(IF(VLOOKUP(U619,Fixtures_Existing_List,2,FALSE)&lt;&gt;"",TRUE,FALSE),FALSE)),FALSE)</f>
        <v>0</v>
      </c>
      <c r="HK619" s="1684" t="b">
        <f>IFERROR(IF(VLOOKUP(U620,Fixtures_Proposed_List,2,FALSE)&lt;&gt;"",TRUE,FALSE),FALSE)</f>
        <v>0</v>
      </c>
      <c r="HL619" s="1684" t="b">
        <f>IF(AND(__Retrofit_TI_NC=2,FC618=TRUE),FALSE,TRUE)</f>
        <v>1</v>
      </c>
      <c r="HM619" s="1684" t="b">
        <f>GK618</f>
        <v>1</v>
      </c>
      <c r="HN619" s="1682" t="b">
        <f>IF(ISERROR(MATCH(FE618,_Control_Match[],0))=TRUE,FALSE,TRUE)</f>
        <v>0</v>
      </c>
      <c r="HO619" s="1693" t="b">
        <f>IFERROR(IF(EX618&lt;&gt;EY618,FALSE,TRUE),FALSE)</f>
        <v>1</v>
      </c>
      <c r="HP619" s="1693" t="b">
        <f>IFERROR(IF(EX620&lt;&gt;EY620,FALSE,TRUE),FALSE)</f>
        <v>1</v>
      </c>
      <c r="HQ619" s="1670" t="b">
        <f>IFERROR(IF(CQ618="Exterior",TRUE,IF(AND(OR(FM620=0,FM620=3),JD620&gt;6),FALSE,TRUE)),FALSE)</f>
        <v>0</v>
      </c>
      <c r="HR619" s="1684" t="b">
        <f>IFERROR(IF(AND(FO620=7,FC618=TRUE),FALSE,TRUE),FALSE)</f>
        <v>0</v>
      </c>
      <c r="HS619" s="1684" t="b">
        <f>IFERROR(IF(AND(T620&lt;&gt;AF620,OR(AG620="Interior LLLC", AG620="Interior NLC", AG620="LLLC (outside Daylight)",AG620="LLLC Controls Only"))=TRUE,FALSE,TRUE),FALSE)</f>
        <v>1</v>
      </c>
      <c r="HT619" s="1670" t="b">
        <f>IFERROR(IF(OR(AG620=Lookup!BB$17,AG620=Lookup!BB$18,AG620=Lookup!BB$19)=TRUE,IF(AF620&gt;T620,FALSE,TRUE),TRUE),FALSE)</f>
        <v>1</v>
      </c>
      <c r="HU619" s="1684" t="b">
        <f>IFERROR(IF(__Retrofit_TI_NC=2,IF(EZ620&lt;EZ618,FALSE,TRUE),TRUE),FALSE)</f>
        <v>1</v>
      </c>
      <c r="HV619" s="1684" t="b">
        <f>IF(CQ618="Interior",IL$6,TRUE)</f>
        <v>1</v>
      </c>
      <c r="HW619" s="1684" t="b">
        <f>IF(CQ618="Exterior",IL$8,TRUE)</f>
        <v>1</v>
      </c>
      <c r="HX619" s="1684" t="b">
        <f>IFERROR(IF(__Retrofit_TI_NC&lt;&gt;0,IF(AZ618&lt;AY618,FALSE,TRUE),TRUE),FALSE)</f>
        <v>1</v>
      </c>
      <c r="HY619" s="1684" t="b">
        <f>IFERROR(IF(AND(G619="Exterior",R619&gt;4200),FALSE,TRUE),FALSE)</f>
        <v>1</v>
      </c>
      <c r="HZ619" s="1684" t="b">
        <f>IFERROR(IF(AB621/AB618&lt;HZ$18,FALSE,TRUE),FALSE)</f>
        <v>0</v>
      </c>
      <c r="IB619" s="1691"/>
      <c r="IC619" s="1695"/>
      <c r="ID619" s="1694" t="str">
        <f>VLOOKUP(IB621,_Error_Table,4,FALSE)</f>
        <v>White</v>
      </c>
      <c r="IE619" s="391"/>
      <c r="IF619" s="1688"/>
      <c r="IG619" s="1689"/>
      <c r="IH619" s="1684"/>
      <c r="IK619" s="1689"/>
      <c r="IL619" s="1691"/>
      <c r="IM619" s="1691"/>
      <c r="IN619" s="1691"/>
      <c r="IP619" s="1679"/>
      <c r="IQ619" s="1679"/>
      <c r="IR619" s="1679"/>
      <c r="IS619" s="1679"/>
      <c r="IT619" s="1679"/>
      <c r="IU619" s="1679"/>
      <c r="IV619" s="1679"/>
      <c r="IW619" s="1679"/>
      <c r="IX619" s="1679"/>
      <c r="IY619" s="1679"/>
      <c r="IZ619" s="1679"/>
      <c r="JA619" s="1679"/>
      <c r="JC619" s="1680"/>
      <c r="JD619" s="1670"/>
      <c r="JE619" s="1681"/>
      <c r="JG619" s="1680"/>
      <c r="JH619" s="1670"/>
      <c r="JI619" s="1060"/>
      <c r="JJ619" s="1683"/>
      <c r="JK619" s="1061"/>
      <c r="JL619" s="1683"/>
      <c r="JM619" s="1061"/>
      <c r="JN619" s="1683"/>
      <c r="JO619" s="1061"/>
      <c r="JP619" s="1683"/>
      <c r="JQ619" s="1061"/>
      <c r="JR619" s="1683"/>
      <c r="JS619" s="1061"/>
      <c r="JT619" s="1670"/>
      <c r="JU619" s="1061"/>
      <c r="JV619" s="1670"/>
      <c r="JX619" s="1670"/>
      <c r="JZ619" s="1683"/>
      <c r="KB619" s="1670"/>
    </row>
    <row r="620" spans="1:288" s="78" customFormat="1" ht="14.95" customHeight="1" thickTop="1" thickBot="1">
      <c r="A620" s="78">
        <f>ROW()</f>
        <v>620</v>
      </c>
      <c r="B620" s="1845"/>
      <c r="C620" s="1846"/>
      <c r="D620" s="1847"/>
      <c r="E620" s="1737" t="s">
        <v>298</v>
      </c>
      <c r="F620" s="1738"/>
      <c r="G620" s="1760"/>
      <c r="H620" s="1761"/>
      <c r="I620" s="1761"/>
      <c r="J620" s="1761"/>
      <c r="K620" s="1761"/>
      <c r="L620" s="1762"/>
      <c r="M620" s="461">
        <f>IFERROR(IF(IF(__Retrofit_TI_NC&lt;&gt;0,IF(CQ618="Interior",MATCH(G620,Lookup_Interior_New,0),MATCH(G620,Lookup_Exterior_New,0)),IF(CQ618="Interior",MATCH(G620,Lookup_Interior,0),MATCH(G620,Lookup_Exterior_Areas,0)))&gt;0,1,0),0)</f>
        <v>0</v>
      </c>
      <c r="N620" s="461" t="e">
        <f>IF(__Retrofit_TI_NC=1,
VLOOKUP(G620,'Space Table'!$B$3:$L$163,4,FALSE),
IF(__Retrofit_TI_NC=2,VLOOKUP(G620,'Space Table'!$B$3:$L$163,5,FALSE),VLOOKUP(G620,'Space Table'!$B$3:$L$163,5,FALSE)))</f>
        <v>#N/A</v>
      </c>
      <c r="O620" s="461">
        <f>G620</f>
        <v>0</v>
      </c>
      <c r="P620" s="1738" t="str">
        <f>IFERROR(IF(__Retrofit_TI_NC=1,VLOOKUP(G620,'Space Table'!$B$3:$O$163,13,FALSE),IF(__Retrofit_TI_NC=2,VLOOKUP(G620,'Space Table'!$B$3:$O$163,14,FALSE),"Area (sf):")),"Area (sf):")</f>
        <v>Area (sf):</v>
      </c>
      <c r="Q620" s="1738"/>
      <c r="R620" s="596"/>
      <c r="S620" s="1763" t="s">
        <v>345</v>
      </c>
      <c r="T620" s="594"/>
      <c r="U620" s="1801"/>
      <c r="V620" s="1802"/>
      <c r="W620" s="1802"/>
      <c r="X620" s="1802"/>
      <c r="Y620" s="1802"/>
      <c r="Z620" s="1802"/>
      <c r="AA620" s="1802"/>
      <c r="AB620" s="1802"/>
      <c r="AC620" s="1802"/>
      <c r="AD620" s="1802"/>
      <c r="AE620" s="1803"/>
      <c r="AF620" s="594"/>
      <c r="AG620" s="1787"/>
      <c r="AH620" s="1787"/>
      <c r="AI620" s="1787"/>
      <c r="AJ620" s="1787"/>
      <c r="AK620" s="1787"/>
      <c r="AL620" s="1787"/>
      <c r="AM620" s="1726">
        <f>IFERROR(DI620,"")</f>
        <v>0</v>
      </c>
      <c r="AN620" s="1728" t="str">
        <f>IFERROR(ROUND(AM620*AC621,0),"")</f>
        <v/>
      </c>
      <c r="AO620" s="1730">
        <f>IFERROR(IF(IB618=FALSE,0,AC621-AN620),0)</f>
        <v>0</v>
      </c>
      <c r="AP620" s="1780"/>
      <c r="AQ620" s="1781"/>
      <c r="AR620" s="1795"/>
      <c r="AS620" s="1795"/>
      <c r="AT620" s="1796"/>
      <c r="AU620" s="1735"/>
      <c r="AV620" s="1752"/>
      <c r="AW620" s="1705"/>
      <c r="AX620" s="467"/>
      <c r="AY620" s="1749"/>
      <c r="AZ620" s="1749"/>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696"/>
      <c r="CQ620" s="1696"/>
      <c r="CR620" s="1808" t="str">
        <f>CQ618</f>
        <v/>
      </c>
      <c r="CS620" s="1810" t="str">
        <f>CS618</f>
        <v/>
      </c>
      <c r="CU620" s="1688" t="s">
        <v>345</v>
      </c>
      <c r="CV620" s="1702">
        <f>IF(IB618=TRUE,T620,0)</f>
        <v>0</v>
      </c>
      <c r="CW620" s="1702" t="str">
        <f>IF(IB618=TRUE,U620,"")</f>
        <v/>
      </c>
      <c r="CX620" s="1812">
        <f>IF(IB618=TRUE,U621,0)</f>
        <v>0</v>
      </c>
      <c r="CY620" s="1814">
        <f>IF(IB618=TRUE,AB621,0)</f>
        <v>0</v>
      </c>
      <c r="CZ620" s="1710">
        <f>IF(AND(__Retrofit_TI_NC&gt;0,CR618="interior"),0,IF(IB618=TRUE,AC621,0))</f>
        <v>0</v>
      </c>
      <c r="DA620" s="1818"/>
      <c r="DB620" s="1820"/>
      <c r="DC620" s="1820"/>
      <c r="DD620" s="1820"/>
      <c r="DF620" s="1702">
        <f>IF(IB618=TRUE,AF620,0)</f>
        <v>0</v>
      </c>
      <c r="DG620" s="1830" t="str">
        <f>IF(IB618=TRUE,AG620,"")</f>
        <v/>
      </c>
      <c r="DH620" s="1812">
        <f>AG621</f>
        <v>0</v>
      </c>
      <c r="DI620" s="1837">
        <f>JE620</f>
        <v>0</v>
      </c>
      <c r="DJ620" s="1710">
        <f>IF(AND(__Retrofit_TI_NC&gt;0,CR618="interior"),0,IF(IB618=TRUE,AN620,0))</f>
        <v>0</v>
      </c>
      <c r="DK620" s="1712"/>
      <c r="DN620" s="1717">
        <f>IFERROR(CZ620-DJ620,0)</f>
        <v>0</v>
      </c>
      <c r="DO620" s="1709"/>
      <c r="DQ620" s="1715"/>
      <c r="DR620" s="1719" t="str">
        <f>DQ618</f>
        <v/>
      </c>
      <c r="DS620" s="1816"/>
      <c r="DT620" s="1835" t="str">
        <f>IF(OR(DS618=7,DS618=8,DS618=9),"ALC","")</f>
        <v/>
      </c>
      <c r="DU620" s="1715"/>
      <c r="DV620" s="1716"/>
      <c r="DX620" s="1715"/>
      <c r="DY620" s="1829" t="str">
        <f>DX618</f>
        <v/>
      </c>
      <c r="DZ620" s="1715"/>
      <c r="EA620" s="1715"/>
      <c r="EC620" s="1834"/>
      <c r="ED620" s="1834"/>
      <c r="EF620" s="1707"/>
      <c r="EG620" s="1712"/>
      <c r="EH620" s="1818"/>
      <c r="EI620" s="1712"/>
      <c r="EJ620" s="1712"/>
      <c r="EK620" s="1836"/>
      <c r="EL620" s="1836"/>
      <c r="EM620" s="1807"/>
      <c r="EN620" s="1839"/>
      <c r="EO620" s="1839"/>
      <c r="EP620" s="1817"/>
      <c r="EQ620" s="1817"/>
      <c r="ER620" s="1807"/>
      <c r="ES620" s="1807"/>
      <c r="ET620" s="1807"/>
      <c r="EV620" s="1715"/>
      <c r="EX620" s="1805" t="str">
        <f>IFERROR(VLOOKUP(CS620,'Space Table'!$B$3:$L$163,8,FALSE),"")</f>
        <v/>
      </c>
      <c r="EY620" s="1805" t="str">
        <f>IFERROR(IF(FB620="Yes",VLOOKUP(AG620,Lookup_Control_Type_Table2,4,FALSE),VLOOKUP(AG620,Lookup_Control_Type_Table2,3,FALSE)),"")</f>
        <v/>
      </c>
      <c r="EZ620" s="1805" t="e">
        <f>VLOOKUP(AG620,Lookup!BB$3:BC$20,2,FALSE)</f>
        <v>#N/A</v>
      </c>
      <c r="FA620" s="1805" t="e">
        <f>VLOOKUP(EX618,Lookup_Control_Type_Table,2,FALSE)</f>
        <v>#N/A</v>
      </c>
      <c r="FB620" s="1805" t="e">
        <f>VLOOKUP(CS620,'Space Table'!$B$3:$L$163,7,FALSE)</f>
        <v>#N/A</v>
      </c>
      <c r="FC620" s="1827"/>
      <c r="FE620" s="1698" t="str">
        <f>CONCATENATE(CQ618," - ",AG620)</f>
        <v xml:space="preserve"> - </v>
      </c>
      <c r="FG620" s="1816"/>
      <c r="FH620" s="1816"/>
      <c r="FI620" s="133"/>
      <c r="FL620" s="1822" t="str">
        <f>IF(CQ618="Exterior","Not Daylighted",G621)</f>
        <v>Not Daylighted</v>
      </c>
      <c r="FM620" s="1824">
        <f>VLOOKUP(FL620,_New_Daylight_Table_Codes,2,FALSE)</f>
        <v>0</v>
      </c>
      <c r="FN620" s="1698">
        <f>AG620</f>
        <v>0</v>
      </c>
      <c r="FO620" s="1698" t="e">
        <f>VLOOKUP(FN620,_Control_Table,2,FALSE)</f>
        <v>#N/A</v>
      </c>
      <c r="FP620" s="1678" t="e">
        <f>VLOOKUP(CONCATENATE(FL620," ",FN620),Lookup!AY$102:AZ631,2,FALSE)</f>
        <v>#N/A</v>
      </c>
      <c r="FQ620" s="1698">
        <f>IF(__Retrofit_TI_NC=0,FN620,IF(AND(FT620&gt;0,FN620="Occupancy Sensor"),"Daylight + Occupancy",IF(AND(FT620&gt;0,FO620&lt;4),"Interior Daylight Dimming",FN620)))</f>
        <v>0</v>
      </c>
      <c r="FS620" s="1686">
        <f>IF(CQ618="Interior",VLOOKUP(CS618,Control_Savings_Interior,5,FALSE),0)</f>
        <v>0</v>
      </c>
      <c r="FT620" s="1687">
        <f>IF(CQ620="Exterior",0,IF(FM620=2,0.5,IF(OR(FM620=1,FM620=3),1,0)))</f>
        <v>0</v>
      </c>
      <c r="FU620" s="1685">
        <f>IF(R619&gt;FS$44,(FS620*(FS$44/R619)),FS620)*FT620</f>
        <v>0</v>
      </c>
      <c r="FV620" s="1686">
        <f>DI620</f>
        <v>0</v>
      </c>
      <c r="FW620" s="1686">
        <f>ROUND(FV620+((1-FV620)*FU620),2)</f>
        <v>0</v>
      </c>
      <c r="FX620" s="1686">
        <f>IF(__Retrofit_TI_NC=2,FW620,FV620)</f>
        <v>0</v>
      </c>
      <c r="FY620" s="1697">
        <f>IF(CR620="Interior",VLOOKUP(CS620,Control_Savings_Interior,4,FALSE),0)</f>
        <v>0</v>
      </c>
      <c r="GA620" s="1696"/>
      <c r="GB620" s="1696"/>
      <c r="GC620" s="1696"/>
      <c r="GD620" s="1696"/>
      <c r="GE620" s="1696"/>
      <c r="GF620" s="1696"/>
      <c r="GG620" s="1696"/>
      <c r="GH620" s="1696"/>
      <c r="GI620" s="673" t="b">
        <f>IF(ISNUMBER(SEARCH("TLED",U620)),TRUE,FALSE)</f>
        <v>0</v>
      </c>
      <c r="GJ620" s="1135" t="str">
        <f>IFERROR(VLOOKUP(U620,Fixtures!DM$93:DR$142,6,FALSE),"")</f>
        <v/>
      </c>
      <c r="GK620" s="1832"/>
      <c r="GM620" s="1692"/>
      <c r="GN620" s="1684"/>
      <c r="GP620" s="1684"/>
      <c r="GQ620" s="1684"/>
      <c r="HG620" s="1684"/>
      <c r="HH620" s="1684"/>
      <c r="HI620" s="1684"/>
      <c r="HJ620" s="1684"/>
      <c r="HK620" s="1684"/>
      <c r="HL620" s="1684"/>
      <c r="HM620" s="1684"/>
      <c r="HN620" s="1683"/>
      <c r="HO620" s="1692"/>
      <c r="HP620" s="1692"/>
      <c r="HQ620" s="1670"/>
      <c r="HR620" s="1684"/>
      <c r="HS620" s="1684"/>
      <c r="HT620" s="1670"/>
      <c r="HU620" s="1684"/>
      <c r="HV620" s="1684"/>
      <c r="HW620" s="1684"/>
      <c r="HX620" s="1684"/>
      <c r="HY620" s="1684"/>
      <c r="HZ620" s="1684"/>
      <c r="IB620" s="1692"/>
      <c r="IC620" s="1693" t="b">
        <f>IB618</f>
        <v>0</v>
      </c>
      <c r="ID620" s="1695"/>
      <c r="IE620" s="391"/>
      <c r="IF620" s="1688"/>
      <c r="IG620" s="1689">
        <f ca="1">IF(IF618=TRUE,AC621,0)</f>
        <v>0</v>
      </c>
      <c r="IH620" s="1684"/>
      <c r="IK620" s="1689" t="e">
        <f>ROUND(T620*AB621*N619*R619/1000,0)</f>
        <v>#VALUE!</v>
      </c>
      <c r="IL620" s="1691"/>
      <c r="IM620" s="1693" t="e">
        <f>ROUND(T620*AB621*N619*R619/1000,0)</f>
        <v>#VALUE!</v>
      </c>
      <c r="IN620" s="1691"/>
      <c r="IP620" s="1679"/>
      <c r="IQ620" s="1679" t="e">
        <f t="shared" ref="IQ620:IU620" si="567">IF($CR620="interior",VLOOKUP($CS620,_New_Control_Savings_Interior,IQ$30,FALSE),VLOOKUP($CS620,Control_Savings_Exterior,IQ$30,FALSE))</f>
        <v>#N/A</v>
      </c>
      <c r="IR620" s="1679" t="e">
        <f t="shared" si="567"/>
        <v>#N/A</v>
      </c>
      <c r="IS620" s="1679" t="e">
        <f t="shared" si="567"/>
        <v>#N/A</v>
      </c>
      <c r="IT620" s="1679" t="e">
        <f t="shared" si="567"/>
        <v>#N/A</v>
      </c>
      <c r="IU620" s="1679" t="e">
        <f t="shared" si="567"/>
        <v>#N/A</v>
      </c>
      <c r="IV620" s="1679" t="e">
        <f>IF($CR620="interior",IF(R619&gt;$IP$14,ROUND(($IV$18*($IP$14/R619)),2),$IV$18),VLOOKUP($CS620,Control_Savings_Exterior,IV$30,FALSE))</f>
        <v>#N/A</v>
      </c>
      <c r="IW620" s="1679" t="e">
        <f>IF($CR620="interior",ROUND(((1-IS620)*IV620)+IS620,2),VLOOKUP($CS620,Control_Savings_Exterior,IW$30,FALSE))</f>
        <v>#N/A</v>
      </c>
      <c r="IX620" s="1679" t="e">
        <f>IF($CR620="interior",ROUND(((1-IT620)*IV620)+IT620,2),VLOOKUP($CS620,Control_Savings_Exterior,IX$30,FALSE))</f>
        <v>#N/A</v>
      </c>
      <c r="IY620" s="1679" t="e">
        <f>IF($CR620="interior",IF(R619&gt;$IP$14,ROUND(($IY$18*($IP$14/R619)),2),$IY$18),VLOOKUP($CS620,Control_Savings_Exterior,IY$30,FALSE))</f>
        <v>#N/A</v>
      </c>
      <c r="IZ620" s="1679" t="e">
        <f>IF($CR620="interior",ROUND(((1-IS620)*IY620)+IS620,2),VLOOKUP($CS620,Control_Savings_Exterior,IZ$30,FALSE))</f>
        <v>#N/A</v>
      </c>
      <c r="JA620" s="1679" t="e">
        <f>IF($CR620="interior",ROUND(((1-IT620)*IY620)+IT620,2),VLOOKUP($CS620,Control_Savings_Exterior,JA$30,FALSE))</f>
        <v>#N/A</v>
      </c>
      <c r="JC620" s="1680">
        <f>IFERROR(IF(CR620="Interior",CONCATENATE(G621," ",FQ620),AG620),"")</f>
        <v>0</v>
      </c>
      <c r="JD620" s="1670" t="str">
        <f>IFERROR(VLOOKUP(JC620,_Controls_2023,2,FALSE),"")</f>
        <v/>
      </c>
      <c r="JE620" s="1681">
        <f>IFERROR(CHOOSE(JD620-1,IQ620,IR620,IS620,IT620,IU620,IV620,IW620,IX620,IY620,IZ620,JA620),0)</f>
        <v>0</v>
      </c>
      <c r="JG620" s="1680" t="str">
        <f>FE620</f>
        <v xml:space="preserve"> - </v>
      </c>
      <c r="JH620" s="1670" t="e">
        <f>$FO620</f>
        <v>#N/A</v>
      </c>
      <c r="JI620" s="1060"/>
      <c r="JJ620" s="1670">
        <f>IFERROR(IF($IB618=TRUE,IF(OR(JJ$14="No",JJ618=FALSE,JH620&lt;=JH618,AND(_kWh_Grant=0,GD618=FALSE)),0,IF(JJ$8="Per Line",1,$AF620)),0),0)</f>
        <v>0</v>
      </c>
      <c r="JK620" s="1061"/>
      <c r="JL620" s="1670">
        <f>IFERROR(IF(_kWh_Grant=0,0,IF($IB618=TRUE,IF(OR(JL$14="No",JL618=FALSE,JH620&lt;=JH618),0,IF(JL$8="Per Line",1,$T620)),0)),0)</f>
        <v>0</v>
      </c>
      <c r="JM620" s="1061"/>
      <c r="JN620" s="1670">
        <f>IFERROR(IF(_kWh_Grant=0,0,IF($IB618=TRUE,IF(OR(JN$14="No",JN618=FALSE,JH620&lt;=JH618),0,IF(JN$8="Per Line",1,$AF620)),0)),0)</f>
        <v>0</v>
      </c>
      <c r="JO620" s="1061"/>
      <c r="JP620" s="1670">
        <f>IFERROR(IF(__Retrofit_TI_NC=0,IF(_kWh_Grant=0,0,IF($IB618=TRUE,IF(OR(JP$14="No",JP618=FALSE,$JH620&lt;=$JH618),0,IF(JP$8="Per Line",1,$AF620)),0)),IF($IB618=TRUE,IF(OR(JP$14="No",JP618=FALSE,$JH620&lt;=$JH618),0,IF(JP$8="Per Line",1,$AF620)))),0)</f>
        <v>0</v>
      </c>
      <c r="JQ620" s="1061"/>
      <c r="JR620" s="1670">
        <f>IFERROR(IF(__Retrofit_TI_NC=0,IF(_kWh_Grant=0,0,IF($IB618=TRUE,IF(OR(JR$14="No",JR618=FALSE,$JH620&lt;=$JH618),0,IF(JR$8="Per Line",1,$AF620)),0)),IF($IB618=TRUE,IF(OR(JR$14="No",JR618=FALSE,$JH620&lt;=$JH618),0,IF(JR$8="Per Line",1,$AF620)))),0)</f>
        <v>0</v>
      </c>
      <c r="JS620" s="1061"/>
      <c r="JT620" s="1670">
        <f>IFERROR(IF(__Retrofit_TI_NC=0,IF(_kWh_Grant=0,0,IF($IB618=TRUE,IF(OR(JT$14="No",JT618=FALSE,$JH620&lt;=$JH618),0,IF(JT$8="Per Line",1,$AF620)),0)),IF($IB618=TRUE,IF(OR(JT$14="No",JT618=FALSE,$JH620&lt;=$JH618),0,IF(JT$8="Per Line",1,$AF620)))),0)</f>
        <v>0</v>
      </c>
      <c r="JU620" s="1061"/>
      <c r="JV620" s="1670">
        <f>IFERROR(IF(__Retrofit_TI_NC=0,IF(_kWh_Grant=0,0,IF($IB618=TRUE,IF(OR(JV$14="No",JV618=FALSE,$JH620&lt;=$JH618),0,IF(JV$8="Per Line",1,$AF620)),0)),IF($IB618=TRUE,IF(OR(JV$14="No",JV618=FALSE,$JH620&lt;=$JH618),0,IF(JV$8="Per Line",1,$AF620)))),0)</f>
        <v>0</v>
      </c>
      <c r="JX620" s="1670">
        <f>IFERROR(IF(__Retrofit_TI_NC=0,IF(_kWh_Grant=0,0,IF($IB618=TRUE,IF(OR(JX$14="No",JX618=FALSE,$JH620&lt;=$JH618),0,IF(JX$8="Per Line",1,$AF620)),0)),IF($IB618=TRUE,IF(OR(JX$14="No",JX618=FALSE,$JH620&lt;=$JH618),0,IF(JX$8="Per Line",1,$AF620)))),0)</f>
        <v>0</v>
      </c>
      <c r="JZ620" s="1670">
        <f>IFERROR(IF($IB618=TRUE,IF(OR(JZ$14="No",JZ618=FALSE,$JH620&lt;=$JH618,AND(_kWh_Grant=0,$GD618=FALSE)),0,IF(JZ$8="Per Line",1,$AF620)),0),0)</f>
        <v>0</v>
      </c>
      <c r="KB620" s="1670">
        <f>IFERROR(IF(__Retrofit_TI_NC=0,IF(_kWh_Grant=0,0,IF($IB618=TRUE,IF(OR(KB$14="No",KB618=FALSE,$JH620&lt;=$JH618),0,IF(KB$8="Per Line",1,$AF620)),0)),IF($IB618=TRUE,IF(OR(KB$14="No",KB618=FALSE,$JH620&lt;=$JH618),0,IF(KB$8="Per Line",1,$AF620)))),0)</f>
        <v>0</v>
      </c>
    </row>
    <row r="621" spans="1:288" s="78" customFormat="1" ht="14.95" customHeight="1" thickTop="1" thickBot="1">
      <c r="B621" s="1845"/>
      <c r="C621" s="1846"/>
      <c r="D621" s="1847"/>
      <c r="E621" s="1771" t="s">
        <v>436</v>
      </c>
      <c r="F621" s="1772"/>
      <c r="G621" s="1784" t="s">
        <v>437</v>
      </c>
      <c r="H621" s="1785"/>
      <c r="I621" s="1785"/>
      <c r="J621" s="1785"/>
      <c r="K621" s="1785"/>
      <c r="L621" s="1786"/>
      <c r="M621" s="591">
        <f>IFERROR(VLOOKUP(G621,_Daylight_Table[],2,FALSE),0)</f>
        <v>0</v>
      </c>
      <c r="N621" s="592" t="str">
        <f>IF(AND(__Retrofit_TI_NC&gt;0,CQ618="Interior"),"BAM","")</f>
        <v/>
      </c>
      <c r="O621" s="591" t="e">
        <f>VLOOKUP(G620,'Space Table'!$B$3:$L$163,11,FALSE)</f>
        <v>#N/A</v>
      </c>
      <c r="P621" s="1789"/>
      <c r="Q621" s="1790"/>
      <c r="R621" s="1790"/>
      <c r="S621" s="1788"/>
      <c r="T621" s="593" t="s">
        <v>342</v>
      </c>
      <c r="U621" s="1756" t="str" cm="1">
        <f t="array" aca="1" ref="U621" ca="1">IFERROR(VLOOKUP(INDIRECT("U" &amp; ROW()-1),Fixtures!DM$93:DP$142,4,FALSE),"")</f>
        <v/>
      </c>
      <c r="V621" s="1757"/>
      <c r="W621" s="1757"/>
      <c r="X621" s="1757"/>
      <c r="Y621" s="1757"/>
      <c r="Z621" s="1757"/>
      <c r="AA621" s="1758"/>
      <c r="AB621" s="939" t="str">
        <f>IFERROR(VLOOKUP(U620,Fixtures_Proposed_List,2,FALSE),"")</f>
        <v/>
      </c>
      <c r="AC621" s="933" t="str">
        <f>IFERROR(ROUND(T620*AB621*N619*R619/1000,0),"")</f>
        <v/>
      </c>
      <c r="AD621" s="934" t="str">
        <f>IFERROR(ROUND(T620*AB621/1000,2),"")</f>
        <v/>
      </c>
      <c r="AE621" s="998"/>
      <c r="AF621" s="938" t="s">
        <v>342</v>
      </c>
      <c r="AG621" s="1770"/>
      <c r="AH621" s="1770"/>
      <c r="AI621" s="1770"/>
      <c r="AJ621" s="1770"/>
      <c r="AK621" s="1770"/>
      <c r="AL621" s="1770"/>
      <c r="AM621" s="1727"/>
      <c r="AN621" s="1729"/>
      <c r="AO621" s="1731"/>
      <c r="AP621" s="1782"/>
      <c r="AQ621" s="1783"/>
      <c r="AR621" s="1797"/>
      <c r="AS621" s="1797"/>
      <c r="AT621" s="1798"/>
      <c r="AU621" s="1736"/>
      <c r="AV621" s="1753"/>
      <c r="AW621" s="1706"/>
      <c r="AX621" s="468"/>
      <c r="AY621" s="1750"/>
      <c r="AZ621" s="1750"/>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696"/>
      <c r="CQ621" s="1696"/>
      <c r="CR621" s="1809"/>
      <c r="CS621" s="1811"/>
      <c r="CU621" s="1688"/>
      <c r="CV621" s="1703"/>
      <c r="CW621" s="1703"/>
      <c r="CX621" s="1813"/>
      <c r="CY621" s="1815"/>
      <c r="CZ621" s="1711"/>
      <c r="DA621" s="1815"/>
      <c r="DB621" s="1821"/>
      <c r="DC621" s="1821"/>
      <c r="DD621" s="1821"/>
      <c r="DF621" s="1703"/>
      <c r="DG621" s="1831"/>
      <c r="DH621" s="1813"/>
      <c r="DI621" s="1838"/>
      <c r="DJ621" s="1711"/>
      <c r="DK621" s="1712"/>
      <c r="DN621" s="1718"/>
      <c r="DO621" s="1709"/>
      <c r="DQ621" s="1715"/>
      <c r="DR621" s="1720"/>
      <c r="DS621" s="1703"/>
      <c r="DT621" s="1714"/>
      <c r="DU621" s="1715"/>
      <c r="DV621" s="1716"/>
      <c r="DX621" s="1715"/>
      <c r="DY621" s="1720"/>
      <c r="DZ621" s="1715"/>
      <c r="EA621" s="1715"/>
      <c r="EC621" s="1834"/>
      <c r="ED621" s="1834"/>
      <c r="EF621" s="1707"/>
      <c r="EG621" s="1712"/>
      <c r="EH621" s="1815"/>
      <c r="EI621" s="1712"/>
      <c r="EJ621" s="1712"/>
      <c r="EK621" s="1813"/>
      <c r="EL621" s="1813"/>
      <c r="EM621" s="1807"/>
      <c r="EN621" s="1839"/>
      <c r="EO621" s="1839"/>
      <c r="EP621" s="1817"/>
      <c r="EQ621" s="1817"/>
      <c r="ER621" s="1807"/>
      <c r="ES621" s="1807"/>
      <c r="ET621" s="1807"/>
      <c r="EV621" s="1715"/>
      <c r="EX621" s="1806"/>
      <c r="EY621" s="1806"/>
      <c r="EZ621" s="1806"/>
      <c r="FA621" s="1806"/>
      <c r="FB621" s="1806"/>
      <c r="FC621" s="1828"/>
      <c r="FE621" s="1698"/>
      <c r="FG621" s="1703"/>
      <c r="FH621" s="1703"/>
      <c r="FI621" s="133"/>
      <c r="FL621" s="1823"/>
      <c r="FM621" s="1825"/>
      <c r="FN621" s="1698"/>
      <c r="FO621" s="1698"/>
      <c r="FP621" s="1678"/>
      <c r="FQ621" s="1698"/>
      <c r="FS621" s="1687"/>
      <c r="FT621" s="1687"/>
      <c r="FU621" s="1685"/>
      <c r="FV621" s="1687"/>
      <c r="FW621" s="1687"/>
      <c r="FX621" s="1687"/>
      <c r="FY621" s="1697"/>
      <c r="GA621" s="1696"/>
      <c r="GB621" s="1696"/>
      <c r="GC621" s="1696"/>
      <c r="GD621" s="1696"/>
      <c r="GE621" s="1696"/>
      <c r="GF621" s="1696"/>
      <c r="GG621" s="1696"/>
      <c r="GH621" s="1696"/>
      <c r="GI621" s="673"/>
      <c r="GJ621" s="1135"/>
      <c r="GK621" s="1832"/>
      <c r="GN621" s="674">
        <f>IF(GN619=TRUE,0,GN$16)</f>
        <v>0</v>
      </c>
      <c r="GP621" s="674">
        <f>IF(GP619=TRUE,0,GP$16)</f>
        <v>36</v>
      </c>
      <c r="GQ621" s="674">
        <f ca="1">IF(GQ619=TRUE,0,GQ$16)</f>
        <v>35</v>
      </c>
      <c r="GR621" s="391"/>
      <c r="GS621" s="391"/>
      <c r="GT621" s="391"/>
      <c r="GU621" s="391"/>
      <c r="GV621" s="391"/>
      <c r="HG621" s="674">
        <f>IF(HG619=TRUE,0,HG$16)</f>
        <v>0</v>
      </c>
      <c r="HH621" s="674">
        <f t="shared" ref="HH621:HM621" si="568">IF(HH619=TRUE,0,HH$16)</f>
        <v>19</v>
      </c>
      <c r="HI621" s="674">
        <f t="shared" si="568"/>
        <v>18</v>
      </c>
      <c r="HJ621" s="674">
        <f t="shared" si="568"/>
        <v>17</v>
      </c>
      <c r="HK621" s="674">
        <f t="shared" si="568"/>
        <v>16</v>
      </c>
      <c r="HL621" s="674">
        <f t="shared" si="568"/>
        <v>0</v>
      </c>
      <c r="HM621" s="674">
        <f t="shared" si="568"/>
        <v>0</v>
      </c>
      <c r="HN621" s="674">
        <f>IF(HN619=TRUE,0,HN$16)</f>
        <v>13</v>
      </c>
      <c r="HO621" s="674">
        <f t="shared" ref="HO621:HQ621" si="569">IF(HO619=TRUE,0,HO$16)</f>
        <v>0</v>
      </c>
      <c r="HP621" s="674">
        <f t="shared" si="569"/>
        <v>0</v>
      </c>
      <c r="HQ621" s="674">
        <f t="shared" si="569"/>
        <v>10</v>
      </c>
      <c r="HR621" s="674">
        <f>IF(HR619=TRUE,0,HR$16)</f>
        <v>9</v>
      </c>
      <c r="HS621" s="674">
        <f t="shared" ref="HS621:HW621" si="570">IF(HS619=TRUE,0,HS$16)</f>
        <v>0</v>
      </c>
      <c r="HT621" s="674">
        <f t="shared" si="570"/>
        <v>0</v>
      </c>
      <c r="HU621" s="674">
        <f t="shared" si="570"/>
        <v>0</v>
      </c>
      <c r="HV621" s="674">
        <f t="shared" si="570"/>
        <v>0</v>
      </c>
      <c r="HW621" s="674">
        <f t="shared" si="570"/>
        <v>0</v>
      </c>
      <c r="HX621" s="674">
        <f>IF(HX619=TRUE,0,HX$16)</f>
        <v>0</v>
      </c>
      <c r="HY621" s="674">
        <f>IF(HY619=TRUE,0,HY$16)</f>
        <v>0</v>
      </c>
      <c r="HZ621" s="674">
        <f>IF(HZ619=TRUE,0,HZ$16)</f>
        <v>1</v>
      </c>
      <c r="IB621" s="674">
        <f>IF(GP619=FALSE,GP621,IF(GQ619=FALSE,GQ621,MAX(GN621:HZ621)))</f>
        <v>36</v>
      </c>
      <c r="IC621" s="1692"/>
      <c r="ID621" s="205" t="str">
        <f>VLOOKUP(IB621,_Error_Table,3,FALSE)</f>
        <v xml:space="preserve"> </v>
      </c>
      <c r="IE621" s="205"/>
      <c r="IF621" s="1688"/>
      <c r="IG621" s="1689"/>
      <c r="IH621" s="1684"/>
      <c r="IK621" s="1689"/>
      <c r="IL621" s="1692"/>
      <c r="IM621" s="1692"/>
      <c r="IN621" s="1692"/>
      <c r="IP621" s="1679"/>
      <c r="IQ621" s="1679"/>
      <c r="IR621" s="1679"/>
      <c r="IS621" s="1679"/>
      <c r="IT621" s="1679"/>
      <c r="IU621" s="1679"/>
      <c r="IV621" s="1679"/>
      <c r="IW621" s="1679"/>
      <c r="IX621" s="1679"/>
      <c r="IY621" s="1679"/>
      <c r="IZ621" s="1679"/>
      <c r="JA621" s="1679"/>
      <c r="JC621" s="1680"/>
      <c r="JD621" s="1670"/>
      <c r="JE621" s="1681"/>
      <c r="JG621" s="1680"/>
      <c r="JH621" s="1670"/>
      <c r="JI621" s="1060"/>
      <c r="JJ621" s="1670"/>
      <c r="JK621" s="1061"/>
      <c r="JL621" s="1670"/>
      <c r="JM621" s="1061"/>
      <c r="JN621" s="1670"/>
      <c r="JO621" s="1061"/>
      <c r="JP621" s="1670"/>
      <c r="JQ621" s="1061"/>
      <c r="JR621" s="1670"/>
      <c r="JS621" s="1061"/>
      <c r="JT621" s="1670"/>
      <c r="JU621" s="1061"/>
      <c r="JV621" s="1670"/>
      <c r="JX621" s="1670"/>
      <c r="JZ621" s="1670"/>
      <c r="KB621" s="1670"/>
    </row>
    <row r="622" spans="1:288" s="78" customFormat="1" ht="5.0999999999999996" customHeight="1">
      <c r="B622" s="676"/>
      <c r="C622" s="392"/>
      <c r="D622" s="392"/>
      <c r="E622" s="1733"/>
      <c r="F622" s="1733"/>
      <c r="G622" s="1733"/>
      <c r="H622" s="1733"/>
      <c r="I622" s="1733"/>
      <c r="J622" s="1733"/>
      <c r="K622" s="1733"/>
      <c r="L622" s="1733"/>
      <c r="M622" s="1733"/>
      <c r="N622" s="1733"/>
      <c r="O622" s="1733"/>
      <c r="P622" s="1733"/>
      <c r="Q622" s="1733"/>
      <c r="R622" s="1733"/>
      <c r="S622" s="1733"/>
      <c r="T622" s="1733"/>
      <c r="U622" s="1733"/>
      <c r="V622" s="1733"/>
      <c r="W622" s="1733"/>
      <c r="X622" s="1733"/>
      <c r="Y622" s="1733"/>
      <c r="Z622" s="1733"/>
      <c r="AA622" s="1733"/>
      <c r="AB622" s="1733"/>
      <c r="AC622" s="1733"/>
      <c r="AD622" s="1733"/>
      <c r="AE622" s="1733"/>
      <c r="AF622" s="1733"/>
      <c r="AG622" s="1733"/>
      <c r="AH622" s="1733"/>
      <c r="AI622" s="1733"/>
      <c r="AJ622" s="1733"/>
      <c r="AK622" s="1733"/>
      <c r="AL622" s="1733"/>
      <c r="AM622" s="1733"/>
      <c r="AN622" s="1733"/>
      <c r="AO622" s="1733"/>
      <c r="AP622" s="1733"/>
      <c r="AQ622" s="1733"/>
      <c r="AR622" s="1733"/>
      <c r="AS622" s="1733"/>
      <c r="AT622" s="1733"/>
      <c r="AU622" s="1733"/>
      <c r="AV622" s="1733"/>
      <c r="AW622" s="1733"/>
      <c r="AX622" s="469"/>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663"/>
      <c r="CQ622" s="663"/>
      <c r="CR622" s="438"/>
      <c r="CS622" s="663"/>
      <c r="CV622" s="391"/>
      <c r="CW622" s="391"/>
      <c r="CX622" s="207"/>
      <c r="CY622" s="208"/>
      <c r="CZ622" s="208"/>
      <c r="DA622" s="208"/>
      <c r="DB622" s="209"/>
      <c r="DC622" s="209"/>
      <c r="DD622" s="209"/>
      <c r="DF622" s="664"/>
      <c r="DG622" s="665"/>
      <c r="DH622" s="666"/>
      <c r="DI622" s="667"/>
      <c r="DJ622" s="668"/>
      <c r="DK622" s="668"/>
      <c r="DN622" s="208"/>
      <c r="DO622" s="664"/>
      <c r="DQ622" s="664"/>
      <c r="DR622" s="669"/>
      <c r="DS622" s="391"/>
      <c r="DT622" s="664"/>
      <c r="DU622" s="664"/>
      <c r="DV622" s="664"/>
      <c r="DX622" s="664"/>
      <c r="DY622" s="664"/>
      <c r="DZ622" s="664"/>
      <c r="EA622" s="664"/>
      <c r="EC622" s="670"/>
      <c r="ED622" s="670"/>
      <c r="EF622" s="668"/>
      <c r="EG622" s="668"/>
      <c r="EH622" s="208"/>
      <c r="EI622" s="668"/>
      <c r="EJ622" s="668"/>
      <c r="EK622" s="207"/>
      <c r="EL622" s="207"/>
      <c r="EM622" s="666"/>
      <c r="EN622" s="671"/>
      <c r="EO622" s="671"/>
      <c r="EP622" s="672"/>
      <c r="EQ622" s="672"/>
      <c r="ER622" s="666"/>
      <c r="ES622" s="666"/>
      <c r="ET622" s="666"/>
      <c r="EV622" s="664"/>
      <c r="EX622" s="391"/>
      <c r="EY622" s="391"/>
      <c r="EZ622" s="391"/>
      <c r="FA622" s="391"/>
      <c r="FB622" s="391"/>
      <c r="FC622" s="391"/>
      <c r="FE622" s="569"/>
      <c r="FG622" s="391"/>
      <c r="FH622" s="391"/>
      <c r="FI622" s="391"/>
      <c r="FS622" s="664"/>
      <c r="FT622" s="391"/>
      <c r="FU622" s="391"/>
      <c r="FV622" s="664"/>
      <c r="FW622" s="664"/>
      <c r="GA622" s="663"/>
      <c r="GB622" s="663"/>
      <c r="GC622" s="663"/>
      <c r="GD622" s="663"/>
      <c r="GE622" s="663"/>
      <c r="GF622" s="663"/>
      <c r="GG622" s="663"/>
      <c r="GH622" s="663"/>
      <c r="GI622" s="665"/>
      <c r="GJ622" s="664"/>
      <c r="GK622" s="664"/>
    </row>
    <row r="623" spans="1:288" s="78" customFormat="1" ht="14.95" customHeight="1">
      <c r="B623" s="1845" t="str">
        <f>ID626</f>
        <v xml:space="preserve"> </v>
      </c>
      <c r="C623" s="1846">
        <f>C618+1</f>
        <v>112</v>
      </c>
      <c r="D623" s="1847"/>
      <c r="E623" s="1799" t="s">
        <v>295</v>
      </c>
      <c r="F623" s="1800"/>
      <c r="G623" s="1741"/>
      <c r="H623" s="1742"/>
      <c r="I623" s="1742"/>
      <c r="J623" s="1742"/>
      <c r="K623" s="1742"/>
      <c r="L623" s="1742"/>
      <c r="M623" s="1742"/>
      <c r="N623" s="1742"/>
      <c r="O623" s="1742"/>
      <c r="P623" s="1742"/>
      <c r="Q623" s="1742"/>
      <c r="R623" s="1742"/>
      <c r="S623" s="1791" t="s">
        <v>344</v>
      </c>
      <c r="T623" s="590"/>
      <c r="U623" s="1743"/>
      <c r="V623" s="1744"/>
      <c r="W623" s="1744"/>
      <c r="X623" s="1744"/>
      <c r="Y623" s="1744"/>
      <c r="Z623" s="1744"/>
      <c r="AA623" s="1744"/>
      <c r="AB623" s="961" t="str">
        <f>IFERROR(IF(__Retrofit_TI_NC=0,VLOOKUP(U624,Fixtures_Existing_List,2,FALSE),ROUND(N625*R625/T625,10)),"")</f>
        <v/>
      </c>
      <c r="AC623" s="935" t="str">
        <f>IFERROR(IF(__Retrofit_TI_NC=0,ROUND(T624*AB623*N624*R624/1000,0),IF(CQ623="Interior",N625*R625*R624*N624*_C406_reduction/1000,N625*R625*R624*N624/1000)),"")</f>
        <v/>
      </c>
      <c r="AD623" s="936" t="str">
        <f>IFERROR(IF(C$43=0,ROUND(T624*AB623/1000,2),N625*R625/1000),"")</f>
        <v/>
      </c>
      <c r="AE623" s="997"/>
      <c r="AF623" s="937"/>
      <c r="AG623" s="1745" t="str">
        <f>IF(__Retrofit_TI_NC=0," Control","Select Advanced Control for New System")</f>
        <v xml:space="preserve"> Control</v>
      </c>
      <c r="AH623" s="1745"/>
      <c r="AI623" s="1745"/>
      <c r="AJ623" s="1745"/>
      <c r="AK623" s="1745"/>
      <c r="AL623" s="1745"/>
      <c r="AM623" s="1746">
        <f>IFERROR(DI623,"")</f>
        <v>0</v>
      </c>
      <c r="AN623" s="1774" t="str">
        <f>IFERROR(ROUND(AM623*AC623,0),"")</f>
        <v/>
      </c>
      <c r="AO623" s="1776">
        <f>IFERROR(IF(IB623=FALSE,0,AC623-AN623),0)</f>
        <v>0</v>
      </c>
      <c r="AP623" s="1778">
        <f>AO623-AO625</f>
        <v>0</v>
      </c>
      <c r="AQ623" s="1779"/>
      <c r="AR623" s="1793">
        <f>IFERROR(IF(IB623=FALSE,0,(T625*U626)+(AF625*AG626)),0)</f>
        <v>0</v>
      </c>
      <c r="AS623" s="1793"/>
      <c r="AT623" s="1794"/>
      <c r="AU623" s="1734" t="s">
        <v>237</v>
      </c>
      <c r="AV623" s="1751">
        <f>IF(AU623="Yes",1,0)</f>
        <v>1</v>
      </c>
      <c r="AW623" s="1704" t="str">
        <f>IF(OR(DQ623=4,DQ623=5,DQ623=6,DQ623=12),CONCATENATE("$",IF(GH623=TRUE,Lookup!$K$10,Lookup!$K$2)," /lamp"),CONCATENATE(TEXT(ED623,"$0.00"),"/ kWh"))</f>
        <v>$0.00/ kWh</v>
      </c>
      <c r="AX623" s="467"/>
      <c r="AY623" s="1748">
        <f ca="1">IFERROR(IF(GM624=TRUE,(AB626*T625)/R625,0),"NA")</f>
        <v>0</v>
      </c>
      <c r="AZ623" s="1748"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696" t="str">
        <f>N624</f>
        <v/>
      </c>
      <c r="CQ623" s="1696" t="str">
        <f>IFERROR(VLOOKUP(G624,_Lookup_Heat_Type_Table_New,3,FALSE),"")</f>
        <v/>
      </c>
      <c r="CR623" s="1808" t="str">
        <f>CQ623</f>
        <v/>
      </c>
      <c r="CS623" s="1810" t="str">
        <f>IFERROR(VLOOKUP(G625,'Space Table'!$B$3:$L$163,9,FALSE),"")</f>
        <v/>
      </c>
      <c r="CU623" s="1688" t="s">
        <v>344</v>
      </c>
      <c r="CV623" s="1702">
        <f>IF(IB623=TRUE,T624,0)</f>
        <v>0</v>
      </c>
      <c r="CW623" s="1702" t="str">
        <f>IF(IB623=TRUE,U624,"")</f>
        <v/>
      </c>
      <c r="CX623" s="1702"/>
      <c r="CY623" s="1814">
        <f>IF(IB623=TRUE,AB623,0)</f>
        <v>0</v>
      </c>
      <c r="CZ623" s="1710">
        <f>IF(AND(__Retrofit_TI_NC&gt;0,CR623="interior"),0,IF(IB623=TRUE,AC623,0))</f>
        <v>0</v>
      </c>
      <c r="DA623" s="1814">
        <f>IFERROR(IF(IB623=TRUE,CZ623-CZ625,0),0)</f>
        <v>0</v>
      </c>
      <c r="DB623" s="1819">
        <f>IF(IB623=TRUE,AD623,0)</f>
        <v>0</v>
      </c>
      <c r="DC623" s="1819">
        <f>IF(IB623=TRUE,AD626,0)</f>
        <v>0</v>
      </c>
      <c r="DD623" s="1819">
        <f>IFERROR(DB623-DC623,0)</f>
        <v>0</v>
      </c>
      <c r="DF623" s="1702">
        <f>IF(IB623=TRUE,AF624,0)</f>
        <v>0</v>
      </c>
      <c r="DG623" s="1830">
        <f>IFERROR(IF(__Retrofit_TI_NC=2,IF(CQ623="Exterior",O626,FQ623),FN623),"")</f>
        <v>0</v>
      </c>
      <c r="DH623" s="1702"/>
      <c r="DI623" s="1837">
        <f>JE623</f>
        <v>0</v>
      </c>
      <c r="DJ623" s="1710">
        <f>IF(AND(__Retrofit_TI_NC&gt;0,CR623="interior"),0,IF(IB623=TRUE,AN623,0))</f>
        <v>0</v>
      </c>
      <c r="DK623" s="1712">
        <f>IFERROR(IF(IB623=TRUE,DJ625-DJ623,0),0)</f>
        <v>0</v>
      </c>
      <c r="DM623" s="1717">
        <f>IFERROR(CZ623-DJ623,0)</f>
        <v>0</v>
      </c>
      <c r="DO623" s="1708">
        <f>DM623-DN625</f>
        <v>0</v>
      </c>
      <c r="DQ623" s="1715" t="str">
        <f>IFERROR(IF(AND(OR(GC623=4,GC623=5,GC623=6),OR(GF623=4,GF623=5,GF623=6)),GC623+8,VLOOKUP(CW625,Fixtures!R$31:Y$78,8,FALSE)),"")</f>
        <v/>
      </c>
      <c r="DR623" s="1829" t="str">
        <f>DQ623</f>
        <v/>
      </c>
      <c r="DS623" s="1702" t="str">
        <f>IFERROR(VLOOKUP(DG625,Lookup!BB$3:BC$20,2,FALSE),"")</f>
        <v/>
      </c>
      <c r="DT623" s="1713" t="str">
        <f>IF(OR(DS623=7,DS623=8,DS623=9),"ALC","")</f>
        <v/>
      </c>
      <c r="DU623" s="1715">
        <f>IFERROR(IF(OR(DQ623=4,DQ623=5,DQ623=6,DQ623=12,DQ623=13,DQ623=14),VLOOKUP(CW625,Fixtures!DN$27:EG$77,19,FALSE),1)*CV625,0)</f>
        <v>0</v>
      </c>
      <c r="DV623" s="1716">
        <f>IF(OR(DS623=7,DS623=8,DS623=9),IF(DG623=DG625,0,DF625),0)</f>
        <v>0</v>
      </c>
      <c r="DX623" s="1715" t="str">
        <f>IFERROR(IF(EZ623&lt;EZ625,"Yes","No"),"")</f>
        <v/>
      </c>
      <c r="DY623" s="1829" t="str">
        <f>DX623</f>
        <v/>
      </c>
      <c r="DZ623" s="1715">
        <f>IF(DX623="Yes",DF625,0)</f>
        <v>0</v>
      </c>
      <c r="EA623" s="1715">
        <f>DZ623-DV623</f>
        <v>0</v>
      </c>
      <c r="EC623" s="1834">
        <f>IFERROR(VLOOKUP(DQ623,Lookup!AU$3:AV$16,2,FALSE),0)</f>
        <v>0</v>
      </c>
      <c r="ED623" s="1834">
        <f>IF(IB623=FALSE,0,IF(DX623="Yes",EC623+Lookup!K$6,EC623))</f>
        <v>0</v>
      </c>
      <c r="EF623" s="1707">
        <f>IF(IB623=TRUE,DM623,0)</f>
        <v>0</v>
      </c>
      <c r="EG623" s="1712">
        <f>IF(IB623=TRUE,CZ625,0)</f>
        <v>0</v>
      </c>
      <c r="EH623" s="1814">
        <f>IFERROR(EF623-EG623,0)</f>
        <v>0</v>
      </c>
      <c r="EI623" s="1712">
        <f>IF(IB623=TRUE,DJ625,0)</f>
        <v>0</v>
      </c>
      <c r="EJ623" s="1712">
        <f>IFERROR(EF623-EG623+EI623,0)</f>
        <v>0</v>
      </c>
      <c r="EK623" s="1812">
        <f>IF(IB623=TRUE,CV625*CX625,0)</f>
        <v>0</v>
      </c>
      <c r="EL623" s="1812">
        <f>IF(IB623=TRUE,DF625*DH625,0)</f>
        <v>0</v>
      </c>
      <c r="EM623" s="1807">
        <f>AR623</f>
        <v>0</v>
      </c>
      <c r="EN623" s="1839" t="str">
        <f>IFERROR(IF(IB623=TRUE,VLOOKUP(DQ623,Lookup!AU$3:AW$16,3,FALSE)*DU623,""),0)</f>
        <v/>
      </c>
      <c r="EO623" s="1839">
        <f>IF(IB623=TRUE,DZ623*Lookup!AW$12,0)</f>
        <v>0</v>
      </c>
      <c r="EP623" s="1817">
        <f>IFERROR(IF(IB623=TRUE,EN623/EP$40,0),0)</f>
        <v>0</v>
      </c>
      <c r="EQ623" s="1817">
        <f>IF(IB623=TRUE,EO623/EQ$40,0)</f>
        <v>0</v>
      </c>
      <c r="ER623" s="1807">
        <f>IF(IB623=TRUE,ET$40*EP623,0)</f>
        <v>0</v>
      </c>
      <c r="ES623" s="1807">
        <f>IF(IB623=TRUE,ET$40*EQ623,0)</f>
        <v>0</v>
      </c>
      <c r="ET623" s="1807">
        <f>ER623+ES623</f>
        <v>0</v>
      </c>
      <c r="EV623" s="1715">
        <f>IF(G623="",0,1)</f>
        <v>0</v>
      </c>
      <c r="EX623" s="1804" t="str">
        <f>IFERROR(VLOOKUP(CS625,'Space Table'!$B$3:$L$163,8,FALSE),"")</f>
        <v/>
      </c>
      <c r="EY623" s="1804" t="str">
        <f>IFERROR(IF(FB623="Yes",VLOOKUP(DG623,Lookup_Control_Type_Table2,4,FALSE),VLOOKUP(DG623,Lookup_Control_Type_Table2,3,FALSE)),"")</f>
        <v/>
      </c>
      <c r="EZ623" s="1804" t="e">
        <f>VLOOKUP(DG623,Lookup!BB$3:BC$20,2,FALSE)</f>
        <v>#N/A</v>
      </c>
      <c r="FA623" s="1804" t="e">
        <f>VLOOKUP(EX623,Lookup_Control_Type_Table,2,FALSE)</f>
        <v>#N/A</v>
      </c>
      <c r="FB623" s="1804" t="e">
        <f>VLOOKUP(CS625,'Space Table'!$B$3:$L$163,7,FALSE)</f>
        <v>#N/A</v>
      </c>
      <c r="FC623" s="1826" t="b">
        <f>ISNUMBER(SEARCH("TLED",U625))</f>
        <v>0</v>
      </c>
      <c r="FE623" s="1698" t="str">
        <f>CONCATENATE(CQ623," - ",DG623)</f>
        <v xml:space="preserve"> - 0</v>
      </c>
      <c r="FG623" s="1702" t="str">
        <f>VLOOKUP(CW625,Fixtures!DN$27:EZ$77,38,FALSE)</f>
        <v/>
      </c>
      <c r="FH623" s="1702">
        <f>IFERROR(FG623*EH623,0)</f>
        <v>0</v>
      </c>
      <c r="FI623" s="133"/>
      <c r="FL623" s="1822" t="str">
        <f>IF(CQ623="Exterior","Not Daylighted",G626)</f>
        <v>Not Daylighted</v>
      </c>
      <c r="FM623" s="1824">
        <f>VLOOKUP(FL623,_New_Daylight_Table_Codes,2,FALSE)</f>
        <v>0</v>
      </c>
      <c r="FN623" s="1698">
        <f>IF(__Retrofit_TI_NC&gt;0,VLOOKUP(G625,'Space Table'!$B$3:$L$163,11,FALSE),AG624)</f>
        <v>0</v>
      </c>
      <c r="FO623" s="1698" t="e">
        <f>IF(__Retrofit_TI_NC=2,VLOOKUP(FQ623,_Control_Table,2,FALSE),VLOOKUP(FN623,_Control_Table,2,FALSE))</f>
        <v>#N/A</v>
      </c>
      <c r="FP623" s="1678" t="e">
        <f>VLOOKUP(CONCATENATE(FL623," ",FN623),Lookup!AY$102:AZ633,2,FALSE)</f>
        <v>#N/A</v>
      </c>
      <c r="FQ623" s="1678">
        <f>IF(__Retrofit_TI_NC=0,FN623,IF(AND(FT623&gt;0,FN623="Occupancy Sensor"),"Daylight + Occupancy",IF(AND(FT623&gt;0,VLOOKUP(FN623,_Control_Table,2,FALSE)&lt;4),"Interior Daylight Dimming",FN623)))</f>
        <v>0</v>
      </c>
      <c r="FS623" s="1686">
        <f>IF(CR623="Interior",VLOOKUP(CS623,Control_Savings_Interior,5,FALSE),0)</f>
        <v>0</v>
      </c>
      <c r="FT623" s="1687">
        <f>IF(CQ623="Exterior",0,IF(FM623=2,0.5,IF(OR(FM623=1,FM623=3),1,0)))</f>
        <v>0</v>
      </c>
      <c r="FU623" s="1685">
        <f>IF(R622&gt;FS$44,(FS623*(FS$44/R622)),FS623)*FT623</f>
        <v>0</v>
      </c>
      <c r="FV623" s="1686">
        <f>DI623</f>
        <v>0</v>
      </c>
      <c r="FW623" s="1686">
        <f>ROUND(FV623+((1-FV623)*FU623),2)</f>
        <v>0</v>
      </c>
      <c r="FX623" s="1686">
        <f>IF(__Retrofit_TI_NC=2,FW623,FV623)</f>
        <v>0</v>
      </c>
      <c r="FY623" s="1697"/>
      <c r="GA623" s="1696" t="str">
        <f>IFERROR(VLOOKUP(U624,_Exist_Fixture_Table,3,FALSE),"")</f>
        <v/>
      </c>
      <c r="GB623" s="1696" t="str">
        <f>VLOOKUP(CW623,_Exist_Fixture_Table,4,FALSE)</f>
        <v/>
      </c>
      <c r="GC623" s="1696">
        <f>IFERROR(VLOOKUP(GB623,Lookup!AT$6:AU$8,2,FALSE),0)</f>
        <v>0</v>
      </c>
      <c r="GD623" s="1696" t="b">
        <f>IFERROR(IF(OR(GF623=4,GF623=5,GF623=6),TRUE,FALSE),"")</f>
        <v>0</v>
      </c>
      <c r="GE623" s="1696" t="str">
        <f>IFERROR(VLOOKUP(GF623,GC$6:GD$10,2,FALSE),"")</f>
        <v/>
      </c>
      <c r="GF623" s="1696" t="str">
        <f>VLOOKUP(CW625,Fixtures!R$31:Y$78,8,FALSE)</f>
        <v/>
      </c>
      <c r="GG623" s="1696">
        <f>IF(AND(GA623=TRUE,GD623=TRUE,OR(DQ623=12,DQ623=13,DQ623=14)),GC623+8,0)</f>
        <v>0</v>
      </c>
      <c r="GH623" s="1696" t="b">
        <f>IF(OR(GG623=12,GG623=13,GG623=14),TRUE,FALSE)</f>
        <v>0</v>
      </c>
      <c r="GI623" s="673" t="b">
        <f>IF(ISNUMBER(SEARCH("TLED",U624)),TRUE,FALSE)</f>
        <v>0</v>
      </c>
      <c r="GJ623" s="1135" t="str">
        <f>IFERROR(VLOOKUP(U624,Fixtures!BM$93:BR$142,6,FALSE),"")</f>
        <v/>
      </c>
      <c r="GK623" s="1832" t="b">
        <f>IF(OR(GI623=FALSE,GI625=FALSE),TRUE,IF(GJ623-GJ625&lt;5,FALSE,TRUE))</f>
        <v>1</v>
      </c>
      <c r="GO623" s="674">
        <f>GP623</f>
        <v>0</v>
      </c>
      <c r="GP623" s="674">
        <f>IF(G623="",0,1)</f>
        <v>0</v>
      </c>
      <c r="GQ623" s="674">
        <f ca="1">SUM(GR623:HF623)</f>
        <v>2</v>
      </c>
      <c r="GR623" s="674">
        <f>IF(G624="",0,1)</f>
        <v>0</v>
      </c>
      <c r="GS623" s="674">
        <f>IF(N626="BAM",1,IF(G625="",0,1))</f>
        <v>0</v>
      </c>
      <c r="GT623" s="674">
        <f>IF(N626="BAM",1,IF(R624="",0,1))</f>
        <v>0</v>
      </c>
      <c r="GU623" s="674">
        <f>IF(N626="BAM",1,IF(__Retrofit_TI_NC=0,1,IF(R625="",0,1)))</f>
        <v>1</v>
      </c>
      <c r="GV623" s="674">
        <f>IF(N626="BAM",1,IF(CQ623="Exterior",1,IF(G626="",0,1)))</f>
        <v>1</v>
      </c>
      <c r="GW623" s="674">
        <f>IF(__Retrofit_TI_NC&gt;0,1,IF(T624="",0,1))</f>
        <v>0</v>
      </c>
      <c r="GX623" s="674">
        <f>IF(__Retrofit_TI_NC&gt;0,1,IF(U624="",0,1))</f>
        <v>0</v>
      </c>
      <c r="GY623" s="674">
        <f>IF(N626="BAM",1,IF(T625="",0,1))</f>
        <v>0</v>
      </c>
      <c r="GZ623" s="674">
        <f>IF(N626="BAM",1,IF(U625="",0,1))</f>
        <v>0</v>
      </c>
      <c r="HA623" s="674">
        <f ca="1">IF(N626="BAM",1,IF(__Retrofit_TI_NC&gt;0,1,IF(U626="",0,1)))</f>
        <v>0</v>
      </c>
      <c r="HB623" s="674">
        <f>IF(__Retrofit_TI_NC&lt;&gt;0,1,IF(AF624="",0,1))</f>
        <v>0</v>
      </c>
      <c r="HC623" s="674">
        <f>IF(__Retrofit_TI_NC&lt;&gt;0,1,IF(AG624="",0,1))</f>
        <v>0</v>
      </c>
      <c r="HD623" s="674">
        <f>IF(N626="BAM",1,IF(AF625="",0,1))</f>
        <v>0</v>
      </c>
      <c r="HE623" s="674">
        <f>IF(N626="BAM",1,IF(AG625="",0,1))</f>
        <v>0</v>
      </c>
      <c r="HF623" s="674">
        <f>IF(N626="BAM",1,IF(__Retrofit_TI_NC&gt;0,1,IF(AG626="",0,1)))</f>
        <v>0</v>
      </c>
      <c r="HG623" s="391"/>
      <c r="IA623" s="391"/>
      <c r="IB623" s="1693" t="b">
        <f>IF(OR(IB626=0,IB626=HY$16,IB626=HX$16,IB626=HZ$16),TRUE,FALSE)</f>
        <v>0</v>
      </c>
      <c r="IC623" s="1694" t="b">
        <f>IB623</f>
        <v>0</v>
      </c>
      <c r="ID623" s="391"/>
      <c r="IE623" s="391"/>
      <c r="IF623" s="1688" t="b">
        <f ca="1">IF(MAX(GN626:HU626)&gt;5,FALSE,TRUE)</f>
        <v>0</v>
      </c>
      <c r="IG623" s="1689">
        <f ca="1">IF(IF623=TRUE,AC623,0)</f>
        <v>0</v>
      </c>
      <c r="IH623" s="1689">
        <f ca="1">IG623-IG625</f>
        <v>0</v>
      </c>
      <c r="IK623" s="1689" t="e">
        <f>ROUND(T624*VLOOKUP(U624,Fixtures_Existing_List,2,FALSE)*N624*R624/1000,0)</f>
        <v>#N/A</v>
      </c>
      <c r="IL623" s="1690" t="e">
        <f>IK623-IK625</f>
        <v>#N/A</v>
      </c>
      <c r="IM623" s="1693" t="e">
        <f>ROUND(IF(CQ623="Interior",N625*R625*R624*N624*_C406_reduction/1000,N625*R625*R624*N624/1000),0)</f>
        <v>#N/A</v>
      </c>
      <c r="IN623" s="1693" t="e">
        <f>IM623-IM625</f>
        <v>#N/A</v>
      </c>
      <c r="IP623" s="1679"/>
      <c r="IQ623" s="1679" t="e">
        <f t="shared" ref="IQ623:IU623" si="571">IF($CR623="interior",VLOOKUP($CS623,_New_Control_Savings_Interior,IQ$30,FALSE),VLOOKUP($CS623,Control_Savings_Exterior,IQ$30,FALSE))</f>
        <v>#N/A</v>
      </c>
      <c r="IR623" s="1679" t="e">
        <f t="shared" si="571"/>
        <v>#N/A</v>
      </c>
      <c r="IS623" s="1679" t="e">
        <f t="shared" si="571"/>
        <v>#N/A</v>
      </c>
      <c r="IT623" s="1679" t="e">
        <f t="shared" si="571"/>
        <v>#N/A</v>
      </c>
      <c r="IU623" s="1679" t="e">
        <f t="shared" si="571"/>
        <v>#N/A</v>
      </c>
      <c r="IV623" s="1679" t="e">
        <f>IF($CR623="interior",IF(R624&gt;$IP$14,ROUND(($IV$18*($IP$14/R624)),2),$IV$18),VLOOKUP($CS623,Control_Savings_Exterior,IV$30,FALSE))</f>
        <v>#N/A</v>
      </c>
      <c r="IW623" s="1679" t="e">
        <f>IF($CR623="interior",ROUND(((1-IS623)*IV623)+IS623,2),VLOOKUP($CS623,Control_Savings_Exterior,IW$30,FALSE))</f>
        <v>#N/A</v>
      </c>
      <c r="IX623" s="1679" t="e">
        <f>IF($CR623="interior",ROUND(((1-IT623)*IV623)+IT623,2),VLOOKUP($CS623,Control_Savings_Exterior,IX$30,FALSE))</f>
        <v>#N/A</v>
      </c>
      <c r="IY623" s="1679" t="e">
        <f>IF($CR623="interior",IF(R624&gt;$IP$14,ROUND(($IY$18*($IP$14/R624)),2),$IY$18),VLOOKUP($CS623,Control_Savings_Exterior,IY$30,FALSE))</f>
        <v>#N/A</v>
      </c>
      <c r="IZ623" s="1679" t="e">
        <f>IF($CR623="interior",ROUND(((1-IS623)*IY623)+IS623,2),VLOOKUP($CS623,Control_Savings_Exterior,IZ$30,FALSE))</f>
        <v>#N/A</v>
      </c>
      <c r="JA623" s="1679" t="e">
        <f>IF($CR623="interior",ROUND(((1-IT623)*IY623)+IT623,2),VLOOKUP($CS623,Control_Savings_Exterior,JA$30,FALSE))</f>
        <v>#N/A</v>
      </c>
      <c r="JC623" s="1680">
        <f>IFERROR(IF(CR623="Interior",CONCATENATE(G626," ",FQ623),FQ623),"")</f>
        <v>0</v>
      </c>
      <c r="JD623" s="1670" t="str">
        <f>IFERROR(VLOOKUP(JC623,_Controls_2023,2,FALSE),"")</f>
        <v/>
      </c>
      <c r="JE623" s="1681">
        <f>IFERROR(CHOOSE(JD623-1,IQ623,IR623,IS623,IT623,IU623,IV623,IW623,IX623,IY623,IZ623,JA623),0)</f>
        <v>0</v>
      </c>
      <c r="JG623" s="1680" t="str">
        <f>FE623</f>
        <v xml:space="preserve"> - 0</v>
      </c>
      <c r="JH623" s="1670" t="e">
        <f>$FO623</f>
        <v>#N/A</v>
      </c>
      <c r="JI623" s="1060"/>
      <c r="JJ623" s="1682" t="b">
        <f>IF($JG625=CONCATENATE("Interior - ",JJ$4),TRUE,FALSE)</f>
        <v>0</v>
      </c>
      <c r="JK623" s="1061"/>
      <c r="JL623" s="1682" t="b">
        <f>IF($JG625=CONCATENATE("Interior - ",JL$4),TRUE,FALSE)</f>
        <v>0</v>
      </c>
      <c r="JM623" s="1061"/>
      <c r="JN623" s="1682" t="b">
        <f>IF($JG625=CONCATENATE("Interior - ",JN$4),TRUE,FALSE)</f>
        <v>0</v>
      </c>
      <c r="JO623" s="1061"/>
      <c r="JP623" s="1682" t="b">
        <f>IF(__Retrofit_TI_NC&gt;0,FALSE,IF($JG625=CONCATENATE("Interior - ",JP$4),TRUE,FALSE))</f>
        <v>0</v>
      </c>
      <c r="JQ623" s="1061"/>
      <c r="JR623" s="1682" t="b">
        <f>IF(__Retrofit_TI_NC&gt;0,FALSE,IF($JG625=CONCATENATE("Interior - ",JR$4),TRUE,FALSE))</f>
        <v>0</v>
      </c>
      <c r="JS623" s="1061"/>
      <c r="JT623" s="1670" t="b">
        <f>IF(__Retrofit_TI_NC&gt;0,FALSE,IF($JG625=CONCATENATE("Interior - ",JT$4),TRUE,FALSE))</f>
        <v>0</v>
      </c>
      <c r="JU623" s="1061"/>
      <c r="JV623" s="1670" t="b">
        <f>IF(JC625="AELC on Existing",TRUE,FALSE)</f>
        <v>0</v>
      </c>
      <c r="JX623" s="1670" t="b">
        <f>IF(OR(JG625="Exterior - AELC Occupancy based",JG625="Exterior - AELC Time based"),TRUE,FALSE)</f>
        <v>0</v>
      </c>
      <c r="JZ623" s="1682" t="b">
        <f>IF($JG625=CONCATENATE("Exterior - ",JZ$4),TRUE,FALSE)</f>
        <v>0</v>
      </c>
      <c r="KB623" s="1670" t="b">
        <f>IF(__Retrofit_TI_NC&gt;0,FALSE,IF($JG625=CONCATENATE("Interior - ",KB$4),TRUE,FALSE))</f>
        <v>0</v>
      </c>
    </row>
    <row r="624" spans="1:288" s="78" customFormat="1" ht="14.95" customHeight="1" thickTop="1" thickBot="1">
      <c r="B624" s="1845"/>
      <c r="C624" s="1846"/>
      <c r="D624" s="1847"/>
      <c r="E624" s="1737" t="s">
        <v>297</v>
      </c>
      <c r="F624" s="1738"/>
      <c r="G624" s="1739"/>
      <c r="H624" s="1739"/>
      <c r="I624" s="1739"/>
      <c r="J624" s="1739"/>
      <c r="K624" s="1739"/>
      <c r="L624" s="1739"/>
      <c r="M624" s="461" t="e">
        <f>IF(__Retrofit_TI_NC&lt;&gt;0,IF(VLOOKUP(G625,'Space Table'!$B$3:$L$163,3,FALSE)&gt;0,1,0),IF(__Retrofit_TI_NC=VLOOKUP(G625,'Space Table'!$B$3:$L$163,3,FALSE),1,0))</f>
        <v>#N/A</v>
      </c>
      <c r="N624" s="461" t="str">
        <f>IFERROR(VLOOKUP(G624,_Lookup_Heat_Type_Table_New,2,FALSE),"")</f>
        <v/>
      </c>
      <c r="O624" s="461">
        <f>IF(__Retrofit_TI_NC=1,CONCATENATE("TI ",G624),IF(__Retrofit_TI_NC=2,CONCATENATE("NC ",G624),G624))</f>
        <v>0</v>
      </c>
      <c r="P624" s="1740" t="s">
        <v>435</v>
      </c>
      <c r="Q624" s="1740"/>
      <c r="R624" s="595"/>
      <c r="S624" s="1792"/>
      <c r="T624" s="597"/>
      <c r="U624" s="1765"/>
      <c r="V624" s="1766"/>
      <c r="W624" s="1766"/>
      <c r="X624" s="1766"/>
      <c r="Y624" s="1766"/>
      <c r="Z624" s="1766"/>
      <c r="AA624" s="1766"/>
      <c r="AB624" s="1766"/>
      <c r="AC624" s="1766"/>
      <c r="AD624" s="1767"/>
      <c r="AE624" s="1000"/>
      <c r="AF624" s="597"/>
      <c r="AG624" s="1723"/>
      <c r="AH624" s="1724"/>
      <c r="AI624" s="1724"/>
      <c r="AJ624" s="1724"/>
      <c r="AK624" s="1725"/>
      <c r="AL624" s="996"/>
      <c r="AM624" s="1747"/>
      <c r="AN624" s="1775"/>
      <c r="AO624" s="1777"/>
      <c r="AP624" s="1780"/>
      <c r="AQ624" s="1781"/>
      <c r="AR624" s="1795"/>
      <c r="AS624" s="1795"/>
      <c r="AT624" s="1796"/>
      <c r="AU624" s="1735"/>
      <c r="AV624" s="1752"/>
      <c r="AW624" s="1705"/>
      <c r="AX624" s="467"/>
      <c r="AY624" s="1749"/>
      <c r="AZ624" s="1749"/>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696"/>
      <c r="CQ624" s="1696"/>
      <c r="CR624" s="1809"/>
      <c r="CS624" s="1811"/>
      <c r="CU624" s="1688"/>
      <c r="CV624" s="1703"/>
      <c r="CW624" s="1703"/>
      <c r="CX624" s="1703"/>
      <c r="CY624" s="1815"/>
      <c r="CZ624" s="1711"/>
      <c r="DA624" s="1818"/>
      <c r="DB624" s="1820"/>
      <c r="DC624" s="1820"/>
      <c r="DD624" s="1820"/>
      <c r="DF624" s="1703"/>
      <c r="DG624" s="1831"/>
      <c r="DH624" s="1703"/>
      <c r="DI624" s="1838"/>
      <c r="DJ624" s="1711"/>
      <c r="DK624" s="1712"/>
      <c r="DM624" s="1718"/>
      <c r="DO624" s="1708"/>
      <c r="DQ624" s="1715"/>
      <c r="DR624" s="1720"/>
      <c r="DS624" s="1816"/>
      <c r="DT624" s="1714"/>
      <c r="DU624" s="1715"/>
      <c r="DV624" s="1716"/>
      <c r="DX624" s="1715"/>
      <c r="DY624" s="1720"/>
      <c r="DZ624" s="1715"/>
      <c r="EA624" s="1715"/>
      <c r="EC624" s="1834"/>
      <c r="ED624" s="1834"/>
      <c r="EF624" s="1707"/>
      <c r="EG624" s="1712"/>
      <c r="EH624" s="1818"/>
      <c r="EI624" s="1712"/>
      <c r="EJ624" s="1712"/>
      <c r="EK624" s="1836"/>
      <c r="EL624" s="1836"/>
      <c r="EM624" s="1807"/>
      <c r="EN624" s="1839"/>
      <c r="EO624" s="1839"/>
      <c r="EP624" s="1817"/>
      <c r="EQ624" s="1817"/>
      <c r="ER624" s="1807"/>
      <c r="ES624" s="1807"/>
      <c r="ET624" s="1807"/>
      <c r="EV624" s="1715"/>
      <c r="EX624" s="1805"/>
      <c r="EY624" s="1805"/>
      <c r="EZ624" s="1805"/>
      <c r="FA624" s="1805"/>
      <c r="FB624" s="1805"/>
      <c r="FC624" s="1827"/>
      <c r="FE624" s="1698"/>
      <c r="FG624" s="1816"/>
      <c r="FH624" s="1816"/>
      <c r="FI624" s="133"/>
      <c r="FL624" s="1823"/>
      <c r="FM624" s="1825"/>
      <c r="FN624" s="1698"/>
      <c r="FO624" s="1698"/>
      <c r="FP624" s="1678"/>
      <c r="FQ624" s="1678"/>
      <c r="FS624" s="1687"/>
      <c r="FT624" s="1687"/>
      <c r="FU624" s="1685"/>
      <c r="FV624" s="1687"/>
      <c r="FW624" s="1687"/>
      <c r="FX624" s="1687"/>
      <c r="FY624" s="1697"/>
      <c r="GA624" s="1696"/>
      <c r="GB624" s="1696"/>
      <c r="GC624" s="1696"/>
      <c r="GD624" s="1696"/>
      <c r="GE624" s="1696"/>
      <c r="GF624" s="1696"/>
      <c r="GG624" s="1696"/>
      <c r="GH624" s="1696"/>
      <c r="GI624" s="673"/>
      <c r="GJ624" s="1135"/>
      <c r="GK624" s="1832"/>
      <c r="GM624" s="1693" t="b">
        <f ca="1">IF(AND(GP624=TRUE,GQ624=TRUE),TRUE,FALSE)</f>
        <v>0</v>
      </c>
      <c r="GN624" s="1684" t="b">
        <f>IFERROR(IF(__Retrofit_TI_NC=2,TRUE,IF(AU623="Yes",TRUE,FALSE)),FALSE)</f>
        <v>1</v>
      </c>
      <c r="GP624" s="1684" t="b">
        <f>IFERROR(IF(GP623=1,TRUE,FALSE),FALSE)</f>
        <v>0</v>
      </c>
      <c r="GQ624" s="1684" t="b">
        <f ca="1">IFERROR(IF(GQ623=GQ$14,TRUE,FALSE),FALSE)</f>
        <v>0</v>
      </c>
      <c r="HG624" s="1684" t="b">
        <f>IFERROR(IF(AND(__Retrofit_TI_NC&gt;0,CQ623="Interior"),FALSE,TRUE),FALSE)</f>
        <v>1</v>
      </c>
      <c r="HH624" s="1684" t="b">
        <f>IFERROR(IF(M624=1,TRUE,FALSE),FALSE)</f>
        <v>0</v>
      </c>
      <c r="HI624" s="1684" t="b">
        <f>IFERROR(IF(OR(M625=1,N626="BAM"),TRUE,FALSE),FALSE)</f>
        <v>0</v>
      </c>
      <c r="HJ624" s="1684" t="b">
        <f>IFERROR(IF(__Retrofit_TI_NC&lt;&gt;0,TRUE,IFERROR(IF(VLOOKUP(U624,Fixtures_Existing_List,2,FALSE)&lt;&gt;"",TRUE,FALSE),FALSE)),FALSE)</f>
        <v>0</v>
      </c>
      <c r="HK624" s="1684" t="b">
        <f>IFERROR(IF(VLOOKUP(U625,Fixtures_Proposed_List,2,FALSE)&lt;&gt;"",TRUE,FALSE),FALSE)</f>
        <v>0</v>
      </c>
      <c r="HL624" s="1684" t="b">
        <f>IF(AND(__Retrofit_TI_NC=2,FC623=TRUE),FALSE,TRUE)</f>
        <v>1</v>
      </c>
      <c r="HM624" s="1684" t="b">
        <f>GK623</f>
        <v>1</v>
      </c>
      <c r="HN624" s="1682" t="b">
        <f>IF(ISERROR(MATCH(FE623,_Control_Match[],0))=TRUE,FALSE,TRUE)</f>
        <v>0</v>
      </c>
      <c r="HO624" s="1693" t="b">
        <f>IFERROR(IF(EX623&lt;&gt;EY623,FALSE,TRUE),FALSE)</f>
        <v>1</v>
      </c>
      <c r="HP624" s="1693" t="b">
        <f>IFERROR(IF(EX625&lt;&gt;EY625,FALSE,TRUE),FALSE)</f>
        <v>1</v>
      </c>
      <c r="HQ624" s="1670" t="b">
        <f>IFERROR(IF(CQ623="Exterior",TRUE,IF(AND(OR(FM625=0,FM625=3),JD625&gt;6),FALSE,TRUE)),FALSE)</f>
        <v>0</v>
      </c>
      <c r="HR624" s="1684" t="b">
        <f>IFERROR(IF(AND(FO625=7,FC623=TRUE),FALSE,TRUE),FALSE)</f>
        <v>0</v>
      </c>
      <c r="HS624" s="1684" t="b">
        <f>IFERROR(IF(AND(T625&lt;&gt;AF625,OR(AG625="Interior LLLC", AG625="Interior NLC", AG625="LLLC (outside Daylight)",AG625="LLLC Controls Only"))=TRUE,FALSE,TRUE),FALSE)</f>
        <v>1</v>
      </c>
      <c r="HT624" s="1670" t="b">
        <f>IFERROR(IF(OR(AG625=Lookup!BB$17,AG625=Lookup!BB$18,AG625=Lookup!BB$19)=TRUE,IF(AF625&gt;T625,FALSE,TRUE),TRUE),FALSE)</f>
        <v>1</v>
      </c>
      <c r="HU624" s="1684" t="b">
        <f>IFERROR(IF(__Retrofit_TI_NC=2,IF(EZ625&lt;EZ623,FALSE,TRUE),TRUE),FALSE)</f>
        <v>1</v>
      </c>
      <c r="HV624" s="1684" t="b">
        <f>IF(CQ623="Interior",IL$6,TRUE)</f>
        <v>1</v>
      </c>
      <c r="HW624" s="1684" t="b">
        <f>IF(CQ623="Exterior",IL$8,TRUE)</f>
        <v>1</v>
      </c>
      <c r="HX624" s="1684" t="b">
        <f>IFERROR(IF(__Retrofit_TI_NC&lt;&gt;0,IF(AZ623&lt;AY623,FALSE,TRUE),TRUE),FALSE)</f>
        <v>1</v>
      </c>
      <c r="HY624" s="1684" t="b">
        <f>IFERROR(IF(AND(G624="Exterior",R624&gt;4200),FALSE,TRUE),FALSE)</f>
        <v>1</v>
      </c>
      <c r="HZ624" s="1684" t="b">
        <f>IFERROR(IF(AB626/AB623&lt;HZ$18,FALSE,TRUE),FALSE)</f>
        <v>0</v>
      </c>
      <c r="IB624" s="1691"/>
      <c r="IC624" s="1695"/>
      <c r="ID624" s="1694" t="str">
        <f>VLOOKUP(IB626,_Error_Table,4,FALSE)</f>
        <v>White</v>
      </c>
      <c r="IE624" s="391"/>
      <c r="IF624" s="1688"/>
      <c r="IG624" s="1689"/>
      <c r="IH624" s="1684"/>
      <c r="IK624" s="1689"/>
      <c r="IL624" s="1691"/>
      <c r="IM624" s="1691"/>
      <c r="IN624" s="1691"/>
      <c r="IP624" s="1679"/>
      <c r="IQ624" s="1679"/>
      <c r="IR624" s="1679"/>
      <c r="IS624" s="1679"/>
      <c r="IT624" s="1679"/>
      <c r="IU624" s="1679"/>
      <c r="IV624" s="1679"/>
      <c r="IW624" s="1679"/>
      <c r="IX624" s="1679"/>
      <c r="IY624" s="1679"/>
      <c r="IZ624" s="1679"/>
      <c r="JA624" s="1679"/>
      <c r="JC624" s="1680"/>
      <c r="JD624" s="1670"/>
      <c r="JE624" s="1681"/>
      <c r="JG624" s="1680"/>
      <c r="JH624" s="1670"/>
      <c r="JI624" s="1060"/>
      <c r="JJ624" s="1683"/>
      <c r="JK624" s="1061"/>
      <c r="JL624" s="1683"/>
      <c r="JM624" s="1061"/>
      <c r="JN624" s="1683"/>
      <c r="JO624" s="1061"/>
      <c r="JP624" s="1683"/>
      <c r="JQ624" s="1061"/>
      <c r="JR624" s="1683"/>
      <c r="JS624" s="1061"/>
      <c r="JT624" s="1670"/>
      <c r="JU624" s="1061"/>
      <c r="JV624" s="1670"/>
      <c r="JX624" s="1670"/>
      <c r="JZ624" s="1683"/>
      <c r="KB624" s="1670"/>
    </row>
    <row r="625" spans="1:288" s="78" customFormat="1" ht="14.95" customHeight="1" thickTop="1" thickBot="1">
      <c r="A625" s="78">
        <f>ROW()</f>
        <v>625</v>
      </c>
      <c r="B625" s="1845"/>
      <c r="C625" s="1846"/>
      <c r="D625" s="1847"/>
      <c r="E625" s="1737" t="s">
        <v>298</v>
      </c>
      <c r="F625" s="1738"/>
      <c r="G625" s="1760"/>
      <c r="H625" s="1761"/>
      <c r="I625" s="1761"/>
      <c r="J625" s="1761"/>
      <c r="K625" s="1761"/>
      <c r="L625" s="1762"/>
      <c r="M625" s="461">
        <f>IFERROR(IF(IF(__Retrofit_TI_NC&lt;&gt;0,IF(CQ623="Interior",MATCH(G625,Lookup_Interior_New,0),MATCH(G625,Lookup_Exterior_New,0)),IF(CQ623="Interior",MATCH(G625,Lookup_Interior,0),MATCH(G625,Lookup_Exterior_Areas,0)))&gt;0,1,0),0)</f>
        <v>0</v>
      </c>
      <c r="N625" s="461" t="e">
        <f>IF(__Retrofit_TI_NC=1,
VLOOKUP(G625,'Space Table'!$B$3:$L$163,4,FALSE),
IF(__Retrofit_TI_NC=2,VLOOKUP(G625,'Space Table'!$B$3:$L$163,5,FALSE),VLOOKUP(G625,'Space Table'!$B$3:$L$163,5,FALSE)))</f>
        <v>#N/A</v>
      </c>
      <c r="O625" s="461">
        <f>G625</f>
        <v>0</v>
      </c>
      <c r="P625" s="1738" t="str">
        <f>IFERROR(IF(__Retrofit_TI_NC=1,VLOOKUP(G625,'Space Table'!$B$3:$O$163,13,FALSE),IF(__Retrofit_TI_NC=2,VLOOKUP(G625,'Space Table'!$B$3:$O$163,14,FALSE),"Area (sf):")),"Area (sf):")</f>
        <v>Area (sf):</v>
      </c>
      <c r="Q625" s="1738"/>
      <c r="R625" s="596"/>
      <c r="S625" s="1763" t="s">
        <v>345</v>
      </c>
      <c r="T625" s="594"/>
      <c r="U625" s="1801"/>
      <c r="V625" s="1802"/>
      <c r="W625" s="1802"/>
      <c r="X625" s="1802"/>
      <c r="Y625" s="1802"/>
      <c r="Z625" s="1802"/>
      <c r="AA625" s="1802"/>
      <c r="AB625" s="1802"/>
      <c r="AC625" s="1802"/>
      <c r="AD625" s="1802"/>
      <c r="AE625" s="1803"/>
      <c r="AF625" s="594"/>
      <c r="AG625" s="1787"/>
      <c r="AH625" s="1787"/>
      <c r="AI625" s="1787"/>
      <c r="AJ625" s="1787"/>
      <c r="AK625" s="1787"/>
      <c r="AL625" s="1787"/>
      <c r="AM625" s="1726">
        <f>IFERROR(DI625,"")</f>
        <v>0</v>
      </c>
      <c r="AN625" s="1728" t="str">
        <f>IFERROR(ROUND(AM625*AC626,0),"")</f>
        <v/>
      </c>
      <c r="AO625" s="1730">
        <f>IFERROR(IF(IB623=FALSE,0,AC626-AN625),0)</f>
        <v>0</v>
      </c>
      <c r="AP625" s="1780"/>
      <c r="AQ625" s="1781"/>
      <c r="AR625" s="1795"/>
      <c r="AS625" s="1795"/>
      <c r="AT625" s="1796"/>
      <c r="AU625" s="1735"/>
      <c r="AV625" s="1752"/>
      <c r="AW625" s="1705"/>
      <c r="AX625" s="467"/>
      <c r="AY625" s="1749"/>
      <c r="AZ625" s="1749"/>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696"/>
      <c r="CQ625" s="1696"/>
      <c r="CR625" s="1808" t="str">
        <f>CQ623</f>
        <v/>
      </c>
      <c r="CS625" s="1810" t="str">
        <f>CS623</f>
        <v/>
      </c>
      <c r="CU625" s="1688" t="s">
        <v>345</v>
      </c>
      <c r="CV625" s="1702">
        <f>IF(IB623=TRUE,T625,0)</f>
        <v>0</v>
      </c>
      <c r="CW625" s="1702" t="str">
        <f>IF(IB623=TRUE,U625,"")</f>
        <v/>
      </c>
      <c r="CX625" s="1812">
        <f>IF(IB623=TRUE,U626,0)</f>
        <v>0</v>
      </c>
      <c r="CY625" s="1814">
        <f>IF(IB623=TRUE,AB626,0)</f>
        <v>0</v>
      </c>
      <c r="CZ625" s="1710">
        <f>IF(AND(__Retrofit_TI_NC&gt;0,CR623="interior"),0,IF(IB623=TRUE,AC626,0))</f>
        <v>0</v>
      </c>
      <c r="DA625" s="1818"/>
      <c r="DB625" s="1820"/>
      <c r="DC625" s="1820"/>
      <c r="DD625" s="1820"/>
      <c r="DF625" s="1702">
        <f>IF(IB623=TRUE,AF625,0)</f>
        <v>0</v>
      </c>
      <c r="DG625" s="1830" t="str">
        <f>IF(IB623=TRUE,AG625,"")</f>
        <v/>
      </c>
      <c r="DH625" s="1812">
        <f>AG626</f>
        <v>0</v>
      </c>
      <c r="DI625" s="1837">
        <f>JE625</f>
        <v>0</v>
      </c>
      <c r="DJ625" s="1710">
        <f>IF(AND(__Retrofit_TI_NC&gt;0,CR623="interior"),0,IF(IB623=TRUE,AN625,0))</f>
        <v>0</v>
      </c>
      <c r="DK625" s="1712"/>
      <c r="DN625" s="1717">
        <f>IFERROR(CZ625-DJ625,0)</f>
        <v>0</v>
      </c>
      <c r="DO625" s="1709"/>
      <c r="DQ625" s="1715"/>
      <c r="DR625" s="1719" t="str">
        <f>DQ623</f>
        <v/>
      </c>
      <c r="DS625" s="1816"/>
      <c r="DT625" s="1835" t="str">
        <f>IF(OR(DS623=7,DS623=8,DS623=9),"ALC","")</f>
        <v/>
      </c>
      <c r="DU625" s="1715"/>
      <c r="DV625" s="1716"/>
      <c r="DX625" s="1715"/>
      <c r="DY625" s="1829" t="str">
        <f>DX623</f>
        <v/>
      </c>
      <c r="DZ625" s="1715"/>
      <c r="EA625" s="1715"/>
      <c r="EC625" s="1834"/>
      <c r="ED625" s="1834"/>
      <c r="EF625" s="1707"/>
      <c r="EG625" s="1712"/>
      <c r="EH625" s="1818"/>
      <c r="EI625" s="1712"/>
      <c r="EJ625" s="1712"/>
      <c r="EK625" s="1836"/>
      <c r="EL625" s="1836"/>
      <c r="EM625" s="1807"/>
      <c r="EN625" s="1839"/>
      <c r="EO625" s="1839"/>
      <c r="EP625" s="1817"/>
      <c r="EQ625" s="1817"/>
      <c r="ER625" s="1807"/>
      <c r="ES625" s="1807"/>
      <c r="ET625" s="1807"/>
      <c r="EV625" s="1715"/>
      <c r="EX625" s="1805" t="str">
        <f>IFERROR(VLOOKUP(CS625,'Space Table'!$B$3:$L$163,8,FALSE),"")</f>
        <v/>
      </c>
      <c r="EY625" s="1805" t="str">
        <f>IFERROR(IF(FB625="Yes",VLOOKUP(AG625,Lookup_Control_Type_Table2,4,FALSE),VLOOKUP(AG625,Lookup_Control_Type_Table2,3,FALSE)),"")</f>
        <v/>
      </c>
      <c r="EZ625" s="1805" t="e">
        <f>VLOOKUP(AG625,Lookup!BB$3:BC$20,2,FALSE)</f>
        <v>#N/A</v>
      </c>
      <c r="FA625" s="1805" t="e">
        <f>VLOOKUP(EX623,Lookup_Control_Type_Table,2,FALSE)</f>
        <v>#N/A</v>
      </c>
      <c r="FB625" s="1805" t="e">
        <f>VLOOKUP(CS625,'Space Table'!$B$3:$L$163,7,FALSE)</f>
        <v>#N/A</v>
      </c>
      <c r="FC625" s="1827"/>
      <c r="FE625" s="1698" t="str">
        <f>CONCATENATE(CQ623," - ",AG625)</f>
        <v xml:space="preserve"> - </v>
      </c>
      <c r="FG625" s="1816"/>
      <c r="FH625" s="1816"/>
      <c r="FI625" s="133"/>
      <c r="FL625" s="1822" t="str">
        <f>IF(CQ623="Exterior","Not Daylighted",G626)</f>
        <v>Not Daylighted</v>
      </c>
      <c r="FM625" s="1824">
        <f>VLOOKUP(FL625,_New_Daylight_Table_Codes,2,FALSE)</f>
        <v>0</v>
      </c>
      <c r="FN625" s="1698">
        <f>AG625</f>
        <v>0</v>
      </c>
      <c r="FO625" s="1698" t="e">
        <f>VLOOKUP(FN625,_Control_Table,2,FALSE)</f>
        <v>#N/A</v>
      </c>
      <c r="FP625" s="1678" t="e">
        <f>VLOOKUP(CONCATENATE(FL625," ",FN625),Lookup!AY$102:AZ636,2,FALSE)</f>
        <v>#N/A</v>
      </c>
      <c r="FQ625" s="1698">
        <f>IF(__Retrofit_TI_NC=0,FN625,IF(AND(FT625&gt;0,FN625="Occupancy Sensor"),"Daylight + Occupancy",IF(AND(FT625&gt;0,FO625&lt;4),"Interior Daylight Dimming",FN625)))</f>
        <v>0</v>
      </c>
      <c r="FS625" s="1686">
        <f>IF(CQ623="Interior",VLOOKUP(CS623,Control_Savings_Interior,5,FALSE),0)</f>
        <v>0</v>
      </c>
      <c r="FT625" s="1687">
        <f>IF(CQ625="Exterior",0,IF(FM625=2,0.5,IF(OR(FM625=1,FM625=3),1,0)))</f>
        <v>0</v>
      </c>
      <c r="FU625" s="1685">
        <f>IF(R624&gt;FS$44,(FS625*(FS$44/R624)),FS625)*FT625</f>
        <v>0</v>
      </c>
      <c r="FV625" s="1686">
        <f>DI625</f>
        <v>0</v>
      </c>
      <c r="FW625" s="1686">
        <f>ROUND(FV625+((1-FV625)*FU625),2)</f>
        <v>0</v>
      </c>
      <c r="FX625" s="1686">
        <f>IF(__Retrofit_TI_NC=2,FW625,FV625)</f>
        <v>0</v>
      </c>
      <c r="FY625" s="1697">
        <f>IF(CR625="Interior",VLOOKUP(CS625,Control_Savings_Interior,4,FALSE),0)</f>
        <v>0</v>
      </c>
      <c r="GA625" s="1696"/>
      <c r="GB625" s="1696"/>
      <c r="GC625" s="1696"/>
      <c r="GD625" s="1696"/>
      <c r="GE625" s="1696"/>
      <c r="GF625" s="1696"/>
      <c r="GG625" s="1696"/>
      <c r="GH625" s="1696"/>
      <c r="GI625" s="673" t="b">
        <f>IF(ISNUMBER(SEARCH("TLED",U625)),TRUE,FALSE)</f>
        <v>0</v>
      </c>
      <c r="GJ625" s="1135" t="str">
        <f>IFERROR(VLOOKUP(U625,Fixtures!DM$93:DR$142,6,FALSE),"")</f>
        <v/>
      </c>
      <c r="GK625" s="1832"/>
      <c r="GM625" s="1692"/>
      <c r="GN625" s="1684"/>
      <c r="GP625" s="1684"/>
      <c r="GQ625" s="1684"/>
      <c r="HG625" s="1684"/>
      <c r="HH625" s="1684"/>
      <c r="HI625" s="1684"/>
      <c r="HJ625" s="1684"/>
      <c r="HK625" s="1684"/>
      <c r="HL625" s="1684"/>
      <c r="HM625" s="1684"/>
      <c r="HN625" s="1683"/>
      <c r="HO625" s="1692"/>
      <c r="HP625" s="1692"/>
      <c r="HQ625" s="1670"/>
      <c r="HR625" s="1684"/>
      <c r="HS625" s="1684"/>
      <c r="HT625" s="1670"/>
      <c r="HU625" s="1684"/>
      <c r="HV625" s="1684"/>
      <c r="HW625" s="1684"/>
      <c r="HX625" s="1684"/>
      <c r="HY625" s="1684"/>
      <c r="HZ625" s="1684"/>
      <c r="IB625" s="1692"/>
      <c r="IC625" s="1693" t="b">
        <f>IB623</f>
        <v>0</v>
      </c>
      <c r="ID625" s="1695"/>
      <c r="IE625" s="391"/>
      <c r="IF625" s="1688"/>
      <c r="IG625" s="1689">
        <f ca="1">IF(IF623=TRUE,AC626,0)</f>
        <v>0</v>
      </c>
      <c r="IH625" s="1684"/>
      <c r="IK625" s="1689" t="e">
        <f>ROUND(T625*AB626*N624*R624/1000,0)</f>
        <v>#VALUE!</v>
      </c>
      <c r="IL625" s="1691"/>
      <c r="IM625" s="1693" t="e">
        <f>ROUND(T625*AB626*N624*R624/1000,0)</f>
        <v>#VALUE!</v>
      </c>
      <c r="IN625" s="1691"/>
      <c r="IP625" s="1679"/>
      <c r="IQ625" s="1679" t="e">
        <f t="shared" ref="IQ625:IU625" si="572">IF($CR625="interior",VLOOKUP($CS625,_New_Control_Savings_Interior,IQ$30,FALSE),VLOOKUP($CS625,Control_Savings_Exterior,IQ$30,FALSE))</f>
        <v>#N/A</v>
      </c>
      <c r="IR625" s="1679" t="e">
        <f t="shared" si="572"/>
        <v>#N/A</v>
      </c>
      <c r="IS625" s="1679" t="e">
        <f t="shared" si="572"/>
        <v>#N/A</v>
      </c>
      <c r="IT625" s="1679" t="e">
        <f t="shared" si="572"/>
        <v>#N/A</v>
      </c>
      <c r="IU625" s="1679" t="e">
        <f t="shared" si="572"/>
        <v>#N/A</v>
      </c>
      <c r="IV625" s="1679" t="e">
        <f>IF($CR625="interior",IF(R624&gt;$IP$14,ROUND(($IV$18*($IP$14/R624)),2),$IV$18),VLOOKUP($CS625,Control_Savings_Exterior,IV$30,FALSE))</f>
        <v>#N/A</v>
      </c>
      <c r="IW625" s="1679" t="e">
        <f>IF($CR625="interior",ROUND(((1-IS625)*IV625)+IS625,2),VLOOKUP($CS625,Control_Savings_Exterior,IW$30,FALSE))</f>
        <v>#N/A</v>
      </c>
      <c r="IX625" s="1679" t="e">
        <f>IF($CR625="interior",ROUND(((1-IT625)*IV625)+IT625,2),VLOOKUP($CS625,Control_Savings_Exterior,IX$30,FALSE))</f>
        <v>#N/A</v>
      </c>
      <c r="IY625" s="1679" t="e">
        <f>IF($CR625="interior",IF(R624&gt;$IP$14,ROUND(($IY$18*($IP$14/R624)),2),$IY$18),VLOOKUP($CS625,Control_Savings_Exterior,IY$30,FALSE))</f>
        <v>#N/A</v>
      </c>
      <c r="IZ625" s="1679" t="e">
        <f>IF($CR625="interior",ROUND(((1-IS625)*IY625)+IS625,2),VLOOKUP($CS625,Control_Savings_Exterior,IZ$30,FALSE))</f>
        <v>#N/A</v>
      </c>
      <c r="JA625" s="1679" t="e">
        <f>IF($CR625="interior",ROUND(((1-IT625)*IY625)+IT625,2),VLOOKUP($CS625,Control_Savings_Exterior,JA$30,FALSE))</f>
        <v>#N/A</v>
      </c>
      <c r="JC625" s="1680">
        <f>IFERROR(IF(CR625="Interior",CONCATENATE(G626," ",FQ625),AG625),"")</f>
        <v>0</v>
      </c>
      <c r="JD625" s="1670" t="str">
        <f>IFERROR(VLOOKUP(JC625,_Controls_2023,2,FALSE),"")</f>
        <v/>
      </c>
      <c r="JE625" s="1681">
        <f>IFERROR(CHOOSE(JD625-1,IQ625,IR625,IS625,IT625,IU625,IV625,IW625,IX625,IY625,IZ625,JA625),0)</f>
        <v>0</v>
      </c>
      <c r="JG625" s="1680" t="str">
        <f>FE625</f>
        <v xml:space="preserve"> - </v>
      </c>
      <c r="JH625" s="1670" t="e">
        <f>$FO625</f>
        <v>#N/A</v>
      </c>
      <c r="JI625" s="1060"/>
      <c r="JJ625" s="1670">
        <f>IFERROR(IF($IB623=TRUE,IF(OR(JJ$14="No",JJ623=FALSE,JH625&lt;=JH623,AND(_kWh_Grant=0,GD623=FALSE)),0,IF(JJ$8="Per Line",1,$AF625)),0),0)</f>
        <v>0</v>
      </c>
      <c r="JK625" s="1061"/>
      <c r="JL625" s="1670">
        <f>IFERROR(IF(_kWh_Grant=0,0,IF($IB623=TRUE,IF(OR(JL$14="No",JL623=FALSE,JH625&lt;=JH623),0,IF(JL$8="Per Line",1,$T625)),0)),0)</f>
        <v>0</v>
      </c>
      <c r="JM625" s="1061"/>
      <c r="JN625" s="1670">
        <f>IFERROR(IF(_kWh_Grant=0,0,IF($IB623=TRUE,IF(OR(JN$14="No",JN623=FALSE,JH625&lt;=JH623),0,IF(JN$8="Per Line",1,$AF625)),0)),0)</f>
        <v>0</v>
      </c>
      <c r="JO625" s="1061"/>
      <c r="JP625" s="1670">
        <f>IFERROR(IF(__Retrofit_TI_NC=0,IF(_kWh_Grant=0,0,IF($IB623=TRUE,IF(OR(JP$14="No",JP623=FALSE,$JH625&lt;=$JH623),0,IF(JP$8="Per Line",1,$AF625)),0)),IF($IB623=TRUE,IF(OR(JP$14="No",JP623=FALSE,$JH625&lt;=$JH623),0,IF(JP$8="Per Line",1,$AF625)))),0)</f>
        <v>0</v>
      </c>
      <c r="JQ625" s="1061"/>
      <c r="JR625" s="1670">
        <f>IFERROR(IF(__Retrofit_TI_NC=0,IF(_kWh_Grant=0,0,IF($IB623=TRUE,IF(OR(JR$14="No",JR623=FALSE,$JH625&lt;=$JH623),0,IF(JR$8="Per Line",1,$AF625)),0)),IF($IB623=TRUE,IF(OR(JR$14="No",JR623=FALSE,$JH625&lt;=$JH623),0,IF(JR$8="Per Line",1,$AF625)))),0)</f>
        <v>0</v>
      </c>
      <c r="JS625" s="1061"/>
      <c r="JT625" s="1670">
        <f>IFERROR(IF(__Retrofit_TI_NC=0,IF(_kWh_Grant=0,0,IF($IB623=TRUE,IF(OR(JT$14="No",JT623=FALSE,$JH625&lt;=$JH623),0,IF(JT$8="Per Line",1,$AF625)),0)),IF($IB623=TRUE,IF(OR(JT$14="No",JT623=FALSE,$JH625&lt;=$JH623),0,IF(JT$8="Per Line",1,$AF625)))),0)</f>
        <v>0</v>
      </c>
      <c r="JU625" s="1061"/>
      <c r="JV625" s="1670">
        <f>IFERROR(IF(__Retrofit_TI_NC=0,IF(_kWh_Grant=0,0,IF($IB623=TRUE,IF(OR(JV$14="No",JV623=FALSE,$JH625&lt;=$JH623),0,IF(JV$8="Per Line",1,$AF625)),0)),IF($IB623=TRUE,IF(OR(JV$14="No",JV623=FALSE,$JH625&lt;=$JH623),0,IF(JV$8="Per Line",1,$AF625)))),0)</f>
        <v>0</v>
      </c>
      <c r="JX625" s="1670">
        <f>IFERROR(IF(__Retrofit_TI_NC=0,IF(_kWh_Grant=0,0,IF($IB623=TRUE,IF(OR(JX$14="No",JX623=FALSE,$JH625&lt;=$JH623),0,IF(JX$8="Per Line",1,$AF625)),0)),IF($IB623=TRUE,IF(OR(JX$14="No",JX623=FALSE,$JH625&lt;=$JH623),0,IF(JX$8="Per Line",1,$AF625)))),0)</f>
        <v>0</v>
      </c>
      <c r="JZ625" s="1670">
        <f>IFERROR(IF($IB623=TRUE,IF(OR(JZ$14="No",JZ623=FALSE,$JH625&lt;=$JH623,AND(_kWh_Grant=0,$GD623=FALSE)),0,IF(JZ$8="Per Line",1,$AF625)),0),0)</f>
        <v>0</v>
      </c>
      <c r="KB625" s="1670">
        <f>IFERROR(IF(__Retrofit_TI_NC=0,IF(_kWh_Grant=0,0,IF($IB623=TRUE,IF(OR(KB$14="No",KB623=FALSE,$JH625&lt;=$JH623),0,IF(KB$8="Per Line",1,$AF625)),0)),IF($IB623=TRUE,IF(OR(KB$14="No",KB623=FALSE,$JH625&lt;=$JH623),0,IF(KB$8="Per Line",1,$AF625)))),0)</f>
        <v>0</v>
      </c>
    </row>
    <row r="626" spans="1:288" s="78" customFormat="1" ht="14.95" customHeight="1" thickTop="1" thickBot="1">
      <c r="B626" s="1845"/>
      <c r="C626" s="1846"/>
      <c r="D626" s="1847"/>
      <c r="E626" s="1771" t="s">
        <v>436</v>
      </c>
      <c r="F626" s="1772"/>
      <c r="G626" s="1784" t="s">
        <v>437</v>
      </c>
      <c r="H626" s="1785"/>
      <c r="I626" s="1785"/>
      <c r="J626" s="1785"/>
      <c r="K626" s="1785"/>
      <c r="L626" s="1786"/>
      <c r="M626" s="591">
        <f>IFERROR(VLOOKUP(G626,_Daylight_Table[],2,FALSE),0)</f>
        <v>0</v>
      </c>
      <c r="N626" s="592" t="str">
        <f>IF(AND(__Retrofit_TI_NC&gt;0,CQ623="Interior"),"BAM","")</f>
        <v/>
      </c>
      <c r="O626" s="591" t="e">
        <f>VLOOKUP(G625,'Space Table'!$B$3:$L$163,11,FALSE)</f>
        <v>#N/A</v>
      </c>
      <c r="P626" s="1789"/>
      <c r="Q626" s="1790"/>
      <c r="R626" s="1790"/>
      <c r="S626" s="1788"/>
      <c r="T626" s="593" t="s">
        <v>342</v>
      </c>
      <c r="U626" s="1756" t="str" cm="1">
        <f t="array" aca="1" ref="U626" ca="1">IFERROR(VLOOKUP(INDIRECT("U" &amp; ROW()-1),Fixtures!DM$93:DP$142,4,FALSE),"")</f>
        <v/>
      </c>
      <c r="V626" s="1757"/>
      <c r="W626" s="1757"/>
      <c r="X626" s="1757"/>
      <c r="Y626" s="1757"/>
      <c r="Z626" s="1757"/>
      <c r="AA626" s="1758"/>
      <c r="AB626" s="939" t="str">
        <f>IFERROR(VLOOKUP(U625,Fixtures_Proposed_List,2,FALSE),"")</f>
        <v/>
      </c>
      <c r="AC626" s="933" t="str">
        <f>IFERROR(ROUND(T625*AB626*N624*R624/1000,0),"")</f>
        <v/>
      </c>
      <c r="AD626" s="934" t="str">
        <f>IFERROR(ROUND(T625*AB626/1000,2),"")</f>
        <v/>
      </c>
      <c r="AE626" s="998"/>
      <c r="AF626" s="938" t="s">
        <v>342</v>
      </c>
      <c r="AG626" s="1770"/>
      <c r="AH626" s="1770"/>
      <c r="AI626" s="1770"/>
      <c r="AJ626" s="1770"/>
      <c r="AK626" s="1770"/>
      <c r="AL626" s="1770"/>
      <c r="AM626" s="1727"/>
      <c r="AN626" s="1729"/>
      <c r="AO626" s="1731"/>
      <c r="AP626" s="1782"/>
      <c r="AQ626" s="1783"/>
      <c r="AR626" s="1797"/>
      <c r="AS626" s="1797"/>
      <c r="AT626" s="1798"/>
      <c r="AU626" s="1736"/>
      <c r="AV626" s="1753"/>
      <c r="AW626" s="1706"/>
      <c r="AX626" s="468"/>
      <c r="AY626" s="1750"/>
      <c r="AZ626" s="1750"/>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696"/>
      <c r="CQ626" s="1696"/>
      <c r="CR626" s="1809"/>
      <c r="CS626" s="1811"/>
      <c r="CU626" s="1688"/>
      <c r="CV626" s="1703"/>
      <c r="CW626" s="1703"/>
      <c r="CX626" s="1813"/>
      <c r="CY626" s="1815"/>
      <c r="CZ626" s="1711"/>
      <c r="DA626" s="1815"/>
      <c r="DB626" s="1821"/>
      <c r="DC626" s="1821"/>
      <c r="DD626" s="1821"/>
      <c r="DF626" s="1703"/>
      <c r="DG626" s="1831"/>
      <c r="DH626" s="1813"/>
      <c r="DI626" s="1838"/>
      <c r="DJ626" s="1711"/>
      <c r="DK626" s="1712"/>
      <c r="DN626" s="1718"/>
      <c r="DO626" s="1709"/>
      <c r="DQ626" s="1715"/>
      <c r="DR626" s="1720"/>
      <c r="DS626" s="1703"/>
      <c r="DT626" s="1714"/>
      <c r="DU626" s="1715"/>
      <c r="DV626" s="1716"/>
      <c r="DX626" s="1715"/>
      <c r="DY626" s="1720"/>
      <c r="DZ626" s="1715"/>
      <c r="EA626" s="1715"/>
      <c r="EC626" s="1834"/>
      <c r="ED626" s="1834"/>
      <c r="EF626" s="1707"/>
      <c r="EG626" s="1712"/>
      <c r="EH626" s="1815"/>
      <c r="EI626" s="1712"/>
      <c r="EJ626" s="1712"/>
      <c r="EK626" s="1813"/>
      <c r="EL626" s="1813"/>
      <c r="EM626" s="1807"/>
      <c r="EN626" s="1839"/>
      <c r="EO626" s="1839"/>
      <c r="EP626" s="1817"/>
      <c r="EQ626" s="1817"/>
      <c r="ER626" s="1807"/>
      <c r="ES626" s="1807"/>
      <c r="ET626" s="1807"/>
      <c r="EV626" s="1715"/>
      <c r="EX626" s="1806"/>
      <c r="EY626" s="1806"/>
      <c r="EZ626" s="1806"/>
      <c r="FA626" s="1806"/>
      <c r="FB626" s="1806"/>
      <c r="FC626" s="1828"/>
      <c r="FE626" s="1698"/>
      <c r="FG626" s="1703"/>
      <c r="FH626" s="1703"/>
      <c r="FI626" s="133"/>
      <c r="FL626" s="1823"/>
      <c r="FM626" s="1825"/>
      <c r="FN626" s="1698"/>
      <c r="FO626" s="1698"/>
      <c r="FP626" s="1678"/>
      <c r="FQ626" s="1698"/>
      <c r="FS626" s="1687"/>
      <c r="FT626" s="1687"/>
      <c r="FU626" s="1685"/>
      <c r="FV626" s="1687"/>
      <c r="FW626" s="1687"/>
      <c r="FX626" s="1687"/>
      <c r="FY626" s="1697"/>
      <c r="GA626" s="1696"/>
      <c r="GB626" s="1696"/>
      <c r="GC626" s="1696"/>
      <c r="GD626" s="1696"/>
      <c r="GE626" s="1696"/>
      <c r="GF626" s="1696"/>
      <c r="GG626" s="1696"/>
      <c r="GH626" s="1696"/>
      <c r="GI626" s="673"/>
      <c r="GJ626" s="1135"/>
      <c r="GK626" s="1832"/>
      <c r="GN626" s="674">
        <f>IF(GN624=TRUE,0,GN$16)</f>
        <v>0</v>
      </c>
      <c r="GP626" s="674">
        <f>IF(GP624=TRUE,0,GP$16)</f>
        <v>36</v>
      </c>
      <c r="GQ626" s="674">
        <f ca="1">IF(GQ624=TRUE,0,GQ$16)</f>
        <v>35</v>
      </c>
      <c r="GR626" s="391"/>
      <c r="GS626" s="391"/>
      <c r="GT626" s="391"/>
      <c r="GU626" s="391"/>
      <c r="GV626" s="391"/>
      <c r="HG626" s="674">
        <f>IF(HG624=TRUE,0,HG$16)</f>
        <v>0</v>
      </c>
      <c r="HH626" s="674">
        <f t="shared" ref="HH626:HM626" si="573">IF(HH624=TRUE,0,HH$16)</f>
        <v>19</v>
      </c>
      <c r="HI626" s="674">
        <f t="shared" si="573"/>
        <v>18</v>
      </c>
      <c r="HJ626" s="674">
        <f t="shared" si="573"/>
        <v>17</v>
      </c>
      <c r="HK626" s="674">
        <f t="shared" si="573"/>
        <v>16</v>
      </c>
      <c r="HL626" s="674">
        <f t="shared" si="573"/>
        <v>0</v>
      </c>
      <c r="HM626" s="674">
        <f t="shared" si="573"/>
        <v>0</v>
      </c>
      <c r="HN626" s="674">
        <f>IF(HN624=TRUE,0,HN$16)</f>
        <v>13</v>
      </c>
      <c r="HO626" s="674">
        <f t="shared" ref="HO626:HQ626" si="574">IF(HO624=TRUE,0,HO$16)</f>
        <v>0</v>
      </c>
      <c r="HP626" s="674">
        <f t="shared" si="574"/>
        <v>0</v>
      </c>
      <c r="HQ626" s="674">
        <f t="shared" si="574"/>
        <v>10</v>
      </c>
      <c r="HR626" s="674">
        <f>IF(HR624=TRUE,0,HR$16)</f>
        <v>9</v>
      </c>
      <c r="HS626" s="674">
        <f t="shared" ref="HS626:HW626" si="575">IF(HS624=TRUE,0,HS$16)</f>
        <v>0</v>
      </c>
      <c r="HT626" s="674">
        <f t="shared" si="575"/>
        <v>0</v>
      </c>
      <c r="HU626" s="674">
        <f t="shared" si="575"/>
        <v>0</v>
      </c>
      <c r="HV626" s="674">
        <f t="shared" si="575"/>
        <v>0</v>
      </c>
      <c r="HW626" s="674">
        <f t="shared" si="575"/>
        <v>0</v>
      </c>
      <c r="HX626" s="674">
        <f>IF(HX624=TRUE,0,HX$16)</f>
        <v>0</v>
      </c>
      <c r="HY626" s="674">
        <f>IF(HY624=TRUE,0,HY$16)</f>
        <v>0</v>
      </c>
      <c r="HZ626" s="674">
        <f>IF(HZ624=TRUE,0,HZ$16)</f>
        <v>1</v>
      </c>
      <c r="IB626" s="674">
        <f>IF(GP624=FALSE,GP626,IF(GQ624=FALSE,GQ626,MAX(GN626:HZ626)))</f>
        <v>36</v>
      </c>
      <c r="IC626" s="1692"/>
      <c r="ID626" s="205" t="str">
        <f>VLOOKUP(IB626,_Error_Table,3,FALSE)</f>
        <v xml:space="preserve"> </v>
      </c>
      <c r="IE626" s="205"/>
      <c r="IF626" s="1688"/>
      <c r="IG626" s="1689"/>
      <c r="IH626" s="1684"/>
      <c r="IK626" s="1689"/>
      <c r="IL626" s="1692"/>
      <c r="IM626" s="1692"/>
      <c r="IN626" s="1692"/>
      <c r="IP626" s="1679"/>
      <c r="IQ626" s="1679"/>
      <c r="IR626" s="1679"/>
      <c r="IS626" s="1679"/>
      <c r="IT626" s="1679"/>
      <c r="IU626" s="1679"/>
      <c r="IV626" s="1679"/>
      <c r="IW626" s="1679"/>
      <c r="IX626" s="1679"/>
      <c r="IY626" s="1679"/>
      <c r="IZ626" s="1679"/>
      <c r="JA626" s="1679"/>
      <c r="JC626" s="1680"/>
      <c r="JD626" s="1670"/>
      <c r="JE626" s="1681"/>
      <c r="JG626" s="1680"/>
      <c r="JH626" s="1670"/>
      <c r="JI626" s="1060"/>
      <c r="JJ626" s="1670"/>
      <c r="JK626" s="1061"/>
      <c r="JL626" s="1670"/>
      <c r="JM626" s="1061"/>
      <c r="JN626" s="1670"/>
      <c r="JO626" s="1061"/>
      <c r="JP626" s="1670"/>
      <c r="JQ626" s="1061"/>
      <c r="JR626" s="1670"/>
      <c r="JS626" s="1061"/>
      <c r="JT626" s="1670"/>
      <c r="JU626" s="1061"/>
      <c r="JV626" s="1670"/>
      <c r="JX626" s="1670"/>
      <c r="JZ626" s="1670"/>
      <c r="KB626" s="1670"/>
    </row>
    <row r="627" spans="1:288" s="78" customFormat="1" ht="5.0999999999999996" customHeight="1">
      <c r="B627" s="676"/>
      <c r="C627" s="392"/>
      <c r="D627" s="392"/>
      <c r="E627" s="1733"/>
      <c r="F627" s="1733"/>
      <c r="G627" s="1733"/>
      <c r="H627" s="1733"/>
      <c r="I627" s="1733"/>
      <c r="J627" s="1733"/>
      <c r="K627" s="1733"/>
      <c r="L627" s="1733"/>
      <c r="M627" s="1733"/>
      <c r="N627" s="1733"/>
      <c r="O627" s="1733"/>
      <c r="P627" s="1733"/>
      <c r="Q627" s="1733"/>
      <c r="R627" s="1733"/>
      <c r="S627" s="1733"/>
      <c r="T627" s="1733"/>
      <c r="U627" s="1733"/>
      <c r="V627" s="1733"/>
      <c r="W627" s="1733"/>
      <c r="X627" s="1733"/>
      <c r="Y627" s="1733"/>
      <c r="Z627" s="1733"/>
      <c r="AA627" s="1733"/>
      <c r="AB627" s="1733"/>
      <c r="AC627" s="1733"/>
      <c r="AD627" s="1733"/>
      <c r="AE627" s="1733"/>
      <c r="AF627" s="1733"/>
      <c r="AG627" s="1733"/>
      <c r="AH627" s="1733"/>
      <c r="AI627" s="1733"/>
      <c r="AJ627" s="1733"/>
      <c r="AK627" s="1733"/>
      <c r="AL627" s="1733"/>
      <c r="AM627" s="1733"/>
      <c r="AN627" s="1733"/>
      <c r="AO627" s="1733"/>
      <c r="AP627" s="1733"/>
      <c r="AQ627" s="1733"/>
      <c r="AR627" s="1733"/>
      <c r="AS627" s="1733"/>
      <c r="AT627" s="1733"/>
      <c r="AU627" s="1733"/>
      <c r="AV627" s="1733"/>
      <c r="AW627" s="1733"/>
      <c r="AX627" s="469"/>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663"/>
      <c r="CQ627" s="663"/>
      <c r="CR627" s="438"/>
      <c r="CS627" s="663"/>
      <c r="CV627" s="391"/>
      <c r="CW627" s="391"/>
      <c r="CX627" s="207"/>
      <c r="CY627" s="208"/>
      <c r="CZ627" s="208"/>
      <c r="DA627" s="208"/>
      <c r="DB627" s="209"/>
      <c r="DC627" s="209"/>
      <c r="DD627" s="209"/>
      <c r="DF627" s="664"/>
      <c r="DG627" s="665"/>
      <c r="DH627" s="666"/>
      <c r="DI627" s="667"/>
      <c r="DJ627" s="668"/>
      <c r="DK627" s="668"/>
      <c r="DN627" s="208"/>
      <c r="DO627" s="664"/>
      <c r="DQ627" s="664"/>
      <c r="DR627" s="669"/>
      <c r="DS627" s="391"/>
      <c r="DT627" s="664"/>
      <c r="DU627" s="664"/>
      <c r="DV627" s="664"/>
      <c r="DX627" s="664"/>
      <c r="DY627" s="664"/>
      <c r="DZ627" s="664"/>
      <c r="EA627" s="664"/>
      <c r="EC627" s="670"/>
      <c r="ED627" s="670"/>
      <c r="EF627" s="668"/>
      <c r="EG627" s="668"/>
      <c r="EH627" s="208"/>
      <c r="EI627" s="668"/>
      <c r="EJ627" s="668"/>
      <c r="EK627" s="207"/>
      <c r="EL627" s="207"/>
      <c r="EM627" s="666"/>
      <c r="EN627" s="671"/>
      <c r="EO627" s="671"/>
      <c r="EP627" s="672"/>
      <c r="EQ627" s="672"/>
      <c r="ER627" s="666"/>
      <c r="ES627" s="666"/>
      <c r="ET627" s="666"/>
      <c r="EV627" s="664"/>
      <c r="EX627" s="391"/>
      <c r="EY627" s="391"/>
      <c r="EZ627" s="391"/>
      <c r="FA627" s="391"/>
      <c r="FB627" s="391"/>
      <c r="FC627" s="391"/>
      <c r="FE627" s="569"/>
      <c r="FG627" s="391"/>
      <c r="FH627" s="391"/>
      <c r="FI627" s="391"/>
      <c r="FS627" s="664"/>
      <c r="FT627" s="391"/>
      <c r="FU627" s="391"/>
      <c r="FV627" s="664"/>
      <c r="FW627" s="664"/>
      <c r="GA627" s="663"/>
      <c r="GB627" s="663"/>
      <c r="GC627" s="663"/>
      <c r="GD627" s="663"/>
      <c r="GE627" s="663"/>
      <c r="GF627" s="663"/>
      <c r="GG627" s="663"/>
      <c r="GH627" s="663"/>
      <c r="GI627" s="665"/>
      <c r="GJ627" s="664"/>
      <c r="GK627" s="664"/>
    </row>
    <row r="628" spans="1:288" s="78" customFormat="1" ht="14.95" customHeight="1">
      <c r="B628" s="1845" t="str">
        <f>ID631</f>
        <v xml:space="preserve"> </v>
      </c>
      <c r="C628" s="1846">
        <f>C623+1</f>
        <v>113</v>
      </c>
      <c r="D628" s="1847"/>
      <c r="E628" s="1799" t="s">
        <v>295</v>
      </c>
      <c r="F628" s="1800"/>
      <c r="G628" s="1741"/>
      <c r="H628" s="1742"/>
      <c r="I628" s="1742"/>
      <c r="J628" s="1742"/>
      <c r="K628" s="1742"/>
      <c r="L628" s="1742"/>
      <c r="M628" s="1742"/>
      <c r="N628" s="1742"/>
      <c r="O628" s="1742"/>
      <c r="P628" s="1742"/>
      <c r="Q628" s="1742"/>
      <c r="R628" s="1742"/>
      <c r="S628" s="1791" t="s">
        <v>344</v>
      </c>
      <c r="T628" s="590"/>
      <c r="U628" s="1743"/>
      <c r="V628" s="1744"/>
      <c r="W628" s="1744"/>
      <c r="X628" s="1744"/>
      <c r="Y628" s="1744"/>
      <c r="Z628" s="1744"/>
      <c r="AA628" s="1744"/>
      <c r="AB628" s="961" t="str">
        <f>IFERROR(IF(__Retrofit_TI_NC=0,VLOOKUP(U629,Fixtures_Existing_List,2,FALSE),ROUND(N630*R630/T630,10)),"")</f>
        <v/>
      </c>
      <c r="AC628" s="935" t="str">
        <f>IFERROR(IF(__Retrofit_TI_NC=0,ROUND(T629*AB628*N629*R629/1000,0),IF(CQ628="Interior",N630*R630*R629*N629*_C406_reduction/1000,N630*R630*R629*N629/1000)),"")</f>
        <v/>
      </c>
      <c r="AD628" s="936" t="str">
        <f>IFERROR(IF(C$43=0,ROUND(T629*AB628/1000,2),N630*R630/1000),"")</f>
        <v/>
      </c>
      <c r="AE628" s="997"/>
      <c r="AF628" s="937"/>
      <c r="AG628" s="1745" t="str">
        <f>IF(__Retrofit_TI_NC=0," Control","Select Advanced Control for New System")</f>
        <v xml:space="preserve"> Control</v>
      </c>
      <c r="AH628" s="1745"/>
      <c r="AI628" s="1745"/>
      <c r="AJ628" s="1745"/>
      <c r="AK628" s="1745"/>
      <c r="AL628" s="1745"/>
      <c r="AM628" s="1746">
        <f>IFERROR(DI628,"")</f>
        <v>0</v>
      </c>
      <c r="AN628" s="1774" t="str">
        <f>IFERROR(ROUND(AM628*AC628,0),"")</f>
        <v/>
      </c>
      <c r="AO628" s="1776">
        <f>IFERROR(IF(IB628=FALSE,0,AC628-AN628),0)</f>
        <v>0</v>
      </c>
      <c r="AP628" s="1778">
        <f>AO628-AO630</f>
        <v>0</v>
      </c>
      <c r="AQ628" s="1779"/>
      <c r="AR628" s="1793">
        <f>IFERROR(IF(IB628=FALSE,0,(T630*U631)+(AF630*AG631)),0)</f>
        <v>0</v>
      </c>
      <c r="AS628" s="1793"/>
      <c r="AT628" s="1794"/>
      <c r="AU628" s="1734" t="s">
        <v>237</v>
      </c>
      <c r="AV628" s="1751">
        <f>IF(AU628="Yes",1,0)</f>
        <v>1</v>
      </c>
      <c r="AW628" s="1704" t="str">
        <f>IF(OR(DQ628=4,DQ628=5,DQ628=6,DQ628=12),CONCATENATE("$",IF(GH628=TRUE,Lookup!$K$10,Lookup!$K$2)," /lamp"),CONCATENATE(TEXT(ED628,"$0.00"),"/ kWh"))</f>
        <v>$0.00/ kWh</v>
      </c>
      <c r="AX628" s="467"/>
      <c r="AY628" s="1748">
        <f ca="1">IFERROR(IF(GM629=TRUE,(AB631*T630)/R630,0),"NA")</f>
        <v>0</v>
      </c>
      <c r="AZ628" s="1748"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696" t="str">
        <f>N629</f>
        <v/>
      </c>
      <c r="CQ628" s="1696" t="str">
        <f>IFERROR(VLOOKUP(G629,_Lookup_Heat_Type_Table_New,3,FALSE),"")</f>
        <v/>
      </c>
      <c r="CR628" s="1808" t="str">
        <f>CQ628</f>
        <v/>
      </c>
      <c r="CS628" s="1810" t="str">
        <f>IFERROR(VLOOKUP(G630,'Space Table'!$B$3:$L$163,9,FALSE),"")</f>
        <v/>
      </c>
      <c r="CU628" s="1688" t="s">
        <v>344</v>
      </c>
      <c r="CV628" s="1702">
        <f>IF(IB628=TRUE,T629,0)</f>
        <v>0</v>
      </c>
      <c r="CW628" s="1702" t="str">
        <f>IF(IB628=TRUE,U629,"")</f>
        <v/>
      </c>
      <c r="CX628" s="1702"/>
      <c r="CY628" s="1814">
        <f>IF(IB628=TRUE,AB628,0)</f>
        <v>0</v>
      </c>
      <c r="CZ628" s="1710">
        <f>IF(AND(__Retrofit_TI_NC&gt;0,CR628="interior"),0,IF(IB628=TRUE,AC628,0))</f>
        <v>0</v>
      </c>
      <c r="DA628" s="1814">
        <f>IFERROR(IF(IB628=TRUE,CZ628-CZ630,0),0)</f>
        <v>0</v>
      </c>
      <c r="DB628" s="1819">
        <f>IF(IB628=TRUE,AD628,0)</f>
        <v>0</v>
      </c>
      <c r="DC628" s="1819">
        <f>IF(IB628=TRUE,AD631,0)</f>
        <v>0</v>
      </c>
      <c r="DD628" s="1819">
        <f>IFERROR(DB628-DC628,0)</f>
        <v>0</v>
      </c>
      <c r="DF628" s="1702">
        <f>IF(IB628=TRUE,AF629,0)</f>
        <v>0</v>
      </c>
      <c r="DG628" s="1830">
        <f>IFERROR(IF(__Retrofit_TI_NC=2,IF(CQ628="Exterior",O631,FQ628),FN628),"")</f>
        <v>0</v>
      </c>
      <c r="DH628" s="1702"/>
      <c r="DI628" s="1837">
        <f>JE628</f>
        <v>0</v>
      </c>
      <c r="DJ628" s="1710">
        <f>IF(AND(__Retrofit_TI_NC&gt;0,CR628="interior"),0,IF(IB628=TRUE,AN628,0))</f>
        <v>0</v>
      </c>
      <c r="DK628" s="1712">
        <f>IFERROR(IF(IB628=TRUE,DJ630-DJ628,0),0)</f>
        <v>0</v>
      </c>
      <c r="DM628" s="1717">
        <f>IFERROR(CZ628-DJ628,0)</f>
        <v>0</v>
      </c>
      <c r="DO628" s="1708">
        <f>DM628-DN630</f>
        <v>0</v>
      </c>
      <c r="DQ628" s="1715" t="str">
        <f>IFERROR(IF(AND(OR(GC628=4,GC628=5,GC628=6),OR(GF628=4,GF628=5,GF628=6)),GC628+8,VLOOKUP(CW630,Fixtures!R$31:Y$78,8,FALSE)),"")</f>
        <v/>
      </c>
      <c r="DR628" s="1829" t="str">
        <f>DQ628</f>
        <v/>
      </c>
      <c r="DS628" s="1702" t="str">
        <f>IFERROR(VLOOKUP(DG630,Lookup!BB$3:BC$20,2,FALSE),"")</f>
        <v/>
      </c>
      <c r="DT628" s="1713" t="str">
        <f>IF(OR(DS628=7,DS628=8,DS628=9),"ALC","")</f>
        <v/>
      </c>
      <c r="DU628" s="1715">
        <f>IFERROR(IF(OR(DQ628=4,DQ628=5,DQ628=6,DQ628=12,DQ628=13,DQ628=14),VLOOKUP(CW630,Fixtures!DN$27:EG$77,19,FALSE),1)*CV630,0)</f>
        <v>0</v>
      </c>
      <c r="DV628" s="1716">
        <f>IF(OR(DS628=7,DS628=8,DS628=9),IF(DG628=DG630,0,DF630),0)</f>
        <v>0</v>
      </c>
      <c r="DX628" s="1715" t="str">
        <f>IFERROR(IF(EZ628&lt;EZ630,"Yes","No"),"")</f>
        <v/>
      </c>
      <c r="DY628" s="1829" t="str">
        <f>DX628</f>
        <v/>
      </c>
      <c r="DZ628" s="1715">
        <f>IF(DX628="Yes",DF630,0)</f>
        <v>0</v>
      </c>
      <c r="EA628" s="1715">
        <f>DZ628-DV628</f>
        <v>0</v>
      </c>
      <c r="EC628" s="1834">
        <f>IFERROR(VLOOKUP(DQ628,Lookup!AU$3:AV$16,2,FALSE),0)</f>
        <v>0</v>
      </c>
      <c r="ED628" s="1834">
        <f>IF(IB628=FALSE,0,IF(DX628="Yes",EC628+Lookup!K$6,EC628))</f>
        <v>0</v>
      </c>
      <c r="EF628" s="1707">
        <f>IF(IB628=TRUE,DM628,0)</f>
        <v>0</v>
      </c>
      <c r="EG628" s="1712">
        <f>IF(IB628=TRUE,CZ630,0)</f>
        <v>0</v>
      </c>
      <c r="EH628" s="1814">
        <f>IFERROR(EF628-EG628,0)</f>
        <v>0</v>
      </c>
      <c r="EI628" s="1712">
        <f>IF(IB628=TRUE,DJ630,0)</f>
        <v>0</v>
      </c>
      <c r="EJ628" s="1712">
        <f>IFERROR(EF628-EG628+EI628,0)</f>
        <v>0</v>
      </c>
      <c r="EK628" s="1812">
        <f>IF(IB628=TRUE,CV630*CX630,0)</f>
        <v>0</v>
      </c>
      <c r="EL628" s="1812">
        <f>IF(IB628=TRUE,DF630*DH630,0)</f>
        <v>0</v>
      </c>
      <c r="EM628" s="1807">
        <f>AR628</f>
        <v>0</v>
      </c>
      <c r="EN628" s="1839" t="str">
        <f>IFERROR(IF(IB628=TRUE,VLOOKUP(DQ628,Lookup!AU$3:AW$16,3,FALSE)*DU628,""),0)</f>
        <v/>
      </c>
      <c r="EO628" s="1839">
        <f>IF(IB628=TRUE,DZ628*Lookup!AW$12,0)</f>
        <v>0</v>
      </c>
      <c r="EP628" s="1817">
        <f>IFERROR(IF(IB628=TRUE,EN628/EP$40,0),0)</f>
        <v>0</v>
      </c>
      <c r="EQ628" s="1817">
        <f>IF(IB628=TRUE,EO628/EQ$40,0)</f>
        <v>0</v>
      </c>
      <c r="ER628" s="1807">
        <f>IF(IB628=TRUE,ET$40*EP628,0)</f>
        <v>0</v>
      </c>
      <c r="ES628" s="1807">
        <f>IF(IB628=TRUE,ET$40*EQ628,0)</f>
        <v>0</v>
      </c>
      <c r="ET628" s="1807">
        <f>ER628+ES628</f>
        <v>0</v>
      </c>
      <c r="EV628" s="1715">
        <f>IF(G628="",0,1)</f>
        <v>0</v>
      </c>
      <c r="EX628" s="1804" t="str">
        <f>IFERROR(VLOOKUP(CS630,'Space Table'!$B$3:$L$163,8,FALSE),"")</f>
        <v/>
      </c>
      <c r="EY628" s="1804" t="str">
        <f>IFERROR(IF(FB628="Yes",VLOOKUP(DG628,Lookup_Control_Type_Table2,4,FALSE),VLOOKUP(DG628,Lookup_Control_Type_Table2,3,FALSE)),"")</f>
        <v/>
      </c>
      <c r="EZ628" s="1804" t="e">
        <f>VLOOKUP(DG628,Lookup!BB$3:BC$20,2,FALSE)</f>
        <v>#N/A</v>
      </c>
      <c r="FA628" s="1804" t="e">
        <f>VLOOKUP(EX628,Lookup_Control_Type_Table,2,FALSE)</f>
        <v>#N/A</v>
      </c>
      <c r="FB628" s="1804" t="e">
        <f>VLOOKUP(CS630,'Space Table'!$B$3:$L$163,7,FALSE)</f>
        <v>#N/A</v>
      </c>
      <c r="FC628" s="1826" t="b">
        <f>ISNUMBER(SEARCH("TLED",U630))</f>
        <v>0</v>
      </c>
      <c r="FE628" s="1698" t="str">
        <f>CONCATENATE(CQ628," - ",DG628)</f>
        <v xml:space="preserve"> - 0</v>
      </c>
      <c r="FG628" s="1702" t="str">
        <f>VLOOKUP(CW630,Fixtures!DN$27:EZ$77,38,FALSE)</f>
        <v/>
      </c>
      <c r="FH628" s="1702">
        <f>IFERROR(FG628*EH628,0)</f>
        <v>0</v>
      </c>
      <c r="FI628" s="133"/>
      <c r="FL628" s="1822" t="str">
        <f>IF(CQ628="Exterior","Not Daylighted",G631)</f>
        <v>Not Daylighted</v>
      </c>
      <c r="FM628" s="1824">
        <f>VLOOKUP(FL628,_New_Daylight_Table_Codes,2,FALSE)</f>
        <v>0</v>
      </c>
      <c r="FN628" s="1698">
        <f>IF(__Retrofit_TI_NC&gt;0,VLOOKUP(G630,'Space Table'!$B$3:$L$163,11,FALSE),AG629)</f>
        <v>0</v>
      </c>
      <c r="FO628" s="1698" t="e">
        <f>IF(__Retrofit_TI_NC=2,VLOOKUP(FQ628,_Control_Table,2,FALSE),VLOOKUP(FN628,_Control_Table,2,FALSE))</f>
        <v>#N/A</v>
      </c>
      <c r="FP628" s="1678" t="e">
        <f>VLOOKUP(CONCATENATE(FL628," ",FN628),Lookup!AY$102:AZ638,2,FALSE)</f>
        <v>#N/A</v>
      </c>
      <c r="FQ628" s="1678">
        <f>IF(__Retrofit_TI_NC=0,FN628,IF(AND(FT628&gt;0,FN628="Occupancy Sensor"),"Daylight + Occupancy",IF(AND(FT628&gt;0,VLOOKUP(FN628,_Control_Table,2,FALSE)&lt;4),"Interior Daylight Dimming",FN628)))</f>
        <v>0</v>
      </c>
      <c r="FS628" s="1686">
        <f>IF(CR628="Interior",VLOOKUP(CS628,Control_Savings_Interior,5,FALSE),0)</f>
        <v>0</v>
      </c>
      <c r="FT628" s="1687">
        <f>IF(CQ628="Exterior",0,IF(FM628=2,0.5,IF(OR(FM628=1,FM628=3),1,0)))</f>
        <v>0</v>
      </c>
      <c r="FU628" s="1685">
        <f>IF(R627&gt;FS$44,(FS628*(FS$44/R627)),FS628)*FT628</f>
        <v>0</v>
      </c>
      <c r="FV628" s="1686">
        <f>DI628</f>
        <v>0</v>
      </c>
      <c r="FW628" s="1686">
        <f>ROUND(FV628+((1-FV628)*FU628),2)</f>
        <v>0</v>
      </c>
      <c r="FX628" s="1686">
        <f>IF(__Retrofit_TI_NC=2,FW628,FV628)</f>
        <v>0</v>
      </c>
      <c r="FY628" s="1697"/>
      <c r="GA628" s="1696" t="str">
        <f>IFERROR(VLOOKUP(U629,_Exist_Fixture_Table,3,FALSE),"")</f>
        <v/>
      </c>
      <c r="GB628" s="1696" t="str">
        <f>VLOOKUP(CW628,_Exist_Fixture_Table,4,FALSE)</f>
        <v/>
      </c>
      <c r="GC628" s="1696">
        <f>IFERROR(VLOOKUP(GB628,Lookup!AT$6:AU$8,2,FALSE),0)</f>
        <v>0</v>
      </c>
      <c r="GD628" s="1696" t="b">
        <f>IFERROR(IF(OR(GF628=4,GF628=5,GF628=6),TRUE,FALSE),"")</f>
        <v>0</v>
      </c>
      <c r="GE628" s="1696" t="str">
        <f>IFERROR(VLOOKUP(GF628,GC$6:GD$10,2,FALSE),"")</f>
        <v/>
      </c>
      <c r="GF628" s="1696" t="str">
        <f>VLOOKUP(CW630,Fixtures!R$31:Y$78,8,FALSE)</f>
        <v/>
      </c>
      <c r="GG628" s="1696">
        <f>IF(AND(GA628=TRUE,GD628=TRUE,OR(DQ628=12,DQ628=13,DQ628=14)),GC628+8,0)</f>
        <v>0</v>
      </c>
      <c r="GH628" s="1696" t="b">
        <f>IF(OR(GG628=12,GG628=13,GG628=14),TRUE,FALSE)</f>
        <v>0</v>
      </c>
      <c r="GI628" s="673" t="b">
        <f>IF(ISNUMBER(SEARCH("TLED",U629)),TRUE,FALSE)</f>
        <v>0</v>
      </c>
      <c r="GJ628" s="1135" t="str">
        <f>IFERROR(VLOOKUP(U629,Fixtures!BM$93:BR$142,6,FALSE),"")</f>
        <v/>
      </c>
      <c r="GK628" s="1832" t="b">
        <f>IF(OR(GI628=FALSE,GI630=FALSE),TRUE,IF(GJ628-GJ630&lt;5,FALSE,TRUE))</f>
        <v>1</v>
      </c>
      <c r="GO628" s="674">
        <f>GP628</f>
        <v>0</v>
      </c>
      <c r="GP628" s="674">
        <f>IF(G628="",0,1)</f>
        <v>0</v>
      </c>
      <c r="GQ628" s="674">
        <f ca="1">SUM(GR628:HF628)</f>
        <v>2</v>
      </c>
      <c r="GR628" s="674">
        <f>IF(G629="",0,1)</f>
        <v>0</v>
      </c>
      <c r="GS628" s="674">
        <f>IF(N631="BAM",1,IF(G630="",0,1))</f>
        <v>0</v>
      </c>
      <c r="GT628" s="674">
        <f>IF(N631="BAM",1,IF(R629="",0,1))</f>
        <v>0</v>
      </c>
      <c r="GU628" s="674">
        <f>IF(N631="BAM",1,IF(__Retrofit_TI_NC=0,1,IF(R630="",0,1)))</f>
        <v>1</v>
      </c>
      <c r="GV628" s="674">
        <f>IF(N631="BAM",1,IF(CQ628="Exterior",1,IF(G631="",0,1)))</f>
        <v>1</v>
      </c>
      <c r="GW628" s="674">
        <f>IF(__Retrofit_TI_NC&gt;0,1,IF(T629="",0,1))</f>
        <v>0</v>
      </c>
      <c r="GX628" s="674">
        <f>IF(__Retrofit_TI_NC&gt;0,1,IF(U629="",0,1))</f>
        <v>0</v>
      </c>
      <c r="GY628" s="674">
        <f>IF(N631="BAM",1,IF(T630="",0,1))</f>
        <v>0</v>
      </c>
      <c r="GZ628" s="674">
        <f>IF(N631="BAM",1,IF(U630="",0,1))</f>
        <v>0</v>
      </c>
      <c r="HA628" s="674">
        <f ca="1">IF(N631="BAM",1,IF(__Retrofit_TI_NC&gt;0,1,IF(U631="",0,1)))</f>
        <v>0</v>
      </c>
      <c r="HB628" s="674">
        <f>IF(__Retrofit_TI_NC&lt;&gt;0,1,IF(AF629="",0,1))</f>
        <v>0</v>
      </c>
      <c r="HC628" s="674">
        <f>IF(__Retrofit_TI_NC&lt;&gt;0,1,IF(AG629="",0,1))</f>
        <v>0</v>
      </c>
      <c r="HD628" s="674">
        <f>IF(N631="BAM",1,IF(AF630="",0,1))</f>
        <v>0</v>
      </c>
      <c r="HE628" s="674">
        <f>IF(N631="BAM",1,IF(AG630="",0,1))</f>
        <v>0</v>
      </c>
      <c r="HF628" s="674">
        <f>IF(N631="BAM",1,IF(__Retrofit_TI_NC&gt;0,1,IF(AG631="",0,1)))</f>
        <v>0</v>
      </c>
      <c r="HG628" s="391"/>
      <c r="IA628" s="391"/>
      <c r="IB628" s="1693" t="b">
        <f>IF(OR(IB631=0,IB631=HY$16,IB631=HX$16,IB631=HZ$16),TRUE,FALSE)</f>
        <v>0</v>
      </c>
      <c r="IC628" s="1694" t="b">
        <f>IB628</f>
        <v>0</v>
      </c>
      <c r="ID628" s="391"/>
      <c r="IE628" s="391"/>
      <c r="IF628" s="1688" t="b">
        <f ca="1">IF(MAX(GN631:HU631)&gt;5,FALSE,TRUE)</f>
        <v>0</v>
      </c>
      <c r="IG628" s="1689">
        <f ca="1">IF(IF628=TRUE,AC628,0)</f>
        <v>0</v>
      </c>
      <c r="IH628" s="1689">
        <f ca="1">IG628-IG630</f>
        <v>0</v>
      </c>
      <c r="IK628" s="1689" t="e">
        <f>ROUND(T629*VLOOKUP(U629,Fixtures_Existing_List,2,FALSE)*N629*R629/1000,0)</f>
        <v>#N/A</v>
      </c>
      <c r="IL628" s="1690" t="e">
        <f>IK628-IK630</f>
        <v>#N/A</v>
      </c>
      <c r="IM628" s="1693" t="e">
        <f>ROUND(IF(CQ628="Interior",N630*R630*R629*N629*_C406_reduction/1000,N630*R630*R629*N629/1000),0)</f>
        <v>#N/A</v>
      </c>
      <c r="IN628" s="1693" t="e">
        <f>IM628-IM630</f>
        <v>#N/A</v>
      </c>
      <c r="IP628" s="1679"/>
      <c r="IQ628" s="1679" t="e">
        <f t="shared" ref="IQ628:IU628" si="576">IF($CR628="interior",VLOOKUP($CS628,_New_Control_Savings_Interior,IQ$30,FALSE),VLOOKUP($CS628,Control_Savings_Exterior,IQ$30,FALSE))</f>
        <v>#N/A</v>
      </c>
      <c r="IR628" s="1679" t="e">
        <f t="shared" si="576"/>
        <v>#N/A</v>
      </c>
      <c r="IS628" s="1679" t="e">
        <f t="shared" si="576"/>
        <v>#N/A</v>
      </c>
      <c r="IT628" s="1679" t="e">
        <f t="shared" si="576"/>
        <v>#N/A</v>
      </c>
      <c r="IU628" s="1679" t="e">
        <f t="shared" si="576"/>
        <v>#N/A</v>
      </c>
      <c r="IV628" s="1679" t="e">
        <f>IF($CR628="interior",IF(R629&gt;$IP$14,ROUND(($IV$18*($IP$14/R629)),2),$IV$18),VLOOKUP($CS628,Control_Savings_Exterior,IV$30,FALSE))</f>
        <v>#N/A</v>
      </c>
      <c r="IW628" s="1679" t="e">
        <f>IF($CR628="interior",ROUND(((1-IS628)*IV628)+IS628,2),VLOOKUP($CS628,Control_Savings_Exterior,IW$30,FALSE))</f>
        <v>#N/A</v>
      </c>
      <c r="IX628" s="1679" t="e">
        <f>IF($CR628="interior",ROUND(((1-IT628)*IV628)+IT628,2),VLOOKUP($CS628,Control_Savings_Exterior,IX$30,FALSE))</f>
        <v>#N/A</v>
      </c>
      <c r="IY628" s="1679" t="e">
        <f>IF($CR628="interior",IF(R629&gt;$IP$14,ROUND(($IY$18*($IP$14/R629)),2),$IY$18),VLOOKUP($CS628,Control_Savings_Exterior,IY$30,FALSE))</f>
        <v>#N/A</v>
      </c>
      <c r="IZ628" s="1679" t="e">
        <f>IF($CR628="interior",ROUND(((1-IS628)*IY628)+IS628,2),VLOOKUP($CS628,Control_Savings_Exterior,IZ$30,FALSE))</f>
        <v>#N/A</v>
      </c>
      <c r="JA628" s="1679" t="e">
        <f>IF($CR628="interior",ROUND(((1-IT628)*IY628)+IT628,2),VLOOKUP($CS628,Control_Savings_Exterior,JA$30,FALSE))</f>
        <v>#N/A</v>
      </c>
      <c r="JC628" s="1680">
        <f>IFERROR(IF(CR628="Interior",CONCATENATE(G631," ",FQ628),FQ628),"")</f>
        <v>0</v>
      </c>
      <c r="JD628" s="1670" t="str">
        <f>IFERROR(VLOOKUP(JC628,_Controls_2023,2,FALSE),"")</f>
        <v/>
      </c>
      <c r="JE628" s="1681">
        <f>IFERROR(CHOOSE(JD628-1,IQ628,IR628,IS628,IT628,IU628,IV628,IW628,IX628,IY628,IZ628,JA628),0)</f>
        <v>0</v>
      </c>
      <c r="JG628" s="1680" t="str">
        <f>FE628</f>
        <v xml:space="preserve"> - 0</v>
      </c>
      <c r="JH628" s="1670" t="e">
        <f>$FO628</f>
        <v>#N/A</v>
      </c>
      <c r="JI628" s="1060"/>
      <c r="JJ628" s="1682" t="b">
        <f>IF($JG630=CONCATENATE("Interior - ",JJ$4),TRUE,FALSE)</f>
        <v>0</v>
      </c>
      <c r="JK628" s="1061"/>
      <c r="JL628" s="1682" t="b">
        <f>IF($JG630=CONCATENATE("Interior - ",JL$4),TRUE,FALSE)</f>
        <v>0</v>
      </c>
      <c r="JM628" s="1061"/>
      <c r="JN628" s="1682" t="b">
        <f>IF($JG630=CONCATENATE("Interior - ",JN$4),TRUE,FALSE)</f>
        <v>0</v>
      </c>
      <c r="JO628" s="1061"/>
      <c r="JP628" s="1682" t="b">
        <f>IF(__Retrofit_TI_NC&gt;0,FALSE,IF($JG630=CONCATENATE("Interior - ",JP$4),TRUE,FALSE))</f>
        <v>0</v>
      </c>
      <c r="JQ628" s="1061"/>
      <c r="JR628" s="1682" t="b">
        <f>IF(__Retrofit_TI_NC&gt;0,FALSE,IF($JG630=CONCATENATE("Interior - ",JR$4),TRUE,FALSE))</f>
        <v>0</v>
      </c>
      <c r="JS628" s="1061"/>
      <c r="JT628" s="1670" t="b">
        <f>IF(__Retrofit_TI_NC&gt;0,FALSE,IF($JG630=CONCATENATE("Interior - ",JT$4),TRUE,FALSE))</f>
        <v>0</v>
      </c>
      <c r="JU628" s="1061"/>
      <c r="JV628" s="1670" t="b">
        <f>IF(JC630="AELC on Existing",TRUE,FALSE)</f>
        <v>0</v>
      </c>
      <c r="JX628" s="1670" t="b">
        <f>IF(OR(JG630="Exterior - AELC Occupancy based",JG630="Exterior - AELC Time based"),TRUE,FALSE)</f>
        <v>0</v>
      </c>
      <c r="JZ628" s="1682" t="b">
        <f>IF($JG630=CONCATENATE("Exterior - ",JZ$4),TRUE,FALSE)</f>
        <v>0</v>
      </c>
      <c r="KB628" s="1670" t="b">
        <f>IF(__Retrofit_TI_NC&gt;0,FALSE,IF($JG630=CONCATENATE("Interior - ",KB$4),TRUE,FALSE))</f>
        <v>0</v>
      </c>
    </row>
    <row r="629" spans="1:288" s="78" customFormat="1" ht="14.95" customHeight="1" thickTop="1" thickBot="1">
      <c r="B629" s="1845"/>
      <c r="C629" s="1846"/>
      <c r="D629" s="1847"/>
      <c r="E629" s="1737" t="s">
        <v>297</v>
      </c>
      <c r="F629" s="1738"/>
      <c r="G629" s="1739"/>
      <c r="H629" s="1739"/>
      <c r="I629" s="1739"/>
      <c r="J629" s="1739"/>
      <c r="K629" s="1739"/>
      <c r="L629" s="1739"/>
      <c r="M629" s="461" t="e">
        <f>IF(__Retrofit_TI_NC&lt;&gt;0,IF(VLOOKUP(G630,'Space Table'!$B$3:$L$163,3,FALSE)&gt;0,1,0),IF(__Retrofit_TI_NC=VLOOKUP(G630,'Space Table'!$B$3:$L$163,3,FALSE),1,0))</f>
        <v>#N/A</v>
      </c>
      <c r="N629" s="461" t="str">
        <f>IFERROR(VLOOKUP(G629,_Lookup_Heat_Type_Table_New,2,FALSE),"")</f>
        <v/>
      </c>
      <c r="O629" s="461">
        <f>IF(__Retrofit_TI_NC=1,CONCATENATE("TI ",G629),IF(__Retrofit_TI_NC=2,CONCATENATE("NC ",G629),G629))</f>
        <v>0</v>
      </c>
      <c r="P629" s="1740" t="s">
        <v>435</v>
      </c>
      <c r="Q629" s="1740"/>
      <c r="R629" s="595"/>
      <c r="S629" s="1792"/>
      <c r="T629" s="597"/>
      <c r="U629" s="1765"/>
      <c r="V629" s="1766"/>
      <c r="W629" s="1766"/>
      <c r="X629" s="1766"/>
      <c r="Y629" s="1766"/>
      <c r="Z629" s="1766"/>
      <c r="AA629" s="1766"/>
      <c r="AB629" s="1766"/>
      <c r="AC629" s="1766"/>
      <c r="AD629" s="1767"/>
      <c r="AE629" s="1000"/>
      <c r="AF629" s="597"/>
      <c r="AG629" s="1723"/>
      <c r="AH629" s="1724"/>
      <c r="AI629" s="1724"/>
      <c r="AJ629" s="1724"/>
      <c r="AK629" s="1725"/>
      <c r="AL629" s="996"/>
      <c r="AM629" s="1747"/>
      <c r="AN629" s="1775"/>
      <c r="AO629" s="1777"/>
      <c r="AP629" s="1780"/>
      <c r="AQ629" s="1781"/>
      <c r="AR629" s="1795"/>
      <c r="AS629" s="1795"/>
      <c r="AT629" s="1796"/>
      <c r="AU629" s="1735"/>
      <c r="AV629" s="1752"/>
      <c r="AW629" s="1705"/>
      <c r="AX629" s="467"/>
      <c r="AY629" s="1749"/>
      <c r="AZ629" s="1749"/>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696"/>
      <c r="CQ629" s="1696"/>
      <c r="CR629" s="1809"/>
      <c r="CS629" s="1811"/>
      <c r="CU629" s="1688"/>
      <c r="CV629" s="1703"/>
      <c r="CW629" s="1703"/>
      <c r="CX629" s="1703"/>
      <c r="CY629" s="1815"/>
      <c r="CZ629" s="1711"/>
      <c r="DA629" s="1818"/>
      <c r="DB629" s="1820"/>
      <c r="DC629" s="1820"/>
      <c r="DD629" s="1820"/>
      <c r="DF629" s="1703"/>
      <c r="DG629" s="1831"/>
      <c r="DH629" s="1703"/>
      <c r="DI629" s="1838"/>
      <c r="DJ629" s="1711"/>
      <c r="DK629" s="1712"/>
      <c r="DM629" s="1718"/>
      <c r="DO629" s="1708"/>
      <c r="DQ629" s="1715"/>
      <c r="DR629" s="1720"/>
      <c r="DS629" s="1816"/>
      <c r="DT629" s="1714"/>
      <c r="DU629" s="1715"/>
      <c r="DV629" s="1716"/>
      <c r="DX629" s="1715"/>
      <c r="DY629" s="1720"/>
      <c r="DZ629" s="1715"/>
      <c r="EA629" s="1715"/>
      <c r="EC629" s="1834"/>
      <c r="ED629" s="1834"/>
      <c r="EF629" s="1707"/>
      <c r="EG629" s="1712"/>
      <c r="EH629" s="1818"/>
      <c r="EI629" s="1712"/>
      <c r="EJ629" s="1712"/>
      <c r="EK629" s="1836"/>
      <c r="EL629" s="1836"/>
      <c r="EM629" s="1807"/>
      <c r="EN629" s="1839"/>
      <c r="EO629" s="1839"/>
      <c r="EP629" s="1817"/>
      <c r="EQ629" s="1817"/>
      <c r="ER629" s="1807"/>
      <c r="ES629" s="1807"/>
      <c r="ET629" s="1807"/>
      <c r="EV629" s="1715"/>
      <c r="EX629" s="1805"/>
      <c r="EY629" s="1805"/>
      <c r="EZ629" s="1805"/>
      <c r="FA629" s="1805"/>
      <c r="FB629" s="1805"/>
      <c r="FC629" s="1827"/>
      <c r="FE629" s="1698"/>
      <c r="FG629" s="1816"/>
      <c r="FH629" s="1816"/>
      <c r="FI629" s="133"/>
      <c r="FL629" s="1823"/>
      <c r="FM629" s="1825"/>
      <c r="FN629" s="1698"/>
      <c r="FO629" s="1698"/>
      <c r="FP629" s="1678"/>
      <c r="FQ629" s="1678"/>
      <c r="FS629" s="1687"/>
      <c r="FT629" s="1687"/>
      <c r="FU629" s="1685"/>
      <c r="FV629" s="1687"/>
      <c r="FW629" s="1687"/>
      <c r="FX629" s="1687"/>
      <c r="FY629" s="1697"/>
      <c r="GA629" s="1696"/>
      <c r="GB629" s="1696"/>
      <c r="GC629" s="1696"/>
      <c r="GD629" s="1696"/>
      <c r="GE629" s="1696"/>
      <c r="GF629" s="1696"/>
      <c r="GG629" s="1696"/>
      <c r="GH629" s="1696"/>
      <c r="GI629" s="673"/>
      <c r="GJ629" s="1135"/>
      <c r="GK629" s="1832"/>
      <c r="GM629" s="1693" t="b">
        <f ca="1">IF(AND(GP629=TRUE,GQ629=TRUE),TRUE,FALSE)</f>
        <v>0</v>
      </c>
      <c r="GN629" s="1684" t="b">
        <f>IFERROR(IF(__Retrofit_TI_NC=2,TRUE,IF(AU628="Yes",TRUE,FALSE)),FALSE)</f>
        <v>1</v>
      </c>
      <c r="GP629" s="1684" t="b">
        <f>IFERROR(IF(GP628=1,TRUE,FALSE),FALSE)</f>
        <v>0</v>
      </c>
      <c r="GQ629" s="1684" t="b">
        <f ca="1">IFERROR(IF(GQ628=GQ$14,TRUE,FALSE),FALSE)</f>
        <v>0</v>
      </c>
      <c r="HG629" s="1684" t="b">
        <f>IFERROR(IF(AND(__Retrofit_TI_NC&gt;0,CQ628="Interior"),FALSE,TRUE),FALSE)</f>
        <v>1</v>
      </c>
      <c r="HH629" s="1684" t="b">
        <f>IFERROR(IF(M629=1,TRUE,FALSE),FALSE)</f>
        <v>0</v>
      </c>
      <c r="HI629" s="1684" t="b">
        <f>IFERROR(IF(OR(M630=1,N631="BAM"),TRUE,FALSE),FALSE)</f>
        <v>0</v>
      </c>
      <c r="HJ629" s="1684" t="b">
        <f>IFERROR(IF(__Retrofit_TI_NC&lt;&gt;0,TRUE,IFERROR(IF(VLOOKUP(U629,Fixtures_Existing_List,2,FALSE)&lt;&gt;"",TRUE,FALSE),FALSE)),FALSE)</f>
        <v>0</v>
      </c>
      <c r="HK629" s="1684" t="b">
        <f>IFERROR(IF(VLOOKUP(U630,Fixtures_Proposed_List,2,FALSE)&lt;&gt;"",TRUE,FALSE),FALSE)</f>
        <v>0</v>
      </c>
      <c r="HL629" s="1684" t="b">
        <f>IF(AND(__Retrofit_TI_NC=2,FC628=TRUE),FALSE,TRUE)</f>
        <v>1</v>
      </c>
      <c r="HM629" s="1684" t="b">
        <f>GK628</f>
        <v>1</v>
      </c>
      <c r="HN629" s="1682" t="b">
        <f>IF(ISERROR(MATCH(FE628,_Control_Match[],0))=TRUE,FALSE,TRUE)</f>
        <v>0</v>
      </c>
      <c r="HO629" s="1693" t="b">
        <f>IFERROR(IF(EX628&lt;&gt;EY628,FALSE,TRUE),FALSE)</f>
        <v>1</v>
      </c>
      <c r="HP629" s="1693" t="b">
        <f>IFERROR(IF(EX630&lt;&gt;EY630,FALSE,TRUE),FALSE)</f>
        <v>1</v>
      </c>
      <c r="HQ629" s="1670" t="b">
        <f>IFERROR(IF(CQ628="Exterior",TRUE,IF(AND(OR(FM630=0,FM630=3),JD630&gt;6),FALSE,TRUE)),FALSE)</f>
        <v>0</v>
      </c>
      <c r="HR629" s="1684" t="b">
        <f>IFERROR(IF(AND(FO630=7,FC628=TRUE),FALSE,TRUE),FALSE)</f>
        <v>0</v>
      </c>
      <c r="HS629" s="1684" t="b">
        <f>IFERROR(IF(AND(T630&lt;&gt;AF630,OR(AG630="Interior LLLC", AG630="Interior NLC", AG630="LLLC (outside Daylight)",AG630="LLLC Controls Only"))=TRUE,FALSE,TRUE),FALSE)</f>
        <v>1</v>
      </c>
      <c r="HT629" s="1670" t="b">
        <f>IFERROR(IF(OR(AG630=Lookup!BB$17,AG630=Lookup!BB$18,AG630=Lookup!BB$19)=TRUE,IF(AF630&gt;T630,FALSE,TRUE),TRUE),FALSE)</f>
        <v>1</v>
      </c>
      <c r="HU629" s="1684" t="b">
        <f>IFERROR(IF(__Retrofit_TI_NC=2,IF(EZ630&lt;EZ628,FALSE,TRUE),TRUE),FALSE)</f>
        <v>1</v>
      </c>
      <c r="HV629" s="1684" t="b">
        <f>IF(CQ628="Interior",IL$6,TRUE)</f>
        <v>1</v>
      </c>
      <c r="HW629" s="1684" t="b">
        <f>IF(CQ628="Exterior",IL$8,TRUE)</f>
        <v>1</v>
      </c>
      <c r="HX629" s="1684" t="b">
        <f>IFERROR(IF(__Retrofit_TI_NC&lt;&gt;0,IF(AZ628&lt;AY628,FALSE,TRUE),TRUE),FALSE)</f>
        <v>1</v>
      </c>
      <c r="HY629" s="1684" t="b">
        <f>IFERROR(IF(AND(G629="Exterior",R629&gt;4200),FALSE,TRUE),FALSE)</f>
        <v>1</v>
      </c>
      <c r="HZ629" s="1684" t="b">
        <f>IFERROR(IF(AB631/AB628&lt;HZ$18,FALSE,TRUE),FALSE)</f>
        <v>0</v>
      </c>
      <c r="IB629" s="1691"/>
      <c r="IC629" s="1695"/>
      <c r="ID629" s="1694" t="str">
        <f>VLOOKUP(IB631,_Error_Table,4,FALSE)</f>
        <v>White</v>
      </c>
      <c r="IE629" s="391"/>
      <c r="IF629" s="1688"/>
      <c r="IG629" s="1689"/>
      <c r="IH629" s="1684"/>
      <c r="IK629" s="1689"/>
      <c r="IL629" s="1691"/>
      <c r="IM629" s="1691"/>
      <c r="IN629" s="1691"/>
      <c r="IP629" s="1679"/>
      <c r="IQ629" s="1679"/>
      <c r="IR629" s="1679"/>
      <c r="IS629" s="1679"/>
      <c r="IT629" s="1679"/>
      <c r="IU629" s="1679"/>
      <c r="IV629" s="1679"/>
      <c r="IW629" s="1679"/>
      <c r="IX629" s="1679"/>
      <c r="IY629" s="1679"/>
      <c r="IZ629" s="1679"/>
      <c r="JA629" s="1679"/>
      <c r="JC629" s="1680"/>
      <c r="JD629" s="1670"/>
      <c r="JE629" s="1681"/>
      <c r="JG629" s="1680"/>
      <c r="JH629" s="1670"/>
      <c r="JI629" s="1060"/>
      <c r="JJ629" s="1683"/>
      <c r="JK629" s="1061"/>
      <c r="JL629" s="1683"/>
      <c r="JM629" s="1061"/>
      <c r="JN629" s="1683"/>
      <c r="JO629" s="1061"/>
      <c r="JP629" s="1683"/>
      <c r="JQ629" s="1061"/>
      <c r="JR629" s="1683"/>
      <c r="JS629" s="1061"/>
      <c r="JT629" s="1670"/>
      <c r="JU629" s="1061"/>
      <c r="JV629" s="1670"/>
      <c r="JX629" s="1670"/>
      <c r="JZ629" s="1683"/>
      <c r="KB629" s="1670"/>
    </row>
    <row r="630" spans="1:288" s="78" customFormat="1" ht="14.95" customHeight="1" thickTop="1" thickBot="1">
      <c r="A630" s="78">
        <f>ROW()</f>
        <v>630</v>
      </c>
      <c r="B630" s="1845"/>
      <c r="C630" s="1846"/>
      <c r="D630" s="1847"/>
      <c r="E630" s="1737" t="s">
        <v>298</v>
      </c>
      <c r="F630" s="1738"/>
      <c r="G630" s="1760"/>
      <c r="H630" s="1761"/>
      <c r="I630" s="1761"/>
      <c r="J630" s="1761"/>
      <c r="K630" s="1761"/>
      <c r="L630" s="1762"/>
      <c r="M630" s="461">
        <f>IFERROR(IF(IF(__Retrofit_TI_NC&lt;&gt;0,IF(CQ628="Interior",MATCH(G630,Lookup_Interior_New,0),MATCH(G630,Lookup_Exterior_New,0)),IF(CQ628="Interior",MATCH(G630,Lookup_Interior,0),MATCH(G630,Lookup_Exterior_Areas,0)))&gt;0,1,0),0)</f>
        <v>0</v>
      </c>
      <c r="N630" s="461" t="e">
        <f>IF(__Retrofit_TI_NC=1,
VLOOKUP(G630,'Space Table'!$B$3:$L$163,4,FALSE),
IF(__Retrofit_TI_NC=2,VLOOKUP(G630,'Space Table'!$B$3:$L$163,5,FALSE),VLOOKUP(G630,'Space Table'!$B$3:$L$163,5,FALSE)))</f>
        <v>#N/A</v>
      </c>
      <c r="O630" s="461">
        <f>G630</f>
        <v>0</v>
      </c>
      <c r="P630" s="1738" t="str">
        <f>IFERROR(IF(__Retrofit_TI_NC=1,VLOOKUP(G630,'Space Table'!$B$3:$O$163,13,FALSE),IF(__Retrofit_TI_NC=2,VLOOKUP(G630,'Space Table'!$B$3:$O$163,14,FALSE),"Area (sf):")),"Area (sf):")</f>
        <v>Area (sf):</v>
      </c>
      <c r="Q630" s="1738"/>
      <c r="R630" s="596"/>
      <c r="S630" s="1763" t="s">
        <v>345</v>
      </c>
      <c r="T630" s="594"/>
      <c r="U630" s="1801"/>
      <c r="V630" s="1802"/>
      <c r="W630" s="1802"/>
      <c r="X630" s="1802"/>
      <c r="Y630" s="1802"/>
      <c r="Z630" s="1802"/>
      <c r="AA630" s="1802"/>
      <c r="AB630" s="1802"/>
      <c r="AC630" s="1802"/>
      <c r="AD630" s="1802"/>
      <c r="AE630" s="1803"/>
      <c r="AF630" s="594"/>
      <c r="AG630" s="1787"/>
      <c r="AH630" s="1787"/>
      <c r="AI630" s="1787"/>
      <c r="AJ630" s="1787"/>
      <c r="AK630" s="1787"/>
      <c r="AL630" s="1787"/>
      <c r="AM630" s="1726">
        <f>IFERROR(DI630,"")</f>
        <v>0</v>
      </c>
      <c r="AN630" s="1728" t="str">
        <f>IFERROR(ROUND(AM630*AC631,0),"")</f>
        <v/>
      </c>
      <c r="AO630" s="1730">
        <f>IFERROR(IF(IB628=FALSE,0,AC631-AN630),0)</f>
        <v>0</v>
      </c>
      <c r="AP630" s="1780"/>
      <c r="AQ630" s="1781"/>
      <c r="AR630" s="1795"/>
      <c r="AS630" s="1795"/>
      <c r="AT630" s="1796"/>
      <c r="AU630" s="1735"/>
      <c r="AV630" s="1752"/>
      <c r="AW630" s="1705"/>
      <c r="AX630" s="467"/>
      <c r="AY630" s="1749"/>
      <c r="AZ630" s="1749"/>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696"/>
      <c r="CQ630" s="1696"/>
      <c r="CR630" s="1808" t="str">
        <f>CQ628</f>
        <v/>
      </c>
      <c r="CS630" s="1810" t="str">
        <f>CS628</f>
        <v/>
      </c>
      <c r="CU630" s="1688" t="s">
        <v>345</v>
      </c>
      <c r="CV630" s="1702">
        <f>IF(IB628=TRUE,T630,0)</f>
        <v>0</v>
      </c>
      <c r="CW630" s="1702" t="str">
        <f>IF(IB628=TRUE,U630,"")</f>
        <v/>
      </c>
      <c r="CX630" s="1812">
        <f>IF(IB628=TRUE,U631,0)</f>
        <v>0</v>
      </c>
      <c r="CY630" s="1814">
        <f>IF(IB628=TRUE,AB631,0)</f>
        <v>0</v>
      </c>
      <c r="CZ630" s="1710">
        <f>IF(AND(__Retrofit_TI_NC&gt;0,CR628="interior"),0,IF(IB628=TRUE,AC631,0))</f>
        <v>0</v>
      </c>
      <c r="DA630" s="1818"/>
      <c r="DB630" s="1820"/>
      <c r="DC630" s="1820"/>
      <c r="DD630" s="1820"/>
      <c r="DF630" s="1702">
        <f>IF(IB628=TRUE,AF630,0)</f>
        <v>0</v>
      </c>
      <c r="DG630" s="1830" t="str">
        <f>IF(IB628=TRUE,AG630,"")</f>
        <v/>
      </c>
      <c r="DH630" s="1812">
        <f>AG631</f>
        <v>0</v>
      </c>
      <c r="DI630" s="1837">
        <f>JE630</f>
        <v>0</v>
      </c>
      <c r="DJ630" s="1710">
        <f>IF(AND(__Retrofit_TI_NC&gt;0,CR628="interior"),0,IF(IB628=TRUE,AN630,0))</f>
        <v>0</v>
      </c>
      <c r="DK630" s="1712"/>
      <c r="DN630" s="1717">
        <f>IFERROR(CZ630-DJ630,0)</f>
        <v>0</v>
      </c>
      <c r="DO630" s="1709"/>
      <c r="DQ630" s="1715"/>
      <c r="DR630" s="1719" t="str">
        <f>DQ628</f>
        <v/>
      </c>
      <c r="DS630" s="1816"/>
      <c r="DT630" s="1835" t="str">
        <f>IF(OR(DS628=7,DS628=8,DS628=9),"ALC","")</f>
        <v/>
      </c>
      <c r="DU630" s="1715"/>
      <c r="DV630" s="1716"/>
      <c r="DX630" s="1715"/>
      <c r="DY630" s="1829" t="str">
        <f>DX628</f>
        <v/>
      </c>
      <c r="DZ630" s="1715"/>
      <c r="EA630" s="1715"/>
      <c r="EC630" s="1834"/>
      <c r="ED630" s="1834"/>
      <c r="EF630" s="1707"/>
      <c r="EG630" s="1712"/>
      <c r="EH630" s="1818"/>
      <c r="EI630" s="1712"/>
      <c r="EJ630" s="1712"/>
      <c r="EK630" s="1836"/>
      <c r="EL630" s="1836"/>
      <c r="EM630" s="1807"/>
      <c r="EN630" s="1839"/>
      <c r="EO630" s="1839"/>
      <c r="EP630" s="1817"/>
      <c r="EQ630" s="1817"/>
      <c r="ER630" s="1807"/>
      <c r="ES630" s="1807"/>
      <c r="ET630" s="1807"/>
      <c r="EV630" s="1715"/>
      <c r="EX630" s="1805" t="str">
        <f>IFERROR(VLOOKUP(CS630,'Space Table'!$B$3:$L$163,8,FALSE),"")</f>
        <v/>
      </c>
      <c r="EY630" s="1805" t="str">
        <f>IFERROR(IF(FB630="Yes",VLOOKUP(AG630,Lookup_Control_Type_Table2,4,FALSE),VLOOKUP(AG630,Lookup_Control_Type_Table2,3,FALSE)),"")</f>
        <v/>
      </c>
      <c r="EZ630" s="1805" t="e">
        <f>VLOOKUP(AG630,Lookup!BB$3:BC$20,2,FALSE)</f>
        <v>#N/A</v>
      </c>
      <c r="FA630" s="1805" t="e">
        <f>VLOOKUP(EX628,Lookup_Control_Type_Table,2,FALSE)</f>
        <v>#N/A</v>
      </c>
      <c r="FB630" s="1805" t="e">
        <f>VLOOKUP(CS630,'Space Table'!$B$3:$L$163,7,FALSE)</f>
        <v>#N/A</v>
      </c>
      <c r="FC630" s="1827"/>
      <c r="FE630" s="1698" t="str">
        <f>CONCATENATE(CQ628," - ",AG630)</f>
        <v xml:space="preserve"> - </v>
      </c>
      <c r="FG630" s="1816"/>
      <c r="FH630" s="1816"/>
      <c r="FI630" s="133"/>
      <c r="FL630" s="1822" t="str">
        <f>IF(CQ628="Exterior","Not Daylighted",G631)</f>
        <v>Not Daylighted</v>
      </c>
      <c r="FM630" s="1824">
        <f>VLOOKUP(FL630,_New_Daylight_Table_Codes,2,FALSE)</f>
        <v>0</v>
      </c>
      <c r="FN630" s="1698">
        <f>AG630</f>
        <v>0</v>
      </c>
      <c r="FO630" s="1698" t="e">
        <f>VLOOKUP(FN630,_Control_Table,2,FALSE)</f>
        <v>#N/A</v>
      </c>
      <c r="FP630" s="1678" t="e">
        <f>VLOOKUP(CONCATENATE(FL630," ",FN630),Lookup!AY$102:AZ641,2,FALSE)</f>
        <v>#N/A</v>
      </c>
      <c r="FQ630" s="1698">
        <f>IF(__Retrofit_TI_NC=0,FN630,IF(AND(FT630&gt;0,FN630="Occupancy Sensor"),"Daylight + Occupancy",IF(AND(FT630&gt;0,FO630&lt;4),"Interior Daylight Dimming",FN630)))</f>
        <v>0</v>
      </c>
      <c r="FS630" s="1686">
        <f>IF(CQ628="Interior",VLOOKUP(CS628,Control_Savings_Interior,5,FALSE),0)</f>
        <v>0</v>
      </c>
      <c r="FT630" s="1687">
        <f>IF(CQ630="Exterior",0,IF(FM630=2,0.5,IF(OR(FM630=1,FM630=3),1,0)))</f>
        <v>0</v>
      </c>
      <c r="FU630" s="1685">
        <f>IF(R629&gt;FS$44,(FS630*(FS$44/R629)),FS630)*FT630</f>
        <v>0</v>
      </c>
      <c r="FV630" s="1686">
        <f>DI630</f>
        <v>0</v>
      </c>
      <c r="FW630" s="1686">
        <f>ROUND(FV630+((1-FV630)*FU630),2)</f>
        <v>0</v>
      </c>
      <c r="FX630" s="1686">
        <f>IF(__Retrofit_TI_NC=2,FW630,FV630)</f>
        <v>0</v>
      </c>
      <c r="FY630" s="1697">
        <f>IF(CR630="Interior",VLOOKUP(CS630,Control_Savings_Interior,4,FALSE),0)</f>
        <v>0</v>
      </c>
      <c r="GA630" s="1696"/>
      <c r="GB630" s="1696"/>
      <c r="GC630" s="1696"/>
      <c r="GD630" s="1696"/>
      <c r="GE630" s="1696"/>
      <c r="GF630" s="1696"/>
      <c r="GG630" s="1696"/>
      <c r="GH630" s="1696"/>
      <c r="GI630" s="673" t="b">
        <f>IF(ISNUMBER(SEARCH("TLED",U630)),TRUE,FALSE)</f>
        <v>0</v>
      </c>
      <c r="GJ630" s="1135" t="str">
        <f>IFERROR(VLOOKUP(U630,Fixtures!DM$93:DR$142,6,FALSE),"")</f>
        <v/>
      </c>
      <c r="GK630" s="1832"/>
      <c r="GM630" s="1692"/>
      <c r="GN630" s="1684"/>
      <c r="GP630" s="1684"/>
      <c r="GQ630" s="1684"/>
      <c r="HG630" s="1684"/>
      <c r="HH630" s="1684"/>
      <c r="HI630" s="1684"/>
      <c r="HJ630" s="1684"/>
      <c r="HK630" s="1684"/>
      <c r="HL630" s="1684"/>
      <c r="HM630" s="1684"/>
      <c r="HN630" s="1683"/>
      <c r="HO630" s="1692"/>
      <c r="HP630" s="1692"/>
      <c r="HQ630" s="1670"/>
      <c r="HR630" s="1684"/>
      <c r="HS630" s="1684"/>
      <c r="HT630" s="1670"/>
      <c r="HU630" s="1684"/>
      <c r="HV630" s="1684"/>
      <c r="HW630" s="1684"/>
      <c r="HX630" s="1684"/>
      <c r="HY630" s="1684"/>
      <c r="HZ630" s="1684"/>
      <c r="IB630" s="1692"/>
      <c r="IC630" s="1693" t="b">
        <f>IB628</f>
        <v>0</v>
      </c>
      <c r="ID630" s="1695"/>
      <c r="IE630" s="391"/>
      <c r="IF630" s="1688"/>
      <c r="IG630" s="1689">
        <f ca="1">IF(IF628=TRUE,AC631,0)</f>
        <v>0</v>
      </c>
      <c r="IH630" s="1684"/>
      <c r="IK630" s="1689" t="e">
        <f>ROUND(T630*AB631*N629*R629/1000,0)</f>
        <v>#VALUE!</v>
      </c>
      <c r="IL630" s="1691"/>
      <c r="IM630" s="1693" t="e">
        <f>ROUND(T630*AB631*N629*R629/1000,0)</f>
        <v>#VALUE!</v>
      </c>
      <c r="IN630" s="1691"/>
      <c r="IP630" s="1679"/>
      <c r="IQ630" s="1679" t="e">
        <f t="shared" ref="IQ630:IU630" si="577">IF($CR630="interior",VLOOKUP($CS630,_New_Control_Savings_Interior,IQ$30,FALSE),VLOOKUP($CS630,Control_Savings_Exterior,IQ$30,FALSE))</f>
        <v>#N/A</v>
      </c>
      <c r="IR630" s="1679" t="e">
        <f t="shared" si="577"/>
        <v>#N/A</v>
      </c>
      <c r="IS630" s="1679" t="e">
        <f t="shared" si="577"/>
        <v>#N/A</v>
      </c>
      <c r="IT630" s="1679" t="e">
        <f t="shared" si="577"/>
        <v>#N/A</v>
      </c>
      <c r="IU630" s="1679" t="e">
        <f t="shared" si="577"/>
        <v>#N/A</v>
      </c>
      <c r="IV630" s="1679" t="e">
        <f>IF($CR630="interior",IF(R629&gt;$IP$14,ROUND(($IV$18*($IP$14/R629)),2),$IV$18),VLOOKUP($CS630,Control_Savings_Exterior,IV$30,FALSE))</f>
        <v>#N/A</v>
      </c>
      <c r="IW630" s="1679" t="e">
        <f>IF($CR630="interior",ROUND(((1-IS630)*IV630)+IS630,2),VLOOKUP($CS630,Control_Savings_Exterior,IW$30,FALSE))</f>
        <v>#N/A</v>
      </c>
      <c r="IX630" s="1679" t="e">
        <f>IF($CR630="interior",ROUND(((1-IT630)*IV630)+IT630,2),VLOOKUP($CS630,Control_Savings_Exterior,IX$30,FALSE))</f>
        <v>#N/A</v>
      </c>
      <c r="IY630" s="1679" t="e">
        <f>IF($CR630="interior",IF(R629&gt;$IP$14,ROUND(($IY$18*($IP$14/R629)),2),$IY$18),VLOOKUP($CS630,Control_Savings_Exterior,IY$30,FALSE))</f>
        <v>#N/A</v>
      </c>
      <c r="IZ630" s="1679" t="e">
        <f>IF($CR630="interior",ROUND(((1-IS630)*IY630)+IS630,2),VLOOKUP($CS630,Control_Savings_Exterior,IZ$30,FALSE))</f>
        <v>#N/A</v>
      </c>
      <c r="JA630" s="1679" t="e">
        <f>IF($CR630="interior",ROUND(((1-IT630)*IY630)+IT630,2),VLOOKUP($CS630,Control_Savings_Exterior,JA$30,FALSE))</f>
        <v>#N/A</v>
      </c>
      <c r="JC630" s="1680">
        <f>IFERROR(IF(CR630="Interior",CONCATENATE(G631," ",FQ630),AG630),"")</f>
        <v>0</v>
      </c>
      <c r="JD630" s="1670" t="str">
        <f>IFERROR(VLOOKUP(JC630,_Controls_2023,2,FALSE),"")</f>
        <v/>
      </c>
      <c r="JE630" s="1681">
        <f>IFERROR(CHOOSE(JD630-1,IQ630,IR630,IS630,IT630,IU630,IV630,IW630,IX630,IY630,IZ630,JA630),0)</f>
        <v>0</v>
      </c>
      <c r="JG630" s="1680" t="str">
        <f>FE630</f>
        <v xml:space="preserve"> - </v>
      </c>
      <c r="JH630" s="1670" t="e">
        <f>$FO630</f>
        <v>#N/A</v>
      </c>
      <c r="JI630" s="1060"/>
      <c r="JJ630" s="1670">
        <f>IFERROR(IF($IB628=TRUE,IF(OR(JJ$14="No",JJ628=FALSE,JH630&lt;=JH628,AND(_kWh_Grant=0,GD628=FALSE)),0,IF(JJ$8="Per Line",1,$AF630)),0),0)</f>
        <v>0</v>
      </c>
      <c r="JK630" s="1061"/>
      <c r="JL630" s="1670">
        <f>IFERROR(IF(_kWh_Grant=0,0,IF($IB628=TRUE,IF(OR(JL$14="No",JL628=FALSE,JH630&lt;=JH628),0,IF(JL$8="Per Line",1,$T630)),0)),0)</f>
        <v>0</v>
      </c>
      <c r="JM630" s="1061"/>
      <c r="JN630" s="1670">
        <f>IFERROR(IF(_kWh_Grant=0,0,IF($IB628=TRUE,IF(OR(JN$14="No",JN628=FALSE,JH630&lt;=JH628),0,IF(JN$8="Per Line",1,$AF630)),0)),0)</f>
        <v>0</v>
      </c>
      <c r="JO630" s="1061"/>
      <c r="JP630" s="1670">
        <f>IFERROR(IF(__Retrofit_TI_NC=0,IF(_kWh_Grant=0,0,IF($IB628=TRUE,IF(OR(JP$14="No",JP628=FALSE,$JH630&lt;=$JH628),0,IF(JP$8="Per Line",1,$AF630)),0)),IF($IB628=TRUE,IF(OR(JP$14="No",JP628=FALSE,$JH630&lt;=$JH628),0,IF(JP$8="Per Line",1,$AF630)))),0)</f>
        <v>0</v>
      </c>
      <c r="JQ630" s="1061"/>
      <c r="JR630" s="1670">
        <f>IFERROR(IF(__Retrofit_TI_NC=0,IF(_kWh_Grant=0,0,IF($IB628=TRUE,IF(OR(JR$14="No",JR628=FALSE,$JH630&lt;=$JH628),0,IF(JR$8="Per Line",1,$AF630)),0)),IF($IB628=TRUE,IF(OR(JR$14="No",JR628=FALSE,$JH630&lt;=$JH628),0,IF(JR$8="Per Line",1,$AF630)))),0)</f>
        <v>0</v>
      </c>
      <c r="JS630" s="1061"/>
      <c r="JT630" s="1670">
        <f>IFERROR(IF(__Retrofit_TI_NC=0,IF(_kWh_Grant=0,0,IF($IB628=TRUE,IF(OR(JT$14="No",JT628=FALSE,$JH630&lt;=$JH628),0,IF(JT$8="Per Line",1,$AF630)),0)),IF($IB628=TRUE,IF(OR(JT$14="No",JT628=FALSE,$JH630&lt;=$JH628),0,IF(JT$8="Per Line",1,$AF630)))),0)</f>
        <v>0</v>
      </c>
      <c r="JU630" s="1061"/>
      <c r="JV630" s="1670">
        <f>IFERROR(IF(__Retrofit_TI_NC=0,IF(_kWh_Grant=0,0,IF($IB628=TRUE,IF(OR(JV$14="No",JV628=FALSE,$JH630&lt;=$JH628),0,IF(JV$8="Per Line",1,$AF630)),0)),IF($IB628=TRUE,IF(OR(JV$14="No",JV628=FALSE,$JH630&lt;=$JH628),0,IF(JV$8="Per Line",1,$AF630)))),0)</f>
        <v>0</v>
      </c>
      <c r="JX630" s="1670">
        <f>IFERROR(IF(__Retrofit_TI_NC=0,IF(_kWh_Grant=0,0,IF($IB628=TRUE,IF(OR(JX$14="No",JX628=FALSE,$JH630&lt;=$JH628),0,IF(JX$8="Per Line",1,$AF630)),0)),IF($IB628=TRUE,IF(OR(JX$14="No",JX628=FALSE,$JH630&lt;=$JH628),0,IF(JX$8="Per Line",1,$AF630)))),0)</f>
        <v>0</v>
      </c>
      <c r="JZ630" s="1670">
        <f>IFERROR(IF($IB628=TRUE,IF(OR(JZ$14="No",JZ628=FALSE,$JH630&lt;=$JH628,AND(_kWh_Grant=0,$GD628=FALSE)),0,IF(JZ$8="Per Line",1,$AF630)),0),0)</f>
        <v>0</v>
      </c>
      <c r="KB630" s="1670">
        <f>IFERROR(IF(__Retrofit_TI_NC=0,IF(_kWh_Grant=0,0,IF($IB628=TRUE,IF(OR(KB$14="No",KB628=FALSE,$JH630&lt;=$JH628),0,IF(KB$8="Per Line",1,$AF630)),0)),IF($IB628=TRUE,IF(OR(KB$14="No",KB628=FALSE,$JH630&lt;=$JH628),0,IF(KB$8="Per Line",1,$AF630)))),0)</f>
        <v>0</v>
      </c>
    </row>
    <row r="631" spans="1:288" s="78" customFormat="1" ht="14.95" customHeight="1" thickTop="1" thickBot="1">
      <c r="B631" s="1845"/>
      <c r="C631" s="1846"/>
      <c r="D631" s="1847"/>
      <c r="E631" s="1902" t="s">
        <v>436</v>
      </c>
      <c r="F631" s="1903"/>
      <c r="G631" s="1904" t="s">
        <v>437</v>
      </c>
      <c r="H631" s="1905"/>
      <c r="I631" s="1905"/>
      <c r="J631" s="1905"/>
      <c r="K631" s="1905"/>
      <c r="L631" s="1906"/>
      <c r="M631" s="1145">
        <f>IFERROR(VLOOKUP(G631,_Daylight_Table[],2,FALSE),0)</f>
        <v>0</v>
      </c>
      <c r="N631" s="1146" t="str">
        <f>IF(AND(__Retrofit_TI_NC&gt;0,CQ628="Interior"),"BAM","")</f>
        <v/>
      </c>
      <c r="O631" s="1145" t="e">
        <f>VLOOKUP(G630,'Space Table'!$B$3:$L$163,11,FALSE)</f>
        <v>#N/A</v>
      </c>
      <c r="P631" s="1754"/>
      <c r="Q631" s="1755"/>
      <c r="R631" s="1755"/>
      <c r="S631" s="1764"/>
      <c r="T631" s="1147" t="s">
        <v>342</v>
      </c>
      <c r="U631" s="1756" t="str" cm="1">
        <f t="array" aca="1" ref="U631" ca="1">IFERROR(VLOOKUP(INDIRECT("U" &amp; ROW()-1),Fixtures!DM$93:DP$142,4,FALSE),"")</f>
        <v/>
      </c>
      <c r="V631" s="1757"/>
      <c r="W631" s="1757"/>
      <c r="X631" s="1757"/>
      <c r="Y631" s="1757"/>
      <c r="Z631" s="1757"/>
      <c r="AA631" s="1758"/>
      <c r="AB631" s="939" t="str">
        <f>IFERROR(VLOOKUP(U630,Fixtures_Proposed_List,2,FALSE),"")</f>
        <v/>
      </c>
      <c r="AC631" s="1148" t="str">
        <f>IFERROR(ROUND(T630*AB631*N629*R629/1000,0),"")</f>
        <v/>
      </c>
      <c r="AD631" s="1149" t="str">
        <f>IFERROR(ROUND(T630*AB631/1000,2),"")</f>
        <v/>
      </c>
      <c r="AE631" s="1150"/>
      <c r="AF631" s="1151" t="s">
        <v>342</v>
      </c>
      <c r="AG631" s="1759"/>
      <c r="AH631" s="1759"/>
      <c r="AI631" s="1759"/>
      <c r="AJ631" s="1759"/>
      <c r="AK631" s="1759"/>
      <c r="AL631" s="1759"/>
      <c r="AM631" s="1899"/>
      <c r="AN631" s="1900"/>
      <c r="AO631" s="1901"/>
      <c r="AP631" s="1780"/>
      <c r="AQ631" s="1781"/>
      <c r="AR631" s="1795"/>
      <c r="AS631" s="1795"/>
      <c r="AT631" s="1796"/>
      <c r="AU631" s="1907"/>
      <c r="AV631" s="1752"/>
      <c r="AW631" s="1706"/>
      <c r="AX631" s="468"/>
      <c r="AY631" s="1750"/>
      <c r="AZ631" s="1750"/>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696"/>
      <c r="CQ631" s="1696"/>
      <c r="CR631" s="1809"/>
      <c r="CS631" s="1811"/>
      <c r="CU631" s="1688"/>
      <c r="CV631" s="1703"/>
      <c r="CW631" s="1703"/>
      <c r="CX631" s="1813"/>
      <c r="CY631" s="1815"/>
      <c r="CZ631" s="1711"/>
      <c r="DA631" s="1815"/>
      <c r="DB631" s="1821"/>
      <c r="DC631" s="1821"/>
      <c r="DD631" s="1821"/>
      <c r="DF631" s="1703"/>
      <c r="DG631" s="1831"/>
      <c r="DH631" s="1813"/>
      <c r="DI631" s="1838"/>
      <c r="DJ631" s="1711"/>
      <c r="DK631" s="1712"/>
      <c r="DN631" s="1718"/>
      <c r="DO631" s="1709"/>
      <c r="DQ631" s="1715"/>
      <c r="DR631" s="1720"/>
      <c r="DS631" s="1703"/>
      <c r="DT631" s="1714"/>
      <c r="DU631" s="1715"/>
      <c r="DV631" s="1716"/>
      <c r="DX631" s="1715"/>
      <c r="DY631" s="1720"/>
      <c r="DZ631" s="1715"/>
      <c r="EA631" s="1715"/>
      <c r="EC631" s="1834"/>
      <c r="ED631" s="1834"/>
      <c r="EF631" s="1707"/>
      <c r="EG631" s="1712"/>
      <c r="EH631" s="1815"/>
      <c r="EI631" s="1712"/>
      <c r="EJ631" s="1712"/>
      <c r="EK631" s="1813"/>
      <c r="EL631" s="1813"/>
      <c r="EM631" s="1807"/>
      <c r="EN631" s="1839"/>
      <c r="EO631" s="1839"/>
      <c r="EP631" s="1817"/>
      <c r="EQ631" s="1817"/>
      <c r="ER631" s="1807"/>
      <c r="ES631" s="1807"/>
      <c r="ET631" s="1807"/>
      <c r="EV631" s="1715"/>
      <c r="EX631" s="1806"/>
      <c r="EY631" s="1806"/>
      <c r="EZ631" s="1806"/>
      <c r="FA631" s="1806"/>
      <c r="FB631" s="1806"/>
      <c r="FC631" s="1828"/>
      <c r="FE631" s="1698"/>
      <c r="FG631" s="1703"/>
      <c r="FH631" s="1703"/>
      <c r="FI631" s="133"/>
      <c r="FL631" s="1823"/>
      <c r="FM631" s="1825"/>
      <c r="FN631" s="1698"/>
      <c r="FO631" s="1698"/>
      <c r="FP631" s="1678"/>
      <c r="FQ631" s="1698"/>
      <c r="FS631" s="1687"/>
      <c r="FT631" s="1687"/>
      <c r="FU631" s="1685"/>
      <c r="FV631" s="1687"/>
      <c r="FW631" s="1687"/>
      <c r="FX631" s="1687"/>
      <c r="FY631" s="1697"/>
      <c r="GA631" s="1696"/>
      <c r="GB631" s="1696"/>
      <c r="GC631" s="1696"/>
      <c r="GD631" s="1696"/>
      <c r="GE631" s="1696"/>
      <c r="GF631" s="1696"/>
      <c r="GG631" s="1696"/>
      <c r="GH631" s="1696"/>
      <c r="GI631" s="673"/>
      <c r="GJ631" s="1135"/>
      <c r="GK631" s="1832"/>
      <c r="GN631" s="674">
        <f>IF(GN629=TRUE,0,GN$16)</f>
        <v>0</v>
      </c>
      <c r="GP631" s="674">
        <f>IF(GP629=TRUE,0,GP$16)</f>
        <v>36</v>
      </c>
      <c r="GQ631" s="674">
        <f ca="1">IF(GQ629=TRUE,0,GQ$16)</f>
        <v>35</v>
      </c>
      <c r="GR631" s="391"/>
      <c r="GS631" s="391"/>
      <c r="GT631" s="391"/>
      <c r="GU631" s="391"/>
      <c r="GV631" s="391"/>
      <c r="HG631" s="674">
        <f>IF(HG629=TRUE,0,HG$16)</f>
        <v>0</v>
      </c>
      <c r="HH631" s="674">
        <f t="shared" ref="HH631:HM631" si="578">IF(HH629=TRUE,0,HH$16)</f>
        <v>19</v>
      </c>
      <c r="HI631" s="674">
        <f t="shared" si="578"/>
        <v>18</v>
      </c>
      <c r="HJ631" s="674">
        <f t="shared" si="578"/>
        <v>17</v>
      </c>
      <c r="HK631" s="674">
        <f t="shared" si="578"/>
        <v>16</v>
      </c>
      <c r="HL631" s="674">
        <f t="shared" si="578"/>
        <v>0</v>
      </c>
      <c r="HM631" s="674">
        <f t="shared" si="578"/>
        <v>0</v>
      </c>
      <c r="HN631" s="674">
        <f>IF(HN629=TRUE,0,HN$16)</f>
        <v>13</v>
      </c>
      <c r="HO631" s="674">
        <f t="shared" ref="HO631:HQ631" si="579">IF(HO629=TRUE,0,HO$16)</f>
        <v>0</v>
      </c>
      <c r="HP631" s="674">
        <f t="shared" si="579"/>
        <v>0</v>
      </c>
      <c r="HQ631" s="674">
        <f t="shared" si="579"/>
        <v>10</v>
      </c>
      <c r="HR631" s="674">
        <f>IF(HR629=TRUE,0,HR$16)</f>
        <v>9</v>
      </c>
      <c r="HS631" s="674">
        <f t="shared" ref="HS631:HW631" si="580">IF(HS629=TRUE,0,HS$16)</f>
        <v>0</v>
      </c>
      <c r="HT631" s="674">
        <f t="shared" si="580"/>
        <v>0</v>
      </c>
      <c r="HU631" s="674">
        <f t="shared" si="580"/>
        <v>0</v>
      </c>
      <c r="HV631" s="674">
        <f t="shared" si="580"/>
        <v>0</v>
      </c>
      <c r="HW631" s="674">
        <f t="shared" si="580"/>
        <v>0</v>
      </c>
      <c r="HX631" s="674">
        <f>IF(HX629=TRUE,0,HX$16)</f>
        <v>0</v>
      </c>
      <c r="HY631" s="674">
        <f>IF(HY629=TRUE,0,HY$16)</f>
        <v>0</v>
      </c>
      <c r="HZ631" s="674">
        <f>IF(HZ629=TRUE,0,HZ$16)</f>
        <v>1</v>
      </c>
      <c r="IB631" s="674">
        <f>IF(GP629=FALSE,GP631,IF(GQ629=FALSE,GQ631,MAX(GN631:HZ631)))</f>
        <v>36</v>
      </c>
      <c r="IC631" s="1692"/>
      <c r="ID631" s="205" t="str">
        <f>VLOOKUP(IB631,_Error_Table,3,FALSE)</f>
        <v xml:space="preserve"> </v>
      </c>
      <c r="IE631" s="205"/>
      <c r="IF631" s="1688"/>
      <c r="IG631" s="1689"/>
      <c r="IH631" s="1684"/>
      <c r="IK631" s="1689"/>
      <c r="IL631" s="1692"/>
      <c r="IM631" s="1692"/>
      <c r="IN631" s="1692"/>
      <c r="IP631" s="1679"/>
      <c r="IQ631" s="1679"/>
      <c r="IR631" s="1679"/>
      <c r="IS631" s="1679"/>
      <c r="IT631" s="1679"/>
      <c r="IU631" s="1679"/>
      <c r="IV631" s="1679"/>
      <c r="IW631" s="1679"/>
      <c r="IX631" s="1679"/>
      <c r="IY631" s="1679"/>
      <c r="IZ631" s="1679"/>
      <c r="JA631" s="1679"/>
      <c r="JC631" s="1680"/>
      <c r="JD631" s="1670"/>
      <c r="JE631" s="1681"/>
      <c r="JG631" s="1680"/>
      <c r="JH631" s="1670"/>
      <c r="JI631" s="1060"/>
      <c r="JJ631" s="1670"/>
      <c r="JK631" s="1061"/>
      <c r="JL631" s="1670"/>
      <c r="JM631" s="1061"/>
      <c r="JN631" s="1670"/>
      <c r="JO631" s="1061"/>
      <c r="JP631" s="1670"/>
      <c r="JQ631" s="1061"/>
      <c r="JR631" s="1670"/>
      <c r="JS631" s="1061"/>
      <c r="JT631" s="1670"/>
      <c r="JU631" s="1061"/>
      <c r="JV631" s="1670"/>
      <c r="JX631" s="1670"/>
      <c r="JZ631" s="1670"/>
      <c r="KB631" s="1670"/>
    </row>
    <row r="632" spans="1:288" s="78" customFormat="1" ht="5.0999999999999996" customHeight="1">
      <c r="B632" s="676"/>
      <c r="C632" s="392"/>
      <c r="D632" s="392"/>
      <c r="E632" s="1773"/>
      <c r="F632" s="1773"/>
      <c r="G632" s="1773"/>
      <c r="H632" s="1773"/>
      <c r="I632" s="1773"/>
      <c r="J632" s="1773"/>
      <c r="K632" s="1773"/>
      <c r="L632" s="1773"/>
      <c r="M632" s="1773"/>
      <c r="N632" s="1773"/>
      <c r="O632" s="1773"/>
      <c r="P632" s="1773"/>
      <c r="Q632" s="1773"/>
      <c r="R632" s="1773"/>
      <c r="S632" s="1773"/>
      <c r="T632" s="1773"/>
      <c r="U632" s="1773"/>
      <c r="V632" s="1773"/>
      <c r="W632" s="1773"/>
      <c r="X632" s="1773"/>
      <c r="Y632" s="1773"/>
      <c r="Z632" s="1773"/>
      <c r="AA632" s="1773"/>
      <c r="AB632" s="1773"/>
      <c r="AC632" s="1773"/>
      <c r="AD632" s="1773"/>
      <c r="AE632" s="1773"/>
      <c r="AF632" s="1773"/>
      <c r="AG632" s="1773"/>
      <c r="AH632" s="1773"/>
      <c r="AI632" s="1773"/>
      <c r="AJ632" s="1773"/>
      <c r="AK632" s="1773"/>
      <c r="AL632" s="1773"/>
      <c r="AM632" s="1773"/>
      <c r="AN632" s="1773"/>
      <c r="AO632" s="1773"/>
      <c r="AP632" s="1773"/>
      <c r="AQ632" s="1773"/>
      <c r="AR632" s="1773"/>
      <c r="AS632" s="1773"/>
      <c r="AT632" s="1773"/>
      <c r="AU632" s="1773"/>
      <c r="AV632" s="1773"/>
      <c r="AW632" s="1773"/>
      <c r="AX632" s="469"/>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663"/>
      <c r="CQ632" s="663"/>
      <c r="CR632" s="438"/>
      <c r="CS632" s="663"/>
      <c r="CV632" s="391"/>
      <c r="CW632" s="391"/>
      <c r="CX632" s="207"/>
      <c r="CY632" s="208"/>
      <c r="CZ632" s="208"/>
      <c r="DA632" s="208"/>
      <c r="DB632" s="209"/>
      <c r="DC632" s="209"/>
      <c r="DD632" s="209"/>
      <c r="DF632" s="664"/>
      <c r="DG632" s="665"/>
      <c r="DH632" s="666"/>
      <c r="DI632" s="667"/>
      <c r="DJ632" s="668"/>
      <c r="DK632" s="668"/>
      <c r="DN632" s="208"/>
      <c r="DO632" s="664"/>
      <c r="DQ632" s="664"/>
      <c r="DR632" s="669"/>
      <c r="DS632" s="391"/>
      <c r="DT632" s="664"/>
      <c r="DU632" s="664"/>
      <c r="DV632" s="664"/>
      <c r="DX632" s="664"/>
      <c r="DY632" s="664"/>
      <c r="DZ632" s="664"/>
      <c r="EA632" s="664"/>
      <c r="EC632" s="670"/>
      <c r="ED632" s="670"/>
      <c r="EF632" s="668"/>
      <c r="EG632" s="668"/>
      <c r="EH632" s="208"/>
      <c r="EI632" s="668"/>
      <c r="EJ632" s="668"/>
      <c r="EK632" s="207"/>
      <c r="EL632" s="207"/>
      <c r="EM632" s="666"/>
      <c r="EN632" s="671"/>
      <c r="EO632" s="671"/>
      <c r="EP632" s="672"/>
      <c r="EQ632" s="672"/>
      <c r="ER632" s="666"/>
      <c r="ES632" s="666"/>
      <c r="ET632" s="666"/>
      <c r="EV632" s="664"/>
      <c r="EX632" s="391"/>
      <c r="EY632" s="391"/>
      <c r="EZ632" s="391"/>
      <c r="FA632" s="391"/>
      <c r="FB632" s="391"/>
      <c r="FC632" s="391"/>
      <c r="FE632" s="569"/>
      <c r="FG632" s="391"/>
      <c r="FH632" s="391"/>
      <c r="FI632" s="391"/>
      <c r="FS632" s="664"/>
      <c r="FT632" s="391"/>
      <c r="FU632" s="391"/>
      <c r="FV632" s="664"/>
      <c r="FW632" s="664"/>
      <c r="GA632" s="663"/>
      <c r="GB632" s="663"/>
      <c r="GC632" s="663"/>
      <c r="GD632" s="663"/>
      <c r="GE632" s="663"/>
      <c r="GF632" s="663"/>
      <c r="GG632" s="663"/>
      <c r="GH632" s="663"/>
      <c r="GI632" s="665"/>
      <c r="GJ632" s="664"/>
      <c r="GK632" s="664"/>
    </row>
    <row r="633" spans="1:288" s="78" customFormat="1" ht="14.95" customHeight="1">
      <c r="B633" s="1845" t="str">
        <f>ID636</f>
        <v xml:space="preserve"> </v>
      </c>
      <c r="C633" s="1846">
        <f>C628+1</f>
        <v>114</v>
      </c>
      <c r="D633" s="1847"/>
      <c r="E633" s="1799" t="s">
        <v>295</v>
      </c>
      <c r="F633" s="1800"/>
      <c r="G633" s="1741"/>
      <c r="H633" s="1742"/>
      <c r="I633" s="1742"/>
      <c r="J633" s="1742"/>
      <c r="K633" s="1742"/>
      <c r="L633" s="1742"/>
      <c r="M633" s="1742"/>
      <c r="N633" s="1742"/>
      <c r="O633" s="1742"/>
      <c r="P633" s="1742"/>
      <c r="Q633" s="1742"/>
      <c r="R633" s="1742"/>
      <c r="S633" s="1791" t="s">
        <v>344</v>
      </c>
      <c r="T633" s="590"/>
      <c r="U633" s="1743"/>
      <c r="V633" s="1744"/>
      <c r="W633" s="1744"/>
      <c r="X633" s="1744"/>
      <c r="Y633" s="1744"/>
      <c r="Z633" s="1744"/>
      <c r="AA633" s="1744"/>
      <c r="AB633" s="961" t="str">
        <f>IFERROR(IF(__Retrofit_TI_NC=0,VLOOKUP(U634,Fixtures_Existing_List,2,FALSE),ROUND(N635*R635/T635,10)),"")</f>
        <v/>
      </c>
      <c r="AC633" s="935" t="str">
        <f>IFERROR(IF(__Retrofit_TI_NC=0,ROUND(T634*AB633*N634*R634/1000,0),IF(CQ633="Interior",N635*R635*R634*N634*_C406_reduction/1000,N635*R635*R634*N634/1000)),"")</f>
        <v/>
      </c>
      <c r="AD633" s="936" t="str">
        <f>IFERROR(IF(C$43=0,ROUND(T634*AB633/1000,2),N635*R635/1000),"")</f>
        <v/>
      </c>
      <c r="AE633" s="997"/>
      <c r="AF633" s="937"/>
      <c r="AG633" s="1745" t="str">
        <f>IF(__Retrofit_TI_NC=0," Control","Select Advanced Control for New System")</f>
        <v xml:space="preserve"> Control</v>
      </c>
      <c r="AH633" s="1745"/>
      <c r="AI633" s="1745"/>
      <c r="AJ633" s="1745"/>
      <c r="AK633" s="1745"/>
      <c r="AL633" s="1745"/>
      <c r="AM633" s="1746">
        <f>IFERROR(DI633,"")</f>
        <v>0</v>
      </c>
      <c r="AN633" s="1774" t="str">
        <f>IFERROR(ROUND(AM633*AC633,0),"")</f>
        <v/>
      </c>
      <c r="AO633" s="1776">
        <f>IFERROR(IF(IB633=FALSE,0,AC633-AN633),0)</f>
        <v>0</v>
      </c>
      <c r="AP633" s="1778">
        <f>AO633-AO635</f>
        <v>0</v>
      </c>
      <c r="AQ633" s="1779"/>
      <c r="AR633" s="1793">
        <f>IFERROR(IF(IB633=FALSE,0,(T635*U636)+(AF635*AG636)),0)</f>
        <v>0</v>
      </c>
      <c r="AS633" s="1793"/>
      <c r="AT633" s="1794"/>
      <c r="AU633" s="1734" t="s">
        <v>237</v>
      </c>
      <c r="AV633" s="1751">
        <f>IF(AU633="Yes",1,0)</f>
        <v>1</v>
      </c>
      <c r="AW633" s="1704" t="str">
        <f>IF(OR(DQ633=4,DQ633=5,DQ633=6,DQ633=12),CONCATENATE("$",IF(GH633=TRUE,Lookup!$K$10,Lookup!$K$2)," /lamp"),CONCATENATE(TEXT(ED633,"$0.00"),"/ kWh"))</f>
        <v>$0.00/ kWh</v>
      </c>
      <c r="AX633" s="467"/>
      <c r="AY633" s="1748">
        <f ca="1">IFERROR(IF(GM634=TRUE,(AB636*T635)/R635,0),"NA")</f>
        <v>0</v>
      </c>
      <c r="AZ633" s="1748"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696" t="str">
        <f>N634</f>
        <v/>
      </c>
      <c r="CQ633" s="1696" t="str">
        <f>IFERROR(VLOOKUP(G634,_Lookup_Heat_Type_Table_New,3,FALSE),"")</f>
        <v/>
      </c>
      <c r="CR633" s="1808" t="str">
        <f>CQ633</f>
        <v/>
      </c>
      <c r="CS633" s="1810" t="str">
        <f>IFERROR(VLOOKUP(G635,'Space Table'!$B$3:$L$163,9,FALSE),"")</f>
        <v/>
      </c>
      <c r="CU633" s="1688" t="s">
        <v>344</v>
      </c>
      <c r="CV633" s="1702">
        <f>IF(IB633=TRUE,T634,0)</f>
        <v>0</v>
      </c>
      <c r="CW633" s="1702" t="str">
        <f>IF(IB633=TRUE,U634,"")</f>
        <v/>
      </c>
      <c r="CX633" s="1702"/>
      <c r="CY633" s="1814">
        <f>IF(IB633=TRUE,AB633,0)</f>
        <v>0</v>
      </c>
      <c r="CZ633" s="1710">
        <f>IF(AND(__Retrofit_TI_NC&gt;0,CR633="interior"),0,IF(IB633=TRUE,AC633,0))</f>
        <v>0</v>
      </c>
      <c r="DA633" s="1814">
        <f>IFERROR(IF(IB633=TRUE,CZ633-CZ635,0),0)</f>
        <v>0</v>
      </c>
      <c r="DB633" s="1819">
        <f>IF(IB633=TRUE,AD633,0)</f>
        <v>0</v>
      </c>
      <c r="DC633" s="1819">
        <f>IF(IB633=TRUE,AD636,0)</f>
        <v>0</v>
      </c>
      <c r="DD633" s="1819">
        <f>IFERROR(DB633-DC633,0)</f>
        <v>0</v>
      </c>
      <c r="DF633" s="1702">
        <f>IF(IB633=TRUE,AF634,0)</f>
        <v>0</v>
      </c>
      <c r="DG633" s="1830">
        <f>IFERROR(IF(__Retrofit_TI_NC=2,IF(CQ633="Exterior",O636,FQ633),FN633),"")</f>
        <v>0</v>
      </c>
      <c r="DH633" s="1702"/>
      <c r="DI633" s="1837">
        <f>JE633</f>
        <v>0</v>
      </c>
      <c r="DJ633" s="1710">
        <f>IF(AND(__Retrofit_TI_NC&gt;0,CR633="interior"),0,IF(IB633=TRUE,AN633,0))</f>
        <v>0</v>
      </c>
      <c r="DK633" s="1712">
        <f>IFERROR(IF(IB633=TRUE,DJ635-DJ633,0),0)</f>
        <v>0</v>
      </c>
      <c r="DM633" s="1717">
        <f>IFERROR(CZ633-DJ633,0)</f>
        <v>0</v>
      </c>
      <c r="DO633" s="1708">
        <f>DM633-DN635</f>
        <v>0</v>
      </c>
      <c r="DQ633" s="1715" t="str">
        <f>IFERROR(IF(AND(OR(GC633=4,GC633=5,GC633=6),OR(GF633=4,GF633=5,GF633=6)),GC633+8,VLOOKUP(CW635,Fixtures!R$31:Y$78,8,FALSE)),"")</f>
        <v/>
      </c>
      <c r="DR633" s="1829" t="str">
        <f>DQ633</f>
        <v/>
      </c>
      <c r="DS633" s="1702" t="str">
        <f>IFERROR(VLOOKUP(DG635,Lookup!BB$3:BC$20,2,FALSE),"")</f>
        <v/>
      </c>
      <c r="DT633" s="1713" t="str">
        <f>IF(OR(DS633=7,DS633=8,DS633=9),"ALC","")</f>
        <v/>
      </c>
      <c r="DU633" s="1715">
        <f>IFERROR(IF(OR(DQ633=4,DQ633=5,DQ633=6,DQ633=12,DQ633=13,DQ633=14),VLOOKUP(CW635,Fixtures!DN$27:EG$77,19,FALSE),1)*CV635,0)</f>
        <v>0</v>
      </c>
      <c r="DV633" s="1716">
        <f>IF(OR(DS633=7,DS633=8,DS633=9),IF(DG633=DG635,0,DF635),0)</f>
        <v>0</v>
      </c>
      <c r="DX633" s="1715" t="str">
        <f>IFERROR(IF(EZ633&lt;EZ635,"Yes","No"),"")</f>
        <v/>
      </c>
      <c r="DY633" s="1829" t="str">
        <f>DX633</f>
        <v/>
      </c>
      <c r="DZ633" s="1715">
        <f>IF(DX633="Yes",DF635,0)</f>
        <v>0</v>
      </c>
      <c r="EA633" s="1715">
        <f>DZ633-DV633</f>
        <v>0</v>
      </c>
      <c r="EC633" s="1834">
        <f>IFERROR(VLOOKUP(DQ633,Lookup!AU$3:AV$16,2,FALSE),0)</f>
        <v>0</v>
      </c>
      <c r="ED633" s="1834">
        <f>IF(IB633=FALSE,0,IF(DX633="Yes",EC633+Lookup!K$6,EC633))</f>
        <v>0</v>
      </c>
      <c r="EF633" s="1707">
        <f>IF(IB633=TRUE,DM633,0)</f>
        <v>0</v>
      </c>
      <c r="EG633" s="1712">
        <f>IF(IB633=TRUE,CZ635,0)</f>
        <v>0</v>
      </c>
      <c r="EH633" s="1814">
        <f>IFERROR(EF633-EG633,0)</f>
        <v>0</v>
      </c>
      <c r="EI633" s="1712">
        <f>IF(IB633=TRUE,DJ635,0)</f>
        <v>0</v>
      </c>
      <c r="EJ633" s="1712">
        <f>IFERROR(EF633-EG633+EI633,0)</f>
        <v>0</v>
      </c>
      <c r="EK633" s="1812">
        <f>IF(IB633=TRUE,CV635*CX635,0)</f>
        <v>0</v>
      </c>
      <c r="EL633" s="1812">
        <f>IF(IB633=TRUE,DF635*DH635,0)</f>
        <v>0</v>
      </c>
      <c r="EM633" s="1807">
        <f>AR633</f>
        <v>0</v>
      </c>
      <c r="EN633" s="1839" t="str">
        <f>IFERROR(IF(IB633=TRUE,VLOOKUP(DQ633,Lookup!AU$3:AW$16,3,FALSE)*DU633,""),0)</f>
        <v/>
      </c>
      <c r="EO633" s="1839">
        <f>IF(IB633=TRUE,DZ633*Lookup!AW$12,0)</f>
        <v>0</v>
      </c>
      <c r="EP633" s="1817">
        <f>IFERROR(IF(IB633=TRUE,EN633/EP$40,0),0)</f>
        <v>0</v>
      </c>
      <c r="EQ633" s="1817">
        <f>IF(IB633=TRUE,EO633/EQ$40,0)</f>
        <v>0</v>
      </c>
      <c r="ER633" s="1807">
        <f>IF(IB633=TRUE,ET$40*EP633,0)</f>
        <v>0</v>
      </c>
      <c r="ES633" s="1807">
        <f>IF(IB633=TRUE,ET$40*EQ633,0)</f>
        <v>0</v>
      </c>
      <c r="ET633" s="1807">
        <f>ER633+ES633</f>
        <v>0</v>
      </c>
      <c r="EV633" s="1715">
        <f>IF(G633="",0,1)</f>
        <v>0</v>
      </c>
      <c r="EX633" s="1804" t="str">
        <f>IFERROR(VLOOKUP(CS635,'Space Table'!$B$3:$L$163,8,FALSE),"")</f>
        <v/>
      </c>
      <c r="EY633" s="1804" t="str">
        <f>IFERROR(IF(FB633="Yes",VLOOKUP(DG633,Lookup_Control_Type_Table2,4,FALSE),VLOOKUP(DG633,Lookup_Control_Type_Table2,3,FALSE)),"")</f>
        <v/>
      </c>
      <c r="EZ633" s="1804" t="e">
        <f>VLOOKUP(DG633,Lookup!BB$3:BC$20,2,FALSE)</f>
        <v>#N/A</v>
      </c>
      <c r="FA633" s="1804" t="e">
        <f>VLOOKUP(EX633,Lookup_Control_Type_Table,2,FALSE)</f>
        <v>#N/A</v>
      </c>
      <c r="FB633" s="1804" t="e">
        <f>VLOOKUP(CS635,'Space Table'!$B$3:$L$163,7,FALSE)</f>
        <v>#N/A</v>
      </c>
      <c r="FC633" s="1826" t="b">
        <f>ISNUMBER(SEARCH("TLED",U635))</f>
        <v>0</v>
      </c>
      <c r="FE633" s="1698" t="str">
        <f>CONCATENATE(CQ633," - ",DG633)</f>
        <v xml:space="preserve"> - 0</v>
      </c>
      <c r="FG633" s="1702" t="str">
        <f>VLOOKUP(CW635,Fixtures!DN$27:EZ$77,38,FALSE)</f>
        <v/>
      </c>
      <c r="FH633" s="1702">
        <f>IFERROR(FG633*EH633,0)</f>
        <v>0</v>
      </c>
      <c r="FI633" s="133"/>
      <c r="FL633" s="1822" t="str">
        <f>IF(CQ633="Exterior","Not Daylighted",G636)</f>
        <v>Not Daylighted</v>
      </c>
      <c r="FM633" s="1824">
        <f>VLOOKUP(FL633,_New_Daylight_Table_Codes,2,FALSE)</f>
        <v>0</v>
      </c>
      <c r="FN633" s="1698">
        <f>IF(__Retrofit_TI_NC&gt;0,VLOOKUP(G635,'Space Table'!$B$3:$L$163,11,FALSE),AG634)</f>
        <v>0</v>
      </c>
      <c r="FO633" s="1698" t="e">
        <f>IF(__Retrofit_TI_NC=2,VLOOKUP(FQ633,_Control_Table,2,FALSE),VLOOKUP(FN633,_Control_Table,2,FALSE))</f>
        <v>#N/A</v>
      </c>
      <c r="FP633" s="1678" t="e">
        <f>VLOOKUP(CONCATENATE(FL633," ",FN633),Lookup!AY$102:AZ643,2,FALSE)</f>
        <v>#N/A</v>
      </c>
      <c r="FQ633" s="1678">
        <f>IF(__Retrofit_TI_NC=0,FN633,IF(AND(FT633&gt;0,FN633="Occupancy Sensor"),"Daylight + Occupancy",IF(AND(FT633&gt;0,VLOOKUP(FN633,_Control_Table,2,FALSE)&lt;4),"Interior Daylight Dimming",FN633)))</f>
        <v>0</v>
      </c>
      <c r="FS633" s="1686">
        <f>IF(CR633="Interior",VLOOKUP(CS633,Control_Savings_Interior,5,FALSE),0)</f>
        <v>0</v>
      </c>
      <c r="FT633" s="1687">
        <f>IF(CQ633="Exterior",0,IF(FM633=2,0.5,IF(OR(FM633=1,FM633=3),1,0)))</f>
        <v>0</v>
      </c>
      <c r="FU633" s="1685">
        <f>IF(R632&gt;FS$44,(FS633*(FS$44/R632)),FS633)*FT633</f>
        <v>0</v>
      </c>
      <c r="FV633" s="1686">
        <f>DI633</f>
        <v>0</v>
      </c>
      <c r="FW633" s="1686">
        <f>ROUND(FV633+((1-FV633)*FU633),2)</f>
        <v>0</v>
      </c>
      <c r="FX633" s="1686">
        <f>IF(__Retrofit_TI_NC=2,FW633,FV633)</f>
        <v>0</v>
      </c>
      <c r="FY633" s="1697"/>
      <c r="GA633" s="1696" t="str">
        <f>IFERROR(VLOOKUP(U634,_Exist_Fixture_Table,3,FALSE),"")</f>
        <v/>
      </c>
      <c r="GB633" s="1696" t="str">
        <f>VLOOKUP(CW633,_Exist_Fixture_Table,4,FALSE)</f>
        <v/>
      </c>
      <c r="GC633" s="1696">
        <f>IFERROR(VLOOKUP(GB633,Lookup!AT$6:AU$8,2,FALSE),0)</f>
        <v>0</v>
      </c>
      <c r="GD633" s="1696" t="b">
        <f>IFERROR(IF(OR(GF633=4,GF633=5,GF633=6),TRUE,FALSE),"")</f>
        <v>0</v>
      </c>
      <c r="GE633" s="1696" t="str">
        <f>IFERROR(VLOOKUP(GF633,GC$6:GD$10,2,FALSE),"")</f>
        <v/>
      </c>
      <c r="GF633" s="1696" t="str">
        <f>VLOOKUP(CW635,Fixtures!R$31:Y$78,8,FALSE)</f>
        <v/>
      </c>
      <c r="GG633" s="1696">
        <f>IF(AND(GA633=TRUE,GD633=TRUE,OR(DQ633=12,DQ633=13,DQ633=14)),GC633+8,0)</f>
        <v>0</v>
      </c>
      <c r="GH633" s="1696" t="b">
        <f>IF(OR(GG633=12,GG633=13,GG633=14),TRUE,FALSE)</f>
        <v>0</v>
      </c>
      <c r="GI633" s="673" t="b">
        <f>IF(ISNUMBER(SEARCH("TLED",U634)),TRUE,FALSE)</f>
        <v>0</v>
      </c>
      <c r="GJ633" s="1135" t="str">
        <f>IFERROR(VLOOKUP(U634,Fixtures!BM$93:BR$142,6,FALSE),"")</f>
        <v/>
      </c>
      <c r="GK633" s="1832" t="b">
        <f>IF(OR(GI633=FALSE,GI635=FALSE),TRUE,IF(GJ633-GJ635&lt;5,FALSE,TRUE))</f>
        <v>1</v>
      </c>
      <c r="GO633" s="674">
        <f>GP633</f>
        <v>0</v>
      </c>
      <c r="GP633" s="674">
        <f>IF(G633="",0,1)</f>
        <v>0</v>
      </c>
      <c r="GQ633" s="674">
        <f ca="1">SUM(GR633:HF633)</f>
        <v>2</v>
      </c>
      <c r="GR633" s="674">
        <f>IF(G634="",0,1)</f>
        <v>0</v>
      </c>
      <c r="GS633" s="674">
        <f>IF(N636="BAM",1,IF(G635="",0,1))</f>
        <v>0</v>
      </c>
      <c r="GT633" s="674">
        <f>IF(N636="BAM",1,IF(R634="",0,1))</f>
        <v>0</v>
      </c>
      <c r="GU633" s="674">
        <f>IF(N636="BAM",1,IF(__Retrofit_TI_NC=0,1,IF(R635="",0,1)))</f>
        <v>1</v>
      </c>
      <c r="GV633" s="674">
        <f>IF(N636="BAM",1,IF(CQ633="Exterior",1,IF(G636="",0,1)))</f>
        <v>1</v>
      </c>
      <c r="GW633" s="674">
        <f>IF(__Retrofit_TI_NC&gt;0,1,IF(T634="",0,1))</f>
        <v>0</v>
      </c>
      <c r="GX633" s="674">
        <f>IF(__Retrofit_TI_NC&gt;0,1,IF(U634="",0,1))</f>
        <v>0</v>
      </c>
      <c r="GY633" s="674">
        <f>IF(N636="BAM",1,IF(T635="",0,1))</f>
        <v>0</v>
      </c>
      <c r="GZ633" s="674">
        <f>IF(N636="BAM",1,IF(U635="",0,1))</f>
        <v>0</v>
      </c>
      <c r="HA633" s="674">
        <f ca="1">IF(N636="BAM",1,IF(__Retrofit_TI_NC&gt;0,1,IF(U636="",0,1)))</f>
        <v>0</v>
      </c>
      <c r="HB633" s="674">
        <f>IF(__Retrofit_TI_NC&lt;&gt;0,1,IF(AF634="",0,1))</f>
        <v>0</v>
      </c>
      <c r="HC633" s="674">
        <f>IF(__Retrofit_TI_NC&lt;&gt;0,1,IF(AG634="",0,1))</f>
        <v>0</v>
      </c>
      <c r="HD633" s="674">
        <f>IF(N636="BAM",1,IF(AF635="",0,1))</f>
        <v>0</v>
      </c>
      <c r="HE633" s="674">
        <f>IF(N636="BAM",1,IF(AG635="",0,1))</f>
        <v>0</v>
      </c>
      <c r="HF633" s="674">
        <f>IF(N636="BAM",1,IF(__Retrofit_TI_NC&gt;0,1,IF(AG636="",0,1)))</f>
        <v>0</v>
      </c>
      <c r="HG633" s="391"/>
      <c r="IA633" s="391"/>
      <c r="IB633" s="1693" t="b">
        <f>IF(OR(IB636=0,IB636=HY$16,IB636=HX$16,IB636=HZ$16),TRUE,FALSE)</f>
        <v>0</v>
      </c>
      <c r="IC633" s="1694" t="b">
        <f>IB633</f>
        <v>0</v>
      </c>
      <c r="ID633" s="391"/>
      <c r="IE633" s="391"/>
      <c r="IF633" s="1688" t="b">
        <f ca="1">IF(MAX(GN636:HU636)&gt;5,FALSE,TRUE)</f>
        <v>0</v>
      </c>
      <c r="IG633" s="1689">
        <f ca="1">IF(IF633=TRUE,AC633,0)</f>
        <v>0</v>
      </c>
      <c r="IH633" s="1689">
        <f ca="1">IG633-IG635</f>
        <v>0</v>
      </c>
      <c r="IK633" s="1689" t="e">
        <f>ROUND(T634*VLOOKUP(U634,Fixtures_Existing_List,2,FALSE)*N634*R634/1000,0)</f>
        <v>#N/A</v>
      </c>
      <c r="IL633" s="1690" t="e">
        <f>IK633-IK635</f>
        <v>#N/A</v>
      </c>
      <c r="IM633" s="1693" t="e">
        <f>ROUND(IF(CQ633="Interior",N635*R635*R634*N634*_C406_reduction/1000,N635*R635*R634*N634/1000),0)</f>
        <v>#N/A</v>
      </c>
      <c r="IN633" s="1693" t="e">
        <f>IM633-IM635</f>
        <v>#N/A</v>
      </c>
      <c r="IP633" s="1679"/>
      <c r="IQ633" s="1679" t="e">
        <f t="shared" ref="IQ633:IU633" si="581">IF($CR633="interior",VLOOKUP($CS633,_New_Control_Savings_Interior,IQ$30,FALSE),VLOOKUP($CS633,Control_Savings_Exterior,IQ$30,FALSE))</f>
        <v>#N/A</v>
      </c>
      <c r="IR633" s="1679" t="e">
        <f t="shared" si="581"/>
        <v>#N/A</v>
      </c>
      <c r="IS633" s="1679" t="e">
        <f t="shared" si="581"/>
        <v>#N/A</v>
      </c>
      <c r="IT633" s="1679" t="e">
        <f t="shared" si="581"/>
        <v>#N/A</v>
      </c>
      <c r="IU633" s="1679" t="e">
        <f t="shared" si="581"/>
        <v>#N/A</v>
      </c>
      <c r="IV633" s="1679" t="e">
        <f>IF($CR633="interior",IF(R634&gt;$IP$14,ROUND(($IV$18*($IP$14/R634)),2),$IV$18),VLOOKUP($CS633,Control_Savings_Exterior,IV$30,FALSE))</f>
        <v>#N/A</v>
      </c>
      <c r="IW633" s="1679" t="e">
        <f>IF($CR633="interior",ROUND(((1-IS633)*IV633)+IS633,2),VLOOKUP($CS633,Control_Savings_Exterior,IW$30,FALSE))</f>
        <v>#N/A</v>
      </c>
      <c r="IX633" s="1679" t="e">
        <f>IF($CR633="interior",ROUND(((1-IT633)*IV633)+IT633,2),VLOOKUP($CS633,Control_Savings_Exterior,IX$30,FALSE))</f>
        <v>#N/A</v>
      </c>
      <c r="IY633" s="1679" t="e">
        <f>IF($CR633="interior",IF(R634&gt;$IP$14,ROUND(($IY$18*($IP$14/R634)),2),$IY$18),VLOOKUP($CS633,Control_Savings_Exterior,IY$30,FALSE))</f>
        <v>#N/A</v>
      </c>
      <c r="IZ633" s="1679" t="e">
        <f>IF($CR633="interior",ROUND(((1-IS633)*IY633)+IS633,2),VLOOKUP($CS633,Control_Savings_Exterior,IZ$30,FALSE))</f>
        <v>#N/A</v>
      </c>
      <c r="JA633" s="1679" t="e">
        <f>IF($CR633="interior",ROUND(((1-IT633)*IY633)+IT633,2),VLOOKUP($CS633,Control_Savings_Exterior,JA$30,FALSE))</f>
        <v>#N/A</v>
      </c>
      <c r="JC633" s="1680">
        <f>IFERROR(IF(CR633="Interior",CONCATENATE(G636," ",FQ633),FQ633),"")</f>
        <v>0</v>
      </c>
      <c r="JD633" s="1670" t="str">
        <f>IFERROR(VLOOKUP(JC633,_Controls_2023,2,FALSE),"")</f>
        <v/>
      </c>
      <c r="JE633" s="1681">
        <f>IFERROR(CHOOSE(JD633-1,IQ633,IR633,IS633,IT633,IU633,IV633,IW633,IX633,IY633,IZ633,JA633),0)</f>
        <v>0</v>
      </c>
      <c r="JG633" s="1680" t="str">
        <f>FE633</f>
        <v xml:space="preserve"> - 0</v>
      </c>
      <c r="JH633" s="1670" t="e">
        <f>$FO633</f>
        <v>#N/A</v>
      </c>
      <c r="JI633" s="1060"/>
      <c r="JJ633" s="1682" t="b">
        <f>IF($JG635=CONCATENATE("Interior - ",JJ$4),TRUE,FALSE)</f>
        <v>0</v>
      </c>
      <c r="JK633" s="1061"/>
      <c r="JL633" s="1682" t="b">
        <f>IF($JG635=CONCATENATE("Interior - ",JL$4),TRUE,FALSE)</f>
        <v>0</v>
      </c>
      <c r="JM633" s="1061"/>
      <c r="JN633" s="1682" t="b">
        <f>IF($JG635=CONCATENATE("Interior - ",JN$4),TRUE,FALSE)</f>
        <v>0</v>
      </c>
      <c r="JO633" s="1061"/>
      <c r="JP633" s="1682" t="b">
        <f>IF(__Retrofit_TI_NC&gt;0,FALSE,IF($JG635=CONCATENATE("Interior - ",JP$4),TRUE,FALSE))</f>
        <v>0</v>
      </c>
      <c r="JQ633" s="1061"/>
      <c r="JR633" s="1682" t="b">
        <f>IF(__Retrofit_TI_NC&gt;0,FALSE,IF($JG635=CONCATENATE("Interior - ",JR$4),TRUE,FALSE))</f>
        <v>0</v>
      </c>
      <c r="JS633" s="1061"/>
      <c r="JT633" s="1670" t="b">
        <f>IF(__Retrofit_TI_NC&gt;0,FALSE,IF($JG635=CONCATENATE("Interior - ",JT$4),TRUE,FALSE))</f>
        <v>0</v>
      </c>
      <c r="JU633" s="1061"/>
      <c r="JV633" s="1670" t="b">
        <f>IF(JC635="AELC on Existing",TRUE,FALSE)</f>
        <v>0</v>
      </c>
      <c r="JX633" s="1670" t="b">
        <f>IF(OR(JG635="Exterior - AELC Occupancy based",JG635="Exterior - AELC Time based"),TRUE,FALSE)</f>
        <v>0</v>
      </c>
      <c r="JZ633" s="1682" t="b">
        <f>IF($JG635=CONCATENATE("Exterior - ",JZ$4),TRUE,FALSE)</f>
        <v>0</v>
      </c>
      <c r="KB633" s="1670" t="b">
        <f>IF(__Retrofit_TI_NC&gt;0,FALSE,IF($JG635=CONCATENATE("Interior - ",KB$4),TRUE,FALSE))</f>
        <v>0</v>
      </c>
    </row>
    <row r="634" spans="1:288" s="78" customFormat="1" ht="14.95" customHeight="1" thickTop="1" thickBot="1">
      <c r="B634" s="1845"/>
      <c r="C634" s="1846"/>
      <c r="D634" s="1847"/>
      <c r="E634" s="1737" t="s">
        <v>297</v>
      </c>
      <c r="F634" s="1738"/>
      <c r="G634" s="1739"/>
      <c r="H634" s="1739"/>
      <c r="I634" s="1739"/>
      <c r="J634" s="1739"/>
      <c r="K634" s="1739"/>
      <c r="L634" s="1739"/>
      <c r="M634" s="461" t="e">
        <f>IF(__Retrofit_TI_NC&lt;&gt;0,IF(VLOOKUP(G635,'Space Table'!$B$3:$L$163,3,FALSE)&gt;0,1,0),IF(__Retrofit_TI_NC=VLOOKUP(G635,'Space Table'!$B$3:$L$163,3,FALSE),1,0))</f>
        <v>#N/A</v>
      </c>
      <c r="N634" s="461" t="str">
        <f>IFERROR(VLOOKUP(G634,_Lookup_Heat_Type_Table_New,2,FALSE),"")</f>
        <v/>
      </c>
      <c r="O634" s="461">
        <f>IF(__Retrofit_TI_NC=1,CONCATENATE("TI ",G634),IF(__Retrofit_TI_NC=2,CONCATENATE("NC ",G634),G634))</f>
        <v>0</v>
      </c>
      <c r="P634" s="1740" t="s">
        <v>435</v>
      </c>
      <c r="Q634" s="1740"/>
      <c r="R634" s="595"/>
      <c r="S634" s="1792"/>
      <c r="T634" s="597"/>
      <c r="U634" s="1765"/>
      <c r="V634" s="1766"/>
      <c r="W634" s="1766"/>
      <c r="X634" s="1766"/>
      <c r="Y634" s="1766"/>
      <c r="Z634" s="1766"/>
      <c r="AA634" s="1766"/>
      <c r="AB634" s="1766"/>
      <c r="AC634" s="1766"/>
      <c r="AD634" s="1767"/>
      <c r="AE634" s="1000"/>
      <c r="AF634" s="597"/>
      <c r="AG634" s="1723"/>
      <c r="AH634" s="1724"/>
      <c r="AI634" s="1724"/>
      <c r="AJ634" s="1724"/>
      <c r="AK634" s="1725"/>
      <c r="AL634" s="996"/>
      <c r="AM634" s="1747"/>
      <c r="AN634" s="1775"/>
      <c r="AO634" s="1777"/>
      <c r="AP634" s="1780"/>
      <c r="AQ634" s="1781"/>
      <c r="AR634" s="1795"/>
      <c r="AS634" s="1795"/>
      <c r="AT634" s="1796"/>
      <c r="AU634" s="1735"/>
      <c r="AV634" s="1752"/>
      <c r="AW634" s="1705"/>
      <c r="AX634" s="467"/>
      <c r="AY634" s="1749"/>
      <c r="AZ634" s="1749"/>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696"/>
      <c r="CQ634" s="1696"/>
      <c r="CR634" s="1809"/>
      <c r="CS634" s="1811"/>
      <c r="CU634" s="1688"/>
      <c r="CV634" s="1703"/>
      <c r="CW634" s="1703"/>
      <c r="CX634" s="1703"/>
      <c r="CY634" s="1815"/>
      <c r="CZ634" s="1711"/>
      <c r="DA634" s="1818"/>
      <c r="DB634" s="1820"/>
      <c r="DC634" s="1820"/>
      <c r="DD634" s="1820"/>
      <c r="DF634" s="1703"/>
      <c r="DG634" s="1831"/>
      <c r="DH634" s="1703"/>
      <c r="DI634" s="1838"/>
      <c r="DJ634" s="1711"/>
      <c r="DK634" s="1712"/>
      <c r="DM634" s="1718"/>
      <c r="DO634" s="1708"/>
      <c r="DQ634" s="1715"/>
      <c r="DR634" s="1720"/>
      <c r="DS634" s="1816"/>
      <c r="DT634" s="1714"/>
      <c r="DU634" s="1715"/>
      <c r="DV634" s="1716"/>
      <c r="DX634" s="1715"/>
      <c r="DY634" s="1720"/>
      <c r="DZ634" s="1715"/>
      <c r="EA634" s="1715"/>
      <c r="EC634" s="1834"/>
      <c r="ED634" s="1834"/>
      <c r="EF634" s="1707"/>
      <c r="EG634" s="1712"/>
      <c r="EH634" s="1818"/>
      <c r="EI634" s="1712"/>
      <c r="EJ634" s="1712"/>
      <c r="EK634" s="1836"/>
      <c r="EL634" s="1836"/>
      <c r="EM634" s="1807"/>
      <c r="EN634" s="1839"/>
      <c r="EO634" s="1839"/>
      <c r="EP634" s="1817"/>
      <c r="EQ634" s="1817"/>
      <c r="ER634" s="1807"/>
      <c r="ES634" s="1807"/>
      <c r="ET634" s="1807"/>
      <c r="EV634" s="1715"/>
      <c r="EX634" s="1805"/>
      <c r="EY634" s="1805"/>
      <c r="EZ634" s="1805"/>
      <c r="FA634" s="1805"/>
      <c r="FB634" s="1805"/>
      <c r="FC634" s="1827"/>
      <c r="FE634" s="1698"/>
      <c r="FG634" s="1816"/>
      <c r="FH634" s="1816"/>
      <c r="FI634" s="133"/>
      <c r="FL634" s="1823"/>
      <c r="FM634" s="1825"/>
      <c r="FN634" s="1698"/>
      <c r="FO634" s="1698"/>
      <c r="FP634" s="1678"/>
      <c r="FQ634" s="1678"/>
      <c r="FS634" s="1687"/>
      <c r="FT634" s="1687"/>
      <c r="FU634" s="1685"/>
      <c r="FV634" s="1687"/>
      <c r="FW634" s="1687"/>
      <c r="FX634" s="1687"/>
      <c r="FY634" s="1697"/>
      <c r="GA634" s="1696"/>
      <c r="GB634" s="1696"/>
      <c r="GC634" s="1696"/>
      <c r="GD634" s="1696"/>
      <c r="GE634" s="1696"/>
      <c r="GF634" s="1696"/>
      <c r="GG634" s="1696"/>
      <c r="GH634" s="1696"/>
      <c r="GI634" s="673"/>
      <c r="GJ634" s="1135"/>
      <c r="GK634" s="1832"/>
      <c r="GM634" s="1693" t="b">
        <f ca="1">IF(AND(GP634=TRUE,GQ634=TRUE),TRUE,FALSE)</f>
        <v>0</v>
      </c>
      <c r="GN634" s="1684" t="b">
        <f>IFERROR(IF(__Retrofit_TI_NC=2,TRUE,IF(AU633="Yes",TRUE,FALSE)),FALSE)</f>
        <v>1</v>
      </c>
      <c r="GP634" s="1684" t="b">
        <f>IFERROR(IF(GP633=1,TRUE,FALSE),FALSE)</f>
        <v>0</v>
      </c>
      <c r="GQ634" s="1684" t="b">
        <f ca="1">IFERROR(IF(GQ633=GQ$14,TRUE,FALSE),FALSE)</f>
        <v>0</v>
      </c>
      <c r="HG634" s="1684" t="b">
        <f>IFERROR(IF(AND(__Retrofit_TI_NC&gt;0,CQ633="Interior"),FALSE,TRUE),FALSE)</f>
        <v>1</v>
      </c>
      <c r="HH634" s="1684" t="b">
        <f>IFERROR(IF(M634=1,TRUE,FALSE),FALSE)</f>
        <v>0</v>
      </c>
      <c r="HI634" s="1684" t="b">
        <f>IFERROR(IF(OR(M635=1,N636="BAM"),TRUE,FALSE),FALSE)</f>
        <v>0</v>
      </c>
      <c r="HJ634" s="1684" t="b">
        <f>IFERROR(IF(__Retrofit_TI_NC&lt;&gt;0,TRUE,IFERROR(IF(VLOOKUP(U634,Fixtures_Existing_List,2,FALSE)&lt;&gt;"",TRUE,FALSE),FALSE)),FALSE)</f>
        <v>0</v>
      </c>
      <c r="HK634" s="1684" t="b">
        <f>IFERROR(IF(VLOOKUP(U635,Fixtures_Proposed_List,2,FALSE)&lt;&gt;"",TRUE,FALSE),FALSE)</f>
        <v>0</v>
      </c>
      <c r="HL634" s="1684" t="b">
        <f>IF(AND(__Retrofit_TI_NC=2,FC633=TRUE),FALSE,TRUE)</f>
        <v>1</v>
      </c>
      <c r="HM634" s="1684" t="b">
        <f>GK633</f>
        <v>1</v>
      </c>
      <c r="HN634" s="1682" t="b">
        <f>IF(ISERROR(MATCH(FE633,_Control_Match[],0))=TRUE,FALSE,TRUE)</f>
        <v>0</v>
      </c>
      <c r="HO634" s="1693" t="b">
        <f>IFERROR(IF(EX633&lt;&gt;EY633,FALSE,TRUE),FALSE)</f>
        <v>1</v>
      </c>
      <c r="HP634" s="1693" t="b">
        <f>IFERROR(IF(EX635&lt;&gt;EY635,FALSE,TRUE),FALSE)</f>
        <v>1</v>
      </c>
      <c r="HQ634" s="1670" t="b">
        <f>IFERROR(IF(CQ633="Exterior",TRUE,IF(AND(OR(FM635=0,FM635=3),JD635&gt;6),FALSE,TRUE)),FALSE)</f>
        <v>0</v>
      </c>
      <c r="HR634" s="1684" t="b">
        <f>IFERROR(IF(AND(FO635=7,FC633=TRUE),FALSE,TRUE),FALSE)</f>
        <v>0</v>
      </c>
      <c r="HS634" s="1684" t="b">
        <f>IFERROR(IF(AND(T635&lt;&gt;AF635,OR(AG635="Interior LLLC", AG635="Interior NLC", AG635="LLLC (outside Daylight)",AG635="LLLC Controls Only"))=TRUE,FALSE,TRUE),FALSE)</f>
        <v>1</v>
      </c>
      <c r="HT634" s="1670" t="b">
        <f>IFERROR(IF(OR(AG635=Lookup!BB$17,AG635=Lookup!BB$18,AG635=Lookup!BB$19)=TRUE,IF(AF635&gt;T635,FALSE,TRUE),TRUE),FALSE)</f>
        <v>1</v>
      </c>
      <c r="HU634" s="1684" t="b">
        <f>IFERROR(IF(__Retrofit_TI_NC=2,IF(EZ635&lt;EZ633,FALSE,TRUE),TRUE),FALSE)</f>
        <v>1</v>
      </c>
      <c r="HV634" s="1684" t="b">
        <f>IF(CQ633="Interior",IL$6,TRUE)</f>
        <v>1</v>
      </c>
      <c r="HW634" s="1684" t="b">
        <f>IF(CQ633="Exterior",IL$8,TRUE)</f>
        <v>1</v>
      </c>
      <c r="HX634" s="1684" t="b">
        <f>IFERROR(IF(__Retrofit_TI_NC&lt;&gt;0,IF(AZ633&lt;AY633,FALSE,TRUE),TRUE),FALSE)</f>
        <v>1</v>
      </c>
      <c r="HY634" s="1684" t="b">
        <f>IFERROR(IF(AND(G634="Exterior",R634&gt;4200),FALSE,TRUE),FALSE)</f>
        <v>1</v>
      </c>
      <c r="HZ634" s="1684" t="b">
        <f>IFERROR(IF(AB636/AB633&lt;HZ$18,FALSE,TRUE),FALSE)</f>
        <v>0</v>
      </c>
      <c r="IB634" s="1691"/>
      <c r="IC634" s="1695"/>
      <c r="ID634" s="1694" t="str">
        <f>VLOOKUP(IB636,_Error_Table,4,FALSE)</f>
        <v>White</v>
      </c>
      <c r="IE634" s="391"/>
      <c r="IF634" s="1688"/>
      <c r="IG634" s="1689"/>
      <c r="IH634" s="1684"/>
      <c r="IK634" s="1689"/>
      <c r="IL634" s="1691"/>
      <c r="IM634" s="1691"/>
      <c r="IN634" s="1691"/>
      <c r="IP634" s="1679"/>
      <c r="IQ634" s="1679"/>
      <c r="IR634" s="1679"/>
      <c r="IS634" s="1679"/>
      <c r="IT634" s="1679"/>
      <c r="IU634" s="1679"/>
      <c r="IV634" s="1679"/>
      <c r="IW634" s="1679"/>
      <c r="IX634" s="1679"/>
      <c r="IY634" s="1679"/>
      <c r="IZ634" s="1679"/>
      <c r="JA634" s="1679"/>
      <c r="JC634" s="1680"/>
      <c r="JD634" s="1670"/>
      <c r="JE634" s="1681"/>
      <c r="JG634" s="1680"/>
      <c r="JH634" s="1670"/>
      <c r="JI634" s="1060"/>
      <c r="JJ634" s="1683"/>
      <c r="JK634" s="1061"/>
      <c r="JL634" s="1683"/>
      <c r="JM634" s="1061"/>
      <c r="JN634" s="1683"/>
      <c r="JO634" s="1061"/>
      <c r="JP634" s="1683"/>
      <c r="JQ634" s="1061"/>
      <c r="JR634" s="1683"/>
      <c r="JS634" s="1061"/>
      <c r="JT634" s="1670"/>
      <c r="JU634" s="1061"/>
      <c r="JV634" s="1670"/>
      <c r="JX634" s="1670"/>
      <c r="JZ634" s="1683"/>
      <c r="KB634" s="1670"/>
    </row>
    <row r="635" spans="1:288" s="78" customFormat="1" ht="14.95" customHeight="1" thickTop="1" thickBot="1">
      <c r="A635" s="78">
        <f>ROW()</f>
        <v>635</v>
      </c>
      <c r="B635" s="1845"/>
      <c r="C635" s="1846"/>
      <c r="D635" s="1847"/>
      <c r="E635" s="1737" t="s">
        <v>298</v>
      </c>
      <c r="F635" s="1738"/>
      <c r="G635" s="1760"/>
      <c r="H635" s="1761"/>
      <c r="I635" s="1761"/>
      <c r="J635" s="1761"/>
      <c r="K635" s="1761"/>
      <c r="L635" s="1762"/>
      <c r="M635" s="461">
        <f>IFERROR(IF(IF(__Retrofit_TI_NC&lt;&gt;0,IF(CQ633="Interior",MATCH(G635,Lookup_Interior_New,0),MATCH(G635,Lookup_Exterior_New,0)),IF(CQ633="Interior",MATCH(G635,Lookup_Interior,0),MATCH(G635,Lookup_Exterior_Areas,0)))&gt;0,1,0),0)</f>
        <v>0</v>
      </c>
      <c r="N635" s="461" t="e">
        <f>IF(__Retrofit_TI_NC=1,
VLOOKUP(G635,'Space Table'!$B$3:$L$163,4,FALSE),
IF(__Retrofit_TI_NC=2,VLOOKUP(G635,'Space Table'!$B$3:$L$163,5,FALSE),VLOOKUP(G635,'Space Table'!$B$3:$L$163,5,FALSE)))</f>
        <v>#N/A</v>
      </c>
      <c r="O635" s="461">
        <f>G635</f>
        <v>0</v>
      </c>
      <c r="P635" s="1738" t="str">
        <f>IFERROR(IF(__Retrofit_TI_NC=1,VLOOKUP(G635,'Space Table'!$B$3:$O$163,13,FALSE),IF(__Retrofit_TI_NC=2,VLOOKUP(G635,'Space Table'!$B$3:$O$163,14,FALSE),"Area (sf):")),"Area (sf):")</f>
        <v>Area (sf):</v>
      </c>
      <c r="Q635" s="1738"/>
      <c r="R635" s="596"/>
      <c r="S635" s="1763" t="s">
        <v>345</v>
      </c>
      <c r="T635" s="594"/>
      <c r="U635" s="1801"/>
      <c r="V635" s="1802"/>
      <c r="W635" s="1802"/>
      <c r="X635" s="1802"/>
      <c r="Y635" s="1802"/>
      <c r="Z635" s="1802"/>
      <c r="AA635" s="1802"/>
      <c r="AB635" s="1802"/>
      <c r="AC635" s="1802"/>
      <c r="AD635" s="1802"/>
      <c r="AE635" s="1803"/>
      <c r="AF635" s="594"/>
      <c r="AG635" s="1787"/>
      <c r="AH635" s="1787"/>
      <c r="AI635" s="1787"/>
      <c r="AJ635" s="1787"/>
      <c r="AK635" s="1787"/>
      <c r="AL635" s="1787"/>
      <c r="AM635" s="1726">
        <f>IFERROR(DI635,"")</f>
        <v>0</v>
      </c>
      <c r="AN635" s="1728" t="str">
        <f>IFERROR(ROUND(AM635*AC636,0),"")</f>
        <v/>
      </c>
      <c r="AO635" s="1730">
        <f>IFERROR(IF(IB633=FALSE,0,AC636-AN635),0)</f>
        <v>0</v>
      </c>
      <c r="AP635" s="1780"/>
      <c r="AQ635" s="1781"/>
      <c r="AR635" s="1795"/>
      <c r="AS635" s="1795"/>
      <c r="AT635" s="1796"/>
      <c r="AU635" s="1735"/>
      <c r="AV635" s="1752"/>
      <c r="AW635" s="1705"/>
      <c r="AX635" s="467"/>
      <c r="AY635" s="1749"/>
      <c r="AZ635" s="1749"/>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696"/>
      <c r="CQ635" s="1696"/>
      <c r="CR635" s="1808" t="str">
        <f>CQ633</f>
        <v/>
      </c>
      <c r="CS635" s="1810" t="str">
        <f>CS633</f>
        <v/>
      </c>
      <c r="CU635" s="1688" t="s">
        <v>345</v>
      </c>
      <c r="CV635" s="1702">
        <f>IF(IB633=TRUE,T635,0)</f>
        <v>0</v>
      </c>
      <c r="CW635" s="1702" t="str">
        <f>IF(IB633=TRUE,U635,"")</f>
        <v/>
      </c>
      <c r="CX635" s="1812">
        <f>IF(IB633=TRUE,U636,0)</f>
        <v>0</v>
      </c>
      <c r="CY635" s="1814">
        <f>IF(IB633=TRUE,AB636,0)</f>
        <v>0</v>
      </c>
      <c r="CZ635" s="1710">
        <f>IF(AND(__Retrofit_TI_NC&gt;0,CR633="interior"),0,IF(IB633=TRUE,AC636,0))</f>
        <v>0</v>
      </c>
      <c r="DA635" s="1818"/>
      <c r="DB635" s="1820"/>
      <c r="DC635" s="1820"/>
      <c r="DD635" s="1820"/>
      <c r="DF635" s="1702">
        <f>IF(IB633=TRUE,AF635,0)</f>
        <v>0</v>
      </c>
      <c r="DG635" s="1830" t="str">
        <f>IF(IB633=TRUE,AG635,"")</f>
        <v/>
      </c>
      <c r="DH635" s="1812">
        <f>AG636</f>
        <v>0</v>
      </c>
      <c r="DI635" s="1837">
        <f>JE635</f>
        <v>0</v>
      </c>
      <c r="DJ635" s="1710">
        <f>IF(AND(__Retrofit_TI_NC&gt;0,CR633="interior"),0,IF(IB633=TRUE,AN635,0))</f>
        <v>0</v>
      </c>
      <c r="DK635" s="1712"/>
      <c r="DN635" s="1717">
        <f>IFERROR(CZ635-DJ635,0)</f>
        <v>0</v>
      </c>
      <c r="DO635" s="1709"/>
      <c r="DQ635" s="1715"/>
      <c r="DR635" s="1719" t="str">
        <f>DQ633</f>
        <v/>
      </c>
      <c r="DS635" s="1816"/>
      <c r="DT635" s="1835" t="str">
        <f>IF(OR(DS633=7,DS633=8,DS633=9),"ALC","")</f>
        <v/>
      </c>
      <c r="DU635" s="1715"/>
      <c r="DV635" s="1716"/>
      <c r="DX635" s="1715"/>
      <c r="DY635" s="1829" t="str">
        <f>DX633</f>
        <v/>
      </c>
      <c r="DZ635" s="1715"/>
      <c r="EA635" s="1715"/>
      <c r="EC635" s="1834"/>
      <c r="ED635" s="1834"/>
      <c r="EF635" s="1707"/>
      <c r="EG635" s="1712"/>
      <c r="EH635" s="1818"/>
      <c r="EI635" s="1712"/>
      <c r="EJ635" s="1712"/>
      <c r="EK635" s="1836"/>
      <c r="EL635" s="1836"/>
      <c r="EM635" s="1807"/>
      <c r="EN635" s="1839"/>
      <c r="EO635" s="1839"/>
      <c r="EP635" s="1817"/>
      <c r="EQ635" s="1817"/>
      <c r="ER635" s="1807"/>
      <c r="ES635" s="1807"/>
      <c r="ET635" s="1807"/>
      <c r="EV635" s="1715"/>
      <c r="EX635" s="1805" t="str">
        <f>IFERROR(VLOOKUP(CS635,'Space Table'!$B$3:$L$163,8,FALSE),"")</f>
        <v/>
      </c>
      <c r="EY635" s="1805" t="str">
        <f>IFERROR(IF(FB635="Yes",VLOOKUP(AG635,Lookup_Control_Type_Table2,4,FALSE),VLOOKUP(AG635,Lookup_Control_Type_Table2,3,FALSE)),"")</f>
        <v/>
      </c>
      <c r="EZ635" s="1805" t="e">
        <f>VLOOKUP(AG635,Lookup!BB$3:BC$20,2,FALSE)</f>
        <v>#N/A</v>
      </c>
      <c r="FA635" s="1805" t="e">
        <f>VLOOKUP(EX633,Lookup_Control_Type_Table,2,FALSE)</f>
        <v>#N/A</v>
      </c>
      <c r="FB635" s="1805" t="e">
        <f>VLOOKUP(CS635,'Space Table'!$B$3:$L$163,7,FALSE)</f>
        <v>#N/A</v>
      </c>
      <c r="FC635" s="1827"/>
      <c r="FE635" s="1698" t="str">
        <f>CONCATENATE(CQ633," - ",AG635)</f>
        <v xml:space="preserve"> - </v>
      </c>
      <c r="FG635" s="1816"/>
      <c r="FH635" s="1816"/>
      <c r="FI635" s="133"/>
      <c r="FL635" s="1822" t="str">
        <f>IF(CQ633="Exterior","Not Daylighted",G636)</f>
        <v>Not Daylighted</v>
      </c>
      <c r="FM635" s="1824">
        <f>VLOOKUP(FL635,_New_Daylight_Table_Codes,2,FALSE)</f>
        <v>0</v>
      </c>
      <c r="FN635" s="1698">
        <f>AG635</f>
        <v>0</v>
      </c>
      <c r="FO635" s="1698" t="e">
        <f>VLOOKUP(FN635,_Control_Table,2,FALSE)</f>
        <v>#N/A</v>
      </c>
      <c r="FP635" s="1678" t="e">
        <f>VLOOKUP(CONCATENATE(FL635," ",FN635),Lookup!AY$102:AZ646,2,FALSE)</f>
        <v>#N/A</v>
      </c>
      <c r="FQ635" s="1698">
        <f>IF(__Retrofit_TI_NC=0,FN635,IF(AND(FT635&gt;0,FN635="Occupancy Sensor"),"Daylight + Occupancy",IF(AND(FT635&gt;0,FO635&lt;4),"Interior Daylight Dimming",FN635)))</f>
        <v>0</v>
      </c>
      <c r="FS635" s="1686">
        <f>IF(CQ633="Interior",VLOOKUP(CS633,Control_Savings_Interior,5,FALSE),0)</f>
        <v>0</v>
      </c>
      <c r="FT635" s="1687">
        <f>IF(CQ635="Exterior",0,IF(FM635=2,0.5,IF(OR(FM635=1,FM635=3),1,0)))</f>
        <v>0</v>
      </c>
      <c r="FU635" s="1685">
        <f>IF(R634&gt;FS$44,(FS635*(FS$44/R634)),FS635)*FT635</f>
        <v>0</v>
      </c>
      <c r="FV635" s="1686">
        <f>DI635</f>
        <v>0</v>
      </c>
      <c r="FW635" s="1686">
        <f>ROUND(FV635+((1-FV635)*FU635),2)</f>
        <v>0</v>
      </c>
      <c r="FX635" s="1686">
        <f>IF(__Retrofit_TI_NC=2,FW635,FV635)</f>
        <v>0</v>
      </c>
      <c r="FY635" s="1697">
        <f>IF(CR635="Interior",VLOOKUP(CS635,Control_Savings_Interior,4,FALSE),0)</f>
        <v>0</v>
      </c>
      <c r="GA635" s="1696"/>
      <c r="GB635" s="1696"/>
      <c r="GC635" s="1696"/>
      <c r="GD635" s="1696"/>
      <c r="GE635" s="1696"/>
      <c r="GF635" s="1696"/>
      <c r="GG635" s="1696"/>
      <c r="GH635" s="1696"/>
      <c r="GI635" s="673" t="b">
        <f>IF(ISNUMBER(SEARCH("TLED",U635)),TRUE,FALSE)</f>
        <v>0</v>
      </c>
      <c r="GJ635" s="1135" t="str">
        <f>IFERROR(VLOOKUP(U635,Fixtures!DM$93:DR$142,6,FALSE),"")</f>
        <v/>
      </c>
      <c r="GK635" s="1832"/>
      <c r="GM635" s="1692"/>
      <c r="GN635" s="1684"/>
      <c r="GP635" s="1684"/>
      <c r="GQ635" s="1684"/>
      <c r="HG635" s="1684"/>
      <c r="HH635" s="1684"/>
      <c r="HI635" s="1684"/>
      <c r="HJ635" s="1684"/>
      <c r="HK635" s="1684"/>
      <c r="HL635" s="1684"/>
      <c r="HM635" s="1684"/>
      <c r="HN635" s="1683"/>
      <c r="HO635" s="1692"/>
      <c r="HP635" s="1692"/>
      <c r="HQ635" s="1670"/>
      <c r="HR635" s="1684"/>
      <c r="HS635" s="1684"/>
      <c r="HT635" s="1670"/>
      <c r="HU635" s="1684"/>
      <c r="HV635" s="1684"/>
      <c r="HW635" s="1684"/>
      <c r="HX635" s="1684"/>
      <c r="HY635" s="1684"/>
      <c r="HZ635" s="1684"/>
      <c r="IB635" s="1692"/>
      <c r="IC635" s="1693" t="b">
        <f>IB633</f>
        <v>0</v>
      </c>
      <c r="ID635" s="1695"/>
      <c r="IE635" s="391"/>
      <c r="IF635" s="1688"/>
      <c r="IG635" s="1689">
        <f ca="1">IF(IF633=TRUE,AC636,0)</f>
        <v>0</v>
      </c>
      <c r="IH635" s="1684"/>
      <c r="IK635" s="1689" t="e">
        <f>ROUND(T635*AB636*N634*R634/1000,0)</f>
        <v>#VALUE!</v>
      </c>
      <c r="IL635" s="1691"/>
      <c r="IM635" s="1693" t="e">
        <f>ROUND(T635*AB636*N634*R634/1000,0)</f>
        <v>#VALUE!</v>
      </c>
      <c r="IN635" s="1691"/>
      <c r="IP635" s="1679"/>
      <c r="IQ635" s="1679" t="e">
        <f t="shared" ref="IQ635:IU635" si="582">IF($CR635="interior",VLOOKUP($CS635,_New_Control_Savings_Interior,IQ$30,FALSE),VLOOKUP($CS635,Control_Savings_Exterior,IQ$30,FALSE))</f>
        <v>#N/A</v>
      </c>
      <c r="IR635" s="1679" t="e">
        <f t="shared" si="582"/>
        <v>#N/A</v>
      </c>
      <c r="IS635" s="1679" t="e">
        <f t="shared" si="582"/>
        <v>#N/A</v>
      </c>
      <c r="IT635" s="1679" t="e">
        <f t="shared" si="582"/>
        <v>#N/A</v>
      </c>
      <c r="IU635" s="1679" t="e">
        <f t="shared" si="582"/>
        <v>#N/A</v>
      </c>
      <c r="IV635" s="1679" t="e">
        <f>IF($CR635="interior",IF(R634&gt;$IP$14,ROUND(($IV$18*($IP$14/R634)),2),$IV$18),VLOOKUP($CS635,Control_Savings_Exterior,IV$30,FALSE))</f>
        <v>#N/A</v>
      </c>
      <c r="IW635" s="1679" t="e">
        <f>IF($CR635="interior",ROUND(((1-IS635)*IV635)+IS635,2),VLOOKUP($CS635,Control_Savings_Exterior,IW$30,FALSE))</f>
        <v>#N/A</v>
      </c>
      <c r="IX635" s="1679" t="e">
        <f>IF($CR635="interior",ROUND(((1-IT635)*IV635)+IT635,2),VLOOKUP($CS635,Control_Savings_Exterior,IX$30,FALSE))</f>
        <v>#N/A</v>
      </c>
      <c r="IY635" s="1679" t="e">
        <f>IF($CR635="interior",IF(R634&gt;$IP$14,ROUND(($IY$18*($IP$14/R634)),2),$IY$18),VLOOKUP($CS635,Control_Savings_Exterior,IY$30,FALSE))</f>
        <v>#N/A</v>
      </c>
      <c r="IZ635" s="1679" t="e">
        <f>IF($CR635="interior",ROUND(((1-IS635)*IY635)+IS635,2),VLOOKUP($CS635,Control_Savings_Exterior,IZ$30,FALSE))</f>
        <v>#N/A</v>
      </c>
      <c r="JA635" s="1679" t="e">
        <f>IF($CR635="interior",ROUND(((1-IT635)*IY635)+IT635,2),VLOOKUP($CS635,Control_Savings_Exterior,JA$30,FALSE))</f>
        <v>#N/A</v>
      </c>
      <c r="JC635" s="1680">
        <f>IFERROR(IF(CR635="Interior",CONCATENATE(G636," ",FQ635),AG635),"")</f>
        <v>0</v>
      </c>
      <c r="JD635" s="1670" t="str">
        <f>IFERROR(VLOOKUP(JC635,_Controls_2023,2,FALSE),"")</f>
        <v/>
      </c>
      <c r="JE635" s="1681">
        <f>IFERROR(CHOOSE(JD635-1,IQ635,IR635,IS635,IT635,IU635,IV635,IW635,IX635,IY635,IZ635,JA635),0)</f>
        <v>0</v>
      </c>
      <c r="JG635" s="1680" t="str">
        <f>FE635</f>
        <v xml:space="preserve"> - </v>
      </c>
      <c r="JH635" s="1670" t="e">
        <f>$FO635</f>
        <v>#N/A</v>
      </c>
      <c r="JI635" s="1060"/>
      <c r="JJ635" s="1670">
        <f>IFERROR(IF($IB633=TRUE,IF(OR(JJ$14="No",JJ633=FALSE,JH635&lt;=JH633,AND(_kWh_Grant=0,GD633=FALSE)),0,IF(JJ$8="Per Line",1,$AF635)),0),0)</f>
        <v>0</v>
      </c>
      <c r="JK635" s="1061"/>
      <c r="JL635" s="1670">
        <f>IFERROR(IF(_kWh_Grant=0,0,IF($IB633=TRUE,IF(OR(JL$14="No",JL633=FALSE,JH635&lt;=JH633),0,IF(JL$8="Per Line",1,$T635)),0)),0)</f>
        <v>0</v>
      </c>
      <c r="JM635" s="1061"/>
      <c r="JN635" s="1670">
        <f>IFERROR(IF(_kWh_Grant=0,0,IF($IB633=TRUE,IF(OR(JN$14="No",JN633=FALSE,JH635&lt;=JH633),0,IF(JN$8="Per Line",1,$AF635)),0)),0)</f>
        <v>0</v>
      </c>
      <c r="JO635" s="1061"/>
      <c r="JP635" s="1670">
        <f>IFERROR(IF(__Retrofit_TI_NC=0,IF(_kWh_Grant=0,0,IF($IB633=TRUE,IF(OR(JP$14="No",JP633=FALSE,$JH635&lt;=$JH633),0,IF(JP$8="Per Line",1,$AF635)),0)),IF($IB633=TRUE,IF(OR(JP$14="No",JP633=FALSE,$JH635&lt;=$JH633),0,IF(JP$8="Per Line",1,$AF635)))),0)</f>
        <v>0</v>
      </c>
      <c r="JQ635" s="1061"/>
      <c r="JR635" s="1670">
        <f>IFERROR(IF(__Retrofit_TI_NC=0,IF(_kWh_Grant=0,0,IF($IB633=TRUE,IF(OR(JR$14="No",JR633=FALSE,$JH635&lt;=$JH633),0,IF(JR$8="Per Line",1,$AF635)),0)),IF($IB633=TRUE,IF(OR(JR$14="No",JR633=FALSE,$JH635&lt;=$JH633),0,IF(JR$8="Per Line",1,$AF635)))),0)</f>
        <v>0</v>
      </c>
      <c r="JS635" s="1061"/>
      <c r="JT635" s="1670">
        <f>IFERROR(IF(__Retrofit_TI_NC=0,IF(_kWh_Grant=0,0,IF($IB633=TRUE,IF(OR(JT$14="No",JT633=FALSE,$JH635&lt;=$JH633),0,IF(JT$8="Per Line",1,$AF635)),0)),IF($IB633=TRUE,IF(OR(JT$14="No",JT633=FALSE,$JH635&lt;=$JH633),0,IF(JT$8="Per Line",1,$AF635)))),0)</f>
        <v>0</v>
      </c>
      <c r="JU635" s="1061"/>
      <c r="JV635" s="1670">
        <f>IFERROR(IF(__Retrofit_TI_NC=0,IF(_kWh_Grant=0,0,IF($IB633=TRUE,IF(OR(JV$14="No",JV633=FALSE,$JH635&lt;=$JH633),0,IF(JV$8="Per Line",1,$AF635)),0)),IF($IB633=TRUE,IF(OR(JV$14="No",JV633=FALSE,$JH635&lt;=$JH633),0,IF(JV$8="Per Line",1,$AF635)))),0)</f>
        <v>0</v>
      </c>
      <c r="JX635" s="1670">
        <f>IFERROR(IF(__Retrofit_TI_NC=0,IF(_kWh_Grant=0,0,IF($IB633=TRUE,IF(OR(JX$14="No",JX633=FALSE,$JH635&lt;=$JH633),0,IF(JX$8="Per Line",1,$AF635)),0)),IF($IB633=TRUE,IF(OR(JX$14="No",JX633=FALSE,$JH635&lt;=$JH633),0,IF(JX$8="Per Line",1,$AF635)))),0)</f>
        <v>0</v>
      </c>
      <c r="JZ635" s="1670">
        <f>IFERROR(IF($IB633=TRUE,IF(OR(JZ$14="No",JZ633=FALSE,$JH635&lt;=$JH633,AND(_kWh_Grant=0,$GD633=FALSE)),0,IF(JZ$8="Per Line",1,$AF635)),0),0)</f>
        <v>0</v>
      </c>
      <c r="KB635" s="1670">
        <f>IFERROR(IF(__Retrofit_TI_NC=0,IF(_kWh_Grant=0,0,IF($IB633=TRUE,IF(OR(KB$14="No",KB633=FALSE,$JH635&lt;=$JH633),0,IF(KB$8="Per Line",1,$AF635)),0)),IF($IB633=TRUE,IF(OR(KB$14="No",KB633=FALSE,$JH635&lt;=$JH633),0,IF(KB$8="Per Line",1,$AF635)))),0)</f>
        <v>0</v>
      </c>
    </row>
    <row r="636" spans="1:288" s="78" customFormat="1" ht="14.95" customHeight="1" thickTop="1" thickBot="1">
      <c r="B636" s="1845"/>
      <c r="C636" s="1846"/>
      <c r="D636" s="1847"/>
      <c r="E636" s="1771" t="s">
        <v>436</v>
      </c>
      <c r="F636" s="1772"/>
      <c r="G636" s="1784" t="s">
        <v>437</v>
      </c>
      <c r="H636" s="1785"/>
      <c r="I636" s="1785"/>
      <c r="J636" s="1785"/>
      <c r="K636" s="1785"/>
      <c r="L636" s="1786"/>
      <c r="M636" s="591">
        <f>IFERROR(VLOOKUP(G636,_Daylight_Table[],2,FALSE),0)</f>
        <v>0</v>
      </c>
      <c r="N636" s="592" t="str">
        <f>IF(AND(__Retrofit_TI_NC&gt;0,CQ633="Interior"),"BAM","")</f>
        <v/>
      </c>
      <c r="O636" s="591" t="e">
        <f>VLOOKUP(G635,'Space Table'!$B$3:$L$163,11,FALSE)</f>
        <v>#N/A</v>
      </c>
      <c r="P636" s="1789"/>
      <c r="Q636" s="1790"/>
      <c r="R636" s="1790"/>
      <c r="S636" s="1788"/>
      <c r="T636" s="593" t="s">
        <v>342</v>
      </c>
      <c r="U636" s="1756" t="str" cm="1">
        <f t="array" aca="1" ref="U636" ca="1">IFERROR(VLOOKUP(INDIRECT("U" &amp; ROW()-1),Fixtures!DM$93:DP$142,4,FALSE),"")</f>
        <v/>
      </c>
      <c r="V636" s="1757"/>
      <c r="W636" s="1757"/>
      <c r="X636" s="1757"/>
      <c r="Y636" s="1757"/>
      <c r="Z636" s="1757"/>
      <c r="AA636" s="1758"/>
      <c r="AB636" s="939" t="str">
        <f>IFERROR(VLOOKUP(U635,Fixtures_Proposed_List,2,FALSE),"")</f>
        <v/>
      </c>
      <c r="AC636" s="933" t="str">
        <f>IFERROR(ROUND(T635*AB636*N634*R634/1000,0),"")</f>
        <v/>
      </c>
      <c r="AD636" s="934" t="str">
        <f>IFERROR(ROUND(T635*AB636/1000,2),"")</f>
        <v/>
      </c>
      <c r="AE636" s="998"/>
      <c r="AF636" s="938" t="s">
        <v>342</v>
      </c>
      <c r="AG636" s="1770"/>
      <c r="AH636" s="1770"/>
      <c r="AI636" s="1770"/>
      <c r="AJ636" s="1770"/>
      <c r="AK636" s="1770"/>
      <c r="AL636" s="1770"/>
      <c r="AM636" s="1727"/>
      <c r="AN636" s="1729"/>
      <c r="AO636" s="1731"/>
      <c r="AP636" s="1782"/>
      <c r="AQ636" s="1783"/>
      <c r="AR636" s="1797"/>
      <c r="AS636" s="1797"/>
      <c r="AT636" s="1798"/>
      <c r="AU636" s="1736"/>
      <c r="AV636" s="1753"/>
      <c r="AW636" s="1706"/>
      <c r="AX636" s="468"/>
      <c r="AY636" s="1750"/>
      <c r="AZ636" s="1750"/>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696"/>
      <c r="CQ636" s="1696"/>
      <c r="CR636" s="1809"/>
      <c r="CS636" s="1811"/>
      <c r="CU636" s="1688"/>
      <c r="CV636" s="1703"/>
      <c r="CW636" s="1703"/>
      <c r="CX636" s="1813"/>
      <c r="CY636" s="1815"/>
      <c r="CZ636" s="1711"/>
      <c r="DA636" s="1815"/>
      <c r="DB636" s="1821"/>
      <c r="DC636" s="1821"/>
      <c r="DD636" s="1821"/>
      <c r="DF636" s="1703"/>
      <c r="DG636" s="1831"/>
      <c r="DH636" s="1813"/>
      <c r="DI636" s="1838"/>
      <c r="DJ636" s="1711"/>
      <c r="DK636" s="1712"/>
      <c r="DN636" s="1718"/>
      <c r="DO636" s="1709"/>
      <c r="DQ636" s="1715"/>
      <c r="DR636" s="1720"/>
      <c r="DS636" s="1703"/>
      <c r="DT636" s="1714"/>
      <c r="DU636" s="1715"/>
      <c r="DV636" s="1716"/>
      <c r="DX636" s="1715"/>
      <c r="DY636" s="1720"/>
      <c r="DZ636" s="1715"/>
      <c r="EA636" s="1715"/>
      <c r="EC636" s="1834"/>
      <c r="ED636" s="1834"/>
      <c r="EF636" s="1707"/>
      <c r="EG636" s="1712"/>
      <c r="EH636" s="1815"/>
      <c r="EI636" s="1712"/>
      <c r="EJ636" s="1712"/>
      <c r="EK636" s="1813"/>
      <c r="EL636" s="1813"/>
      <c r="EM636" s="1807"/>
      <c r="EN636" s="1839"/>
      <c r="EO636" s="1839"/>
      <c r="EP636" s="1817"/>
      <c r="EQ636" s="1817"/>
      <c r="ER636" s="1807"/>
      <c r="ES636" s="1807"/>
      <c r="ET636" s="1807"/>
      <c r="EV636" s="1715"/>
      <c r="EX636" s="1806"/>
      <c r="EY636" s="1806"/>
      <c r="EZ636" s="1806"/>
      <c r="FA636" s="1806"/>
      <c r="FB636" s="1806"/>
      <c r="FC636" s="1828"/>
      <c r="FE636" s="1698"/>
      <c r="FG636" s="1703"/>
      <c r="FH636" s="1703"/>
      <c r="FI636" s="133"/>
      <c r="FL636" s="1823"/>
      <c r="FM636" s="1825"/>
      <c r="FN636" s="1698"/>
      <c r="FO636" s="1698"/>
      <c r="FP636" s="1678"/>
      <c r="FQ636" s="1698"/>
      <c r="FS636" s="1687"/>
      <c r="FT636" s="1687"/>
      <c r="FU636" s="1685"/>
      <c r="FV636" s="1687"/>
      <c r="FW636" s="1687"/>
      <c r="FX636" s="1687"/>
      <c r="FY636" s="1697"/>
      <c r="GA636" s="1696"/>
      <c r="GB636" s="1696"/>
      <c r="GC636" s="1696"/>
      <c r="GD636" s="1696"/>
      <c r="GE636" s="1696"/>
      <c r="GF636" s="1696"/>
      <c r="GG636" s="1696"/>
      <c r="GH636" s="1696"/>
      <c r="GI636" s="673"/>
      <c r="GJ636" s="1135"/>
      <c r="GK636" s="1832"/>
      <c r="GN636" s="674">
        <f>IF(GN634=TRUE,0,GN$16)</f>
        <v>0</v>
      </c>
      <c r="GP636" s="674">
        <f>IF(GP634=TRUE,0,GP$16)</f>
        <v>36</v>
      </c>
      <c r="GQ636" s="674">
        <f ca="1">IF(GQ634=TRUE,0,GQ$16)</f>
        <v>35</v>
      </c>
      <c r="GR636" s="391"/>
      <c r="GS636" s="391"/>
      <c r="GT636" s="391"/>
      <c r="GU636" s="391"/>
      <c r="GV636" s="391"/>
      <c r="HG636" s="674">
        <f>IF(HG634=TRUE,0,HG$16)</f>
        <v>0</v>
      </c>
      <c r="HH636" s="674">
        <f t="shared" ref="HH636:HM636" si="583">IF(HH634=TRUE,0,HH$16)</f>
        <v>19</v>
      </c>
      <c r="HI636" s="674">
        <f t="shared" si="583"/>
        <v>18</v>
      </c>
      <c r="HJ636" s="674">
        <f t="shared" si="583"/>
        <v>17</v>
      </c>
      <c r="HK636" s="674">
        <f t="shared" si="583"/>
        <v>16</v>
      </c>
      <c r="HL636" s="674">
        <f t="shared" si="583"/>
        <v>0</v>
      </c>
      <c r="HM636" s="674">
        <f t="shared" si="583"/>
        <v>0</v>
      </c>
      <c r="HN636" s="674">
        <f>IF(HN634=TRUE,0,HN$16)</f>
        <v>13</v>
      </c>
      <c r="HO636" s="674">
        <f t="shared" ref="HO636:HQ636" si="584">IF(HO634=TRUE,0,HO$16)</f>
        <v>0</v>
      </c>
      <c r="HP636" s="674">
        <f t="shared" si="584"/>
        <v>0</v>
      </c>
      <c r="HQ636" s="674">
        <f t="shared" si="584"/>
        <v>10</v>
      </c>
      <c r="HR636" s="674">
        <f>IF(HR634=TRUE,0,HR$16)</f>
        <v>9</v>
      </c>
      <c r="HS636" s="674">
        <f t="shared" ref="HS636:HW636" si="585">IF(HS634=TRUE,0,HS$16)</f>
        <v>0</v>
      </c>
      <c r="HT636" s="674">
        <f t="shared" si="585"/>
        <v>0</v>
      </c>
      <c r="HU636" s="674">
        <f t="shared" si="585"/>
        <v>0</v>
      </c>
      <c r="HV636" s="674">
        <f t="shared" si="585"/>
        <v>0</v>
      </c>
      <c r="HW636" s="674">
        <f t="shared" si="585"/>
        <v>0</v>
      </c>
      <c r="HX636" s="674">
        <f>IF(HX634=TRUE,0,HX$16)</f>
        <v>0</v>
      </c>
      <c r="HY636" s="674">
        <f>IF(HY634=TRUE,0,HY$16)</f>
        <v>0</v>
      </c>
      <c r="HZ636" s="674">
        <f>IF(HZ634=TRUE,0,HZ$16)</f>
        <v>1</v>
      </c>
      <c r="IB636" s="674">
        <f>IF(GP634=FALSE,GP636,IF(GQ634=FALSE,GQ636,MAX(GN636:HZ636)))</f>
        <v>36</v>
      </c>
      <c r="IC636" s="1692"/>
      <c r="ID636" s="205" t="str">
        <f>VLOOKUP(IB636,_Error_Table,3,FALSE)</f>
        <v xml:space="preserve"> </v>
      </c>
      <c r="IE636" s="205"/>
      <c r="IF636" s="1688"/>
      <c r="IG636" s="1689"/>
      <c r="IH636" s="1684"/>
      <c r="IK636" s="1689"/>
      <c r="IL636" s="1692"/>
      <c r="IM636" s="1692"/>
      <c r="IN636" s="1692"/>
      <c r="IP636" s="1679"/>
      <c r="IQ636" s="1679"/>
      <c r="IR636" s="1679"/>
      <c r="IS636" s="1679"/>
      <c r="IT636" s="1679"/>
      <c r="IU636" s="1679"/>
      <c r="IV636" s="1679"/>
      <c r="IW636" s="1679"/>
      <c r="IX636" s="1679"/>
      <c r="IY636" s="1679"/>
      <c r="IZ636" s="1679"/>
      <c r="JA636" s="1679"/>
      <c r="JC636" s="1680"/>
      <c r="JD636" s="1670"/>
      <c r="JE636" s="1681"/>
      <c r="JG636" s="1680"/>
      <c r="JH636" s="1670"/>
      <c r="JI636" s="1060"/>
      <c r="JJ636" s="1670"/>
      <c r="JK636" s="1061"/>
      <c r="JL636" s="1670"/>
      <c r="JM636" s="1061"/>
      <c r="JN636" s="1670"/>
      <c r="JO636" s="1061"/>
      <c r="JP636" s="1670"/>
      <c r="JQ636" s="1061"/>
      <c r="JR636" s="1670"/>
      <c r="JS636" s="1061"/>
      <c r="JT636" s="1670"/>
      <c r="JU636" s="1061"/>
      <c r="JV636" s="1670"/>
      <c r="JX636" s="1670"/>
      <c r="JZ636" s="1670"/>
      <c r="KB636" s="1670"/>
    </row>
    <row r="637" spans="1:288" s="78" customFormat="1" ht="5.0999999999999996" customHeight="1">
      <c r="B637" s="676"/>
      <c r="C637" s="392"/>
      <c r="D637" s="392"/>
      <c r="E637" s="1733"/>
      <c r="F637" s="1733"/>
      <c r="G637" s="1733"/>
      <c r="H637" s="1733"/>
      <c r="I637" s="1733"/>
      <c r="J637" s="1733"/>
      <c r="K637" s="1733"/>
      <c r="L637" s="1733"/>
      <c r="M637" s="1733"/>
      <c r="N637" s="1733"/>
      <c r="O637" s="1733"/>
      <c r="P637" s="1733"/>
      <c r="Q637" s="1733"/>
      <c r="R637" s="1733"/>
      <c r="S637" s="1733"/>
      <c r="T637" s="1733"/>
      <c r="U637" s="1733"/>
      <c r="V637" s="1733"/>
      <c r="W637" s="1733"/>
      <c r="X637" s="1733"/>
      <c r="Y637" s="1733"/>
      <c r="Z637" s="1733"/>
      <c r="AA637" s="1733"/>
      <c r="AB637" s="1733"/>
      <c r="AC637" s="1733"/>
      <c r="AD637" s="1733"/>
      <c r="AE637" s="1733"/>
      <c r="AF637" s="1733"/>
      <c r="AG637" s="1733"/>
      <c r="AH637" s="1733"/>
      <c r="AI637" s="1733"/>
      <c r="AJ637" s="1733"/>
      <c r="AK637" s="1733"/>
      <c r="AL637" s="1733"/>
      <c r="AM637" s="1733"/>
      <c r="AN637" s="1733"/>
      <c r="AO637" s="1733"/>
      <c r="AP637" s="1733"/>
      <c r="AQ637" s="1733"/>
      <c r="AR637" s="1733"/>
      <c r="AS637" s="1733"/>
      <c r="AT637" s="1733"/>
      <c r="AU637" s="1733"/>
      <c r="AV637" s="1733"/>
      <c r="AW637" s="1733"/>
      <c r="AX637" s="469"/>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663"/>
      <c r="CQ637" s="663"/>
      <c r="CR637" s="438"/>
      <c r="CS637" s="663"/>
      <c r="CV637" s="391"/>
      <c r="CW637" s="391"/>
      <c r="CX637" s="207"/>
      <c r="CY637" s="208"/>
      <c r="CZ637" s="208"/>
      <c r="DA637" s="208"/>
      <c r="DB637" s="209"/>
      <c r="DC637" s="209"/>
      <c r="DD637" s="209"/>
      <c r="DF637" s="664"/>
      <c r="DG637" s="665"/>
      <c r="DH637" s="666"/>
      <c r="DI637" s="667"/>
      <c r="DJ637" s="668"/>
      <c r="DK637" s="668"/>
      <c r="DN637" s="208"/>
      <c r="DO637" s="664"/>
      <c r="DQ637" s="664"/>
      <c r="DR637" s="669"/>
      <c r="DS637" s="391"/>
      <c r="DT637" s="664"/>
      <c r="DU637" s="664"/>
      <c r="DV637" s="664"/>
      <c r="DX637" s="664"/>
      <c r="DY637" s="664"/>
      <c r="DZ637" s="664"/>
      <c r="EA637" s="664"/>
      <c r="EC637" s="670"/>
      <c r="ED637" s="670"/>
      <c r="EF637" s="668"/>
      <c r="EG637" s="668"/>
      <c r="EH637" s="208"/>
      <c r="EI637" s="668"/>
      <c r="EJ637" s="668"/>
      <c r="EK637" s="207"/>
      <c r="EL637" s="207"/>
      <c r="EM637" s="666"/>
      <c r="EN637" s="671"/>
      <c r="EO637" s="671"/>
      <c r="EP637" s="672"/>
      <c r="EQ637" s="672"/>
      <c r="ER637" s="666"/>
      <c r="ES637" s="666"/>
      <c r="ET637" s="666"/>
      <c r="EV637" s="664"/>
      <c r="EX637" s="391"/>
      <c r="EY637" s="391"/>
      <c r="EZ637" s="391"/>
      <c r="FA637" s="391"/>
      <c r="FB637" s="391"/>
      <c r="FC637" s="391"/>
      <c r="FE637" s="569"/>
      <c r="FG637" s="391"/>
      <c r="FH637" s="391"/>
      <c r="FI637" s="391"/>
      <c r="FS637" s="664"/>
      <c r="FT637" s="391"/>
      <c r="FU637" s="391"/>
      <c r="FV637" s="664"/>
      <c r="FW637" s="664"/>
      <c r="GA637" s="663"/>
      <c r="GB637" s="663"/>
      <c r="GC637" s="663"/>
      <c r="GD637" s="663"/>
      <c r="GE637" s="663"/>
      <c r="GF637" s="663"/>
      <c r="GG637" s="663"/>
      <c r="GH637" s="663"/>
      <c r="GI637" s="665"/>
      <c r="GJ637" s="664"/>
      <c r="GK637" s="664"/>
    </row>
    <row r="638" spans="1:288">
      <c r="DX638" s="669"/>
      <c r="DY638" s="669"/>
      <c r="DZ638" s="669"/>
      <c r="EA638" s="669"/>
      <c r="EB638" s="669"/>
      <c r="EC638" s="669"/>
      <c r="ED638" s="669"/>
      <c r="EE638" s="669"/>
      <c r="EF638" s="677" t="s">
        <v>344</v>
      </c>
      <c r="EG638" s="677" t="s">
        <v>345</v>
      </c>
      <c r="EH638" s="677" t="s">
        <v>234</v>
      </c>
      <c r="EI638" s="677" t="s">
        <v>347</v>
      </c>
      <c r="EJ638" s="677" t="s">
        <v>348</v>
      </c>
      <c r="EK638" s="677"/>
      <c r="EL638" s="677"/>
      <c r="EM638" s="677" t="s">
        <v>349</v>
      </c>
      <c r="EN638" s="677" t="s">
        <v>234</v>
      </c>
      <c r="EO638" s="677" t="s">
        <v>347</v>
      </c>
      <c r="EP638" s="677" t="s">
        <v>234</v>
      </c>
      <c r="EQ638" s="677" t="s">
        <v>347</v>
      </c>
      <c r="ER638" s="677" t="s">
        <v>234</v>
      </c>
      <c r="ES638" s="677" t="s">
        <v>347</v>
      </c>
      <c r="ET638" s="677"/>
      <c r="EV638" s="38">
        <f>ROW()</f>
        <v>638</v>
      </c>
    </row>
    <row r="639" spans="1:288" s="78" customFormat="1" ht="20.05" customHeight="1">
      <c r="B639" s="211"/>
      <c r="C639" s="392"/>
      <c r="D639" s="392"/>
      <c r="E639" s="211"/>
      <c r="F639" s="211"/>
      <c r="G639" s="211"/>
      <c r="H639" s="211"/>
      <c r="I639" s="438"/>
      <c r="J639" s="438"/>
      <c r="K639" s="438"/>
      <c r="L639" s="438"/>
      <c r="M639" s="438"/>
      <c r="N639" s="438"/>
      <c r="O639" s="438"/>
      <c r="P639" s="438"/>
      <c r="Q639" s="438"/>
      <c r="R639" s="391"/>
      <c r="S639" s="206"/>
      <c r="T639" s="391"/>
      <c r="U639" s="205"/>
      <c r="V639" s="205"/>
      <c r="W639" s="205"/>
      <c r="X639" s="205"/>
      <c r="Y639" s="205"/>
      <c r="Z639" s="205"/>
      <c r="AA639" s="207"/>
      <c r="AB639" s="391"/>
      <c r="AC639" s="208"/>
      <c r="AD639" s="209"/>
      <c r="AE639" s="209"/>
      <c r="AF639" s="391"/>
      <c r="AG639" s="205"/>
      <c r="AH639" s="205"/>
      <c r="AI639" s="205"/>
      <c r="AJ639" s="205"/>
      <c r="AK639" s="205"/>
      <c r="AL639" s="207"/>
      <c r="AM639" s="210"/>
      <c r="AN639" s="208"/>
      <c r="AO639" s="208"/>
      <c r="AP639" s="1768" t="s">
        <v>407</v>
      </c>
      <c r="AQ639" s="1769"/>
      <c r="AR639" s="1867" t="s">
        <v>433</v>
      </c>
      <c r="AS639" s="1867"/>
      <c r="AT639" s="1867" t="s">
        <v>257</v>
      </c>
      <c r="AU639" s="1867"/>
      <c r="AV639" s="1867"/>
      <c r="AW639" s="1867"/>
      <c r="AX639" s="4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101" t="s">
        <v>354</v>
      </c>
      <c r="CQ639" s="101" t="s">
        <v>355</v>
      </c>
      <c r="CR639" s="101"/>
      <c r="CS639" s="101" t="s">
        <v>356</v>
      </c>
      <c r="CT639" s="38"/>
      <c r="CU639" s="38"/>
      <c r="CV639" s="37" t="s">
        <v>341</v>
      </c>
      <c r="CW639" s="38"/>
      <c r="CX639" s="101" t="s">
        <v>342</v>
      </c>
      <c r="CY639" s="38"/>
      <c r="CZ639" s="38"/>
      <c r="DA639" s="101" t="s">
        <v>343</v>
      </c>
      <c r="DB639" s="101" t="s">
        <v>344</v>
      </c>
      <c r="DC639" s="101" t="s">
        <v>345</v>
      </c>
      <c r="DD639" s="101" t="s">
        <v>346</v>
      </c>
      <c r="DE639" s="391"/>
      <c r="DF639" s="37" t="s">
        <v>357</v>
      </c>
      <c r="DG639" s="38"/>
      <c r="DH639" s="101" t="s">
        <v>342</v>
      </c>
      <c r="DI639" s="37"/>
      <c r="DJ639" s="101" t="s">
        <v>343</v>
      </c>
      <c r="DK639" s="101" t="s">
        <v>343</v>
      </c>
      <c r="DL639" s="38"/>
      <c r="DM639" s="101" t="s">
        <v>430</v>
      </c>
      <c r="DN639" s="101" t="s">
        <v>430</v>
      </c>
      <c r="DO639" s="101" t="s">
        <v>286</v>
      </c>
      <c r="DP639" s="38"/>
      <c r="DQ639" s="1732" t="s">
        <v>234</v>
      </c>
      <c r="DR639" s="1732"/>
      <c r="DS639" s="101" t="s">
        <v>347</v>
      </c>
      <c r="DT639" s="101"/>
      <c r="DU639" s="101" t="s">
        <v>358</v>
      </c>
      <c r="DV639" s="101" t="s">
        <v>358</v>
      </c>
      <c r="DW639" s="38"/>
      <c r="DX639" s="1732" t="s">
        <v>347</v>
      </c>
      <c r="DY639" s="1732"/>
      <c r="DZ639" s="101" t="s">
        <v>358</v>
      </c>
      <c r="EA639" s="101" t="s">
        <v>359</v>
      </c>
      <c r="EB639" s="38"/>
      <c r="EC639" s="101" t="s">
        <v>360</v>
      </c>
      <c r="ED639" s="101" t="s">
        <v>361</v>
      </c>
      <c r="EE639" s="391"/>
      <c r="EF639" s="609" t="s">
        <v>234</v>
      </c>
      <c r="EG639" s="609" t="s">
        <v>234</v>
      </c>
      <c r="EH639" s="609" t="s">
        <v>362</v>
      </c>
      <c r="EI639" s="609" t="s">
        <v>362</v>
      </c>
      <c r="EJ639" s="609" t="s">
        <v>362</v>
      </c>
      <c r="EK639" s="609" t="s">
        <v>234</v>
      </c>
      <c r="EL639" s="609" t="s">
        <v>347</v>
      </c>
      <c r="EM639" s="609" t="s">
        <v>347</v>
      </c>
      <c r="EN639" s="609" t="s">
        <v>363</v>
      </c>
      <c r="EO639" s="609" t="s">
        <v>363</v>
      </c>
      <c r="EP639" s="609" t="s">
        <v>363</v>
      </c>
      <c r="EQ639" s="609" t="s">
        <v>363</v>
      </c>
      <c r="ER639" s="609" t="s">
        <v>363</v>
      </c>
      <c r="ES639" s="609" t="s">
        <v>363</v>
      </c>
      <c r="ET639" s="609" t="s">
        <v>363</v>
      </c>
      <c r="EU639" s="391"/>
      <c r="EV639" s="391"/>
      <c r="EX639" s="391"/>
      <c r="EY639" s="391"/>
      <c r="EZ639" s="391"/>
      <c r="FA639" s="391"/>
      <c r="FB639" s="391"/>
      <c r="FC639" s="391"/>
      <c r="FG639" s="391"/>
      <c r="FH639" s="391"/>
      <c r="FI639" s="391"/>
      <c r="FL639" s="101" t="s">
        <v>364</v>
      </c>
      <c r="FM639" s="101" t="s">
        <v>365</v>
      </c>
      <c r="FN639" s="101" t="s">
        <v>366</v>
      </c>
      <c r="FO639" s="101" t="s">
        <v>367</v>
      </c>
      <c r="FP639" s="101"/>
      <c r="FQ639" s="38"/>
      <c r="FR639" s="38" t="s">
        <v>368</v>
      </c>
      <c r="FS639" s="101">
        <v>3200</v>
      </c>
      <c r="FT639" s="101" t="s">
        <v>369</v>
      </c>
      <c r="FU639" s="101" t="s">
        <v>370</v>
      </c>
      <c r="FV639" s="101" t="s">
        <v>371</v>
      </c>
      <c r="FW639" s="101" t="s">
        <v>370</v>
      </c>
      <c r="FX639" s="38"/>
      <c r="FY639" s="38"/>
    </row>
    <row r="640" spans="1:288" s="78" customFormat="1" ht="20.05" customHeight="1">
      <c r="B640" s="211"/>
      <c r="C640" s="585">
        <f>1+C562</f>
        <v>9</v>
      </c>
      <c r="D640" s="392"/>
      <c r="E640" s="205" t="str">
        <f>CONCATENATE(AH$20," - page ",C640)</f>
        <v xml:space="preserve"> - page 9</v>
      </c>
      <c r="F640" s="211"/>
      <c r="G640" s="211"/>
      <c r="H640" s="211"/>
      <c r="I640" s="438"/>
      <c r="J640" s="438"/>
      <c r="K640" s="438"/>
      <c r="L640" s="438"/>
      <c r="M640" s="438"/>
      <c r="N640" s="438"/>
      <c r="O640" s="438"/>
      <c r="P640" s="438"/>
      <c r="Q640" s="438"/>
      <c r="R640" s="391"/>
      <c r="S640" s="206"/>
      <c r="T640" s="391"/>
      <c r="U640" s="205"/>
      <c r="V640" s="205"/>
      <c r="W640" s="205"/>
      <c r="X640" s="205"/>
      <c r="Y640" s="205"/>
      <c r="Z640" s="205"/>
      <c r="AA640" s="207"/>
      <c r="AB640" s="599" t="s">
        <v>194</v>
      </c>
      <c r="AC640" s="599" t="s">
        <v>343</v>
      </c>
      <c r="AD640" s="599" t="s">
        <v>383</v>
      </c>
      <c r="AE640" s="999"/>
      <c r="AF640" s="391"/>
      <c r="AG640" s="205"/>
      <c r="AH640" s="205"/>
      <c r="AI640" s="205"/>
      <c r="AJ640" s="205"/>
      <c r="AK640" s="205"/>
      <c r="AL640" s="207"/>
      <c r="AM640" s="600" t="s">
        <v>286</v>
      </c>
      <c r="AN640" s="600" t="s">
        <v>407</v>
      </c>
      <c r="AO640" s="601" t="s">
        <v>432</v>
      </c>
      <c r="AP640" s="1840">
        <f>BA$4</f>
        <v>0</v>
      </c>
      <c r="AQ640" s="1841"/>
      <c r="AR640" s="1842">
        <f>BA$6</f>
        <v>0</v>
      </c>
      <c r="AS640" s="1843"/>
      <c r="AT640" s="1844"/>
      <c r="AU640" s="1898" t="str">
        <f>BA$2</f>
        <v>Rate Sch?</v>
      </c>
      <c r="AV640" s="1898"/>
      <c r="AW640" s="1684"/>
      <c r="AX640" s="391"/>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101" t="s">
        <v>381</v>
      </c>
      <c r="CQ640" s="101" t="s">
        <v>333</v>
      </c>
      <c r="CR640" s="101"/>
      <c r="CS640" s="101" t="s">
        <v>221</v>
      </c>
      <c r="CT640" s="38"/>
      <c r="CU640" s="38"/>
      <c r="CV640" s="101" t="s">
        <v>239</v>
      </c>
      <c r="CW640" s="101" t="s">
        <v>234</v>
      </c>
      <c r="CX640" s="101" t="s">
        <v>382</v>
      </c>
      <c r="CY640" s="101" t="s">
        <v>194</v>
      </c>
      <c r="CZ640" s="101" t="s">
        <v>343</v>
      </c>
      <c r="DA640" s="101" t="s">
        <v>346</v>
      </c>
      <c r="DB640" s="101" t="s">
        <v>383</v>
      </c>
      <c r="DC640" s="101" t="s">
        <v>383</v>
      </c>
      <c r="DD640" s="101" t="s">
        <v>383</v>
      </c>
      <c r="DE640" s="391"/>
      <c r="DF640" s="101" t="s">
        <v>239</v>
      </c>
      <c r="DG640" s="37" t="s">
        <v>347</v>
      </c>
      <c r="DH640" s="101" t="s">
        <v>382</v>
      </c>
      <c r="DI640" s="101" t="s">
        <v>384</v>
      </c>
      <c r="DJ640" s="101" t="s">
        <v>346</v>
      </c>
      <c r="DK640" s="101" t="s">
        <v>346</v>
      </c>
      <c r="DL640" s="38"/>
      <c r="DM640" s="101" t="s">
        <v>432</v>
      </c>
      <c r="DN640" s="101" t="s">
        <v>345</v>
      </c>
      <c r="DO640" s="38"/>
      <c r="DP640" s="38"/>
      <c r="DQ640" s="1833" t="s">
        <v>221</v>
      </c>
      <c r="DR640" s="1833"/>
      <c r="DS640" s="101" t="s">
        <v>221</v>
      </c>
      <c r="DT640" s="101"/>
      <c r="DU640" s="101" t="s">
        <v>234</v>
      </c>
      <c r="DV640" s="101" t="s">
        <v>385</v>
      </c>
      <c r="DW640" s="38"/>
      <c r="DX640" s="1833" t="s">
        <v>386</v>
      </c>
      <c r="DY640" s="1833"/>
      <c r="DZ640" s="101" t="s">
        <v>387</v>
      </c>
      <c r="EA640" s="101" t="s">
        <v>385</v>
      </c>
      <c r="EB640" s="38"/>
      <c r="EC640" s="101" t="s">
        <v>257</v>
      </c>
      <c r="ED640" s="101" t="s">
        <v>257</v>
      </c>
      <c r="EE640" s="391"/>
      <c r="EF640" s="609" t="s">
        <v>343</v>
      </c>
      <c r="EG640" s="609" t="s">
        <v>343</v>
      </c>
      <c r="EH640" s="609" t="s">
        <v>343</v>
      </c>
      <c r="EI640" s="609" t="s">
        <v>343</v>
      </c>
      <c r="EJ640" s="609" t="s">
        <v>343</v>
      </c>
      <c r="EK640" s="609" t="s">
        <v>342</v>
      </c>
      <c r="EL640" s="609" t="s">
        <v>342</v>
      </c>
      <c r="EM640" s="609" t="s">
        <v>342</v>
      </c>
      <c r="EN640" s="609" t="s">
        <v>388</v>
      </c>
      <c r="EO640" s="609" t="s">
        <v>388</v>
      </c>
      <c r="EP640" s="609" t="s">
        <v>389</v>
      </c>
      <c r="EQ640" s="609" t="s">
        <v>389</v>
      </c>
      <c r="ER640" s="609" t="s">
        <v>342</v>
      </c>
      <c r="ES640" s="609" t="s">
        <v>342</v>
      </c>
      <c r="ET640" s="609" t="s">
        <v>342</v>
      </c>
      <c r="EU640" s="391"/>
      <c r="EV640" s="391">
        <f>SUM(EV641:EV714)</f>
        <v>0</v>
      </c>
      <c r="EX640" s="391"/>
      <c r="EY640" s="391"/>
      <c r="EZ640" s="391"/>
      <c r="FA640" s="391"/>
      <c r="FB640" s="85" t="s">
        <v>385</v>
      </c>
      <c r="FC640" s="85" t="s">
        <v>218</v>
      </c>
      <c r="FG640" s="391"/>
      <c r="FH640" s="391"/>
      <c r="FI640" s="391"/>
      <c r="FL640" s="38"/>
      <c r="FM640" s="101" t="s">
        <v>328</v>
      </c>
      <c r="FN640" s="38"/>
      <c r="FO640" s="38"/>
      <c r="FP640" s="38"/>
      <c r="FQ640" s="38"/>
      <c r="FR640" s="38" t="s">
        <v>286</v>
      </c>
      <c r="FS640" s="101" t="s">
        <v>369</v>
      </c>
      <c r="FT640" s="101" t="s">
        <v>391</v>
      </c>
      <c r="FU640" s="101" t="s">
        <v>369</v>
      </c>
      <c r="FV640" s="101" t="s">
        <v>347</v>
      </c>
      <c r="FW640" s="37" t="s">
        <v>392</v>
      </c>
      <c r="FX640" s="38"/>
      <c r="FY640" s="101" t="s">
        <v>393</v>
      </c>
    </row>
    <row r="641" spans="1:288" s="78" customFormat="1" ht="14.95" customHeight="1">
      <c r="B641" s="1845" t="str">
        <f>ID644</f>
        <v xml:space="preserve"> </v>
      </c>
      <c r="C641" s="1846">
        <f>C633+1</f>
        <v>115</v>
      </c>
      <c r="D641" s="1847"/>
      <c r="E641" s="1799" t="s">
        <v>295</v>
      </c>
      <c r="F641" s="1800"/>
      <c r="G641" s="1741"/>
      <c r="H641" s="1742"/>
      <c r="I641" s="1742"/>
      <c r="J641" s="1742"/>
      <c r="K641" s="1742"/>
      <c r="L641" s="1742"/>
      <c r="M641" s="1742"/>
      <c r="N641" s="1742"/>
      <c r="O641" s="1742"/>
      <c r="P641" s="1742"/>
      <c r="Q641" s="1742"/>
      <c r="R641" s="1742"/>
      <c r="S641" s="1791" t="s">
        <v>344</v>
      </c>
      <c r="T641" s="590"/>
      <c r="U641" s="1743"/>
      <c r="V641" s="1744"/>
      <c r="W641" s="1744"/>
      <c r="X641" s="1744"/>
      <c r="Y641" s="1744"/>
      <c r="Z641" s="1744"/>
      <c r="AA641" s="1744"/>
      <c r="AB641" s="961" t="str">
        <f>IFERROR(IF(__Retrofit_TI_NC=0,VLOOKUP(U642,Fixtures_Existing_List,2,FALSE),ROUND(N643*R643/T643,10)),"")</f>
        <v/>
      </c>
      <c r="AC641" s="935" t="str">
        <f>IFERROR(IF(__Retrofit_TI_NC=0,ROUND(T642*AB641*N642*R642/1000,0),IF(CQ641="Interior",N643*R643*R642*N642*_C406_reduction/1000,N643*R643*R642*N642/1000)),"")</f>
        <v/>
      </c>
      <c r="AD641" s="936" t="str">
        <f>IFERROR(IF(C$43=0,ROUND(T642*AB641/1000,2),N643*R643/1000),"")</f>
        <v/>
      </c>
      <c r="AE641" s="997"/>
      <c r="AF641" s="937"/>
      <c r="AG641" s="1745" t="str">
        <f>IF(__Retrofit_TI_NC=0," Control","Select Advanced Control for New System")</f>
        <v xml:space="preserve"> Control</v>
      </c>
      <c r="AH641" s="1745"/>
      <c r="AI641" s="1745"/>
      <c r="AJ641" s="1745"/>
      <c r="AK641" s="1745"/>
      <c r="AL641" s="1745"/>
      <c r="AM641" s="1746">
        <f>IFERROR(DI641,"")</f>
        <v>0</v>
      </c>
      <c r="AN641" s="1774" t="str">
        <f>IFERROR(ROUND(AM641*AC641,0),"")</f>
        <v/>
      </c>
      <c r="AO641" s="1776">
        <f>IFERROR(IF(IB641=FALSE,0,AC641-AN641),0)</f>
        <v>0</v>
      </c>
      <c r="AP641" s="1778">
        <f>AO641-AO643</f>
        <v>0</v>
      </c>
      <c r="AQ641" s="1779"/>
      <c r="AR641" s="1793">
        <f>IFERROR(IF(IB641=FALSE,0,(T643*U644)+(AF643*AG644)),0)</f>
        <v>0</v>
      </c>
      <c r="AS641" s="1793"/>
      <c r="AT641" s="1794"/>
      <c r="AU641" s="1734" t="s">
        <v>237</v>
      </c>
      <c r="AV641" s="1751">
        <f>IF(AU641="Yes",1,0)</f>
        <v>1</v>
      </c>
      <c r="AW641" s="1704" t="str">
        <f>IF(OR(DQ641=4,DQ641=5,DQ641=6,DQ641=12),CONCATENATE("$",IF(GH641=TRUE,Lookup!$K$10,Lookup!$K$2)," /lamp"),CONCATENATE(TEXT(ED641,"$0.00"),"/ kWh"))</f>
        <v>$0.00/ kWh</v>
      </c>
      <c r="AX641" s="467"/>
      <c r="AY641" s="1748">
        <f ca="1">IFERROR(IF(GM642=TRUE,(AB644*T643)/R643,0),"NA")</f>
        <v>0</v>
      </c>
      <c r="AZ641" s="1748"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696" t="str">
        <f>N642</f>
        <v/>
      </c>
      <c r="CQ641" s="1696" t="str">
        <f>IFERROR(VLOOKUP(G642,_Lookup_Heat_Type_Table_New,3,FALSE),"")</f>
        <v/>
      </c>
      <c r="CR641" s="1808" t="str">
        <f>CQ641</f>
        <v/>
      </c>
      <c r="CS641" s="1810" t="str">
        <f>IFERROR(VLOOKUP(G643,'Space Table'!$B$3:$L$163,9,FALSE),"")</f>
        <v/>
      </c>
      <c r="CU641" s="1688" t="s">
        <v>344</v>
      </c>
      <c r="CV641" s="1702">
        <f>IF(IB641=TRUE,T642,0)</f>
        <v>0</v>
      </c>
      <c r="CW641" s="1702" t="str">
        <f>IF(IB641=TRUE,U642,"")</f>
        <v/>
      </c>
      <c r="CX641" s="1702"/>
      <c r="CY641" s="1814">
        <f>IF(IB641=TRUE,AB641,0)</f>
        <v>0</v>
      </c>
      <c r="CZ641" s="1710">
        <f>IF(AND(__Retrofit_TI_NC&gt;0,CR641="interior"),0,IF(IB641=TRUE,AC641,0))</f>
        <v>0</v>
      </c>
      <c r="DA641" s="1814">
        <f>IFERROR(IF(IB641=TRUE,CZ641-CZ643,0),0)</f>
        <v>0</v>
      </c>
      <c r="DB641" s="1819">
        <f>IF(IB641=TRUE,AD641,0)</f>
        <v>0</v>
      </c>
      <c r="DC641" s="1819">
        <f>IF(IB641=TRUE,AD644,0)</f>
        <v>0</v>
      </c>
      <c r="DD641" s="1819">
        <f>IFERROR(DB641-DC641,0)</f>
        <v>0</v>
      </c>
      <c r="DF641" s="1702">
        <f>IF(IB641=TRUE,AF642,0)</f>
        <v>0</v>
      </c>
      <c r="DG641" s="1830">
        <f>IFERROR(IF(__Retrofit_TI_NC=2,IF(CQ641="Exterior",O644,FQ641),FN641),"")</f>
        <v>0</v>
      </c>
      <c r="DH641" s="1702"/>
      <c r="DI641" s="1837">
        <f>JE641</f>
        <v>0</v>
      </c>
      <c r="DJ641" s="1710">
        <f>IF(AND(__Retrofit_TI_NC&gt;0,CR641="interior"),0,IF(IB641=TRUE,AN641,0))</f>
        <v>0</v>
      </c>
      <c r="DK641" s="1712">
        <f>IFERROR(IF(IB641=TRUE,DJ643-DJ641,0),0)</f>
        <v>0</v>
      </c>
      <c r="DM641" s="1717">
        <f>IFERROR(CZ641-DJ641,0)</f>
        <v>0</v>
      </c>
      <c r="DO641" s="1708">
        <f>DM641-DN643</f>
        <v>0</v>
      </c>
      <c r="DQ641" s="1715" t="str">
        <f>IFERROR(IF(AND(OR(GC641=4,GC641=5,GC641=6),OR(GF641=4,GF641=5,GF641=6)),GC641+8,VLOOKUP(CW643,Fixtures!R$31:Y$78,8,FALSE)),"")</f>
        <v/>
      </c>
      <c r="DR641" s="1829" t="str">
        <f>DQ641</f>
        <v/>
      </c>
      <c r="DS641" s="1702" t="str">
        <f>IFERROR(VLOOKUP(DG643,Lookup!BB$3:BC$20,2,FALSE),"")</f>
        <v/>
      </c>
      <c r="DT641" s="1713" t="str">
        <f>IF(OR(DS641=7,DS641=8,DS641=9),"ALC","")</f>
        <v/>
      </c>
      <c r="DU641" s="1715">
        <f>IFERROR(IF(OR(DQ641=4,DQ641=5,DQ641=6,DQ641=12,DQ641=13,DQ641=14),VLOOKUP(CW643,Fixtures!DN$27:EG$77,19,FALSE),1)*CV643,0)</f>
        <v>0</v>
      </c>
      <c r="DV641" s="1716">
        <f>IF(OR(DS641=7,DS641=8,DS641=9),IF(DG641=DG643,0,DF643),0)</f>
        <v>0</v>
      </c>
      <c r="DX641" s="1715" t="str">
        <f>IFERROR(IF(EZ641&lt;EZ643,"Yes","No"),"")</f>
        <v/>
      </c>
      <c r="DY641" s="1829" t="str">
        <f>DX641</f>
        <v/>
      </c>
      <c r="DZ641" s="1715">
        <f>IF(DX641="Yes",DF643,0)</f>
        <v>0</v>
      </c>
      <c r="EA641" s="1715">
        <f>DZ641-DV641</f>
        <v>0</v>
      </c>
      <c r="EC641" s="1834">
        <f>IFERROR(VLOOKUP(DQ641,Lookup!AU$3:AV$16,2,FALSE),0)</f>
        <v>0</v>
      </c>
      <c r="ED641" s="1834">
        <f>IF(IB641=FALSE,0,IF(DX641="Yes",EC641+Lookup!K$6,EC641))</f>
        <v>0</v>
      </c>
      <c r="EF641" s="1707">
        <f>IF(IB641=TRUE,DM641,0)</f>
        <v>0</v>
      </c>
      <c r="EG641" s="1712">
        <f>IF(IB641=TRUE,CZ643,0)</f>
        <v>0</v>
      </c>
      <c r="EH641" s="1814">
        <f>IFERROR(EF641-EG641,0)</f>
        <v>0</v>
      </c>
      <c r="EI641" s="1712">
        <f>IF(IB641=TRUE,DJ643,0)</f>
        <v>0</v>
      </c>
      <c r="EJ641" s="1712">
        <f>IFERROR(EF641-EG641+EI641,0)</f>
        <v>0</v>
      </c>
      <c r="EK641" s="1812">
        <f>IF(IB641=TRUE,CV643*CX643,0)</f>
        <v>0</v>
      </c>
      <c r="EL641" s="1812">
        <f>IF(IB641=TRUE,DF643*DH643,0)</f>
        <v>0</v>
      </c>
      <c r="EM641" s="1807">
        <f>AR641</f>
        <v>0</v>
      </c>
      <c r="EN641" s="1839" t="str">
        <f>IFERROR(IF(IB641=TRUE,VLOOKUP(DQ641,Lookup!AU$3:AW$16,3,FALSE)*DU641,""),0)</f>
        <v/>
      </c>
      <c r="EO641" s="1839">
        <f>IF(IB641=TRUE,DZ641*Lookup!AW$12,0)</f>
        <v>0</v>
      </c>
      <c r="EP641" s="1817">
        <f>IFERROR(IF(IB641=TRUE,EN641/EP$40,0),0)</f>
        <v>0</v>
      </c>
      <c r="EQ641" s="1817">
        <f>IF(IB641=TRUE,EO641/EQ$40,0)</f>
        <v>0</v>
      </c>
      <c r="ER641" s="1807">
        <f>IF(IB641=TRUE,ET$40*EP641,0)</f>
        <v>0</v>
      </c>
      <c r="ES641" s="1807">
        <f>IF(IB641=TRUE,ET$40*EQ641,0)</f>
        <v>0</v>
      </c>
      <c r="ET641" s="1807">
        <f>ER641+ES641</f>
        <v>0</v>
      </c>
      <c r="EV641" s="1715">
        <f>IF(G641="",0,1)</f>
        <v>0</v>
      </c>
      <c r="EX641" s="1804" t="str">
        <f>IFERROR(VLOOKUP(CS643,'Space Table'!$B$3:$L$163,8,FALSE),"")</f>
        <v/>
      </c>
      <c r="EY641" s="1804" t="str">
        <f>IFERROR(IF(FB641="Yes",VLOOKUP(DG641,Lookup_Control_Type_Table2,4,FALSE),VLOOKUP(DG641,Lookup_Control_Type_Table2,3,FALSE)),"")</f>
        <v/>
      </c>
      <c r="EZ641" s="1804" t="e">
        <f>VLOOKUP(DG641,Lookup!BB$3:BC$20,2,FALSE)</f>
        <v>#N/A</v>
      </c>
      <c r="FA641" s="1804" t="e">
        <f>VLOOKUP(EX641,Lookup_Control_Type_Table,2,FALSE)</f>
        <v>#N/A</v>
      </c>
      <c r="FB641" s="1804" t="e">
        <f>VLOOKUP(CS643,'Space Table'!$B$3:$L$163,7,FALSE)</f>
        <v>#N/A</v>
      </c>
      <c r="FC641" s="1826" t="b">
        <f>ISNUMBER(SEARCH("TLED",U643))</f>
        <v>0</v>
      </c>
      <c r="FE641" s="1698" t="str">
        <f>CONCATENATE(CQ641," - ",DG641)</f>
        <v xml:space="preserve"> - 0</v>
      </c>
      <c r="FG641" s="1702" t="str">
        <f>VLOOKUP(CW643,Fixtures!DN$27:EZ$77,38,FALSE)</f>
        <v/>
      </c>
      <c r="FH641" s="1702">
        <f>IFERROR(FG641*EH641,0)</f>
        <v>0</v>
      </c>
      <c r="FI641" s="133"/>
      <c r="FL641" s="1822" t="str">
        <f>IF(CQ641="Exterior","Not Daylighted",G644)</f>
        <v>Not Daylighted</v>
      </c>
      <c r="FM641" s="1824">
        <f>VLOOKUP(FL641,_New_Daylight_Table_Codes,2,FALSE)</f>
        <v>0</v>
      </c>
      <c r="FN641" s="1698">
        <f>IF(__Retrofit_TI_NC&gt;0,VLOOKUP(G643,'Space Table'!$B$3:$L$163,11,FALSE),AG642)</f>
        <v>0</v>
      </c>
      <c r="FO641" s="1698" t="e">
        <f>IF(__Retrofit_TI_NC=2,VLOOKUP(FQ641,_Control_Table,2,FALSE),VLOOKUP(FN641,_Control_Table,2,FALSE))</f>
        <v>#N/A</v>
      </c>
      <c r="FP641" s="1678" t="e">
        <f>VLOOKUP(CONCATENATE(FL641," ",FN641),Lookup!AY$102:AZ651,2,FALSE)</f>
        <v>#N/A</v>
      </c>
      <c r="FQ641" s="1678">
        <f>IF(__Retrofit_TI_NC=0,FN641,IF(AND(FT641&gt;0,FN641="Occupancy Sensor"),"Daylight + Occupancy",IF(AND(FT641&gt;0,VLOOKUP(FN641,_Control_Table,2,FALSE)&lt;4),"Interior Daylight Dimming",FN641)))</f>
        <v>0</v>
      </c>
      <c r="FS641" s="1686">
        <f>IF(CR641="Interior",VLOOKUP(CS641,Control_Savings_Interior,5,FALSE),0)</f>
        <v>0</v>
      </c>
      <c r="FT641" s="1687">
        <f>IF(CQ641="Exterior",0,IF(FM641=2,0.5,IF(OR(FM641=1,FM641=3),1,0)))</f>
        <v>0</v>
      </c>
      <c r="FU641" s="1685">
        <f>IF(R640&gt;FS$44,(FS641*(FS$44/R640)),FS641)*FT641</f>
        <v>0</v>
      </c>
      <c r="FV641" s="1686">
        <f>DI641</f>
        <v>0</v>
      </c>
      <c r="FW641" s="1686">
        <f>ROUND(FV641+((1-FV641)*FU641),2)</f>
        <v>0</v>
      </c>
      <c r="FX641" s="1686">
        <f>IF(__Retrofit_TI_NC=2,FW641,FV641)</f>
        <v>0</v>
      </c>
      <c r="FY641" s="1697"/>
      <c r="GA641" s="1696" t="str">
        <f>IFERROR(VLOOKUP(U642,_Exist_Fixture_Table,3,FALSE),"")</f>
        <v/>
      </c>
      <c r="GB641" s="1696" t="str">
        <f>VLOOKUP(CW641,_Exist_Fixture_Table,4,FALSE)</f>
        <v/>
      </c>
      <c r="GC641" s="1696">
        <f>IFERROR(VLOOKUP(GB641,Lookup!AT$6:AU$8,2,FALSE),0)</f>
        <v>0</v>
      </c>
      <c r="GD641" s="1696" t="b">
        <f>IFERROR(IF(OR(GF641=4,GF641=5,GF641=6),TRUE,FALSE),"")</f>
        <v>0</v>
      </c>
      <c r="GE641" s="1696" t="str">
        <f>IFERROR(VLOOKUP(GF641,GC$6:GD$10,2,FALSE),"")</f>
        <v/>
      </c>
      <c r="GF641" s="1696" t="str">
        <f>VLOOKUP(CW643,Fixtures!R$31:Y$78,8,FALSE)</f>
        <v/>
      </c>
      <c r="GG641" s="1696">
        <f>IF(AND(GA641=TRUE,GD641=TRUE,OR(DQ641=12,DQ641=13,DQ641=14)),GC641+8,0)</f>
        <v>0</v>
      </c>
      <c r="GH641" s="1696" t="b">
        <f>IF(OR(GG641=12,GG641=13,GG641=14),TRUE,FALSE)</f>
        <v>0</v>
      </c>
      <c r="GI641" s="673" t="b">
        <f>IF(ISNUMBER(SEARCH("TLED",U642)),TRUE,FALSE)</f>
        <v>0</v>
      </c>
      <c r="GJ641" s="1135" t="str">
        <f>IFERROR(VLOOKUP(U642,Fixtures!BM$93:BR$142,6,FALSE),"")</f>
        <v/>
      </c>
      <c r="GK641" s="1832" t="b">
        <f>IF(OR(GI641=FALSE,GI643=FALSE),TRUE,IF(GJ641-GJ643&lt;5,FALSE,TRUE))</f>
        <v>1</v>
      </c>
      <c r="GO641" s="674">
        <f>GP641</f>
        <v>0</v>
      </c>
      <c r="GP641" s="674">
        <f>IF(G641="",0,1)</f>
        <v>0</v>
      </c>
      <c r="GQ641" s="674">
        <f ca="1">SUM(GR641:HF641)</f>
        <v>2</v>
      </c>
      <c r="GR641" s="674">
        <f>IF(G642="",0,1)</f>
        <v>0</v>
      </c>
      <c r="GS641" s="674">
        <f>IF(N644="BAM",1,IF(G643="",0,1))</f>
        <v>0</v>
      </c>
      <c r="GT641" s="674">
        <f>IF(N644="BAM",1,IF(R642="",0,1))</f>
        <v>0</v>
      </c>
      <c r="GU641" s="674">
        <f>IF(N644="BAM",1,IF(__Retrofit_TI_NC=0,1,IF(R643="",0,1)))</f>
        <v>1</v>
      </c>
      <c r="GV641" s="674">
        <f>IF(N644="BAM",1,IF(CQ641="Exterior",1,IF(G644="",0,1)))</f>
        <v>1</v>
      </c>
      <c r="GW641" s="674">
        <f>IF(__Retrofit_TI_NC&gt;0,1,IF(T642="",0,1))</f>
        <v>0</v>
      </c>
      <c r="GX641" s="674">
        <f>IF(__Retrofit_TI_NC&gt;0,1,IF(U642="",0,1))</f>
        <v>0</v>
      </c>
      <c r="GY641" s="674">
        <f>IF(N644="BAM",1,IF(T643="",0,1))</f>
        <v>0</v>
      </c>
      <c r="GZ641" s="674">
        <f>IF(N644="BAM",1,IF(U643="",0,1))</f>
        <v>0</v>
      </c>
      <c r="HA641" s="674">
        <f ca="1">IF(N644="BAM",1,IF(__Retrofit_TI_NC&gt;0,1,IF(U644="",0,1)))</f>
        <v>0</v>
      </c>
      <c r="HB641" s="674">
        <f>IF(__Retrofit_TI_NC&lt;&gt;0,1,IF(AF642="",0,1))</f>
        <v>0</v>
      </c>
      <c r="HC641" s="674">
        <f>IF(__Retrofit_TI_NC&lt;&gt;0,1,IF(AG642="",0,1))</f>
        <v>0</v>
      </c>
      <c r="HD641" s="674">
        <f>IF(N644="BAM",1,IF(AF643="",0,1))</f>
        <v>0</v>
      </c>
      <c r="HE641" s="674">
        <f>IF(N644="BAM",1,IF(AG643="",0,1))</f>
        <v>0</v>
      </c>
      <c r="HF641" s="674">
        <f>IF(N644="BAM",1,IF(__Retrofit_TI_NC&gt;0,1,IF(AG644="",0,1)))</f>
        <v>0</v>
      </c>
      <c r="HG641" s="391"/>
      <c r="IA641" s="391"/>
      <c r="IB641" s="1693" t="b">
        <f>IF(OR(IB644=0,IB644=HY$16,IB644=HX$16,IB644=HZ$16),TRUE,FALSE)</f>
        <v>0</v>
      </c>
      <c r="IC641" s="1694" t="b">
        <f>IB641</f>
        <v>0</v>
      </c>
      <c r="ID641" s="391"/>
      <c r="IE641" s="391"/>
      <c r="IF641" s="1688" t="b">
        <f ca="1">IF(MAX(GN644:HU644)&gt;5,FALSE,TRUE)</f>
        <v>0</v>
      </c>
      <c r="IG641" s="1689">
        <f ca="1">IF(IF641=TRUE,AC641,0)</f>
        <v>0</v>
      </c>
      <c r="IH641" s="1689">
        <f ca="1">IG641-IG643</f>
        <v>0</v>
      </c>
      <c r="IK641" s="1689" t="e">
        <f>ROUND(T642*VLOOKUP(U642,Fixtures_Existing_List,2,FALSE)*N642*R642/1000,0)</f>
        <v>#N/A</v>
      </c>
      <c r="IL641" s="1690" t="e">
        <f>IK641-IK643</f>
        <v>#N/A</v>
      </c>
      <c r="IM641" s="1693" t="e">
        <f>ROUND(IF(CQ641="Interior",N643*R643*R642*N642*_C406_reduction/1000,N643*R643*R642*N642/1000),0)</f>
        <v>#N/A</v>
      </c>
      <c r="IN641" s="1693" t="e">
        <f>IM641-IM643</f>
        <v>#N/A</v>
      </c>
      <c r="IP641" s="1679"/>
      <c r="IQ641" s="1679" t="e">
        <f t="shared" ref="IQ641:IU641" si="586">IF($CR641="interior",VLOOKUP($CS641,_New_Control_Savings_Interior,IQ$30,FALSE),VLOOKUP($CS641,Control_Savings_Exterior,IQ$30,FALSE))</f>
        <v>#N/A</v>
      </c>
      <c r="IR641" s="1679" t="e">
        <f t="shared" si="586"/>
        <v>#N/A</v>
      </c>
      <c r="IS641" s="1679" t="e">
        <f t="shared" si="586"/>
        <v>#N/A</v>
      </c>
      <c r="IT641" s="1679" t="e">
        <f t="shared" si="586"/>
        <v>#N/A</v>
      </c>
      <c r="IU641" s="1679" t="e">
        <f t="shared" si="586"/>
        <v>#N/A</v>
      </c>
      <c r="IV641" s="1679" t="e">
        <f>IF($CR641="interior",IF(R642&gt;$IP$14,ROUND(($IV$18*($IP$14/R642)),2),$IV$18),VLOOKUP($CS641,Control_Savings_Exterior,IV$30,FALSE))</f>
        <v>#N/A</v>
      </c>
      <c r="IW641" s="1679" t="e">
        <f>IF($CR641="interior",ROUND(((1-IS641)*IV641)+IS641,2),VLOOKUP($CS641,Control_Savings_Exterior,IW$30,FALSE))</f>
        <v>#N/A</v>
      </c>
      <c r="IX641" s="1679" t="e">
        <f>IF($CR641="interior",ROUND(((1-IT641)*IV641)+IT641,2),VLOOKUP($CS641,Control_Savings_Exterior,IX$30,FALSE))</f>
        <v>#N/A</v>
      </c>
      <c r="IY641" s="1679" t="e">
        <f>IF($CR641="interior",IF(R642&gt;$IP$14,ROUND(($IY$18*($IP$14/R642)),2),$IY$18),VLOOKUP($CS641,Control_Savings_Exterior,IY$30,FALSE))</f>
        <v>#N/A</v>
      </c>
      <c r="IZ641" s="1679" t="e">
        <f>IF($CR641="interior",ROUND(((1-IS641)*IY641)+IS641,2),VLOOKUP($CS641,Control_Savings_Exterior,IZ$30,FALSE))</f>
        <v>#N/A</v>
      </c>
      <c r="JA641" s="1679" t="e">
        <f>IF($CR641="interior",ROUND(((1-IT641)*IY641)+IT641,2),VLOOKUP($CS641,Control_Savings_Exterior,JA$30,FALSE))</f>
        <v>#N/A</v>
      </c>
      <c r="JC641" s="1680">
        <f>IFERROR(IF(CR641="Interior",CONCATENATE(G644," ",FQ641),FQ641),"")</f>
        <v>0</v>
      </c>
      <c r="JD641" s="1670" t="str">
        <f>IFERROR(VLOOKUP(JC641,_Controls_2023,2,FALSE),"")</f>
        <v/>
      </c>
      <c r="JE641" s="1681">
        <f>IFERROR(CHOOSE(JD641-1,IQ641,IR641,IS641,IT641,IU641,IV641,IW641,IX641,IY641,IZ641,JA641),0)</f>
        <v>0</v>
      </c>
      <c r="JG641" s="1680" t="str">
        <f>FE641</f>
        <v xml:space="preserve"> - 0</v>
      </c>
      <c r="JH641" s="1670" t="e">
        <f>$FO641</f>
        <v>#N/A</v>
      </c>
      <c r="JI641" s="1060"/>
      <c r="JJ641" s="1682" t="b">
        <f>IF($JG643=CONCATENATE("Interior - ",JJ$4),TRUE,FALSE)</f>
        <v>0</v>
      </c>
      <c r="JK641" s="1061"/>
      <c r="JL641" s="1682" t="b">
        <f>IF($JG643=CONCATENATE("Interior - ",JL$4),TRUE,FALSE)</f>
        <v>0</v>
      </c>
      <c r="JM641" s="1061"/>
      <c r="JN641" s="1682" t="b">
        <f>IF($JG643=CONCATENATE("Interior - ",JN$4),TRUE,FALSE)</f>
        <v>0</v>
      </c>
      <c r="JO641" s="1061"/>
      <c r="JP641" s="1682" t="b">
        <f>IF(__Retrofit_TI_NC&gt;0,FALSE,IF($JG643=CONCATENATE("Interior - ",JP$4),TRUE,FALSE))</f>
        <v>0</v>
      </c>
      <c r="JQ641" s="1061"/>
      <c r="JR641" s="1682" t="b">
        <f>IF(__Retrofit_TI_NC&gt;0,FALSE,IF($JG643=CONCATENATE("Interior - ",JR$4),TRUE,FALSE))</f>
        <v>0</v>
      </c>
      <c r="JS641" s="1061"/>
      <c r="JT641" s="1670" t="b">
        <f>IF(__Retrofit_TI_NC&gt;0,FALSE,IF($JG643=CONCATENATE("Interior - ",JT$4),TRUE,FALSE))</f>
        <v>0</v>
      </c>
      <c r="JU641" s="1061"/>
      <c r="JV641" s="1670" t="b">
        <f>IF(JC643="AELC on Existing",TRUE,FALSE)</f>
        <v>0</v>
      </c>
      <c r="JX641" s="1670" t="b">
        <f>IF(OR(JG643="Exterior - AELC Occupancy based",JG643="Exterior - AELC Time based"),TRUE,FALSE)</f>
        <v>0</v>
      </c>
      <c r="JZ641" s="1682" t="b">
        <f>IF($JG643=CONCATENATE("Exterior - ",JZ$4),TRUE,FALSE)</f>
        <v>0</v>
      </c>
      <c r="KB641" s="1670" t="b">
        <f>IF(__Retrofit_TI_NC&gt;0,FALSE,IF($JG643=CONCATENATE("Interior - ",KB$4),TRUE,FALSE))</f>
        <v>0</v>
      </c>
    </row>
    <row r="642" spans="1:288" s="78" customFormat="1" ht="14.95" customHeight="1" thickTop="1" thickBot="1">
      <c r="B642" s="1845"/>
      <c r="C642" s="1846"/>
      <c r="D642" s="1847"/>
      <c r="E642" s="1737" t="s">
        <v>297</v>
      </c>
      <c r="F642" s="1738"/>
      <c r="G642" s="1739"/>
      <c r="H642" s="1739"/>
      <c r="I642" s="1739"/>
      <c r="J642" s="1739"/>
      <c r="K642" s="1739"/>
      <c r="L642" s="1739"/>
      <c r="M642" s="461" t="e">
        <f>IF(__Retrofit_TI_NC&lt;&gt;0,IF(VLOOKUP(G643,'Space Table'!$B$3:$L$163,3,FALSE)&gt;0,1,0),IF(__Retrofit_TI_NC=VLOOKUP(G643,'Space Table'!$B$3:$L$163,3,FALSE),1,0))</f>
        <v>#N/A</v>
      </c>
      <c r="N642" s="461" t="str">
        <f>IFERROR(VLOOKUP(G642,_Lookup_Heat_Type_Table_New,2,FALSE),"")</f>
        <v/>
      </c>
      <c r="O642" s="461">
        <f>IF(__Retrofit_TI_NC=1,CONCATENATE("TI ",G642),IF(__Retrofit_TI_NC=2,CONCATENATE("NC ",G642),G642))</f>
        <v>0</v>
      </c>
      <c r="P642" s="1740" t="s">
        <v>435</v>
      </c>
      <c r="Q642" s="1740"/>
      <c r="R642" s="595"/>
      <c r="S642" s="1792"/>
      <c r="T642" s="597"/>
      <c r="U642" s="1765"/>
      <c r="V642" s="1766"/>
      <c r="W642" s="1766"/>
      <c r="X642" s="1766"/>
      <c r="Y642" s="1766"/>
      <c r="Z642" s="1766"/>
      <c r="AA642" s="1766"/>
      <c r="AB642" s="1766"/>
      <c r="AC642" s="1766"/>
      <c r="AD642" s="1767"/>
      <c r="AE642" s="1000"/>
      <c r="AF642" s="597"/>
      <c r="AG642" s="1723"/>
      <c r="AH642" s="1724"/>
      <c r="AI642" s="1724"/>
      <c r="AJ642" s="1724"/>
      <c r="AK642" s="1725"/>
      <c r="AL642" s="996"/>
      <c r="AM642" s="1747"/>
      <c r="AN642" s="1775"/>
      <c r="AO642" s="1777"/>
      <c r="AP642" s="1780"/>
      <c r="AQ642" s="1781"/>
      <c r="AR642" s="1795"/>
      <c r="AS642" s="1795"/>
      <c r="AT642" s="1796"/>
      <c r="AU642" s="1735"/>
      <c r="AV642" s="1752"/>
      <c r="AW642" s="1705"/>
      <c r="AX642" s="467"/>
      <c r="AY642" s="1749"/>
      <c r="AZ642" s="1749"/>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696"/>
      <c r="CQ642" s="1696"/>
      <c r="CR642" s="1809"/>
      <c r="CS642" s="1811"/>
      <c r="CU642" s="1688"/>
      <c r="CV642" s="1703"/>
      <c r="CW642" s="1703"/>
      <c r="CX642" s="1703"/>
      <c r="CY642" s="1815"/>
      <c r="CZ642" s="1711"/>
      <c r="DA642" s="1818"/>
      <c r="DB642" s="1820"/>
      <c r="DC642" s="1820"/>
      <c r="DD642" s="1820"/>
      <c r="DF642" s="1703"/>
      <c r="DG642" s="1831"/>
      <c r="DH642" s="1703"/>
      <c r="DI642" s="1838"/>
      <c r="DJ642" s="1711"/>
      <c r="DK642" s="1712"/>
      <c r="DM642" s="1718"/>
      <c r="DO642" s="1708"/>
      <c r="DQ642" s="1715"/>
      <c r="DR642" s="1720"/>
      <c r="DS642" s="1816"/>
      <c r="DT642" s="1714"/>
      <c r="DU642" s="1715"/>
      <c r="DV642" s="1716"/>
      <c r="DX642" s="1715"/>
      <c r="DY642" s="1720"/>
      <c r="DZ642" s="1715"/>
      <c r="EA642" s="1715"/>
      <c r="EC642" s="1834"/>
      <c r="ED642" s="1834"/>
      <c r="EF642" s="1707"/>
      <c r="EG642" s="1712"/>
      <c r="EH642" s="1818"/>
      <c r="EI642" s="1712"/>
      <c r="EJ642" s="1712"/>
      <c r="EK642" s="1836"/>
      <c r="EL642" s="1836"/>
      <c r="EM642" s="1807"/>
      <c r="EN642" s="1839"/>
      <c r="EO642" s="1839"/>
      <c r="EP642" s="1817"/>
      <c r="EQ642" s="1817"/>
      <c r="ER642" s="1807"/>
      <c r="ES642" s="1807"/>
      <c r="ET642" s="1807"/>
      <c r="EV642" s="1715"/>
      <c r="EX642" s="1805"/>
      <c r="EY642" s="1805"/>
      <c r="EZ642" s="1805"/>
      <c r="FA642" s="1805"/>
      <c r="FB642" s="1805"/>
      <c r="FC642" s="1827"/>
      <c r="FE642" s="1698"/>
      <c r="FG642" s="1816"/>
      <c r="FH642" s="1816"/>
      <c r="FI642" s="133"/>
      <c r="FL642" s="1823"/>
      <c r="FM642" s="1825"/>
      <c r="FN642" s="1698"/>
      <c r="FO642" s="1698"/>
      <c r="FP642" s="1678"/>
      <c r="FQ642" s="1678"/>
      <c r="FS642" s="1687"/>
      <c r="FT642" s="1687"/>
      <c r="FU642" s="1685"/>
      <c r="FV642" s="1687"/>
      <c r="FW642" s="1687"/>
      <c r="FX642" s="1687"/>
      <c r="FY642" s="1697"/>
      <c r="GA642" s="1696"/>
      <c r="GB642" s="1696"/>
      <c r="GC642" s="1696"/>
      <c r="GD642" s="1696"/>
      <c r="GE642" s="1696"/>
      <c r="GF642" s="1696"/>
      <c r="GG642" s="1696"/>
      <c r="GH642" s="1696"/>
      <c r="GI642" s="673"/>
      <c r="GJ642" s="1135"/>
      <c r="GK642" s="1832"/>
      <c r="GM642" s="1693" t="b">
        <f ca="1">IF(AND(GP642=TRUE,GQ642=TRUE),TRUE,FALSE)</f>
        <v>0</v>
      </c>
      <c r="GN642" s="1684" t="b">
        <f>IFERROR(IF(__Retrofit_TI_NC=2,TRUE,IF(AU641="Yes",TRUE,FALSE)),FALSE)</f>
        <v>1</v>
      </c>
      <c r="GP642" s="1684" t="b">
        <f>IFERROR(IF(GP641=1,TRUE,FALSE),FALSE)</f>
        <v>0</v>
      </c>
      <c r="GQ642" s="1684" t="b">
        <f ca="1">IFERROR(IF(GQ641=GQ$14,TRUE,FALSE),FALSE)</f>
        <v>0</v>
      </c>
      <c r="HG642" s="1684" t="b">
        <f>IFERROR(IF(AND(__Retrofit_TI_NC&gt;0,CQ641="Interior"),FALSE,TRUE),FALSE)</f>
        <v>1</v>
      </c>
      <c r="HH642" s="1684" t="b">
        <f>IFERROR(IF(M642=1,TRUE,FALSE),FALSE)</f>
        <v>0</v>
      </c>
      <c r="HI642" s="1684" t="b">
        <f>IFERROR(IF(OR(M643=1,N644="BAM"),TRUE,FALSE),FALSE)</f>
        <v>0</v>
      </c>
      <c r="HJ642" s="1684" t="b">
        <f>IFERROR(IF(__Retrofit_TI_NC&lt;&gt;0,TRUE,IFERROR(IF(VLOOKUP(U642,Fixtures_Existing_List,2,FALSE)&lt;&gt;"",TRUE,FALSE),FALSE)),FALSE)</f>
        <v>0</v>
      </c>
      <c r="HK642" s="1684" t="b">
        <f>IFERROR(IF(VLOOKUP(U643,Fixtures_Proposed_List,2,FALSE)&lt;&gt;"",TRUE,FALSE),FALSE)</f>
        <v>0</v>
      </c>
      <c r="HL642" s="1684" t="b">
        <f>IF(AND(__Retrofit_TI_NC=2,FC641=TRUE),FALSE,TRUE)</f>
        <v>1</v>
      </c>
      <c r="HM642" s="1684" t="b">
        <f>GK641</f>
        <v>1</v>
      </c>
      <c r="HN642" s="1682" t="b">
        <f>IF(ISERROR(MATCH(FE641,_Control_Match[],0))=TRUE,FALSE,TRUE)</f>
        <v>0</v>
      </c>
      <c r="HO642" s="1693" t="b">
        <f>IFERROR(IF(EX641&lt;&gt;EY641,FALSE,TRUE),FALSE)</f>
        <v>1</v>
      </c>
      <c r="HP642" s="1693" t="b">
        <f>IFERROR(IF(EX643&lt;&gt;EY643,FALSE,TRUE),FALSE)</f>
        <v>1</v>
      </c>
      <c r="HQ642" s="1670" t="b">
        <f>IFERROR(IF(CQ641="Exterior",TRUE,IF(AND(OR(FM643=0,FM643=3),JD643&gt;6),FALSE,TRUE)),FALSE)</f>
        <v>0</v>
      </c>
      <c r="HR642" s="1684" t="b">
        <f>IFERROR(IF(AND(FO643=7,FC641=TRUE),FALSE,TRUE),FALSE)</f>
        <v>0</v>
      </c>
      <c r="HS642" s="1684" t="b">
        <f>IFERROR(IF(AND(T643&lt;&gt;AF643,OR(AG643="Interior LLLC", AG643="Interior NLC", AG643="LLLC (outside Daylight)",AG643="LLLC Controls Only"))=TRUE,FALSE,TRUE),FALSE)</f>
        <v>1</v>
      </c>
      <c r="HT642" s="1670" t="b">
        <f>IFERROR(IF(OR(AG643=Lookup!BB$17,AG643=Lookup!BB$18,AG643=Lookup!BB$19)=TRUE,IF(AF643&gt;T643,FALSE,TRUE),TRUE),FALSE)</f>
        <v>1</v>
      </c>
      <c r="HU642" s="1684" t="b">
        <f>IFERROR(IF(__Retrofit_TI_NC=2,IF(EZ643&lt;EZ641,FALSE,TRUE),TRUE),FALSE)</f>
        <v>1</v>
      </c>
      <c r="HV642" s="1684" t="b">
        <f>IF(CQ641="Interior",IL$6,TRUE)</f>
        <v>1</v>
      </c>
      <c r="HW642" s="1684" t="b">
        <f>IF(CQ641="Exterior",IL$8,TRUE)</f>
        <v>1</v>
      </c>
      <c r="HX642" s="1684" t="b">
        <f>IFERROR(IF(__Retrofit_TI_NC&lt;&gt;0,IF(AZ641&lt;AY641,FALSE,TRUE),TRUE),FALSE)</f>
        <v>1</v>
      </c>
      <c r="HY642" s="1684" t="b">
        <f>IFERROR(IF(AND(G642="Exterior",R642&gt;4200),FALSE,TRUE),FALSE)</f>
        <v>1</v>
      </c>
      <c r="HZ642" s="1684" t="b">
        <f>IFERROR(IF(AB644/AB641&lt;HZ$18,FALSE,TRUE),FALSE)</f>
        <v>0</v>
      </c>
      <c r="IB642" s="1691"/>
      <c r="IC642" s="1695"/>
      <c r="ID642" s="1694" t="str">
        <f>VLOOKUP(IB644,_Error_Table,4,FALSE)</f>
        <v>White</v>
      </c>
      <c r="IE642" s="391"/>
      <c r="IF642" s="1688"/>
      <c r="IG642" s="1689"/>
      <c r="IH642" s="1684"/>
      <c r="IK642" s="1689"/>
      <c r="IL642" s="1691"/>
      <c r="IM642" s="1691"/>
      <c r="IN642" s="1691"/>
      <c r="IP642" s="1679"/>
      <c r="IQ642" s="1679"/>
      <c r="IR642" s="1679"/>
      <c r="IS642" s="1679"/>
      <c r="IT642" s="1679"/>
      <c r="IU642" s="1679"/>
      <c r="IV642" s="1679"/>
      <c r="IW642" s="1679"/>
      <c r="IX642" s="1679"/>
      <c r="IY642" s="1679"/>
      <c r="IZ642" s="1679"/>
      <c r="JA642" s="1679"/>
      <c r="JC642" s="1680"/>
      <c r="JD642" s="1670"/>
      <c r="JE642" s="1681"/>
      <c r="JG642" s="1680"/>
      <c r="JH642" s="1670"/>
      <c r="JI642" s="1060"/>
      <c r="JJ642" s="1683"/>
      <c r="JK642" s="1061"/>
      <c r="JL642" s="1683"/>
      <c r="JM642" s="1061"/>
      <c r="JN642" s="1683"/>
      <c r="JO642" s="1061"/>
      <c r="JP642" s="1683"/>
      <c r="JQ642" s="1061"/>
      <c r="JR642" s="1683"/>
      <c r="JS642" s="1061"/>
      <c r="JT642" s="1670"/>
      <c r="JU642" s="1061"/>
      <c r="JV642" s="1670"/>
      <c r="JX642" s="1670"/>
      <c r="JZ642" s="1683"/>
      <c r="KB642" s="1670"/>
    </row>
    <row r="643" spans="1:288" s="78" customFormat="1" ht="14.95" customHeight="1" thickTop="1" thickBot="1">
      <c r="A643" s="78">
        <f>ROW()</f>
        <v>643</v>
      </c>
      <c r="B643" s="1845"/>
      <c r="C643" s="1846"/>
      <c r="D643" s="1847"/>
      <c r="E643" s="1737" t="s">
        <v>298</v>
      </c>
      <c r="F643" s="1738"/>
      <c r="G643" s="1760"/>
      <c r="H643" s="1761"/>
      <c r="I643" s="1761"/>
      <c r="J643" s="1761"/>
      <c r="K643" s="1761"/>
      <c r="L643" s="1762"/>
      <c r="M643" s="461">
        <f>IFERROR(IF(IF(__Retrofit_TI_NC&lt;&gt;0,IF(CQ641="Interior",MATCH(G643,Lookup_Interior_New,0),MATCH(G643,Lookup_Exterior_New,0)),IF(CQ641="Interior",MATCH(G643,Lookup_Interior,0),MATCH(G643,Lookup_Exterior_Areas,0)))&gt;0,1,0),0)</f>
        <v>0</v>
      </c>
      <c r="N643" s="461" t="e">
        <f>IF(__Retrofit_TI_NC=1,
VLOOKUP(G643,'Space Table'!$B$3:$L$163,4,FALSE),
IF(__Retrofit_TI_NC=2,VLOOKUP(G643,'Space Table'!$B$3:$L$163,5,FALSE),VLOOKUP(G643,'Space Table'!$B$3:$L$163,5,FALSE)))</f>
        <v>#N/A</v>
      </c>
      <c r="O643" s="461">
        <f>G643</f>
        <v>0</v>
      </c>
      <c r="P643" s="1738" t="str">
        <f>IFERROR(IF(__Retrofit_TI_NC=1,VLOOKUP(G643,'Space Table'!$B$3:$O$163,13,FALSE),IF(__Retrofit_TI_NC=2,VLOOKUP(G643,'Space Table'!$B$3:$O$163,14,FALSE),"Area (sf):")),"Area (sf):")</f>
        <v>Area (sf):</v>
      </c>
      <c r="Q643" s="1738"/>
      <c r="R643" s="596"/>
      <c r="S643" s="1763" t="s">
        <v>345</v>
      </c>
      <c r="T643" s="594"/>
      <c r="U643" s="1801"/>
      <c r="V643" s="1802"/>
      <c r="W643" s="1802"/>
      <c r="X643" s="1802"/>
      <c r="Y643" s="1802"/>
      <c r="Z643" s="1802"/>
      <c r="AA643" s="1802"/>
      <c r="AB643" s="1802"/>
      <c r="AC643" s="1802"/>
      <c r="AD643" s="1802"/>
      <c r="AE643" s="1803"/>
      <c r="AF643" s="594"/>
      <c r="AG643" s="1787"/>
      <c r="AH643" s="1787"/>
      <c r="AI643" s="1787"/>
      <c r="AJ643" s="1787"/>
      <c r="AK643" s="1787"/>
      <c r="AL643" s="1787"/>
      <c r="AM643" s="1726">
        <f>IFERROR(DI643,"")</f>
        <v>0</v>
      </c>
      <c r="AN643" s="1728" t="str">
        <f>IFERROR(ROUND(AM643*AC644,0),"")</f>
        <v/>
      </c>
      <c r="AO643" s="1730">
        <f>IFERROR(IF(IB641=FALSE,0,AC644-AN643),0)</f>
        <v>0</v>
      </c>
      <c r="AP643" s="1780"/>
      <c r="AQ643" s="1781"/>
      <c r="AR643" s="1795"/>
      <c r="AS643" s="1795"/>
      <c r="AT643" s="1796"/>
      <c r="AU643" s="1735"/>
      <c r="AV643" s="1752"/>
      <c r="AW643" s="1705"/>
      <c r="AX643" s="467"/>
      <c r="AY643" s="1749"/>
      <c r="AZ643" s="1749"/>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696"/>
      <c r="CQ643" s="1696"/>
      <c r="CR643" s="1808" t="str">
        <f>CQ641</f>
        <v/>
      </c>
      <c r="CS643" s="1810" t="str">
        <f>CS641</f>
        <v/>
      </c>
      <c r="CU643" s="1688" t="s">
        <v>345</v>
      </c>
      <c r="CV643" s="1702">
        <f>IF(IB641=TRUE,T643,0)</f>
        <v>0</v>
      </c>
      <c r="CW643" s="1702" t="str">
        <f>IF(IB641=TRUE,U643,"")</f>
        <v/>
      </c>
      <c r="CX643" s="1812">
        <f>IF(IB641=TRUE,U644,0)</f>
        <v>0</v>
      </c>
      <c r="CY643" s="1814">
        <f>IF(IB641=TRUE,AB644,0)</f>
        <v>0</v>
      </c>
      <c r="CZ643" s="1710">
        <f>IF(AND(__Retrofit_TI_NC&gt;0,CR641="interior"),0,IF(IB641=TRUE,AC644,0))</f>
        <v>0</v>
      </c>
      <c r="DA643" s="1818"/>
      <c r="DB643" s="1820"/>
      <c r="DC643" s="1820"/>
      <c r="DD643" s="1820"/>
      <c r="DF643" s="1702">
        <f>IF(IB641=TRUE,AF643,0)</f>
        <v>0</v>
      </c>
      <c r="DG643" s="1830" t="str">
        <f>IF(IB641=TRUE,AG643,"")</f>
        <v/>
      </c>
      <c r="DH643" s="1812">
        <f>AG644</f>
        <v>0</v>
      </c>
      <c r="DI643" s="1837">
        <f>JE643</f>
        <v>0</v>
      </c>
      <c r="DJ643" s="1710">
        <f>IF(AND(__Retrofit_TI_NC&gt;0,CR641="interior"),0,IF(IB641=TRUE,AN643,0))</f>
        <v>0</v>
      </c>
      <c r="DK643" s="1712"/>
      <c r="DN643" s="1717">
        <f>IFERROR(CZ643-DJ643,0)</f>
        <v>0</v>
      </c>
      <c r="DO643" s="1709"/>
      <c r="DQ643" s="1715"/>
      <c r="DR643" s="1719" t="str">
        <f>DQ641</f>
        <v/>
      </c>
      <c r="DS643" s="1816"/>
      <c r="DT643" s="1835" t="str">
        <f>IF(OR(DS641=7,DS641=8,DS641=9),"ALC","")</f>
        <v/>
      </c>
      <c r="DU643" s="1715"/>
      <c r="DV643" s="1716"/>
      <c r="DX643" s="1715"/>
      <c r="DY643" s="1829" t="str">
        <f>DX641</f>
        <v/>
      </c>
      <c r="DZ643" s="1715"/>
      <c r="EA643" s="1715"/>
      <c r="EC643" s="1834"/>
      <c r="ED643" s="1834"/>
      <c r="EF643" s="1707"/>
      <c r="EG643" s="1712"/>
      <c r="EH643" s="1818"/>
      <c r="EI643" s="1712"/>
      <c r="EJ643" s="1712"/>
      <c r="EK643" s="1836"/>
      <c r="EL643" s="1836"/>
      <c r="EM643" s="1807"/>
      <c r="EN643" s="1839"/>
      <c r="EO643" s="1839"/>
      <c r="EP643" s="1817"/>
      <c r="EQ643" s="1817"/>
      <c r="ER643" s="1807"/>
      <c r="ES643" s="1807"/>
      <c r="ET643" s="1807"/>
      <c r="EV643" s="1715"/>
      <c r="EX643" s="1805" t="str">
        <f>IFERROR(VLOOKUP(CS643,'Space Table'!$B$3:$L$163,8,FALSE),"")</f>
        <v/>
      </c>
      <c r="EY643" s="1805" t="str">
        <f>IFERROR(IF(FB643="Yes",VLOOKUP(AG643,Lookup_Control_Type_Table2,4,FALSE),VLOOKUP(AG643,Lookup_Control_Type_Table2,3,FALSE)),"")</f>
        <v/>
      </c>
      <c r="EZ643" s="1805" t="e">
        <f>VLOOKUP(AG643,Lookup!BB$3:BC$20,2,FALSE)</f>
        <v>#N/A</v>
      </c>
      <c r="FA643" s="1805" t="e">
        <f>VLOOKUP(EX641,Lookup_Control_Type_Table,2,FALSE)</f>
        <v>#N/A</v>
      </c>
      <c r="FB643" s="1805" t="e">
        <f>VLOOKUP(CS643,'Space Table'!$B$3:$L$163,7,FALSE)</f>
        <v>#N/A</v>
      </c>
      <c r="FC643" s="1827"/>
      <c r="FE643" s="1698" t="str">
        <f>CONCATENATE(CQ641," - ",AG643)</f>
        <v xml:space="preserve"> - </v>
      </c>
      <c r="FG643" s="1816"/>
      <c r="FH643" s="1816"/>
      <c r="FI643" s="133"/>
      <c r="FL643" s="1822" t="str">
        <f>IF(CQ641="Exterior","Not Daylighted",G644)</f>
        <v>Not Daylighted</v>
      </c>
      <c r="FM643" s="1824">
        <f>VLOOKUP(FL643,_New_Daylight_Table_Codes,2,FALSE)</f>
        <v>0</v>
      </c>
      <c r="FN643" s="1698">
        <f>AG643</f>
        <v>0</v>
      </c>
      <c r="FO643" s="1698" t="e">
        <f>VLOOKUP(FN643,_Control_Table,2,FALSE)</f>
        <v>#N/A</v>
      </c>
      <c r="FP643" s="1678" t="e">
        <f>VLOOKUP(CONCATENATE(FL643," ",FN643),Lookup!AY$102:AZ654,2,FALSE)</f>
        <v>#N/A</v>
      </c>
      <c r="FQ643" s="1698">
        <f>IF(__Retrofit_TI_NC=0,FN643,IF(AND(FT643&gt;0,FN643="Occupancy Sensor"),"Daylight + Occupancy",IF(AND(FT643&gt;0,FO643&lt;4),"Interior Daylight Dimming",FN643)))</f>
        <v>0</v>
      </c>
      <c r="FS643" s="1686">
        <f>IF(CQ641="Interior",VLOOKUP(CS641,Control_Savings_Interior,5,FALSE),0)</f>
        <v>0</v>
      </c>
      <c r="FT643" s="1687">
        <f>IF(CQ643="Exterior",0,IF(FM643=2,0.5,IF(OR(FM643=1,FM643=3),1,0)))</f>
        <v>0</v>
      </c>
      <c r="FU643" s="1685">
        <f>IF(R642&gt;FS$44,(FS643*(FS$44/R642)),FS643)*FT643</f>
        <v>0</v>
      </c>
      <c r="FV643" s="1686">
        <f>DI643</f>
        <v>0</v>
      </c>
      <c r="FW643" s="1686">
        <f>ROUND(FV643+((1-FV643)*FU643),2)</f>
        <v>0</v>
      </c>
      <c r="FX643" s="1686">
        <f>IF(__Retrofit_TI_NC=2,FW643,FV643)</f>
        <v>0</v>
      </c>
      <c r="FY643" s="1697">
        <f>IF(CR643="Interior",VLOOKUP(CS643,Control_Savings_Interior,4,FALSE),0)</f>
        <v>0</v>
      </c>
      <c r="GA643" s="1696"/>
      <c r="GB643" s="1696"/>
      <c r="GC643" s="1696"/>
      <c r="GD643" s="1696"/>
      <c r="GE643" s="1696"/>
      <c r="GF643" s="1696"/>
      <c r="GG643" s="1696"/>
      <c r="GH643" s="1696"/>
      <c r="GI643" s="673" t="b">
        <f>IF(ISNUMBER(SEARCH("TLED",U643)),TRUE,FALSE)</f>
        <v>0</v>
      </c>
      <c r="GJ643" s="1135" t="str">
        <f>IFERROR(VLOOKUP(U643,Fixtures!DM$93:DR$142,6,FALSE),"")</f>
        <v/>
      </c>
      <c r="GK643" s="1832"/>
      <c r="GM643" s="1692"/>
      <c r="GN643" s="1684"/>
      <c r="GP643" s="1684"/>
      <c r="GQ643" s="1684"/>
      <c r="HG643" s="1684"/>
      <c r="HH643" s="1684"/>
      <c r="HI643" s="1684"/>
      <c r="HJ643" s="1684"/>
      <c r="HK643" s="1684"/>
      <c r="HL643" s="1684"/>
      <c r="HM643" s="1684"/>
      <c r="HN643" s="1683"/>
      <c r="HO643" s="1692"/>
      <c r="HP643" s="1692"/>
      <c r="HQ643" s="1670"/>
      <c r="HR643" s="1684"/>
      <c r="HS643" s="1684"/>
      <c r="HT643" s="1670"/>
      <c r="HU643" s="1684"/>
      <c r="HV643" s="1684"/>
      <c r="HW643" s="1684"/>
      <c r="HX643" s="1684"/>
      <c r="HY643" s="1684"/>
      <c r="HZ643" s="1684"/>
      <c r="IB643" s="1692"/>
      <c r="IC643" s="1693" t="b">
        <f>IB641</f>
        <v>0</v>
      </c>
      <c r="ID643" s="1695"/>
      <c r="IE643" s="391"/>
      <c r="IF643" s="1688"/>
      <c r="IG643" s="1689">
        <f ca="1">IF(IF641=TRUE,AC644,0)</f>
        <v>0</v>
      </c>
      <c r="IH643" s="1684"/>
      <c r="IK643" s="1689" t="e">
        <f>ROUND(T643*AB644*N642*R642/1000,0)</f>
        <v>#VALUE!</v>
      </c>
      <c r="IL643" s="1691"/>
      <c r="IM643" s="1693" t="e">
        <f>ROUND(T643*AB644*N642*R642/1000,0)</f>
        <v>#VALUE!</v>
      </c>
      <c r="IN643" s="1691"/>
      <c r="IP643" s="1679"/>
      <c r="IQ643" s="1679" t="e">
        <f t="shared" ref="IQ643:IU643" si="587">IF($CR643="interior",VLOOKUP($CS643,_New_Control_Savings_Interior,IQ$30,FALSE),VLOOKUP($CS643,Control_Savings_Exterior,IQ$30,FALSE))</f>
        <v>#N/A</v>
      </c>
      <c r="IR643" s="1679" t="e">
        <f t="shared" si="587"/>
        <v>#N/A</v>
      </c>
      <c r="IS643" s="1679" t="e">
        <f t="shared" si="587"/>
        <v>#N/A</v>
      </c>
      <c r="IT643" s="1679" t="e">
        <f t="shared" si="587"/>
        <v>#N/A</v>
      </c>
      <c r="IU643" s="1679" t="e">
        <f t="shared" si="587"/>
        <v>#N/A</v>
      </c>
      <c r="IV643" s="1679" t="e">
        <f>IF($CR643="interior",IF(R642&gt;$IP$14,ROUND(($IV$18*($IP$14/R642)),2),$IV$18),VLOOKUP($CS643,Control_Savings_Exterior,IV$30,FALSE))</f>
        <v>#N/A</v>
      </c>
      <c r="IW643" s="1679" t="e">
        <f>IF($CR643="interior",ROUND(((1-IS643)*IV643)+IS643,2),VLOOKUP($CS643,Control_Savings_Exterior,IW$30,FALSE))</f>
        <v>#N/A</v>
      </c>
      <c r="IX643" s="1679" t="e">
        <f>IF($CR643="interior",ROUND(((1-IT643)*IV643)+IT643,2),VLOOKUP($CS643,Control_Savings_Exterior,IX$30,FALSE))</f>
        <v>#N/A</v>
      </c>
      <c r="IY643" s="1679" t="e">
        <f>IF($CR643="interior",IF(R642&gt;$IP$14,ROUND(($IY$18*($IP$14/R642)),2),$IY$18),VLOOKUP($CS643,Control_Savings_Exterior,IY$30,FALSE))</f>
        <v>#N/A</v>
      </c>
      <c r="IZ643" s="1679" t="e">
        <f>IF($CR643="interior",ROUND(((1-IS643)*IY643)+IS643,2),VLOOKUP($CS643,Control_Savings_Exterior,IZ$30,FALSE))</f>
        <v>#N/A</v>
      </c>
      <c r="JA643" s="1679" t="e">
        <f>IF($CR643="interior",ROUND(((1-IT643)*IY643)+IT643,2),VLOOKUP($CS643,Control_Savings_Exterior,JA$30,FALSE))</f>
        <v>#N/A</v>
      </c>
      <c r="JC643" s="1680">
        <f>IFERROR(IF(CR643="Interior",CONCATENATE(G644," ",FQ643),AG643),"")</f>
        <v>0</v>
      </c>
      <c r="JD643" s="1670" t="str">
        <f>IFERROR(VLOOKUP(JC643,_Controls_2023,2,FALSE),"")</f>
        <v/>
      </c>
      <c r="JE643" s="1681">
        <f>IFERROR(CHOOSE(JD643-1,IQ643,IR643,IS643,IT643,IU643,IV643,IW643,IX643,IY643,IZ643,JA643),0)</f>
        <v>0</v>
      </c>
      <c r="JG643" s="1680" t="str">
        <f>FE643</f>
        <v xml:space="preserve"> - </v>
      </c>
      <c r="JH643" s="1670" t="e">
        <f>$FO643</f>
        <v>#N/A</v>
      </c>
      <c r="JI643" s="1060"/>
      <c r="JJ643" s="1670">
        <f>IFERROR(IF($IB641=TRUE,IF(OR(JJ$14="No",JJ641=FALSE,JH643&lt;=JH641,AND(_kWh_Grant=0,GD641=FALSE)),0,IF(JJ$8="Per Line",1,$AF643)),0),0)</f>
        <v>0</v>
      </c>
      <c r="JK643" s="1061"/>
      <c r="JL643" s="1670">
        <f>IFERROR(IF(_kWh_Grant=0,0,IF($IB641=TRUE,IF(OR(JL$14="No",JL641=FALSE,JH643&lt;=JH641),0,IF(JL$8="Per Line",1,$T643)),0)),0)</f>
        <v>0</v>
      </c>
      <c r="JM643" s="1061"/>
      <c r="JN643" s="1670">
        <f>IFERROR(IF(_kWh_Grant=0,0,IF($IB641=TRUE,IF(OR(JN$14="No",JN641=FALSE,JH643&lt;=JH641),0,IF(JN$8="Per Line",1,$AF643)),0)),0)</f>
        <v>0</v>
      </c>
      <c r="JO643" s="1061"/>
      <c r="JP643" s="1670">
        <f>IFERROR(IF(__Retrofit_TI_NC=0,IF(_kWh_Grant=0,0,IF($IB641=TRUE,IF(OR(JP$14="No",JP641=FALSE,$JH643&lt;=$JH641),0,IF(JP$8="Per Line",1,$AF643)),0)),IF($IB641=TRUE,IF(OR(JP$14="No",JP641=FALSE,$JH643&lt;=$JH641),0,IF(JP$8="Per Line",1,$AF643)))),0)</f>
        <v>0</v>
      </c>
      <c r="JQ643" s="1061"/>
      <c r="JR643" s="1670">
        <f>IFERROR(IF(__Retrofit_TI_NC=0,IF(_kWh_Grant=0,0,IF($IB641=TRUE,IF(OR(JR$14="No",JR641=FALSE,$JH643&lt;=$JH641),0,IF(JR$8="Per Line",1,$AF643)),0)),IF($IB641=TRUE,IF(OR(JR$14="No",JR641=FALSE,$JH643&lt;=$JH641),0,IF(JR$8="Per Line",1,$AF643)))),0)</f>
        <v>0</v>
      </c>
      <c r="JS643" s="1061"/>
      <c r="JT643" s="1670">
        <f>IFERROR(IF(__Retrofit_TI_NC=0,IF(_kWh_Grant=0,0,IF($IB641=TRUE,IF(OR(JT$14="No",JT641=FALSE,$JH643&lt;=$JH641),0,IF(JT$8="Per Line",1,$AF643)),0)),IF($IB641=TRUE,IF(OR(JT$14="No",JT641=FALSE,$JH643&lt;=$JH641),0,IF(JT$8="Per Line",1,$AF643)))),0)</f>
        <v>0</v>
      </c>
      <c r="JU643" s="1061"/>
      <c r="JV643" s="1670">
        <f>IFERROR(IF(__Retrofit_TI_NC=0,IF(_kWh_Grant=0,0,IF($IB641=TRUE,IF(OR(JV$14="No",JV641=FALSE,$JH643&lt;=$JH641),0,IF(JV$8="Per Line",1,$AF643)),0)),IF($IB641=TRUE,IF(OR(JV$14="No",JV641=FALSE,$JH643&lt;=$JH641),0,IF(JV$8="Per Line",1,$AF643)))),0)</f>
        <v>0</v>
      </c>
      <c r="JX643" s="1670">
        <f>IFERROR(IF(__Retrofit_TI_NC=0,IF(_kWh_Grant=0,0,IF($IB641=TRUE,IF(OR(JX$14="No",JX641=FALSE,$JH643&lt;=$JH641),0,IF(JX$8="Per Line",1,$AF643)),0)),IF($IB641=TRUE,IF(OR(JX$14="No",JX641=FALSE,$JH643&lt;=$JH641),0,IF(JX$8="Per Line",1,$AF643)))),0)</f>
        <v>0</v>
      </c>
      <c r="JZ643" s="1670">
        <f>IFERROR(IF($IB641=TRUE,IF(OR(JZ$14="No",JZ641=FALSE,$JH643&lt;=$JH641,AND(_kWh_Grant=0,$GD641=FALSE)),0,IF(JZ$8="Per Line",1,$AF643)),0),0)</f>
        <v>0</v>
      </c>
      <c r="KB643" s="1670">
        <f>IFERROR(IF(__Retrofit_TI_NC=0,IF(_kWh_Grant=0,0,IF($IB641=TRUE,IF(OR(KB$14="No",KB641=FALSE,$JH643&lt;=$JH641),0,IF(KB$8="Per Line",1,$AF643)),0)),IF($IB641=TRUE,IF(OR(KB$14="No",KB641=FALSE,$JH643&lt;=$JH641),0,IF(KB$8="Per Line",1,$AF643)))),0)</f>
        <v>0</v>
      </c>
    </row>
    <row r="644" spans="1:288" s="78" customFormat="1" ht="14.95" customHeight="1" thickTop="1" thickBot="1">
      <c r="B644" s="1845"/>
      <c r="C644" s="1846"/>
      <c r="D644" s="1847"/>
      <c r="E644" s="1771" t="s">
        <v>436</v>
      </c>
      <c r="F644" s="1772"/>
      <c r="G644" s="1784" t="s">
        <v>437</v>
      </c>
      <c r="H644" s="1785"/>
      <c r="I644" s="1785"/>
      <c r="J644" s="1785"/>
      <c r="K644" s="1785"/>
      <c r="L644" s="1786"/>
      <c r="M644" s="591">
        <f>IFERROR(VLOOKUP(G644,_Daylight_Table[],2,FALSE),0)</f>
        <v>0</v>
      </c>
      <c r="N644" s="592" t="str">
        <f>IF(AND(__Retrofit_TI_NC&gt;0,CQ641="Interior"),"BAM","")</f>
        <v/>
      </c>
      <c r="O644" s="591" t="e">
        <f>VLOOKUP(G643,'Space Table'!$B$3:$L$163,11,FALSE)</f>
        <v>#N/A</v>
      </c>
      <c r="P644" s="1789"/>
      <c r="Q644" s="1790"/>
      <c r="R644" s="1790"/>
      <c r="S644" s="1788"/>
      <c r="T644" s="593" t="s">
        <v>342</v>
      </c>
      <c r="U644" s="1756" t="str" cm="1">
        <f t="array" aca="1" ref="U644" ca="1">IFERROR(VLOOKUP(INDIRECT("U" &amp; ROW()-1),Fixtures!DM$93:DP$142,4,FALSE),"")</f>
        <v/>
      </c>
      <c r="V644" s="1757"/>
      <c r="W644" s="1757"/>
      <c r="X644" s="1757"/>
      <c r="Y644" s="1757"/>
      <c r="Z644" s="1757"/>
      <c r="AA644" s="1758"/>
      <c r="AB644" s="939" t="str">
        <f>IFERROR(VLOOKUP(U643,Fixtures_Proposed_List,2,FALSE),"")</f>
        <v/>
      </c>
      <c r="AC644" s="933" t="str">
        <f>IFERROR(ROUND(T643*AB644*N642*R642/1000,0),"")</f>
        <v/>
      </c>
      <c r="AD644" s="934" t="str">
        <f>IFERROR(ROUND(T643*AB644/1000,2),"")</f>
        <v/>
      </c>
      <c r="AE644" s="998"/>
      <c r="AF644" s="938" t="s">
        <v>342</v>
      </c>
      <c r="AG644" s="1770"/>
      <c r="AH644" s="1770"/>
      <c r="AI644" s="1770"/>
      <c r="AJ644" s="1770"/>
      <c r="AK644" s="1770"/>
      <c r="AL644" s="1770"/>
      <c r="AM644" s="1727"/>
      <c r="AN644" s="1729"/>
      <c r="AO644" s="1731"/>
      <c r="AP644" s="1782"/>
      <c r="AQ644" s="1783"/>
      <c r="AR644" s="1797"/>
      <c r="AS644" s="1797"/>
      <c r="AT644" s="1798"/>
      <c r="AU644" s="1736"/>
      <c r="AV644" s="1753"/>
      <c r="AW644" s="1706"/>
      <c r="AX644" s="468"/>
      <c r="AY644" s="1750"/>
      <c r="AZ644" s="1750"/>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696"/>
      <c r="CQ644" s="1696"/>
      <c r="CR644" s="1809"/>
      <c r="CS644" s="1811"/>
      <c r="CU644" s="1688"/>
      <c r="CV644" s="1703"/>
      <c r="CW644" s="1703"/>
      <c r="CX644" s="1813"/>
      <c r="CY644" s="1815"/>
      <c r="CZ644" s="1711"/>
      <c r="DA644" s="1815"/>
      <c r="DB644" s="1821"/>
      <c r="DC644" s="1821"/>
      <c r="DD644" s="1821"/>
      <c r="DF644" s="1703"/>
      <c r="DG644" s="1831"/>
      <c r="DH644" s="1813"/>
      <c r="DI644" s="1838"/>
      <c r="DJ644" s="1711"/>
      <c r="DK644" s="1712"/>
      <c r="DN644" s="1718"/>
      <c r="DO644" s="1709"/>
      <c r="DQ644" s="1715"/>
      <c r="DR644" s="1720"/>
      <c r="DS644" s="1703"/>
      <c r="DT644" s="1714"/>
      <c r="DU644" s="1715"/>
      <c r="DV644" s="1716"/>
      <c r="DX644" s="1715"/>
      <c r="DY644" s="1720"/>
      <c r="DZ644" s="1715"/>
      <c r="EA644" s="1715"/>
      <c r="EC644" s="1834"/>
      <c r="ED644" s="1834"/>
      <c r="EF644" s="1707"/>
      <c r="EG644" s="1712"/>
      <c r="EH644" s="1815"/>
      <c r="EI644" s="1712"/>
      <c r="EJ644" s="1712"/>
      <c r="EK644" s="1813"/>
      <c r="EL644" s="1813"/>
      <c r="EM644" s="1807"/>
      <c r="EN644" s="1839"/>
      <c r="EO644" s="1839"/>
      <c r="EP644" s="1817"/>
      <c r="EQ644" s="1817"/>
      <c r="ER644" s="1807"/>
      <c r="ES644" s="1807"/>
      <c r="ET644" s="1807"/>
      <c r="EV644" s="1715"/>
      <c r="EX644" s="1806"/>
      <c r="EY644" s="1806"/>
      <c r="EZ644" s="1806"/>
      <c r="FA644" s="1806"/>
      <c r="FB644" s="1806"/>
      <c r="FC644" s="1828"/>
      <c r="FE644" s="1698"/>
      <c r="FG644" s="1703"/>
      <c r="FH644" s="1703"/>
      <c r="FI644" s="133"/>
      <c r="FL644" s="1823"/>
      <c r="FM644" s="1825"/>
      <c r="FN644" s="1698"/>
      <c r="FO644" s="1698"/>
      <c r="FP644" s="1678"/>
      <c r="FQ644" s="1698"/>
      <c r="FS644" s="1687"/>
      <c r="FT644" s="1687"/>
      <c r="FU644" s="1685"/>
      <c r="FV644" s="1687"/>
      <c r="FW644" s="1687"/>
      <c r="FX644" s="1687"/>
      <c r="FY644" s="1697"/>
      <c r="GA644" s="1696"/>
      <c r="GB644" s="1696"/>
      <c r="GC644" s="1696"/>
      <c r="GD644" s="1696"/>
      <c r="GE644" s="1696"/>
      <c r="GF644" s="1696"/>
      <c r="GG644" s="1696"/>
      <c r="GH644" s="1696"/>
      <c r="GI644" s="673"/>
      <c r="GJ644" s="1135"/>
      <c r="GK644" s="1832"/>
      <c r="GN644" s="674">
        <f>IF(GN642=TRUE,0,GN$16)</f>
        <v>0</v>
      </c>
      <c r="GP644" s="674">
        <f>IF(GP642=TRUE,0,GP$16)</f>
        <v>36</v>
      </c>
      <c r="GQ644" s="674">
        <f ca="1">IF(GQ642=TRUE,0,GQ$16)</f>
        <v>35</v>
      </c>
      <c r="GR644" s="391"/>
      <c r="GS644" s="391"/>
      <c r="GT644" s="391"/>
      <c r="GU644" s="391"/>
      <c r="GV644" s="391"/>
      <c r="HG644" s="674">
        <f>IF(HG642=TRUE,0,HG$16)</f>
        <v>0</v>
      </c>
      <c r="HH644" s="674">
        <f t="shared" ref="HH644:HM644" si="588">IF(HH642=TRUE,0,HH$16)</f>
        <v>19</v>
      </c>
      <c r="HI644" s="674">
        <f t="shared" si="588"/>
        <v>18</v>
      </c>
      <c r="HJ644" s="674">
        <f t="shared" si="588"/>
        <v>17</v>
      </c>
      <c r="HK644" s="674">
        <f t="shared" si="588"/>
        <v>16</v>
      </c>
      <c r="HL644" s="674">
        <f t="shared" si="588"/>
        <v>0</v>
      </c>
      <c r="HM644" s="674">
        <f t="shared" si="588"/>
        <v>0</v>
      </c>
      <c r="HN644" s="674">
        <f>IF(HN642=TRUE,0,HN$16)</f>
        <v>13</v>
      </c>
      <c r="HO644" s="674">
        <f t="shared" ref="HO644:HQ644" si="589">IF(HO642=TRUE,0,HO$16)</f>
        <v>0</v>
      </c>
      <c r="HP644" s="674">
        <f t="shared" si="589"/>
        <v>0</v>
      </c>
      <c r="HQ644" s="674">
        <f t="shared" si="589"/>
        <v>10</v>
      </c>
      <c r="HR644" s="674">
        <f>IF(HR642=TRUE,0,HR$16)</f>
        <v>9</v>
      </c>
      <c r="HS644" s="674">
        <f t="shared" ref="HS644:HW644" si="590">IF(HS642=TRUE,0,HS$16)</f>
        <v>0</v>
      </c>
      <c r="HT644" s="674">
        <f t="shared" si="590"/>
        <v>0</v>
      </c>
      <c r="HU644" s="674">
        <f t="shared" si="590"/>
        <v>0</v>
      </c>
      <c r="HV644" s="674">
        <f t="shared" si="590"/>
        <v>0</v>
      </c>
      <c r="HW644" s="674">
        <f t="shared" si="590"/>
        <v>0</v>
      </c>
      <c r="HX644" s="674">
        <f>IF(HX642=TRUE,0,HX$16)</f>
        <v>0</v>
      </c>
      <c r="HY644" s="674">
        <f>IF(HY642=TRUE,0,HY$16)</f>
        <v>0</v>
      </c>
      <c r="HZ644" s="674">
        <f>IF(HZ642=TRUE,0,HZ$16)</f>
        <v>1</v>
      </c>
      <c r="IB644" s="674">
        <f>IF(GP642=FALSE,GP644,IF(GQ642=FALSE,GQ644,MAX(GN644:HZ644)))</f>
        <v>36</v>
      </c>
      <c r="IC644" s="1692"/>
      <c r="ID644" s="205" t="str">
        <f>VLOOKUP(IB644,_Error_Table,3,FALSE)</f>
        <v xml:space="preserve"> </v>
      </c>
      <c r="IE644" s="205"/>
      <c r="IF644" s="1688"/>
      <c r="IG644" s="1689"/>
      <c r="IH644" s="1684"/>
      <c r="IK644" s="1689"/>
      <c r="IL644" s="1692"/>
      <c r="IM644" s="1692"/>
      <c r="IN644" s="1692"/>
      <c r="IP644" s="1679"/>
      <c r="IQ644" s="1679"/>
      <c r="IR644" s="1679"/>
      <c r="IS644" s="1679"/>
      <c r="IT644" s="1679"/>
      <c r="IU644" s="1679"/>
      <c r="IV644" s="1679"/>
      <c r="IW644" s="1679"/>
      <c r="IX644" s="1679"/>
      <c r="IY644" s="1679"/>
      <c r="IZ644" s="1679"/>
      <c r="JA644" s="1679"/>
      <c r="JC644" s="1680"/>
      <c r="JD644" s="1670"/>
      <c r="JE644" s="1681"/>
      <c r="JG644" s="1680"/>
      <c r="JH644" s="1670"/>
      <c r="JI644" s="1060"/>
      <c r="JJ644" s="1670"/>
      <c r="JK644" s="1061"/>
      <c r="JL644" s="1670"/>
      <c r="JM644" s="1061"/>
      <c r="JN644" s="1670"/>
      <c r="JO644" s="1061"/>
      <c r="JP644" s="1670"/>
      <c r="JQ644" s="1061"/>
      <c r="JR644" s="1670"/>
      <c r="JS644" s="1061"/>
      <c r="JT644" s="1670"/>
      <c r="JU644" s="1061"/>
      <c r="JV644" s="1670"/>
      <c r="JX644" s="1670"/>
      <c r="JZ644" s="1670"/>
      <c r="KB644" s="1670"/>
    </row>
    <row r="645" spans="1:288" s="78" customFormat="1" ht="4.95" customHeight="1">
      <c r="B645" s="676"/>
      <c r="C645" s="392"/>
      <c r="D645" s="392"/>
      <c r="E645" s="1733"/>
      <c r="F645" s="1733"/>
      <c r="G645" s="1733"/>
      <c r="H645" s="1733"/>
      <c r="I645" s="1733"/>
      <c r="J645" s="1733"/>
      <c r="K645" s="1733"/>
      <c r="L645" s="1733"/>
      <c r="M645" s="1733"/>
      <c r="N645" s="1733"/>
      <c r="O645" s="1733"/>
      <c r="P645" s="1733"/>
      <c r="Q645" s="1733"/>
      <c r="R645" s="1733"/>
      <c r="S645" s="1733"/>
      <c r="T645" s="1733"/>
      <c r="U645" s="1733"/>
      <c r="V645" s="1733"/>
      <c r="W645" s="1733"/>
      <c r="X645" s="1733"/>
      <c r="Y645" s="1733"/>
      <c r="Z645" s="1733"/>
      <c r="AA645" s="1733"/>
      <c r="AB645" s="1733"/>
      <c r="AC645" s="1733"/>
      <c r="AD645" s="1733"/>
      <c r="AE645" s="1733"/>
      <c r="AF645" s="1733"/>
      <c r="AG645" s="1733"/>
      <c r="AH645" s="1733"/>
      <c r="AI645" s="1733"/>
      <c r="AJ645" s="1733"/>
      <c r="AK645" s="1733"/>
      <c r="AL645" s="1733"/>
      <c r="AM645" s="1733"/>
      <c r="AN645" s="1733"/>
      <c r="AO645" s="1733"/>
      <c r="AP645" s="1733"/>
      <c r="AQ645" s="1733"/>
      <c r="AR645" s="1733"/>
      <c r="AS645" s="1733"/>
      <c r="AT645" s="1733"/>
      <c r="AU645" s="1733"/>
      <c r="AV645" s="1733"/>
      <c r="AW645" s="1733"/>
      <c r="AX645" s="469"/>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663"/>
      <c r="CQ645" s="663"/>
      <c r="CR645" s="438"/>
      <c r="CS645" s="663"/>
      <c r="CV645" s="391"/>
      <c r="CW645" s="391"/>
      <c r="CX645" s="207"/>
      <c r="CY645" s="208"/>
      <c r="CZ645" s="208"/>
      <c r="DA645" s="208"/>
      <c r="DB645" s="209"/>
      <c r="DC645" s="209"/>
      <c r="DD645" s="209"/>
      <c r="DF645" s="664"/>
      <c r="DG645" s="665"/>
      <c r="DH645" s="666"/>
      <c r="DI645" s="667"/>
      <c r="DJ645" s="668"/>
      <c r="DK645" s="668"/>
      <c r="DN645" s="208"/>
      <c r="DO645" s="664"/>
      <c r="DQ645" s="664"/>
      <c r="DR645" s="669"/>
      <c r="DS645" s="391"/>
      <c r="DT645" s="664"/>
      <c r="DU645" s="664"/>
      <c r="DV645" s="664"/>
      <c r="DX645" s="664"/>
      <c r="DY645" s="664"/>
      <c r="DZ645" s="664"/>
      <c r="EA645" s="664"/>
      <c r="EC645" s="670"/>
      <c r="ED645" s="670"/>
      <c r="EF645" s="668"/>
      <c r="EG645" s="668"/>
      <c r="EH645" s="208"/>
      <c r="EI645" s="668"/>
      <c r="EJ645" s="668"/>
      <c r="EK645" s="207"/>
      <c r="EL645" s="207"/>
      <c r="EM645" s="666"/>
      <c r="EN645" s="671"/>
      <c r="EO645" s="671"/>
      <c r="EP645" s="672"/>
      <c r="EQ645" s="672"/>
      <c r="ER645" s="666"/>
      <c r="ES645" s="666"/>
      <c r="ET645" s="666"/>
      <c r="EV645" s="664"/>
      <c r="EX645" s="391"/>
      <c r="EY645" s="391"/>
      <c r="EZ645" s="391"/>
      <c r="FA645" s="391"/>
      <c r="FB645" s="391"/>
      <c r="FC645" s="391"/>
      <c r="FE645" s="569"/>
      <c r="FG645" s="391"/>
      <c r="FH645" s="391"/>
      <c r="FI645" s="391"/>
      <c r="FS645" s="664"/>
      <c r="FT645" s="391"/>
      <c r="FU645" s="391"/>
      <c r="FV645" s="664"/>
      <c r="FW645" s="664"/>
      <c r="GA645" s="663"/>
      <c r="GB645" s="663"/>
      <c r="GC645" s="663"/>
      <c r="GD645" s="663"/>
      <c r="GE645" s="663"/>
      <c r="GF645" s="663"/>
      <c r="GG645" s="663"/>
      <c r="GH645" s="663"/>
      <c r="GI645" s="665"/>
      <c r="GJ645" s="664"/>
      <c r="GK645" s="664"/>
    </row>
    <row r="646" spans="1:288" s="78" customFormat="1" ht="14.95" customHeight="1">
      <c r="B646" s="1845" t="str">
        <f>ID649</f>
        <v xml:space="preserve"> </v>
      </c>
      <c r="C646" s="1846">
        <f>C641+1</f>
        <v>116</v>
      </c>
      <c r="D646" s="1847"/>
      <c r="E646" s="1799" t="s">
        <v>295</v>
      </c>
      <c r="F646" s="1800"/>
      <c r="G646" s="1741"/>
      <c r="H646" s="1742"/>
      <c r="I646" s="1742"/>
      <c r="J646" s="1742"/>
      <c r="K646" s="1742"/>
      <c r="L646" s="1742"/>
      <c r="M646" s="1742"/>
      <c r="N646" s="1742"/>
      <c r="O646" s="1742"/>
      <c r="P646" s="1742"/>
      <c r="Q646" s="1742"/>
      <c r="R646" s="1742"/>
      <c r="S646" s="1791" t="s">
        <v>344</v>
      </c>
      <c r="T646" s="590"/>
      <c r="U646" s="1743"/>
      <c r="V646" s="1744"/>
      <c r="W646" s="1744"/>
      <c r="X646" s="1744"/>
      <c r="Y646" s="1744"/>
      <c r="Z646" s="1744"/>
      <c r="AA646" s="1744"/>
      <c r="AB646" s="961" t="str">
        <f>IFERROR(IF(__Retrofit_TI_NC=0,VLOOKUP(U647,Fixtures_Existing_List,2,FALSE),ROUND(N648*R648/T648,10)),"")</f>
        <v/>
      </c>
      <c r="AC646" s="935" t="str">
        <f>IFERROR(IF(__Retrofit_TI_NC=0,ROUND(T647*AB646*N647*R647/1000,0),IF(CQ646="Interior",N648*R648*R647*N647*_C406_reduction/1000,N648*R648*R647*N647/1000)),"")</f>
        <v/>
      </c>
      <c r="AD646" s="936" t="str">
        <f>IFERROR(IF(C$43=0,ROUND(T647*AB646/1000,2),N648*R648/1000),"")</f>
        <v/>
      </c>
      <c r="AE646" s="997"/>
      <c r="AF646" s="937"/>
      <c r="AG646" s="1745" t="str">
        <f>IF(__Retrofit_TI_NC=0," Control","Select Advanced Control for New System")</f>
        <v xml:space="preserve"> Control</v>
      </c>
      <c r="AH646" s="1745"/>
      <c r="AI646" s="1745"/>
      <c r="AJ646" s="1745"/>
      <c r="AK646" s="1745"/>
      <c r="AL646" s="1745"/>
      <c r="AM646" s="1746">
        <f>IFERROR(DI646,"")</f>
        <v>0</v>
      </c>
      <c r="AN646" s="1774" t="str">
        <f>IFERROR(ROUND(AM646*AC646,0),"")</f>
        <v/>
      </c>
      <c r="AO646" s="1776">
        <f>IFERROR(IF(IB646=FALSE,0,AC646-AN646),0)</f>
        <v>0</v>
      </c>
      <c r="AP646" s="1778">
        <f>AO646-AO648</f>
        <v>0</v>
      </c>
      <c r="AQ646" s="1779"/>
      <c r="AR646" s="1793">
        <f>IFERROR(IF(IB646=FALSE,0,(T648*U649)+(AF648*AG649)),0)</f>
        <v>0</v>
      </c>
      <c r="AS646" s="1793"/>
      <c r="AT646" s="1794"/>
      <c r="AU646" s="1734" t="s">
        <v>237</v>
      </c>
      <c r="AV646" s="1751">
        <f>IF(AU646="Yes",1,0)</f>
        <v>1</v>
      </c>
      <c r="AW646" s="1704" t="str">
        <f>IF(OR(DQ646=4,DQ646=5,DQ646=6,DQ646=12),CONCATENATE("$",IF(GH646=TRUE,Lookup!$K$10,Lookup!$K$2)," /lamp"),CONCATENATE(TEXT(ED646,"$0.00"),"/ kWh"))</f>
        <v>$0.00/ kWh</v>
      </c>
      <c r="AX646" s="467"/>
      <c r="AY646" s="1748">
        <f ca="1">IFERROR(IF(GM647=TRUE,(AB649*T648)/R648,0),"NA")</f>
        <v>0</v>
      </c>
      <c r="AZ646" s="1748"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696" t="str">
        <f>N647</f>
        <v/>
      </c>
      <c r="CQ646" s="1696" t="str">
        <f>IFERROR(VLOOKUP(G647,_Lookup_Heat_Type_Table_New,3,FALSE),"")</f>
        <v/>
      </c>
      <c r="CR646" s="1808" t="str">
        <f>CQ646</f>
        <v/>
      </c>
      <c r="CS646" s="1810" t="str">
        <f>IFERROR(VLOOKUP(G648,'Space Table'!$B$3:$L$163,9,FALSE),"")</f>
        <v/>
      </c>
      <c r="CU646" s="1688" t="s">
        <v>344</v>
      </c>
      <c r="CV646" s="1702">
        <f>IF(IB646=TRUE,T647,0)</f>
        <v>0</v>
      </c>
      <c r="CW646" s="1702" t="str">
        <f>IF(IB646=TRUE,U647,"")</f>
        <v/>
      </c>
      <c r="CX646" s="1702"/>
      <c r="CY646" s="1814">
        <f>IF(IB646=TRUE,AB646,0)</f>
        <v>0</v>
      </c>
      <c r="CZ646" s="1710">
        <f>IF(AND(__Retrofit_TI_NC&gt;0,CR646="interior"),0,IF(IB646=TRUE,AC646,0))</f>
        <v>0</v>
      </c>
      <c r="DA646" s="1814">
        <f>IFERROR(IF(IB646=TRUE,CZ646-CZ648,0),0)</f>
        <v>0</v>
      </c>
      <c r="DB646" s="1819">
        <f>IF(IB646=TRUE,AD646,0)</f>
        <v>0</v>
      </c>
      <c r="DC646" s="1819">
        <f>IF(IB646=TRUE,AD649,0)</f>
        <v>0</v>
      </c>
      <c r="DD646" s="1819">
        <f>IFERROR(DB646-DC646,0)</f>
        <v>0</v>
      </c>
      <c r="DF646" s="1702">
        <f>IF(IB646=TRUE,AF647,0)</f>
        <v>0</v>
      </c>
      <c r="DG646" s="1830">
        <f>IFERROR(IF(__Retrofit_TI_NC=2,IF(CQ646="Exterior",O649,FQ646),FN646),"")</f>
        <v>0</v>
      </c>
      <c r="DH646" s="1702"/>
      <c r="DI646" s="1837">
        <f>JE646</f>
        <v>0</v>
      </c>
      <c r="DJ646" s="1710">
        <f>IF(AND(__Retrofit_TI_NC&gt;0,CR646="interior"),0,IF(IB646=TRUE,AN646,0))</f>
        <v>0</v>
      </c>
      <c r="DK646" s="1712">
        <f>IFERROR(IF(IB646=TRUE,DJ648-DJ646,0),0)</f>
        <v>0</v>
      </c>
      <c r="DM646" s="1717">
        <f>IFERROR(CZ646-DJ646,0)</f>
        <v>0</v>
      </c>
      <c r="DO646" s="1708">
        <f>DM646-DN648</f>
        <v>0</v>
      </c>
      <c r="DQ646" s="1715" t="str">
        <f>IFERROR(IF(AND(OR(GC646=4,GC646=5,GC646=6),OR(GF646=4,GF646=5,GF646=6)),GC646+8,VLOOKUP(CW648,Fixtures!R$31:Y$78,8,FALSE)),"")</f>
        <v/>
      </c>
      <c r="DR646" s="1829" t="str">
        <f>DQ646</f>
        <v/>
      </c>
      <c r="DS646" s="1702" t="str">
        <f>IFERROR(VLOOKUP(DG648,Lookup!BB$3:BC$20,2,FALSE),"")</f>
        <v/>
      </c>
      <c r="DT646" s="1713" t="str">
        <f>IF(OR(DS646=7,DS646=8,DS646=9),"ALC","")</f>
        <v/>
      </c>
      <c r="DU646" s="1715">
        <f>IFERROR(IF(OR(DQ646=4,DQ646=5,DQ646=6,DQ646=12,DQ646=13,DQ646=14),VLOOKUP(CW648,Fixtures!DN$27:EG$77,19,FALSE),1)*CV648,0)</f>
        <v>0</v>
      </c>
      <c r="DV646" s="1716">
        <f>IF(OR(DS646=7,DS646=8,DS646=9),IF(DG646=DG648,0,DF648),0)</f>
        <v>0</v>
      </c>
      <c r="DX646" s="1715" t="str">
        <f>IFERROR(IF(EZ646&lt;EZ648,"Yes","No"),"")</f>
        <v/>
      </c>
      <c r="DY646" s="1829" t="str">
        <f>DX646</f>
        <v/>
      </c>
      <c r="DZ646" s="1715">
        <f>IF(DX646="Yes",DF648,0)</f>
        <v>0</v>
      </c>
      <c r="EA646" s="1715">
        <f>DZ646-DV646</f>
        <v>0</v>
      </c>
      <c r="EC646" s="1834">
        <f>IFERROR(VLOOKUP(DQ646,Lookup!AU$3:AV$16,2,FALSE),0)</f>
        <v>0</v>
      </c>
      <c r="ED646" s="1834">
        <f>IF(IB646=FALSE,0,IF(DX646="Yes",EC646+Lookup!K$6,EC646))</f>
        <v>0</v>
      </c>
      <c r="EF646" s="1707">
        <f>IF(IB646=TRUE,DM646,0)</f>
        <v>0</v>
      </c>
      <c r="EG646" s="1712">
        <f>IF(IB646=TRUE,CZ648,0)</f>
        <v>0</v>
      </c>
      <c r="EH646" s="1814">
        <f>IFERROR(EF646-EG646,0)</f>
        <v>0</v>
      </c>
      <c r="EI646" s="1712">
        <f>IF(IB646=TRUE,DJ648,0)</f>
        <v>0</v>
      </c>
      <c r="EJ646" s="1712">
        <f>IFERROR(EF646-EG646+EI646,0)</f>
        <v>0</v>
      </c>
      <c r="EK646" s="1812">
        <f>IF(IB646=TRUE,CV648*CX648,0)</f>
        <v>0</v>
      </c>
      <c r="EL646" s="1812">
        <f>IF(IB646=TRUE,DF648*DH648,0)</f>
        <v>0</v>
      </c>
      <c r="EM646" s="1807">
        <f>AR646</f>
        <v>0</v>
      </c>
      <c r="EN646" s="1839" t="str">
        <f>IFERROR(IF(IB646=TRUE,VLOOKUP(DQ646,Lookup!AU$3:AW$16,3,FALSE)*DU646,""),0)</f>
        <v/>
      </c>
      <c r="EO646" s="1839">
        <f>IF(IB646=TRUE,DZ646*Lookup!AW$12,0)</f>
        <v>0</v>
      </c>
      <c r="EP646" s="1817">
        <f>IFERROR(IF(IB646=TRUE,EN646/EP$40,0),0)</f>
        <v>0</v>
      </c>
      <c r="EQ646" s="1817">
        <f>IF(IB646=TRUE,EO646/EQ$40,0)</f>
        <v>0</v>
      </c>
      <c r="ER646" s="1807">
        <f>IF(IB646=TRUE,ET$40*EP646,0)</f>
        <v>0</v>
      </c>
      <c r="ES646" s="1807">
        <f>IF(IB646=TRUE,ET$40*EQ646,0)</f>
        <v>0</v>
      </c>
      <c r="ET646" s="1807">
        <f>ER646+ES646</f>
        <v>0</v>
      </c>
      <c r="EV646" s="1715">
        <f>IF(G646="",0,1)</f>
        <v>0</v>
      </c>
      <c r="EX646" s="1804" t="str">
        <f>IFERROR(VLOOKUP(CS648,'Space Table'!$B$3:$L$163,8,FALSE),"")</f>
        <v/>
      </c>
      <c r="EY646" s="1804" t="str">
        <f>IFERROR(IF(FB646="Yes",VLOOKUP(DG646,Lookup_Control_Type_Table2,4,FALSE),VLOOKUP(DG646,Lookup_Control_Type_Table2,3,FALSE)),"")</f>
        <v/>
      </c>
      <c r="EZ646" s="1804" t="e">
        <f>VLOOKUP(DG646,Lookup!BB$3:BC$20,2,FALSE)</f>
        <v>#N/A</v>
      </c>
      <c r="FA646" s="1804" t="e">
        <f>VLOOKUP(EX646,Lookup_Control_Type_Table,2,FALSE)</f>
        <v>#N/A</v>
      </c>
      <c r="FB646" s="1804" t="e">
        <f>VLOOKUP(CS648,'Space Table'!$B$3:$L$163,7,FALSE)</f>
        <v>#N/A</v>
      </c>
      <c r="FC646" s="1826" t="b">
        <f>ISNUMBER(SEARCH("TLED",U648))</f>
        <v>0</v>
      </c>
      <c r="FE646" s="1698" t="str">
        <f>CONCATENATE(CQ646," - ",DG646)</f>
        <v xml:space="preserve"> - 0</v>
      </c>
      <c r="FG646" s="1702" t="str">
        <f>VLOOKUP(CW648,Fixtures!DN$27:EZ$77,38,FALSE)</f>
        <v/>
      </c>
      <c r="FH646" s="1702">
        <f>IFERROR(FG646*EH646,0)</f>
        <v>0</v>
      </c>
      <c r="FI646" s="133"/>
      <c r="FL646" s="1822" t="str">
        <f>IF(CQ646="Exterior","Not Daylighted",G649)</f>
        <v>Not Daylighted</v>
      </c>
      <c r="FM646" s="1824">
        <f>VLOOKUP(FL646,_New_Daylight_Table_Codes,2,FALSE)</f>
        <v>0</v>
      </c>
      <c r="FN646" s="1698">
        <f>IF(__Retrofit_TI_NC&gt;0,VLOOKUP(G648,'Space Table'!$B$3:$L$163,11,FALSE),AG647)</f>
        <v>0</v>
      </c>
      <c r="FO646" s="1698" t="e">
        <f>IF(__Retrofit_TI_NC=2,VLOOKUP(FQ646,_Control_Table,2,FALSE),VLOOKUP(FN646,_Control_Table,2,FALSE))</f>
        <v>#N/A</v>
      </c>
      <c r="FP646" s="1678" t="e">
        <f>VLOOKUP(CONCATENATE(FL646," ",FN646),Lookup!AY$102:AZ656,2,FALSE)</f>
        <v>#N/A</v>
      </c>
      <c r="FQ646" s="1678">
        <f>IF(__Retrofit_TI_NC=0,FN646,IF(AND(FT646&gt;0,FN646="Occupancy Sensor"),"Daylight + Occupancy",IF(AND(FT646&gt;0,VLOOKUP(FN646,_Control_Table,2,FALSE)&lt;4),"Interior Daylight Dimming",FN646)))</f>
        <v>0</v>
      </c>
      <c r="FS646" s="1686">
        <f>IF(CR646="Interior",VLOOKUP(CS646,Control_Savings_Interior,5,FALSE),0)</f>
        <v>0</v>
      </c>
      <c r="FT646" s="1687">
        <f>IF(CQ646="Exterior",0,IF(FM646=2,0.5,IF(OR(FM646=1,FM646=3),1,0)))</f>
        <v>0</v>
      </c>
      <c r="FU646" s="1685">
        <f>IF(R645&gt;FS$44,(FS646*(FS$44/R645)),FS646)*FT646</f>
        <v>0</v>
      </c>
      <c r="FV646" s="1686">
        <f>DI646</f>
        <v>0</v>
      </c>
      <c r="FW646" s="1686">
        <f>ROUND(FV646+((1-FV646)*FU646),2)</f>
        <v>0</v>
      </c>
      <c r="FX646" s="1686">
        <f>IF(__Retrofit_TI_NC=2,FW646,FV646)</f>
        <v>0</v>
      </c>
      <c r="FY646" s="1697"/>
      <c r="GA646" s="1696" t="str">
        <f>IFERROR(VLOOKUP(U647,_Exist_Fixture_Table,3,FALSE),"")</f>
        <v/>
      </c>
      <c r="GB646" s="1696" t="str">
        <f>VLOOKUP(CW646,_Exist_Fixture_Table,4,FALSE)</f>
        <v/>
      </c>
      <c r="GC646" s="1696">
        <f>IFERROR(VLOOKUP(GB646,Lookup!AT$6:AU$8,2,FALSE),0)</f>
        <v>0</v>
      </c>
      <c r="GD646" s="1696" t="b">
        <f>IFERROR(IF(OR(GF646=4,GF646=5,GF646=6),TRUE,FALSE),"")</f>
        <v>0</v>
      </c>
      <c r="GE646" s="1696" t="str">
        <f>IFERROR(VLOOKUP(GF646,GC$6:GD$10,2,FALSE),"")</f>
        <v/>
      </c>
      <c r="GF646" s="1696" t="str">
        <f>VLOOKUP(CW648,Fixtures!R$31:Y$78,8,FALSE)</f>
        <v/>
      </c>
      <c r="GG646" s="1696">
        <f>IF(AND(GA646=TRUE,GD646=TRUE,OR(DQ646=12,DQ646=13,DQ646=14)),GC646+8,0)</f>
        <v>0</v>
      </c>
      <c r="GH646" s="1696" t="b">
        <f>IF(OR(GG646=12,GG646=13,GG646=14),TRUE,FALSE)</f>
        <v>0</v>
      </c>
      <c r="GI646" s="673" t="b">
        <f>IF(ISNUMBER(SEARCH("TLED",U647)),TRUE,FALSE)</f>
        <v>0</v>
      </c>
      <c r="GJ646" s="1135" t="str">
        <f>IFERROR(VLOOKUP(U647,Fixtures!BM$93:BR$142,6,FALSE),"")</f>
        <v/>
      </c>
      <c r="GK646" s="1832" t="b">
        <f>IF(OR(GI646=FALSE,GI648=FALSE),TRUE,IF(GJ646-GJ648&lt;5,FALSE,TRUE))</f>
        <v>1</v>
      </c>
      <c r="GO646" s="674">
        <f>GP646</f>
        <v>0</v>
      </c>
      <c r="GP646" s="674">
        <f>IF(G646="",0,1)</f>
        <v>0</v>
      </c>
      <c r="GQ646" s="674">
        <f ca="1">SUM(GR646:HF646)</f>
        <v>2</v>
      </c>
      <c r="GR646" s="674">
        <f>IF(G647="",0,1)</f>
        <v>0</v>
      </c>
      <c r="GS646" s="674">
        <f>IF(N649="BAM",1,IF(G648="",0,1))</f>
        <v>0</v>
      </c>
      <c r="GT646" s="674">
        <f>IF(N649="BAM",1,IF(R647="",0,1))</f>
        <v>0</v>
      </c>
      <c r="GU646" s="674">
        <f>IF(N649="BAM",1,IF(__Retrofit_TI_NC=0,1,IF(R648="",0,1)))</f>
        <v>1</v>
      </c>
      <c r="GV646" s="674">
        <f>IF(N649="BAM",1,IF(CQ646="Exterior",1,IF(G649="",0,1)))</f>
        <v>1</v>
      </c>
      <c r="GW646" s="674">
        <f>IF(__Retrofit_TI_NC&gt;0,1,IF(T647="",0,1))</f>
        <v>0</v>
      </c>
      <c r="GX646" s="674">
        <f>IF(__Retrofit_TI_NC&gt;0,1,IF(U647="",0,1))</f>
        <v>0</v>
      </c>
      <c r="GY646" s="674">
        <f>IF(N649="BAM",1,IF(T648="",0,1))</f>
        <v>0</v>
      </c>
      <c r="GZ646" s="674">
        <f>IF(N649="BAM",1,IF(U648="",0,1))</f>
        <v>0</v>
      </c>
      <c r="HA646" s="674">
        <f ca="1">IF(N649="BAM",1,IF(__Retrofit_TI_NC&gt;0,1,IF(U649="",0,1)))</f>
        <v>0</v>
      </c>
      <c r="HB646" s="674">
        <f>IF(__Retrofit_TI_NC&lt;&gt;0,1,IF(AF647="",0,1))</f>
        <v>0</v>
      </c>
      <c r="HC646" s="674">
        <f>IF(__Retrofit_TI_NC&lt;&gt;0,1,IF(AG647="",0,1))</f>
        <v>0</v>
      </c>
      <c r="HD646" s="674">
        <f>IF(N649="BAM",1,IF(AF648="",0,1))</f>
        <v>0</v>
      </c>
      <c r="HE646" s="674">
        <f>IF(N649="BAM",1,IF(AG648="",0,1))</f>
        <v>0</v>
      </c>
      <c r="HF646" s="674">
        <f>IF(N649="BAM",1,IF(__Retrofit_TI_NC&gt;0,1,IF(AG649="",0,1)))</f>
        <v>0</v>
      </c>
      <c r="HG646" s="391"/>
      <c r="IA646" s="391"/>
      <c r="IB646" s="1693" t="b">
        <f>IF(OR(IB649=0,IB649=HY$16,IB649=HX$16,IB649=HZ$16),TRUE,FALSE)</f>
        <v>0</v>
      </c>
      <c r="IC646" s="1694" t="b">
        <f>IB646</f>
        <v>0</v>
      </c>
      <c r="ID646" s="391"/>
      <c r="IE646" s="391"/>
      <c r="IF646" s="1688" t="b">
        <f ca="1">IF(MAX(GN649:HU649)&gt;5,FALSE,TRUE)</f>
        <v>0</v>
      </c>
      <c r="IG646" s="1689">
        <f ca="1">IF(IF646=TRUE,AC646,0)</f>
        <v>0</v>
      </c>
      <c r="IH646" s="1689">
        <f ca="1">IG646-IG648</f>
        <v>0</v>
      </c>
      <c r="IK646" s="1689" t="e">
        <f>ROUND(T647*VLOOKUP(U647,Fixtures_Existing_List,2,FALSE)*N647*R647/1000,0)</f>
        <v>#N/A</v>
      </c>
      <c r="IL646" s="1690" t="e">
        <f>IK646-IK648</f>
        <v>#N/A</v>
      </c>
      <c r="IM646" s="1693" t="e">
        <f>ROUND(IF(CQ646="Interior",N648*R648*R647*N647*_C406_reduction/1000,N648*R648*R647*N647/1000),0)</f>
        <v>#N/A</v>
      </c>
      <c r="IN646" s="1693" t="e">
        <f>IM646-IM648</f>
        <v>#N/A</v>
      </c>
      <c r="IP646" s="1679"/>
      <c r="IQ646" s="1679" t="e">
        <f t="shared" ref="IQ646:IU646" si="591">IF($CR646="interior",VLOOKUP($CS646,_New_Control_Savings_Interior,IQ$30,FALSE),VLOOKUP($CS646,Control_Savings_Exterior,IQ$30,FALSE))</f>
        <v>#N/A</v>
      </c>
      <c r="IR646" s="1679" t="e">
        <f t="shared" si="591"/>
        <v>#N/A</v>
      </c>
      <c r="IS646" s="1679" t="e">
        <f t="shared" si="591"/>
        <v>#N/A</v>
      </c>
      <c r="IT646" s="1679" t="e">
        <f t="shared" si="591"/>
        <v>#N/A</v>
      </c>
      <c r="IU646" s="1679" t="e">
        <f t="shared" si="591"/>
        <v>#N/A</v>
      </c>
      <c r="IV646" s="1679" t="e">
        <f>IF($CR646="interior",IF(R647&gt;$IP$14,ROUND(($IV$18*($IP$14/R647)),2),$IV$18),VLOOKUP($CS646,Control_Savings_Exterior,IV$30,FALSE))</f>
        <v>#N/A</v>
      </c>
      <c r="IW646" s="1679" t="e">
        <f>IF($CR646="interior",ROUND(((1-IS646)*IV646)+IS646,2),VLOOKUP($CS646,Control_Savings_Exterior,IW$30,FALSE))</f>
        <v>#N/A</v>
      </c>
      <c r="IX646" s="1679" t="e">
        <f>IF($CR646="interior",ROUND(((1-IT646)*IV646)+IT646,2),VLOOKUP($CS646,Control_Savings_Exterior,IX$30,FALSE))</f>
        <v>#N/A</v>
      </c>
      <c r="IY646" s="1679" t="e">
        <f>IF($CR646="interior",IF(R647&gt;$IP$14,ROUND(($IY$18*($IP$14/R647)),2),$IY$18),VLOOKUP($CS646,Control_Savings_Exterior,IY$30,FALSE))</f>
        <v>#N/A</v>
      </c>
      <c r="IZ646" s="1679" t="e">
        <f>IF($CR646="interior",ROUND(((1-IS646)*IY646)+IS646,2),VLOOKUP($CS646,Control_Savings_Exterior,IZ$30,FALSE))</f>
        <v>#N/A</v>
      </c>
      <c r="JA646" s="1679" t="e">
        <f>IF($CR646="interior",ROUND(((1-IT646)*IY646)+IT646,2),VLOOKUP($CS646,Control_Savings_Exterior,JA$30,FALSE))</f>
        <v>#N/A</v>
      </c>
      <c r="JC646" s="1680">
        <f>IFERROR(IF(CR646="Interior",CONCATENATE(G649," ",FQ646),FQ646),"")</f>
        <v>0</v>
      </c>
      <c r="JD646" s="1670" t="str">
        <f>IFERROR(VLOOKUP(JC646,_Controls_2023,2,FALSE),"")</f>
        <v/>
      </c>
      <c r="JE646" s="1681">
        <f>IFERROR(CHOOSE(JD646-1,IQ646,IR646,IS646,IT646,IU646,IV646,IW646,IX646,IY646,IZ646,JA646),0)</f>
        <v>0</v>
      </c>
      <c r="JG646" s="1680" t="str">
        <f>FE646</f>
        <v xml:space="preserve"> - 0</v>
      </c>
      <c r="JH646" s="1670" t="e">
        <f>$FO646</f>
        <v>#N/A</v>
      </c>
      <c r="JI646" s="1060"/>
      <c r="JJ646" s="1682" t="b">
        <f>IF($JG648=CONCATENATE("Interior - ",JJ$4),TRUE,FALSE)</f>
        <v>0</v>
      </c>
      <c r="JK646" s="1061"/>
      <c r="JL646" s="1682" t="b">
        <f>IF($JG648=CONCATENATE("Interior - ",JL$4),TRUE,FALSE)</f>
        <v>0</v>
      </c>
      <c r="JM646" s="1061"/>
      <c r="JN646" s="1682" t="b">
        <f>IF($JG648=CONCATENATE("Interior - ",JN$4),TRUE,FALSE)</f>
        <v>0</v>
      </c>
      <c r="JO646" s="1061"/>
      <c r="JP646" s="1682" t="b">
        <f>IF(__Retrofit_TI_NC&gt;0,FALSE,IF($JG648=CONCATENATE("Interior - ",JP$4),TRUE,FALSE))</f>
        <v>0</v>
      </c>
      <c r="JQ646" s="1061"/>
      <c r="JR646" s="1682" t="b">
        <f>IF(__Retrofit_TI_NC&gt;0,FALSE,IF($JG648=CONCATENATE("Interior - ",JR$4),TRUE,FALSE))</f>
        <v>0</v>
      </c>
      <c r="JS646" s="1061"/>
      <c r="JT646" s="1670" t="b">
        <f>IF(__Retrofit_TI_NC&gt;0,FALSE,IF($JG648=CONCATENATE("Interior - ",JT$4),TRUE,FALSE))</f>
        <v>0</v>
      </c>
      <c r="JU646" s="1061"/>
      <c r="JV646" s="1670" t="b">
        <f>IF(JC648="AELC on Existing",TRUE,FALSE)</f>
        <v>0</v>
      </c>
      <c r="JX646" s="1670" t="b">
        <f>IF(OR(JG648="Exterior - AELC Occupancy based",JG648="Exterior - AELC Time based"),TRUE,FALSE)</f>
        <v>0</v>
      </c>
      <c r="JZ646" s="1682" t="b">
        <f>IF($JG648=CONCATENATE("Exterior - ",JZ$4),TRUE,FALSE)</f>
        <v>0</v>
      </c>
      <c r="KB646" s="1670" t="b">
        <f>IF(__Retrofit_TI_NC&gt;0,FALSE,IF($JG648=CONCATENATE("Interior - ",KB$4),TRUE,FALSE))</f>
        <v>0</v>
      </c>
    </row>
    <row r="647" spans="1:288" s="78" customFormat="1" ht="14.95" customHeight="1" thickTop="1" thickBot="1">
      <c r="B647" s="1845"/>
      <c r="C647" s="1846"/>
      <c r="D647" s="1847"/>
      <c r="E647" s="1737" t="s">
        <v>297</v>
      </c>
      <c r="F647" s="1738"/>
      <c r="G647" s="1739"/>
      <c r="H647" s="1739"/>
      <c r="I647" s="1739"/>
      <c r="J647" s="1739"/>
      <c r="K647" s="1739"/>
      <c r="L647" s="1739"/>
      <c r="M647" s="461" t="e">
        <f>IF(__Retrofit_TI_NC&lt;&gt;0,IF(VLOOKUP(G648,'Space Table'!$B$3:$L$163,3,FALSE)&gt;0,1,0),IF(__Retrofit_TI_NC=VLOOKUP(G648,'Space Table'!$B$3:$L$163,3,FALSE),1,0))</f>
        <v>#N/A</v>
      </c>
      <c r="N647" s="461" t="str">
        <f>IFERROR(VLOOKUP(G647,_Lookup_Heat_Type_Table_New,2,FALSE),"")</f>
        <v/>
      </c>
      <c r="O647" s="461">
        <f>IF(__Retrofit_TI_NC=1,CONCATENATE("TI ",G647),IF(__Retrofit_TI_NC=2,CONCATENATE("NC ",G647),G647))</f>
        <v>0</v>
      </c>
      <c r="P647" s="1740" t="s">
        <v>435</v>
      </c>
      <c r="Q647" s="1740"/>
      <c r="R647" s="595"/>
      <c r="S647" s="1792"/>
      <c r="T647" s="597"/>
      <c r="U647" s="1765"/>
      <c r="V647" s="1766"/>
      <c r="W647" s="1766"/>
      <c r="X647" s="1766"/>
      <c r="Y647" s="1766"/>
      <c r="Z647" s="1766"/>
      <c r="AA647" s="1766"/>
      <c r="AB647" s="1766"/>
      <c r="AC647" s="1766"/>
      <c r="AD647" s="1767"/>
      <c r="AE647" s="1000"/>
      <c r="AF647" s="597"/>
      <c r="AG647" s="1723"/>
      <c r="AH647" s="1724"/>
      <c r="AI647" s="1724"/>
      <c r="AJ647" s="1724"/>
      <c r="AK647" s="1725"/>
      <c r="AL647" s="996"/>
      <c r="AM647" s="1747"/>
      <c r="AN647" s="1775"/>
      <c r="AO647" s="1777"/>
      <c r="AP647" s="1780"/>
      <c r="AQ647" s="1781"/>
      <c r="AR647" s="1795"/>
      <c r="AS647" s="1795"/>
      <c r="AT647" s="1796"/>
      <c r="AU647" s="1735"/>
      <c r="AV647" s="1752"/>
      <c r="AW647" s="1705"/>
      <c r="AX647" s="467"/>
      <c r="AY647" s="1749"/>
      <c r="AZ647" s="1749"/>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696"/>
      <c r="CQ647" s="1696"/>
      <c r="CR647" s="1809"/>
      <c r="CS647" s="1811"/>
      <c r="CU647" s="1688"/>
      <c r="CV647" s="1703"/>
      <c r="CW647" s="1703"/>
      <c r="CX647" s="1703"/>
      <c r="CY647" s="1815"/>
      <c r="CZ647" s="1711"/>
      <c r="DA647" s="1818"/>
      <c r="DB647" s="1820"/>
      <c r="DC647" s="1820"/>
      <c r="DD647" s="1820"/>
      <c r="DF647" s="1703"/>
      <c r="DG647" s="1831"/>
      <c r="DH647" s="1703"/>
      <c r="DI647" s="1838"/>
      <c r="DJ647" s="1711"/>
      <c r="DK647" s="1712"/>
      <c r="DM647" s="1718"/>
      <c r="DO647" s="1708"/>
      <c r="DQ647" s="1715"/>
      <c r="DR647" s="1720"/>
      <c r="DS647" s="1816"/>
      <c r="DT647" s="1714"/>
      <c r="DU647" s="1715"/>
      <c r="DV647" s="1716"/>
      <c r="DX647" s="1715"/>
      <c r="DY647" s="1720"/>
      <c r="DZ647" s="1715"/>
      <c r="EA647" s="1715"/>
      <c r="EC647" s="1834"/>
      <c r="ED647" s="1834"/>
      <c r="EF647" s="1707"/>
      <c r="EG647" s="1712"/>
      <c r="EH647" s="1818"/>
      <c r="EI647" s="1712"/>
      <c r="EJ647" s="1712"/>
      <c r="EK647" s="1836"/>
      <c r="EL647" s="1836"/>
      <c r="EM647" s="1807"/>
      <c r="EN647" s="1839"/>
      <c r="EO647" s="1839"/>
      <c r="EP647" s="1817"/>
      <c r="EQ647" s="1817"/>
      <c r="ER647" s="1807"/>
      <c r="ES647" s="1807"/>
      <c r="ET647" s="1807"/>
      <c r="EV647" s="1715"/>
      <c r="EX647" s="1805"/>
      <c r="EY647" s="1805"/>
      <c r="EZ647" s="1805"/>
      <c r="FA647" s="1805"/>
      <c r="FB647" s="1805"/>
      <c r="FC647" s="1827"/>
      <c r="FE647" s="1698"/>
      <c r="FG647" s="1816"/>
      <c r="FH647" s="1816"/>
      <c r="FI647" s="133"/>
      <c r="FL647" s="1823"/>
      <c r="FM647" s="1825"/>
      <c r="FN647" s="1698"/>
      <c r="FO647" s="1698"/>
      <c r="FP647" s="1678"/>
      <c r="FQ647" s="1678"/>
      <c r="FS647" s="1687"/>
      <c r="FT647" s="1687"/>
      <c r="FU647" s="1685"/>
      <c r="FV647" s="1687"/>
      <c r="FW647" s="1687"/>
      <c r="FX647" s="1687"/>
      <c r="FY647" s="1697"/>
      <c r="GA647" s="1696"/>
      <c r="GB647" s="1696"/>
      <c r="GC647" s="1696"/>
      <c r="GD647" s="1696"/>
      <c r="GE647" s="1696"/>
      <c r="GF647" s="1696"/>
      <c r="GG647" s="1696"/>
      <c r="GH647" s="1696"/>
      <c r="GI647" s="673"/>
      <c r="GJ647" s="1135"/>
      <c r="GK647" s="1832"/>
      <c r="GM647" s="1693" t="b">
        <f ca="1">IF(AND(GP647=TRUE,GQ647=TRUE),TRUE,FALSE)</f>
        <v>0</v>
      </c>
      <c r="GN647" s="1684" t="b">
        <f>IFERROR(IF(__Retrofit_TI_NC=2,TRUE,IF(AU646="Yes",TRUE,FALSE)),FALSE)</f>
        <v>1</v>
      </c>
      <c r="GP647" s="1684" t="b">
        <f>IFERROR(IF(GP646=1,TRUE,FALSE),FALSE)</f>
        <v>0</v>
      </c>
      <c r="GQ647" s="1684" t="b">
        <f ca="1">IFERROR(IF(GQ646=GQ$14,TRUE,FALSE),FALSE)</f>
        <v>0</v>
      </c>
      <c r="HG647" s="1684" t="b">
        <f>IFERROR(IF(AND(__Retrofit_TI_NC&gt;0,CQ646="Interior"),FALSE,TRUE),FALSE)</f>
        <v>1</v>
      </c>
      <c r="HH647" s="1684" t="b">
        <f>IFERROR(IF(M647=1,TRUE,FALSE),FALSE)</f>
        <v>0</v>
      </c>
      <c r="HI647" s="1684" t="b">
        <f>IFERROR(IF(OR(M648=1,N649="BAM"),TRUE,FALSE),FALSE)</f>
        <v>0</v>
      </c>
      <c r="HJ647" s="1684" t="b">
        <f>IFERROR(IF(__Retrofit_TI_NC&lt;&gt;0,TRUE,IFERROR(IF(VLOOKUP(U647,Fixtures_Existing_List,2,FALSE)&lt;&gt;"",TRUE,FALSE),FALSE)),FALSE)</f>
        <v>0</v>
      </c>
      <c r="HK647" s="1684" t="b">
        <f>IFERROR(IF(VLOOKUP(U648,Fixtures_Proposed_List,2,FALSE)&lt;&gt;"",TRUE,FALSE),FALSE)</f>
        <v>0</v>
      </c>
      <c r="HL647" s="1684" t="b">
        <f>IF(AND(__Retrofit_TI_NC=2,FC646=TRUE),FALSE,TRUE)</f>
        <v>1</v>
      </c>
      <c r="HM647" s="1684" t="b">
        <f>GK646</f>
        <v>1</v>
      </c>
      <c r="HN647" s="1682" t="b">
        <f>IF(ISERROR(MATCH(FE646,_Control_Match[],0))=TRUE,FALSE,TRUE)</f>
        <v>0</v>
      </c>
      <c r="HO647" s="1693" t="b">
        <f>IFERROR(IF(EX646&lt;&gt;EY646,FALSE,TRUE),FALSE)</f>
        <v>1</v>
      </c>
      <c r="HP647" s="1693" t="b">
        <f>IFERROR(IF(EX648&lt;&gt;EY648,FALSE,TRUE),FALSE)</f>
        <v>1</v>
      </c>
      <c r="HQ647" s="1670" t="b">
        <f>IFERROR(IF(CQ646="Exterior",TRUE,IF(AND(OR(FM648=0,FM648=3),JD648&gt;6),FALSE,TRUE)),FALSE)</f>
        <v>0</v>
      </c>
      <c r="HR647" s="1684" t="b">
        <f>IFERROR(IF(AND(FO648=7,FC646=TRUE),FALSE,TRUE),FALSE)</f>
        <v>0</v>
      </c>
      <c r="HS647" s="1684" t="b">
        <f>IFERROR(IF(AND(T648&lt;&gt;AF648,OR(AG648="Interior LLLC", AG648="Interior NLC", AG648="LLLC (outside Daylight)",AG648="LLLC Controls Only"))=TRUE,FALSE,TRUE),FALSE)</f>
        <v>1</v>
      </c>
      <c r="HT647" s="1670" t="b">
        <f>IFERROR(IF(OR(AG648=Lookup!BB$17,AG648=Lookup!BB$18,AG648=Lookup!BB$19)=TRUE,IF(AF648&gt;T648,FALSE,TRUE),TRUE),FALSE)</f>
        <v>1</v>
      </c>
      <c r="HU647" s="1684" t="b">
        <f>IFERROR(IF(__Retrofit_TI_NC=2,IF(EZ648&lt;EZ646,FALSE,TRUE),TRUE),FALSE)</f>
        <v>1</v>
      </c>
      <c r="HV647" s="1684" t="b">
        <f>IF(CQ646="Interior",IL$6,TRUE)</f>
        <v>1</v>
      </c>
      <c r="HW647" s="1684" t="b">
        <f>IF(CQ646="Exterior",IL$8,TRUE)</f>
        <v>1</v>
      </c>
      <c r="HX647" s="1684" t="b">
        <f>IFERROR(IF(__Retrofit_TI_NC&lt;&gt;0,IF(AZ646&lt;AY646,FALSE,TRUE),TRUE),FALSE)</f>
        <v>1</v>
      </c>
      <c r="HY647" s="1684" t="b">
        <f>IFERROR(IF(AND(G647="Exterior",R647&gt;4200),FALSE,TRUE),FALSE)</f>
        <v>1</v>
      </c>
      <c r="HZ647" s="1684" t="b">
        <f>IFERROR(IF(AB649/AB646&lt;HZ$18,FALSE,TRUE),FALSE)</f>
        <v>0</v>
      </c>
      <c r="IB647" s="1691"/>
      <c r="IC647" s="1695"/>
      <c r="ID647" s="1694" t="str">
        <f>VLOOKUP(IB649,_Error_Table,4,FALSE)</f>
        <v>White</v>
      </c>
      <c r="IE647" s="391"/>
      <c r="IF647" s="1688"/>
      <c r="IG647" s="1689"/>
      <c r="IH647" s="1684"/>
      <c r="IK647" s="1689"/>
      <c r="IL647" s="1691"/>
      <c r="IM647" s="1691"/>
      <c r="IN647" s="1691"/>
      <c r="IP647" s="1679"/>
      <c r="IQ647" s="1679"/>
      <c r="IR647" s="1679"/>
      <c r="IS647" s="1679"/>
      <c r="IT647" s="1679"/>
      <c r="IU647" s="1679"/>
      <c r="IV647" s="1679"/>
      <c r="IW647" s="1679"/>
      <c r="IX647" s="1679"/>
      <c r="IY647" s="1679"/>
      <c r="IZ647" s="1679"/>
      <c r="JA647" s="1679"/>
      <c r="JC647" s="1680"/>
      <c r="JD647" s="1670"/>
      <c r="JE647" s="1681"/>
      <c r="JG647" s="1680"/>
      <c r="JH647" s="1670"/>
      <c r="JI647" s="1060"/>
      <c r="JJ647" s="1683"/>
      <c r="JK647" s="1061"/>
      <c r="JL647" s="1683"/>
      <c r="JM647" s="1061"/>
      <c r="JN647" s="1683"/>
      <c r="JO647" s="1061"/>
      <c r="JP647" s="1683"/>
      <c r="JQ647" s="1061"/>
      <c r="JR647" s="1683"/>
      <c r="JS647" s="1061"/>
      <c r="JT647" s="1670"/>
      <c r="JU647" s="1061"/>
      <c r="JV647" s="1670"/>
      <c r="JX647" s="1670"/>
      <c r="JZ647" s="1683"/>
      <c r="KB647" s="1670"/>
    </row>
    <row r="648" spans="1:288" s="78" customFormat="1" ht="14.95" customHeight="1" thickTop="1" thickBot="1">
      <c r="A648" s="78">
        <f>ROW()</f>
        <v>648</v>
      </c>
      <c r="B648" s="1845"/>
      <c r="C648" s="1846"/>
      <c r="D648" s="1847"/>
      <c r="E648" s="1737" t="s">
        <v>298</v>
      </c>
      <c r="F648" s="1738"/>
      <c r="G648" s="1760"/>
      <c r="H648" s="1761"/>
      <c r="I648" s="1761"/>
      <c r="J648" s="1761"/>
      <c r="K648" s="1761"/>
      <c r="L648" s="1762"/>
      <c r="M648" s="461">
        <f>IFERROR(IF(IF(__Retrofit_TI_NC&lt;&gt;0,IF(CQ646="Interior",MATCH(G648,Lookup_Interior_New,0),MATCH(G648,Lookup_Exterior_New,0)),IF(CQ646="Interior",MATCH(G648,Lookup_Interior,0),MATCH(G648,Lookup_Exterior_Areas,0)))&gt;0,1,0),0)</f>
        <v>0</v>
      </c>
      <c r="N648" s="461" t="e">
        <f>IF(__Retrofit_TI_NC=1,
VLOOKUP(G648,'Space Table'!$B$3:$L$163,4,FALSE),
IF(__Retrofit_TI_NC=2,VLOOKUP(G648,'Space Table'!$B$3:$L$163,5,FALSE),VLOOKUP(G648,'Space Table'!$B$3:$L$163,5,FALSE)))</f>
        <v>#N/A</v>
      </c>
      <c r="O648" s="461">
        <f>G648</f>
        <v>0</v>
      </c>
      <c r="P648" s="1738" t="str">
        <f>IFERROR(IF(__Retrofit_TI_NC=1,VLOOKUP(G648,'Space Table'!$B$3:$O$163,13,FALSE),IF(__Retrofit_TI_NC=2,VLOOKUP(G648,'Space Table'!$B$3:$O$163,14,FALSE),"Area (sf):")),"Area (sf):")</f>
        <v>Area (sf):</v>
      </c>
      <c r="Q648" s="1738"/>
      <c r="R648" s="596"/>
      <c r="S648" s="1763" t="s">
        <v>345</v>
      </c>
      <c r="T648" s="594"/>
      <c r="U648" s="1801"/>
      <c r="V648" s="1802"/>
      <c r="W648" s="1802"/>
      <c r="X648" s="1802"/>
      <c r="Y648" s="1802"/>
      <c r="Z648" s="1802"/>
      <c r="AA648" s="1802"/>
      <c r="AB648" s="1802"/>
      <c r="AC648" s="1802"/>
      <c r="AD648" s="1802"/>
      <c r="AE648" s="1803"/>
      <c r="AF648" s="594"/>
      <c r="AG648" s="1787"/>
      <c r="AH648" s="1787"/>
      <c r="AI648" s="1787"/>
      <c r="AJ648" s="1787"/>
      <c r="AK648" s="1787"/>
      <c r="AL648" s="1787"/>
      <c r="AM648" s="1726">
        <f>IFERROR(DI648,"")</f>
        <v>0</v>
      </c>
      <c r="AN648" s="1728" t="str">
        <f>IFERROR(ROUND(AM648*AC649,0),"")</f>
        <v/>
      </c>
      <c r="AO648" s="1730">
        <f>IFERROR(IF(IB646=FALSE,0,AC649-AN648),0)</f>
        <v>0</v>
      </c>
      <c r="AP648" s="1780"/>
      <c r="AQ648" s="1781"/>
      <c r="AR648" s="1795"/>
      <c r="AS648" s="1795"/>
      <c r="AT648" s="1796"/>
      <c r="AU648" s="1735"/>
      <c r="AV648" s="1752"/>
      <c r="AW648" s="1705"/>
      <c r="AX648" s="467"/>
      <c r="AY648" s="1749"/>
      <c r="AZ648" s="1749"/>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696"/>
      <c r="CQ648" s="1696"/>
      <c r="CR648" s="1808" t="str">
        <f>CQ646</f>
        <v/>
      </c>
      <c r="CS648" s="1810" t="str">
        <f>CS646</f>
        <v/>
      </c>
      <c r="CU648" s="1688" t="s">
        <v>345</v>
      </c>
      <c r="CV648" s="1702">
        <f>IF(IB646=TRUE,T648,0)</f>
        <v>0</v>
      </c>
      <c r="CW648" s="1702" t="str">
        <f>IF(IB646=TRUE,U648,"")</f>
        <v/>
      </c>
      <c r="CX648" s="1812">
        <f>IF(IB646=TRUE,U649,0)</f>
        <v>0</v>
      </c>
      <c r="CY648" s="1814">
        <f>IF(IB646=TRUE,AB649,0)</f>
        <v>0</v>
      </c>
      <c r="CZ648" s="1710">
        <f>IF(AND(__Retrofit_TI_NC&gt;0,CR646="interior"),0,IF(IB646=TRUE,AC649,0))</f>
        <v>0</v>
      </c>
      <c r="DA648" s="1818"/>
      <c r="DB648" s="1820"/>
      <c r="DC648" s="1820"/>
      <c r="DD648" s="1820"/>
      <c r="DF648" s="1702">
        <f>IF(IB646=TRUE,AF648,0)</f>
        <v>0</v>
      </c>
      <c r="DG648" s="1830" t="str">
        <f>IF(IB646=TRUE,AG648,"")</f>
        <v/>
      </c>
      <c r="DH648" s="1812">
        <f>AG649</f>
        <v>0</v>
      </c>
      <c r="DI648" s="1837">
        <f>JE648</f>
        <v>0</v>
      </c>
      <c r="DJ648" s="1710">
        <f>IF(AND(__Retrofit_TI_NC&gt;0,CR646="interior"),0,IF(IB646=TRUE,AN648,0))</f>
        <v>0</v>
      </c>
      <c r="DK648" s="1712"/>
      <c r="DN648" s="1717">
        <f>IFERROR(CZ648-DJ648,0)</f>
        <v>0</v>
      </c>
      <c r="DO648" s="1709"/>
      <c r="DQ648" s="1715"/>
      <c r="DR648" s="1719" t="str">
        <f>DQ646</f>
        <v/>
      </c>
      <c r="DS648" s="1816"/>
      <c r="DT648" s="1835" t="str">
        <f>IF(OR(DS646=7,DS646=8,DS646=9),"ALC","")</f>
        <v/>
      </c>
      <c r="DU648" s="1715"/>
      <c r="DV648" s="1716"/>
      <c r="DX648" s="1715"/>
      <c r="DY648" s="1829" t="str">
        <f>DX646</f>
        <v/>
      </c>
      <c r="DZ648" s="1715"/>
      <c r="EA648" s="1715"/>
      <c r="EC648" s="1834"/>
      <c r="ED648" s="1834"/>
      <c r="EF648" s="1707"/>
      <c r="EG648" s="1712"/>
      <c r="EH648" s="1818"/>
      <c r="EI648" s="1712"/>
      <c r="EJ648" s="1712"/>
      <c r="EK648" s="1836"/>
      <c r="EL648" s="1836"/>
      <c r="EM648" s="1807"/>
      <c r="EN648" s="1839"/>
      <c r="EO648" s="1839"/>
      <c r="EP648" s="1817"/>
      <c r="EQ648" s="1817"/>
      <c r="ER648" s="1807"/>
      <c r="ES648" s="1807"/>
      <c r="ET648" s="1807"/>
      <c r="EV648" s="1715"/>
      <c r="EX648" s="1805" t="str">
        <f>IFERROR(VLOOKUP(CS648,'Space Table'!$B$3:$L$163,8,FALSE),"")</f>
        <v/>
      </c>
      <c r="EY648" s="1805" t="str">
        <f>IFERROR(IF(FB648="Yes",VLOOKUP(AG648,Lookup_Control_Type_Table2,4,FALSE),VLOOKUP(AG648,Lookup_Control_Type_Table2,3,FALSE)),"")</f>
        <v/>
      </c>
      <c r="EZ648" s="1805" t="e">
        <f>VLOOKUP(AG648,Lookup!BB$3:BC$20,2,FALSE)</f>
        <v>#N/A</v>
      </c>
      <c r="FA648" s="1805" t="e">
        <f>VLOOKUP(EX646,Lookup_Control_Type_Table,2,FALSE)</f>
        <v>#N/A</v>
      </c>
      <c r="FB648" s="1805" t="e">
        <f>VLOOKUP(CS648,'Space Table'!$B$3:$L$163,7,FALSE)</f>
        <v>#N/A</v>
      </c>
      <c r="FC648" s="1827"/>
      <c r="FE648" s="1698" t="str">
        <f>CONCATENATE(CQ646," - ",AG648)</f>
        <v xml:space="preserve"> - </v>
      </c>
      <c r="FG648" s="1816"/>
      <c r="FH648" s="1816"/>
      <c r="FI648" s="133"/>
      <c r="FL648" s="1822" t="str">
        <f>IF(CQ646="Exterior","Not Daylighted",G649)</f>
        <v>Not Daylighted</v>
      </c>
      <c r="FM648" s="1824">
        <f>VLOOKUP(FL648,_New_Daylight_Table_Codes,2,FALSE)</f>
        <v>0</v>
      </c>
      <c r="FN648" s="1698">
        <f>AG648</f>
        <v>0</v>
      </c>
      <c r="FO648" s="1698" t="e">
        <f>VLOOKUP(FN648,_Control_Table,2,FALSE)</f>
        <v>#N/A</v>
      </c>
      <c r="FP648" s="1678" t="e">
        <f>VLOOKUP(CONCATENATE(FL648," ",FN648),Lookup!AY$102:AZ659,2,FALSE)</f>
        <v>#N/A</v>
      </c>
      <c r="FQ648" s="1698">
        <f>IF(__Retrofit_TI_NC=0,FN648,IF(AND(FT648&gt;0,FN648="Occupancy Sensor"),"Daylight + Occupancy",IF(AND(FT648&gt;0,FO648&lt;4),"Interior Daylight Dimming",FN648)))</f>
        <v>0</v>
      </c>
      <c r="FS648" s="1686">
        <f>IF(CQ646="Interior",VLOOKUP(CS646,Control_Savings_Interior,5,FALSE),0)</f>
        <v>0</v>
      </c>
      <c r="FT648" s="1687">
        <f>IF(CQ648="Exterior",0,IF(FM648=2,0.5,IF(OR(FM648=1,FM648=3),1,0)))</f>
        <v>0</v>
      </c>
      <c r="FU648" s="1685">
        <f>IF(R647&gt;FS$44,(FS648*(FS$44/R647)),FS648)*FT648</f>
        <v>0</v>
      </c>
      <c r="FV648" s="1686">
        <f>DI648</f>
        <v>0</v>
      </c>
      <c r="FW648" s="1686">
        <f>ROUND(FV648+((1-FV648)*FU648),2)</f>
        <v>0</v>
      </c>
      <c r="FX648" s="1686">
        <f>IF(__Retrofit_TI_NC=2,FW648,FV648)</f>
        <v>0</v>
      </c>
      <c r="FY648" s="1697">
        <f>IF(CR648="Interior",VLOOKUP(CS648,Control_Savings_Interior,4,FALSE),0)</f>
        <v>0</v>
      </c>
      <c r="GA648" s="1696"/>
      <c r="GB648" s="1696"/>
      <c r="GC648" s="1696"/>
      <c r="GD648" s="1696"/>
      <c r="GE648" s="1696"/>
      <c r="GF648" s="1696"/>
      <c r="GG648" s="1696"/>
      <c r="GH648" s="1696"/>
      <c r="GI648" s="673" t="b">
        <f>IF(ISNUMBER(SEARCH("TLED",U648)),TRUE,FALSE)</f>
        <v>0</v>
      </c>
      <c r="GJ648" s="1135" t="str">
        <f>IFERROR(VLOOKUP(U648,Fixtures!DM$93:DR$142,6,FALSE),"")</f>
        <v/>
      </c>
      <c r="GK648" s="1832"/>
      <c r="GM648" s="1692"/>
      <c r="GN648" s="1684"/>
      <c r="GP648" s="1684"/>
      <c r="GQ648" s="1684"/>
      <c r="HG648" s="1684"/>
      <c r="HH648" s="1684"/>
      <c r="HI648" s="1684"/>
      <c r="HJ648" s="1684"/>
      <c r="HK648" s="1684"/>
      <c r="HL648" s="1684"/>
      <c r="HM648" s="1684"/>
      <c r="HN648" s="1683"/>
      <c r="HO648" s="1692"/>
      <c r="HP648" s="1692"/>
      <c r="HQ648" s="1670"/>
      <c r="HR648" s="1684"/>
      <c r="HS648" s="1684"/>
      <c r="HT648" s="1670"/>
      <c r="HU648" s="1684"/>
      <c r="HV648" s="1684"/>
      <c r="HW648" s="1684"/>
      <c r="HX648" s="1684"/>
      <c r="HY648" s="1684"/>
      <c r="HZ648" s="1684"/>
      <c r="IB648" s="1692"/>
      <c r="IC648" s="1693" t="b">
        <f>IB646</f>
        <v>0</v>
      </c>
      <c r="ID648" s="1695"/>
      <c r="IE648" s="391"/>
      <c r="IF648" s="1688"/>
      <c r="IG648" s="1689">
        <f ca="1">IF(IF646=TRUE,AC649,0)</f>
        <v>0</v>
      </c>
      <c r="IH648" s="1684"/>
      <c r="IK648" s="1689" t="e">
        <f>ROUND(T648*AB649*N647*R647/1000,0)</f>
        <v>#VALUE!</v>
      </c>
      <c r="IL648" s="1691"/>
      <c r="IM648" s="1693" t="e">
        <f>ROUND(T648*AB649*N647*R647/1000,0)</f>
        <v>#VALUE!</v>
      </c>
      <c r="IN648" s="1691"/>
      <c r="IP648" s="1679"/>
      <c r="IQ648" s="1679" t="e">
        <f t="shared" ref="IQ648:IU648" si="592">IF($CR648="interior",VLOOKUP($CS648,_New_Control_Savings_Interior,IQ$30,FALSE),VLOOKUP($CS648,Control_Savings_Exterior,IQ$30,FALSE))</f>
        <v>#N/A</v>
      </c>
      <c r="IR648" s="1679" t="e">
        <f t="shared" si="592"/>
        <v>#N/A</v>
      </c>
      <c r="IS648" s="1679" t="e">
        <f t="shared" si="592"/>
        <v>#N/A</v>
      </c>
      <c r="IT648" s="1679" t="e">
        <f t="shared" si="592"/>
        <v>#N/A</v>
      </c>
      <c r="IU648" s="1679" t="e">
        <f t="shared" si="592"/>
        <v>#N/A</v>
      </c>
      <c r="IV648" s="1679" t="e">
        <f>IF($CR648="interior",IF(R647&gt;$IP$14,ROUND(($IV$18*($IP$14/R647)),2),$IV$18),VLOOKUP($CS648,Control_Savings_Exterior,IV$30,FALSE))</f>
        <v>#N/A</v>
      </c>
      <c r="IW648" s="1679" t="e">
        <f>IF($CR648="interior",ROUND(((1-IS648)*IV648)+IS648,2),VLOOKUP($CS648,Control_Savings_Exterior,IW$30,FALSE))</f>
        <v>#N/A</v>
      </c>
      <c r="IX648" s="1679" t="e">
        <f>IF($CR648="interior",ROUND(((1-IT648)*IV648)+IT648,2),VLOOKUP($CS648,Control_Savings_Exterior,IX$30,FALSE))</f>
        <v>#N/A</v>
      </c>
      <c r="IY648" s="1679" t="e">
        <f>IF($CR648="interior",IF(R647&gt;$IP$14,ROUND(($IY$18*($IP$14/R647)),2),$IY$18),VLOOKUP($CS648,Control_Savings_Exterior,IY$30,FALSE))</f>
        <v>#N/A</v>
      </c>
      <c r="IZ648" s="1679" t="e">
        <f>IF($CR648="interior",ROUND(((1-IS648)*IY648)+IS648,2),VLOOKUP($CS648,Control_Savings_Exterior,IZ$30,FALSE))</f>
        <v>#N/A</v>
      </c>
      <c r="JA648" s="1679" t="e">
        <f>IF($CR648="interior",ROUND(((1-IT648)*IY648)+IT648,2),VLOOKUP($CS648,Control_Savings_Exterior,JA$30,FALSE))</f>
        <v>#N/A</v>
      </c>
      <c r="JC648" s="1680">
        <f>IFERROR(IF(CR648="Interior",CONCATENATE(G649," ",FQ648),AG648),"")</f>
        <v>0</v>
      </c>
      <c r="JD648" s="1670" t="str">
        <f>IFERROR(VLOOKUP(JC648,_Controls_2023,2,FALSE),"")</f>
        <v/>
      </c>
      <c r="JE648" s="1681">
        <f>IFERROR(CHOOSE(JD648-1,IQ648,IR648,IS648,IT648,IU648,IV648,IW648,IX648,IY648,IZ648,JA648),0)</f>
        <v>0</v>
      </c>
      <c r="JG648" s="1680" t="str">
        <f>FE648</f>
        <v xml:space="preserve"> - </v>
      </c>
      <c r="JH648" s="1670" t="e">
        <f>$FO648</f>
        <v>#N/A</v>
      </c>
      <c r="JI648" s="1060"/>
      <c r="JJ648" s="1670">
        <f>IFERROR(IF($IB646=TRUE,IF(OR(JJ$14="No",JJ646=FALSE,JH648&lt;=JH646,AND(_kWh_Grant=0,GD646=FALSE)),0,IF(JJ$8="Per Line",1,$AF648)),0),0)</f>
        <v>0</v>
      </c>
      <c r="JK648" s="1061"/>
      <c r="JL648" s="1670">
        <f>IFERROR(IF(_kWh_Grant=0,0,IF($IB646=TRUE,IF(OR(JL$14="No",JL646=FALSE,JH648&lt;=JH646),0,IF(JL$8="Per Line",1,$T648)),0)),0)</f>
        <v>0</v>
      </c>
      <c r="JM648" s="1061"/>
      <c r="JN648" s="1670">
        <f>IFERROR(IF(_kWh_Grant=0,0,IF($IB646=TRUE,IF(OR(JN$14="No",JN646=FALSE,JH648&lt;=JH646),0,IF(JN$8="Per Line",1,$AF648)),0)),0)</f>
        <v>0</v>
      </c>
      <c r="JO648" s="1061"/>
      <c r="JP648" s="1670">
        <f>IFERROR(IF(__Retrofit_TI_NC=0,IF(_kWh_Grant=0,0,IF($IB646=TRUE,IF(OR(JP$14="No",JP646=FALSE,$JH648&lt;=$JH646),0,IF(JP$8="Per Line",1,$AF648)),0)),IF($IB646=TRUE,IF(OR(JP$14="No",JP646=FALSE,$JH648&lt;=$JH646),0,IF(JP$8="Per Line",1,$AF648)))),0)</f>
        <v>0</v>
      </c>
      <c r="JQ648" s="1061"/>
      <c r="JR648" s="1670">
        <f>IFERROR(IF(__Retrofit_TI_NC=0,IF(_kWh_Grant=0,0,IF($IB646=TRUE,IF(OR(JR$14="No",JR646=FALSE,$JH648&lt;=$JH646),0,IF(JR$8="Per Line",1,$AF648)),0)),IF($IB646=TRUE,IF(OR(JR$14="No",JR646=FALSE,$JH648&lt;=$JH646),0,IF(JR$8="Per Line",1,$AF648)))),0)</f>
        <v>0</v>
      </c>
      <c r="JS648" s="1061"/>
      <c r="JT648" s="1670">
        <f>IFERROR(IF(__Retrofit_TI_NC=0,IF(_kWh_Grant=0,0,IF($IB646=TRUE,IF(OR(JT$14="No",JT646=FALSE,$JH648&lt;=$JH646),0,IF(JT$8="Per Line",1,$AF648)),0)),IF($IB646=TRUE,IF(OR(JT$14="No",JT646=FALSE,$JH648&lt;=$JH646),0,IF(JT$8="Per Line",1,$AF648)))),0)</f>
        <v>0</v>
      </c>
      <c r="JU648" s="1061"/>
      <c r="JV648" s="1670">
        <f>IFERROR(IF(__Retrofit_TI_NC=0,IF(_kWh_Grant=0,0,IF($IB646=TRUE,IF(OR(JV$14="No",JV646=FALSE,$JH648&lt;=$JH646),0,IF(JV$8="Per Line",1,$AF648)),0)),IF($IB646=TRUE,IF(OR(JV$14="No",JV646=FALSE,$JH648&lt;=$JH646),0,IF(JV$8="Per Line",1,$AF648)))),0)</f>
        <v>0</v>
      </c>
      <c r="JX648" s="1670">
        <f>IFERROR(IF(__Retrofit_TI_NC=0,IF(_kWh_Grant=0,0,IF($IB646=TRUE,IF(OR(JX$14="No",JX646=FALSE,$JH648&lt;=$JH646),0,IF(JX$8="Per Line",1,$AF648)),0)),IF($IB646=TRUE,IF(OR(JX$14="No",JX646=FALSE,$JH648&lt;=$JH646),0,IF(JX$8="Per Line",1,$AF648)))),0)</f>
        <v>0</v>
      </c>
      <c r="JZ648" s="1670">
        <f>IFERROR(IF($IB646=TRUE,IF(OR(JZ$14="No",JZ646=FALSE,$JH648&lt;=$JH646,AND(_kWh_Grant=0,$GD646=FALSE)),0,IF(JZ$8="Per Line",1,$AF648)),0),0)</f>
        <v>0</v>
      </c>
      <c r="KB648" s="1670">
        <f>IFERROR(IF(__Retrofit_TI_NC=0,IF(_kWh_Grant=0,0,IF($IB646=TRUE,IF(OR(KB$14="No",KB646=FALSE,$JH648&lt;=$JH646),0,IF(KB$8="Per Line",1,$AF648)),0)),IF($IB646=TRUE,IF(OR(KB$14="No",KB646=FALSE,$JH648&lt;=$JH646),0,IF(KB$8="Per Line",1,$AF648)))),0)</f>
        <v>0</v>
      </c>
    </row>
    <row r="649" spans="1:288" s="78" customFormat="1" ht="14.95" customHeight="1" thickTop="1" thickBot="1">
      <c r="B649" s="1845"/>
      <c r="C649" s="1846"/>
      <c r="D649" s="1847"/>
      <c r="E649" s="1771" t="s">
        <v>436</v>
      </c>
      <c r="F649" s="1772"/>
      <c r="G649" s="1784" t="s">
        <v>437</v>
      </c>
      <c r="H649" s="1785"/>
      <c r="I649" s="1785"/>
      <c r="J649" s="1785"/>
      <c r="K649" s="1785"/>
      <c r="L649" s="1786"/>
      <c r="M649" s="591">
        <f>IFERROR(VLOOKUP(G649,_Daylight_Table[],2,FALSE),0)</f>
        <v>0</v>
      </c>
      <c r="N649" s="592" t="str">
        <f>IF(AND(__Retrofit_TI_NC&gt;0,CQ646="Interior"),"BAM","")</f>
        <v/>
      </c>
      <c r="O649" s="591" t="e">
        <f>VLOOKUP(G648,'Space Table'!$B$3:$L$163,11,FALSE)</f>
        <v>#N/A</v>
      </c>
      <c r="P649" s="1789"/>
      <c r="Q649" s="1790"/>
      <c r="R649" s="1790"/>
      <c r="S649" s="1788"/>
      <c r="T649" s="593" t="s">
        <v>342</v>
      </c>
      <c r="U649" s="1756" t="str" cm="1">
        <f t="array" aca="1" ref="U649" ca="1">IFERROR(VLOOKUP(INDIRECT("U" &amp; ROW()-1),Fixtures!DM$93:DP$142,4,FALSE),"")</f>
        <v/>
      </c>
      <c r="V649" s="1757"/>
      <c r="W649" s="1757"/>
      <c r="X649" s="1757"/>
      <c r="Y649" s="1757"/>
      <c r="Z649" s="1757"/>
      <c r="AA649" s="1758"/>
      <c r="AB649" s="939" t="str">
        <f>IFERROR(VLOOKUP(U648,Fixtures_Proposed_List,2,FALSE),"")</f>
        <v/>
      </c>
      <c r="AC649" s="933" t="str">
        <f>IFERROR(ROUND(T648*AB649*N647*R647/1000,0),"")</f>
        <v/>
      </c>
      <c r="AD649" s="934" t="str">
        <f>IFERROR(ROUND(T648*AB649/1000,2),"")</f>
        <v/>
      </c>
      <c r="AE649" s="998"/>
      <c r="AF649" s="938" t="s">
        <v>342</v>
      </c>
      <c r="AG649" s="1770"/>
      <c r="AH649" s="1770"/>
      <c r="AI649" s="1770"/>
      <c r="AJ649" s="1770"/>
      <c r="AK649" s="1770"/>
      <c r="AL649" s="1770"/>
      <c r="AM649" s="1727"/>
      <c r="AN649" s="1729"/>
      <c r="AO649" s="1731"/>
      <c r="AP649" s="1782"/>
      <c r="AQ649" s="1783"/>
      <c r="AR649" s="1797"/>
      <c r="AS649" s="1797"/>
      <c r="AT649" s="1798"/>
      <c r="AU649" s="1736"/>
      <c r="AV649" s="1753"/>
      <c r="AW649" s="1706"/>
      <c r="AX649" s="468"/>
      <c r="AY649" s="1750"/>
      <c r="AZ649" s="1750"/>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696"/>
      <c r="CQ649" s="1696"/>
      <c r="CR649" s="1809"/>
      <c r="CS649" s="1811"/>
      <c r="CU649" s="1688"/>
      <c r="CV649" s="1703"/>
      <c r="CW649" s="1703"/>
      <c r="CX649" s="1813"/>
      <c r="CY649" s="1815"/>
      <c r="CZ649" s="1711"/>
      <c r="DA649" s="1815"/>
      <c r="DB649" s="1821"/>
      <c r="DC649" s="1821"/>
      <c r="DD649" s="1821"/>
      <c r="DF649" s="1703"/>
      <c r="DG649" s="1831"/>
      <c r="DH649" s="1813"/>
      <c r="DI649" s="1838"/>
      <c r="DJ649" s="1711"/>
      <c r="DK649" s="1712"/>
      <c r="DN649" s="1718"/>
      <c r="DO649" s="1709"/>
      <c r="DQ649" s="1715"/>
      <c r="DR649" s="1720"/>
      <c r="DS649" s="1703"/>
      <c r="DT649" s="1714"/>
      <c r="DU649" s="1715"/>
      <c r="DV649" s="1716"/>
      <c r="DX649" s="1715"/>
      <c r="DY649" s="1720"/>
      <c r="DZ649" s="1715"/>
      <c r="EA649" s="1715"/>
      <c r="EC649" s="1834"/>
      <c r="ED649" s="1834"/>
      <c r="EF649" s="1707"/>
      <c r="EG649" s="1712"/>
      <c r="EH649" s="1815"/>
      <c r="EI649" s="1712"/>
      <c r="EJ649" s="1712"/>
      <c r="EK649" s="1813"/>
      <c r="EL649" s="1813"/>
      <c r="EM649" s="1807"/>
      <c r="EN649" s="1839"/>
      <c r="EO649" s="1839"/>
      <c r="EP649" s="1817"/>
      <c r="EQ649" s="1817"/>
      <c r="ER649" s="1807"/>
      <c r="ES649" s="1807"/>
      <c r="ET649" s="1807"/>
      <c r="EV649" s="1715"/>
      <c r="EX649" s="1806"/>
      <c r="EY649" s="1806"/>
      <c r="EZ649" s="1806"/>
      <c r="FA649" s="1806"/>
      <c r="FB649" s="1806"/>
      <c r="FC649" s="1828"/>
      <c r="FE649" s="1698"/>
      <c r="FG649" s="1703"/>
      <c r="FH649" s="1703"/>
      <c r="FI649" s="133"/>
      <c r="FL649" s="1823"/>
      <c r="FM649" s="1825"/>
      <c r="FN649" s="1698"/>
      <c r="FO649" s="1698"/>
      <c r="FP649" s="1678"/>
      <c r="FQ649" s="1698"/>
      <c r="FS649" s="1687"/>
      <c r="FT649" s="1687"/>
      <c r="FU649" s="1685"/>
      <c r="FV649" s="1687"/>
      <c r="FW649" s="1687"/>
      <c r="FX649" s="1687"/>
      <c r="FY649" s="1697"/>
      <c r="GA649" s="1696"/>
      <c r="GB649" s="1696"/>
      <c r="GC649" s="1696"/>
      <c r="GD649" s="1696"/>
      <c r="GE649" s="1696"/>
      <c r="GF649" s="1696"/>
      <c r="GG649" s="1696"/>
      <c r="GH649" s="1696"/>
      <c r="GI649" s="673"/>
      <c r="GJ649" s="1135"/>
      <c r="GK649" s="1832"/>
      <c r="GN649" s="674">
        <f>IF(GN647=TRUE,0,GN$16)</f>
        <v>0</v>
      </c>
      <c r="GP649" s="674">
        <f>IF(GP647=TRUE,0,GP$16)</f>
        <v>36</v>
      </c>
      <c r="GQ649" s="674">
        <f ca="1">IF(GQ647=TRUE,0,GQ$16)</f>
        <v>35</v>
      </c>
      <c r="GR649" s="391"/>
      <c r="GS649" s="391"/>
      <c r="GT649" s="391"/>
      <c r="GU649" s="391"/>
      <c r="GV649" s="391"/>
      <c r="HG649" s="674">
        <f>IF(HG647=TRUE,0,HG$16)</f>
        <v>0</v>
      </c>
      <c r="HH649" s="674">
        <f t="shared" ref="HH649:HM649" si="593">IF(HH647=TRUE,0,HH$16)</f>
        <v>19</v>
      </c>
      <c r="HI649" s="674">
        <f t="shared" si="593"/>
        <v>18</v>
      </c>
      <c r="HJ649" s="674">
        <f t="shared" si="593"/>
        <v>17</v>
      </c>
      <c r="HK649" s="674">
        <f t="shared" si="593"/>
        <v>16</v>
      </c>
      <c r="HL649" s="674">
        <f t="shared" si="593"/>
        <v>0</v>
      </c>
      <c r="HM649" s="674">
        <f t="shared" si="593"/>
        <v>0</v>
      </c>
      <c r="HN649" s="674">
        <f>IF(HN647=TRUE,0,HN$16)</f>
        <v>13</v>
      </c>
      <c r="HO649" s="674">
        <f t="shared" ref="HO649:HQ649" si="594">IF(HO647=TRUE,0,HO$16)</f>
        <v>0</v>
      </c>
      <c r="HP649" s="674">
        <f t="shared" si="594"/>
        <v>0</v>
      </c>
      <c r="HQ649" s="674">
        <f t="shared" si="594"/>
        <v>10</v>
      </c>
      <c r="HR649" s="674">
        <f>IF(HR647=TRUE,0,HR$16)</f>
        <v>9</v>
      </c>
      <c r="HS649" s="674">
        <f t="shared" ref="HS649:HW649" si="595">IF(HS647=TRUE,0,HS$16)</f>
        <v>0</v>
      </c>
      <c r="HT649" s="674">
        <f t="shared" si="595"/>
        <v>0</v>
      </c>
      <c r="HU649" s="674">
        <f t="shared" si="595"/>
        <v>0</v>
      </c>
      <c r="HV649" s="674">
        <f t="shared" si="595"/>
        <v>0</v>
      </c>
      <c r="HW649" s="674">
        <f t="shared" si="595"/>
        <v>0</v>
      </c>
      <c r="HX649" s="674">
        <f>IF(HX647=TRUE,0,HX$16)</f>
        <v>0</v>
      </c>
      <c r="HY649" s="674">
        <f>IF(HY647=TRUE,0,HY$16)</f>
        <v>0</v>
      </c>
      <c r="HZ649" s="674">
        <f>IF(HZ647=TRUE,0,HZ$16)</f>
        <v>1</v>
      </c>
      <c r="IB649" s="674">
        <f>IF(GP647=FALSE,GP649,IF(GQ647=FALSE,GQ649,MAX(GN649:HZ649)))</f>
        <v>36</v>
      </c>
      <c r="IC649" s="1692"/>
      <c r="ID649" s="205" t="str">
        <f>VLOOKUP(IB649,_Error_Table,3,FALSE)</f>
        <v xml:space="preserve"> </v>
      </c>
      <c r="IE649" s="205"/>
      <c r="IF649" s="1688"/>
      <c r="IG649" s="1689"/>
      <c r="IH649" s="1684"/>
      <c r="IK649" s="1689"/>
      <c r="IL649" s="1692"/>
      <c r="IM649" s="1692"/>
      <c r="IN649" s="1692"/>
      <c r="IP649" s="1679"/>
      <c r="IQ649" s="1679"/>
      <c r="IR649" s="1679"/>
      <c r="IS649" s="1679"/>
      <c r="IT649" s="1679"/>
      <c r="IU649" s="1679"/>
      <c r="IV649" s="1679"/>
      <c r="IW649" s="1679"/>
      <c r="IX649" s="1679"/>
      <c r="IY649" s="1679"/>
      <c r="IZ649" s="1679"/>
      <c r="JA649" s="1679"/>
      <c r="JC649" s="1680"/>
      <c r="JD649" s="1670"/>
      <c r="JE649" s="1681"/>
      <c r="JG649" s="1680"/>
      <c r="JH649" s="1670"/>
      <c r="JI649" s="1060"/>
      <c r="JJ649" s="1670"/>
      <c r="JK649" s="1061"/>
      <c r="JL649" s="1670"/>
      <c r="JM649" s="1061"/>
      <c r="JN649" s="1670"/>
      <c r="JO649" s="1061"/>
      <c r="JP649" s="1670"/>
      <c r="JQ649" s="1061"/>
      <c r="JR649" s="1670"/>
      <c r="JS649" s="1061"/>
      <c r="JT649" s="1670"/>
      <c r="JU649" s="1061"/>
      <c r="JV649" s="1670"/>
      <c r="JX649" s="1670"/>
      <c r="JZ649" s="1670"/>
      <c r="KB649" s="1670"/>
    </row>
    <row r="650" spans="1:288" s="78" customFormat="1" ht="5.0999999999999996" customHeight="1">
      <c r="B650" s="676"/>
      <c r="C650" s="392"/>
      <c r="D650" s="392"/>
      <c r="E650" s="1733"/>
      <c r="F650" s="1733"/>
      <c r="G650" s="1733"/>
      <c r="H650" s="1733"/>
      <c r="I650" s="1733"/>
      <c r="J650" s="1733"/>
      <c r="K650" s="1733"/>
      <c r="L650" s="1733"/>
      <c r="M650" s="1733"/>
      <c r="N650" s="1733"/>
      <c r="O650" s="1733"/>
      <c r="P650" s="1733"/>
      <c r="Q650" s="1733"/>
      <c r="R650" s="1733"/>
      <c r="S650" s="1733"/>
      <c r="T650" s="1733"/>
      <c r="U650" s="1733"/>
      <c r="V650" s="1733"/>
      <c r="W650" s="1733"/>
      <c r="X650" s="1733"/>
      <c r="Y650" s="1733"/>
      <c r="Z650" s="1733"/>
      <c r="AA650" s="1733"/>
      <c r="AB650" s="1733"/>
      <c r="AC650" s="1733"/>
      <c r="AD650" s="1733"/>
      <c r="AE650" s="1733"/>
      <c r="AF650" s="1733"/>
      <c r="AG650" s="1733"/>
      <c r="AH650" s="1733"/>
      <c r="AI650" s="1733"/>
      <c r="AJ650" s="1733"/>
      <c r="AK650" s="1733"/>
      <c r="AL650" s="1733"/>
      <c r="AM650" s="1733"/>
      <c r="AN650" s="1733"/>
      <c r="AO650" s="1733"/>
      <c r="AP650" s="1733"/>
      <c r="AQ650" s="1733"/>
      <c r="AR650" s="1733"/>
      <c r="AS650" s="1733"/>
      <c r="AT650" s="1733"/>
      <c r="AU650" s="1733"/>
      <c r="AV650" s="1733"/>
      <c r="AW650" s="1733"/>
      <c r="AX650" s="469"/>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663"/>
      <c r="CQ650" s="663"/>
      <c r="CR650" s="438"/>
      <c r="CS650" s="663"/>
      <c r="CV650" s="391"/>
      <c r="CW650" s="391"/>
      <c r="CX650" s="207"/>
      <c r="CY650" s="208"/>
      <c r="CZ650" s="208"/>
      <c r="DA650" s="208"/>
      <c r="DB650" s="209"/>
      <c r="DC650" s="209"/>
      <c r="DD650" s="209"/>
      <c r="DF650" s="664"/>
      <c r="DG650" s="665"/>
      <c r="DH650" s="666"/>
      <c r="DI650" s="667"/>
      <c r="DJ650" s="668"/>
      <c r="DK650" s="668"/>
      <c r="DN650" s="208"/>
      <c r="DO650" s="664"/>
      <c r="DQ650" s="664"/>
      <c r="DR650" s="669"/>
      <c r="DS650" s="391"/>
      <c r="DT650" s="664"/>
      <c r="DU650" s="664"/>
      <c r="DV650" s="664"/>
      <c r="DX650" s="664"/>
      <c r="DY650" s="664"/>
      <c r="DZ650" s="664"/>
      <c r="EA650" s="664"/>
      <c r="EC650" s="670"/>
      <c r="ED650" s="670"/>
      <c r="EF650" s="668"/>
      <c r="EG650" s="668"/>
      <c r="EH650" s="208"/>
      <c r="EI650" s="668"/>
      <c r="EJ650" s="668"/>
      <c r="EK650" s="207"/>
      <c r="EL650" s="207"/>
      <c r="EM650" s="666"/>
      <c r="EN650" s="671"/>
      <c r="EO650" s="671"/>
      <c r="EP650" s="672"/>
      <c r="EQ650" s="672"/>
      <c r="ER650" s="666"/>
      <c r="ES650" s="666"/>
      <c r="ET650" s="666"/>
      <c r="EV650" s="664"/>
      <c r="EX650" s="391"/>
      <c r="EY650" s="391"/>
      <c r="EZ650" s="391"/>
      <c r="FA650" s="391"/>
      <c r="FB650" s="391"/>
      <c r="FC650" s="391"/>
      <c r="FE650" s="569"/>
      <c r="FG650" s="391"/>
      <c r="FH650" s="391"/>
      <c r="FI650" s="391"/>
      <c r="FS650" s="664"/>
      <c r="FT650" s="391"/>
      <c r="FU650" s="391"/>
      <c r="FV650" s="664"/>
      <c r="FW650" s="664"/>
      <c r="GA650" s="663"/>
      <c r="GB650" s="663"/>
      <c r="GC650" s="663"/>
      <c r="GD650" s="663"/>
      <c r="GE650" s="663"/>
      <c r="GF650" s="663"/>
      <c r="GG650" s="663"/>
      <c r="GH650" s="663"/>
      <c r="GI650" s="665"/>
      <c r="GJ650" s="664"/>
      <c r="GK650" s="664"/>
    </row>
    <row r="651" spans="1:288" s="78" customFormat="1" ht="14.95" customHeight="1">
      <c r="B651" s="1845" t="str">
        <f>ID654</f>
        <v xml:space="preserve"> </v>
      </c>
      <c r="C651" s="1846">
        <f>C646+1</f>
        <v>117</v>
      </c>
      <c r="D651" s="1847"/>
      <c r="E651" s="1799" t="s">
        <v>295</v>
      </c>
      <c r="F651" s="1800"/>
      <c r="G651" s="1741"/>
      <c r="H651" s="1742"/>
      <c r="I651" s="1742"/>
      <c r="J651" s="1742"/>
      <c r="K651" s="1742"/>
      <c r="L651" s="1742"/>
      <c r="M651" s="1742"/>
      <c r="N651" s="1742"/>
      <c r="O651" s="1742"/>
      <c r="P651" s="1742"/>
      <c r="Q651" s="1742"/>
      <c r="R651" s="1742"/>
      <c r="S651" s="1791" t="s">
        <v>344</v>
      </c>
      <c r="T651" s="590"/>
      <c r="U651" s="1743"/>
      <c r="V651" s="1744"/>
      <c r="W651" s="1744"/>
      <c r="X651" s="1744"/>
      <c r="Y651" s="1744"/>
      <c r="Z651" s="1744"/>
      <c r="AA651" s="1744"/>
      <c r="AB651" s="961" t="str">
        <f>IFERROR(IF(__Retrofit_TI_NC=0,VLOOKUP(U652,Fixtures_Existing_List,2,FALSE),ROUND(N653*R653/T653,10)),"")</f>
        <v/>
      </c>
      <c r="AC651" s="935" t="str">
        <f>IFERROR(IF(__Retrofit_TI_NC=0,ROUND(T652*AB651*N652*R652/1000,0),IF(CQ651="Interior",N653*R653*R652*N652*_C406_reduction/1000,N653*R653*R652*N652/1000)),"")</f>
        <v/>
      </c>
      <c r="AD651" s="936" t="str">
        <f>IFERROR(IF(C$43=0,ROUND(T652*AB651/1000,2),N653*R653/1000),"")</f>
        <v/>
      </c>
      <c r="AE651" s="997"/>
      <c r="AF651" s="937"/>
      <c r="AG651" s="1745" t="str">
        <f>IF(__Retrofit_TI_NC=0," Control","Select Advanced Control for New System")</f>
        <v xml:space="preserve"> Control</v>
      </c>
      <c r="AH651" s="1745"/>
      <c r="AI651" s="1745"/>
      <c r="AJ651" s="1745"/>
      <c r="AK651" s="1745"/>
      <c r="AL651" s="1745"/>
      <c r="AM651" s="1746">
        <f>IFERROR(DI651,"")</f>
        <v>0</v>
      </c>
      <c r="AN651" s="1774" t="str">
        <f>IFERROR(ROUND(AM651*AC651,0),"")</f>
        <v/>
      </c>
      <c r="AO651" s="1776">
        <f>IFERROR(IF(IB651=FALSE,0,AC651-AN651),0)</f>
        <v>0</v>
      </c>
      <c r="AP651" s="1778">
        <f>AO651-AO653</f>
        <v>0</v>
      </c>
      <c r="AQ651" s="1779"/>
      <c r="AR651" s="1793">
        <f>IFERROR(IF(IB651=FALSE,0,(T653*U654)+(AF653*AG654)),0)</f>
        <v>0</v>
      </c>
      <c r="AS651" s="1793"/>
      <c r="AT651" s="1794"/>
      <c r="AU651" s="1734" t="s">
        <v>237</v>
      </c>
      <c r="AV651" s="1751">
        <f>IF(AU651="Yes",1,0)</f>
        <v>1</v>
      </c>
      <c r="AW651" s="1704" t="str">
        <f>IF(OR(DQ651=4,DQ651=5,DQ651=6,DQ651=12),CONCATENATE("$",IF(GH651=TRUE,Lookup!$K$10,Lookup!$K$2)," /lamp"),CONCATENATE(TEXT(ED651,"$0.00"),"/ kWh"))</f>
        <v>$0.00/ kWh</v>
      </c>
      <c r="AX651" s="467"/>
      <c r="AY651" s="1748">
        <f ca="1">IFERROR(IF(GM652=TRUE,(AB654*T653)/R653,0),"NA")</f>
        <v>0</v>
      </c>
      <c r="AZ651" s="1748"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696" t="str">
        <f>N652</f>
        <v/>
      </c>
      <c r="CQ651" s="1696" t="str">
        <f>IFERROR(VLOOKUP(G652,_Lookup_Heat_Type_Table_New,3,FALSE),"")</f>
        <v/>
      </c>
      <c r="CR651" s="1808" t="str">
        <f>CQ651</f>
        <v/>
      </c>
      <c r="CS651" s="1810" t="str">
        <f>IFERROR(VLOOKUP(G653,'Space Table'!$B$3:$L$163,9,FALSE),"")</f>
        <v/>
      </c>
      <c r="CU651" s="1688" t="s">
        <v>344</v>
      </c>
      <c r="CV651" s="1702">
        <f>IF(IB651=TRUE,T652,0)</f>
        <v>0</v>
      </c>
      <c r="CW651" s="1702" t="str">
        <f>IF(IB651=TRUE,U652,"")</f>
        <v/>
      </c>
      <c r="CX651" s="1702"/>
      <c r="CY651" s="1814">
        <f>IF(IB651=TRUE,AB651,0)</f>
        <v>0</v>
      </c>
      <c r="CZ651" s="1710">
        <f>IF(AND(__Retrofit_TI_NC&gt;0,CR651="interior"),0,IF(IB651=TRUE,AC651,0))</f>
        <v>0</v>
      </c>
      <c r="DA651" s="1814">
        <f>IFERROR(IF(IB651=TRUE,CZ651-CZ653,0),0)</f>
        <v>0</v>
      </c>
      <c r="DB651" s="1819">
        <f>IF(IB651=TRUE,AD651,0)</f>
        <v>0</v>
      </c>
      <c r="DC651" s="1819">
        <f>IF(IB651=TRUE,AD654,0)</f>
        <v>0</v>
      </c>
      <c r="DD651" s="1819">
        <f>IFERROR(DB651-DC651,0)</f>
        <v>0</v>
      </c>
      <c r="DF651" s="1702">
        <f>IF(IB651=TRUE,AF652,0)</f>
        <v>0</v>
      </c>
      <c r="DG651" s="1830">
        <f>IFERROR(IF(__Retrofit_TI_NC=2,IF(CQ651="Exterior",O654,FQ651),FN651),"")</f>
        <v>0</v>
      </c>
      <c r="DH651" s="1702"/>
      <c r="DI651" s="1837">
        <f>JE651</f>
        <v>0</v>
      </c>
      <c r="DJ651" s="1710">
        <f>IF(AND(__Retrofit_TI_NC&gt;0,CR651="interior"),0,IF(IB651=TRUE,AN651,0))</f>
        <v>0</v>
      </c>
      <c r="DK651" s="1712">
        <f>IFERROR(IF(IB651=TRUE,DJ653-DJ651,0),0)</f>
        <v>0</v>
      </c>
      <c r="DM651" s="1717">
        <f>IFERROR(CZ651-DJ651,0)</f>
        <v>0</v>
      </c>
      <c r="DO651" s="1708">
        <f>DM651-DN653</f>
        <v>0</v>
      </c>
      <c r="DQ651" s="1715" t="str">
        <f>IFERROR(IF(AND(OR(GC651=4,GC651=5,GC651=6),OR(GF651=4,GF651=5,GF651=6)),GC651+8,VLOOKUP(CW653,Fixtures!R$31:Y$78,8,FALSE)),"")</f>
        <v/>
      </c>
      <c r="DR651" s="1829" t="str">
        <f>DQ651</f>
        <v/>
      </c>
      <c r="DS651" s="1702" t="str">
        <f>IFERROR(VLOOKUP(DG653,Lookup!BB$3:BC$20,2,FALSE),"")</f>
        <v/>
      </c>
      <c r="DT651" s="1713" t="str">
        <f>IF(OR(DS651=7,DS651=8,DS651=9),"ALC","")</f>
        <v/>
      </c>
      <c r="DU651" s="1715">
        <f>IFERROR(IF(OR(DQ651=4,DQ651=5,DQ651=6,DQ651=12,DQ651=13,DQ651=14),VLOOKUP(CW653,Fixtures!DN$27:EG$77,19,FALSE),1)*CV653,0)</f>
        <v>0</v>
      </c>
      <c r="DV651" s="1716">
        <f>IF(OR(DS651=7,DS651=8,DS651=9),IF(DG651=DG653,0,DF653),0)</f>
        <v>0</v>
      </c>
      <c r="DX651" s="1715" t="str">
        <f>IFERROR(IF(EZ651&lt;EZ653,"Yes","No"),"")</f>
        <v/>
      </c>
      <c r="DY651" s="1829" t="str">
        <f>DX651</f>
        <v/>
      </c>
      <c r="DZ651" s="1715">
        <f>IF(DX651="Yes",DF653,0)</f>
        <v>0</v>
      </c>
      <c r="EA651" s="1715">
        <f>DZ651-DV651</f>
        <v>0</v>
      </c>
      <c r="EC651" s="1834">
        <f>IFERROR(VLOOKUP(DQ651,Lookup!AU$3:AV$16,2,FALSE),0)</f>
        <v>0</v>
      </c>
      <c r="ED651" s="1834">
        <f>IF(IB651=FALSE,0,IF(DX651="Yes",EC651+Lookup!K$6,EC651))</f>
        <v>0</v>
      </c>
      <c r="EF651" s="1707">
        <f>IF(IB651=TRUE,DM651,0)</f>
        <v>0</v>
      </c>
      <c r="EG651" s="1712">
        <f>IF(IB651=TRUE,CZ653,0)</f>
        <v>0</v>
      </c>
      <c r="EH651" s="1814">
        <f>IFERROR(EF651-EG651,0)</f>
        <v>0</v>
      </c>
      <c r="EI651" s="1712">
        <f>IF(IB651=TRUE,DJ653,0)</f>
        <v>0</v>
      </c>
      <c r="EJ651" s="1712">
        <f>IFERROR(EF651-EG651+EI651,0)</f>
        <v>0</v>
      </c>
      <c r="EK651" s="1812">
        <f>IF(IB651=TRUE,CV653*CX653,0)</f>
        <v>0</v>
      </c>
      <c r="EL651" s="1812">
        <f>IF(IB651=TRUE,DF653*DH653,0)</f>
        <v>0</v>
      </c>
      <c r="EM651" s="1807">
        <f>AR651</f>
        <v>0</v>
      </c>
      <c r="EN651" s="1839" t="str">
        <f>IFERROR(IF(IB651=TRUE,VLOOKUP(DQ651,Lookup!AU$3:AW$16,3,FALSE)*DU651,""),0)</f>
        <v/>
      </c>
      <c r="EO651" s="1839">
        <f>IF(IB651=TRUE,DZ651*Lookup!AW$12,0)</f>
        <v>0</v>
      </c>
      <c r="EP651" s="1817">
        <f>IFERROR(IF(IB651=TRUE,EN651/EP$40,0),0)</f>
        <v>0</v>
      </c>
      <c r="EQ651" s="1817">
        <f>IF(IB651=TRUE,EO651/EQ$40,0)</f>
        <v>0</v>
      </c>
      <c r="ER651" s="1807">
        <f>IF(IB651=TRUE,ET$40*EP651,0)</f>
        <v>0</v>
      </c>
      <c r="ES651" s="1807">
        <f>IF(IB651=TRUE,ET$40*EQ651,0)</f>
        <v>0</v>
      </c>
      <c r="ET651" s="1807">
        <f>ER651+ES651</f>
        <v>0</v>
      </c>
      <c r="EV651" s="1715">
        <f>IF(G651="",0,1)</f>
        <v>0</v>
      </c>
      <c r="EX651" s="1804" t="str">
        <f>IFERROR(VLOOKUP(CS653,'Space Table'!$B$3:$L$163,8,FALSE),"")</f>
        <v/>
      </c>
      <c r="EY651" s="1804" t="str">
        <f>IFERROR(IF(FB651="Yes",VLOOKUP(DG651,Lookup_Control_Type_Table2,4,FALSE),VLOOKUP(DG651,Lookup_Control_Type_Table2,3,FALSE)),"")</f>
        <v/>
      </c>
      <c r="EZ651" s="1804" t="e">
        <f>VLOOKUP(DG651,Lookup!BB$3:BC$20,2,FALSE)</f>
        <v>#N/A</v>
      </c>
      <c r="FA651" s="1804" t="e">
        <f>VLOOKUP(EX651,Lookup_Control_Type_Table,2,FALSE)</f>
        <v>#N/A</v>
      </c>
      <c r="FB651" s="1804" t="e">
        <f>VLOOKUP(CS653,'Space Table'!$B$3:$L$163,7,FALSE)</f>
        <v>#N/A</v>
      </c>
      <c r="FC651" s="1826" t="b">
        <f>ISNUMBER(SEARCH("TLED",U653))</f>
        <v>0</v>
      </c>
      <c r="FE651" s="1698" t="str">
        <f>CONCATENATE(CQ651," - ",DG651)</f>
        <v xml:space="preserve"> - 0</v>
      </c>
      <c r="FG651" s="1702" t="str">
        <f>VLOOKUP(CW653,Fixtures!DN$27:EZ$77,38,FALSE)</f>
        <v/>
      </c>
      <c r="FH651" s="1702">
        <f>IFERROR(FG651*EH651,0)</f>
        <v>0</v>
      </c>
      <c r="FI651" s="133"/>
      <c r="FL651" s="1822" t="str">
        <f>IF(CQ651="Exterior","Not Daylighted",G654)</f>
        <v>Not Daylighted</v>
      </c>
      <c r="FM651" s="1824">
        <f>VLOOKUP(FL651,_New_Daylight_Table_Codes,2,FALSE)</f>
        <v>0</v>
      </c>
      <c r="FN651" s="1698">
        <f>IF(__Retrofit_TI_NC&gt;0,VLOOKUP(G653,'Space Table'!$B$3:$L$163,11,FALSE),AG652)</f>
        <v>0</v>
      </c>
      <c r="FO651" s="1698" t="e">
        <f>IF(__Retrofit_TI_NC=2,VLOOKUP(FQ651,_Control_Table,2,FALSE),VLOOKUP(FN651,_Control_Table,2,FALSE))</f>
        <v>#N/A</v>
      </c>
      <c r="FP651" s="1678" t="e">
        <f>VLOOKUP(CONCATENATE(FL651," ",FN651),Lookup!AY$102:AZ661,2,FALSE)</f>
        <v>#N/A</v>
      </c>
      <c r="FQ651" s="1678">
        <f>IF(__Retrofit_TI_NC=0,FN651,IF(AND(FT651&gt;0,FN651="Occupancy Sensor"),"Daylight + Occupancy",IF(AND(FT651&gt;0,VLOOKUP(FN651,_Control_Table,2,FALSE)&lt;4),"Interior Daylight Dimming",FN651)))</f>
        <v>0</v>
      </c>
      <c r="FS651" s="1686">
        <f>IF(CR651="Interior",VLOOKUP(CS651,Control_Savings_Interior,5,FALSE),0)</f>
        <v>0</v>
      </c>
      <c r="FT651" s="1687">
        <f>IF(CQ651="Exterior",0,IF(FM651=2,0.5,IF(OR(FM651=1,FM651=3),1,0)))</f>
        <v>0</v>
      </c>
      <c r="FU651" s="1685">
        <f>IF(R650&gt;FS$44,(FS651*(FS$44/R650)),FS651)*FT651</f>
        <v>0</v>
      </c>
      <c r="FV651" s="1686">
        <f>DI651</f>
        <v>0</v>
      </c>
      <c r="FW651" s="1686">
        <f>ROUND(FV651+((1-FV651)*FU651),2)</f>
        <v>0</v>
      </c>
      <c r="FX651" s="1686">
        <f>IF(__Retrofit_TI_NC=2,FW651,FV651)</f>
        <v>0</v>
      </c>
      <c r="FY651" s="1697"/>
      <c r="GA651" s="1696" t="str">
        <f>IFERROR(VLOOKUP(U652,_Exist_Fixture_Table,3,FALSE),"")</f>
        <v/>
      </c>
      <c r="GB651" s="1696" t="str">
        <f>VLOOKUP(CW651,_Exist_Fixture_Table,4,FALSE)</f>
        <v/>
      </c>
      <c r="GC651" s="1696">
        <f>IFERROR(VLOOKUP(GB651,Lookup!AT$6:AU$8,2,FALSE),0)</f>
        <v>0</v>
      </c>
      <c r="GD651" s="1696" t="b">
        <f>IFERROR(IF(OR(GF651=4,GF651=5,GF651=6),TRUE,FALSE),"")</f>
        <v>0</v>
      </c>
      <c r="GE651" s="1696" t="str">
        <f>IFERROR(VLOOKUP(GF651,GC$6:GD$10,2,FALSE),"")</f>
        <v/>
      </c>
      <c r="GF651" s="1696" t="str">
        <f>VLOOKUP(CW653,Fixtures!R$31:Y$78,8,FALSE)</f>
        <v/>
      </c>
      <c r="GG651" s="1696">
        <f>IF(AND(GA651=TRUE,GD651=TRUE,OR(DQ651=12,DQ651=13,DQ651=14)),GC651+8,0)</f>
        <v>0</v>
      </c>
      <c r="GH651" s="1696" t="b">
        <f>IF(OR(GG651=12,GG651=13,GG651=14),TRUE,FALSE)</f>
        <v>0</v>
      </c>
      <c r="GI651" s="673" t="b">
        <f>IF(ISNUMBER(SEARCH("TLED",U652)),TRUE,FALSE)</f>
        <v>0</v>
      </c>
      <c r="GJ651" s="1135" t="str">
        <f>IFERROR(VLOOKUP(U652,Fixtures!BM$93:BR$142,6,FALSE),"")</f>
        <v/>
      </c>
      <c r="GK651" s="1832" t="b">
        <f>IF(OR(GI651=FALSE,GI653=FALSE),TRUE,IF(GJ651-GJ653&lt;5,FALSE,TRUE))</f>
        <v>1</v>
      </c>
      <c r="GO651" s="674">
        <f>GP651</f>
        <v>0</v>
      </c>
      <c r="GP651" s="674">
        <f>IF(G651="",0,1)</f>
        <v>0</v>
      </c>
      <c r="GQ651" s="674">
        <f ca="1">SUM(GR651:HF651)</f>
        <v>2</v>
      </c>
      <c r="GR651" s="674">
        <f>IF(G652="",0,1)</f>
        <v>0</v>
      </c>
      <c r="GS651" s="674">
        <f>IF(N654="BAM",1,IF(G653="",0,1))</f>
        <v>0</v>
      </c>
      <c r="GT651" s="674">
        <f>IF(N654="BAM",1,IF(R652="",0,1))</f>
        <v>0</v>
      </c>
      <c r="GU651" s="674">
        <f>IF(N654="BAM",1,IF(__Retrofit_TI_NC=0,1,IF(R653="",0,1)))</f>
        <v>1</v>
      </c>
      <c r="GV651" s="674">
        <f>IF(N654="BAM",1,IF(CQ651="Exterior",1,IF(G654="",0,1)))</f>
        <v>1</v>
      </c>
      <c r="GW651" s="674">
        <f>IF(__Retrofit_TI_NC&gt;0,1,IF(T652="",0,1))</f>
        <v>0</v>
      </c>
      <c r="GX651" s="674">
        <f>IF(__Retrofit_TI_NC&gt;0,1,IF(U652="",0,1))</f>
        <v>0</v>
      </c>
      <c r="GY651" s="674">
        <f>IF(N654="BAM",1,IF(T653="",0,1))</f>
        <v>0</v>
      </c>
      <c r="GZ651" s="674">
        <f>IF(N654="BAM",1,IF(U653="",0,1))</f>
        <v>0</v>
      </c>
      <c r="HA651" s="674">
        <f ca="1">IF(N654="BAM",1,IF(__Retrofit_TI_NC&gt;0,1,IF(U654="",0,1)))</f>
        <v>0</v>
      </c>
      <c r="HB651" s="674">
        <f>IF(__Retrofit_TI_NC&lt;&gt;0,1,IF(AF652="",0,1))</f>
        <v>0</v>
      </c>
      <c r="HC651" s="674">
        <f>IF(__Retrofit_TI_NC&lt;&gt;0,1,IF(AG652="",0,1))</f>
        <v>0</v>
      </c>
      <c r="HD651" s="674">
        <f>IF(N654="BAM",1,IF(AF653="",0,1))</f>
        <v>0</v>
      </c>
      <c r="HE651" s="674">
        <f>IF(N654="BAM",1,IF(AG653="",0,1))</f>
        <v>0</v>
      </c>
      <c r="HF651" s="674">
        <f>IF(N654="BAM",1,IF(__Retrofit_TI_NC&gt;0,1,IF(AG654="",0,1)))</f>
        <v>0</v>
      </c>
      <c r="HG651" s="391"/>
      <c r="IA651" s="391"/>
      <c r="IB651" s="1693" t="b">
        <f>IF(OR(IB654=0,IB654=HY$16,IB654=HX$16,IB654=HZ$16),TRUE,FALSE)</f>
        <v>0</v>
      </c>
      <c r="IC651" s="1694" t="b">
        <f>IB651</f>
        <v>0</v>
      </c>
      <c r="ID651" s="391"/>
      <c r="IE651" s="391"/>
      <c r="IF651" s="1688" t="b">
        <f ca="1">IF(MAX(GN654:HU654)&gt;5,FALSE,TRUE)</f>
        <v>0</v>
      </c>
      <c r="IG651" s="1689">
        <f ca="1">IF(IF651=TRUE,AC651,0)</f>
        <v>0</v>
      </c>
      <c r="IH651" s="1689">
        <f ca="1">IG651-IG653</f>
        <v>0</v>
      </c>
      <c r="IK651" s="1689" t="e">
        <f>ROUND(T652*VLOOKUP(U652,Fixtures_Existing_List,2,FALSE)*N652*R652/1000,0)</f>
        <v>#N/A</v>
      </c>
      <c r="IL651" s="1690" t="e">
        <f>IK651-IK653</f>
        <v>#N/A</v>
      </c>
      <c r="IM651" s="1693" t="e">
        <f>ROUND(IF(CQ651="Interior",N653*R653*R652*N652*_C406_reduction/1000,N653*R653*R652*N652/1000),0)</f>
        <v>#N/A</v>
      </c>
      <c r="IN651" s="1693" t="e">
        <f>IM651-IM653</f>
        <v>#N/A</v>
      </c>
      <c r="IP651" s="1679"/>
      <c r="IQ651" s="1679" t="e">
        <f t="shared" ref="IQ651:IU651" si="596">IF($CR651="interior",VLOOKUP($CS651,_New_Control_Savings_Interior,IQ$30,FALSE),VLOOKUP($CS651,Control_Savings_Exterior,IQ$30,FALSE))</f>
        <v>#N/A</v>
      </c>
      <c r="IR651" s="1679" t="e">
        <f t="shared" si="596"/>
        <v>#N/A</v>
      </c>
      <c r="IS651" s="1679" t="e">
        <f t="shared" si="596"/>
        <v>#N/A</v>
      </c>
      <c r="IT651" s="1679" t="e">
        <f t="shared" si="596"/>
        <v>#N/A</v>
      </c>
      <c r="IU651" s="1679" t="e">
        <f t="shared" si="596"/>
        <v>#N/A</v>
      </c>
      <c r="IV651" s="1679" t="e">
        <f>IF($CR651="interior",IF(R652&gt;$IP$14,ROUND(($IV$18*($IP$14/R652)),2),$IV$18),VLOOKUP($CS651,Control_Savings_Exterior,IV$30,FALSE))</f>
        <v>#N/A</v>
      </c>
      <c r="IW651" s="1679" t="e">
        <f>IF($CR651="interior",ROUND(((1-IS651)*IV651)+IS651,2),VLOOKUP($CS651,Control_Savings_Exterior,IW$30,FALSE))</f>
        <v>#N/A</v>
      </c>
      <c r="IX651" s="1679" t="e">
        <f>IF($CR651="interior",ROUND(((1-IT651)*IV651)+IT651,2),VLOOKUP($CS651,Control_Savings_Exterior,IX$30,FALSE))</f>
        <v>#N/A</v>
      </c>
      <c r="IY651" s="1679" t="e">
        <f>IF($CR651="interior",IF(R652&gt;$IP$14,ROUND(($IY$18*($IP$14/R652)),2),$IY$18),VLOOKUP($CS651,Control_Savings_Exterior,IY$30,FALSE))</f>
        <v>#N/A</v>
      </c>
      <c r="IZ651" s="1679" t="e">
        <f>IF($CR651="interior",ROUND(((1-IS651)*IY651)+IS651,2),VLOOKUP($CS651,Control_Savings_Exterior,IZ$30,FALSE))</f>
        <v>#N/A</v>
      </c>
      <c r="JA651" s="1679" t="e">
        <f>IF($CR651="interior",ROUND(((1-IT651)*IY651)+IT651,2),VLOOKUP($CS651,Control_Savings_Exterior,JA$30,FALSE))</f>
        <v>#N/A</v>
      </c>
      <c r="JC651" s="1680">
        <f>IFERROR(IF(CR651="Interior",CONCATENATE(G654," ",FQ651),FQ651),"")</f>
        <v>0</v>
      </c>
      <c r="JD651" s="1670" t="str">
        <f>IFERROR(VLOOKUP(JC651,_Controls_2023,2,FALSE),"")</f>
        <v/>
      </c>
      <c r="JE651" s="1681">
        <f>IFERROR(CHOOSE(JD651-1,IQ651,IR651,IS651,IT651,IU651,IV651,IW651,IX651,IY651,IZ651,JA651),0)</f>
        <v>0</v>
      </c>
      <c r="JG651" s="1680" t="str">
        <f>FE651</f>
        <v xml:space="preserve"> - 0</v>
      </c>
      <c r="JH651" s="1670" t="e">
        <f>$FO651</f>
        <v>#N/A</v>
      </c>
      <c r="JI651" s="1060"/>
      <c r="JJ651" s="1682" t="b">
        <f>IF($JG653=CONCATENATE("Interior - ",JJ$4),TRUE,FALSE)</f>
        <v>0</v>
      </c>
      <c r="JK651" s="1061"/>
      <c r="JL651" s="1682" t="b">
        <f>IF($JG653=CONCATENATE("Interior - ",JL$4),TRUE,FALSE)</f>
        <v>0</v>
      </c>
      <c r="JM651" s="1061"/>
      <c r="JN651" s="1682" t="b">
        <f>IF($JG653=CONCATENATE("Interior - ",JN$4),TRUE,FALSE)</f>
        <v>0</v>
      </c>
      <c r="JO651" s="1061"/>
      <c r="JP651" s="1682" t="b">
        <f>IF(__Retrofit_TI_NC&gt;0,FALSE,IF($JG653=CONCATENATE("Interior - ",JP$4),TRUE,FALSE))</f>
        <v>0</v>
      </c>
      <c r="JQ651" s="1061"/>
      <c r="JR651" s="1682" t="b">
        <f>IF(__Retrofit_TI_NC&gt;0,FALSE,IF($JG653=CONCATENATE("Interior - ",JR$4),TRUE,FALSE))</f>
        <v>0</v>
      </c>
      <c r="JS651" s="1061"/>
      <c r="JT651" s="1670" t="b">
        <f>IF(__Retrofit_TI_NC&gt;0,FALSE,IF($JG653=CONCATENATE("Interior - ",JT$4),TRUE,FALSE))</f>
        <v>0</v>
      </c>
      <c r="JU651" s="1061"/>
      <c r="JV651" s="1670" t="b">
        <f>IF(JC653="AELC on Existing",TRUE,FALSE)</f>
        <v>0</v>
      </c>
      <c r="JX651" s="1670" t="b">
        <f>IF(OR(JG653="Exterior - AELC Occupancy based",JG653="Exterior - AELC Time based"),TRUE,FALSE)</f>
        <v>0</v>
      </c>
      <c r="JZ651" s="1682" t="b">
        <f>IF($JG653=CONCATENATE("Exterior - ",JZ$4),TRUE,FALSE)</f>
        <v>0</v>
      </c>
      <c r="KB651" s="1670" t="b">
        <f>IF(__Retrofit_TI_NC&gt;0,FALSE,IF($JG653=CONCATENATE("Interior - ",KB$4),TRUE,FALSE))</f>
        <v>0</v>
      </c>
    </row>
    <row r="652" spans="1:288" s="78" customFormat="1" ht="14.95" customHeight="1" thickTop="1" thickBot="1">
      <c r="B652" s="1845"/>
      <c r="C652" s="1846"/>
      <c r="D652" s="1847"/>
      <c r="E652" s="1737" t="s">
        <v>297</v>
      </c>
      <c r="F652" s="1738"/>
      <c r="G652" s="1739"/>
      <c r="H652" s="1739"/>
      <c r="I652" s="1739"/>
      <c r="J652" s="1739"/>
      <c r="K652" s="1739"/>
      <c r="L652" s="1739"/>
      <c r="M652" s="461" t="e">
        <f>IF(__Retrofit_TI_NC&lt;&gt;0,IF(VLOOKUP(G653,'Space Table'!$B$3:$L$163,3,FALSE)&gt;0,1,0),IF(__Retrofit_TI_NC=VLOOKUP(G653,'Space Table'!$B$3:$L$163,3,FALSE),1,0))</f>
        <v>#N/A</v>
      </c>
      <c r="N652" s="461" t="str">
        <f>IFERROR(VLOOKUP(G652,_Lookup_Heat_Type_Table_New,2,FALSE),"")</f>
        <v/>
      </c>
      <c r="O652" s="461">
        <f>IF(__Retrofit_TI_NC=1,CONCATENATE("TI ",G652),IF(__Retrofit_TI_NC=2,CONCATENATE("NC ",G652),G652))</f>
        <v>0</v>
      </c>
      <c r="P652" s="1740" t="s">
        <v>435</v>
      </c>
      <c r="Q652" s="1740"/>
      <c r="R652" s="595"/>
      <c r="S652" s="1792"/>
      <c r="T652" s="597"/>
      <c r="U652" s="1765"/>
      <c r="V652" s="1766"/>
      <c r="W652" s="1766"/>
      <c r="X652" s="1766"/>
      <c r="Y652" s="1766"/>
      <c r="Z652" s="1766"/>
      <c r="AA652" s="1766"/>
      <c r="AB652" s="1766"/>
      <c r="AC652" s="1766"/>
      <c r="AD652" s="1767"/>
      <c r="AE652" s="1000"/>
      <c r="AF652" s="597"/>
      <c r="AG652" s="1723"/>
      <c r="AH652" s="1724"/>
      <c r="AI652" s="1724"/>
      <c r="AJ652" s="1724"/>
      <c r="AK652" s="1725"/>
      <c r="AL652" s="996"/>
      <c r="AM652" s="1747"/>
      <c r="AN652" s="1775"/>
      <c r="AO652" s="1777"/>
      <c r="AP652" s="1780"/>
      <c r="AQ652" s="1781"/>
      <c r="AR652" s="1795"/>
      <c r="AS652" s="1795"/>
      <c r="AT652" s="1796"/>
      <c r="AU652" s="1735"/>
      <c r="AV652" s="1752"/>
      <c r="AW652" s="1705"/>
      <c r="AX652" s="467"/>
      <c r="AY652" s="1749"/>
      <c r="AZ652" s="1749"/>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696"/>
      <c r="CQ652" s="1696"/>
      <c r="CR652" s="1809"/>
      <c r="CS652" s="1811"/>
      <c r="CU652" s="1688"/>
      <c r="CV652" s="1703"/>
      <c r="CW652" s="1703"/>
      <c r="CX652" s="1703"/>
      <c r="CY652" s="1815"/>
      <c r="CZ652" s="1711"/>
      <c r="DA652" s="1818"/>
      <c r="DB652" s="1820"/>
      <c r="DC652" s="1820"/>
      <c r="DD652" s="1820"/>
      <c r="DF652" s="1703"/>
      <c r="DG652" s="1831"/>
      <c r="DH652" s="1703"/>
      <c r="DI652" s="1838"/>
      <c r="DJ652" s="1711"/>
      <c r="DK652" s="1712"/>
      <c r="DM652" s="1718"/>
      <c r="DO652" s="1708"/>
      <c r="DQ652" s="1715"/>
      <c r="DR652" s="1720"/>
      <c r="DS652" s="1816"/>
      <c r="DT652" s="1714"/>
      <c r="DU652" s="1715"/>
      <c r="DV652" s="1716"/>
      <c r="DX652" s="1715"/>
      <c r="DY652" s="1720"/>
      <c r="DZ652" s="1715"/>
      <c r="EA652" s="1715"/>
      <c r="EC652" s="1834"/>
      <c r="ED652" s="1834"/>
      <c r="EF652" s="1707"/>
      <c r="EG652" s="1712"/>
      <c r="EH652" s="1818"/>
      <c r="EI652" s="1712"/>
      <c r="EJ652" s="1712"/>
      <c r="EK652" s="1836"/>
      <c r="EL652" s="1836"/>
      <c r="EM652" s="1807"/>
      <c r="EN652" s="1839"/>
      <c r="EO652" s="1839"/>
      <c r="EP652" s="1817"/>
      <c r="EQ652" s="1817"/>
      <c r="ER652" s="1807"/>
      <c r="ES652" s="1807"/>
      <c r="ET652" s="1807"/>
      <c r="EV652" s="1715"/>
      <c r="EX652" s="1805"/>
      <c r="EY652" s="1805"/>
      <c r="EZ652" s="1805"/>
      <c r="FA652" s="1805"/>
      <c r="FB652" s="1805"/>
      <c r="FC652" s="1827"/>
      <c r="FE652" s="1698"/>
      <c r="FG652" s="1816"/>
      <c r="FH652" s="1816"/>
      <c r="FI652" s="133"/>
      <c r="FL652" s="1823"/>
      <c r="FM652" s="1825"/>
      <c r="FN652" s="1698"/>
      <c r="FO652" s="1698"/>
      <c r="FP652" s="1678"/>
      <c r="FQ652" s="1678"/>
      <c r="FS652" s="1687"/>
      <c r="FT652" s="1687"/>
      <c r="FU652" s="1685"/>
      <c r="FV652" s="1687"/>
      <c r="FW652" s="1687"/>
      <c r="FX652" s="1687"/>
      <c r="FY652" s="1697"/>
      <c r="GA652" s="1696"/>
      <c r="GB652" s="1696"/>
      <c r="GC652" s="1696"/>
      <c r="GD652" s="1696"/>
      <c r="GE652" s="1696"/>
      <c r="GF652" s="1696"/>
      <c r="GG652" s="1696"/>
      <c r="GH652" s="1696"/>
      <c r="GI652" s="673"/>
      <c r="GJ652" s="1135"/>
      <c r="GK652" s="1832"/>
      <c r="GM652" s="1693" t="b">
        <f ca="1">IF(AND(GP652=TRUE,GQ652=TRUE),TRUE,FALSE)</f>
        <v>0</v>
      </c>
      <c r="GN652" s="1684" t="b">
        <f>IFERROR(IF(__Retrofit_TI_NC=2,TRUE,IF(AU651="Yes",TRUE,FALSE)),FALSE)</f>
        <v>1</v>
      </c>
      <c r="GP652" s="1684" t="b">
        <f>IFERROR(IF(GP651=1,TRUE,FALSE),FALSE)</f>
        <v>0</v>
      </c>
      <c r="GQ652" s="1684" t="b">
        <f ca="1">IFERROR(IF(GQ651=GQ$14,TRUE,FALSE),FALSE)</f>
        <v>0</v>
      </c>
      <c r="HG652" s="1684" t="b">
        <f>IFERROR(IF(AND(__Retrofit_TI_NC&gt;0,CQ651="Interior"),FALSE,TRUE),FALSE)</f>
        <v>1</v>
      </c>
      <c r="HH652" s="1684" t="b">
        <f>IFERROR(IF(M652=1,TRUE,FALSE),FALSE)</f>
        <v>0</v>
      </c>
      <c r="HI652" s="1684" t="b">
        <f>IFERROR(IF(OR(M653=1,N654="BAM"),TRUE,FALSE),FALSE)</f>
        <v>0</v>
      </c>
      <c r="HJ652" s="1684" t="b">
        <f>IFERROR(IF(__Retrofit_TI_NC&lt;&gt;0,TRUE,IFERROR(IF(VLOOKUP(U652,Fixtures_Existing_List,2,FALSE)&lt;&gt;"",TRUE,FALSE),FALSE)),FALSE)</f>
        <v>0</v>
      </c>
      <c r="HK652" s="1684" t="b">
        <f>IFERROR(IF(VLOOKUP(U653,Fixtures_Proposed_List,2,FALSE)&lt;&gt;"",TRUE,FALSE),FALSE)</f>
        <v>0</v>
      </c>
      <c r="HL652" s="1684" t="b">
        <f>IF(AND(__Retrofit_TI_NC=2,FC651=TRUE),FALSE,TRUE)</f>
        <v>1</v>
      </c>
      <c r="HM652" s="1684" t="b">
        <f>GK651</f>
        <v>1</v>
      </c>
      <c r="HN652" s="1682" t="b">
        <f>IF(ISERROR(MATCH(FE651,_Control_Match[],0))=TRUE,FALSE,TRUE)</f>
        <v>0</v>
      </c>
      <c r="HO652" s="1693" t="b">
        <f>IFERROR(IF(EX651&lt;&gt;EY651,FALSE,TRUE),FALSE)</f>
        <v>1</v>
      </c>
      <c r="HP652" s="1693" t="b">
        <f>IFERROR(IF(EX653&lt;&gt;EY653,FALSE,TRUE),FALSE)</f>
        <v>1</v>
      </c>
      <c r="HQ652" s="1670" t="b">
        <f>IFERROR(IF(CQ651="Exterior",TRUE,IF(AND(OR(FM653=0,FM653=3),JD653&gt;6),FALSE,TRUE)),FALSE)</f>
        <v>0</v>
      </c>
      <c r="HR652" s="1684" t="b">
        <f>IFERROR(IF(AND(FO653=7,FC651=TRUE),FALSE,TRUE),FALSE)</f>
        <v>0</v>
      </c>
      <c r="HS652" s="1684" t="b">
        <f>IFERROR(IF(AND(T653&lt;&gt;AF653,OR(AG653="Interior LLLC", AG653="Interior NLC", AG653="LLLC (outside Daylight)",AG653="LLLC Controls Only"))=TRUE,FALSE,TRUE),FALSE)</f>
        <v>1</v>
      </c>
      <c r="HT652" s="1670" t="b">
        <f>IFERROR(IF(OR(AG653=Lookup!BB$17,AG653=Lookup!BB$18,AG653=Lookup!BB$19)=TRUE,IF(AF653&gt;T653,FALSE,TRUE),TRUE),FALSE)</f>
        <v>1</v>
      </c>
      <c r="HU652" s="1684" t="b">
        <f>IFERROR(IF(__Retrofit_TI_NC=2,IF(EZ653&lt;EZ651,FALSE,TRUE),TRUE),FALSE)</f>
        <v>1</v>
      </c>
      <c r="HV652" s="1684" t="b">
        <f>IF(CQ651="Interior",IL$6,TRUE)</f>
        <v>1</v>
      </c>
      <c r="HW652" s="1684" t="b">
        <f>IF(CQ651="Exterior",IL$8,TRUE)</f>
        <v>1</v>
      </c>
      <c r="HX652" s="1684" t="b">
        <f>IFERROR(IF(__Retrofit_TI_NC&lt;&gt;0,IF(AZ651&lt;AY651,FALSE,TRUE),TRUE),FALSE)</f>
        <v>1</v>
      </c>
      <c r="HY652" s="1684" t="b">
        <f>IFERROR(IF(AND(G652="Exterior",R652&gt;4200),FALSE,TRUE),FALSE)</f>
        <v>1</v>
      </c>
      <c r="HZ652" s="1684" t="b">
        <f>IFERROR(IF(AB654/AB651&lt;HZ$18,FALSE,TRUE),FALSE)</f>
        <v>0</v>
      </c>
      <c r="IB652" s="1691"/>
      <c r="IC652" s="1695"/>
      <c r="ID652" s="1694" t="str">
        <f>VLOOKUP(IB654,_Error_Table,4,FALSE)</f>
        <v>White</v>
      </c>
      <c r="IE652" s="391"/>
      <c r="IF652" s="1688"/>
      <c r="IG652" s="1689"/>
      <c r="IH652" s="1684"/>
      <c r="IK652" s="1689"/>
      <c r="IL652" s="1691"/>
      <c r="IM652" s="1691"/>
      <c r="IN652" s="1691"/>
      <c r="IP652" s="1679"/>
      <c r="IQ652" s="1679"/>
      <c r="IR652" s="1679"/>
      <c r="IS652" s="1679"/>
      <c r="IT652" s="1679"/>
      <c r="IU652" s="1679"/>
      <c r="IV652" s="1679"/>
      <c r="IW652" s="1679"/>
      <c r="IX652" s="1679"/>
      <c r="IY652" s="1679"/>
      <c r="IZ652" s="1679"/>
      <c r="JA652" s="1679"/>
      <c r="JC652" s="1680"/>
      <c r="JD652" s="1670"/>
      <c r="JE652" s="1681"/>
      <c r="JG652" s="1680"/>
      <c r="JH652" s="1670"/>
      <c r="JI652" s="1060"/>
      <c r="JJ652" s="1683"/>
      <c r="JK652" s="1061"/>
      <c r="JL652" s="1683"/>
      <c r="JM652" s="1061"/>
      <c r="JN652" s="1683"/>
      <c r="JO652" s="1061"/>
      <c r="JP652" s="1683"/>
      <c r="JQ652" s="1061"/>
      <c r="JR652" s="1683"/>
      <c r="JS652" s="1061"/>
      <c r="JT652" s="1670"/>
      <c r="JU652" s="1061"/>
      <c r="JV652" s="1670"/>
      <c r="JX652" s="1670"/>
      <c r="JZ652" s="1683"/>
      <c r="KB652" s="1670"/>
    </row>
    <row r="653" spans="1:288" s="78" customFormat="1" ht="14.95" customHeight="1" thickTop="1" thickBot="1">
      <c r="A653" s="78">
        <f>ROW()</f>
        <v>653</v>
      </c>
      <c r="B653" s="1845"/>
      <c r="C653" s="1846"/>
      <c r="D653" s="1847"/>
      <c r="E653" s="1737" t="s">
        <v>298</v>
      </c>
      <c r="F653" s="1738"/>
      <c r="G653" s="1760"/>
      <c r="H653" s="1761"/>
      <c r="I653" s="1761"/>
      <c r="J653" s="1761"/>
      <c r="K653" s="1761"/>
      <c r="L653" s="1762"/>
      <c r="M653" s="461">
        <f>IFERROR(IF(IF(__Retrofit_TI_NC&lt;&gt;0,IF(CQ651="Interior",MATCH(G653,Lookup_Interior_New,0),MATCH(G653,Lookup_Exterior_New,0)),IF(CQ651="Interior",MATCH(G653,Lookup_Interior,0),MATCH(G653,Lookup_Exterior_Areas,0)))&gt;0,1,0),0)</f>
        <v>0</v>
      </c>
      <c r="N653" s="461" t="e">
        <f>IF(__Retrofit_TI_NC=1,
VLOOKUP(G653,'Space Table'!$B$3:$L$163,4,FALSE),
IF(__Retrofit_TI_NC=2,VLOOKUP(G653,'Space Table'!$B$3:$L$163,5,FALSE),VLOOKUP(G653,'Space Table'!$B$3:$L$163,5,FALSE)))</f>
        <v>#N/A</v>
      </c>
      <c r="O653" s="461">
        <f>G653</f>
        <v>0</v>
      </c>
      <c r="P653" s="1738" t="str">
        <f>IFERROR(IF(__Retrofit_TI_NC=1,VLOOKUP(G653,'Space Table'!$B$3:$O$163,13,FALSE),IF(__Retrofit_TI_NC=2,VLOOKUP(G653,'Space Table'!$B$3:$O$163,14,FALSE),"Area (sf):")),"Area (sf):")</f>
        <v>Area (sf):</v>
      </c>
      <c r="Q653" s="1738"/>
      <c r="R653" s="596"/>
      <c r="S653" s="1763" t="s">
        <v>345</v>
      </c>
      <c r="T653" s="594"/>
      <c r="U653" s="1801"/>
      <c r="V653" s="1802"/>
      <c r="W653" s="1802"/>
      <c r="X653" s="1802"/>
      <c r="Y653" s="1802"/>
      <c r="Z653" s="1802"/>
      <c r="AA653" s="1802"/>
      <c r="AB653" s="1802"/>
      <c r="AC653" s="1802"/>
      <c r="AD653" s="1802"/>
      <c r="AE653" s="1803"/>
      <c r="AF653" s="594"/>
      <c r="AG653" s="1787"/>
      <c r="AH653" s="1787"/>
      <c r="AI653" s="1787"/>
      <c r="AJ653" s="1787"/>
      <c r="AK653" s="1787"/>
      <c r="AL653" s="1787"/>
      <c r="AM653" s="1726">
        <f>IFERROR(DI653,"")</f>
        <v>0</v>
      </c>
      <c r="AN653" s="1728" t="str">
        <f>IFERROR(ROUND(AM653*AC654,0),"")</f>
        <v/>
      </c>
      <c r="AO653" s="1730">
        <f>IFERROR(IF(IB651=FALSE,0,AC654-AN653),0)</f>
        <v>0</v>
      </c>
      <c r="AP653" s="1780"/>
      <c r="AQ653" s="1781"/>
      <c r="AR653" s="1795"/>
      <c r="AS653" s="1795"/>
      <c r="AT653" s="1796"/>
      <c r="AU653" s="1735"/>
      <c r="AV653" s="1752"/>
      <c r="AW653" s="1705"/>
      <c r="AX653" s="467"/>
      <c r="AY653" s="1749"/>
      <c r="AZ653" s="1749"/>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696"/>
      <c r="CQ653" s="1696"/>
      <c r="CR653" s="1808" t="str">
        <f>CQ651</f>
        <v/>
      </c>
      <c r="CS653" s="1810" t="str">
        <f>CS651</f>
        <v/>
      </c>
      <c r="CU653" s="1688" t="s">
        <v>345</v>
      </c>
      <c r="CV653" s="1702">
        <f>IF(IB651=TRUE,T653,0)</f>
        <v>0</v>
      </c>
      <c r="CW653" s="1702" t="str">
        <f>IF(IB651=TRUE,U653,"")</f>
        <v/>
      </c>
      <c r="CX653" s="1812">
        <f>IF(IB651=TRUE,U654,0)</f>
        <v>0</v>
      </c>
      <c r="CY653" s="1814">
        <f>IF(IB651=TRUE,AB654,0)</f>
        <v>0</v>
      </c>
      <c r="CZ653" s="1710">
        <f>IF(AND(__Retrofit_TI_NC&gt;0,CR651="interior"),0,IF(IB651=TRUE,AC654,0))</f>
        <v>0</v>
      </c>
      <c r="DA653" s="1818"/>
      <c r="DB653" s="1820"/>
      <c r="DC653" s="1820"/>
      <c r="DD653" s="1820"/>
      <c r="DF653" s="1702">
        <f>IF(IB651=TRUE,AF653,0)</f>
        <v>0</v>
      </c>
      <c r="DG653" s="1830" t="str">
        <f>IF(IB651=TRUE,AG653,"")</f>
        <v/>
      </c>
      <c r="DH653" s="1812">
        <f>AG654</f>
        <v>0</v>
      </c>
      <c r="DI653" s="1837">
        <f>JE653</f>
        <v>0</v>
      </c>
      <c r="DJ653" s="1710">
        <f>IF(AND(__Retrofit_TI_NC&gt;0,CR651="interior"),0,IF(IB651=TRUE,AN653,0))</f>
        <v>0</v>
      </c>
      <c r="DK653" s="1712"/>
      <c r="DN653" s="1717">
        <f>IFERROR(CZ653-DJ653,0)</f>
        <v>0</v>
      </c>
      <c r="DO653" s="1709"/>
      <c r="DQ653" s="1715"/>
      <c r="DR653" s="1719" t="str">
        <f>DQ651</f>
        <v/>
      </c>
      <c r="DS653" s="1816"/>
      <c r="DT653" s="1835" t="str">
        <f>IF(OR(DS651=7,DS651=8,DS651=9),"ALC","")</f>
        <v/>
      </c>
      <c r="DU653" s="1715"/>
      <c r="DV653" s="1716"/>
      <c r="DX653" s="1715"/>
      <c r="DY653" s="1829" t="str">
        <f>DX651</f>
        <v/>
      </c>
      <c r="DZ653" s="1715"/>
      <c r="EA653" s="1715"/>
      <c r="EC653" s="1834"/>
      <c r="ED653" s="1834"/>
      <c r="EF653" s="1707"/>
      <c r="EG653" s="1712"/>
      <c r="EH653" s="1818"/>
      <c r="EI653" s="1712"/>
      <c r="EJ653" s="1712"/>
      <c r="EK653" s="1836"/>
      <c r="EL653" s="1836"/>
      <c r="EM653" s="1807"/>
      <c r="EN653" s="1839"/>
      <c r="EO653" s="1839"/>
      <c r="EP653" s="1817"/>
      <c r="EQ653" s="1817"/>
      <c r="ER653" s="1807"/>
      <c r="ES653" s="1807"/>
      <c r="ET653" s="1807"/>
      <c r="EV653" s="1715"/>
      <c r="EX653" s="1805" t="str">
        <f>IFERROR(VLOOKUP(CS653,'Space Table'!$B$3:$L$163,8,FALSE),"")</f>
        <v/>
      </c>
      <c r="EY653" s="1805" t="str">
        <f>IFERROR(IF(FB653="Yes",VLOOKUP(AG653,Lookup_Control_Type_Table2,4,FALSE),VLOOKUP(AG653,Lookup_Control_Type_Table2,3,FALSE)),"")</f>
        <v/>
      </c>
      <c r="EZ653" s="1805" t="e">
        <f>VLOOKUP(AG653,Lookup!BB$3:BC$20,2,FALSE)</f>
        <v>#N/A</v>
      </c>
      <c r="FA653" s="1805" t="e">
        <f>VLOOKUP(EX651,Lookup_Control_Type_Table,2,FALSE)</f>
        <v>#N/A</v>
      </c>
      <c r="FB653" s="1805" t="e">
        <f>VLOOKUP(CS653,'Space Table'!$B$3:$L$163,7,FALSE)</f>
        <v>#N/A</v>
      </c>
      <c r="FC653" s="1827"/>
      <c r="FE653" s="1698" t="str">
        <f>CONCATENATE(CQ651," - ",AG653)</f>
        <v xml:space="preserve"> - </v>
      </c>
      <c r="FG653" s="1816"/>
      <c r="FH653" s="1816"/>
      <c r="FI653" s="133"/>
      <c r="FL653" s="1822" t="str">
        <f>IF(CQ651="Exterior","Not Daylighted",G654)</f>
        <v>Not Daylighted</v>
      </c>
      <c r="FM653" s="1824">
        <f>VLOOKUP(FL653,_New_Daylight_Table_Codes,2,FALSE)</f>
        <v>0</v>
      </c>
      <c r="FN653" s="1698">
        <f>AG653</f>
        <v>0</v>
      </c>
      <c r="FO653" s="1698" t="e">
        <f>VLOOKUP(FN653,_Control_Table,2,FALSE)</f>
        <v>#N/A</v>
      </c>
      <c r="FP653" s="1678" t="e">
        <f>VLOOKUP(CONCATENATE(FL653," ",FN653),Lookup!AY$102:AZ664,2,FALSE)</f>
        <v>#N/A</v>
      </c>
      <c r="FQ653" s="1698">
        <f>IF(__Retrofit_TI_NC=0,FN653,IF(AND(FT653&gt;0,FN653="Occupancy Sensor"),"Daylight + Occupancy",IF(AND(FT653&gt;0,FO653&lt;4),"Interior Daylight Dimming",FN653)))</f>
        <v>0</v>
      </c>
      <c r="FS653" s="1686">
        <f>IF(CQ651="Interior",VLOOKUP(CS651,Control_Savings_Interior,5,FALSE),0)</f>
        <v>0</v>
      </c>
      <c r="FT653" s="1687">
        <f>IF(CQ653="Exterior",0,IF(FM653=2,0.5,IF(OR(FM653=1,FM653=3),1,0)))</f>
        <v>0</v>
      </c>
      <c r="FU653" s="1685">
        <f>IF(R652&gt;FS$44,(FS653*(FS$44/R652)),FS653)*FT653</f>
        <v>0</v>
      </c>
      <c r="FV653" s="1686">
        <f>DI653</f>
        <v>0</v>
      </c>
      <c r="FW653" s="1686">
        <f>ROUND(FV653+((1-FV653)*FU653),2)</f>
        <v>0</v>
      </c>
      <c r="FX653" s="1686">
        <f>IF(__Retrofit_TI_NC=2,FW653,FV653)</f>
        <v>0</v>
      </c>
      <c r="FY653" s="1697">
        <f>IF(CR653="Interior",VLOOKUP(CS653,Control_Savings_Interior,4,FALSE),0)</f>
        <v>0</v>
      </c>
      <c r="GA653" s="1696"/>
      <c r="GB653" s="1696"/>
      <c r="GC653" s="1696"/>
      <c r="GD653" s="1696"/>
      <c r="GE653" s="1696"/>
      <c r="GF653" s="1696"/>
      <c r="GG653" s="1696"/>
      <c r="GH653" s="1696"/>
      <c r="GI653" s="673" t="b">
        <f>IF(ISNUMBER(SEARCH("TLED",U653)),TRUE,FALSE)</f>
        <v>0</v>
      </c>
      <c r="GJ653" s="1135" t="str">
        <f>IFERROR(VLOOKUP(U653,Fixtures!DM$93:DR$142,6,FALSE),"")</f>
        <v/>
      </c>
      <c r="GK653" s="1832"/>
      <c r="GM653" s="1692"/>
      <c r="GN653" s="1684"/>
      <c r="GP653" s="1684"/>
      <c r="GQ653" s="1684"/>
      <c r="HG653" s="1684"/>
      <c r="HH653" s="1684"/>
      <c r="HI653" s="1684"/>
      <c r="HJ653" s="1684"/>
      <c r="HK653" s="1684"/>
      <c r="HL653" s="1684"/>
      <c r="HM653" s="1684"/>
      <c r="HN653" s="1683"/>
      <c r="HO653" s="1692"/>
      <c r="HP653" s="1692"/>
      <c r="HQ653" s="1670"/>
      <c r="HR653" s="1684"/>
      <c r="HS653" s="1684"/>
      <c r="HT653" s="1670"/>
      <c r="HU653" s="1684"/>
      <c r="HV653" s="1684"/>
      <c r="HW653" s="1684"/>
      <c r="HX653" s="1684"/>
      <c r="HY653" s="1684"/>
      <c r="HZ653" s="1684"/>
      <c r="IB653" s="1692"/>
      <c r="IC653" s="1693" t="b">
        <f>IB651</f>
        <v>0</v>
      </c>
      <c r="ID653" s="1695"/>
      <c r="IE653" s="391"/>
      <c r="IF653" s="1688"/>
      <c r="IG653" s="1689">
        <f ca="1">IF(IF651=TRUE,AC654,0)</f>
        <v>0</v>
      </c>
      <c r="IH653" s="1684"/>
      <c r="IK653" s="1689" t="e">
        <f>ROUND(T653*AB654*N652*R652/1000,0)</f>
        <v>#VALUE!</v>
      </c>
      <c r="IL653" s="1691"/>
      <c r="IM653" s="1693" t="e">
        <f>ROUND(T653*AB654*N652*R652/1000,0)</f>
        <v>#VALUE!</v>
      </c>
      <c r="IN653" s="1691"/>
      <c r="IP653" s="1679"/>
      <c r="IQ653" s="1679" t="e">
        <f t="shared" ref="IQ653:IU653" si="597">IF($CR653="interior",VLOOKUP($CS653,_New_Control_Savings_Interior,IQ$30,FALSE),VLOOKUP($CS653,Control_Savings_Exterior,IQ$30,FALSE))</f>
        <v>#N/A</v>
      </c>
      <c r="IR653" s="1679" t="e">
        <f t="shared" si="597"/>
        <v>#N/A</v>
      </c>
      <c r="IS653" s="1679" t="e">
        <f t="shared" si="597"/>
        <v>#N/A</v>
      </c>
      <c r="IT653" s="1679" t="e">
        <f t="shared" si="597"/>
        <v>#N/A</v>
      </c>
      <c r="IU653" s="1679" t="e">
        <f t="shared" si="597"/>
        <v>#N/A</v>
      </c>
      <c r="IV653" s="1679" t="e">
        <f>IF($CR653="interior",IF(R652&gt;$IP$14,ROUND(($IV$18*($IP$14/R652)),2),$IV$18),VLOOKUP($CS653,Control_Savings_Exterior,IV$30,FALSE))</f>
        <v>#N/A</v>
      </c>
      <c r="IW653" s="1679" t="e">
        <f>IF($CR653="interior",ROUND(((1-IS653)*IV653)+IS653,2),VLOOKUP($CS653,Control_Savings_Exterior,IW$30,FALSE))</f>
        <v>#N/A</v>
      </c>
      <c r="IX653" s="1679" t="e">
        <f>IF($CR653="interior",ROUND(((1-IT653)*IV653)+IT653,2),VLOOKUP($CS653,Control_Savings_Exterior,IX$30,FALSE))</f>
        <v>#N/A</v>
      </c>
      <c r="IY653" s="1679" t="e">
        <f>IF($CR653="interior",IF(R652&gt;$IP$14,ROUND(($IY$18*($IP$14/R652)),2),$IY$18),VLOOKUP($CS653,Control_Savings_Exterior,IY$30,FALSE))</f>
        <v>#N/A</v>
      </c>
      <c r="IZ653" s="1679" t="e">
        <f>IF($CR653="interior",ROUND(((1-IS653)*IY653)+IS653,2),VLOOKUP($CS653,Control_Savings_Exterior,IZ$30,FALSE))</f>
        <v>#N/A</v>
      </c>
      <c r="JA653" s="1679" t="e">
        <f>IF($CR653="interior",ROUND(((1-IT653)*IY653)+IT653,2),VLOOKUP($CS653,Control_Savings_Exterior,JA$30,FALSE))</f>
        <v>#N/A</v>
      </c>
      <c r="JC653" s="1680">
        <f>IFERROR(IF(CR653="Interior",CONCATENATE(G654," ",FQ653),AG653),"")</f>
        <v>0</v>
      </c>
      <c r="JD653" s="1670" t="str">
        <f>IFERROR(VLOOKUP(JC653,_Controls_2023,2,FALSE),"")</f>
        <v/>
      </c>
      <c r="JE653" s="1681">
        <f>IFERROR(CHOOSE(JD653-1,IQ653,IR653,IS653,IT653,IU653,IV653,IW653,IX653,IY653,IZ653,JA653),0)</f>
        <v>0</v>
      </c>
      <c r="JG653" s="1680" t="str">
        <f>FE653</f>
        <v xml:space="preserve"> - </v>
      </c>
      <c r="JH653" s="1670" t="e">
        <f>$FO653</f>
        <v>#N/A</v>
      </c>
      <c r="JI653" s="1060"/>
      <c r="JJ653" s="1670">
        <f>IFERROR(IF($IB651=TRUE,IF(OR(JJ$14="No",JJ651=FALSE,JH653&lt;=JH651,AND(_kWh_Grant=0,GD651=FALSE)),0,IF(JJ$8="Per Line",1,$AF653)),0),0)</f>
        <v>0</v>
      </c>
      <c r="JK653" s="1061"/>
      <c r="JL653" s="1670">
        <f>IFERROR(IF(_kWh_Grant=0,0,IF($IB651=TRUE,IF(OR(JL$14="No",JL651=FALSE,JH653&lt;=JH651),0,IF(JL$8="Per Line",1,$T653)),0)),0)</f>
        <v>0</v>
      </c>
      <c r="JM653" s="1061"/>
      <c r="JN653" s="1670">
        <f>IFERROR(IF(_kWh_Grant=0,0,IF($IB651=TRUE,IF(OR(JN$14="No",JN651=FALSE,JH653&lt;=JH651),0,IF(JN$8="Per Line",1,$AF653)),0)),0)</f>
        <v>0</v>
      </c>
      <c r="JO653" s="1061"/>
      <c r="JP653" s="1670">
        <f>IFERROR(IF(__Retrofit_TI_NC=0,IF(_kWh_Grant=0,0,IF($IB651=TRUE,IF(OR(JP$14="No",JP651=FALSE,$JH653&lt;=$JH651),0,IF(JP$8="Per Line",1,$AF653)),0)),IF($IB651=TRUE,IF(OR(JP$14="No",JP651=FALSE,$JH653&lt;=$JH651),0,IF(JP$8="Per Line",1,$AF653)))),0)</f>
        <v>0</v>
      </c>
      <c r="JQ653" s="1061"/>
      <c r="JR653" s="1670">
        <f>IFERROR(IF(__Retrofit_TI_NC=0,IF(_kWh_Grant=0,0,IF($IB651=TRUE,IF(OR(JR$14="No",JR651=FALSE,$JH653&lt;=$JH651),0,IF(JR$8="Per Line",1,$AF653)),0)),IF($IB651=TRUE,IF(OR(JR$14="No",JR651=FALSE,$JH653&lt;=$JH651),0,IF(JR$8="Per Line",1,$AF653)))),0)</f>
        <v>0</v>
      </c>
      <c r="JS653" s="1061"/>
      <c r="JT653" s="1670">
        <f>IFERROR(IF(__Retrofit_TI_NC=0,IF(_kWh_Grant=0,0,IF($IB651=TRUE,IF(OR(JT$14="No",JT651=FALSE,$JH653&lt;=$JH651),0,IF(JT$8="Per Line",1,$AF653)),0)),IF($IB651=TRUE,IF(OR(JT$14="No",JT651=FALSE,$JH653&lt;=$JH651),0,IF(JT$8="Per Line",1,$AF653)))),0)</f>
        <v>0</v>
      </c>
      <c r="JU653" s="1061"/>
      <c r="JV653" s="1670">
        <f>IFERROR(IF(__Retrofit_TI_NC=0,IF(_kWh_Grant=0,0,IF($IB651=TRUE,IF(OR(JV$14="No",JV651=FALSE,$JH653&lt;=$JH651),0,IF(JV$8="Per Line",1,$AF653)),0)),IF($IB651=TRUE,IF(OR(JV$14="No",JV651=FALSE,$JH653&lt;=$JH651),0,IF(JV$8="Per Line",1,$AF653)))),0)</f>
        <v>0</v>
      </c>
      <c r="JX653" s="1670">
        <f>IFERROR(IF(__Retrofit_TI_NC=0,IF(_kWh_Grant=0,0,IF($IB651=TRUE,IF(OR(JX$14="No",JX651=FALSE,$JH653&lt;=$JH651),0,IF(JX$8="Per Line",1,$AF653)),0)),IF($IB651=TRUE,IF(OR(JX$14="No",JX651=FALSE,$JH653&lt;=$JH651),0,IF(JX$8="Per Line",1,$AF653)))),0)</f>
        <v>0</v>
      </c>
      <c r="JZ653" s="1670">
        <f>IFERROR(IF($IB651=TRUE,IF(OR(JZ$14="No",JZ651=FALSE,$JH653&lt;=$JH651,AND(_kWh_Grant=0,$GD651=FALSE)),0,IF(JZ$8="Per Line",1,$AF653)),0),0)</f>
        <v>0</v>
      </c>
      <c r="KB653" s="1670">
        <f>IFERROR(IF(__Retrofit_TI_NC=0,IF(_kWh_Grant=0,0,IF($IB651=TRUE,IF(OR(KB$14="No",KB651=FALSE,$JH653&lt;=$JH651),0,IF(KB$8="Per Line",1,$AF653)),0)),IF($IB651=TRUE,IF(OR(KB$14="No",KB651=FALSE,$JH653&lt;=$JH651),0,IF(KB$8="Per Line",1,$AF653)))),0)</f>
        <v>0</v>
      </c>
    </row>
    <row r="654" spans="1:288" s="78" customFormat="1" ht="14.95" customHeight="1" thickTop="1" thickBot="1">
      <c r="B654" s="1845"/>
      <c r="C654" s="1846"/>
      <c r="D654" s="1847"/>
      <c r="E654" s="1771" t="s">
        <v>436</v>
      </c>
      <c r="F654" s="1772"/>
      <c r="G654" s="1784" t="s">
        <v>437</v>
      </c>
      <c r="H654" s="1785"/>
      <c r="I654" s="1785"/>
      <c r="J654" s="1785"/>
      <c r="K654" s="1785"/>
      <c r="L654" s="1786"/>
      <c r="M654" s="591">
        <f>IFERROR(VLOOKUP(G654,_Daylight_Table[],2,FALSE),0)</f>
        <v>0</v>
      </c>
      <c r="N654" s="592" t="str">
        <f>IF(AND(__Retrofit_TI_NC&gt;0,CQ651="Interior"),"BAM","")</f>
        <v/>
      </c>
      <c r="O654" s="591" t="e">
        <f>VLOOKUP(G653,'Space Table'!$B$3:$L$163,11,FALSE)</f>
        <v>#N/A</v>
      </c>
      <c r="P654" s="1789"/>
      <c r="Q654" s="1790"/>
      <c r="R654" s="1790"/>
      <c r="S654" s="1788"/>
      <c r="T654" s="593" t="s">
        <v>342</v>
      </c>
      <c r="U654" s="1756" t="str" cm="1">
        <f t="array" aca="1" ref="U654" ca="1">IFERROR(VLOOKUP(INDIRECT("U" &amp; ROW()-1),Fixtures!DM$93:DP$142,4,FALSE),"")</f>
        <v/>
      </c>
      <c r="V654" s="1757"/>
      <c r="W654" s="1757"/>
      <c r="X654" s="1757"/>
      <c r="Y654" s="1757"/>
      <c r="Z654" s="1757"/>
      <c r="AA654" s="1758"/>
      <c r="AB654" s="939" t="str">
        <f>IFERROR(VLOOKUP(U653,Fixtures_Proposed_List,2,FALSE),"")</f>
        <v/>
      </c>
      <c r="AC654" s="933" t="str">
        <f>IFERROR(ROUND(T653*AB654*N652*R652/1000,0),"")</f>
        <v/>
      </c>
      <c r="AD654" s="934" t="str">
        <f>IFERROR(ROUND(T653*AB654/1000,2),"")</f>
        <v/>
      </c>
      <c r="AE654" s="998"/>
      <c r="AF654" s="938" t="s">
        <v>342</v>
      </c>
      <c r="AG654" s="1770"/>
      <c r="AH654" s="1770"/>
      <c r="AI654" s="1770"/>
      <c r="AJ654" s="1770"/>
      <c r="AK654" s="1770"/>
      <c r="AL654" s="1770"/>
      <c r="AM654" s="1727"/>
      <c r="AN654" s="1729"/>
      <c r="AO654" s="1731"/>
      <c r="AP654" s="1782"/>
      <c r="AQ654" s="1783"/>
      <c r="AR654" s="1797"/>
      <c r="AS654" s="1797"/>
      <c r="AT654" s="1798"/>
      <c r="AU654" s="1736"/>
      <c r="AV654" s="1753"/>
      <c r="AW654" s="1706"/>
      <c r="AX654" s="468"/>
      <c r="AY654" s="1750"/>
      <c r="AZ654" s="1750"/>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696"/>
      <c r="CQ654" s="1696"/>
      <c r="CR654" s="1809"/>
      <c r="CS654" s="1811"/>
      <c r="CU654" s="1688"/>
      <c r="CV654" s="1703"/>
      <c r="CW654" s="1703"/>
      <c r="CX654" s="1813"/>
      <c r="CY654" s="1815"/>
      <c r="CZ654" s="1711"/>
      <c r="DA654" s="1815"/>
      <c r="DB654" s="1821"/>
      <c r="DC654" s="1821"/>
      <c r="DD654" s="1821"/>
      <c r="DF654" s="1703"/>
      <c r="DG654" s="1831"/>
      <c r="DH654" s="1813"/>
      <c r="DI654" s="1838"/>
      <c r="DJ654" s="1711"/>
      <c r="DK654" s="1712"/>
      <c r="DN654" s="1718"/>
      <c r="DO654" s="1709"/>
      <c r="DQ654" s="1715"/>
      <c r="DR654" s="1720"/>
      <c r="DS654" s="1703"/>
      <c r="DT654" s="1714"/>
      <c r="DU654" s="1715"/>
      <c r="DV654" s="1716"/>
      <c r="DX654" s="1715"/>
      <c r="DY654" s="1720"/>
      <c r="DZ654" s="1715"/>
      <c r="EA654" s="1715"/>
      <c r="EC654" s="1834"/>
      <c r="ED654" s="1834"/>
      <c r="EF654" s="1707"/>
      <c r="EG654" s="1712"/>
      <c r="EH654" s="1815"/>
      <c r="EI654" s="1712"/>
      <c r="EJ654" s="1712"/>
      <c r="EK654" s="1813"/>
      <c r="EL654" s="1813"/>
      <c r="EM654" s="1807"/>
      <c r="EN654" s="1839"/>
      <c r="EO654" s="1839"/>
      <c r="EP654" s="1817"/>
      <c r="EQ654" s="1817"/>
      <c r="ER654" s="1807"/>
      <c r="ES654" s="1807"/>
      <c r="ET654" s="1807"/>
      <c r="EV654" s="1715"/>
      <c r="EX654" s="1806"/>
      <c r="EY654" s="1806"/>
      <c r="EZ654" s="1806"/>
      <c r="FA654" s="1806"/>
      <c r="FB654" s="1806"/>
      <c r="FC654" s="1828"/>
      <c r="FE654" s="1698"/>
      <c r="FG654" s="1703"/>
      <c r="FH654" s="1703"/>
      <c r="FI654" s="133"/>
      <c r="FL654" s="1823"/>
      <c r="FM654" s="1825"/>
      <c r="FN654" s="1698"/>
      <c r="FO654" s="1698"/>
      <c r="FP654" s="1678"/>
      <c r="FQ654" s="1698"/>
      <c r="FS654" s="1687"/>
      <c r="FT654" s="1687"/>
      <c r="FU654" s="1685"/>
      <c r="FV654" s="1687"/>
      <c r="FW654" s="1687"/>
      <c r="FX654" s="1687"/>
      <c r="FY654" s="1697"/>
      <c r="GA654" s="1696"/>
      <c r="GB654" s="1696"/>
      <c r="GC654" s="1696"/>
      <c r="GD654" s="1696"/>
      <c r="GE654" s="1696"/>
      <c r="GF654" s="1696"/>
      <c r="GG654" s="1696"/>
      <c r="GH654" s="1696"/>
      <c r="GI654" s="673"/>
      <c r="GJ654" s="1135"/>
      <c r="GK654" s="1832"/>
      <c r="GN654" s="674">
        <f>IF(GN652=TRUE,0,GN$16)</f>
        <v>0</v>
      </c>
      <c r="GP654" s="674">
        <f>IF(GP652=TRUE,0,GP$16)</f>
        <v>36</v>
      </c>
      <c r="GQ654" s="674">
        <f ca="1">IF(GQ652=TRUE,0,GQ$16)</f>
        <v>35</v>
      </c>
      <c r="GR654" s="391"/>
      <c r="GS654" s="391"/>
      <c r="GT654" s="391"/>
      <c r="GU654" s="391"/>
      <c r="GV654" s="391"/>
      <c r="HG654" s="674">
        <f>IF(HG652=TRUE,0,HG$16)</f>
        <v>0</v>
      </c>
      <c r="HH654" s="674">
        <f t="shared" ref="HH654:HM654" si="598">IF(HH652=TRUE,0,HH$16)</f>
        <v>19</v>
      </c>
      <c r="HI654" s="674">
        <f t="shared" si="598"/>
        <v>18</v>
      </c>
      <c r="HJ654" s="674">
        <f t="shared" si="598"/>
        <v>17</v>
      </c>
      <c r="HK654" s="674">
        <f t="shared" si="598"/>
        <v>16</v>
      </c>
      <c r="HL654" s="674">
        <f t="shared" si="598"/>
        <v>0</v>
      </c>
      <c r="HM654" s="674">
        <f t="shared" si="598"/>
        <v>0</v>
      </c>
      <c r="HN654" s="674">
        <f>IF(HN652=TRUE,0,HN$16)</f>
        <v>13</v>
      </c>
      <c r="HO654" s="674">
        <f t="shared" ref="HO654:HQ654" si="599">IF(HO652=TRUE,0,HO$16)</f>
        <v>0</v>
      </c>
      <c r="HP654" s="674">
        <f t="shared" si="599"/>
        <v>0</v>
      </c>
      <c r="HQ654" s="674">
        <f t="shared" si="599"/>
        <v>10</v>
      </c>
      <c r="HR654" s="674">
        <f>IF(HR652=TRUE,0,HR$16)</f>
        <v>9</v>
      </c>
      <c r="HS654" s="674">
        <f t="shared" ref="HS654:HW654" si="600">IF(HS652=TRUE,0,HS$16)</f>
        <v>0</v>
      </c>
      <c r="HT654" s="674">
        <f t="shared" si="600"/>
        <v>0</v>
      </c>
      <c r="HU654" s="674">
        <f t="shared" si="600"/>
        <v>0</v>
      </c>
      <c r="HV654" s="674">
        <f t="shared" si="600"/>
        <v>0</v>
      </c>
      <c r="HW654" s="674">
        <f t="shared" si="600"/>
        <v>0</v>
      </c>
      <c r="HX654" s="674">
        <f>IF(HX652=TRUE,0,HX$16)</f>
        <v>0</v>
      </c>
      <c r="HY654" s="674">
        <f>IF(HY652=TRUE,0,HY$16)</f>
        <v>0</v>
      </c>
      <c r="HZ654" s="674">
        <f>IF(HZ652=TRUE,0,HZ$16)</f>
        <v>1</v>
      </c>
      <c r="IB654" s="674">
        <f>IF(GP652=FALSE,GP654,IF(GQ652=FALSE,GQ654,MAX(GN654:HZ654)))</f>
        <v>36</v>
      </c>
      <c r="IC654" s="1692"/>
      <c r="ID654" s="205" t="str">
        <f>VLOOKUP(IB654,_Error_Table,3,FALSE)</f>
        <v xml:space="preserve"> </v>
      </c>
      <c r="IE654" s="205"/>
      <c r="IF654" s="1688"/>
      <c r="IG654" s="1689"/>
      <c r="IH654" s="1684"/>
      <c r="IK654" s="1689"/>
      <c r="IL654" s="1692"/>
      <c r="IM654" s="1692"/>
      <c r="IN654" s="1692"/>
      <c r="IP654" s="1679"/>
      <c r="IQ654" s="1679"/>
      <c r="IR654" s="1679"/>
      <c r="IS654" s="1679"/>
      <c r="IT654" s="1679"/>
      <c r="IU654" s="1679"/>
      <c r="IV654" s="1679"/>
      <c r="IW654" s="1679"/>
      <c r="IX654" s="1679"/>
      <c r="IY654" s="1679"/>
      <c r="IZ654" s="1679"/>
      <c r="JA654" s="1679"/>
      <c r="JC654" s="1680"/>
      <c r="JD654" s="1670"/>
      <c r="JE654" s="1681"/>
      <c r="JG654" s="1680"/>
      <c r="JH654" s="1670"/>
      <c r="JI654" s="1060"/>
      <c r="JJ654" s="1670"/>
      <c r="JK654" s="1061"/>
      <c r="JL654" s="1670"/>
      <c r="JM654" s="1061"/>
      <c r="JN654" s="1670"/>
      <c r="JO654" s="1061"/>
      <c r="JP654" s="1670"/>
      <c r="JQ654" s="1061"/>
      <c r="JR654" s="1670"/>
      <c r="JS654" s="1061"/>
      <c r="JT654" s="1670"/>
      <c r="JU654" s="1061"/>
      <c r="JV654" s="1670"/>
      <c r="JX654" s="1670"/>
      <c r="JZ654" s="1670"/>
      <c r="KB654" s="1670"/>
    </row>
    <row r="655" spans="1:288" s="78" customFormat="1" ht="5.0999999999999996" customHeight="1">
      <c r="B655" s="676"/>
      <c r="C655" s="392"/>
      <c r="D655" s="392"/>
      <c r="E655" s="1733"/>
      <c r="F655" s="1733"/>
      <c r="G655" s="1733"/>
      <c r="H655" s="1733"/>
      <c r="I655" s="1733"/>
      <c r="J655" s="1733"/>
      <c r="K655" s="1733"/>
      <c r="L655" s="1733"/>
      <c r="M655" s="1733"/>
      <c r="N655" s="1733"/>
      <c r="O655" s="1733"/>
      <c r="P655" s="1733"/>
      <c r="Q655" s="1733"/>
      <c r="R655" s="1733"/>
      <c r="S655" s="1733"/>
      <c r="T655" s="1733"/>
      <c r="U655" s="1733"/>
      <c r="V655" s="1733"/>
      <c r="W655" s="1733"/>
      <c r="X655" s="1733"/>
      <c r="Y655" s="1733"/>
      <c r="Z655" s="1733"/>
      <c r="AA655" s="1733"/>
      <c r="AB655" s="1733"/>
      <c r="AC655" s="1733"/>
      <c r="AD655" s="1733"/>
      <c r="AE655" s="1733"/>
      <c r="AF655" s="1733"/>
      <c r="AG655" s="1733"/>
      <c r="AH655" s="1733"/>
      <c r="AI655" s="1733"/>
      <c r="AJ655" s="1733"/>
      <c r="AK655" s="1733"/>
      <c r="AL655" s="1733"/>
      <c r="AM655" s="1733"/>
      <c r="AN655" s="1733"/>
      <c r="AO655" s="1733"/>
      <c r="AP655" s="1733"/>
      <c r="AQ655" s="1733"/>
      <c r="AR655" s="1733"/>
      <c r="AS655" s="1733"/>
      <c r="AT655" s="1733"/>
      <c r="AU655" s="1733"/>
      <c r="AV655" s="1733"/>
      <c r="AW655" s="1733"/>
      <c r="AX655" s="469"/>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663"/>
      <c r="CQ655" s="663"/>
      <c r="CR655" s="438"/>
      <c r="CS655" s="663"/>
      <c r="CV655" s="391"/>
      <c r="CW655" s="391"/>
      <c r="CX655" s="207"/>
      <c r="CY655" s="208"/>
      <c r="CZ655" s="208"/>
      <c r="DA655" s="208"/>
      <c r="DB655" s="209"/>
      <c r="DC655" s="209"/>
      <c r="DD655" s="209"/>
      <c r="DF655" s="664"/>
      <c r="DG655" s="665"/>
      <c r="DH655" s="666"/>
      <c r="DI655" s="667"/>
      <c r="DJ655" s="668"/>
      <c r="DK655" s="668"/>
      <c r="DN655" s="208"/>
      <c r="DO655" s="664"/>
      <c r="DQ655" s="664"/>
      <c r="DR655" s="669"/>
      <c r="DS655" s="391"/>
      <c r="DT655" s="664"/>
      <c r="DU655" s="664"/>
      <c r="DV655" s="664"/>
      <c r="DX655" s="664"/>
      <c r="DY655" s="664"/>
      <c r="DZ655" s="664"/>
      <c r="EA655" s="664"/>
      <c r="EC655" s="670"/>
      <c r="ED655" s="670"/>
      <c r="EF655" s="668"/>
      <c r="EG655" s="668"/>
      <c r="EH655" s="208"/>
      <c r="EI655" s="668"/>
      <c r="EJ655" s="668"/>
      <c r="EK655" s="207"/>
      <c r="EL655" s="207"/>
      <c r="EM655" s="666"/>
      <c r="EN655" s="671"/>
      <c r="EO655" s="671"/>
      <c r="EP655" s="672"/>
      <c r="EQ655" s="672"/>
      <c r="ER655" s="666"/>
      <c r="ES655" s="666"/>
      <c r="ET655" s="666"/>
      <c r="EV655" s="664"/>
      <c r="EX655" s="391"/>
      <c r="EY655" s="391"/>
      <c r="EZ655" s="391"/>
      <c r="FA655" s="391"/>
      <c r="FB655" s="391"/>
      <c r="FC655" s="391"/>
      <c r="FE655" s="569"/>
      <c r="FG655" s="391"/>
      <c r="FH655" s="391"/>
      <c r="FI655" s="391"/>
      <c r="FS655" s="664"/>
      <c r="FT655" s="391"/>
      <c r="FU655" s="391"/>
      <c r="FV655" s="664"/>
      <c r="FW655" s="664"/>
      <c r="GA655" s="663"/>
      <c r="GB655" s="663"/>
      <c r="GC655" s="663"/>
      <c r="GD655" s="663"/>
      <c r="GE655" s="663"/>
      <c r="GF655" s="663"/>
      <c r="GG655" s="663"/>
      <c r="GH655" s="663"/>
      <c r="GI655" s="665"/>
      <c r="GJ655" s="664"/>
      <c r="GK655" s="664"/>
    </row>
    <row r="656" spans="1:288" s="78" customFormat="1" ht="14.95" customHeight="1">
      <c r="B656" s="1845" t="str">
        <f>ID659</f>
        <v xml:space="preserve"> </v>
      </c>
      <c r="C656" s="1846">
        <f>C651+1</f>
        <v>118</v>
      </c>
      <c r="D656" s="1847"/>
      <c r="E656" s="1799" t="s">
        <v>295</v>
      </c>
      <c r="F656" s="1800"/>
      <c r="G656" s="1741"/>
      <c r="H656" s="1742"/>
      <c r="I656" s="1742"/>
      <c r="J656" s="1742"/>
      <c r="K656" s="1742"/>
      <c r="L656" s="1742"/>
      <c r="M656" s="1742"/>
      <c r="N656" s="1742"/>
      <c r="O656" s="1742"/>
      <c r="P656" s="1742"/>
      <c r="Q656" s="1742"/>
      <c r="R656" s="1742"/>
      <c r="S656" s="1791" t="s">
        <v>344</v>
      </c>
      <c r="T656" s="590"/>
      <c r="U656" s="1743"/>
      <c r="V656" s="1744"/>
      <c r="W656" s="1744"/>
      <c r="X656" s="1744"/>
      <c r="Y656" s="1744"/>
      <c r="Z656" s="1744"/>
      <c r="AA656" s="1744"/>
      <c r="AB656" s="961" t="str">
        <f>IFERROR(IF(__Retrofit_TI_NC=0,VLOOKUP(U657,Fixtures_Existing_List,2,FALSE),ROUND(N658*R658/T658,10)),"")</f>
        <v/>
      </c>
      <c r="AC656" s="935" t="str">
        <f>IFERROR(IF(__Retrofit_TI_NC=0,ROUND(T657*AB656*N657*R657/1000,0),IF(CQ656="Interior",N658*R658*R657*N657*_C406_reduction/1000,N658*R658*R657*N657/1000)),"")</f>
        <v/>
      </c>
      <c r="AD656" s="936" t="str">
        <f>IFERROR(IF(C$43=0,ROUND(T657*AB656/1000,2),N658*R658/1000),"")</f>
        <v/>
      </c>
      <c r="AE656" s="997"/>
      <c r="AF656" s="937"/>
      <c r="AG656" s="1745" t="str">
        <f>IF(__Retrofit_TI_NC=0," Control","Select Advanced Control for New System")</f>
        <v xml:space="preserve"> Control</v>
      </c>
      <c r="AH656" s="1745"/>
      <c r="AI656" s="1745"/>
      <c r="AJ656" s="1745"/>
      <c r="AK656" s="1745"/>
      <c r="AL656" s="1745"/>
      <c r="AM656" s="1746">
        <f>IFERROR(DI656,"")</f>
        <v>0</v>
      </c>
      <c r="AN656" s="1774" t="str">
        <f>IFERROR(ROUND(AM656*AC656,0),"")</f>
        <v/>
      </c>
      <c r="AO656" s="1776">
        <f>IFERROR(IF(IB656=FALSE,0,AC656-AN656),0)</f>
        <v>0</v>
      </c>
      <c r="AP656" s="1778">
        <f>AO656-AO658</f>
        <v>0</v>
      </c>
      <c r="AQ656" s="1779"/>
      <c r="AR656" s="1793">
        <f>IFERROR(IF(IB656=FALSE,0,(T658*U659)+(AF658*AG659)),0)</f>
        <v>0</v>
      </c>
      <c r="AS656" s="1793"/>
      <c r="AT656" s="1794"/>
      <c r="AU656" s="1734" t="s">
        <v>237</v>
      </c>
      <c r="AV656" s="1751">
        <f>IF(AU656="Yes",1,0)</f>
        <v>1</v>
      </c>
      <c r="AW656" s="1704" t="str">
        <f>IF(OR(DQ656=4,DQ656=5,DQ656=6,DQ656=12),CONCATENATE("$",IF(GH656=TRUE,Lookup!$K$10,Lookup!$K$2)," /lamp"),CONCATENATE(TEXT(ED656,"$0.00"),"/ kWh"))</f>
        <v>$0.00/ kWh</v>
      </c>
      <c r="AX656" s="467"/>
      <c r="AY656" s="1748">
        <f ca="1">IFERROR(IF(GM657=TRUE,(AB659*T658)/R658,0),"NA")</f>
        <v>0</v>
      </c>
      <c r="AZ656" s="1748"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696" t="str">
        <f>N657</f>
        <v/>
      </c>
      <c r="CQ656" s="1696" t="str">
        <f>IFERROR(VLOOKUP(G657,_Lookup_Heat_Type_Table_New,3,FALSE),"")</f>
        <v/>
      </c>
      <c r="CR656" s="1808" t="str">
        <f>CQ656</f>
        <v/>
      </c>
      <c r="CS656" s="1810" t="str">
        <f>IFERROR(VLOOKUP(G658,'Space Table'!$B$3:$L$163,9,FALSE),"")</f>
        <v/>
      </c>
      <c r="CU656" s="1688" t="s">
        <v>344</v>
      </c>
      <c r="CV656" s="1702">
        <f>IF(IB656=TRUE,T657,0)</f>
        <v>0</v>
      </c>
      <c r="CW656" s="1702" t="str">
        <f>IF(IB656=TRUE,U657,"")</f>
        <v/>
      </c>
      <c r="CX656" s="1702"/>
      <c r="CY656" s="1814">
        <f>IF(IB656=TRUE,AB656,0)</f>
        <v>0</v>
      </c>
      <c r="CZ656" s="1710">
        <f>IF(AND(__Retrofit_TI_NC&gt;0,CR656="interior"),0,IF(IB656=TRUE,AC656,0))</f>
        <v>0</v>
      </c>
      <c r="DA656" s="1814">
        <f>IFERROR(IF(IB656=TRUE,CZ656-CZ658,0),0)</f>
        <v>0</v>
      </c>
      <c r="DB656" s="1819">
        <f>IF(IB656=TRUE,AD656,0)</f>
        <v>0</v>
      </c>
      <c r="DC656" s="1819">
        <f>IF(IB656=TRUE,AD659,0)</f>
        <v>0</v>
      </c>
      <c r="DD656" s="1819">
        <f>IFERROR(DB656-DC656,0)</f>
        <v>0</v>
      </c>
      <c r="DF656" s="1702">
        <f>IF(IB656=TRUE,AF657,0)</f>
        <v>0</v>
      </c>
      <c r="DG656" s="1830">
        <f>IFERROR(IF(__Retrofit_TI_NC=2,IF(CQ656="Exterior",O659,FQ656),FN656),"")</f>
        <v>0</v>
      </c>
      <c r="DH656" s="1702"/>
      <c r="DI656" s="1837">
        <f>JE656</f>
        <v>0</v>
      </c>
      <c r="DJ656" s="1710">
        <f>IF(AND(__Retrofit_TI_NC&gt;0,CR656="interior"),0,IF(IB656=TRUE,AN656,0))</f>
        <v>0</v>
      </c>
      <c r="DK656" s="1712">
        <f>IFERROR(IF(IB656=TRUE,DJ658-DJ656,0),0)</f>
        <v>0</v>
      </c>
      <c r="DM656" s="1717">
        <f>IFERROR(CZ656-DJ656,0)</f>
        <v>0</v>
      </c>
      <c r="DO656" s="1708">
        <f>DM656-DN658</f>
        <v>0</v>
      </c>
      <c r="DQ656" s="1715" t="str">
        <f>IFERROR(IF(AND(OR(GC656=4,GC656=5,GC656=6),OR(GF656=4,GF656=5,GF656=6)),GC656+8,VLOOKUP(CW658,Fixtures!R$31:Y$78,8,FALSE)),"")</f>
        <v/>
      </c>
      <c r="DR656" s="1829" t="str">
        <f>DQ656</f>
        <v/>
      </c>
      <c r="DS656" s="1702" t="str">
        <f>IFERROR(VLOOKUP(DG658,Lookup!BB$3:BC$20,2,FALSE),"")</f>
        <v/>
      </c>
      <c r="DT656" s="1713" t="str">
        <f>IF(OR(DS656=7,DS656=8,DS656=9),"ALC","")</f>
        <v/>
      </c>
      <c r="DU656" s="1715">
        <f>IFERROR(IF(OR(DQ656=4,DQ656=5,DQ656=6,DQ656=12,DQ656=13,DQ656=14),VLOOKUP(CW658,Fixtures!DN$27:EG$77,19,FALSE),1)*CV658,0)</f>
        <v>0</v>
      </c>
      <c r="DV656" s="1716">
        <f>IF(OR(DS656=7,DS656=8,DS656=9),IF(DG656=DG658,0,DF658),0)</f>
        <v>0</v>
      </c>
      <c r="DX656" s="1715" t="str">
        <f>IFERROR(IF(EZ656&lt;EZ658,"Yes","No"),"")</f>
        <v/>
      </c>
      <c r="DY656" s="1829" t="str">
        <f>DX656</f>
        <v/>
      </c>
      <c r="DZ656" s="1715">
        <f>IF(DX656="Yes",DF658,0)</f>
        <v>0</v>
      </c>
      <c r="EA656" s="1715">
        <f>DZ656-DV656</f>
        <v>0</v>
      </c>
      <c r="EC656" s="1834">
        <f>IFERROR(VLOOKUP(DQ656,Lookup!AU$3:AV$16,2,FALSE),0)</f>
        <v>0</v>
      </c>
      <c r="ED656" s="1834">
        <f>IF(IB656=FALSE,0,IF(DX656="Yes",EC656+Lookup!K$6,EC656))</f>
        <v>0</v>
      </c>
      <c r="EF656" s="1707">
        <f>IF(IB656=TRUE,DM656,0)</f>
        <v>0</v>
      </c>
      <c r="EG656" s="1712">
        <f>IF(IB656=TRUE,CZ658,0)</f>
        <v>0</v>
      </c>
      <c r="EH656" s="1814">
        <f>IFERROR(EF656-EG656,0)</f>
        <v>0</v>
      </c>
      <c r="EI656" s="1712">
        <f>IF(IB656=TRUE,DJ658,0)</f>
        <v>0</v>
      </c>
      <c r="EJ656" s="1712">
        <f>IFERROR(EF656-EG656+EI656,0)</f>
        <v>0</v>
      </c>
      <c r="EK656" s="1812">
        <f>IF(IB656=TRUE,CV658*CX658,0)</f>
        <v>0</v>
      </c>
      <c r="EL656" s="1812">
        <f>IF(IB656=TRUE,DF658*DH658,0)</f>
        <v>0</v>
      </c>
      <c r="EM656" s="1807">
        <f>AR656</f>
        <v>0</v>
      </c>
      <c r="EN656" s="1839" t="str">
        <f>IFERROR(IF(IB656=TRUE,VLOOKUP(DQ656,Lookup!AU$3:AW$16,3,FALSE)*DU656,""),0)</f>
        <v/>
      </c>
      <c r="EO656" s="1839">
        <f>IF(IB656=TRUE,DZ656*Lookup!AW$12,0)</f>
        <v>0</v>
      </c>
      <c r="EP656" s="1817">
        <f>IFERROR(IF(IB656=TRUE,EN656/EP$40,0),0)</f>
        <v>0</v>
      </c>
      <c r="EQ656" s="1817">
        <f>IF(IB656=TRUE,EO656/EQ$40,0)</f>
        <v>0</v>
      </c>
      <c r="ER656" s="1807">
        <f>IF(IB656=TRUE,ET$40*EP656,0)</f>
        <v>0</v>
      </c>
      <c r="ES656" s="1807">
        <f>IF(IB656=TRUE,ET$40*EQ656,0)</f>
        <v>0</v>
      </c>
      <c r="ET656" s="1807">
        <f>ER656+ES656</f>
        <v>0</v>
      </c>
      <c r="EV656" s="1715">
        <f>IF(G656="",0,1)</f>
        <v>0</v>
      </c>
      <c r="EX656" s="1804" t="str">
        <f>IFERROR(VLOOKUP(CS658,'Space Table'!$B$3:$L$163,8,FALSE),"")</f>
        <v/>
      </c>
      <c r="EY656" s="1804" t="str">
        <f>IFERROR(IF(FB656="Yes",VLOOKUP(DG656,Lookup_Control_Type_Table2,4,FALSE),VLOOKUP(DG656,Lookup_Control_Type_Table2,3,FALSE)),"")</f>
        <v/>
      </c>
      <c r="EZ656" s="1804" t="e">
        <f>VLOOKUP(DG656,Lookup!BB$3:BC$20,2,FALSE)</f>
        <v>#N/A</v>
      </c>
      <c r="FA656" s="1804" t="e">
        <f>VLOOKUP(EX656,Lookup_Control_Type_Table,2,FALSE)</f>
        <v>#N/A</v>
      </c>
      <c r="FB656" s="1804" t="e">
        <f>VLOOKUP(CS658,'Space Table'!$B$3:$L$163,7,FALSE)</f>
        <v>#N/A</v>
      </c>
      <c r="FC656" s="1826" t="b">
        <f>ISNUMBER(SEARCH("TLED",U658))</f>
        <v>0</v>
      </c>
      <c r="FE656" s="1698" t="str">
        <f>CONCATENATE(CQ656," - ",DG656)</f>
        <v xml:space="preserve"> - 0</v>
      </c>
      <c r="FG656" s="1702" t="str">
        <f>VLOOKUP(CW658,Fixtures!DN$27:EZ$77,38,FALSE)</f>
        <v/>
      </c>
      <c r="FH656" s="1702">
        <f>IFERROR(FG656*EH656,0)</f>
        <v>0</v>
      </c>
      <c r="FI656" s="133"/>
      <c r="FL656" s="1822" t="str">
        <f>IF(CQ656="Exterior","Not Daylighted",G659)</f>
        <v>Not Daylighted</v>
      </c>
      <c r="FM656" s="1824">
        <f>VLOOKUP(FL656,_New_Daylight_Table_Codes,2,FALSE)</f>
        <v>0</v>
      </c>
      <c r="FN656" s="1698">
        <f>IF(__Retrofit_TI_NC&gt;0,VLOOKUP(G658,'Space Table'!$B$3:$L$163,11,FALSE),AG657)</f>
        <v>0</v>
      </c>
      <c r="FO656" s="1698" t="e">
        <f>IF(__Retrofit_TI_NC=2,VLOOKUP(FQ656,_Control_Table,2,FALSE),VLOOKUP(FN656,_Control_Table,2,FALSE))</f>
        <v>#N/A</v>
      </c>
      <c r="FP656" s="1678" t="e">
        <f>VLOOKUP(CONCATENATE(FL656," ",FN656),Lookup!AY$102:AZ666,2,FALSE)</f>
        <v>#N/A</v>
      </c>
      <c r="FQ656" s="1678">
        <f>IF(__Retrofit_TI_NC=0,FN656,IF(AND(FT656&gt;0,FN656="Occupancy Sensor"),"Daylight + Occupancy",IF(AND(FT656&gt;0,VLOOKUP(FN656,_Control_Table,2,FALSE)&lt;4),"Interior Daylight Dimming",FN656)))</f>
        <v>0</v>
      </c>
      <c r="FS656" s="1686">
        <f>IF(CR656="Interior",VLOOKUP(CS656,Control_Savings_Interior,5,FALSE),0)</f>
        <v>0</v>
      </c>
      <c r="FT656" s="1687">
        <f>IF(CQ656="Exterior",0,IF(FM656=2,0.5,IF(OR(FM656=1,FM656=3),1,0)))</f>
        <v>0</v>
      </c>
      <c r="FU656" s="1685">
        <f>IF(R655&gt;FS$44,(FS656*(FS$44/R655)),FS656)*FT656</f>
        <v>0</v>
      </c>
      <c r="FV656" s="1686">
        <f>DI656</f>
        <v>0</v>
      </c>
      <c r="FW656" s="1686">
        <f>ROUND(FV656+((1-FV656)*FU656),2)</f>
        <v>0</v>
      </c>
      <c r="FX656" s="1686">
        <f>IF(__Retrofit_TI_NC=2,FW656,FV656)</f>
        <v>0</v>
      </c>
      <c r="FY656" s="1697"/>
      <c r="GA656" s="1696" t="str">
        <f>IFERROR(VLOOKUP(U657,_Exist_Fixture_Table,3,FALSE),"")</f>
        <v/>
      </c>
      <c r="GB656" s="1696" t="str">
        <f>VLOOKUP(CW656,_Exist_Fixture_Table,4,FALSE)</f>
        <v/>
      </c>
      <c r="GC656" s="1696">
        <f>IFERROR(VLOOKUP(GB656,Lookup!AT$6:AU$8,2,FALSE),0)</f>
        <v>0</v>
      </c>
      <c r="GD656" s="1696" t="b">
        <f>IFERROR(IF(OR(GF656=4,GF656=5,GF656=6),TRUE,FALSE),"")</f>
        <v>0</v>
      </c>
      <c r="GE656" s="1696" t="str">
        <f>IFERROR(VLOOKUP(GF656,GC$6:GD$10,2,FALSE),"")</f>
        <v/>
      </c>
      <c r="GF656" s="1696" t="str">
        <f>VLOOKUP(CW658,Fixtures!R$31:Y$78,8,FALSE)</f>
        <v/>
      </c>
      <c r="GG656" s="1696">
        <f>IF(AND(GA656=TRUE,GD656=TRUE,OR(DQ656=12,DQ656=13,DQ656=14)),GC656+8,0)</f>
        <v>0</v>
      </c>
      <c r="GH656" s="1696" t="b">
        <f>IF(OR(GG656=12,GG656=13,GG656=14),TRUE,FALSE)</f>
        <v>0</v>
      </c>
      <c r="GI656" s="673" t="b">
        <f>IF(ISNUMBER(SEARCH("TLED",U657)),TRUE,FALSE)</f>
        <v>0</v>
      </c>
      <c r="GJ656" s="1135" t="str">
        <f>IFERROR(VLOOKUP(U657,Fixtures!BM$93:BR$142,6,FALSE),"")</f>
        <v/>
      </c>
      <c r="GK656" s="1832" t="b">
        <f>IF(OR(GI656=FALSE,GI658=FALSE),TRUE,IF(GJ656-GJ658&lt;5,FALSE,TRUE))</f>
        <v>1</v>
      </c>
      <c r="GO656" s="674">
        <f>GP656</f>
        <v>0</v>
      </c>
      <c r="GP656" s="674">
        <f>IF(G656="",0,1)</f>
        <v>0</v>
      </c>
      <c r="GQ656" s="674">
        <f ca="1">SUM(GR656:HF656)</f>
        <v>2</v>
      </c>
      <c r="GR656" s="674">
        <f>IF(G657="",0,1)</f>
        <v>0</v>
      </c>
      <c r="GS656" s="674">
        <f>IF(N659="BAM",1,IF(G658="",0,1))</f>
        <v>0</v>
      </c>
      <c r="GT656" s="674">
        <f>IF(N659="BAM",1,IF(R657="",0,1))</f>
        <v>0</v>
      </c>
      <c r="GU656" s="674">
        <f>IF(N659="BAM",1,IF(__Retrofit_TI_NC=0,1,IF(R658="",0,1)))</f>
        <v>1</v>
      </c>
      <c r="GV656" s="674">
        <f>IF(N659="BAM",1,IF(CQ656="Exterior",1,IF(G659="",0,1)))</f>
        <v>1</v>
      </c>
      <c r="GW656" s="674">
        <f>IF(__Retrofit_TI_NC&gt;0,1,IF(T657="",0,1))</f>
        <v>0</v>
      </c>
      <c r="GX656" s="674">
        <f>IF(__Retrofit_TI_NC&gt;0,1,IF(U657="",0,1))</f>
        <v>0</v>
      </c>
      <c r="GY656" s="674">
        <f>IF(N659="BAM",1,IF(T658="",0,1))</f>
        <v>0</v>
      </c>
      <c r="GZ656" s="674">
        <f>IF(N659="BAM",1,IF(U658="",0,1))</f>
        <v>0</v>
      </c>
      <c r="HA656" s="674">
        <f ca="1">IF(N659="BAM",1,IF(__Retrofit_TI_NC&gt;0,1,IF(U659="",0,1)))</f>
        <v>0</v>
      </c>
      <c r="HB656" s="674">
        <f>IF(__Retrofit_TI_NC&lt;&gt;0,1,IF(AF657="",0,1))</f>
        <v>0</v>
      </c>
      <c r="HC656" s="674">
        <f>IF(__Retrofit_TI_NC&lt;&gt;0,1,IF(AG657="",0,1))</f>
        <v>0</v>
      </c>
      <c r="HD656" s="674">
        <f>IF(N659="BAM",1,IF(AF658="",0,1))</f>
        <v>0</v>
      </c>
      <c r="HE656" s="674">
        <f>IF(N659="BAM",1,IF(AG658="",0,1))</f>
        <v>0</v>
      </c>
      <c r="HF656" s="674">
        <f>IF(N659="BAM",1,IF(__Retrofit_TI_NC&gt;0,1,IF(AG659="",0,1)))</f>
        <v>0</v>
      </c>
      <c r="HG656" s="391"/>
      <c r="IA656" s="391"/>
      <c r="IB656" s="1693" t="b">
        <f>IF(OR(IB659=0,IB659=HY$16,IB659=HX$16,IB659=HZ$16),TRUE,FALSE)</f>
        <v>0</v>
      </c>
      <c r="IC656" s="1694" t="b">
        <f>IB656</f>
        <v>0</v>
      </c>
      <c r="ID656" s="391"/>
      <c r="IE656" s="391"/>
      <c r="IF656" s="1688" t="b">
        <f ca="1">IF(MAX(GN659:HU659)&gt;5,FALSE,TRUE)</f>
        <v>0</v>
      </c>
      <c r="IG656" s="1689">
        <f ca="1">IF(IF656=TRUE,AC656,0)</f>
        <v>0</v>
      </c>
      <c r="IH656" s="1689">
        <f ca="1">IG656-IG658</f>
        <v>0</v>
      </c>
      <c r="IK656" s="1689" t="e">
        <f>ROUND(T657*VLOOKUP(U657,Fixtures_Existing_List,2,FALSE)*N657*R657/1000,0)</f>
        <v>#N/A</v>
      </c>
      <c r="IL656" s="1690" t="e">
        <f>IK656-IK658</f>
        <v>#N/A</v>
      </c>
      <c r="IM656" s="1693" t="e">
        <f>ROUND(IF(CQ656="Interior",N658*R658*R657*N657*_C406_reduction/1000,N658*R658*R657*N657/1000),0)</f>
        <v>#N/A</v>
      </c>
      <c r="IN656" s="1693" t="e">
        <f>IM656-IM658</f>
        <v>#N/A</v>
      </c>
      <c r="IP656" s="1679"/>
      <c r="IQ656" s="1679" t="e">
        <f t="shared" ref="IQ656:IU656" si="601">IF($CR656="interior",VLOOKUP($CS656,_New_Control_Savings_Interior,IQ$30,FALSE),VLOOKUP($CS656,Control_Savings_Exterior,IQ$30,FALSE))</f>
        <v>#N/A</v>
      </c>
      <c r="IR656" s="1679" t="e">
        <f t="shared" si="601"/>
        <v>#N/A</v>
      </c>
      <c r="IS656" s="1679" t="e">
        <f t="shared" si="601"/>
        <v>#N/A</v>
      </c>
      <c r="IT656" s="1679" t="e">
        <f t="shared" si="601"/>
        <v>#N/A</v>
      </c>
      <c r="IU656" s="1679" t="e">
        <f t="shared" si="601"/>
        <v>#N/A</v>
      </c>
      <c r="IV656" s="1679" t="e">
        <f>IF($CR656="interior",IF(R657&gt;$IP$14,ROUND(($IV$18*($IP$14/R657)),2),$IV$18),VLOOKUP($CS656,Control_Savings_Exterior,IV$30,FALSE))</f>
        <v>#N/A</v>
      </c>
      <c r="IW656" s="1679" t="e">
        <f>IF($CR656="interior",ROUND(((1-IS656)*IV656)+IS656,2),VLOOKUP($CS656,Control_Savings_Exterior,IW$30,FALSE))</f>
        <v>#N/A</v>
      </c>
      <c r="IX656" s="1679" t="e">
        <f>IF($CR656="interior",ROUND(((1-IT656)*IV656)+IT656,2),VLOOKUP($CS656,Control_Savings_Exterior,IX$30,FALSE))</f>
        <v>#N/A</v>
      </c>
      <c r="IY656" s="1679" t="e">
        <f>IF($CR656="interior",IF(R657&gt;$IP$14,ROUND(($IY$18*($IP$14/R657)),2),$IY$18),VLOOKUP($CS656,Control_Savings_Exterior,IY$30,FALSE))</f>
        <v>#N/A</v>
      </c>
      <c r="IZ656" s="1679" t="e">
        <f>IF($CR656="interior",ROUND(((1-IS656)*IY656)+IS656,2),VLOOKUP($CS656,Control_Savings_Exterior,IZ$30,FALSE))</f>
        <v>#N/A</v>
      </c>
      <c r="JA656" s="1679" t="e">
        <f>IF($CR656="interior",ROUND(((1-IT656)*IY656)+IT656,2),VLOOKUP($CS656,Control_Savings_Exterior,JA$30,FALSE))</f>
        <v>#N/A</v>
      </c>
      <c r="JC656" s="1680">
        <f>IFERROR(IF(CR656="Interior",CONCATENATE(G659," ",FQ656),FQ656),"")</f>
        <v>0</v>
      </c>
      <c r="JD656" s="1670" t="str">
        <f>IFERROR(VLOOKUP(JC656,_Controls_2023,2,FALSE),"")</f>
        <v/>
      </c>
      <c r="JE656" s="1681">
        <f>IFERROR(CHOOSE(JD656-1,IQ656,IR656,IS656,IT656,IU656,IV656,IW656,IX656,IY656,IZ656,JA656),0)</f>
        <v>0</v>
      </c>
      <c r="JG656" s="1680" t="str">
        <f>FE656</f>
        <v xml:space="preserve"> - 0</v>
      </c>
      <c r="JH656" s="1670" t="e">
        <f>$FO656</f>
        <v>#N/A</v>
      </c>
      <c r="JI656" s="1060"/>
      <c r="JJ656" s="1682" t="b">
        <f>IF($JG658=CONCATENATE("Interior - ",JJ$4),TRUE,FALSE)</f>
        <v>0</v>
      </c>
      <c r="JK656" s="1061"/>
      <c r="JL656" s="1682" t="b">
        <f>IF($JG658=CONCATENATE("Interior - ",JL$4),TRUE,FALSE)</f>
        <v>0</v>
      </c>
      <c r="JM656" s="1061"/>
      <c r="JN656" s="1682" t="b">
        <f>IF($JG658=CONCATENATE("Interior - ",JN$4),TRUE,FALSE)</f>
        <v>0</v>
      </c>
      <c r="JO656" s="1061"/>
      <c r="JP656" s="1682" t="b">
        <f>IF(__Retrofit_TI_NC&gt;0,FALSE,IF($JG658=CONCATENATE("Interior - ",JP$4),TRUE,FALSE))</f>
        <v>0</v>
      </c>
      <c r="JQ656" s="1061"/>
      <c r="JR656" s="1682" t="b">
        <f>IF(__Retrofit_TI_NC&gt;0,FALSE,IF($JG658=CONCATENATE("Interior - ",JR$4),TRUE,FALSE))</f>
        <v>0</v>
      </c>
      <c r="JS656" s="1061"/>
      <c r="JT656" s="1670" t="b">
        <f>IF(__Retrofit_TI_NC&gt;0,FALSE,IF($JG658=CONCATENATE("Interior - ",JT$4),TRUE,FALSE))</f>
        <v>0</v>
      </c>
      <c r="JU656" s="1061"/>
      <c r="JV656" s="1670" t="b">
        <f>IF(JC658="AELC on Existing",TRUE,FALSE)</f>
        <v>0</v>
      </c>
      <c r="JX656" s="1670" t="b">
        <f>IF(OR(JG658="Exterior - AELC Occupancy based",JG658="Exterior - AELC Time based"),TRUE,FALSE)</f>
        <v>0</v>
      </c>
      <c r="JZ656" s="1682" t="b">
        <f>IF($JG658=CONCATENATE("Exterior - ",JZ$4),TRUE,FALSE)</f>
        <v>0</v>
      </c>
      <c r="KB656" s="1670" t="b">
        <f>IF(__Retrofit_TI_NC&gt;0,FALSE,IF($JG658=CONCATENATE("Interior - ",KB$4),TRUE,FALSE))</f>
        <v>0</v>
      </c>
    </row>
    <row r="657" spans="1:288" s="78" customFormat="1" ht="14.95" customHeight="1" thickTop="1" thickBot="1">
      <c r="B657" s="1845"/>
      <c r="C657" s="1846"/>
      <c r="D657" s="1847"/>
      <c r="E657" s="1737" t="s">
        <v>297</v>
      </c>
      <c r="F657" s="1738"/>
      <c r="G657" s="1739"/>
      <c r="H657" s="1739"/>
      <c r="I657" s="1739"/>
      <c r="J657" s="1739"/>
      <c r="K657" s="1739"/>
      <c r="L657" s="1739"/>
      <c r="M657" s="461" t="e">
        <f>IF(__Retrofit_TI_NC&lt;&gt;0,IF(VLOOKUP(G658,'Space Table'!$B$3:$L$163,3,FALSE)&gt;0,1,0),IF(__Retrofit_TI_NC=VLOOKUP(G658,'Space Table'!$B$3:$L$163,3,FALSE),1,0))</f>
        <v>#N/A</v>
      </c>
      <c r="N657" s="461" t="str">
        <f>IFERROR(VLOOKUP(G657,_Lookup_Heat_Type_Table_New,2,FALSE),"")</f>
        <v/>
      </c>
      <c r="O657" s="461">
        <f>IF(__Retrofit_TI_NC=1,CONCATENATE("TI ",G657),IF(__Retrofit_TI_NC=2,CONCATENATE("NC ",G657),G657))</f>
        <v>0</v>
      </c>
      <c r="P657" s="1740" t="s">
        <v>435</v>
      </c>
      <c r="Q657" s="1740"/>
      <c r="R657" s="595"/>
      <c r="S657" s="1792"/>
      <c r="T657" s="597"/>
      <c r="U657" s="1765"/>
      <c r="V657" s="1766"/>
      <c r="W657" s="1766"/>
      <c r="X657" s="1766"/>
      <c r="Y657" s="1766"/>
      <c r="Z657" s="1766"/>
      <c r="AA657" s="1766"/>
      <c r="AB657" s="1766"/>
      <c r="AC657" s="1766"/>
      <c r="AD657" s="1767"/>
      <c r="AE657" s="1000"/>
      <c r="AF657" s="597"/>
      <c r="AG657" s="1723"/>
      <c r="AH657" s="1724"/>
      <c r="AI657" s="1724"/>
      <c r="AJ657" s="1724"/>
      <c r="AK657" s="1725"/>
      <c r="AL657" s="996"/>
      <c r="AM657" s="1747"/>
      <c r="AN657" s="1775"/>
      <c r="AO657" s="1777"/>
      <c r="AP657" s="1780"/>
      <c r="AQ657" s="1781"/>
      <c r="AR657" s="1795"/>
      <c r="AS657" s="1795"/>
      <c r="AT657" s="1796"/>
      <c r="AU657" s="1735"/>
      <c r="AV657" s="1752"/>
      <c r="AW657" s="1705"/>
      <c r="AX657" s="467"/>
      <c r="AY657" s="1749"/>
      <c r="AZ657" s="1749"/>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696"/>
      <c r="CQ657" s="1696"/>
      <c r="CR657" s="1809"/>
      <c r="CS657" s="1811"/>
      <c r="CU657" s="1688"/>
      <c r="CV657" s="1703"/>
      <c r="CW657" s="1703"/>
      <c r="CX657" s="1703"/>
      <c r="CY657" s="1815"/>
      <c r="CZ657" s="1711"/>
      <c r="DA657" s="1818"/>
      <c r="DB657" s="1820"/>
      <c r="DC657" s="1820"/>
      <c r="DD657" s="1820"/>
      <c r="DF657" s="1703"/>
      <c r="DG657" s="1831"/>
      <c r="DH657" s="1703"/>
      <c r="DI657" s="1838"/>
      <c r="DJ657" s="1711"/>
      <c r="DK657" s="1712"/>
      <c r="DM657" s="1718"/>
      <c r="DO657" s="1708"/>
      <c r="DQ657" s="1715"/>
      <c r="DR657" s="1720"/>
      <c r="DS657" s="1816"/>
      <c r="DT657" s="1714"/>
      <c r="DU657" s="1715"/>
      <c r="DV657" s="1716"/>
      <c r="DX657" s="1715"/>
      <c r="DY657" s="1720"/>
      <c r="DZ657" s="1715"/>
      <c r="EA657" s="1715"/>
      <c r="EC657" s="1834"/>
      <c r="ED657" s="1834"/>
      <c r="EF657" s="1707"/>
      <c r="EG657" s="1712"/>
      <c r="EH657" s="1818"/>
      <c r="EI657" s="1712"/>
      <c r="EJ657" s="1712"/>
      <c r="EK657" s="1836"/>
      <c r="EL657" s="1836"/>
      <c r="EM657" s="1807"/>
      <c r="EN657" s="1839"/>
      <c r="EO657" s="1839"/>
      <c r="EP657" s="1817"/>
      <c r="EQ657" s="1817"/>
      <c r="ER657" s="1807"/>
      <c r="ES657" s="1807"/>
      <c r="ET657" s="1807"/>
      <c r="EV657" s="1715"/>
      <c r="EX657" s="1805"/>
      <c r="EY657" s="1805"/>
      <c r="EZ657" s="1805"/>
      <c r="FA657" s="1805"/>
      <c r="FB657" s="1805"/>
      <c r="FC657" s="1827"/>
      <c r="FE657" s="1698"/>
      <c r="FG657" s="1816"/>
      <c r="FH657" s="1816"/>
      <c r="FI657" s="133"/>
      <c r="FL657" s="1823"/>
      <c r="FM657" s="1825"/>
      <c r="FN657" s="1698"/>
      <c r="FO657" s="1698"/>
      <c r="FP657" s="1678"/>
      <c r="FQ657" s="1678"/>
      <c r="FS657" s="1687"/>
      <c r="FT657" s="1687"/>
      <c r="FU657" s="1685"/>
      <c r="FV657" s="1687"/>
      <c r="FW657" s="1687"/>
      <c r="FX657" s="1687"/>
      <c r="FY657" s="1697"/>
      <c r="GA657" s="1696"/>
      <c r="GB657" s="1696"/>
      <c r="GC657" s="1696"/>
      <c r="GD657" s="1696"/>
      <c r="GE657" s="1696"/>
      <c r="GF657" s="1696"/>
      <c r="GG657" s="1696"/>
      <c r="GH657" s="1696"/>
      <c r="GI657" s="673"/>
      <c r="GJ657" s="1135"/>
      <c r="GK657" s="1832"/>
      <c r="GM657" s="1693" t="b">
        <f ca="1">IF(AND(GP657=TRUE,GQ657=TRUE),TRUE,FALSE)</f>
        <v>0</v>
      </c>
      <c r="GN657" s="1684" t="b">
        <f>IFERROR(IF(__Retrofit_TI_NC=2,TRUE,IF(AU656="Yes",TRUE,FALSE)),FALSE)</f>
        <v>1</v>
      </c>
      <c r="GP657" s="1684" t="b">
        <f>IFERROR(IF(GP656=1,TRUE,FALSE),FALSE)</f>
        <v>0</v>
      </c>
      <c r="GQ657" s="1684" t="b">
        <f ca="1">IFERROR(IF(GQ656=GQ$14,TRUE,FALSE),FALSE)</f>
        <v>0</v>
      </c>
      <c r="HG657" s="1684" t="b">
        <f>IFERROR(IF(AND(__Retrofit_TI_NC&gt;0,CQ656="Interior"),FALSE,TRUE),FALSE)</f>
        <v>1</v>
      </c>
      <c r="HH657" s="1684" t="b">
        <f>IFERROR(IF(M657=1,TRUE,FALSE),FALSE)</f>
        <v>0</v>
      </c>
      <c r="HI657" s="1684" t="b">
        <f>IFERROR(IF(OR(M658=1,N659="BAM"),TRUE,FALSE),FALSE)</f>
        <v>0</v>
      </c>
      <c r="HJ657" s="1684" t="b">
        <f>IFERROR(IF(__Retrofit_TI_NC&lt;&gt;0,TRUE,IFERROR(IF(VLOOKUP(U657,Fixtures_Existing_List,2,FALSE)&lt;&gt;"",TRUE,FALSE),FALSE)),FALSE)</f>
        <v>0</v>
      </c>
      <c r="HK657" s="1684" t="b">
        <f>IFERROR(IF(VLOOKUP(U658,Fixtures_Proposed_List,2,FALSE)&lt;&gt;"",TRUE,FALSE),FALSE)</f>
        <v>0</v>
      </c>
      <c r="HL657" s="1684" t="b">
        <f>IF(AND(__Retrofit_TI_NC=2,FC656=TRUE),FALSE,TRUE)</f>
        <v>1</v>
      </c>
      <c r="HM657" s="1684" t="b">
        <f>GK656</f>
        <v>1</v>
      </c>
      <c r="HN657" s="1682" t="b">
        <f>IF(ISERROR(MATCH(FE656,_Control_Match[],0))=TRUE,FALSE,TRUE)</f>
        <v>0</v>
      </c>
      <c r="HO657" s="1693" t="b">
        <f>IFERROR(IF(EX656&lt;&gt;EY656,FALSE,TRUE),FALSE)</f>
        <v>1</v>
      </c>
      <c r="HP657" s="1693" t="b">
        <f>IFERROR(IF(EX658&lt;&gt;EY658,FALSE,TRUE),FALSE)</f>
        <v>1</v>
      </c>
      <c r="HQ657" s="1670" t="b">
        <f>IFERROR(IF(CQ656="Exterior",TRUE,IF(AND(OR(FM658=0,FM658=3),JD658&gt;6),FALSE,TRUE)),FALSE)</f>
        <v>0</v>
      </c>
      <c r="HR657" s="1684" t="b">
        <f>IFERROR(IF(AND(FO658=7,FC656=TRUE),FALSE,TRUE),FALSE)</f>
        <v>0</v>
      </c>
      <c r="HS657" s="1684" t="b">
        <f>IFERROR(IF(AND(T658&lt;&gt;AF658,OR(AG658="Interior LLLC", AG658="Interior NLC", AG658="LLLC (outside Daylight)",AG658="LLLC Controls Only"))=TRUE,FALSE,TRUE),FALSE)</f>
        <v>1</v>
      </c>
      <c r="HT657" s="1670" t="b">
        <f>IFERROR(IF(OR(AG658=Lookup!BB$17,AG658=Lookup!BB$18,AG658=Lookup!BB$19)=TRUE,IF(AF658&gt;T658,FALSE,TRUE),TRUE),FALSE)</f>
        <v>1</v>
      </c>
      <c r="HU657" s="1684" t="b">
        <f>IFERROR(IF(__Retrofit_TI_NC=2,IF(EZ658&lt;EZ656,FALSE,TRUE),TRUE),FALSE)</f>
        <v>1</v>
      </c>
      <c r="HV657" s="1684" t="b">
        <f>IF(CQ656="Interior",IL$6,TRUE)</f>
        <v>1</v>
      </c>
      <c r="HW657" s="1684" t="b">
        <f>IF(CQ656="Exterior",IL$8,TRUE)</f>
        <v>1</v>
      </c>
      <c r="HX657" s="1684" t="b">
        <f>IFERROR(IF(__Retrofit_TI_NC&lt;&gt;0,IF(AZ656&lt;AY656,FALSE,TRUE),TRUE),FALSE)</f>
        <v>1</v>
      </c>
      <c r="HY657" s="1684" t="b">
        <f>IFERROR(IF(AND(G657="Exterior",R657&gt;4200),FALSE,TRUE),FALSE)</f>
        <v>1</v>
      </c>
      <c r="HZ657" s="1684" t="b">
        <f>IFERROR(IF(AB659/AB656&lt;HZ$18,FALSE,TRUE),FALSE)</f>
        <v>0</v>
      </c>
      <c r="IB657" s="1691"/>
      <c r="IC657" s="1695"/>
      <c r="ID657" s="1694" t="str">
        <f>VLOOKUP(IB659,_Error_Table,4,FALSE)</f>
        <v>White</v>
      </c>
      <c r="IE657" s="391"/>
      <c r="IF657" s="1688"/>
      <c r="IG657" s="1689"/>
      <c r="IH657" s="1684"/>
      <c r="IK657" s="1689"/>
      <c r="IL657" s="1691"/>
      <c r="IM657" s="1691"/>
      <c r="IN657" s="1691"/>
      <c r="IP657" s="1679"/>
      <c r="IQ657" s="1679"/>
      <c r="IR657" s="1679"/>
      <c r="IS657" s="1679"/>
      <c r="IT657" s="1679"/>
      <c r="IU657" s="1679"/>
      <c r="IV657" s="1679"/>
      <c r="IW657" s="1679"/>
      <c r="IX657" s="1679"/>
      <c r="IY657" s="1679"/>
      <c r="IZ657" s="1679"/>
      <c r="JA657" s="1679"/>
      <c r="JC657" s="1680"/>
      <c r="JD657" s="1670"/>
      <c r="JE657" s="1681"/>
      <c r="JG657" s="1680"/>
      <c r="JH657" s="1670"/>
      <c r="JI657" s="1060"/>
      <c r="JJ657" s="1683"/>
      <c r="JK657" s="1061"/>
      <c r="JL657" s="1683"/>
      <c r="JM657" s="1061"/>
      <c r="JN657" s="1683"/>
      <c r="JO657" s="1061"/>
      <c r="JP657" s="1683"/>
      <c r="JQ657" s="1061"/>
      <c r="JR657" s="1683"/>
      <c r="JS657" s="1061"/>
      <c r="JT657" s="1670"/>
      <c r="JU657" s="1061"/>
      <c r="JV657" s="1670"/>
      <c r="JX657" s="1670"/>
      <c r="JZ657" s="1683"/>
      <c r="KB657" s="1670"/>
    </row>
    <row r="658" spans="1:288" s="78" customFormat="1" ht="14.95" customHeight="1" thickTop="1" thickBot="1">
      <c r="A658" s="78">
        <f>ROW()</f>
        <v>658</v>
      </c>
      <c r="B658" s="1845"/>
      <c r="C658" s="1846"/>
      <c r="D658" s="1847"/>
      <c r="E658" s="1737" t="s">
        <v>298</v>
      </c>
      <c r="F658" s="1738"/>
      <c r="G658" s="1760"/>
      <c r="H658" s="1761"/>
      <c r="I658" s="1761"/>
      <c r="J658" s="1761"/>
      <c r="K658" s="1761"/>
      <c r="L658" s="1762"/>
      <c r="M658" s="461">
        <f>IFERROR(IF(IF(__Retrofit_TI_NC&lt;&gt;0,IF(CQ656="Interior",MATCH(G658,Lookup_Interior_New,0),MATCH(G658,Lookup_Exterior_New,0)),IF(CQ656="Interior",MATCH(G658,Lookup_Interior,0),MATCH(G658,Lookup_Exterior_Areas,0)))&gt;0,1,0),0)</f>
        <v>0</v>
      </c>
      <c r="N658" s="461" t="e">
        <f>IF(__Retrofit_TI_NC=1,
VLOOKUP(G658,'Space Table'!$B$3:$L$163,4,FALSE),
IF(__Retrofit_TI_NC=2,VLOOKUP(G658,'Space Table'!$B$3:$L$163,5,FALSE),VLOOKUP(G658,'Space Table'!$B$3:$L$163,5,FALSE)))</f>
        <v>#N/A</v>
      </c>
      <c r="O658" s="461">
        <f>G658</f>
        <v>0</v>
      </c>
      <c r="P658" s="1738" t="str">
        <f>IFERROR(IF(__Retrofit_TI_NC=1,VLOOKUP(G658,'Space Table'!$B$3:$O$163,13,FALSE),IF(__Retrofit_TI_NC=2,VLOOKUP(G658,'Space Table'!$B$3:$O$163,14,FALSE),"Area (sf):")),"Area (sf):")</f>
        <v>Area (sf):</v>
      </c>
      <c r="Q658" s="1738"/>
      <c r="R658" s="596"/>
      <c r="S658" s="1763" t="s">
        <v>345</v>
      </c>
      <c r="T658" s="594"/>
      <c r="U658" s="1801"/>
      <c r="V658" s="1802"/>
      <c r="W658" s="1802"/>
      <c r="X658" s="1802"/>
      <c r="Y658" s="1802"/>
      <c r="Z658" s="1802"/>
      <c r="AA658" s="1802"/>
      <c r="AB658" s="1802"/>
      <c r="AC658" s="1802"/>
      <c r="AD658" s="1802"/>
      <c r="AE658" s="1803"/>
      <c r="AF658" s="594"/>
      <c r="AG658" s="1787"/>
      <c r="AH658" s="1787"/>
      <c r="AI658" s="1787"/>
      <c r="AJ658" s="1787"/>
      <c r="AK658" s="1787"/>
      <c r="AL658" s="1787"/>
      <c r="AM658" s="1726">
        <f>IFERROR(DI658,"")</f>
        <v>0</v>
      </c>
      <c r="AN658" s="1728" t="str">
        <f>IFERROR(ROUND(AM658*AC659,0),"")</f>
        <v/>
      </c>
      <c r="AO658" s="1730">
        <f>IFERROR(IF(IB656=FALSE,0,AC659-AN658),0)</f>
        <v>0</v>
      </c>
      <c r="AP658" s="1780"/>
      <c r="AQ658" s="1781"/>
      <c r="AR658" s="1795"/>
      <c r="AS658" s="1795"/>
      <c r="AT658" s="1796"/>
      <c r="AU658" s="1735"/>
      <c r="AV658" s="1752"/>
      <c r="AW658" s="1705"/>
      <c r="AX658" s="467"/>
      <c r="AY658" s="1749"/>
      <c r="AZ658" s="1749"/>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696"/>
      <c r="CQ658" s="1696"/>
      <c r="CR658" s="1808" t="str">
        <f>CQ656</f>
        <v/>
      </c>
      <c r="CS658" s="1810" t="str">
        <f>CS656</f>
        <v/>
      </c>
      <c r="CU658" s="1688" t="s">
        <v>345</v>
      </c>
      <c r="CV658" s="1702">
        <f>IF(IB656=TRUE,T658,0)</f>
        <v>0</v>
      </c>
      <c r="CW658" s="1702" t="str">
        <f>IF(IB656=TRUE,U658,"")</f>
        <v/>
      </c>
      <c r="CX658" s="1812">
        <f>IF(IB656=TRUE,U659,0)</f>
        <v>0</v>
      </c>
      <c r="CY658" s="1814">
        <f>IF(IB656=TRUE,AB659,0)</f>
        <v>0</v>
      </c>
      <c r="CZ658" s="1710">
        <f>IF(AND(__Retrofit_TI_NC&gt;0,CR656="interior"),0,IF(IB656=TRUE,AC659,0))</f>
        <v>0</v>
      </c>
      <c r="DA658" s="1818"/>
      <c r="DB658" s="1820"/>
      <c r="DC658" s="1820"/>
      <c r="DD658" s="1820"/>
      <c r="DF658" s="1702">
        <f>IF(IB656=TRUE,AF658,0)</f>
        <v>0</v>
      </c>
      <c r="DG658" s="1830" t="str">
        <f>IF(IB656=TRUE,AG658,"")</f>
        <v/>
      </c>
      <c r="DH658" s="1812">
        <f>AG659</f>
        <v>0</v>
      </c>
      <c r="DI658" s="1837">
        <f>JE658</f>
        <v>0</v>
      </c>
      <c r="DJ658" s="1710">
        <f>IF(AND(__Retrofit_TI_NC&gt;0,CR656="interior"),0,IF(IB656=TRUE,AN658,0))</f>
        <v>0</v>
      </c>
      <c r="DK658" s="1712"/>
      <c r="DN658" s="1717">
        <f>IFERROR(CZ658-DJ658,0)</f>
        <v>0</v>
      </c>
      <c r="DO658" s="1709"/>
      <c r="DQ658" s="1715"/>
      <c r="DR658" s="1719" t="str">
        <f>DQ656</f>
        <v/>
      </c>
      <c r="DS658" s="1816"/>
      <c r="DT658" s="1835" t="str">
        <f>IF(OR(DS656=7,DS656=8,DS656=9),"ALC","")</f>
        <v/>
      </c>
      <c r="DU658" s="1715"/>
      <c r="DV658" s="1716"/>
      <c r="DX658" s="1715"/>
      <c r="DY658" s="1829" t="str">
        <f>DX656</f>
        <v/>
      </c>
      <c r="DZ658" s="1715"/>
      <c r="EA658" s="1715"/>
      <c r="EC658" s="1834"/>
      <c r="ED658" s="1834"/>
      <c r="EF658" s="1707"/>
      <c r="EG658" s="1712"/>
      <c r="EH658" s="1818"/>
      <c r="EI658" s="1712"/>
      <c r="EJ658" s="1712"/>
      <c r="EK658" s="1836"/>
      <c r="EL658" s="1836"/>
      <c r="EM658" s="1807"/>
      <c r="EN658" s="1839"/>
      <c r="EO658" s="1839"/>
      <c r="EP658" s="1817"/>
      <c r="EQ658" s="1817"/>
      <c r="ER658" s="1807"/>
      <c r="ES658" s="1807"/>
      <c r="ET658" s="1807"/>
      <c r="EV658" s="1715"/>
      <c r="EX658" s="1805" t="str">
        <f>IFERROR(VLOOKUP(CS658,'Space Table'!$B$3:$L$163,8,FALSE),"")</f>
        <v/>
      </c>
      <c r="EY658" s="1805" t="str">
        <f>IFERROR(IF(FB658="Yes",VLOOKUP(AG658,Lookup_Control_Type_Table2,4,FALSE),VLOOKUP(AG658,Lookup_Control_Type_Table2,3,FALSE)),"")</f>
        <v/>
      </c>
      <c r="EZ658" s="1805" t="e">
        <f>VLOOKUP(AG658,Lookup!BB$3:BC$20,2,FALSE)</f>
        <v>#N/A</v>
      </c>
      <c r="FA658" s="1805" t="e">
        <f>VLOOKUP(EX656,Lookup_Control_Type_Table,2,FALSE)</f>
        <v>#N/A</v>
      </c>
      <c r="FB658" s="1805" t="e">
        <f>VLOOKUP(CS658,'Space Table'!$B$3:$L$163,7,FALSE)</f>
        <v>#N/A</v>
      </c>
      <c r="FC658" s="1827"/>
      <c r="FE658" s="1698" t="str">
        <f>CONCATENATE(CQ656," - ",AG658)</f>
        <v xml:space="preserve"> - </v>
      </c>
      <c r="FG658" s="1816"/>
      <c r="FH658" s="1816"/>
      <c r="FI658" s="133"/>
      <c r="FL658" s="1822" t="str">
        <f>IF(CQ656="Exterior","Not Daylighted",G659)</f>
        <v>Not Daylighted</v>
      </c>
      <c r="FM658" s="1824">
        <f>VLOOKUP(FL658,_New_Daylight_Table_Codes,2,FALSE)</f>
        <v>0</v>
      </c>
      <c r="FN658" s="1698">
        <f>AG658</f>
        <v>0</v>
      </c>
      <c r="FO658" s="1698" t="e">
        <f>VLOOKUP(FN658,_Control_Table,2,FALSE)</f>
        <v>#N/A</v>
      </c>
      <c r="FP658" s="1678" t="e">
        <f>VLOOKUP(CONCATENATE(FL658," ",FN658),Lookup!AY$102:AZ669,2,FALSE)</f>
        <v>#N/A</v>
      </c>
      <c r="FQ658" s="1698">
        <f>IF(__Retrofit_TI_NC=0,FN658,IF(AND(FT658&gt;0,FN658="Occupancy Sensor"),"Daylight + Occupancy",IF(AND(FT658&gt;0,FO658&lt;4),"Interior Daylight Dimming",FN658)))</f>
        <v>0</v>
      </c>
      <c r="FS658" s="1686">
        <f>IF(CQ656="Interior",VLOOKUP(CS656,Control_Savings_Interior,5,FALSE),0)</f>
        <v>0</v>
      </c>
      <c r="FT658" s="1687">
        <f>IF(CQ658="Exterior",0,IF(FM658=2,0.5,IF(OR(FM658=1,FM658=3),1,0)))</f>
        <v>0</v>
      </c>
      <c r="FU658" s="1685">
        <f>IF(R657&gt;FS$44,(FS658*(FS$44/R657)),FS658)*FT658</f>
        <v>0</v>
      </c>
      <c r="FV658" s="1686">
        <f>DI658</f>
        <v>0</v>
      </c>
      <c r="FW658" s="1686">
        <f>ROUND(FV658+((1-FV658)*FU658),2)</f>
        <v>0</v>
      </c>
      <c r="FX658" s="1686">
        <f>IF(__Retrofit_TI_NC=2,FW658,FV658)</f>
        <v>0</v>
      </c>
      <c r="FY658" s="1697">
        <f>IF(CR658="Interior",VLOOKUP(CS658,Control_Savings_Interior,4,FALSE),0)</f>
        <v>0</v>
      </c>
      <c r="GA658" s="1696"/>
      <c r="GB658" s="1696"/>
      <c r="GC658" s="1696"/>
      <c r="GD658" s="1696"/>
      <c r="GE658" s="1696"/>
      <c r="GF658" s="1696"/>
      <c r="GG658" s="1696"/>
      <c r="GH658" s="1696"/>
      <c r="GI658" s="673" t="b">
        <f>IF(ISNUMBER(SEARCH("TLED",U658)),TRUE,FALSE)</f>
        <v>0</v>
      </c>
      <c r="GJ658" s="1135" t="str">
        <f>IFERROR(VLOOKUP(U658,Fixtures!DM$93:DR$142,6,FALSE),"")</f>
        <v/>
      </c>
      <c r="GK658" s="1832"/>
      <c r="GM658" s="1692"/>
      <c r="GN658" s="1684"/>
      <c r="GP658" s="1684"/>
      <c r="GQ658" s="1684"/>
      <c r="HG658" s="1684"/>
      <c r="HH658" s="1684"/>
      <c r="HI658" s="1684"/>
      <c r="HJ658" s="1684"/>
      <c r="HK658" s="1684"/>
      <c r="HL658" s="1684"/>
      <c r="HM658" s="1684"/>
      <c r="HN658" s="1683"/>
      <c r="HO658" s="1692"/>
      <c r="HP658" s="1692"/>
      <c r="HQ658" s="1670"/>
      <c r="HR658" s="1684"/>
      <c r="HS658" s="1684"/>
      <c r="HT658" s="1670"/>
      <c r="HU658" s="1684"/>
      <c r="HV658" s="1684"/>
      <c r="HW658" s="1684"/>
      <c r="HX658" s="1684"/>
      <c r="HY658" s="1684"/>
      <c r="HZ658" s="1684"/>
      <c r="IB658" s="1692"/>
      <c r="IC658" s="1693" t="b">
        <f>IB656</f>
        <v>0</v>
      </c>
      <c r="ID658" s="1695"/>
      <c r="IE658" s="391"/>
      <c r="IF658" s="1688"/>
      <c r="IG658" s="1689">
        <f ca="1">IF(IF656=TRUE,AC659,0)</f>
        <v>0</v>
      </c>
      <c r="IH658" s="1684"/>
      <c r="IK658" s="1689" t="e">
        <f>ROUND(T658*AB659*N657*R657/1000,0)</f>
        <v>#VALUE!</v>
      </c>
      <c r="IL658" s="1691"/>
      <c r="IM658" s="1693" t="e">
        <f>ROUND(T658*AB659*N657*R657/1000,0)</f>
        <v>#VALUE!</v>
      </c>
      <c r="IN658" s="1691"/>
      <c r="IP658" s="1679"/>
      <c r="IQ658" s="1679" t="e">
        <f t="shared" ref="IQ658:IU658" si="602">IF($CR658="interior",VLOOKUP($CS658,_New_Control_Savings_Interior,IQ$30,FALSE),VLOOKUP($CS658,Control_Savings_Exterior,IQ$30,FALSE))</f>
        <v>#N/A</v>
      </c>
      <c r="IR658" s="1679" t="e">
        <f t="shared" si="602"/>
        <v>#N/A</v>
      </c>
      <c r="IS658" s="1679" t="e">
        <f t="shared" si="602"/>
        <v>#N/A</v>
      </c>
      <c r="IT658" s="1679" t="e">
        <f t="shared" si="602"/>
        <v>#N/A</v>
      </c>
      <c r="IU658" s="1679" t="e">
        <f t="shared" si="602"/>
        <v>#N/A</v>
      </c>
      <c r="IV658" s="1679" t="e">
        <f>IF($CR658="interior",IF(R657&gt;$IP$14,ROUND(($IV$18*($IP$14/R657)),2),$IV$18),VLOOKUP($CS658,Control_Savings_Exterior,IV$30,FALSE))</f>
        <v>#N/A</v>
      </c>
      <c r="IW658" s="1679" t="e">
        <f>IF($CR658="interior",ROUND(((1-IS658)*IV658)+IS658,2),VLOOKUP($CS658,Control_Savings_Exterior,IW$30,FALSE))</f>
        <v>#N/A</v>
      </c>
      <c r="IX658" s="1679" t="e">
        <f>IF($CR658="interior",ROUND(((1-IT658)*IV658)+IT658,2),VLOOKUP($CS658,Control_Savings_Exterior,IX$30,FALSE))</f>
        <v>#N/A</v>
      </c>
      <c r="IY658" s="1679" t="e">
        <f>IF($CR658="interior",IF(R657&gt;$IP$14,ROUND(($IY$18*($IP$14/R657)),2),$IY$18),VLOOKUP($CS658,Control_Savings_Exterior,IY$30,FALSE))</f>
        <v>#N/A</v>
      </c>
      <c r="IZ658" s="1679" t="e">
        <f>IF($CR658="interior",ROUND(((1-IS658)*IY658)+IS658,2),VLOOKUP($CS658,Control_Savings_Exterior,IZ$30,FALSE))</f>
        <v>#N/A</v>
      </c>
      <c r="JA658" s="1679" t="e">
        <f>IF($CR658="interior",ROUND(((1-IT658)*IY658)+IT658,2),VLOOKUP($CS658,Control_Savings_Exterior,JA$30,FALSE))</f>
        <v>#N/A</v>
      </c>
      <c r="JC658" s="1680">
        <f>IFERROR(IF(CR658="Interior",CONCATENATE(G659," ",FQ658),AG658),"")</f>
        <v>0</v>
      </c>
      <c r="JD658" s="1670" t="str">
        <f>IFERROR(VLOOKUP(JC658,_Controls_2023,2,FALSE),"")</f>
        <v/>
      </c>
      <c r="JE658" s="1681">
        <f>IFERROR(CHOOSE(JD658-1,IQ658,IR658,IS658,IT658,IU658,IV658,IW658,IX658,IY658,IZ658,JA658),0)</f>
        <v>0</v>
      </c>
      <c r="JG658" s="1680" t="str">
        <f>FE658</f>
        <v xml:space="preserve"> - </v>
      </c>
      <c r="JH658" s="1670" t="e">
        <f>$FO658</f>
        <v>#N/A</v>
      </c>
      <c r="JI658" s="1060"/>
      <c r="JJ658" s="1670">
        <f>IFERROR(IF($IB656=TRUE,IF(OR(JJ$14="No",JJ656=FALSE,JH658&lt;=JH656,AND(_kWh_Grant=0,GD656=FALSE)),0,IF(JJ$8="Per Line",1,$AF658)),0),0)</f>
        <v>0</v>
      </c>
      <c r="JK658" s="1061"/>
      <c r="JL658" s="1670">
        <f>IFERROR(IF(_kWh_Grant=0,0,IF($IB656=TRUE,IF(OR(JL$14="No",JL656=FALSE,JH658&lt;=JH656),0,IF(JL$8="Per Line",1,$T658)),0)),0)</f>
        <v>0</v>
      </c>
      <c r="JM658" s="1061"/>
      <c r="JN658" s="1670">
        <f>IFERROR(IF(_kWh_Grant=0,0,IF($IB656=TRUE,IF(OR(JN$14="No",JN656=FALSE,JH658&lt;=JH656),0,IF(JN$8="Per Line",1,$AF658)),0)),0)</f>
        <v>0</v>
      </c>
      <c r="JO658" s="1061"/>
      <c r="JP658" s="1670">
        <f>IFERROR(IF(__Retrofit_TI_NC=0,IF(_kWh_Grant=0,0,IF($IB656=TRUE,IF(OR(JP$14="No",JP656=FALSE,$JH658&lt;=$JH656),0,IF(JP$8="Per Line",1,$AF658)),0)),IF($IB656=TRUE,IF(OR(JP$14="No",JP656=FALSE,$JH658&lt;=$JH656),0,IF(JP$8="Per Line",1,$AF658)))),0)</f>
        <v>0</v>
      </c>
      <c r="JQ658" s="1061"/>
      <c r="JR658" s="1670">
        <f>IFERROR(IF(__Retrofit_TI_NC=0,IF(_kWh_Grant=0,0,IF($IB656=TRUE,IF(OR(JR$14="No",JR656=FALSE,$JH658&lt;=$JH656),0,IF(JR$8="Per Line",1,$AF658)),0)),IF($IB656=TRUE,IF(OR(JR$14="No",JR656=FALSE,$JH658&lt;=$JH656),0,IF(JR$8="Per Line",1,$AF658)))),0)</f>
        <v>0</v>
      </c>
      <c r="JS658" s="1061"/>
      <c r="JT658" s="1670">
        <f>IFERROR(IF(__Retrofit_TI_NC=0,IF(_kWh_Grant=0,0,IF($IB656=TRUE,IF(OR(JT$14="No",JT656=FALSE,$JH658&lt;=$JH656),0,IF(JT$8="Per Line",1,$AF658)),0)),IF($IB656=TRUE,IF(OR(JT$14="No",JT656=FALSE,$JH658&lt;=$JH656),0,IF(JT$8="Per Line",1,$AF658)))),0)</f>
        <v>0</v>
      </c>
      <c r="JU658" s="1061"/>
      <c r="JV658" s="1670">
        <f>IFERROR(IF(__Retrofit_TI_NC=0,IF(_kWh_Grant=0,0,IF($IB656=TRUE,IF(OR(JV$14="No",JV656=FALSE,$JH658&lt;=$JH656),0,IF(JV$8="Per Line",1,$AF658)),0)),IF($IB656=TRUE,IF(OR(JV$14="No",JV656=FALSE,$JH658&lt;=$JH656),0,IF(JV$8="Per Line",1,$AF658)))),0)</f>
        <v>0</v>
      </c>
      <c r="JX658" s="1670">
        <f>IFERROR(IF(__Retrofit_TI_NC=0,IF(_kWh_Grant=0,0,IF($IB656=TRUE,IF(OR(JX$14="No",JX656=FALSE,$JH658&lt;=$JH656),0,IF(JX$8="Per Line",1,$AF658)),0)),IF($IB656=TRUE,IF(OR(JX$14="No",JX656=FALSE,$JH658&lt;=$JH656),0,IF(JX$8="Per Line",1,$AF658)))),0)</f>
        <v>0</v>
      </c>
      <c r="JZ658" s="1670">
        <f>IFERROR(IF($IB656=TRUE,IF(OR(JZ$14="No",JZ656=FALSE,$JH658&lt;=$JH656,AND(_kWh_Grant=0,$GD656=FALSE)),0,IF(JZ$8="Per Line",1,$AF658)),0),0)</f>
        <v>0</v>
      </c>
      <c r="KB658" s="1670">
        <f>IFERROR(IF(__Retrofit_TI_NC=0,IF(_kWh_Grant=0,0,IF($IB656=TRUE,IF(OR(KB$14="No",KB656=FALSE,$JH658&lt;=$JH656),0,IF(KB$8="Per Line",1,$AF658)),0)),IF($IB656=TRUE,IF(OR(KB$14="No",KB656=FALSE,$JH658&lt;=$JH656),0,IF(KB$8="Per Line",1,$AF658)))),0)</f>
        <v>0</v>
      </c>
    </row>
    <row r="659" spans="1:288" s="78" customFormat="1" ht="14.95" customHeight="1" thickTop="1" thickBot="1">
      <c r="B659" s="1845"/>
      <c r="C659" s="1846"/>
      <c r="D659" s="1847"/>
      <c r="E659" s="1771" t="s">
        <v>436</v>
      </c>
      <c r="F659" s="1772"/>
      <c r="G659" s="1784" t="s">
        <v>437</v>
      </c>
      <c r="H659" s="1785"/>
      <c r="I659" s="1785"/>
      <c r="J659" s="1785"/>
      <c r="K659" s="1785"/>
      <c r="L659" s="1786"/>
      <c r="M659" s="591">
        <f>IFERROR(VLOOKUP(G659,_Daylight_Table[],2,FALSE),0)</f>
        <v>0</v>
      </c>
      <c r="N659" s="592" t="str">
        <f>IF(AND(__Retrofit_TI_NC&gt;0,CQ656="Interior"),"BAM","")</f>
        <v/>
      </c>
      <c r="O659" s="591" t="e">
        <f>VLOOKUP(G658,'Space Table'!$B$3:$L$163,11,FALSE)</f>
        <v>#N/A</v>
      </c>
      <c r="P659" s="1789"/>
      <c r="Q659" s="1790"/>
      <c r="R659" s="1790"/>
      <c r="S659" s="1788"/>
      <c r="T659" s="593" t="s">
        <v>342</v>
      </c>
      <c r="U659" s="1756" t="str" cm="1">
        <f t="array" aca="1" ref="U659" ca="1">IFERROR(VLOOKUP(INDIRECT("U" &amp; ROW()-1),Fixtures!DM$93:DP$142,4,FALSE),"")</f>
        <v/>
      </c>
      <c r="V659" s="1757"/>
      <c r="W659" s="1757"/>
      <c r="X659" s="1757"/>
      <c r="Y659" s="1757"/>
      <c r="Z659" s="1757"/>
      <c r="AA659" s="1758"/>
      <c r="AB659" s="939" t="str">
        <f>IFERROR(VLOOKUP(U658,Fixtures_Proposed_List,2,FALSE),"")</f>
        <v/>
      </c>
      <c r="AC659" s="933" t="str">
        <f>IFERROR(ROUND(T658*AB659*N657*R657/1000,0),"")</f>
        <v/>
      </c>
      <c r="AD659" s="934" t="str">
        <f>IFERROR(ROUND(T658*AB659/1000,2),"")</f>
        <v/>
      </c>
      <c r="AE659" s="998"/>
      <c r="AF659" s="938" t="s">
        <v>342</v>
      </c>
      <c r="AG659" s="1770"/>
      <c r="AH659" s="1770"/>
      <c r="AI659" s="1770"/>
      <c r="AJ659" s="1770"/>
      <c r="AK659" s="1770"/>
      <c r="AL659" s="1770"/>
      <c r="AM659" s="1727"/>
      <c r="AN659" s="1729"/>
      <c r="AO659" s="1731"/>
      <c r="AP659" s="1782"/>
      <c r="AQ659" s="1783"/>
      <c r="AR659" s="1797"/>
      <c r="AS659" s="1797"/>
      <c r="AT659" s="1798"/>
      <c r="AU659" s="1736"/>
      <c r="AV659" s="1753"/>
      <c r="AW659" s="1706"/>
      <c r="AX659" s="468"/>
      <c r="AY659" s="1750"/>
      <c r="AZ659" s="1750"/>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696"/>
      <c r="CQ659" s="1696"/>
      <c r="CR659" s="1809"/>
      <c r="CS659" s="1811"/>
      <c r="CU659" s="1688"/>
      <c r="CV659" s="1703"/>
      <c r="CW659" s="1703"/>
      <c r="CX659" s="1813"/>
      <c r="CY659" s="1815"/>
      <c r="CZ659" s="1711"/>
      <c r="DA659" s="1815"/>
      <c r="DB659" s="1821"/>
      <c r="DC659" s="1821"/>
      <c r="DD659" s="1821"/>
      <c r="DF659" s="1703"/>
      <c r="DG659" s="1831"/>
      <c r="DH659" s="1813"/>
      <c r="DI659" s="1838"/>
      <c r="DJ659" s="1711"/>
      <c r="DK659" s="1712"/>
      <c r="DN659" s="1718"/>
      <c r="DO659" s="1709"/>
      <c r="DQ659" s="1715"/>
      <c r="DR659" s="1720"/>
      <c r="DS659" s="1703"/>
      <c r="DT659" s="1714"/>
      <c r="DU659" s="1715"/>
      <c r="DV659" s="1716"/>
      <c r="DX659" s="1715"/>
      <c r="DY659" s="1720"/>
      <c r="DZ659" s="1715"/>
      <c r="EA659" s="1715"/>
      <c r="EC659" s="1834"/>
      <c r="ED659" s="1834"/>
      <c r="EF659" s="1707"/>
      <c r="EG659" s="1712"/>
      <c r="EH659" s="1815"/>
      <c r="EI659" s="1712"/>
      <c r="EJ659" s="1712"/>
      <c r="EK659" s="1813"/>
      <c r="EL659" s="1813"/>
      <c r="EM659" s="1807"/>
      <c r="EN659" s="1839"/>
      <c r="EO659" s="1839"/>
      <c r="EP659" s="1817"/>
      <c r="EQ659" s="1817"/>
      <c r="ER659" s="1807"/>
      <c r="ES659" s="1807"/>
      <c r="ET659" s="1807"/>
      <c r="EV659" s="1715"/>
      <c r="EX659" s="1806"/>
      <c r="EY659" s="1806"/>
      <c r="EZ659" s="1806"/>
      <c r="FA659" s="1806"/>
      <c r="FB659" s="1806"/>
      <c r="FC659" s="1828"/>
      <c r="FE659" s="1698"/>
      <c r="FG659" s="1703"/>
      <c r="FH659" s="1703"/>
      <c r="FI659" s="133"/>
      <c r="FL659" s="1823"/>
      <c r="FM659" s="1825"/>
      <c r="FN659" s="1698"/>
      <c r="FO659" s="1698"/>
      <c r="FP659" s="1678"/>
      <c r="FQ659" s="1698"/>
      <c r="FS659" s="1687"/>
      <c r="FT659" s="1687"/>
      <c r="FU659" s="1685"/>
      <c r="FV659" s="1687"/>
      <c r="FW659" s="1687"/>
      <c r="FX659" s="1687"/>
      <c r="FY659" s="1697"/>
      <c r="GA659" s="1696"/>
      <c r="GB659" s="1696"/>
      <c r="GC659" s="1696"/>
      <c r="GD659" s="1696"/>
      <c r="GE659" s="1696"/>
      <c r="GF659" s="1696"/>
      <c r="GG659" s="1696"/>
      <c r="GH659" s="1696"/>
      <c r="GI659" s="673"/>
      <c r="GJ659" s="1135"/>
      <c r="GK659" s="1832"/>
      <c r="GN659" s="674">
        <f>IF(GN657=TRUE,0,GN$16)</f>
        <v>0</v>
      </c>
      <c r="GP659" s="674">
        <f>IF(GP657=TRUE,0,GP$16)</f>
        <v>36</v>
      </c>
      <c r="GQ659" s="674">
        <f ca="1">IF(GQ657=TRUE,0,GQ$16)</f>
        <v>35</v>
      </c>
      <c r="GR659" s="391"/>
      <c r="GS659" s="391"/>
      <c r="GT659" s="391"/>
      <c r="GU659" s="391"/>
      <c r="GV659" s="391"/>
      <c r="HG659" s="674">
        <f>IF(HG657=TRUE,0,HG$16)</f>
        <v>0</v>
      </c>
      <c r="HH659" s="674">
        <f t="shared" ref="HH659:HM659" si="603">IF(HH657=TRUE,0,HH$16)</f>
        <v>19</v>
      </c>
      <c r="HI659" s="674">
        <f t="shared" si="603"/>
        <v>18</v>
      </c>
      <c r="HJ659" s="674">
        <f t="shared" si="603"/>
        <v>17</v>
      </c>
      <c r="HK659" s="674">
        <f t="shared" si="603"/>
        <v>16</v>
      </c>
      <c r="HL659" s="674">
        <f t="shared" si="603"/>
        <v>0</v>
      </c>
      <c r="HM659" s="674">
        <f t="shared" si="603"/>
        <v>0</v>
      </c>
      <c r="HN659" s="674">
        <f>IF(HN657=TRUE,0,HN$16)</f>
        <v>13</v>
      </c>
      <c r="HO659" s="674">
        <f t="shared" ref="HO659:HQ659" si="604">IF(HO657=TRUE,0,HO$16)</f>
        <v>0</v>
      </c>
      <c r="HP659" s="674">
        <f t="shared" si="604"/>
        <v>0</v>
      </c>
      <c r="HQ659" s="674">
        <f t="shared" si="604"/>
        <v>10</v>
      </c>
      <c r="HR659" s="674">
        <f>IF(HR657=TRUE,0,HR$16)</f>
        <v>9</v>
      </c>
      <c r="HS659" s="674">
        <f t="shared" ref="HS659:HW659" si="605">IF(HS657=TRUE,0,HS$16)</f>
        <v>0</v>
      </c>
      <c r="HT659" s="674">
        <f t="shared" si="605"/>
        <v>0</v>
      </c>
      <c r="HU659" s="674">
        <f t="shared" si="605"/>
        <v>0</v>
      </c>
      <c r="HV659" s="674">
        <f t="shared" si="605"/>
        <v>0</v>
      </c>
      <c r="HW659" s="674">
        <f t="shared" si="605"/>
        <v>0</v>
      </c>
      <c r="HX659" s="674">
        <f>IF(HX657=TRUE,0,HX$16)</f>
        <v>0</v>
      </c>
      <c r="HY659" s="674">
        <f>IF(HY657=TRUE,0,HY$16)</f>
        <v>0</v>
      </c>
      <c r="HZ659" s="674">
        <f>IF(HZ657=TRUE,0,HZ$16)</f>
        <v>1</v>
      </c>
      <c r="IB659" s="674">
        <f>IF(GP657=FALSE,GP659,IF(GQ657=FALSE,GQ659,MAX(GN659:HZ659)))</f>
        <v>36</v>
      </c>
      <c r="IC659" s="1692"/>
      <c r="ID659" s="205" t="str">
        <f>VLOOKUP(IB659,_Error_Table,3,FALSE)</f>
        <v xml:space="preserve"> </v>
      </c>
      <c r="IE659" s="205"/>
      <c r="IF659" s="1688"/>
      <c r="IG659" s="1689"/>
      <c r="IH659" s="1684"/>
      <c r="IK659" s="1689"/>
      <c r="IL659" s="1692"/>
      <c r="IM659" s="1692"/>
      <c r="IN659" s="1692"/>
      <c r="IP659" s="1679"/>
      <c r="IQ659" s="1679"/>
      <c r="IR659" s="1679"/>
      <c r="IS659" s="1679"/>
      <c r="IT659" s="1679"/>
      <c r="IU659" s="1679"/>
      <c r="IV659" s="1679"/>
      <c r="IW659" s="1679"/>
      <c r="IX659" s="1679"/>
      <c r="IY659" s="1679"/>
      <c r="IZ659" s="1679"/>
      <c r="JA659" s="1679"/>
      <c r="JC659" s="1680"/>
      <c r="JD659" s="1670"/>
      <c r="JE659" s="1681"/>
      <c r="JG659" s="1680"/>
      <c r="JH659" s="1670"/>
      <c r="JI659" s="1060"/>
      <c r="JJ659" s="1670"/>
      <c r="JK659" s="1061"/>
      <c r="JL659" s="1670"/>
      <c r="JM659" s="1061"/>
      <c r="JN659" s="1670"/>
      <c r="JO659" s="1061"/>
      <c r="JP659" s="1670"/>
      <c r="JQ659" s="1061"/>
      <c r="JR659" s="1670"/>
      <c r="JS659" s="1061"/>
      <c r="JT659" s="1670"/>
      <c r="JU659" s="1061"/>
      <c r="JV659" s="1670"/>
      <c r="JX659" s="1670"/>
      <c r="JZ659" s="1670"/>
      <c r="KB659" s="1670"/>
    </row>
    <row r="660" spans="1:288" s="78" customFormat="1" ht="5.0999999999999996" customHeight="1">
      <c r="B660" s="676"/>
      <c r="C660" s="392"/>
      <c r="D660" s="392"/>
      <c r="E660" s="1733"/>
      <c r="F660" s="1733"/>
      <c r="G660" s="1733"/>
      <c r="H660" s="1733"/>
      <c r="I660" s="1733"/>
      <c r="J660" s="1733"/>
      <c r="K660" s="1733"/>
      <c r="L660" s="1733"/>
      <c r="M660" s="1733"/>
      <c r="N660" s="1733"/>
      <c r="O660" s="1733"/>
      <c r="P660" s="1733"/>
      <c r="Q660" s="1733"/>
      <c r="R660" s="1733"/>
      <c r="S660" s="1733"/>
      <c r="T660" s="1733"/>
      <c r="U660" s="1733"/>
      <c r="V660" s="1733"/>
      <c r="W660" s="1733"/>
      <c r="X660" s="1733"/>
      <c r="Y660" s="1733"/>
      <c r="Z660" s="1733"/>
      <c r="AA660" s="1733"/>
      <c r="AB660" s="1733"/>
      <c r="AC660" s="1733"/>
      <c r="AD660" s="1733"/>
      <c r="AE660" s="1733"/>
      <c r="AF660" s="1733"/>
      <c r="AG660" s="1733"/>
      <c r="AH660" s="1733"/>
      <c r="AI660" s="1733"/>
      <c r="AJ660" s="1733"/>
      <c r="AK660" s="1733"/>
      <c r="AL660" s="1733"/>
      <c r="AM660" s="1733"/>
      <c r="AN660" s="1733"/>
      <c r="AO660" s="1733"/>
      <c r="AP660" s="1733"/>
      <c r="AQ660" s="1733"/>
      <c r="AR660" s="1733"/>
      <c r="AS660" s="1733"/>
      <c r="AT660" s="1733"/>
      <c r="AU660" s="1733"/>
      <c r="AV660" s="1733"/>
      <c r="AW660" s="1733"/>
      <c r="AX660" s="469"/>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663"/>
      <c r="CQ660" s="663"/>
      <c r="CR660" s="438"/>
      <c r="CS660" s="663"/>
      <c r="CV660" s="391"/>
      <c r="CW660" s="391"/>
      <c r="CX660" s="207"/>
      <c r="CY660" s="208"/>
      <c r="CZ660" s="208"/>
      <c r="DA660" s="208"/>
      <c r="DB660" s="209"/>
      <c r="DC660" s="209"/>
      <c r="DD660" s="209"/>
      <c r="DF660" s="664"/>
      <c r="DG660" s="665"/>
      <c r="DH660" s="666"/>
      <c r="DI660" s="667"/>
      <c r="DJ660" s="668"/>
      <c r="DK660" s="668"/>
      <c r="DN660" s="208"/>
      <c r="DO660" s="664"/>
      <c r="DQ660" s="664"/>
      <c r="DR660" s="669"/>
      <c r="DS660" s="391"/>
      <c r="DT660" s="664"/>
      <c r="DU660" s="664"/>
      <c r="DV660" s="664"/>
      <c r="DX660" s="664"/>
      <c r="DY660" s="664"/>
      <c r="DZ660" s="664"/>
      <c r="EA660" s="664"/>
      <c r="EC660" s="670"/>
      <c r="ED660" s="670"/>
      <c r="EF660" s="668"/>
      <c r="EG660" s="668"/>
      <c r="EH660" s="208"/>
      <c r="EI660" s="668"/>
      <c r="EJ660" s="668"/>
      <c r="EK660" s="207"/>
      <c r="EL660" s="207"/>
      <c r="EM660" s="666"/>
      <c r="EN660" s="671"/>
      <c r="EO660" s="671"/>
      <c r="EP660" s="672"/>
      <c r="EQ660" s="672"/>
      <c r="ER660" s="666"/>
      <c r="ES660" s="666"/>
      <c r="ET660" s="666"/>
      <c r="EV660" s="664"/>
      <c r="EX660" s="391"/>
      <c r="EY660" s="391"/>
      <c r="EZ660" s="391"/>
      <c r="FA660" s="391"/>
      <c r="FB660" s="391"/>
      <c r="FC660" s="391"/>
      <c r="FE660" s="569"/>
      <c r="FG660" s="391"/>
      <c r="FH660" s="391"/>
      <c r="FI660" s="391"/>
      <c r="FS660" s="664"/>
      <c r="FT660" s="391"/>
      <c r="FU660" s="391"/>
      <c r="FV660" s="664"/>
      <c r="FW660" s="664"/>
      <c r="GA660" s="663"/>
      <c r="GB660" s="663"/>
      <c r="GC660" s="663"/>
      <c r="GD660" s="663"/>
      <c r="GE660" s="663"/>
      <c r="GF660" s="663"/>
      <c r="GG660" s="663"/>
      <c r="GH660" s="663"/>
      <c r="GI660" s="665"/>
      <c r="GJ660" s="664"/>
      <c r="GK660" s="664"/>
    </row>
    <row r="661" spans="1:288" s="78" customFormat="1" ht="14.95" customHeight="1">
      <c r="B661" s="1845" t="str">
        <f>ID664</f>
        <v xml:space="preserve"> </v>
      </c>
      <c r="C661" s="1846">
        <f>C656+1</f>
        <v>119</v>
      </c>
      <c r="D661" s="1847"/>
      <c r="E661" s="1799" t="s">
        <v>295</v>
      </c>
      <c r="F661" s="1800"/>
      <c r="G661" s="1741"/>
      <c r="H661" s="1742"/>
      <c r="I661" s="1742"/>
      <c r="J661" s="1742"/>
      <c r="K661" s="1742"/>
      <c r="L661" s="1742"/>
      <c r="M661" s="1742"/>
      <c r="N661" s="1742"/>
      <c r="O661" s="1742"/>
      <c r="P661" s="1742"/>
      <c r="Q661" s="1742"/>
      <c r="R661" s="1742"/>
      <c r="S661" s="1791" t="s">
        <v>344</v>
      </c>
      <c r="T661" s="590"/>
      <c r="U661" s="1743"/>
      <c r="V661" s="1744"/>
      <c r="W661" s="1744"/>
      <c r="X661" s="1744"/>
      <c r="Y661" s="1744"/>
      <c r="Z661" s="1744"/>
      <c r="AA661" s="1744"/>
      <c r="AB661" s="961" t="str">
        <f>IFERROR(IF(__Retrofit_TI_NC=0,VLOOKUP(U662,Fixtures_Existing_List,2,FALSE),ROUND(N663*R663/T663,10)),"")</f>
        <v/>
      </c>
      <c r="AC661" s="935" t="str">
        <f>IFERROR(IF(__Retrofit_TI_NC=0,ROUND(T662*AB661*N662*R662/1000,0),IF(CQ661="Interior",N663*R663*R662*N662*_C406_reduction/1000,N663*R663*R662*N662/1000)),"")</f>
        <v/>
      </c>
      <c r="AD661" s="936" t="str">
        <f>IFERROR(IF(C$43=0,ROUND(T662*AB661/1000,2),N663*R663/1000),"")</f>
        <v/>
      </c>
      <c r="AE661" s="997"/>
      <c r="AF661" s="937"/>
      <c r="AG661" s="1745" t="str">
        <f>IF(__Retrofit_TI_NC=0," Control","Select Advanced Control for New System")</f>
        <v xml:space="preserve"> Control</v>
      </c>
      <c r="AH661" s="1745"/>
      <c r="AI661" s="1745"/>
      <c r="AJ661" s="1745"/>
      <c r="AK661" s="1745"/>
      <c r="AL661" s="1745"/>
      <c r="AM661" s="1746">
        <f>IFERROR(DI661,"")</f>
        <v>0</v>
      </c>
      <c r="AN661" s="1774" t="str">
        <f>IFERROR(ROUND(AM661*AC661,0),"")</f>
        <v/>
      </c>
      <c r="AO661" s="1776">
        <f>IFERROR(IF(IB661=FALSE,0,AC661-AN661),0)</f>
        <v>0</v>
      </c>
      <c r="AP661" s="1778">
        <f>AO661-AO663</f>
        <v>0</v>
      </c>
      <c r="AQ661" s="1779"/>
      <c r="AR661" s="1793">
        <f>IFERROR(IF(IB661=FALSE,0,(T663*U664)+(AF663*AG664)),0)</f>
        <v>0</v>
      </c>
      <c r="AS661" s="1793"/>
      <c r="AT661" s="1794"/>
      <c r="AU661" s="1734" t="s">
        <v>237</v>
      </c>
      <c r="AV661" s="1751">
        <f>IF(AU661="Yes",1,0)</f>
        <v>1</v>
      </c>
      <c r="AW661" s="1704" t="str">
        <f>IF(OR(DQ661=4,DQ661=5,DQ661=6,DQ661=12),CONCATENATE("$",IF(GH661=TRUE,Lookup!$K$10,Lookup!$K$2)," /lamp"),CONCATENATE(TEXT(ED661,"$0.00"),"/ kWh"))</f>
        <v>$0.00/ kWh</v>
      </c>
      <c r="AX661" s="467"/>
      <c r="AY661" s="1748">
        <f ca="1">IFERROR(IF(GM662=TRUE,(AB664*T663)/R663,0),"NA")</f>
        <v>0</v>
      </c>
      <c r="AZ661" s="1748"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696" t="str">
        <f>N662</f>
        <v/>
      </c>
      <c r="CQ661" s="1696" t="str">
        <f>IFERROR(VLOOKUP(G662,_Lookup_Heat_Type_Table_New,3,FALSE),"")</f>
        <v/>
      </c>
      <c r="CR661" s="1808" t="str">
        <f>CQ661</f>
        <v/>
      </c>
      <c r="CS661" s="1810" t="str">
        <f>IFERROR(VLOOKUP(G663,'Space Table'!$B$3:$L$163,9,FALSE),"")</f>
        <v/>
      </c>
      <c r="CU661" s="1688" t="s">
        <v>344</v>
      </c>
      <c r="CV661" s="1702">
        <f>IF(IB661=TRUE,T662,0)</f>
        <v>0</v>
      </c>
      <c r="CW661" s="1702" t="str">
        <f>IF(IB661=TRUE,U662,"")</f>
        <v/>
      </c>
      <c r="CX661" s="1702"/>
      <c r="CY661" s="1814">
        <f>IF(IB661=TRUE,AB661,0)</f>
        <v>0</v>
      </c>
      <c r="CZ661" s="1710">
        <f>IF(AND(__Retrofit_TI_NC&gt;0,CR661="interior"),0,IF(IB661=TRUE,AC661,0))</f>
        <v>0</v>
      </c>
      <c r="DA661" s="1814">
        <f>IFERROR(IF(IB661=TRUE,CZ661-CZ663,0),0)</f>
        <v>0</v>
      </c>
      <c r="DB661" s="1819">
        <f>IF(IB661=TRUE,AD661,0)</f>
        <v>0</v>
      </c>
      <c r="DC661" s="1819">
        <f>IF(IB661=TRUE,AD664,0)</f>
        <v>0</v>
      </c>
      <c r="DD661" s="1819">
        <f>IFERROR(DB661-DC661,0)</f>
        <v>0</v>
      </c>
      <c r="DF661" s="1702">
        <f>IF(IB661=TRUE,AF662,0)</f>
        <v>0</v>
      </c>
      <c r="DG661" s="1830">
        <f>IFERROR(IF(__Retrofit_TI_NC=2,IF(CQ661="Exterior",O664,FQ661),FN661),"")</f>
        <v>0</v>
      </c>
      <c r="DH661" s="1702"/>
      <c r="DI661" s="1837">
        <f>JE661</f>
        <v>0</v>
      </c>
      <c r="DJ661" s="1710">
        <f>IF(AND(__Retrofit_TI_NC&gt;0,CR661="interior"),0,IF(IB661=TRUE,AN661,0))</f>
        <v>0</v>
      </c>
      <c r="DK661" s="1712">
        <f>IFERROR(IF(IB661=TRUE,DJ663-DJ661,0),0)</f>
        <v>0</v>
      </c>
      <c r="DM661" s="1717">
        <f>IFERROR(CZ661-DJ661,0)</f>
        <v>0</v>
      </c>
      <c r="DO661" s="1708">
        <f>DM661-DN663</f>
        <v>0</v>
      </c>
      <c r="DQ661" s="1715" t="str">
        <f>IFERROR(IF(AND(OR(GC661=4,GC661=5,GC661=6),OR(GF661=4,GF661=5,GF661=6)),GC661+8,VLOOKUP(CW663,Fixtures!R$31:Y$78,8,FALSE)),"")</f>
        <v/>
      </c>
      <c r="DR661" s="1829" t="str">
        <f>DQ661</f>
        <v/>
      </c>
      <c r="DS661" s="1702" t="str">
        <f>IFERROR(VLOOKUP(DG663,Lookup!BB$3:BC$20,2,FALSE),"")</f>
        <v/>
      </c>
      <c r="DT661" s="1713" t="str">
        <f>IF(OR(DS661=7,DS661=8,DS661=9),"ALC","")</f>
        <v/>
      </c>
      <c r="DU661" s="1715">
        <f>IFERROR(IF(OR(DQ661=4,DQ661=5,DQ661=6,DQ661=12,DQ661=13,DQ661=14),VLOOKUP(CW663,Fixtures!DN$27:EG$77,19,FALSE),1)*CV663,0)</f>
        <v>0</v>
      </c>
      <c r="DV661" s="1716">
        <f>IF(OR(DS661=7,DS661=8,DS661=9),IF(DG661=DG663,0,DF663),0)</f>
        <v>0</v>
      </c>
      <c r="DX661" s="1715" t="str">
        <f>IFERROR(IF(EZ661&lt;EZ663,"Yes","No"),"")</f>
        <v/>
      </c>
      <c r="DY661" s="1829" t="str">
        <f>DX661</f>
        <v/>
      </c>
      <c r="DZ661" s="1715">
        <f>IF(DX661="Yes",DF663,0)</f>
        <v>0</v>
      </c>
      <c r="EA661" s="1715">
        <f>DZ661-DV661</f>
        <v>0</v>
      </c>
      <c r="EC661" s="1834">
        <f>IFERROR(VLOOKUP(DQ661,Lookup!AU$3:AV$16,2,FALSE),0)</f>
        <v>0</v>
      </c>
      <c r="ED661" s="1834">
        <f>IF(IB661=FALSE,0,IF(DX661="Yes",EC661+Lookup!K$6,EC661))</f>
        <v>0</v>
      </c>
      <c r="EF661" s="1707">
        <f>IF(IB661=TRUE,DM661,0)</f>
        <v>0</v>
      </c>
      <c r="EG661" s="1712">
        <f>IF(IB661=TRUE,CZ663,0)</f>
        <v>0</v>
      </c>
      <c r="EH661" s="1814">
        <f>IFERROR(EF661-EG661,0)</f>
        <v>0</v>
      </c>
      <c r="EI661" s="1712">
        <f>IF(IB661=TRUE,DJ663,0)</f>
        <v>0</v>
      </c>
      <c r="EJ661" s="1712">
        <f>IFERROR(EF661-EG661+EI661,0)</f>
        <v>0</v>
      </c>
      <c r="EK661" s="1812">
        <f>IF(IB661=TRUE,CV663*CX663,0)</f>
        <v>0</v>
      </c>
      <c r="EL661" s="1812">
        <f>IF(IB661=TRUE,DF663*DH663,0)</f>
        <v>0</v>
      </c>
      <c r="EM661" s="1807">
        <f>AR661</f>
        <v>0</v>
      </c>
      <c r="EN661" s="1839" t="str">
        <f>IFERROR(IF(IB661=TRUE,VLOOKUP(DQ661,Lookup!AU$3:AW$16,3,FALSE)*DU661,""),0)</f>
        <v/>
      </c>
      <c r="EO661" s="1839">
        <f>IF(IB661=TRUE,DZ661*Lookup!AW$12,0)</f>
        <v>0</v>
      </c>
      <c r="EP661" s="1817">
        <f>IFERROR(IF(IB661=TRUE,EN661/EP$40,0),0)</f>
        <v>0</v>
      </c>
      <c r="EQ661" s="1817">
        <f>IF(IB661=TRUE,EO661/EQ$40,0)</f>
        <v>0</v>
      </c>
      <c r="ER661" s="1807">
        <f>IF(IB661=TRUE,ET$40*EP661,0)</f>
        <v>0</v>
      </c>
      <c r="ES661" s="1807">
        <f>IF(IB661=TRUE,ET$40*EQ661,0)</f>
        <v>0</v>
      </c>
      <c r="ET661" s="1807">
        <f>ER661+ES661</f>
        <v>0</v>
      </c>
      <c r="EV661" s="1715">
        <f>IF(G661="",0,1)</f>
        <v>0</v>
      </c>
      <c r="EX661" s="1804" t="str">
        <f>IFERROR(VLOOKUP(CS663,'Space Table'!$B$3:$L$163,8,FALSE),"")</f>
        <v/>
      </c>
      <c r="EY661" s="1804" t="str">
        <f>IFERROR(IF(FB661="Yes",VLOOKUP(DG661,Lookup_Control_Type_Table2,4,FALSE),VLOOKUP(DG661,Lookup_Control_Type_Table2,3,FALSE)),"")</f>
        <v/>
      </c>
      <c r="EZ661" s="1804" t="e">
        <f>VLOOKUP(DG661,Lookup!BB$3:BC$20,2,FALSE)</f>
        <v>#N/A</v>
      </c>
      <c r="FA661" s="1804" t="e">
        <f>VLOOKUP(EX661,Lookup_Control_Type_Table,2,FALSE)</f>
        <v>#N/A</v>
      </c>
      <c r="FB661" s="1804" t="e">
        <f>VLOOKUP(CS663,'Space Table'!$B$3:$L$163,7,FALSE)</f>
        <v>#N/A</v>
      </c>
      <c r="FC661" s="1826" t="b">
        <f>ISNUMBER(SEARCH("TLED",U663))</f>
        <v>0</v>
      </c>
      <c r="FE661" s="1698" t="str">
        <f>CONCATENATE(CQ661," - ",DG661)</f>
        <v xml:space="preserve"> - 0</v>
      </c>
      <c r="FG661" s="1702" t="str">
        <f>VLOOKUP(CW663,Fixtures!DN$27:EZ$77,38,FALSE)</f>
        <v/>
      </c>
      <c r="FH661" s="1702">
        <f>IFERROR(FG661*EH661,0)</f>
        <v>0</v>
      </c>
      <c r="FI661" s="133"/>
      <c r="FL661" s="1822" t="str">
        <f>IF(CQ661="Exterior","Not Daylighted",G664)</f>
        <v>Not Daylighted</v>
      </c>
      <c r="FM661" s="1824">
        <f>VLOOKUP(FL661,_New_Daylight_Table_Codes,2,FALSE)</f>
        <v>0</v>
      </c>
      <c r="FN661" s="1698">
        <f>IF(__Retrofit_TI_NC&gt;0,VLOOKUP(G663,'Space Table'!$B$3:$L$163,11,FALSE),AG662)</f>
        <v>0</v>
      </c>
      <c r="FO661" s="1698" t="e">
        <f>IF(__Retrofit_TI_NC=2,VLOOKUP(FQ661,_Control_Table,2,FALSE),VLOOKUP(FN661,_Control_Table,2,FALSE))</f>
        <v>#N/A</v>
      </c>
      <c r="FP661" s="1678" t="e">
        <f>VLOOKUP(CONCATENATE(FL661," ",FN661),Lookup!AY$102:AZ671,2,FALSE)</f>
        <v>#N/A</v>
      </c>
      <c r="FQ661" s="1678">
        <f>IF(__Retrofit_TI_NC=0,FN661,IF(AND(FT661&gt;0,FN661="Occupancy Sensor"),"Daylight + Occupancy",IF(AND(FT661&gt;0,VLOOKUP(FN661,_Control_Table,2,FALSE)&lt;4),"Interior Daylight Dimming",FN661)))</f>
        <v>0</v>
      </c>
      <c r="FS661" s="1686">
        <f>IF(CR661="Interior",VLOOKUP(CS661,Control_Savings_Interior,5,FALSE),0)</f>
        <v>0</v>
      </c>
      <c r="FT661" s="1687">
        <f>IF(CQ661="Exterior",0,IF(FM661=2,0.5,IF(OR(FM661=1,FM661=3),1,0)))</f>
        <v>0</v>
      </c>
      <c r="FU661" s="1685">
        <f>IF(R660&gt;FS$44,(FS661*(FS$44/R660)),FS661)*FT661</f>
        <v>0</v>
      </c>
      <c r="FV661" s="1686">
        <f>DI661</f>
        <v>0</v>
      </c>
      <c r="FW661" s="1686">
        <f>ROUND(FV661+((1-FV661)*FU661),2)</f>
        <v>0</v>
      </c>
      <c r="FX661" s="1686">
        <f>IF(__Retrofit_TI_NC=2,FW661,FV661)</f>
        <v>0</v>
      </c>
      <c r="FY661" s="1697"/>
      <c r="GA661" s="1696" t="str">
        <f>IFERROR(VLOOKUP(U662,_Exist_Fixture_Table,3,FALSE),"")</f>
        <v/>
      </c>
      <c r="GB661" s="1696" t="str">
        <f>VLOOKUP(CW661,_Exist_Fixture_Table,4,FALSE)</f>
        <v/>
      </c>
      <c r="GC661" s="1696">
        <f>IFERROR(VLOOKUP(GB661,Lookup!AT$6:AU$8,2,FALSE),0)</f>
        <v>0</v>
      </c>
      <c r="GD661" s="1696" t="b">
        <f>IFERROR(IF(OR(GF661=4,GF661=5,GF661=6),TRUE,FALSE),"")</f>
        <v>0</v>
      </c>
      <c r="GE661" s="1696" t="str">
        <f>IFERROR(VLOOKUP(GF661,GC$6:GD$10,2,FALSE),"")</f>
        <v/>
      </c>
      <c r="GF661" s="1696" t="str">
        <f>VLOOKUP(CW663,Fixtures!R$31:Y$78,8,FALSE)</f>
        <v/>
      </c>
      <c r="GG661" s="1696">
        <f>IF(AND(GA661=TRUE,GD661=TRUE,OR(DQ661=12,DQ661=13,DQ661=14)),GC661+8,0)</f>
        <v>0</v>
      </c>
      <c r="GH661" s="1696" t="b">
        <f>IF(OR(GG661=12,GG661=13,GG661=14),TRUE,FALSE)</f>
        <v>0</v>
      </c>
      <c r="GI661" s="673" t="b">
        <f>IF(ISNUMBER(SEARCH("TLED",U662)),TRUE,FALSE)</f>
        <v>0</v>
      </c>
      <c r="GJ661" s="1135" t="str">
        <f>IFERROR(VLOOKUP(U662,Fixtures!BM$93:BR$142,6,FALSE),"")</f>
        <v/>
      </c>
      <c r="GK661" s="1832" t="b">
        <f>IF(OR(GI661=FALSE,GI663=FALSE),TRUE,IF(GJ661-GJ663&lt;5,FALSE,TRUE))</f>
        <v>1</v>
      </c>
      <c r="GO661" s="674">
        <f>GP661</f>
        <v>0</v>
      </c>
      <c r="GP661" s="674">
        <f>IF(G661="",0,1)</f>
        <v>0</v>
      </c>
      <c r="GQ661" s="674">
        <f ca="1">SUM(GR661:HF661)</f>
        <v>2</v>
      </c>
      <c r="GR661" s="674">
        <f>IF(G662="",0,1)</f>
        <v>0</v>
      </c>
      <c r="GS661" s="674">
        <f>IF(N664="BAM",1,IF(G663="",0,1))</f>
        <v>0</v>
      </c>
      <c r="GT661" s="674">
        <f>IF(N664="BAM",1,IF(R662="",0,1))</f>
        <v>0</v>
      </c>
      <c r="GU661" s="674">
        <f>IF(N664="BAM",1,IF(__Retrofit_TI_NC=0,1,IF(R663="",0,1)))</f>
        <v>1</v>
      </c>
      <c r="GV661" s="674">
        <f>IF(N664="BAM",1,IF(CQ661="Exterior",1,IF(G664="",0,1)))</f>
        <v>1</v>
      </c>
      <c r="GW661" s="674">
        <f>IF(__Retrofit_TI_NC&gt;0,1,IF(T662="",0,1))</f>
        <v>0</v>
      </c>
      <c r="GX661" s="674">
        <f>IF(__Retrofit_TI_NC&gt;0,1,IF(U662="",0,1))</f>
        <v>0</v>
      </c>
      <c r="GY661" s="674">
        <f>IF(N664="BAM",1,IF(T663="",0,1))</f>
        <v>0</v>
      </c>
      <c r="GZ661" s="674">
        <f>IF(N664="BAM",1,IF(U663="",0,1))</f>
        <v>0</v>
      </c>
      <c r="HA661" s="674">
        <f ca="1">IF(N664="BAM",1,IF(__Retrofit_TI_NC&gt;0,1,IF(U664="",0,1)))</f>
        <v>0</v>
      </c>
      <c r="HB661" s="674">
        <f>IF(__Retrofit_TI_NC&lt;&gt;0,1,IF(AF662="",0,1))</f>
        <v>0</v>
      </c>
      <c r="HC661" s="674">
        <f>IF(__Retrofit_TI_NC&lt;&gt;0,1,IF(AG662="",0,1))</f>
        <v>0</v>
      </c>
      <c r="HD661" s="674">
        <f>IF(N664="BAM",1,IF(AF663="",0,1))</f>
        <v>0</v>
      </c>
      <c r="HE661" s="674">
        <f>IF(N664="BAM",1,IF(AG663="",0,1))</f>
        <v>0</v>
      </c>
      <c r="HF661" s="674">
        <f>IF(N664="BAM",1,IF(__Retrofit_TI_NC&gt;0,1,IF(AG664="",0,1)))</f>
        <v>0</v>
      </c>
      <c r="HG661" s="391"/>
      <c r="IA661" s="391"/>
      <c r="IB661" s="1693" t="b">
        <f>IF(OR(IB664=0,IB664=HY$16,IB664=HX$16,IB664=HZ$16),TRUE,FALSE)</f>
        <v>0</v>
      </c>
      <c r="IC661" s="1694" t="b">
        <f>IB661</f>
        <v>0</v>
      </c>
      <c r="ID661" s="391"/>
      <c r="IE661" s="391"/>
      <c r="IF661" s="1688" t="b">
        <f ca="1">IF(MAX(GN664:HU664)&gt;5,FALSE,TRUE)</f>
        <v>0</v>
      </c>
      <c r="IG661" s="1689">
        <f ca="1">IF(IF661=TRUE,AC661,0)</f>
        <v>0</v>
      </c>
      <c r="IH661" s="1689">
        <f ca="1">IG661-IG663</f>
        <v>0</v>
      </c>
      <c r="IK661" s="1689" t="e">
        <f>ROUND(T662*VLOOKUP(U662,Fixtures_Existing_List,2,FALSE)*N662*R662/1000,0)</f>
        <v>#N/A</v>
      </c>
      <c r="IL661" s="1690" t="e">
        <f>IK661-IK663</f>
        <v>#N/A</v>
      </c>
      <c r="IM661" s="1693" t="e">
        <f>ROUND(IF(CQ661="Interior",N663*R663*R662*N662*_C406_reduction/1000,N663*R663*R662*N662/1000),0)</f>
        <v>#N/A</v>
      </c>
      <c r="IN661" s="1693" t="e">
        <f>IM661-IM663</f>
        <v>#N/A</v>
      </c>
      <c r="IP661" s="1679"/>
      <c r="IQ661" s="1679" t="e">
        <f t="shared" ref="IQ661:IU661" si="606">IF($CR661="interior",VLOOKUP($CS661,_New_Control_Savings_Interior,IQ$30,FALSE),VLOOKUP($CS661,Control_Savings_Exterior,IQ$30,FALSE))</f>
        <v>#N/A</v>
      </c>
      <c r="IR661" s="1679" t="e">
        <f t="shared" si="606"/>
        <v>#N/A</v>
      </c>
      <c r="IS661" s="1679" t="e">
        <f t="shared" si="606"/>
        <v>#N/A</v>
      </c>
      <c r="IT661" s="1679" t="e">
        <f t="shared" si="606"/>
        <v>#N/A</v>
      </c>
      <c r="IU661" s="1679" t="e">
        <f t="shared" si="606"/>
        <v>#N/A</v>
      </c>
      <c r="IV661" s="1679" t="e">
        <f>IF($CR661="interior",IF(R662&gt;$IP$14,ROUND(($IV$18*($IP$14/R662)),2),$IV$18),VLOOKUP($CS661,Control_Savings_Exterior,IV$30,FALSE))</f>
        <v>#N/A</v>
      </c>
      <c r="IW661" s="1679" t="e">
        <f>IF($CR661="interior",ROUND(((1-IS661)*IV661)+IS661,2),VLOOKUP($CS661,Control_Savings_Exterior,IW$30,FALSE))</f>
        <v>#N/A</v>
      </c>
      <c r="IX661" s="1679" t="e">
        <f>IF($CR661="interior",ROUND(((1-IT661)*IV661)+IT661,2),VLOOKUP($CS661,Control_Savings_Exterior,IX$30,FALSE))</f>
        <v>#N/A</v>
      </c>
      <c r="IY661" s="1679" t="e">
        <f>IF($CR661="interior",IF(R662&gt;$IP$14,ROUND(($IY$18*($IP$14/R662)),2),$IY$18),VLOOKUP($CS661,Control_Savings_Exterior,IY$30,FALSE))</f>
        <v>#N/A</v>
      </c>
      <c r="IZ661" s="1679" t="e">
        <f>IF($CR661="interior",ROUND(((1-IS661)*IY661)+IS661,2),VLOOKUP($CS661,Control_Savings_Exterior,IZ$30,FALSE))</f>
        <v>#N/A</v>
      </c>
      <c r="JA661" s="1679" t="e">
        <f>IF($CR661="interior",ROUND(((1-IT661)*IY661)+IT661,2),VLOOKUP($CS661,Control_Savings_Exterior,JA$30,FALSE))</f>
        <v>#N/A</v>
      </c>
      <c r="JC661" s="1680">
        <f>IFERROR(IF(CR661="Interior",CONCATENATE(G664," ",FQ661),FQ661),"")</f>
        <v>0</v>
      </c>
      <c r="JD661" s="1670" t="str">
        <f>IFERROR(VLOOKUP(JC661,_Controls_2023,2,FALSE),"")</f>
        <v/>
      </c>
      <c r="JE661" s="1681">
        <f>IFERROR(CHOOSE(JD661-1,IQ661,IR661,IS661,IT661,IU661,IV661,IW661,IX661,IY661,IZ661,JA661),0)</f>
        <v>0</v>
      </c>
      <c r="JG661" s="1680" t="str">
        <f>FE661</f>
        <v xml:space="preserve"> - 0</v>
      </c>
      <c r="JH661" s="1670" t="e">
        <f>$FO661</f>
        <v>#N/A</v>
      </c>
      <c r="JI661" s="1060"/>
      <c r="JJ661" s="1682" t="b">
        <f>IF($JG663=CONCATENATE("Interior - ",JJ$4),TRUE,FALSE)</f>
        <v>0</v>
      </c>
      <c r="JK661" s="1061"/>
      <c r="JL661" s="1682" t="b">
        <f>IF($JG663=CONCATENATE("Interior - ",JL$4),TRUE,FALSE)</f>
        <v>0</v>
      </c>
      <c r="JM661" s="1061"/>
      <c r="JN661" s="1682" t="b">
        <f>IF($JG663=CONCATENATE("Interior - ",JN$4),TRUE,FALSE)</f>
        <v>0</v>
      </c>
      <c r="JO661" s="1061"/>
      <c r="JP661" s="1682" t="b">
        <f>IF(__Retrofit_TI_NC&gt;0,FALSE,IF($JG663=CONCATENATE("Interior - ",JP$4),TRUE,FALSE))</f>
        <v>0</v>
      </c>
      <c r="JQ661" s="1061"/>
      <c r="JR661" s="1682" t="b">
        <f>IF(__Retrofit_TI_NC&gt;0,FALSE,IF($JG663=CONCATENATE("Interior - ",JR$4),TRUE,FALSE))</f>
        <v>0</v>
      </c>
      <c r="JS661" s="1061"/>
      <c r="JT661" s="1670" t="b">
        <f>IF(__Retrofit_TI_NC&gt;0,FALSE,IF($JG663=CONCATENATE("Interior - ",JT$4),TRUE,FALSE))</f>
        <v>0</v>
      </c>
      <c r="JU661" s="1061"/>
      <c r="JV661" s="1670" t="b">
        <f>IF(JC663="AELC on Existing",TRUE,FALSE)</f>
        <v>0</v>
      </c>
      <c r="JX661" s="1670" t="b">
        <f>IF(OR(JG663="Exterior - AELC Occupancy based",JG663="Exterior - AELC Time based"),TRUE,FALSE)</f>
        <v>0</v>
      </c>
      <c r="JZ661" s="1682" t="b">
        <f>IF($JG663=CONCATENATE("Exterior - ",JZ$4),TRUE,FALSE)</f>
        <v>0</v>
      </c>
      <c r="KB661" s="1670" t="b">
        <f>IF(__Retrofit_TI_NC&gt;0,FALSE,IF($JG663=CONCATENATE("Interior - ",KB$4),TRUE,FALSE))</f>
        <v>0</v>
      </c>
    </row>
    <row r="662" spans="1:288" s="78" customFormat="1" ht="14.95" customHeight="1" thickTop="1" thickBot="1">
      <c r="B662" s="1845"/>
      <c r="C662" s="1846"/>
      <c r="D662" s="1847"/>
      <c r="E662" s="1737" t="s">
        <v>297</v>
      </c>
      <c r="F662" s="1738"/>
      <c r="G662" s="1739"/>
      <c r="H662" s="1739"/>
      <c r="I662" s="1739"/>
      <c r="J662" s="1739"/>
      <c r="K662" s="1739"/>
      <c r="L662" s="1739"/>
      <c r="M662" s="461" t="e">
        <f>IF(__Retrofit_TI_NC&lt;&gt;0,IF(VLOOKUP(G663,'Space Table'!$B$3:$L$163,3,FALSE)&gt;0,1,0),IF(__Retrofit_TI_NC=VLOOKUP(G663,'Space Table'!$B$3:$L$163,3,FALSE),1,0))</f>
        <v>#N/A</v>
      </c>
      <c r="N662" s="461" t="str">
        <f>IFERROR(VLOOKUP(G662,_Lookup_Heat_Type_Table_New,2,FALSE),"")</f>
        <v/>
      </c>
      <c r="O662" s="461">
        <f>IF(__Retrofit_TI_NC=1,CONCATENATE("TI ",G662),IF(__Retrofit_TI_NC=2,CONCATENATE("NC ",G662),G662))</f>
        <v>0</v>
      </c>
      <c r="P662" s="1740" t="s">
        <v>435</v>
      </c>
      <c r="Q662" s="1740"/>
      <c r="R662" s="595"/>
      <c r="S662" s="1792"/>
      <c r="T662" s="597"/>
      <c r="U662" s="1765"/>
      <c r="V662" s="1766"/>
      <c r="W662" s="1766"/>
      <c r="X662" s="1766"/>
      <c r="Y662" s="1766"/>
      <c r="Z662" s="1766"/>
      <c r="AA662" s="1766"/>
      <c r="AB662" s="1766"/>
      <c r="AC662" s="1766"/>
      <c r="AD662" s="1767"/>
      <c r="AE662" s="1000"/>
      <c r="AF662" s="597"/>
      <c r="AG662" s="1723"/>
      <c r="AH662" s="1724"/>
      <c r="AI662" s="1724"/>
      <c r="AJ662" s="1724"/>
      <c r="AK662" s="1725"/>
      <c r="AL662" s="996"/>
      <c r="AM662" s="1747"/>
      <c r="AN662" s="1775"/>
      <c r="AO662" s="1777"/>
      <c r="AP662" s="1780"/>
      <c r="AQ662" s="1781"/>
      <c r="AR662" s="1795"/>
      <c r="AS662" s="1795"/>
      <c r="AT662" s="1796"/>
      <c r="AU662" s="1735"/>
      <c r="AV662" s="1752"/>
      <c r="AW662" s="1705"/>
      <c r="AX662" s="467"/>
      <c r="AY662" s="1749"/>
      <c r="AZ662" s="1749"/>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696"/>
      <c r="CQ662" s="1696"/>
      <c r="CR662" s="1809"/>
      <c r="CS662" s="1811"/>
      <c r="CU662" s="1688"/>
      <c r="CV662" s="1703"/>
      <c r="CW662" s="1703"/>
      <c r="CX662" s="1703"/>
      <c r="CY662" s="1815"/>
      <c r="CZ662" s="1711"/>
      <c r="DA662" s="1818"/>
      <c r="DB662" s="1820"/>
      <c r="DC662" s="1820"/>
      <c r="DD662" s="1820"/>
      <c r="DF662" s="1703"/>
      <c r="DG662" s="1831"/>
      <c r="DH662" s="1703"/>
      <c r="DI662" s="1838"/>
      <c r="DJ662" s="1711"/>
      <c r="DK662" s="1712"/>
      <c r="DM662" s="1718"/>
      <c r="DO662" s="1708"/>
      <c r="DQ662" s="1715"/>
      <c r="DR662" s="1720"/>
      <c r="DS662" s="1816"/>
      <c r="DT662" s="1714"/>
      <c r="DU662" s="1715"/>
      <c r="DV662" s="1716"/>
      <c r="DX662" s="1715"/>
      <c r="DY662" s="1720"/>
      <c r="DZ662" s="1715"/>
      <c r="EA662" s="1715"/>
      <c r="EC662" s="1834"/>
      <c r="ED662" s="1834"/>
      <c r="EF662" s="1707"/>
      <c r="EG662" s="1712"/>
      <c r="EH662" s="1818"/>
      <c r="EI662" s="1712"/>
      <c r="EJ662" s="1712"/>
      <c r="EK662" s="1836"/>
      <c r="EL662" s="1836"/>
      <c r="EM662" s="1807"/>
      <c r="EN662" s="1839"/>
      <c r="EO662" s="1839"/>
      <c r="EP662" s="1817"/>
      <c r="EQ662" s="1817"/>
      <c r="ER662" s="1807"/>
      <c r="ES662" s="1807"/>
      <c r="ET662" s="1807"/>
      <c r="EV662" s="1715"/>
      <c r="EX662" s="1805"/>
      <c r="EY662" s="1805"/>
      <c r="EZ662" s="1805"/>
      <c r="FA662" s="1805"/>
      <c r="FB662" s="1805"/>
      <c r="FC662" s="1827"/>
      <c r="FE662" s="1698"/>
      <c r="FG662" s="1816"/>
      <c r="FH662" s="1816"/>
      <c r="FI662" s="133"/>
      <c r="FL662" s="1823"/>
      <c r="FM662" s="1825"/>
      <c r="FN662" s="1698"/>
      <c r="FO662" s="1698"/>
      <c r="FP662" s="1678"/>
      <c r="FQ662" s="1678"/>
      <c r="FS662" s="1687"/>
      <c r="FT662" s="1687"/>
      <c r="FU662" s="1685"/>
      <c r="FV662" s="1687"/>
      <c r="FW662" s="1687"/>
      <c r="FX662" s="1687"/>
      <c r="FY662" s="1697"/>
      <c r="GA662" s="1696"/>
      <c r="GB662" s="1696"/>
      <c r="GC662" s="1696"/>
      <c r="GD662" s="1696"/>
      <c r="GE662" s="1696"/>
      <c r="GF662" s="1696"/>
      <c r="GG662" s="1696"/>
      <c r="GH662" s="1696"/>
      <c r="GI662" s="673"/>
      <c r="GJ662" s="1135"/>
      <c r="GK662" s="1832"/>
      <c r="GM662" s="1693" t="b">
        <f ca="1">IF(AND(GP662=TRUE,GQ662=TRUE),TRUE,FALSE)</f>
        <v>0</v>
      </c>
      <c r="GN662" s="1684" t="b">
        <f>IFERROR(IF(__Retrofit_TI_NC=2,TRUE,IF(AU661="Yes",TRUE,FALSE)),FALSE)</f>
        <v>1</v>
      </c>
      <c r="GP662" s="1684" t="b">
        <f>IFERROR(IF(GP661=1,TRUE,FALSE),FALSE)</f>
        <v>0</v>
      </c>
      <c r="GQ662" s="1684" t="b">
        <f ca="1">IFERROR(IF(GQ661=GQ$14,TRUE,FALSE),FALSE)</f>
        <v>0</v>
      </c>
      <c r="HG662" s="1684" t="b">
        <f>IFERROR(IF(AND(__Retrofit_TI_NC&gt;0,CQ661="Interior"),FALSE,TRUE),FALSE)</f>
        <v>1</v>
      </c>
      <c r="HH662" s="1684" t="b">
        <f>IFERROR(IF(M662=1,TRUE,FALSE),FALSE)</f>
        <v>0</v>
      </c>
      <c r="HI662" s="1684" t="b">
        <f>IFERROR(IF(OR(M663=1,N664="BAM"),TRUE,FALSE),FALSE)</f>
        <v>0</v>
      </c>
      <c r="HJ662" s="1684" t="b">
        <f>IFERROR(IF(__Retrofit_TI_NC&lt;&gt;0,TRUE,IFERROR(IF(VLOOKUP(U662,Fixtures_Existing_List,2,FALSE)&lt;&gt;"",TRUE,FALSE),FALSE)),FALSE)</f>
        <v>0</v>
      </c>
      <c r="HK662" s="1684" t="b">
        <f>IFERROR(IF(VLOOKUP(U663,Fixtures_Proposed_List,2,FALSE)&lt;&gt;"",TRUE,FALSE),FALSE)</f>
        <v>0</v>
      </c>
      <c r="HL662" s="1684" t="b">
        <f>IF(AND(__Retrofit_TI_NC=2,FC661=TRUE),FALSE,TRUE)</f>
        <v>1</v>
      </c>
      <c r="HM662" s="1684" t="b">
        <f>GK661</f>
        <v>1</v>
      </c>
      <c r="HN662" s="1682" t="b">
        <f>IF(ISERROR(MATCH(FE661,_Control_Match[],0))=TRUE,FALSE,TRUE)</f>
        <v>0</v>
      </c>
      <c r="HO662" s="1693" t="b">
        <f>IFERROR(IF(EX661&lt;&gt;EY661,FALSE,TRUE),FALSE)</f>
        <v>1</v>
      </c>
      <c r="HP662" s="1693" t="b">
        <f>IFERROR(IF(EX663&lt;&gt;EY663,FALSE,TRUE),FALSE)</f>
        <v>1</v>
      </c>
      <c r="HQ662" s="1670" t="b">
        <f>IFERROR(IF(CQ661="Exterior",TRUE,IF(AND(OR(FM663=0,FM663=3),JD663&gt;6),FALSE,TRUE)),FALSE)</f>
        <v>0</v>
      </c>
      <c r="HR662" s="1684" t="b">
        <f>IFERROR(IF(AND(FO663=7,FC661=TRUE),FALSE,TRUE),FALSE)</f>
        <v>0</v>
      </c>
      <c r="HS662" s="1684" t="b">
        <f>IFERROR(IF(AND(T663&lt;&gt;AF663,OR(AG663="Interior LLLC", AG663="Interior NLC", AG663="LLLC (outside Daylight)",AG663="LLLC Controls Only"))=TRUE,FALSE,TRUE),FALSE)</f>
        <v>1</v>
      </c>
      <c r="HT662" s="1670" t="b">
        <f>IFERROR(IF(OR(AG663=Lookup!BB$17,AG663=Lookup!BB$18,AG663=Lookup!BB$19)=TRUE,IF(AF663&gt;T663,FALSE,TRUE),TRUE),FALSE)</f>
        <v>1</v>
      </c>
      <c r="HU662" s="1684" t="b">
        <f>IFERROR(IF(__Retrofit_TI_NC=2,IF(EZ663&lt;EZ661,FALSE,TRUE),TRUE),FALSE)</f>
        <v>1</v>
      </c>
      <c r="HV662" s="1684" t="b">
        <f>IF(CQ661="Interior",IL$6,TRUE)</f>
        <v>1</v>
      </c>
      <c r="HW662" s="1684" t="b">
        <f>IF(CQ661="Exterior",IL$8,TRUE)</f>
        <v>1</v>
      </c>
      <c r="HX662" s="1684" t="b">
        <f>IFERROR(IF(__Retrofit_TI_NC&lt;&gt;0,IF(AZ661&lt;AY661,FALSE,TRUE),TRUE),FALSE)</f>
        <v>1</v>
      </c>
      <c r="HY662" s="1684" t="b">
        <f>IFERROR(IF(AND(G662="Exterior",R662&gt;4200),FALSE,TRUE),FALSE)</f>
        <v>1</v>
      </c>
      <c r="HZ662" s="1684" t="b">
        <f>IFERROR(IF(AB664/AB661&lt;HZ$18,FALSE,TRUE),FALSE)</f>
        <v>0</v>
      </c>
      <c r="IB662" s="1691"/>
      <c r="IC662" s="1695"/>
      <c r="ID662" s="1694" t="str">
        <f>VLOOKUP(IB664,_Error_Table,4,FALSE)</f>
        <v>White</v>
      </c>
      <c r="IE662" s="391"/>
      <c r="IF662" s="1688"/>
      <c r="IG662" s="1689"/>
      <c r="IH662" s="1684"/>
      <c r="IK662" s="1689"/>
      <c r="IL662" s="1691"/>
      <c r="IM662" s="1691"/>
      <c r="IN662" s="1691"/>
      <c r="IP662" s="1679"/>
      <c r="IQ662" s="1679"/>
      <c r="IR662" s="1679"/>
      <c r="IS662" s="1679"/>
      <c r="IT662" s="1679"/>
      <c r="IU662" s="1679"/>
      <c r="IV662" s="1679"/>
      <c r="IW662" s="1679"/>
      <c r="IX662" s="1679"/>
      <c r="IY662" s="1679"/>
      <c r="IZ662" s="1679"/>
      <c r="JA662" s="1679"/>
      <c r="JC662" s="1680"/>
      <c r="JD662" s="1670"/>
      <c r="JE662" s="1681"/>
      <c r="JG662" s="1680"/>
      <c r="JH662" s="1670"/>
      <c r="JI662" s="1060"/>
      <c r="JJ662" s="1683"/>
      <c r="JK662" s="1061"/>
      <c r="JL662" s="1683"/>
      <c r="JM662" s="1061"/>
      <c r="JN662" s="1683"/>
      <c r="JO662" s="1061"/>
      <c r="JP662" s="1683"/>
      <c r="JQ662" s="1061"/>
      <c r="JR662" s="1683"/>
      <c r="JS662" s="1061"/>
      <c r="JT662" s="1670"/>
      <c r="JU662" s="1061"/>
      <c r="JV662" s="1670"/>
      <c r="JX662" s="1670"/>
      <c r="JZ662" s="1683"/>
      <c r="KB662" s="1670"/>
    </row>
    <row r="663" spans="1:288" s="78" customFormat="1" ht="14.95" customHeight="1" thickTop="1" thickBot="1">
      <c r="A663" s="78">
        <f>ROW()</f>
        <v>663</v>
      </c>
      <c r="B663" s="1845"/>
      <c r="C663" s="1846"/>
      <c r="D663" s="1847"/>
      <c r="E663" s="1737" t="s">
        <v>298</v>
      </c>
      <c r="F663" s="1738"/>
      <c r="G663" s="1760"/>
      <c r="H663" s="1761"/>
      <c r="I663" s="1761"/>
      <c r="J663" s="1761"/>
      <c r="K663" s="1761"/>
      <c r="L663" s="1762"/>
      <c r="M663" s="461">
        <f>IFERROR(IF(IF(__Retrofit_TI_NC&lt;&gt;0,IF(CQ661="Interior",MATCH(G663,Lookup_Interior_New,0),MATCH(G663,Lookup_Exterior_New,0)),IF(CQ661="Interior",MATCH(G663,Lookup_Interior,0),MATCH(G663,Lookup_Exterior_Areas,0)))&gt;0,1,0),0)</f>
        <v>0</v>
      </c>
      <c r="N663" s="461" t="e">
        <f>IF(__Retrofit_TI_NC=1,
VLOOKUP(G663,'Space Table'!$B$3:$L$163,4,FALSE),
IF(__Retrofit_TI_NC=2,VLOOKUP(G663,'Space Table'!$B$3:$L$163,5,FALSE),VLOOKUP(G663,'Space Table'!$B$3:$L$163,5,FALSE)))</f>
        <v>#N/A</v>
      </c>
      <c r="O663" s="461">
        <f>G663</f>
        <v>0</v>
      </c>
      <c r="P663" s="1738" t="str">
        <f>IFERROR(IF(__Retrofit_TI_NC=1,VLOOKUP(G663,'Space Table'!$B$3:$O$163,13,FALSE),IF(__Retrofit_TI_NC=2,VLOOKUP(G663,'Space Table'!$B$3:$O$163,14,FALSE),"Area (sf):")),"Area (sf):")</f>
        <v>Area (sf):</v>
      </c>
      <c r="Q663" s="1738"/>
      <c r="R663" s="596"/>
      <c r="S663" s="1763" t="s">
        <v>345</v>
      </c>
      <c r="T663" s="594"/>
      <c r="U663" s="1801"/>
      <c r="V663" s="1802"/>
      <c r="W663" s="1802"/>
      <c r="X663" s="1802"/>
      <c r="Y663" s="1802"/>
      <c r="Z663" s="1802"/>
      <c r="AA663" s="1802"/>
      <c r="AB663" s="1802"/>
      <c r="AC663" s="1802"/>
      <c r="AD663" s="1802"/>
      <c r="AE663" s="1803"/>
      <c r="AF663" s="594"/>
      <c r="AG663" s="1787"/>
      <c r="AH663" s="1787"/>
      <c r="AI663" s="1787"/>
      <c r="AJ663" s="1787"/>
      <c r="AK663" s="1787"/>
      <c r="AL663" s="1787"/>
      <c r="AM663" s="1726">
        <f>IFERROR(DI663,"")</f>
        <v>0</v>
      </c>
      <c r="AN663" s="1728" t="str">
        <f>IFERROR(ROUND(AM663*AC664,0),"")</f>
        <v/>
      </c>
      <c r="AO663" s="1730">
        <f>IFERROR(IF(IB661=FALSE,0,AC664-AN663),0)</f>
        <v>0</v>
      </c>
      <c r="AP663" s="1780"/>
      <c r="AQ663" s="1781"/>
      <c r="AR663" s="1795"/>
      <c r="AS663" s="1795"/>
      <c r="AT663" s="1796"/>
      <c r="AU663" s="1735"/>
      <c r="AV663" s="1752"/>
      <c r="AW663" s="1705"/>
      <c r="AX663" s="467"/>
      <c r="AY663" s="1749"/>
      <c r="AZ663" s="1749"/>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696"/>
      <c r="CQ663" s="1696"/>
      <c r="CR663" s="1808" t="str">
        <f>CQ661</f>
        <v/>
      </c>
      <c r="CS663" s="1810" t="str">
        <f>CS661</f>
        <v/>
      </c>
      <c r="CU663" s="1688" t="s">
        <v>345</v>
      </c>
      <c r="CV663" s="1702">
        <f>IF(IB661=TRUE,T663,0)</f>
        <v>0</v>
      </c>
      <c r="CW663" s="1702" t="str">
        <f>IF(IB661=TRUE,U663,"")</f>
        <v/>
      </c>
      <c r="CX663" s="1812">
        <f>IF(IB661=TRUE,U664,0)</f>
        <v>0</v>
      </c>
      <c r="CY663" s="1814">
        <f>IF(IB661=TRUE,AB664,0)</f>
        <v>0</v>
      </c>
      <c r="CZ663" s="1710">
        <f>IF(AND(__Retrofit_TI_NC&gt;0,CR661="interior"),0,IF(IB661=TRUE,AC664,0))</f>
        <v>0</v>
      </c>
      <c r="DA663" s="1818"/>
      <c r="DB663" s="1820"/>
      <c r="DC663" s="1820"/>
      <c r="DD663" s="1820"/>
      <c r="DF663" s="1702">
        <f>IF(IB661=TRUE,AF663,0)</f>
        <v>0</v>
      </c>
      <c r="DG663" s="1830" t="str">
        <f>IF(IB661=TRUE,AG663,"")</f>
        <v/>
      </c>
      <c r="DH663" s="1812">
        <f>AG664</f>
        <v>0</v>
      </c>
      <c r="DI663" s="1837">
        <f>JE663</f>
        <v>0</v>
      </c>
      <c r="DJ663" s="1710">
        <f>IF(AND(__Retrofit_TI_NC&gt;0,CR661="interior"),0,IF(IB661=TRUE,AN663,0))</f>
        <v>0</v>
      </c>
      <c r="DK663" s="1712"/>
      <c r="DN663" s="1717">
        <f>IFERROR(CZ663-DJ663,0)</f>
        <v>0</v>
      </c>
      <c r="DO663" s="1709"/>
      <c r="DQ663" s="1715"/>
      <c r="DR663" s="1719" t="str">
        <f>DQ661</f>
        <v/>
      </c>
      <c r="DS663" s="1816"/>
      <c r="DT663" s="1835" t="str">
        <f>IF(OR(DS661=7,DS661=8,DS661=9),"ALC","")</f>
        <v/>
      </c>
      <c r="DU663" s="1715"/>
      <c r="DV663" s="1716"/>
      <c r="DX663" s="1715"/>
      <c r="DY663" s="1829" t="str">
        <f>DX661</f>
        <v/>
      </c>
      <c r="DZ663" s="1715"/>
      <c r="EA663" s="1715"/>
      <c r="EC663" s="1834"/>
      <c r="ED663" s="1834"/>
      <c r="EF663" s="1707"/>
      <c r="EG663" s="1712"/>
      <c r="EH663" s="1818"/>
      <c r="EI663" s="1712"/>
      <c r="EJ663" s="1712"/>
      <c r="EK663" s="1836"/>
      <c r="EL663" s="1836"/>
      <c r="EM663" s="1807"/>
      <c r="EN663" s="1839"/>
      <c r="EO663" s="1839"/>
      <c r="EP663" s="1817"/>
      <c r="EQ663" s="1817"/>
      <c r="ER663" s="1807"/>
      <c r="ES663" s="1807"/>
      <c r="ET663" s="1807"/>
      <c r="EV663" s="1715"/>
      <c r="EX663" s="1805" t="str">
        <f>IFERROR(VLOOKUP(CS663,'Space Table'!$B$3:$L$163,8,FALSE),"")</f>
        <v/>
      </c>
      <c r="EY663" s="1805" t="str">
        <f>IFERROR(IF(FB663="Yes",VLOOKUP(AG663,Lookup_Control_Type_Table2,4,FALSE),VLOOKUP(AG663,Lookup_Control_Type_Table2,3,FALSE)),"")</f>
        <v/>
      </c>
      <c r="EZ663" s="1805" t="e">
        <f>VLOOKUP(AG663,Lookup!BB$3:BC$20,2,FALSE)</f>
        <v>#N/A</v>
      </c>
      <c r="FA663" s="1805" t="e">
        <f>VLOOKUP(EX661,Lookup_Control_Type_Table,2,FALSE)</f>
        <v>#N/A</v>
      </c>
      <c r="FB663" s="1805" t="e">
        <f>VLOOKUP(CS663,'Space Table'!$B$3:$L$163,7,FALSE)</f>
        <v>#N/A</v>
      </c>
      <c r="FC663" s="1827"/>
      <c r="FE663" s="1698" t="str">
        <f>CONCATENATE(CQ661," - ",AG663)</f>
        <v xml:space="preserve"> - </v>
      </c>
      <c r="FG663" s="1816"/>
      <c r="FH663" s="1816"/>
      <c r="FI663" s="133"/>
      <c r="FL663" s="1822" t="str">
        <f>IF(CQ661="Exterior","Not Daylighted",G664)</f>
        <v>Not Daylighted</v>
      </c>
      <c r="FM663" s="1824">
        <f>VLOOKUP(FL663,_New_Daylight_Table_Codes,2,FALSE)</f>
        <v>0</v>
      </c>
      <c r="FN663" s="1698">
        <f>AG663</f>
        <v>0</v>
      </c>
      <c r="FO663" s="1698" t="e">
        <f>VLOOKUP(FN663,_Control_Table,2,FALSE)</f>
        <v>#N/A</v>
      </c>
      <c r="FP663" s="1678" t="e">
        <f>VLOOKUP(CONCATENATE(FL663," ",FN663),Lookup!AY$102:AZ674,2,FALSE)</f>
        <v>#N/A</v>
      </c>
      <c r="FQ663" s="1698">
        <f>IF(__Retrofit_TI_NC=0,FN663,IF(AND(FT663&gt;0,FN663="Occupancy Sensor"),"Daylight + Occupancy",IF(AND(FT663&gt;0,FO663&lt;4),"Interior Daylight Dimming",FN663)))</f>
        <v>0</v>
      </c>
      <c r="FS663" s="1686">
        <f>IF(CQ661="Interior",VLOOKUP(CS661,Control_Savings_Interior,5,FALSE),0)</f>
        <v>0</v>
      </c>
      <c r="FT663" s="1687">
        <f>IF(CQ663="Exterior",0,IF(FM663=2,0.5,IF(OR(FM663=1,FM663=3),1,0)))</f>
        <v>0</v>
      </c>
      <c r="FU663" s="1685">
        <f>IF(R662&gt;FS$44,(FS663*(FS$44/R662)),FS663)*FT663</f>
        <v>0</v>
      </c>
      <c r="FV663" s="1686">
        <f>DI663</f>
        <v>0</v>
      </c>
      <c r="FW663" s="1686">
        <f>ROUND(FV663+((1-FV663)*FU663),2)</f>
        <v>0</v>
      </c>
      <c r="FX663" s="1686">
        <f>IF(__Retrofit_TI_NC=2,FW663,FV663)</f>
        <v>0</v>
      </c>
      <c r="FY663" s="1697">
        <f>IF(CR663="Interior",VLOOKUP(CS663,Control_Savings_Interior,4,FALSE),0)</f>
        <v>0</v>
      </c>
      <c r="GA663" s="1696"/>
      <c r="GB663" s="1696"/>
      <c r="GC663" s="1696"/>
      <c r="GD663" s="1696"/>
      <c r="GE663" s="1696"/>
      <c r="GF663" s="1696"/>
      <c r="GG663" s="1696"/>
      <c r="GH663" s="1696"/>
      <c r="GI663" s="673" t="b">
        <f>IF(ISNUMBER(SEARCH("TLED",U663)),TRUE,FALSE)</f>
        <v>0</v>
      </c>
      <c r="GJ663" s="1135" t="str">
        <f>IFERROR(VLOOKUP(U663,Fixtures!DM$93:DR$142,6,FALSE),"")</f>
        <v/>
      </c>
      <c r="GK663" s="1832"/>
      <c r="GM663" s="1692"/>
      <c r="GN663" s="1684"/>
      <c r="GP663" s="1684"/>
      <c r="GQ663" s="1684"/>
      <c r="HG663" s="1684"/>
      <c r="HH663" s="1684"/>
      <c r="HI663" s="1684"/>
      <c r="HJ663" s="1684"/>
      <c r="HK663" s="1684"/>
      <c r="HL663" s="1684"/>
      <c r="HM663" s="1684"/>
      <c r="HN663" s="1683"/>
      <c r="HO663" s="1692"/>
      <c r="HP663" s="1692"/>
      <c r="HQ663" s="1670"/>
      <c r="HR663" s="1684"/>
      <c r="HS663" s="1684"/>
      <c r="HT663" s="1670"/>
      <c r="HU663" s="1684"/>
      <c r="HV663" s="1684"/>
      <c r="HW663" s="1684"/>
      <c r="HX663" s="1684"/>
      <c r="HY663" s="1684"/>
      <c r="HZ663" s="1684"/>
      <c r="IB663" s="1692"/>
      <c r="IC663" s="1693" t="b">
        <f>IB661</f>
        <v>0</v>
      </c>
      <c r="ID663" s="1695"/>
      <c r="IE663" s="391"/>
      <c r="IF663" s="1688"/>
      <c r="IG663" s="1689">
        <f ca="1">IF(IF661=TRUE,AC664,0)</f>
        <v>0</v>
      </c>
      <c r="IH663" s="1684"/>
      <c r="IK663" s="1689" t="e">
        <f>ROUND(T663*AB664*N662*R662/1000,0)</f>
        <v>#VALUE!</v>
      </c>
      <c r="IL663" s="1691"/>
      <c r="IM663" s="1693" t="e">
        <f>ROUND(T663*AB664*N662*R662/1000,0)</f>
        <v>#VALUE!</v>
      </c>
      <c r="IN663" s="1691"/>
      <c r="IP663" s="1679"/>
      <c r="IQ663" s="1679" t="e">
        <f t="shared" ref="IQ663:IU663" si="607">IF($CR663="interior",VLOOKUP($CS663,_New_Control_Savings_Interior,IQ$30,FALSE),VLOOKUP($CS663,Control_Savings_Exterior,IQ$30,FALSE))</f>
        <v>#N/A</v>
      </c>
      <c r="IR663" s="1679" t="e">
        <f t="shared" si="607"/>
        <v>#N/A</v>
      </c>
      <c r="IS663" s="1679" t="e">
        <f t="shared" si="607"/>
        <v>#N/A</v>
      </c>
      <c r="IT663" s="1679" t="e">
        <f t="shared" si="607"/>
        <v>#N/A</v>
      </c>
      <c r="IU663" s="1679" t="e">
        <f t="shared" si="607"/>
        <v>#N/A</v>
      </c>
      <c r="IV663" s="1679" t="e">
        <f>IF($CR663="interior",IF(R662&gt;$IP$14,ROUND(($IV$18*($IP$14/R662)),2),$IV$18),VLOOKUP($CS663,Control_Savings_Exterior,IV$30,FALSE))</f>
        <v>#N/A</v>
      </c>
      <c r="IW663" s="1679" t="e">
        <f>IF($CR663="interior",ROUND(((1-IS663)*IV663)+IS663,2),VLOOKUP($CS663,Control_Savings_Exterior,IW$30,FALSE))</f>
        <v>#N/A</v>
      </c>
      <c r="IX663" s="1679" t="e">
        <f>IF($CR663="interior",ROUND(((1-IT663)*IV663)+IT663,2),VLOOKUP($CS663,Control_Savings_Exterior,IX$30,FALSE))</f>
        <v>#N/A</v>
      </c>
      <c r="IY663" s="1679" t="e">
        <f>IF($CR663="interior",IF(R662&gt;$IP$14,ROUND(($IY$18*($IP$14/R662)),2),$IY$18),VLOOKUP($CS663,Control_Savings_Exterior,IY$30,FALSE))</f>
        <v>#N/A</v>
      </c>
      <c r="IZ663" s="1679" t="e">
        <f>IF($CR663="interior",ROUND(((1-IS663)*IY663)+IS663,2),VLOOKUP($CS663,Control_Savings_Exterior,IZ$30,FALSE))</f>
        <v>#N/A</v>
      </c>
      <c r="JA663" s="1679" t="e">
        <f>IF($CR663="interior",ROUND(((1-IT663)*IY663)+IT663,2),VLOOKUP($CS663,Control_Savings_Exterior,JA$30,FALSE))</f>
        <v>#N/A</v>
      </c>
      <c r="JC663" s="1680">
        <f>IFERROR(IF(CR663="Interior",CONCATENATE(G664," ",FQ663),AG663),"")</f>
        <v>0</v>
      </c>
      <c r="JD663" s="1670" t="str">
        <f>IFERROR(VLOOKUP(JC663,_Controls_2023,2,FALSE),"")</f>
        <v/>
      </c>
      <c r="JE663" s="1681">
        <f>IFERROR(CHOOSE(JD663-1,IQ663,IR663,IS663,IT663,IU663,IV663,IW663,IX663,IY663,IZ663,JA663),0)</f>
        <v>0</v>
      </c>
      <c r="JG663" s="1680" t="str">
        <f>FE663</f>
        <v xml:space="preserve"> - </v>
      </c>
      <c r="JH663" s="1670" t="e">
        <f>$FO663</f>
        <v>#N/A</v>
      </c>
      <c r="JI663" s="1060"/>
      <c r="JJ663" s="1670">
        <f>IFERROR(IF($IB661=TRUE,IF(OR(JJ$14="No",JJ661=FALSE,JH663&lt;=JH661,AND(_kWh_Grant=0,GD661=FALSE)),0,IF(JJ$8="Per Line",1,$AF663)),0),0)</f>
        <v>0</v>
      </c>
      <c r="JK663" s="1061"/>
      <c r="JL663" s="1670">
        <f>IFERROR(IF(_kWh_Grant=0,0,IF($IB661=TRUE,IF(OR(JL$14="No",JL661=FALSE,JH663&lt;=JH661),0,IF(JL$8="Per Line",1,$T663)),0)),0)</f>
        <v>0</v>
      </c>
      <c r="JM663" s="1061"/>
      <c r="JN663" s="1670">
        <f>IFERROR(IF(_kWh_Grant=0,0,IF($IB661=TRUE,IF(OR(JN$14="No",JN661=FALSE,JH663&lt;=JH661),0,IF(JN$8="Per Line",1,$AF663)),0)),0)</f>
        <v>0</v>
      </c>
      <c r="JO663" s="1061"/>
      <c r="JP663" s="1670">
        <f>IFERROR(IF(__Retrofit_TI_NC=0,IF(_kWh_Grant=0,0,IF($IB661=TRUE,IF(OR(JP$14="No",JP661=FALSE,$JH663&lt;=$JH661),0,IF(JP$8="Per Line",1,$AF663)),0)),IF($IB661=TRUE,IF(OR(JP$14="No",JP661=FALSE,$JH663&lt;=$JH661),0,IF(JP$8="Per Line",1,$AF663)))),0)</f>
        <v>0</v>
      </c>
      <c r="JQ663" s="1061"/>
      <c r="JR663" s="1670">
        <f>IFERROR(IF(__Retrofit_TI_NC=0,IF(_kWh_Grant=0,0,IF($IB661=TRUE,IF(OR(JR$14="No",JR661=FALSE,$JH663&lt;=$JH661),0,IF(JR$8="Per Line",1,$AF663)),0)),IF($IB661=TRUE,IF(OR(JR$14="No",JR661=FALSE,$JH663&lt;=$JH661),0,IF(JR$8="Per Line",1,$AF663)))),0)</f>
        <v>0</v>
      </c>
      <c r="JS663" s="1061"/>
      <c r="JT663" s="1670">
        <f>IFERROR(IF(__Retrofit_TI_NC=0,IF(_kWh_Grant=0,0,IF($IB661=TRUE,IF(OR(JT$14="No",JT661=FALSE,$JH663&lt;=$JH661),0,IF(JT$8="Per Line",1,$AF663)),0)),IF($IB661=TRUE,IF(OR(JT$14="No",JT661=FALSE,$JH663&lt;=$JH661),0,IF(JT$8="Per Line",1,$AF663)))),0)</f>
        <v>0</v>
      </c>
      <c r="JU663" s="1061"/>
      <c r="JV663" s="1670">
        <f>IFERROR(IF(__Retrofit_TI_NC=0,IF(_kWh_Grant=0,0,IF($IB661=TRUE,IF(OR(JV$14="No",JV661=FALSE,$JH663&lt;=$JH661),0,IF(JV$8="Per Line",1,$AF663)),0)),IF($IB661=TRUE,IF(OR(JV$14="No",JV661=FALSE,$JH663&lt;=$JH661),0,IF(JV$8="Per Line",1,$AF663)))),0)</f>
        <v>0</v>
      </c>
      <c r="JX663" s="1670">
        <f>IFERROR(IF(__Retrofit_TI_NC=0,IF(_kWh_Grant=0,0,IF($IB661=TRUE,IF(OR(JX$14="No",JX661=FALSE,$JH663&lt;=$JH661),0,IF(JX$8="Per Line",1,$AF663)),0)),IF($IB661=TRUE,IF(OR(JX$14="No",JX661=FALSE,$JH663&lt;=$JH661),0,IF(JX$8="Per Line",1,$AF663)))),0)</f>
        <v>0</v>
      </c>
      <c r="JZ663" s="1670">
        <f>IFERROR(IF($IB661=TRUE,IF(OR(JZ$14="No",JZ661=FALSE,$JH663&lt;=$JH661,AND(_kWh_Grant=0,$GD661=FALSE)),0,IF(JZ$8="Per Line",1,$AF663)),0),0)</f>
        <v>0</v>
      </c>
      <c r="KB663" s="1670">
        <f>IFERROR(IF(__Retrofit_TI_NC=0,IF(_kWh_Grant=0,0,IF($IB661=TRUE,IF(OR(KB$14="No",KB661=FALSE,$JH663&lt;=$JH661),0,IF(KB$8="Per Line",1,$AF663)),0)),IF($IB661=TRUE,IF(OR(KB$14="No",KB661=FALSE,$JH663&lt;=$JH661),0,IF(KB$8="Per Line",1,$AF663)))),0)</f>
        <v>0</v>
      </c>
    </row>
    <row r="664" spans="1:288" s="78" customFormat="1" ht="14.95" customHeight="1" thickTop="1" thickBot="1">
      <c r="B664" s="1845"/>
      <c r="C664" s="1846"/>
      <c r="D664" s="1847"/>
      <c r="E664" s="1771" t="s">
        <v>436</v>
      </c>
      <c r="F664" s="1772"/>
      <c r="G664" s="1784" t="s">
        <v>437</v>
      </c>
      <c r="H664" s="1785"/>
      <c r="I664" s="1785"/>
      <c r="J664" s="1785"/>
      <c r="K664" s="1785"/>
      <c r="L664" s="1786"/>
      <c r="M664" s="591">
        <f>IFERROR(VLOOKUP(G664,_Daylight_Table[],2,FALSE),0)</f>
        <v>0</v>
      </c>
      <c r="N664" s="592" t="str">
        <f>IF(AND(__Retrofit_TI_NC&gt;0,CQ661="Interior"),"BAM","")</f>
        <v/>
      </c>
      <c r="O664" s="591" t="e">
        <f>VLOOKUP(G663,'Space Table'!$B$3:$L$163,11,FALSE)</f>
        <v>#N/A</v>
      </c>
      <c r="P664" s="1789"/>
      <c r="Q664" s="1790"/>
      <c r="R664" s="1790"/>
      <c r="S664" s="1788"/>
      <c r="T664" s="593" t="s">
        <v>342</v>
      </c>
      <c r="U664" s="1756" t="str" cm="1">
        <f t="array" aca="1" ref="U664" ca="1">IFERROR(VLOOKUP(INDIRECT("U" &amp; ROW()-1),Fixtures!DM$93:DP$142,4,FALSE),"")</f>
        <v/>
      </c>
      <c r="V664" s="1757"/>
      <c r="W664" s="1757"/>
      <c r="X664" s="1757"/>
      <c r="Y664" s="1757"/>
      <c r="Z664" s="1757"/>
      <c r="AA664" s="1758"/>
      <c r="AB664" s="939" t="str">
        <f>IFERROR(VLOOKUP(U663,Fixtures_Proposed_List,2,FALSE),"")</f>
        <v/>
      </c>
      <c r="AC664" s="933" t="str">
        <f>IFERROR(ROUND(T663*AB664*N662*R662/1000,0),"")</f>
        <v/>
      </c>
      <c r="AD664" s="934" t="str">
        <f>IFERROR(ROUND(T663*AB664/1000,2),"")</f>
        <v/>
      </c>
      <c r="AE664" s="998"/>
      <c r="AF664" s="938" t="s">
        <v>342</v>
      </c>
      <c r="AG664" s="1770"/>
      <c r="AH664" s="1770"/>
      <c r="AI664" s="1770"/>
      <c r="AJ664" s="1770"/>
      <c r="AK664" s="1770"/>
      <c r="AL664" s="1770"/>
      <c r="AM664" s="1727"/>
      <c r="AN664" s="1729"/>
      <c r="AO664" s="1731"/>
      <c r="AP664" s="1782"/>
      <c r="AQ664" s="1783"/>
      <c r="AR664" s="1797"/>
      <c r="AS664" s="1797"/>
      <c r="AT664" s="1798"/>
      <c r="AU664" s="1736"/>
      <c r="AV664" s="1753"/>
      <c r="AW664" s="1706"/>
      <c r="AX664" s="468"/>
      <c r="AY664" s="1750"/>
      <c r="AZ664" s="1750"/>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696"/>
      <c r="CQ664" s="1696"/>
      <c r="CR664" s="1809"/>
      <c r="CS664" s="1811"/>
      <c r="CU664" s="1688"/>
      <c r="CV664" s="1703"/>
      <c r="CW664" s="1703"/>
      <c r="CX664" s="1813"/>
      <c r="CY664" s="1815"/>
      <c r="CZ664" s="1711"/>
      <c r="DA664" s="1815"/>
      <c r="DB664" s="1821"/>
      <c r="DC664" s="1821"/>
      <c r="DD664" s="1821"/>
      <c r="DF664" s="1703"/>
      <c r="DG664" s="1831"/>
      <c r="DH664" s="1813"/>
      <c r="DI664" s="1838"/>
      <c r="DJ664" s="1711"/>
      <c r="DK664" s="1712"/>
      <c r="DN664" s="1718"/>
      <c r="DO664" s="1709"/>
      <c r="DQ664" s="1715"/>
      <c r="DR664" s="1720"/>
      <c r="DS664" s="1703"/>
      <c r="DT664" s="1714"/>
      <c r="DU664" s="1715"/>
      <c r="DV664" s="1716"/>
      <c r="DX664" s="1715"/>
      <c r="DY664" s="1720"/>
      <c r="DZ664" s="1715"/>
      <c r="EA664" s="1715"/>
      <c r="EC664" s="1834"/>
      <c r="ED664" s="1834"/>
      <c r="EF664" s="1707"/>
      <c r="EG664" s="1712"/>
      <c r="EH664" s="1815"/>
      <c r="EI664" s="1712"/>
      <c r="EJ664" s="1712"/>
      <c r="EK664" s="1813"/>
      <c r="EL664" s="1813"/>
      <c r="EM664" s="1807"/>
      <c r="EN664" s="1839"/>
      <c r="EO664" s="1839"/>
      <c r="EP664" s="1817"/>
      <c r="EQ664" s="1817"/>
      <c r="ER664" s="1807"/>
      <c r="ES664" s="1807"/>
      <c r="ET664" s="1807"/>
      <c r="EV664" s="1715"/>
      <c r="EX664" s="1806"/>
      <c r="EY664" s="1806"/>
      <c r="EZ664" s="1806"/>
      <c r="FA664" s="1806"/>
      <c r="FB664" s="1806"/>
      <c r="FC664" s="1828"/>
      <c r="FE664" s="1698"/>
      <c r="FG664" s="1703"/>
      <c r="FH664" s="1703"/>
      <c r="FI664" s="133"/>
      <c r="FL664" s="1823"/>
      <c r="FM664" s="1825"/>
      <c r="FN664" s="1698"/>
      <c r="FO664" s="1698"/>
      <c r="FP664" s="1678"/>
      <c r="FQ664" s="1698"/>
      <c r="FS664" s="1687"/>
      <c r="FT664" s="1687"/>
      <c r="FU664" s="1685"/>
      <c r="FV664" s="1687"/>
      <c r="FW664" s="1687"/>
      <c r="FX664" s="1687"/>
      <c r="FY664" s="1697"/>
      <c r="GA664" s="1696"/>
      <c r="GB664" s="1696"/>
      <c r="GC664" s="1696"/>
      <c r="GD664" s="1696"/>
      <c r="GE664" s="1696"/>
      <c r="GF664" s="1696"/>
      <c r="GG664" s="1696"/>
      <c r="GH664" s="1696"/>
      <c r="GI664" s="673"/>
      <c r="GJ664" s="1135"/>
      <c r="GK664" s="1832"/>
      <c r="GN664" s="674">
        <f>IF(GN662=TRUE,0,GN$16)</f>
        <v>0</v>
      </c>
      <c r="GP664" s="674">
        <f>IF(GP662=TRUE,0,GP$16)</f>
        <v>36</v>
      </c>
      <c r="GQ664" s="674">
        <f ca="1">IF(GQ662=TRUE,0,GQ$16)</f>
        <v>35</v>
      </c>
      <c r="GR664" s="391"/>
      <c r="GS664" s="391"/>
      <c r="GT664" s="391"/>
      <c r="GU664" s="391"/>
      <c r="GV664" s="391"/>
      <c r="HG664" s="674">
        <f>IF(HG662=TRUE,0,HG$16)</f>
        <v>0</v>
      </c>
      <c r="HH664" s="674">
        <f t="shared" ref="HH664:HM664" si="608">IF(HH662=TRUE,0,HH$16)</f>
        <v>19</v>
      </c>
      <c r="HI664" s="674">
        <f t="shared" si="608"/>
        <v>18</v>
      </c>
      <c r="HJ664" s="674">
        <f t="shared" si="608"/>
        <v>17</v>
      </c>
      <c r="HK664" s="674">
        <f t="shared" si="608"/>
        <v>16</v>
      </c>
      <c r="HL664" s="674">
        <f t="shared" si="608"/>
        <v>0</v>
      </c>
      <c r="HM664" s="674">
        <f t="shared" si="608"/>
        <v>0</v>
      </c>
      <c r="HN664" s="674">
        <f>IF(HN662=TRUE,0,HN$16)</f>
        <v>13</v>
      </c>
      <c r="HO664" s="674">
        <f t="shared" ref="HO664:HQ664" si="609">IF(HO662=TRUE,0,HO$16)</f>
        <v>0</v>
      </c>
      <c r="HP664" s="674">
        <f t="shared" si="609"/>
        <v>0</v>
      </c>
      <c r="HQ664" s="674">
        <f t="shared" si="609"/>
        <v>10</v>
      </c>
      <c r="HR664" s="674">
        <f>IF(HR662=TRUE,0,HR$16)</f>
        <v>9</v>
      </c>
      <c r="HS664" s="674">
        <f t="shared" ref="HS664:HW664" si="610">IF(HS662=TRUE,0,HS$16)</f>
        <v>0</v>
      </c>
      <c r="HT664" s="674">
        <f t="shared" si="610"/>
        <v>0</v>
      </c>
      <c r="HU664" s="674">
        <f t="shared" si="610"/>
        <v>0</v>
      </c>
      <c r="HV664" s="674">
        <f t="shared" si="610"/>
        <v>0</v>
      </c>
      <c r="HW664" s="674">
        <f t="shared" si="610"/>
        <v>0</v>
      </c>
      <c r="HX664" s="674">
        <f>IF(HX662=TRUE,0,HX$16)</f>
        <v>0</v>
      </c>
      <c r="HY664" s="674">
        <f>IF(HY662=TRUE,0,HY$16)</f>
        <v>0</v>
      </c>
      <c r="HZ664" s="674">
        <f>IF(HZ662=TRUE,0,HZ$16)</f>
        <v>1</v>
      </c>
      <c r="IB664" s="674">
        <f>IF(GP662=FALSE,GP664,IF(GQ662=FALSE,GQ664,MAX(GN664:HZ664)))</f>
        <v>36</v>
      </c>
      <c r="IC664" s="1692"/>
      <c r="ID664" s="205" t="str">
        <f>VLOOKUP(IB664,_Error_Table,3,FALSE)</f>
        <v xml:space="preserve"> </v>
      </c>
      <c r="IE664" s="205"/>
      <c r="IF664" s="1688"/>
      <c r="IG664" s="1689"/>
      <c r="IH664" s="1684"/>
      <c r="IK664" s="1689"/>
      <c r="IL664" s="1692"/>
      <c r="IM664" s="1692"/>
      <c r="IN664" s="1692"/>
      <c r="IP664" s="1679"/>
      <c r="IQ664" s="1679"/>
      <c r="IR664" s="1679"/>
      <c r="IS664" s="1679"/>
      <c r="IT664" s="1679"/>
      <c r="IU664" s="1679"/>
      <c r="IV664" s="1679"/>
      <c r="IW664" s="1679"/>
      <c r="IX664" s="1679"/>
      <c r="IY664" s="1679"/>
      <c r="IZ664" s="1679"/>
      <c r="JA664" s="1679"/>
      <c r="JC664" s="1680"/>
      <c r="JD664" s="1670"/>
      <c r="JE664" s="1681"/>
      <c r="JG664" s="1680"/>
      <c r="JH664" s="1670"/>
      <c r="JI664" s="1060"/>
      <c r="JJ664" s="1670"/>
      <c r="JK664" s="1061"/>
      <c r="JL664" s="1670"/>
      <c r="JM664" s="1061"/>
      <c r="JN664" s="1670"/>
      <c r="JO664" s="1061"/>
      <c r="JP664" s="1670"/>
      <c r="JQ664" s="1061"/>
      <c r="JR664" s="1670"/>
      <c r="JS664" s="1061"/>
      <c r="JT664" s="1670"/>
      <c r="JU664" s="1061"/>
      <c r="JV664" s="1670"/>
      <c r="JX664" s="1670"/>
      <c r="JZ664" s="1670"/>
      <c r="KB664" s="1670"/>
    </row>
    <row r="665" spans="1:288" s="78" customFormat="1" ht="5.0999999999999996" customHeight="1">
      <c r="B665" s="676"/>
      <c r="C665" s="392"/>
      <c r="D665" s="392"/>
      <c r="E665" s="1733"/>
      <c r="F665" s="1733"/>
      <c r="G665" s="1733"/>
      <c r="H665" s="1733"/>
      <c r="I665" s="1733"/>
      <c r="J665" s="1733"/>
      <c r="K665" s="1733"/>
      <c r="L665" s="1733"/>
      <c r="M665" s="1733"/>
      <c r="N665" s="1733"/>
      <c r="O665" s="1733"/>
      <c r="P665" s="1733"/>
      <c r="Q665" s="1733"/>
      <c r="R665" s="1733"/>
      <c r="S665" s="1733"/>
      <c r="T665" s="1733"/>
      <c r="U665" s="1733"/>
      <c r="V665" s="1733"/>
      <c r="W665" s="1733"/>
      <c r="X665" s="1733"/>
      <c r="Y665" s="1733"/>
      <c r="Z665" s="1733"/>
      <c r="AA665" s="1733"/>
      <c r="AB665" s="1733"/>
      <c r="AC665" s="1733"/>
      <c r="AD665" s="1733"/>
      <c r="AE665" s="1733"/>
      <c r="AF665" s="1733"/>
      <c r="AG665" s="1733"/>
      <c r="AH665" s="1733"/>
      <c r="AI665" s="1733"/>
      <c r="AJ665" s="1733"/>
      <c r="AK665" s="1733"/>
      <c r="AL665" s="1733"/>
      <c r="AM665" s="1733"/>
      <c r="AN665" s="1733"/>
      <c r="AO665" s="1733"/>
      <c r="AP665" s="1733"/>
      <c r="AQ665" s="1733"/>
      <c r="AR665" s="1733"/>
      <c r="AS665" s="1733"/>
      <c r="AT665" s="1733"/>
      <c r="AU665" s="1733"/>
      <c r="AV665" s="1733"/>
      <c r="AW665" s="1733"/>
      <c r="AX665" s="469"/>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663"/>
      <c r="CQ665" s="663"/>
      <c r="CR665" s="438"/>
      <c r="CS665" s="663"/>
      <c r="CV665" s="391"/>
      <c r="CW665" s="391"/>
      <c r="CX665" s="207"/>
      <c r="CY665" s="208"/>
      <c r="CZ665" s="208"/>
      <c r="DA665" s="208"/>
      <c r="DB665" s="209"/>
      <c r="DC665" s="209"/>
      <c r="DD665" s="209"/>
      <c r="DF665" s="664"/>
      <c r="DG665" s="665"/>
      <c r="DH665" s="666"/>
      <c r="DI665" s="667"/>
      <c r="DJ665" s="668"/>
      <c r="DK665" s="668"/>
      <c r="DN665" s="208"/>
      <c r="DO665" s="664"/>
      <c r="DQ665" s="664"/>
      <c r="DR665" s="669"/>
      <c r="DS665" s="391"/>
      <c r="DT665" s="664"/>
      <c r="DU665" s="664"/>
      <c r="DV665" s="664"/>
      <c r="DX665" s="664"/>
      <c r="DY665" s="664"/>
      <c r="DZ665" s="664"/>
      <c r="EA665" s="664"/>
      <c r="EC665" s="670"/>
      <c r="ED665" s="670"/>
      <c r="EF665" s="668"/>
      <c r="EG665" s="668"/>
      <c r="EH665" s="208"/>
      <c r="EI665" s="668"/>
      <c r="EJ665" s="668"/>
      <c r="EK665" s="207"/>
      <c r="EL665" s="207"/>
      <c r="EM665" s="666"/>
      <c r="EN665" s="671"/>
      <c r="EO665" s="671"/>
      <c r="EP665" s="672"/>
      <c r="EQ665" s="672"/>
      <c r="ER665" s="666"/>
      <c r="ES665" s="666"/>
      <c r="ET665" s="666"/>
      <c r="EV665" s="664"/>
      <c r="EX665" s="391"/>
      <c r="EY665" s="391"/>
      <c r="EZ665" s="391"/>
      <c r="FA665" s="391"/>
      <c r="FB665" s="391"/>
      <c r="FC665" s="391"/>
      <c r="FE665" s="569"/>
      <c r="FG665" s="391"/>
      <c r="FH665" s="391"/>
      <c r="FI665" s="391"/>
      <c r="FS665" s="664"/>
      <c r="FT665" s="391"/>
      <c r="FU665" s="391"/>
      <c r="FV665" s="664"/>
      <c r="FW665" s="664"/>
      <c r="GA665" s="663"/>
      <c r="GB665" s="663"/>
      <c r="GC665" s="663"/>
      <c r="GD665" s="663"/>
      <c r="GE665" s="663"/>
      <c r="GF665" s="663"/>
      <c r="GG665" s="663"/>
      <c r="GH665" s="663"/>
      <c r="GI665" s="665"/>
      <c r="GJ665" s="664"/>
      <c r="GK665" s="664"/>
    </row>
    <row r="666" spans="1:288" s="78" customFormat="1" ht="14.95" customHeight="1">
      <c r="B666" s="1845" t="str">
        <f>ID669</f>
        <v xml:space="preserve"> </v>
      </c>
      <c r="C666" s="1846">
        <f>C661+1</f>
        <v>120</v>
      </c>
      <c r="D666" s="1847"/>
      <c r="E666" s="1799" t="s">
        <v>295</v>
      </c>
      <c r="F666" s="1800"/>
      <c r="G666" s="1741"/>
      <c r="H666" s="1742"/>
      <c r="I666" s="1742"/>
      <c r="J666" s="1742"/>
      <c r="K666" s="1742"/>
      <c r="L666" s="1742"/>
      <c r="M666" s="1742"/>
      <c r="N666" s="1742"/>
      <c r="O666" s="1742"/>
      <c r="P666" s="1742"/>
      <c r="Q666" s="1742"/>
      <c r="R666" s="1742"/>
      <c r="S666" s="1791" t="s">
        <v>344</v>
      </c>
      <c r="T666" s="590"/>
      <c r="U666" s="1743"/>
      <c r="V666" s="1744"/>
      <c r="W666" s="1744"/>
      <c r="X666" s="1744"/>
      <c r="Y666" s="1744"/>
      <c r="Z666" s="1744"/>
      <c r="AA666" s="1744"/>
      <c r="AB666" s="961" t="str">
        <f>IFERROR(IF(__Retrofit_TI_NC=0,VLOOKUP(U667,Fixtures_Existing_List,2,FALSE),ROUND(N668*R668/T668,10)),"")</f>
        <v/>
      </c>
      <c r="AC666" s="935" t="str">
        <f>IFERROR(IF(__Retrofit_TI_NC=0,ROUND(T667*AB666*N667*R667/1000,0),IF(CQ666="Interior",N668*R668*R667*N667*_C406_reduction/1000,N668*R668*R667*N667/1000)),"")</f>
        <v/>
      </c>
      <c r="AD666" s="936" t="str">
        <f>IFERROR(IF(C$43=0,ROUND(T667*AB666/1000,2),N668*R668/1000),"")</f>
        <v/>
      </c>
      <c r="AE666" s="997"/>
      <c r="AF666" s="937"/>
      <c r="AG666" s="1745" t="str">
        <f>IF(__Retrofit_TI_NC=0," Control","Select Advanced Control for New System")</f>
        <v xml:space="preserve"> Control</v>
      </c>
      <c r="AH666" s="1745"/>
      <c r="AI666" s="1745"/>
      <c r="AJ666" s="1745"/>
      <c r="AK666" s="1745"/>
      <c r="AL666" s="1745"/>
      <c r="AM666" s="1746">
        <f>IFERROR(DI666,"")</f>
        <v>0</v>
      </c>
      <c r="AN666" s="1774" t="str">
        <f>IFERROR(ROUND(AM666*AC666,0),"")</f>
        <v/>
      </c>
      <c r="AO666" s="1776">
        <f>IFERROR(IF(IB666=FALSE,0,AC666-AN666),0)</f>
        <v>0</v>
      </c>
      <c r="AP666" s="1778">
        <f>AO666-AO668</f>
        <v>0</v>
      </c>
      <c r="AQ666" s="1779"/>
      <c r="AR666" s="1793">
        <f>IFERROR(IF(IB666=FALSE,0,(T668*U669)+(AF668*AG669)),0)</f>
        <v>0</v>
      </c>
      <c r="AS666" s="1793"/>
      <c r="AT666" s="1794"/>
      <c r="AU666" s="1734" t="s">
        <v>237</v>
      </c>
      <c r="AV666" s="1751">
        <f>IF(AU666="Yes",1,0)</f>
        <v>1</v>
      </c>
      <c r="AW666" s="1704" t="str">
        <f>IF(OR(DQ666=4,DQ666=5,DQ666=6,DQ666=12),CONCATENATE("$",IF(GH666=TRUE,Lookup!$K$10,Lookup!$K$2)," /lamp"),CONCATENATE(TEXT(ED666,"$0.00"),"/ kWh"))</f>
        <v>$0.00/ kWh</v>
      </c>
      <c r="AX666" s="467"/>
      <c r="AY666" s="1748">
        <f ca="1">IFERROR(IF(GM667=TRUE,(AB669*T668)/R668,0),"NA")</f>
        <v>0</v>
      </c>
      <c r="AZ666" s="1748"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696" t="str">
        <f>N667</f>
        <v/>
      </c>
      <c r="CQ666" s="1696" t="str">
        <f>IFERROR(VLOOKUP(G667,_Lookup_Heat_Type_Table_New,3,FALSE),"")</f>
        <v/>
      </c>
      <c r="CR666" s="1808" t="str">
        <f>CQ666</f>
        <v/>
      </c>
      <c r="CS666" s="1810" t="str">
        <f>IFERROR(VLOOKUP(G668,'Space Table'!$B$3:$L$163,9,FALSE),"")</f>
        <v/>
      </c>
      <c r="CU666" s="1688" t="s">
        <v>344</v>
      </c>
      <c r="CV666" s="1702">
        <f>IF(IB666=TRUE,T667,0)</f>
        <v>0</v>
      </c>
      <c r="CW666" s="1702" t="str">
        <f>IF(IB666=TRUE,U667,"")</f>
        <v/>
      </c>
      <c r="CX666" s="1702"/>
      <c r="CY666" s="1814">
        <f>IF(IB666=TRUE,AB666,0)</f>
        <v>0</v>
      </c>
      <c r="CZ666" s="1710">
        <f>IF(AND(__Retrofit_TI_NC&gt;0,CR666="interior"),0,IF(IB666=TRUE,AC666,0))</f>
        <v>0</v>
      </c>
      <c r="DA666" s="1814">
        <f>IFERROR(IF(IB666=TRUE,CZ666-CZ668,0),0)</f>
        <v>0</v>
      </c>
      <c r="DB666" s="1819">
        <f>IF(IB666=TRUE,AD666,0)</f>
        <v>0</v>
      </c>
      <c r="DC666" s="1819">
        <f>IF(IB666=TRUE,AD669,0)</f>
        <v>0</v>
      </c>
      <c r="DD666" s="1819">
        <f>IFERROR(DB666-DC666,0)</f>
        <v>0</v>
      </c>
      <c r="DF666" s="1702">
        <f>IF(IB666=TRUE,AF667,0)</f>
        <v>0</v>
      </c>
      <c r="DG666" s="1830">
        <f>IFERROR(IF(__Retrofit_TI_NC=2,IF(CQ666="Exterior",O669,FQ666),FN666),"")</f>
        <v>0</v>
      </c>
      <c r="DH666" s="1702"/>
      <c r="DI666" s="1837">
        <f>JE666</f>
        <v>0</v>
      </c>
      <c r="DJ666" s="1710">
        <f>IF(AND(__Retrofit_TI_NC&gt;0,CR666="interior"),0,IF(IB666=TRUE,AN666,0))</f>
        <v>0</v>
      </c>
      <c r="DK666" s="1712">
        <f>IFERROR(IF(IB666=TRUE,DJ668-DJ666,0),0)</f>
        <v>0</v>
      </c>
      <c r="DM666" s="1717">
        <f>IFERROR(CZ666-DJ666,0)</f>
        <v>0</v>
      </c>
      <c r="DO666" s="1708">
        <f>DM666-DN668</f>
        <v>0</v>
      </c>
      <c r="DQ666" s="1715" t="str">
        <f>IFERROR(IF(AND(OR(GC666=4,GC666=5,GC666=6),OR(GF666=4,GF666=5,GF666=6)),GC666+8,VLOOKUP(CW668,Fixtures!R$31:Y$78,8,FALSE)),"")</f>
        <v/>
      </c>
      <c r="DR666" s="1829" t="str">
        <f>DQ666</f>
        <v/>
      </c>
      <c r="DS666" s="1702" t="str">
        <f>IFERROR(VLOOKUP(DG668,Lookup!BB$3:BC$20,2,FALSE),"")</f>
        <v/>
      </c>
      <c r="DT666" s="1713" t="str">
        <f>IF(OR(DS666=7,DS666=8,DS666=9),"ALC","")</f>
        <v/>
      </c>
      <c r="DU666" s="1715">
        <f>IFERROR(IF(OR(DQ666=4,DQ666=5,DQ666=6,DQ666=12,DQ666=13,DQ666=14),VLOOKUP(CW668,Fixtures!DN$27:EG$77,19,FALSE),1)*CV668,0)</f>
        <v>0</v>
      </c>
      <c r="DV666" s="1716">
        <f>IF(OR(DS666=7,DS666=8,DS666=9),IF(DG666=DG668,0,DF668),0)</f>
        <v>0</v>
      </c>
      <c r="DX666" s="1715" t="str">
        <f>IFERROR(IF(EZ666&lt;EZ668,"Yes","No"),"")</f>
        <v/>
      </c>
      <c r="DY666" s="1829" t="str">
        <f>DX666</f>
        <v/>
      </c>
      <c r="DZ666" s="1715">
        <f>IF(DX666="Yes",DF668,0)</f>
        <v>0</v>
      </c>
      <c r="EA666" s="1715">
        <f>DZ666-DV666</f>
        <v>0</v>
      </c>
      <c r="EC666" s="1834">
        <f>IFERROR(VLOOKUP(DQ666,Lookup!AU$3:AV$16,2,FALSE),0)</f>
        <v>0</v>
      </c>
      <c r="ED666" s="1834">
        <f>IF(IB666=FALSE,0,IF(DX666="Yes",EC666+Lookup!K$6,EC666))</f>
        <v>0</v>
      </c>
      <c r="EF666" s="1707">
        <f>IF(IB666=TRUE,DM666,0)</f>
        <v>0</v>
      </c>
      <c r="EG666" s="1712">
        <f>IF(IB666=TRUE,CZ668,0)</f>
        <v>0</v>
      </c>
      <c r="EH666" s="1814">
        <f>IFERROR(EF666-EG666,0)</f>
        <v>0</v>
      </c>
      <c r="EI666" s="1712">
        <f>IF(IB666=TRUE,DJ668,0)</f>
        <v>0</v>
      </c>
      <c r="EJ666" s="1712">
        <f>IFERROR(EF666-EG666+EI666,0)</f>
        <v>0</v>
      </c>
      <c r="EK666" s="1812">
        <f>IF(IB666=TRUE,CV668*CX668,0)</f>
        <v>0</v>
      </c>
      <c r="EL666" s="1812">
        <f>IF(IB666=TRUE,DF668*DH668,0)</f>
        <v>0</v>
      </c>
      <c r="EM666" s="1807">
        <f>AR666</f>
        <v>0</v>
      </c>
      <c r="EN666" s="1839" t="str">
        <f>IFERROR(IF(IB666=TRUE,VLOOKUP(DQ666,Lookup!AU$3:AW$16,3,FALSE)*DU666,""),0)</f>
        <v/>
      </c>
      <c r="EO666" s="1839">
        <f>IF(IB666=TRUE,DZ666*Lookup!AW$12,0)</f>
        <v>0</v>
      </c>
      <c r="EP666" s="1817">
        <f>IFERROR(IF(IB666=TRUE,EN666/EP$40,0),0)</f>
        <v>0</v>
      </c>
      <c r="EQ666" s="1817">
        <f>IF(IB666=TRUE,EO666/EQ$40,0)</f>
        <v>0</v>
      </c>
      <c r="ER666" s="1807">
        <f>IF(IB666=TRUE,ET$40*EP666,0)</f>
        <v>0</v>
      </c>
      <c r="ES666" s="1807">
        <f>IF(IB666=TRUE,ET$40*EQ666,0)</f>
        <v>0</v>
      </c>
      <c r="ET666" s="1807">
        <f>ER666+ES666</f>
        <v>0</v>
      </c>
      <c r="EV666" s="1715">
        <f>IF(G666="",0,1)</f>
        <v>0</v>
      </c>
      <c r="EX666" s="1804" t="str">
        <f>IFERROR(VLOOKUP(CS668,'Space Table'!$B$3:$L$163,8,FALSE),"")</f>
        <v/>
      </c>
      <c r="EY666" s="1804" t="str">
        <f>IFERROR(IF(FB666="Yes",VLOOKUP(DG666,Lookup_Control_Type_Table2,4,FALSE),VLOOKUP(DG666,Lookup_Control_Type_Table2,3,FALSE)),"")</f>
        <v/>
      </c>
      <c r="EZ666" s="1804" t="e">
        <f>VLOOKUP(DG666,Lookup!BB$3:BC$20,2,FALSE)</f>
        <v>#N/A</v>
      </c>
      <c r="FA666" s="1804" t="e">
        <f>VLOOKUP(EX666,Lookup_Control_Type_Table,2,FALSE)</f>
        <v>#N/A</v>
      </c>
      <c r="FB666" s="1804" t="e">
        <f>VLOOKUP(CS668,'Space Table'!$B$3:$L$163,7,FALSE)</f>
        <v>#N/A</v>
      </c>
      <c r="FC666" s="1826" t="b">
        <f>ISNUMBER(SEARCH("TLED",U668))</f>
        <v>0</v>
      </c>
      <c r="FE666" s="1698" t="str">
        <f>CONCATENATE(CQ666," - ",DG666)</f>
        <v xml:space="preserve"> - 0</v>
      </c>
      <c r="FG666" s="1702" t="str">
        <f>VLOOKUP(CW668,Fixtures!DN$27:EZ$77,38,FALSE)</f>
        <v/>
      </c>
      <c r="FH666" s="1702">
        <f>IFERROR(FG666*EH666,0)</f>
        <v>0</v>
      </c>
      <c r="FI666" s="133"/>
      <c r="FL666" s="1822" t="str">
        <f>IF(CQ666="Exterior","Not Daylighted",G669)</f>
        <v>Not Daylighted</v>
      </c>
      <c r="FM666" s="1824">
        <f>VLOOKUP(FL666,_New_Daylight_Table_Codes,2,FALSE)</f>
        <v>0</v>
      </c>
      <c r="FN666" s="1698">
        <f>IF(__Retrofit_TI_NC&gt;0,VLOOKUP(G668,'Space Table'!$B$3:$L$163,11,FALSE),AG667)</f>
        <v>0</v>
      </c>
      <c r="FO666" s="1698" t="e">
        <f>IF(__Retrofit_TI_NC=2,VLOOKUP(FQ666,_Control_Table,2,FALSE),VLOOKUP(FN666,_Control_Table,2,FALSE))</f>
        <v>#N/A</v>
      </c>
      <c r="FP666" s="1678" t="e">
        <f>VLOOKUP(CONCATENATE(FL666," ",FN666),Lookup!AY$102:AZ676,2,FALSE)</f>
        <v>#N/A</v>
      </c>
      <c r="FQ666" s="1678">
        <f>IF(__Retrofit_TI_NC=0,FN666,IF(AND(FT666&gt;0,FN666="Occupancy Sensor"),"Daylight + Occupancy",IF(AND(FT666&gt;0,VLOOKUP(FN666,_Control_Table,2,FALSE)&lt;4),"Interior Daylight Dimming",FN666)))</f>
        <v>0</v>
      </c>
      <c r="FS666" s="1686">
        <f>IF(CR666="Interior",VLOOKUP(CS666,Control_Savings_Interior,5,FALSE),0)</f>
        <v>0</v>
      </c>
      <c r="FT666" s="1687">
        <f>IF(CQ666="Exterior",0,IF(FM666=2,0.5,IF(OR(FM666=1,FM666=3),1,0)))</f>
        <v>0</v>
      </c>
      <c r="FU666" s="1685">
        <f>IF(R665&gt;FS$44,(FS666*(FS$44/R665)),FS666)*FT666</f>
        <v>0</v>
      </c>
      <c r="FV666" s="1686">
        <f>DI666</f>
        <v>0</v>
      </c>
      <c r="FW666" s="1686">
        <f>ROUND(FV666+((1-FV666)*FU666),2)</f>
        <v>0</v>
      </c>
      <c r="FX666" s="1686">
        <f>IF(__Retrofit_TI_NC=2,FW666,FV666)</f>
        <v>0</v>
      </c>
      <c r="FY666" s="1697"/>
      <c r="GA666" s="1696" t="str">
        <f>IFERROR(VLOOKUP(U667,_Exist_Fixture_Table,3,FALSE),"")</f>
        <v/>
      </c>
      <c r="GB666" s="1696" t="str">
        <f>VLOOKUP(CW666,_Exist_Fixture_Table,4,FALSE)</f>
        <v/>
      </c>
      <c r="GC666" s="1696">
        <f>IFERROR(VLOOKUP(GB666,Lookup!AT$6:AU$8,2,FALSE),0)</f>
        <v>0</v>
      </c>
      <c r="GD666" s="1696" t="b">
        <f>IFERROR(IF(OR(GF666=4,GF666=5,GF666=6),TRUE,FALSE),"")</f>
        <v>0</v>
      </c>
      <c r="GE666" s="1696" t="str">
        <f>IFERROR(VLOOKUP(GF666,GC$6:GD$10,2,FALSE),"")</f>
        <v/>
      </c>
      <c r="GF666" s="1696" t="str">
        <f>VLOOKUP(CW668,Fixtures!R$31:Y$78,8,FALSE)</f>
        <v/>
      </c>
      <c r="GG666" s="1696">
        <f>IF(AND(GA666=TRUE,GD666=TRUE,OR(DQ666=12,DQ666=13,DQ666=14)),GC666+8,0)</f>
        <v>0</v>
      </c>
      <c r="GH666" s="1696" t="b">
        <f>IF(OR(GG666=12,GG666=13,GG666=14),TRUE,FALSE)</f>
        <v>0</v>
      </c>
      <c r="GI666" s="673" t="b">
        <f>IF(ISNUMBER(SEARCH("TLED",U667)),TRUE,FALSE)</f>
        <v>0</v>
      </c>
      <c r="GJ666" s="1135" t="str">
        <f>IFERROR(VLOOKUP(U667,Fixtures!BM$93:BR$142,6,FALSE),"")</f>
        <v/>
      </c>
      <c r="GK666" s="1832" t="b">
        <f>IF(OR(GI666=FALSE,GI668=FALSE),TRUE,IF(GJ666-GJ668&lt;5,FALSE,TRUE))</f>
        <v>1</v>
      </c>
      <c r="GO666" s="674">
        <f>GP666</f>
        <v>0</v>
      </c>
      <c r="GP666" s="674">
        <f>IF(G666="",0,1)</f>
        <v>0</v>
      </c>
      <c r="GQ666" s="674">
        <f ca="1">SUM(GR666:HF666)</f>
        <v>2</v>
      </c>
      <c r="GR666" s="674">
        <f>IF(G667="",0,1)</f>
        <v>0</v>
      </c>
      <c r="GS666" s="674">
        <f>IF(N669="BAM",1,IF(G668="",0,1))</f>
        <v>0</v>
      </c>
      <c r="GT666" s="674">
        <f>IF(N669="BAM",1,IF(R667="",0,1))</f>
        <v>0</v>
      </c>
      <c r="GU666" s="674">
        <f>IF(N669="BAM",1,IF(__Retrofit_TI_NC=0,1,IF(R668="",0,1)))</f>
        <v>1</v>
      </c>
      <c r="GV666" s="674">
        <f>IF(N669="BAM",1,IF(CQ666="Exterior",1,IF(G669="",0,1)))</f>
        <v>1</v>
      </c>
      <c r="GW666" s="674">
        <f>IF(__Retrofit_TI_NC&gt;0,1,IF(T667="",0,1))</f>
        <v>0</v>
      </c>
      <c r="GX666" s="674">
        <f>IF(__Retrofit_TI_NC&gt;0,1,IF(U667="",0,1))</f>
        <v>0</v>
      </c>
      <c r="GY666" s="674">
        <f>IF(N669="BAM",1,IF(T668="",0,1))</f>
        <v>0</v>
      </c>
      <c r="GZ666" s="674">
        <f>IF(N669="BAM",1,IF(U668="",0,1))</f>
        <v>0</v>
      </c>
      <c r="HA666" s="674">
        <f ca="1">IF(N669="BAM",1,IF(__Retrofit_TI_NC&gt;0,1,IF(U669="",0,1)))</f>
        <v>0</v>
      </c>
      <c r="HB666" s="674">
        <f>IF(__Retrofit_TI_NC&lt;&gt;0,1,IF(AF667="",0,1))</f>
        <v>0</v>
      </c>
      <c r="HC666" s="674">
        <f>IF(__Retrofit_TI_NC&lt;&gt;0,1,IF(AG667="",0,1))</f>
        <v>0</v>
      </c>
      <c r="HD666" s="674">
        <f>IF(N669="BAM",1,IF(AF668="",0,1))</f>
        <v>0</v>
      </c>
      <c r="HE666" s="674">
        <f>IF(N669="BAM",1,IF(AG668="",0,1))</f>
        <v>0</v>
      </c>
      <c r="HF666" s="674">
        <f>IF(N669="BAM",1,IF(__Retrofit_TI_NC&gt;0,1,IF(AG669="",0,1)))</f>
        <v>0</v>
      </c>
      <c r="HG666" s="391"/>
      <c r="IA666" s="391"/>
      <c r="IB666" s="1693" t="b">
        <f>IF(OR(IB669=0,IB669=HY$16,IB669=HX$16,IB669=HZ$16),TRUE,FALSE)</f>
        <v>0</v>
      </c>
      <c r="IC666" s="1694" t="b">
        <f>IB666</f>
        <v>0</v>
      </c>
      <c r="ID666" s="391"/>
      <c r="IE666" s="391"/>
      <c r="IF666" s="1688" t="b">
        <f ca="1">IF(MAX(GN669:HU669)&gt;5,FALSE,TRUE)</f>
        <v>0</v>
      </c>
      <c r="IG666" s="1689">
        <f ca="1">IF(IF666=TRUE,AC666,0)</f>
        <v>0</v>
      </c>
      <c r="IH666" s="1689">
        <f ca="1">IG666-IG668</f>
        <v>0</v>
      </c>
      <c r="IK666" s="1689" t="e">
        <f>ROUND(T667*VLOOKUP(U667,Fixtures_Existing_List,2,FALSE)*N667*R667/1000,0)</f>
        <v>#N/A</v>
      </c>
      <c r="IL666" s="1690" t="e">
        <f>IK666-IK668</f>
        <v>#N/A</v>
      </c>
      <c r="IM666" s="1693" t="e">
        <f>ROUND(IF(CQ666="Interior",N668*R668*R667*N667*_C406_reduction/1000,N668*R668*R667*N667/1000),0)</f>
        <v>#N/A</v>
      </c>
      <c r="IN666" s="1693" t="e">
        <f>IM666-IM668</f>
        <v>#N/A</v>
      </c>
      <c r="IP666" s="1679"/>
      <c r="IQ666" s="1679" t="e">
        <f t="shared" ref="IQ666:IU666" si="611">IF($CR666="interior",VLOOKUP($CS666,_New_Control_Savings_Interior,IQ$30,FALSE),VLOOKUP($CS666,Control_Savings_Exterior,IQ$30,FALSE))</f>
        <v>#N/A</v>
      </c>
      <c r="IR666" s="1679" t="e">
        <f t="shared" si="611"/>
        <v>#N/A</v>
      </c>
      <c r="IS666" s="1679" t="e">
        <f t="shared" si="611"/>
        <v>#N/A</v>
      </c>
      <c r="IT666" s="1679" t="e">
        <f t="shared" si="611"/>
        <v>#N/A</v>
      </c>
      <c r="IU666" s="1679" t="e">
        <f t="shared" si="611"/>
        <v>#N/A</v>
      </c>
      <c r="IV666" s="1679" t="e">
        <f>IF($CR666="interior",IF(R667&gt;$IP$14,ROUND(($IV$18*($IP$14/R667)),2),$IV$18),VLOOKUP($CS666,Control_Savings_Exterior,IV$30,FALSE))</f>
        <v>#N/A</v>
      </c>
      <c r="IW666" s="1679" t="e">
        <f>IF($CR666="interior",ROUND(((1-IS666)*IV666)+IS666,2),VLOOKUP($CS666,Control_Savings_Exterior,IW$30,FALSE))</f>
        <v>#N/A</v>
      </c>
      <c r="IX666" s="1679" t="e">
        <f>IF($CR666="interior",ROUND(((1-IT666)*IV666)+IT666,2),VLOOKUP($CS666,Control_Savings_Exterior,IX$30,FALSE))</f>
        <v>#N/A</v>
      </c>
      <c r="IY666" s="1679" t="e">
        <f>IF($CR666="interior",IF(R667&gt;$IP$14,ROUND(($IY$18*($IP$14/R667)),2),$IY$18),VLOOKUP($CS666,Control_Savings_Exterior,IY$30,FALSE))</f>
        <v>#N/A</v>
      </c>
      <c r="IZ666" s="1679" t="e">
        <f>IF($CR666="interior",ROUND(((1-IS666)*IY666)+IS666,2),VLOOKUP($CS666,Control_Savings_Exterior,IZ$30,FALSE))</f>
        <v>#N/A</v>
      </c>
      <c r="JA666" s="1679" t="e">
        <f>IF($CR666="interior",ROUND(((1-IT666)*IY666)+IT666,2),VLOOKUP($CS666,Control_Savings_Exterior,JA$30,FALSE))</f>
        <v>#N/A</v>
      </c>
      <c r="JC666" s="1680">
        <f>IFERROR(IF(CR666="Interior",CONCATENATE(G669," ",FQ666),FQ666),"")</f>
        <v>0</v>
      </c>
      <c r="JD666" s="1670" t="str">
        <f>IFERROR(VLOOKUP(JC666,_Controls_2023,2,FALSE),"")</f>
        <v/>
      </c>
      <c r="JE666" s="1681">
        <f>IFERROR(CHOOSE(JD666-1,IQ666,IR666,IS666,IT666,IU666,IV666,IW666,IX666,IY666,IZ666,JA666),0)</f>
        <v>0</v>
      </c>
      <c r="JG666" s="1680" t="str">
        <f>FE666</f>
        <v xml:space="preserve"> - 0</v>
      </c>
      <c r="JH666" s="1670" t="e">
        <f>$FO666</f>
        <v>#N/A</v>
      </c>
      <c r="JI666" s="1060"/>
      <c r="JJ666" s="1682" t="b">
        <f>IF($JG668=CONCATENATE("Interior - ",JJ$4),TRUE,FALSE)</f>
        <v>0</v>
      </c>
      <c r="JK666" s="1061"/>
      <c r="JL666" s="1682" t="b">
        <f>IF($JG668=CONCATENATE("Interior - ",JL$4),TRUE,FALSE)</f>
        <v>0</v>
      </c>
      <c r="JM666" s="1061"/>
      <c r="JN666" s="1682" t="b">
        <f>IF($JG668=CONCATENATE("Interior - ",JN$4),TRUE,FALSE)</f>
        <v>0</v>
      </c>
      <c r="JO666" s="1061"/>
      <c r="JP666" s="1682" t="b">
        <f>IF(__Retrofit_TI_NC&gt;0,FALSE,IF($JG668=CONCATENATE("Interior - ",JP$4),TRUE,FALSE))</f>
        <v>0</v>
      </c>
      <c r="JQ666" s="1061"/>
      <c r="JR666" s="1682" t="b">
        <f>IF(__Retrofit_TI_NC&gt;0,FALSE,IF($JG668=CONCATENATE("Interior - ",JR$4),TRUE,FALSE))</f>
        <v>0</v>
      </c>
      <c r="JS666" s="1061"/>
      <c r="JT666" s="1670" t="b">
        <f>IF(__Retrofit_TI_NC&gt;0,FALSE,IF($JG668=CONCATENATE("Interior - ",JT$4),TRUE,FALSE))</f>
        <v>0</v>
      </c>
      <c r="JU666" s="1061"/>
      <c r="JV666" s="1670" t="b">
        <f>IF(JC668="AELC on Existing",TRUE,FALSE)</f>
        <v>0</v>
      </c>
      <c r="JX666" s="1670" t="b">
        <f>IF(OR(JG668="Exterior - AELC Occupancy based",JG668="Exterior - AELC Time based"),TRUE,FALSE)</f>
        <v>0</v>
      </c>
      <c r="JZ666" s="1682" t="b">
        <f>IF($JG668=CONCATENATE("Exterior - ",JZ$4),TRUE,FALSE)</f>
        <v>0</v>
      </c>
      <c r="KB666" s="1670" t="b">
        <f>IF(__Retrofit_TI_NC&gt;0,FALSE,IF($JG668=CONCATENATE("Interior - ",KB$4),TRUE,FALSE))</f>
        <v>0</v>
      </c>
    </row>
    <row r="667" spans="1:288" s="78" customFormat="1" ht="14.95" customHeight="1" thickTop="1" thickBot="1">
      <c r="B667" s="1845"/>
      <c r="C667" s="1846"/>
      <c r="D667" s="1847"/>
      <c r="E667" s="1737" t="s">
        <v>297</v>
      </c>
      <c r="F667" s="1738"/>
      <c r="G667" s="1739"/>
      <c r="H667" s="1739"/>
      <c r="I667" s="1739"/>
      <c r="J667" s="1739"/>
      <c r="K667" s="1739"/>
      <c r="L667" s="1739"/>
      <c r="M667" s="461" t="e">
        <f>IF(__Retrofit_TI_NC&lt;&gt;0,IF(VLOOKUP(G668,'Space Table'!$B$3:$L$163,3,FALSE)&gt;0,1,0),IF(__Retrofit_TI_NC=VLOOKUP(G668,'Space Table'!$B$3:$L$163,3,FALSE),1,0))</f>
        <v>#N/A</v>
      </c>
      <c r="N667" s="461" t="str">
        <f>IFERROR(VLOOKUP(G667,_Lookup_Heat_Type_Table_New,2,FALSE),"")</f>
        <v/>
      </c>
      <c r="O667" s="461">
        <f>IF(__Retrofit_TI_NC=1,CONCATENATE("TI ",G667),IF(__Retrofit_TI_NC=2,CONCATENATE("NC ",G667),G667))</f>
        <v>0</v>
      </c>
      <c r="P667" s="1740" t="s">
        <v>435</v>
      </c>
      <c r="Q667" s="1740"/>
      <c r="R667" s="595"/>
      <c r="S667" s="1792"/>
      <c r="T667" s="597"/>
      <c r="U667" s="1765"/>
      <c r="V667" s="1766"/>
      <c r="W667" s="1766"/>
      <c r="X667" s="1766"/>
      <c r="Y667" s="1766"/>
      <c r="Z667" s="1766"/>
      <c r="AA667" s="1766"/>
      <c r="AB667" s="1766"/>
      <c r="AC667" s="1766"/>
      <c r="AD667" s="1767"/>
      <c r="AE667" s="1000"/>
      <c r="AF667" s="597"/>
      <c r="AG667" s="1723"/>
      <c r="AH667" s="1724"/>
      <c r="AI667" s="1724"/>
      <c r="AJ667" s="1724"/>
      <c r="AK667" s="1725"/>
      <c r="AL667" s="996"/>
      <c r="AM667" s="1747"/>
      <c r="AN667" s="1775"/>
      <c r="AO667" s="1777"/>
      <c r="AP667" s="1780"/>
      <c r="AQ667" s="1781"/>
      <c r="AR667" s="1795"/>
      <c r="AS667" s="1795"/>
      <c r="AT667" s="1796"/>
      <c r="AU667" s="1735"/>
      <c r="AV667" s="1752"/>
      <c r="AW667" s="1705"/>
      <c r="AX667" s="467"/>
      <c r="AY667" s="1749"/>
      <c r="AZ667" s="1749"/>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696"/>
      <c r="CQ667" s="1696"/>
      <c r="CR667" s="1809"/>
      <c r="CS667" s="1811"/>
      <c r="CU667" s="1688"/>
      <c r="CV667" s="1703"/>
      <c r="CW667" s="1703"/>
      <c r="CX667" s="1703"/>
      <c r="CY667" s="1815"/>
      <c r="CZ667" s="1711"/>
      <c r="DA667" s="1818"/>
      <c r="DB667" s="1820"/>
      <c r="DC667" s="1820"/>
      <c r="DD667" s="1820"/>
      <c r="DF667" s="1703"/>
      <c r="DG667" s="1831"/>
      <c r="DH667" s="1703"/>
      <c r="DI667" s="1838"/>
      <c r="DJ667" s="1711"/>
      <c r="DK667" s="1712"/>
      <c r="DM667" s="1718"/>
      <c r="DO667" s="1708"/>
      <c r="DQ667" s="1715"/>
      <c r="DR667" s="1720"/>
      <c r="DS667" s="1816"/>
      <c r="DT667" s="1714"/>
      <c r="DU667" s="1715"/>
      <c r="DV667" s="1716"/>
      <c r="DX667" s="1715"/>
      <c r="DY667" s="1720"/>
      <c r="DZ667" s="1715"/>
      <c r="EA667" s="1715"/>
      <c r="EC667" s="1834"/>
      <c r="ED667" s="1834"/>
      <c r="EF667" s="1707"/>
      <c r="EG667" s="1712"/>
      <c r="EH667" s="1818"/>
      <c r="EI667" s="1712"/>
      <c r="EJ667" s="1712"/>
      <c r="EK667" s="1836"/>
      <c r="EL667" s="1836"/>
      <c r="EM667" s="1807"/>
      <c r="EN667" s="1839"/>
      <c r="EO667" s="1839"/>
      <c r="EP667" s="1817"/>
      <c r="EQ667" s="1817"/>
      <c r="ER667" s="1807"/>
      <c r="ES667" s="1807"/>
      <c r="ET667" s="1807"/>
      <c r="EV667" s="1715"/>
      <c r="EX667" s="1805"/>
      <c r="EY667" s="1805"/>
      <c r="EZ667" s="1805"/>
      <c r="FA667" s="1805"/>
      <c r="FB667" s="1805"/>
      <c r="FC667" s="1827"/>
      <c r="FE667" s="1698"/>
      <c r="FG667" s="1816"/>
      <c r="FH667" s="1816"/>
      <c r="FI667" s="133"/>
      <c r="FL667" s="1823"/>
      <c r="FM667" s="1825"/>
      <c r="FN667" s="1698"/>
      <c r="FO667" s="1698"/>
      <c r="FP667" s="1678"/>
      <c r="FQ667" s="1678"/>
      <c r="FS667" s="1687"/>
      <c r="FT667" s="1687"/>
      <c r="FU667" s="1685"/>
      <c r="FV667" s="1687"/>
      <c r="FW667" s="1687"/>
      <c r="FX667" s="1687"/>
      <c r="FY667" s="1697"/>
      <c r="GA667" s="1696"/>
      <c r="GB667" s="1696"/>
      <c r="GC667" s="1696"/>
      <c r="GD667" s="1696"/>
      <c r="GE667" s="1696"/>
      <c r="GF667" s="1696"/>
      <c r="GG667" s="1696"/>
      <c r="GH667" s="1696"/>
      <c r="GI667" s="673"/>
      <c r="GJ667" s="1135"/>
      <c r="GK667" s="1832"/>
      <c r="GM667" s="1693" t="b">
        <f ca="1">IF(AND(GP667=TRUE,GQ667=TRUE),TRUE,FALSE)</f>
        <v>0</v>
      </c>
      <c r="GN667" s="1684" t="b">
        <f>IFERROR(IF(__Retrofit_TI_NC=2,TRUE,IF(AU666="Yes",TRUE,FALSE)),FALSE)</f>
        <v>1</v>
      </c>
      <c r="GP667" s="1684" t="b">
        <f>IFERROR(IF(GP666=1,TRUE,FALSE),FALSE)</f>
        <v>0</v>
      </c>
      <c r="GQ667" s="1684" t="b">
        <f ca="1">IFERROR(IF(GQ666=GQ$14,TRUE,FALSE),FALSE)</f>
        <v>0</v>
      </c>
      <c r="HG667" s="1684" t="b">
        <f>IFERROR(IF(AND(__Retrofit_TI_NC&gt;0,CQ666="Interior"),FALSE,TRUE),FALSE)</f>
        <v>1</v>
      </c>
      <c r="HH667" s="1684" t="b">
        <f>IFERROR(IF(M667=1,TRUE,FALSE),FALSE)</f>
        <v>0</v>
      </c>
      <c r="HI667" s="1684" t="b">
        <f>IFERROR(IF(OR(M668=1,N669="BAM"),TRUE,FALSE),FALSE)</f>
        <v>0</v>
      </c>
      <c r="HJ667" s="1684" t="b">
        <f>IFERROR(IF(__Retrofit_TI_NC&lt;&gt;0,TRUE,IFERROR(IF(VLOOKUP(U667,Fixtures_Existing_List,2,FALSE)&lt;&gt;"",TRUE,FALSE),FALSE)),FALSE)</f>
        <v>0</v>
      </c>
      <c r="HK667" s="1684" t="b">
        <f>IFERROR(IF(VLOOKUP(U668,Fixtures_Proposed_List,2,FALSE)&lt;&gt;"",TRUE,FALSE),FALSE)</f>
        <v>0</v>
      </c>
      <c r="HL667" s="1684" t="b">
        <f>IF(AND(__Retrofit_TI_NC=2,FC666=TRUE),FALSE,TRUE)</f>
        <v>1</v>
      </c>
      <c r="HM667" s="1684" t="b">
        <f>GK666</f>
        <v>1</v>
      </c>
      <c r="HN667" s="1682" t="b">
        <f>IF(ISERROR(MATCH(FE666,_Control_Match[],0))=TRUE,FALSE,TRUE)</f>
        <v>0</v>
      </c>
      <c r="HO667" s="1693" t="b">
        <f>IFERROR(IF(EX666&lt;&gt;EY666,FALSE,TRUE),FALSE)</f>
        <v>1</v>
      </c>
      <c r="HP667" s="1693" t="b">
        <f>IFERROR(IF(EX668&lt;&gt;EY668,FALSE,TRUE),FALSE)</f>
        <v>1</v>
      </c>
      <c r="HQ667" s="1670" t="b">
        <f>IFERROR(IF(CQ666="Exterior",TRUE,IF(AND(OR(FM668=0,FM668=3),JD668&gt;6),FALSE,TRUE)),FALSE)</f>
        <v>0</v>
      </c>
      <c r="HR667" s="1684" t="b">
        <f>IFERROR(IF(AND(FO668=7,FC666=TRUE),FALSE,TRUE),FALSE)</f>
        <v>0</v>
      </c>
      <c r="HS667" s="1684" t="b">
        <f>IFERROR(IF(AND(T668&lt;&gt;AF668,OR(AG668="Interior LLLC", AG668="Interior NLC", AG668="LLLC (outside Daylight)",AG668="LLLC Controls Only"))=TRUE,FALSE,TRUE),FALSE)</f>
        <v>1</v>
      </c>
      <c r="HT667" s="1670" t="b">
        <f>IFERROR(IF(OR(AG668=Lookup!BB$17,AG668=Lookup!BB$18,AG668=Lookup!BB$19)=TRUE,IF(AF668&gt;T668,FALSE,TRUE),TRUE),FALSE)</f>
        <v>1</v>
      </c>
      <c r="HU667" s="1684" t="b">
        <f>IFERROR(IF(__Retrofit_TI_NC=2,IF(EZ668&lt;EZ666,FALSE,TRUE),TRUE),FALSE)</f>
        <v>1</v>
      </c>
      <c r="HV667" s="1684" t="b">
        <f>IF(CQ666="Interior",IL$6,TRUE)</f>
        <v>1</v>
      </c>
      <c r="HW667" s="1684" t="b">
        <f>IF(CQ666="Exterior",IL$8,TRUE)</f>
        <v>1</v>
      </c>
      <c r="HX667" s="1684" t="b">
        <f>IFERROR(IF(__Retrofit_TI_NC&lt;&gt;0,IF(AZ666&lt;AY666,FALSE,TRUE),TRUE),FALSE)</f>
        <v>1</v>
      </c>
      <c r="HY667" s="1684" t="b">
        <f>IFERROR(IF(AND(G667="Exterior",R667&gt;4200),FALSE,TRUE),FALSE)</f>
        <v>1</v>
      </c>
      <c r="HZ667" s="1684" t="b">
        <f>IFERROR(IF(AB669/AB666&lt;HZ$18,FALSE,TRUE),FALSE)</f>
        <v>0</v>
      </c>
      <c r="IB667" s="1691"/>
      <c r="IC667" s="1695"/>
      <c r="ID667" s="1694" t="str">
        <f>VLOOKUP(IB669,_Error_Table,4,FALSE)</f>
        <v>White</v>
      </c>
      <c r="IE667" s="391"/>
      <c r="IF667" s="1688"/>
      <c r="IG667" s="1689"/>
      <c r="IH667" s="1684"/>
      <c r="IK667" s="1689"/>
      <c r="IL667" s="1691"/>
      <c r="IM667" s="1691"/>
      <c r="IN667" s="1691"/>
      <c r="IP667" s="1679"/>
      <c r="IQ667" s="1679"/>
      <c r="IR667" s="1679"/>
      <c r="IS667" s="1679"/>
      <c r="IT667" s="1679"/>
      <c r="IU667" s="1679"/>
      <c r="IV667" s="1679"/>
      <c r="IW667" s="1679"/>
      <c r="IX667" s="1679"/>
      <c r="IY667" s="1679"/>
      <c r="IZ667" s="1679"/>
      <c r="JA667" s="1679"/>
      <c r="JC667" s="1680"/>
      <c r="JD667" s="1670"/>
      <c r="JE667" s="1681"/>
      <c r="JG667" s="1680"/>
      <c r="JH667" s="1670"/>
      <c r="JI667" s="1060"/>
      <c r="JJ667" s="1683"/>
      <c r="JK667" s="1061"/>
      <c r="JL667" s="1683"/>
      <c r="JM667" s="1061"/>
      <c r="JN667" s="1683"/>
      <c r="JO667" s="1061"/>
      <c r="JP667" s="1683"/>
      <c r="JQ667" s="1061"/>
      <c r="JR667" s="1683"/>
      <c r="JS667" s="1061"/>
      <c r="JT667" s="1670"/>
      <c r="JU667" s="1061"/>
      <c r="JV667" s="1670"/>
      <c r="JX667" s="1670"/>
      <c r="JZ667" s="1683"/>
      <c r="KB667" s="1670"/>
    </row>
    <row r="668" spans="1:288" s="78" customFormat="1" ht="14.95" customHeight="1" thickTop="1" thickBot="1">
      <c r="A668" s="78">
        <f>ROW()</f>
        <v>668</v>
      </c>
      <c r="B668" s="1845"/>
      <c r="C668" s="1846"/>
      <c r="D668" s="1847"/>
      <c r="E668" s="1737" t="s">
        <v>298</v>
      </c>
      <c r="F668" s="1738"/>
      <c r="G668" s="1760"/>
      <c r="H668" s="1761"/>
      <c r="I668" s="1761"/>
      <c r="J668" s="1761"/>
      <c r="K668" s="1761"/>
      <c r="L668" s="1762"/>
      <c r="M668" s="461">
        <f>IFERROR(IF(IF(__Retrofit_TI_NC&lt;&gt;0,IF(CQ666="Interior",MATCH(G668,Lookup_Interior_New,0),MATCH(G668,Lookup_Exterior_New,0)),IF(CQ666="Interior",MATCH(G668,Lookup_Interior,0),MATCH(G668,Lookup_Exterior_Areas,0)))&gt;0,1,0),0)</f>
        <v>0</v>
      </c>
      <c r="N668" s="461" t="e">
        <f>IF(__Retrofit_TI_NC=1,
VLOOKUP(G668,'Space Table'!$B$3:$L$163,4,FALSE),
IF(__Retrofit_TI_NC=2,VLOOKUP(G668,'Space Table'!$B$3:$L$163,5,FALSE),VLOOKUP(G668,'Space Table'!$B$3:$L$163,5,FALSE)))</f>
        <v>#N/A</v>
      </c>
      <c r="O668" s="461">
        <f>G668</f>
        <v>0</v>
      </c>
      <c r="P668" s="1738" t="str">
        <f>IFERROR(IF(__Retrofit_TI_NC=1,VLOOKUP(G668,'Space Table'!$B$3:$O$163,13,FALSE),IF(__Retrofit_TI_NC=2,VLOOKUP(G668,'Space Table'!$B$3:$O$163,14,FALSE),"Area (sf):")),"Area (sf):")</f>
        <v>Area (sf):</v>
      </c>
      <c r="Q668" s="1738"/>
      <c r="R668" s="596"/>
      <c r="S668" s="1763" t="s">
        <v>345</v>
      </c>
      <c r="T668" s="594"/>
      <c r="U668" s="1801"/>
      <c r="V668" s="1802"/>
      <c r="W668" s="1802"/>
      <c r="X668" s="1802"/>
      <c r="Y668" s="1802"/>
      <c r="Z668" s="1802"/>
      <c r="AA668" s="1802"/>
      <c r="AB668" s="1802"/>
      <c r="AC668" s="1802"/>
      <c r="AD668" s="1802"/>
      <c r="AE668" s="1803"/>
      <c r="AF668" s="594"/>
      <c r="AG668" s="1787"/>
      <c r="AH668" s="1787"/>
      <c r="AI668" s="1787"/>
      <c r="AJ668" s="1787"/>
      <c r="AK668" s="1787"/>
      <c r="AL668" s="1787"/>
      <c r="AM668" s="1726">
        <f>IFERROR(DI668,"")</f>
        <v>0</v>
      </c>
      <c r="AN668" s="1728" t="str">
        <f>IFERROR(ROUND(AM668*AC669,0),"")</f>
        <v/>
      </c>
      <c r="AO668" s="1730">
        <f>IFERROR(IF(IB666=FALSE,0,AC669-AN668),0)</f>
        <v>0</v>
      </c>
      <c r="AP668" s="1780"/>
      <c r="AQ668" s="1781"/>
      <c r="AR668" s="1795"/>
      <c r="AS668" s="1795"/>
      <c r="AT668" s="1796"/>
      <c r="AU668" s="1735"/>
      <c r="AV668" s="1752"/>
      <c r="AW668" s="1705"/>
      <c r="AX668" s="467"/>
      <c r="AY668" s="1749"/>
      <c r="AZ668" s="1749"/>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696"/>
      <c r="CQ668" s="1696"/>
      <c r="CR668" s="1808" t="str">
        <f>CQ666</f>
        <v/>
      </c>
      <c r="CS668" s="1810" t="str">
        <f>CS666</f>
        <v/>
      </c>
      <c r="CU668" s="1688" t="s">
        <v>345</v>
      </c>
      <c r="CV668" s="1702">
        <f>IF(IB666=TRUE,T668,0)</f>
        <v>0</v>
      </c>
      <c r="CW668" s="1702" t="str">
        <f>IF(IB666=TRUE,U668,"")</f>
        <v/>
      </c>
      <c r="CX668" s="1812">
        <f>IF(IB666=TRUE,U669,0)</f>
        <v>0</v>
      </c>
      <c r="CY668" s="1814">
        <f>IF(IB666=TRUE,AB669,0)</f>
        <v>0</v>
      </c>
      <c r="CZ668" s="1710">
        <f>IF(AND(__Retrofit_TI_NC&gt;0,CR666="interior"),0,IF(IB666=TRUE,AC669,0))</f>
        <v>0</v>
      </c>
      <c r="DA668" s="1818"/>
      <c r="DB668" s="1820"/>
      <c r="DC668" s="1820"/>
      <c r="DD668" s="1820"/>
      <c r="DF668" s="1702">
        <f>IF(IB666=TRUE,AF668,0)</f>
        <v>0</v>
      </c>
      <c r="DG668" s="1830" t="str">
        <f>IF(IB666=TRUE,AG668,"")</f>
        <v/>
      </c>
      <c r="DH668" s="1812">
        <f>AG669</f>
        <v>0</v>
      </c>
      <c r="DI668" s="1837">
        <f>JE668</f>
        <v>0</v>
      </c>
      <c r="DJ668" s="1710">
        <f>IF(AND(__Retrofit_TI_NC&gt;0,CR666="interior"),0,IF(IB666=TRUE,AN668,0))</f>
        <v>0</v>
      </c>
      <c r="DK668" s="1712"/>
      <c r="DN668" s="1717">
        <f>IFERROR(CZ668-DJ668,0)</f>
        <v>0</v>
      </c>
      <c r="DO668" s="1709"/>
      <c r="DQ668" s="1715"/>
      <c r="DR668" s="1719" t="str">
        <f>DQ666</f>
        <v/>
      </c>
      <c r="DS668" s="1816"/>
      <c r="DT668" s="1835" t="str">
        <f>IF(OR(DS666=7,DS666=8,DS666=9),"ALC","")</f>
        <v/>
      </c>
      <c r="DU668" s="1715"/>
      <c r="DV668" s="1716"/>
      <c r="DX668" s="1715"/>
      <c r="DY668" s="1829" t="str">
        <f>DX666</f>
        <v/>
      </c>
      <c r="DZ668" s="1715"/>
      <c r="EA668" s="1715"/>
      <c r="EC668" s="1834"/>
      <c r="ED668" s="1834"/>
      <c r="EF668" s="1707"/>
      <c r="EG668" s="1712"/>
      <c r="EH668" s="1818"/>
      <c r="EI668" s="1712"/>
      <c r="EJ668" s="1712"/>
      <c r="EK668" s="1836"/>
      <c r="EL668" s="1836"/>
      <c r="EM668" s="1807"/>
      <c r="EN668" s="1839"/>
      <c r="EO668" s="1839"/>
      <c r="EP668" s="1817"/>
      <c r="EQ668" s="1817"/>
      <c r="ER668" s="1807"/>
      <c r="ES668" s="1807"/>
      <c r="ET668" s="1807"/>
      <c r="EV668" s="1715"/>
      <c r="EX668" s="1805" t="str">
        <f>IFERROR(VLOOKUP(CS668,'Space Table'!$B$3:$L$163,8,FALSE),"")</f>
        <v/>
      </c>
      <c r="EY668" s="1805" t="str">
        <f>IFERROR(IF(FB668="Yes",VLOOKUP(AG668,Lookup_Control_Type_Table2,4,FALSE),VLOOKUP(AG668,Lookup_Control_Type_Table2,3,FALSE)),"")</f>
        <v/>
      </c>
      <c r="EZ668" s="1805" t="e">
        <f>VLOOKUP(AG668,Lookup!BB$3:BC$20,2,FALSE)</f>
        <v>#N/A</v>
      </c>
      <c r="FA668" s="1805" t="e">
        <f>VLOOKUP(EX666,Lookup_Control_Type_Table,2,FALSE)</f>
        <v>#N/A</v>
      </c>
      <c r="FB668" s="1805" t="e">
        <f>VLOOKUP(CS668,'Space Table'!$B$3:$L$163,7,FALSE)</f>
        <v>#N/A</v>
      </c>
      <c r="FC668" s="1827"/>
      <c r="FE668" s="1698" t="str">
        <f>CONCATENATE(CQ666," - ",AG668)</f>
        <v xml:space="preserve"> - </v>
      </c>
      <c r="FG668" s="1816"/>
      <c r="FH668" s="1816"/>
      <c r="FI668" s="133"/>
      <c r="FL668" s="1822" t="str">
        <f>IF(CQ666="Exterior","Not Daylighted",G669)</f>
        <v>Not Daylighted</v>
      </c>
      <c r="FM668" s="1824">
        <f>VLOOKUP(FL668,_New_Daylight_Table_Codes,2,FALSE)</f>
        <v>0</v>
      </c>
      <c r="FN668" s="1698">
        <f>AG668</f>
        <v>0</v>
      </c>
      <c r="FO668" s="1698" t="e">
        <f>VLOOKUP(FN668,_Control_Table,2,FALSE)</f>
        <v>#N/A</v>
      </c>
      <c r="FP668" s="1678" t="e">
        <f>VLOOKUP(CONCATENATE(FL668," ",FN668),Lookup!AY$102:AZ679,2,FALSE)</f>
        <v>#N/A</v>
      </c>
      <c r="FQ668" s="1698">
        <f>IF(__Retrofit_TI_NC=0,FN668,IF(AND(FT668&gt;0,FN668="Occupancy Sensor"),"Daylight + Occupancy",IF(AND(FT668&gt;0,FO668&lt;4),"Interior Daylight Dimming",FN668)))</f>
        <v>0</v>
      </c>
      <c r="FS668" s="1686">
        <f>IF(CQ666="Interior",VLOOKUP(CS666,Control_Savings_Interior,5,FALSE),0)</f>
        <v>0</v>
      </c>
      <c r="FT668" s="1687">
        <f>IF(CQ668="Exterior",0,IF(FM668=2,0.5,IF(OR(FM668=1,FM668=3),1,0)))</f>
        <v>0</v>
      </c>
      <c r="FU668" s="1685">
        <f>IF(R667&gt;FS$44,(FS668*(FS$44/R667)),FS668)*FT668</f>
        <v>0</v>
      </c>
      <c r="FV668" s="1686">
        <f>DI668</f>
        <v>0</v>
      </c>
      <c r="FW668" s="1686">
        <f>ROUND(FV668+((1-FV668)*FU668),2)</f>
        <v>0</v>
      </c>
      <c r="FX668" s="1686">
        <f>IF(__Retrofit_TI_NC=2,FW668,FV668)</f>
        <v>0</v>
      </c>
      <c r="FY668" s="1697">
        <f>IF(CR668="Interior",VLOOKUP(CS668,Control_Savings_Interior,4,FALSE),0)</f>
        <v>0</v>
      </c>
      <c r="GA668" s="1696"/>
      <c r="GB668" s="1696"/>
      <c r="GC668" s="1696"/>
      <c r="GD668" s="1696"/>
      <c r="GE668" s="1696"/>
      <c r="GF668" s="1696"/>
      <c r="GG668" s="1696"/>
      <c r="GH668" s="1696"/>
      <c r="GI668" s="673" t="b">
        <f>IF(ISNUMBER(SEARCH("TLED",U668)),TRUE,FALSE)</f>
        <v>0</v>
      </c>
      <c r="GJ668" s="1135" t="str">
        <f>IFERROR(VLOOKUP(U668,Fixtures!DM$93:DR$142,6,FALSE),"")</f>
        <v/>
      </c>
      <c r="GK668" s="1832"/>
      <c r="GM668" s="1692"/>
      <c r="GN668" s="1684"/>
      <c r="GP668" s="1684"/>
      <c r="GQ668" s="1684"/>
      <c r="HG668" s="1684"/>
      <c r="HH668" s="1684"/>
      <c r="HI668" s="1684"/>
      <c r="HJ668" s="1684"/>
      <c r="HK668" s="1684"/>
      <c r="HL668" s="1684"/>
      <c r="HM668" s="1684"/>
      <c r="HN668" s="1683"/>
      <c r="HO668" s="1692"/>
      <c r="HP668" s="1692"/>
      <c r="HQ668" s="1670"/>
      <c r="HR668" s="1684"/>
      <c r="HS668" s="1684"/>
      <c r="HT668" s="1670"/>
      <c r="HU668" s="1684"/>
      <c r="HV668" s="1684"/>
      <c r="HW668" s="1684"/>
      <c r="HX668" s="1684"/>
      <c r="HY668" s="1684"/>
      <c r="HZ668" s="1684"/>
      <c r="IB668" s="1692"/>
      <c r="IC668" s="1693" t="b">
        <f>IB666</f>
        <v>0</v>
      </c>
      <c r="ID668" s="1695"/>
      <c r="IE668" s="391"/>
      <c r="IF668" s="1688"/>
      <c r="IG668" s="1689">
        <f ca="1">IF(IF666=TRUE,AC669,0)</f>
        <v>0</v>
      </c>
      <c r="IH668" s="1684"/>
      <c r="IK668" s="1689" t="e">
        <f>ROUND(T668*AB669*N667*R667/1000,0)</f>
        <v>#VALUE!</v>
      </c>
      <c r="IL668" s="1691"/>
      <c r="IM668" s="1693" t="e">
        <f>ROUND(T668*AB669*N667*R667/1000,0)</f>
        <v>#VALUE!</v>
      </c>
      <c r="IN668" s="1691"/>
      <c r="IP668" s="1679"/>
      <c r="IQ668" s="1679" t="e">
        <f t="shared" ref="IQ668:IU668" si="612">IF($CR668="interior",VLOOKUP($CS668,_New_Control_Savings_Interior,IQ$30,FALSE),VLOOKUP($CS668,Control_Savings_Exterior,IQ$30,FALSE))</f>
        <v>#N/A</v>
      </c>
      <c r="IR668" s="1679" t="e">
        <f t="shared" si="612"/>
        <v>#N/A</v>
      </c>
      <c r="IS668" s="1679" t="e">
        <f t="shared" si="612"/>
        <v>#N/A</v>
      </c>
      <c r="IT668" s="1679" t="e">
        <f t="shared" si="612"/>
        <v>#N/A</v>
      </c>
      <c r="IU668" s="1679" t="e">
        <f t="shared" si="612"/>
        <v>#N/A</v>
      </c>
      <c r="IV668" s="1679" t="e">
        <f>IF($CR668="interior",IF(R667&gt;$IP$14,ROUND(($IV$18*($IP$14/R667)),2),$IV$18),VLOOKUP($CS668,Control_Savings_Exterior,IV$30,FALSE))</f>
        <v>#N/A</v>
      </c>
      <c r="IW668" s="1679" t="e">
        <f>IF($CR668="interior",ROUND(((1-IS668)*IV668)+IS668,2),VLOOKUP($CS668,Control_Savings_Exterior,IW$30,FALSE))</f>
        <v>#N/A</v>
      </c>
      <c r="IX668" s="1679" t="e">
        <f>IF($CR668="interior",ROUND(((1-IT668)*IV668)+IT668,2),VLOOKUP($CS668,Control_Savings_Exterior,IX$30,FALSE))</f>
        <v>#N/A</v>
      </c>
      <c r="IY668" s="1679" t="e">
        <f>IF($CR668="interior",IF(R667&gt;$IP$14,ROUND(($IY$18*($IP$14/R667)),2),$IY$18),VLOOKUP($CS668,Control_Savings_Exterior,IY$30,FALSE))</f>
        <v>#N/A</v>
      </c>
      <c r="IZ668" s="1679" t="e">
        <f>IF($CR668="interior",ROUND(((1-IS668)*IY668)+IS668,2),VLOOKUP($CS668,Control_Savings_Exterior,IZ$30,FALSE))</f>
        <v>#N/A</v>
      </c>
      <c r="JA668" s="1679" t="e">
        <f>IF($CR668="interior",ROUND(((1-IT668)*IY668)+IT668,2),VLOOKUP($CS668,Control_Savings_Exterior,JA$30,FALSE))</f>
        <v>#N/A</v>
      </c>
      <c r="JC668" s="1680">
        <f>IFERROR(IF(CR668="Interior",CONCATENATE(G669," ",FQ668),AG668),"")</f>
        <v>0</v>
      </c>
      <c r="JD668" s="1670" t="str">
        <f>IFERROR(VLOOKUP(JC668,_Controls_2023,2,FALSE),"")</f>
        <v/>
      </c>
      <c r="JE668" s="1681">
        <f>IFERROR(CHOOSE(JD668-1,IQ668,IR668,IS668,IT668,IU668,IV668,IW668,IX668,IY668,IZ668,JA668),0)</f>
        <v>0</v>
      </c>
      <c r="JG668" s="1680" t="str">
        <f>FE668</f>
        <v xml:space="preserve"> - </v>
      </c>
      <c r="JH668" s="1670" t="e">
        <f>$FO668</f>
        <v>#N/A</v>
      </c>
      <c r="JI668" s="1060"/>
      <c r="JJ668" s="1670">
        <f>IFERROR(IF($IB666=TRUE,IF(OR(JJ$14="No",JJ666=FALSE,JH668&lt;=JH666,AND(_kWh_Grant=0,GD666=FALSE)),0,IF(JJ$8="Per Line",1,$AF668)),0),0)</f>
        <v>0</v>
      </c>
      <c r="JK668" s="1061"/>
      <c r="JL668" s="1670">
        <f>IFERROR(IF(_kWh_Grant=0,0,IF($IB666=TRUE,IF(OR(JL$14="No",JL666=FALSE,JH668&lt;=JH666),0,IF(JL$8="Per Line",1,$T668)),0)),0)</f>
        <v>0</v>
      </c>
      <c r="JM668" s="1061"/>
      <c r="JN668" s="1670">
        <f>IFERROR(IF(_kWh_Grant=0,0,IF($IB666=TRUE,IF(OR(JN$14="No",JN666=FALSE,JH668&lt;=JH666),0,IF(JN$8="Per Line",1,$AF668)),0)),0)</f>
        <v>0</v>
      </c>
      <c r="JO668" s="1061"/>
      <c r="JP668" s="1670">
        <f>IFERROR(IF(__Retrofit_TI_NC=0,IF(_kWh_Grant=0,0,IF($IB666=TRUE,IF(OR(JP$14="No",JP666=FALSE,$JH668&lt;=$JH666),0,IF(JP$8="Per Line",1,$AF668)),0)),IF($IB666=TRUE,IF(OR(JP$14="No",JP666=FALSE,$JH668&lt;=$JH666),0,IF(JP$8="Per Line",1,$AF668)))),0)</f>
        <v>0</v>
      </c>
      <c r="JQ668" s="1061"/>
      <c r="JR668" s="1670">
        <f>IFERROR(IF(__Retrofit_TI_NC=0,IF(_kWh_Grant=0,0,IF($IB666=TRUE,IF(OR(JR$14="No",JR666=FALSE,$JH668&lt;=$JH666),0,IF(JR$8="Per Line",1,$AF668)),0)),IF($IB666=TRUE,IF(OR(JR$14="No",JR666=FALSE,$JH668&lt;=$JH666),0,IF(JR$8="Per Line",1,$AF668)))),0)</f>
        <v>0</v>
      </c>
      <c r="JS668" s="1061"/>
      <c r="JT668" s="1670">
        <f>IFERROR(IF(__Retrofit_TI_NC=0,IF(_kWh_Grant=0,0,IF($IB666=TRUE,IF(OR(JT$14="No",JT666=FALSE,$JH668&lt;=$JH666),0,IF(JT$8="Per Line",1,$AF668)),0)),IF($IB666=TRUE,IF(OR(JT$14="No",JT666=FALSE,$JH668&lt;=$JH666),0,IF(JT$8="Per Line",1,$AF668)))),0)</f>
        <v>0</v>
      </c>
      <c r="JU668" s="1061"/>
      <c r="JV668" s="1670">
        <f>IFERROR(IF(__Retrofit_TI_NC=0,IF(_kWh_Grant=0,0,IF($IB666=TRUE,IF(OR(JV$14="No",JV666=FALSE,$JH668&lt;=$JH666),0,IF(JV$8="Per Line",1,$AF668)),0)),IF($IB666=TRUE,IF(OR(JV$14="No",JV666=FALSE,$JH668&lt;=$JH666),0,IF(JV$8="Per Line",1,$AF668)))),0)</f>
        <v>0</v>
      </c>
      <c r="JX668" s="1670">
        <f>IFERROR(IF(__Retrofit_TI_NC=0,IF(_kWh_Grant=0,0,IF($IB666=TRUE,IF(OR(JX$14="No",JX666=FALSE,$JH668&lt;=$JH666),0,IF(JX$8="Per Line",1,$AF668)),0)),IF($IB666=TRUE,IF(OR(JX$14="No",JX666=FALSE,$JH668&lt;=$JH666),0,IF(JX$8="Per Line",1,$AF668)))),0)</f>
        <v>0</v>
      </c>
      <c r="JZ668" s="1670">
        <f>IFERROR(IF($IB666=TRUE,IF(OR(JZ$14="No",JZ666=FALSE,$JH668&lt;=$JH666,AND(_kWh_Grant=0,$GD666=FALSE)),0,IF(JZ$8="Per Line",1,$AF668)),0),0)</f>
        <v>0</v>
      </c>
      <c r="KB668" s="1670">
        <f>IFERROR(IF(__Retrofit_TI_NC=0,IF(_kWh_Grant=0,0,IF($IB666=TRUE,IF(OR(KB$14="No",KB666=FALSE,$JH668&lt;=$JH666),0,IF(KB$8="Per Line",1,$AF668)),0)),IF($IB666=TRUE,IF(OR(KB$14="No",KB666=FALSE,$JH668&lt;=$JH666),0,IF(KB$8="Per Line",1,$AF668)))),0)</f>
        <v>0</v>
      </c>
    </row>
    <row r="669" spans="1:288" s="78" customFormat="1" ht="14.95" customHeight="1" thickTop="1" thickBot="1">
      <c r="B669" s="1845"/>
      <c r="C669" s="1846"/>
      <c r="D669" s="1847"/>
      <c r="E669" s="1771" t="s">
        <v>436</v>
      </c>
      <c r="F669" s="1772"/>
      <c r="G669" s="1784" t="s">
        <v>437</v>
      </c>
      <c r="H669" s="1785"/>
      <c r="I669" s="1785"/>
      <c r="J669" s="1785"/>
      <c r="K669" s="1785"/>
      <c r="L669" s="1786"/>
      <c r="M669" s="591">
        <f>IFERROR(VLOOKUP(G669,_Daylight_Table[],2,FALSE),0)</f>
        <v>0</v>
      </c>
      <c r="N669" s="592" t="str">
        <f>IF(AND(__Retrofit_TI_NC&gt;0,CQ666="Interior"),"BAM","")</f>
        <v/>
      </c>
      <c r="O669" s="591" t="e">
        <f>VLOOKUP(G668,'Space Table'!$B$3:$L$163,11,FALSE)</f>
        <v>#N/A</v>
      </c>
      <c r="P669" s="1789"/>
      <c r="Q669" s="1790"/>
      <c r="R669" s="1790"/>
      <c r="S669" s="1788"/>
      <c r="T669" s="593" t="s">
        <v>342</v>
      </c>
      <c r="U669" s="1756" t="str" cm="1">
        <f t="array" aca="1" ref="U669" ca="1">IFERROR(VLOOKUP(INDIRECT("U" &amp; ROW()-1),Fixtures!DM$93:DP$142,4,FALSE),"")</f>
        <v/>
      </c>
      <c r="V669" s="1757"/>
      <c r="W669" s="1757"/>
      <c r="X669" s="1757"/>
      <c r="Y669" s="1757"/>
      <c r="Z669" s="1757"/>
      <c r="AA669" s="1758"/>
      <c r="AB669" s="939" t="str">
        <f>IFERROR(VLOOKUP(U668,Fixtures_Proposed_List,2,FALSE),"")</f>
        <v/>
      </c>
      <c r="AC669" s="933" t="str">
        <f>IFERROR(ROUND(T668*AB669*N667*R667/1000,0),"")</f>
        <v/>
      </c>
      <c r="AD669" s="934" t="str">
        <f>IFERROR(ROUND(T668*AB669/1000,2),"")</f>
        <v/>
      </c>
      <c r="AE669" s="998"/>
      <c r="AF669" s="938" t="s">
        <v>342</v>
      </c>
      <c r="AG669" s="1770"/>
      <c r="AH669" s="1770"/>
      <c r="AI669" s="1770"/>
      <c r="AJ669" s="1770"/>
      <c r="AK669" s="1770"/>
      <c r="AL669" s="1770"/>
      <c r="AM669" s="1727"/>
      <c r="AN669" s="1729"/>
      <c r="AO669" s="1731"/>
      <c r="AP669" s="1782"/>
      <c r="AQ669" s="1783"/>
      <c r="AR669" s="1797"/>
      <c r="AS669" s="1797"/>
      <c r="AT669" s="1798"/>
      <c r="AU669" s="1736"/>
      <c r="AV669" s="1753"/>
      <c r="AW669" s="1706"/>
      <c r="AX669" s="468"/>
      <c r="AY669" s="1750"/>
      <c r="AZ669" s="1750"/>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696"/>
      <c r="CQ669" s="1696"/>
      <c r="CR669" s="1809"/>
      <c r="CS669" s="1811"/>
      <c r="CU669" s="1688"/>
      <c r="CV669" s="1703"/>
      <c r="CW669" s="1703"/>
      <c r="CX669" s="1813"/>
      <c r="CY669" s="1815"/>
      <c r="CZ669" s="1711"/>
      <c r="DA669" s="1815"/>
      <c r="DB669" s="1821"/>
      <c r="DC669" s="1821"/>
      <c r="DD669" s="1821"/>
      <c r="DF669" s="1703"/>
      <c r="DG669" s="1831"/>
      <c r="DH669" s="1813"/>
      <c r="DI669" s="1838"/>
      <c r="DJ669" s="1711"/>
      <c r="DK669" s="1712"/>
      <c r="DN669" s="1718"/>
      <c r="DO669" s="1709"/>
      <c r="DQ669" s="1715"/>
      <c r="DR669" s="1720"/>
      <c r="DS669" s="1703"/>
      <c r="DT669" s="1714"/>
      <c r="DU669" s="1715"/>
      <c r="DV669" s="1716"/>
      <c r="DX669" s="1715"/>
      <c r="DY669" s="1720"/>
      <c r="DZ669" s="1715"/>
      <c r="EA669" s="1715"/>
      <c r="EC669" s="1834"/>
      <c r="ED669" s="1834"/>
      <c r="EF669" s="1707"/>
      <c r="EG669" s="1712"/>
      <c r="EH669" s="1815"/>
      <c r="EI669" s="1712"/>
      <c r="EJ669" s="1712"/>
      <c r="EK669" s="1813"/>
      <c r="EL669" s="1813"/>
      <c r="EM669" s="1807"/>
      <c r="EN669" s="1839"/>
      <c r="EO669" s="1839"/>
      <c r="EP669" s="1817"/>
      <c r="EQ669" s="1817"/>
      <c r="ER669" s="1807"/>
      <c r="ES669" s="1807"/>
      <c r="ET669" s="1807"/>
      <c r="EV669" s="1715"/>
      <c r="EX669" s="1806"/>
      <c r="EY669" s="1806"/>
      <c r="EZ669" s="1806"/>
      <c r="FA669" s="1806"/>
      <c r="FB669" s="1806"/>
      <c r="FC669" s="1828"/>
      <c r="FE669" s="1698"/>
      <c r="FG669" s="1703"/>
      <c r="FH669" s="1703"/>
      <c r="FI669" s="133"/>
      <c r="FL669" s="1823"/>
      <c r="FM669" s="1825"/>
      <c r="FN669" s="1698"/>
      <c r="FO669" s="1698"/>
      <c r="FP669" s="1678"/>
      <c r="FQ669" s="1698"/>
      <c r="FS669" s="1687"/>
      <c r="FT669" s="1687"/>
      <c r="FU669" s="1685"/>
      <c r="FV669" s="1687"/>
      <c r="FW669" s="1687"/>
      <c r="FX669" s="1687"/>
      <c r="FY669" s="1697"/>
      <c r="GA669" s="1696"/>
      <c r="GB669" s="1696"/>
      <c r="GC669" s="1696"/>
      <c r="GD669" s="1696"/>
      <c r="GE669" s="1696"/>
      <c r="GF669" s="1696"/>
      <c r="GG669" s="1696"/>
      <c r="GH669" s="1696"/>
      <c r="GI669" s="673"/>
      <c r="GJ669" s="1135"/>
      <c r="GK669" s="1832"/>
      <c r="GN669" s="674">
        <f>IF(GN667=TRUE,0,GN$16)</f>
        <v>0</v>
      </c>
      <c r="GP669" s="674">
        <f>IF(GP667=TRUE,0,GP$16)</f>
        <v>36</v>
      </c>
      <c r="GQ669" s="674">
        <f ca="1">IF(GQ667=TRUE,0,GQ$16)</f>
        <v>35</v>
      </c>
      <c r="GR669" s="391"/>
      <c r="GS669" s="391"/>
      <c r="GT669" s="391"/>
      <c r="GU669" s="391"/>
      <c r="GV669" s="391"/>
      <c r="HG669" s="674">
        <f>IF(HG667=TRUE,0,HG$16)</f>
        <v>0</v>
      </c>
      <c r="HH669" s="674">
        <f t="shared" ref="HH669:HM669" si="613">IF(HH667=TRUE,0,HH$16)</f>
        <v>19</v>
      </c>
      <c r="HI669" s="674">
        <f t="shared" si="613"/>
        <v>18</v>
      </c>
      <c r="HJ669" s="674">
        <f t="shared" si="613"/>
        <v>17</v>
      </c>
      <c r="HK669" s="674">
        <f t="shared" si="613"/>
        <v>16</v>
      </c>
      <c r="HL669" s="674">
        <f t="shared" si="613"/>
        <v>0</v>
      </c>
      <c r="HM669" s="674">
        <f t="shared" si="613"/>
        <v>0</v>
      </c>
      <c r="HN669" s="674">
        <f>IF(HN667=TRUE,0,HN$16)</f>
        <v>13</v>
      </c>
      <c r="HO669" s="674">
        <f t="shared" ref="HO669:HQ669" si="614">IF(HO667=TRUE,0,HO$16)</f>
        <v>0</v>
      </c>
      <c r="HP669" s="674">
        <f t="shared" si="614"/>
        <v>0</v>
      </c>
      <c r="HQ669" s="674">
        <f t="shared" si="614"/>
        <v>10</v>
      </c>
      <c r="HR669" s="674">
        <f>IF(HR667=TRUE,0,HR$16)</f>
        <v>9</v>
      </c>
      <c r="HS669" s="674">
        <f t="shared" ref="HS669:HW669" si="615">IF(HS667=TRUE,0,HS$16)</f>
        <v>0</v>
      </c>
      <c r="HT669" s="674">
        <f t="shared" si="615"/>
        <v>0</v>
      </c>
      <c r="HU669" s="674">
        <f t="shared" si="615"/>
        <v>0</v>
      </c>
      <c r="HV669" s="674">
        <f t="shared" si="615"/>
        <v>0</v>
      </c>
      <c r="HW669" s="674">
        <f t="shared" si="615"/>
        <v>0</v>
      </c>
      <c r="HX669" s="674">
        <f>IF(HX667=TRUE,0,HX$16)</f>
        <v>0</v>
      </c>
      <c r="HY669" s="674">
        <f>IF(HY667=TRUE,0,HY$16)</f>
        <v>0</v>
      </c>
      <c r="HZ669" s="674">
        <f>IF(HZ667=TRUE,0,HZ$16)</f>
        <v>1</v>
      </c>
      <c r="IB669" s="674">
        <f>IF(GP667=FALSE,GP669,IF(GQ667=FALSE,GQ669,MAX(GN669:HZ669)))</f>
        <v>36</v>
      </c>
      <c r="IC669" s="1692"/>
      <c r="ID669" s="205" t="str">
        <f>VLOOKUP(IB669,_Error_Table,3,FALSE)</f>
        <v xml:space="preserve"> </v>
      </c>
      <c r="IE669" s="205"/>
      <c r="IF669" s="1688"/>
      <c r="IG669" s="1689"/>
      <c r="IH669" s="1684"/>
      <c r="IK669" s="1689"/>
      <c r="IL669" s="1692"/>
      <c r="IM669" s="1692"/>
      <c r="IN669" s="1692"/>
      <c r="IP669" s="1679"/>
      <c r="IQ669" s="1679"/>
      <c r="IR669" s="1679"/>
      <c r="IS669" s="1679"/>
      <c r="IT669" s="1679"/>
      <c r="IU669" s="1679"/>
      <c r="IV669" s="1679"/>
      <c r="IW669" s="1679"/>
      <c r="IX669" s="1679"/>
      <c r="IY669" s="1679"/>
      <c r="IZ669" s="1679"/>
      <c r="JA669" s="1679"/>
      <c r="JC669" s="1680"/>
      <c r="JD669" s="1670"/>
      <c r="JE669" s="1681"/>
      <c r="JG669" s="1680"/>
      <c r="JH669" s="1670"/>
      <c r="JI669" s="1060"/>
      <c r="JJ669" s="1670"/>
      <c r="JK669" s="1061"/>
      <c r="JL669" s="1670"/>
      <c r="JM669" s="1061"/>
      <c r="JN669" s="1670"/>
      <c r="JO669" s="1061"/>
      <c r="JP669" s="1670"/>
      <c r="JQ669" s="1061"/>
      <c r="JR669" s="1670"/>
      <c r="JS669" s="1061"/>
      <c r="JT669" s="1670"/>
      <c r="JU669" s="1061"/>
      <c r="JV669" s="1670"/>
      <c r="JX669" s="1670"/>
      <c r="JZ669" s="1670"/>
      <c r="KB669" s="1670"/>
    </row>
    <row r="670" spans="1:288" s="78" customFormat="1" ht="5.0999999999999996" customHeight="1">
      <c r="B670" s="676"/>
      <c r="C670" s="392"/>
      <c r="D670" s="392"/>
      <c r="E670" s="1733"/>
      <c r="F670" s="1733"/>
      <c r="G670" s="1733"/>
      <c r="H670" s="1733"/>
      <c r="I670" s="1733"/>
      <c r="J670" s="1733"/>
      <c r="K670" s="1733"/>
      <c r="L670" s="1733"/>
      <c r="M670" s="1733"/>
      <c r="N670" s="1733"/>
      <c r="O670" s="1733"/>
      <c r="P670" s="1733"/>
      <c r="Q670" s="1733"/>
      <c r="R670" s="1733"/>
      <c r="S670" s="1733"/>
      <c r="T670" s="1733"/>
      <c r="U670" s="1733"/>
      <c r="V670" s="1733"/>
      <c r="W670" s="1733"/>
      <c r="X670" s="1733"/>
      <c r="Y670" s="1733"/>
      <c r="Z670" s="1733"/>
      <c r="AA670" s="1733"/>
      <c r="AB670" s="1733"/>
      <c r="AC670" s="1733"/>
      <c r="AD670" s="1733"/>
      <c r="AE670" s="1733"/>
      <c r="AF670" s="1733"/>
      <c r="AG670" s="1733"/>
      <c r="AH670" s="1733"/>
      <c r="AI670" s="1733"/>
      <c r="AJ670" s="1733"/>
      <c r="AK670" s="1733"/>
      <c r="AL670" s="1733"/>
      <c r="AM670" s="1733"/>
      <c r="AN670" s="1733"/>
      <c r="AO670" s="1733"/>
      <c r="AP670" s="1733"/>
      <c r="AQ670" s="1733"/>
      <c r="AR670" s="1733"/>
      <c r="AS670" s="1733"/>
      <c r="AT670" s="1733"/>
      <c r="AU670" s="1733"/>
      <c r="AV670" s="1733"/>
      <c r="AW670" s="1733"/>
      <c r="AX670" s="469"/>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663"/>
      <c r="CQ670" s="663"/>
      <c r="CR670" s="438"/>
      <c r="CS670" s="663"/>
      <c r="CV670" s="391"/>
      <c r="CW670" s="391"/>
      <c r="CX670" s="207"/>
      <c r="CY670" s="208"/>
      <c r="CZ670" s="208"/>
      <c r="DA670" s="208"/>
      <c r="DB670" s="209"/>
      <c r="DC670" s="209"/>
      <c r="DD670" s="209"/>
      <c r="DF670" s="664"/>
      <c r="DG670" s="665"/>
      <c r="DH670" s="666"/>
      <c r="DI670" s="667"/>
      <c r="DJ670" s="668"/>
      <c r="DK670" s="668"/>
      <c r="DN670" s="208"/>
      <c r="DO670" s="664"/>
      <c r="DQ670" s="664"/>
      <c r="DR670" s="669"/>
      <c r="DS670" s="391"/>
      <c r="DT670" s="664"/>
      <c r="DU670" s="664"/>
      <c r="DV670" s="664"/>
      <c r="DX670" s="664"/>
      <c r="DY670" s="664"/>
      <c r="DZ670" s="664"/>
      <c r="EA670" s="664"/>
      <c r="EC670" s="670"/>
      <c r="ED670" s="670"/>
      <c r="EF670" s="668"/>
      <c r="EG670" s="668"/>
      <c r="EH670" s="208"/>
      <c r="EI670" s="668"/>
      <c r="EJ670" s="668"/>
      <c r="EK670" s="207"/>
      <c r="EL670" s="207"/>
      <c r="EM670" s="666"/>
      <c r="EN670" s="671"/>
      <c r="EO670" s="671"/>
      <c r="EP670" s="672"/>
      <c r="EQ670" s="672"/>
      <c r="ER670" s="666"/>
      <c r="ES670" s="666"/>
      <c r="ET670" s="666"/>
      <c r="EV670" s="664"/>
      <c r="EX670" s="391"/>
      <c r="EY670" s="391"/>
      <c r="EZ670" s="391"/>
      <c r="FA670" s="391"/>
      <c r="FB670" s="391"/>
      <c r="FC670" s="391"/>
      <c r="FE670" s="569"/>
      <c r="FG670" s="391"/>
      <c r="FH670" s="391"/>
      <c r="FI670" s="391"/>
      <c r="FS670" s="664"/>
      <c r="FT670" s="391"/>
      <c r="FU670" s="391"/>
      <c r="FV670" s="664"/>
      <c r="FW670" s="664"/>
      <c r="GA670" s="663"/>
      <c r="GB670" s="663"/>
      <c r="GC670" s="663"/>
      <c r="GD670" s="663"/>
      <c r="GE670" s="663"/>
      <c r="GF670" s="663"/>
      <c r="GG670" s="663"/>
      <c r="GH670" s="663"/>
      <c r="GI670" s="665"/>
      <c r="GJ670" s="664"/>
      <c r="GK670" s="664"/>
    </row>
    <row r="671" spans="1:288" s="78" customFormat="1" ht="14.95" customHeight="1">
      <c r="B671" s="1845" t="str">
        <f>ID674</f>
        <v xml:space="preserve"> </v>
      </c>
      <c r="C671" s="1846">
        <f>C666+1</f>
        <v>121</v>
      </c>
      <c r="D671" s="1847"/>
      <c r="E671" s="1799" t="s">
        <v>295</v>
      </c>
      <c r="F671" s="1800"/>
      <c r="G671" s="1741"/>
      <c r="H671" s="1742"/>
      <c r="I671" s="1742"/>
      <c r="J671" s="1742"/>
      <c r="K671" s="1742"/>
      <c r="L671" s="1742"/>
      <c r="M671" s="1742"/>
      <c r="N671" s="1742"/>
      <c r="O671" s="1742"/>
      <c r="P671" s="1742"/>
      <c r="Q671" s="1742"/>
      <c r="R671" s="1742"/>
      <c r="S671" s="1791" t="s">
        <v>344</v>
      </c>
      <c r="T671" s="590"/>
      <c r="U671" s="1743"/>
      <c r="V671" s="1744"/>
      <c r="W671" s="1744"/>
      <c r="X671" s="1744"/>
      <c r="Y671" s="1744"/>
      <c r="Z671" s="1744"/>
      <c r="AA671" s="1744"/>
      <c r="AB671" s="961" t="str">
        <f>IFERROR(IF(__Retrofit_TI_NC=0,VLOOKUP(U672,Fixtures_Existing_List,2,FALSE),ROUND(N673*R673/T673,10)),"")</f>
        <v/>
      </c>
      <c r="AC671" s="935" t="str">
        <f>IFERROR(IF(__Retrofit_TI_NC=0,ROUND(T672*AB671*N672*R672/1000,0),IF(CQ671="Interior",N673*R673*R672*N672*_C406_reduction/1000,N673*R673*R672*N672/1000)),"")</f>
        <v/>
      </c>
      <c r="AD671" s="936" t="str">
        <f>IFERROR(IF(C$43=0,ROUND(T672*AB671/1000,2),N673*R673/1000),"")</f>
        <v/>
      </c>
      <c r="AE671" s="997"/>
      <c r="AF671" s="937"/>
      <c r="AG671" s="1745" t="str">
        <f>IF(__Retrofit_TI_NC=0," Control","Select Advanced Control for New System")</f>
        <v xml:space="preserve"> Control</v>
      </c>
      <c r="AH671" s="1745"/>
      <c r="AI671" s="1745"/>
      <c r="AJ671" s="1745"/>
      <c r="AK671" s="1745"/>
      <c r="AL671" s="1745"/>
      <c r="AM671" s="1746">
        <f>IFERROR(DI671,"")</f>
        <v>0</v>
      </c>
      <c r="AN671" s="1774" t="str">
        <f>IFERROR(ROUND(AM671*AC671,0),"")</f>
        <v/>
      </c>
      <c r="AO671" s="1776">
        <f>IFERROR(IF(IB671=FALSE,0,AC671-AN671),0)</f>
        <v>0</v>
      </c>
      <c r="AP671" s="1778">
        <f>AO671-AO673</f>
        <v>0</v>
      </c>
      <c r="AQ671" s="1779"/>
      <c r="AR671" s="1793">
        <f>IFERROR(IF(IB671=FALSE,0,(T673*U674)+(AF673*AG674)),0)</f>
        <v>0</v>
      </c>
      <c r="AS671" s="1793"/>
      <c r="AT671" s="1794"/>
      <c r="AU671" s="1734" t="s">
        <v>237</v>
      </c>
      <c r="AV671" s="1751">
        <f>IF(AU671="Yes",1,0)</f>
        <v>1</v>
      </c>
      <c r="AW671" s="1704" t="str">
        <f>IF(OR(DQ671=4,DQ671=5,DQ671=6,DQ671=12),CONCATENATE("$",IF(GH671=TRUE,Lookup!$K$10,Lookup!$K$2)," /lamp"),CONCATENATE(TEXT(ED671,"$0.00"),"/ kWh"))</f>
        <v>$0.00/ kWh</v>
      </c>
      <c r="AX671" s="467"/>
      <c r="AY671" s="1748">
        <f ca="1">IFERROR(IF(GM672=TRUE,(AB674*T673)/R673,0),"NA")</f>
        <v>0</v>
      </c>
      <c r="AZ671" s="1748"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696" t="str">
        <f>N672</f>
        <v/>
      </c>
      <c r="CQ671" s="1696" t="str">
        <f>IFERROR(VLOOKUP(G672,_Lookup_Heat_Type_Table_New,3,FALSE),"")</f>
        <v/>
      </c>
      <c r="CR671" s="1808" t="str">
        <f>CQ671</f>
        <v/>
      </c>
      <c r="CS671" s="1810" t="str">
        <f>IFERROR(VLOOKUP(G673,'Space Table'!$B$3:$L$163,9,FALSE),"")</f>
        <v/>
      </c>
      <c r="CU671" s="1688" t="s">
        <v>344</v>
      </c>
      <c r="CV671" s="1702">
        <f>IF(IB671=TRUE,T672,0)</f>
        <v>0</v>
      </c>
      <c r="CW671" s="1702" t="str">
        <f>IF(IB671=TRUE,U672,"")</f>
        <v/>
      </c>
      <c r="CX671" s="1702"/>
      <c r="CY671" s="1814">
        <f>IF(IB671=TRUE,AB671,0)</f>
        <v>0</v>
      </c>
      <c r="CZ671" s="1710">
        <f>IF(AND(__Retrofit_TI_NC&gt;0,CR671="interior"),0,IF(IB671=TRUE,AC671,0))</f>
        <v>0</v>
      </c>
      <c r="DA671" s="1814">
        <f>IFERROR(IF(IB671=TRUE,CZ671-CZ673,0),0)</f>
        <v>0</v>
      </c>
      <c r="DB671" s="1819">
        <f>IF(IB671=TRUE,AD671,0)</f>
        <v>0</v>
      </c>
      <c r="DC671" s="1819">
        <f>IF(IB671=TRUE,AD674,0)</f>
        <v>0</v>
      </c>
      <c r="DD671" s="1819">
        <f>IFERROR(DB671-DC671,0)</f>
        <v>0</v>
      </c>
      <c r="DF671" s="1702">
        <f>IF(IB671=TRUE,AF672,0)</f>
        <v>0</v>
      </c>
      <c r="DG671" s="1830">
        <f>IFERROR(IF(__Retrofit_TI_NC=2,IF(CQ671="Exterior",O674,FQ671),FN671),"")</f>
        <v>0</v>
      </c>
      <c r="DH671" s="1702"/>
      <c r="DI671" s="1837">
        <f>JE671</f>
        <v>0</v>
      </c>
      <c r="DJ671" s="1710">
        <f>IF(AND(__Retrofit_TI_NC&gt;0,CR671="interior"),0,IF(IB671=TRUE,AN671,0))</f>
        <v>0</v>
      </c>
      <c r="DK671" s="1712">
        <f>IFERROR(IF(IB671=TRUE,DJ673-DJ671,0),0)</f>
        <v>0</v>
      </c>
      <c r="DM671" s="1717">
        <f>IFERROR(CZ671-DJ671,0)</f>
        <v>0</v>
      </c>
      <c r="DO671" s="1708">
        <f>DM671-DN673</f>
        <v>0</v>
      </c>
      <c r="DQ671" s="1715" t="str">
        <f>IFERROR(IF(AND(OR(GC671=4,GC671=5,GC671=6),OR(GF671=4,GF671=5,GF671=6)),GC671+8,VLOOKUP(CW673,Fixtures!R$31:Y$78,8,FALSE)),"")</f>
        <v/>
      </c>
      <c r="DR671" s="1829" t="str">
        <f>DQ671</f>
        <v/>
      </c>
      <c r="DS671" s="1702" t="str">
        <f>IFERROR(VLOOKUP(DG673,Lookup!BB$3:BC$20,2,FALSE),"")</f>
        <v/>
      </c>
      <c r="DT671" s="1713" t="str">
        <f>IF(OR(DS671=7,DS671=8,DS671=9),"ALC","")</f>
        <v/>
      </c>
      <c r="DU671" s="1715">
        <f>IFERROR(IF(OR(DQ671=4,DQ671=5,DQ671=6,DQ671=12,DQ671=13,DQ671=14),VLOOKUP(CW673,Fixtures!DN$27:EG$77,19,FALSE),1)*CV673,0)</f>
        <v>0</v>
      </c>
      <c r="DV671" s="1716">
        <f>IF(OR(DS671=7,DS671=8,DS671=9),IF(DG671=DG673,0,DF673),0)</f>
        <v>0</v>
      </c>
      <c r="DX671" s="1715" t="str">
        <f>IFERROR(IF(EZ671&lt;EZ673,"Yes","No"),"")</f>
        <v/>
      </c>
      <c r="DY671" s="1829" t="str">
        <f>DX671</f>
        <v/>
      </c>
      <c r="DZ671" s="1715">
        <f>IF(DX671="Yes",DF673,0)</f>
        <v>0</v>
      </c>
      <c r="EA671" s="1715">
        <f>DZ671-DV671</f>
        <v>0</v>
      </c>
      <c r="EC671" s="1834">
        <f>IFERROR(VLOOKUP(DQ671,Lookup!AU$3:AV$16,2,FALSE),0)</f>
        <v>0</v>
      </c>
      <c r="ED671" s="1834">
        <f>IF(IB671=FALSE,0,IF(DX671="Yes",EC671+Lookup!K$6,EC671))</f>
        <v>0</v>
      </c>
      <c r="EF671" s="1707">
        <f>IF(IB671=TRUE,DM671,0)</f>
        <v>0</v>
      </c>
      <c r="EG671" s="1712">
        <f>IF(IB671=TRUE,CZ673,0)</f>
        <v>0</v>
      </c>
      <c r="EH671" s="1814">
        <f>IFERROR(EF671-EG671,0)</f>
        <v>0</v>
      </c>
      <c r="EI671" s="1712">
        <f>IF(IB671=TRUE,DJ673,0)</f>
        <v>0</v>
      </c>
      <c r="EJ671" s="1712">
        <f>IFERROR(EF671-EG671+EI671,0)</f>
        <v>0</v>
      </c>
      <c r="EK671" s="1812">
        <f>IF(IB671=TRUE,CV673*CX673,0)</f>
        <v>0</v>
      </c>
      <c r="EL671" s="1812">
        <f>IF(IB671=TRUE,DF673*DH673,0)</f>
        <v>0</v>
      </c>
      <c r="EM671" s="1807">
        <f>AR671</f>
        <v>0</v>
      </c>
      <c r="EN671" s="1839" t="str">
        <f>IFERROR(IF(IB671=TRUE,VLOOKUP(DQ671,Lookup!AU$3:AW$16,3,FALSE)*DU671,""),0)</f>
        <v/>
      </c>
      <c r="EO671" s="1839">
        <f>IF(IB671=TRUE,DZ671*Lookup!AW$12,0)</f>
        <v>0</v>
      </c>
      <c r="EP671" s="1817">
        <f>IFERROR(IF(IB671=TRUE,EN671/EP$40,0),0)</f>
        <v>0</v>
      </c>
      <c r="EQ671" s="1817">
        <f>IF(IB671=TRUE,EO671/EQ$40,0)</f>
        <v>0</v>
      </c>
      <c r="ER671" s="1807">
        <f>IF(IB671=TRUE,ET$40*EP671,0)</f>
        <v>0</v>
      </c>
      <c r="ES671" s="1807">
        <f>IF(IB671=TRUE,ET$40*EQ671,0)</f>
        <v>0</v>
      </c>
      <c r="ET671" s="1807">
        <f>ER671+ES671</f>
        <v>0</v>
      </c>
      <c r="EV671" s="1715">
        <f>IF(G671="",0,1)</f>
        <v>0</v>
      </c>
      <c r="EX671" s="1804" t="str">
        <f>IFERROR(VLOOKUP(CS673,'Space Table'!$B$3:$L$163,8,FALSE),"")</f>
        <v/>
      </c>
      <c r="EY671" s="1804" t="str">
        <f>IFERROR(IF(FB671="Yes",VLOOKUP(DG671,Lookup_Control_Type_Table2,4,FALSE),VLOOKUP(DG671,Lookup_Control_Type_Table2,3,FALSE)),"")</f>
        <v/>
      </c>
      <c r="EZ671" s="1804" t="e">
        <f>VLOOKUP(DG671,Lookup!BB$3:BC$20,2,FALSE)</f>
        <v>#N/A</v>
      </c>
      <c r="FA671" s="1804" t="e">
        <f>VLOOKUP(EX671,Lookup_Control_Type_Table,2,FALSE)</f>
        <v>#N/A</v>
      </c>
      <c r="FB671" s="1804" t="e">
        <f>VLOOKUP(CS673,'Space Table'!$B$3:$L$163,7,FALSE)</f>
        <v>#N/A</v>
      </c>
      <c r="FC671" s="1826" t="b">
        <f>ISNUMBER(SEARCH("TLED",U673))</f>
        <v>0</v>
      </c>
      <c r="FE671" s="1698" t="str">
        <f>CONCATENATE(CQ671," - ",DG671)</f>
        <v xml:space="preserve"> - 0</v>
      </c>
      <c r="FG671" s="1702" t="str">
        <f>VLOOKUP(CW673,Fixtures!DN$27:EZ$77,38,FALSE)</f>
        <v/>
      </c>
      <c r="FH671" s="1702">
        <f>IFERROR(FG671*EH671,0)</f>
        <v>0</v>
      </c>
      <c r="FI671" s="133"/>
      <c r="FL671" s="1822" t="str">
        <f>IF(CQ671="Exterior","Not Daylighted",G674)</f>
        <v>Not Daylighted</v>
      </c>
      <c r="FM671" s="1824">
        <f>VLOOKUP(FL671,_New_Daylight_Table_Codes,2,FALSE)</f>
        <v>0</v>
      </c>
      <c r="FN671" s="1698">
        <f>IF(__Retrofit_TI_NC&gt;0,VLOOKUP(G673,'Space Table'!$B$3:$L$163,11,FALSE),AG672)</f>
        <v>0</v>
      </c>
      <c r="FO671" s="1698" t="e">
        <f>IF(__Retrofit_TI_NC=2,VLOOKUP(FQ671,_Control_Table,2,FALSE),VLOOKUP(FN671,_Control_Table,2,FALSE))</f>
        <v>#N/A</v>
      </c>
      <c r="FP671" s="1678" t="e">
        <f>VLOOKUP(CONCATENATE(FL671," ",FN671),Lookup!AY$102:AZ681,2,FALSE)</f>
        <v>#N/A</v>
      </c>
      <c r="FQ671" s="1678">
        <f>IF(__Retrofit_TI_NC=0,FN671,IF(AND(FT671&gt;0,FN671="Occupancy Sensor"),"Daylight + Occupancy",IF(AND(FT671&gt;0,VLOOKUP(FN671,_Control_Table,2,FALSE)&lt;4),"Interior Daylight Dimming",FN671)))</f>
        <v>0</v>
      </c>
      <c r="FS671" s="1686">
        <f>IF(CR671="Interior",VLOOKUP(CS671,Control_Savings_Interior,5,FALSE),0)</f>
        <v>0</v>
      </c>
      <c r="FT671" s="1687">
        <f>IF(CQ671="Exterior",0,IF(FM671=2,0.5,IF(OR(FM671=1,FM671=3),1,0)))</f>
        <v>0</v>
      </c>
      <c r="FU671" s="1685">
        <f>IF(R670&gt;FS$44,(FS671*(FS$44/R670)),FS671)*FT671</f>
        <v>0</v>
      </c>
      <c r="FV671" s="1686">
        <f>DI671</f>
        <v>0</v>
      </c>
      <c r="FW671" s="1686">
        <f>ROUND(FV671+((1-FV671)*FU671),2)</f>
        <v>0</v>
      </c>
      <c r="FX671" s="1686">
        <f>IF(__Retrofit_TI_NC=2,FW671,FV671)</f>
        <v>0</v>
      </c>
      <c r="FY671" s="1697"/>
      <c r="GA671" s="1696" t="str">
        <f>IFERROR(VLOOKUP(U672,_Exist_Fixture_Table,3,FALSE),"")</f>
        <v/>
      </c>
      <c r="GB671" s="1696" t="str">
        <f>VLOOKUP(CW671,_Exist_Fixture_Table,4,FALSE)</f>
        <v/>
      </c>
      <c r="GC671" s="1696">
        <f>IFERROR(VLOOKUP(GB671,Lookup!AT$6:AU$8,2,FALSE),0)</f>
        <v>0</v>
      </c>
      <c r="GD671" s="1696" t="b">
        <f>IFERROR(IF(OR(GF671=4,GF671=5,GF671=6),TRUE,FALSE),"")</f>
        <v>0</v>
      </c>
      <c r="GE671" s="1696" t="str">
        <f>IFERROR(VLOOKUP(GF671,GC$6:GD$10,2,FALSE),"")</f>
        <v/>
      </c>
      <c r="GF671" s="1696" t="str">
        <f>VLOOKUP(CW673,Fixtures!R$31:Y$78,8,FALSE)</f>
        <v/>
      </c>
      <c r="GG671" s="1696">
        <f>IF(AND(GA671=TRUE,GD671=TRUE,OR(DQ671=12,DQ671=13,DQ671=14)),GC671+8,0)</f>
        <v>0</v>
      </c>
      <c r="GH671" s="1696" t="b">
        <f>IF(OR(GG671=12,GG671=13,GG671=14),TRUE,FALSE)</f>
        <v>0</v>
      </c>
      <c r="GI671" s="673" t="b">
        <f>IF(ISNUMBER(SEARCH("TLED",U672)),TRUE,FALSE)</f>
        <v>0</v>
      </c>
      <c r="GJ671" s="1135" t="str">
        <f>IFERROR(VLOOKUP(U672,Fixtures!BM$93:BR$142,6,FALSE),"")</f>
        <v/>
      </c>
      <c r="GK671" s="1832" t="b">
        <f>IF(OR(GI671=FALSE,GI673=FALSE),TRUE,IF(GJ671-GJ673&lt;5,FALSE,TRUE))</f>
        <v>1</v>
      </c>
      <c r="GO671" s="674">
        <f>GP671</f>
        <v>0</v>
      </c>
      <c r="GP671" s="674">
        <f>IF(G671="",0,1)</f>
        <v>0</v>
      </c>
      <c r="GQ671" s="674">
        <f ca="1">SUM(GR671:HF671)</f>
        <v>2</v>
      </c>
      <c r="GR671" s="674">
        <f>IF(G672="",0,1)</f>
        <v>0</v>
      </c>
      <c r="GS671" s="674">
        <f>IF(N674="BAM",1,IF(G673="",0,1))</f>
        <v>0</v>
      </c>
      <c r="GT671" s="674">
        <f>IF(N674="BAM",1,IF(R672="",0,1))</f>
        <v>0</v>
      </c>
      <c r="GU671" s="674">
        <f>IF(N674="BAM",1,IF(__Retrofit_TI_NC=0,1,IF(R673="",0,1)))</f>
        <v>1</v>
      </c>
      <c r="GV671" s="674">
        <f>IF(N674="BAM",1,IF(CQ671="Exterior",1,IF(G674="",0,1)))</f>
        <v>1</v>
      </c>
      <c r="GW671" s="674">
        <f>IF(__Retrofit_TI_NC&gt;0,1,IF(T672="",0,1))</f>
        <v>0</v>
      </c>
      <c r="GX671" s="674">
        <f>IF(__Retrofit_TI_NC&gt;0,1,IF(U672="",0,1))</f>
        <v>0</v>
      </c>
      <c r="GY671" s="674">
        <f>IF(N674="BAM",1,IF(T673="",0,1))</f>
        <v>0</v>
      </c>
      <c r="GZ671" s="674">
        <f>IF(N674="BAM",1,IF(U673="",0,1))</f>
        <v>0</v>
      </c>
      <c r="HA671" s="674">
        <f ca="1">IF(N674="BAM",1,IF(__Retrofit_TI_NC&gt;0,1,IF(U674="",0,1)))</f>
        <v>0</v>
      </c>
      <c r="HB671" s="674">
        <f>IF(__Retrofit_TI_NC&lt;&gt;0,1,IF(AF672="",0,1))</f>
        <v>0</v>
      </c>
      <c r="HC671" s="674">
        <f>IF(__Retrofit_TI_NC&lt;&gt;0,1,IF(AG672="",0,1))</f>
        <v>0</v>
      </c>
      <c r="HD671" s="674">
        <f>IF(N674="BAM",1,IF(AF673="",0,1))</f>
        <v>0</v>
      </c>
      <c r="HE671" s="674">
        <f>IF(N674="BAM",1,IF(AG673="",0,1))</f>
        <v>0</v>
      </c>
      <c r="HF671" s="674">
        <f>IF(N674="BAM",1,IF(__Retrofit_TI_NC&gt;0,1,IF(AG674="",0,1)))</f>
        <v>0</v>
      </c>
      <c r="HG671" s="391"/>
      <c r="IA671" s="391"/>
      <c r="IB671" s="1693" t="b">
        <f>IF(OR(IB674=0,IB674=HY$16,IB674=HX$16,IB674=HZ$16),TRUE,FALSE)</f>
        <v>0</v>
      </c>
      <c r="IC671" s="1694" t="b">
        <f>IB671</f>
        <v>0</v>
      </c>
      <c r="ID671" s="391"/>
      <c r="IE671" s="391"/>
      <c r="IF671" s="1688" t="b">
        <f ca="1">IF(MAX(GN674:HU674)&gt;5,FALSE,TRUE)</f>
        <v>0</v>
      </c>
      <c r="IG671" s="1689">
        <f ca="1">IF(IF671=TRUE,AC671,0)</f>
        <v>0</v>
      </c>
      <c r="IH671" s="1689">
        <f ca="1">IG671-IG673</f>
        <v>0</v>
      </c>
      <c r="IK671" s="1689" t="e">
        <f>ROUND(T672*VLOOKUP(U672,Fixtures_Existing_List,2,FALSE)*N672*R672/1000,0)</f>
        <v>#N/A</v>
      </c>
      <c r="IL671" s="1690" t="e">
        <f>IK671-IK673</f>
        <v>#N/A</v>
      </c>
      <c r="IM671" s="1693" t="e">
        <f>ROUND(IF(CQ671="Interior",N673*R673*R672*N672*_C406_reduction/1000,N673*R673*R672*N672/1000),0)</f>
        <v>#N/A</v>
      </c>
      <c r="IN671" s="1693" t="e">
        <f>IM671-IM673</f>
        <v>#N/A</v>
      </c>
      <c r="IP671" s="1679"/>
      <c r="IQ671" s="1679" t="e">
        <f t="shared" ref="IQ671:IU671" si="616">IF($CR671="interior",VLOOKUP($CS671,_New_Control_Savings_Interior,IQ$30,FALSE),VLOOKUP($CS671,Control_Savings_Exterior,IQ$30,FALSE))</f>
        <v>#N/A</v>
      </c>
      <c r="IR671" s="1679" t="e">
        <f t="shared" si="616"/>
        <v>#N/A</v>
      </c>
      <c r="IS671" s="1679" t="e">
        <f t="shared" si="616"/>
        <v>#N/A</v>
      </c>
      <c r="IT671" s="1679" t="e">
        <f t="shared" si="616"/>
        <v>#N/A</v>
      </c>
      <c r="IU671" s="1679" t="e">
        <f t="shared" si="616"/>
        <v>#N/A</v>
      </c>
      <c r="IV671" s="1679" t="e">
        <f>IF($CR671="interior",IF(R672&gt;$IP$14,ROUND(($IV$18*($IP$14/R672)),2),$IV$18),VLOOKUP($CS671,Control_Savings_Exterior,IV$30,FALSE))</f>
        <v>#N/A</v>
      </c>
      <c r="IW671" s="1679" t="e">
        <f>IF($CR671="interior",ROUND(((1-IS671)*IV671)+IS671,2),VLOOKUP($CS671,Control_Savings_Exterior,IW$30,FALSE))</f>
        <v>#N/A</v>
      </c>
      <c r="IX671" s="1679" t="e">
        <f>IF($CR671="interior",ROUND(((1-IT671)*IV671)+IT671,2),VLOOKUP($CS671,Control_Savings_Exterior,IX$30,FALSE))</f>
        <v>#N/A</v>
      </c>
      <c r="IY671" s="1679" t="e">
        <f>IF($CR671="interior",IF(R672&gt;$IP$14,ROUND(($IY$18*($IP$14/R672)),2),$IY$18),VLOOKUP($CS671,Control_Savings_Exterior,IY$30,FALSE))</f>
        <v>#N/A</v>
      </c>
      <c r="IZ671" s="1679" t="e">
        <f>IF($CR671="interior",ROUND(((1-IS671)*IY671)+IS671,2),VLOOKUP($CS671,Control_Savings_Exterior,IZ$30,FALSE))</f>
        <v>#N/A</v>
      </c>
      <c r="JA671" s="1679" t="e">
        <f>IF($CR671="interior",ROUND(((1-IT671)*IY671)+IT671,2),VLOOKUP($CS671,Control_Savings_Exterior,JA$30,FALSE))</f>
        <v>#N/A</v>
      </c>
      <c r="JC671" s="1680">
        <f>IFERROR(IF(CR671="Interior",CONCATENATE(G674," ",FQ671),FQ671),"")</f>
        <v>0</v>
      </c>
      <c r="JD671" s="1670" t="str">
        <f>IFERROR(VLOOKUP(JC671,_Controls_2023,2,FALSE),"")</f>
        <v/>
      </c>
      <c r="JE671" s="1681">
        <f>IFERROR(CHOOSE(JD671-1,IQ671,IR671,IS671,IT671,IU671,IV671,IW671,IX671,IY671,IZ671,JA671),0)</f>
        <v>0</v>
      </c>
      <c r="JG671" s="1680" t="str">
        <f>FE671</f>
        <v xml:space="preserve"> - 0</v>
      </c>
      <c r="JH671" s="1670" t="e">
        <f>$FO671</f>
        <v>#N/A</v>
      </c>
      <c r="JI671" s="1060"/>
      <c r="JJ671" s="1682" t="b">
        <f>IF($JG673=CONCATENATE("Interior - ",JJ$4),TRUE,FALSE)</f>
        <v>0</v>
      </c>
      <c r="JK671" s="1061"/>
      <c r="JL671" s="1682" t="b">
        <f>IF($JG673=CONCATENATE("Interior - ",JL$4),TRUE,FALSE)</f>
        <v>0</v>
      </c>
      <c r="JM671" s="1061"/>
      <c r="JN671" s="1682" t="b">
        <f>IF($JG673=CONCATENATE("Interior - ",JN$4),TRUE,FALSE)</f>
        <v>0</v>
      </c>
      <c r="JO671" s="1061"/>
      <c r="JP671" s="1682" t="b">
        <f>IF(__Retrofit_TI_NC&gt;0,FALSE,IF($JG673=CONCATENATE("Interior - ",JP$4),TRUE,FALSE))</f>
        <v>0</v>
      </c>
      <c r="JQ671" s="1061"/>
      <c r="JR671" s="1682" t="b">
        <f>IF(__Retrofit_TI_NC&gt;0,FALSE,IF($JG673=CONCATENATE("Interior - ",JR$4),TRUE,FALSE))</f>
        <v>0</v>
      </c>
      <c r="JS671" s="1061"/>
      <c r="JT671" s="1670" t="b">
        <f>IF(__Retrofit_TI_NC&gt;0,FALSE,IF($JG673=CONCATENATE("Interior - ",JT$4),TRUE,FALSE))</f>
        <v>0</v>
      </c>
      <c r="JU671" s="1061"/>
      <c r="JV671" s="1670" t="b">
        <f>IF(JC673="AELC on Existing",TRUE,FALSE)</f>
        <v>0</v>
      </c>
      <c r="JX671" s="1670" t="b">
        <f>IF(OR(JG673="Exterior - AELC Occupancy based",JG673="Exterior - AELC Time based"),TRUE,FALSE)</f>
        <v>0</v>
      </c>
      <c r="JZ671" s="1682" t="b">
        <f>IF($JG673=CONCATENATE("Exterior - ",JZ$4),TRUE,FALSE)</f>
        <v>0</v>
      </c>
      <c r="KB671" s="1670" t="b">
        <f>IF(__Retrofit_TI_NC&gt;0,FALSE,IF($JG673=CONCATENATE("Interior - ",KB$4),TRUE,FALSE))</f>
        <v>0</v>
      </c>
    </row>
    <row r="672" spans="1:288" s="78" customFormat="1" ht="14.95" customHeight="1" thickTop="1" thickBot="1">
      <c r="B672" s="1845"/>
      <c r="C672" s="1846"/>
      <c r="D672" s="1847"/>
      <c r="E672" s="1737" t="s">
        <v>297</v>
      </c>
      <c r="F672" s="1738"/>
      <c r="G672" s="1739"/>
      <c r="H672" s="1739"/>
      <c r="I672" s="1739"/>
      <c r="J672" s="1739"/>
      <c r="K672" s="1739"/>
      <c r="L672" s="1739"/>
      <c r="M672" s="461" t="e">
        <f>IF(__Retrofit_TI_NC&lt;&gt;0,IF(VLOOKUP(G673,'Space Table'!$B$3:$L$163,3,FALSE)&gt;0,1,0),IF(__Retrofit_TI_NC=VLOOKUP(G673,'Space Table'!$B$3:$L$163,3,FALSE),1,0))</f>
        <v>#N/A</v>
      </c>
      <c r="N672" s="461" t="str">
        <f>IFERROR(VLOOKUP(G672,_Lookup_Heat_Type_Table_New,2,FALSE),"")</f>
        <v/>
      </c>
      <c r="O672" s="461">
        <f>IF(__Retrofit_TI_NC=1,CONCATENATE("TI ",G672),IF(__Retrofit_TI_NC=2,CONCATENATE("NC ",G672),G672))</f>
        <v>0</v>
      </c>
      <c r="P672" s="1740" t="s">
        <v>435</v>
      </c>
      <c r="Q672" s="1740"/>
      <c r="R672" s="595"/>
      <c r="S672" s="1792"/>
      <c r="T672" s="597"/>
      <c r="U672" s="1765"/>
      <c r="V672" s="1766"/>
      <c r="W672" s="1766"/>
      <c r="X672" s="1766"/>
      <c r="Y672" s="1766"/>
      <c r="Z672" s="1766"/>
      <c r="AA672" s="1766"/>
      <c r="AB672" s="1766"/>
      <c r="AC672" s="1766"/>
      <c r="AD672" s="1767"/>
      <c r="AE672" s="1000"/>
      <c r="AF672" s="597"/>
      <c r="AG672" s="1723"/>
      <c r="AH672" s="1724"/>
      <c r="AI672" s="1724"/>
      <c r="AJ672" s="1724"/>
      <c r="AK672" s="1725"/>
      <c r="AL672" s="996"/>
      <c r="AM672" s="1747"/>
      <c r="AN672" s="1775"/>
      <c r="AO672" s="1777"/>
      <c r="AP672" s="1780"/>
      <c r="AQ672" s="1781"/>
      <c r="AR672" s="1795"/>
      <c r="AS672" s="1795"/>
      <c r="AT672" s="1796"/>
      <c r="AU672" s="1735"/>
      <c r="AV672" s="1752"/>
      <c r="AW672" s="1705"/>
      <c r="AX672" s="467"/>
      <c r="AY672" s="1749"/>
      <c r="AZ672" s="1749"/>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696"/>
      <c r="CQ672" s="1696"/>
      <c r="CR672" s="1809"/>
      <c r="CS672" s="1811"/>
      <c r="CU672" s="1688"/>
      <c r="CV672" s="1703"/>
      <c r="CW672" s="1703"/>
      <c r="CX672" s="1703"/>
      <c r="CY672" s="1815"/>
      <c r="CZ672" s="1711"/>
      <c r="DA672" s="1818"/>
      <c r="DB672" s="1820"/>
      <c r="DC672" s="1820"/>
      <c r="DD672" s="1820"/>
      <c r="DF672" s="1703"/>
      <c r="DG672" s="1831"/>
      <c r="DH672" s="1703"/>
      <c r="DI672" s="1838"/>
      <c r="DJ672" s="1711"/>
      <c r="DK672" s="1712"/>
      <c r="DM672" s="1718"/>
      <c r="DO672" s="1708"/>
      <c r="DQ672" s="1715"/>
      <c r="DR672" s="1720"/>
      <c r="DS672" s="1816"/>
      <c r="DT672" s="1714"/>
      <c r="DU672" s="1715"/>
      <c r="DV672" s="1716"/>
      <c r="DX672" s="1715"/>
      <c r="DY672" s="1720"/>
      <c r="DZ672" s="1715"/>
      <c r="EA672" s="1715"/>
      <c r="EC672" s="1834"/>
      <c r="ED672" s="1834"/>
      <c r="EF672" s="1707"/>
      <c r="EG672" s="1712"/>
      <c r="EH672" s="1818"/>
      <c r="EI672" s="1712"/>
      <c r="EJ672" s="1712"/>
      <c r="EK672" s="1836"/>
      <c r="EL672" s="1836"/>
      <c r="EM672" s="1807"/>
      <c r="EN672" s="1839"/>
      <c r="EO672" s="1839"/>
      <c r="EP672" s="1817"/>
      <c r="EQ672" s="1817"/>
      <c r="ER672" s="1807"/>
      <c r="ES672" s="1807"/>
      <c r="ET672" s="1807"/>
      <c r="EV672" s="1715"/>
      <c r="EX672" s="1805"/>
      <c r="EY672" s="1805"/>
      <c r="EZ672" s="1805"/>
      <c r="FA672" s="1805"/>
      <c r="FB672" s="1805"/>
      <c r="FC672" s="1827"/>
      <c r="FE672" s="1698"/>
      <c r="FG672" s="1816"/>
      <c r="FH672" s="1816"/>
      <c r="FI672" s="133"/>
      <c r="FL672" s="1823"/>
      <c r="FM672" s="1825"/>
      <c r="FN672" s="1698"/>
      <c r="FO672" s="1698"/>
      <c r="FP672" s="1678"/>
      <c r="FQ672" s="1678"/>
      <c r="FS672" s="1687"/>
      <c r="FT672" s="1687"/>
      <c r="FU672" s="1685"/>
      <c r="FV672" s="1687"/>
      <c r="FW672" s="1687"/>
      <c r="FX672" s="1687"/>
      <c r="FY672" s="1697"/>
      <c r="GA672" s="1696"/>
      <c r="GB672" s="1696"/>
      <c r="GC672" s="1696"/>
      <c r="GD672" s="1696"/>
      <c r="GE672" s="1696"/>
      <c r="GF672" s="1696"/>
      <c r="GG672" s="1696"/>
      <c r="GH672" s="1696"/>
      <c r="GI672" s="673"/>
      <c r="GJ672" s="1135"/>
      <c r="GK672" s="1832"/>
      <c r="GM672" s="1693" t="b">
        <f ca="1">IF(AND(GP672=TRUE,GQ672=TRUE),TRUE,FALSE)</f>
        <v>0</v>
      </c>
      <c r="GN672" s="1684" t="b">
        <f>IFERROR(IF(__Retrofit_TI_NC=2,TRUE,IF(AU671="Yes",TRUE,FALSE)),FALSE)</f>
        <v>1</v>
      </c>
      <c r="GP672" s="1684" t="b">
        <f>IFERROR(IF(GP671=1,TRUE,FALSE),FALSE)</f>
        <v>0</v>
      </c>
      <c r="GQ672" s="1684" t="b">
        <f ca="1">IFERROR(IF(GQ671=GQ$14,TRUE,FALSE),FALSE)</f>
        <v>0</v>
      </c>
      <c r="HG672" s="1684" t="b">
        <f>IFERROR(IF(AND(__Retrofit_TI_NC&gt;0,CQ671="Interior"),FALSE,TRUE),FALSE)</f>
        <v>1</v>
      </c>
      <c r="HH672" s="1684" t="b">
        <f>IFERROR(IF(M672=1,TRUE,FALSE),FALSE)</f>
        <v>0</v>
      </c>
      <c r="HI672" s="1684" t="b">
        <f>IFERROR(IF(OR(M673=1,N674="BAM"),TRUE,FALSE),FALSE)</f>
        <v>0</v>
      </c>
      <c r="HJ672" s="1684" t="b">
        <f>IFERROR(IF(__Retrofit_TI_NC&lt;&gt;0,TRUE,IFERROR(IF(VLOOKUP(U672,Fixtures_Existing_List,2,FALSE)&lt;&gt;"",TRUE,FALSE),FALSE)),FALSE)</f>
        <v>0</v>
      </c>
      <c r="HK672" s="1684" t="b">
        <f>IFERROR(IF(VLOOKUP(U673,Fixtures_Proposed_List,2,FALSE)&lt;&gt;"",TRUE,FALSE),FALSE)</f>
        <v>0</v>
      </c>
      <c r="HL672" s="1684" t="b">
        <f>IF(AND(__Retrofit_TI_NC=2,FC671=TRUE),FALSE,TRUE)</f>
        <v>1</v>
      </c>
      <c r="HM672" s="1684" t="b">
        <f>GK671</f>
        <v>1</v>
      </c>
      <c r="HN672" s="1682" t="b">
        <f>IF(ISERROR(MATCH(FE671,_Control_Match[],0))=TRUE,FALSE,TRUE)</f>
        <v>0</v>
      </c>
      <c r="HO672" s="1693" t="b">
        <f>IFERROR(IF(EX671&lt;&gt;EY671,FALSE,TRUE),FALSE)</f>
        <v>1</v>
      </c>
      <c r="HP672" s="1693" t="b">
        <f>IFERROR(IF(EX673&lt;&gt;EY673,FALSE,TRUE),FALSE)</f>
        <v>1</v>
      </c>
      <c r="HQ672" s="1670" t="b">
        <f>IFERROR(IF(CQ671="Exterior",TRUE,IF(AND(OR(FM673=0,FM673=3),JD673&gt;6),FALSE,TRUE)),FALSE)</f>
        <v>0</v>
      </c>
      <c r="HR672" s="1684" t="b">
        <f>IFERROR(IF(AND(FO673=7,FC671=TRUE),FALSE,TRUE),FALSE)</f>
        <v>0</v>
      </c>
      <c r="HS672" s="1684" t="b">
        <f>IFERROR(IF(AND(T673&lt;&gt;AF673,OR(AG673="Interior LLLC", AG673="Interior NLC", AG673="LLLC (outside Daylight)",AG673="LLLC Controls Only"))=TRUE,FALSE,TRUE),FALSE)</f>
        <v>1</v>
      </c>
      <c r="HT672" s="1670" t="b">
        <f>IFERROR(IF(OR(AG673=Lookup!BB$17,AG673=Lookup!BB$18,AG673=Lookup!BB$19)=TRUE,IF(AF673&gt;T673,FALSE,TRUE),TRUE),FALSE)</f>
        <v>1</v>
      </c>
      <c r="HU672" s="1684" t="b">
        <f>IFERROR(IF(__Retrofit_TI_NC=2,IF(EZ673&lt;EZ671,FALSE,TRUE),TRUE),FALSE)</f>
        <v>1</v>
      </c>
      <c r="HV672" s="1684" t="b">
        <f>IF(CQ671="Interior",IL$6,TRUE)</f>
        <v>1</v>
      </c>
      <c r="HW672" s="1684" t="b">
        <f>IF(CQ671="Exterior",IL$8,TRUE)</f>
        <v>1</v>
      </c>
      <c r="HX672" s="1684" t="b">
        <f>IFERROR(IF(__Retrofit_TI_NC&lt;&gt;0,IF(AZ671&lt;AY671,FALSE,TRUE),TRUE),FALSE)</f>
        <v>1</v>
      </c>
      <c r="HY672" s="1684" t="b">
        <f>IFERROR(IF(AND(G672="Exterior",R672&gt;4200),FALSE,TRUE),FALSE)</f>
        <v>1</v>
      </c>
      <c r="HZ672" s="1684" t="b">
        <f>IFERROR(IF(AB674/AB671&lt;HZ$18,FALSE,TRUE),FALSE)</f>
        <v>0</v>
      </c>
      <c r="IB672" s="1691"/>
      <c r="IC672" s="1695"/>
      <c r="ID672" s="1694" t="str">
        <f>VLOOKUP(IB674,_Error_Table,4,FALSE)</f>
        <v>White</v>
      </c>
      <c r="IE672" s="391"/>
      <c r="IF672" s="1688"/>
      <c r="IG672" s="1689"/>
      <c r="IH672" s="1684"/>
      <c r="IK672" s="1689"/>
      <c r="IL672" s="1691"/>
      <c r="IM672" s="1691"/>
      <c r="IN672" s="1691"/>
      <c r="IP672" s="1679"/>
      <c r="IQ672" s="1679"/>
      <c r="IR672" s="1679"/>
      <c r="IS672" s="1679"/>
      <c r="IT672" s="1679"/>
      <c r="IU672" s="1679"/>
      <c r="IV672" s="1679"/>
      <c r="IW672" s="1679"/>
      <c r="IX672" s="1679"/>
      <c r="IY672" s="1679"/>
      <c r="IZ672" s="1679"/>
      <c r="JA672" s="1679"/>
      <c r="JC672" s="1680"/>
      <c r="JD672" s="1670"/>
      <c r="JE672" s="1681"/>
      <c r="JG672" s="1680"/>
      <c r="JH672" s="1670"/>
      <c r="JI672" s="1060"/>
      <c r="JJ672" s="1683"/>
      <c r="JK672" s="1061"/>
      <c r="JL672" s="1683"/>
      <c r="JM672" s="1061"/>
      <c r="JN672" s="1683"/>
      <c r="JO672" s="1061"/>
      <c r="JP672" s="1683"/>
      <c r="JQ672" s="1061"/>
      <c r="JR672" s="1683"/>
      <c r="JS672" s="1061"/>
      <c r="JT672" s="1670"/>
      <c r="JU672" s="1061"/>
      <c r="JV672" s="1670"/>
      <c r="JX672" s="1670"/>
      <c r="JZ672" s="1683"/>
      <c r="KB672" s="1670"/>
    </row>
    <row r="673" spans="1:288" s="78" customFormat="1" ht="14.95" customHeight="1" thickTop="1" thickBot="1">
      <c r="A673" s="78">
        <f>ROW()</f>
        <v>673</v>
      </c>
      <c r="B673" s="1845"/>
      <c r="C673" s="1846"/>
      <c r="D673" s="1847"/>
      <c r="E673" s="1737" t="s">
        <v>298</v>
      </c>
      <c r="F673" s="1738"/>
      <c r="G673" s="1760"/>
      <c r="H673" s="1761"/>
      <c r="I673" s="1761"/>
      <c r="J673" s="1761"/>
      <c r="K673" s="1761"/>
      <c r="L673" s="1762"/>
      <c r="M673" s="461">
        <f>IFERROR(IF(IF(__Retrofit_TI_NC&lt;&gt;0,IF(CQ671="Interior",MATCH(G673,Lookup_Interior_New,0),MATCH(G673,Lookup_Exterior_New,0)),IF(CQ671="Interior",MATCH(G673,Lookup_Interior,0),MATCH(G673,Lookup_Exterior_Areas,0)))&gt;0,1,0),0)</f>
        <v>0</v>
      </c>
      <c r="N673" s="461" t="e">
        <f>IF(__Retrofit_TI_NC=1,
VLOOKUP(G673,'Space Table'!$B$3:$L$163,4,FALSE),
IF(__Retrofit_TI_NC=2,VLOOKUP(G673,'Space Table'!$B$3:$L$163,5,FALSE),VLOOKUP(G673,'Space Table'!$B$3:$L$163,5,FALSE)))</f>
        <v>#N/A</v>
      </c>
      <c r="O673" s="461">
        <f>G673</f>
        <v>0</v>
      </c>
      <c r="P673" s="1738" t="str">
        <f>IFERROR(IF(__Retrofit_TI_NC=1,VLOOKUP(G673,'Space Table'!$B$3:$O$163,13,FALSE),IF(__Retrofit_TI_NC=2,VLOOKUP(G673,'Space Table'!$B$3:$O$163,14,FALSE),"Area (sf):")),"Area (sf):")</f>
        <v>Area (sf):</v>
      </c>
      <c r="Q673" s="1738"/>
      <c r="R673" s="596"/>
      <c r="S673" s="1763" t="s">
        <v>345</v>
      </c>
      <c r="T673" s="594"/>
      <c r="U673" s="1801"/>
      <c r="V673" s="1802"/>
      <c r="W673" s="1802"/>
      <c r="X673" s="1802"/>
      <c r="Y673" s="1802"/>
      <c r="Z673" s="1802"/>
      <c r="AA673" s="1802"/>
      <c r="AB673" s="1802"/>
      <c r="AC673" s="1802"/>
      <c r="AD673" s="1802"/>
      <c r="AE673" s="1803"/>
      <c r="AF673" s="594"/>
      <c r="AG673" s="1787"/>
      <c r="AH673" s="1787"/>
      <c r="AI673" s="1787"/>
      <c r="AJ673" s="1787"/>
      <c r="AK673" s="1787"/>
      <c r="AL673" s="1787"/>
      <c r="AM673" s="1726">
        <f>IFERROR(DI673,"")</f>
        <v>0</v>
      </c>
      <c r="AN673" s="1728" t="str">
        <f>IFERROR(ROUND(AM673*AC674,0),"")</f>
        <v/>
      </c>
      <c r="AO673" s="1730">
        <f>IFERROR(IF(IB671=FALSE,0,AC674-AN673),0)</f>
        <v>0</v>
      </c>
      <c r="AP673" s="1780"/>
      <c r="AQ673" s="1781"/>
      <c r="AR673" s="1795"/>
      <c r="AS673" s="1795"/>
      <c r="AT673" s="1796"/>
      <c r="AU673" s="1735"/>
      <c r="AV673" s="1752"/>
      <c r="AW673" s="1705"/>
      <c r="AX673" s="467"/>
      <c r="AY673" s="1749"/>
      <c r="AZ673" s="1749"/>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696"/>
      <c r="CQ673" s="1696"/>
      <c r="CR673" s="1808" t="str">
        <f>CQ671</f>
        <v/>
      </c>
      <c r="CS673" s="1810" t="str">
        <f>CS671</f>
        <v/>
      </c>
      <c r="CU673" s="1688" t="s">
        <v>345</v>
      </c>
      <c r="CV673" s="1702">
        <f>IF(IB671=TRUE,T673,0)</f>
        <v>0</v>
      </c>
      <c r="CW673" s="1702" t="str">
        <f>IF(IB671=TRUE,U673,"")</f>
        <v/>
      </c>
      <c r="CX673" s="1812">
        <f>IF(IB671=TRUE,U674,0)</f>
        <v>0</v>
      </c>
      <c r="CY673" s="1814">
        <f>IF(IB671=TRUE,AB674,0)</f>
        <v>0</v>
      </c>
      <c r="CZ673" s="1710">
        <f>IF(AND(__Retrofit_TI_NC&gt;0,CR671="interior"),0,IF(IB671=TRUE,AC674,0))</f>
        <v>0</v>
      </c>
      <c r="DA673" s="1818"/>
      <c r="DB673" s="1820"/>
      <c r="DC673" s="1820"/>
      <c r="DD673" s="1820"/>
      <c r="DF673" s="1702">
        <f>IF(IB671=TRUE,AF673,0)</f>
        <v>0</v>
      </c>
      <c r="DG673" s="1830" t="str">
        <f>IF(IB671=TRUE,AG673,"")</f>
        <v/>
      </c>
      <c r="DH673" s="1812">
        <f>AG674</f>
        <v>0</v>
      </c>
      <c r="DI673" s="1837">
        <f>JE673</f>
        <v>0</v>
      </c>
      <c r="DJ673" s="1710">
        <f>IF(AND(__Retrofit_TI_NC&gt;0,CR671="interior"),0,IF(IB671=TRUE,AN673,0))</f>
        <v>0</v>
      </c>
      <c r="DK673" s="1712"/>
      <c r="DN673" s="1717">
        <f>IFERROR(CZ673-DJ673,0)</f>
        <v>0</v>
      </c>
      <c r="DO673" s="1709"/>
      <c r="DQ673" s="1715"/>
      <c r="DR673" s="1719" t="str">
        <f>DQ671</f>
        <v/>
      </c>
      <c r="DS673" s="1816"/>
      <c r="DT673" s="1835" t="str">
        <f>IF(OR(DS671=7,DS671=8,DS671=9),"ALC","")</f>
        <v/>
      </c>
      <c r="DU673" s="1715"/>
      <c r="DV673" s="1716"/>
      <c r="DX673" s="1715"/>
      <c r="DY673" s="1829" t="str">
        <f>DX671</f>
        <v/>
      </c>
      <c r="DZ673" s="1715"/>
      <c r="EA673" s="1715"/>
      <c r="EC673" s="1834"/>
      <c r="ED673" s="1834"/>
      <c r="EF673" s="1707"/>
      <c r="EG673" s="1712"/>
      <c r="EH673" s="1818"/>
      <c r="EI673" s="1712"/>
      <c r="EJ673" s="1712"/>
      <c r="EK673" s="1836"/>
      <c r="EL673" s="1836"/>
      <c r="EM673" s="1807"/>
      <c r="EN673" s="1839"/>
      <c r="EO673" s="1839"/>
      <c r="EP673" s="1817"/>
      <c r="EQ673" s="1817"/>
      <c r="ER673" s="1807"/>
      <c r="ES673" s="1807"/>
      <c r="ET673" s="1807"/>
      <c r="EV673" s="1715"/>
      <c r="EX673" s="1805" t="str">
        <f>IFERROR(VLOOKUP(CS673,'Space Table'!$B$3:$L$163,8,FALSE),"")</f>
        <v/>
      </c>
      <c r="EY673" s="1805" t="str">
        <f>IFERROR(IF(FB673="Yes",VLOOKUP(AG673,Lookup_Control_Type_Table2,4,FALSE),VLOOKUP(AG673,Lookup_Control_Type_Table2,3,FALSE)),"")</f>
        <v/>
      </c>
      <c r="EZ673" s="1805" t="e">
        <f>VLOOKUP(AG673,Lookup!BB$3:BC$20,2,FALSE)</f>
        <v>#N/A</v>
      </c>
      <c r="FA673" s="1805" t="e">
        <f>VLOOKUP(EX671,Lookup_Control_Type_Table,2,FALSE)</f>
        <v>#N/A</v>
      </c>
      <c r="FB673" s="1805" t="e">
        <f>VLOOKUP(CS673,'Space Table'!$B$3:$L$163,7,FALSE)</f>
        <v>#N/A</v>
      </c>
      <c r="FC673" s="1827"/>
      <c r="FE673" s="1698" t="str">
        <f>CONCATENATE(CQ671," - ",AG673)</f>
        <v xml:space="preserve"> - </v>
      </c>
      <c r="FG673" s="1816"/>
      <c r="FH673" s="1816"/>
      <c r="FI673" s="133"/>
      <c r="FL673" s="1822" t="str">
        <f>IF(CQ671="Exterior","Not Daylighted",G674)</f>
        <v>Not Daylighted</v>
      </c>
      <c r="FM673" s="1824">
        <f>VLOOKUP(FL673,_New_Daylight_Table_Codes,2,FALSE)</f>
        <v>0</v>
      </c>
      <c r="FN673" s="1698">
        <f>AG673</f>
        <v>0</v>
      </c>
      <c r="FO673" s="1698" t="e">
        <f>VLOOKUP(FN673,_Control_Table,2,FALSE)</f>
        <v>#N/A</v>
      </c>
      <c r="FP673" s="1678" t="e">
        <f>VLOOKUP(CONCATENATE(FL673," ",FN673),Lookup!AY$102:AZ684,2,FALSE)</f>
        <v>#N/A</v>
      </c>
      <c r="FQ673" s="1698">
        <f>IF(__Retrofit_TI_NC=0,FN673,IF(AND(FT673&gt;0,FN673="Occupancy Sensor"),"Daylight + Occupancy",IF(AND(FT673&gt;0,FO673&lt;4),"Interior Daylight Dimming",FN673)))</f>
        <v>0</v>
      </c>
      <c r="FS673" s="1686">
        <f>IF(CQ671="Interior",VLOOKUP(CS671,Control_Savings_Interior,5,FALSE),0)</f>
        <v>0</v>
      </c>
      <c r="FT673" s="1687">
        <f>IF(CQ673="Exterior",0,IF(FM673=2,0.5,IF(OR(FM673=1,FM673=3),1,0)))</f>
        <v>0</v>
      </c>
      <c r="FU673" s="1685">
        <f>IF(R672&gt;FS$44,(FS673*(FS$44/R672)),FS673)*FT673</f>
        <v>0</v>
      </c>
      <c r="FV673" s="1686">
        <f>DI673</f>
        <v>0</v>
      </c>
      <c r="FW673" s="1686">
        <f>ROUND(FV673+((1-FV673)*FU673),2)</f>
        <v>0</v>
      </c>
      <c r="FX673" s="1686">
        <f>IF(__Retrofit_TI_NC=2,FW673,FV673)</f>
        <v>0</v>
      </c>
      <c r="FY673" s="1697">
        <f>IF(CR673="Interior",VLOOKUP(CS673,Control_Savings_Interior,4,FALSE),0)</f>
        <v>0</v>
      </c>
      <c r="GA673" s="1696"/>
      <c r="GB673" s="1696"/>
      <c r="GC673" s="1696"/>
      <c r="GD673" s="1696"/>
      <c r="GE673" s="1696"/>
      <c r="GF673" s="1696"/>
      <c r="GG673" s="1696"/>
      <c r="GH673" s="1696"/>
      <c r="GI673" s="673" t="b">
        <f>IF(ISNUMBER(SEARCH("TLED",U673)),TRUE,FALSE)</f>
        <v>0</v>
      </c>
      <c r="GJ673" s="1135" t="str">
        <f>IFERROR(VLOOKUP(U673,Fixtures!DM$93:DR$142,6,FALSE),"")</f>
        <v/>
      </c>
      <c r="GK673" s="1832"/>
      <c r="GM673" s="1692"/>
      <c r="GN673" s="1684"/>
      <c r="GP673" s="1684"/>
      <c r="GQ673" s="1684"/>
      <c r="HG673" s="1684"/>
      <c r="HH673" s="1684"/>
      <c r="HI673" s="1684"/>
      <c r="HJ673" s="1684"/>
      <c r="HK673" s="1684"/>
      <c r="HL673" s="1684"/>
      <c r="HM673" s="1684"/>
      <c r="HN673" s="1683"/>
      <c r="HO673" s="1692"/>
      <c r="HP673" s="1692"/>
      <c r="HQ673" s="1670"/>
      <c r="HR673" s="1684"/>
      <c r="HS673" s="1684"/>
      <c r="HT673" s="1670"/>
      <c r="HU673" s="1684"/>
      <c r="HV673" s="1684"/>
      <c r="HW673" s="1684"/>
      <c r="HX673" s="1684"/>
      <c r="HY673" s="1684"/>
      <c r="HZ673" s="1684"/>
      <c r="IB673" s="1692"/>
      <c r="IC673" s="1693" t="b">
        <f>IB671</f>
        <v>0</v>
      </c>
      <c r="ID673" s="1695"/>
      <c r="IE673" s="391"/>
      <c r="IF673" s="1688"/>
      <c r="IG673" s="1689">
        <f ca="1">IF(IF671=TRUE,AC674,0)</f>
        <v>0</v>
      </c>
      <c r="IH673" s="1684"/>
      <c r="IK673" s="1689" t="e">
        <f>ROUND(T673*AB674*N672*R672/1000,0)</f>
        <v>#VALUE!</v>
      </c>
      <c r="IL673" s="1691"/>
      <c r="IM673" s="1693" t="e">
        <f>ROUND(T673*AB674*N672*R672/1000,0)</f>
        <v>#VALUE!</v>
      </c>
      <c r="IN673" s="1691"/>
      <c r="IP673" s="1679"/>
      <c r="IQ673" s="1679" t="e">
        <f t="shared" ref="IQ673:IU673" si="617">IF($CR673="interior",VLOOKUP($CS673,_New_Control_Savings_Interior,IQ$30,FALSE),VLOOKUP($CS673,Control_Savings_Exterior,IQ$30,FALSE))</f>
        <v>#N/A</v>
      </c>
      <c r="IR673" s="1679" t="e">
        <f t="shared" si="617"/>
        <v>#N/A</v>
      </c>
      <c r="IS673" s="1679" t="e">
        <f t="shared" si="617"/>
        <v>#N/A</v>
      </c>
      <c r="IT673" s="1679" t="e">
        <f t="shared" si="617"/>
        <v>#N/A</v>
      </c>
      <c r="IU673" s="1679" t="e">
        <f t="shared" si="617"/>
        <v>#N/A</v>
      </c>
      <c r="IV673" s="1679" t="e">
        <f>IF($CR673="interior",IF(R672&gt;$IP$14,ROUND(($IV$18*($IP$14/R672)),2),$IV$18),VLOOKUP($CS673,Control_Savings_Exterior,IV$30,FALSE))</f>
        <v>#N/A</v>
      </c>
      <c r="IW673" s="1679" t="e">
        <f>IF($CR673="interior",ROUND(((1-IS673)*IV673)+IS673,2),VLOOKUP($CS673,Control_Savings_Exterior,IW$30,FALSE))</f>
        <v>#N/A</v>
      </c>
      <c r="IX673" s="1679" t="e">
        <f>IF($CR673="interior",ROUND(((1-IT673)*IV673)+IT673,2),VLOOKUP($CS673,Control_Savings_Exterior,IX$30,FALSE))</f>
        <v>#N/A</v>
      </c>
      <c r="IY673" s="1679" t="e">
        <f>IF($CR673="interior",IF(R672&gt;$IP$14,ROUND(($IY$18*($IP$14/R672)),2),$IY$18),VLOOKUP($CS673,Control_Savings_Exterior,IY$30,FALSE))</f>
        <v>#N/A</v>
      </c>
      <c r="IZ673" s="1679" t="e">
        <f>IF($CR673="interior",ROUND(((1-IS673)*IY673)+IS673,2),VLOOKUP($CS673,Control_Savings_Exterior,IZ$30,FALSE))</f>
        <v>#N/A</v>
      </c>
      <c r="JA673" s="1679" t="e">
        <f>IF($CR673="interior",ROUND(((1-IT673)*IY673)+IT673,2),VLOOKUP($CS673,Control_Savings_Exterior,JA$30,FALSE))</f>
        <v>#N/A</v>
      </c>
      <c r="JC673" s="1680">
        <f>IFERROR(IF(CR673="Interior",CONCATENATE(G674," ",FQ673),AG673),"")</f>
        <v>0</v>
      </c>
      <c r="JD673" s="1670" t="str">
        <f>IFERROR(VLOOKUP(JC673,_Controls_2023,2,FALSE),"")</f>
        <v/>
      </c>
      <c r="JE673" s="1681">
        <f>IFERROR(CHOOSE(JD673-1,IQ673,IR673,IS673,IT673,IU673,IV673,IW673,IX673,IY673,IZ673,JA673),0)</f>
        <v>0</v>
      </c>
      <c r="JG673" s="1680" t="str">
        <f>FE673</f>
        <v xml:space="preserve"> - </v>
      </c>
      <c r="JH673" s="1670" t="e">
        <f>$FO673</f>
        <v>#N/A</v>
      </c>
      <c r="JI673" s="1060"/>
      <c r="JJ673" s="1670">
        <f>IFERROR(IF($IB671=TRUE,IF(OR(JJ$14="No",JJ671=FALSE,JH673&lt;=JH671,AND(_kWh_Grant=0,GD671=FALSE)),0,IF(JJ$8="Per Line",1,$AF673)),0),0)</f>
        <v>0</v>
      </c>
      <c r="JK673" s="1061"/>
      <c r="JL673" s="1670">
        <f>IFERROR(IF(_kWh_Grant=0,0,IF($IB671=TRUE,IF(OR(JL$14="No",JL671=FALSE,JH673&lt;=JH671),0,IF(JL$8="Per Line",1,$T673)),0)),0)</f>
        <v>0</v>
      </c>
      <c r="JM673" s="1061"/>
      <c r="JN673" s="1670">
        <f>IFERROR(IF(_kWh_Grant=0,0,IF($IB671=TRUE,IF(OR(JN$14="No",JN671=FALSE,JH673&lt;=JH671),0,IF(JN$8="Per Line",1,$AF673)),0)),0)</f>
        <v>0</v>
      </c>
      <c r="JO673" s="1061"/>
      <c r="JP673" s="1670">
        <f>IFERROR(IF(__Retrofit_TI_NC=0,IF(_kWh_Grant=0,0,IF($IB671=TRUE,IF(OR(JP$14="No",JP671=FALSE,$JH673&lt;=$JH671),0,IF(JP$8="Per Line",1,$AF673)),0)),IF($IB671=TRUE,IF(OR(JP$14="No",JP671=FALSE,$JH673&lt;=$JH671),0,IF(JP$8="Per Line",1,$AF673)))),0)</f>
        <v>0</v>
      </c>
      <c r="JQ673" s="1061"/>
      <c r="JR673" s="1670">
        <f>IFERROR(IF(__Retrofit_TI_NC=0,IF(_kWh_Grant=0,0,IF($IB671=TRUE,IF(OR(JR$14="No",JR671=FALSE,$JH673&lt;=$JH671),0,IF(JR$8="Per Line",1,$AF673)),0)),IF($IB671=TRUE,IF(OR(JR$14="No",JR671=FALSE,$JH673&lt;=$JH671),0,IF(JR$8="Per Line",1,$AF673)))),0)</f>
        <v>0</v>
      </c>
      <c r="JS673" s="1061"/>
      <c r="JT673" s="1670">
        <f>IFERROR(IF(__Retrofit_TI_NC=0,IF(_kWh_Grant=0,0,IF($IB671=TRUE,IF(OR(JT$14="No",JT671=FALSE,$JH673&lt;=$JH671),0,IF(JT$8="Per Line",1,$AF673)),0)),IF($IB671=TRUE,IF(OR(JT$14="No",JT671=FALSE,$JH673&lt;=$JH671),0,IF(JT$8="Per Line",1,$AF673)))),0)</f>
        <v>0</v>
      </c>
      <c r="JU673" s="1061"/>
      <c r="JV673" s="1670">
        <f>IFERROR(IF(__Retrofit_TI_NC=0,IF(_kWh_Grant=0,0,IF($IB671=TRUE,IF(OR(JV$14="No",JV671=FALSE,$JH673&lt;=$JH671),0,IF(JV$8="Per Line",1,$AF673)),0)),IF($IB671=TRUE,IF(OR(JV$14="No",JV671=FALSE,$JH673&lt;=$JH671),0,IF(JV$8="Per Line",1,$AF673)))),0)</f>
        <v>0</v>
      </c>
      <c r="JX673" s="1670">
        <f>IFERROR(IF(__Retrofit_TI_NC=0,IF(_kWh_Grant=0,0,IF($IB671=TRUE,IF(OR(JX$14="No",JX671=FALSE,$JH673&lt;=$JH671),0,IF(JX$8="Per Line",1,$AF673)),0)),IF($IB671=TRUE,IF(OR(JX$14="No",JX671=FALSE,$JH673&lt;=$JH671),0,IF(JX$8="Per Line",1,$AF673)))),0)</f>
        <v>0</v>
      </c>
      <c r="JZ673" s="1670">
        <f>IFERROR(IF($IB671=TRUE,IF(OR(JZ$14="No",JZ671=FALSE,$JH673&lt;=$JH671,AND(_kWh_Grant=0,$GD671=FALSE)),0,IF(JZ$8="Per Line",1,$AF673)),0),0)</f>
        <v>0</v>
      </c>
      <c r="KB673" s="1670">
        <f>IFERROR(IF(__Retrofit_TI_NC=0,IF(_kWh_Grant=0,0,IF($IB671=TRUE,IF(OR(KB$14="No",KB671=FALSE,$JH673&lt;=$JH671),0,IF(KB$8="Per Line",1,$AF673)),0)),IF($IB671=TRUE,IF(OR(KB$14="No",KB671=FALSE,$JH673&lt;=$JH671),0,IF(KB$8="Per Line",1,$AF673)))),0)</f>
        <v>0</v>
      </c>
    </row>
    <row r="674" spans="1:288" s="78" customFormat="1" ht="14.95" customHeight="1" thickTop="1" thickBot="1">
      <c r="B674" s="1845"/>
      <c r="C674" s="1846"/>
      <c r="D674" s="1847"/>
      <c r="E674" s="1771" t="s">
        <v>436</v>
      </c>
      <c r="F674" s="1772"/>
      <c r="G674" s="1784" t="s">
        <v>437</v>
      </c>
      <c r="H674" s="1785"/>
      <c r="I674" s="1785"/>
      <c r="J674" s="1785"/>
      <c r="K674" s="1785"/>
      <c r="L674" s="1786"/>
      <c r="M674" s="591">
        <f>IFERROR(VLOOKUP(G674,_Daylight_Table[],2,FALSE),0)</f>
        <v>0</v>
      </c>
      <c r="N674" s="592" t="str">
        <f>IF(AND(__Retrofit_TI_NC&gt;0,CQ671="Interior"),"BAM","")</f>
        <v/>
      </c>
      <c r="O674" s="591" t="e">
        <f>VLOOKUP(G673,'Space Table'!$B$3:$L$163,11,FALSE)</f>
        <v>#N/A</v>
      </c>
      <c r="P674" s="1789"/>
      <c r="Q674" s="1790"/>
      <c r="R674" s="1790"/>
      <c r="S674" s="1788"/>
      <c r="T674" s="593" t="s">
        <v>342</v>
      </c>
      <c r="U674" s="1756" t="str" cm="1">
        <f t="array" aca="1" ref="U674" ca="1">IFERROR(VLOOKUP(INDIRECT("U" &amp; ROW()-1),Fixtures!DM$93:DP$142,4,FALSE),"")</f>
        <v/>
      </c>
      <c r="V674" s="1757"/>
      <c r="W674" s="1757"/>
      <c r="X674" s="1757"/>
      <c r="Y674" s="1757"/>
      <c r="Z674" s="1757"/>
      <c r="AA674" s="1758"/>
      <c r="AB674" s="939" t="str">
        <f>IFERROR(VLOOKUP(U673,Fixtures_Proposed_List,2,FALSE),"")</f>
        <v/>
      </c>
      <c r="AC674" s="933" t="str">
        <f>IFERROR(ROUND(T673*AB674*N672*R672/1000,0),"")</f>
        <v/>
      </c>
      <c r="AD674" s="934" t="str">
        <f>IFERROR(ROUND(T673*AB674/1000,2),"")</f>
        <v/>
      </c>
      <c r="AE674" s="998"/>
      <c r="AF674" s="938" t="s">
        <v>342</v>
      </c>
      <c r="AG674" s="1770"/>
      <c r="AH674" s="1770"/>
      <c r="AI674" s="1770"/>
      <c r="AJ674" s="1770"/>
      <c r="AK674" s="1770"/>
      <c r="AL674" s="1770"/>
      <c r="AM674" s="1727"/>
      <c r="AN674" s="1729"/>
      <c r="AO674" s="1731"/>
      <c r="AP674" s="1782"/>
      <c r="AQ674" s="1783"/>
      <c r="AR674" s="1797"/>
      <c r="AS674" s="1797"/>
      <c r="AT674" s="1798"/>
      <c r="AU674" s="1736"/>
      <c r="AV674" s="1753"/>
      <c r="AW674" s="1706"/>
      <c r="AX674" s="468"/>
      <c r="AY674" s="1750"/>
      <c r="AZ674" s="1750"/>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696"/>
      <c r="CQ674" s="1696"/>
      <c r="CR674" s="1809"/>
      <c r="CS674" s="1811"/>
      <c r="CU674" s="1688"/>
      <c r="CV674" s="1703"/>
      <c r="CW674" s="1703"/>
      <c r="CX674" s="1813"/>
      <c r="CY674" s="1815"/>
      <c r="CZ674" s="1711"/>
      <c r="DA674" s="1815"/>
      <c r="DB674" s="1821"/>
      <c r="DC674" s="1821"/>
      <c r="DD674" s="1821"/>
      <c r="DF674" s="1703"/>
      <c r="DG674" s="1831"/>
      <c r="DH674" s="1813"/>
      <c r="DI674" s="1838"/>
      <c r="DJ674" s="1711"/>
      <c r="DK674" s="1712"/>
      <c r="DN674" s="1718"/>
      <c r="DO674" s="1709"/>
      <c r="DQ674" s="1715"/>
      <c r="DR674" s="1720"/>
      <c r="DS674" s="1703"/>
      <c r="DT674" s="1714"/>
      <c r="DU674" s="1715"/>
      <c r="DV674" s="1716"/>
      <c r="DX674" s="1715"/>
      <c r="DY674" s="1720"/>
      <c r="DZ674" s="1715"/>
      <c r="EA674" s="1715"/>
      <c r="EC674" s="1834"/>
      <c r="ED674" s="1834"/>
      <c r="EF674" s="1707"/>
      <c r="EG674" s="1712"/>
      <c r="EH674" s="1815"/>
      <c r="EI674" s="1712"/>
      <c r="EJ674" s="1712"/>
      <c r="EK674" s="1813"/>
      <c r="EL674" s="1813"/>
      <c r="EM674" s="1807"/>
      <c r="EN674" s="1839"/>
      <c r="EO674" s="1839"/>
      <c r="EP674" s="1817"/>
      <c r="EQ674" s="1817"/>
      <c r="ER674" s="1807"/>
      <c r="ES674" s="1807"/>
      <c r="ET674" s="1807"/>
      <c r="EV674" s="1715"/>
      <c r="EX674" s="1806"/>
      <c r="EY674" s="1806"/>
      <c r="EZ674" s="1806"/>
      <c r="FA674" s="1806"/>
      <c r="FB674" s="1806"/>
      <c r="FC674" s="1828"/>
      <c r="FE674" s="1698"/>
      <c r="FG674" s="1703"/>
      <c r="FH674" s="1703"/>
      <c r="FI674" s="133"/>
      <c r="FL674" s="1823"/>
      <c r="FM674" s="1825"/>
      <c r="FN674" s="1698"/>
      <c r="FO674" s="1698"/>
      <c r="FP674" s="1678"/>
      <c r="FQ674" s="1698"/>
      <c r="FS674" s="1687"/>
      <c r="FT674" s="1687"/>
      <c r="FU674" s="1685"/>
      <c r="FV674" s="1687"/>
      <c r="FW674" s="1687"/>
      <c r="FX674" s="1687"/>
      <c r="FY674" s="1697"/>
      <c r="GA674" s="1696"/>
      <c r="GB674" s="1696"/>
      <c r="GC674" s="1696"/>
      <c r="GD674" s="1696"/>
      <c r="GE674" s="1696"/>
      <c r="GF674" s="1696"/>
      <c r="GG674" s="1696"/>
      <c r="GH674" s="1696"/>
      <c r="GI674" s="673"/>
      <c r="GJ674" s="1135"/>
      <c r="GK674" s="1832"/>
      <c r="GN674" s="674">
        <f>IF(GN672=TRUE,0,GN$16)</f>
        <v>0</v>
      </c>
      <c r="GP674" s="674">
        <f>IF(GP672=TRUE,0,GP$16)</f>
        <v>36</v>
      </c>
      <c r="GQ674" s="674">
        <f ca="1">IF(GQ672=TRUE,0,GQ$16)</f>
        <v>35</v>
      </c>
      <c r="GR674" s="391"/>
      <c r="GS674" s="391"/>
      <c r="GT674" s="391"/>
      <c r="GU674" s="391"/>
      <c r="GV674" s="391"/>
      <c r="HG674" s="674">
        <f>IF(HG672=TRUE,0,HG$16)</f>
        <v>0</v>
      </c>
      <c r="HH674" s="674">
        <f t="shared" ref="HH674:HM674" si="618">IF(HH672=TRUE,0,HH$16)</f>
        <v>19</v>
      </c>
      <c r="HI674" s="674">
        <f t="shared" si="618"/>
        <v>18</v>
      </c>
      <c r="HJ674" s="674">
        <f t="shared" si="618"/>
        <v>17</v>
      </c>
      <c r="HK674" s="674">
        <f t="shared" si="618"/>
        <v>16</v>
      </c>
      <c r="HL674" s="674">
        <f t="shared" si="618"/>
        <v>0</v>
      </c>
      <c r="HM674" s="674">
        <f t="shared" si="618"/>
        <v>0</v>
      </c>
      <c r="HN674" s="674">
        <f>IF(HN672=TRUE,0,HN$16)</f>
        <v>13</v>
      </c>
      <c r="HO674" s="674">
        <f t="shared" ref="HO674:HQ674" si="619">IF(HO672=TRUE,0,HO$16)</f>
        <v>0</v>
      </c>
      <c r="HP674" s="674">
        <f t="shared" si="619"/>
        <v>0</v>
      </c>
      <c r="HQ674" s="674">
        <f t="shared" si="619"/>
        <v>10</v>
      </c>
      <c r="HR674" s="674">
        <f>IF(HR672=TRUE,0,HR$16)</f>
        <v>9</v>
      </c>
      <c r="HS674" s="674">
        <f t="shared" ref="HS674:HW674" si="620">IF(HS672=TRUE,0,HS$16)</f>
        <v>0</v>
      </c>
      <c r="HT674" s="674">
        <f t="shared" si="620"/>
        <v>0</v>
      </c>
      <c r="HU674" s="674">
        <f t="shared" si="620"/>
        <v>0</v>
      </c>
      <c r="HV674" s="674">
        <f t="shared" si="620"/>
        <v>0</v>
      </c>
      <c r="HW674" s="674">
        <f t="shared" si="620"/>
        <v>0</v>
      </c>
      <c r="HX674" s="674">
        <f>IF(HX672=TRUE,0,HX$16)</f>
        <v>0</v>
      </c>
      <c r="HY674" s="674">
        <f>IF(HY672=TRUE,0,HY$16)</f>
        <v>0</v>
      </c>
      <c r="HZ674" s="674">
        <f>IF(HZ672=TRUE,0,HZ$16)</f>
        <v>1</v>
      </c>
      <c r="IB674" s="674">
        <f>IF(GP672=FALSE,GP674,IF(GQ672=FALSE,GQ674,MAX(GN674:HZ674)))</f>
        <v>36</v>
      </c>
      <c r="IC674" s="1692"/>
      <c r="ID674" s="205" t="str">
        <f>VLOOKUP(IB674,_Error_Table,3,FALSE)</f>
        <v xml:space="preserve"> </v>
      </c>
      <c r="IE674" s="205"/>
      <c r="IF674" s="1688"/>
      <c r="IG674" s="1689"/>
      <c r="IH674" s="1684"/>
      <c r="IK674" s="1689"/>
      <c r="IL674" s="1692"/>
      <c r="IM674" s="1692"/>
      <c r="IN674" s="1692"/>
      <c r="IP674" s="1679"/>
      <c r="IQ674" s="1679"/>
      <c r="IR674" s="1679"/>
      <c r="IS674" s="1679"/>
      <c r="IT674" s="1679"/>
      <c r="IU674" s="1679"/>
      <c r="IV674" s="1679"/>
      <c r="IW674" s="1679"/>
      <c r="IX674" s="1679"/>
      <c r="IY674" s="1679"/>
      <c r="IZ674" s="1679"/>
      <c r="JA674" s="1679"/>
      <c r="JC674" s="1680"/>
      <c r="JD674" s="1670"/>
      <c r="JE674" s="1681"/>
      <c r="JG674" s="1680"/>
      <c r="JH674" s="1670"/>
      <c r="JI674" s="1060"/>
      <c r="JJ674" s="1670"/>
      <c r="JK674" s="1061"/>
      <c r="JL674" s="1670"/>
      <c r="JM674" s="1061"/>
      <c r="JN674" s="1670"/>
      <c r="JO674" s="1061"/>
      <c r="JP674" s="1670"/>
      <c r="JQ674" s="1061"/>
      <c r="JR674" s="1670"/>
      <c r="JS674" s="1061"/>
      <c r="JT674" s="1670"/>
      <c r="JU674" s="1061"/>
      <c r="JV674" s="1670"/>
      <c r="JX674" s="1670"/>
      <c r="JZ674" s="1670"/>
      <c r="KB674" s="1670"/>
    </row>
    <row r="675" spans="1:288" s="78" customFormat="1" ht="5.0999999999999996" customHeight="1">
      <c r="B675" s="676"/>
      <c r="C675" s="392"/>
      <c r="D675" s="392"/>
      <c r="E675" s="1733"/>
      <c r="F675" s="1733"/>
      <c r="G675" s="1733"/>
      <c r="H675" s="1733"/>
      <c r="I675" s="1733"/>
      <c r="J675" s="1733"/>
      <c r="K675" s="1733"/>
      <c r="L675" s="1733"/>
      <c r="M675" s="1733"/>
      <c r="N675" s="1733"/>
      <c r="O675" s="1733"/>
      <c r="P675" s="1733"/>
      <c r="Q675" s="1733"/>
      <c r="R675" s="1733"/>
      <c r="S675" s="1733"/>
      <c r="T675" s="1733"/>
      <c r="U675" s="1733"/>
      <c r="V675" s="1733"/>
      <c r="W675" s="1733"/>
      <c r="X675" s="1733"/>
      <c r="Y675" s="1733"/>
      <c r="Z675" s="1733"/>
      <c r="AA675" s="1733"/>
      <c r="AB675" s="1733"/>
      <c r="AC675" s="1733"/>
      <c r="AD675" s="1733"/>
      <c r="AE675" s="1733"/>
      <c r="AF675" s="1733"/>
      <c r="AG675" s="1733"/>
      <c r="AH675" s="1733"/>
      <c r="AI675" s="1733"/>
      <c r="AJ675" s="1733"/>
      <c r="AK675" s="1733"/>
      <c r="AL675" s="1733"/>
      <c r="AM675" s="1733"/>
      <c r="AN675" s="1733"/>
      <c r="AO675" s="1733"/>
      <c r="AP675" s="1733"/>
      <c r="AQ675" s="1733"/>
      <c r="AR675" s="1733"/>
      <c r="AS675" s="1733"/>
      <c r="AT675" s="1733"/>
      <c r="AU675" s="1733"/>
      <c r="AV675" s="1733"/>
      <c r="AW675" s="1733"/>
      <c r="AX675" s="469"/>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663"/>
      <c r="CQ675" s="663"/>
      <c r="CR675" s="438"/>
      <c r="CS675" s="663"/>
      <c r="CV675" s="391"/>
      <c r="CW675" s="391"/>
      <c r="CX675" s="207"/>
      <c r="CY675" s="208"/>
      <c r="CZ675" s="208"/>
      <c r="DA675" s="208"/>
      <c r="DB675" s="209"/>
      <c r="DC675" s="209"/>
      <c r="DD675" s="209"/>
      <c r="DF675" s="664"/>
      <c r="DG675" s="665"/>
      <c r="DH675" s="666"/>
      <c r="DI675" s="667"/>
      <c r="DJ675" s="668"/>
      <c r="DK675" s="668"/>
      <c r="DN675" s="208"/>
      <c r="DO675" s="664"/>
      <c r="DQ675" s="664"/>
      <c r="DR675" s="669"/>
      <c r="DS675" s="391"/>
      <c r="DT675" s="664"/>
      <c r="DU675" s="664"/>
      <c r="DV675" s="664"/>
      <c r="DX675" s="664"/>
      <c r="DY675" s="664"/>
      <c r="DZ675" s="664"/>
      <c r="EA675" s="664"/>
      <c r="EC675" s="670"/>
      <c r="ED675" s="670"/>
      <c r="EF675" s="668"/>
      <c r="EG675" s="668"/>
      <c r="EH675" s="208"/>
      <c r="EI675" s="668"/>
      <c r="EJ675" s="668"/>
      <c r="EK675" s="207"/>
      <c r="EL675" s="207"/>
      <c r="EM675" s="666"/>
      <c r="EN675" s="671"/>
      <c r="EO675" s="671"/>
      <c r="EP675" s="672"/>
      <c r="EQ675" s="672"/>
      <c r="ER675" s="666"/>
      <c r="ES675" s="666"/>
      <c r="ET675" s="666"/>
      <c r="EV675" s="664"/>
      <c r="EX675" s="391"/>
      <c r="EY675" s="391"/>
      <c r="EZ675" s="391"/>
      <c r="FA675" s="391"/>
      <c r="FB675" s="391"/>
      <c r="FC675" s="391"/>
      <c r="FE675" s="569"/>
      <c r="FG675" s="391"/>
      <c r="FH675" s="391"/>
      <c r="FI675" s="391"/>
      <c r="FS675" s="664"/>
      <c r="FT675" s="391"/>
      <c r="FU675" s="391"/>
      <c r="FV675" s="664"/>
      <c r="FW675" s="664"/>
      <c r="GA675" s="663"/>
      <c r="GB675" s="663"/>
      <c r="GC675" s="663"/>
      <c r="GD675" s="663"/>
      <c r="GE675" s="663"/>
      <c r="GF675" s="663"/>
      <c r="GG675" s="663"/>
      <c r="GH675" s="663"/>
      <c r="GI675" s="665"/>
      <c r="GJ675" s="664"/>
      <c r="GK675" s="664"/>
    </row>
    <row r="676" spans="1:288" s="78" customFormat="1" ht="14.95" customHeight="1">
      <c r="B676" s="1845" t="str">
        <f>ID679</f>
        <v xml:space="preserve"> </v>
      </c>
      <c r="C676" s="1846">
        <f>C671+1</f>
        <v>122</v>
      </c>
      <c r="D676" s="1847"/>
      <c r="E676" s="1799" t="s">
        <v>295</v>
      </c>
      <c r="F676" s="1800"/>
      <c r="G676" s="1741"/>
      <c r="H676" s="1742"/>
      <c r="I676" s="1742"/>
      <c r="J676" s="1742"/>
      <c r="K676" s="1742"/>
      <c r="L676" s="1742"/>
      <c r="M676" s="1742"/>
      <c r="N676" s="1742"/>
      <c r="O676" s="1742"/>
      <c r="P676" s="1742"/>
      <c r="Q676" s="1742"/>
      <c r="R676" s="1742"/>
      <c r="S676" s="1791" t="s">
        <v>344</v>
      </c>
      <c r="T676" s="590"/>
      <c r="U676" s="1743"/>
      <c r="V676" s="1744"/>
      <c r="W676" s="1744"/>
      <c r="X676" s="1744"/>
      <c r="Y676" s="1744"/>
      <c r="Z676" s="1744"/>
      <c r="AA676" s="1744"/>
      <c r="AB676" s="961" t="str">
        <f>IFERROR(IF(__Retrofit_TI_NC=0,VLOOKUP(U677,Fixtures_Existing_List,2,FALSE),ROUND(N678*R678/T678,10)),"")</f>
        <v/>
      </c>
      <c r="AC676" s="935" t="str">
        <f>IFERROR(IF(__Retrofit_TI_NC=0,ROUND(T677*AB676*N677*R677/1000,0),IF(CQ676="Interior",N678*R678*R677*N677*_C406_reduction/1000,N678*R678*R677*N677/1000)),"")</f>
        <v/>
      </c>
      <c r="AD676" s="936" t="str">
        <f>IFERROR(IF(C$43=0,ROUND(T677*AB676/1000,2),N678*R678/1000),"")</f>
        <v/>
      </c>
      <c r="AE676" s="997"/>
      <c r="AF676" s="937"/>
      <c r="AG676" s="1745" t="str">
        <f>IF(__Retrofit_TI_NC=0," Control","Select Advanced Control for New System")</f>
        <v xml:space="preserve"> Control</v>
      </c>
      <c r="AH676" s="1745"/>
      <c r="AI676" s="1745"/>
      <c r="AJ676" s="1745"/>
      <c r="AK676" s="1745"/>
      <c r="AL676" s="1745"/>
      <c r="AM676" s="1746">
        <f>IFERROR(DI676,"")</f>
        <v>0</v>
      </c>
      <c r="AN676" s="1774" t="str">
        <f>IFERROR(ROUND(AM676*AC676,0),"")</f>
        <v/>
      </c>
      <c r="AO676" s="1776">
        <f>IFERROR(IF(IB676=FALSE,0,AC676-AN676),0)</f>
        <v>0</v>
      </c>
      <c r="AP676" s="1778">
        <f>AO676-AO678</f>
        <v>0</v>
      </c>
      <c r="AQ676" s="1779"/>
      <c r="AR676" s="1793">
        <f>IFERROR(IF(IB676=FALSE,0,(T678*U679)+(AF678*AG679)),0)</f>
        <v>0</v>
      </c>
      <c r="AS676" s="1793"/>
      <c r="AT676" s="1794"/>
      <c r="AU676" s="1734" t="s">
        <v>237</v>
      </c>
      <c r="AV676" s="1751">
        <f>IF(AU676="Yes",1,0)</f>
        <v>1</v>
      </c>
      <c r="AW676" s="1704" t="str">
        <f>IF(OR(DQ676=4,DQ676=5,DQ676=6,DQ676=12),CONCATENATE("$",IF(GH676=TRUE,Lookup!$K$10,Lookup!$K$2)," /lamp"),CONCATENATE(TEXT(ED676,"$0.00"),"/ kWh"))</f>
        <v>$0.00/ kWh</v>
      </c>
      <c r="AX676" s="467"/>
      <c r="AY676" s="1748">
        <f ca="1">IFERROR(IF(GM677=TRUE,(AB679*T678)/R678,0),"NA")</f>
        <v>0</v>
      </c>
      <c r="AZ676" s="1748"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696" t="str">
        <f>N677</f>
        <v/>
      </c>
      <c r="CQ676" s="1696" t="str">
        <f>IFERROR(VLOOKUP(G677,_Lookup_Heat_Type_Table_New,3,FALSE),"")</f>
        <v/>
      </c>
      <c r="CR676" s="1808" t="str">
        <f>CQ676</f>
        <v/>
      </c>
      <c r="CS676" s="1810" t="str">
        <f>IFERROR(VLOOKUP(G678,'Space Table'!$B$3:$L$163,9,FALSE),"")</f>
        <v/>
      </c>
      <c r="CU676" s="1688" t="s">
        <v>344</v>
      </c>
      <c r="CV676" s="1702">
        <f>IF(IB676=TRUE,T677,0)</f>
        <v>0</v>
      </c>
      <c r="CW676" s="1702" t="str">
        <f>IF(IB676=TRUE,U677,"")</f>
        <v/>
      </c>
      <c r="CX676" s="1702"/>
      <c r="CY676" s="1814">
        <f>IF(IB676=TRUE,AB676,0)</f>
        <v>0</v>
      </c>
      <c r="CZ676" s="1710">
        <f>IF(AND(__Retrofit_TI_NC&gt;0,CR676="interior"),0,IF(IB676=TRUE,AC676,0))</f>
        <v>0</v>
      </c>
      <c r="DA676" s="1814">
        <f>IFERROR(IF(IB676=TRUE,CZ676-CZ678,0),0)</f>
        <v>0</v>
      </c>
      <c r="DB676" s="1819">
        <f>IF(IB676=TRUE,AD676,0)</f>
        <v>0</v>
      </c>
      <c r="DC676" s="1819">
        <f>IF(IB676=TRUE,AD679,0)</f>
        <v>0</v>
      </c>
      <c r="DD676" s="1819">
        <f>IFERROR(DB676-DC676,0)</f>
        <v>0</v>
      </c>
      <c r="DF676" s="1702">
        <f>IF(IB676=TRUE,AF677,0)</f>
        <v>0</v>
      </c>
      <c r="DG676" s="1830">
        <f>IFERROR(IF(__Retrofit_TI_NC=2,IF(CQ676="Exterior",O679,FQ676),FN676),"")</f>
        <v>0</v>
      </c>
      <c r="DH676" s="1702"/>
      <c r="DI676" s="1837">
        <f>JE676</f>
        <v>0</v>
      </c>
      <c r="DJ676" s="1710">
        <f>IF(AND(__Retrofit_TI_NC&gt;0,CR676="interior"),0,IF(IB676=TRUE,AN676,0))</f>
        <v>0</v>
      </c>
      <c r="DK676" s="1712">
        <f>IFERROR(IF(IB676=TRUE,DJ678-DJ676,0),0)</f>
        <v>0</v>
      </c>
      <c r="DM676" s="1717">
        <f>IFERROR(CZ676-DJ676,0)</f>
        <v>0</v>
      </c>
      <c r="DO676" s="1708">
        <f>DM676-DN678</f>
        <v>0</v>
      </c>
      <c r="DQ676" s="1715" t="str">
        <f>IFERROR(IF(AND(OR(GC676=4,GC676=5,GC676=6),OR(GF676=4,GF676=5,GF676=6)),GC676+8,VLOOKUP(CW678,Fixtures!R$31:Y$78,8,FALSE)),"")</f>
        <v/>
      </c>
      <c r="DR676" s="1829" t="str">
        <f>DQ676</f>
        <v/>
      </c>
      <c r="DS676" s="1702" t="str">
        <f>IFERROR(VLOOKUP(DG678,Lookup!BB$3:BC$20,2,FALSE),"")</f>
        <v/>
      </c>
      <c r="DT676" s="1713" t="str">
        <f>IF(OR(DS676=7,DS676=8,DS676=9),"ALC","")</f>
        <v/>
      </c>
      <c r="DU676" s="1715">
        <f>IFERROR(IF(OR(DQ676=4,DQ676=5,DQ676=6,DQ676=12,DQ676=13,DQ676=14),VLOOKUP(CW678,Fixtures!DN$27:EG$77,19,FALSE),1)*CV678,0)</f>
        <v>0</v>
      </c>
      <c r="DV676" s="1716">
        <f>IF(OR(DS676=7,DS676=8,DS676=9),IF(DG676=DG678,0,DF678),0)</f>
        <v>0</v>
      </c>
      <c r="DX676" s="1715" t="str">
        <f>IFERROR(IF(EZ676&lt;EZ678,"Yes","No"),"")</f>
        <v/>
      </c>
      <c r="DY676" s="1829" t="str">
        <f>DX676</f>
        <v/>
      </c>
      <c r="DZ676" s="1715">
        <f>IF(DX676="Yes",DF678,0)</f>
        <v>0</v>
      </c>
      <c r="EA676" s="1715">
        <f>DZ676-DV676</f>
        <v>0</v>
      </c>
      <c r="EC676" s="1834">
        <f>IFERROR(VLOOKUP(DQ676,Lookup!AU$3:AV$16,2,FALSE),0)</f>
        <v>0</v>
      </c>
      <c r="ED676" s="1834">
        <f>IF(IB676=FALSE,0,IF(DX676="Yes",EC676+Lookup!K$6,EC676))</f>
        <v>0</v>
      </c>
      <c r="EF676" s="1707">
        <f>IF(IB676=TRUE,DM676,0)</f>
        <v>0</v>
      </c>
      <c r="EG676" s="1712">
        <f>IF(IB676=TRUE,CZ678,0)</f>
        <v>0</v>
      </c>
      <c r="EH676" s="1814">
        <f>IFERROR(EF676-EG676,0)</f>
        <v>0</v>
      </c>
      <c r="EI676" s="1712">
        <f>IF(IB676=TRUE,DJ678,0)</f>
        <v>0</v>
      </c>
      <c r="EJ676" s="1712">
        <f>IFERROR(EF676-EG676+EI676,0)</f>
        <v>0</v>
      </c>
      <c r="EK676" s="1812">
        <f>IF(IB676=TRUE,CV678*CX678,0)</f>
        <v>0</v>
      </c>
      <c r="EL676" s="1812">
        <f>IF(IB676=TRUE,DF678*DH678,0)</f>
        <v>0</v>
      </c>
      <c r="EM676" s="1807">
        <f>AR676</f>
        <v>0</v>
      </c>
      <c r="EN676" s="1839" t="str">
        <f>IFERROR(IF(IB676=TRUE,VLOOKUP(DQ676,Lookup!AU$3:AW$16,3,FALSE)*DU676,""),0)</f>
        <v/>
      </c>
      <c r="EO676" s="1839">
        <f>IF(IB676=TRUE,DZ676*Lookup!AW$12,0)</f>
        <v>0</v>
      </c>
      <c r="EP676" s="1817">
        <f>IFERROR(IF(IB676=TRUE,EN676/EP$40,0),0)</f>
        <v>0</v>
      </c>
      <c r="EQ676" s="1817">
        <f>IF(IB676=TRUE,EO676/EQ$40,0)</f>
        <v>0</v>
      </c>
      <c r="ER676" s="1807">
        <f>IF(IB676=TRUE,ET$40*EP676,0)</f>
        <v>0</v>
      </c>
      <c r="ES676" s="1807">
        <f>IF(IB676=TRUE,ET$40*EQ676,0)</f>
        <v>0</v>
      </c>
      <c r="ET676" s="1807">
        <f>ER676+ES676</f>
        <v>0</v>
      </c>
      <c r="EV676" s="1715">
        <f>IF(G676="",0,1)</f>
        <v>0</v>
      </c>
      <c r="EX676" s="1804" t="str">
        <f>IFERROR(VLOOKUP(CS678,'Space Table'!$B$3:$L$163,8,FALSE),"")</f>
        <v/>
      </c>
      <c r="EY676" s="1804" t="str">
        <f>IFERROR(IF(FB676="Yes",VLOOKUP(DG676,Lookup_Control_Type_Table2,4,FALSE),VLOOKUP(DG676,Lookup_Control_Type_Table2,3,FALSE)),"")</f>
        <v/>
      </c>
      <c r="EZ676" s="1804" t="e">
        <f>VLOOKUP(DG676,Lookup!BB$3:BC$20,2,FALSE)</f>
        <v>#N/A</v>
      </c>
      <c r="FA676" s="1804" t="e">
        <f>VLOOKUP(EX676,Lookup_Control_Type_Table,2,FALSE)</f>
        <v>#N/A</v>
      </c>
      <c r="FB676" s="1804" t="e">
        <f>VLOOKUP(CS678,'Space Table'!$B$3:$L$163,7,FALSE)</f>
        <v>#N/A</v>
      </c>
      <c r="FC676" s="1826" t="b">
        <f>ISNUMBER(SEARCH("TLED",U678))</f>
        <v>0</v>
      </c>
      <c r="FE676" s="1698" t="str">
        <f>CONCATENATE(CQ676," - ",DG676)</f>
        <v xml:space="preserve"> - 0</v>
      </c>
      <c r="FG676" s="1702" t="str">
        <f>VLOOKUP(CW678,Fixtures!DN$27:EZ$77,38,FALSE)</f>
        <v/>
      </c>
      <c r="FH676" s="1702">
        <f>IFERROR(FG676*EH676,0)</f>
        <v>0</v>
      </c>
      <c r="FI676" s="133"/>
      <c r="FL676" s="1822" t="str">
        <f>IF(CQ676="Exterior","Not Daylighted",G679)</f>
        <v>Not Daylighted</v>
      </c>
      <c r="FM676" s="1824">
        <f>VLOOKUP(FL676,_New_Daylight_Table_Codes,2,FALSE)</f>
        <v>0</v>
      </c>
      <c r="FN676" s="1698">
        <f>IF(__Retrofit_TI_NC&gt;0,VLOOKUP(G678,'Space Table'!$B$3:$L$163,11,FALSE),AG677)</f>
        <v>0</v>
      </c>
      <c r="FO676" s="1698" t="e">
        <f>IF(__Retrofit_TI_NC=2,VLOOKUP(FQ676,_Control_Table,2,FALSE),VLOOKUP(FN676,_Control_Table,2,FALSE))</f>
        <v>#N/A</v>
      </c>
      <c r="FP676" s="1678" t="e">
        <f>VLOOKUP(CONCATENATE(FL676," ",FN676),Lookup!AY$102:AZ686,2,FALSE)</f>
        <v>#N/A</v>
      </c>
      <c r="FQ676" s="1678">
        <f>IF(__Retrofit_TI_NC=0,FN676,IF(AND(FT676&gt;0,FN676="Occupancy Sensor"),"Daylight + Occupancy",IF(AND(FT676&gt;0,VLOOKUP(FN676,_Control_Table,2,FALSE)&lt;4),"Interior Daylight Dimming",FN676)))</f>
        <v>0</v>
      </c>
      <c r="FS676" s="1686">
        <f>IF(CR676="Interior",VLOOKUP(CS676,Control_Savings_Interior,5,FALSE),0)</f>
        <v>0</v>
      </c>
      <c r="FT676" s="1687">
        <f>IF(CQ676="Exterior",0,IF(FM676=2,0.5,IF(OR(FM676=1,FM676=3),1,0)))</f>
        <v>0</v>
      </c>
      <c r="FU676" s="1685">
        <f>IF(R675&gt;FS$44,(FS676*(FS$44/R675)),FS676)*FT676</f>
        <v>0</v>
      </c>
      <c r="FV676" s="1686">
        <f>DI676</f>
        <v>0</v>
      </c>
      <c r="FW676" s="1686">
        <f>ROUND(FV676+((1-FV676)*FU676),2)</f>
        <v>0</v>
      </c>
      <c r="FX676" s="1686">
        <f>IF(__Retrofit_TI_NC=2,FW676,FV676)</f>
        <v>0</v>
      </c>
      <c r="FY676" s="1697"/>
      <c r="GA676" s="1696" t="str">
        <f>IFERROR(VLOOKUP(U677,_Exist_Fixture_Table,3,FALSE),"")</f>
        <v/>
      </c>
      <c r="GB676" s="1696" t="str">
        <f>VLOOKUP(CW676,_Exist_Fixture_Table,4,FALSE)</f>
        <v/>
      </c>
      <c r="GC676" s="1696">
        <f>IFERROR(VLOOKUP(GB676,Lookup!AT$6:AU$8,2,FALSE),0)</f>
        <v>0</v>
      </c>
      <c r="GD676" s="1696" t="b">
        <f>IFERROR(IF(OR(GF676=4,GF676=5,GF676=6),TRUE,FALSE),"")</f>
        <v>0</v>
      </c>
      <c r="GE676" s="1696" t="str">
        <f>IFERROR(VLOOKUP(GF676,GC$6:GD$10,2,FALSE),"")</f>
        <v/>
      </c>
      <c r="GF676" s="1696" t="str">
        <f>VLOOKUP(CW678,Fixtures!R$31:Y$78,8,FALSE)</f>
        <v/>
      </c>
      <c r="GG676" s="1696">
        <f>IF(AND(GA676=TRUE,GD676=TRUE,OR(DQ676=12,DQ676=13,DQ676=14)),GC676+8,0)</f>
        <v>0</v>
      </c>
      <c r="GH676" s="1696" t="b">
        <f>IF(OR(GG676=12,GG676=13,GG676=14),TRUE,FALSE)</f>
        <v>0</v>
      </c>
      <c r="GI676" s="673" t="b">
        <f>IF(ISNUMBER(SEARCH("TLED",U677)),TRUE,FALSE)</f>
        <v>0</v>
      </c>
      <c r="GJ676" s="1135" t="str">
        <f>IFERROR(VLOOKUP(U677,Fixtures!BM$93:BR$142,6,FALSE),"")</f>
        <v/>
      </c>
      <c r="GK676" s="1832" t="b">
        <f>IF(OR(GI676=FALSE,GI678=FALSE),TRUE,IF(GJ676-GJ678&lt;5,FALSE,TRUE))</f>
        <v>1</v>
      </c>
      <c r="GO676" s="674">
        <f>GP676</f>
        <v>0</v>
      </c>
      <c r="GP676" s="674">
        <f>IF(G676="",0,1)</f>
        <v>0</v>
      </c>
      <c r="GQ676" s="674">
        <f ca="1">SUM(GR676:HF676)</f>
        <v>2</v>
      </c>
      <c r="GR676" s="674">
        <f>IF(G677="",0,1)</f>
        <v>0</v>
      </c>
      <c r="GS676" s="674">
        <f>IF(N679="BAM",1,IF(G678="",0,1))</f>
        <v>0</v>
      </c>
      <c r="GT676" s="674">
        <f>IF(N679="BAM",1,IF(R677="",0,1))</f>
        <v>0</v>
      </c>
      <c r="GU676" s="674">
        <f>IF(N679="BAM",1,IF(__Retrofit_TI_NC=0,1,IF(R678="",0,1)))</f>
        <v>1</v>
      </c>
      <c r="GV676" s="674">
        <f>IF(N679="BAM",1,IF(CQ676="Exterior",1,IF(G679="",0,1)))</f>
        <v>1</v>
      </c>
      <c r="GW676" s="674">
        <f>IF(__Retrofit_TI_NC&gt;0,1,IF(T677="",0,1))</f>
        <v>0</v>
      </c>
      <c r="GX676" s="674">
        <f>IF(__Retrofit_TI_NC&gt;0,1,IF(U677="",0,1))</f>
        <v>0</v>
      </c>
      <c r="GY676" s="674">
        <f>IF(N679="BAM",1,IF(T678="",0,1))</f>
        <v>0</v>
      </c>
      <c r="GZ676" s="674">
        <f>IF(N679="BAM",1,IF(U678="",0,1))</f>
        <v>0</v>
      </c>
      <c r="HA676" s="674">
        <f ca="1">IF(N679="BAM",1,IF(__Retrofit_TI_NC&gt;0,1,IF(U679="",0,1)))</f>
        <v>0</v>
      </c>
      <c r="HB676" s="674">
        <f>IF(__Retrofit_TI_NC&lt;&gt;0,1,IF(AF677="",0,1))</f>
        <v>0</v>
      </c>
      <c r="HC676" s="674">
        <f>IF(__Retrofit_TI_NC&lt;&gt;0,1,IF(AG677="",0,1))</f>
        <v>0</v>
      </c>
      <c r="HD676" s="674">
        <f>IF(N679="BAM",1,IF(AF678="",0,1))</f>
        <v>0</v>
      </c>
      <c r="HE676" s="674">
        <f>IF(N679="BAM",1,IF(AG678="",0,1))</f>
        <v>0</v>
      </c>
      <c r="HF676" s="674">
        <f>IF(N679="BAM",1,IF(__Retrofit_TI_NC&gt;0,1,IF(AG679="",0,1)))</f>
        <v>0</v>
      </c>
      <c r="HG676" s="391"/>
      <c r="IA676" s="391"/>
      <c r="IB676" s="1693" t="b">
        <f>IF(OR(IB679=0,IB679=HY$16,IB679=HX$16,IB679=HZ$16),TRUE,FALSE)</f>
        <v>0</v>
      </c>
      <c r="IC676" s="1694" t="b">
        <f>IB676</f>
        <v>0</v>
      </c>
      <c r="ID676" s="391"/>
      <c r="IE676" s="391"/>
      <c r="IF676" s="1688" t="b">
        <f ca="1">IF(MAX(GN679:HU679)&gt;5,FALSE,TRUE)</f>
        <v>0</v>
      </c>
      <c r="IG676" s="1689">
        <f ca="1">IF(IF676=TRUE,AC676,0)</f>
        <v>0</v>
      </c>
      <c r="IH676" s="1689">
        <f ca="1">IG676-IG678</f>
        <v>0</v>
      </c>
      <c r="IK676" s="1689" t="e">
        <f>ROUND(T677*VLOOKUP(U677,Fixtures_Existing_List,2,FALSE)*N677*R677/1000,0)</f>
        <v>#N/A</v>
      </c>
      <c r="IL676" s="1690" t="e">
        <f>IK676-IK678</f>
        <v>#N/A</v>
      </c>
      <c r="IM676" s="1693" t="e">
        <f>ROUND(IF(CQ676="Interior",N678*R678*R677*N677*_C406_reduction/1000,N678*R678*R677*N677/1000),0)</f>
        <v>#N/A</v>
      </c>
      <c r="IN676" s="1693" t="e">
        <f>IM676-IM678</f>
        <v>#N/A</v>
      </c>
      <c r="IP676" s="1679"/>
      <c r="IQ676" s="1679" t="e">
        <f t="shared" ref="IQ676:IU676" si="621">IF($CR676="interior",VLOOKUP($CS676,_New_Control_Savings_Interior,IQ$30,FALSE),VLOOKUP($CS676,Control_Savings_Exterior,IQ$30,FALSE))</f>
        <v>#N/A</v>
      </c>
      <c r="IR676" s="1679" t="e">
        <f t="shared" si="621"/>
        <v>#N/A</v>
      </c>
      <c r="IS676" s="1679" t="e">
        <f t="shared" si="621"/>
        <v>#N/A</v>
      </c>
      <c r="IT676" s="1679" t="e">
        <f t="shared" si="621"/>
        <v>#N/A</v>
      </c>
      <c r="IU676" s="1679" t="e">
        <f t="shared" si="621"/>
        <v>#N/A</v>
      </c>
      <c r="IV676" s="1679" t="e">
        <f>IF($CR676="interior",IF(R677&gt;$IP$14,ROUND(($IV$18*($IP$14/R677)),2),$IV$18),VLOOKUP($CS676,Control_Savings_Exterior,IV$30,FALSE))</f>
        <v>#N/A</v>
      </c>
      <c r="IW676" s="1679" t="e">
        <f>IF($CR676="interior",ROUND(((1-IS676)*IV676)+IS676,2),VLOOKUP($CS676,Control_Savings_Exterior,IW$30,FALSE))</f>
        <v>#N/A</v>
      </c>
      <c r="IX676" s="1679" t="e">
        <f>IF($CR676="interior",ROUND(((1-IT676)*IV676)+IT676,2),VLOOKUP($CS676,Control_Savings_Exterior,IX$30,FALSE))</f>
        <v>#N/A</v>
      </c>
      <c r="IY676" s="1679" t="e">
        <f>IF($CR676="interior",IF(R677&gt;$IP$14,ROUND(($IY$18*($IP$14/R677)),2),$IY$18),VLOOKUP($CS676,Control_Savings_Exterior,IY$30,FALSE))</f>
        <v>#N/A</v>
      </c>
      <c r="IZ676" s="1679" t="e">
        <f>IF($CR676="interior",ROUND(((1-IS676)*IY676)+IS676,2),VLOOKUP($CS676,Control_Savings_Exterior,IZ$30,FALSE))</f>
        <v>#N/A</v>
      </c>
      <c r="JA676" s="1679" t="e">
        <f>IF($CR676="interior",ROUND(((1-IT676)*IY676)+IT676,2),VLOOKUP($CS676,Control_Savings_Exterior,JA$30,FALSE))</f>
        <v>#N/A</v>
      </c>
      <c r="JC676" s="1680">
        <f>IFERROR(IF(CR676="Interior",CONCATENATE(G679," ",FQ676),FQ676),"")</f>
        <v>0</v>
      </c>
      <c r="JD676" s="1670" t="str">
        <f>IFERROR(VLOOKUP(JC676,_Controls_2023,2,FALSE),"")</f>
        <v/>
      </c>
      <c r="JE676" s="1681">
        <f>IFERROR(CHOOSE(JD676-1,IQ676,IR676,IS676,IT676,IU676,IV676,IW676,IX676,IY676,IZ676,JA676),0)</f>
        <v>0</v>
      </c>
      <c r="JG676" s="1680" t="str">
        <f>FE676</f>
        <v xml:space="preserve"> - 0</v>
      </c>
      <c r="JH676" s="1670" t="e">
        <f>$FO676</f>
        <v>#N/A</v>
      </c>
      <c r="JI676" s="1060"/>
      <c r="JJ676" s="1682" t="b">
        <f>IF($JG678=CONCATENATE("Interior - ",JJ$4),TRUE,FALSE)</f>
        <v>0</v>
      </c>
      <c r="JK676" s="1061"/>
      <c r="JL676" s="1682" t="b">
        <f>IF($JG678=CONCATENATE("Interior - ",JL$4),TRUE,FALSE)</f>
        <v>0</v>
      </c>
      <c r="JM676" s="1061"/>
      <c r="JN676" s="1682" t="b">
        <f>IF($JG678=CONCATENATE("Interior - ",JN$4),TRUE,FALSE)</f>
        <v>0</v>
      </c>
      <c r="JO676" s="1061"/>
      <c r="JP676" s="1682" t="b">
        <f>IF(__Retrofit_TI_NC&gt;0,FALSE,IF($JG678=CONCATENATE("Interior - ",JP$4),TRUE,FALSE))</f>
        <v>0</v>
      </c>
      <c r="JQ676" s="1061"/>
      <c r="JR676" s="1682" t="b">
        <f>IF(__Retrofit_TI_NC&gt;0,FALSE,IF($JG678=CONCATENATE("Interior - ",JR$4),TRUE,FALSE))</f>
        <v>0</v>
      </c>
      <c r="JS676" s="1061"/>
      <c r="JT676" s="1670" t="b">
        <f>IF(__Retrofit_TI_NC&gt;0,FALSE,IF($JG678=CONCATENATE("Interior - ",JT$4),TRUE,FALSE))</f>
        <v>0</v>
      </c>
      <c r="JU676" s="1061"/>
      <c r="JV676" s="1670" t="b">
        <f>IF(JC678="AELC on Existing",TRUE,FALSE)</f>
        <v>0</v>
      </c>
      <c r="JX676" s="1670" t="b">
        <f>IF(OR(JG678="Exterior - AELC Occupancy based",JG678="Exterior - AELC Time based"),TRUE,FALSE)</f>
        <v>0</v>
      </c>
      <c r="JZ676" s="1682" t="b">
        <f>IF($JG678=CONCATENATE("Exterior - ",JZ$4),TRUE,FALSE)</f>
        <v>0</v>
      </c>
      <c r="KB676" s="1670" t="b">
        <f>IF(__Retrofit_TI_NC&gt;0,FALSE,IF($JG678=CONCATENATE("Interior - ",KB$4),TRUE,FALSE))</f>
        <v>0</v>
      </c>
    </row>
    <row r="677" spans="1:288" s="78" customFormat="1" ht="14.95" customHeight="1" thickTop="1" thickBot="1">
      <c r="B677" s="1845"/>
      <c r="C677" s="1846"/>
      <c r="D677" s="1847"/>
      <c r="E677" s="1737" t="s">
        <v>297</v>
      </c>
      <c r="F677" s="1738"/>
      <c r="G677" s="1739"/>
      <c r="H677" s="1739"/>
      <c r="I677" s="1739"/>
      <c r="J677" s="1739"/>
      <c r="K677" s="1739"/>
      <c r="L677" s="1739"/>
      <c r="M677" s="461" t="e">
        <f>IF(__Retrofit_TI_NC&lt;&gt;0,IF(VLOOKUP(G678,'Space Table'!$B$3:$L$163,3,FALSE)&gt;0,1,0),IF(__Retrofit_TI_NC=VLOOKUP(G678,'Space Table'!$B$3:$L$163,3,FALSE),1,0))</f>
        <v>#N/A</v>
      </c>
      <c r="N677" s="461" t="str">
        <f>IFERROR(VLOOKUP(G677,_Lookup_Heat_Type_Table_New,2,FALSE),"")</f>
        <v/>
      </c>
      <c r="O677" s="461">
        <f>IF(__Retrofit_TI_NC=1,CONCATENATE("TI ",G677),IF(__Retrofit_TI_NC=2,CONCATENATE("NC ",G677),G677))</f>
        <v>0</v>
      </c>
      <c r="P677" s="1740" t="s">
        <v>435</v>
      </c>
      <c r="Q677" s="1740"/>
      <c r="R677" s="595"/>
      <c r="S677" s="1792"/>
      <c r="T677" s="597"/>
      <c r="U677" s="1765"/>
      <c r="V677" s="1766"/>
      <c r="W677" s="1766"/>
      <c r="X677" s="1766"/>
      <c r="Y677" s="1766"/>
      <c r="Z677" s="1766"/>
      <c r="AA677" s="1766"/>
      <c r="AB677" s="1766"/>
      <c r="AC677" s="1766"/>
      <c r="AD677" s="1767"/>
      <c r="AE677" s="1000"/>
      <c r="AF677" s="597"/>
      <c r="AG677" s="1723"/>
      <c r="AH677" s="1724"/>
      <c r="AI677" s="1724"/>
      <c r="AJ677" s="1724"/>
      <c r="AK677" s="1725"/>
      <c r="AL677" s="996"/>
      <c r="AM677" s="1747"/>
      <c r="AN677" s="1775"/>
      <c r="AO677" s="1777"/>
      <c r="AP677" s="1780"/>
      <c r="AQ677" s="1781"/>
      <c r="AR677" s="1795"/>
      <c r="AS677" s="1795"/>
      <c r="AT677" s="1796"/>
      <c r="AU677" s="1735"/>
      <c r="AV677" s="1752"/>
      <c r="AW677" s="1705"/>
      <c r="AX677" s="467"/>
      <c r="AY677" s="1749"/>
      <c r="AZ677" s="1749"/>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696"/>
      <c r="CQ677" s="1696"/>
      <c r="CR677" s="1809"/>
      <c r="CS677" s="1811"/>
      <c r="CU677" s="1688"/>
      <c r="CV677" s="1703"/>
      <c r="CW677" s="1703"/>
      <c r="CX677" s="1703"/>
      <c r="CY677" s="1815"/>
      <c r="CZ677" s="1711"/>
      <c r="DA677" s="1818"/>
      <c r="DB677" s="1820"/>
      <c r="DC677" s="1820"/>
      <c r="DD677" s="1820"/>
      <c r="DF677" s="1703"/>
      <c r="DG677" s="1831"/>
      <c r="DH677" s="1703"/>
      <c r="DI677" s="1838"/>
      <c r="DJ677" s="1711"/>
      <c r="DK677" s="1712"/>
      <c r="DM677" s="1718"/>
      <c r="DO677" s="1708"/>
      <c r="DQ677" s="1715"/>
      <c r="DR677" s="1720"/>
      <c r="DS677" s="1816"/>
      <c r="DT677" s="1714"/>
      <c r="DU677" s="1715"/>
      <c r="DV677" s="1716"/>
      <c r="DX677" s="1715"/>
      <c r="DY677" s="1720"/>
      <c r="DZ677" s="1715"/>
      <c r="EA677" s="1715"/>
      <c r="EC677" s="1834"/>
      <c r="ED677" s="1834"/>
      <c r="EF677" s="1707"/>
      <c r="EG677" s="1712"/>
      <c r="EH677" s="1818"/>
      <c r="EI677" s="1712"/>
      <c r="EJ677" s="1712"/>
      <c r="EK677" s="1836"/>
      <c r="EL677" s="1836"/>
      <c r="EM677" s="1807"/>
      <c r="EN677" s="1839"/>
      <c r="EO677" s="1839"/>
      <c r="EP677" s="1817"/>
      <c r="EQ677" s="1817"/>
      <c r="ER677" s="1807"/>
      <c r="ES677" s="1807"/>
      <c r="ET677" s="1807"/>
      <c r="EV677" s="1715"/>
      <c r="EX677" s="1805"/>
      <c r="EY677" s="1805"/>
      <c r="EZ677" s="1805"/>
      <c r="FA677" s="1805"/>
      <c r="FB677" s="1805"/>
      <c r="FC677" s="1827"/>
      <c r="FE677" s="1698"/>
      <c r="FG677" s="1816"/>
      <c r="FH677" s="1816"/>
      <c r="FI677" s="133"/>
      <c r="FL677" s="1823"/>
      <c r="FM677" s="1825"/>
      <c r="FN677" s="1698"/>
      <c r="FO677" s="1698"/>
      <c r="FP677" s="1678"/>
      <c r="FQ677" s="1678"/>
      <c r="FS677" s="1687"/>
      <c r="FT677" s="1687"/>
      <c r="FU677" s="1685"/>
      <c r="FV677" s="1687"/>
      <c r="FW677" s="1687"/>
      <c r="FX677" s="1687"/>
      <c r="FY677" s="1697"/>
      <c r="GA677" s="1696"/>
      <c r="GB677" s="1696"/>
      <c r="GC677" s="1696"/>
      <c r="GD677" s="1696"/>
      <c r="GE677" s="1696"/>
      <c r="GF677" s="1696"/>
      <c r="GG677" s="1696"/>
      <c r="GH677" s="1696"/>
      <c r="GI677" s="673"/>
      <c r="GJ677" s="1135"/>
      <c r="GK677" s="1832"/>
      <c r="GM677" s="1693" t="b">
        <f ca="1">IF(AND(GP677=TRUE,GQ677=TRUE),TRUE,FALSE)</f>
        <v>0</v>
      </c>
      <c r="GN677" s="1684" t="b">
        <f>IFERROR(IF(__Retrofit_TI_NC=2,TRUE,IF(AU676="Yes",TRUE,FALSE)),FALSE)</f>
        <v>1</v>
      </c>
      <c r="GP677" s="1684" t="b">
        <f>IFERROR(IF(GP676=1,TRUE,FALSE),FALSE)</f>
        <v>0</v>
      </c>
      <c r="GQ677" s="1684" t="b">
        <f ca="1">IFERROR(IF(GQ676=GQ$14,TRUE,FALSE),FALSE)</f>
        <v>0</v>
      </c>
      <c r="HG677" s="1684" t="b">
        <f>IFERROR(IF(AND(__Retrofit_TI_NC&gt;0,CQ676="Interior"),FALSE,TRUE),FALSE)</f>
        <v>1</v>
      </c>
      <c r="HH677" s="1684" t="b">
        <f>IFERROR(IF(M677=1,TRUE,FALSE),FALSE)</f>
        <v>0</v>
      </c>
      <c r="HI677" s="1684" t="b">
        <f>IFERROR(IF(OR(M678=1,N679="BAM"),TRUE,FALSE),FALSE)</f>
        <v>0</v>
      </c>
      <c r="HJ677" s="1684" t="b">
        <f>IFERROR(IF(__Retrofit_TI_NC&lt;&gt;0,TRUE,IFERROR(IF(VLOOKUP(U677,Fixtures_Existing_List,2,FALSE)&lt;&gt;"",TRUE,FALSE),FALSE)),FALSE)</f>
        <v>0</v>
      </c>
      <c r="HK677" s="1684" t="b">
        <f>IFERROR(IF(VLOOKUP(U678,Fixtures_Proposed_List,2,FALSE)&lt;&gt;"",TRUE,FALSE),FALSE)</f>
        <v>0</v>
      </c>
      <c r="HL677" s="1684" t="b">
        <f>IF(AND(__Retrofit_TI_NC=2,FC676=TRUE),FALSE,TRUE)</f>
        <v>1</v>
      </c>
      <c r="HM677" s="1684" t="b">
        <f>GK676</f>
        <v>1</v>
      </c>
      <c r="HN677" s="1682" t="b">
        <f>IF(ISERROR(MATCH(FE676,_Control_Match[],0))=TRUE,FALSE,TRUE)</f>
        <v>0</v>
      </c>
      <c r="HO677" s="1693" t="b">
        <f>IFERROR(IF(EX676&lt;&gt;EY676,FALSE,TRUE),FALSE)</f>
        <v>1</v>
      </c>
      <c r="HP677" s="1693" t="b">
        <f>IFERROR(IF(EX678&lt;&gt;EY678,FALSE,TRUE),FALSE)</f>
        <v>1</v>
      </c>
      <c r="HQ677" s="1670" t="b">
        <f>IFERROR(IF(CQ676="Exterior",TRUE,IF(AND(OR(FM678=0,FM678=3),JD678&gt;6),FALSE,TRUE)),FALSE)</f>
        <v>0</v>
      </c>
      <c r="HR677" s="1684" t="b">
        <f>IFERROR(IF(AND(FO678=7,FC676=TRUE),FALSE,TRUE),FALSE)</f>
        <v>0</v>
      </c>
      <c r="HS677" s="1684" t="b">
        <f>IFERROR(IF(AND(T678&lt;&gt;AF678,OR(AG678="Interior LLLC", AG678="Interior NLC", AG678="LLLC (outside Daylight)",AG678="LLLC Controls Only"))=TRUE,FALSE,TRUE),FALSE)</f>
        <v>1</v>
      </c>
      <c r="HT677" s="1670" t="b">
        <f>IFERROR(IF(OR(AG678=Lookup!BB$17,AG678=Lookup!BB$18,AG678=Lookup!BB$19)=TRUE,IF(AF678&gt;T678,FALSE,TRUE),TRUE),FALSE)</f>
        <v>1</v>
      </c>
      <c r="HU677" s="1684" t="b">
        <f>IFERROR(IF(__Retrofit_TI_NC=2,IF(EZ678&lt;EZ676,FALSE,TRUE),TRUE),FALSE)</f>
        <v>1</v>
      </c>
      <c r="HV677" s="1684" t="b">
        <f>IF(CQ676="Interior",IL$6,TRUE)</f>
        <v>1</v>
      </c>
      <c r="HW677" s="1684" t="b">
        <f>IF(CQ676="Exterior",IL$8,TRUE)</f>
        <v>1</v>
      </c>
      <c r="HX677" s="1684" t="b">
        <f>IFERROR(IF(__Retrofit_TI_NC&lt;&gt;0,IF(AZ676&lt;AY676,FALSE,TRUE),TRUE),FALSE)</f>
        <v>1</v>
      </c>
      <c r="HY677" s="1684" t="b">
        <f>IFERROR(IF(AND(G677="Exterior",R677&gt;4200),FALSE,TRUE),FALSE)</f>
        <v>1</v>
      </c>
      <c r="HZ677" s="1684" t="b">
        <f>IFERROR(IF(AB679/AB676&lt;HZ$18,FALSE,TRUE),FALSE)</f>
        <v>0</v>
      </c>
      <c r="IB677" s="1691"/>
      <c r="IC677" s="1695"/>
      <c r="ID677" s="1694" t="str">
        <f>VLOOKUP(IB679,_Error_Table,4,FALSE)</f>
        <v>White</v>
      </c>
      <c r="IE677" s="391"/>
      <c r="IF677" s="1688"/>
      <c r="IG677" s="1689"/>
      <c r="IH677" s="1684"/>
      <c r="IK677" s="1689"/>
      <c r="IL677" s="1691"/>
      <c r="IM677" s="1691"/>
      <c r="IN677" s="1691"/>
      <c r="IP677" s="1679"/>
      <c r="IQ677" s="1679"/>
      <c r="IR677" s="1679"/>
      <c r="IS677" s="1679"/>
      <c r="IT677" s="1679"/>
      <c r="IU677" s="1679"/>
      <c r="IV677" s="1679"/>
      <c r="IW677" s="1679"/>
      <c r="IX677" s="1679"/>
      <c r="IY677" s="1679"/>
      <c r="IZ677" s="1679"/>
      <c r="JA677" s="1679"/>
      <c r="JC677" s="1680"/>
      <c r="JD677" s="1670"/>
      <c r="JE677" s="1681"/>
      <c r="JG677" s="1680"/>
      <c r="JH677" s="1670"/>
      <c r="JI677" s="1060"/>
      <c r="JJ677" s="1683"/>
      <c r="JK677" s="1061"/>
      <c r="JL677" s="1683"/>
      <c r="JM677" s="1061"/>
      <c r="JN677" s="1683"/>
      <c r="JO677" s="1061"/>
      <c r="JP677" s="1683"/>
      <c r="JQ677" s="1061"/>
      <c r="JR677" s="1683"/>
      <c r="JS677" s="1061"/>
      <c r="JT677" s="1670"/>
      <c r="JU677" s="1061"/>
      <c r="JV677" s="1670"/>
      <c r="JX677" s="1670"/>
      <c r="JZ677" s="1683"/>
      <c r="KB677" s="1670"/>
    </row>
    <row r="678" spans="1:288" s="78" customFormat="1" ht="14.95" customHeight="1" thickTop="1" thickBot="1">
      <c r="A678" s="78">
        <f>ROW()</f>
        <v>678</v>
      </c>
      <c r="B678" s="1845"/>
      <c r="C678" s="1846"/>
      <c r="D678" s="1847"/>
      <c r="E678" s="1737" t="s">
        <v>298</v>
      </c>
      <c r="F678" s="1738"/>
      <c r="G678" s="1760"/>
      <c r="H678" s="1761"/>
      <c r="I678" s="1761"/>
      <c r="J678" s="1761"/>
      <c r="K678" s="1761"/>
      <c r="L678" s="1762"/>
      <c r="M678" s="461">
        <f>IFERROR(IF(IF(__Retrofit_TI_NC&lt;&gt;0,IF(CQ676="Interior",MATCH(G678,Lookup_Interior_New,0),MATCH(G678,Lookup_Exterior_New,0)),IF(CQ676="Interior",MATCH(G678,Lookup_Interior,0),MATCH(G678,Lookup_Exterior_Areas,0)))&gt;0,1,0),0)</f>
        <v>0</v>
      </c>
      <c r="N678" s="461" t="e">
        <f>IF(__Retrofit_TI_NC=1,
VLOOKUP(G678,'Space Table'!$B$3:$L$163,4,FALSE),
IF(__Retrofit_TI_NC=2,VLOOKUP(G678,'Space Table'!$B$3:$L$163,5,FALSE),VLOOKUP(G678,'Space Table'!$B$3:$L$163,5,FALSE)))</f>
        <v>#N/A</v>
      </c>
      <c r="O678" s="461">
        <f>G678</f>
        <v>0</v>
      </c>
      <c r="P678" s="1738" t="str">
        <f>IFERROR(IF(__Retrofit_TI_NC=1,VLOOKUP(G678,'Space Table'!$B$3:$O$163,13,FALSE),IF(__Retrofit_TI_NC=2,VLOOKUP(G678,'Space Table'!$B$3:$O$163,14,FALSE),"Area (sf):")),"Area (sf):")</f>
        <v>Area (sf):</v>
      </c>
      <c r="Q678" s="1738"/>
      <c r="R678" s="596"/>
      <c r="S678" s="1763" t="s">
        <v>345</v>
      </c>
      <c r="T678" s="594"/>
      <c r="U678" s="1801"/>
      <c r="V678" s="1802"/>
      <c r="W678" s="1802"/>
      <c r="X678" s="1802"/>
      <c r="Y678" s="1802"/>
      <c r="Z678" s="1802"/>
      <c r="AA678" s="1802"/>
      <c r="AB678" s="1802"/>
      <c r="AC678" s="1802"/>
      <c r="AD678" s="1802"/>
      <c r="AE678" s="1803"/>
      <c r="AF678" s="594"/>
      <c r="AG678" s="1787"/>
      <c r="AH678" s="1787"/>
      <c r="AI678" s="1787"/>
      <c r="AJ678" s="1787"/>
      <c r="AK678" s="1787"/>
      <c r="AL678" s="1787"/>
      <c r="AM678" s="1726">
        <f>IFERROR(DI678,"")</f>
        <v>0</v>
      </c>
      <c r="AN678" s="1728" t="str">
        <f>IFERROR(ROUND(AM678*AC679,0),"")</f>
        <v/>
      </c>
      <c r="AO678" s="1730">
        <f>IFERROR(IF(IB676=FALSE,0,AC679-AN678),0)</f>
        <v>0</v>
      </c>
      <c r="AP678" s="1780"/>
      <c r="AQ678" s="1781"/>
      <c r="AR678" s="1795"/>
      <c r="AS678" s="1795"/>
      <c r="AT678" s="1796"/>
      <c r="AU678" s="1735"/>
      <c r="AV678" s="1752"/>
      <c r="AW678" s="1705"/>
      <c r="AX678" s="467"/>
      <c r="AY678" s="1749"/>
      <c r="AZ678" s="1749"/>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696"/>
      <c r="CQ678" s="1696"/>
      <c r="CR678" s="1808" t="str">
        <f>CQ676</f>
        <v/>
      </c>
      <c r="CS678" s="1810" t="str">
        <f>CS676</f>
        <v/>
      </c>
      <c r="CU678" s="1688" t="s">
        <v>345</v>
      </c>
      <c r="CV678" s="1702">
        <f>IF(IB676=TRUE,T678,0)</f>
        <v>0</v>
      </c>
      <c r="CW678" s="1702" t="str">
        <f>IF(IB676=TRUE,U678,"")</f>
        <v/>
      </c>
      <c r="CX678" s="1812">
        <f>IF(IB676=TRUE,U679,0)</f>
        <v>0</v>
      </c>
      <c r="CY678" s="1814">
        <f>IF(IB676=TRUE,AB679,0)</f>
        <v>0</v>
      </c>
      <c r="CZ678" s="1710">
        <f>IF(AND(__Retrofit_TI_NC&gt;0,CR676="interior"),0,IF(IB676=TRUE,AC679,0))</f>
        <v>0</v>
      </c>
      <c r="DA678" s="1818"/>
      <c r="DB678" s="1820"/>
      <c r="DC678" s="1820"/>
      <c r="DD678" s="1820"/>
      <c r="DF678" s="1702">
        <f>IF(IB676=TRUE,AF678,0)</f>
        <v>0</v>
      </c>
      <c r="DG678" s="1830" t="str">
        <f>IF(IB676=TRUE,AG678,"")</f>
        <v/>
      </c>
      <c r="DH678" s="1812">
        <f>AG679</f>
        <v>0</v>
      </c>
      <c r="DI678" s="1837">
        <f>JE678</f>
        <v>0</v>
      </c>
      <c r="DJ678" s="1710">
        <f>IF(AND(__Retrofit_TI_NC&gt;0,CR676="interior"),0,IF(IB676=TRUE,AN678,0))</f>
        <v>0</v>
      </c>
      <c r="DK678" s="1712"/>
      <c r="DN678" s="1717">
        <f>IFERROR(CZ678-DJ678,0)</f>
        <v>0</v>
      </c>
      <c r="DO678" s="1709"/>
      <c r="DQ678" s="1715"/>
      <c r="DR678" s="1719" t="str">
        <f>DQ676</f>
        <v/>
      </c>
      <c r="DS678" s="1816"/>
      <c r="DT678" s="1835" t="str">
        <f>IF(OR(DS676=7,DS676=8,DS676=9),"ALC","")</f>
        <v/>
      </c>
      <c r="DU678" s="1715"/>
      <c r="DV678" s="1716"/>
      <c r="DX678" s="1715"/>
      <c r="DY678" s="1829" t="str">
        <f>DX676</f>
        <v/>
      </c>
      <c r="DZ678" s="1715"/>
      <c r="EA678" s="1715"/>
      <c r="EC678" s="1834"/>
      <c r="ED678" s="1834"/>
      <c r="EF678" s="1707"/>
      <c r="EG678" s="1712"/>
      <c r="EH678" s="1818"/>
      <c r="EI678" s="1712"/>
      <c r="EJ678" s="1712"/>
      <c r="EK678" s="1836"/>
      <c r="EL678" s="1836"/>
      <c r="EM678" s="1807"/>
      <c r="EN678" s="1839"/>
      <c r="EO678" s="1839"/>
      <c r="EP678" s="1817"/>
      <c r="EQ678" s="1817"/>
      <c r="ER678" s="1807"/>
      <c r="ES678" s="1807"/>
      <c r="ET678" s="1807"/>
      <c r="EV678" s="1715"/>
      <c r="EX678" s="1805" t="str">
        <f>IFERROR(VLOOKUP(CS678,'Space Table'!$B$3:$L$163,8,FALSE),"")</f>
        <v/>
      </c>
      <c r="EY678" s="1805" t="str">
        <f>IFERROR(IF(FB678="Yes",VLOOKUP(AG678,Lookup_Control_Type_Table2,4,FALSE),VLOOKUP(AG678,Lookup_Control_Type_Table2,3,FALSE)),"")</f>
        <v/>
      </c>
      <c r="EZ678" s="1805" t="e">
        <f>VLOOKUP(AG678,Lookup!BB$3:BC$20,2,FALSE)</f>
        <v>#N/A</v>
      </c>
      <c r="FA678" s="1805" t="e">
        <f>VLOOKUP(EX676,Lookup_Control_Type_Table,2,FALSE)</f>
        <v>#N/A</v>
      </c>
      <c r="FB678" s="1805" t="e">
        <f>VLOOKUP(CS678,'Space Table'!$B$3:$L$163,7,FALSE)</f>
        <v>#N/A</v>
      </c>
      <c r="FC678" s="1827"/>
      <c r="FE678" s="1698" t="str">
        <f>CONCATENATE(CQ676," - ",AG678)</f>
        <v xml:space="preserve"> - </v>
      </c>
      <c r="FG678" s="1816"/>
      <c r="FH678" s="1816"/>
      <c r="FI678" s="133"/>
      <c r="FL678" s="1822" t="str">
        <f>IF(CQ676="Exterior","Not Daylighted",G679)</f>
        <v>Not Daylighted</v>
      </c>
      <c r="FM678" s="1824">
        <f>VLOOKUP(FL678,_New_Daylight_Table_Codes,2,FALSE)</f>
        <v>0</v>
      </c>
      <c r="FN678" s="1698">
        <f>AG678</f>
        <v>0</v>
      </c>
      <c r="FO678" s="1698" t="e">
        <f>VLOOKUP(FN678,_Control_Table,2,FALSE)</f>
        <v>#N/A</v>
      </c>
      <c r="FP678" s="1678" t="e">
        <f>VLOOKUP(CONCATENATE(FL678," ",FN678),Lookup!AY$102:AZ689,2,FALSE)</f>
        <v>#N/A</v>
      </c>
      <c r="FQ678" s="1698">
        <f>IF(__Retrofit_TI_NC=0,FN678,IF(AND(FT678&gt;0,FN678="Occupancy Sensor"),"Daylight + Occupancy",IF(AND(FT678&gt;0,FO678&lt;4),"Interior Daylight Dimming",FN678)))</f>
        <v>0</v>
      </c>
      <c r="FS678" s="1686">
        <f>IF(CQ676="Interior",VLOOKUP(CS676,Control_Savings_Interior,5,FALSE),0)</f>
        <v>0</v>
      </c>
      <c r="FT678" s="1687">
        <f>IF(CQ678="Exterior",0,IF(FM678=2,0.5,IF(OR(FM678=1,FM678=3),1,0)))</f>
        <v>0</v>
      </c>
      <c r="FU678" s="1685">
        <f>IF(R677&gt;FS$44,(FS678*(FS$44/R677)),FS678)*FT678</f>
        <v>0</v>
      </c>
      <c r="FV678" s="1686">
        <f>DI678</f>
        <v>0</v>
      </c>
      <c r="FW678" s="1686">
        <f>ROUND(FV678+((1-FV678)*FU678),2)</f>
        <v>0</v>
      </c>
      <c r="FX678" s="1686">
        <f>IF(__Retrofit_TI_NC=2,FW678,FV678)</f>
        <v>0</v>
      </c>
      <c r="FY678" s="1697">
        <f>IF(CR678="Interior",VLOOKUP(CS678,Control_Savings_Interior,4,FALSE),0)</f>
        <v>0</v>
      </c>
      <c r="GA678" s="1696"/>
      <c r="GB678" s="1696"/>
      <c r="GC678" s="1696"/>
      <c r="GD678" s="1696"/>
      <c r="GE678" s="1696"/>
      <c r="GF678" s="1696"/>
      <c r="GG678" s="1696"/>
      <c r="GH678" s="1696"/>
      <c r="GI678" s="673" t="b">
        <f>IF(ISNUMBER(SEARCH("TLED",U678)),TRUE,FALSE)</f>
        <v>0</v>
      </c>
      <c r="GJ678" s="1135" t="str">
        <f>IFERROR(VLOOKUP(U678,Fixtures!DM$93:DR$142,6,FALSE),"")</f>
        <v/>
      </c>
      <c r="GK678" s="1832"/>
      <c r="GM678" s="1692"/>
      <c r="GN678" s="1684"/>
      <c r="GP678" s="1684"/>
      <c r="GQ678" s="1684"/>
      <c r="HG678" s="1684"/>
      <c r="HH678" s="1684"/>
      <c r="HI678" s="1684"/>
      <c r="HJ678" s="1684"/>
      <c r="HK678" s="1684"/>
      <c r="HL678" s="1684"/>
      <c r="HM678" s="1684"/>
      <c r="HN678" s="1683"/>
      <c r="HO678" s="1692"/>
      <c r="HP678" s="1692"/>
      <c r="HQ678" s="1670"/>
      <c r="HR678" s="1684"/>
      <c r="HS678" s="1684"/>
      <c r="HT678" s="1670"/>
      <c r="HU678" s="1684"/>
      <c r="HV678" s="1684"/>
      <c r="HW678" s="1684"/>
      <c r="HX678" s="1684"/>
      <c r="HY678" s="1684"/>
      <c r="HZ678" s="1684"/>
      <c r="IB678" s="1692"/>
      <c r="IC678" s="1693" t="b">
        <f>IB676</f>
        <v>0</v>
      </c>
      <c r="ID678" s="1695"/>
      <c r="IE678" s="391"/>
      <c r="IF678" s="1688"/>
      <c r="IG678" s="1689">
        <f ca="1">IF(IF676=TRUE,AC679,0)</f>
        <v>0</v>
      </c>
      <c r="IH678" s="1684"/>
      <c r="IK678" s="1689" t="e">
        <f>ROUND(T678*AB679*N677*R677/1000,0)</f>
        <v>#VALUE!</v>
      </c>
      <c r="IL678" s="1691"/>
      <c r="IM678" s="1693" t="e">
        <f>ROUND(T678*AB679*N677*R677/1000,0)</f>
        <v>#VALUE!</v>
      </c>
      <c r="IN678" s="1691"/>
      <c r="IP678" s="1679"/>
      <c r="IQ678" s="1679" t="e">
        <f t="shared" ref="IQ678:IU678" si="622">IF($CR678="interior",VLOOKUP($CS678,_New_Control_Savings_Interior,IQ$30,FALSE),VLOOKUP($CS678,Control_Savings_Exterior,IQ$30,FALSE))</f>
        <v>#N/A</v>
      </c>
      <c r="IR678" s="1679" t="e">
        <f t="shared" si="622"/>
        <v>#N/A</v>
      </c>
      <c r="IS678" s="1679" t="e">
        <f t="shared" si="622"/>
        <v>#N/A</v>
      </c>
      <c r="IT678" s="1679" t="e">
        <f t="shared" si="622"/>
        <v>#N/A</v>
      </c>
      <c r="IU678" s="1679" t="e">
        <f t="shared" si="622"/>
        <v>#N/A</v>
      </c>
      <c r="IV678" s="1679" t="e">
        <f>IF($CR678="interior",IF(R677&gt;$IP$14,ROUND(($IV$18*($IP$14/R677)),2),$IV$18),VLOOKUP($CS678,Control_Savings_Exterior,IV$30,FALSE))</f>
        <v>#N/A</v>
      </c>
      <c r="IW678" s="1679" t="e">
        <f>IF($CR678="interior",ROUND(((1-IS678)*IV678)+IS678,2),VLOOKUP($CS678,Control_Savings_Exterior,IW$30,FALSE))</f>
        <v>#N/A</v>
      </c>
      <c r="IX678" s="1679" t="e">
        <f>IF($CR678="interior",ROUND(((1-IT678)*IV678)+IT678,2),VLOOKUP($CS678,Control_Savings_Exterior,IX$30,FALSE))</f>
        <v>#N/A</v>
      </c>
      <c r="IY678" s="1679" t="e">
        <f>IF($CR678="interior",IF(R677&gt;$IP$14,ROUND(($IY$18*($IP$14/R677)),2),$IY$18),VLOOKUP($CS678,Control_Savings_Exterior,IY$30,FALSE))</f>
        <v>#N/A</v>
      </c>
      <c r="IZ678" s="1679" t="e">
        <f>IF($CR678="interior",ROUND(((1-IS678)*IY678)+IS678,2),VLOOKUP($CS678,Control_Savings_Exterior,IZ$30,FALSE))</f>
        <v>#N/A</v>
      </c>
      <c r="JA678" s="1679" t="e">
        <f>IF($CR678="interior",ROUND(((1-IT678)*IY678)+IT678,2),VLOOKUP($CS678,Control_Savings_Exterior,JA$30,FALSE))</f>
        <v>#N/A</v>
      </c>
      <c r="JC678" s="1680">
        <f>IFERROR(IF(CR678="Interior",CONCATENATE(G679," ",FQ678),AG678),"")</f>
        <v>0</v>
      </c>
      <c r="JD678" s="1670" t="str">
        <f>IFERROR(VLOOKUP(JC678,_Controls_2023,2,FALSE),"")</f>
        <v/>
      </c>
      <c r="JE678" s="1681">
        <f>IFERROR(CHOOSE(JD678-1,IQ678,IR678,IS678,IT678,IU678,IV678,IW678,IX678,IY678,IZ678,JA678),0)</f>
        <v>0</v>
      </c>
      <c r="JG678" s="1680" t="str">
        <f>FE678</f>
        <v xml:space="preserve"> - </v>
      </c>
      <c r="JH678" s="1670" t="e">
        <f>$FO678</f>
        <v>#N/A</v>
      </c>
      <c r="JI678" s="1060"/>
      <c r="JJ678" s="1670">
        <f>IFERROR(IF($IB676=TRUE,IF(OR(JJ$14="No",JJ676=FALSE,JH678&lt;=JH676,AND(_kWh_Grant=0,GD676=FALSE)),0,IF(JJ$8="Per Line",1,$AF678)),0),0)</f>
        <v>0</v>
      </c>
      <c r="JK678" s="1061"/>
      <c r="JL678" s="1670">
        <f>IFERROR(IF(_kWh_Grant=0,0,IF($IB676=TRUE,IF(OR(JL$14="No",JL676=FALSE,JH678&lt;=JH676),0,IF(JL$8="Per Line",1,$T678)),0)),0)</f>
        <v>0</v>
      </c>
      <c r="JM678" s="1061"/>
      <c r="JN678" s="1670">
        <f>IFERROR(IF(_kWh_Grant=0,0,IF($IB676=TRUE,IF(OR(JN$14="No",JN676=FALSE,JH678&lt;=JH676),0,IF(JN$8="Per Line",1,$AF678)),0)),0)</f>
        <v>0</v>
      </c>
      <c r="JO678" s="1061"/>
      <c r="JP678" s="1670">
        <f>IFERROR(IF(__Retrofit_TI_NC=0,IF(_kWh_Grant=0,0,IF($IB676=TRUE,IF(OR(JP$14="No",JP676=FALSE,$JH678&lt;=$JH676),0,IF(JP$8="Per Line",1,$AF678)),0)),IF($IB676=TRUE,IF(OR(JP$14="No",JP676=FALSE,$JH678&lt;=$JH676),0,IF(JP$8="Per Line",1,$AF678)))),0)</f>
        <v>0</v>
      </c>
      <c r="JQ678" s="1061"/>
      <c r="JR678" s="1670">
        <f>IFERROR(IF(__Retrofit_TI_NC=0,IF(_kWh_Grant=0,0,IF($IB676=TRUE,IF(OR(JR$14="No",JR676=FALSE,$JH678&lt;=$JH676),0,IF(JR$8="Per Line",1,$AF678)),0)),IF($IB676=TRUE,IF(OR(JR$14="No",JR676=FALSE,$JH678&lt;=$JH676),0,IF(JR$8="Per Line",1,$AF678)))),0)</f>
        <v>0</v>
      </c>
      <c r="JS678" s="1061"/>
      <c r="JT678" s="1670">
        <f>IFERROR(IF(__Retrofit_TI_NC=0,IF(_kWh_Grant=0,0,IF($IB676=TRUE,IF(OR(JT$14="No",JT676=FALSE,$JH678&lt;=$JH676),0,IF(JT$8="Per Line",1,$AF678)),0)),IF($IB676=TRUE,IF(OR(JT$14="No",JT676=FALSE,$JH678&lt;=$JH676),0,IF(JT$8="Per Line",1,$AF678)))),0)</f>
        <v>0</v>
      </c>
      <c r="JU678" s="1061"/>
      <c r="JV678" s="1670">
        <f>IFERROR(IF(__Retrofit_TI_NC=0,IF(_kWh_Grant=0,0,IF($IB676=TRUE,IF(OR(JV$14="No",JV676=FALSE,$JH678&lt;=$JH676),0,IF(JV$8="Per Line",1,$AF678)),0)),IF($IB676=TRUE,IF(OR(JV$14="No",JV676=FALSE,$JH678&lt;=$JH676),0,IF(JV$8="Per Line",1,$AF678)))),0)</f>
        <v>0</v>
      </c>
      <c r="JX678" s="1670">
        <f>IFERROR(IF(__Retrofit_TI_NC=0,IF(_kWh_Grant=0,0,IF($IB676=TRUE,IF(OR(JX$14="No",JX676=FALSE,$JH678&lt;=$JH676),0,IF(JX$8="Per Line",1,$AF678)),0)),IF($IB676=TRUE,IF(OR(JX$14="No",JX676=FALSE,$JH678&lt;=$JH676),0,IF(JX$8="Per Line",1,$AF678)))),0)</f>
        <v>0</v>
      </c>
      <c r="JZ678" s="1670">
        <f>IFERROR(IF($IB676=TRUE,IF(OR(JZ$14="No",JZ676=FALSE,$JH678&lt;=$JH676,AND(_kWh_Grant=0,$GD676=FALSE)),0,IF(JZ$8="Per Line",1,$AF678)),0),0)</f>
        <v>0</v>
      </c>
      <c r="KB678" s="1670">
        <f>IFERROR(IF(__Retrofit_TI_NC=0,IF(_kWh_Grant=0,0,IF($IB676=TRUE,IF(OR(KB$14="No",KB676=FALSE,$JH678&lt;=$JH676),0,IF(KB$8="Per Line",1,$AF678)),0)),IF($IB676=TRUE,IF(OR(KB$14="No",KB676=FALSE,$JH678&lt;=$JH676),0,IF(KB$8="Per Line",1,$AF678)))),0)</f>
        <v>0</v>
      </c>
    </row>
    <row r="679" spans="1:288" s="78" customFormat="1" ht="14.95" customHeight="1" thickTop="1" thickBot="1">
      <c r="B679" s="1845"/>
      <c r="C679" s="1846"/>
      <c r="D679" s="1847"/>
      <c r="E679" s="1771" t="s">
        <v>436</v>
      </c>
      <c r="F679" s="1772"/>
      <c r="G679" s="1784" t="s">
        <v>437</v>
      </c>
      <c r="H679" s="1785"/>
      <c r="I679" s="1785"/>
      <c r="J679" s="1785"/>
      <c r="K679" s="1785"/>
      <c r="L679" s="1786"/>
      <c r="M679" s="591">
        <f>IFERROR(VLOOKUP(G679,_Daylight_Table[],2,FALSE),0)</f>
        <v>0</v>
      </c>
      <c r="N679" s="592" t="str">
        <f>IF(AND(__Retrofit_TI_NC&gt;0,CQ676="Interior"),"BAM","")</f>
        <v/>
      </c>
      <c r="O679" s="591" t="e">
        <f>VLOOKUP(G678,'Space Table'!$B$3:$L$163,11,FALSE)</f>
        <v>#N/A</v>
      </c>
      <c r="P679" s="1789"/>
      <c r="Q679" s="1790"/>
      <c r="R679" s="1790"/>
      <c r="S679" s="1788"/>
      <c r="T679" s="593" t="s">
        <v>342</v>
      </c>
      <c r="U679" s="1756" t="str" cm="1">
        <f t="array" aca="1" ref="U679" ca="1">IFERROR(VLOOKUP(INDIRECT("U" &amp; ROW()-1),Fixtures!DM$93:DP$142,4,FALSE),"")</f>
        <v/>
      </c>
      <c r="V679" s="1757"/>
      <c r="W679" s="1757"/>
      <c r="X679" s="1757"/>
      <c r="Y679" s="1757"/>
      <c r="Z679" s="1757"/>
      <c r="AA679" s="1758"/>
      <c r="AB679" s="939" t="str">
        <f>IFERROR(VLOOKUP(U678,Fixtures_Proposed_List,2,FALSE),"")</f>
        <v/>
      </c>
      <c r="AC679" s="933" t="str">
        <f>IFERROR(ROUND(T678*AB679*N677*R677/1000,0),"")</f>
        <v/>
      </c>
      <c r="AD679" s="934" t="str">
        <f>IFERROR(ROUND(T678*AB679/1000,2),"")</f>
        <v/>
      </c>
      <c r="AE679" s="998"/>
      <c r="AF679" s="938" t="s">
        <v>342</v>
      </c>
      <c r="AG679" s="1770"/>
      <c r="AH679" s="1770"/>
      <c r="AI679" s="1770"/>
      <c r="AJ679" s="1770"/>
      <c r="AK679" s="1770"/>
      <c r="AL679" s="1770"/>
      <c r="AM679" s="1727"/>
      <c r="AN679" s="1729"/>
      <c r="AO679" s="1731"/>
      <c r="AP679" s="1782"/>
      <c r="AQ679" s="1783"/>
      <c r="AR679" s="1797"/>
      <c r="AS679" s="1797"/>
      <c r="AT679" s="1798"/>
      <c r="AU679" s="1736"/>
      <c r="AV679" s="1753"/>
      <c r="AW679" s="1706"/>
      <c r="AX679" s="468"/>
      <c r="AY679" s="1750"/>
      <c r="AZ679" s="1750"/>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696"/>
      <c r="CQ679" s="1696"/>
      <c r="CR679" s="1809"/>
      <c r="CS679" s="1811"/>
      <c r="CU679" s="1688"/>
      <c r="CV679" s="1703"/>
      <c r="CW679" s="1703"/>
      <c r="CX679" s="1813"/>
      <c r="CY679" s="1815"/>
      <c r="CZ679" s="1711"/>
      <c r="DA679" s="1815"/>
      <c r="DB679" s="1821"/>
      <c r="DC679" s="1821"/>
      <c r="DD679" s="1821"/>
      <c r="DF679" s="1703"/>
      <c r="DG679" s="1831"/>
      <c r="DH679" s="1813"/>
      <c r="DI679" s="1838"/>
      <c r="DJ679" s="1711"/>
      <c r="DK679" s="1712"/>
      <c r="DN679" s="1718"/>
      <c r="DO679" s="1709"/>
      <c r="DQ679" s="1715"/>
      <c r="DR679" s="1720"/>
      <c r="DS679" s="1703"/>
      <c r="DT679" s="1714"/>
      <c r="DU679" s="1715"/>
      <c r="DV679" s="1716"/>
      <c r="DX679" s="1715"/>
      <c r="DY679" s="1720"/>
      <c r="DZ679" s="1715"/>
      <c r="EA679" s="1715"/>
      <c r="EC679" s="1834"/>
      <c r="ED679" s="1834"/>
      <c r="EF679" s="1707"/>
      <c r="EG679" s="1712"/>
      <c r="EH679" s="1815"/>
      <c r="EI679" s="1712"/>
      <c r="EJ679" s="1712"/>
      <c r="EK679" s="1813"/>
      <c r="EL679" s="1813"/>
      <c r="EM679" s="1807"/>
      <c r="EN679" s="1839"/>
      <c r="EO679" s="1839"/>
      <c r="EP679" s="1817"/>
      <c r="EQ679" s="1817"/>
      <c r="ER679" s="1807"/>
      <c r="ES679" s="1807"/>
      <c r="ET679" s="1807"/>
      <c r="EV679" s="1715"/>
      <c r="EX679" s="1806"/>
      <c r="EY679" s="1806"/>
      <c r="EZ679" s="1806"/>
      <c r="FA679" s="1806"/>
      <c r="FB679" s="1806"/>
      <c r="FC679" s="1828"/>
      <c r="FE679" s="1698"/>
      <c r="FG679" s="1703"/>
      <c r="FH679" s="1703"/>
      <c r="FI679" s="133"/>
      <c r="FL679" s="1823"/>
      <c r="FM679" s="1825"/>
      <c r="FN679" s="1698"/>
      <c r="FO679" s="1698"/>
      <c r="FP679" s="1678"/>
      <c r="FQ679" s="1698"/>
      <c r="FS679" s="1687"/>
      <c r="FT679" s="1687"/>
      <c r="FU679" s="1685"/>
      <c r="FV679" s="1687"/>
      <c r="FW679" s="1687"/>
      <c r="FX679" s="1687"/>
      <c r="FY679" s="1697"/>
      <c r="GA679" s="1696"/>
      <c r="GB679" s="1696"/>
      <c r="GC679" s="1696"/>
      <c r="GD679" s="1696"/>
      <c r="GE679" s="1696"/>
      <c r="GF679" s="1696"/>
      <c r="GG679" s="1696"/>
      <c r="GH679" s="1696"/>
      <c r="GI679" s="673"/>
      <c r="GJ679" s="1135"/>
      <c r="GK679" s="1832"/>
      <c r="GN679" s="674">
        <f>IF(GN677=TRUE,0,GN$16)</f>
        <v>0</v>
      </c>
      <c r="GP679" s="674">
        <f>IF(GP677=TRUE,0,GP$16)</f>
        <v>36</v>
      </c>
      <c r="GQ679" s="674">
        <f ca="1">IF(GQ677=TRUE,0,GQ$16)</f>
        <v>35</v>
      </c>
      <c r="GR679" s="391"/>
      <c r="GS679" s="391"/>
      <c r="GT679" s="391"/>
      <c r="GU679" s="391"/>
      <c r="GV679" s="391"/>
      <c r="HG679" s="674">
        <f>IF(HG677=TRUE,0,HG$16)</f>
        <v>0</v>
      </c>
      <c r="HH679" s="674">
        <f t="shared" ref="HH679:HM679" si="623">IF(HH677=TRUE,0,HH$16)</f>
        <v>19</v>
      </c>
      <c r="HI679" s="674">
        <f t="shared" si="623"/>
        <v>18</v>
      </c>
      <c r="HJ679" s="674">
        <f t="shared" si="623"/>
        <v>17</v>
      </c>
      <c r="HK679" s="674">
        <f t="shared" si="623"/>
        <v>16</v>
      </c>
      <c r="HL679" s="674">
        <f t="shared" si="623"/>
        <v>0</v>
      </c>
      <c r="HM679" s="674">
        <f t="shared" si="623"/>
        <v>0</v>
      </c>
      <c r="HN679" s="674">
        <f>IF(HN677=TRUE,0,HN$16)</f>
        <v>13</v>
      </c>
      <c r="HO679" s="674">
        <f t="shared" ref="HO679:HQ679" si="624">IF(HO677=TRUE,0,HO$16)</f>
        <v>0</v>
      </c>
      <c r="HP679" s="674">
        <f t="shared" si="624"/>
        <v>0</v>
      </c>
      <c r="HQ679" s="674">
        <f t="shared" si="624"/>
        <v>10</v>
      </c>
      <c r="HR679" s="674">
        <f>IF(HR677=TRUE,0,HR$16)</f>
        <v>9</v>
      </c>
      <c r="HS679" s="674">
        <f t="shared" ref="HS679:HW679" si="625">IF(HS677=TRUE,0,HS$16)</f>
        <v>0</v>
      </c>
      <c r="HT679" s="674">
        <f t="shared" si="625"/>
        <v>0</v>
      </c>
      <c r="HU679" s="674">
        <f t="shared" si="625"/>
        <v>0</v>
      </c>
      <c r="HV679" s="674">
        <f t="shared" si="625"/>
        <v>0</v>
      </c>
      <c r="HW679" s="674">
        <f t="shared" si="625"/>
        <v>0</v>
      </c>
      <c r="HX679" s="674">
        <f>IF(HX677=TRUE,0,HX$16)</f>
        <v>0</v>
      </c>
      <c r="HY679" s="674">
        <f>IF(HY677=TRUE,0,HY$16)</f>
        <v>0</v>
      </c>
      <c r="HZ679" s="674">
        <f>IF(HZ677=TRUE,0,HZ$16)</f>
        <v>1</v>
      </c>
      <c r="IB679" s="674">
        <f>IF(GP677=FALSE,GP679,IF(GQ677=FALSE,GQ679,MAX(GN679:HZ679)))</f>
        <v>36</v>
      </c>
      <c r="IC679" s="1692"/>
      <c r="ID679" s="205" t="str">
        <f>VLOOKUP(IB679,_Error_Table,3,FALSE)</f>
        <v xml:space="preserve"> </v>
      </c>
      <c r="IE679" s="205"/>
      <c r="IF679" s="1688"/>
      <c r="IG679" s="1689"/>
      <c r="IH679" s="1684"/>
      <c r="IK679" s="1689"/>
      <c r="IL679" s="1692"/>
      <c r="IM679" s="1692"/>
      <c r="IN679" s="1692"/>
      <c r="IP679" s="1679"/>
      <c r="IQ679" s="1679"/>
      <c r="IR679" s="1679"/>
      <c r="IS679" s="1679"/>
      <c r="IT679" s="1679"/>
      <c r="IU679" s="1679"/>
      <c r="IV679" s="1679"/>
      <c r="IW679" s="1679"/>
      <c r="IX679" s="1679"/>
      <c r="IY679" s="1679"/>
      <c r="IZ679" s="1679"/>
      <c r="JA679" s="1679"/>
      <c r="JC679" s="1680"/>
      <c r="JD679" s="1670"/>
      <c r="JE679" s="1681"/>
      <c r="JG679" s="1680"/>
      <c r="JH679" s="1670"/>
      <c r="JI679" s="1060"/>
      <c r="JJ679" s="1670"/>
      <c r="JK679" s="1061"/>
      <c r="JL679" s="1670"/>
      <c r="JM679" s="1061"/>
      <c r="JN679" s="1670"/>
      <c r="JO679" s="1061"/>
      <c r="JP679" s="1670"/>
      <c r="JQ679" s="1061"/>
      <c r="JR679" s="1670"/>
      <c r="JS679" s="1061"/>
      <c r="JT679" s="1670"/>
      <c r="JU679" s="1061"/>
      <c r="JV679" s="1670"/>
      <c r="JX679" s="1670"/>
      <c r="JZ679" s="1670"/>
      <c r="KB679" s="1670"/>
    </row>
    <row r="680" spans="1:288" s="78" customFormat="1" ht="5.0999999999999996" customHeight="1">
      <c r="B680" s="676"/>
      <c r="C680" s="392"/>
      <c r="D680" s="392"/>
      <c r="E680" s="1733"/>
      <c r="F680" s="1733"/>
      <c r="G680" s="1733"/>
      <c r="H680" s="1733"/>
      <c r="I680" s="1733"/>
      <c r="J680" s="1733"/>
      <c r="K680" s="1733"/>
      <c r="L680" s="1733"/>
      <c r="M680" s="1733"/>
      <c r="N680" s="1733"/>
      <c r="O680" s="1733"/>
      <c r="P680" s="1733"/>
      <c r="Q680" s="1733"/>
      <c r="R680" s="1733"/>
      <c r="S680" s="1733"/>
      <c r="T680" s="1733"/>
      <c r="U680" s="1733"/>
      <c r="V680" s="1733"/>
      <c r="W680" s="1733"/>
      <c r="X680" s="1733"/>
      <c r="Y680" s="1733"/>
      <c r="Z680" s="1733"/>
      <c r="AA680" s="1733"/>
      <c r="AB680" s="1733"/>
      <c r="AC680" s="1733"/>
      <c r="AD680" s="1733"/>
      <c r="AE680" s="1733"/>
      <c r="AF680" s="1733"/>
      <c r="AG680" s="1733"/>
      <c r="AH680" s="1733"/>
      <c r="AI680" s="1733"/>
      <c r="AJ680" s="1733"/>
      <c r="AK680" s="1733"/>
      <c r="AL680" s="1733"/>
      <c r="AM680" s="1733"/>
      <c r="AN680" s="1733"/>
      <c r="AO680" s="1733"/>
      <c r="AP680" s="1733"/>
      <c r="AQ680" s="1733"/>
      <c r="AR680" s="1733"/>
      <c r="AS680" s="1733"/>
      <c r="AT680" s="1733"/>
      <c r="AU680" s="1733"/>
      <c r="AV680" s="1733"/>
      <c r="AW680" s="1733"/>
      <c r="AX680" s="469"/>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663"/>
      <c r="CQ680" s="663"/>
      <c r="CR680" s="438"/>
      <c r="CS680" s="663"/>
      <c r="CV680" s="391"/>
      <c r="CW680" s="391"/>
      <c r="CX680" s="207"/>
      <c r="CY680" s="208"/>
      <c r="CZ680" s="208"/>
      <c r="DA680" s="208"/>
      <c r="DB680" s="209"/>
      <c r="DC680" s="209"/>
      <c r="DD680" s="209"/>
      <c r="DF680" s="664"/>
      <c r="DG680" s="665"/>
      <c r="DH680" s="666"/>
      <c r="DI680" s="667"/>
      <c r="DJ680" s="668"/>
      <c r="DK680" s="668"/>
      <c r="DN680" s="208"/>
      <c r="DO680" s="664"/>
      <c r="DQ680" s="664"/>
      <c r="DR680" s="669"/>
      <c r="DS680" s="391"/>
      <c r="DT680" s="664"/>
      <c r="DU680" s="664"/>
      <c r="DV680" s="664"/>
      <c r="DX680" s="664"/>
      <c r="DY680" s="664"/>
      <c r="DZ680" s="664"/>
      <c r="EA680" s="664"/>
      <c r="EC680" s="670"/>
      <c r="ED680" s="670"/>
      <c r="EF680" s="668"/>
      <c r="EG680" s="668"/>
      <c r="EH680" s="208"/>
      <c r="EI680" s="668"/>
      <c r="EJ680" s="668"/>
      <c r="EK680" s="207"/>
      <c r="EL680" s="207"/>
      <c r="EM680" s="666"/>
      <c r="EN680" s="671"/>
      <c r="EO680" s="671"/>
      <c r="EP680" s="672"/>
      <c r="EQ680" s="672"/>
      <c r="ER680" s="666"/>
      <c r="ES680" s="666"/>
      <c r="ET680" s="666"/>
      <c r="EV680" s="664"/>
      <c r="EX680" s="391"/>
      <c r="EY680" s="391"/>
      <c r="EZ680" s="391"/>
      <c r="FA680" s="391"/>
      <c r="FB680" s="391"/>
      <c r="FC680" s="391"/>
      <c r="FE680" s="569"/>
      <c r="FG680" s="391"/>
      <c r="FH680" s="391"/>
      <c r="FI680" s="391"/>
      <c r="FS680" s="664"/>
      <c r="FT680" s="391"/>
      <c r="FU680" s="391"/>
      <c r="FV680" s="664"/>
      <c r="FW680" s="664"/>
      <c r="GA680" s="663"/>
      <c r="GB680" s="663"/>
      <c r="GC680" s="663"/>
      <c r="GD680" s="663"/>
      <c r="GE680" s="663"/>
      <c r="GF680" s="663"/>
      <c r="GG680" s="663"/>
      <c r="GH680" s="663"/>
      <c r="GI680" s="665"/>
      <c r="GJ680" s="664"/>
      <c r="GK680" s="664"/>
    </row>
    <row r="681" spans="1:288" s="78" customFormat="1" ht="14.95" customHeight="1">
      <c r="B681" s="1845" t="str">
        <f>ID684</f>
        <v xml:space="preserve"> </v>
      </c>
      <c r="C681" s="1846">
        <f>C676+1</f>
        <v>123</v>
      </c>
      <c r="D681" s="1847"/>
      <c r="E681" s="1799" t="s">
        <v>295</v>
      </c>
      <c r="F681" s="1800"/>
      <c r="G681" s="1741"/>
      <c r="H681" s="1742"/>
      <c r="I681" s="1742"/>
      <c r="J681" s="1742"/>
      <c r="K681" s="1742"/>
      <c r="L681" s="1742"/>
      <c r="M681" s="1742"/>
      <c r="N681" s="1742"/>
      <c r="O681" s="1742"/>
      <c r="P681" s="1742"/>
      <c r="Q681" s="1742"/>
      <c r="R681" s="1742"/>
      <c r="S681" s="1791" t="s">
        <v>344</v>
      </c>
      <c r="T681" s="590"/>
      <c r="U681" s="1743"/>
      <c r="V681" s="1744"/>
      <c r="W681" s="1744"/>
      <c r="X681" s="1744"/>
      <c r="Y681" s="1744"/>
      <c r="Z681" s="1744"/>
      <c r="AA681" s="1744"/>
      <c r="AB681" s="961" t="str">
        <f>IFERROR(IF(__Retrofit_TI_NC=0,VLOOKUP(U682,Fixtures_Existing_List,2,FALSE),ROUND(N683*R683/T683,10)),"")</f>
        <v/>
      </c>
      <c r="AC681" s="935" t="str">
        <f>IFERROR(IF(__Retrofit_TI_NC=0,ROUND(T682*AB681*N682*R682/1000,0),IF(CQ681="Interior",N683*R683*R682*N682*_C406_reduction/1000,N683*R683*R682*N682/1000)),"")</f>
        <v/>
      </c>
      <c r="AD681" s="936" t="str">
        <f>IFERROR(IF(C$43=0,ROUND(T682*AB681/1000,2),N683*R683/1000),"")</f>
        <v/>
      </c>
      <c r="AE681" s="997"/>
      <c r="AF681" s="937"/>
      <c r="AG681" s="1745" t="str">
        <f>IF(__Retrofit_TI_NC=0," Control","Select Advanced Control for New System")</f>
        <v xml:space="preserve"> Control</v>
      </c>
      <c r="AH681" s="1745"/>
      <c r="AI681" s="1745"/>
      <c r="AJ681" s="1745"/>
      <c r="AK681" s="1745"/>
      <c r="AL681" s="1745"/>
      <c r="AM681" s="1746">
        <f>IFERROR(DI681,"")</f>
        <v>0</v>
      </c>
      <c r="AN681" s="1774" t="str">
        <f>IFERROR(ROUND(AM681*AC681,0),"")</f>
        <v/>
      </c>
      <c r="AO681" s="1776">
        <f>IFERROR(IF(IB681=FALSE,0,AC681-AN681),0)</f>
        <v>0</v>
      </c>
      <c r="AP681" s="1778">
        <f>AO681-AO683</f>
        <v>0</v>
      </c>
      <c r="AQ681" s="1779"/>
      <c r="AR681" s="1793">
        <f>IFERROR(IF(IB681=FALSE,0,(T683*U684)+(AF683*AG684)),0)</f>
        <v>0</v>
      </c>
      <c r="AS681" s="1793"/>
      <c r="AT681" s="1794"/>
      <c r="AU681" s="1734" t="s">
        <v>237</v>
      </c>
      <c r="AV681" s="1751">
        <f>IF(AU681="Yes",1,0)</f>
        <v>1</v>
      </c>
      <c r="AW681" s="1704" t="str">
        <f>IF(OR(DQ681=4,DQ681=5,DQ681=6,DQ681=12),CONCATENATE("$",IF(GH681=TRUE,Lookup!$K$10,Lookup!$K$2)," /lamp"),CONCATENATE(TEXT(ED681,"$0.00"),"/ kWh"))</f>
        <v>$0.00/ kWh</v>
      </c>
      <c r="AX681" s="467"/>
      <c r="AY681" s="1748">
        <f ca="1">IFERROR(IF(GM682=TRUE,(AB684*T683)/R683,0),"NA")</f>
        <v>0</v>
      </c>
      <c r="AZ681" s="1748"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696" t="str">
        <f>N682</f>
        <v/>
      </c>
      <c r="CQ681" s="1696" t="str">
        <f>IFERROR(VLOOKUP(G682,_Lookup_Heat_Type_Table_New,3,FALSE),"")</f>
        <v/>
      </c>
      <c r="CR681" s="1808" t="str">
        <f>CQ681</f>
        <v/>
      </c>
      <c r="CS681" s="1810" t="str">
        <f>IFERROR(VLOOKUP(G683,'Space Table'!$B$3:$L$163,9,FALSE),"")</f>
        <v/>
      </c>
      <c r="CU681" s="1688" t="s">
        <v>344</v>
      </c>
      <c r="CV681" s="1702">
        <f>IF(IB681=TRUE,T682,0)</f>
        <v>0</v>
      </c>
      <c r="CW681" s="1702" t="str">
        <f>IF(IB681=TRUE,U682,"")</f>
        <v/>
      </c>
      <c r="CX681" s="1702"/>
      <c r="CY681" s="1814">
        <f>IF(IB681=TRUE,AB681,0)</f>
        <v>0</v>
      </c>
      <c r="CZ681" s="1710">
        <f>IF(AND(__Retrofit_TI_NC&gt;0,CR681="interior"),0,IF(IB681=TRUE,AC681,0))</f>
        <v>0</v>
      </c>
      <c r="DA681" s="1814">
        <f>IFERROR(IF(IB681=TRUE,CZ681-CZ683,0),0)</f>
        <v>0</v>
      </c>
      <c r="DB681" s="1819">
        <f>IF(IB681=TRUE,AD681,0)</f>
        <v>0</v>
      </c>
      <c r="DC681" s="1819">
        <f>IF(IB681=TRUE,AD684,0)</f>
        <v>0</v>
      </c>
      <c r="DD681" s="1819">
        <f>IFERROR(DB681-DC681,0)</f>
        <v>0</v>
      </c>
      <c r="DF681" s="1702">
        <f>IF(IB681=TRUE,AF682,0)</f>
        <v>0</v>
      </c>
      <c r="DG681" s="1830">
        <f>IFERROR(IF(__Retrofit_TI_NC=2,IF(CQ681="Exterior",O684,FQ681),FN681),"")</f>
        <v>0</v>
      </c>
      <c r="DH681" s="1702"/>
      <c r="DI681" s="1837">
        <f>JE681</f>
        <v>0</v>
      </c>
      <c r="DJ681" s="1710">
        <f>IF(AND(__Retrofit_TI_NC&gt;0,CR681="interior"),0,IF(IB681=TRUE,AN681,0))</f>
        <v>0</v>
      </c>
      <c r="DK681" s="1712">
        <f>IFERROR(IF(IB681=TRUE,DJ683-DJ681,0),0)</f>
        <v>0</v>
      </c>
      <c r="DM681" s="1717">
        <f>IFERROR(CZ681-DJ681,0)</f>
        <v>0</v>
      </c>
      <c r="DO681" s="1708">
        <f>DM681-DN683</f>
        <v>0</v>
      </c>
      <c r="DQ681" s="1715" t="str">
        <f>IFERROR(IF(AND(OR(GC681=4,GC681=5,GC681=6),OR(GF681=4,GF681=5,GF681=6)),GC681+8,VLOOKUP(CW683,Fixtures!R$31:Y$78,8,FALSE)),"")</f>
        <v/>
      </c>
      <c r="DR681" s="1829" t="str">
        <f>DQ681</f>
        <v/>
      </c>
      <c r="DS681" s="1702" t="str">
        <f>IFERROR(VLOOKUP(DG683,Lookup!BB$3:BC$20,2,FALSE),"")</f>
        <v/>
      </c>
      <c r="DT681" s="1713" t="str">
        <f>IF(OR(DS681=7,DS681=8,DS681=9),"ALC","")</f>
        <v/>
      </c>
      <c r="DU681" s="1715">
        <f>IFERROR(IF(OR(DQ681=4,DQ681=5,DQ681=6,DQ681=12,DQ681=13,DQ681=14),VLOOKUP(CW683,Fixtures!DN$27:EG$77,19,FALSE),1)*CV683,0)</f>
        <v>0</v>
      </c>
      <c r="DV681" s="1716">
        <f>IF(OR(DS681=7,DS681=8,DS681=9),IF(DG681=DG683,0,DF683),0)</f>
        <v>0</v>
      </c>
      <c r="DX681" s="1715" t="str">
        <f>IFERROR(IF(EZ681&lt;EZ683,"Yes","No"),"")</f>
        <v/>
      </c>
      <c r="DY681" s="1829" t="str">
        <f>DX681</f>
        <v/>
      </c>
      <c r="DZ681" s="1715">
        <f>IF(DX681="Yes",DF683,0)</f>
        <v>0</v>
      </c>
      <c r="EA681" s="1715">
        <f>DZ681-DV681</f>
        <v>0</v>
      </c>
      <c r="EC681" s="1834">
        <f>IFERROR(VLOOKUP(DQ681,Lookup!AU$3:AV$16,2,FALSE),0)</f>
        <v>0</v>
      </c>
      <c r="ED681" s="1834">
        <f>IF(IB681=FALSE,0,IF(DX681="Yes",EC681+Lookup!K$6,EC681))</f>
        <v>0</v>
      </c>
      <c r="EF681" s="1707">
        <f>IF(IB681=TRUE,DM681,0)</f>
        <v>0</v>
      </c>
      <c r="EG681" s="1712">
        <f>IF(IB681=TRUE,CZ683,0)</f>
        <v>0</v>
      </c>
      <c r="EH681" s="1814">
        <f>IFERROR(EF681-EG681,0)</f>
        <v>0</v>
      </c>
      <c r="EI681" s="1712">
        <f>IF(IB681=TRUE,DJ683,0)</f>
        <v>0</v>
      </c>
      <c r="EJ681" s="1712">
        <f>IFERROR(EF681-EG681+EI681,0)</f>
        <v>0</v>
      </c>
      <c r="EK681" s="1812">
        <f>IF(IB681=TRUE,CV683*CX683,0)</f>
        <v>0</v>
      </c>
      <c r="EL681" s="1812">
        <f>IF(IB681=TRUE,DF683*DH683,0)</f>
        <v>0</v>
      </c>
      <c r="EM681" s="1807">
        <f>AR681</f>
        <v>0</v>
      </c>
      <c r="EN681" s="1839" t="str">
        <f>IFERROR(IF(IB681=TRUE,VLOOKUP(DQ681,Lookup!AU$3:AW$16,3,FALSE)*DU681,""),0)</f>
        <v/>
      </c>
      <c r="EO681" s="1839">
        <f>IF(IB681=TRUE,DZ681*Lookup!AW$12,0)</f>
        <v>0</v>
      </c>
      <c r="EP681" s="1817">
        <f>IFERROR(IF(IB681=TRUE,EN681/EP$40,0),0)</f>
        <v>0</v>
      </c>
      <c r="EQ681" s="1817">
        <f>IF(IB681=TRUE,EO681/EQ$40,0)</f>
        <v>0</v>
      </c>
      <c r="ER681" s="1807">
        <f>IF(IB681=TRUE,ET$40*EP681,0)</f>
        <v>0</v>
      </c>
      <c r="ES681" s="1807">
        <f>IF(IB681=TRUE,ET$40*EQ681,0)</f>
        <v>0</v>
      </c>
      <c r="ET681" s="1807">
        <f>ER681+ES681</f>
        <v>0</v>
      </c>
      <c r="EV681" s="1715">
        <f>IF(G681="",0,1)</f>
        <v>0</v>
      </c>
      <c r="EX681" s="1804" t="str">
        <f>IFERROR(VLOOKUP(CS683,'Space Table'!$B$3:$L$163,8,FALSE),"")</f>
        <v/>
      </c>
      <c r="EY681" s="1804" t="str">
        <f>IFERROR(IF(FB681="Yes",VLOOKUP(DG681,Lookup_Control_Type_Table2,4,FALSE),VLOOKUP(DG681,Lookup_Control_Type_Table2,3,FALSE)),"")</f>
        <v/>
      </c>
      <c r="EZ681" s="1804" t="e">
        <f>VLOOKUP(DG681,Lookup!BB$3:BC$20,2,FALSE)</f>
        <v>#N/A</v>
      </c>
      <c r="FA681" s="1804" t="e">
        <f>VLOOKUP(EX681,Lookup_Control_Type_Table,2,FALSE)</f>
        <v>#N/A</v>
      </c>
      <c r="FB681" s="1804" t="e">
        <f>VLOOKUP(CS683,'Space Table'!$B$3:$L$163,7,FALSE)</f>
        <v>#N/A</v>
      </c>
      <c r="FC681" s="1826" t="b">
        <f>ISNUMBER(SEARCH("TLED",U683))</f>
        <v>0</v>
      </c>
      <c r="FE681" s="1698" t="str">
        <f>CONCATENATE(CQ681," - ",DG681)</f>
        <v xml:space="preserve"> - 0</v>
      </c>
      <c r="FG681" s="1702" t="str">
        <f>VLOOKUP(CW683,Fixtures!DN$27:EZ$77,38,FALSE)</f>
        <v/>
      </c>
      <c r="FH681" s="1702">
        <f>IFERROR(FG681*EH681,0)</f>
        <v>0</v>
      </c>
      <c r="FI681" s="133"/>
      <c r="FL681" s="1822" t="str">
        <f>IF(CQ681="Exterior","Not Daylighted",G684)</f>
        <v>Not Daylighted</v>
      </c>
      <c r="FM681" s="1824">
        <f>VLOOKUP(FL681,_New_Daylight_Table_Codes,2,FALSE)</f>
        <v>0</v>
      </c>
      <c r="FN681" s="1698">
        <f>IF(__Retrofit_TI_NC&gt;0,VLOOKUP(G683,'Space Table'!$B$3:$L$163,11,FALSE),AG682)</f>
        <v>0</v>
      </c>
      <c r="FO681" s="1698" t="e">
        <f>IF(__Retrofit_TI_NC=2,VLOOKUP(FQ681,_Control_Table,2,FALSE),VLOOKUP(FN681,_Control_Table,2,FALSE))</f>
        <v>#N/A</v>
      </c>
      <c r="FP681" s="1678" t="e">
        <f>VLOOKUP(CONCATENATE(FL681," ",FN681),Lookup!AY$102:AZ691,2,FALSE)</f>
        <v>#N/A</v>
      </c>
      <c r="FQ681" s="1678">
        <f>IF(__Retrofit_TI_NC=0,FN681,IF(AND(FT681&gt;0,FN681="Occupancy Sensor"),"Daylight + Occupancy",IF(AND(FT681&gt;0,VLOOKUP(FN681,_Control_Table,2,FALSE)&lt;4),"Interior Daylight Dimming",FN681)))</f>
        <v>0</v>
      </c>
      <c r="FS681" s="1686">
        <f>IF(CR681="Interior",VLOOKUP(CS681,Control_Savings_Interior,5,FALSE),0)</f>
        <v>0</v>
      </c>
      <c r="FT681" s="1687">
        <f>IF(CQ681="Exterior",0,IF(FM681=2,0.5,IF(OR(FM681=1,FM681=3),1,0)))</f>
        <v>0</v>
      </c>
      <c r="FU681" s="1685">
        <f>IF(R680&gt;FS$44,(FS681*(FS$44/R680)),FS681)*FT681</f>
        <v>0</v>
      </c>
      <c r="FV681" s="1686">
        <f>DI681</f>
        <v>0</v>
      </c>
      <c r="FW681" s="1686">
        <f>ROUND(FV681+((1-FV681)*FU681),2)</f>
        <v>0</v>
      </c>
      <c r="FX681" s="1686">
        <f>IF(__Retrofit_TI_NC=2,FW681,FV681)</f>
        <v>0</v>
      </c>
      <c r="FY681" s="1697"/>
      <c r="GA681" s="1696" t="str">
        <f>IFERROR(VLOOKUP(U682,_Exist_Fixture_Table,3,FALSE),"")</f>
        <v/>
      </c>
      <c r="GB681" s="1696" t="str">
        <f>VLOOKUP(CW681,_Exist_Fixture_Table,4,FALSE)</f>
        <v/>
      </c>
      <c r="GC681" s="1696">
        <f>IFERROR(VLOOKUP(GB681,Lookup!AT$6:AU$8,2,FALSE),0)</f>
        <v>0</v>
      </c>
      <c r="GD681" s="1696" t="b">
        <f>IFERROR(IF(OR(GF681=4,GF681=5,GF681=6),TRUE,FALSE),"")</f>
        <v>0</v>
      </c>
      <c r="GE681" s="1696" t="str">
        <f>IFERROR(VLOOKUP(GF681,GC$6:GD$10,2,FALSE),"")</f>
        <v/>
      </c>
      <c r="GF681" s="1696" t="str">
        <f>VLOOKUP(CW683,Fixtures!R$31:Y$78,8,FALSE)</f>
        <v/>
      </c>
      <c r="GG681" s="1696">
        <f>IF(AND(GA681=TRUE,GD681=TRUE,OR(DQ681=12,DQ681=13,DQ681=14)),GC681+8,0)</f>
        <v>0</v>
      </c>
      <c r="GH681" s="1696" t="b">
        <f>IF(OR(GG681=12,GG681=13,GG681=14),TRUE,FALSE)</f>
        <v>0</v>
      </c>
      <c r="GI681" s="673" t="b">
        <f>IF(ISNUMBER(SEARCH("TLED",U682)),TRUE,FALSE)</f>
        <v>0</v>
      </c>
      <c r="GJ681" s="1135" t="str">
        <f>IFERROR(VLOOKUP(U682,Fixtures!BM$93:BR$142,6,FALSE),"")</f>
        <v/>
      </c>
      <c r="GK681" s="1832" t="b">
        <f>IF(OR(GI681=FALSE,GI683=FALSE),TRUE,IF(GJ681-GJ683&lt;5,FALSE,TRUE))</f>
        <v>1</v>
      </c>
      <c r="GO681" s="674">
        <f>GP681</f>
        <v>0</v>
      </c>
      <c r="GP681" s="674">
        <f>IF(G681="",0,1)</f>
        <v>0</v>
      </c>
      <c r="GQ681" s="674">
        <f ca="1">SUM(GR681:HF681)</f>
        <v>2</v>
      </c>
      <c r="GR681" s="674">
        <f>IF(G682="",0,1)</f>
        <v>0</v>
      </c>
      <c r="GS681" s="674">
        <f>IF(N684="BAM",1,IF(G683="",0,1))</f>
        <v>0</v>
      </c>
      <c r="GT681" s="674">
        <f>IF(N684="BAM",1,IF(R682="",0,1))</f>
        <v>0</v>
      </c>
      <c r="GU681" s="674">
        <f>IF(N684="BAM",1,IF(__Retrofit_TI_NC=0,1,IF(R683="",0,1)))</f>
        <v>1</v>
      </c>
      <c r="GV681" s="674">
        <f>IF(N684="BAM",1,IF(CQ681="Exterior",1,IF(G684="",0,1)))</f>
        <v>1</v>
      </c>
      <c r="GW681" s="674">
        <f>IF(__Retrofit_TI_NC&gt;0,1,IF(T682="",0,1))</f>
        <v>0</v>
      </c>
      <c r="GX681" s="674">
        <f>IF(__Retrofit_TI_NC&gt;0,1,IF(U682="",0,1))</f>
        <v>0</v>
      </c>
      <c r="GY681" s="674">
        <f>IF(N684="BAM",1,IF(T683="",0,1))</f>
        <v>0</v>
      </c>
      <c r="GZ681" s="674">
        <f>IF(N684="BAM",1,IF(U683="",0,1))</f>
        <v>0</v>
      </c>
      <c r="HA681" s="674">
        <f ca="1">IF(N684="BAM",1,IF(__Retrofit_TI_NC&gt;0,1,IF(U684="",0,1)))</f>
        <v>0</v>
      </c>
      <c r="HB681" s="674">
        <f>IF(__Retrofit_TI_NC&lt;&gt;0,1,IF(AF682="",0,1))</f>
        <v>0</v>
      </c>
      <c r="HC681" s="674">
        <f>IF(__Retrofit_TI_NC&lt;&gt;0,1,IF(AG682="",0,1))</f>
        <v>0</v>
      </c>
      <c r="HD681" s="674">
        <f>IF(N684="BAM",1,IF(AF683="",0,1))</f>
        <v>0</v>
      </c>
      <c r="HE681" s="674">
        <f>IF(N684="BAM",1,IF(AG683="",0,1))</f>
        <v>0</v>
      </c>
      <c r="HF681" s="674">
        <f>IF(N684="BAM",1,IF(__Retrofit_TI_NC&gt;0,1,IF(AG684="",0,1)))</f>
        <v>0</v>
      </c>
      <c r="HG681" s="391"/>
      <c r="IA681" s="391"/>
      <c r="IB681" s="1693" t="b">
        <f>IF(OR(IB684=0,IB684=HY$16,IB684=HX$16,IB684=HZ$16),TRUE,FALSE)</f>
        <v>0</v>
      </c>
      <c r="IC681" s="1694" t="b">
        <f>IB681</f>
        <v>0</v>
      </c>
      <c r="ID681" s="391"/>
      <c r="IE681" s="391"/>
      <c r="IF681" s="1688" t="b">
        <f ca="1">IF(MAX(GN684:HU684)&gt;5,FALSE,TRUE)</f>
        <v>0</v>
      </c>
      <c r="IG681" s="1689">
        <f ca="1">IF(IF681=TRUE,AC681,0)</f>
        <v>0</v>
      </c>
      <c r="IH681" s="1689">
        <f ca="1">IG681-IG683</f>
        <v>0</v>
      </c>
      <c r="IK681" s="1689" t="e">
        <f>ROUND(T682*VLOOKUP(U682,Fixtures_Existing_List,2,FALSE)*N682*R682/1000,0)</f>
        <v>#N/A</v>
      </c>
      <c r="IL681" s="1690" t="e">
        <f>IK681-IK683</f>
        <v>#N/A</v>
      </c>
      <c r="IM681" s="1693" t="e">
        <f>ROUND(IF(CQ681="Interior",N683*R683*R682*N682*_C406_reduction/1000,N683*R683*R682*N682/1000),0)</f>
        <v>#N/A</v>
      </c>
      <c r="IN681" s="1693" t="e">
        <f>IM681-IM683</f>
        <v>#N/A</v>
      </c>
      <c r="IP681" s="1679"/>
      <c r="IQ681" s="1679" t="e">
        <f t="shared" ref="IQ681:IU681" si="626">IF($CR681="interior",VLOOKUP($CS681,_New_Control_Savings_Interior,IQ$30,FALSE),VLOOKUP($CS681,Control_Savings_Exterior,IQ$30,FALSE))</f>
        <v>#N/A</v>
      </c>
      <c r="IR681" s="1679" t="e">
        <f t="shared" si="626"/>
        <v>#N/A</v>
      </c>
      <c r="IS681" s="1679" t="e">
        <f t="shared" si="626"/>
        <v>#N/A</v>
      </c>
      <c r="IT681" s="1679" t="e">
        <f t="shared" si="626"/>
        <v>#N/A</v>
      </c>
      <c r="IU681" s="1679" t="e">
        <f t="shared" si="626"/>
        <v>#N/A</v>
      </c>
      <c r="IV681" s="1679" t="e">
        <f>IF($CR681="interior",IF(R682&gt;$IP$14,ROUND(($IV$18*($IP$14/R682)),2),$IV$18),VLOOKUP($CS681,Control_Savings_Exterior,IV$30,FALSE))</f>
        <v>#N/A</v>
      </c>
      <c r="IW681" s="1679" t="e">
        <f>IF($CR681="interior",ROUND(((1-IS681)*IV681)+IS681,2),VLOOKUP($CS681,Control_Savings_Exterior,IW$30,FALSE))</f>
        <v>#N/A</v>
      </c>
      <c r="IX681" s="1679" t="e">
        <f>IF($CR681="interior",ROUND(((1-IT681)*IV681)+IT681,2),VLOOKUP($CS681,Control_Savings_Exterior,IX$30,FALSE))</f>
        <v>#N/A</v>
      </c>
      <c r="IY681" s="1679" t="e">
        <f>IF($CR681="interior",IF(R682&gt;$IP$14,ROUND(($IY$18*($IP$14/R682)),2),$IY$18),VLOOKUP($CS681,Control_Savings_Exterior,IY$30,FALSE))</f>
        <v>#N/A</v>
      </c>
      <c r="IZ681" s="1679" t="e">
        <f>IF($CR681="interior",ROUND(((1-IS681)*IY681)+IS681,2),VLOOKUP($CS681,Control_Savings_Exterior,IZ$30,FALSE))</f>
        <v>#N/A</v>
      </c>
      <c r="JA681" s="1679" t="e">
        <f>IF($CR681="interior",ROUND(((1-IT681)*IY681)+IT681,2),VLOOKUP($CS681,Control_Savings_Exterior,JA$30,FALSE))</f>
        <v>#N/A</v>
      </c>
      <c r="JC681" s="1680">
        <f>IFERROR(IF(CR681="Interior",CONCATENATE(G684," ",FQ681),FQ681),"")</f>
        <v>0</v>
      </c>
      <c r="JD681" s="1670" t="str">
        <f>IFERROR(VLOOKUP(JC681,_Controls_2023,2,FALSE),"")</f>
        <v/>
      </c>
      <c r="JE681" s="1681">
        <f>IFERROR(CHOOSE(JD681-1,IQ681,IR681,IS681,IT681,IU681,IV681,IW681,IX681,IY681,IZ681,JA681),0)</f>
        <v>0</v>
      </c>
      <c r="JG681" s="1680" t="str">
        <f>FE681</f>
        <v xml:space="preserve"> - 0</v>
      </c>
      <c r="JH681" s="1670" t="e">
        <f>$FO681</f>
        <v>#N/A</v>
      </c>
      <c r="JI681" s="1060"/>
      <c r="JJ681" s="1682" t="b">
        <f>IF($JG683=CONCATENATE("Interior - ",JJ$4),TRUE,FALSE)</f>
        <v>0</v>
      </c>
      <c r="JK681" s="1061"/>
      <c r="JL681" s="1682" t="b">
        <f>IF($JG683=CONCATENATE("Interior - ",JL$4),TRUE,FALSE)</f>
        <v>0</v>
      </c>
      <c r="JM681" s="1061"/>
      <c r="JN681" s="1682" t="b">
        <f>IF($JG683=CONCATENATE("Interior - ",JN$4),TRUE,FALSE)</f>
        <v>0</v>
      </c>
      <c r="JO681" s="1061"/>
      <c r="JP681" s="1682" t="b">
        <f>IF(__Retrofit_TI_NC&gt;0,FALSE,IF($JG683=CONCATENATE("Interior - ",JP$4),TRUE,FALSE))</f>
        <v>0</v>
      </c>
      <c r="JQ681" s="1061"/>
      <c r="JR681" s="1682" t="b">
        <f>IF(__Retrofit_TI_NC&gt;0,FALSE,IF($JG683=CONCATENATE("Interior - ",JR$4),TRUE,FALSE))</f>
        <v>0</v>
      </c>
      <c r="JS681" s="1061"/>
      <c r="JT681" s="1670" t="b">
        <f>IF(__Retrofit_TI_NC&gt;0,FALSE,IF($JG683=CONCATENATE("Interior - ",JT$4),TRUE,FALSE))</f>
        <v>0</v>
      </c>
      <c r="JU681" s="1061"/>
      <c r="JV681" s="1670" t="b">
        <f>IF(JC683="AELC on Existing",TRUE,FALSE)</f>
        <v>0</v>
      </c>
      <c r="JX681" s="1670" t="b">
        <f>IF(OR(JG683="Exterior - AELC Occupancy based",JG683="Exterior - AELC Time based"),TRUE,FALSE)</f>
        <v>0</v>
      </c>
      <c r="JZ681" s="1682" t="b">
        <f>IF($JG683=CONCATENATE("Exterior - ",JZ$4),TRUE,FALSE)</f>
        <v>0</v>
      </c>
      <c r="KB681" s="1670" t="b">
        <f>IF(__Retrofit_TI_NC&gt;0,FALSE,IF($JG683=CONCATENATE("Interior - ",KB$4),TRUE,FALSE))</f>
        <v>0</v>
      </c>
    </row>
    <row r="682" spans="1:288" s="78" customFormat="1" ht="14.95" customHeight="1" thickTop="1" thickBot="1">
      <c r="B682" s="1845"/>
      <c r="C682" s="1846"/>
      <c r="D682" s="1847"/>
      <c r="E682" s="1737" t="s">
        <v>297</v>
      </c>
      <c r="F682" s="1738"/>
      <c r="G682" s="1739"/>
      <c r="H682" s="1739"/>
      <c r="I682" s="1739"/>
      <c r="J682" s="1739"/>
      <c r="K682" s="1739"/>
      <c r="L682" s="1739"/>
      <c r="M682" s="461" t="e">
        <f>IF(__Retrofit_TI_NC&lt;&gt;0,IF(VLOOKUP(G683,'Space Table'!$B$3:$L$163,3,FALSE)&gt;0,1,0),IF(__Retrofit_TI_NC=VLOOKUP(G683,'Space Table'!$B$3:$L$163,3,FALSE),1,0))</f>
        <v>#N/A</v>
      </c>
      <c r="N682" s="461" t="str">
        <f>IFERROR(VLOOKUP(G682,_Lookup_Heat_Type_Table_New,2,FALSE),"")</f>
        <v/>
      </c>
      <c r="O682" s="461">
        <f>IF(__Retrofit_TI_NC=1,CONCATENATE("TI ",G682),IF(__Retrofit_TI_NC=2,CONCATENATE("NC ",G682),G682))</f>
        <v>0</v>
      </c>
      <c r="P682" s="1740" t="s">
        <v>435</v>
      </c>
      <c r="Q682" s="1740"/>
      <c r="R682" s="595"/>
      <c r="S682" s="1792"/>
      <c r="T682" s="597"/>
      <c r="U682" s="1765"/>
      <c r="V682" s="1766"/>
      <c r="W682" s="1766"/>
      <c r="X682" s="1766"/>
      <c r="Y682" s="1766"/>
      <c r="Z682" s="1766"/>
      <c r="AA682" s="1766"/>
      <c r="AB682" s="1766"/>
      <c r="AC682" s="1766"/>
      <c r="AD682" s="1767"/>
      <c r="AE682" s="1000"/>
      <c r="AF682" s="597"/>
      <c r="AG682" s="1723"/>
      <c r="AH682" s="1724"/>
      <c r="AI682" s="1724"/>
      <c r="AJ682" s="1724"/>
      <c r="AK682" s="1725"/>
      <c r="AL682" s="996"/>
      <c r="AM682" s="1747"/>
      <c r="AN682" s="1775"/>
      <c r="AO682" s="1777"/>
      <c r="AP682" s="1780"/>
      <c r="AQ682" s="1781"/>
      <c r="AR682" s="1795"/>
      <c r="AS682" s="1795"/>
      <c r="AT682" s="1796"/>
      <c r="AU682" s="1735"/>
      <c r="AV682" s="1752"/>
      <c r="AW682" s="1705"/>
      <c r="AX682" s="467"/>
      <c r="AY682" s="1749"/>
      <c r="AZ682" s="1749"/>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696"/>
      <c r="CQ682" s="1696"/>
      <c r="CR682" s="1809"/>
      <c r="CS682" s="1811"/>
      <c r="CU682" s="1688"/>
      <c r="CV682" s="1703"/>
      <c r="CW682" s="1703"/>
      <c r="CX682" s="1703"/>
      <c r="CY682" s="1815"/>
      <c r="CZ682" s="1711"/>
      <c r="DA682" s="1818"/>
      <c r="DB682" s="1820"/>
      <c r="DC682" s="1820"/>
      <c r="DD682" s="1820"/>
      <c r="DF682" s="1703"/>
      <c r="DG682" s="1831"/>
      <c r="DH682" s="1703"/>
      <c r="DI682" s="1838"/>
      <c r="DJ682" s="1711"/>
      <c r="DK682" s="1712"/>
      <c r="DM682" s="1718"/>
      <c r="DO682" s="1708"/>
      <c r="DQ682" s="1715"/>
      <c r="DR682" s="1720"/>
      <c r="DS682" s="1816"/>
      <c r="DT682" s="1714"/>
      <c r="DU682" s="1715"/>
      <c r="DV682" s="1716"/>
      <c r="DX682" s="1715"/>
      <c r="DY682" s="1720"/>
      <c r="DZ682" s="1715"/>
      <c r="EA682" s="1715"/>
      <c r="EC682" s="1834"/>
      <c r="ED682" s="1834"/>
      <c r="EF682" s="1707"/>
      <c r="EG682" s="1712"/>
      <c r="EH682" s="1818"/>
      <c r="EI682" s="1712"/>
      <c r="EJ682" s="1712"/>
      <c r="EK682" s="1836"/>
      <c r="EL682" s="1836"/>
      <c r="EM682" s="1807"/>
      <c r="EN682" s="1839"/>
      <c r="EO682" s="1839"/>
      <c r="EP682" s="1817"/>
      <c r="EQ682" s="1817"/>
      <c r="ER682" s="1807"/>
      <c r="ES682" s="1807"/>
      <c r="ET682" s="1807"/>
      <c r="EV682" s="1715"/>
      <c r="EX682" s="1805"/>
      <c r="EY682" s="1805"/>
      <c r="EZ682" s="1805"/>
      <c r="FA682" s="1805"/>
      <c r="FB682" s="1805"/>
      <c r="FC682" s="1827"/>
      <c r="FE682" s="1698"/>
      <c r="FG682" s="1816"/>
      <c r="FH682" s="1816"/>
      <c r="FI682" s="133"/>
      <c r="FL682" s="1823"/>
      <c r="FM682" s="1825"/>
      <c r="FN682" s="1698"/>
      <c r="FO682" s="1698"/>
      <c r="FP682" s="1678"/>
      <c r="FQ682" s="1678"/>
      <c r="FS682" s="1687"/>
      <c r="FT682" s="1687"/>
      <c r="FU682" s="1685"/>
      <c r="FV682" s="1687"/>
      <c r="FW682" s="1687"/>
      <c r="FX682" s="1687"/>
      <c r="FY682" s="1697"/>
      <c r="GA682" s="1696"/>
      <c r="GB682" s="1696"/>
      <c r="GC682" s="1696"/>
      <c r="GD682" s="1696"/>
      <c r="GE682" s="1696"/>
      <c r="GF682" s="1696"/>
      <c r="GG682" s="1696"/>
      <c r="GH682" s="1696"/>
      <c r="GI682" s="673"/>
      <c r="GJ682" s="1135"/>
      <c r="GK682" s="1832"/>
      <c r="GM682" s="1693" t="b">
        <f ca="1">IF(AND(GP682=TRUE,GQ682=TRUE),TRUE,FALSE)</f>
        <v>0</v>
      </c>
      <c r="GN682" s="1684" t="b">
        <f>IFERROR(IF(__Retrofit_TI_NC=2,TRUE,IF(AU681="Yes",TRUE,FALSE)),FALSE)</f>
        <v>1</v>
      </c>
      <c r="GP682" s="1684" t="b">
        <f>IFERROR(IF(GP681=1,TRUE,FALSE),FALSE)</f>
        <v>0</v>
      </c>
      <c r="GQ682" s="1684" t="b">
        <f ca="1">IFERROR(IF(GQ681=GQ$14,TRUE,FALSE),FALSE)</f>
        <v>0</v>
      </c>
      <c r="HG682" s="1684" t="b">
        <f>IFERROR(IF(AND(__Retrofit_TI_NC&gt;0,CQ681="Interior"),FALSE,TRUE),FALSE)</f>
        <v>1</v>
      </c>
      <c r="HH682" s="1684" t="b">
        <f>IFERROR(IF(M682=1,TRUE,FALSE),FALSE)</f>
        <v>0</v>
      </c>
      <c r="HI682" s="1684" t="b">
        <f>IFERROR(IF(OR(M683=1,N684="BAM"),TRUE,FALSE),FALSE)</f>
        <v>0</v>
      </c>
      <c r="HJ682" s="1684" t="b">
        <f>IFERROR(IF(__Retrofit_TI_NC&lt;&gt;0,TRUE,IFERROR(IF(VLOOKUP(U682,Fixtures_Existing_List,2,FALSE)&lt;&gt;"",TRUE,FALSE),FALSE)),FALSE)</f>
        <v>0</v>
      </c>
      <c r="HK682" s="1684" t="b">
        <f>IFERROR(IF(VLOOKUP(U683,Fixtures_Proposed_List,2,FALSE)&lt;&gt;"",TRUE,FALSE),FALSE)</f>
        <v>0</v>
      </c>
      <c r="HL682" s="1684" t="b">
        <f>IF(AND(__Retrofit_TI_NC=2,FC681=TRUE),FALSE,TRUE)</f>
        <v>1</v>
      </c>
      <c r="HM682" s="1684" t="b">
        <f>GK681</f>
        <v>1</v>
      </c>
      <c r="HN682" s="1682" t="b">
        <f>IF(ISERROR(MATCH(FE681,_Control_Match[],0))=TRUE,FALSE,TRUE)</f>
        <v>0</v>
      </c>
      <c r="HO682" s="1693" t="b">
        <f>IFERROR(IF(EX681&lt;&gt;EY681,FALSE,TRUE),FALSE)</f>
        <v>1</v>
      </c>
      <c r="HP682" s="1693" t="b">
        <f>IFERROR(IF(EX683&lt;&gt;EY683,FALSE,TRUE),FALSE)</f>
        <v>1</v>
      </c>
      <c r="HQ682" s="1670" t="b">
        <f>IFERROR(IF(CQ681="Exterior",TRUE,IF(AND(OR(FM683=0,FM683=3),JD683&gt;6),FALSE,TRUE)),FALSE)</f>
        <v>0</v>
      </c>
      <c r="HR682" s="1684" t="b">
        <f>IFERROR(IF(AND(FO683=7,FC681=TRUE),FALSE,TRUE),FALSE)</f>
        <v>0</v>
      </c>
      <c r="HS682" s="1684" t="b">
        <f>IFERROR(IF(AND(T683&lt;&gt;AF683,OR(AG683="Interior LLLC", AG683="Interior NLC", AG683="LLLC (outside Daylight)",AG683="LLLC Controls Only"))=TRUE,FALSE,TRUE),FALSE)</f>
        <v>1</v>
      </c>
      <c r="HT682" s="1670" t="b">
        <f>IFERROR(IF(OR(AG683=Lookup!BB$17,AG683=Lookup!BB$18,AG683=Lookup!BB$19)=TRUE,IF(AF683&gt;T683,FALSE,TRUE),TRUE),FALSE)</f>
        <v>1</v>
      </c>
      <c r="HU682" s="1684" t="b">
        <f>IFERROR(IF(__Retrofit_TI_NC=2,IF(EZ683&lt;EZ681,FALSE,TRUE),TRUE),FALSE)</f>
        <v>1</v>
      </c>
      <c r="HV682" s="1684" t="b">
        <f>IF(CQ681="Interior",IL$6,TRUE)</f>
        <v>1</v>
      </c>
      <c r="HW682" s="1684" t="b">
        <f>IF(CQ681="Exterior",IL$8,TRUE)</f>
        <v>1</v>
      </c>
      <c r="HX682" s="1684" t="b">
        <f>IFERROR(IF(__Retrofit_TI_NC&lt;&gt;0,IF(AZ681&lt;AY681,FALSE,TRUE),TRUE),FALSE)</f>
        <v>1</v>
      </c>
      <c r="HY682" s="1684" t="b">
        <f>IFERROR(IF(AND(G682="Exterior",R682&gt;4200),FALSE,TRUE),FALSE)</f>
        <v>1</v>
      </c>
      <c r="HZ682" s="1684" t="b">
        <f>IFERROR(IF(AB684/AB681&lt;HZ$18,FALSE,TRUE),FALSE)</f>
        <v>0</v>
      </c>
      <c r="IB682" s="1691"/>
      <c r="IC682" s="1695"/>
      <c r="ID682" s="1694" t="str">
        <f>VLOOKUP(IB684,_Error_Table,4,FALSE)</f>
        <v>White</v>
      </c>
      <c r="IE682" s="391"/>
      <c r="IF682" s="1688"/>
      <c r="IG682" s="1689"/>
      <c r="IH682" s="1684"/>
      <c r="IK682" s="1689"/>
      <c r="IL682" s="1691"/>
      <c r="IM682" s="1691"/>
      <c r="IN682" s="1691"/>
      <c r="IP682" s="1679"/>
      <c r="IQ682" s="1679"/>
      <c r="IR682" s="1679"/>
      <c r="IS682" s="1679"/>
      <c r="IT682" s="1679"/>
      <c r="IU682" s="1679"/>
      <c r="IV682" s="1679"/>
      <c r="IW682" s="1679"/>
      <c r="IX682" s="1679"/>
      <c r="IY682" s="1679"/>
      <c r="IZ682" s="1679"/>
      <c r="JA682" s="1679"/>
      <c r="JC682" s="1680"/>
      <c r="JD682" s="1670"/>
      <c r="JE682" s="1681"/>
      <c r="JG682" s="1680"/>
      <c r="JH682" s="1670"/>
      <c r="JI682" s="1060"/>
      <c r="JJ682" s="1683"/>
      <c r="JK682" s="1061"/>
      <c r="JL682" s="1683"/>
      <c r="JM682" s="1061"/>
      <c r="JN682" s="1683"/>
      <c r="JO682" s="1061"/>
      <c r="JP682" s="1683"/>
      <c r="JQ682" s="1061"/>
      <c r="JR682" s="1683"/>
      <c r="JS682" s="1061"/>
      <c r="JT682" s="1670"/>
      <c r="JU682" s="1061"/>
      <c r="JV682" s="1670"/>
      <c r="JX682" s="1670"/>
      <c r="JZ682" s="1683"/>
      <c r="KB682" s="1670"/>
    </row>
    <row r="683" spans="1:288" s="78" customFormat="1" ht="14.95" customHeight="1" thickTop="1" thickBot="1">
      <c r="A683" s="78">
        <f>ROW()</f>
        <v>683</v>
      </c>
      <c r="B683" s="1845"/>
      <c r="C683" s="1846"/>
      <c r="D683" s="1847"/>
      <c r="E683" s="1737" t="s">
        <v>298</v>
      </c>
      <c r="F683" s="1738"/>
      <c r="G683" s="1760"/>
      <c r="H683" s="1761"/>
      <c r="I683" s="1761"/>
      <c r="J683" s="1761"/>
      <c r="K683" s="1761"/>
      <c r="L683" s="1762"/>
      <c r="M683" s="461">
        <f>IFERROR(IF(IF(__Retrofit_TI_NC&lt;&gt;0,IF(CQ681="Interior",MATCH(G683,Lookup_Interior_New,0),MATCH(G683,Lookup_Exterior_New,0)),IF(CQ681="Interior",MATCH(G683,Lookup_Interior,0),MATCH(G683,Lookup_Exterior_Areas,0)))&gt;0,1,0),0)</f>
        <v>0</v>
      </c>
      <c r="N683" s="461" t="e">
        <f>IF(__Retrofit_TI_NC=1,
VLOOKUP(G683,'Space Table'!$B$3:$L$163,4,FALSE),
IF(__Retrofit_TI_NC=2,VLOOKUP(G683,'Space Table'!$B$3:$L$163,5,FALSE),VLOOKUP(G683,'Space Table'!$B$3:$L$163,5,FALSE)))</f>
        <v>#N/A</v>
      </c>
      <c r="O683" s="461">
        <f>G683</f>
        <v>0</v>
      </c>
      <c r="P683" s="1738" t="str">
        <f>IFERROR(IF(__Retrofit_TI_NC=1,VLOOKUP(G683,'Space Table'!$B$3:$O$163,13,FALSE),IF(__Retrofit_TI_NC=2,VLOOKUP(G683,'Space Table'!$B$3:$O$163,14,FALSE),"Area (sf):")),"Area (sf):")</f>
        <v>Area (sf):</v>
      </c>
      <c r="Q683" s="1738"/>
      <c r="R683" s="596"/>
      <c r="S683" s="1763" t="s">
        <v>345</v>
      </c>
      <c r="T683" s="594"/>
      <c r="U683" s="1801"/>
      <c r="V683" s="1802"/>
      <c r="W683" s="1802"/>
      <c r="X683" s="1802"/>
      <c r="Y683" s="1802"/>
      <c r="Z683" s="1802"/>
      <c r="AA683" s="1802"/>
      <c r="AB683" s="1802"/>
      <c r="AC683" s="1802"/>
      <c r="AD683" s="1802"/>
      <c r="AE683" s="1803"/>
      <c r="AF683" s="594"/>
      <c r="AG683" s="1787"/>
      <c r="AH683" s="1787"/>
      <c r="AI683" s="1787"/>
      <c r="AJ683" s="1787"/>
      <c r="AK683" s="1787"/>
      <c r="AL683" s="1787"/>
      <c r="AM683" s="1726">
        <f>IFERROR(DI683,"")</f>
        <v>0</v>
      </c>
      <c r="AN683" s="1728" t="str">
        <f>IFERROR(ROUND(AM683*AC684,0),"")</f>
        <v/>
      </c>
      <c r="AO683" s="1730">
        <f>IFERROR(IF(IB681=FALSE,0,AC684-AN683),0)</f>
        <v>0</v>
      </c>
      <c r="AP683" s="1780"/>
      <c r="AQ683" s="1781"/>
      <c r="AR683" s="1795"/>
      <c r="AS683" s="1795"/>
      <c r="AT683" s="1796"/>
      <c r="AU683" s="1735"/>
      <c r="AV683" s="1752"/>
      <c r="AW683" s="1705"/>
      <c r="AX683" s="467"/>
      <c r="AY683" s="1749"/>
      <c r="AZ683" s="1749"/>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696"/>
      <c r="CQ683" s="1696"/>
      <c r="CR683" s="1808" t="str">
        <f>CQ681</f>
        <v/>
      </c>
      <c r="CS683" s="1810" t="str">
        <f>CS681</f>
        <v/>
      </c>
      <c r="CU683" s="1688" t="s">
        <v>345</v>
      </c>
      <c r="CV683" s="1702">
        <f>IF(IB681=TRUE,T683,0)</f>
        <v>0</v>
      </c>
      <c r="CW683" s="1702" t="str">
        <f>IF(IB681=TRUE,U683,"")</f>
        <v/>
      </c>
      <c r="CX683" s="1812">
        <f>IF(IB681=TRUE,U684,0)</f>
        <v>0</v>
      </c>
      <c r="CY683" s="1814">
        <f>IF(IB681=TRUE,AB684,0)</f>
        <v>0</v>
      </c>
      <c r="CZ683" s="1710">
        <f>IF(AND(__Retrofit_TI_NC&gt;0,CR681="interior"),0,IF(IB681=TRUE,AC684,0))</f>
        <v>0</v>
      </c>
      <c r="DA683" s="1818"/>
      <c r="DB683" s="1820"/>
      <c r="DC683" s="1820"/>
      <c r="DD683" s="1820"/>
      <c r="DF683" s="1702">
        <f>IF(IB681=TRUE,AF683,0)</f>
        <v>0</v>
      </c>
      <c r="DG683" s="1830" t="str">
        <f>IF(IB681=TRUE,AG683,"")</f>
        <v/>
      </c>
      <c r="DH683" s="1812">
        <f>AG684</f>
        <v>0</v>
      </c>
      <c r="DI683" s="1837">
        <f>JE683</f>
        <v>0</v>
      </c>
      <c r="DJ683" s="1710">
        <f>IF(AND(__Retrofit_TI_NC&gt;0,CR681="interior"),0,IF(IB681=TRUE,AN683,0))</f>
        <v>0</v>
      </c>
      <c r="DK683" s="1712"/>
      <c r="DN683" s="1717">
        <f>IFERROR(CZ683-DJ683,0)</f>
        <v>0</v>
      </c>
      <c r="DO683" s="1709"/>
      <c r="DQ683" s="1715"/>
      <c r="DR683" s="1719" t="str">
        <f>DQ681</f>
        <v/>
      </c>
      <c r="DS683" s="1816"/>
      <c r="DT683" s="1835" t="str">
        <f>IF(OR(DS681=7,DS681=8,DS681=9),"ALC","")</f>
        <v/>
      </c>
      <c r="DU683" s="1715"/>
      <c r="DV683" s="1716"/>
      <c r="DX683" s="1715"/>
      <c r="DY683" s="1829" t="str">
        <f>DX681</f>
        <v/>
      </c>
      <c r="DZ683" s="1715"/>
      <c r="EA683" s="1715"/>
      <c r="EC683" s="1834"/>
      <c r="ED683" s="1834"/>
      <c r="EF683" s="1707"/>
      <c r="EG683" s="1712"/>
      <c r="EH683" s="1818"/>
      <c r="EI683" s="1712"/>
      <c r="EJ683" s="1712"/>
      <c r="EK683" s="1836"/>
      <c r="EL683" s="1836"/>
      <c r="EM683" s="1807"/>
      <c r="EN683" s="1839"/>
      <c r="EO683" s="1839"/>
      <c r="EP683" s="1817"/>
      <c r="EQ683" s="1817"/>
      <c r="ER683" s="1807"/>
      <c r="ES683" s="1807"/>
      <c r="ET683" s="1807"/>
      <c r="EV683" s="1715"/>
      <c r="EX683" s="1805" t="str">
        <f>IFERROR(VLOOKUP(CS683,'Space Table'!$B$3:$L$163,8,FALSE),"")</f>
        <v/>
      </c>
      <c r="EY683" s="1805" t="str">
        <f>IFERROR(IF(FB683="Yes",VLOOKUP(AG683,Lookup_Control_Type_Table2,4,FALSE),VLOOKUP(AG683,Lookup_Control_Type_Table2,3,FALSE)),"")</f>
        <v/>
      </c>
      <c r="EZ683" s="1805" t="e">
        <f>VLOOKUP(AG683,Lookup!BB$3:BC$20,2,FALSE)</f>
        <v>#N/A</v>
      </c>
      <c r="FA683" s="1805" t="e">
        <f>VLOOKUP(EX681,Lookup_Control_Type_Table,2,FALSE)</f>
        <v>#N/A</v>
      </c>
      <c r="FB683" s="1805" t="e">
        <f>VLOOKUP(CS683,'Space Table'!$B$3:$L$163,7,FALSE)</f>
        <v>#N/A</v>
      </c>
      <c r="FC683" s="1827"/>
      <c r="FE683" s="1698" t="str">
        <f>CONCATENATE(CQ681," - ",AG683)</f>
        <v xml:space="preserve"> - </v>
      </c>
      <c r="FG683" s="1816"/>
      <c r="FH683" s="1816"/>
      <c r="FI683" s="133"/>
      <c r="FL683" s="1822" t="str">
        <f>IF(CQ681="Exterior","Not Daylighted",G684)</f>
        <v>Not Daylighted</v>
      </c>
      <c r="FM683" s="1824">
        <f>VLOOKUP(FL683,_New_Daylight_Table_Codes,2,FALSE)</f>
        <v>0</v>
      </c>
      <c r="FN683" s="1698">
        <f>AG683</f>
        <v>0</v>
      </c>
      <c r="FO683" s="1698" t="e">
        <f>VLOOKUP(FN683,_Control_Table,2,FALSE)</f>
        <v>#N/A</v>
      </c>
      <c r="FP683" s="1678" t="e">
        <f>VLOOKUP(CONCATENATE(FL683," ",FN683),Lookup!AY$102:AZ694,2,FALSE)</f>
        <v>#N/A</v>
      </c>
      <c r="FQ683" s="1698">
        <f>IF(__Retrofit_TI_NC=0,FN683,IF(AND(FT683&gt;0,FN683="Occupancy Sensor"),"Daylight + Occupancy",IF(AND(FT683&gt;0,FO683&lt;4),"Interior Daylight Dimming",FN683)))</f>
        <v>0</v>
      </c>
      <c r="FS683" s="1686">
        <f>IF(CQ681="Interior",VLOOKUP(CS681,Control_Savings_Interior,5,FALSE),0)</f>
        <v>0</v>
      </c>
      <c r="FT683" s="1687">
        <f>IF(CQ683="Exterior",0,IF(FM683=2,0.5,IF(OR(FM683=1,FM683=3),1,0)))</f>
        <v>0</v>
      </c>
      <c r="FU683" s="1685">
        <f>IF(R682&gt;FS$44,(FS683*(FS$44/R682)),FS683)*FT683</f>
        <v>0</v>
      </c>
      <c r="FV683" s="1686">
        <f>DI683</f>
        <v>0</v>
      </c>
      <c r="FW683" s="1686">
        <f>ROUND(FV683+((1-FV683)*FU683),2)</f>
        <v>0</v>
      </c>
      <c r="FX683" s="1686">
        <f>IF(__Retrofit_TI_NC=2,FW683,FV683)</f>
        <v>0</v>
      </c>
      <c r="FY683" s="1697">
        <f>IF(CR683="Interior",VLOOKUP(CS683,Control_Savings_Interior,4,FALSE),0)</f>
        <v>0</v>
      </c>
      <c r="GA683" s="1696"/>
      <c r="GB683" s="1696"/>
      <c r="GC683" s="1696"/>
      <c r="GD683" s="1696"/>
      <c r="GE683" s="1696"/>
      <c r="GF683" s="1696"/>
      <c r="GG683" s="1696"/>
      <c r="GH683" s="1696"/>
      <c r="GI683" s="673" t="b">
        <f>IF(ISNUMBER(SEARCH("TLED",U683)),TRUE,FALSE)</f>
        <v>0</v>
      </c>
      <c r="GJ683" s="1135" t="str">
        <f>IFERROR(VLOOKUP(U683,Fixtures!DM$93:DR$142,6,FALSE),"")</f>
        <v/>
      </c>
      <c r="GK683" s="1832"/>
      <c r="GM683" s="1692"/>
      <c r="GN683" s="1684"/>
      <c r="GP683" s="1684"/>
      <c r="GQ683" s="1684"/>
      <c r="HG683" s="1684"/>
      <c r="HH683" s="1684"/>
      <c r="HI683" s="1684"/>
      <c r="HJ683" s="1684"/>
      <c r="HK683" s="1684"/>
      <c r="HL683" s="1684"/>
      <c r="HM683" s="1684"/>
      <c r="HN683" s="1683"/>
      <c r="HO683" s="1692"/>
      <c r="HP683" s="1692"/>
      <c r="HQ683" s="1670"/>
      <c r="HR683" s="1684"/>
      <c r="HS683" s="1684"/>
      <c r="HT683" s="1670"/>
      <c r="HU683" s="1684"/>
      <c r="HV683" s="1684"/>
      <c r="HW683" s="1684"/>
      <c r="HX683" s="1684"/>
      <c r="HY683" s="1684"/>
      <c r="HZ683" s="1684"/>
      <c r="IB683" s="1692"/>
      <c r="IC683" s="1693" t="b">
        <f>IB681</f>
        <v>0</v>
      </c>
      <c r="ID683" s="1695"/>
      <c r="IE683" s="391"/>
      <c r="IF683" s="1688"/>
      <c r="IG683" s="1689">
        <f ca="1">IF(IF681=TRUE,AC684,0)</f>
        <v>0</v>
      </c>
      <c r="IH683" s="1684"/>
      <c r="IK683" s="1689" t="e">
        <f>ROUND(T683*AB684*N682*R682/1000,0)</f>
        <v>#VALUE!</v>
      </c>
      <c r="IL683" s="1691"/>
      <c r="IM683" s="1693" t="e">
        <f>ROUND(T683*AB684*N682*R682/1000,0)</f>
        <v>#VALUE!</v>
      </c>
      <c r="IN683" s="1691"/>
      <c r="IP683" s="1679"/>
      <c r="IQ683" s="1679" t="e">
        <f t="shared" ref="IQ683:IU683" si="627">IF($CR683="interior",VLOOKUP($CS683,_New_Control_Savings_Interior,IQ$30,FALSE),VLOOKUP($CS683,Control_Savings_Exterior,IQ$30,FALSE))</f>
        <v>#N/A</v>
      </c>
      <c r="IR683" s="1679" t="e">
        <f t="shared" si="627"/>
        <v>#N/A</v>
      </c>
      <c r="IS683" s="1679" t="e">
        <f t="shared" si="627"/>
        <v>#N/A</v>
      </c>
      <c r="IT683" s="1679" t="e">
        <f t="shared" si="627"/>
        <v>#N/A</v>
      </c>
      <c r="IU683" s="1679" t="e">
        <f t="shared" si="627"/>
        <v>#N/A</v>
      </c>
      <c r="IV683" s="1679" t="e">
        <f>IF($CR683="interior",IF(R682&gt;$IP$14,ROUND(($IV$18*($IP$14/R682)),2),$IV$18),VLOOKUP($CS683,Control_Savings_Exterior,IV$30,FALSE))</f>
        <v>#N/A</v>
      </c>
      <c r="IW683" s="1679" t="e">
        <f>IF($CR683="interior",ROUND(((1-IS683)*IV683)+IS683,2),VLOOKUP($CS683,Control_Savings_Exterior,IW$30,FALSE))</f>
        <v>#N/A</v>
      </c>
      <c r="IX683" s="1679" t="e">
        <f>IF($CR683="interior",ROUND(((1-IT683)*IV683)+IT683,2),VLOOKUP($CS683,Control_Savings_Exterior,IX$30,FALSE))</f>
        <v>#N/A</v>
      </c>
      <c r="IY683" s="1679" t="e">
        <f>IF($CR683="interior",IF(R682&gt;$IP$14,ROUND(($IY$18*($IP$14/R682)),2),$IY$18),VLOOKUP($CS683,Control_Savings_Exterior,IY$30,FALSE))</f>
        <v>#N/A</v>
      </c>
      <c r="IZ683" s="1679" t="e">
        <f>IF($CR683="interior",ROUND(((1-IS683)*IY683)+IS683,2),VLOOKUP($CS683,Control_Savings_Exterior,IZ$30,FALSE))</f>
        <v>#N/A</v>
      </c>
      <c r="JA683" s="1679" t="e">
        <f>IF($CR683="interior",ROUND(((1-IT683)*IY683)+IT683,2),VLOOKUP($CS683,Control_Savings_Exterior,JA$30,FALSE))</f>
        <v>#N/A</v>
      </c>
      <c r="JC683" s="1680">
        <f>IFERROR(IF(CR683="Interior",CONCATENATE(G684," ",FQ683),AG683),"")</f>
        <v>0</v>
      </c>
      <c r="JD683" s="1670" t="str">
        <f>IFERROR(VLOOKUP(JC683,_Controls_2023,2,FALSE),"")</f>
        <v/>
      </c>
      <c r="JE683" s="1681">
        <f>IFERROR(CHOOSE(JD683-1,IQ683,IR683,IS683,IT683,IU683,IV683,IW683,IX683,IY683,IZ683,JA683),0)</f>
        <v>0</v>
      </c>
      <c r="JG683" s="1680" t="str">
        <f>FE683</f>
        <v xml:space="preserve"> - </v>
      </c>
      <c r="JH683" s="1670" t="e">
        <f>$FO683</f>
        <v>#N/A</v>
      </c>
      <c r="JI683" s="1060"/>
      <c r="JJ683" s="1670">
        <f>IFERROR(IF($IB681=TRUE,IF(OR(JJ$14="No",JJ681=FALSE,JH683&lt;=JH681,AND(_kWh_Grant=0,GD681=FALSE)),0,IF(JJ$8="Per Line",1,$AF683)),0),0)</f>
        <v>0</v>
      </c>
      <c r="JK683" s="1061"/>
      <c r="JL683" s="1670">
        <f>IFERROR(IF(_kWh_Grant=0,0,IF($IB681=TRUE,IF(OR(JL$14="No",JL681=FALSE,JH683&lt;=JH681),0,IF(JL$8="Per Line",1,$T683)),0)),0)</f>
        <v>0</v>
      </c>
      <c r="JM683" s="1061"/>
      <c r="JN683" s="1670">
        <f>IFERROR(IF(_kWh_Grant=0,0,IF($IB681=TRUE,IF(OR(JN$14="No",JN681=FALSE,JH683&lt;=JH681),0,IF(JN$8="Per Line",1,$AF683)),0)),0)</f>
        <v>0</v>
      </c>
      <c r="JO683" s="1061"/>
      <c r="JP683" s="1670">
        <f>IFERROR(IF(__Retrofit_TI_NC=0,IF(_kWh_Grant=0,0,IF($IB681=TRUE,IF(OR(JP$14="No",JP681=FALSE,$JH683&lt;=$JH681),0,IF(JP$8="Per Line",1,$AF683)),0)),IF($IB681=TRUE,IF(OR(JP$14="No",JP681=FALSE,$JH683&lt;=$JH681),0,IF(JP$8="Per Line",1,$AF683)))),0)</f>
        <v>0</v>
      </c>
      <c r="JQ683" s="1061"/>
      <c r="JR683" s="1670">
        <f>IFERROR(IF(__Retrofit_TI_NC=0,IF(_kWh_Grant=0,0,IF($IB681=TRUE,IF(OR(JR$14="No",JR681=FALSE,$JH683&lt;=$JH681),0,IF(JR$8="Per Line",1,$AF683)),0)),IF($IB681=TRUE,IF(OR(JR$14="No",JR681=FALSE,$JH683&lt;=$JH681),0,IF(JR$8="Per Line",1,$AF683)))),0)</f>
        <v>0</v>
      </c>
      <c r="JS683" s="1061"/>
      <c r="JT683" s="1670">
        <f>IFERROR(IF(__Retrofit_TI_NC=0,IF(_kWh_Grant=0,0,IF($IB681=TRUE,IF(OR(JT$14="No",JT681=FALSE,$JH683&lt;=$JH681),0,IF(JT$8="Per Line",1,$AF683)),0)),IF($IB681=TRUE,IF(OR(JT$14="No",JT681=FALSE,$JH683&lt;=$JH681),0,IF(JT$8="Per Line",1,$AF683)))),0)</f>
        <v>0</v>
      </c>
      <c r="JU683" s="1061"/>
      <c r="JV683" s="1670">
        <f>IFERROR(IF(__Retrofit_TI_NC=0,IF(_kWh_Grant=0,0,IF($IB681=TRUE,IF(OR(JV$14="No",JV681=FALSE,$JH683&lt;=$JH681),0,IF(JV$8="Per Line",1,$AF683)),0)),IF($IB681=TRUE,IF(OR(JV$14="No",JV681=FALSE,$JH683&lt;=$JH681),0,IF(JV$8="Per Line",1,$AF683)))),0)</f>
        <v>0</v>
      </c>
      <c r="JX683" s="1670">
        <f>IFERROR(IF(__Retrofit_TI_NC=0,IF(_kWh_Grant=0,0,IF($IB681=TRUE,IF(OR(JX$14="No",JX681=FALSE,$JH683&lt;=$JH681),0,IF(JX$8="Per Line",1,$AF683)),0)),IF($IB681=TRUE,IF(OR(JX$14="No",JX681=FALSE,$JH683&lt;=$JH681),0,IF(JX$8="Per Line",1,$AF683)))),0)</f>
        <v>0</v>
      </c>
      <c r="JZ683" s="1670">
        <f>IFERROR(IF($IB681=TRUE,IF(OR(JZ$14="No",JZ681=FALSE,$JH683&lt;=$JH681,AND(_kWh_Grant=0,$GD681=FALSE)),0,IF(JZ$8="Per Line",1,$AF683)),0),0)</f>
        <v>0</v>
      </c>
      <c r="KB683" s="1670">
        <f>IFERROR(IF(__Retrofit_TI_NC=0,IF(_kWh_Grant=0,0,IF($IB681=TRUE,IF(OR(KB$14="No",KB681=FALSE,$JH683&lt;=$JH681),0,IF(KB$8="Per Line",1,$AF683)),0)),IF($IB681=TRUE,IF(OR(KB$14="No",KB681=FALSE,$JH683&lt;=$JH681),0,IF(KB$8="Per Line",1,$AF683)))),0)</f>
        <v>0</v>
      </c>
    </row>
    <row r="684" spans="1:288" s="78" customFormat="1" ht="14.95" customHeight="1" thickTop="1" thickBot="1">
      <c r="B684" s="1845"/>
      <c r="C684" s="1846"/>
      <c r="D684" s="1847"/>
      <c r="E684" s="1771" t="s">
        <v>436</v>
      </c>
      <c r="F684" s="1772"/>
      <c r="G684" s="1784" t="s">
        <v>437</v>
      </c>
      <c r="H684" s="1785"/>
      <c r="I684" s="1785"/>
      <c r="J684" s="1785"/>
      <c r="K684" s="1785"/>
      <c r="L684" s="1786"/>
      <c r="M684" s="591">
        <f>IFERROR(VLOOKUP(G684,_Daylight_Table[],2,FALSE),0)</f>
        <v>0</v>
      </c>
      <c r="N684" s="592" t="str">
        <f>IF(AND(__Retrofit_TI_NC&gt;0,CQ681="Interior"),"BAM","")</f>
        <v/>
      </c>
      <c r="O684" s="591" t="e">
        <f>VLOOKUP(G683,'Space Table'!$B$3:$L$163,11,FALSE)</f>
        <v>#N/A</v>
      </c>
      <c r="P684" s="1789"/>
      <c r="Q684" s="1790"/>
      <c r="R684" s="1790"/>
      <c r="S684" s="1788"/>
      <c r="T684" s="593" t="s">
        <v>342</v>
      </c>
      <c r="U684" s="1756" t="str" cm="1">
        <f t="array" aca="1" ref="U684" ca="1">IFERROR(VLOOKUP(INDIRECT("U" &amp; ROW()-1),Fixtures!DM$93:DP$142,4,FALSE),"")</f>
        <v/>
      </c>
      <c r="V684" s="1757"/>
      <c r="W684" s="1757"/>
      <c r="X684" s="1757"/>
      <c r="Y684" s="1757"/>
      <c r="Z684" s="1757"/>
      <c r="AA684" s="1758"/>
      <c r="AB684" s="939" t="str">
        <f>IFERROR(VLOOKUP(U683,Fixtures_Proposed_List,2,FALSE),"")</f>
        <v/>
      </c>
      <c r="AC684" s="933" t="str">
        <f>IFERROR(ROUND(T683*AB684*N682*R682/1000,0),"")</f>
        <v/>
      </c>
      <c r="AD684" s="934" t="str">
        <f>IFERROR(ROUND(T683*AB684/1000,2),"")</f>
        <v/>
      </c>
      <c r="AE684" s="998"/>
      <c r="AF684" s="938" t="s">
        <v>342</v>
      </c>
      <c r="AG684" s="1770"/>
      <c r="AH684" s="1770"/>
      <c r="AI684" s="1770"/>
      <c r="AJ684" s="1770"/>
      <c r="AK684" s="1770"/>
      <c r="AL684" s="1770"/>
      <c r="AM684" s="1727"/>
      <c r="AN684" s="1729"/>
      <c r="AO684" s="1731"/>
      <c r="AP684" s="1782"/>
      <c r="AQ684" s="1783"/>
      <c r="AR684" s="1797"/>
      <c r="AS684" s="1797"/>
      <c r="AT684" s="1798"/>
      <c r="AU684" s="1736"/>
      <c r="AV684" s="1753"/>
      <c r="AW684" s="1706"/>
      <c r="AX684" s="468"/>
      <c r="AY684" s="1750"/>
      <c r="AZ684" s="1750"/>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696"/>
      <c r="CQ684" s="1696"/>
      <c r="CR684" s="1809"/>
      <c r="CS684" s="1811"/>
      <c r="CU684" s="1688"/>
      <c r="CV684" s="1703"/>
      <c r="CW684" s="1703"/>
      <c r="CX684" s="1813"/>
      <c r="CY684" s="1815"/>
      <c r="CZ684" s="1711"/>
      <c r="DA684" s="1815"/>
      <c r="DB684" s="1821"/>
      <c r="DC684" s="1821"/>
      <c r="DD684" s="1821"/>
      <c r="DF684" s="1703"/>
      <c r="DG684" s="1831"/>
      <c r="DH684" s="1813"/>
      <c r="DI684" s="1838"/>
      <c r="DJ684" s="1711"/>
      <c r="DK684" s="1712"/>
      <c r="DN684" s="1718"/>
      <c r="DO684" s="1709"/>
      <c r="DQ684" s="1715"/>
      <c r="DR684" s="1720"/>
      <c r="DS684" s="1703"/>
      <c r="DT684" s="1714"/>
      <c r="DU684" s="1715"/>
      <c r="DV684" s="1716"/>
      <c r="DX684" s="1715"/>
      <c r="DY684" s="1720"/>
      <c r="DZ684" s="1715"/>
      <c r="EA684" s="1715"/>
      <c r="EC684" s="1834"/>
      <c r="ED684" s="1834"/>
      <c r="EF684" s="1707"/>
      <c r="EG684" s="1712"/>
      <c r="EH684" s="1815"/>
      <c r="EI684" s="1712"/>
      <c r="EJ684" s="1712"/>
      <c r="EK684" s="1813"/>
      <c r="EL684" s="1813"/>
      <c r="EM684" s="1807"/>
      <c r="EN684" s="1839"/>
      <c r="EO684" s="1839"/>
      <c r="EP684" s="1817"/>
      <c r="EQ684" s="1817"/>
      <c r="ER684" s="1807"/>
      <c r="ES684" s="1807"/>
      <c r="ET684" s="1807"/>
      <c r="EV684" s="1715"/>
      <c r="EX684" s="1806"/>
      <c r="EY684" s="1806"/>
      <c r="EZ684" s="1806"/>
      <c r="FA684" s="1806"/>
      <c r="FB684" s="1806"/>
      <c r="FC684" s="1828"/>
      <c r="FE684" s="1698"/>
      <c r="FG684" s="1703"/>
      <c r="FH684" s="1703"/>
      <c r="FI684" s="133"/>
      <c r="FL684" s="1823"/>
      <c r="FM684" s="1825"/>
      <c r="FN684" s="1698"/>
      <c r="FO684" s="1698"/>
      <c r="FP684" s="1678"/>
      <c r="FQ684" s="1698"/>
      <c r="FS684" s="1687"/>
      <c r="FT684" s="1687"/>
      <c r="FU684" s="1685"/>
      <c r="FV684" s="1687"/>
      <c r="FW684" s="1687"/>
      <c r="FX684" s="1687"/>
      <c r="FY684" s="1697"/>
      <c r="GA684" s="1696"/>
      <c r="GB684" s="1696"/>
      <c r="GC684" s="1696"/>
      <c r="GD684" s="1696"/>
      <c r="GE684" s="1696"/>
      <c r="GF684" s="1696"/>
      <c r="GG684" s="1696"/>
      <c r="GH684" s="1696"/>
      <c r="GI684" s="673"/>
      <c r="GJ684" s="1135"/>
      <c r="GK684" s="1832"/>
      <c r="GN684" s="674">
        <f>IF(GN682=TRUE,0,GN$16)</f>
        <v>0</v>
      </c>
      <c r="GP684" s="674">
        <f>IF(GP682=TRUE,0,GP$16)</f>
        <v>36</v>
      </c>
      <c r="GQ684" s="674">
        <f ca="1">IF(GQ682=TRUE,0,GQ$16)</f>
        <v>35</v>
      </c>
      <c r="GR684" s="391"/>
      <c r="GS684" s="391"/>
      <c r="GT684" s="391"/>
      <c r="GU684" s="391"/>
      <c r="GV684" s="391"/>
      <c r="HG684" s="674">
        <f>IF(HG682=TRUE,0,HG$16)</f>
        <v>0</v>
      </c>
      <c r="HH684" s="674">
        <f t="shared" ref="HH684:HM684" si="628">IF(HH682=TRUE,0,HH$16)</f>
        <v>19</v>
      </c>
      <c r="HI684" s="674">
        <f t="shared" si="628"/>
        <v>18</v>
      </c>
      <c r="HJ684" s="674">
        <f t="shared" si="628"/>
        <v>17</v>
      </c>
      <c r="HK684" s="674">
        <f t="shared" si="628"/>
        <v>16</v>
      </c>
      <c r="HL684" s="674">
        <f t="shared" si="628"/>
        <v>0</v>
      </c>
      <c r="HM684" s="674">
        <f t="shared" si="628"/>
        <v>0</v>
      </c>
      <c r="HN684" s="674">
        <f>IF(HN682=TRUE,0,HN$16)</f>
        <v>13</v>
      </c>
      <c r="HO684" s="674">
        <f t="shared" ref="HO684:HQ684" si="629">IF(HO682=TRUE,0,HO$16)</f>
        <v>0</v>
      </c>
      <c r="HP684" s="674">
        <f t="shared" si="629"/>
        <v>0</v>
      </c>
      <c r="HQ684" s="674">
        <f t="shared" si="629"/>
        <v>10</v>
      </c>
      <c r="HR684" s="674">
        <f>IF(HR682=TRUE,0,HR$16)</f>
        <v>9</v>
      </c>
      <c r="HS684" s="674">
        <f t="shared" ref="HS684:HW684" si="630">IF(HS682=TRUE,0,HS$16)</f>
        <v>0</v>
      </c>
      <c r="HT684" s="674">
        <f t="shared" si="630"/>
        <v>0</v>
      </c>
      <c r="HU684" s="674">
        <f t="shared" si="630"/>
        <v>0</v>
      </c>
      <c r="HV684" s="674">
        <f t="shared" si="630"/>
        <v>0</v>
      </c>
      <c r="HW684" s="674">
        <f t="shared" si="630"/>
        <v>0</v>
      </c>
      <c r="HX684" s="674">
        <f>IF(HX682=TRUE,0,HX$16)</f>
        <v>0</v>
      </c>
      <c r="HY684" s="674">
        <f>IF(HY682=TRUE,0,HY$16)</f>
        <v>0</v>
      </c>
      <c r="HZ684" s="674">
        <f>IF(HZ682=TRUE,0,HZ$16)</f>
        <v>1</v>
      </c>
      <c r="IB684" s="674">
        <f>IF(GP682=FALSE,GP684,IF(GQ682=FALSE,GQ684,MAX(GN684:HZ684)))</f>
        <v>36</v>
      </c>
      <c r="IC684" s="1692"/>
      <c r="ID684" s="205" t="str">
        <f>VLOOKUP(IB684,_Error_Table,3,FALSE)</f>
        <v xml:space="preserve"> </v>
      </c>
      <c r="IE684" s="205"/>
      <c r="IF684" s="1688"/>
      <c r="IG684" s="1689"/>
      <c r="IH684" s="1684"/>
      <c r="IK684" s="1689"/>
      <c r="IL684" s="1692"/>
      <c r="IM684" s="1692"/>
      <c r="IN684" s="1692"/>
      <c r="IP684" s="1679"/>
      <c r="IQ684" s="1679"/>
      <c r="IR684" s="1679"/>
      <c r="IS684" s="1679"/>
      <c r="IT684" s="1679"/>
      <c r="IU684" s="1679"/>
      <c r="IV684" s="1679"/>
      <c r="IW684" s="1679"/>
      <c r="IX684" s="1679"/>
      <c r="IY684" s="1679"/>
      <c r="IZ684" s="1679"/>
      <c r="JA684" s="1679"/>
      <c r="JC684" s="1680"/>
      <c r="JD684" s="1670"/>
      <c r="JE684" s="1681"/>
      <c r="JG684" s="1680"/>
      <c r="JH684" s="1670"/>
      <c r="JI684" s="1060"/>
      <c r="JJ684" s="1670"/>
      <c r="JK684" s="1061"/>
      <c r="JL684" s="1670"/>
      <c r="JM684" s="1061"/>
      <c r="JN684" s="1670"/>
      <c r="JO684" s="1061"/>
      <c r="JP684" s="1670"/>
      <c r="JQ684" s="1061"/>
      <c r="JR684" s="1670"/>
      <c r="JS684" s="1061"/>
      <c r="JT684" s="1670"/>
      <c r="JU684" s="1061"/>
      <c r="JV684" s="1670"/>
      <c r="JX684" s="1670"/>
      <c r="JZ684" s="1670"/>
      <c r="KB684" s="1670"/>
    </row>
    <row r="685" spans="1:288" s="78" customFormat="1" ht="5.0999999999999996" customHeight="1">
      <c r="B685" s="676"/>
      <c r="C685" s="392"/>
      <c r="D685" s="392"/>
      <c r="E685" s="1733"/>
      <c r="F685" s="1733"/>
      <c r="G685" s="1733"/>
      <c r="H685" s="1733"/>
      <c r="I685" s="1733"/>
      <c r="J685" s="1733"/>
      <c r="K685" s="1733"/>
      <c r="L685" s="1733"/>
      <c r="M685" s="1733"/>
      <c r="N685" s="1733"/>
      <c r="O685" s="1733"/>
      <c r="P685" s="1733"/>
      <c r="Q685" s="1733"/>
      <c r="R685" s="1733"/>
      <c r="S685" s="1733"/>
      <c r="T685" s="1733"/>
      <c r="U685" s="1733"/>
      <c r="V685" s="1733"/>
      <c r="W685" s="1733"/>
      <c r="X685" s="1733"/>
      <c r="Y685" s="1733"/>
      <c r="Z685" s="1733"/>
      <c r="AA685" s="1733"/>
      <c r="AB685" s="1733"/>
      <c r="AC685" s="1733"/>
      <c r="AD685" s="1733"/>
      <c r="AE685" s="1733"/>
      <c r="AF685" s="1733"/>
      <c r="AG685" s="1733"/>
      <c r="AH685" s="1733"/>
      <c r="AI685" s="1733"/>
      <c r="AJ685" s="1733"/>
      <c r="AK685" s="1733"/>
      <c r="AL685" s="1733"/>
      <c r="AM685" s="1733"/>
      <c r="AN685" s="1733"/>
      <c r="AO685" s="1733"/>
      <c r="AP685" s="1733"/>
      <c r="AQ685" s="1733"/>
      <c r="AR685" s="1733"/>
      <c r="AS685" s="1733"/>
      <c r="AT685" s="1733"/>
      <c r="AU685" s="1733"/>
      <c r="AV685" s="1733"/>
      <c r="AW685" s="1733"/>
      <c r="AX685" s="469"/>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663"/>
      <c r="CQ685" s="663"/>
      <c r="CR685" s="438"/>
      <c r="CS685" s="663"/>
      <c r="CV685" s="391"/>
      <c r="CW685" s="391"/>
      <c r="CX685" s="207"/>
      <c r="CY685" s="208"/>
      <c r="CZ685" s="208"/>
      <c r="DA685" s="208"/>
      <c r="DB685" s="209"/>
      <c r="DC685" s="209"/>
      <c r="DD685" s="209"/>
      <c r="DF685" s="664"/>
      <c r="DG685" s="665"/>
      <c r="DH685" s="666"/>
      <c r="DI685" s="667"/>
      <c r="DJ685" s="668"/>
      <c r="DK685" s="668"/>
      <c r="DN685" s="208"/>
      <c r="DO685" s="664"/>
      <c r="DQ685" s="664"/>
      <c r="DR685" s="669"/>
      <c r="DS685" s="391"/>
      <c r="DT685" s="664"/>
      <c r="DU685" s="664"/>
      <c r="DV685" s="664"/>
      <c r="DX685" s="664"/>
      <c r="DY685" s="664"/>
      <c r="DZ685" s="664"/>
      <c r="EA685" s="664"/>
      <c r="EC685" s="670"/>
      <c r="ED685" s="670"/>
      <c r="EF685" s="668"/>
      <c r="EG685" s="668"/>
      <c r="EH685" s="208"/>
      <c r="EI685" s="668"/>
      <c r="EJ685" s="668"/>
      <c r="EK685" s="207"/>
      <c r="EL685" s="207"/>
      <c r="EM685" s="666"/>
      <c r="EN685" s="671"/>
      <c r="EO685" s="671"/>
      <c r="EP685" s="672"/>
      <c r="EQ685" s="672"/>
      <c r="ER685" s="666"/>
      <c r="ES685" s="666"/>
      <c r="ET685" s="666"/>
      <c r="EV685" s="664"/>
      <c r="EX685" s="391"/>
      <c r="EY685" s="391"/>
      <c r="EZ685" s="391"/>
      <c r="FA685" s="391"/>
      <c r="FB685" s="391"/>
      <c r="FC685" s="391"/>
      <c r="FE685" s="569"/>
      <c r="FG685" s="391"/>
      <c r="FH685" s="391"/>
      <c r="FI685" s="391"/>
      <c r="FS685" s="664"/>
      <c r="FT685" s="391"/>
      <c r="FU685" s="391"/>
      <c r="FV685" s="664"/>
      <c r="FW685" s="664"/>
      <c r="GA685" s="663"/>
      <c r="GB685" s="663"/>
      <c r="GC685" s="663"/>
      <c r="GD685" s="663"/>
      <c r="GE685" s="663"/>
      <c r="GF685" s="663"/>
      <c r="GG685" s="663"/>
      <c r="GH685" s="663"/>
      <c r="GI685" s="665"/>
      <c r="GJ685" s="664"/>
      <c r="GK685" s="664"/>
    </row>
    <row r="686" spans="1:288" s="78" customFormat="1" ht="14.95" customHeight="1">
      <c r="B686" s="1845" t="str">
        <f>ID689</f>
        <v xml:space="preserve"> </v>
      </c>
      <c r="C686" s="1846">
        <f>C681+1</f>
        <v>124</v>
      </c>
      <c r="D686" s="1847"/>
      <c r="E686" s="1799" t="s">
        <v>295</v>
      </c>
      <c r="F686" s="1800"/>
      <c r="G686" s="1741"/>
      <c r="H686" s="1742"/>
      <c r="I686" s="1742"/>
      <c r="J686" s="1742"/>
      <c r="K686" s="1742"/>
      <c r="L686" s="1742"/>
      <c r="M686" s="1742"/>
      <c r="N686" s="1742"/>
      <c r="O686" s="1742"/>
      <c r="P686" s="1742"/>
      <c r="Q686" s="1742"/>
      <c r="R686" s="1742"/>
      <c r="S686" s="1791" t="s">
        <v>344</v>
      </c>
      <c r="T686" s="590"/>
      <c r="U686" s="1743"/>
      <c r="V686" s="1744"/>
      <c r="W686" s="1744"/>
      <c r="X686" s="1744"/>
      <c r="Y686" s="1744"/>
      <c r="Z686" s="1744"/>
      <c r="AA686" s="1744"/>
      <c r="AB686" s="961" t="str">
        <f>IFERROR(IF(__Retrofit_TI_NC=0,VLOOKUP(U687,Fixtures_Existing_List,2,FALSE),ROUND(N688*R688/T688,10)),"")</f>
        <v/>
      </c>
      <c r="AC686" s="935" t="str">
        <f>IFERROR(IF(__Retrofit_TI_NC=0,ROUND(T687*AB686*N687*R687/1000,0),IF(CQ686="Interior",N688*R688*R687*N687*_C406_reduction/1000,N688*R688*R687*N687/1000)),"")</f>
        <v/>
      </c>
      <c r="AD686" s="936" t="str">
        <f>IFERROR(IF(C$43=0,ROUND(T687*AB686/1000,2),N688*R688/1000),"")</f>
        <v/>
      </c>
      <c r="AE686" s="997"/>
      <c r="AF686" s="937"/>
      <c r="AG686" s="1745" t="str">
        <f>IF(__Retrofit_TI_NC=0," Control","Select Advanced Control for New System")</f>
        <v xml:space="preserve"> Control</v>
      </c>
      <c r="AH686" s="1745"/>
      <c r="AI686" s="1745"/>
      <c r="AJ686" s="1745"/>
      <c r="AK686" s="1745"/>
      <c r="AL686" s="1745"/>
      <c r="AM686" s="1746">
        <f>IFERROR(DI686,"")</f>
        <v>0</v>
      </c>
      <c r="AN686" s="1774" t="str">
        <f>IFERROR(ROUND(AM686*AC686,0),"")</f>
        <v/>
      </c>
      <c r="AO686" s="1776">
        <f>IFERROR(IF(IB686=FALSE,0,AC686-AN686),0)</f>
        <v>0</v>
      </c>
      <c r="AP686" s="1778">
        <f>AO686-AO688</f>
        <v>0</v>
      </c>
      <c r="AQ686" s="1779"/>
      <c r="AR686" s="1793">
        <f>IFERROR(IF(IB686=FALSE,0,(T688*U689)+(AF688*AG689)),0)</f>
        <v>0</v>
      </c>
      <c r="AS686" s="1793"/>
      <c r="AT686" s="1794"/>
      <c r="AU686" s="1734" t="s">
        <v>237</v>
      </c>
      <c r="AV686" s="1751">
        <f>IF(AU686="Yes",1,0)</f>
        <v>1</v>
      </c>
      <c r="AW686" s="1704" t="str">
        <f>IF(OR(DQ686=4,DQ686=5,DQ686=6,DQ686=12),CONCATENATE("$",IF(GH686=TRUE,Lookup!$K$10,Lookup!$K$2)," /lamp"),CONCATENATE(TEXT(ED686,"$0.00"),"/ kWh"))</f>
        <v>$0.00/ kWh</v>
      </c>
      <c r="AX686" s="467"/>
      <c r="AY686" s="1748">
        <f ca="1">IFERROR(IF(GM687=TRUE,(AB689*T688)/R688,0),"NA")</f>
        <v>0</v>
      </c>
      <c r="AZ686" s="1748"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696" t="str">
        <f>N687</f>
        <v/>
      </c>
      <c r="CQ686" s="1696" t="str">
        <f>IFERROR(VLOOKUP(G687,_Lookup_Heat_Type_Table_New,3,FALSE),"")</f>
        <v/>
      </c>
      <c r="CR686" s="1808" t="str">
        <f>CQ686</f>
        <v/>
      </c>
      <c r="CS686" s="1810" t="str">
        <f>IFERROR(VLOOKUP(G688,'Space Table'!$B$3:$L$163,9,FALSE),"")</f>
        <v/>
      </c>
      <c r="CU686" s="1688" t="s">
        <v>344</v>
      </c>
      <c r="CV686" s="1702">
        <f>IF(IB686=TRUE,T687,0)</f>
        <v>0</v>
      </c>
      <c r="CW686" s="1702" t="str">
        <f>IF(IB686=TRUE,U687,"")</f>
        <v/>
      </c>
      <c r="CX686" s="1702"/>
      <c r="CY686" s="1814">
        <f>IF(IB686=TRUE,AB686,0)</f>
        <v>0</v>
      </c>
      <c r="CZ686" s="1710">
        <f>IF(AND(__Retrofit_TI_NC&gt;0,CR686="interior"),0,IF(IB686=TRUE,AC686,0))</f>
        <v>0</v>
      </c>
      <c r="DA686" s="1814">
        <f>IFERROR(IF(IB686=TRUE,CZ686-CZ688,0),0)</f>
        <v>0</v>
      </c>
      <c r="DB686" s="1819">
        <f>IF(IB686=TRUE,AD686,0)</f>
        <v>0</v>
      </c>
      <c r="DC686" s="1819">
        <f>IF(IB686=TRUE,AD689,0)</f>
        <v>0</v>
      </c>
      <c r="DD686" s="1819">
        <f>IFERROR(DB686-DC686,0)</f>
        <v>0</v>
      </c>
      <c r="DF686" s="1702">
        <f>IF(IB686=TRUE,AF687,0)</f>
        <v>0</v>
      </c>
      <c r="DG686" s="1830">
        <f>IFERROR(IF(__Retrofit_TI_NC=2,IF(CQ686="Exterior",O689,FQ686),FN686),"")</f>
        <v>0</v>
      </c>
      <c r="DH686" s="1702"/>
      <c r="DI686" s="1837">
        <f>JE686</f>
        <v>0</v>
      </c>
      <c r="DJ686" s="1710">
        <f>IF(AND(__Retrofit_TI_NC&gt;0,CR686="interior"),0,IF(IB686=TRUE,AN686,0))</f>
        <v>0</v>
      </c>
      <c r="DK686" s="1712">
        <f>IFERROR(IF(IB686=TRUE,DJ688-DJ686,0),0)</f>
        <v>0</v>
      </c>
      <c r="DM686" s="1717">
        <f>IFERROR(CZ686-DJ686,0)</f>
        <v>0</v>
      </c>
      <c r="DO686" s="1708">
        <f>DM686-DN688</f>
        <v>0</v>
      </c>
      <c r="DQ686" s="1715" t="str">
        <f>IFERROR(IF(AND(OR(GC686=4,GC686=5,GC686=6),OR(GF686=4,GF686=5,GF686=6)),GC686+8,VLOOKUP(CW688,Fixtures!R$31:Y$78,8,FALSE)),"")</f>
        <v/>
      </c>
      <c r="DR686" s="1829" t="str">
        <f>DQ686</f>
        <v/>
      </c>
      <c r="DS686" s="1702" t="str">
        <f>IFERROR(VLOOKUP(DG688,Lookup!BB$3:BC$20,2,FALSE),"")</f>
        <v/>
      </c>
      <c r="DT686" s="1713" t="str">
        <f>IF(OR(DS686=7,DS686=8,DS686=9),"ALC","")</f>
        <v/>
      </c>
      <c r="DU686" s="1715">
        <f>IFERROR(IF(OR(DQ686=4,DQ686=5,DQ686=6,DQ686=12,DQ686=13,DQ686=14),VLOOKUP(CW688,Fixtures!DN$27:EG$77,19,FALSE),1)*CV688,0)</f>
        <v>0</v>
      </c>
      <c r="DV686" s="1716">
        <f>IF(OR(DS686=7,DS686=8,DS686=9),IF(DG686=DG688,0,DF688),0)</f>
        <v>0</v>
      </c>
      <c r="DX686" s="1715" t="str">
        <f>IFERROR(IF(EZ686&lt;EZ688,"Yes","No"),"")</f>
        <v/>
      </c>
      <c r="DY686" s="1829" t="str">
        <f>DX686</f>
        <v/>
      </c>
      <c r="DZ686" s="1715">
        <f>IF(DX686="Yes",DF688,0)</f>
        <v>0</v>
      </c>
      <c r="EA686" s="1715">
        <f>DZ686-DV686</f>
        <v>0</v>
      </c>
      <c r="EC686" s="1834">
        <f>IFERROR(VLOOKUP(DQ686,Lookup!AU$3:AV$16,2,FALSE),0)</f>
        <v>0</v>
      </c>
      <c r="ED686" s="1834">
        <f>IF(IB686=FALSE,0,IF(DX686="Yes",EC686+Lookup!K$6,EC686))</f>
        <v>0</v>
      </c>
      <c r="EF686" s="1707">
        <f>IF(IB686=TRUE,DM686,0)</f>
        <v>0</v>
      </c>
      <c r="EG686" s="1712">
        <f>IF(IB686=TRUE,CZ688,0)</f>
        <v>0</v>
      </c>
      <c r="EH686" s="1814">
        <f>IFERROR(EF686-EG686,0)</f>
        <v>0</v>
      </c>
      <c r="EI686" s="1712">
        <f>IF(IB686=TRUE,DJ688,0)</f>
        <v>0</v>
      </c>
      <c r="EJ686" s="1712">
        <f>IFERROR(EF686-EG686+EI686,0)</f>
        <v>0</v>
      </c>
      <c r="EK686" s="1812">
        <f>IF(IB686=TRUE,CV688*CX688,0)</f>
        <v>0</v>
      </c>
      <c r="EL686" s="1812">
        <f>IF(IB686=TRUE,DF688*DH688,0)</f>
        <v>0</v>
      </c>
      <c r="EM686" s="1807">
        <f>AR686</f>
        <v>0</v>
      </c>
      <c r="EN686" s="1839" t="str">
        <f>IFERROR(IF(IB686=TRUE,VLOOKUP(DQ686,Lookup!AU$3:AW$16,3,FALSE)*DU686,""),0)</f>
        <v/>
      </c>
      <c r="EO686" s="1839">
        <f>IF(IB686=TRUE,DZ686*Lookup!AW$12,0)</f>
        <v>0</v>
      </c>
      <c r="EP686" s="1817">
        <f>IFERROR(IF(IB686=TRUE,EN686/EP$40,0),0)</f>
        <v>0</v>
      </c>
      <c r="EQ686" s="1817">
        <f>IF(IB686=TRUE,EO686/EQ$40,0)</f>
        <v>0</v>
      </c>
      <c r="ER686" s="1807">
        <f>IF(IB686=TRUE,ET$40*EP686,0)</f>
        <v>0</v>
      </c>
      <c r="ES686" s="1807">
        <f>IF(IB686=TRUE,ET$40*EQ686,0)</f>
        <v>0</v>
      </c>
      <c r="ET686" s="1807">
        <f>ER686+ES686</f>
        <v>0</v>
      </c>
      <c r="EV686" s="1715">
        <f>IF(G686="",0,1)</f>
        <v>0</v>
      </c>
      <c r="EX686" s="1804" t="str">
        <f>IFERROR(VLOOKUP(CS688,'Space Table'!$B$3:$L$163,8,FALSE),"")</f>
        <v/>
      </c>
      <c r="EY686" s="1804" t="str">
        <f>IFERROR(IF(FB686="Yes",VLOOKUP(DG686,Lookup_Control_Type_Table2,4,FALSE),VLOOKUP(DG686,Lookup_Control_Type_Table2,3,FALSE)),"")</f>
        <v/>
      </c>
      <c r="EZ686" s="1804" t="e">
        <f>VLOOKUP(DG686,Lookup!BB$3:BC$20,2,FALSE)</f>
        <v>#N/A</v>
      </c>
      <c r="FA686" s="1804" t="e">
        <f>VLOOKUP(EX686,Lookup_Control_Type_Table,2,FALSE)</f>
        <v>#N/A</v>
      </c>
      <c r="FB686" s="1804" t="e">
        <f>VLOOKUP(CS688,'Space Table'!$B$3:$L$163,7,FALSE)</f>
        <v>#N/A</v>
      </c>
      <c r="FC686" s="1826" t="b">
        <f>ISNUMBER(SEARCH("TLED",U688))</f>
        <v>0</v>
      </c>
      <c r="FE686" s="1698" t="str">
        <f>CONCATENATE(CQ686," - ",DG686)</f>
        <v xml:space="preserve"> - 0</v>
      </c>
      <c r="FG686" s="1702" t="str">
        <f>VLOOKUP(CW688,Fixtures!DN$27:EZ$77,38,FALSE)</f>
        <v/>
      </c>
      <c r="FH686" s="1702">
        <f>IFERROR(FG686*EH686,0)</f>
        <v>0</v>
      </c>
      <c r="FI686" s="133"/>
      <c r="FL686" s="1822" t="str">
        <f>IF(CQ686="Exterior","Not Daylighted",G689)</f>
        <v>Not Daylighted</v>
      </c>
      <c r="FM686" s="1824">
        <f>VLOOKUP(FL686,_New_Daylight_Table_Codes,2,FALSE)</f>
        <v>0</v>
      </c>
      <c r="FN686" s="1698">
        <f>IF(__Retrofit_TI_NC&gt;0,VLOOKUP(G688,'Space Table'!$B$3:$L$163,11,FALSE),AG687)</f>
        <v>0</v>
      </c>
      <c r="FO686" s="1698" t="e">
        <f>IF(__Retrofit_TI_NC=2,VLOOKUP(FQ686,_Control_Table,2,FALSE),VLOOKUP(FN686,_Control_Table,2,FALSE))</f>
        <v>#N/A</v>
      </c>
      <c r="FP686" s="1678" t="e">
        <f>VLOOKUP(CONCATENATE(FL686," ",FN686),Lookup!AY$102:AZ696,2,FALSE)</f>
        <v>#N/A</v>
      </c>
      <c r="FQ686" s="1678">
        <f>IF(__Retrofit_TI_NC=0,FN686,IF(AND(FT686&gt;0,FN686="Occupancy Sensor"),"Daylight + Occupancy",IF(AND(FT686&gt;0,VLOOKUP(FN686,_Control_Table,2,FALSE)&lt;4),"Interior Daylight Dimming",FN686)))</f>
        <v>0</v>
      </c>
      <c r="FS686" s="1686">
        <f>IF(CR686="Interior",VLOOKUP(CS686,Control_Savings_Interior,5,FALSE),0)</f>
        <v>0</v>
      </c>
      <c r="FT686" s="1687">
        <f>IF(CQ686="Exterior",0,IF(FM686=2,0.5,IF(OR(FM686=1,FM686=3),1,0)))</f>
        <v>0</v>
      </c>
      <c r="FU686" s="1685">
        <f>IF(R685&gt;FS$44,(FS686*(FS$44/R685)),FS686)*FT686</f>
        <v>0</v>
      </c>
      <c r="FV686" s="1686">
        <f>DI686</f>
        <v>0</v>
      </c>
      <c r="FW686" s="1686">
        <f>ROUND(FV686+((1-FV686)*FU686),2)</f>
        <v>0</v>
      </c>
      <c r="FX686" s="1686">
        <f>IF(__Retrofit_TI_NC=2,FW686,FV686)</f>
        <v>0</v>
      </c>
      <c r="FY686" s="1697"/>
      <c r="GA686" s="1696" t="str">
        <f>IFERROR(VLOOKUP(U687,_Exist_Fixture_Table,3,FALSE),"")</f>
        <v/>
      </c>
      <c r="GB686" s="1696" t="str">
        <f>VLOOKUP(CW686,_Exist_Fixture_Table,4,FALSE)</f>
        <v/>
      </c>
      <c r="GC686" s="1696">
        <f>IFERROR(VLOOKUP(GB686,Lookup!AT$6:AU$8,2,FALSE),0)</f>
        <v>0</v>
      </c>
      <c r="GD686" s="1696" t="b">
        <f>IFERROR(IF(OR(GF686=4,GF686=5,GF686=6),TRUE,FALSE),"")</f>
        <v>0</v>
      </c>
      <c r="GE686" s="1696" t="str">
        <f>IFERROR(VLOOKUP(GF686,GC$6:GD$10,2,FALSE),"")</f>
        <v/>
      </c>
      <c r="GF686" s="1696" t="str">
        <f>VLOOKUP(CW688,Fixtures!R$31:Y$78,8,FALSE)</f>
        <v/>
      </c>
      <c r="GG686" s="1696">
        <f>IF(AND(GA686=TRUE,GD686=TRUE,OR(DQ686=12,DQ686=13,DQ686=14)),GC686+8,0)</f>
        <v>0</v>
      </c>
      <c r="GH686" s="1696" t="b">
        <f>IF(OR(GG686=12,GG686=13,GG686=14),TRUE,FALSE)</f>
        <v>0</v>
      </c>
      <c r="GI686" s="673" t="b">
        <f>IF(ISNUMBER(SEARCH("TLED",U687)),TRUE,FALSE)</f>
        <v>0</v>
      </c>
      <c r="GJ686" s="1135" t="str">
        <f>IFERROR(VLOOKUP(U687,Fixtures!BM$93:BR$142,6,FALSE),"")</f>
        <v/>
      </c>
      <c r="GK686" s="1832" t="b">
        <f>IF(OR(GI686=FALSE,GI688=FALSE),TRUE,IF(GJ686-GJ688&lt;5,FALSE,TRUE))</f>
        <v>1</v>
      </c>
      <c r="GO686" s="674">
        <f>GP686</f>
        <v>0</v>
      </c>
      <c r="GP686" s="674">
        <f>IF(G686="",0,1)</f>
        <v>0</v>
      </c>
      <c r="GQ686" s="674">
        <f ca="1">SUM(GR686:HF686)</f>
        <v>2</v>
      </c>
      <c r="GR686" s="674">
        <f>IF(G687="",0,1)</f>
        <v>0</v>
      </c>
      <c r="GS686" s="674">
        <f>IF(N689="BAM",1,IF(G688="",0,1))</f>
        <v>0</v>
      </c>
      <c r="GT686" s="674">
        <f>IF(N689="BAM",1,IF(R687="",0,1))</f>
        <v>0</v>
      </c>
      <c r="GU686" s="674">
        <f>IF(N689="BAM",1,IF(__Retrofit_TI_NC=0,1,IF(R688="",0,1)))</f>
        <v>1</v>
      </c>
      <c r="GV686" s="674">
        <f>IF(N689="BAM",1,IF(CQ686="Exterior",1,IF(G689="",0,1)))</f>
        <v>1</v>
      </c>
      <c r="GW686" s="674">
        <f>IF(__Retrofit_TI_NC&gt;0,1,IF(T687="",0,1))</f>
        <v>0</v>
      </c>
      <c r="GX686" s="674">
        <f>IF(__Retrofit_TI_NC&gt;0,1,IF(U687="",0,1))</f>
        <v>0</v>
      </c>
      <c r="GY686" s="674">
        <f>IF(N689="BAM",1,IF(T688="",0,1))</f>
        <v>0</v>
      </c>
      <c r="GZ686" s="674">
        <f>IF(N689="BAM",1,IF(U688="",0,1))</f>
        <v>0</v>
      </c>
      <c r="HA686" s="674">
        <f ca="1">IF(N689="BAM",1,IF(__Retrofit_TI_NC&gt;0,1,IF(U689="",0,1)))</f>
        <v>0</v>
      </c>
      <c r="HB686" s="674">
        <f>IF(__Retrofit_TI_NC&lt;&gt;0,1,IF(AF687="",0,1))</f>
        <v>0</v>
      </c>
      <c r="HC686" s="674">
        <f>IF(__Retrofit_TI_NC&lt;&gt;0,1,IF(AG687="",0,1))</f>
        <v>0</v>
      </c>
      <c r="HD686" s="674">
        <f>IF(N689="BAM",1,IF(AF688="",0,1))</f>
        <v>0</v>
      </c>
      <c r="HE686" s="674">
        <f>IF(N689="BAM",1,IF(AG688="",0,1))</f>
        <v>0</v>
      </c>
      <c r="HF686" s="674">
        <f>IF(N689="BAM",1,IF(__Retrofit_TI_NC&gt;0,1,IF(AG689="",0,1)))</f>
        <v>0</v>
      </c>
      <c r="HG686" s="391"/>
      <c r="IA686" s="391"/>
      <c r="IB686" s="1693" t="b">
        <f>IF(OR(IB689=0,IB689=HY$16,IB689=HX$16,IB689=HZ$16),TRUE,FALSE)</f>
        <v>0</v>
      </c>
      <c r="IC686" s="1694" t="b">
        <f>IB686</f>
        <v>0</v>
      </c>
      <c r="ID686" s="391"/>
      <c r="IE686" s="391"/>
      <c r="IF686" s="1688" t="b">
        <f ca="1">IF(MAX(GN689:HU689)&gt;5,FALSE,TRUE)</f>
        <v>0</v>
      </c>
      <c r="IG686" s="1689">
        <f ca="1">IF(IF686=TRUE,AC686,0)</f>
        <v>0</v>
      </c>
      <c r="IH686" s="1689">
        <f ca="1">IG686-IG688</f>
        <v>0</v>
      </c>
      <c r="IK686" s="1689" t="e">
        <f>ROUND(T687*VLOOKUP(U687,Fixtures_Existing_List,2,FALSE)*N687*R687/1000,0)</f>
        <v>#N/A</v>
      </c>
      <c r="IL686" s="1690" t="e">
        <f>IK686-IK688</f>
        <v>#N/A</v>
      </c>
      <c r="IM686" s="1693" t="e">
        <f>ROUND(IF(CQ686="Interior",N688*R688*R687*N687*_C406_reduction/1000,N688*R688*R687*N687/1000),0)</f>
        <v>#N/A</v>
      </c>
      <c r="IN686" s="1693" t="e">
        <f>IM686-IM688</f>
        <v>#N/A</v>
      </c>
      <c r="IP686" s="1679"/>
      <c r="IQ686" s="1679" t="e">
        <f t="shared" ref="IQ686:IU686" si="631">IF($CR686="interior",VLOOKUP($CS686,_New_Control_Savings_Interior,IQ$30,FALSE),VLOOKUP($CS686,Control_Savings_Exterior,IQ$30,FALSE))</f>
        <v>#N/A</v>
      </c>
      <c r="IR686" s="1679" t="e">
        <f t="shared" si="631"/>
        <v>#N/A</v>
      </c>
      <c r="IS686" s="1679" t="e">
        <f t="shared" si="631"/>
        <v>#N/A</v>
      </c>
      <c r="IT686" s="1679" t="e">
        <f t="shared" si="631"/>
        <v>#N/A</v>
      </c>
      <c r="IU686" s="1679" t="e">
        <f t="shared" si="631"/>
        <v>#N/A</v>
      </c>
      <c r="IV686" s="1679" t="e">
        <f>IF($CR686="interior",IF(R687&gt;$IP$14,ROUND(($IV$18*($IP$14/R687)),2),$IV$18),VLOOKUP($CS686,Control_Savings_Exterior,IV$30,FALSE))</f>
        <v>#N/A</v>
      </c>
      <c r="IW686" s="1679" t="e">
        <f>IF($CR686="interior",ROUND(((1-IS686)*IV686)+IS686,2),VLOOKUP($CS686,Control_Savings_Exterior,IW$30,FALSE))</f>
        <v>#N/A</v>
      </c>
      <c r="IX686" s="1679" t="e">
        <f>IF($CR686="interior",ROUND(((1-IT686)*IV686)+IT686,2),VLOOKUP($CS686,Control_Savings_Exterior,IX$30,FALSE))</f>
        <v>#N/A</v>
      </c>
      <c r="IY686" s="1679" t="e">
        <f>IF($CR686="interior",IF(R687&gt;$IP$14,ROUND(($IY$18*($IP$14/R687)),2),$IY$18),VLOOKUP($CS686,Control_Savings_Exterior,IY$30,FALSE))</f>
        <v>#N/A</v>
      </c>
      <c r="IZ686" s="1679" t="e">
        <f>IF($CR686="interior",ROUND(((1-IS686)*IY686)+IS686,2),VLOOKUP($CS686,Control_Savings_Exterior,IZ$30,FALSE))</f>
        <v>#N/A</v>
      </c>
      <c r="JA686" s="1679" t="e">
        <f>IF($CR686="interior",ROUND(((1-IT686)*IY686)+IT686,2),VLOOKUP($CS686,Control_Savings_Exterior,JA$30,FALSE))</f>
        <v>#N/A</v>
      </c>
      <c r="JC686" s="1680">
        <f>IFERROR(IF(CR686="Interior",CONCATENATE(G689," ",FQ686),FQ686),"")</f>
        <v>0</v>
      </c>
      <c r="JD686" s="1670" t="str">
        <f>IFERROR(VLOOKUP(JC686,_Controls_2023,2,FALSE),"")</f>
        <v/>
      </c>
      <c r="JE686" s="1681">
        <f>IFERROR(CHOOSE(JD686-1,IQ686,IR686,IS686,IT686,IU686,IV686,IW686,IX686,IY686,IZ686,JA686),0)</f>
        <v>0</v>
      </c>
      <c r="JG686" s="1680" t="str">
        <f>FE686</f>
        <v xml:space="preserve"> - 0</v>
      </c>
      <c r="JH686" s="1670" t="e">
        <f>$FO686</f>
        <v>#N/A</v>
      </c>
      <c r="JI686" s="1060"/>
      <c r="JJ686" s="1682" t="b">
        <f>IF($JG688=CONCATENATE("Interior - ",JJ$4),TRUE,FALSE)</f>
        <v>0</v>
      </c>
      <c r="JK686" s="1061"/>
      <c r="JL686" s="1682" t="b">
        <f>IF($JG688=CONCATENATE("Interior - ",JL$4),TRUE,FALSE)</f>
        <v>0</v>
      </c>
      <c r="JM686" s="1061"/>
      <c r="JN686" s="1682" t="b">
        <f>IF($JG688=CONCATENATE("Interior - ",JN$4),TRUE,FALSE)</f>
        <v>0</v>
      </c>
      <c r="JO686" s="1061"/>
      <c r="JP686" s="1682" t="b">
        <f>IF(__Retrofit_TI_NC&gt;0,FALSE,IF($JG688=CONCATENATE("Interior - ",JP$4),TRUE,FALSE))</f>
        <v>0</v>
      </c>
      <c r="JQ686" s="1061"/>
      <c r="JR686" s="1682" t="b">
        <f>IF(__Retrofit_TI_NC&gt;0,FALSE,IF($JG688=CONCATENATE("Interior - ",JR$4),TRUE,FALSE))</f>
        <v>0</v>
      </c>
      <c r="JS686" s="1061"/>
      <c r="JT686" s="1670" t="b">
        <f>IF(__Retrofit_TI_NC&gt;0,FALSE,IF($JG688=CONCATENATE("Interior - ",JT$4),TRUE,FALSE))</f>
        <v>0</v>
      </c>
      <c r="JU686" s="1061"/>
      <c r="JV686" s="1670" t="b">
        <f>IF(JC688="AELC on Existing",TRUE,FALSE)</f>
        <v>0</v>
      </c>
      <c r="JX686" s="1670" t="b">
        <f>IF(OR(JG688="Exterior - AELC Occupancy based",JG688="Exterior - AELC Time based"),TRUE,FALSE)</f>
        <v>0</v>
      </c>
      <c r="JZ686" s="1682" t="b">
        <f>IF($JG688=CONCATENATE("Exterior - ",JZ$4),TRUE,FALSE)</f>
        <v>0</v>
      </c>
      <c r="KB686" s="1670" t="b">
        <f>IF(__Retrofit_TI_NC&gt;0,FALSE,IF($JG688=CONCATENATE("Interior - ",KB$4),TRUE,FALSE))</f>
        <v>0</v>
      </c>
    </row>
    <row r="687" spans="1:288" s="78" customFormat="1" ht="14.95" customHeight="1" thickTop="1" thickBot="1">
      <c r="B687" s="1845"/>
      <c r="C687" s="1846"/>
      <c r="D687" s="1847"/>
      <c r="E687" s="1737" t="s">
        <v>297</v>
      </c>
      <c r="F687" s="1738"/>
      <c r="G687" s="1739"/>
      <c r="H687" s="1739"/>
      <c r="I687" s="1739"/>
      <c r="J687" s="1739"/>
      <c r="K687" s="1739"/>
      <c r="L687" s="1739"/>
      <c r="M687" s="461" t="e">
        <f>IF(__Retrofit_TI_NC&lt;&gt;0,IF(VLOOKUP(G688,'Space Table'!$B$3:$L$163,3,FALSE)&gt;0,1,0),IF(__Retrofit_TI_NC=VLOOKUP(G688,'Space Table'!$B$3:$L$163,3,FALSE),1,0))</f>
        <v>#N/A</v>
      </c>
      <c r="N687" s="461" t="str">
        <f>IFERROR(VLOOKUP(G687,_Lookup_Heat_Type_Table_New,2,FALSE),"")</f>
        <v/>
      </c>
      <c r="O687" s="461">
        <f>IF(__Retrofit_TI_NC=1,CONCATENATE("TI ",G687),IF(__Retrofit_TI_NC=2,CONCATENATE("NC ",G687),G687))</f>
        <v>0</v>
      </c>
      <c r="P687" s="1740" t="s">
        <v>435</v>
      </c>
      <c r="Q687" s="1740"/>
      <c r="R687" s="595"/>
      <c r="S687" s="1792"/>
      <c r="T687" s="597"/>
      <c r="U687" s="1765"/>
      <c r="V687" s="1766"/>
      <c r="W687" s="1766"/>
      <c r="X687" s="1766"/>
      <c r="Y687" s="1766"/>
      <c r="Z687" s="1766"/>
      <c r="AA687" s="1766"/>
      <c r="AB687" s="1766"/>
      <c r="AC687" s="1766"/>
      <c r="AD687" s="1767"/>
      <c r="AE687" s="1000"/>
      <c r="AF687" s="597"/>
      <c r="AG687" s="1723"/>
      <c r="AH687" s="1724"/>
      <c r="AI687" s="1724"/>
      <c r="AJ687" s="1724"/>
      <c r="AK687" s="1725"/>
      <c r="AL687" s="996"/>
      <c r="AM687" s="1747"/>
      <c r="AN687" s="1775"/>
      <c r="AO687" s="1777"/>
      <c r="AP687" s="1780"/>
      <c r="AQ687" s="1781"/>
      <c r="AR687" s="1795"/>
      <c r="AS687" s="1795"/>
      <c r="AT687" s="1796"/>
      <c r="AU687" s="1735"/>
      <c r="AV687" s="1752"/>
      <c r="AW687" s="1705"/>
      <c r="AX687" s="467"/>
      <c r="AY687" s="1749"/>
      <c r="AZ687" s="1749"/>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696"/>
      <c r="CQ687" s="1696"/>
      <c r="CR687" s="1809"/>
      <c r="CS687" s="1811"/>
      <c r="CU687" s="1688"/>
      <c r="CV687" s="1703"/>
      <c r="CW687" s="1703"/>
      <c r="CX687" s="1703"/>
      <c r="CY687" s="1815"/>
      <c r="CZ687" s="1711"/>
      <c r="DA687" s="1818"/>
      <c r="DB687" s="1820"/>
      <c r="DC687" s="1820"/>
      <c r="DD687" s="1820"/>
      <c r="DF687" s="1703"/>
      <c r="DG687" s="1831"/>
      <c r="DH687" s="1703"/>
      <c r="DI687" s="1838"/>
      <c r="DJ687" s="1711"/>
      <c r="DK687" s="1712"/>
      <c r="DM687" s="1718"/>
      <c r="DO687" s="1708"/>
      <c r="DQ687" s="1715"/>
      <c r="DR687" s="1720"/>
      <c r="DS687" s="1816"/>
      <c r="DT687" s="1714"/>
      <c r="DU687" s="1715"/>
      <c r="DV687" s="1716"/>
      <c r="DX687" s="1715"/>
      <c r="DY687" s="1720"/>
      <c r="DZ687" s="1715"/>
      <c r="EA687" s="1715"/>
      <c r="EC687" s="1834"/>
      <c r="ED687" s="1834"/>
      <c r="EF687" s="1707"/>
      <c r="EG687" s="1712"/>
      <c r="EH687" s="1818"/>
      <c r="EI687" s="1712"/>
      <c r="EJ687" s="1712"/>
      <c r="EK687" s="1836"/>
      <c r="EL687" s="1836"/>
      <c r="EM687" s="1807"/>
      <c r="EN687" s="1839"/>
      <c r="EO687" s="1839"/>
      <c r="EP687" s="1817"/>
      <c r="EQ687" s="1817"/>
      <c r="ER687" s="1807"/>
      <c r="ES687" s="1807"/>
      <c r="ET687" s="1807"/>
      <c r="EV687" s="1715"/>
      <c r="EX687" s="1805"/>
      <c r="EY687" s="1805"/>
      <c r="EZ687" s="1805"/>
      <c r="FA687" s="1805"/>
      <c r="FB687" s="1805"/>
      <c r="FC687" s="1827"/>
      <c r="FE687" s="1698"/>
      <c r="FG687" s="1816"/>
      <c r="FH687" s="1816"/>
      <c r="FI687" s="133"/>
      <c r="FL687" s="1823"/>
      <c r="FM687" s="1825"/>
      <c r="FN687" s="1698"/>
      <c r="FO687" s="1698"/>
      <c r="FP687" s="1678"/>
      <c r="FQ687" s="1678"/>
      <c r="FS687" s="1687"/>
      <c r="FT687" s="1687"/>
      <c r="FU687" s="1685"/>
      <c r="FV687" s="1687"/>
      <c r="FW687" s="1687"/>
      <c r="FX687" s="1687"/>
      <c r="FY687" s="1697"/>
      <c r="GA687" s="1696"/>
      <c r="GB687" s="1696"/>
      <c r="GC687" s="1696"/>
      <c r="GD687" s="1696"/>
      <c r="GE687" s="1696"/>
      <c r="GF687" s="1696"/>
      <c r="GG687" s="1696"/>
      <c r="GH687" s="1696"/>
      <c r="GI687" s="673"/>
      <c r="GJ687" s="1135"/>
      <c r="GK687" s="1832"/>
      <c r="GM687" s="1693" t="b">
        <f ca="1">IF(AND(GP687=TRUE,GQ687=TRUE),TRUE,FALSE)</f>
        <v>0</v>
      </c>
      <c r="GN687" s="1684" t="b">
        <f>IFERROR(IF(__Retrofit_TI_NC=2,TRUE,IF(AU686="Yes",TRUE,FALSE)),FALSE)</f>
        <v>1</v>
      </c>
      <c r="GP687" s="1684" t="b">
        <f>IFERROR(IF(GP686=1,TRUE,FALSE),FALSE)</f>
        <v>0</v>
      </c>
      <c r="GQ687" s="1684" t="b">
        <f ca="1">IFERROR(IF(GQ686=GQ$14,TRUE,FALSE),FALSE)</f>
        <v>0</v>
      </c>
      <c r="HG687" s="1684" t="b">
        <f>IFERROR(IF(AND(__Retrofit_TI_NC&gt;0,CQ686="Interior"),FALSE,TRUE),FALSE)</f>
        <v>1</v>
      </c>
      <c r="HH687" s="1684" t="b">
        <f>IFERROR(IF(M687=1,TRUE,FALSE),FALSE)</f>
        <v>0</v>
      </c>
      <c r="HI687" s="1684" t="b">
        <f>IFERROR(IF(OR(M688=1,N689="BAM"),TRUE,FALSE),FALSE)</f>
        <v>0</v>
      </c>
      <c r="HJ687" s="1684" t="b">
        <f>IFERROR(IF(__Retrofit_TI_NC&lt;&gt;0,TRUE,IFERROR(IF(VLOOKUP(U687,Fixtures_Existing_List,2,FALSE)&lt;&gt;"",TRUE,FALSE),FALSE)),FALSE)</f>
        <v>0</v>
      </c>
      <c r="HK687" s="1684" t="b">
        <f>IFERROR(IF(VLOOKUP(U688,Fixtures_Proposed_List,2,FALSE)&lt;&gt;"",TRUE,FALSE),FALSE)</f>
        <v>0</v>
      </c>
      <c r="HL687" s="1684" t="b">
        <f>IF(AND(__Retrofit_TI_NC=2,FC686=TRUE),FALSE,TRUE)</f>
        <v>1</v>
      </c>
      <c r="HM687" s="1684" t="b">
        <f>GK686</f>
        <v>1</v>
      </c>
      <c r="HN687" s="1682" t="b">
        <f>IF(ISERROR(MATCH(FE686,_Control_Match[],0))=TRUE,FALSE,TRUE)</f>
        <v>0</v>
      </c>
      <c r="HO687" s="1693" t="b">
        <f>IFERROR(IF(EX686&lt;&gt;EY686,FALSE,TRUE),FALSE)</f>
        <v>1</v>
      </c>
      <c r="HP687" s="1693" t="b">
        <f>IFERROR(IF(EX688&lt;&gt;EY688,FALSE,TRUE),FALSE)</f>
        <v>1</v>
      </c>
      <c r="HQ687" s="1670" t="b">
        <f>IFERROR(IF(CQ686="Exterior",TRUE,IF(AND(OR(FM688=0,FM688=3),JD688&gt;6),FALSE,TRUE)),FALSE)</f>
        <v>0</v>
      </c>
      <c r="HR687" s="1684" t="b">
        <f>IFERROR(IF(AND(FO688=7,FC686=TRUE),FALSE,TRUE),FALSE)</f>
        <v>0</v>
      </c>
      <c r="HS687" s="1684" t="b">
        <f>IFERROR(IF(AND(T688&lt;&gt;AF688,OR(AG688="Interior LLLC", AG688="Interior NLC", AG688="LLLC (outside Daylight)",AG688="LLLC Controls Only"))=TRUE,FALSE,TRUE),FALSE)</f>
        <v>1</v>
      </c>
      <c r="HT687" s="1670" t="b">
        <f>IFERROR(IF(OR(AG688=Lookup!BB$17,AG688=Lookup!BB$18,AG688=Lookup!BB$19)=TRUE,IF(AF688&gt;T688,FALSE,TRUE),TRUE),FALSE)</f>
        <v>1</v>
      </c>
      <c r="HU687" s="1684" t="b">
        <f>IFERROR(IF(__Retrofit_TI_NC=2,IF(EZ688&lt;EZ686,FALSE,TRUE),TRUE),FALSE)</f>
        <v>1</v>
      </c>
      <c r="HV687" s="1684" t="b">
        <f>IF(CQ686="Interior",IL$6,TRUE)</f>
        <v>1</v>
      </c>
      <c r="HW687" s="1684" t="b">
        <f>IF(CQ686="Exterior",IL$8,TRUE)</f>
        <v>1</v>
      </c>
      <c r="HX687" s="1684" t="b">
        <f>IFERROR(IF(__Retrofit_TI_NC&lt;&gt;0,IF(AZ686&lt;AY686,FALSE,TRUE),TRUE),FALSE)</f>
        <v>1</v>
      </c>
      <c r="HY687" s="1684" t="b">
        <f>IFERROR(IF(AND(G687="Exterior",R687&gt;4200),FALSE,TRUE),FALSE)</f>
        <v>1</v>
      </c>
      <c r="HZ687" s="1684" t="b">
        <f>IFERROR(IF(AB689/AB686&lt;HZ$18,FALSE,TRUE),FALSE)</f>
        <v>0</v>
      </c>
      <c r="IB687" s="1691"/>
      <c r="IC687" s="1695"/>
      <c r="ID687" s="1694" t="str">
        <f>VLOOKUP(IB689,_Error_Table,4,FALSE)</f>
        <v>White</v>
      </c>
      <c r="IE687" s="391"/>
      <c r="IF687" s="1688"/>
      <c r="IG687" s="1689"/>
      <c r="IH687" s="1684"/>
      <c r="IK687" s="1689"/>
      <c r="IL687" s="1691"/>
      <c r="IM687" s="1691"/>
      <c r="IN687" s="1691"/>
      <c r="IP687" s="1679"/>
      <c r="IQ687" s="1679"/>
      <c r="IR687" s="1679"/>
      <c r="IS687" s="1679"/>
      <c r="IT687" s="1679"/>
      <c r="IU687" s="1679"/>
      <c r="IV687" s="1679"/>
      <c r="IW687" s="1679"/>
      <c r="IX687" s="1679"/>
      <c r="IY687" s="1679"/>
      <c r="IZ687" s="1679"/>
      <c r="JA687" s="1679"/>
      <c r="JC687" s="1680"/>
      <c r="JD687" s="1670"/>
      <c r="JE687" s="1681"/>
      <c r="JG687" s="1680"/>
      <c r="JH687" s="1670"/>
      <c r="JI687" s="1060"/>
      <c r="JJ687" s="1683"/>
      <c r="JK687" s="1061"/>
      <c r="JL687" s="1683"/>
      <c r="JM687" s="1061"/>
      <c r="JN687" s="1683"/>
      <c r="JO687" s="1061"/>
      <c r="JP687" s="1683"/>
      <c r="JQ687" s="1061"/>
      <c r="JR687" s="1683"/>
      <c r="JS687" s="1061"/>
      <c r="JT687" s="1670"/>
      <c r="JU687" s="1061"/>
      <c r="JV687" s="1670"/>
      <c r="JX687" s="1670"/>
      <c r="JZ687" s="1683"/>
      <c r="KB687" s="1670"/>
    </row>
    <row r="688" spans="1:288" s="78" customFormat="1" ht="14.95" customHeight="1" thickTop="1" thickBot="1">
      <c r="A688" s="78">
        <f>ROW()</f>
        <v>688</v>
      </c>
      <c r="B688" s="1845"/>
      <c r="C688" s="1846"/>
      <c r="D688" s="1847"/>
      <c r="E688" s="1737" t="s">
        <v>298</v>
      </c>
      <c r="F688" s="1738"/>
      <c r="G688" s="1760"/>
      <c r="H688" s="1761"/>
      <c r="I688" s="1761"/>
      <c r="J688" s="1761"/>
      <c r="K688" s="1761"/>
      <c r="L688" s="1762"/>
      <c r="M688" s="461">
        <f>IFERROR(IF(IF(__Retrofit_TI_NC&lt;&gt;0,IF(CQ686="Interior",MATCH(G688,Lookup_Interior_New,0),MATCH(G688,Lookup_Exterior_New,0)),IF(CQ686="Interior",MATCH(G688,Lookup_Interior,0),MATCH(G688,Lookup_Exterior_Areas,0)))&gt;0,1,0),0)</f>
        <v>0</v>
      </c>
      <c r="N688" s="461" t="e">
        <f>IF(__Retrofit_TI_NC=1,
VLOOKUP(G688,'Space Table'!$B$3:$L$163,4,FALSE),
IF(__Retrofit_TI_NC=2,VLOOKUP(G688,'Space Table'!$B$3:$L$163,5,FALSE),VLOOKUP(G688,'Space Table'!$B$3:$L$163,5,FALSE)))</f>
        <v>#N/A</v>
      </c>
      <c r="O688" s="461">
        <f>G688</f>
        <v>0</v>
      </c>
      <c r="P688" s="1738" t="str">
        <f>IFERROR(IF(__Retrofit_TI_NC=1,VLOOKUP(G688,'Space Table'!$B$3:$O$163,13,FALSE),IF(__Retrofit_TI_NC=2,VLOOKUP(G688,'Space Table'!$B$3:$O$163,14,FALSE),"Area (sf):")),"Area (sf):")</f>
        <v>Area (sf):</v>
      </c>
      <c r="Q688" s="1738"/>
      <c r="R688" s="596"/>
      <c r="S688" s="1763" t="s">
        <v>345</v>
      </c>
      <c r="T688" s="594"/>
      <c r="U688" s="1801"/>
      <c r="V688" s="1802"/>
      <c r="W688" s="1802"/>
      <c r="X688" s="1802"/>
      <c r="Y688" s="1802"/>
      <c r="Z688" s="1802"/>
      <c r="AA688" s="1802"/>
      <c r="AB688" s="1802"/>
      <c r="AC688" s="1802"/>
      <c r="AD688" s="1802"/>
      <c r="AE688" s="1803"/>
      <c r="AF688" s="594"/>
      <c r="AG688" s="1787"/>
      <c r="AH688" s="1787"/>
      <c r="AI688" s="1787"/>
      <c r="AJ688" s="1787"/>
      <c r="AK688" s="1787"/>
      <c r="AL688" s="1787"/>
      <c r="AM688" s="1726">
        <f>IFERROR(DI688,"")</f>
        <v>0</v>
      </c>
      <c r="AN688" s="1728" t="str">
        <f>IFERROR(ROUND(AM688*AC689,0),"")</f>
        <v/>
      </c>
      <c r="AO688" s="1730">
        <f>IFERROR(IF(IB686=FALSE,0,AC689-AN688),0)</f>
        <v>0</v>
      </c>
      <c r="AP688" s="1780"/>
      <c r="AQ688" s="1781"/>
      <c r="AR688" s="1795"/>
      <c r="AS688" s="1795"/>
      <c r="AT688" s="1796"/>
      <c r="AU688" s="1735"/>
      <c r="AV688" s="1752"/>
      <c r="AW688" s="1705"/>
      <c r="AX688" s="467"/>
      <c r="AY688" s="1749"/>
      <c r="AZ688" s="1749"/>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696"/>
      <c r="CQ688" s="1696"/>
      <c r="CR688" s="1808" t="str">
        <f>CQ686</f>
        <v/>
      </c>
      <c r="CS688" s="1810" t="str">
        <f>CS686</f>
        <v/>
      </c>
      <c r="CU688" s="1688" t="s">
        <v>345</v>
      </c>
      <c r="CV688" s="1702">
        <f>IF(IB686=TRUE,T688,0)</f>
        <v>0</v>
      </c>
      <c r="CW688" s="1702" t="str">
        <f>IF(IB686=TRUE,U688,"")</f>
        <v/>
      </c>
      <c r="CX688" s="1812">
        <f>IF(IB686=TRUE,U689,0)</f>
        <v>0</v>
      </c>
      <c r="CY688" s="1814">
        <f>IF(IB686=TRUE,AB689,0)</f>
        <v>0</v>
      </c>
      <c r="CZ688" s="1710">
        <f>IF(AND(__Retrofit_TI_NC&gt;0,CR686="interior"),0,IF(IB686=TRUE,AC689,0))</f>
        <v>0</v>
      </c>
      <c r="DA688" s="1818"/>
      <c r="DB688" s="1820"/>
      <c r="DC688" s="1820"/>
      <c r="DD688" s="1820"/>
      <c r="DF688" s="1702">
        <f>IF(IB686=TRUE,AF688,0)</f>
        <v>0</v>
      </c>
      <c r="DG688" s="1830" t="str">
        <f>IF(IB686=TRUE,AG688,"")</f>
        <v/>
      </c>
      <c r="DH688" s="1812">
        <f>AG689</f>
        <v>0</v>
      </c>
      <c r="DI688" s="1837">
        <f>JE688</f>
        <v>0</v>
      </c>
      <c r="DJ688" s="1710">
        <f>IF(AND(__Retrofit_TI_NC&gt;0,CR686="interior"),0,IF(IB686=TRUE,AN688,0))</f>
        <v>0</v>
      </c>
      <c r="DK688" s="1712"/>
      <c r="DN688" s="1717">
        <f>IFERROR(CZ688-DJ688,0)</f>
        <v>0</v>
      </c>
      <c r="DO688" s="1709"/>
      <c r="DQ688" s="1715"/>
      <c r="DR688" s="1719" t="str">
        <f>DQ686</f>
        <v/>
      </c>
      <c r="DS688" s="1816"/>
      <c r="DT688" s="1835" t="str">
        <f>IF(OR(DS686=7,DS686=8,DS686=9),"ALC","")</f>
        <v/>
      </c>
      <c r="DU688" s="1715"/>
      <c r="DV688" s="1716"/>
      <c r="DX688" s="1715"/>
      <c r="DY688" s="1829" t="str">
        <f>DX686</f>
        <v/>
      </c>
      <c r="DZ688" s="1715"/>
      <c r="EA688" s="1715"/>
      <c r="EC688" s="1834"/>
      <c r="ED688" s="1834"/>
      <c r="EF688" s="1707"/>
      <c r="EG688" s="1712"/>
      <c r="EH688" s="1818"/>
      <c r="EI688" s="1712"/>
      <c r="EJ688" s="1712"/>
      <c r="EK688" s="1836"/>
      <c r="EL688" s="1836"/>
      <c r="EM688" s="1807"/>
      <c r="EN688" s="1839"/>
      <c r="EO688" s="1839"/>
      <c r="EP688" s="1817"/>
      <c r="EQ688" s="1817"/>
      <c r="ER688" s="1807"/>
      <c r="ES688" s="1807"/>
      <c r="ET688" s="1807"/>
      <c r="EV688" s="1715"/>
      <c r="EX688" s="1805" t="str">
        <f>IFERROR(VLOOKUP(CS688,'Space Table'!$B$3:$L$163,8,FALSE),"")</f>
        <v/>
      </c>
      <c r="EY688" s="1805" t="str">
        <f>IFERROR(IF(FB688="Yes",VLOOKUP(AG688,Lookup_Control_Type_Table2,4,FALSE),VLOOKUP(AG688,Lookup_Control_Type_Table2,3,FALSE)),"")</f>
        <v/>
      </c>
      <c r="EZ688" s="1805" t="e">
        <f>VLOOKUP(AG688,Lookup!BB$3:BC$20,2,FALSE)</f>
        <v>#N/A</v>
      </c>
      <c r="FA688" s="1805" t="e">
        <f>VLOOKUP(EX686,Lookup_Control_Type_Table,2,FALSE)</f>
        <v>#N/A</v>
      </c>
      <c r="FB688" s="1805" t="e">
        <f>VLOOKUP(CS688,'Space Table'!$B$3:$L$163,7,FALSE)</f>
        <v>#N/A</v>
      </c>
      <c r="FC688" s="1827"/>
      <c r="FE688" s="1698" t="str">
        <f>CONCATENATE(CQ686," - ",AG688)</f>
        <v xml:space="preserve"> - </v>
      </c>
      <c r="FG688" s="1816"/>
      <c r="FH688" s="1816"/>
      <c r="FI688" s="133"/>
      <c r="FL688" s="1822" t="str">
        <f>IF(CQ686="Exterior","Not Daylighted",G689)</f>
        <v>Not Daylighted</v>
      </c>
      <c r="FM688" s="1824">
        <f>VLOOKUP(FL688,_New_Daylight_Table_Codes,2,FALSE)</f>
        <v>0</v>
      </c>
      <c r="FN688" s="1698">
        <f>AG688</f>
        <v>0</v>
      </c>
      <c r="FO688" s="1698" t="e">
        <f>VLOOKUP(FN688,_Control_Table,2,FALSE)</f>
        <v>#N/A</v>
      </c>
      <c r="FP688" s="1678" t="e">
        <f>VLOOKUP(CONCATENATE(FL688," ",FN688),Lookup!AY$102:AZ699,2,FALSE)</f>
        <v>#N/A</v>
      </c>
      <c r="FQ688" s="1698">
        <f>IF(__Retrofit_TI_NC=0,FN688,IF(AND(FT688&gt;0,FN688="Occupancy Sensor"),"Daylight + Occupancy",IF(AND(FT688&gt;0,FO688&lt;4),"Interior Daylight Dimming",FN688)))</f>
        <v>0</v>
      </c>
      <c r="FS688" s="1686">
        <f>IF(CQ686="Interior",VLOOKUP(CS686,Control_Savings_Interior,5,FALSE),0)</f>
        <v>0</v>
      </c>
      <c r="FT688" s="1687">
        <f>IF(CQ688="Exterior",0,IF(FM688=2,0.5,IF(OR(FM688=1,FM688=3),1,0)))</f>
        <v>0</v>
      </c>
      <c r="FU688" s="1685">
        <f>IF(R687&gt;FS$44,(FS688*(FS$44/R687)),FS688)*FT688</f>
        <v>0</v>
      </c>
      <c r="FV688" s="1686">
        <f>DI688</f>
        <v>0</v>
      </c>
      <c r="FW688" s="1686">
        <f>ROUND(FV688+((1-FV688)*FU688),2)</f>
        <v>0</v>
      </c>
      <c r="FX688" s="1686">
        <f>IF(__Retrofit_TI_NC=2,FW688,FV688)</f>
        <v>0</v>
      </c>
      <c r="FY688" s="1697">
        <f>IF(CR688="Interior",VLOOKUP(CS688,Control_Savings_Interior,4,FALSE),0)</f>
        <v>0</v>
      </c>
      <c r="GA688" s="1696"/>
      <c r="GB688" s="1696"/>
      <c r="GC688" s="1696"/>
      <c r="GD688" s="1696"/>
      <c r="GE688" s="1696"/>
      <c r="GF688" s="1696"/>
      <c r="GG688" s="1696"/>
      <c r="GH688" s="1696"/>
      <c r="GI688" s="673" t="b">
        <f>IF(ISNUMBER(SEARCH("TLED",U688)),TRUE,FALSE)</f>
        <v>0</v>
      </c>
      <c r="GJ688" s="1135" t="str">
        <f>IFERROR(VLOOKUP(U688,Fixtures!DM$93:DR$142,6,FALSE),"")</f>
        <v/>
      </c>
      <c r="GK688" s="1832"/>
      <c r="GM688" s="1692"/>
      <c r="GN688" s="1684"/>
      <c r="GP688" s="1684"/>
      <c r="GQ688" s="1684"/>
      <c r="HG688" s="1684"/>
      <c r="HH688" s="1684"/>
      <c r="HI688" s="1684"/>
      <c r="HJ688" s="1684"/>
      <c r="HK688" s="1684"/>
      <c r="HL688" s="1684"/>
      <c r="HM688" s="1684"/>
      <c r="HN688" s="1683"/>
      <c r="HO688" s="1692"/>
      <c r="HP688" s="1692"/>
      <c r="HQ688" s="1670"/>
      <c r="HR688" s="1684"/>
      <c r="HS688" s="1684"/>
      <c r="HT688" s="1670"/>
      <c r="HU688" s="1684"/>
      <c r="HV688" s="1684"/>
      <c r="HW688" s="1684"/>
      <c r="HX688" s="1684"/>
      <c r="HY688" s="1684"/>
      <c r="HZ688" s="1684"/>
      <c r="IB688" s="1692"/>
      <c r="IC688" s="1693" t="b">
        <f>IB686</f>
        <v>0</v>
      </c>
      <c r="ID688" s="1695"/>
      <c r="IE688" s="391"/>
      <c r="IF688" s="1688"/>
      <c r="IG688" s="1689">
        <f ca="1">IF(IF686=TRUE,AC689,0)</f>
        <v>0</v>
      </c>
      <c r="IH688" s="1684"/>
      <c r="IK688" s="1689" t="e">
        <f>ROUND(T688*AB689*N687*R687/1000,0)</f>
        <v>#VALUE!</v>
      </c>
      <c r="IL688" s="1691"/>
      <c r="IM688" s="1693" t="e">
        <f>ROUND(T688*AB689*N687*R687/1000,0)</f>
        <v>#VALUE!</v>
      </c>
      <c r="IN688" s="1691"/>
      <c r="IP688" s="1679"/>
      <c r="IQ688" s="1679" t="e">
        <f t="shared" ref="IQ688:IU688" si="632">IF($CR688="interior",VLOOKUP($CS688,_New_Control_Savings_Interior,IQ$30,FALSE),VLOOKUP($CS688,Control_Savings_Exterior,IQ$30,FALSE))</f>
        <v>#N/A</v>
      </c>
      <c r="IR688" s="1679" t="e">
        <f t="shared" si="632"/>
        <v>#N/A</v>
      </c>
      <c r="IS688" s="1679" t="e">
        <f t="shared" si="632"/>
        <v>#N/A</v>
      </c>
      <c r="IT688" s="1679" t="e">
        <f t="shared" si="632"/>
        <v>#N/A</v>
      </c>
      <c r="IU688" s="1679" t="e">
        <f t="shared" si="632"/>
        <v>#N/A</v>
      </c>
      <c r="IV688" s="1679" t="e">
        <f>IF($CR688="interior",IF(R687&gt;$IP$14,ROUND(($IV$18*($IP$14/R687)),2),$IV$18),VLOOKUP($CS688,Control_Savings_Exterior,IV$30,FALSE))</f>
        <v>#N/A</v>
      </c>
      <c r="IW688" s="1679" t="e">
        <f>IF($CR688="interior",ROUND(((1-IS688)*IV688)+IS688,2),VLOOKUP($CS688,Control_Savings_Exterior,IW$30,FALSE))</f>
        <v>#N/A</v>
      </c>
      <c r="IX688" s="1679" t="e">
        <f>IF($CR688="interior",ROUND(((1-IT688)*IV688)+IT688,2),VLOOKUP($CS688,Control_Savings_Exterior,IX$30,FALSE))</f>
        <v>#N/A</v>
      </c>
      <c r="IY688" s="1679" t="e">
        <f>IF($CR688="interior",IF(R687&gt;$IP$14,ROUND(($IY$18*($IP$14/R687)),2),$IY$18),VLOOKUP($CS688,Control_Savings_Exterior,IY$30,FALSE))</f>
        <v>#N/A</v>
      </c>
      <c r="IZ688" s="1679" t="e">
        <f>IF($CR688="interior",ROUND(((1-IS688)*IY688)+IS688,2),VLOOKUP($CS688,Control_Savings_Exterior,IZ$30,FALSE))</f>
        <v>#N/A</v>
      </c>
      <c r="JA688" s="1679" t="e">
        <f>IF($CR688="interior",ROUND(((1-IT688)*IY688)+IT688,2),VLOOKUP($CS688,Control_Savings_Exterior,JA$30,FALSE))</f>
        <v>#N/A</v>
      </c>
      <c r="JC688" s="1680">
        <f>IFERROR(IF(CR688="Interior",CONCATENATE(G689," ",FQ688),AG688),"")</f>
        <v>0</v>
      </c>
      <c r="JD688" s="1670" t="str">
        <f>IFERROR(VLOOKUP(JC688,_Controls_2023,2,FALSE),"")</f>
        <v/>
      </c>
      <c r="JE688" s="1681">
        <f>IFERROR(CHOOSE(JD688-1,IQ688,IR688,IS688,IT688,IU688,IV688,IW688,IX688,IY688,IZ688,JA688),0)</f>
        <v>0</v>
      </c>
      <c r="JG688" s="1680" t="str">
        <f>FE688</f>
        <v xml:space="preserve"> - </v>
      </c>
      <c r="JH688" s="1670" t="e">
        <f>$FO688</f>
        <v>#N/A</v>
      </c>
      <c r="JI688" s="1060"/>
      <c r="JJ688" s="1670">
        <f>IFERROR(IF($IB686=TRUE,IF(OR(JJ$14="No",JJ686=FALSE,JH688&lt;=JH686,AND(_kWh_Grant=0,GD686=FALSE)),0,IF(JJ$8="Per Line",1,$AF688)),0),0)</f>
        <v>0</v>
      </c>
      <c r="JK688" s="1061"/>
      <c r="JL688" s="1670">
        <f>IFERROR(IF(_kWh_Grant=0,0,IF($IB686=TRUE,IF(OR(JL$14="No",JL686=FALSE,JH688&lt;=JH686),0,IF(JL$8="Per Line",1,$T688)),0)),0)</f>
        <v>0</v>
      </c>
      <c r="JM688" s="1061"/>
      <c r="JN688" s="1670">
        <f>IFERROR(IF(_kWh_Grant=0,0,IF($IB686=TRUE,IF(OR(JN$14="No",JN686=FALSE,JH688&lt;=JH686),0,IF(JN$8="Per Line",1,$AF688)),0)),0)</f>
        <v>0</v>
      </c>
      <c r="JO688" s="1061"/>
      <c r="JP688" s="1670">
        <f>IFERROR(IF(__Retrofit_TI_NC=0,IF(_kWh_Grant=0,0,IF($IB686=TRUE,IF(OR(JP$14="No",JP686=FALSE,$JH688&lt;=$JH686),0,IF(JP$8="Per Line",1,$AF688)),0)),IF($IB686=TRUE,IF(OR(JP$14="No",JP686=FALSE,$JH688&lt;=$JH686),0,IF(JP$8="Per Line",1,$AF688)))),0)</f>
        <v>0</v>
      </c>
      <c r="JQ688" s="1061"/>
      <c r="JR688" s="1670">
        <f>IFERROR(IF(__Retrofit_TI_NC=0,IF(_kWh_Grant=0,0,IF($IB686=TRUE,IF(OR(JR$14="No",JR686=FALSE,$JH688&lt;=$JH686),0,IF(JR$8="Per Line",1,$AF688)),0)),IF($IB686=TRUE,IF(OR(JR$14="No",JR686=FALSE,$JH688&lt;=$JH686),0,IF(JR$8="Per Line",1,$AF688)))),0)</f>
        <v>0</v>
      </c>
      <c r="JS688" s="1061"/>
      <c r="JT688" s="1670">
        <f>IFERROR(IF(__Retrofit_TI_NC=0,IF(_kWh_Grant=0,0,IF($IB686=TRUE,IF(OR(JT$14="No",JT686=FALSE,$JH688&lt;=$JH686),0,IF(JT$8="Per Line",1,$AF688)),0)),IF($IB686=TRUE,IF(OR(JT$14="No",JT686=FALSE,$JH688&lt;=$JH686),0,IF(JT$8="Per Line",1,$AF688)))),0)</f>
        <v>0</v>
      </c>
      <c r="JU688" s="1061"/>
      <c r="JV688" s="1670">
        <f>IFERROR(IF(__Retrofit_TI_NC=0,IF(_kWh_Grant=0,0,IF($IB686=TRUE,IF(OR(JV$14="No",JV686=FALSE,$JH688&lt;=$JH686),0,IF(JV$8="Per Line",1,$AF688)),0)),IF($IB686=TRUE,IF(OR(JV$14="No",JV686=FALSE,$JH688&lt;=$JH686),0,IF(JV$8="Per Line",1,$AF688)))),0)</f>
        <v>0</v>
      </c>
      <c r="JX688" s="1670">
        <f>IFERROR(IF(__Retrofit_TI_NC=0,IF(_kWh_Grant=0,0,IF($IB686=TRUE,IF(OR(JX$14="No",JX686=FALSE,$JH688&lt;=$JH686),0,IF(JX$8="Per Line",1,$AF688)),0)),IF($IB686=TRUE,IF(OR(JX$14="No",JX686=FALSE,$JH688&lt;=$JH686),0,IF(JX$8="Per Line",1,$AF688)))),0)</f>
        <v>0</v>
      </c>
      <c r="JZ688" s="1670">
        <f>IFERROR(IF($IB686=TRUE,IF(OR(JZ$14="No",JZ686=FALSE,$JH688&lt;=$JH686,AND(_kWh_Grant=0,$GD686=FALSE)),0,IF(JZ$8="Per Line",1,$AF688)),0),0)</f>
        <v>0</v>
      </c>
      <c r="KB688" s="1670">
        <f>IFERROR(IF(__Retrofit_TI_NC=0,IF(_kWh_Grant=0,0,IF($IB686=TRUE,IF(OR(KB$14="No",KB686=FALSE,$JH688&lt;=$JH686),0,IF(KB$8="Per Line",1,$AF688)),0)),IF($IB686=TRUE,IF(OR(KB$14="No",KB686=FALSE,$JH688&lt;=$JH686),0,IF(KB$8="Per Line",1,$AF688)))),0)</f>
        <v>0</v>
      </c>
    </row>
    <row r="689" spans="1:288" s="78" customFormat="1" ht="14.95" customHeight="1" thickTop="1" thickBot="1">
      <c r="B689" s="1845"/>
      <c r="C689" s="1846"/>
      <c r="D689" s="1847"/>
      <c r="E689" s="1771" t="s">
        <v>436</v>
      </c>
      <c r="F689" s="1772"/>
      <c r="G689" s="1784" t="s">
        <v>437</v>
      </c>
      <c r="H689" s="1785"/>
      <c r="I689" s="1785"/>
      <c r="J689" s="1785"/>
      <c r="K689" s="1785"/>
      <c r="L689" s="1786"/>
      <c r="M689" s="591">
        <f>IFERROR(VLOOKUP(G689,_Daylight_Table[],2,FALSE),0)</f>
        <v>0</v>
      </c>
      <c r="N689" s="592" t="str">
        <f>IF(AND(__Retrofit_TI_NC&gt;0,CQ686="Interior"),"BAM","")</f>
        <v/>
      </c>
      <c r="O689" s="591" t="e">
        <f>VLOOKUP(G688,'Space Table'!$B$3:$L$163,11,FALSE)</f>
        <v>#N/A</v>
      </c>
      <c r="P689" s="1789"/>
      <c r="Q689" s="1790"/>
      <c r="R689" s="1790"/>
      <c r="S689" s="1788"/>
      <c r="T689" s="593" t="s">
        <v>342</v>
      </c>
      <c r="U689" s="1756" t="str" cm="1">
        <f t="array" aca="1" ref="U689" ca="1">IFERROR(VLOOKUP(INDIRECT("U" &amp; ROW()-1),Fixtures!DM$93:DP$142,4,FALSE),"")</f>
        <v/>
      </c>
      <c r="V689" s="1757"/>
      <c r="W689" s="1757"/>
      <c r="X689" s="1757"/>
      <c r="Y689" s="1757"/>
      <c r="Z689" s="1757"/>
      <c r="AA689" s="1758"/>
      <c r="AB689" s="939" t="str">
        <f>IFERROR(VLOOKUP(U688,Fixtures_Proposed_List,2,FALSE),"")</f>
        <v/>
      </c>
      <c r="AC689" s="933" t="str">
        <f>IFERROR(ROUND(T688*AB689*N687*R687/1000,0),"")</f>
        <v/>
      </c>
      <c r="AD689" s="934" t="str">
        <f>IFERROR(ROUND(T688*AB689/1000,2),"")</f>
        <v/>
      </c>
      <c r="AE689" s="998"/>
      <c r="AF689" s="938" t="s">
        <v>342</v>
      </c>
      <c r="AG689" s="1770"/>
      <c r="AH689" s="1770"/>
      <c r="AI689" s="1770"/>
      <c r="AJ689" s="1770"/>
      <c r="AK689" s="1770"/>
      <c r="AL689" s="1770"/>
      <c r="AM689" s="1727"/>
      <c r="AN689" s="1729"/>
      <c r="AO689" s="1731"/>
      <c r="AP689" s="1782"/>
      <c r="AQ689" s="1783"/>
      <c r="AR689" s="1797"/>
      <c r="AS689" s="1797"/>
      <c r="AT689" s="1798"/>
      <c r="AU689" s="1736"/>
      <c r="AV689" s="1753"/>
      <c r="AW689" s="1706"/>
      <c r="AX689" s="468"/>
      <c r="AY689" s="1750"/>
      <c r="AZ689" s="1750"/>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696"/>
      <c r="CQ689" s="1696"/>
      <c r="CR689" s="1809"/>
      <c r="CS689" s="1811"/>
      <c r="CU689" s="1688"/>
      <c r="CV689" s="1703"/>
      <c r="CW689" s="1703"/>
      <c r="CX689" s="1813"/>
      <c r="CY689" s="1815"/>
      <c r="CZ689" s="1711"/>
      <c r="DA689" s="1815"/>
      <c r="DB689" s="1821"/>
      <c r="DC689" s="1821"/>
      <c r="DD689" s="1821"/>
      <c r="DF689" s="1703"/>
      <c r="DG689" s="1831"/>
      <c r="DH689" s="1813"/>
      <c r="DI689" s="1838"/>
      <c r="DJ689" s="1711"/>
      <c r="DK689" s="1712"/>
      <c r="DN689" s="1718"/>
      <c r="DO689" s="1709"/>
      <c r="DQ689" s="1715"/>
      <c r="DR689" s="1720"/>
      <c r="DS689" s="1703"/>
      <c r="DT689" s="1714"/>
      <c r="DU689" s="1715"/>
      <c r="DV689" s="1716"/>
      <c r="DX689" s="1715"/>
      <c r="DY689" s="1720"/>
      <c r="DZ689" s="1715"/>
      <c r="EA689" s="1715"/>
      <c r="EC689" s="1834"/>
      <c r="ED689" s="1834"/>
      <c r="EF689" s="1707"/>
      <c r="EG689" s="1712"/>
      <c r="EH689" s="1815"/>
      <c r="EI689" s="1712"/>
      <c r="EJ689" s="1712"/>
      <c r="EK689" s="1813"/>
      <c r="EL689" s="1813"/>
      <c r="EM689" s="1807"/>
      <c r="EN689" s="1839"/>
      <c r="EO689" s="1839"/>
      <c r="EP689" s="1817"/>
      <c r="EQ689" s="1817"/>
      <c r="ER689" s="1807"/>
      <c r="ES689" s="1807"/>
      <c r="ET689" s="1807"/>
      <c r="EV689" s="1715"/>
      <c r="EX689" s="1806"/>
      <c r="EY689" s="1806"/>
      <c r="EZ689" s="1806"/>
      <c r="FA689" s="1806"/>
      <c r="FB689" s="1806"/>
      <c r="FC689" s="1828"/>
      <c r="FE689" s="1698"/>
      <c r="FG689" s="1703"/>
      <c r="FH689" s="1703"/>
      <c r="FI689" s="133"/>
      <c r="FL689" s="1823"/>
      <c r="FM689" s="1825"/>
      <c r="FN689" s="1698"/>
      <c r="FO689" s="1698"/>
      <c r="FP689" s="1678"/>
      <c r="FQ689" s="1698"/>
      <c r="FS689" s="1687"/>
      <c r="FT689" s="1687"/>
      <c r="FU689" s="1685"/>
      <c r="FV689" s="1687"/>
      <c r="FW689" s="1687"/>
      <c r="FX689" s="1687"/>
      <c r="FY689" s="1697"/>
      <c r="GA689" s="1696"/>
      <c r="GB689" s="1696"/>
      <c r="GC689" s="1696"/>
      <c r="GD689" s="1696"/>
      <c r="GE689" s="1696"/>
      <c r="GF689" s="1696"/>
      <c r="GG689" s="1696"/>
      <c r="GH689" s="1696"/>
      <c r="GI689" s="673"/>
      <c r="GJ689" s="1135"/>
      <c r="GK689" s="1832"/>
      <c r="GN689" s="674">
        <f>IF(GN687=TRUE,0,GN$16)</f>
        <v>0</v>
      </c>
      <c r="GP689" s="674">
        <f>IF(GP687=TRUE,0,GP$16)</f>
        <v>36</v>
      </c>
      <c r="GQ689" s="674">
        <f ca="1">IF(GQ687=TRUE,0,GQ$16)</f>
        <v>35</v>
      </c>
      <c r="GR689" s="391"/>
      <c r="GS689" s="391"/>
      <c r="GT689" s="391"/>
      <c r="GU689" s="391"/>
      <c r="GV689" s="391"/>
      <c r="HG689" s="674">
        <f>IF(HG687=TRUE,0,HG$16)</f>
        <v>0</v>
      </c>
      <c r="HH689" s="674">
        <f t="shared" ref="HH689:HM689" si="633">IF(HH687=TRUE,0,HH$16)</f>
        <v>19</v>
      </c>
      <c r="HI689" s="674">
        <f t="shared" si="633"/>
        <v>18</v>
      </c>
      <c r="HJ689" s="674">
        <f t="shared" si="633"/>
        <v>17</v>
      </c>
      <c r="HK689" s="674">
        <f t="shared" si="633"/>
        <v>16</v>
      </c>
      <c r="HL689" s="674">
        <f t="shared" si="633"/>
        <v>0</v>
      </c>
      <c r="HM689" s="674">
        <f t="shared" si="633"/>
        <v>0</v>
      </c>
      <c r="HN689" s="674">
        <f>IF(HN687=TRUE,0,HN$16)</f>
        <v>13</v>
      </c>
      <c r="HO689" s="674">
        <f t="shared" ref="HO689:HQ689" si="634">IF(HO687=TRUE,0,HO$16)</f>
        <v>0</v>
      </c>
      <c r="HP689" s="674">
        <f t="shared" si="634"/>
        <v>0</v>
      </c>
      <c r="HQ689" s="674">
        <f t="shared" si="634"/>
        <v>10</v>
      </c>
      <c r="HR689" s="674">
        <f>IF(HR687=TRUE,0,HR$16)</f>
        <v>9</v>
      </c>
      <c r="HS689" s="674">
        <f t="shared" ref="HS689:HW689" si="635">IF(HS687=TRUE,0,HS$16)</f>
        <v>0</v>
      </c>
      <c r="HT689" s="674">
        <f t="shared" si="635"/>
        <v>0</v>
      </c>
      <c r="HU689" s="674">
        <f t="shared" si="635"/>
        <v>0</v>
      </c>
      <c r="HV689" s="674">
        <f t="shared" si="635"/>
        <v>0</v>
      </c>
      <c r="HW689" s="674">
        <f t="shared" si="635"/>
        <v>0</v>
      </c>
      <c r="HX689" s="674">
        <f>IF(HX687=TRUE,0,HX$16)</f>
        <v>0</v>
      </c>
      <c r="HY689" s="674">
        <f>IF(HY687=TRUE,0,HY$16)</f>
        <v>0</v>
      </c>
      <c r="HZ689" s="674">
        <f>IF(HZ687=TRUE,0,HZ$16)</f>
        <v>1</v>
      </c>
      <c r="IB689" s="674">
        <f>IF(GP687=FALSE,GP689,IF(GQ687=FALSE,GQ689,MAX(GN689:HZ689)))</f>
        <v>36</v>
      </c>
      <c r="IC689" s="1692"/>
      <c r="ID689" s="205" t="str">
        <f>VLOOKUP(IB689,_Error_Table,3,FALSE)</f>
        <v xml:space="preserve"> </v>
      </c>
      <c r="IE689" s="205"/>
      <c r="IF689" s="1688"/>
      <c r="IG689" s="1689"/>
      <c r="IH689" s="1684"/>
      <c r="IK689" s="1689"/>
      <c r="IL689" s="1692"/>
      <c r="IM689" s="1692"/>
      <c r="IN689" s="1692"/>
      <c r="IP689" s="1679"/>
      <c r="IQ689" s="1679"/>
      <c r="IR689" s="1679"/>
      <c r="IS689" s="1679"/>
      <c r="IT689" s="1679"/>
      <c r="IU689" s="1679"/>
      <c r="IV689" s="1679"/>
      <c r="IW689" s="1679"/>
      <c r="IX689" s="1679"/>
      <c r="IY689" s="1679"/>
      <c r="IZ689" s="1679"/>
      <c r="JA689" s="1679"/>
      <c r="JC689" s="1680"/>
      <c r="JD689" s="1670"/>
      <c r="JE689" s="1681"/>
      <c r="JG689" s="1680"/>
      <c r="JH689" s="1670"/>
      <c r="JI689" s="1060"/>
      <c r="JJ689" s="1670"/>
      <c r="JK689" s="1061"/>
      <c r="JL689" s="1670"/>
      <c r="JM689" s="1061"/>
      <c r="JN689" s="1670"/>
      <c r="JO689" s="1061"/>
      <c r="JP689" s="1670"/>
      <c r="JQ689" s="1061"/>
      <c r="JR689" s="1670"/>
      <c r="JS689" s="1061"/>
      <c r="JT689" s="1670"/>
      <c r="JU689" s="1061"/>
      <c r="JV689" s="1670"/>
      <c r="JX689" s="1670"/>
      <c r="JZ689" s="1670"/>
      <c r="KB689" s="1670"/>
    </row>
    <row r="690" spans="1:288" s="78" customFormat="1" ht="5.0999999999999996" customHeight="1">
      <c r="B690" s="676"/>
      <c r="C690" s="392"/>
      <c r="D690" s="392"/>
      <c r="E690" s="1733"/>
      <c r="F690" s="1733"/>
      <c r="G690" s="1733"/>
      <c r="H690" s="1733"/>
      <c r="I690" s="1733"/>
      <c r="J690" s="1733"/>
      <c r="K690" s="1733"/>
      <c r="L690" s="1733"/>
      <c r="M690" s="1733"/>
      <c r="N690" s="1733"/>
      <c r="O690" s="1733"/>
      <c r="P690" s="1733"/>
      <c r="Q690" s="1733"/>
      <c r="R690" s="1733"/>
      <c r="S690" s="1733"/>
      <c r="T690" s="1733"/>
      <c r="U690" s="1733"/>
      <c r="V690" s="1733"/>
      <c r="W690" s="1733"/>
      <c r="X690" s="1733"/>
      <c r="Y690" s="1733"/>
      <c r="Z690" s="1733"/>
      <c r="AA690" s="1733"/>
      <c r="AB690" s="1733"/>
      <c r="AC690" s="1733"/>
      <c r="AD690" s="1733"/>
      <c r="AE690" s="1733"/>
      <c r="AF690" s="1733"/>
      <c r="AG690" s="1733"/>
      <c r="AH690" s="1733"/>
      <c r="AI690" s="1733"/>
      <c r="AJ690" s="1733"/>
      <c r="AK690" s="1733"/>
      <c r="AL690" s="1733"/>
      <c r="AM690" s="1733"/>
      <c r="AN690" s="1733"/>
      <c r="AO690" s="1733"/>
      <c r="AP690" s="1733"/>
      <c r="AQ690" s="1733"/>
      <c r="AR690" s="1733"/>
      <c r="AS690" s="1733"/>
      <c r="AT690" s="1733"/>
      <c r="AU690" s="1733"/>
      <c r="AV690" s="1733"/>
      <c r="AW690" s="1733"/>
      <c r="AX690" s="469"/>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663"/>
      <c r="CQ690" s="663"/>
      <c r="CR690" s="438"/>
      <c r="CS690" s="663"/>
      <c r="CV690" s="391"/>
      <c r="CW690" s="391"/>
      <c r="CX690" s="207"/>
      <c r="CY690" s="208"/>
      <c r="CZ690" s="208"/>
      <c r="DA690" s="208"/>
      <c r="DB690" s="209"/>
      <c r="DC690" s="209"/>
      <c r="DD690" s="209"/>
      <c r="DF690" s="664"/>
      <c r="DG690" s="665"/>
      <c r="DH690" s="666"/>
      <c r="DI690" s="667"/>
      <c r="DJ690" s="668"/>
      <c r="DK690" s="668"/>
      <c r="DN690" s="208"/>
      <c r="DO690" s="664"/>
      <c r="DQ690" s="664"/>
      <c r="DR690" s="669"/>
      <c r="DS690" s="391"/>
      <c r="DT690" s="664"/>
      <c r="DU690" s="664"/>
      <c r="DV690" s="664"/>
      <c r="DX690" s="664"/>
      <c r="DY690" s="664"/>
      <c r="DZ690" s="664"/>
      <c r="EA690" s="664"/>
      <c r="EC690" s="670"/>
      <c r="ED690" s="670"/>
      <c r="EF690" s="668"/>
      <c r="EG690" s="668"/>
      <c r="EH690" s="208"/>
      <c r="EI690" s="668"/>
      <c r="EJ690" s="668"/>
      <c r="EK690" s="207"/>
      <c r="EL690" s="207"/>
      <c r="EM690" s="666"/>
      <c r="EN690" s="671"/>
      <c r="EO690" s="671"/>
      <c r="EP690" s="672"/>
      <c r="EQ690" s="672"/>
      <c r="ER690" s="666"/>
      <c r="ES690" s="666"/>
      <c r="ET690" s="666"/>
      <c r="EV690" s="664"/>
      <c r="EX690" s="391"/>
      <c r="EY690" s="391"/>
      <c r="EZ690" s="391"/>
      <c r="FA690" s="391"/>
      <c r="FB690" s="391"/>
      <c r="FC690" s="391"/>
      <c r="FE690" s="569"/>
      <c r="FG690" s="391"/>
      <c r="FH690" s="391"/>
      <c r="FI690" s="391"/>
      <c r="FS690" s="664"/>
      <c r="FT690" s="391"/>
      <c r="FU690" s="391"/>
      <c r="FV690" s="664"/>
      <c r="FW690" s="664"/>
      <c r="GA690" s="663"/>
      <c r="GB690" s="663"/>
      <c r="GC690" s="663"/>
      <c r="GD690" s="663"/>
      <c r="GE690" s="663"/>
      <c r="GF690" s="663"/>
      <c r="GG690" s="663"/>
      <c r="GH690" s="663"/>
      <c r="GI690" s="665"/>
      <c r="GJ690" s="664"/>
      <c r="GK690" s="664"/>
    </row>
    <row r="691" spans="1:288" s="78" customFormat="1" ht="14.95" customHeight="1">
      <c r="B691" s="1845" t="str">
        <f>ID694</f>
        <v xml:space="preserve"> </v>
      </c>
      <c r="C691" s="1846">
        <f>C686+1</f>
        <v>125</v>
      </c>
      <c r="D691" s="1847"/>
      <c r="E691" s="1799" t="s">
        <v>295</v>
      </c>
      <c r="F691" s="1800"/>
      <c r="G691" s="1741"/>
      <c r="H691" s="1742"/>
      <c r="I691" s="1742"/>
      <c r="J691" s="1742"/>
      <c r="K691" s="1742"/>
      <c r="L691" s="1742"/>
      <c r="M691" s="1742"/>
      <c r="N691" s="1742"/>
      <c r="O691" s="1742"/>
      <c r="P691" s="1742"/>
      <c r="Q691" s="1742"/>
      <c r="R691" s="1742"/>
      <c r="S691" s="1791" t="s">
        <v>344</v>
      </c>
      <c r="T691" s="590"/>
      <c r="U691" s="1743"/>
      <c r="V691" s="1744"/>
      <c r="W691" s="1744"/>
      <c r="X691" s="1744"/>
      <c r="Y691" s="1744"/>
      <c r="Z691" s="1744"/>
      <c r="AA691" s="1744"/>
      <c r="AB691" s="961" t="str">
        <f>IFERROR(IF(__Retrofit_TI_NC=0,VLOOKUP(U692,Fixtures_Existing_List,2,FALSE),ROUND(N693*R693/T693,10)),"")</f>
        <v/>
      </c>
      <c r="AC691" s="935" t="str">
        <f>IFERROR(IF(__Retrofit_TI_NC=0,ROUND(T692*AB691*N692*R692/1000,0),IF(CQ691="Interior",N693*R693*R692*N692*_C406_reduction/1000,N693*R693*R692*N692/1000)),"")</f>
        <v/>
      </c>
      <c r="AD691" s="936" t="str">
        <f>IFERROR(IF(C$43=0,ROUND(T692*AB691/1000,2),N693*R693/1000),"")</f>
        <v/>
      </c>
      <c r="AE691" s="997"/>
      <c r="AF691" s="937"/>
      <c r="AG691" s="1745" t="str">
        <f>IF(__Retrofit_TI_NC=0," Control","Select Advanced Control for New System")</f>
        <v xml:space="preserve"> Control</v>
      </c>
      <c r="AH691" s="1745"/>
      <c r="AI691" s="1745"/>
      <c r="AJ691" s="1745"/>
      <c r="AK691" s="1745"/>
      <c r="AL691" s="1745"/>
      <c r="AM691" s="1746">
        <f>IFERROR(DI691,"")</f>
        <v>0</v>
      </c>
      <c r="AN691" s="1774" t="str">
        <f>IFERROR(ROUND(AM691*AC691,0),"")</f>
        <v/>
      </c>
      <c r="AO691" s="1776">
        <f>IFERROR(IF(IB691=FALSE,0,AC691-AN691),0)</f>
        <v>0</v>
      </c>
      <c r="AP691" s="1778">
        <f>AO691-AO693</f>
        <v>0</v>
      </c>
      <c r="AQ691" s="1779"/>
      <c r="AR691" s="1793">
        <f>IFERROR(IF(IB691=FALSE,0,(T693*U694)+(AF693*AG694)),0)</f>
        <v>0</v>
      </c>
      <c r="AS691" s="1793"/>
      <c r="AT691" s="1794"/>
      <c r="AU691" s="1734" t="s">
        <v>237</v>
      </c>
      <c r="AV691" s="1751">
        <f>IF(AU691="Yes",1,0)</f>
        <v>1</v>
      </c>
      <c r="AW691" s="1704" t="str">
        <f>IF(OR(DQ691=4,DQ691=5,DQ691=6,DQ691=12),CONCATENATE("$",IF(GH691=TRUE,Lookup!$K$10,Lookup!$K$2)," /lamp"),CONCATENATE(TEXT(ED691,"$0.00"),"/ kWh"))</f>
        <v>$0.00/ kWh</v>
      </c>
      <c r="AX691" s="467"/>
      <c r="AY691" s="1748">
        <f ca="1">IFERROR(IF(GM692=TRUE,(AB694*T693)/R693,0),"NA")</f>
        <v>0</v>
      </c>
      <c r="AZ691" s="1748"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696" t="str">
        <f>N692</f>
        <v/>
      </c>
      <c r="CQ691" s="1696" t="str">
        <f>IFERROR(VLOOKUP(G692,_Lookup_Heat_Type_Table_New,3,FALSE),"")</f>
        <v/>
      </c>
      <c r="CR691" s="1808" t="str">
        <f>CQ691</f>
        <v/>
      </c>
      <c r="CS691" s="1810" t="str">
        <f>IFERROR(VLOOKUP(G693,'Space Table'!$B$3:$L$163,9,FALSE),"")</f>
        <v/>
      </c>
      <c r="CU691" s="1688" t="s">
        <v>344</v>
      </c>
      <c r="CV691" s="1702">
        <f>IF(IB691=TRUE,T692,0)</f>
        <v>0</v>
      </c>
      <c r="CW691" s="1702" t="str">
        <f>IF(IB691=TRUE,U692,"")</f>
        <v/>
      </c>
      <c r="CX691" s="1702"/>
      <c r="CY691" s="1814">
        <f>IF(IB691=TRUE,AB691,0)</f>
        <v>0</v>
      </c>
      <c r="CZ691" s="1710">
        <f>IF(AND(__Retrofit_TI_NC&gt;0,CR691="interior"),0,IF(IB691=TRUE,AC691,0))</f>
        <v>0</v>
      </c>
      <c r="DA691" s="1814">
        <f>IFERROR(IF(IB691=TRUE,CZ691-CZ693,0),0)</f>
        <v>0</v>
      </c>
      <c r="DB691" s="1819">
        <f>IF(IB691=TRUE,AD691,0)</f>
        <v>0</v>
      </c>
      <c r="DC691" s="1819">
        <f>IF(IB691=TRUE,AD694,0)</f>
        <v>0</v>
      </c>
      <c r="DD691" s="1819">
        <f>IFERROR(DB691-DC691,0)</f>
        <v>0</v>
      </c>
      <c r="DF691" s="1702">
        <f>IF(IB691=TRUE,AF692,0)</f>
        <v>0</v>
      </c>
      <c r="DG691" s="1830">
        <f>IFERROR(IF(__Retrofit_TI_NC=2,IF(CQ691="Exterior",O694,FQ691),FN691),"")</f>
        <v>0</v>
      </c>
      <c r="DH691" s="1702"/>
      <c r="DI691" s="1837">
        <f>JE691</f>
        <v>0</v>
      </c>
      <c r="DJ691" s="1710">
        <f>IF(AND(__Retrofit_TI_NC&gt;0,CR691="interior"),0,IF(IB691=TRUE,AN691,0))</f>
        <v>0</v>
      </c>
      <c r="DK691" s="1712">
        <f>IFERROR(IF(IB691=TRUE,DJ693-DJ691,0),0)</f>
        <v>0</v>
      </c>
      <c r="DM691" s="1717">
        <f>IFERROR(CZ691-DJ691,0)</f>
        <v>0</v>
      </c>
      <c r="DO691" s="1708">
        <f>DM691-DN693</f>
        <v>0</v>
      </c>
      <c r="DQ691" s="1715" t="str">
        <f>IFERROR(IF(AND(OR(GC691=4,GC691=5,GC691=6),OR(GF691=4,GF691=5,GF691=6)),GC691+8,VLOOKUP(CW693,Fixtures!R$31:Y$78,8,FALSE)),"")</f>
        <v/>
      </c>
      <c r="DR691" s="1829" t="str">
        <f>DQ691</f>
        <v/>
      </c>
      <c r="DS691" s="1702" t="str">
        <f>IFERROR(VLOOKUP(DG693,Lookup!BB$3:BC$20,2,FALSE),"")</f>
        <v/>
      </c>
      <c r="DT691" s="1713" t="str">
        <f>IF(OR(DS691=7,DS691=8,DS691=9),"ALC","")</f>
        <v/>
      </c>
      <c r="DU691" s="1715">
        <f>IFERROR(IF(OR(DQ691=4,DQ691=5,DQ691=6,DQ691=12,DQ691=13,DQ691=14),VLOOKUP(CW693,Fixtures!DN$27:EG$77,19,FALSE),1)*CV693,0)</f>
        <v>0</v>
      </c>
      <c r="DV691" s="1716">
        <f>IF(OR(DS691=7,DS691=8,DS691=9),IF(DG691=DG693,0,DF693),0)</f>
        <v>0</v>
      </c>
      <c r="DX691" s="1715" t="str">
        <f>IFERROR(IF(EZ691&lt;EZ693,"Yes","No"),"")</f>
        <v/>
      </c>
      <c r="DY691" s="1829" t="str">
        <f>DX691</f>
        <v/>
      </c>
      <c r="DZ691" s="1715">
        <f>IF(DX691="Yes",DF693,0)</f>
        <v>0</v>
      </c>
      <c r="EA691" s="1715">
        <f>DZ691-DV691</f>
        <v>0</v>
      </c>
      <c r="EC691" s="1834">
        <f>IFERROR(VLOOKUP(DQ691,Lookup!AU$3:AV$16,2,FALSE),0)</f>
        <v>0</v>
      </c>
      <c r="ED691" s="1834">
        <f>IF(IB691=FALSE,0,IF(DX691="Yes",EC691+Lookup!K$6,EC691))</f>
        <v>0</v>
      </c>
      <c r="EF691" s="1707">
        <f>IF(IB691=TRUE,DM691,0)</f>
        <v>0</v>
      </c>
      <c r="EG691" s="1712">
        <f>IF(IB691=TRUE,CZ693,0)</f>
        <v>0</v>
      </c>
      <c r="EH691" s="1814">
        <f>IFERROR(EF691-EG691,0)</f>
        <v>0</v>
      </c>
      <c r="EI691" s="1712">
        <f>IF(IB691=TRUE,DJ693,0)</f>
        <v>0</v>
      </c>
      <c r="EJ691" s="1712">
        <f>IFERROR(EF691-EG691+EI691,0)</f>
        <v>0</v>
      </c>
      <c r="EK691" s="1812">
        <f>IF(IB691=TRUE,CV693*CX693,0)</f>
        <v>0</v>
      </c>
      <c r="EL691" s="1812">
        <f>IF(IB691=TRUE,DF693*DH693,0)</f>
        <v>0</v>
      </c>
      <c r="EM691" s="1807">
        <f>AR691</f>
        <v>0</v>
      </c>
      <c r="EN691" s="1839" t="str">
        <f>IFERROR(IF(IB691=TRUE,VLOOKUP(DQ691,Lookup!AU$3:AW$16,3,FALSE)*DU691,""),0)</f>
        <v/>
      </c>
      <c r="EO691" s="1839">
        <f>IF(IB691=TRUE,DZ691*Lookup!AW$12,0)</f>
        <v>0</v>
      </c>
      <c r="EP691" s="1817">
        <f>IFERROR(IF(IB691=TRUE,EN691/EP$40,0),0)</f>
        <v>0</v>
      </c>
      <c r="EQ691" s="1817">
        <f>IF(IB691=TRUE,EO691/EQ$40,0)</f>
        <v>0</v>
      </c>
      <c r="ER691" s="1807">
        <f>IF(IB691=TRUE,ET$40*EP691,0)</f>
        <v>0</v>
      </c>
      <c r="ES691" s="1807">
        <f>IF(IB691=TRUE,ET$40*EQ691,0)</f>
        <v>0</v>
      </c>
      <c r="ET691" s="1807">
        <f>ER691+ES691</f>
        <v>0</v>
      </c>
      <c r="EV691" s="1715">
        <f>IF(G691="",0,1)</f>
        <v>0</v>
      </c>
      <c r="EX691" s="1804" t="str">
        <f>IFERROR(VLOOKUP(CS693,'Space Table'!$B$3:$L$163,8,FALSE),"")</f>
        <v/>
      </c>
      <c r="EY691" s="1804" t="str">
        <f>IFERROR(IF(FB691="Yes",VLOOKUP(DG691,Lookup_Control_Type_Table2,4,FALSE),VLOOKUP(DG691,Lookup_Control_Type_Table2,3,FALSE)),"")</f>
        <v/>
      </c>
      <c r="EZ691" s="1804" t="e">
        <f>VLOOKUP(DG691,Lookup!BB$3:BC$20,2,FALSE)</f>
        <v>#N/A</v>
      </c>
      <c r="FA691" s="1804" t="e">
        <f>VLOOKUP(EX691,Lookup_Control_Type_Table,2,FALSE)</f>
        <v>#N/A</v>
      </c>
      <c r="FB691" s="1804" t="e">
        <f>VLOOKUP(CS693,'Space Table'!$B$3:$L$163,7,FALSE)</f>
        <v>#N/A</v>
      </c>
      <c r="FC691" s="1826" t="b">
        <f>ISNUMBER(SEARCH("TLED",U693))</f>
        <v>0</v>
      </c>
      <c r="FE691" s="1698" t="str">
        <f>CONCATENATE(CQ691," - ",DG691)</f>
        <v xml:space="preserve"> - 0</v>
      </c>
      <c r="FG691" s="1702" t="str">
        <f>VLOOKUP(CW693,Fixtures!DN$27:EZ$77,38,FALSE)</f>
        <v/>
      </c>
      <c r="FH691" s="1702">
        <f>IFERROR(FG691*EH691,0)</f>
        <v>0</v>
      </c>
      <c r="FI691" s="133"/>
      <c r="FL691" s="1822" t="str">
        <f>IF(CQ691="Exterior","Not Daylighted",G694)</f>
        <v>Not Daylighted</v>
      </c>
      <c r="FM691" s="1824">
        <f>VLOOKUP(FL691,_New_Daylight_Table_Codes,2,FALSE)</f>
        <v>0</v>
      </c>
      <c r="FN691" s="1698">
        <f>IF(__Retrofit_TI_NC&gt;0,VLOOKUP(G693,'Space Table'!$B$3:$L$163,11,FALSE),AG692)</f>
        <v>0</v>
      </c>
      <c r="FO691" s="1698" t="e">
        <f>IF(__Retrofit_TI_NC=2,VLOOKUP(FQ691,_Control_Table,2,FALSE),VLOOKUP(FN691,_Control_Table,2,FALSE))</f>
        <v>#N/A</v>
      </c>
      <c r="FP691" s="1678" t="e">
        <f>VLOOKUP(CONCATENATE(FL691," ",FN691),Lookup!AY$102:AZ701,2,FALSE)</f>
        <v>#N/A</v>
      </c>
      <c r="FQ691" s="1678">
        <f>IF(__Retrofit_TI_NC=0,FN691,IF(AND(FT691&gt;0,FN691="Occupancy Sensor"),"Daylight + Occupancy",IF(AND(FT691&gt;0,VLOOKUP(FN691,_Control_Table,2,FALSE)&lt;4),"Interior Daylight Dimming",FN691)))</f>
        <v>0</v>
      </c>
      <c r="FS691" s="1686">
        <f>IF(CR691="Interior",VLOOKUP(CS691,Control_Savings_Interior,5,FALSE),0)</f>
        <v>0</v>
      </c>
      <c r="FT691" s="1687">
        <f>IF(CQ691="Exterior",0,IF(FM691=2,0.5,IF(OR(FM691=1,FM691=3),1,0)))</f>
        <v>0</v>
      </c>
      <c r="FU691" s="1685">
        <f>IF(R690&gt;FS$44,(FS691*(FS$44/R690)),FS691)*FT691</f>
        <v>0</v>
      </c>
      <c r="FV691" s="1686">
        <f>DI691</f>
        <v>0</v>
      </c>
      <c r="FW691" s="1686">
        <f>ROUND(FV691+((1-FV691)*FU691),2)</f>
        <v>0</v>
      </c>
      <c r="FX691" s="1686">
        <f>IF(__Retrofit_TI_NC=2,FW691,FV691)</f>
        <v>0</v>
      </c>
      <c r="FY691" s="1697"/>
      <c r="GA691" s="1696" t="str">
        <f>IFERROR(VLOOKUP(U692,_Exist_Fixture_Table,3,FALSE),"")</f>
        <v/>
      </c>
      <c r="GB691" s="1696" t="str">
        <f>VLOOKUP(CW691,_Exist_Fixture_Table,4,FALSE)</f>
        <v/>
      </c>
      <c r="GC691" s="1696">
        <f>IFERROR(VLOOKUP(GB691,Lookup!AT$6:AU$8,2,FALSE),0)</f>
        <v>0</v>
      </c>
      <c r="GD691" s="1696" t="b">
        <f>IFERROR(IF(OR(GF691=4,GF691=5,GF691=6),TRUE,FALSE),"")</f>
        <v>0</v>
      </c>
      <c r="GE691" s="1696" t="str">
        <f>IFERROR(VLOOKUP(GF691,GC$6:GD$10,2,FALSE),"")</f>
        <v/>
      </c>
      <c r="GF691" s="1696" t="str">
        <f>VLOOKUP(CW693,Fixtures!R$31:Y$78,8,FALSE)</f>
        <v/>
      </c>
      <c r="GG691" s="1696">
        <f>IF(AND(GA691=TRUE,GD691=TRUE,OR(DQ691=12,DQ691=13,DQ691=14)),GC691+8,0)</f>
        <v>0</v>
      </c>
      <c r="GH691" s="1696" t="b">
        <f>IF(OR(GG691=12,GG691=13,GG691=14),TRUE,FALSE)</f>
        <v>0</v>
      </c>
      <c r="GI691" s="673" t="b">
        <f>IF(ISNUMBER(SEARCH("TLED",U692)),TRUE,FALSE)</f>
        <v>0</v>
      </c>
      <c r="GJ691" s="1135" t="str">
        <f>IFERROR(VLOOKUP(U692,Fixtures!BM$93:BR$142,6,FALSE),"")</f>
        <v/>
      </c>
      <c r="GK691" s="1832" t="b">
        <f>IF(OR(GI691=FALSE,GI693=FALSE),TRUE,IF(GJ691-GJ693&lt;5,FALSE,TRUE))</f>
        <v>1</v>
      </c>
      <c r="GO691" s="674">
        <f>GP691</f>
        <v>0</v>
      </c>
      <c r="GP691" s="674">
        <f>IF(G691="",0,1)</f>
        <v>0</v>
      </c>
      <c r="GQ691" s="674">
        <f ca="1">SUM(GR691:HF691)</f>
        <v>2</v>
      </c>
      <c r="GR691" s="674">
        <f>IF(G692="",0,1)</f>
        <v>0</v>
      </c>
      <c r="GS691" s="674">
        <f>IF(N694="BAM",1,IF(G693="",0,1))</f>
        <v>0</v>
      </c>
      <c r="GT691" s="674">
        <f>IF(N694="BAM",1,IF(R692="",0,1))</f>
        <v>0</v>
      </c>
      <c r="GU691" s="674">
        <f>IF(N694="BAM",1,IF(__Retrofit_TI_NC=0,1,IF(R693="",0,1)))</f>
        <v>1</v>
      </c>
      <c r="GV691" s="674">
        <f>IF(N694="BAM",1,IF(CQ691="Exterior",1,IF(G694="",0,1)))</f>
        <v>1</v>
      </c>
      <c r="GW691" s="674">
        <f>IF(__Retrofit_TI_NC&gt;0,1,IF(T692="",0,1))</f>
        <v>0</v>
      </c>
      <c r="GX691" s="674">
        <f>IF(__Retrofit_TI_NC&gt;0,1,IF(U692="",0,1))</f>
        <v>0</v>
      </c>
      <c r="GY691" s="674">
        <f>IF(N694="BAM",1,IF(T693="",0,1))</f>
        <v>0</v>
      </c>
      <c r="GZ691" s="674">
        <f>IF(N694="BAM",1,IF(U693="",0,1))</f>
        <v>0</v>
      </c>
      <c r="HA691" s="674">
        <f ca="1">IF(N694="BAM",1,IF(__Retrofit_TI_NC&gt;0,1,IF(U694="",0,1)))</f>
        <v>0</v>
      </c>
      <c r="HB691" s="674">
        <f>IF(__Retrofit_TI_NC&lt;&gt;0,1,IF(AF692="",0,1))</f>
        <v>0</v>
      </c>
      <c r="HC691" s="674">
        <f>IF(__Retrofit_TI_NC&lt;&gt;0,1,IF(AG692="",0,1))</f>
        <v>0</v>
      </c>
      <c r="HD691" s="674">
        <f>IF(N694="BAM",1,IF(AF693="",0,1))</f>
        <v>0</v>
      </c>
      <c r="HE691" s="674">
        <f>IF(N694="BAM",1,IF(AG693="",0,1))</f>
        <v>0</v>
      </c>
      <c r="HF691" s="674">
        <f>IF(N694="BAM",1,IF(__Retrofit_TI_NC&gt;0,1,IF(AG694="",0,1)))</f>
        <v>0</v>
      </c>
      <c r="HG691" s="391"/>
      <c r="IA691" s="391"/>
      <c r="IB691" s="1693" t="b">
        <f>IF(OR(IB694=0,IB694=HY$16,IB694=HX$16,IB694=HZ$16),TRUE,FALSE)</f>
        <v>0</v>
      </c>
      <c r="IC691" s="1694" t="b">
        <f>IB691</f>
        <v>0</v>
      </c>
      <c r="ID691" s="391"/>
      <c r="IE691" s="391"/>
      <c r="IF691" s="1688" t="b">
        <f ca="1">IF(MAX(GN694:HU694)&gt;5,FALSE,TRUE)</f>
        <v>0</v>
      </c>
      <c r="IG691" s="1689">
        <f ca="1">IF(IF691=TRUE,AC691,0)</f>
        <v>0</v>
      </c>
      <c r="IH691" s="1689">
        <f ca="1">IG691-IG693</f>
        <v>0</v>
      </c>
      <c r="IK691" s="1689" t="e">
        <f>ROUND(T692*VLOOKUP(U692,Fixtures_Existing_List,2,FALSE)*N692*R692/1000,0)</f>
        <v>#N/A</v>
      </c>
      <c r="IL691" s="1690" t="e">
        <f>IK691-IK693</f>
        <v>#N/A</v>
      </c>
      <c r="IM691" s="1693" t="e">
        <f>ROUND(IF(CQ691="Interior",N693*R693*R692*N692*_C406_reduction/1000,N693*R693*R692*N692/1000),0)</f>
        <v>#N/A</v>
      </c>
      <c r="IN691" s="1693" t="e">
        <f>IM691-IM693</f>
        <v>#N/A</v>
      </c>
      <c r="IP691" s="1679"/>
      <c r="IQ691" s="1679" t="e">
        <f t="shared" ref="IQ691:IU691" si="636">IF($CR691="interior",VLOOKUP($CS691,_New_Control_Savings_Interior,IQ$30,FALSE),VLOOKUP($CS691,Control_Savings_Exterior,IQ$30,FALSE))</f>
        <v>#N/A</v>
      </c>
      <c r="IR691" s="1679" t="e">
        <f t="shared" si="636"/>
        <v>#N/A</v>
      </c>
      <c r="IS691" s="1679" t="e">
        <f t="shared" si="636"/>
        <v>#N/A</v>
      </c>
      <c r="IT691" s="1679" t="e">
        <f t="shared" si="636"/>
        <v>#N/A</v>
      </c>
      <c r="IU691" s="1679" t="e">
        <f t="shared" si="636"/>
        <v>#N/A</v>
      </c>
      <c r="IV691" s="1679" t="e">
        <f>IF($CR691="interior",IF(R692&gt;$IP$14,ROUND(($IV$18*($IP$14/R692)),2),$IV$18),VLOOKUP($CS691,Control_Savings_Exterior,IV$30,FALSE))</f>
        <v>#N/A</v>
      </c>
      <c r="IW691" s="1679" t="e">
        <f>IF($CR691="interior",ROUND(((1-IS691)*IV691)+IS691,2),VLOOKUP($CS691,Control_Savings_Exterior,IW$30,FALSE))</f>
        <v>#N/A</v>
      </c>
      <c r="IX691" s="1679" t="e">
        <f>IF($CR691="interior",ROUND(((1-IT691)*IV691)+IT691,2),VLOOKUP($CS691,Control_Savings_Exterior,IX$30,FALSE))</f>
        <v>#N/A</v>
      </c>
      <c r="IY691" s="1679" t="e">
        <f>IF($CR691="interior",IF(R692&gt;$IP$14,ROUND(($IY$18*($IP$14/R692)),2),$IY$18),VLOOKUP($CS691,Control_Savings_Exterior,IY$30,FALSE))</f>
        <v>#N/A</v>
      </c>
      <c r="IZ691" s="1679" t="e">
        <f>IF($CR691="interior",ROUND(((1-IS691)*IY691)+IS691,2),VLOOKUP($CS691,Control_Savings_Exterior,IZ$30,FALSE))</f>
        <v>#N/A</v>
      </c>
      <c r="JA691" s="1679" t="e">
        <f>IF($CR691="interior",ROUND(((1-IT691)*IY691)+IT691,2),VLOOKUP($CS691,Control_Savings_Exterior,JA$30,FALSE))</f>
        <v>#N/A</v>
      </c>
      <c r="JC691" s="1680">
        <f>IFERROR(IF(CR691="Interior",CONCATENATE(G694," ",FQ691),FQ691),"")</f>
        <v>0</v>
      </c>
      <c r="JD691" s="1670" t="str">
        <f>IFERROR(VLOOKUP(JC691,_Controls_2023,2,FALSE),"")</f>
        <v/>
      </c>
      <c r="JE691" s="1681">
        <f>IFERROR(CHOOSE(JD691-1,IQ691,IR691,IS691,IT691,IU691,IV691,IW691,IX691,IY691,IZ691,JA691),0)</f>
        <v>0</v>
      </c>
      <c r="JG691" s="1680" t="str">
        <f>FE691</f>
        <v xml:space="preserve"> - 0</v>
      </c>
      <c r="JH691" s="1670" t="e">
        <f>$FO691</f>
        <v>#N/A</v>
      </c>
      <c r="JI691" s="1060"/>
      <c r="JJ691" s="1682" t="b">
        <f>IF($JG693=CONCATENATE("Interior - ",JJ$4),TRUE,FALSE)</f>
        <v>0</v>
      </c>
      <c r="JK691" s="1061"/>
      <c r="JL691" s="1682" t="b">
        <f>IF($JG693=CONCATENATE("Interior - ",JL$4),TRUE,FALSE)</f>
        <v>0</v>
      </c>
      <c r="JM691" s="1061"/>
      <c r="JN691" s="1682" t="b">
        <f>IF($JG693=CONCATENATE("Interior - ",JN$4),TRUE,FALSE)</f>
        <v>0</v>
      </c>
      <c r="JO691" s="1061"/>
      <c r="JP691" s="1682" t="b">
        <f>IF(__Retrofit_TI_NC&gt;0,FALSE,IF($JG693=CONCATENATE("Interior - ",JP$4),TRUE,FALSE))</f>
        <v>0</v>
      </c>
      <c r="JQ691" s="1061"/>
      <c r="JR691" s="1682" t="b">
        <f>IF(__Retrofit_TI_NC&gt;0,FALSE,IF($JG693=CONCATENATE("Interior - ",JR$4),TRUE,FALSE))</f>
        <v>0</v>
      </c>
      <c r="JS691" s="1061"/>
      <c r="JT691" s="1670" t="b">
        <f>IF(__Retrofit_TI_NC&gt;0,FALSE,IF($JG693=CONCATENATE("Interior - ",JT$4),TRUE,FALSE))</f>
        <v>0</v>
      </c>
      <c r="JU691" s="1061"/>
      <c r="JV691" s="1670" t="b">
        <f>IF(JC693="AELC on Existing",TRUE,FALSE)</f>
        <v>0</v>
      </c>
      <c r="JX691" s="1670" t="b">
        <f>IF(OR(JG693="Exterior - AELC Occupancy based",JG693="Exterior - AELC Time based"),TRUE,FALSE)</f>
        <v>0</v>
      </c>
      <c r="JZ691" s="1682" t="b">
        <f>IF($JG693=CONCATENATE("Exterior - ",JZ$4),TRUE,FALSE)</f>
        <v>0</v>
      </c>
      <c r="KB691" s="1670" t="b">
        <f>IF(__Retrofit_TI_NC&gt;0,FALSE,IF($JG693=CONCATENATE("Interior - ",KB$4),TRUE,FALSE))</f>
        <v>0</v>
      </c>
    </row>
    <row r="692" spans="1:288" s="78" customFormat="1" ht="14.95" customHeight="1" thickTop="1" thickBot="1">
      <c r="B692" s="1845"/>
      <c r="C692" s="1846"/>
      <c r="D692" s="1847"/>
      <c r="E692" s="1737" t="s">
        <v>297</v>
      </c>
      <c r="F692" s="1738"/>
      <c r="G692" s="1739"/>
      <c r="H692" s="1739"/>
      <c r="I692" s="1739"/>
      <c r="J692" s="1739"/>
      <c r="K692" s="1739"/>
      <c r="L692" s="1739"/>
      <c r="M692" s="461" t="e">
        <f>IF(__Retrofit_TI_NC&lt;&gt;0,IF(VLOOKUP(G693,'Space Table'!$B$3:$L$163,3,FALSE)&gt;0,1,0),IF(__Retrofit_TI_NC=VLOOKUP(G693,'Space Table'!$B$3:$L$163,3,FALSE),1,0))</f>
        <v>#N/A</v>
      </c>
      <c r="N692" s="461" t="str">
        <f>IFERROR(VLOOKUP(G692,_Lookup_Heat_Type_Table_New,2,FALSE),"")</f>
        <v/>
      </c>
      <c r="O692" s="461">
        <f>IF(__Retrofit_TI_NC=1,CONCATENATE("TI ",G692),IF(__Retrofit_TI_NC=2,CONCATENATE("NC ",G692),G692))</f>
        <v>0</v>
      </c>
      <c r="P692" s="1740" t="s">
        <v>435</v>
      </c>
      <c r="Q692" s="1740"/>
      <c r="R692" s="595"/>
      <c r="S692" s="1792"/>
      <c r="T692" s="597"/>
      <c r="U692" s="1765"/>
      <c r="V692" s="1766"/>
      <c r="W692" s="1766"/>
      <c r="X692" s="1766"/>
      <c r="Y692" s="1766"/>
      <c r="Z692" s="1766"/>
      <c r="AA692" s="1766"/>
      <c r="AB692" s="1766"/>
      <c r="AC692" s="1766"/>
      <c r="AD692" s="1767"/>
      <c r="AE692" s="1000"/>
      <c r="AF692" s="597"/>
      <c r="AG692" s="1723"/>
      <c r="AH692" s="1724"/>
      <c r="AI692" s="1724"/>
      <c r="AJ692" s="1724"/>
      <c r="AK692" s="1725"/>
      <c r="AL692" s="996"/>
      <c r="AM692" s="1747"/>
      <c r="AN692" s="1775"/>
      <c r="AO692" s="1777"/>
      <c r="AP692" s="1780"/>
      <c r="AQ692" s="1781"/>
      <c r="AR692" s="1795"/>
      <c r="AS692" s="1795"/>
      <c r="AT692" s="1796"/>
      <c r="AU692" s="1735"/>
      <c r="AV692" s="1752"/>
      <c r="AW692" s="1705"/>
      <c r="AX692" s="467"/>
      <c r="AY692" s="1749"/>
      <c r="AZ692" s="1749"/>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696"/>
      <c r="CQ692" s="1696"/>
      <c r="CR692" s="1809"/>
      <c r="CS692" s="1811"/>
      <c r="CU692" s="1688"/>
      <c r="CV692" s="1703"/>
      <c r="CW692" s="1703"/>
      <c r="CX692" s="1703"/>
      <c r="CY692" s="1815"/>
      <c r="CZ692" s="1711"/>
      <c r="DA692" s="1818"/>
      <c r="DB692" s="1820"/>
      <c r="DC692" s="1820"/>
      <c r="DD692" s="1820"/>
      <c r="DF692" s="1703"/>
      <c r="DG692" s="1831"/>
      <c r="DH692" s="1703"/>
      <c r="DI692" s="1838"/>
      <c r="DJ692" s="1711"/>
      <c r="DK692" s="1712"/>
      <c r="DM692" s="1718"/>
      <c r="DO692" s="1708"/>
      <c r="DQ692" s="1715"/>
      <c r="DR692" s="1720"/>
      <c r="DS692" s="1816"/>
      <c r="DT692" s="1714"/>
      <c r="DU692" s="1715"/>
      <c r="DV692" s="1716"/>
      <c r="DX692" s="1715"/>
      <c r="DY692" s="1720"/>
      <c r="DZ692" s="1715"/>
      <c r="EA692" s="1715"/>
      <c r="EC692" s="1834"/>
      <c r="ED692" s="1834"/>
      <c r="EF692" s="1707"/>
      <c r="EG692" s="1712"/>
      <c r="EH692" s="1818"/>
      <c r="EI692" s="1712"/>
      <c r="EJ692" s="1712"/>
      <c r="EK692" s="1836"/>
      <c r="EL692" s="1836"/>
      <c r="EM692" s="1807"/>
      <c r="EN692" s="1839"/>
      <c r="EO692" s="1839"/>
      <c r="EP692" s="1817"/>
      <c r="EQ692" s="1817"/>
      <c r="ER692" s="1807"/>
      <c r="ES692" s="1807"/>
      <c r="ET692" s="1807"/>
      <c r="EV692" s="1715"/>
      <c r="EX692" s="1805"/>
      <c r="EY692" s="1805"/>
      <c r="EZ692" s="1805"/>
      <c r="FA692" s="1805"/>
      <c r="FB692" s="1805"/>
      <c r="FC692" s="1827"/>
      <c r="FE692" s="1698"/>
      <c r="FG692" s="1816"/>
      <c r="FH692" s="1816"/>
      <c r="FI692" s="133"/>
      <c r="FL692" s="1823"/>
      <c r="FM692" s="1825"/>
      <c r="FN692" s="1698"/>
      <c r="FO692" s="1698"/>
      <c r="FP692" s="1678"/>
      <c r="FQ692" s="1678"/>
      <c r="FS692" s="1687"/>
      <c r="FT692" s="1687"/>
      <c r="FU692" s="1685"/>
      <c r="FV692" s="1687"/>
      <c r="FW692" s="1687"/>
      <c r="FX692" s="1687"/>
      <c r="FY692" s="1697"/>
      <c r="GA692" s="1696"/>
      <c r="GB692" s="1696"/>
      <c r="GC692" s="1696"/>
      <c r="GD692" s="1696"/>
      <c r="GE692" s="1696"/>
      <c r="GF692" s="1696"/>
      <c r="GG692" s="1696"/>
      <c r="GH692" s="1696"/>
      <c r="GI692" s="673"/>
      <c r="GJ692" s="1135"/>
      <c r="GK692" s="1832"/>
      <c r="GM692" s="1693" t="b">
        <f ca="1">IF(AND(GP692=TRUE,GQ692=TRUE),TRUE,FALSE)</f>
        <v>0</v>
      </c>
      <c r="GN692" s="1684" t="b">
        <f>IFERROR(IF(__Retrofit_TI_NC=2,TRUE,IF(AU691="Yes",TRUE,FALSE)),FALSE)</f>
        <v>1</v>
      </c>
      <c r="GP692" s="1684" t="b">
        <f>IFERROR(IF(GP691=1,TRUE,FALSE),FALSE)</f>
        <v>0</v>
      </c>
      <c r="GQ692" s="1684" t="b">
        <f ca="1">IFERROR(IF(GQ691=GQ$14,TRUE,FALSE),FALSE)</f>
        <v>0</v>
      </c>
      <c r="HG692" s="1684" t="b">
        <f>IFERROR(IF(AND(__Retrofit_TI_NC&gt;0,CQ691="Interior"),FALSE,TRUE),FALSE)</f>
        <v>1</v>
      </c>
      <c r="HH692" s="1684" t="b">
        <f>IFERROR(IF(M692=1,TRUE,FALSE),FALSE)</f>
        <v>0</v>
      </c>
      <c r="HI692" s="1684" t="b">
        <f>IFERROR(IF(OR(M693=1,N694="BAM"),TRUE,FALSE),FALSE)</f>
        <v>0</v>
      </c>
      <c r="HJ692" s="1684" t="b">
        <f>IFERROR(IF(__Retrofit_TI_NC&lt;&gt;0,TRUE,IFERROR(IF(VLOOKUP(U692,Fixtures_Existing_List,2,FALSE)&lt;&gt;"",TRUE,FALSE),FALSE)),FALSE)</f>
        <v>0</v>
      </c>
      <c r="HK692" s="1684" t="b">
        <f>IFERROR(IF(VLOOKUP(U693,Fixtures_Proposed_List,2,FALSE)&lt;&gt;"",TRUE,FALSE),FALSE)</f>
        <v>0</v>
      </c>
      <c r="HL692" s="1684" t="b">
        <f>IF(AND(__Retrofit_TI_NC=2,FC691=TRUE),FALSE,TRUE)</f>
        <v>1</v>
      </c>
      <c r="HM692" s="1684" t="b">
        <f>GK691</f>
        <v>1</v>
      </c>
      <c r="HN692" s="1682" t="b">
        <f>IF(ISERROR(MATCH(FE691,_Control_Match[],0))=TRUE,FALSE,TRUE)</f>
        <v>0</v>
      </c>
      <c r="HO692" s="1693" t="b">
        <f>IFERROR(IF(EX691&lt;&gt;EY691,FALSE,TRUE),FALSE)</f>
        <v>1</v>
      </c>
      <c r="HP692" s="1693" t="b">
        <f>IFERROR(IF(EX693&lt;&gt;EY693,FALSE,TRUE),FALSE)</f>
        <v>1</v>
      </c>
      <c r="HQ692" s="1670" t="b">
        <f>IFERROR(IF(CQ691="Exterior",TRUE,IF(AND(OR(FM693=0,FM693=3),JD693&gt;6),FALSE,TRUE)),FALSE)</f>
        <v>0</v>
      </c>
      <c r="HR692" s="1684" t="b">
        <f>IFERROR(IF(AND(FO693=7,FC691=TRUE),FALSE,TRUE),FALSE)</f>
        <v>0</v>
      </c>
      <c r="HS692" s="1684" t="b">
        <f>IFERROR(IF(AND(T693&lt;&gt;AF693,OR(AG693="Interior LLLC", AG693="Interior NLC", AG693="LLLC (outside Daylight)",AG693="LLLC Controls Only"))=TRUE,FALSE,TRUE),FALSE)</f>
        <v>1</v>
      </c>
      <c r="HT692" s="1670" t="b">
        <f>IFERROR(IF(OR(AG693=Lookup!BB$17,AG693=Lookup!BB$18,AG693=Lookup!BB$19)=TRUE,IF(AF693&gt;T693,FALSE,TRUE),TRUE),FALSE)</f>
        <v>1</v>
      </c>
      <c r="HU692" s="1684" t="b">
        <f>IFERROR(IF(__Retrofit_TI_NC=2,IF(EZ693&lt;EZ691,FALSE,TRUE),TRUE),FALSE)</f>
        <v>1</v>
      </c>
      <c r="HV692" s="1684" t="b">
        <f>IF(CQ691="Interior",IL$6,TRUE)</f>
        <v>1</v>
      </c>
      <c r="HW692" s="1684" t="b">
        <f>IF(CQ691="Exterior",IL$8,TRUE)</f>
        <v>1</v>
      </c>
      <c r="HX692" s="1684" t="b">
        <f>IFERROR(IF(__Retrofit_TI_NC&lt;&gt;0,IF(AZ691&lt;AY691,FALSE,TRUE),TRUE),FALSE)</f>
        <v>1</v>
      </c>
      <c r="HY692" s="1684" t="b">
        <f>IFERROR(IF(AND(G692="Exterior",R692&gt;4200),FALSE,TRUE),FALSE)</f>
        <v>1</v>
      </c>
      <c r="HZ692" s="1684" t="b">
        <f>IFERROR(IF(AB694/AB691&lt;HZ$18,FALSE,TRUE),FALSE)</f>
        <v>0</v>
      </c>
      <c r="IB692" s="1691"/>
      <c r="IC692" s="1695"/>
      <c r="ID692" s="1694" t="str">
        <f>VLOOKUP(IB694,_Error_Table,4,FALSE)</f>
        <v>White</v>
      </c>
      <c r="IE692" s="391"/>
      <c r="IF692" s="1688"/>
      <c r="IG692" s="1689"/>
      <c r="IH692" s="1684"/>
      <c r="IK692" s="1689"/>
      <c r="IL692" s="1691"/>
      <c r="IM692" s="1691"/>
      <c r="IN692" s="1691"/>
      <c r="IP692" s="1679"/>
      <c r="IQ692" s="1679"/>
      <c r="IR692" s="1679"/>
      <c r="IS692" s="1679"/>
      <c r="IT692" s="1679"/>
      <c r="IU692" s="1679"/>
      <c r="IV692" s="1679"/>
      <c r="IW692" s="1679"/>
      <c r="IX692" s="1679"/>
      <c r="IY692" s="1679"/>
      <c r="IZ692" s="1679"/>
      <c r="JA692" s="1679"/>
      <c r="JC692" s="1680"/>
      <c r="JD692" s="1670"/>
      <c r="JE692" s="1681"/>
      <c r="JG692" s="1680"/>
      <c r="JH692" s="1670"/>
      <c r="JI692" s="1060"/>
      <c r="JJ692" s="1683"/>
      <c r="JK692" s="1061"/>
      <c r="JL692" s="1683"/>
      <c r="JM692" s="1061"/>
      <c r="JN692" s="1683"/>
      <c r="JO692" s="1061"/>
      <c r="JP692" s="1683"/>
      <c r="JQ692" s="1061"/>
      <c r="JR692" s="1683"/>
      <c r="JS692" s="1061"/>
      <c r="JT692" s="1670"/>
      <c r="JU692" s="1061"/>
      <c r="JV692" s="1670"/>
      <c r="JX692" s="1670"/>
      <c r="JZ692" s="1683"/>
      <c r="KB692" s="1670"/>
    </row>
    <row r="693" spans="1:288" s="78" customFormat="1" ht="14.95" customHeight="1" thickTop="1" thickBot="1">
      <c r="A693" s="78">
        <f>ROW()</f>
        <v>693</v>
      </c>
      <c r="B693" s="1845"/>
      <c r="C693" s="1846"/>
      <c r="D693" s="1847"/>
      <c r="E693" s="1737" t="s">
        <v>298</v>
      </c>
      <c r="F693" s="1738"/>
      <c r="G693" s="1760"/>
      <c r="H693" s="1761"/>
      <c r="I693" s="1761"/>
      <c r="J693" s="1761"/>
      <c r="K693" s="1761"/>
      <c r="L693" s="1762"/>
      <c r="M693" s="461">
        <f>IFERROR(IF(IF(__Retrofit_TI_NC&lt;&gt;0,IF(CQ691="Interior",MATCH(G693,Lookup_Interior_New,0),MATCH(G693,Lookup_Exterior_New,0)),IF(CQ691="Interior",MATCH(G693,Lookup_Interior,0),MATCH(G693,Lookup_Exterior_Areas,0)))&gt;0,1,0),0)</f>
        <v>0</v>
      </c>
      <c r="N693" s="461" t="e">
        <f>IF(__Retrofit_TI_NC=1,
VLOOKUP(G693,'Space Table'!$B$3:$L$163,4,FALSE),
IF(__Retrofit_TI_NC=2,VLOOKUP(G693,'Space Table'!$B$3:$L$163,5,FALSE),VLOOKUP(G693,'Space Table'!$B$3:$L$163,5,FALSE)))</f>
        <v>#N/A</v>
      </c>
      <c r="O693" s="461">
        <f>G693</f>
        <v>0</v>
      </c>
      <c r="P693" s="1738" t="str">
        <f>IFERROR(IF(__Retrofit_TI_NC=1,VLOOKUP(G693,'Space Table'!$B$3:$O$163,13,FALSE),IF(__Retrofit_TI_NC=2,VLOOKUP(G693,'Space Table'!$B$3:$O$163,14,FALSE),"Area (sf):")),"Area (sf):")</f>
        <v>Area (sf):</v>
      </c>
      <c r="Q693" s="1738"/>
      <c r="R693" s="596"/>
      <c r="S693" s="1763" t="s">
        <v>345</v>
      </c>
      <c r="T693" s="594"/>
      <c r="U693" s="1801"/>
      <c r="V693" s="1802"/>
      <c r="W693" s="1802"/>
      <c r="X693" s="1802"/>
      <c r="Y693" s="1802"/>
      <c r="Z693" s="1802"/>
      <c r="AA693" s="1802"/>
      <c r="AB693" s="1802"/>
      <c r="AC693" s="1802"/>
      <c r="AD693" s="1802"/>
      <c r="AE693" s="1803"/>
      <c r="AF693" s="594"/>
      <c r="AG693" s="1787"/>
      <c r="AH693" s="1787"/>
      <c r="AI693" s="1787"/>
      <c r="AJ693" s="1787"/>
      <c r="AK693" s="1787"/>
      <c r="AL693" s="1787"/>
      <c r="AM693" s="1726">
        <f>IFERROR(DI693,"")</f>
        <v>0</v>
      </c>
      <c r="AN693" s="1728" t="str">
        <f>IFERROR(ROUND(AM693*AC694,0),"")</f>
        <v/>
      </c>
      <c r="AO693" s="1730">
        <f>IFERROR(IF(IB691=FALSE,0,AC694-AN693),0)</f>
        <v>0</v>
      </c>
      <c r="AP693" s="1780"/>
      <c r="AQ693" s="1781"/>
      <c r="AR693" s="1795"/>
      <c r="AS693" s="1795"/>
      <c r="AT693" s="1796"/>
      <c r="AU693" s="1735"/>
      <c r="AV693" s="1752"/>
      <c r="AW693" s="1705"/>
      <c r="AX693" s="467"/>
      <c r="AY693" s="1749"/>
      <c r="AZ693" s="1749"/>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696"/>
      <c r="CQ693" s="1696"/>
      <c r="CR693" s="1808" t="str">
        <f>CQ691</f>
        <v/>
      </c>
      <c r="CS693" s="1810" t="str">
        <f>CS691</f>
        <v/>
      </c>
      <c r="CU693" s="1688" t="s">
        <v>345</v>
      </c>
      <c r="CV693" s="1702">
        <f>IF(IB691=TRUE,T693,0)</f>
        <v>0</v>
      </c>
      <c r="CW693" s="1702" t="str">
        <f>IF(IB691=TRUE,U693,"")</f>
        <v/>
      </c>
      <c r="CX693" s="1812">
        <f>IF(IB691=TRUE,U694,0)</f>
        <v>0</v>
      </c>
      <c r="CY693" s="1814">
        <f>IF(IB691=TRUE,AB694,0)</f>
        <v>0</v>
      </c>
      <c r="CZ693" s="1710">
        <f>IF(AND(__Retrofit_TI_NC&gt;0,CR691="interior"),0,IF(IB691=TRUE,AC694,0))</f>
        <v>0</v>
      </c>
      <c r="DA693" s="1818"/>
      <c r="DB693" s="1820"/>
      <c r="DC693" s="1820"/>
      <c r="DD693" s="1820"/>
      <c r="DF693" s="1702">
        <f>IF(IB691=TRUE,AF693,0)</f>
        <v>0</v>
      </c>
      <c r="DG693" s="1830" t="str">
        <f>IF(IB691=TRUE,AG693,"")</f>
        <v/>
      </c>
      <c r="DH693" s="1812">
        <f>AG694</f>
        <v>0</v>
      </c>
      <c r="DI693" s="1837">
        <f>JE693</f>
        <v>0</v>
      </c>
      <c r="DJ693" s="1710">
        <f>IF(AND(__Retrofit_TI_NC&gt;0,CR691="interior"),0,IF(IB691=TRUE,AN693,0))</f>
        <v>0</v>
      </c>
      <c r="DK693" s="1712"/>
      <c r="DN693" s="1717">
        <f>IFERROR(CZ693-DJ693,0)</f>
        <v>0</v>
      </c>
      <c r="DO693" s="1709"/>
      <c r="DQ693" s="1715"/>
      <c r="DR693" s="1719" t="str">
        <f>DQ691</f>
        <v/>
      </c>
      <c r="DS693" s="1816"/>
      <c r="DT693" s="1835" t="str">
        <f>IF(OR(DS691=7,DS691=8,DS691=9),"ALC","")</f>
        <v/>
      </c>
      <c r="DU693" s="1715"/>
      <c r="DV693" s="1716"/>
      <c r="DX693" s="1715"/>
      <c r="DY693" s="1829" t="str">
        <f>DX691</f>
        <v/>
      </c>
      <c r="DZ693" s="1715"/>
      <c r="EA693" s="1715"/>
      <c r="EC693" s="1834"/>
      <c r="ED693" s="1834"/>
      <c r="EF693" s="1707"/>
      <c r="EG693" s="1712"/>
      <c r="EH693" s="1818"/>
      <c r="EI693" s="1712"/>
      <c r="EJ693" s="1712"/>
      <c r="EK693" s="1836"/>
      <c r="EL693" s="1836"/>
      <c r="EM693" s="1807"/>
      <c r="EN693" s="1839"/>
      <c r="EO693" s="1839"/>
      <c r="EP693" s="1817"/>
      <c r="EQ693" s="1817"/>
      <c r="ER693" s="1807"/>
      <c r="ES693" s="1807"/>
      <c r="ET693" s="1807"/>
      <c r="EV693" s="1715"/>
      <c r="EX693" s="1805" t="str">
        <f>IFERROR(VLOOKUP(CS693,'Space Table'!$B$3:$L$163,8,FALSE),"")</f>
        <v/>
      </c>
      <c r="EY693" s="1805" t="str">
        <f>IFERROR(IF(FB693="Yes",VLOOKUP(AG693,Lookup_Control_Type_Table2,4,FALSE),VLOOKUP(AG693,Lookup_Control_Type_Table2,3,FALSE)),"")</f>
        <v/>
      </c>
      <c r="EZ693" s="1805" t="e">
        <f>VLOOKUP(AG693,Lookup!BB$3:BC$20,2,FALSE)</f>
        <v>#N/A</v>
      </c>
      <c r="FA693" s="1805" t="e">
        <f>VLOOKUP(EX691,Lookup_Control_Type_Table,2,FALSE)</f>
        <v>#N/A</v>
      </c>
      <c r="FB693" s="1805" t="e">
        <f>VLOOKUP(CS693,'Space Table'!$B$3:$L$163,7,FALSE)</f>
        <v>#N/A</v>
      </c>
      <c r="FC693" s="1827"/>
      <c r="FE693" s="1698" t="str">
        <f>CONCATENATE(CQ691," - ",AG693)</f>
        <v xml:space="preserve"> - </v>
      </c>
      <c r="FG693" s="1816"/>
      <c r="FH693" s="1816"/>
      <c r="FI693" s="133"/>
      <c r="FL693" s="1822" t="str">
        <f>IF(CQ691="Exterior","Not Daylighted",G694)</f>
        <v>Not Daylighted</v>
      </c>
      <c r="FM693" s="1824">
        <f>VLOOKUP(FL693,_New_Daylight_Table_Codes,2,FALSE)</f>
        <v>0</v>
      </c>
      <c r="FN693" s="1698">
        <f>AG693</f>
        <v>0</v>
      </c>
      <c r="FO693" s="1698" t="e">
        <f>VLOOKUP(FN693,_Control_Table,2,FALSE)</f>
        <v>#N/A</v>
      </c>
      <c r="FP693" s="1678" t="e">
        <f>VLOOKUP(CONCATENATE(FL693," ",FN693),Lookup!AY$102:AZ704,2,FALSE)</f>
        <v>#N/A</v>
      </c>
      <c r="FQ693" s="1698">
        <f>IF(__Retrofit_TI_NC=0,FN693,IF(AND(FT693&gt;0,FN693="Occupancy Sensor"),"Daylight + Occupancy",IF(AND(FT693&gt;0,FO693&lt;4),"Interior Daylight Dimming",FN693)))</f>
        <v>0</v>
      </c>
      <c r="FS693" s="1686">
        <f>IF(CQ691="Interior",VLOOKUP(CS691,Control_Savings_Interior,5,FALSE),0)</f>
        <v>0</v>
      </c>
      <c r="FT693" s="1687">
        <f>IF(CQ693="Exterior",0,IF(FM693=2,0.5,IF(OR(FM693=1,FM693=3),1,0)))</f>
        <v>0</v>
      </c>
      <c r="FU693" s="1685">
        <f>IF(R692&gt;FS$44,(FS693*(FS$44/R692)),FS693)*FT693</f>
        <v>0</v>
      </c>
      <c r="FV693" s="1686">
        <f>DI693</f>
        <v>0</v>
      </c>
      <c r="FW693" s="1686">
        <f>ROUND(FV693+((1-FV693)*FU693),2)</f>
        <v>0</v>
      </c>
      <c r="FX693" s="1686">
        <f>IF(__Retrofit_TI_NC=2,FW693,FV693)</f>
        <v>0</v>
      </c>
      <c r="FY693" s="1697">
        <f>IF(CR693="Interior",VLOOKUP(CS693,Control_Savings_Interior,4,FALSE),0)</f>
        <v>0</v>
      </c>
      <c r="GA693" s="1696"/>
      <c r="GB693" s="1696"/>
      <c r="GC693" s="1696"/>
      <c r="GD693" s="1696"/>
      <c r="GE693" s="1696"/>
      <c r="GF693" s="1696"/>
      <c r="GG693" s="1696"/>
      <c r="GH693" s="1696"/>
      <c r="GI693" s="673" t="b">
        <f>IF(ISNUMBER(SEARCH("TLED",U693)),TRUE,FALSE)</f>
        <v>0</v>
      </c>
      <c r="GJ693" s="1135" t="str">
        <f>IFERROR(VLOOKUP(U693,Fixtures!DM$93:DR$142,6,FALSE),"")</f>
        <v/>
      </c>
      <c r="GK693" s="1832"/>
      <c r="GM693" s="1692"/>
      <c r="GN693" s="1684"/>
      <c r="GP693" s="1684"/>
      <c r="GQ693" s="1684"/>
      <c r="HG693" s="1684"/>
      <c r="HH693" s="1684"/>
      <c r="HI693" s="1684"/>
      <c r="HJ693" s="1684"/>
      <c r="HK693" s="1684"/>
      <c r="HL693" s="1684"/>
      <c r="HM693" s="1684"/>
      <c r="HN693" s="1683"/>
      <c r="HO693" s="1692"/>
      <c r="HP693" s="1692"/>
      <c r="HQ693" s="1670"/>
      <c r="HR693" s="1684"/>
      <c r="HS693" s="1684"/>
      <c r="HT693" s="1670"/>
      <c r="HU693" s="1684"/>
      <c r="HV693" s="1684"/>
      <c r="HW693" s="1684"/>
      <c r="HX693" s="1684"/>
      <c r="HY693" s="1684"/>
      <c r="HZ693" s="1684"/>
      <c r="IB693" s="1692"/>
      <c r="IC693" s="1693" t="b">
        <f>IB691</f>
        <v>0</v>
      </c>
      <c r="ID693" s="1695"/>
      <c r="IE693" s="391"/>
      <c r="IF693" s="1688"/>
      <c r="IG693" s="1689">
        <f ca="1">IF(IF691=TRUE,AC694,0)</f>
        <v>0</v>
      </c>
      <c r="IH693" s="1684"/>
      <c r="IK693" s="1689" t="e">
        <f>ROUND(T693*AB694*N692*R692/1000,0)</f>
        <v>#VALUE!</v>
      </c>
      <c r="IL693" s="1691"/>
      <c r="IM693" s="1693" t="e">
        <f>ROUND(T693*AB694*N692*R692/1000,0)</f>
        <v>#VALUE!</v>
      </c>
      <c r="IN693" s="1691"/>
      <c r="IP693" s="1679"/>
      <c r="IQ693" s="1679" t="e">
        <f t="shared" ref="IQ693:IU693" si="637">IF($CR693="interior",VLOOKUP($CS693,_New_Control_Savings_Interior,IQ$30,FALSE),VLOOKUP($CS693,Control_Savings_Exterior,IQ$30,FALSE))</f>
        <v>#N/A</v>
      </c>
      <c r="IR693" s="1679" t="e">
        <f t="shared" si="637"/>
        <v>#N/A</v>
      </c>
      <c r="IS693" s="1679" t="e">
        <f t="shared" si="637"/>
        <v>#N/A</v>
      </c>
      <c r="IT693" s="1679" t="e">
        <f t="shared" si="637"/>
        <v>#N/A</v>
      </c>
      <c r="IU693" s="1679" t="e">
        <f t="shared" si="637"/>
        <v>#N/A</v>
      </c>
      <c r="IV693" s="1679" t="e">
        <f>IF($CR693="interior",IF(R692&gt;$IP$14,ROUND(($IV$18*($IP$14/R692)),2),$IV$18),VLOOKUP($CS693,Control_Savings_Exterior,IV$30,FALSE))</f>
        <v>#N/A</v>
      </c>
      <c r="IW693" s="1679" t="e">
        <f>IF($CR693="interior",ROUND(((1-IS693)*IV693)+IS693,2),VLOOKUP($CS693,Control_Savings_Exterior,IW$30,FALSE))</f>
        <v>#N/A</v>
      </c>
      <c r="IX693" s="1679" t="e">
        <f>IF($CR693="interior",ROUND(((1-IT693)*IV693)+IT693,2),VLOOKUP($CS693,Control_Savings_Exterior,IX$30,FALSE))</f>
        <v>#N/A</v>
      </c>
      <c r="IY693" s="1679" t="e">
        <f>IF($CR693="interior",IF(R692&gt;$IP$14,ROUND(($IY$18*($IP$14/R692)),2),$IY$18),VLOOKUP($CS693,Control_Savings_Exterior,IY$30,FALSE))</f>
        <v>#N/A</v>
      </c>
      <c r="IZ693" s="1679" t="e">
        <f>IF($CR693="interior",ROUND(((1-IS693)*IY693)+IS693,2),VLOOKUP($CS693,Control_Savings_Exterior,IZ$30,FALSE))</f>
        <v>#N/A</v>
      </c>
      <c r="JA693" s="1679" t="e">
        <f>IF($CR693="interior",ROUND(((1-IT693)*IY693)+IT693,2),VLOOKUP($CS693,Control_Savings_Exterior,JA$30,FALSE))</f>
        <v>#N/A</v>
      </c>
      <c r="JC693" s="1680">
        <f>IFERROR(IF(CR693="Interior",CONCATENATE(G694," ",FQ693),AG693),"")</f>
        <v>0</v>
      </c>
      <c r="JD693" s="1670" t="str">
        <f>IFERROR(VLOOKUP(JC693,_Controls_2023,2,FALSE),"")</f>
        <v/>
      </c>
      <c r="JE693" s="1681">
        <f>IFERROR(CHOOSE(JD693-1,IQ693,IR693,IS693,IT693,IU693,IV693,IW693,IX693,IY693,IZ693,JA693),0)</f>
        <v>0</v>
      </c>
      <c r="JG693" s="1680" t="str">
        <f>FE693</f>
        <v xml:space="preserve"> - </v>
      </c>
      <c r="JH693" s="1670" t="e">
        <f>$FO693</f>
        <v>#N/A</v>
      </c>
      <c r="JI693" s="1060"/>
      <c r="JJ693" s="1670">
        <f>IFERROR(IF($IB691=TRUE,IF(OR(JJ$14="No",JJ691=FALSE,JH693&lt;=JH691,AND(_kWh_Grant=0,GD691=FALSE)),0,IF(JJ$8="Per Line",1,$AF693)),0),0)</f>
        <v>0</v>
      </c>
      <c r="JK693" s="1061"/>
      <c r="JL693" s="1670">
        <f>IFERROR(IF(_kWh_Grant=0,0,IF($IB691=TRUE,IF(OR(JL$14="No",JL691=FALSE,JH693&lt;=JH691),0,IF(JL$8="Per Line",1,$T693)),0)),0)</f>
        <v>0</v>
      </c>
      <c r="JM693" s="1061"/>
      <c r="JN693" s="1670">
        <f>IFERROR(IF(_kWh_Grant=0,0,IF($IB691=TRUE,IF(OR(JN$14="No",JN691=FALSE,JH693&lt;=JH691),0,IF(JN$8="Per Line",1,$AF693)),0)),0)</f>
        <v>0</v>
      </c>
      <c r="JO693" s="1061"/>
      <c r="JP693" s="1670">
        <f>IFERROR(IF(__Retrofit_TI_NC=0,IF(_kWh_Grant=0,0,IF($IB691=TRUE,IF(OR(JP$14="No",JP691=FALSE,$JH693&lt;=$JH691),0,IF(JP$8="Per Line",1,$AF693)),0)),IF($IB691=TRUE,IF(OR(JP$14="No",JP691=FALSE,$JH693&lt;=$JH691),0,IF(JP$8="Per Line",1,$AF693)))),0)</f>
        <v>0</v>
      </c>
      <c r="JQ693" s="1061"/>
      <c r="JR693" s="1670">
        <f>IFERROR(IF(__Retrofit_TI_NC=0,IF(_kWh_Grant=0,0,IF($IB691=TRUE,IF(OR(JR$14="No",JR691=FALSE,$JH693&lt;=$JH691),0,IF(JR$8="Per Line",1,$AF693)),0)),IF($IB691=TRUE,IF(OR(JR$14="No",JR691=FALSE,$JH693&lt;=$JH691),0,IF(JR$8="Per Line",1,$AF693)))),0)</f>
        <v>0</v>
      </c>
      <c r="JS693" s="1061"/>
      <c r="JT693" s="1670">
        <f>IFERROR(IF(__Retrofit_TI_NC=0,IF(_kWh_Grant=0,0,IF($IB691=TRUE,IF(OR(JT$14="No",JT691=FALSE,$JH693&lt;=$JH691),0,IF(JT$8="Per Line",1,$AF693)),0)),IF($IB691=TRUE,IF(OR(JT$14="No",JT691=FALSE,$JH693&lt;=$JH691),0,IF(JT$8="Per Line",1,$AF693)))),0)</f>
        <v>0</v>
      </c>
      <c r="JU693" s="1061"/>
      <c r="JV693" s="1670">
        <f>IFERROR(IF(__Retrofit_TI_NC=0,IF(_kWh_Grant=0,0,IF($IB691=TRUE,IF(OR(JV$14="No",JV691=FALSE,$JH693&lt;=$JH691),0,IF(JV$8="Per Line",1,$AF693)),0)),IF($IB691=TRUE,IF(OR(JV$14="No",JV691=FALSE,$JH693&lt;=$JH691),0,IF(JV$8="Per Line",1,$AF693)))),0)</f>
        <v>0</v>
      </c>
      <c r="JX693" s="1670">
        <f>IFERROR(IF(__Retrofit_TI_NC=0,IF(_kWh_Grant=0,0,IF($IB691=TRUE,IF(OR(JX$14="No",JX691=FALSE,$JH693&lt;=$JH691),0,IF(JX$8="Per Line",1,$AF693)),0)),IF($IB691=TRUE,IF(OR(JX$14="No",JX691=FALSE,$JH693&lt;=$JH691),0,IF(JX$8="Per Line",1,$AF693)))),0)</f>
        <v>0</v>
      </c>
      <c r="JZ693" s="1670">
        <f>IFERROR(IF($IB691=TRUE,IF(OR(JZ$14="No",JZ691=FALSE,$JH693&lt;=$JH691,AND(_kWh_Grant=0,$GD691=FALSE)),0,IF(JZ$8="Per Line",1,$AF693)),0),0)</f>
        <v>0</v>
      </c>
      <c r="KB693" s="1670">
        <f>IFERROR(IF(__Retrofit_TI_NC=0,IF(_kWh_Grant=0,0,IF($IB691=TRUE,IF(OR(KB$14="No",KB691=FALSE,$JH693&lt;=$JH691),0,IF(KB$8="Per Line",1,$AF693)),0)),IF($IB691=TRUE,IF(OR(KB$14="No",KB691=FALSE,$JH693&lt;=$JH691),0,IF(KB$8="Per Line",1,$AF693)))),0)</f>
        <v>0</v>
      </c>
    </row>
    <row r="694" spans="1:288" s="78" customFormat="1" ht="14.95" customHeight="1" thickTop="1" thickBot="1">
      <c r="B694" s="1845"/>
      <c r="C694" s="1846"/>
      <c r="D694" s="1847"/>
      <c r="E694" s="1771" t="s">
        <v>436</v>
      </c>
      <c r="F694" s="1772"/>
      <c r="G694" s="1784" t="s">
        <v>437</v>
      </c>
      <c r="H694" s="1785"/>
      <c r="I694" s="1785"/>
      <c r="J694" s="1785"/>
      <c r="K694" s="1785"/>
      <c r="L694" s="1786"/>
      <c r="M694" s="591">
        <f>IFERROR(VLOOKUP(G694,_Daylight_Table[],2,FALSE),0)</f>
        <v>0</v>
      </c>
      <c r="N694" s="592" t="str">
        <f>IF(AND(__Retrofit_TI_NC&gt;0,CQ691="Interior"),"BAM","")</f>
        <v/>
      </c>
      <c r="O694" s="591" t="e">
        <f>VLOOKUP(G693,'Space Table'!$B$3:$L$163,11,FALSE)</f>
        <v>#N/A</v>
      </c>
      <c r="P694" s="1789"/>
      <c r="Q694" s="1790"/>
      <c r="R694" s="1790"/>
      <c r="S694" s="1788"/>
      <c r="T694" s="593" t="s">
        <v>342</v>
      </c>
      <c r="U694" s="1756" t="str" cm="1">
        <f t="array" aca="1" ref="U694" ca="1">IFERROR(VLOOKUP(INDIRECT("U" &amp; ROW()-1),Fixtures!DM$93:DP$142,4,FALSE),"")</f>
        <v/>
      </c>
      <c r="V694" s="1757"/>
      <c r="W694" s="1757"/>
      <c r="X694" s="1757"/>
      <c r="Y694" s="1757"/>
      <c r="Z694" s="1757"/>
      <c r="AA694" s="1758"/>
      <c r="AB694" s="939" t="str">
        <f>IFERROR(VLOOKUP(U693,Fixtures_Proposed_List,2,FALSE),"")</f>
        <v/>
      </c>
      <c r="AC694" s="933" t="str">
        <f>IFERROR(ROUND(T693*AB694*N692*R692/1000,0),"")</f>
        <v/>
      </c>
      <c r="AD694" s="934" t="str">
        <f>IFERROR(ROUND(T693*AB694/1000,2),"")</f>
        <v/>
      </c>
      <c r="AE694" s="998"/>
      <c r="AF694" s="938" t="s">
        <v>342</v>
      </c>
      <c r="AG694" s="1770"/>
      <c r="AH694" s="1770"/>
      <c r="AI694" s="1770"/>
      <c r="AJ694" s="1770"/>
      <c r="AK694" s="1770"/>
      <c r="AL694" s="1770"/>
      <c r="AM694" s="1727"/>
      <c r="AN694" s="1729"/>
      <c r="AO694" s="1731"/>
      <c r="AP694" s="1782"/>
      <c r="AQ694" s="1783"/>
      <c r="AR694" s="1797"/>
      <c r="AS694" s="1797"/>
      <c r="AT694" s="1798"/>
      <c r="AU694" s="1736"/>
      <c r="AV694" s="1753"/>
      <c r="AW694" s="1706"/>
      <c r="AX694" s="468"/>
      <c r="AY694" s="1750"/>
      <c r="AZ694" s="1750"/>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696"/>
      <c r="CQ694" s="1696"/>
      <c r="CR694" s="1809"/>
      <c r="CS694" s="1811"/>
      <c r="CU694" s="1688"/>
      <c r="CV694" s="1703"/>
      <c r="CW694" s="1703"/>
      <c r="CX694" s="1813"/>
      <c r="CY694" s="1815"/>
      <c r="CZ694" s="1711"/>
      <c r="DA694" s="1815"/>
      <c r="DB694" s="1821"/>
      <c r="DC694" s="1821"/>
      <c r="DD694" s="1821"/>
      <c r="DF694" s="1703"/>
      <c r="DG694" s="1831"/>
      <c r="DH694" s="1813"/>
      <c r="DI694" s="1838"/>
      <c r="DJ694" s="1711"/>
      <c r="DK694" s="1712"/>
      <c r="DN694" s="1718"/>
      <c r="DO694" s="1709"/>
      <c r="DQ694" s="1715"/>
      <c r="DR694" s="1720"/>
      <c r="DS694" s="1703"/>
      <c r="DT694" s="1714"/>
      <c r="DU694" s="1715"/>
      <c r="DV694" s="1716"/>
      <c r="DX694" s="1715"/>
      <c r="DY694" s="1720"/>
      <c r="DZ694" s="1715"/>
      <c r="EA694" s="1715"/>
      <c r="EC694" s="1834"/>
      <c r="ED694" s="1834"/>
      <c r="EF694" s="1707"/>
      <c r="EG694" s="1712"/>
      <c r="EH694" s="1815"/>
      <c r="EI694" s="1712"/>
      <c r="EJ694" s="1712"/>
      <c r="EK694" s="1813"/>
      <c r="EL694" s="1813"/>
      <c r="EM694" s="1807"/>
      <c r="EN694" s="1839"/>
      <c r="EO694" s="1839"/>
      <c r="EP694" s="1817"/>
      <c r="EQ694" s="1817"/>
      <c r="ER694" s="1807"/>
      <c r="ES694" s="1807"/>
      <c r="ET694" s="1807"/>
      <c r="EV694" s="1715"/>
      <c r="EX694" s="1806"/>
      <c r="EY694" s="1806"/>
      <c r="EZ694" s="1806"/>
      <c r="FA694" s="1806"/>
      <c r="FB694" s="1806"/>
      <c r="FC694" s="1828"/>
      <c r="FE694" s="1698"/>
      <c r="FG694" s="1703"/>
      <c r="FH694" s="1703"/>
      <c r="FI694" s="133"/>
      <c r="FL694" s="1823"/>
      <c r="FM694" s="1825"/>
      <c r="FN694" s="1698"/>
      <c r="FO694" s="1698"/>
      <c r="FP694" s="1678"/>
      <c r="FQ694" s="1698"/>
      <c r="FS694" s="1687"/>
      <c r="FT694" s="1687"/>
      <c r="FU694" s="1685"/>
      <c r="FV694" s="1687"/>
      <c r="FW694" s="1687"/>
      <c r="FX694" s="1687"/>
      <c r="FY694" s="1697"/>
      <c r="GA694" s="1696"/>
      <c r="GB694" s="1696"/>
      <c r="GC694" s="1696"/>
      <c r="GD694" s="1696"/>
      <c r="GE694" s="1696"/>
      <c r="GF694" s="1696"/>
      <c r="GG694" s="1696"/>
      <c r="GH694" s="1696"/>
      <c r="GI694" s="673"/>
      <c r="GJ694" s="1135"/>
      <c r="GK694" s="1832"/>
      <c r="GN694" s="674">
        <f>IF(GN692=TRUE,0,GN$16)</f>
        <v>0</v>
      </c>
      <c r="GP694" s="674">
        <f>IF(GP692=TRUE,0,GP$16)</f>
        <v>36</v>
      </c>
      <c r="GQ694" s="674">
        <f ca="1">IF(GQ692=TRUE,0,GQ$16)</f>
        <v>35</v>
      </c>
      <c r="GR694" s="391"/>
      <c r="GS694" s="391"/>
      <c r="GT694" s="391"/>
      <c r="GU694" s="391"/>
      <c r="GV694" s="391"/>
      <c r="HG694" s="674">
        <f>IF(HG692=TRUE,0,HG$16)</f>
        <v>0</v>
      </c>
      <c r="HH694" s="674">
        <f t="shared" ref="HH694:HM694" si="638">IF(HH692=TRUE,0,HH$16)</f>
        <v>19</v>
      </c>
      <c r="HI694" s="674">
        <f t="shared" si="638"/>
        <v>18</v>
      </c>
      <c r="HJ694" s="674">
        <f t="shared" si="638"/>
        <v>17</v>
      </c>
      <c r="HK694" s="674">
        <f t="shared" si="638"/>
        <v>16</v>
      </c>
      <c r="HL694" s="674">
        <f t="shared" si="638"/>
        <v>0</v>
      </c>
      <c r="HM694" s="674">
        <f t="shared" si="638"/>
        <v>0</v>
      </c>
      <c r="HN694" s="674">
        <f>IF(HN692=TRUE,0,HN$16)</f>
        <v>13</v>
      </c>
      <c r="HO694" s="674">
        <f t="shared" ref="HO694:HQ694" si="639">IF(HO692=TRUE,0,HO$16)</f>
        <v>0</v>
      </c>
      <c r="HP694" s="674">
        <f t="shared" si="639"/>
        <v>0</v>
      </c>
      <c r="HQ694" s="674">
        <f t="shared" si="639"/>
        <v>10</v>
      </c>
      <c r="HR694" s="674">
        <f>IF(HR692=TRUE,0,HR$16)</f>
        <v>9</v>
      </c>
      <c r="HS694" s="674">
        <f t="shared" ref="HS694:HW694" si="640">IF(HS692=TRUE,0,HS$16)</f>
        <v>0</v>
      </c>
      <c r="HT694" s="674">
        <f t="shared" si="640"/>
        <v>0</v>
      </c>
      <c r="HU694" s="674">
        <f t="shared" si="640"/>
        <v>0</v>
      </c>
      <c r="HV694" s="674">
        <f t="shared" si="640"/>
        <v>0</v>
      </c>
      <c r="HW694" s="674">
        <f t="shared" si="640"/>
        <v>0</v>
      </c>
      <c r="HX694" s="674">
        <f>IF(HX692=TRUE,0,HX$16)</f>
        <v>0</v>
      </c>
      <c r="HY694" s="674">
        <f>IF(HY692=TRUE,0,HY$16)</f>
        <v>0</v>
      </c>
      <c r="HZ694" s="674">
        <f>IF(HZ692=TRUE,0,HZ$16)</f>
        <v>1</v>
      </c>
      <c r="IB694" s="674">
        <f>IF(GP692=FALSE,GP694,IF(GQ692=FALSE,GQ694,MAX(GN694:HZ694)))</f>
        <v>36</v>
      </c>
      <c r="IC694" s="1692"/>
      <c r="ID694" s="205" t="str">
        <f>VLOOKUP(IB694,_Error_Table,3,FALSE)</f>
        <v xml:space="preserve"> </v>
      </c>
      <c r="IE694" s="205"/>
      <c r="IF694" s="1688"/>
      <c r="IG694" s="1689"/>
      <c r="IH694" s="1684"/>
      <c r="IK694" s="1689"/>
      <c r="IL694" s="1692"/>
      <c r="IM694" s="1692"/>
      <c r="IN694" s="1692"/>
      <c r="IP694" s="1679"/>
      <c r="IQ694" s="1679"/>
      <c r="IR694" s="1679"/>
      <c r="IS694" s="1679"/>
      <c r="IT694" s="1679"/>
      <c r="IU694" s="1679"/>
      <c r="IV694" s="1679"/>
      <c r="IW694" s="1679"/>
      <c r="IX694" s="1679"/>
      <c r="IY694" s="1679"/>
      <c r="IZ694" s="1679"/>
      <c r="JA694" s="1679"/>
      <c r="JC694" s="1680"/>
      <c r="JD694" s="1670"/>
      <c r="JE694" s="1681"/>
      <c r="JG694" s="1680"/>
      <c r="JH694" s="1670"/>
      <c r="JI694" s="1060"/>
      <c r="JJ694" s="1670"/>
      <c r="JK694" s="1061"/>
      <c r="JL694" s="1670"/>
      <c r="JM694" s="1061"/>
      <c r="JN694" s="1670"/>
      <c r="JO694" s="1061"/>
      <c r="JP694" s="1670"/>
      <c r="JQ694" s="1061"/>
      <c r="JR694" s="1670"/>
      <c r="JS694" s="1061"/>
      <c r="JT694" s="1670"/>
      <c r="JU694" s="1061"/>
      <c r="JV694" s="1670"/>
      <c r="JX694" s="1670"/>
      <c r="JZ694" s="1670"/>
      <c r="KB694" s="1670"/>
    </row>
    <row r="695" spans="1:288" s="78" customFormat="1" ht="5.0999999999999996" customHeight="1">
      <c r="B695" s="676"/>
      <c r="C695" s="392"/>
      <c r="D695" s="392"/>
      <c r="E695" s="1733"/>
      <c r="F695" s="1733"/>
      <c r="G695" s="1733"/>
      <c r="H695" s="1733"/>
      <c r="I695" s="1733"/>
      <c r="J695" s="1733"/>
      <c r="K695" s="1733"/>
      <c r="L695" s="1733"/>
      <c r="M695" s="1733"/>
      <c r="N695" s="1733"/>
      <c r="O695" s="1733"/>
      <c r="P695" s="1733"/>
      <c r="Q695" s="1733"/>
      <c r="R695" s="1733"/>
      <c r="S695" s="1733"/>
      <c r="T695" s="1733"/>
      <c r="U695" s="1733"/>
      <c r="V695" s="1733"/>
      <c r="W695" s="1733"/>
      <c r="X695" s="1733"/>
      <c r="Y695" s="1733"/>
      <c r="Z695" s="1733"/>
      <c r="AA695" s="1733"/>
      <c r="AB695" s="1733"/>
      <c r="AC695" s="1733"/>
      <c r="AD695" s="1733"/>
      <c r="AE695" s="1733"/>
      <c r="AF695" s="1733"/>
      <c r="AG695" s="1733"/>
      <c r="AH695" s="1733"/>
      <c r="AI695" s="1733"/>
      <c r="AJ695" s="1733"/>
      <c r="AK695" s="1733"/>
      <c r="AL695" s="1733"/>
      <c r="AM695" s="1733"/>
      <c r="AN695" s="1733"/>
      <c r="AO695" s="1733"/>
      <c r="AP695" s="1733"/>
      <c r="AQ695" s="1733"/>
      <c r="AR695" s="1733"/>
      <c r="AS695" s="1733"/>
      <c r="AT695" s="1733"/>
      <c r="AU695" s="1733"/>
      <c r="AV695" s="1733"/>
      <c r="AW695" s="1733"/>
      <c r="AX695" s="469"/>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663"/>
      <c r="CQ695" s="663"/>
      <c r="CR695" s="438"/>
      <c r="CS695" s="663"/>
      <c r="CV695" s="391"/>
      <c r="CW695" s="391"/>
      <c r="CX695" s="207"/>
      <c r="CY695" s="208"/>
      <c r="CZ695" s="208"/>
      <c r="DA695" s="208"/>
      <c r="DB695" s="209"/>
      <c r="DC695" s="209"/>
      <c r="DD695" s="209"/>
      <c r="DF695" s="664"/>
      <c r="DG695" s="665"/>
      <c r="DH695" s="666"/>
      <c r="DI695" s="667"/>
      <c r="DJ695" s="668"/>
      <c r="DK695" s="668"/>
      <c r="DN695" s="208"/>
      <c r="DO695" s="664"/>
      <c r="DQ695" s="664"/>
      <c r="DR695" s="669"/>
      <c r="DS695" s="391"/>
      <c r="DT695" s="664"/>
      <c r="DU695" s="664"/>
      <c r="DV695" s="664"/>
      <c r="DX695" s="664"/>
      <c r="DY695" s="664"/>
      <c r="DZ695" s="664"/>
      <c r="EA695" s="664"/>
      <c r="EC695" s="670"/>
      <c r="ED695" s="670"/>
      <c r="EF695" s="668"/>
      <c r="EG695" s="668"/>
      <c r="EH695" s="208"/>
      <c r="EI695" s="668"/>
      <c r="EJ695" s="668"/>
      <c r="EK695" s="207"/>
      <c r="EL695" s="207"/>
      <c r="EM695" s="666"/>
      <c r="EN695" s="671"/>
      <c r="EO695" s="671"/>
      <c r="EP695" s="672"/>
      <c r="EQ695" s="672"/>
      <c r="ER695" s="666"/>
      <c r="ES695" s="666"/>
      <c r="ET695" s="666"/>
      <c r="EV695" s="664"/>
      <c r="EX695" s="391"/>
      <c r="EY695" s="391"/>
      <c r="EZ695" s="391"/>
      <c r="FA695" s="391"/>
      <c r="FB695" s="391"/>
      <c r="FC695" s="391"/>
      <c r="FE695" s="569"/>
      <c r="FG695" s="391"/>
      <c r="FH695" s="391"/>
      <c r="FI695" s="391"/>
      <c r="FS695" s="664"/>
      <c r="FT695" s="391"/>
      <c r="FU695" s="391"/>
      <c r="FV695" s="664"/>
      <c r="FW695" s="664"/>
      <c r="GA695" s="663"/>
      <c r="GB695" s="663"/>
      <c r="GC695" s="663"/>
      <c r="GD695" s="663"/>
      <c r="GE695" s="663"/>
      <c r="GF695" s="663"/>
      <c r="GG695" s="663"/>
      <c r="GH695" s="663"/>
      <c r="GI695" s="665"/>
      <c r="GJ695" s="664"/>
      <c r="GK695" s="664"/>
    </row>
    <row r="696" spans="1:288" s="78" customFormat="1" ht="14.95" customHeight="1">
      <c r="B696" s="1845" t="str">
        <f>ID699</f>
        <v xml:space="preserve"> </v>
      </c>
      <c r="C696" s="1846">
        <f>C691+1</f>
        <v>126</v>
      </c>
      <c r="D696" s="1847"/>
      <c r="E696" s="1799" t="s">
        <v>295</v>
      </c>
      <c r="F696" s="1800"/>
      <c r="G696" s="1741"/>
      <c r="H696" s="1742"/>
      <c r="I696" s="1742"/>
      <c r="J696" s="1742"/>
      <c r="K696" s="1742"/>
      <c r="L696" s="1742"/>
      <c r="M696" s="1742"/>
      <c r="N696" s="1742"/>
      <c r="O696" s="1742"/>
      <c r="P696" s="1742"/>
      <c r="Q696" s="1742"/>
      <c r="R696" s="1742"/>
      <c r="S696" s="1791" t="s">
        <v>344</v>
      </c>
      <c r="T696" s="590"/>
      <c r="U696" s="1743"/>
      <c r="V696" s="1744"/>
      <c r="W696" s="1744"/>
      <c r="X696" s="1744"/>
      <c r="Y696" s="1744"/>
      <c r="Z696" s="1744"/>
      <c r="AA696" s="1744"/>
      <c r="AB696" s="961" t="str">
        <f>IFERROR(IF(__Retrofit_TI_NC=0,VLOOKUP(U697,Fixtures_Existing_List,2,FALSE),ROUND(N698*R698/T698,10)),"")</f>
        <v/>
      </c>
      <c r="AC696" s="935" t="str">
        <f>IFERROR(IF(__Retrofit_TI_NC=0,ROUND(T697*AB696*N697*R697/1000,0),IF(CQ696="Interior",N698*R698*R697*N697*_C406_reduction/1000,N698*R698*R697*N697/1000)),"")</f>
        <v/>
      </c>
      <c r="AD696" s="936" t="str">
        <f>IFERROR(IF(C$43=0,ROUND(T697*AB696/1000,2),N698*R698/1000),"")</f>
        <v/>
      </c>
      <c r="AE696" s="997"/>
      <c r="AF696" s="937"/>
      <c r="AG696" s="1745" t="str">
        <f>IF(__Retrofit_TI_NC=0," Control","Select Advanced Control for New System")</f>
        <v xml:space="preserve"> Control</v>
      </c>
      <c r="AH696" s="1745"/>
      <c r="AI696" s="1745"/>
      <c r="AJ696" s="1745"/>
      <c r="AK696" s="1745"/>
      <c r="AL696" s="1745"/>
      <c r="AM696" s="1746">
        <f>IFERROR(DI696,"")</f>
        <v>0</v>
      </c>
      <c r="AN696" s="1774" t="str">
        <f>IFERROR(ROUND(AM696*AC696,0),"")</f>
        <v/>
      </c>
      <c r="AO696" s="1776">
        <f>IFERROR(IF(IB696=FALSE,0,AC696-AN696),0)</f>
        <v>0</v>
      </c>
      <c r="AP696" s="1778">
        <f>AO696-AO698</f>
        <v>0</v>
      </c>
      <c r="AQ696" s="1779"/>
      <c r="AR696" s="1793">
        <f>IFERROR(IF(IB696=FALSE,0,(T698*U699)+(AF698*AG699)),0)</f>
        <v>0</v>
      </c>
      <c r="AS696" s="1793"/>
      <c r="AT696" s="1794"/>
      <c r="AU696" s="1734" t="s">
        <v>237</v>
      </c>
      <c r="AV696" s="1751">
        <f>IF(AU696="Yes",1,0)</f>
        <v>1</v>
      </c>
      <c r="AW696" s="1704" t="str">
        <f>IF(OR(DQ696=4,DQ696=5,DQ696=6,DQ696=12),CONCATENATE("$",IF(GH696=TRUE,Lookup!$K$10,Lookup!$K$2)," /lamp"),CONCATENATE(TEXT(ED696,"$0.00"),"/ kWh"))</f>
        <v>$0.00/ kWh</v>
      </c>
      <c r="AX696" s="467"/>
      <c r="AY696" s="1748">
        <f ca="1">IFERROR(IF(GM697=TRUE,(AB699*T698)/R698,0),"NA")</f>
        <v>0</v>
      </c>
      <c r="AZ696" s="1748"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696" t="str">
        <f>N697</f>
        <v/>
      </c>
      <c r="CQ696" s="1696" t="str">
        <f>IFERROR(VLOOKUP(G697,_Lookup_Heat_Type_Table_New,3,FALSE),"")</f>
        <v/>
      </c>
      <c r="CR696" s="1808" t="str">
        <f>CQ696</f>
        <v/>
      </c>
      <c r="CS696" s="1810" t="str">
        <f>IFERROR(VLOOKUP(G698,'Space Table'!$B$3:$L$163,9,FALSE),"")</f>
        <v/>
      </c>
      <c r="CU696" s="1688" t="s">
        <v>344</v>
      </c>
      <c r="CV696" s="1702">
        <f>IF(IB696=TRUE,T697,0)</f>
        <v>0</v>
      </c>
      <c r="CW696" s="1702" t="str">
        <f>IF(IB696=TRUE,U697,"")</f>
        <v/>
      </c>
      <c r="CX696" s="1702"/>
      <c r="CY696" s="1814">
        <f>IF(IB696=TRUE,AB696,0)</f>
        <v>0</v>
      </c>
      <c r="CZ696" s="1710">
        <f>IF(AND(__Retrofit_TI_NC&gt;0,CR696="interior"),0,IF(IB696=TRUE,AC696,0))</f>
        <v>0</v>
      </c>
      <c r="DA696" s="1814">
        <f>IFERROR(IF(IB696=TRUE,CZ696-CZ698,0),0)</f>
        <v>0</v>
      </c>
      <c r="DB696" s="1819">
        <f>IF(IB696=TRUE,AD696,0)</f>
        <v>0</v>
      </c>
      <c r="DC696" s="1819">
        <f>IF(IB696=TRUE,AD699,0)</f>
        <v>0</v>
      </c>
      <c r="DD696" s="1819">
        <f>IFERROR(DB696-DC696,0)</f>
        <v>0</v>
      </c>
      <c r="DF696" s="1702">
        <f>IF(IB696=TRUE,AF697,0)</f>
        <v>0</v>
      </c>
      <c r="DG696" s="1830">
        <f>IFERROR(IF(__Retrofit_TI_NC=2,IF(CQ696="Exterior",O699,FQ696),FN696),"")</f>
        <v>0</v>
      </c>
      <c r="DH696" s="1702"/>
      <c r="DI696" s="1837">
        <f>JE696</f>
        <v>0</v>
      </c>
      <c r="DJ696" s="1710">
        <f>IF(AND(__Retrofit_TI_NC&gt;0,CR696="interior"),0,IF(IB696=TRUE,AN696,0))</f>
        <v>0</v>
      </c>
      <c r="DK696" s="1712">
        <f>IFERROR(IF(IB696=TRUE,DJ698-DJ696,0),0)</f>
        <v>0</v>
      </c>
      <c r="DM696" s="1717">
        <f>IFERROR(CZ696-DJ696,0)</f>
        <v>0</v>
      </c>
      <c r="DO696" s="1708">
        <f>DM696-DN698</f>
        <v>0</v>
      </c>
      <c r="DQ696" s="1715" t="str">
        <f>IFERROR(IF(AND(OR(GC696=4,GC696=5,GC696=6),OR(GF696=4,GF696=5,GF696=6)),GC696+8,VLOOKUP(CW698,Fixtures!R$31:Y$78,8,FALSE)),"")</f>
        <v/>
      </c>
      <c r="DR696" s="1829" t="str">
        <f>DQ696</f>
        <v/>
      </c>
      <c r="DS696" s="1702" t="str">
        <f>IFERROR(VLOOKUP(DG698,Lookup!BB$3:BC$20,2,FALSE),"")</f>
        <v/>
      </c>
      <c r="DT696" s="1713" t="str">
        <f>IF(OR(DS696=7,DS696=8,DS696=9),"ALC","")</f>
        <v/>
      </c>
      <c r="DU696" s="1715">
        <f>IFERROR(IF(OR(DQ696=4,DQ696=5,DQ696=6,DQ696=12,DQ696=13,DQ696=14),VLOOKUP(CW698,Fixtures!DN$27:EG$77,19,FALSE),1)*CV698,0)</f>
        <v>0</v>
      </c>
      <c r="DV696" s="1716">
        <f>IF(OR(DS696=7,DS696=8,DS696=9),IF(DG696=DG698,0,DF698),0)</f>
        <v>0</v>
      </c>
      <c r="DX696" s="1715" t="str">
        <f>IFERROR(IF(EZ696&lt;EZ698,"Yes","No"),"")</f>
        <v/>
      </c>
      <c r="DY696" s="1829" t="str">
        <f>DX696</f>
        <v/>
      </c>
      <c r="DZ696" s="1715">
        <f>IF(DX696="Yes",DF698,0)</f>
        <v>0</v>
      </c>
      <c r="EA696" s="1715">
        <f>DZ696-DV696</f>
        <v>0</v>
      </c>
      <c r="EC696" s="1834">
        <f>IFERROR(VLOOKUP(DQ696,Lookup!AU$3:AV$16,2,FALSE),0)</f>
        <v>0</v>
      </c>
      <c r="ED696" s="1834">
        <f>IF(IB696=FALSE,0,IF(DX696="Yes",EC696+Lookup!K$6,EC696))</f>
        <v>0</v>
      </c>
      <c r="EF696" s="1707">
        <f>IF(IB696=TRUE,DM696,0)</f>
        <v>0</v>
      </c>
      <c r="EG696" s="1712">
        <f>IF(IB696=TRUE,CZ698,0)</f>
        <v>0</v>
      </c>
      <c r="EH696" s="1814">
        <f>IFERROR(EF696-EG696,0)</f>
        <v>0</v>
      </c>
      <c r="EI696" s="1712">
        <f>IF(IB696=TRUE,DJ698,0)</f>
        <v>0</v>
      </c>
      <c r="EJ696" s="1712">
        <f>IFERROR(EF696-EG696+EI696,0)</f>
        <v>0</v>
      </c>
      <c r="EK696" s="1812">
        <f>IF(IB696=TRUE,CV698*CX698,0)</f>
        <v>0</v>
      </c>
      <c r="EL696" s="1812">
        <f>IF(IB696=TRUE,DF698*DH698,0)</f>
        <v>0</v>
      </c>
      <c r="EM696" s="1807">
        <f>AR696</f>
        <v>0</v>
      </c>
      <c r="EN696" s="1839" t="str">
        <f>IFERROR(IF(IB696=TRUE,VLOOKUP(DQ696,Lookup!AU$3:AW$16,3,FALSE)*DU696,""),0)</f>
        <v/>
      </c>
      <c r="EO696" s="1839">
        <f>IF(IB696=TRUE,DZ696*Lookup!AW$12,0)</f>
        <v>0</v>
      </c>
      <c r="EP696" s="1817">
        <f>IFERROR(IF(IB696=TRUE,EN696/EP$40,0),0)</f>
        <v>0</v>
      </c>
      <c r="EQ696" s="1817">
        <f>IF(IB696=TRUE,EO696/EQ$40,0)</f>
        <v>0</v>
      </c>
      <c r="ER696" s="1807">
        <f>IF(IB696=TRUE,ET$40*EP696,0)</f>
        <v>0</v>
      </c>
      <c r="ES696" s="1807">
        <f>IF(IB696=TRUE,ET$40*EQ696,0)</f>
        <v>0</v>
      </c>
      <c r="ET696" s="1807">
        <f>ER696+ES696</f>
        <v>0</v>
      </c>
      <c r="EV696" s="1715">
        <f>IF(G696="",0,1)</f>
        <v>0</v>
      </c>
      <c r="EX696" s="1804" t="str">
        <f>IFERROR(VLOOKUP(CS698,'Space Table'!$B$3:$L$163,8,FALSE),"")</f>
        <v/>
      </c>
      <c r="EY696" s="1804" t="str">
        <f>IFERROR(IF(FB696="Yes",VLOOKUP(DG696,Lookup_Control_Type_Table2,4,FALSE),VLOOKUP(DG696,Lookup_Control_Type_Table2,3,FALSE)),"")</f>
        <v/>
      </c>
      <c r="EZ696" s="1804" t="e">
        <f>VLOOKUP(DG696,Lookup!BB$3:BC$20,2,FALSE)</f>
        <v>#N/A</v>
      </c>
      <c r="FA696" s="1804" t="e">
        <f>VLOOKUP(EX696,Lookup_Control_Type_Table,2,FALSE)</f>
        <v>#N/A</v>
      </c>
      <c r="FB696" s="1804" t="e">
        <f>VLOOKUP(CS698,'Space Table'!$B$3:$L$163,7,FALSE)</f>
        <v>#N/A</v>
      </c>
      <c r="FC696" s="1826" t="b">
        <f>ISNUMBER(SEARCH("TLED",U698))</f>
        <v>0</v>
      </c>
      <c r="FE696" s="1698" t="str">
        <f>CONCATENATE(CQ696," - ",DG696)</f>
        <v xml:space="preserve"> - 0</v>
      </c>
      <c r="FG696" s="1702" t="str">
        <f>VLOOKUP(CW698,Fixtures!DN$27:EZ$77,38,FALSE)</f>
        <v/>
      </c>
      <c r="FH696" s="1702">
        <f>IFERROR(FG696*EH696,0)</f>
        <v>0</v>
      </c>
      <c r="FI696" s="133"/>
      <c r="FL696" s="1822" t="str">
        <f>IF(CQ696="Exterior","Not Daylighted",G699)</f>
        <v>Not Daylighted</v>
      </c>
      <c r="FM696" s="1824">
        <f>VLOOKUP(FL696,_New_Daylight_Table_Codes,2,FALSE)</f>
        <v>0</v>
      </c>
      <c r="FN696" s="1698">
        <f>IF(__Retrofit_TI_NC&gt;0,VLOOKUP(G698,'Space Table'!$B$3:$L$163,11,FALSE),AG697)</f>
        <v>0</v>
      </c>
      <c r="FO696" s="1698" t="e">
        <f>IF(__Retrofit_TI_NC=2,VLOOKUP(FQ696,_Control_Table,2,FALSE),VLOOKUP(FN696,_Control_Table,2,FALSE))</f>
        <v>#N/A</v>
      </c>
      <c r="FP696" s="1678" t="e">
        <f>VLOOKUP(CONCATENATE(FL696," ",FN696),Lookup!AY$102:AZ706,2,FALSE)</f>
        <v>#N/A</v>
      </c>
      <c r="FQ696" s="1678">
        <f>IF(__Retrofit_TI_NC=0,FN696,IF(AND(FT696&gt;0,FN696="Occupancy Sensor"),"Daylight + Occupancy",IF(AND(FT696&gt;0,VLOOKUP(FN696,_Control_Table,2,FALSE)&lt;4),"Interior Daylight Dimming",FN696)))</f>
        <v>0</v>
      </c>
      <c r="FS696" s="1686">
        <f>IF(CR696="Interior",VLOOKUP(CS696,Control_Savings_Interior,5,FALSE),0)</f>
        <v>0</v>
      </c>
      <c r="FT696" s="1687">
        <f>IF(CQ696="Exterior",0,IF(FM696=2,0.5,IF(OR(FM696=1,FM696=3),1,0)))</f>
        <v>0</v>
      </c>
      <c r="FU696" s="1685">
        <f>IF(R695&gt;FS$44,(FS696*(FS$44/R695)),FS696)*FT696</f>
        <v>0</v>
      </c>
      <c r="FV696" s="1686">
        <f>DI696</f>
        <v>0</v>
      </c>
      <c r="FW696" s="1686">
        <f>ROUND(FV696+((1-FV696)*FU696),2)</f>
        <v>0</v>
      </c>
      <c r="FX696" s="1686">
        <f>IF(__Retrofit_TI_NC=2,FW696,FV696)</f>
        <v>0</v>
      </c>
      <c r="FY696" s="1697"/>
      <c r="GA696" s="1696" t="str">
        <f>IFERROR(VLOOKUP(U697,_Exist_Fixture_Table,3,FALSE),"")</f>
        <v/>
      </c>
      <c r="GB696" s="1696" t="str">
        <f>VLOOKUP(CW696,_Exist_Fixture_Table,4,FALSE)</f>
        <v/>
      </c>
      <c r="GC696" s="1696">
        <f>IFERROR(VLOOKUP(GB696,Lookup!AT$6:AU$8,2,FALSE),0)</f>
        <v>0</v>
      </c>
      <c r="GD696" s="1696" t="b">
        <f>IFERROR(IF(OR(GF696=4,GF696=5,GF696=6),TRUE,FALSE),"")</f>
        <v>0</v>
      </c>
      <c r="GE696" s="1696" t="str">
        <f>IFERROR(VLOOKUP(GF696,GC$6:GD$10,2,FALSE),"")</f>
        <v/>
      </c>
      <c r="GF696" s="1696" t="str">
        <f>VLOOKUP(CW698,Fixtures!R$31:Y$78,8,FALSE)</f>
        <v/>
      </c>
      <c r="GG696" s="1696">
        <f>IF(AND(GA696=TRUE,GD696=TRUE,OR(DQ696=12,DQ696=13,DQ696=14)),GC696+8,0)</f>
        <v>0</v>
      </c>
      <c r="GH696" s="1696" t="b">
        <f>IF(OR(GG696=12,GG696=13,GG696=14),TRUE,FALSE)</f>
        <v>0</v>
      </c>
      <c r="GI696" s="673" t="b">
        <f>IF(ISNUMBER(SEARCH("TLED",U697)),TRUE,FALSE)</f>
        <v>0</v>
      </c>
      <c r="GJ696" s="1135" t="str">
        <f>IFERROR(VLOOKUP(U697,Fixtures!BM$93:BR$142,6,FALSE),"")</f>
        <v/>
      </c>
      <c r="GK696" s="1832" t="b">
        <f>IF(OR(GI696=FALSE,GI698=FALSE),TRUE,IF(GJ696-GJ698&lt;5,FALSE,TRUE))</f>
        <v>1</v>
      </c>
      <c r="GO696" s="674">
        <f>GP696</f>
        <v>0</v>
      </c>
      <c r="GP696" s="674">
        <f>IF(G696="",0,1)</f>
        <v>0</v>
      </c>
      <c r="GQ696" s="674">
        <f ca="1">SUM(GR696:HF696)</f>
        <v>2</v>
      </c>
      <c r="GR696" s="674">
        <f>IF(G697="",0,1)</f>
        <v>0</v>
      </c>
      <c r="GS696" s="674">
        <f>IF(N699="BAM",1,IF(G698="",0,1))</f>
        <v>0</v>
      </c>
      <c r="GT696" s="674">
        <f>IF(N699="BAM",1,IF(R697="",0,1))</f>
        <v>0</v>
      </c>
      <c r="GU696" s="674">
        <f>IF(N699="BAM",1,IF(__Retrofit_TI_NC=0,1,IF(R698="",0,1)))</f>
        <v>1</v>
      </c>
      <c r="GV696" s="674">
        <f>IF(N699="BAM",1,IF(CQ696="Exterior",1,IF(G699="",0,1)))</f>
        <v>1</v>
      </c>
      <c r="GW696" s="674">
        <f>IF(__Retrofit_TI_NC&gt;0,1,IF(T697="",0,1))</f>
        <v>0</v>
      </c>
      <c r="GX696" s="674">
        <f>IF(__Retrofit_TI_NC&gt;0,1,IF(U697="",0,1))</f>
        <v>0</v>
      </c>
      <c r="GY696" s="674">
        <f>IF(N699="BAM",1,IF(T698="",0,1))</f>
        <v>0</v>
      </c>
      <c r="GZ696" s="674">
        <f>IF(N699="BAM",1,IF(U698="",0,1))</f>
        <v>0</v>
      </c>
      <c r="HA696" s="674">
        <f ca="1">IF(N699="BAM",1,IF(__Retrofit_TI_NC&gt;0,1,IF(U699="",0,1)))</f>
        <v>0</v>
      </c>
      <c r="HB696" s="674">
        <f>IF(__Retrofit_TI_NC&lt;&gt;0,1,IF(AF697="",0,1))</f>
        <v>0</v>
      </c>
      <c r="HC696" s="674">
        <f>IF(__Retrofit_TI_NC&lt;&gt;0,1,IF(AG697="",0,1))</f>
        <v>0</v>
      </c>
      <c r="HD696" s="674">
        <f>IF(N699="BAM",1,IF(AF698="",0,1))</f>
        <v>0</v>
      </c>
      <c r="HE696" s="674">
        <f>IF(N699="BAM",1,IF(AG698="",0,1))</f>
        <v>0</v>
      </c>
      <c r="HF696" s="674">
        <f>IF(N699="BAM",1,IF(__Retrofit_TI_NC&gt;0,1,IF(AG699="",0,1)))</f>
        <v>0</v>
      </c>
      <c r="HG696" s="391"/>
      <c r="IA696" s="391"/>
      <c r="IB696" s="1693" t="b">
        <f>IF(OR(IB699=0,IB699=HY$16,IB699=HX$16,IB699=HZ$16),TRUE,FALSE)</f>
        <v>0</v>
      </c>
      <c r="IC696" s="1694" t="b">
        <f>IB696</f>
        <v>0</v>
      </c>
      <c r="ID696" s="391"/>
      <c r="IE696" s="391"/>
      <c r="IF696" s="1688" t="b">
        <f ca="1">IF(MAX(GN699:HU699)&gt;5,FALSE,TRUE)</f>
        <v>0</v>
      </c>
      <c r="IG696" s="1689">
        <f ca="1">IF(IF696=TRUE,AC696,0)</f>
        <v>0</v>
      </c>
      <c r="IH696" s="1689">
        <f ca="1">IG696-IG698</f>
        <v>0</v>
      </c>
      <c r="IK696" s="1689" t="e">
        <f>ROUND(T697*VLOOKUP(U697,Fixtures_Existing_List,2,FALSE)*N697*R697/1000,0)</f>
        <v>#N/A</v>
      </c>
      <c r="IL696" s="1690" t="e">
        <f>IK696-IK698</f>
        <v>#N/A</v>
      </c>
      <c r="IM696" s="1693" t="e">
        <f>ROUND(IF(CQ696="Interior",N698*R698*R697*N697*_C406_reduction/1000,N698*R698*R697*N697/1000),0)</f>
        <v>#N/A</v>
      </c>
      <c r="IN696" s="1693" t="e">
        <f>IM696-IM698</f>
        <v>#N/A</v>
      </c>
      <c r="IP696" s="1679"/>
      <c r="IQ696" s="1679" t="e">
        <f t="shared" ref="IQ696:IU696" si="641">IF($CR696="interior",VLOOKUP($CS696,_New_Control_Savings_Interior,IQ$30,FALSE),VLOOKUP($CS696,Control_Savings_Exterior,IQ$30,FALSE))</f>
        <v>#N/A</v>
      </c>
      <c r="IR696" s="1679" t="e">
        <f t="shared" si="641"/>
        <v>#N/A</v>
      </c>
      <c r="IS696" s="1679" t="e">
        <f t="shared" si="641"/>
        <v>#N/A</v>
      </c>
      <c r="IT696" s="1679" t="e">
        <f t="shared" si="641"/>
        <v>#N/A</v>
      </c>
      <c r="IU696" s="1679" t="e">
        <f t="shared" si="641"/>
        <v>#N/A</v>
      </c>
      <c r="IV696" s="1679" t="e">
        <f>IF($CR696="interior",IF(R697&gt;$IP$14,ROUND(($IV$18*($IP$14/R697)),2),$IV$18),VLOOKUP($CS696,Control_Savings_Exterior,IV$30,FALSE))</f>
        <v>#N/A</v>
      </c>
      <c r="IW696" s="1679" t="e">
        <f>IF($CR696="interior",ROUND(((1-IS696)*IV696)+IS696,2),VLOOKUP($CS696,Control_Savings_Exterior,IW$30,FALSE))</f>
        <v>#N/A</v>
      </c>
      <c r="IX696" s="1679" t="e">
        <f>IF($CR696="interior",ROUND(((1-IT696)*IV696)+IT696,2),VLOOKUP($CS696,Control_Savings_Exterior,IX$30,FALSE))</f>
        <v>#N/A</v>
      </c>
      <c r="IY696" s="1679" t="e">
        <f>IF($CR696="interior",IF(R697&gt;$IP$14,ROUND(($IY$18*($IP$14/R697)),2),$IY$18),VLOOKUP($CS696,Control_Savings_Exterior,IY$30,FALSE))</f>
        <v>#N/A</v>
      </c>
      <c r="IZ696" s="1679" t="e">
        <f>IF($CR696="interior",ROUND(((1-IS696)*IY696)+IS696,2),VLOOKUP($CS696,Control_Savings_Exterior,IZ$30,FALSE))</f>
        <v>#N/A</v>
      </c>
      <c r="JA696" s="1679" t="e">
        <f>IF($CR696="interior",ROUND(((1-IT696)*IY696)+IT696,2),VLOOKUP($CS696,Control_Savings_Exterior,JA$30,FALSE))</f>
        <v>#N/A</v>
      </c>
      <c r="JC696" s="1680">
        <f>IFERROR(IF(CR696="Interior",CONCATENATE(G699," ",FQ696),FQ696),"")</f>
        <v>0</v>
      </c>
      <c r="JD696" s="1670" t="str">
        <f>IFERROR(VLOOKUP(JC696,_Controls_2023,2,FALSE),"")</f>
        <v/>
      </c>
      <c r="JE696" s="1681">
        <f>IFERROR(CHOOSE(JD696-1,IQ696,IR696,IS696,IT696,IU696,IV696,IW696,IX696,IY696,IZ696,JA696),0)</f>
        <v>0</v>
      </c>
      <c r="JG696" s="1680" t="str">
        <f>FE696</f>
        <v xml:space="preserve"> - 0</v>
      </c>
      <c r="JH696" s="1670" t="e">
        <f>$FO696</f>
        <v>#N/A</v>
      </c>
      <c r="JI696" s="1060"/>
      <c r="JJ696" s="1682" t="b">
        <f>IF($JG698=CONCATENATE("Interior - ",JJ$4),TRUE,FALSE)</f>
        <v>0</v>
      </c>
      <c r="JK696" s="1061"/>
      <c r="JL696" s="1682" t="b">
        <f>IF($JG698=CONCATENATE("Interior - ",JL$4),TRUE,FALSE)</f>
        <v>0</v>
      </c>
      <c r="JM696" s="1061"/>
      <c r="JN696" s="1682" t="b">
        <f>IF($JG698=CONCATENATE("Interior - ",JN$4),TRUE,FALSE)</f>
        <v>0</v>
      </c>
      <c r="JO696" s="1061"/>
      <c r="JP696" s="1682" t="b">
        <f>IF(__Retrofit_TI_NC&gt;0,FALSE,IF($JG698=CONCATENATE("Interior - ",JP$4),TRUE,FALSE))</f>
        <v>0</v>
      </c>
      <c r="JQ696" s="1061"/>
      <c r="JR696" s="1682" t="b">
        <f>IF(__Retrofit_TI_NC&gt;0,FALSE,IF($JG698=CONCATENATE("Interior - ",JR$4),TRUE,FALSE))</f>
        <v>0</v>
      </c>
      <c r="JS696" s="1061"/>
      <c r="JT696" s="1670" t="b">
        <f>IF(__Retrofit_TI_NC&gt;0,FALSE,IF($JG698=CONCATENATE("Interior - ",JT$4),TRUE,FALSE))</f>
        <v>0</v>
      </c>
      <c r="JU696" s="1061"/>
      <c r="JV696" s="1670" t="b">
        <f>IF(JC698="AELC on Existing",TRUE,FALSE)</f>
        <v>0</v>
      </c>
      <c r="JX696" s="1670" t="b">
        <f>IF(OR(JG698="Exterior - AELC Occupancy based",JG698="Exterior - AELC Time based"),TRUE,FALSE)</f>
        <v>0</v>
      </c>
      <c r="JZ696" s="1682" t="b">
        <f>IF($JG698=CONCATENATE("Exterior - ",JZ$4),TRUE,FALSE)</f>
        <v>0</v>
      </c>
      <c r="KB696" s="1670" t="b">
        <f>IF(__Retrofit_TI_NC&gt;0,FALSE,IF($JG698=CONCATENATE("Interior - ",KB$4),TRUE,FALSE))</f>
        <v>0</v>
      </c>
    </row>
    <row r="697" spans="1:288" s="78" customFormat="1" ht="14.95" customHeight="1" thickTop="1" thickBot="1">
      <c r="B697" s="1845"/>
      <c r="C697" s="1846"/>
      <c r="D697" s="1847"/>
      <c r="E697" s="1737" t="s">
        <v>297</v>
      </c>
      <c r="F697" s="1738"/>
      <c r="G697" s="1739"/>
      <c r="H697" s="1739"/>
      <c r="I697" s="1739"/>
      <c r="J697" s="1739"/>
      <c r="K697" s="1739"/>
      <c r="L697" s="1739"/>
      <c r="M697" s="461" t="e">
        <f>IF(__Retrofit_TI_NC&lt;&gt;0,IF(VLOOKUP(G698,'Space Table'!$B$3:$L$163,3,FALSE)&gt;0,1,0),IF(__Retrofit_TI_NC=VLOOKUP(G698,'Space Table'!$B$3:$L$163,3,FALSE),1,0))</f>
        <v>#N/A</v>
      </c>
      <c r="N697" s="461" t="str">
        <f>IFERROR(VLOOKUP(G697,_Lookup_Heat_Type_Table_New,2,FALSE),"")</f>
        <v/>
      </c>
      <c r="O697" s="461">
        <f>IF(__Retrofit_TI_NC=1,CONCATENATE("TI ",G697),IF(__Retrofit_TI_NC=2,CONCATENATE("NC ",G697),G697))</f>
        <v>0</v>
      </c>
      <c r="P697" s="1740" t="s">
        <v>435</v>
      </c>
      <c r="Q697" s="1740"/>
      <c r="R697" s="595"/>
      <c r="S697" s="1792"/>
      <c r="T697" s="597"/>
      <c r="U697" s="1765"/>
      <c r="V697" s="1766"/>
      <c r="W697" s="1766"/>
      <c r="X697" s="1766"/>
      <c r="Y697" s="1766"/>
      <c r="Z697" s="1766"/>
      <c r="AA697" s="1766"/>
      <c r="AB697" s="1766"/>
      <c r="AC697" s="1766"/>
      <c r="AD697" s="1767"/>
      <c r="AE697" s="1000"/>
      <c r="AF697" s="597"/>
      <c r="AG697" s="1723"/>
      <c r="AH697" s="1724"/>
      <c r="AI697" s="1724"/>
      <c r="AJ697" s="1724"/>
      <c r="AK697" s="1725"/>
      <c r="AL697" s="996"/>
      <c r="AM697" s="1747"/>
      <c r="AN697" s="1775"/>
      <c r="AO697" s="1777"/>
      <c r="AP697" s="1780"/>
      <c r="AQ697" s="1781"/>
      <c r="AR697" s="1795"/>
      <c r="AS697" s="1795"/>
      <c r="AT697" s="1796"/>
      <c r="AU697" s="1735"/>
      <c r="AV697" s="1752"/>
      <c r="AW697" s="1705"/>
      <c r="AX697" s="467"/>
      <c r="AY697" s="1749"/>
      <c r="AZ697" s="1749"/>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696"/>
      <c r="CQ697" s="1696"/>
      <c r="CR697" s="1809"/>
      <c r="CS697" s="1811"/>
      <c r="CU697" s="1688"/>
      <c r="CV697" s="1703"/>
      <c r="CW697" s="1703"/>
      <c r="CX697" s="1703"/>
      <c r="CY697" s="1815"/>
      <c r="CZ697" s="1711"/>
      <c r="DA697" s="1818"/>
      <c r="DB697" s="1820"/>
      <c r="DC697" s="1820"/>
      <c r="DD697" s="1820"/>
      <c r="DF697" s="1703"/>
      <c r="DG697" s="1831"/>
      <c r="DH697" s="1703"/>
      <c r="DI697" s="1838"/>
      <c r="DJ697" s="1711"/>
      <c r="DK697" s="1712"/>
      <c r="DM697" s="1718"/>
      <c r="DO697" s="1708"/>
      <c r="DQ697" s="1715"/>
      <c r="DR697" s="1720"/>
      <c r="DS697" s="1816"/>
      <c r="DT697" s="1714"/>
      <c r="DU697" s="1715"/>
      <c r="DV697" s="1716"/>
      <c r="DX697" s="1715"/>
      <c r="DY697" s="1720"/>
      <c r="DZ697" s="1715"/>
      <c r="EA697" s="1715"/>
      <c r="EC697" s="1834"/>
      <c r="ED697" s="1834"/>
      <c r="EF697" s="1707"/>
      <c r="EG697" s="1712"/>
      <c r="EH697" s="1818"/>
      <c r="EI697" s="1712"/>
      <c r="EJ697" s="1712"/>
      <c r="EK697" s="1836"/>
      <c r="EL697" s="1836"/>
      <c r="EM697" s="1807"/>
      <c r="EN697" s="1839"/>
      <c r="EO697" s="1839"/>
      <c r="EP697" s="1817"/>
      <c r="EQ697" s="1817"/>
      <c r="ER697" s="1807"/>
      <c r="ES697" s="1807"/>
      <c r="ET697" s="1807"/>
      <c r="EV697" s="1715"/>
      <c r="EX697" s="1805"/>
      <c r="EY697" s="1805"/>
      <c r="EZ697" s="1805"/>
      <c r="FA697" s="1805"/>
      <c r="FB697" s="1805"/>
      <c r="FC697" s="1827"/>
      <c r="FE697" s="1698"/>
      <c r="FG697" s="1816"/>
      <c r="FH697" s="1816"/>
      <c r="FI697" s="133"/>
      <c r="FL697" s="1823"/>
      <c r="FM697" s="1825"/>
      <c r="FN697" s="1698"/>
      <c r="FO697" s="1698"/>
      <c r="FP697" s="1678"/>
      <c r="FQ697" s="1678"/>
      <c r="FS697" s="1687"/>
      <c r="FT697" s="1687"/>
      <c r="FU697" s="1685"/>
      <c r="FV697" s="1687"/>
      <c r="FW697" s="1687"/>
      <c r="FX697" s="1687"/>
      <c r="FY697" s="1697"/>
      <c r="GA697" s="1696"/>
      <c r="GB697" s="1696"/>
      <c r="GC697" s="1696"/>
      <c r="GD697" s="1696"/>
      <c r="GE697" s="1696"/>
      <c r="GF697" s="1696"/>
      <c r="GG697" s="1696"/>
      <c r="GH697" s="1696"/>
      <c r="GI697" s="673"/>
      <c r="GJ697" s="1135"/>
      <c r="GK697" s="1832"/>
      <c r="GM697" s="1693" t="b">
        <f ca="1">IF(AND(GP697=TRUE,GQ697=TRUE),TRUE,FALSE)</f>
        <v>0</v>
      </c>
      <c r="GN697" s="1684" t="b">
        <f>IFERROR(IF(__Retrofit_TI_NC=2,TRUE,IF(AU696="Yes",TRUE,FALSE)),FALSE)</f>
        <v>1</v>
      </c>
      <c r="GP697" s="1684" t="b">
        <f>IFERROR(IF(GP696=1,TRUE,FALSE),FALSE)</f>
        <v>0</v>
      </c>
      <c r="GQ697" s="1684" t="b">
        <f ca="1">IFERROR(IF(GQ696=GQ$14,TRUE,FALSE),FALSE)</f>
        <v>0</v>
      </c>
      <c r="HG697" s="1684" t="b">
        <f>IFERROR(IF(AND(__Retrofit_TI_NC&gt;0,CQ696="Interior"),FALSE,TRUE),FALSE)</f>
        <v>1</v>
      </c>
      <c r="HH697" s="1684" t="b">
        <f>IFERROR(IF(M697=1,TRUE,FALSE),FALSE)</f>
        <v>0</v>
      </c>
      <c r="HI697" s="1684" t="b">
        <f>IFERROR(IF(OR(M698=1,N699="BAM"),TRUE,FALSE),FALSE)</f>
        <v>0</v>
      </c>
      <c r="HJ697" s="1684" t="b">
        <f>IFERROR(IF(__Retrofit_TI_NC&lt;&gt;0,TRUE,IFERROR(IF(VLOOKUP(U697,Fixtures_Existing_List,2,FALSE)&lt;&gt;"",TRUE,FALSE),FALSE)),FALSE)</f>
        <v>0</v>
      </c>
      <c r="HK697" s="1684" t="b">
        <f>IFERROR(IF(VLOOKUP(U698,Fixtures_Proposed_List,2,FALSE)&lt;&gt;"",TRUE,FALSE),FALSE)</f>
        <v>0</v>
      </c>
      <c r="HL697" s="1684" t="b">
        <f>IF(AND(__Retrofit_TI_NC=2,FC696=TRUE),FALSE,TRUE)</f>
        <v>1</v>
      </c>
      <c r="HM697" s="1684" t="b">
        <f>GK696</f>
        <v>1</v>
      </c>
      <c r="HN697" s="1682" t="b">
        <f>IF(ISERROR(MATCH(FE696,_Control_Match[],0))=TRUE,FALSE,TRUE)</f>
        <v>0</v>
      </c>
      <c r="HO697" s="1693" t="b">
        <f>IFERROR(IF(EX696&lt;&gt;EY696,FALSE,TRUE),FALSE)</f>
        <v>1</v>
      </c>
      <c r="HP697" s="1693" t="b">
        <f>IFERROR(IF(EX698&lt;&gt;EY698,FALSE,TRUE),FALSE)</f>
        <v>1</v>
      </c>
      <c r="HQ697" s="1670" t="b">
        <f>IFERROR(IF(CQ696="Exterior",TRUE,IF(AND(OR(FM698=0,FM698=3),JD698&gt;6),FALSE,TRUE)),FALSE)</f>
        <v>0</v>
      </c>
      <c r="HR697" s="1684" t="b">
        <f>IFERROR(IF(AND(FO698=7,FC696=TRUE),FALSE,TRUE),FALSE)</f>
        <v>0</v>
      </c>
      <c r="HS697" s="1684" t="b">
        <f>IFERROR(IF(AND(T698&lt;&gt;AF698,OR(AG698="Interior LLLC", AG698="Interior NLC", AG698="LLLC (outside Daylight)",AG698="LLLC Controls Only"))=TRUE,FALSE,TRUE),FALSE)</f>
        <v>1</v>
      </c>
      <c r="HT697" s="1670" t="b">
        <f>IFERROR(IF(OR(AG698=Lookup!BB$17,AG698=Lookup!BB$18,AG698=Lookup!BB$19)=TRUE,IF(AF698&gt;T698,FALSE,TRUE),TRUE),FALSE)</f>
        <v>1</v>
      </c>
      <c r="HU697" s="1684" t="b">
        <f>IFERROR(IF(__Retrofit_TI_NC=2,IF(EZ698&lt;EZ696,FALSE,TRUE),TRUE),FALSE)</f>
        <v>1</v>
      </c>
      <c r="HV697" s="1684" t="b">
        <f>IF(CQ696="Interior",IL$6,TRUE)</f>
        <v>1</v>
      </c>
      <c r="HW697" s="1684" t="b">
        <f>IF(CQ696="Exterior",IL$8,TRUE)</f>
        <v>1</v>
      </c>
      <c r="HX697" s="1684" t="b">
        <f>IFERROR(IF(__Retrofit_TI_NC&lt;&gt;0,IF(AZ696&lt;AY696,FALSE,TRUE),TRUE),FALSE)</f>
        <v>1</v>
      </c>
      <c r="HY697" s="1684" t="b">
        <f>IFERROR(IF(AND(G697="Exterior",R697&gt;4200),FALSE,TRUE),FALSE)</f>
        <v>1</v>
      </c>
      <c r="HZ697" s="1684" t="b">
        <f>IFERROR(IF(AB699/AB696&lt;HZ$18,FALSE,TRUE),FALSE)</f>
        <v>0</v>
      </c>
      <c r="IB697" s="1691"/>
      <c r="IC697" s="1695"/>
      <c r="ID697" s="1694" t="str">
        <f>VLOOKUP(IB699,_Error_Table,4,FALSE)</f>
        <v>White</v>
      </c>
      <c r="IE697" s="391"/>
      <c r="IF697" s="1688"/>
      <c r="IG697" s="1689"/>
      <c r="IH697" s="1684"/>
      <c r="IK697" s="1689"/>
      <c r="IL697" s="1691"/>
      <c r="IM697" s="1691"/>
      <c r="IN697" s="1691"/>
      <c r="IP697" s="1679"/>
      <c r="IQ697" s="1679"/>
      <c r="IR697" s="1679"/>
      <c r="IS697" s="1679"/>
      <c r="IT697" s="1679"/>
      <c r="IU697" s="1679"/>
      <c r="IV697" s="1679"/>
      <c r="IW697" s="1679"/>
      <c r="IX697" s="1679"/>
      <c r="IY697" s="1679"/>
      <c r="IZ697" s="1679"/>
      <c r="JA697" s="1679"/>
      <c r="JC697" s="1680"/>
      <c r="JD697" s="1670"/>
      <c r="JE697" s="1681"/>
      <c r="JG697" s="1680"/>
      <c r="JH697" s="1670"/>
      <c r="JI697" s="1060"/>
      <c r="JJ697" s="1683"/>
      <c r="JK697" s="1061"/>
      <c r="JL697" s="1683"/>
      <c r="JM697" s="1061"/>
      <c r="JN697" s="1683"/>
      <c r="JO697" s="1061"/>
      <c r="JP697" s="1683"/>
      <c r="JQ697" s="1061"/>
      <c r="JR697" s="1683"/>
      <c r="JS697" s="1061"/>
      <c r="JT697" s="1670"/>
      <c r="JU697" s="1061"/>
      <c r="JV697" s="1670"/>
      <c r="JX697" s="1670"/>
      <c r="JZ697" s="1683"/>
      <c r="KB697" s="1670"/>
    </row>
    <row r="698" spans="1:288" s="78" customFormat="1" ht="14.95" customHeight="1" thickTop="1" thickBot="1">
      <c r="A698" s="78">
        <f>ROW()</f>
        <v>698</v>
      </c>
      <c r="B698" s="1845"/>
      <c r="C698" s="1846"/>
      <c r="D698" s="1847"/>
      <c r="E698" s="1737" t="s">
        <v>298</v>
      </c>
      <c r="F698" s="1738"/>
      <c r="G698" s="1760"/>
      <c r="H698" s="1761"/>
      <c r="I698" s="1761"/>
      <c r="J698" s="1761"/>
      <c r="K698" s="1761"/>
      <c r="L698" s="1762"/>
      <c r="M698" s="461">
        <f>IFERROR(IF(IF(__Retrofit_TI_NC&lt;&gt;0,IF(CQ696="Interior",MATCH(G698,Lookup_Interior_New,0),MATCH(G698,Lookup_Exterior_New,0)),IF(CQ696="Interior",MATCH(G698,Lookup_Interior,0),MATCH(G698,Lookup_Exterior_Areas,0)))&gt;0,1,0),0)</f>
        <v>0</v>
      </c>
      <c r="N698" s="461" t="e">
        <f>IF(__Retrofit_TI_NC=1,
VLOOKUP(G698,'Space Table'!$B$3:$L$163,4,FALSE),
IF(__Retrofit_TI_NC=2,VLOOKUP(G698,'Space Table'!$B$3:$L$163,5,FALSE),VLOOKUP(G698,'Space Table'!$B$3:$L$163,5,FALSE)))</f>
        <v>#N/A</v>
      </c>
      <c r="O698" s="461">
        <f>G698</f>
        <v>0</v>
      </c>
      <c r="P698" s="1738" t="str">
        <f>IFERROR(IF(__Retrofit_TI_NC=1,VLOOKUP(G698,'Space Table'!$B$3:$O$163,13,FALSE),IF(__Retrofit_TI_NC=2,VLOOKUP(G698,'Space Table'!$B$3:$O$163,14,FALSE),"Area (sf):")),"Area (sf):")</f>
        <v>Area (sf):</v>
      </c>
      <c r="Q698" s="1738"/>
      <c r="R698" s="596"/>
      <c r="S698" s="1763" t="s">
        <v>345</v>
      </c>
      <c r="T698" s="594"/>
      <c r="U698" s="1801"/>
      <c r="V698" s="1802"/>
      <c r="W698" s="1802"/>
      <c r="X698" s="1802"/>
      <c r="Y698" s="1802"/>
      <c r="Z698" s="1802"/>
      <c r="AA698" s="1802"/>
      <c r="AB698" s="1802"/>
      <c r="AC698" s="1802"/>
      <c r="AD698" s="1802"/>
      <c r="AE698" s="1803"/>
      <c r="AF698" s="594"/>
      <c r="AG698" s="1787"/>
      <c r="AH698" s="1787"/>
      <c r="AI698" s="1787"/>
      <c r="AJ698" s="1787"/>
      <c r="AK698" s="1787"/>
      <c r="AL698" s="1787"/>
      <c r="AM698" s="1726">
        <f>IFERROR(DI698,"")</f>
        <v>0</v>
      </c>
      <c r="AN698" s="1728" t="str">
        <f>IFERROR(ROUND(AM698*AC699,0),"")</f>
        <v/>
      </c>
      <c r="AO698" s="1730">
        <f>IFERROR(IF(IB696=FALSE,0,AC699-AN698),0)</f>
        <v>0</v>
      </c>
      <c r="AP698" s="1780"/>
      <c r="AQ698" s="1781"/>
      <c r="AR698" s="1795"/>
      <c r="AS698" s="1795"/>
      <c r="AT698" s="1796"/>
      <c r="AU698" s="1735"/>
      <c r="AV698" s="1752"/>
      <c r="AW698" s="1705"/>
      <c r="AX698" s="467"/>
      <c r="AY698" s="1749"/>
      <c r="AZ698" s="1749"/>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696"/>
      <c r="CQ698" s="1696"/>
      <c r="CR698" s="1808" t="str">
        <f>CQ696</f>
        <v/>
      </c>
      <c r="CS698" s="1810" t="str">
        <f>CS696</f>
        <v/>
      </c>
      <c r="CU698" s="1688" t="s">
        <v>345</v>
      </c>
      <c r="CV698" s="1702">
        <f>IF(IB696=TRUE,T698,0)</f>
        <v>0</v>
      </c>
      <c r="CW698" s="1702" t="str">
        <f>IF(IB696=TRUE,U698,"")</f>
        <v/>
      </c>
      <c r="CX698" s="1812">
        <f>IF(IB696=TRUE,U699,0)</f>
        <v>0</v>
      </c>
      <c r="CY698" s="1814">
        <f>IF(IB696=TRUE,AB699,0)</f>
        <v>0</v>
      </c>
      <c r="CZ698" s="1710">
        <f>IF(AND(__Retrofit_TI_NC&gt;0,CR696="interior"),0,IF(IB696=TRUE,AC699,0))</f>
        <v>0</v>
      </c>
      <c r="DA698" s="1818"/>
      <c r="DB698" s="1820"/>
      <c r="DC698" s="1820"/>
      <c r="DD698" s="1820"/>
      <c r="DF698" s="1702">
        <f>IF(IB696=TRUE,AF698,0)</f>
        <v>0</v>
      </c>
      <c r="DG698" s="1830" t="str">
        <f>IF(IB696=TRUE,AG698,"")</f>
        <v/>
      </c>
      <c r="DH698" s="1812">
        <f>AG699</f>
        <v>0</v>
      </c>
      <c r="DI698" s="1837">
        <f>JE698</f>
        <v>0</v>
      </c>
      <c r="DJ698" s="1710">
        <f>IF(AND(__Retrofit_TI_NC&gt;0,CR696="interior"),0,IF(IB696=TRUE,AN698,0))</f>
        <v>0</v>
      </c>
      <c r="DK698" s="1712"/>
      <c r="DN698" s="1717">
        <f>IFERROR(CZ698-DJ698,0)</f>
        <v>0</v>
      </c>
      <c r="DO698" s="1709"/>
      <c r="DQ698" s="1715"/>
      <c r="DR698" s="1719" t="str">
        <f>DQ696</f>
        <v/>
      </c>
      <c r="DS698" s="1816"/>
      <c r="DT698" s="1835" t="str">
        <f>IF(OR(DS696=7,DS696=8,DS696=9),"ALC","")</f>
        <v/>
      </c>
      <c r="DU698" s="1715"/>
      <c r="DV698" s="1716"/>
      <c r="DX698" s="1715"/>
      <c r="DY698" s="1829" t="str">
        <f>DX696</f>
        <v/>
      </c>
      <c r="DZ698" s="1715"/>
      <c r="EA698" s="1715"/>
      <c r="EC698" s="1834"/>
      <c r="ED698" s="1834"/>
      <c r="EF698" s="1707"/>
      <c r="EG698" s="1712"/>
      <c r="EH698" s="1818"/>
      <c r="EI698" s="1712"/>
      <c r="EJ698" s="1712"/>
      <c r="EK698" s="1836"/>
      <c r="EL698" s="1836"/>
      <c r="EM698" s="1807"/>
      <c r="EN698" s="1839"/>
      <c r="EO698" s="1839"/>
      <c r="EP698" s="1817"/>
      <c r="EQ698" s="1817"/>
      <c r="ER698" s="1807"/>
      <c r="ES698" s="1807"/>
      <c r="ET698" s="1807"/>
      <c r="EV698" s="1715"/>
      <c r="EX698" s="1805" t="str">
        <f>IFERROR(VLOOKUP(CS698,'Space Table'!$B$3:$L$163,8,FALSE),"")</f>
        <v/>
      </c>
      <c r="EY698" s="1805" t="str">
        <f>IFERROR(IF(FB698="Yes",VLOOKUP(AG698,Lookup_Control_Type_Table2,4,FALSE),VLOOKUP(AG698,Lookup_Control_Type_Table2,3,FALSE)),"")</f>
        <v/>
      </c>
      <c r="EZ698" s="1805" t="e">
        <f>VLOOKUP(AG698,Lookup!BB$3:BC$20,2,FALSE)</f>
        <v>#N/A</v>
      </c>
      <c r="FA698" s="1805" t="e">
        <f>VLOOKUP(EX696,Lookup_Control_Type_Table,2,FALSE)</f>
        <v>#N/A</v>
      </c>
      <c r="FB698" s="1805" t="e">
        <f>VLOOKUP(CS698,'Space Table'!$B$3:$L$163,7,FALSE)</f>
        <v>#N/A</v>
      </c>
      <c r="FC698" s="1827"/>
      <c r="FE698" s="1698" t="str">
        <f>CONCATENATE(CQ696," - ",AG698)</f>
        <v xml:space="preserve"> - </v>
      </c>
      <c r="FG698" s="1816"/>
      <c r="FH698" s="1816"/>
      <c r="FI698" s="133"/>
      <c r="FL698" s="1822" t="str">
        <f>IF(CQ696="Exterior","Not Daylighted",G699)</f>
        <v>Not Daylighted</v>
      </c>
      <c r="FM698" s="1824">
        <f>VLOOKUP(FL698,_New_Daylight_Table_Codes,2,FALSE)</f>
        <v>0</v>
      </c>
      <c r="FN698" s="1698">
        <f>AG698</f>
        <v>0</v>
      </c>
      <c r="FO698" s="1698" t="e">
        <f>VLOOKUP(FN698,_Control_Table,2,FALSE)</f>
        <v>#N/A</v>
      </c>
      <c r="FP698" s="1678" t="e">
        <f>VLOOKUP(CONCATENATE(FL698," ",FN698),Lookup!AY$102:AZ709,2,FALSE)</f>
        <v>#N/A</v>
      </c>
      <c r="FQ698" s="1698">
        <f>IF(__Retrofit_TI_NC=0,FN698,IF(AND(FT698&gt;0,FN698="Occupancy Sensor"),"Daylight + Occupancy",IF(AND(FT698&gt;0,FO698&lt;4),"Interior Daylight Dimming",FN698)))</f>
        <v>0</v>
      </c>
      <c r="FS698" s="1686">
        <f>IF(CQ696="Interior",VLOOKUP(CS696,Control_Savings_Interior,5,FALSE),0)</f>
        <v>0</v>
      </c>
      <c r="FT698" s="1687">
        <f>IF(CQ698="Exterior",0,IF(FM698=2,0.5,IF(OR(FM698=1,FM698=3),1,0)))</f>
        <v>0</v>
      </c>
      <c r="FU698" s="1685">
        <f>IF(R697&gt;FS$44,(FS698*(FS$44/R697)),FS698)*FT698</f>
        <v>0</v>
      </c>
      <c r="FV698" s="1686">
        <f>DI698</f>
        <v>0</v>
      </c>
      <c r="FW698" s="1686">
        <f>ROUND(FV698+((1-FV698)*FU698),2)</f>
        <v>0</v>
      </c>
      <c r="FX698" s="1686">
        <f>IF(__Retrofit_TI_NC=2,FW698,FV698)</f>
        <v>0</v>
      </c>
      <c r="FY698" s="1697">
        <f>IF(CR698="Interior",VLOOKUP(CS698,Control_Savings_Interior,4,FALSE),0)</f>
        <v>0</v>
      </c>
      <c r="GA698" s="1696"/>
      <c r="GB698" s="1696"/>
      <c r="GC698" s="1696"/>
      <c r="GD698" s="1696"/>
      <c r="GE698" s="1696"/>
      <c r="GF698" s="1696"/>
      <c r="GG698" s="1696"/>
      <c r="GH698" s="1696"/>
      <c r="GI698" s="673" t="b">
        <f>IF(ISNUMBER(SEARCH("TLED",U698)),TRUE,FALSE)</f>
        <v>0</v>
      </c>
      <c r="GJ698" s="1135" t="str">
        <f>IFERROR(VLOOKUP(U698,Fixtures!DM$93:DR$142,6,FALSE),"")</f>
        <v/>
      </c>
      <c r="GK698" s="1832"/>
      <c r="GM698" s="1692"/>
      <c r="GN698" s="1684"/>
      <c r="GP698" s="1684"/>
      <c r="GQ698" s="1684"/>
      <c r="HG698" s="1684"/>
      <c r="HH698" s="1684"/>
      <c r="HI698" s="1684"/>
      <c r="HJ698" s="1684"/>
      <c r="HK698" s="1684"/>
      <c r="HL698" s="1684"/>
      <c r="HM698" s="1684"/>
      <c r="HN698" s="1683"/>
      <c r="HO698" s="1692"/>
      <c r="HP698" s="1692"/>
      <c r="HQ698" s="1670"/>
      <c r="HR698" s="1684"/>
      <c r="HS698" s="1684"/>
      <c r="HT698" s="1670"/>
      <c r="HU698" s="1684"/>
      <c r="HV698" s="1684"/>
      <c r="HW698" s="1684"/>
      <c r="HX698" s="1684"/>
      <c r="HY698" s="1684"/>
      <c r="HZ698" s="1684"/>
      <c r="IB698" s="1692"/>
      <c r="IC698" s="1693" t="b">
        <f>IB696</f>
        <v>0</v>
      </c>
      <c r="ID698" s="1695"/>
      <c r="IE698" s="391"/>
      <c r="IF698" s="1688"/>
      <c r="IG698" s="1689">
        <f ca="1">IF(IF696=TRUE,AC699,0)</f>
        <v>0</v>
      </c>
      <c r="IH698" s="1684"/>
      <c r="IK698" s="1689" t="e">
        <f>ROUND(T698*AB699*N697*R697/1000,0)</f>
        <v>#VALUE!</v>
      </c>
      <c r="IL698" s="1691"/>
      <c r="IM698" s="1693" t="e">
        <f>ROUND(T698*AB699*N697*R697/1000,0)</f>
        <v>#VALUE!</v>
      </c>
      <c r="IN698" s="1691"/>
      <c r="IP698" s="1679"/>
      <c r="IQ698" s="1679" t="e">
        <f t="shared" ref="IQ698:IU698" si="642">IF($CR698="interior",VLOOKUP($CS698,_New_Control_Savings_Interior,IQ$30,FALSE),VLOOKUP($CS698,Control_Savings_Exterior,IQ$30,FALSE))</f>
        <v>#N/A</v>
      </c>
      <c r="IR698" s="1679" t="e">
        <f t="shared" si="642"/>
        <v>#N/A</v>
      </c>
      <c r="IS698" s="1679" t="e">
        <f t="shared" si="642"/>
        <v>#N/A</v>
      </c>
      <c r="IT698" s="1679" t="e">
        <f t="shared" si="642"/>
        <v>#N/A</v>
      </c>
      <c r="IU698" s="1679" t="e">
        <f t="shared" si="642"/>
        <v>#N/A</v>
      </c>
      <c r="IV698" s="1679" t="e">
        <f>IF($CR698="interior",IF(R697&gt;$IP$14,ROUND(($IV$18*($IP$14/R697)),2),$IV$18),VLOOKUP($CS698,Control_Savings_Exterior,IV$30,FALSE))</f>
        <v>#N/A</v>
      </c>
      <c r="IW698" s="1679" t="e">
        <f>IF($CR698="interior",ROUND(((1-IS698)*IV698)+IS698,2),VLOOKUP($CS698,Control_Savings_Exterior,IW$30,FALSE))</f>
        <v>#N/A</v>
      </c>
      <c r="IX698" s="1679" t="e">
        <f>IF($CR698="interior",ROUND(((1-IT698)*IV698)+IT698,2),VLOOKUP($CS698,Control_Savings_Exterior,IX$30,FALSE))</f>
        <v>#N/A</v>
      </c>
      <c r="IY698" s="1679" t="e">
        <f>IF($CR698="interior",IF(R697&gt;$IP$14,ROUND(($IY$18*($IP$14/R697)),2),$IY$18),VLOOKUP($CS698,Control_Savings_Exterior,IY$30,FALSE))</f>
        <v>#N/A</v>
      </c>
      <c r="IZ698" s="1679" t="e">
        <f>IF($CR698="interior",ROUND(((1-IS698)*IY698)+IS698,2),VLOOKUP($CS698,Control_Savings_Exterior,IZ$30,FALSE))</f>
        <v>#N/A</v>
      </c>
      <c r="JA698" s="1679" t="e">
        <f>IF($CR698="interior",ROUND(((1-IT698)*IY698)+IT698,2),VLOOKUP($CS698,Control_Savings_Exterior,JA$30,FALSE))</f>
        <v>#N/A</v>
      </c>
      <c r="JC698" s="1680">
        <f>IFERROR(IF(CR698="Interior",CONCATENATE(G699," ",FQ698),AG698),"")</f>
        <v>0</v>
      </c>
      <c r="JD698" s="1670" t="str">
        <f>IFERROR(VLOOKUP(JC698,_Controls_2023,2,FALSE),"")</f>
        <v/>
      </c>
      <c r="JE698" s="1681">
        <f>IFERROR(CHOOSE(JD698-1,IQ698,IR698,IS698,IT698,IU698,IV698,IW698,IX698,IY698,IZ698,JA698),0)</f>
        <v>0</v>
      </c>
      <c r="JG698" s="1680" t="str">
        <f>FE698</f>
        <v xml:space="preserve"> - </v>
      </c>
      <c r="JH698" s="1670" t="e">
        <f>$FO698</f>
        <v>#N/A</v>
      </c>
      <c r="JI698" s="1060"/>
      <c r="JJ698" s="1670">
        <f>IFERROR(IF($IB696=TRUE,IF(OR(JJ$14="No",JJ696=FALSE,JH698&lt;=JH696,AND(_kWh_Grant=0,GD696=FALSE)),0,IF(JJ$8="Per Line",1,$AF698)),0),0)</f>
        <v>0</v>
      </c>
      <c r="JK698" s="1061"/>
      <c r="JL698" s="1670">
        <f>IFERROR(IF(_kWh_Grant=0,0,IF($IB696=TRUE,IF(OR(JL$14="No",JL696=FALSE,JH698&lt;=JH696),0,IF(JL$8="Per Line",1,$T698)),0)),0)</f>
        <v>0</v>
      </c>
      <c r="JM698" s="1061"/>
      <c r="JN698" s="1670">
        <f>IFERROR(IF(_kWh_Grant=0,0,IF($IB696=TRUE,IF(OR(JN$14="No",JN696=FALSE,JH698&lt;=JH696),0,IF(JN$8="Per Line",1,$AF698)),0)),0)</f>
        <v>0</v>
      </c>
      <c r="JO698" s="1061"/>
      <c r="JP698" s="1670">
        <f>IFERROR(IF(__Retrofit_TI_NC=0,IF(_kWh_Grant=0,0,IF($IB696=TRUE,IF(OR(JP$14="No",JP696=FALSE,$JH698&lt;=$JH696),0,IF(JP$8="Per Line",1,$AF698)),0)),IF($IB696=TRUE,IF(OR(JP$14="No",JP696=FALSE,$JH698&lt;=$JH696),0,IF(JP$8="Per Line",1,$AF698)))),0)</f>
        <v>0</v>
      </c>
      <c r="JQ698" s="1061"/>
      <c r="JR698" s="1670">
        <f>IFERROR(IF(__Retrofit_TI_NC=0,IF(_kWh_Grant=0,0,IF($IB696=TRUE,IF(OR(JR$14="No",JR696=FALSE,$JH698&lt;=$JH696),0,IF(JR$8="Per Line",1,$AF698)),0)),IF($IB696=TRUE,IF(OR(JR$14="No",JR696=FALSE,$JH698&lt;=$JH696),0,IF(JR$8="Per Line",1,$AF698)))),0)</f>
        <v>0</v>
      </c>
      <c r="JS698" s="1061"/>
      <c r="JT698" s="1670">
        <f>IFERROR(IF(__Retrofit_TI_NC=0,IF(_kWh_Grant=0,0,IF($IB696=TRUE,IF(OR(JT$14="No",JT696=FALSE,$JH698&lt;=$JH696),0,IF(JT$8="Per Line",1,$AF698)),0)),IF($IB696=TRUE,IF(OR(JT$14="No",JT696=FALSE,$JH698&lt;=$JH696),0,IF(JT$8="Per Line",1,$AF698)))),0)</f>
        <v>0</v>
      </c>
      <c r="JU698" s="1061"/>
      <c r="JV698" s="1670">
        <f>IFERROR(IF(__Retrofit_TI_NC=0,IF(_kWh_Grant=0,0,IF($IB696=TRUE,IF(OR(JV$14="No",JV696=FALSE,$JH698&lt;=$JH696),0,IF(JV$8="Per Line",1,$AF698)),0)),IF($IB696=TRUE,IF(OR(JV$14="No",JV696=FALSE,$JH698&lt;=$JH696),0,IF(JV$8="Per Line",1,$AF698)))),0)</f>
        <v>0</v>
      </c>
      <c r="JX698" s="1670">
        <f>IFERROR(IF(__Retrofit_TI_NC=0,IF(_kWh_Grant=0,0,IF($IB696=TRUE,IF(OR(JX$14="No",JX696=FALSE,$JH698&lt;=$JH696),0,IF(JX$8="Per Line",1,$AF698)),0)),IF($IB696=TRUE,IF(OR(JX$14="No",JX696=FALSE,$JH698&lt;=$JH696),0,IF(JX$8="Per Line",1,$AF698)))),0)</f>
        <v>0</v>
      </c>
      <c r="JZ698" s="1670">
        <f>IFERROR(IF($IB696=TRUE,IF(OR(JZ$14="No",JZ696=FALSE,$JH698&lt;=$JH696,AND(_kWh_Grant=0,$GD696=FALSE)),0,IF(JZ$8="Per Line",1,$AF698)),0),0)</f>
        <v>0</v>
      </c>
      <c r="KB698" s="1670">
        <f>IFERROR(IF(__Retrofit_TI_NC=0,IF(_kWh_Grant=0,0,IF($IB696=TRUE,IF(OR(KB$14="No",KB696=FALSE,$JH698&lt;=$JH696),0,IF(KB$8="Per Line",1,$AF698)),0)),IF($IB696=TRUE,IF(OR(KB$14="No",KB696=FALSE,$JH698&lt;=$JH696),0,IF(KB$8="Per Line",1,$AF698)))),0)</f>
        <v>0</v>
      </c>
    </row>
    <row r="699" spans="1:288" s="78" customFormat="1" ht="14.95" customHeight="1" thickTop="1" thickBot="1">
      <c r="B699" s="1845"/>
      <c r="C699" s="1846"/>
      <c r="D699" s="1847"/>
      <c r="E699" s="1771" t="s">
        <v>436</v>
      </c>
      <c r="F699" s="1772"/>
      <c r="G699" s="1784" t="s">
        <v>437</v>
      </c>
      <c r="H699" s="1785"/>
      <c r="I699" s="1785"/>
      <c r="J699" s="1785"/>
      <c r="K699" s="1785"/>
      <c r="L699" s="1786"/>
      <c r="M699" s="591">
        <f>IFERROR(VLOOKUP(G699,_Daylight_Table[],2,FALSE),0)</f>
        <v>0</v>
      </c>
      <c r="N699" s="592" t="str">
        <f>IF(AND(__Retrofit_TI_NC&gt;0,CQ696="Interior"),"BAM","")</f>
        <v/>
      </c>
      <c r="O699" s="591" t="e">
        <f>VLOOKUP(G698,'Space Table'!$B$3:$L$163,11,FALSE)</f>
        <v>#N/A</v>
      </c>
      <c r="P699" s="1789"/>
      <c r="Q699" s="1790"/>
      <c r="R699" s="1790"/>
      <c r="S699" s="1788"/>
      <c r="T699" s="593" t="s">
        <v>342</v>
      </c>
      <c r="U699" s="1756" t="str" cm="1">
        <f t="array" aca="1" ref="U699" ca="1">IFERROR(VLOOKUP(INDIRECT("U" &amp; ROW()-1),Fixtures!DM$93:DP$142,4,FALSE),"")</f>
        <v/>
      </c>
      <c r="V699" s="1757"/>
      <c r="W699" s="1757"/>
      <c r="X699" s="1757"/>
      <c r="Y699" s="1757"/>
      <c r="Z699" s="1757"/>
      <c r="AA699" s="1758"/>
      <c r="AB699" s="939" t="str">
        <f>IFERROR(VLOOKUP(U698,Fixtures_Proposed_List,2,FALSE),"")</f>
        <v/>
      </c>
      <c r="AC699" s="933" t="str">
        <f>IFERROR(ROUND(T698*AB699*N697*R697/1000,0),"")</f>
        <v/>
      </c>
      <c r="AD699" s="934" t="str">
        <f>IFERROR(ROUND(T698*AB699/1000,2),"")</f>
        <v/>
      </c>
      <c r="AE699" s="998"/>
      <c r="AF699" s="938" t="s">
        <v>342</v>
      </c>
      <c r="AG699" s="1770"/>
      <c r="AH699" s="1770"/>
      <c r="AI699" s="1770"/>
      <c r="AJ699" s="1770"/>
      <c r="AK699" s="1770"/>
      <c r="AL699" s="1770"/>
      <c r="AM699" s="1727"/>
      <c r="AN699" s="1729"/>
      <c r="AO699" s="1731"/>
      <c r="AP699" s="1782"/>
      <c r="AQ699" s="1783"/>
      <c r="AR699" s="1797"/>
      <c r="AS699" s="1797"/>
      <c r="AT699" s="1798"/>
      <c r="AU699" s="1736"/>
      <c r="AV699" s="1753"/>
      <c r="AW699" s="1706"/>
      <c r="AX699" s="468"/>
      <c r="AY699" s="1750"/>
      <c r="AZ699" s="1750"/>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696"/>
      <c r="CQ699" s="1696"/>
      <c r="CR699" s="1809"/>
      <c r="CS699" s="1811"/>
      <c r="CU699" s="1688"/>
      <c r="CV699" s="1703"/>
      <c r="CW699" s="1703"/>
      <c r="CX699" s="1813"/>
      <c r="CY699" s="1815"/>
      <c r="CZ699" s="1711"/>
      <c r="DA699" s="1815"/>
      <c r="DB699" s="1821"/>
      <c r="DC699" s="1821"/>
      <c r="DD699" s="1821"/>
      <c r="DF699" s="1703"/>
      <c r="DG699" s="1831"/>
      <c r="DH699" s="1813"/>
      <c r="DI699" s="1838"/>
      <c r="DJ699" s="1711"/>
      <c r="DK699" s="1712"/>
      <c r="DN699" s="1718"/>
      <c r="DO699" s="1709"/>
      <c r="DQ699" s="1715"/>
      <c r="DR699" s="1720"/>
      <c r="DS699" s="1703"/>
      <c r="DT699" s="1714"/>
      <c r="DU699" s="1715"/>
      <c r="DV699" s="1716"/>
      <c r="DX699" s="1715"/>
      <c r="DY699" s="1720"/>
      <c r="DZ699" s="1715"/>
      <c r="EA699" s="1715"/>
      <c r="EC699" s="1834"/>
      <c r="ED699" s="1834"/>
      <c r="EF699" s="1707"/>
      <c r="EG699" s="1712"/>
      <c r="EH699" s="1815"/>
      <c r="EI699" s="1712"/>
      <c r="EJ699" s="1712"/>
      <c r="EK699" s="1813"/>
      <c r="EL699" s="1813"/>
      <c r="EM699" s="1807"/>
      <c r="EN699" s="1839"/>
      <c r="EO699" s="1839"/>
      <c r="EP699" s="1817"/>
      <c r="EQ699" s="1817"/>
      <c r="ER699" s="1807"/>
      <c r="ES699" s="1807"/>
      <c r="ET699" s="1807"/>
      <c r="EV699" s="1715"/>
      <c r="EX699" s="1806"/>
      <c r="EY699" s="1806"/>
      <c r="EZ699" s="1806"/>
      <c r="FA699" s="1806"/>
      <c r="FB699" s="1806"/>
      <c r="FC699" s="1828"/>
      <c r="FE699" s="1698"/>
      <c r="FG699" s="1703"/>
      <c r="FH699" s="1703"/>
      <c r="FI699" s="133"/>
      <c r="FL699" s="1823"/>
      <c r="FM699" s="1825"/>
      <c r="FN699" s="1698"/>
      <c r="FO699" s="1698"/>
      <c r="FP699" s="1678"/>
      <c r="FQ699" s="1698"/>
      <c r="FS699" s="1687"/>
      <c r="FT699" s="1687"/>
      <c r="FU699" s="1685"/>
      <c r="FV699" s="1687"/>
      <c r="FW699" s="1687"/>
      <c r="FX699" s="1687"/>
      <c r="FY699" s="1697"/>
      <c r="GA699" s="1696"/>
      <c r="GB699" s="1696"/>
      <c r="GC699" s="1696"/>
      <c r="GD699" s="1696"/>
      <c r="GE699" s="1696"/>
      <c r="GF699" s="1696"/>
      <c r="GG699" s="1696"/>
      <c r="GH699" s="1696"/>
      <c r="GI699" s="673"/>
      <c r="GJ699" s="1135"/>
      <c r="GK699" s="1832"/>
      <c r="GN699" s="674">
        <f>IF(GN697=TRUE,0,GN$16)</f>
        <v>0</v>
      </c>
      <c r="GP699" s="674">
        <f>IF(GP697=TRUE,0,GP$16)</f>
        <v>36</v>
      </c>
      <c r="GQ699" s="674">
        <f ca="1">IF(GQ697=TRUE,0,GQ$16)</f>
        <v>35</v>
      </c>
      <c r="GR699" s="391"/>
      <c r="GS699" s="391"/>
      <c r="GT699" s="391"/>
      <c r="GU699" s="391"/>
      <c r="GV699" s="391"/>
      <c r="HG699" s="674">
        <f>IF(HG697=TRUE,0,HG$16)</f>
        <v>0</v>
      </c>
      <c r="HH699" s="674">
        <f t="shared" ref="HH699:HM699" si="643">IF(HH697=TRUE,0,HH$16)</f>
        <v>19</v>
      </c>
      <c r="HI699" s="674">
        <f t="shared" si="643"/>
        <v>18</v>
      </c>
      <c r="HJ699" s="674">
        <f t="shared" si="643"/>
        <v>17</v>
      </c>
      <c r="HK699" s="674">
        <f t="shared" si="643"/>
        <v>16</v>
      </c>
      <c r="HL699" s="674">
        <f t="shared" si="643"/>
        <v>0</v>
      </c>
      <c r="HM699" s="674">
        <f t="shared" si="643"/>
        <v>0</v>
      </c>
      <c r="HN699" s="674">
        <f>IF(HN697=TRUE,0,HN$16)</f>
        <v>13</v>
      </c>
      <c r="HO699" s="674">
        <f t="shared" ref="HO699:HQ699" si="644">IF(HO697=TRUE,0,HO$16)</f>
        <v>0</v>
      </c>
      <c r="HP699" s="674">
        <f t="shared" si="644"/>
        <v>0</v>
      </c>
      <c r="HQ699" s="674">
        <f t="shared" si="644"/>
        <v>10</v>
      </c>
      <c r="HR699" s="674">
        <f>IF(HR697=TRUE,0,HR$16)</f>
        <v>9</v>
      </c>
      <c r="HS699" s="674">
        <f t="shared" ref="HS699:HW699" si="645">IF(HS697=TRUE,0,HS$16)</f>
        <v>0</v>
      </c>
      <c r="HT699" s="674">
        <f t="shared" si="645"/>
        <v>0</v>
      </c>
      <c r="HU699" s="674">
        <f t="shared" si="645"/>
        <v>0</v>
      </c>
      <c r="HV699" s="674">
        <f t="shared" si="645"/>
        <v>0</v>
      </c>
      <c r="HW699" s="674">
        <f t="shared" si="645"/>
        <v>0</v>
      </c>
      <c r="HX699" s="674">
        <f>IF(HX697=TRUE,0,HX$16)</f>
        <v>0</v>
      </c>
      <c r="HY699" s="674">
        <f>IF(HY697=TRUE,0,HY$16)</f>
        <v>0</v>
      </c>
      <c r="HZ699" s="674">
        <f>IF(HZ697=TRUE,0,HZ$16)</f>
        <v>1</v>
      </c>
      <c r="IB699" s="674">
        <f>IF(GP697=FALSE,GP699,IF(GQ697=FALSE,GQ699,MAX(GN699:HZ699)))</f>
        <v>36</v>
      </c>
      <c r="IC699" s="1692"/>
      <c r="ID699" s="205" t="str">
        <f>VLOOKUP(IB699,_Error_Table,3,FALSE)</f>
        <v xml:space="preserve"> </v>
      </c>
      <c r="IE699" s="205"/>
      <c r="IF699" s="1688"/>
      <c r="IG699" s="1689"/>
      <c r="IH699" s="1684"/>
      <c r="IK699" s="1689"/>
      <c r="IL699" s="1692"/>
      <c r="IM699" s="1692"/>
      <c r="IN699" s="1692"/>
      <c r="IP699" s="1679"/>
      <c r="IQ699" s="1679"/>
      <c r="IR699" s="1679"/>
      <c r="IS699" s="1679"/>
      <c r="IT699" s="1679"/>
      <c r="IU699" s="1679"/>
      <c r="IV699" s="1679"/>
      <c r="IW699" s="1679"/>
      <c r="IX699" s="1679"/>
      <c r="IY699" s="1679"/>
      <c r="IZ699" s="1679"/>
      <c r="JA699" s="1679"/>
      <c r="JC699" s="1680"/>
      <c r="JD699" s="1670"/>
      <c r="JE699" s="1681"/>
      <c r="JG699" s="1680"/>
      <c r="JH699" s="1670"/>
      <c r="JI699" s="1060"/>
      <c r="JJ699" s="1670"/>
      <c r="JK699" s="1061"/>
      <c r="JL699" s="1670"/>
      <c r="JM699" s="1061"/>
      <c r="JN699" s="1670"/>
      <c r="JO699" s="1061"/>
      <c r="JP699" s="1670"/>
      <c r="JQ699" s="1061"/>
      <c r="JR699" s="1670"/>
      <c r="JS699" s="1061"/>
      <c r="JT699" s="1670"/>
      <c r="JU699" s="1061"/>
      <c r="JV699" s="1670"/>
      <c r="JX699" s="1670"/>
      <c r="JZ699" s="1670"/>
      <c r="KB699" s="1670"/>
    </row>
    <row r="700" spans="1:288" s="78" customFormat="1" ht="5.0999999999999996" customHeight="1">
      <c r="B700" s="676"/>
      <c r="C700" s="392"/>
      <c r="D700" s="392"/>
      <c r="E700" s="1733"/>
      <c r="F700" s="1733"/>
      <c r="G700" s="1733"/>
      <c r="H700" s="1733"/>
      <c r="I700" s="1733"/>
      <c r="J700" s="1733"/>
      <c r="K700" s="1733"/>
      <c r="L700" s="1733"/>
      <c r="M700" s="1733"/>
      <c r="N700" s="1733"/>
      <c r="O700" s="1733"/>
      <c r="P700" s="1733"/>
      <c r="Q700" s="1733"/>
      <c r="R700" s="1733"/>
      <c r="S700" s="1733"/>
      <c r="T700" s="1733"/>
      <c r="U700" s="1733"/>
      <c r="V700" s="1733"/>
      <c r="W700" s="1733"/>
      <c r="X700" s="1733"/>
      <c r="Y700" s="1733"/>
      <c r="Z700" s="1733"/>
      <c r="AA700" s="1733"/>
      <c r="AB700" s="1733"/>
      <c r="AC700" s="1733"/>
      <c r="AD700" s="1733"/>
      <c r="AE700" s="1733"/>
      <c r="AF700" s="1733"/>
      <c r="AG700" s="1733"/>
      <c r="AH700" s="1733"/>
      <c r="AI700" s="1733"/>
      <c r="AJ700" s="1733"/>
      <c r="AK700" s="1733"/>
      <c r="AL700" s="1733"/>
      <c r="AM700" s="1733"/>
      <c r="AN700" s="1733"/>
      <c r="AO700" s="1733"/>
      <c r="AP700" s="1733"/>
      <c r="AQ700" s="1733"/>
      <c r="AR700" s="1733"/>
      <c r="AS700" s="1733"/>
      <c r="AT700" s="1733"/>
      <c r="AU700" s="1733"/>
      <c r="AV700" s="1733"/>
      <c r="AW700" s="1733"/>
      <c r="AX700" s="469"/>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663"/>
      <c r="CQ700" s="663"/>
      <c r="CR700" s="438"/>
      <c r="CS700" s="663"/>
      <c r="CV700" s="391"/>
      <c r="CW700" s="391"/>
      <c r="CX700" s="207"/>
      <c r="CY700" s="208"/>
      <c r="CZ700" s="208"/>
      <c r="DA700" s="208"/>
      <c r="DB700" s="209"/>
      <c r="DC700" s="209"/>
      <c r="DD700" s="209"/>
      <c r="DF700" s="664"/>
      <c r="DG700" s="665"/>
      <c r="DH700" s="666"/>
      <c r="DI700" s="667"/>
      <c r="DJ700" s="668"/>
      <c r="DK700" s="668"/>
      <c r="DN700" s="208"/>
      <c r="DO700" s="664"/>
      <c r="DQ700" s="664"/>
      <c r="DR700" s="669"/>
      <c r="DS700" s="391"/>
      <c r="DT700" s="664"/>
      <c r="DU700" s="664"/>
      <c r="DV700" s="664"/>
      <c r="DX700" s="664"/>
      <c r="DY700" s="664"/>
      <c r="DZ700" s="664"/>
      <c r="EA700" s="664"/>
      <c r="EC700" s="670"/>
      <c r="ED700" s="670"/>
      <c r="EF700" s="668"/>
      <c r="EG700" s="668"/>
      <c r="EH700" s="208"/>
      <c r="EI700" s="668"/>
      <c r="EJ700" s="668"/>
      <c r="EK700" s="207"/>
      <c r="EL700" s="207"/>
      <c r="EM700" s="666"/>
      <c r="EN700" s="671"/>
      <c r="EO700" s="671"/>
      <c r="EP700" s="672"/>
      <c r="EQ700" s="672"/>
      <c r="ER700" s="666"/>
      <c r="ES700" s="666"/>
      <c r="ET700" s="666"/>
      <c r="EV700" s="664"/>
      <c r="EX700" s="391"/>
      <c r="EY700" s="391"/>
      <c r="EZ700" s="391"/>
      <c r="FA700" s="391"/>
      <c r="FB700" s="391"/>
      <c r="FC700" s="391"/>
      <c r="FE700" s="569"/>
      <c r="FG700" s="391"/>
      <c r="FH700" s="391"/>
      <c r="FI700" s="391"/>
      <c r="FS700" s="664"/>
      <c r="FT700" s="391"/>
      <c r="FU700" s="391"/>
      <c r="FV700" s="664"/>
      <c r="FW700" s="664"/>
      <c r="GA700" s="663"/>
      <c r="GB700" s="663"/>
      <c r="GC700" s="663"/>
      <c r="GD700" s="663"/>
      <c r="GE700" s="663"/>
      <c r="GF700" s="663"/>
      <c r="GG700" s="663"/>
      <c r="GH700" s="663"/>
      <c r="GI700" s="665"/>
      <c r="GJ700" s="664"/>
      <c r="GK700" s="664"/>
    </row>
    <row r="701" spans="1:288" s="78" customFormat="1" ht="14.95" customHeight="1">
      <c r="B701" s="1845" t="str">
        <f>ID704</f>
        <v xml:space="preserve"> </v>
      </c>
      <c r="C701" s="1846">
        <f>C696+1</f>
        <v>127</v>
      </c>
      <c r="D701" s="1847"/>
      <c r="E701" s="1799" t="s">
        <v>295</v>
      </c>
      <c r="F701" s="1800"/>
      <c r="G701" s="1741"/>
      <c r="H701" s="1742"/>
      <c r="I701" s="1742"/>
      <c r="J701" s="1742"/>
      <c r="K701" s="1742"/>
      <c r="L701" s="1742"/>
      <c r="M701" s="1742"/>
      <c r="N701" s="1742"/>
      <c r="O701" s="1742"/>
      <c r="P701" s="1742"/>
      <c r="Q701" s="1742"/>
      <c r="R701" s="1742"/>
      <c r="S701" s="1791" t="s">
        <v>344</v>
      </c>
      <c r="T701" s="590"/>
      <c r="U701" s="1743"/>
      <c r="V701" s="1744"/>
      <c r="W701" s="1744"/>
      <c r="X701" s="1744"/>
      <c r="Y701" s="1744"/>
      <c r="Z701" s="1744"/>
      <c r="AA701" s="1744"/>
      <c r="AB701" s="961" t="str">
        <f>IFERROR(IF(__Retrofit_TI_NC=0,VLOOKUP(U702,Fixtures_Existing_List,2,FALSE),ROUND(N703*R703/T703,10)),"")</f>
        <v/>
      </c>
      <c r="AC701" s="935" t="str">
        <f>IFERROR(IF(__Retrofit_TI_NC=0,ROUND(T702*AB701*N702*R702/1000,0),IF(CQ701="Interior",N703*R703*R702*N702*_C406_reduction/1000,N703*R703*R702*N702/1000)),"")</f>
        <v/>
      </c>
      <c r="AD701" s="936" t="str">
        <f>IFERROR(IF(C$43=0,ROUND(T702*AB701/1000,2),N703*R703/1000),"")</f>
        <v/>
      </c>
      <c r="AE701" s="997"/>
      <c r="AF701" s="937"/>
      <c r="AG701" s="1745" t="str">
        <f>IF(__Retrofit_TI_NC=0," Control","Select Advanced Control for New System")</f>
        <v xml:space="preserve"> Control</v>
      </c>
      <c r="AH701" s="1745"/>
      <c r="AI701" s="1745"/>
      <c r="AJ701" s="1745"/>
      <c r="AK701" s="1745"/>
      <c r="AL701" s="1745"/>
      <c r="AM701" s="1746">
        <f>IFERROR(DI701,"")</f>
        <v>0</v>
      </c>
      <c r="AN701" s="1774" t="str">
        <f>IFERROR(ROUND(AM701*AC701,0),"")</f>
        <v/>
      </c>
      <c r="AO701" s="1776">
        <f>IFERROR(IF(IB701=FALSE,0,AC701-AN701),0)</f>
        <v>0</v>
      </c>
      <c r="AP701" s="1778">
        <f>AO701-AO703</f>
        <v>0</v>
      </c>
      <c r="AQ701" s="1779"/>
      <c r="AR701" s="1793">
        <f>IFERROR(IF(IB701=FALSE,0,(T703*U704)+(AF703*AG704)),0)</f>
        <v>0</v>
      </c>
      <c r="AS701" s="1793"/>
      <c r="AT701" s="1794"/>
      <c r="AU701" s="1734" t="s">
        <v>237</v>
      </c>
      <c r="AV701" s="1751">
        <f>IF(AU701="Yes",1,0)</f>
        <v>1</v>
      </c>
      <c r="AW701" s="1704" t="str">
        <f>IF(OR(DQ701=4,DQ701=5,DQ701=6,DQ701=12),CONCATENATE("$",IF(GH701=TRUE,Lookup!$K$10,Lookup!$K$2)," /lamp"),CONCATENATE(TEXT(ED701,"$0.00"),"/ kWh"))</f>
        <v>$0.00/ kWh</v>
      </c>
      <c r="AX701" s="467"/>
      <c r="AY701" s="1748">
        <f ca="1">IFERROR(IF(GM702=TRUE,(AB704*T703)/R703,0),"NA")</f>
        <v>0</v>
      </c>
      <c r="AZ701" s="1748"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696" t="str">
        <f>N702</f>
        <v/>
      </c>
      <c r="CQ701" s="1696" t="str">
        <f>IFERROR(VLOOKUP(G702,_Lookup_Heat_Type_Table_New,3,FALSE),"")</f>
        <v/>
      </c>
      <c r="CR701" s="1808" t="str">
        <f>CQ701</f>
        <v/>
      </c>
      <c r="CS701" s="1810" t="str">
        <f>IFERROR(VLOOKUP(G703,'Space Table'!$B$3:$L$163,9,FALSE),"")</f>
        <v/>
      </c>
      <c r="CU701" s="1688" t="s">
        <v>344</v>
      </c>
      <c r="CV701" s="1702">
        <f>IF(IB701=TRUE,T702,0)</f>
        <v>0</v>
      </c>
      <c r="CW701" s="1702" t="str">
        <f>IF(IB701=TRUE,U702,"")</f>
        <v/>
      </c>
      <c r="CX701" s="1702"/>
      <c r="CY701" s="1814">
        <f>IF(IB701=TRUE,AB701,0)</f>
        <v>0</v>
      </c>
      <c r="CZ701" s="1710">
        <f>IF(AND(__Retrofit_TI_NC&gt;0,CR701="interior"),0,IF(IB701=TRUE,AC701,0))</f>
        <v>0</v>
      </c>
      <c r="DA701" s="1814">
        <f>IFERROR(IF(IB701=TRUE,CZ701-CZ703,0),0)</f>
        <v>0</v>
      </c>
      <c r="DB701" s="1819">
        <f>IF(IB701=TRUE,AD701,0)</f>
        <v>0</v>
      </c>
      <c r="DC701" s="1819">
        <f>IF(IB701=TRUE,AD704,0)</f>
        <v>0</v>
      </c>
      <c r="DD701" s="1819">
        <f>IFERROR(DB701-DC701,0)</f>
        <v>0</v>
      </c>
      <c r="DF701" s="1702">
        <f>IF(IB701=TRUE,AF702,0)</f>
        <v>0</v>
      </c>
      <c r="DG701" s="1830">
        <f>IFERROR(IF(__Retrofit_TI_NC=2,IF(CQ701="Exterior",O704,FQ701),FN701),"")</f>
        <v>0</v>
      </c>
      <c r="DH701" s="1702"/>
      <c r="DI701" s="1837">
        <f>JE701</f>
        <v>0</v>
      </c>
      <c r="DJ701" s="1710">
        <f>IF(AND(__Retrofit_TI_NC&gt;0,CR701="interior"),0,IF(IB701=TRUE,AN701,0))</f>
        <v>0</v>
      </c>
      <c r="DK701" s="1712">
        <f>IFERROR(IF(IB701=TRUE,DJ703-DJ701,0),0)</f>
        <v>0</v>
      </c>
      <c r="DM701" s="1717">
        <f>IFERROR(CZ701-DJ701,0)</f>
        <v>0</v>
      </c>
      <c r="DO701" s="1708">
        <f>DM701-DN703</f>
        <v>0</v>
      </c>
      <c r="DQ701" s="1715" t="str">
        <f>IFERROR(IF(AND(OR(GC701=4,GC701=5,GC701=6),OR(GF701=4,GF701=5,GF701=6)),GC701+8,VLOOKUP(CW703,Fixtures!R$31:Y$78,8,FALSE)),"")</f>
        <v/>
      </c>
      <c r="DR701" s="1829" t="str">
        <f>DQ701</f>
        <v/>
      </c>
      <c r="DS701" s="1702" t="str">
        <f>IFERROR(VLOOKUP(DG703,Lookup!BB$3:BC$20,2,FALSE),"")</f>
        <v/>
      </c>
      <c r="DT701" s="1713" t="str">
        <f>IF(OR(DS701=7,DS701=8,DS701=9),"ALC","")</f>
        <v/>
      </c>
      <c r="DU701" s="1715">
        <f>IFERROR(IF(OR(DQ701=4,DQ701=5,DQ701=6,DQ701=12,DQ701=13,DQ701=14),VLOOKUP(CW703,Fixtures!DN$27:EG$77,19,FALSE),1)*CV703,0)</f>
        <v>0</v>
      </c>
      <c r="DV701" s="1716">
        <f>IF(OR(DS701=7,DS701=8,DS701=9),IF(DG701=DG703,0,DF703),0)</f>
        <v>0</v>
      </c>
      <c r="DX701" s="1715" t="str">
        <f>IFERROR(IF(EZ701&lt;EZ703,"Yes","No"),"")</f>
        <v/>
      </c>
      <c r="DY701" s="1829" t="str">
        <f>DX701</f>
        <v/>
      </c>
      <c r="DZ701" s="1715">
        <f>IF(DX701="Yes",DF703,0)</f>
        <v>0</v>
      </c>
      <c r="EA701" s="1715">
        <f>DZ701-DV701</f>
        <v>0</v>
      </c>
      <c r="EC701" s="1834">
        <f>IFERROR(VLOOKUP(DQ701,Lookup!AU$3:AV$16,2,FALSE),0)</f>
        <v>0</v>
      </c>
      <c r="ED701" s="1834">
        <f>IF(IB701=FALSE,0,IF(DX701="Yes",EC701+Lookup!K$6,EC701))</f>
        <v>0</v>
      </c>
      <c r="EF701" s="1707">
        <f>IF(IB701=TRUE,DM701,0)</f>
        <v>0</v>
      </c>
      <c r="EG701" s="1712">
        <f>IF(IB701=TRUE,CZ703,0)</f>
        <v>0</v>
      </c>
      <c r="EH701" s="1814">
        <f>IFERROR(EF701-EG701,0)</f>
        <v>0</v>
      </c>
      <c r="EI701" s="1712">
        <f>IF(IB701=TRUE,DJ703,0)</f>
        <v>0</v>
      </c>
      <c r="EJ701" s="1712">
        <f>IFERROR(EF701-EG701+EI701,0)</f>
        <v>0</v>
      </c>
      <c r="EK701" s="1812">
        <f>IF(IB701=TRUE,CV703*CX703,0)</f>
        <v>0</v>
      </c>
      <c r="EL701" s="1812">
        <f>IF(IB701=TRUE,DF703*DH703,0)</f>
        <v>0</v>
      </c>
      <c r="EM701" s="1807">
        <f>AR701</f>
        <v>0</v>
      </c>
      <c r="EN701" s="1839" t="str">
        <f>IFERROR(IF(IB701=TRUE,VLOOKUP(DQ701,Lookup!AU$3:AW$16,3,FALSE)*DU701,""),0)</f>
        <v/>
      </c>
      <c r="EO701" s="1839">
        <f>IF(IB701=TRUE,DZ701*Lookup!AW$12,0)</f>
        <v>0</v>
      </c>
      <c r="EP701" s="1817">
        <f>IFERROR(IF(IB701=TRUE,EN701/EP$40,0),0)</f>
        <v>0</v>
      </c>
      <c r="EQ701" s="1817">
        <f>IF(IB701=TRUE,EO701/EQ$40,0)</f>
        <v>0</v>
      </c>
      <c r="ER701" s="1807">
        <f>IF(IB701=TRUE,ET$40*EP701,0)</f>
        <v>0</v>
      </c>
      <c r="ES701" s="1807">
        <f>IF(IB701=TRUE,ET$40*EQ701,0)</f>
        <v>0</v>
      </c>
      <c r="ET701" s="1807">
        <f>ER701+ES701</f>
        <v>0</v>
      </c>
      <c r="EV701" s="1715">
        <f>IF(G701="",0,1)</f>
        <v>0</v>
      </c>
      <c r="EX701" s="1804" t="str">
        <f>IFERROR(VLOOKUP(CS703,'Space Table'!$B$3:$L$163,8,FALSE),"")</f>
        <v/>
      </c>
      <c r="EY701" s="1804" t="str">
        <f>IFERROR(IF(FB701="Yes",VLOOKUP(DG701,Lookup_Control_Type_Table2,4,FALSE),VLOOKUP(DG701,Lookup_Control_Type_Table2,3,FALSE)),"")</f>
        <v/>
      </c>
      <c r="EZ701" s="1804" t="e">
        <f>VLOOKUP(DG701,Lookup!BB$3:BC$20,2,FALSE)</f>
        <v>#N/A</v>
      </c>
      <c r="FA701" s="1804" t="e">
        <f>VLOOKUP(EX701,Lookup_Control_Type_Table,2,FALSE)</f>
        <v>#N/A</v>
      </c>
      <c r="FB701" s="1804" t="e">
        <f>VLOOKUP(CS703,'Space Table'!$B$3:$L$163,7,FALSE)</f>
        <v>#N/A</v>
      </c>
      <c r="FC701" s="1826" t="b">
        <f>ISNUMBER(SEARCH("TLED",U703))</f>
        <v>0</v>
      </c>
      <c r="FE701" s="1698" t="str">
        <f>CONCATENATE(CQ701," - ",DG701)</f>
        <v xml:space="preserve"> - 0</v>
      </c>
      <c r="FG701" s="1702" t="str">
        <f>VLOOKUP(CW703,Fixtures!DN$27:EZ$77,38,FALSE)</f>
        <v/>
      </c>
      <c r="FH701" s="1702">
        <f>IFERROR(FG701*EH701,0)</f>
        <v>0</v>
      </c>
      <c r="FI701" s="133"/>
      <c r="FL701" s="1822" t="str">
        <f>IF(CQ701="Exterior","Not Daylighted",G704)</f>
        <v>Not Daylighted</v>
      </c>
      <c r="FM701" s="1824">
        <f>VLOOKUP(FL701,_New_Daylight_Table_Codes,2,FALSE)</f>
        <v>0</v>
      </c>
      <c r="FN701" s="1698">
        <f>IF(__Retrofit_TI_NC&gt;0,VLOOKUP(G703,'Space Table'!$B$3:$L$163,11,FALSE),AG702)</f>
        <v>0</v>
      </c>
      <c r="FO701" s="1698" t="e">
        <f>IF(__Retrofit_TI_NC=2,VLOOKUP(FQ701,_Control_Table,2,FALSE),VLOOKUP(FN701,_Control_Table,2,FALSE))</f>
        <v>#N/A</v>
      </c>
      <c r="FP701" s="1678" t="e">
        <f>VLOOKUP(CONCATENATE(FL701," ",FN701),Lookup!AY$102:AZ711,2,FALSE)</f>
        <v>#N/A</v>
      </c>
      <c r="FQ701" s="1678">
        <f>IF(__Retrofit_TI_NC=0,FN701,IF(AND(FT701&gt;0,FN701="Occupancy Sensor"),"Daylight + Occupancy",IF(AND(FT701&gt;0,VLOOKUP(FN701,_Control_Table,2,FALSE)&lt;4),"Interior Daylight Dimming",FN701)))</f>
        <v>0</v>
      </c>
      <c r="FS701" s="1686">
        <f>IF(CR701="Interior",VLOOKUP(CS701,Control_Savings_Interior,5,FALSE),0)</f>
        <v>0</v>
      </c>
      <c r="FT701" s="1687">
        <f>IF(CQ701="Exterior",0,IF(FM701=2,0.5,IF(OR(FM701=1,FM701=3),1,0)))</f>
        <v>0</v>
      </c>
      <c r="FU701" s="1685">
        <f>IF(R700&gt;FS$44,(FS701*(FS$44/R700)),FS701)*FT701</f>
        <v>0</v>
      </c>
      <c r="FV701" s="1686">
        <f>DI701</f>
        <v>0</v>
      </c>
      <c r="FW701" s="1686">
        <f>ROUND(FV701+((1-FV701)*FU701),2)</f>
        <v>0</v>
      </c>
      <c r="FX701" s="1686">
        <f>IF(__Retrofit_TI_NC=2,FW701,FV701)</f>
        <v>0</v>
      </c>
      <c r="FY701" s="1697"/>
      <c r="GA701" s="1696" t="str">
        <f>IFERROR(VLOOKUP(U702,_Exist_Fixture_Table,3,FALSE),"")</f>
        <v/>
      </c>
      <c r="GB701" s="1696" t="str">
        <f>VLOOKUP(CW701,_Exist_Fixture_Table,4,FALSE)</f>
        <v/>
      </c>
      <c r="GC701" s="1696">
        <f>IFERROR(VLOOKUP(GB701,Lookup!AT$6:AU$8,2,FALSE),0)</f>
        <v>0</v>
      </c>
      <c r="GD701" s="1696" t="b">
        <f>IFERROR(IF(OR(GF701=4,GF701=5,GF701=6),TRUE,FALSE),"")</f>
        <v>0</v>
      </c>
      <c r="GE701" s="1696" t="str">
        <f>IFERROR(VLOOKUP(GF701,GC$6:GD$10,2,FALSE),"")</f>
        <v/>
      </c>
      <c r="GF701" s="1696" t="str">
        <f>VLOOKUP(CW703,Fixtures!R$31:Y$78,8,FALSE)</f>
        <v/>
      </c>
      <c r="GG701" s="1696">
        <f>IF(AND(GA701=TRUE,GD701=TRUE,OR(DQ701=12,DQ701=13,DQ701=14)),GC701+8,0)</f>
        <v>0</v>
      </c>
      <c r="GH701" s="1696" t="b">
        <f>IF(OR(GG701=12,GG701=13,GG701=14),TRUE,FALSE)</f>
        <v>0</v>
      </c>
      <c r="GI701" s="673" t="b">
        <f>IF(ISNUMBER(SEARCH("TLED",U702)),TRUE,FALSE)</f>
        <v>0</v>
      </c>
      <c r="GJ701" s="1135" t="str">
        <f>IFERROR(VLOOKUP(U702,Fixtures!BM$93:BR$142,6,FALSE),"")</f>
        <v/>
      </c>
      <c r="GK701" s="1832" t="b">
        <f>IF(OR(GI701=FALSE,GI703=FALSE),TRUE,IF(GJ701-GJ703&lt;5,FALSE,TRUE))</f>
        <v>1</v>
      </c>
      <c r="GO701" s="674">
        <f>GP701</f>
        <v>0</v>
      </c>
      <c r="GP701" s="674">
        <f>IF(G701="",0,1)</f>
        <v>0</v>
      </c>
      <c r="GQ701" s="674">
        <f ca="1">SUM(GR701:HF701)</f>
        <v>2</v>
      </c>
      <c r="GR701" s="674">
        <f>IF(G702="",0,1)</f>
        <v>0</v>
      </c>
      <c r="GS701" s="674">
        <f>IF(N704="BAM",1,IF(G703="",0,1))</f>
        <v>0</v>
      </c>
      <c r="GT701" s="674">
        <f>IF(N704="BAM",1,IF(R702="",0,1))</f>
        <v>0</v>
      </c>
      <c r="GU701" s="674">
        <f>IF(N704="BAM",1,IF(__Retrofit_TI_NC=0,1,IF(R703="",0,1)))</f>
        <v>1</v>
      </c>
      <c r="GV701" s="674">
        <f>IF(N704="BAM",1,IF(CQ701="Exterior",1,IF(G704="",0,1)))</f>
        <v>1</v>
      </c>
      <c r="GW701" s="674">
        <f>IF(__Retrofit_TI_NC&gt;0,1,IF(T702="",0,1))</f>
        <v>0</v>
      </c>
      <c r="GX701" s="674">
        <f>IF(__Retrofit_TI_NC&gt;0,1,IF(U702="",0,1))</f>
        <v>0</v>
      </c>
      <c r="GY701" s="674">
        <f>IF(N704="BAM",1,IF(T703="",0,1))</f>
        <v>0</v>
      </c>
      <c r="GZ701" s="674">
        <f>IF(N704="BAM",1,IF(U703="",0,1))</f>
        <v>0</v>
      </c>
      <c r="HA701" s="674">
        <f ca="1">IF(N704="BAM",1,IF(__Retrofit_TI_NC&gt;0,1,IF(U704="",0,1)))</f>
        <v>0</v>
      </c>
      <c r="HB701" s="674">
        <f>IF(__Retrofit_TI_NC&lt;&gt;0,1,IF(AF702="",0,1))</f>
        <v>0</v>
      </c>
      <c r="HC701" s="674">
        <f>IF(__Retrofit_TI_NC&lt;&gt;0,1,IF(AG702="",0,1))</f>
        <v>0</v>
      </c>
      <c r="HD701" s="674">
        <f>IF(N704="BAM",1,IF(AF703="",0,1))</f>
        <v>0</v>
      </c>
      <c r="HE701" s="674">
        <f>IF(N704="BAM",1,IF(AG703="",0,1))</f>
        <v>0</v>
      </c>
      <c r="HF701" s="674">
        <f>IF(N704="BAM",1,IF(__Retrofit_TI_NC&gt;0,1,IF(AG704="",0,1)))</f>
        <v>0</v>
      </c>
      <c r="HG701" s="391"/>
      <c r="IA701" s="391"/>
      <c r="IB701" s="1693" t="b">
        <f>IF(OR(IB704=0,IB704=HY$16,IB704=HX$16,IB704=HZ$16),TRUE,FALSE)</f>
        <v>0</v>
      </c>
      <c r="IC701" s="1694" t="b">
        <f>IB701</f>
        <v>0</v>
      </c>
      <c r="ID701" s="391"/>
      <c r="IE701" s="391"/>
      <c r="IF701" s="1688" t="b">
        <f ca="1">IF(MAX(GN704:HU704)&gt;5,FALSE,TRUE)</f>
        <v>0</v>
      </c>
      <c r="IG701" s="1689">
        <f ca="1">IF(IF701=TRUE,AC701,0)</f>
        <v>0</v>
      </c>
      <c r="IH701" s="1689">
        <f ca="1">IG701-IG703</f>
        <v>0</v>
      </c>
      <c r="IK701" s="1689" t="e">
        <f>ROUND(T702*VLOOKUP(U702,Fixtures_Existing_List,2,FALSE)*N702*R702/1000,0)</f>
        <v>#N/A</v>
      </c>
      <c r="IL701" s="1690" t="e">
        <f>IK701-IK703</f>
        <v>#N/A</v>
      </c>
      <c r="IM701" s="1693" t="e">
        <f>ROUND(IF(CQ701="Interior",N703*R703*R702*N702*_C406_reduction/1000,N703*R703*R702*N702/1000),0)</f>
        <v>#N/A</v>
      </c>
      <c r="IN701" s="1693" t="e">
        <f>IM701-IM703</f>
        <v>#N/A</v>
      </c>
      <c r="IP701" s="1679"/>
      <c r="IQ701" s="1679" t="e">
        <f t="shared" ref="IQ701:IU701" si="646">IF($CR701="interior",VLOOKUP($CS701,_New_Control_Savings_Interior,IQ$30,FALSE),VLOOKUP($CS701,Control_Savings_Exterior,IQ$30,FALSE))</f>
        <v>#N/A</v>
      </c>
      <c r="IR701" s="1679" t="e">
        <f t="shared" si="646"/>
        <v>#N/A</v>
      </c>
      <c r="IS701" s="1679" t="e">
        <f t="shared" si="646"/>
        <v>#N/A</v>
      </c>
      <c r="IT701" s="1679" t="e">
        <f t="shared" si="646"/>
        <v>#N/A</v>
      </c>
      <c r="IU701" s="1679" t="e">
        <f t="shared" si="646"/>
        <v>#N/A</v>
      </c>
      <c r="IV701" s="1679" t="e">
        <f>IF($CR701="interior",IF(R702&gt;$IP$14,ROUND(($IV$18*($IP$14/R702)),2),$IV$18),VLOOKUP($CS701,Control_Savings_Exterior,IV$30,FALSE))</f>
        <v>#N/A</v>
      </c>
      <c r="IW701" s="1679" t="e">
        <f>IF($CR701="interior",ROUND(((1-IS701)*IV701)+IS701,2),VLOOKUP($CS701,Control_Savings_Exterior,IW$30,FALSE))</f>
        <v>#N/A</v>
      </c>
      <c r="IX701" s="1679" t="e">
        <f>IF($CR701="interior",ROUND(((1-IT701)*IV701)+IT701,2),VLOOKUP($CS701,Control_Savings_Exterior,IX$30,FALSE))</f>
        <v>#N/A</v>
      </c>
      <c r="IY701" s="1679" t="e">
        <f>IF($CR701="interior",IF(R702&gt;$IP$14,ROUND(($IY$18*($IP$14/R702)),2),$IY$18),VLOOKUP($CS701,Control_Savings_Exterior,IY$30,FALSE))</f>
        <v>#N/A</v>
      </c>
      <c r="IZ701" s="1679" t="e">
        <f>IF($CR701="interior",ROUND(((1-IS701)*IY701)+IS701,2),VLOOKUP($CS701,Control_Savings_Exterior,IZ$30,FALSE))</f>
        <v>#N/A</v>
      </c>
      <c r="JA701" s="1679" t="e">
        <f>IF($CR701="interior",ROUND(((1-IT701)*IY701)+IT701,2),VLOOKUP($CS701,Control_Savings_Exterior,JA$30,FALSE))</f>
        <v>#N/A</v>
      </c>
      <c r="JC701" s="1680">
        <f>IFERROR(IF(CR701="Interior",CONCATENATE(G704," ",FQ701),FQ701),"")</f>
        <v>0</v>
      </c>
      <c r="JD701" s="1670" t="str">
        <f>IFERROR(VLOOKUP(JC701,_Controls_2023,2,FALSE),"")</f>
        <v/>
      </c>
      <c r="JE701" s="1681">
        <f>IFERROR(CHOOSE(JD701-1,IQ701,IR701,IS701,IT701,IU701,IV701,IW701,IX701,IY701,IZ701,JA701),0)</f>
        <v>0</v>
      </c>
      <c r="JG701" s="1680" t="str">
        <f>FE701</f>
        <v xml:space="preserve"> - 0</v>
      </c>
      <c r="JH701" s="1670" t="e">
        <f>$FO701</f>
        <v>#N/A</v>
      </c>
      <c r="JI701" s="1060"/>
      <c r="JJ701" s="1682" t="b">
        <f>IF($JG703=CONCATENATE("Interior - ",JJ$4),TRUE,FALSE)</f>
        <v>0</v>
      </c>
      <c r="JK701" s="1061"/>
      <c r="JL701" s="1682" t="b">
        <f>IF($JG703=CONCATENATE("Interior - ",JL$4),TRUE,FALSE)</f>
        <v>0</v>
      </c>
      <c r="JM701" s="1061"/>
      <c r="JN701" s="1682" t="b">
        <f>IF($JG703=CONCATENATE("Interior - ",JN$4),TRUE,FALSE)</f>
        <v>0</v>
      </c>
      <c r="JO701" s="1061"/>
      <c r="JP701" s="1682" t="b">
        <f>IF(__Retrofit_TI_NC&gt;0,FALSE,IF($JG703=CONCATENATE("Interior - ",JP$4),TRUE,FALSE))</f>
        <v>0</v>
      </c>
      <c r="JQ701" s="1061"/>
      <c r="JR701" s="1682" t="b">
        <f>IF(__Retrofit_TI_NC&gt;0,FALSE,IF($JG703=CONCATENATE("Interior - ",JR$4),TRUE,FALSE))</f>
        <v>0</v>
      </c>
      <c r="JS701" s="1061"/>
      <c r="JT701" s="1670" t="b">
        <f>IF(__Retrofit_TI_NC&gt;0,FALSE,IF($JG703=CONCATENATE("Interior - ",JT$4),TRUE,FALSE))</f>
        <v>0</v>
      </c>
      <c r="JU701" s="1061"/>
      <c r="JV701" s="1670" t="b">
        <f>IF(JC703="AELC on Existing",TRUE,FALSE)</f>
        <v>0</v>
      </c>
      <c r="JX701" s="1670" t="b">
        <f>IF(OR(JG703="Exterior - AELC Occupancy based",JG703="Exterior - AELC Time based"),TRUE,FALSE)</f>
        <v>0</v>
      </c>
      <c r="JZ701" s="1682" t="b">
        <f>IF($JG703=CONCATENATE("Exterior - ",JZ$4),TRUE,FALSE)</f>
        <v>0</v>
      </c>
      <c r="KB701" s="1670" t="b">
        <f>IF(__Retrofit_TI_NC&gt;0,FALSE,IF($JG703=CONCATENATE("Interior - ",KB$4),TRUE,FALSE))</f>
        <v>0</v>
      </c>
    </row>
    <row r="702" spans="1:288" s="78" customFormat="1" ht="14.95" customHeight="1" thickTop="1" thickBot="1">
      <c r="B702" s="1845"/>
      <c r="C702" s="1846"/>
      <c r="D702" s="1847"/>
      <c r="E702" s="1737" t="s">
        <v>297</v>
      </c>
      <c r="F702" s="1738"/>
      <c r="G702" s="1739"/>
      <c r="H702" s="1739"/>
      <c r="I702" s="1739"/>
      <c r="J702" s="1739"/>
      <c r="K702" s="1739"/>
      <c r="L702" s="1739"/>
      <c r="M702" s="461" t="e">
        <f>IF(__Retrofit_TI_NC&lt;&gt;0,IF(VLOOKUP(G703,'Space Table'!$B$3:$L$163,3,FALSE)&gt;0,1,0),IF(__Retrofit_TI_NC=VLOOKUP(G703,'Space Table'!$B$3:$L$163,3,FALSE),1,0))</f>
        <v>#N/A</v>
      </c>
      <c r="N702" s="461" t="str">
        <f>IFERROR(VLOOKUP(G702,_Lookup_Heat_Type_Table_New,2,FALSE),"")</f>
        <v/>
      </c>
      <c r="O702" s="461">
        <f>IF(__Retrofit_TI_NC=1,CONCATENATE("TI ",G702),IF(__Retrofit_TI_NC=2,CONCATENATE("NC ",G702),G702))</f>
        <v>0</v>
      </c>
      <c r="P702" s="1740" t="s">
        <v>435</v>
      </c>
      <c r="Q702" s="1740"/>
      <c r="R702" s="595"/>
      <c r="S702" s="1792"/>
      <c r="T702" s="597"/>
      <c r="U702" s="1765"/>
      <c r="V702" s="1766"/>
      <c r="W702" s="1766"/>
      <c r="X702" s="1766"/>
      <c r="Y702" s="1766"/>
      <c r="Z702" s="1766"/>
      <c r="AA702" s="1766"/>
      <c r="AB702" s="1766"/>
      <c r="AC702" s="1766"/>
      <c r="AD702" s="1767"/>
      <c r="AE702" s="1000"/>
      <c r="AF702" s="597"/>
      <c r="AG702" s="1723"/>
      <c r="AH702" s="1724"/>
      <c r="AI702" s="1724"/>
      <c r="AJ702" s="1724"/>
      <c r="AK702" s="1725"/>
      <c r="AL702" s="996"/>
      <c r="AM702" s="1747"/>
      <c r="AN702" s="1775"/>
      <c r="AO702" s="1777"/>
      <c r="AP702" s="1780"/>
      <c r="AQ702" s="1781"/>
      <c r="AR702" s="1795"/>
      <c r="AS702" s="1795"/>
      <c r="AT702" s="1796"/>
      <c r="AU702" s="1735"/>
      <c r="AV702" s="1752"/>
      <c r="AW702" s="1705"/>
      <c r="AX702" s="467"/>
      <c r="AY702" s="1749"/>
      <c r="AZ702" s="1749"/>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696"/>
      <c r="CQ702" s="1696"/>
      <c r="CR702" s="1809"/>
      <c r="CS702" s="1811"/>
      <c r="CU702" s="1688"/>
      <c r="CV702" s="1703"/>
      <c r="CW702" s="1703"/>
      <c r="CX702" s="1703"/>
      <c r="CY702" s="1815"/>
      <c r="CZ702" s="1711"/>
      <c r="DA702" s="1818"/>
      <c r="DB702" s="1820"/>
      <c r="DC702" s="1820"/>
      <c r="DD702" s="1820"/>
      <c r="DF702" s="1703"/>
      <c r="DG702" s="1831"/>
      <c r="DH702" s="1703"/>
      <c r="DI702" s="1838"/>
      <c r="DJ702" s="1711"/>
      <c r="DK702" s="1712"/>
      <c r="DM702" s="1718"/>
      <c r="DO702" s="1708"/>
      <c r="DQ702" s="1715"/>
      <c r="DR702" s="1720"/>
      <c r="DS702" s="1816"/>
      <c r="DT702" s="1714"/>
      <c r="DU702" s="1715"/>
      <c r="DV702" s="1716"/>
      <c r="DX702" s="1715"/>
      <c r="DY702" s="1720"/>
      <c r="DZ702" s="1715"/>
      <c r="EA702" s="1715"/>
      <c r="EC702" s="1834"/>
      <c r="ED702" s="1834"/>
      <c r="EF702" s="1707"/>
      <c r="EG702" s="1712"/>
      <c r="EH702" s="1818"/>
      <c r="EI702" s="1712"/>
      <c r="EJ702" s="1712"/>
      <c r="EK702" s="1836"/>
      <c r="EL702" s="1836"/>
      <c r="EM702" s="1807"/>
      <c r="EN702" s="1839"/>
      <c r="EO702" s="1839"/>
      <c r="EP702" s="1817"/>
      <c r="EQ702" s="1817"/>
      <c r="ER702" s="1807"/>
      <c r="ES702" s="1807"/>
      <c r="ET702" s="1807"/>
      <c r="EV702" s="1715"/>
      <c r="EX702" s="1805"/>
      <c r="EY702" s="1805"/>
      <c r="EZ702" s="1805"/>
      <c r="FA702" s="1805"/>
      <c r="FB702" s="1805"/>
      <c r="FC702" s="1827"/>
      <c r="FE702" s="1698"/>
      <c r="FG702" s="1816"/>
      <c r="FH702" s="1816"/>
      <c r="FI702" s="133"/>
      <c r="FL702" s="1823"/>
      <c r="FM702" s="1825"/>
      <c r="FN702" s="1698"/>
      <c r="FO702" s="1698"/>
      <c r="FP702" s="1678"/>
      <c r="FQ702" s="1678"/>
      <c r="FS702" s="1687"/>
      <c r="FT702" s="1687"/>
      <c r="FU702" s="1685"/>
      <c r="FV702" s="1687"/>
      <c r="FW702" s="1687"/>
      <c r="FX702" s="1687"/>
      <c r="FY702" s="1697"/>
      <c r="GA702" s="1696"/>
      <c r="GB702" s="1696"/>
      <c r="GC702" s="1696"/>
      <c r="GD702" s="1696"/>
      <c r="GE702" s="1696"/>
      <c r="GF702" s="1696"/>
      <c r="GG702" s="1696"/>
      <c r="GH702" s="1696"/>
      <c r="GI702" s="673"/>
      <c r="GJ702" s="1135"/>
      <c r="GK702" s="1832"/>
      <c r="GM702" s="1693" t="b">
        <f ca="1">IF(AND(GP702=TRUE,GQ702=TRUE),TRUE,FALSE)</f>
        <v>0</v>
      </c>
      <c r="GN702" s="1684" t="b">
        <f>IFERROR(IF(__Retrofit_TI_NC=2,TRUE,IF(AU701="Yes",TRUE,FALSE)),FALSE)</f>
        <v>1</v>
      </c>
      <c r="GP702" s="1684" t="b">
        <f>IFERROR(IF(GP701=1,TRUE,FALSE),FALSE)</f>
        <v>0</v>
      </c>
      <c r="GQ702" s="1684" t="b">
        <f ca="1">IFERROR(IF(GQ701=GQ$14,TRUE,FALSE),FALSE)</f>
        <v>0</v>
      </c>
      <c r="HG702" s="1684" t="b">
        <f>IFERROR(IF(AND(__Retrofit_TI_NC&gt;0,CQ701="Interior"),FALSE,TRUE),FALSE)</f>
        <v>1</v>
      </c>
      <c r="HH702" s="1684" t="b">
        <f>IFERROR(IF(M702=1,TRUE,FALSE),FALSE)</f>
        <v>0</v>
      </c>
      <c r="HI702" s="1684" t="b">
        <f>IFERROR(IF(OR(M703=1,N704="BAM"),TRUE,FALSE),FALSE)</f>
        <v>0</v>
      </c>
      <c r="HJ702" s="1684" t="b">
        <f>IFERROR(IF(__Retrofit_TI_NC&lt;&gt;0,TRUE,IFERROR(IF(VLOOKUP(U702,Fixtures_Existing_List,2,FALSE)&lt;&gt;"",TRUE,FALSE),FALSE)),FALSE)</f>
        <v>0</v>
      </c>
      <c r="HK702" s="1684" t="b">
        <f>IFERROR(IF(VLOOKUP(U703,Fixtures_Proposed_List,2,FALSE)&lt;&gt;"",TRUE,FALSE),FALSE)</f>
        <v>0</v>
      </c>
      <c r="HL702" s="1684" t="b">
        <f>IF(AND(__Retrofit_TI_NC=2,FC701=TRUE),FALSE,TRUE)</f>
        <v>1</v>
      </c>
      <c r="HM702" s="1684" t="b">
        <f>GK701</f>
        <v>1</v>
      </c>
      <c r="HN702" s="1682" t="b">
        <f>IF(ISERROR(MATCH(FE701,_Control_Match[],0))=TRUE,FALSE,TRUE)</f>
        <v>0</v>
      </c>
      <c r="HO702" s="1693" t="b">
        <f>IFERROR(IF(EX701&lt;&gt;EY701,FALSE,TRUE),FALSE)</f>
        <v>1</v>
      </c>
      <c r="HP702" s="1693" t="b">
        <f>IFERROR(IF(EX703&lt;&gt;EY703,FALSE,TRUE),FALSE)</f>
        <v>1</v>
      </c>
      <c r="HQ702" s="1670" t="b">
        <f>IFERROR(IF(CQ701="Exterior",TRUE,IF(AND(OR(FM703=0,FM703=3),JD703&gt;6),FALSE,TRUE)),FALSE)</f>
        <v>0</v>
      </c>
      <c r="HR702" s="1684" t="b">
        <f>IFERROR(IF(AND(FO703=7,FC701=TRUE),FALSE,TRUE),FALSE)</f>
        <v>0</v>
      </c>
      <c r="HS702" s="1684" t="b">
        <f>IFERROR(IF(AND(T703&lt;&gt;AF703,OR(AG703="Interior LLLC", AG703="Interior NLC", AG703="LLLC (outside Daylight)",AG703="LLLC Controls Only"))=TRUE,FALSE,TRUE),FALSE)</f>
        <v>1</v>
      </c>
      <c r="HT702" s="1670" t="b">
        <f>IFERROR(IF(OR(AG703=Lookup!BB$17,AG703=Lookup!BB$18,AG703=Lookup!BB$19)=TRUE,IF(AF703&gt;T703,FALSE,TRUE),TRUE),FALSE)</f>
        <v>1</v>
      </c>
      <c r="HU702" s="1684" t="b">
        <f>IFERROR(IF(__Retrofit_TI_NC=2,IF(EZ703&lt;EZ701,FALSE,TRUE),TRUE),FALSE)</f>
        <v>1</v>
      </c>
      <c r="HV702" s="1684" t="b">
        <f>IF(CQ701="Interior",IL$6,TRUE)</f>
        <v>1</v>
      </c>
      <c r="HW702" s="1684" t="b">
        <f>IF(CQ701="Exterior",IL$8,TRUE)</f>
        <v>1</v>
      </c>
      <c r="HX702" s="1684" t="b">
        <f>IFERROR(IF(__Retrofit_TI_NC&lt;&gt;0,IF(AZ701&lt;AY701,FALSE,TRUE),TRUE),FALSE)</f>
        <v>1</v>
      </c>
      <c r="HY702" s="1684" t="b">
        <f>IFERROR(IF(AND(G702="Exterior",R702&gt;4200),FALSE,TRUE),FALSE)</f>
        <v>1</v>
      </c>
      <c r="HZ702" s="1684" t="b">
        <f>IFERROR(IF(AB704/AB701&lt;HZ$18,FALSE,TRUE),FALSE)</f>
        <v>0</v>
      </c>
      <c r="IB702" s="1691"/>
      <c r="IC702" s="1695"/>
      <c r="ID702" s="1694" t="str">
        <f>VLOOKUP(IB704,_Error_Table,4,FALSE)</f>
        <v>White</v>
      </c>
      <c r="IE702" s="391"/>
      <c r="IF702" s="1688"/>
      <c r="IG702" s="1689"/>
      <c r="IH702" s="1684"/>
      <c r="IK702" s="1689"/>
      <c r="IL702" s="1691"/>
      <c r="IM702" s="1691"/>
      <c r="IN702" s="1691"/>
      <c r="IP702" s="1679"/>
      <c r="IQ702" s="1679"/>
      <c r="IR702" s="1679"/>
      <c r="IS702" s="1679"/>
      <c r="IT702" s="1679"/>
      <c r="IU702" s="1679"/>
      <c r="IV702" s="1679"/>
      <c r="IW702" s="1679"/>
      <c r="IX702" s="1679"/>
      <c r="IY702" s="1679"/>
      <c r="IZ702" s="1679"/>
      <c r="JA702" s="1679"/>
      <c r="JC702" s="1680"/>
      <c r="JD702" s="1670"/>
      <c r="JE702" s="1681"/>
      <c r="JG702" s="1680"/>
      <c r="JH702" s="1670"/>
      <c r="JI702" s="1060"/>
      <c r="JJ702" s="1683"/>
      <c r="JK702" s="1061"/>
      <c r="JL702" s="1683"/>
      <c r="JM702" s="1061"/>
      <c r="JN702" s="1683"/>
      <c r="JO702" s="1061"/>
      <c r="JP702" s="1683"/>
      <c r="JQ702" s="1061"/>
      <c r="JR702" s="1683"/>
      <c r="JS702" s="1061"/>
      <c r="JT702" s="1670"/>
      <c r="JU702" s="1061"/>
      <c r="JV702" s="1670"/>
      <c r="JX702" s="1670"/>
      <c r="JZ702" s="1683"/>
      <c r="KB702" s="1670"/>
    </row>
    <row r="703" spans="1:288" s="78" customFormat="1" ht="14.95" customHeight="1" thickTop="1" thickBot="1">
      <c r="A703" s="78">
        <f>ROW()</f>
        <v>703</v>
      </c>
      <c r="B703" s="1845"/>
      <c r="C703" s="1846"/>
      <c r="D703" s="1847"/>
      <c r="E703" s="1737" t="s">
        <v>298</v>
      </c>
      <c r="F703" s="1738"/>
      <c r="G703" s="1760"/>
      <c r="H703" s="1761"/>
      <c r="I703" s="1761"/>
      <c r="J703" s="1761"/>
      <c r="K703" s="1761"/>
      <c r="L703" s="1762"/>
      <c r="M703" s="461">
        <f>IFERROR(IF(IF(__Retrofit_TI_NC&lt;&gt;0,IF(CQ701="Interior",MATCH(G703,Lookup_Interior_New,0),MATCH(G703,Lookup_Exterior_New,0)),IF(CQ701="Interior",MATCH(G703,Lookup_Interior,0),MATCH(G703,Lookup_Exterior_Areas,0)))&gt;0,1,0),0)</f>
        <v>0</v>
      </c>
      <c r="N703" s="461" t="e">
        <f>IF(__Retrofit_TI_NC=1,
VLOOKUP(G703,'Space Table'!$B$3:$L$163,4,FALSE),
IF(__Retrofit_TI_NC=2,VLOOKUP(G703,'Space Table'!$B$3:$L$163,5,FALSE),VLOOKUP(G703,'Space Table'!$B$3:$L$163,5,FALSE)))</f>
        <v>#N/A</v>
      </c>
      <c r="O703" s="461">
        <f>G703</f>
        <v>0</v>
      </c>
      <c r="P703" s="1738" t="str">
        <f>IFERROR(IF(__Retrofit_TI_NC=1,VLOOKUP(G703,'Space Table'!$B$3:$O$163,13,FALSE),IF(__Retrofit_TI_NC=2,VLOOKUP(G703,'Space Table'!$B$3:$O$163,14,FALSE),"Area (sf):")),"Area (sf):")</f>
        <v>Area (sf):</v>
      </c>
      <c r="Q703" s="1738"/>
      <c r="R703" s="596"/>
      <c r="S703" s="1763" t="s">
        <v>345</v>
      </c>
      <c r="T703" s="594"/>
      <c r="U703" s="1801"/>
      <c r="V703" s="1802"/>
      <c r="W703" s="1802"/>
      <c r="X703" s="1802"/>
      <c r="Y703" s="1802"/>
      <c r="Z703" s="1802"/>
      <c r="AA703" s="1802"/>
      <c r="AB703" s="1802"/>
      <c r="AC703" s="1802"/>
      <c r="AD703" s="1802"/>
      <c r="AE703" s="1803"/>
      <c r="AF703" s="594"/>
      <c r="AG703" s="1787"/>
      <c r="AH703" s="1787"/>
      <c r="AI703" s="1787"/>
      <c r="AJ703" s="1787"/>
      <c r="AK703" s="1787"/>
      <c r="AL703" s="1787"/>
      <c r="AM703" s="1726">
        <f>IFERROR(DI703,"")</f>
        <v>0</v>
      </c>
      <c r="AN703" s="1728" t="str">
        <f>IFERROR(ROUND(AM703*AC704,0),"")</f>
        <v/>
      </c>
      <c r="AO703" s="1730">
        <f>IFERROR(IF(IB701=FALSE,0,AC704-AN703),0)</f>
        <v>0</v>
      </c>
      <c r="AP703" s="1780"/>
      <c r="AQ703" s="1781"/>
      <c r="AR703" s="1795"/>
      <c r="AS703" s="1795"/>
      <c r="AT703" s="1796"/>
      <c r="AU703" s="1735"/>
      <c r="AV703" s="1752"/>
      <c r="AW703" s="1705"/>
      <c r="AX703" s="467"/>
      <c r="AY703" s="1749"/>
      <c r="AZ703" s="1749"/>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696"/>
      <c r="CQ703" s="1696"/>
      <c r="CR703" s="1808" t="str">
        <f>CQ701</f>
        <v/>
      </c>
      <c r="CS703" s="1810" t="str">
        <f>CS701</f>
        <v/>
      </c>
      <c r="CU703" s="1688" t="s">
        <v>345</v>
      </c>
      <c r="CV703" s="1702">
        <f>IF(IB701=TRUE,T703,0)</f>
        <v>0</v>
      </c>
      <c r="CW703" s="1702" t="str">
        <f>IF(IB701=TRUE,U703,"")</f>
        <v/>
      </c>
      <c r="CX703" s="1812">
        <f>IF(IB701=TRUE,U704,0)</f>
        <v>0</v>
      </c>
      <c r="CY703" s="1814">
        <f>IF(IB701=TRUE,AB704,0)</f>
        <v>0</v>
      </c>
      <c r="CZ703" s="1710">
        <f>IF(AND(__Retrofit_TI_NC&gt;0,CR701="interior"),0,IF(IB701=TRUE,AC704,0))</f>
        <v>0</v>
      </c>
      <c r="DA703" s="1818"/>
      <c r="DB703" s="1820"/>
      <c r="DC703" s="1820"/>
      <c r="DD703" s="1820"/>
      <c r="DF703" s="1702">
        <f>IF(IB701=TRUE,AF703,0)</f>
        <v>0</v>
      </c>
      <c r="DG703" s="1830" t="str">
        <f>IF(IB701=TRUE,AG703,"")</f>
        <v/>
      </c>
      <c r="DH703" s="1812">
        <f>AG704</f>
        <v>0</v>
      </c>
      <c r="DI703" s="1837">
        <f>JE703</f>
        <v>0</v>
      </c>
      <c r="DJ703" s="1710">
        <f>IF(AND(__Retrofit_TI_NC&gt;0,CR701="interior"),0,IF(IB701=TRUE,AN703,0))</f>
        <v>0</v>
      </c>
      <c r="DK703" s="1712"/>
      <c r="DN703" s="1717">
        <f>IFERROR(CZ703-DJ703,0)</f>
        <v>0</v>
      </c>
      <c r="DO703" s="1709"/>
      <c r="DQ703" s="1715"/>
      <c r="DR703" s="1719" t="str">
        <f>DQ701</f>
        <v/>
      </c>
      <c r="DS703" s="1816"/>
      <c r="DT703" s="1835" t="str">
        <f>IF(OR(DS701=7,DS701=8,DS701=9),"ALC","")</f>
        <v/>
      </c>
      <c r="DU703" s="1715"/>
      <c r="DV703" s="1716"/>
      <c r="DX703" s="1715"/>
      <c r="DY703" s="1829" t="str">
        <f>DX701</f>
        <v/>
      </c>
      <c r="DZ703" s="1715"/>
      <c r="EA703" s="1715"/>
      <c r="EC703" s="1834"/>
      <c r="ED703" s="1834"/>
      <c r="EF703" s="1707"/>
      <c r="EG703" s="1712"/>
      <c r="EH703" s="1818"/>
      <c r="EI703" s="1712"/>
      <c r="EJ703" s="1712"/>
      <c r="EK703" s="1836"/>
      <c r="EL703" s="1836"/>
      <c r="EM703" s="1807"/>
      <c r="EN703" s="1839"/>
      <c r="EO703" s="1839"/>
      <c r="EP703" s="1817"/>
      <c r="EQ703" s="1817"/>
      <c r="ER703" s="1807"/>
      <c r="ES703" s="1807"/>
      <c r="ET703" s="1807"/>
      <c r="EV703" s="1715"/>
      <c r="EX703" s="1805" t="str">
        <f>IFERROR(VLOOKUP(CS703,'Space Table'!$B$3:$L$163,8,FALSE),"")</f>
        <v/>
      </c>
      <c r="EY703" s="1805" t="str">
        <f>IFERROR(IF(FB703="Yes",VLOOKUP(AG703,Lookup_Control_Type_Table2,4,FALSE),VLOOKUP(AG703,Lookup_Control_Type_Table2,3,FALSE)),"")</f>
        <v/>
      </c>
      <c r="EZ703" s="1805" t="e">
        <f>VLOOKUP(AG703,Lookup!BB$3:BC$20,2,FALSE)</f>
        <v>#N/A</v>
      </c>
      <c r="FA703" s="1805" t="e">
        <f>VLOOKUP(EX701,Lookup_Control_Type_Table,2,FALSE)</f>
        <v>#N/A</v>
      </c>
      <c r="FB703" s="1805" t="e">
        <f>VLOOKUP(CS703,'Space Table'!$B$3:$L$163,7,FALSE)</f>
        <v>#N/A</v>
      </c>
      <c r="FC703" s="1827"/>
      <c r="FE703" s="1698" t="str">
        <f>CONCATENATE(CQ701," - ",AG703)</f>
        <v xml:space="preserve"> - </v>
      </c>
      <c r="FG703" s="1816"/>
      <c r="FH703" s="1816"/>
      <c r="FI703" s="133"/>
      <c r="FL703" s="1822" t="str">
        <f>IF(CQ701="Exterior","Not Daylighted",G704)</f>
        <v>Not Daylighted</v>
      </c>
      <c r="FM703" s="1824">
        <f>VLOOKUP(FL703,_New_Daylight_Table_Codes,2,FALSE)</f>
        <v>0</v>
      </c>
      <c r="FN703" s="1698">
        <f>AG703</f>
        <v>0</v>
      </c>
      <c r="FO703" s="1698" t="e">
        <f>VLOOKUP(FN703,_Control_Table,2,FALSE)</f>
        <v>#N/A</v>
      </c>
      <c r="FP703" s="1678" t="e">
        <f>VLOOKUP(CONCATENATE(FL703," ",FN703),Lookup!AY$102:AZ714,2,FALSE)</f>
        <v>#N/A</v>
      </c>
      <c r="FQ703" s="1698">
        <f>IF(__Retrofit_TI_NC=0,FN703,IF(AND(FT703&gt;0,FN703="Occupancy Sensor"),"Daylight + Occupancy",IF(AND(FT703&gt;0,FO703&lt;4),"Interior Daylight Dimming",FN703)))</f>
        <v>0</v>
      </c>
      <c r="FS703" s="1686">
        <f>IF(CQ701="Interior",VLOOKUP(CS701,Control_Savings_Interior,5,FALSE),0)</f>
        <v>0</v>
      </c>
      <c r="FT703" s="1687">
        <f>IF(CQ703="Exterior",0,IF(FM703=2,0.5,IF(OR(FM703=1,FM703=3),1,0)))</f>
        <v>0</v>
      </c>
      <c r="FU703" s="1685">
        <f>IF(R702&gt;FS$44,(FS703*(FS$44/R702)),FS703)*FT703</f>
        <v>0</v>
      </c>
      <c r="FV703" s="1686">
        <f>DI703</f>
        <v>0</v>
      </c>
      <c r="FW703" s="1686">
        <f>ROUND(FV703+((1-FV703)*FU703),2)</f>
        <v>0</v>
      </c>
      <c r="FX703" s="1686">
        <f>IF(__Retrofit_TI_NC=2,FW703,FV703)</f>
        <v>0</v>
      </c>
      <c r="FY703" s="1697">
        <f>IF(CR703="Interior",VLOOKUP(CS703,Control_Savings_Interior,4,FALSE),0)</f>
        <v>0</v>
      </c>
      <c r="GA703" s="1696"/>
      <c r="GB703" s="1696"/>
      <c r="GC703" s="1696"/>
      <c r="GD703" s="1696"/>
      <c r="GE703" s="1696"/>
      <c r="GF703" s="1696"/>
      <c r="GG703" s="1696"/>
      <c r="GH703" s="1696"/>
      <c r="GI703" s="673" t="b">
        <f>IF(ISNUMBER(SEARCH("TLED",U703)),TRUE,FALSE)</f>
        <v>0</v>
      </c>
      <c r="GJ703" s="1135" t="str">
        <f>IFERROR(VLOOKUP(U703,Fixtures!DM$93:DR$142,6,FALSE),"")</f>
        <v/>
      </c>
      <c r="GK703" s="1832"/>
      <c r="GM703" s="1692"/>
      <c r="GN703" s="1684"/>
      <c r="GP703" s="1684"/>
      <c r="GQ703" s="1684"/>
      <c r="HG703" s="1684"/>
      <c r="HH703" s="1684"/>
      <c r="HI703" s="1684"/>
      <c r="HJ703" s="1684"/>
      <c r="HK703" s="1684"/>
      <c r="HL703" s="1684"/>
      <c r="HM703" s="1684"/>
      <c r="HN703" s="1683"/>
      <c r="HO703" s="1692"/>
      <c r="HP703" s="1692"/>
      <c r="HQ703" s="1670"/>
      <c r="HR703" s="1684"/>
      <c r="HS703" s="1684"/>
      <c r="HT703" s="1670"/>
      <c r="HU703" s="1684"/>
      <c r="HV703" s="1684"/>
      <c r="HW703" s="1684"/>
      <c r="HX703" s="1684"/>
      <c r="HY703" s="1684"/>
      <c r="HZ703" s="1684"/>
      <c r="IB703" s="1692"/>
      <c r="IC703" s="1693" t="b">
        <f>IB701</f>
        <v>0</v>
      </c>
      <c r="ID703" s="1695"/>
      <c r="IE703" s="391"/>
      <c r="IF703" s="1688"/>
      <c r="IG703" s="1689">
        <f ca="1">IF(IF701=TRUE,AC704,0)</f>
        <v>0</v>
      </c>
      <c r="IH703" s="1684"/>
      <c r="IK703" s="1689" t="e">
        <f>ROUND(T703*AB704*N702*R702/1000,0)</f>
        <v>#VALUE!</v>
      </c>
      <c r="IL703" s="1691"/>
      <c r="IM703" s="1693" t="e">
        <f>ROUND(T703*AB704*N702*R702/1000,0)</f>
        <v>#VALUE!</v>
      </c>
      <c r="IN703" s="1691"/>
      <c r="IP703" s="1679"/>
      <c r="IQ703" s="1679" t="e">
        <f t="shared" ref="IQ703:IU703" si="647">IF($CR703="interior",VLOOKUP($CS703,_New_Control_Savings_Interior,IQ$30,FALSE),VLOOKUP($CS703,Control_Savings_Exterior,IQ$30,FALSE))</f>
        <v>#N/A</v>
      </c>
      <c r="IR703" s="1679" t="e">
        <f t="shared" si="647"/>
        <v>#N/A</v>
      </c>
      <c r="IS703" s="1679" t="e">
        <f t="shared" si="647"/>
        <v>#N/A</v>
      </c>
      <c r="IT703" s="1679" t="e">
        <f t="shared" si="647"/>
        <v>#N/A</v>
      </c>
      <c r="IU703" s="1679" t="e">
        <f t="shared" si="647"/>
        <v>#N/A</v>
      </c>
      <c r="IV703" s="1679" t="e">
        <f>IF($CR703="interior",IF(R702&gt;$IP$14,ROUND(($IV$18*($IP$14/R702)),2),$IV$18),VLOOKUP($CS703,Control_Savings_Exterior,IV$30,FALSE))</f>
        <v>#N/A</v>
      </c>
      <c r="IW703" s="1679" t="e">
        <f>IF($CR703="interior",ROUND(((1-IS703)*IV703)+IS703,2),VLOOKUP($CS703,Control_Savings_Exterior,IW$30,FALSE))</f>
        <v>#N/A</v>
      </c>
      <c r="IX703" s="1679" t="e">
        <f>IF($CR703="interior",ROUND(((1-IT703)*IV703)+IT703,2),VLOOKUP($CS703,Control_Savings_Exterior,IX$30,FALSE))</f>
        <v>#N/A</v>
      </c>
      <c r="IY703" s="1679" t="e">
        <f>IF($CR703="interior",IF(R702&gt;$IP$14,ROUND(($IY$18*($IP$14/R702)),2),$IY$18),VLOOKUP($CS703,Control_Savings_Exterior,IY$30,FALSE))</f>
        <v>#N/A</v>
      </c>
      <c r="IZ703" s="1679" t="e">
        <f>IF($CR703="interior",ROUND(((1-IS703)*IY703)+IS703,2),VLOOKUP($CS703,Control_Savings_Exterior,IZ$30,FALSE))</f>
        <v>#N/A</v>
      </c>
      <c r="JA703" s="1679" t="e">
        <f>IF($CR703="interior",ROUND(((1-IT703)*IY703)+IT703,2),VLOOKUP($CS703,Control_Savings_Exterior,JA$30,FALSE))</f>
        <v>#N/A</v>
      </c>
      <c r="JC703" s="1680">
        <f>IFERROR(IF(CR703="Interior",CONCATENATE(G704," ",FQ703),AG703),"")</f>
        <v>0</v>
      </c>
      <c r="JD703" s="1670" t="str">
        <f>IFERROR(VLOOKUP(JC703,_Controls_2023,2,FALSE),"")</f>
        <v/>
      </c>
      <c r="JE703" s="1681">
        <f>IFERROR(CHOOSE(JD703-1,IQ703,IR703,IS703,IT703,IU703,IV703,IW703,IX703,IY703,IZ703,JA703),0)</f>
        <v>0</v>
      </c>
      <c r="JG703" s="1680" t="str">
        <f>FE703</f>
        <v xml:space="preserve"> - </v>
      </c>
      <c r="JH703" s="1670" t="e">
        <f>$FO703</f>
        <v>#N/A</v>
      </c>
      <c r="JI703" s="1060"/>
      <c r="JJ703" s="1670">
        <f>IFERROR(IF($IB701=TRUE,IF(OR(JJ$14="No",JJ701=FALSE,JH703&lt;=JH701,AND(_kWh_Grant=0,GD701=FALSE)),0,IF(JJ$8="Per Line",1,$AF703)),0),0)</f>
        <v>0</v>
      </c>
      <c r="JK703" s="1061"/>
      <c r="JL703" s="1670">
        <f>IFERROR(IF(_kWh_Grant=0,0,IF($IB701=TRUE,IF(OR(JL$14="No",JL701=FALSE,JH703&lt;=JH701),0,IF(JL$8="Per Line",1,$T703)),0)),0)</f>
        <v>0</v>
      </c>
      <c r="JM703" s="1061"/>
      <c r="JN703" s="1670">
        <f>IFERROR(IF(_kWh_Grant=0,0,IF($IB701=TRUE,IF(OR(JN$14="No",JN701=FALSE,JH703&lt;=JH701),0,IF(JN$8="Per Line",1,$AF703)),0)),0)</f>
        <v>0</v>
      </c>
      <c r="JO703" s="1061"/>
      <c r="JP703" s="1670">
        <f>IFERROR(IF(__Retrofit_TI_NC=0,IF(_kWh_Grant=0,0,IF($IB701=TRUE,IF(OR(JP$14="No",JP701=FALSE,$JH703&lt;=$JH701),0,IF(JP$8="Per Line",1,$AF703)),0)),IF($IB701=TRUE,IF(OR(JP$14="No",JP701=FALSE,$JH703&lt;=$JH701),0,IF(JP$8="Per Line",1,$AF703)))),0)</f>
        <v>0</v>
      </c>
      <c r="JQ703" s="1061"/>
      <c r="JR703" s="1670">
        <f>IFERROR(IF(__Retrofit_TI_NC=0,IF(_kWh_Grant=0,0,IF($IB701=TRUE,IF(OR(JR$14="No",JR701=FALSE,$JH703&lt;=$JH701),0,IF(JR$8="Per Line",1,$AF703)),0)),IF($IB701=TRUE,IF(OR(JR$14="No",JR701=FALSE,$JH703&lt;=$JH701),0,IF(JR$8="Per Line",1,$AF703)))),0)</f>
        <v>0</v>
      </c>
      <c r="JS703" s="1061"/>
      <c r="JT703" s="1670">
        <f>IFERROR(IF(__Retrofit_TI_NC=0,IF(_kWh_Grant=0,0,IF($IB701=TRUE,IF(OR(JT$14="No",JT701=FALSE,$JH703&lt;=$JH701),0,IF(JT$8="Per Line",1,$AF703)),0)),IF($IB701=TRUE,IF(OR(JT$14="No",JT701=FALSE,$JH703&lt;=$JH701),0,IF(JT$8="Per Line",1,$AF703)))),0)</f>
        <v>0</v>
      </c>
      <c r="JU703" s="1061"/>
      <c r="JV703" s="1670">
        <f>IFERROR(IF(__Retrofit_TI_NC=0,IF(_kWh_Grant=0,0,IF($IB701=TRUE,IF(OR(JV$14="No",JV701=FALSE,$JH703&lt;=$JH701),0,IF(JV$8="Per Line",1,$AF703)),0)),IF($IB701=TRUE,IF(OR(JV$14="No",JV701=FALSE,$JH703&lt;=$JH701),0,IF(JV$8="Per Line",1,$AF703)))),0)</f>
        <v>0</v>
      </c>
      <c r="JX703" s="1670">
        <f>IFERROR(IF(__Retrofit_TI_NC=0,IF(_kWh_Grant=0,0,IF($IB701=TRUE,IF(OR(JX$14="No",JX701=FALSE,$JH703&lt;=$JH701),0,IF(JX$8="Per Line",1,$AF703)),0)),IF($IB701=TRUE,IF(OR(JX$14="No",JX701=FALSE,$JH703&lt;=$JH701),0,IF(JX$8="Per Line",1,$AF703)))),0)</f>
        <v>0</v>
      </c>
      <c r="JZ703" s="1670">
        <f>IFERROR(IF($IB701=TRUE,IF(OR(JZ$14="No",JZ701=FALSE,$JH703&lt;=$JH701,AND(_kWh_Grant=0,$GD701=FALSE)),0,IF(JZ$8="Per Line",1,$AF703)),0),0)</f>
        <v>0</v>
      </c>
      <c r="KB703" s="1670">
        <f>IFERROR(IF(__Retrofit_TI_NC=0,IF(_kWh_Grant=0,0,IF($IB701=TRUE,IF(OR(KB$14="No",KB701=FALSE,$JH703&lt;=$JH701),0,IF(KB$8="Per Line",1,$AF703)),0)),IF($IB701=TRUE,IF(OR(KB$14="No",KB701=FALSE,$JH703&lt;=$JH701),0,IF(KB$8="Per Line",1,$AF703)))),0)</f>
        <v>0</v>
      </c>
    </row>
    <row r="704" spans="1:288" s="78" customFormat="1" ht="14.95" customHeight="1" thickTop="1" thickBot="1">
      <c r="B704" s="1845"/>
      <c r="C704" s="1846"/>
      <c r="D704" s="1847"/>
      <c r="E704" s="1771" t="s">
        <v>436</v>
      </c>
      <c r="F704" s="1772"/>
      <c r="G704" s="1784" t="s">
        <v>437</v>
      </c>
      <c r="H704" s="1785"/>
      <c r="I704" s="1785"/>
      <c r="J704" s="1785"/>
      <c r="K704" s="1785"/>
      <c r="L704" s="1786"/>
      <c r="M704" s="591">
        <f>IFERROR(VLOOKUP(G704,_Daylight_Table[],2,FALSE),0)</f>
        <v>0</v>
      </c>
      <c r="N704" s="592" t="str">
        <f>IF(AND(__Retrofit_TI_NC&gt;0,CQ701="Interior"),"BAM","")</f>
        <v/>
      </c>
      <c r="O704" s="591" t="e">
        <f>VLOOKUP(G703,'Space Table'!$B$3:$L$163,11,FALSE)</f>
        <v>#N/A</v>
      </c>
      <c r="P704" s="1789"/>
      <c r="Q704" s="1790"/>
      <c r="R704" s="1790"/>
      <c r="S704" s="1788"/>
      <c r="T704" s="593" t="s">
        <v>342</v>
      </c>
      <c r="U704" s="1756" t="str" cm="1">
        <f t="array" aca="1" ref="U704" ca="1">IFERROR(VLOOKUP(INDIRECT("U" &amp; ROW()-1),Fixtures!DM$93:DP$142,4,FALSE),"")</f>
        <v/>
      </c>
      <c r="V704" s="1757"/>
      <c r="W704" s="1757"/>
      <c r="X704" s="1757"/>
      <c r="Y704" s="1757"/>
      <c r="Z704" s="1757"/>
      <c r="AA704" s="1758"/>
      <c r="AB704" s="939" t="str">
        <f>IFERROR(VLOOKUP(U703,Fixtures_Proposed_List,2,FALSE),"")</f>
        <v/>
      </c>
      <c r="AC704" s="933" t="str">
        <f>IFERROR(ROUND(T703*AB704*N702*R702/1000,0),"")</f>
        <v/>
      </c>
      <c r="AD704" s="934" t="str">
        <f>IFERROR(ROUND(T703*AB704/1000,2),"")</f>
        <v/>
      </c>
      <c r="AE704" s="998"/>
      <c r="AF704" s="938" t="s">
        <v>342</v>
      </c>
      <c r="AG704" s="1770"/>
      <c r="AH704" s="1770"/>
      <c r="AI704" s="1770"/>
      <c r="AJ704" s="1770"/>
      <c r="AK704" s="1770"/>
      <c r="AL704" s="1770"/>
      <c r="AM704" s="1727"/>
      <c r="AN704" s="1729"/>
      <c r="AO704" s="1731"/>
      <c r="AP704" s="1782"/>
      <c r="AQ704" s="1783"/>
      <c r="AR704" s="1797"/>
      <c r="AS704" s="1797"/>
      <c r="AT704" s="1798"/>
      <c r="AU704" s="1736"/>
      <c r="AV704" s="1753"/>
      <c r="AW704" s="1706"/>
      <c r="AX704" s="468"/>
      <c r="AY704" s="1750"/>
      <c r="AZ704" s="1750"/>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696"/>
      <c r="CQ704" s="1696"/>
      <c r="CR704" s="1809"/>
      <c r="CS704" s="1811"/>
      <c r="CU704" s="1688"/>
      <c r="CV704" s="1703"/>
      <c r="CW704" s="1703"/>
      <c r="CX704" s="1813"/>
      <c r="CY704" s="1815"/>
      <c r="CZ704" s="1711"/>
      <c r="DA704" s="1815"/>
      <c r="DB704" s="1821"/>
      <c r="DC704" s="1821"/>
      <c r="DD704" s="1821"/>
      <c r="DF704" s="1703"/>
      <c r="DG704" s="1831"/>
      <c r="DH704" s="1813"/>
      <c r="DI704" s="1838"/>
      <c r="DJ704" s="1711"/>
      <c r="DK704" s="1712"/>
      <c r="DN704" s="1718"/>
      <c r="DO704" s="1709"/>
      <c r="DQ704" s="1715"/>
      <c r="DR704" s="1720"/>
      <c r="DS704" s="1703"/>
      <c r="DT704" s="1714"/>
      <c r="DU704" s="1715"/>
      <c r="DV704" s="1716"/>
      <c r="DX704" s="1715"/>
      <c r="DY704" s="1720"/>
      <c r="DZ704" s="1715"/>
      <c r="EA704" s="1715"/>
      <c r="EC704" s="1834"/>
      <c r="ED704" s="1834"/>
      <c r="EF704" s="1707"/>
      <c r="EG704" s="1712"/>
      <c r="EH704" s="1815"/>
      <c r="EI704" s="1712"/>
      <c r="EJ704" s="1712"/>
      <c r="EK704" s="1813"/>
      <c r="EL704" s="1813"/>
      <c r="EM704" s="1807"/>
      <c r="EN704" s="1839"/>
      <c r="EO704" s="1839"/>
      <c r="EP704" s="1817"/>
      <c r="EQ704" s="1817"/>
      <c r="ER704" s="1807"/>
      <c r="ES704" s="1807"/>
      <c r="ET704" s="1807"/>
      <c r="EV704" s="1715"/>
      <c r="EX704" s="1806"/>
      <c r="EY704" s="1806"/>
      <c r="EZ704" s="1806"/>
      <c r="FA704" s="1806"/>
      <c r="FB704" s="1806"/>
      <c r="FC704" s="1828"/>
      <c r="FE704" s="1698"/>
      <c r="FG704" s="1703"/>
      <c r="FH704" s="1703"/>
      <c r="FI704" s="133"/>
      <c r="FL704" s="1823"/>
      <c r="FM704" s="1825"/>
      <c r="FN704" s="1698"/>
      <c r="FO704" s="1698"/>
      <c r="FP704" s="1678"/>
      <c r="FQ704" s="1698"/>
      <c r="FS704" s="1687"/>
      <c r="FT704" s="1687"/>
      <c r="FU704" s="1685"/>
      <c r="FV704" s="1687"/>
      <c r="FW704" s="1687"/>
      <c r="FX704" s="1687"/>
      <c r="FY704" s="1697"/>
      <c r="GA704" s="1696"/>
      <c r="GB704" s="1696"/>
      <c r="GC704" s="1696"/>
      <c r="GD704" s="1696"/>
      <c r="GE704" s="1696"/>
      <c r="GF704" s="1696"/>
      <c r="GG704" s="1696"/>
      <c r="GH704" s="1696"/>
      <c r="GI704" s="673"/>
      <c r="GJ704" s="1135"/>
      <c r="GK704" s="1832"/>
      <c r="GN704" s="674">
        <f>IF(GN702=TRUE,0,GN$16)</f>
        <v>0</v>
      </c>
      <c r="GP704" s="674">
        <f>IF(GP702=TRUE,0,GP$16)</f>
        <v>36</v>
      </c>
      <c r="GQ704" s="674">
        <f ca="1">IF(GQ702=TRUE,0,GQ$16)</f>
        <v>35</v>
      </c>
      <c r="GR704" s="391"/>
      <c r="GS704" s="391"/>
      <c r="GT704" s="391"/>
      <c r="GU704" s="391"/>
      <c r="GV704" s="391"/>
      <c r="HG704" s="674">
        <f>IF(HG702=TRUE,0,HG$16)</f>
        <v>0</v>
      </c>
      <c r="HH704" s="674">
        <f t="shared" ref="HH704:HM704" si="648">IF(HH702=TRUE,0,HH$16)</f>
        <v>19</v>
      </c>
      <c r="HI704" s="674">
        <f t="shared" si="648"/>
        <v>18</v>
      </c>
      <c r="HJ704" s="674">
        <f t="shared" si="648"/>
        <v>17</v>
      </c>
      <c r="HK704" s="674">
        <f t="shared" si="648"/>
        <v>16</v>
      </c>
      <c r="HL704" s="674">
        <f t="shared" si="648"/>
        <v>0</v>
      </c>
      <c r="HM704" s="674">
        <f t="shared" si="648"/>
        <v>0</v>
      </c>
      <c r="HN704" s="674">
        <f>IF(HN702=TRUE,0,HN$16)</f>
        <v>13</v>
      </c>
      <c r="HO704" s="674">
        <f t="shared" ref="HO704:HQ704" si="649">IF(HO702=TRUE,0,HO$16)</f>
        <v>0</v>
      </c>
      <c r="HP704" s="674">
        <f t="shared" si="649"/>
        <v>0</v>
      </c>
      <c r="HQ704" s="674">
        <f t="shared" si="649"/>
        <v>10</v>
      </c>
      <c r="HR704" s="674">
        <f>IF(HR702=TRUE,0,HR$16)</f>
        <v>9</v>
      </c>
      <c r="HS704" s="674">
        <f t="shared" ref="HS704:HW704" si="650">IF(HS702=TRUE,0,HS$16)</f>
        <v>0</v>
      </c>
      <c r="HT704" s="674">
        <f t="shared" si="650"/>
        <v>0</v>
      </c>
      <c r="HU704" s="674">
        <f t="shared" si="650"/>
        <v>0</v>
      </c>
      <c r="HV704" s="674">
        <f t="shared" si="650"/>
        <v>0</v>
      </c>
      <c r="HW704" s="674">
        <f t="shared" si="650"/>
        <v>0</v>
      </c>
      <c r="HX704" s="674">
        <f>IF(HX702=TRUE,0,HX$16)</f>
        <v>0</v>
      </c>
      <c r="HY704" s="674">
        <f>IF(HY702=TRUE,0,HY$16)</f>
        <v>0</v>
      </c>
      <c r="HZ704" s="674">
        <f>IF(HZ702=TRUE,0,HZ$16)</f>
        <v>1</v>
      </c>
      <c r="IB704" s="674">
        <f>IF(GP702=FALSE,GP704,IF(GQ702=FALSE,GQ704,MAX(GN704:HZ704)))</f>
        <v>36</v>
      </c>
      <c r="IC704" s="1692"/>
      <c r="ID704" s="205" t="str">
        <f>VLOOKUP(IB704,_Error_Table,3,FALSE)</f>
        <v xml:space="preserve"> </v>
      </c>
      <c r="IE704" s="205"/>
      <c r="IF704" s="1688"/>
      <c r="IG704" s="1689"/>
      <c r="IH704" s="1684"/>
      <c r="IK704" s="1689"/>
      <c r="IL704" s="1692"/>
      <c r="IM704" s="1692"/>
      <c r="IN704" s="1692"/>
      <c r="IP704" s="1679"/>
      <c r="IQ704" s="1679"/>
      <c r="IR704" s="1679"/>
      <c r="IS704" s="1679"/>
      <c r="IT704" s="1679"/>
      <c r="IU704" s="1679"/>
      <c r="IV704" s="1679"/>
      <c r="IW704" s="1679"/>
      <c r="IX704" s="1679"/>
      <c r="IY704" s="1679"/>
      <c r="IZ704" s="1679"/>
      <c r="JA704" s="1679"/>
      <c r="JC704" s="1680"/>
      <c r="JD704" s="1670"/>
      <c r="JE704" s="1681"/>
      <c r="JG704" s="1680"/>
      <c r="JH704" s="1670"/>
      <c r="JI704" s="1060"/>
      <c r="JJ704" s="1670"/>
      <c r="JK704" s="1061"/>
      <c r="JL704" s="1670"/>
      <c r="JM704" s="1061"/>
      <c r="JN704" s="1670"/>
      <c r="JO704" s="1061"/>
      <c r="JP704" s="1670"/>
      <c r="JQ704" s="1061"/>
      <c r="JR704" s="1670"/>
      <c r="JS704" s="1061"/>
      <c r="JT704" s="1670"/>
      <c r="JU704" s="1061"/>
      <c r="JV704" s="1670"/>
      <c r="JX704" s="1670"/>
      <c r="JZ704" s="1670"/>
      <c r="KB704" s="1670"/>
    </row>
    <row r="705" spans="1:288" s="78" customFormat="1" ht="5.0999999999999996" customHeight="1">
      <c r="B705" s="676"/>
      <c r="C705" s="392"/>
      <c r="D705" s="392"/>
      <c r="E705" s="1733"/>
      <c r="F705" s="1733"/>
      <c r="G705" s="1733"/>
      <c r="H705" s="1733"/>
      <c r="I705" s="1733"/>
      <c r="J705" s="1733"/>
      <c r="K705" s="1733"/>
      <c r="L705" s="1733"/>
      <c r="M705" s="1733"/>
      <c r="N705" s="1733"/>
      <c r="O705" s="1733"/>
      <c r="P705" s="1733"/>
      <c r="Q705" s="1733"/>
      <c r="R705" s="1733"/>
      <c r="S705" s="1733"/>
      <c r="T705" s="1733"/>
      <c r="U705" s="1733"/>
      <c r="V705" s="1733"/>
      <c r="W705" s="1733"/>
      <c r="X705" s="1733"/>
      <c r="Y705" s="1733"/>
      <c r="Z705" s="1733"/>
      <c r="AA705" s="1733"/>
      <c r="AB705" s="1733"/>
      <c r="AC705" s="1733"/>
      <c r="AD705" s="1733"/>
      <c r="AE705" s="1733"/>
      <c r="AF705" s="1733"/>
      <c r="AG705" s="1733"/>
      <c r="AH705" s="1733"/>
      <c r="AI705" s="1733"/>
      <c r="AJ705" s="1733"/>
      <c r="AK705" s="1733"/>
      <c r="AL705" s="1733"/>
      <c r="AM705" s="1733"/>
      <c r="AN705" s="1733"/>
      <c r="AO705" s="1733"/>
      <c r="AP705" s="1733"/>
      <c r="AQ705" s="1733"/>
      <c r="AR705" s="1733"/>
      <c r="AS705" s="1733"/>
      <c r="AT705" s="1733"/>
      <c r="AU705" s="1733"/>
      <c r="AV705" s="1733"/>
      <c r="AW705" s="1733"/>
      <c r="AX705" s="469"/>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663"/>
      <c r="CQ705" s="663"/>
      <c r="CR705" s="438"/>
      <c r="CS705" s="663"/>
      <c r="CV705" s="391"/>
      <c r="CW705" s="391"/>
      <c r="CX705" s="207"/>
      <c r="CY705" s="208"/>
      <c r="CZ705" s="208"/>
      <c r="DA705" s="208"/>
      <c r="DB705" s="209"/>
      <c r="DC705" s="209"/>
      <c r="DD705" s="209"/>
      <c r="DF705" s="664"/>
      <c r="DG705" s="665"/>
      <c r="DH705" s="666"/>
      <c r="DI705" s="667"/>
      <c r="DJ705" s="668"/>
      <c r="DK705" s="668"/>
      <c r="DN705" s="208"/>
      <c r="DO705" s="664"/>
      <c r="DQ705" s="664"/>
      <c r="DR705" s="669"/>
      <c r="DS705" s="391"/>
      <c r="DT705" s="664"/>
      <c r="DU705" s="664"/>
      <c r="DV705" s="664"/>
      <c r="DX705" s="664"/>
      <c r="DY705" s="664"/>
      <c r="DZ705" s="664"/>
      <c r="EA705" s="664"/>
      <c r="EC705" s="670"/>
      <c r="ED705" s="670"/>
      <c r="EF705" s="668"/>
      <c r="EG705" s="668"/>
      <c r="EH705" s="208"/>
      <c r="EI705" s="668"/>
      <c r="EJ705" s="668"/>
      <c r="EK705" s="207"/>
      <c r="EL705" s="207"/>
      <c r="EM705" s="666"/>
      <c r="EN705" s="671"/>
      <c r="EO705" s="671"/>
      <c r="EP705" s="672"/>
      <c r="EQ705" s="672"/>
      <c r="ER705" s="666"/>
      <c r="ES705" s="666"/>
      <c r="ET705" s="666"/>
      <c r="EV705" s="664"/>
      <c r="EX705" s="391"/>
      <c r="EY705" s="391"/>
      <c r="EZ705" s="391"/>
      <c r="FA705" s="391"/>
      <c r="FB705" s="391"/>
      <c r="FC705" s="391"/>
      <c r="FE705" s="569"/>
      <c r="FG705" s="391"/>
      <c r="FH705" s="391"/>
      <c r="FI705" s="391"/>
      <c r="FS705" s="664"/>
      <c r="FT705" s="391"/>
      <c r="FU705" s="391"/>
      <c r="FV705" s="664"/>
      <c r="FW705" s="664"/>
      <c r="GA705" s="663"/>
      <c r="GB705" s="663"/>
      <c r="GC705" s="663"/>
      <c r="GD705" s="663"/>
      <c r="GE705" s="663"/>
      <c r="GF705" s="663"/>
      <c r="GG705" s="663"/>
      <c r="GH705" s="663"/>
      <c r="GI705" s="665"/>
      <c r="GJ705" s="664"/>
      <c r="GK705" s="664"/>
    </row>
    <row r="706" spans="1:288" s="78" customFormat="1" ht="14.95" customHeight="1">
      <c r="B706" s="1845" t="str">
        <f>ID709</f>
        <v xml:space="preserve"> </v>
      </c>
      <c r="C706" s="1846">
        <f>C701+1</f>
        <v>128</v>
      </c>
      <c r="D706" s="1847"/>
      <c r="E706" s="1799" t="s">
        <v>295</v>
      </c>
      <c r="F706" s="1800"/>
      <c r="G706" s="1741"/>
      <c r="H706" s="1742"/>
      <c r="I706" s="1742"/>
      <c r="J706" s="1742"/>
      <c r="K706" s="1742"/>
      <c r="L706" s="1742"/>
      <c r="M706" s="1742"/>
      <c r="N706" s="1742"/>
      <c r="O706" s="1742"/>
      <c r="P706" s="1742"/>
      <c r="Q706" s="1742"/>
      <c r="R706" s="1742"/>
      <c r="S706" s="1791" t="s">
        <v>344</v>
      </c>
      <c r="T706" s="590"/>
      <c r="U706" s="1743"/>
      <c r="V706" s="1744"/>
      <c r="W706" s="1744"/>
      <c r="X706" s="1744"/>
      <c r="Y706" s="1744"/>
      <c r="Z706" s="1744"/>
      <c r="AA706" s="1744"/>
      <c r="AB706" s="961" t="str">
        <f>IFERROR(IF(__Retrofit_TI_NC=0,VLOOKUP(U707,Fixtures_Existing_List,2,FALSE),ROUND(N708*R708/T708,10)),"")</f>
        <v/>
      </c>
      <c r="AC706" s="935" t="str">
        <f>IFERROR(IF(__Retrofit_TI_NC=0,ROUND(T707*AB706*N707*R707/1000,0),IF(CQ706="Interior",N708*R708*R707*N707*_C406_reduction/1000,N708*R708*R707*N707/1000)),"")</f>
        <v/>
      </c>
      <c r="AD706" s="936" t="str">
        <f>IFERROR(IF(C$43=0,ROUND(T707*AB706/1000,2),N708*R708/1000),"")</f>
        <v/>
      </c>
      <c r="AE706" s="997"/>
      <c r="AF706" s="937"/>
      <c r="AG706" s="1745" t="str">
        <f>IF(__Retrofit_TI_NC=0," Control","Select Advanced Control for New System")</f>
        <v xml:space="preserve"> Control</v>
      </c>
      <c r="AH706" s="1745"/>
      <c r="AI706" s="1745"/>
      <c r="AJ706" s="1745"/>
      <c r="AK706" s="1745"/>
      <c r="AL706" s="1745"/>
      <c r="AM706" s="1746">
        <f>IFERROR(DI706,"")</f>
        <v>0</v>
      </c>
      <c r="AN706" s="1774" t="str">
        <f>IFERROR(ROUND(AM706*AC706,0),"")</f>
        <v/>
      </c>
      <c r="AO706" s="1776">
        <f>IFERROR(IF(IB706=FALSE,0,AC706-AN706),0)</f>
        <v>0</v>
      </c>
      <c r="AP706" s="1778">
        <f>AO706-AO708</f>
        <v>0</v>
      </c>
      <c r="AQ706" s="1779"/>
      <c r="AR706" s="1793">
        <f>IFERROR(IF(IB706=FALSE,0,(T708*U709)+(AF708*AG709)),0)</f>
        <v>0</v>
      </c>
      <c r="AS706" s="1793"/>
      <c r="AT706" s="1794"/>
      <c r="AU706" s="1734" t="s">
        <v>237</v>
      </c>
      <c r="AV706" s="1751">
        <f>IF(AU706="Yes",1,0)</f>
        <v>1</v>
      </c>
      <c r="AW706" s="1704" t="str">
        <f>IF(OR(DQ706=4,DQ706=5,DQ706=6,DQ706=12),CONCATENATE("$",IF(GH706=TRUE,Lookup!$K$10,Lookup!$K$2)," /lamp"),CONCATENATE(TEXT(ED706,"$0.00"),"/ kWh"))</f>
        <v>$0.00/ kWh</v>
      </c>
      <c r="AX706" s="467"/>
      <c r="AY706" s="1748">
        <f ca="1">IFERROR(IF(GM707=TRUE,(AB709*T708)/R708,0),"NA")</f>
        <v>0</v>
      </c>
      <c r="AZ706" s="1748"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696" t="str">
        <f>N707</f>
        <v/>
      </c>
      <c r="CQ706" s="1696" t="str">
        <f>IFERROR(VLOOKUP(G707,_Lookup_Heat_Type_Table_New,3,FALSE),"")</f>
        <v/>
      </c>
      <c r="CR706" s="1808" t="str">
        <f>CQ706</f>
        <v/>
      </c>
      <c r="CS706" s="1810" t="str">
        <f>IFERROR(VLOOKUP(G708,'Space Table'!$B$3:$L$163,9,FALSE),"")</f>
        <v/>
      </c>
      <c r="CU706" s="1688" t="s">
        <v>344</v>
      </c>
      <c r="CV706" s="1702">
        <f>IF(IB706=TRUE,T707,0)</f>
        <v>0</v>
      </c>
      <c r="CW706" s="1702" t="str">
        <f>IF(IB706=TRUE,U707,"")</f>
        <v/>
      </c>
      <c r="CX706" s="1702"/>
      <c r="CY706" s="1814">
        <f>IF(IB706=TRUE,AB706,0)</f>
        <v>0</v>
      </c>
      <c r="CZ706" s="1710">
        <f>IF(AND(__Retrofit_TI_NC&gt;0,CR706="interior"),0,IF(IB706=TRUE,AC706,0))</f>
        <v>0</v>
      </c>
      <c r="DA706" s="1814">
        <f>IFERROR(IF(IB706=TRUE,CZ706-CZ708,0),0)</f>
        <v>0</v>
      </c>
      <c r="DB706" s="1819">
        <f>IF(IB706=TRUE,AD706,0)</f>
        <v>0</v>
      </c>
      <c r="DC706" s="1819">
        <f>IF(IB706=TRUE,AD709,0)</f>
        <v>0</v>
      </c>
      <c r="DD706" s="1819">
        <f>IFERROR(DB706-DC706,0)</f>
        <v>0</v>
      </c>
      <c r="DF706" s="1702">
        <f>IF(IB706=TRUE,AF707,0)</f>
        <v>0</v>
      </c>
      <c r="DG706" s="1830">
        <f>IFERROR(IF(__Retrofit_TI_NC=2,IF(CQ706="Exterior",O709,FQ706),FN706),"")</f>
        <v>0</v>
      </c>
      <c r="DH706" s="1702"/>
      <c r="DI706" s="1837">
        <f>JE706</f>
        <v>0</v>
      </c>
      <c r="DJ706" s="1710">
        <f>IF(AND(__Retrofit_TI_NC&gt;0,CR706="interior"),0,IF(IB706=TRUE,AN706,0))</f>
        <v>0</v>
      </c>
      <c r="DK706" s="1712">
        <f>IFERROR(IF(IB706=TRUE,DJ708-DJ706,0),0)</f>
        <v>0</v>
      </c>
      <c r="DM706" s="1717">
        <f>IFERROR(CZ706-DJ706,0)</f>
        <v>0</v>
      </c>
      <c r="DO706" s="1708">
        <f>DM706-DN708</f>
        <v>0</v>
      </c>
      <c r="DQ706" s="1715" t="str">
        <f>IFERROR(IF(AND(OR(GC706=4,GC706=5,GC706=6),OR(GF706=4,GF706=5,GF706=6)),GC706+8,VLOOKUP(CW708,Fixtures!R$31:Y$78,8,FALSE)),"")</f>
        <v/>
      </c>
      <c r="DR706" s="1829" t="str">
        <f>DQ706</f>
        <v/>
      </c>
      <c r="DS706" s="1702" t="str">
        <f>IFERROR(VLOOKUP(DG708,Lookup!BB$3:BC$20,2,FALSE),"")</f>
        <v/>
      </c>
      <c r="DT706" s="1713" t="str">
        <f>IF(OR(DS706=7,DS706=8,DS706=9),"ALC","")</f>
        <v/>
      </c>
      <c r="DU706" s="1715">
        <f>IFERROR(IF(OR(DQ706=4,DQ706=5,DQ706=6,DQ706=12,DQ706=13,DQ706=14),VLOOKUP(CW708,Fixtures!DN$27:EG$77,19,FALSE),1)*CV708,0)</f>
        <v>0</v>
      </c>
      <c r="DV706" s="1716">
        <f>IF(OR(DS706=7,DS706=8,DS706=9),IF(DG706=DG708,0,DF708),0)</f>
        <v>0</v>
      </c>
      <c r="DX706" s="1715" t="str">
        <f>IFERROR(IF(EZ706&lt;EZ708,"Yes","No"),"")</f>
        <v/>
      </c>
      <c r="DY706" s="1829" t="str">
        <f>DX706</f>
        <v/>
      </c>
      <c r="DZ706" s="1715">
        <f>IF(DX706="Yes",DF708,0)</f>
        <v>0</v>
      </c>
      <c r="EA706" s="1715">
        <f>DZ706-DV706</f>
        <v>0</v>
      </c>
      <c r="EC706" s="1834">
        <f>IFERROR(VLOOKUP(DQ706,Lookup!AU$3:AV$16,2,FALSE),0)</f>
        <v>0</v>
      </c>
      <c r="ED706" s="1834">
        <f>IF(IB706=FALSE,0,IF(DX706="Yes",EC706+Lookup!K$6,EC706))</f>
        <v>0</v>
      </c>
      <c r="EF706" s="1707">
        <f>IF(IB706=TRUE,DM706,0)</f>
        <v>0</v>
      </c>
      <c r="EG706" s="1712">
        <f>IF(IB706=TRUE,CZ708,0)</f>
        <v>0</v>
      </c>
      <c r="EH706" s="1814">
        <f>IFERROR(EF706-EG706,0)</f>
        <v>0</v>
      </c>
      <c r="EI706" s="1712">
        <f>IF(IB706=TRUE,DJ708,0)</f>
        <v>0</v>
      </c>
      <c r="EJ706" s="1712">
        <f>IFERROR(EF706-EG706+EI706,0)</f>
        <v>0</v>
      </c>
      <c r="EK706" s="1812">
        <f>IF(IB706=TRUE,CV708*CX708,0)</f>
        <v>0</v>
      </c>
      <c r="EL706" s="1812">
        <f>IF(IB706=TRUE,DF708*DH708,0)</f>
        <v>0</v>
      </c>
      <c r="EM706" s="1807">
        <f>AR706</f>
        <v>0</v>
      </c>
      <c r="EN706" s="1839" t="str">
        <f>IFERROR(IF(IB706=TRUE,VLOOKUP(DQ706,Lookup!AU$3:AW$16,3,FALSE)*DU706,""),0)</f>
        <v/>
      </c>
      <c r="EO706" s="1839">
        <f>IF(IB706=TRUE,DZ706*Lookup!AW$12,0)</f>
        <v>0</v>
      </c>
      <c r="EP706" s="1817">
        <f>IFERROR(IF(IB706=TRUE,EN706/EP$40,0),0)</f>
        <v>0</v>
      </c>
      <c r="EQ706" s="1817">
        <f>IF(IB706=TRUE,EO706/EQ$40,0)</f>
        <v>0</v>
      </c>
      <c r="ER706" s="1807">
        <f>IF(IB706=TRUE,ET$40*EP706,0)</f>
        <v>0</v>
      </c>
      <c r="ES706" s="1807">
        <f>IF(IB706=TRUE,ET$40*EQ706,0)</f>
        <v>0</v>
      </c>
      <c r="ET706" s="1807">
        <f>ER706+ES706</f>
        <v>0</v>
      </c>
      <c r="EV706" s="1715">
        <f>IF(G706="",0,1)</f>
        <v>0</v>
      </c>
      <c r="EX706" s="1804" t="str">
        <f>IFERROR(VLOOKUP(CS708,'Space Table'!$B$3:$L$163,8,FALSE),"")</f>
        <v/>
      </c>
      <c r="EY706" s="1804" t="str">
        <f>IFERROR(IF(FB706="Yes",VLOOKUP(DG706,Lookup_Control_Type_Table2,4,FALSE),VLOOKUP(DG706,Lookup_Control_Type_Table2,3,FALSE)),"")</f>
        <v/>
      </c>
      <c r="EZ706" s="1804" t="e">
        <f>VLOOKUP(DG706,Lookup!BB$3:BC$20,2,FALSE)</f>
        <v>#N/A</v>
      </c>
      <c r="FA706" s="1804" t="e">
        <f>VLOOKUP(EX706,Lookup_Control_Type_Table,2,FALSE)</f>
        <v>#N/A</v>
      </c>
      <c r="FB706" s="1804" t="e">
        <f>VLOOKUP(CS708,'Space Table'!$B$3:$L$163,7,FALSE)</f>
        <v>#N/A</v>
      </c>
      <c r="FC706" s="1826" t="b">
        <f>ISNUMBER(SEARCH("TLED",U708))</f>
        <v>0</v>
      </c>
      <c r="FE706" s="1698" t="str">
        <f>CONCATENATE(CQ706," - ",DG706)</f>
        <v xml:space="preserve"> - 0</v>
      </c>
      <c r="FG706" s="1702" t="str">
        <f>VLOOKUP(CW708,Fixtures!DN$27:EZ$77,38,FALSE)</f>
        <v/>
      </c>
      <c r="FH706" s="1702">
        <f>IFERROR(FG706*EH706,0)</f>
        <v>0</v>
      </c>
      <c r="FI706" s="133"/>
      <c r="FL706" s="1822" t="str">
        <f>IF(CQ706="Exterior","Not Daylighted",G709)</f>
        <v>Not Daylighted</v>
      </c>
      <c r="FM706" s="1824">
        <f>VLOOKUP(FL706,_New_Daylight_Table_Codes,2,FALSE)</f>
        <v>0</v>
      </c>
      <c r="FN706" s="1698">
        <f>IF(__Retrofit_TI_NC&gt;0,VLOOKUP(G708,'Space Table'!$B$3:$L$163,11,FALSE),AG707)</f>
        <v>0</v>
      </c>
      <c r="FO706" s="1698" t="e">
        <f>IF(__Retrofit_TI_NC=2,VLOOKUP(FQ706,_Control_Table,2,FALSE),VLOOKUP(FN706,_Control_Table,2,FALSE))</f>
        <v>#N/A</v>
      </c>
      <c r="FP706" s="1678" t="e">
        <f>VLOOKUP(CONCATENATE(FL706," ",FN706),Lookup!AY$102:AZ716,2,FALSE)</f>
        <v>#N/A</v>
      </c>
      <c r="FQ706" s="1678">
        <f>IF(__Retrofit_TI_NC=0,FN706,IF(AND(FT706&gt;0,FN706="Occupancy Sensor"),"Daylight + Occupancy",IF(AND(FT706&gt;0,VLOOKUP(FN706,_Control_Table,2,FALSE)&lt;4),"Interior Daylight Dimming",FN706)))</f>
        <v>0</v>
      </c>
      <c r="FS706" s="1686">
        <f>IF(CR706="Interior",VLOOKUP(CS706,Control_Savings_Interior,5,FALSE),0)</f>
        <v>0</v>
      </c>
      <c r="FT706" s="1687">
        <f>IF(CQ706="Exterior",0,IF(FM706=2,0.5,IF(OR(FM706=1,FM706=3),1,0)))</f>
        <v>0</v>
      </c>
      <c r="FU706" s="1685">
        <f>IF(R705&gt;FS$44,(FS706*(FS$44/R705)),FS706)*FT706</f>
        <v>0</v>
      </c>
      <c r="FV706" s="1686">
        <f>DI706</f>
        <v>0</v>
      </c>
      <c r="FW706" s="1686">
        <f>ROUND(FV706+((1-FV706)*FU706),2)</f>
        <v>0</v>
      </c>
      <c r="FX706" s="1686">
        <f>IF(__Retrofit_TI_NC=2,FW706,FV706)</f>
        <v>0</v>
      </c>
      <c r="FY706" s="1697"/>
      <c r="GA706" s="1696" t="str">
        <f>IFERROR(VLOOKUP(U707,_Exist_Fixture_Table,3,FALSE),"")</f>
        <v/>
      </c>
      <c r="GB706" s="1696" t="str">
        <f>VLOOKUP(CW706,_Exist_Fixture_Table,4,FALSE)</f>
        <v/>
      </c>
      <c r="GC706" s="1696">
        <f>IFERROR(VLOOKUP(GB706,Lookup!AT$6:AU$8,2,FALSE),0)</f>
        <v>0</v>
      </c>
      <c r="GD706" s="1696" t="b">
        <f>IFERROR(IF(OR(GF706=4,GF706=5,GF706=6),TRUE,FALSE),"")</f>
        <v>0</v>
      </c>
      <c r="GE706" s="1696" t="str">
        <f>IFERROR(VLOOKUP(GF706,GC$6:GD$10,2,FALSE),"")</f>
        <v/>
      </c>
      <c r="GF706" s="1696" t="str">
        <f>VLOOKUP(CW708,Fixtures!R$31:Y$78,8,FALSE)</f>
        <v/>
      </c>
      <c r="GG706" s="1696">
        <f>IF(AND(GA706=TRUE,GD706=TRUE,OR(DQ706=12,DQ706=13,DQ706=14)),GC706+8,0)</f>
        <v>0</v>
      </c>
      <c r="GH706" s="1696" t="b">
        <f>IF(OR(GG706=12,GG706=13,GG706=14),TRUE,FALSE)</f>
        <v>0</v>
      </c>
      <c r="GI706" s="673" t="b">
        <f>IF(ISNUMBER(SEARCH("TLED",U707)),TRUE,FALSE)</f>
        <v>0</v>
      </c>
      <c r="GJ706" s="1135" t="str">
        <f>IFERROR(VLOOKUP(U707,Fixtures!BM$93:BR$142,6,FALSE),"")</f>
        <v/>
      </c>
      <c r="GK706" s="1832" t="b">
        <f>IF(OR(GI706=FALSE,GI708=FALSE),TRUE,IF(GJ706-GJ708&lt;5,FALSE,TRUE))</f>
        <v>1</v>
      </c>
      <c r="GO706" s="674">
        <f>GP706</f>
        <v>0</v>
      </c>
      <c r="GP706" s="674">
        <f>IF(G706="",0,1)</f>
        <v>0</v>
      </c>
      <c r="GQ706" s="674">
        <f ca="1">SUM(GR706:HF706)</f>
        <v>2</v>
      </c>
      <c r="GR706" s="674">
        <f>IF(G707="",0,1)</f>
        <v>0</v>
      </c>
      <c r="GS706" s="674">
        <f>IF(N709="BAM",1,IF(G708="",0,1))</f>
        <v>0</v>
      </c>
      <c r="GT706" s="674">
        <f>IF(N709="BAM",1,IF(R707="",0,1))</f>
        <v>0</v>
      </c>
      <c r="GU706" s="674">
        <f>IF(N709="BAM",1,IF(__Retrofit_TI_NC=0,1,IF(R708="",0,1)))</f>
        <v>1</v>
      </c>
      <c r="GV706" s="674">
        <f>IF(N709="BAM",1,IF(CQ706="Exterior",1,IF(G709="",0,1)))</f>
        <v>1</v>
      </c>
      <c r="GW706" s="674">
        <f>IF(__Retrofit_TI_NC&gt;0,1,IF(T707="",0,1))</f>
        <v>0</v>
      </c>
      <c r="GX706" s="674">
        <f>IF(__Retrofit_TI_NC&gt;0,1,IF(U707="",0,1))</f>
        <v>0</v>
      </c>
      <c r="GY706" s="674">
        <f>IF(N709="BAM",1,IF(T708="",0,1))</f>
        <v>0</v>
      </c>
      <c r="GZ706" s="674">
        <f>IF(N709="BAM",1,IF(U708="",0,1))</f>
        <v>0</v>
      </c>
      <c r="HA706" s="674">
        <f ca="1">IF(N709="BAM",1,IF(__Retrofit_TI_NC&gt;0,1,IF(U709="",0,1)))</f>
        <v>0</v>
      </c>
      <c r="HB706" s="674">
        <f>IF(__Retrofit_TI_NC&lt;&gt;0,1,IF(AF707="",0,1))</f>
        <v>0</v>
      </c>
      <c r="HC706" s="674">
        <f>IF(__Retrofit_TI_NC&lt;&gt;0,1,IF(AG707="",0,1))</f>
        <v>0</v>
      </c>
      <c r="HD706" s="674">
        <f>IF(N709="BAM",1,IF(AF708="",0,1))</f>
        <v>0</v>
      </c>
      <c r="HE706" s="674">
        <f>IF(N709="BAM",1,IF(AG708="",0,1))</f>
        <v>0</v>
      </c>
      <c r="HF706" s="674">
        <f>IF(N709="BAM",1,IF(__Retrofit_TI_NC&gt;0,1,IF(AG709="",0,1)))</f>
        <v>0</v>
      </c>
      <c r="HG706" s="391"/>
      <c r="IA706" s="391"/>
      <c r="IB706" s="1693" t="b">
        <f>IF(OR(IB709=0,IB709=HY$16,IB709=HX$16,IB709=HZ$16),TRUE,FALSE)</f>
        <v>0</v>
      </c>
      <c r="IC706" s="1694" t="b">
        <f>IB706</f>
        <v>0</v>
      </c>
      <c r="ID706" s="391"/>
      <c r="IE706" s="391"/>
      <c r="IF706" s="1688" t="b">
        <f ca="1">IF(MAX(GN709:HU709)&gt;5,FALSE,TRUE)</f>
        <v>0</v>
      </c>
      <c r="IG706" s="1689">
        <f ca="1">IF(IF706=TRUE,AC706,0)</f>
        <v>0</v>
      </c>
      <c r="IH706" s="1689">
        <f ca="1">IG706-IG708</f>
        <v>0</v>
      </c>
      <c r="IK706" s="1689" t="e">
        <f>ROUND(T707*VLOOKUP(U707,Fixtures_Existing_List,2,FALSE)*N707*R707/1000,0)</f>
        <v>#N/A</v>
      </c>
      <c r="IL706" s="1690" t="e">
        <f>IK706-IK708</f>
        <v>#N/A</v>
      </c>
      <c r="IM706" s="1693" t="e">
        <f>ROUND(IF(CQ706="Interior",N708*R708*R707*N707*_C406_reduction/1000,N708*R708*R707*N707/1000),0)</f>
        <v>#N/A</v>
      </c>
      <c r="IN706" s="1693" t="e">
        <f>IM706-IM708</f>
        <v>#N/A</v>
      </c>
      <c r="IP706" s="1679"/>
      <c r="IQ706" s="1679" t="e">
        <f t="shared" ref="IQ706:IU706" si="651">IF($CR706="interior",VLOOKUP($CS706,_New_Control_Savings_Interior,IQ$30,FALSE),VLOOKUP($CS706,Control_Savings_Exterior,IQ$30,FALSE))</f>
        <v>#N/A</v>
      </c>
      <c r="IR706" s="1679" t="e">
        <f t="shared" si="651"/>
        <v>#N/A</v>
      </c>
      <c r="IS706" s="1679" t="e">
        <f t="shared" si="651"/>
        <v>#N/A</v>
      </c>
      <c r="IT706" s="1679" t="e">
        <f t="shared" si="651"/>
        <v>#N/A</v>
      </c>
      <c r="IU706" s="1679" t="e">
        <f t="shared" si="651"/>
        <v>#N/A</v>
      </c>
      <c r="IV706" s="1679" t="e">
        <f>IF($CR706="interior",IF(R707&gt;$IP$14,ROUND(($IV$18*($IP$14/R707)),2),$IV$18),VLOOKUP($CS706,Control_Savings_Exterior,IV$30,FALSE))</f>
        <v>#N/A</v>
      </c>
      <c r="IW706" s="1679" t="e">
        <f>IF($CR706="interior",ROUND(((1-IS706)*IV706)+IS706,2),VLOOKUP($CS706,Control_Savings_Exterior,IW$30,FALSE))</f>
        <v>#N/A</v>
      </c>
      <c r="IX706" s="1679" t="e">
        <f>IF($CR706="interior",ROUND(((1-IT706)*IV706)+IT706,2),VLOOKUP($CS706,Control_Savings_Exterior,IX$30,FALSE))</f>
        <v>#N/A</v>
      </c>
      <c r="IY706" s="1679" t="e">
        <f>IF($CR706="interior",IF(R707&gt;$IP$14,ROUND(($IY$18*($IP$14/R707)),2),$IY$18),VLOOKUP($CS706,Control_Savings_Exterior,IY$30,FALSE))</f>
        <v>#N/A</v>
      </c>
      <c r="IZ706" s="1679" t="e">
        <f>IF($CR706="interior",ROUND(((1-IS706)*IY706)+IS706,2),VLOOKUP($CS706,Control_Savings_Exterior,IZ$30,FALSE))</f>
        <v>#N/A</v>
      </c>
      <c r="JA706" s="1679" t="e">
        <f>IF($CR706="interior",ROUND(((1-IT706)*IY706)+IT706,2),VLOOKUP($CS706,Control_Savings_Exterior,JA$30,FALSE))</f>
        <v>#N/A</v>
      </c>
      <c r="JC706" s="1680">
        <f>IFERROR(IF(CR706="Interior",CONCATENATE(G709," ",FQ706),FQ706),"")</f>
        <v>0</v>
      </c>
      <c r="JD706" s="1670" t="str">
        <f>IFERROR(VLOOKUP(JC706,_Controls_2023,2,FALSE),"")</f>
        <v/>
      </c>
      <c r="JE706" s="1681">
        <f>IFERROR(CHOOSE(JD706-1,IQ706,IR706,IS706,IT706,IU706,IV706,IW706,IX706,IY706,IZ706,JA706),0)</f>
        <v>0</v>
      </c>
      <c r="JG706" s="1680" t="str">
        <f>FE706</f>
        <v xml:space="preserve"> - 0</v>
      </c>
      <c r="JH706" s="1670" t="e">
        <f>$FO706</f>
        <v>#N/A</v>
      </c>
      <c r="JI706" s="1060"/>
      <c r="JJ706" s="1682" t="b">
        <f>IF($JG708=CONCATENATE("Interior - ",JJ$4),TRUE,FALSE)</f>
        <v>0</v>
      </c>
      <c r="JK706" s="1061"/>
      <c r="JL706" s="1682" t="b">
        <f>IF($JG708=CONCATENATE("Interior - ",JL$4),TRUE,FALSE)</f>
        <v>0</v>
      </c>
      <c r="JM706" s="1061"/>
      <c r="JN706" s="1682" t="b">
        <f>IF($JG708=CONCATENATE("Interior - ",JN$4),TRUE,FALSE)</f>
        <v>0</v>
      </c>
      <c r="JO706" s="1061"/>
      <c r="JP706" s="1682" t="b">
        <f>IF(__Retrofit_TI_NC&gt;0,FALSE,IF($JG708=CONCATENATE("Interior - ",JP$4),TRUE,FALSE))</f>
        <v>0</v>
      </c>
      <c r="JQ706" s="1061"/>
      <c r="JR706" s="1682" t="b">
        <f>IF(__Retrofit_TI_NC&gt;0,FALSE,IF($JG708=CONCATENATE("Interior - ",JR$4),TRUE,FALSE))</f>
        <v>0</v>
      </c>
      <c r="JS706" s="1061"/>
      <c r="JT706" s="1670" t="b">
        <f>IF(__Retrofit_TI_NC&gt;0,FALSE,IF($JG708=CONCATENATE("Interior - ",JT$4),TRUE,FALSE))</f>
        <v>0</v>
      </c>
      <c r="JU706" s="1061"/>
      <c r="JV706" s="1670" t="b">
        <f>IF(JC708="AELC on Existing",TRUE,FALSE)</f>
        <v>0</v>
      </c>
      <c r="JX706" s="1670" t="b">
        <f>IF(OR(JG708="Exterior - AELC Occupancy based",JG708="Exterior - AELC Time based"),TRUE,FALSE)</f>
        <v>0</v>
      </c>
      <c r="JZ706" s="1682" t="b">
        <f>IF($JG708=CONCATENATE("Exterior - ",JZ$4),TRUE,FALSE)</f>
        <v>0</v>
      </c>
      <c r="KB706" s="1670" t="b">
        <f>IF(__Retrofit_TI_NC&gt;0,FALSE,IF($JG708=CONCATENATE("Interior - ",KB$4),TRUE,FALSE))</f>
        <v>0</v>
      </c>
    </row>
    <row r="707" spans="1:288" s="78" customFormat="1" ht="14.95" customHeight="1" thickTop="1" thickBot="1">
      <c r="B707" s="1845"/>
      <c r="C707" s="1846"/>
      <c r="D707" s="1847"/>
      <c r="E707" s="1737" t="s">
        <v>297</v>
      </c>
      <c r="F707" s="1738"/>
      <c r="G707" s="1739"/>
      <c r="H707" s="1739"/>
      <c r="I707" s="1739"/>
      <c r="J707" s="1739"/>
      <c r="K707" s="1739"/>
      <c r="L707" s="1739"/>
      <c r="M707" s="461" t="e">
        <f>IF(__Retrofit_TI_NC&lt;&gt;0,IF(VLOOKUP(G708,'Space Table'!$B$3:$L$163,3,FALSE)&gt;0,1,0),IF(__Retrofit_TI_NC=VLOOKUP(G708,'Space Table'!$B$3:$L$163,3,FALSE),1,0))</f>
        <v>#N/A</v>
      </c>
      <c r="N707" s="461" t="str">
        <f>IFERROR(VLOOKUP(G707,_Lookup_Heat_Type_Table_New,2,FALSE),"")</f>
        <v/>
      </c>
      <c r="O707" s="461">
        <f>IF(__Retrofit_TI_NC=1,CONCATENATE("TI ",G707),IF(__Retrofit_TI_NC=2,CONCATENATE("NC ",G707),G707))</f>
        <v>0</v>
      </c>
      <c r="P707" s="1740" t="s">
        <v>435</v>
      </c>
      <c r="Q707" s="1740"/>
      <c r="R707" s="595"/>
      <c r="S707" s="1792"/>
      <c r="T707" s="597"/>
      <c r="U707" s="1765"/>
      <c r="V707" s="1766"/>
      <c r="W707" s="1766"/>
      <c r="X707" s="1766"/>
      <c r="Y707" s="1766"/>
      <c r="Z707" s="1766"/>
      <c r="AA707" s="1766"/>
      <c r="AB707" s="1766"/>
      <c r="AC707" s="1766"/>
      <c r="AD707" s="1767"/>
      <c r="AE707" s="1000"/>
      <c r="AF707" s="597"/>
      <c r="AG707" s="1723"/>
      <c r="AH707" s="1724"/>
      <c r="AI707" s="1724"/>
      <c r="AJ707" s="1724"/>
      <c r="AK707" s="1725"/>
      <c r="AL707" s="996"/>
      <c r="AM707" s="1747"/>
      <c r="AN707" s="1775"/>
      <c r="AO707" s="1777"/>
      <c r="AP707" s="1780"/>
      <c r="AQ707" s="1781"/>
      <c r="AR707" s="1795"/>
      <c r="AS707" s="1795"/>
      <c r="AT707" s="1796"/>
      <c r="AU707" s="1735"/>
      <c r="AV707" s="1752"/>
      <c r="AW707" s="1705"/>
      <c r="AX707" s="467"/>
      <c r="AY707" s="1749"/>
      <c r="AZ707" s="1749"/>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696"/>
      <c r="CQ707" s="1696"/>
      <c r="CR707" s="1809"/>
      <c r="CS707" s="1811"/>
      <c r="CU707" s="1688"/>
      <c r="CV707" s="1703"/>
      <c r="CW707" s="1703"/>
      <c r="CX707" s="1703"/>
      <c r="CY707" s="1815"/>
      <c r="CZ707" s="1711"/>
      <c r="DA707" s="1818"/>
      <c r="DB707" s="1820"/>
      <c r="DC707" s="1820"/>
      <c r="DD707" s="1820"/>
      <c r="DF707" s="1703"/>
      <c r="DG707" s="1831"/>
      <c r="DH707" s="1703"/>
      <c r="DI707" s="1838"/>
      <c r="DJ707" s="1711"/>
      <c r="DK707" s="1712"/>
      <c r="DM707" s="1718"/>
      <c r="DO707" s="1708"/>
      <c r="DQ707" s="1715"/>
      <c r="DR707" s="1720"/>
      <c r="DS707" s="1816"/>
      <c r="DT707" s="1714"/>
      <c r="DU707" s="1715"/>
      <c r="DV707" s="1716"/>
      <c r="DX707" s="1715"/>
      <c r="DY707" s="1720"/>
      <c r="DZ707" s="1715"/>
      <c r="EA707" s="1715"/>
      <c r="EC707" s="1834"/>
      <c r="ED707" s="1834"/>
      <c r="EF707" s="1707"/>
      <c r="EG707" s="1712"/>
      <c r="EH707" s="1818"/>
      <c r="EI707" s="1712"/>
      <c r="EJ707" s="1712"/>
      <c r="EK707" s="1836"/>
      <c r="EL707" s="1836"/>
      <c r="EM707" s="1807"/>
      <c r="EN707" s="1839"/>
      <c r="EO707" s="1839"/>
      <c r="EP707" s="1817"/>
      <c r="EQ707" s="1817"/>
      <c r="ER707" s="1807"/>
      <c r="ES707" s="1807"/>
      <c r="ET707" s="1807"/>
      <c r="EV707" s="1715"/>
      <c r="EX707" s="1805"/>
      <c r="EY707" s="1805"/>
      <c r="EZ707" s="1805"/>
      <c r="FA707" s="1805"/>
      <c r="FB707" s="1805"/>
      <c r="FC707" s="1827"/>
      <c r="FE707" s="1698"/>
      <c r="FG707" s="1816"/>
      <c r="FH707" s="1816"/>
      <c r="FI707" s="133"/>
      <c r="FL707" s="1823"/>
      <c r="FM707" s="1825"/>
      <c r="FN707" s="1698"/>
      <c r="FO707" s="1698"/>
      <c r="FP707" s="1678"/>
      <c r="FQ707" s="1678"/>
      <c r="FS707" s="1687"/>
      <c r="FT707" s="1687"/>
      <c r="FU707" s="1685"/>
      <c r="FV707" s="1687"/>
      <c r="FW707" s="1687"/>
      <c r="FX707" s="1687"/>
      <c r="FY707" s="1697"/>
      <c r="GA707" s="1696"/>
      <c r="GB707" s="1696"/>
      <c r="GC707" s="1696"/>
      <c r="GD707" s="1696"/>
      <c r="GE707" s="1696"/>
      <c r="GF707" s="1696"/>
      <c r="GG707" s="1696"/>
      <c r="GH707" s="1696"/>
      <c r="GI707" s="673"/>
      <c r="GJ707" s="1135"/>
      <c r="GK707" s="1832"/>
      <c r="GM707" s="1693" t="b">
        <f ca="1">IF(AND(GP707=TRUE,GQ707=TRUE),TRUE,FALSE)</f>
        <v>0</v>
      </c>
      <c r="GN707" s="1684" t="b">
        <f>IFERROR(IF(__Retrofit_TI_NC=2,TRUE,IF(AU706="Yes",TRUE,FALSE)),FALSE)</f>
        <v>1</v>
      </c>
      <c r="GP707" s="1684" t="b">
        <f>IFERROR(IF(GP706=1,TRUE,FALSE),FALSE)</f>
        <v>0</v>
      </c>
      <c r="GQ707" s="1684" t="b">
        <f ca="1">IFERROR(IF(GQ706=GQ$14,TRUE,FALSE),FALSE)</f>
        <v>0</v>
      </c>
      <c r="HG707" s="1684" t="b">
        <f>IFERROR(IF(AND(__Retrofit_TI_NC&gt;0,CQ706="Interior"),FALSE,TRUE),FALSE)</f>
        <v>1</v>
      </c>
      <c r="HH707" s="1684" t="b">
        <f>IFERROR(IF(M707=1,TRUE,FALSE),FALSE)</f>
        <v>0</v>
      </c>
      <c r="HI707" s="1684" t="b">
        <f>IFERROR(IF(OR(M708=1,N709="BAM"),TRUE,FALSE),FALSE)</f>
        <v>0</v>
      </c>
      <c r="HJ707" s="1684" t="b">
        <f>IFERROR(IF(__Retrofit_TI_NC&lt;&gt;0,TRUE,IFERROR(IF(VLOOKUP(U707,Fixtures_Existing_List,2,FALSE)&lt;&gt;"",TRUE,FALSE),FALSE)),FALSE)</f>
        <v>0</v>
      </c>
      <c r="HK707" s="1684" t="b">
        <f>IFERROR(IF(VLOOKUP(U708,Fixtures_Proposed_List,2,FALSE)&lt;&gt;"",TRUE,FALSE),FALSE)</f>
        <v>0</v>
      </c>
      <c r="HL707" s="1684" t="b">
        <f>IF(AND(__Retrofit_TI_NC=2,FC706=TRUE),FALSE,TRUE)</f>
        <v>1</v>
      </c>
      <c r="HM707" s="1684" t="b">
        <f>GK706</f>
        <v>1</v>
      </c>
      <c r="HN707" s="1682" t="b">
        <f>IF(ISERROR(MATCH(FE706,_Control_Match[],0))=TRUE,FALSE,TRUE)</f>
        <v>0</v>
      </c>
      <c r="HO707" s="1693" t="b">
        <f>IFERROR(IF(EX706&lt;&gt;EY706,FALSE,TRUE),FALSE)</f>
        <v>1</v>
      </c>
      <c r="HP707" s="1693" t="b">
        <f>IFERROR(IF(EX708&lt;&gt;EY708,FALSE,TRUE),FALSE)</f>
        <v>1</v>
      </c>
      <c r="HQ707" s="1670" t="b">
        <f>IFERROR(IF(CQ706="Exterior",TRUE,IF(AND(OR(FM708=0,FM708=3),JD708&gt;6),FALSE,TRUE)),FALSE)</f>
        <v>0</v>
      </c>
      <c r="HR707" s="1684" t="b">
        <f>IFERROR(IF(AND(FO708=7,FC706=TRUE),FALSE,TRUE),FALSE)</f>
        <v>0</v>
      </c>
      <c r="HS707" s="1684" t="b">
        <f>IFERROR(IF(AND(T708&lt;&gt;AF708,OR(AG708="Interior LLLC", AG708="Interior NLC", AG708="LLLC (outside Daylight)",AG708="LLLC Controls Only"))=TRUE,FALSE,TRUE),FALSE)</f>
        <v>1</v>
      </c>
      <c r="HT707" s="1670" t="b">
        <f>IFERROR(IF(OR(AG708=Lookup!BB$17,AG708=Lookup!BB$18,AG708=Lookup!BB$19)=TRUE,IF(AF708&gt;T708,FALSE,TRUE),TRUE),FALSE)</f>
        <v>1</v>
      </c>
      <c r="HU707" s="1684" t="b">
        <f>IFERROR(IF(__Retrofit_TI_NC=2,IF(EZ708&lt;EZ706,FALSE,TRUE),TRUE),FALSE)</f>
        <v>1</v>
      </c>
      <c r="HV707" s="1684" t="b">
        <f>IF(CQ706="Interior",IL$6,TRUE)</f>
        <v>1</v>
      </c>
      <c r="HW707" s="1684" t="b">
        <f>IF(CQ706="Exterior",IL$8,TRUE)</f>
        <v>1</v>
      </c>
      <c r="HX707" s="1684" t="b">
        <f>IFERROR(IF(__Retrofit_TI_NC&lt;&gt;0,IF(AZ706&lt;AY706,FALSE,TRUE),TRUE),FALSE)</f>
        <v>1</v>
      </c>
      <c r="HY707" s="1684" t="b">
        <f>IFERROR(IF(AND(G707="Exterior",R707&gt;4200),FALSE,TRUE),FALSE)</f>
        <v>1</v>
      </c>
      <c r="HZ707" s="1684" t="b">
        <f>IFERROR(IF(AB709/AB706&lt;HZ$18,FALSE,TRUE),FALSE)</f>
        <v>0</v>
      </c>
      <c r="IB707" s="1691"/>
      <c r="IC707" s="1695"/>
      <c r="ID707" s="1694" t="str">
        <f>VLOOKUP(IB709,_Error_Table,4,FALSE)</f>
        <v>White</v>
      </c>
      <c r="IE707" s="391"/>
      <c r="IF707" s="1688"/>
      <c r="IG707" s="1689"/>
      <c r="IH707" s="1684"/>
      <c r="IK707" s="1689"/>
      <c r="IL707" s="1691"/>
      <c r="IM707" s="1691"/>
      <c r="IN707" s="1691"/>
      <c r="IP707" s="1679"/>
      <c r="IQ707" s="1679"/>
      <c r="IR707" s="1679"/>
      <c r="IS707" s="1679"/>
      <c r="IT707" s="1679"/>
      <c r="IU707" s="1679"/>
      <c r="IV707" s="1679"/>
      <c r="IW707" s="1679"/>
      <c r="IX707" s="1679"/>
      <c r="IY707" s="1679"/>
      <c r="IZ707" s="1679"/>
      <c r="JA707" s="1679"/>
      <c r="JC707" s="1680"/>
      <c r="JD707" s="1670"/>
      <c r="JE707" s="1681"/>
      <c r="JG707" s="1680"/>
      <c r="JH707" s="1670"/>
      <c r="JI707" s="1060"/>
      <c r="JJ707" s="1683"/>
      <c r="JK707" s="1061"/>
      <c r="JL707" s="1683"/>
      <c r="JM707" s="1061"/>
      <c r="JN707" s="1683"/>
      <c r="JO707" s="1061"/>
      <c r="JP707" s="1683"/>
      <c r="JQ707" s="1061"/>
      <c r="JR707" s="1683"/>
      <c r="JS707" s="1061"/>
      <c r="JT707" s="1670"/>
      <c r="JU707" s="1061"/>
      <c r="JV707" s="1670"/>
      <c r="JX707" s="1670"/>
      <c r="JZ707" s="1683"/>
      <c r="KB707" s="1670"/>
    </row>
    <row r="708" spans="1:288" s="78" customFormat="1" ht="14.95" customHeight="1" thickTop="1" thickBot="1">
      <c r="A708" s="78">
        <f>ROW()</f>
        <v>708</v>
      </c>
      <c r="B708" s="1845"/>
      <c r="C708" s="1846"/>
      <c r="D708" s="1847"/>
      <c r="E708" s="1737" t="s">
        <v>298</v>
      </c>
      <c r="F708" s="1738"/>
      <c r="G708" s="1760"/>
      <c r="H708" s="1761"/>
      <c r="I708" s="1761"/>
      <c r="J708" s="1761"/>
      <c r="K708" s="1761"/>
      <c r="L708" s="1762"/>
      <c r="M708" s="461">
        <f>IFERROR(IF(IF(__Retrofit_TI_NC&lt;&gt;0,IF(CQ706="Interior",MATCH(G708,Lookup_Interior_New,0),MATCH(G708,Lookup_Exterior_New,0)),IF(CQ706="Interior",MATCH(G708,Lookup_Interior,0),MATCH(G708,Lookup_Exterior_Areas,0)))&gt;0,1,0),0)</f>
        <v>0</v>
      </c>
      <c r="N708" s="461" t="e">
        <f>IF(__Retrofit_TI_NC=1,
VLOOKUP(G708,'Space Table'!$B$3:$L$163,4,FALSE),
IF(__Retrofit_TI_NC=2,VLOOKUP(G708,'Space Table'!$B$3:$L$163,5,FALSE),VLOOKUP(G708,'Space Table'!$B$3:$L$163,5,FALSE)))</f>
        <v>#N/A</v>
      </c>
      <c r="O708" s="461">
        <f>G708</f>
        <v>0</v>
      </c>
      <c r="P708" s="1738" t="str">
        <f>IFERROR(IF(__Retrofit_TI_NC=1,VLOOKUP(G708,'Space Table'!$B$3:$O$163,13,FALSE),IF(__Retrofit_TI_NC=2,VLOOKUP(G708,'Space Table'!$B$3:$O$163,14,FALSE),"Area (sf):")),"Area (sf):")</f>
        <v>Area (sf):</v>
      </c>
      <c r="Q708" s="1738"/>
      <c r="R708" s="596"/>
      <c r="S708" s="1763" t="s">
        <v>345</v>
      </c>
      <c r="T708" s="594"/>
      <c r="U708" s="1801"/>
      <c r="V708" s="1802"/>
      <c r="W708" s="1802"/>
      <c r="X708" s="1802"/>
      <c r="Y708" s="1802"/>
      <c r="Z708" s="1802"/>
      <c r="AA708" s="1802"/>
      <c r="AB708" s="1802"/>
      <c r="AC708" s="1802"/>
      <c r="AD708" s="1802"/>
      <c r="AE708" s="1803"/>
      <c r="AF708" s="594"/>
      <c r="AG708" s="1787"/>
      <c r="AH708" s="1787"/>
      <c r="AI708" s="1787"/>
      <c r="AJ708" s="1787"/>
      <c r="AK708" s="1787"/>
      <c r="AL708" s="1787"/>
      <c r="AM708" s="1726">
        <f>IFERROR(DI708,"")</f>
        <v>0</v>
      </c>
      <c r="AN708" s="1728" t="str">
        <f>IFERROR(ROUND(AM708*AC709,0),"")</f>
        <v/>
      </c>
      <c r="AO708" s="1730">
        <f>IFERROR(IF(IB706=FALSE,0,AC709-AN708),0)</f>
        <v>0</v>
      </c>
      <c r="AP708" s="1780"/>
      <c r="AQ708" s="1781"/>
      <c r="AR708" s="1795"/>
      <c r="AS708" s="1795"/>
      <c r="AT708" s="1796"/>
      <c r="AU708" s="1735"/>
      <c r="AV708" s="1752"/>
      <c r="AW708" s="1705"/>
      <c r="AX708" s="467"/>
      <c r="AY708" s="1749"/>
      <c r="AZ708" s="1749"/>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696"/>
      <c r="CQ708" s="1696"/>
      <c r="CR708" s="1808" t="str">
        <f>CQ706</f>
        <v/>
      </c>
      <c r="CS708" s="1810" t="str">
        <f>CS706</f>
        <v/>
      </c>
      <c r="CU708" s="1688" t="s">
        <v>345</v>
      </c>
      <c r="CV708" s="1702">
        <f>IF(IB706=TRUE,T708,0)</f>
        <v>0</v>
      </c>
      <c r="CW708" s="1702" t="str">
        <f>IF(IB706=TRUE,U708,"")</f>
        <v/>
      </c>
      <c r="CX708" s="1812">
        <f>IF(IB706=TRUE,U709,0)</f>
        <v>0</v>
      </c>
      <c r="CY708" s="1814">
        <f>IF(IB706=TRUE,AB709,0)</f>
        <v>0</v>
      </c>
      <c r="CZ708" s="1710">
        <f>IF(AND(__Retrofit_TI_NC&gt;0,CR706="interior"),0,IF(IB706=TRUE,AC709,0))</f>
        <v>0</v>
      </c>
      <c r="DA708" s="1818"/>
      <c r="DB708" s="1820"/>
      <c r="DC708" s="1820"/>
      <c r="DD708" s="1820"/>
      <c r="DF708" s="1702">
        <f>IF(IB706=TRUE,AF708,0)</f>
        <v>0</v>
      </c>
      <c r="DG708" s="1830" t="str">
        <f>IF(IB706=TRUE,AG708,"")</f>
        <v/>
      </c>
      <c r="DH708" s="1812">
        <f>AG709</f>
        <v>0</v>
      </c>
      <c r="DI708" s="1837">
        <f>JE708</f>
        <v>0</v>
      </c>
      <c r="DJ708" s="1710">
        <f>IF(AND(__Retrofit_TI_NC&gt;0,CR706="interior"),0,IF(IB706=TRUE,AN708,0))</f>
        <v>0</v>
      </c>
      <c r="DK708" s="1712"/>
      <c r="DN708" s="1717">
        <f>IFERROR(CZ708-DJ708,0)</f>
        <v>0</v>
      </c>
      <c r="DO708" s="1709"/>
      <c r="DQ708" s="1715"/>
      <c r="DR708" s="1719" t="str">
        <f>DQ706</f>
        <v/>
      </c>
      <c r="DS708" s="1816"/>
      <c r="DT708" s="1835" t="str">
        <f>IF(OR(DS706=7,DS706=8,DS706=9),"ALC","")</f>
        <v/>
      </c>
      <c r="DU708" s="1715"/>
      <c r="DV708" s="1716"/>
      <c r="DX708" s="1715"/>
      <c r="DY708" s="1829" t="str">
        <f>DX706</f>
        <v/>
      </c>
      <c r="DZ708" s="1715"/>
      <c r="EA708" s="1715"/>
      <c r="EC708" s="1834"/>
      <c r="ED708" s="1834"/>
      <c r="EF708" s="1707"/>
      <c r="EG708" s="1712"/>
      <c r="EH708" s="1818"/>
      <c r="EI708" s="1712"/>
      <c r="EJ708" s="1712"/>
      <c r="EK708" s="1836"/>
      <c r="EL708" s="1836"/>
      <c r="EM708" s="1807"/>
      <c r="EN708" s="1839"/>
      <c r="EO708" s="1839"/>
      <c r="EP708" s="1817"/>
      <c r="EQ708" s="1817"/>
      <c r="ER708" s="1807"/>
      <c r="ES708" s="1807"/>
      <c r="ET708" s="1807"/>
      <c r="EV708" s="1715"/>
      <c r="EX708" s="1805" t="str">
        <f>IFERROR(VLOOKUP(CS708,'Space Table'!$B$3:$L$163,8,FALSE),"")</f>
        <v/>
      </c>
      <c r="EY708" s="1805" t="str">
        <f>IFERROR(IF(FB708="Yes",VLOOKUP(AG708,Lookup_Control_Type_Table2,4,FALSE),VLOOKUP(AG708,Lookup_Control_Type_Table2,3,FALSE)),"")</f>
        <v/>
      </c>
      <c r="EZ708" s="1805" t="e">
        <f>VLOOKUP(AG708,Lookup!BB$3:BC$20,2,FALSE)</f>
        <v>#N/A</v>
      </c>
      <c r="FA708" s="1805" t="e">
        <f>VLOOKUP(EX706,Lookup_Control_Type_Table,2,FALSE)</f>
        <v>#N/A</v>
      </c>
      <c r="FB708" s="1805" t="e">
        <f>VLOOKUP(CS708,'Space Table'!$B$3:$L$163,7,FALSE)</f>
        <v>#N/A</v>
      </c>
      <c r="FC708" s="1827"/>
      <c r="FE708" s="1698" t="str">
        <f>CONCATENATE(CQ706," - ",AG708)</f>
        <v xml:space="preserve"> - </v>
      </c>
      <c r="FG708" s="1816"/>
      <c r="FH708" s="1816"/>
      <c r="FI708" s="133"/>
      <c r="FL708" s="1822" t="str">
        <f>IF(CQ706="Exterior","Not Daylighted",G709)</f>
        <v>Not Daylighted</v>
      </c>
      <c r="FM708" s="1824">
        <f>VLOOKUP(FL708,_New_Daylight_Table_Codes,2,FALSE)</f>
        <v>0</v>
      </c>
      <c r="FN708" s="1698">
        <f>AG708</f>
        <v>0</v>
      </c>
      <c r="FO708" s="1698" t="e">
        <f>VLOOKUP(FN708,_Control_Table,2,FALSE)</f>
        <v>#N/A</v>
      </c>
      <c r="FP708" s="1678" t="e">
        <f>VLOOKUP(CONCATENATE(FL708," ",FN708),Lookup!AY$102:AZ719,2,FALSE)</f>
        <v>#N/A</v>
      </c>
      <c r="FQ708" s="1698">
        <f>IF(__Retrofit_TI_NC=0,FN708,IF(AND(FT708&gt;0,FN708="Occupancy Sensor"),"Daylight + Occupancy",IF(AND(FT708&gt;0,FO708&lt;4),"Interior Daylight Dimming",FN708)))</f>
        <v>0</v>
      </c>
      <c r="FS708" s="1686">
        <f>IF(CQ706="Interior",VLOOKUP(CS706,Control_Savings_Interior,5,FALSE),0)</f>
        <v>0</v>
      </c>
      <c r="FT708" s="1687">
        <f>IF(CQ708="Exterior",0,IF(FM708=2,0.5,IF(OR(FM708=1,FM708=3),1,0)))</f>
        <v>0</v>
      </c>
      <c r="FU708" s="1685">
        <f>IF(R707&gt;FS$44,(FS708*(FS$44/R707)),FS708)*FT708</f>
        <v>0</v>
      </c>
      <c r="FV708" s="1686">
        <f>DI708</f>
        <v>0</v>
      </c>
      <c r="FW708" s="1686">
        <f>ROUND(FV708+((1-FV708)*FU708),2)</f>
        <v>0</v>
      </c>
      <c r="FX708" s="1686">
        <f>IF(__Retrofit_TI_NC=2,FW708,FV708)</f>
        <v>0</v>
      </c>
      <c r="FY708" s="1697">
        <f>IF(CR708="Interior",VLOOKUP(CS708,Control_Savings_Interior,4,FALSE),0)</f>
        <v>0</v>
      </c>
      <c r="GA708" s="1696"/>
      <c r="GB708" s="1696"/>
      <c r="GC708" s="1696"/>
      <c r="GD708" s="1696"/>
      <c r="GE708" s="1696"/>
      <c r="GF708" s="1696"/>
      <c r="GG708" s="1696"/>
      <c r="GH708" s="1696"/>
      <c r="GI708" s="673" t="b">
        <f>IF(ISNUMBER(SEARCH("TLED",U708)),TRUE,FALSE)</f>
        <v>0</v>
      </c>
      <c r="GJ708" s="1135" t="str">
        <f>IFERROR(VLOOKUP(U708,Fixtures!DM$93:DR$142,6,FALSE),"")</f>
        <v/>
      </c>
      <c r="GK708" s="1832"/>
      <c r="GM708" s="1692"/>
      <c r="GN708" s="1684"/>
      <c r="GP708" s="1684"/>
      <c r="GQ708" s="1684"/>
      <c r="HG708" s="1684"/>
      <c r="HH708" s="1684"/>
      <c r="HI708" s="1684"/>
      <c r="HJ708" s="1684"/>
      <c r="HK708" s="1684"/>
      <c r="HL708" s="1684"/>
      <c r="HM708" s="1684"/>
      <c r="HN708" s="1683"/>
      <c r="HO708" s="1692"/>
      <c r="HP708" s="1692"/>
      <c r="HQ708" s="1670"/>
      <c r="HR708" s="1684"/>
      <c r="HS708" s="1684"/>
      <c r="HT708" s="1670"/>
      <c r="HU708" s="1684"/>
      <c r="HV708" s="1684"/>
      <c r="HW708" s="1684"/>
      <c r="HX708" s="1684"/>
      <c r="HY708" s="1684"/>
      <c r="HZ708" s="1684"/>
      <c r="IB708" s="1692"/>
      <c r="IC708" s="1693" t="b">
        <f>IB706</f>
        <v>0</v>
      </c>
      <c r="ID708" s="1695"/>
      <c r="IE708" s="391"/>
      <c r="IF708" s="1688"/>
      <c r="IG708" s="1689">
        <f ca="1">IF(IF706=TRUE,AC709,0)</f>
        <v>0</v>
      </c>
      <c r="IH708" s="1684"/>
      <c r="IK708" s="1689" t="e">
        <f>ROUND(T708*AB709*N707*R707/1000,0)</f>
        <v>#VALUE!</v>
      </c>
      <c r="IL708" s="1691"/>
      <c r="IM708" s="1693" t="e">
        <f>ROUND(T708*AB709*N707*R707/1000,0)</f>
        <v>#VALUE!</v>
      </c>
      <c r="IN708" s="1691"/>
      <c r="IP708" s="1679"/>
      <c r="IQ708" s="1679" t="e">
        <f t="shared" ref="IQ708:IU708" si="652">IF($CR708="interior",VLOOKUP($CS708,_New_Control_Savings_Interior,IQ$30,FALSE),VLOOKUP($CS708,Control_Savings_Exterior,IQ$30,FALSE))</f>
        <v>#N/A</v>
      </c>
      <c r="IR708" s="1679" t="e">
        <f t="shared" si="652"/>
        <v>#N/A</v>
      </c>
      <c r="IS708" s="1679" t="e">
        <f t="shared" si="652"/>
        <v>#N/A</v>
      </c>
      <c r="IT708" s="1679" t="e">
        <f t="shared" si="652"/>
        <v>#N/A</v>
      </c>
      <c r="IU708" s="1679" t="e">
        <f t="shared" si="652"/>
        <v>#N/A</v>
      </c>
      <c r="IV708" s="1679" t="e">
        <f>IF($CR708="interior",IF(R707&gt;$IP$14,ROUND(($IV$18*($IP$14/R707)),2),$IV$18),VLOOKUP($CS708,Control_Savings_Exterior,IV$30,FALSE))</f>
        <v>#N/A</v>
      </c>
      <c r="IW708" s="1679" t="e">
        <f>IF($CR708="interior",ROUND(((1-IS708)*IV708)+IS708,2),VLOOKUP($CS708,Control_Savings_Exterior,IW$30,FALSE))</f>
        <v>#N/A</v>
      </c>
      <c r="IX708" s="1679" t="e">
        <f>IF($CR708="interior",ROUND(((1-IT708)*IV708)+IT708,2),VLOOKUP($CS708,Control_Savings_Exterior,IX$30,FALSE))</f>
        <v>#N/A</v>
      </c>
      <c r="IY708" s="1679" t="e">
        <f>IF($CR708="interior",IF(R707&gt;$IP$14,ROUND(($IY$18*($IP$14/R707)),2),$IY$18),VLOOKUP($CS708,Control_Savings_Exterior,IY$30,FALSE))</f>
        <v>#N/A</v>
      </c>
      <c r="IZ708" s="1679" t="e">
        <f>IF($CR708="interior",ROUND(((1-IS708)*IY708)+IS708,2),VLOOKUP($CS708,Control_Savings_Exterior,IZ$30,FALSE))</f>
        <v>#N/A</v>
      </c>
      <c r="JA708" s="1679" t="e">
        <f>IF($CR708="interior",ROUND(((1-IT708)*IY708)+IT708,2),VLOOKUP($CS708,Control_Savings_Exterior,JA$30,FALSE))</f>
        <v>#N/A</v>
      </c>
      <c r="JC708" s="1680">
        <f>IFERROR(IF(CR708="Interior",CONCATENATE(G709," ",FQ708),AG708),"")</f>
        <v>0</v>
      </c>
      <c r="JD708" s="1670" t="str">
        <f>IFERROR(VLOOKUP(JC708,_Controls_2023,2,FALSE),"")</f>
        <v/>
      </c>
      <c r="JE708" s="1681">
        <f>IFERROR(CHOOSE(JD708-1,IQ708,IR708,IS708,IT708,IU708,IV708,IW708,IX708,IY708,IZ708,JA708),0)</f>
        <v>0</v>
      </c>
      <c r="JG708" s="1680" t="str">
        <f>FE708</f>
        <v xml:space="preserve"> - </v>
      </c>
      <c r="JH708" s="1670" t="e">
        <f>$FO708</f>
        <v>#N/A</v>
      </c>
      <c r="JI708" s="1060"/>
      <c r="JJ708" s="1670">
        <f>IFERROR(IF($IB706=TRUE,IF(OR(JJ$14="No",JJ706=FALSE,JH708&lt;=JH706,AND(_kWh_Grant=0,GD706=FALSE)),0,IF(JJ$8="Per Line",1,$AF708)),0),0)</f>
        <v>0</v>
      </c>
      <c r="JK708" s="1061"/>
      <c r="JL708" s="1670">
        <f>IFERROR(IF(_kWh_Grant=0,0,IF($IB706=TRUE,IF(OR(JL$14="No",JL706=FALSE,JH708&lt;=JH706),0,IF(JL$8="Per Line",1,$T708)),0)),0)</f>
        <v>0</v>
      </c>
      <c r="JM708" s="1061"/>
      <c r="JN708" s="1670">
        <f>IFERROR(IF(_kWh_Grant=0,0,IF($IB706=TRUE,IF(OR(JN$14="No",JN706=FALSE,JH708&lt;=JH706),0,IF(JN$8="Per Line",1,$AF708)),0)),0)</f>
        <v>0</v>
      </c>
      <c r="JO708" s="1061"/>
      <c r="JP708" s="1670">
        <f>IFERROR(IF(__Retrofit_TI_NC=0,IF(_kWh_Grant=0,0,IF($IB706=TRUE,IF(OR(JP$14="No",JP706=FALSE,$JH708&lt;=$JH706),0,IF(JP$8="Per Line",1,$AF708)),0)),IF($IB706=TRUE,IF(OR(JP$14="No",JP706=FALSE,$JH708&lt;=$JH706),0,IF(JP$8="Per Line",1,$AF708)))),0)</f>
        <v>0</v>
      </c>
      <c r="JQ708" s="1061"/>
      <c r="JR708" s="1670">
        <f>IFERROR(IF(__Retrofit_TI_NC=0,IF(_kWh_Grant=0,0,IF($IB706=TRUE,IF(OR(JR$14="No",JR706=FALSE,$JH708&lt;=$JH706),0,IF(JR$8="Per Line",1,$AF708)),0)),IF($IB706=TRUE,IF(OR(JR$14="No",JR706=FALSE,$JH708&lt;=$JH706),0,IF(JR$8="Per Line",1,$AF708)))),0)</f>
        <v>0</v>
      </c>
      <c r="JS708" s="1061"/>
      <c r="JT708" s="1670">
        <f>IFERROR(IF(__Retrofit_TI_NC=0,IF(_kWh_Grant=0,0,IF($IB706=TRUE,IF(OR(JT$14="No",JT706=FALSE,$JH708&lt;=$JH706),0,IF(JT$8="Per Line",1,$AF708)),0)),IF($IB706=TRUE,IF(OR(JT$14="No",JT706=FALSE,$JH708&lt;=$JH706),0,IF(JT$8="Per Line",1,$AF708)))),0)</f>
        <v>0</v>
      </c>
      <c r="JU708" s="1061"/>
      <c r="JV708" s="1670">
        <f>IFERROR(IF(__Retrofit_TI_NC=0,IF(_kWh_Grant=0,0,IF($IB706=TRUE,IF(OR(JV$14="No",JV706=FALSE,$JH708&lt;=$JH706),0,IF(JV$8="Per Line",1,$AF708)),0)),IF($IB706=TRUE,IF(OR(JV$14="No",JV706=FALSE,$JH708&lt;=$JH706),0,IF(JV$8="Per Line",1,$AF708)))),0)</f>
        <v>0</v>
      </c>
      <c r="JX708" s="1670">
        <f>IFERROR(IF(__Retrofit_TI_NC=0,IF(_kWh_Grant=0,0,IF($IB706=TRUE,IF(OR(JX$14="No",JX706=FALSE,$JH708&lt;=$JH706),0,IF(JX$8="Per Line",1,$AF708)),0)),IF($IB706=TRUE,IF(OR(JX$14="No",JX706=FALSE,$JH708&lt;=$JH706),0,IF(JX$8="Per Line",1,$AF708)))),0)</f>
        <v>0</v>
      </c>
      <c r="JZ708" s="1670">
        <f>IFERROR(IF($IB706=TRUE,IF(OR(JZ$14="No",JZ706=FALSE,$JH708&lt;=$JH706,AND(_kWh_Grant=0,$GD706=FALSE)),0,IF(JZ$8="Per Line",1,$AF708)),0),0)</f>
        <v>0</v>
      </c>
      <c r="KB708" s="1670">
        <f>IFERROR(IF(__Retrofit_TI_NC=0,IF(_kWh_Grant=0,0,IF($IB706=TRUE,IF(OR(KB$14="No",KB706=FALSE,$JH708&lt;=$JH706),0,IF(KB$8="Per Line",1,$AF708)),0)),IF($IB706=TRUE,IF(OR(KB$14="No",KB706=FALSE,$JH708&lt;=$JH706),0,IF(KB$8="Per Line",1,$AF708)))),0)</f>
        <v>0</v>
      </c>
    </row>
    <row r="709" spans="1:288" s="78" customFormat="1" ht="14.95" customHeight="1" thickTop="1" thickBot="1">
      <c r="B709" s="1845"/>
      <c r="C709" s="1846"/>
      <c r="D709" s="1847"/>
      <c r="E709" s="1902" t="s">
        <v>436</v>
      </c>
      <c r="F709" s="1903"/>
      <c r="G709" s="1904" t="s">
        <v>437</v>
      </c>
      <c r="H709" s="1905"/>
      <c r="I709" s="1905"/>
      <c r="J709" s="1905"/>
      <c r="K709" s="1905"/>
      <c r="L709" s="1906"/>
      <c r="M709" s="1145">
        <f>IFERROR(VLOOKUP(G709,_Daylight_Table[],2,FALSE),0)</f>
        <v>0</v>
      </c>
      <c r="N709" s="1146" t="str">
        <f>IF(AND(__Retrofit_TI_NC&gt;0,CQ706="Interior"),"BAM","")</f>
        <v/>
      </c>
      <c r="O709" s="1145" t="e">
        <f>VLOOKUP(G708,'Space Table'!$B$3:$L$163,11,FALSE)</f>
        <v>#N/A</v>
      </c>
      <c r="P709" s="1754"/>
      <c r="Q709" s="1755"/>
      <c r="R709" s="1755"/>
      <c r="S709" s="1764"/>
      <c r="T709" s="1147" t="s">
        <v>342</v>
      </c>
      <c r="U709" s="1756" t="str" cm="1">
        <f t="array" aca="1" ref="U709" ca="1">IFERROR(VLOOKUP(INDIRECT("U" &amp; ROW()-1),Fixtures!DM$93:DP$142,4,FALSE),"")</f>
        <v/>
      </c>
      <c r="V709" s="1757"/>
      <c r="W709" s="1757"/>
      <c r="X709" s="1757"/>
      <c r="Y709" s="1757"/>
      <c r="Z709" s="1757"/>
      <c r="AA709" s="1758"/>
      <c r="AB709" s="939" t="str">
        <f>IFERROR(VLOOKUP(U708,Fixtures_Proposed_List,2,FALSE),"")</f>
        <v/>
      </c>
      <c r="AC709" s="1148" t="str">
        <f>IFERROR(ROUND(T708*AB709*N707*R707/1000,0),"")</f>
        <v/>
      </c>
      <c r="AD709" s="1149" t="str">
        <f>IFERROR(ROUND(T708*AB709/1000,2),"")</f>
        <v/>
      </c>
      <c r="AE709" s="1150"/>
      <c r="AF709" s="1151" t="s">
        <v>342</v>
      </c>
      <c r="AG709" s="1759"/>
      <c r="AH709" s="1759"/>
      <c r="AI709" s="1759"/>
      <c r="AJ709" s="1759"/>
      <c r="AK709" s="1759"/>
      <c r="AL709" s="1759"/>
      <c r="AM709" s="1899"/>
      <c r="AN709" s="1900"/>
      <c r="AO709" s="1901"/>
      <c r="AP709" s="1780"/>
      <c r="AQ709" s="1781"/>
      <c r="AR709" s="1795"/>
      <c r="AS709" s="1795"/>
      <c r="AT709" s="1796"/>
      <c r="AU709" s="1907"/>
      <c r="AV709" s="1752"/>
      <c r="AW709" s="1706"/>
      <c r="AX709" s="468"/>
      <c r="AY709" s="1750"/>
      <c r="AZ709" s="1750"/>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696"/>
      <c r="CQ709" s="1696"/>
      <c r="CR709" s="1809"/>
      <c r="CS709" s="1811"/>
      <c r="CU709" s="1688"/>
      <c r="CV709" s="1703"/>
      <c r="CW709" s="1703"/>
      <c r="CX709" s="1813"/>
      <c r="CY709" s="1815"/>
      <c r="CZ709" s="1711"/>
      <c r="DA709" s="1815"/>
      <c r="DB709" s="1821"/>
      <c r="DC709" s="1821"/>
      <c r="DD709" s="1821"/>
      <c r="DF709" s="1703"/>
      <c r="DG709" s="1831"/>
      <c r="DH709" s="1813"/>
      <c r="DI709" s="1838"/>
      <c r="DJ709" s="1711"/>
      <c r="DK709" s="1712"/>
      <c r="DN709" s="1718"/>
      <c r="DO709" s="1709"/>
      <c r="DQ709" s="1715"/>
      <c r="DR709" s="1720"/>
      <c r="DS709" s="1703"/>
      <c r="DT709" s="1714"/>
      <c r="DU709" s="1715"/>
      <c r="DV709" s="1716"/>
      <c r="DX709" s="1715"/>
      <c r="DY709" s="1720"/>
      <c r="DZ709" s="1715"/>
      <c r="EA709" s="1715"/>
      <c r="EC709" s="1834"/>
      <c r="ED709" s="1834"/>
      <c r="EF709" s="1707"/>
      <c r="EG709" s="1712"/>
      <c r="EH709" s="1815"/>
      <c r="EI709" s="1712"/>
      <c r="EJ709" s="1712"/>
      <c r="EK709" s="1813"/>
      <c r="EL709" s="1813"/>
      <c r="EM709" s="1807"/>
      <c r="EN709" s="1839"/>
      <c r="EO709" s="1839"/>
      <c r="EP709" s="1817"/>
      <c r="EQ709" s="1817"/>
      <c r="ER709" s="1807"/>
      <c r="ES709" s="1807"/>
      <c r="ET709" s="1807"/>
      <c r="EV709" s="1715"/>
      <c r="EX709" s="1806"/>
      <c r="EY709" s="1806"/>
      <c r="EZ709" s="1806"/>
      <c r="FA709" s="1806"/>
      <c r="FB709" s="1806"/>
      <c r="FC709" s="1828"/>
      <c r="FE709" s="1698"/>
      <c r="FG709" s="1703"/>
      <c r="FH709" s="1703"/>
      <c r="FI709" s="133"/>
      <c r="FL709" s="1823"/>
      <c r="FM709" s="1825"/>
      <c r="FN709" s="1698"/>
      <c r="FO709" s="1698"/>
      <c r="FP709" s="1678"/>
      <c r="FQ709" s="1698"/>
      <c r="FS709" s="1687"/>
      <c r="FT709" s="1687"/>
      <c r="FU709" s="1685"/>
      <c r="FV709" s="1687"/>
      <c r="FW709" s="1687"/>
      <c r="FX709" s="1687"/>
      <c r="FY709" s="1697"/>
      <c r="GA709" s="1696"/>
      <c r="GB709" s="1696"/>
      <c r="GC709" s="1696"/>
      <c r="GD709" s="1696"/>
      <c r="GE709" s="1696"/>
      <c r="GF709" s="1696"/>
      <c r="GG709" s="1696"/>
      <c r="GH709" s="1696"/>
      <c r="GI709" s="673"/>
      <c r="GJ709" s="1135"/>
      <c r="GK709" s="1832"/>
      <c r="GN709" s="674">
        <f>IF(GN707=TRUE,0,GN$16)</f>
        <v>0</v>
      </c>
      <c r="GP709" s="674">
        <f>IF(GP707=TRUE,0,GP$16)</f>
        <v>36</v>
      </c>
      <c r="GQ709" s="674">
        <f ca="1">IF(GQ707=TRUE,0,GQ$16)</f>
        <v>35</v>
      </c>
      <c r="GR709" s="391"/>
      <c r="GS709" s="391"/>
      <c r="GT709" s="391"/>
      <c r="GU709" s="391"/>
      <c r="GV709" s="391"/>
      <c r="HG709" s="674">
        <f>IF(HG707=TRUE,0,HG$16)</f>
        <v>0</v>
      </c>
      <c r="HH709" s="674">
        <f t="shared" ref="HH709:HM709" si="653">IF(HH707=TRUE,0,HH$16)</f>
        <v>19</v>
      </c>
      <c r="HI709" s="674">
        <f t="shared" si="653"/>
        <v>18</v>
      </c>
      <c r="HJ709" s="674">
        <f t="shared" si="653"/>
        <v>17</v>
      </c>
      <c r="HK709" s="674">
        <f t="shared" si="653"/>
        <v>16</v>
      </c>
      <c r="HL709" s="674">
        <f t="shared" si="653"/>
        <v>0</v>
      </c>
      <c r="HM709" s="674">
        <f t="shared" si="653"/>
        <v>0</v>
      </c>
      <c r="HN709" s="674">
        <f>IF(HN707=TRUE,0,HN$16)</f>
        <v>13</v>
      </c>
      <c r="HO709" s="674">
        <f t="shared" ref="HO709:HQ709" si="654">IF(HO707=TRUE,0,HO$16)</f>
        <v>0</v>
      </c>
      <c r="HP709" s="674">
        <f t="shared" si="654"/>
        <v>0</v>
      </c>
      <c r="HQ709" s="674">
        <f t="shared" si="654"/>
        <v>10</v>
      </c>
      <c r="HR709" s="674">
        <f>IF(HR707=TRUE,0,HR$16)</f>
        <v>9</v>
      </c>
      <c r="HS709" s="674">
        <f t="shared" ref="HS709:HW709" si="655">IF(HS707=TRUE,0,HS$16)</f>
        <v>0</v>
      </c>
      <c r="HT709" s="674">
        <f t="shared" si="655"/>
        <v>0</v>
      </c>
      <c r="HU709" s="674">
        <f t="shared" si="655"/>
        <v>0</v>
      </c>
      <c r="HV709" s="674">
        <f t="shared" si="655"/>
        <v>0</v>
      </c>
      <c r="HW709" s="674">
        <f t="shared" si="655"/>
        <v>0</v>
      </c>
      <c r="HX709" s="674">
        <f>IF(HX707=TRUE,0,HX$16)</f>
        <v>0</v>
      </c>
      <c r="HY709" s="674">
        <f>IF(HY707=TRUE,0,HY$16)</f>
        <v>0</v>
      </c>
      <c r="HZ709" s="674">
        <f>IF(HZ707=TRUE,0,HZ$16)</f>
        <v>1</v>
      </c>
      <c r="IB709" s="674">
        <f>IF(GP707=FALSE,GP709,IF(GQ707=FALSE,GQ709,MAX(GN709:HZ709)))</f>
        <v>36</v>
      </c>
      <c r="IC709" s="1692"/>
      <c r="ID709" s="205" t="str">
        <f>VLOOKUP(IB709,_Error_Table,3,FALSE)</f>
        <v xml:space="preserve"> </v>
      </c>
      <c r="IE709" s="205"/>
      <c r="IF709" s="1688"/>
      <c r="IG709" s="1689"/>
      <c r="IH709" s="1684"/>
      <c r="IK709" s="1689"/>
      <c r="IL709" s="1692"/>
      <c r="IM709" s="1692"/>
      <c r="IN709" s="1692"/>
      <c r="IP709" s="1679"/>
      <c r="IQ709" s="1679"/>
      <c r="IR709" s="1679"/>
      <c r="IS709" s="1679"/>
      <c r="IT709" s="1679"/>
      <c r="IU709" s="1679"/>
      <c r="IV709" s="1679"/>
      <c r="IW709" s="1679"/>
      <c r="IX709" s="1679"/>
      <c r="IY709" s="1679"/>
      <c r="IZ709" s="1679"/>
      <c r="JA709" s="1679"/>
      <c r="JC709" s="1680"/>
      <c r="JD709" s="1670"/>
      <c r="JE709" s="1681"/>
      <c r="JG709" s="1680"/>
      <c r="JH709" s="1670"/>
      <c r="JI709" s="1060"/>
      <c r="JJ709" s="1670"/>
      <c r="JK709" s="1061"/>
      <c r="JL709" s="1670"/>
      <c r="JM709" s="1061"/>
      <c r="JN709" s="1670"/>
      <c r="JO709" s="1061"/>
      <c r="JP709" s="1670"/>
      <c r="JQ709" s="1061"/>
      <c r="JR709" s="1670"/>
      <c r="JS709" s="1061"/>
      <c r="JT709" s="1670"/>
      <c r="JU709" s="1061"/>
      <c r="JV709" s="1670"/>
      <c r="JX709" s="1670"/>
      <c r="JZ709" s="1670"/>
      <c r="KB709" s="1670"/>
    </row>
    <row r="710" spans="1:288" s="78" customFormat="1" ht="5.0999999999999996" customHeight="1">
      <c r="B710" s="676"/>
      <c r="C710" s="392"/>
      <c r="D710" s="392"/>
      <c r="E710" s="1773"/>
      <c r="F710" s="1773"/>
      <c r="G710" s="1773"/>
      <c r="H710" s="1773"/>
      <c r="I710" s="1773"/>
      <c r="J710" s="1773"/>
      <c r="K710" s="1773"/>
      <c r="L710" s="1773"/>
      <c r="M710" s="1773"/>
      <c r="N710" s="1773"/>
      <c r="O710" s="1773"/>
      <c r="P710" s="1773"/>
      <c r="Q710" s="1773"/>
      <c r="R710" s="1773"/>
      <c r="S710" s="1773"/>
      <c r="T710" s="1773"/>
      <c r="U710" s="1773"/>
      <c r="V710" s="1773"/>
      <c r="W710" s="1773"/>
      <c r="X710" s="1773"/>
      <c r="Y710" s="1773"/>
      <c r="Z710" s="1773"/>
      <c r="AA710" s="1773"/>
      <c r="AB710" s="1773"/>
      <c r="AC710" s="1773"/>
      <c r="AD710" s="1773"/>
      <c r="AE710" s="1773"/>
      <c r="AF710" s="1773"/>
      <c r="AG710" s="1773"/>
      <c r="AH710" s="1773"/>
      <c r="AI710" s="1773"/>
      <c r="AJ710" s="1773"/>
      <c r="AK710" s="1773"/>
      <c r="AL710" s="1773"/>
      <c r="AM710" s="1773"/>
      <c r="AN710" s="1773"/>
      <c r="AO710" s="1773"/>
      <c r="AP710" s="1773"/>
      <c r="AQ710" s="1773"/>
      <c r="AR710" s="1773"/>
      <c r="AS710" s="1773"/>
      <c r="AT710" s="1773"/>
      <c r="AU710" s="1773"/>
      <c r="AV710" s="1773"/>
      <c r="AW710" s="1773"/>
      <c r="AX710" s="469"/>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663"/>
      <c r="CQ710" s="663"/>
      <c r="CR710" s="438"/>
      <c r="CS710" s="663"/>
      <c r="CV710" s="391"/>
      <c r="CW710" s="391"/>
      <c r="CX710" s="207"/>
      <c r="CY710" s="208"/>
      <c r="CZ710" s="208"/>
      <c r="DA710" s="208"/>
      <c r="DB710" s="209"/>
      <c r="DC710" s="209"/>
      <c r="DD710" s="209"/>
      <c r="DF710" s="664"/>
      <c r="DG710" s="665"/>
      <c r="DH710" s="666"/>
      <c r="DI710" s="667"/>
      <c r="DJ710" s="668"/>
      <c r="DK710" s="668"/>
      <c r="DN710" s="208"/>
      <c r="DO710" s="664"/>
      <c r="DQ710" s="664"/>
      <c r="DR710" s="669"/>
      <c r="DS710" s="391"/>
      <c r="DT710" s="664"/>
      <c r="DU710" s="664"/>
      <c r="DV710" s="664"/>
      <c r="DX710" s="664"/>
      <c r="DY710" s="664"/>
      <c r="DZ710" s="664"/>
      <c r="EA710" s="664"/>
      <c r="EC710" s="670"/>
      <c r="ED710" s="670"/>
      <c r="EF710" s="668"/>
      <c r="EG710" s="668"/>
      <c r="EH710" s="208"/>
      <c r="EI710" s="668"/>
      <c r="EJ710" s="668"/>
      <c r="EK710" s="207"/>
      <c r="EL710" s="207"/>
      <c r="EM710" s="666"/>
      <c r="EN710" s="671"/>
      <c r="EO710" s="671"/>
      <c r="EP710" s="672"/>
      <c r="EQ710" s="672"/>
      <c r="ER710" s="666"/>
      <c r="ES710" s="666"/>
      <c r="ET710" s="666"/>
      <c r="EV710" s="664"/>
      <c r="EX710" s="391"/>
      <c r="EY710" s="391"/>
      <c r="EZ710" s="391"/>
      <c r="FA710" s="391"/>
      <c r="FB710" s="391"/>
      <c r="FC710" s="391"/>
      <c r="FE710" s="569"/>
      <c r="FG710" s="391"/>
      <c r="FH710" s="391"/>
      <c r="FI710" s="391"/>
      <c r="FS710" s="664"/>
      <c r="FT710" s="391"/>
      <c r="FU710" s="391"/>
      <c r="FV710" s="664"/>
      <c r="FW710" s="664"/>
      <c r="GA710" s="663"/>
      <c r="GB710" s="663"/>
      <c r="GC710" s="663"/>
      <c r="GD710" s="663"/>
      <c r="GE710" s="663"/>
      <c r="GF710" s="663"/>
      <c r="GG710" s="663"/>
      <c r="GH710" s="663"/>
      <c r="GI710" s="665"/>
      <c r="GJ710" s="664"/>
      <c r="GK710" s="664"/>
    </row>
    <row r="711" spans="1:288" s="78" customFormat="1" ht="14.95" customHeight="1">
      <c r="B711" s="1845" t="str">
        <f>ID714</f>
        <v xml:space="preserve"> </v>
      </c>
      <c r="C711" s="1846">
        <f>C706+1</f>
        <v>129</v>
      </c>
      <c r="D711" s="1847"/>
      <c r="E711" s="1799" t="s">
        <v>295</v>
      </c>
      <c r="F711" s="1800"/>
      <c r="G711" s="1741"/>
      <c r="H711" s="1742"/>
      <c r="I711" s="1742"/>
      <c r="J711" s="1742"/>
      <c r="K711" s="1742"/>
      <c r="L711" s="1742"/>
      <c r="M711" s="1742"/>
      <c r="N711" s="1742"/>
      <c r="O711" s="1742"/>
      <c r="P711" s="1742"/>
      <c r="Q711" s="1742"/>
      <c r="R711" s="1742"/>
      <c r="S711" s="1791" t="s">
        <v>344</v>
      </c>
      <c r="T711" s="590"/>
      <c r="U711" s="1743"/>
      <c r="V711" s="1744"/>
      <c r="W711" s="1744"/>
      <c r="X711" s="1744"/>
      <c r="Y711" s="1744"/>
      <c r="Z711" s="1744"/>
      <c r="AA711" s="1744"/>
      <c r="AB711" s="961" t="str">
        <f>IFERROR(IF(__Retrofit_TI_NC=0,VLOOKUP(U712,Fixtures_Existing_List,2,FALSE),ROUND(N713*R713/T713,10)),"")</f>
        <v/>
      </c>
      <c r="AC711" s="935" t="str">
        <f>IFERROR(IF(__Retrofit_TI_NC=0,ROUND(T712*AB711*N712*R712/1000,0),IF(CQ711="Interior",N713*R713*R712*N712*_C406_reduction/1000,N713*R713*R712*N712/1000)),"")</f>
        <v/>
      </c>
      <c r="AD711" s="936" t="str">
        <f>IFERROR(IF(C$43=0,ROUND(T712*AB711/1000,2),N713*R713/1000),"")</f>
        <v/>
      </c>
      <c r="AE711" s="997"/>
      <c r="AF711" s="937"/>
      <c r="AG711" s="1745" t="str">
        <f>IF(__Retrofit_TI_NC=0," Control","Select Advanced Control for New System")</f>
        <v xml:space="preserve"> Control</v>
      </c>
      <c r="AH711" s="1745"/>
      <c r="AI711" s="1745"/>
      <c r="AJ711" s="1745"/>
      <c r="AK711" s="1745"/>
      <c r="AL711" s="1745"/>
      <c r="AM711" s="1746">
        <f>IFERROR(DI711,"")</f>
        <v>0</v>
      </c>
      <c r="AN711" s="1774" t="str">
        <f>IFERROR(ROUND(AM711*AC711,0),"")</f>
        <v/>
      </c>
      <c r="AO711" s="1776">
        <f>IFERROR(IF(IB711=FALSE,0,AC711-AN711),0)</f>
        <v>0</v>
      </c>
      <c r="AP711" s="1778">
        <f>AO711-AO713</f>
        <v>0</v>
      </c>
      <c r="AQ711" s="1779"/>
      <c r="AR711" s="1793">
        <f>IFERROR(IF(IB711=FALSE,0,(T713*U714)+(AF713*AG714)),0)</f>
        <v>0</v>
      </c>
      <c r="AS711" s="1793"/>
      <c r="AT711" s="1794"/>
      <c r="AU711" s="1734" t="s">
        <v>237</v>
      </c>
      <c r="AV711" s="1751">
        <f>IF(AU711="Yes",1,0)</f>
        <v>1</v>
      </c>
      <c r="AW711" s="1704" t="str">
        <f>IF(OR(DQ711=4,DQ711=5,DQ711=6,DQ711=12),CONCATENATE("$",IF(GH711=TRUE,Lookup!$K$10,Lookup!$K$2)," /lamp"),CONCATENATE(TEXT(ED711,"$0.00"),"/ kWh"))</f>
        <v>$0.00/ kWh</v>
      </c>
      <c r="AX711" s="467"/>
      <c r="AY711" s="1748">
        <f ca="1">IFERROR(IF(GM712=TRUE,(AB714*T713)/R713,0),"NA")</f>
        <v>0</v>
      </c>
      <c r="AZ711" s="1748"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696" t="str">
        <f>N712</f>
        <v/>
      </c>
      <c r="CQ711" s="1696" t="str">
        <f>IFERROR(VLOOKUP(G712,_Lookup_Heat_Type_Table_New,3,FALSE),"")</f>
        <v/>
      </c>
      <c r="CR711" s="1808" t="str">
        <f>CQ711</f>
        <v/>
      </c>
      <c r="CS711" s="1810" t="str">
        <f>IFERROR(VLOOKUP(G713,'Space Table'!$B$3:$L$163,9,FALSE),"")</f>
        <v/>
      </c>
      <c r="CU711" s="1688" t="s">
        <v>344</v>
      </c>
      <c r="CV711" s="1702">
        <f>IF(IB711=TRUE,T712,0)</f>
        <v>0</v>
      </c>
      <c r="CW711" s="1702" t="str">
        <f>IF(IB711=TRUE,U712,"")</f>
        <v/>
      </c>
      <c r="CX711" s="1702"/>
      <c r="CY711" s="1814">
        <f>IF(IB711=TRUE,AB711,0)</f>
        <v>0</v>
      </c>
      <c r="CZ711" s="1710">
        <f>IF(AND(__Retrofit_TI_NC&gt;0,CR711="interior"),0,IF(IB711=TRUE,AC711,0))</f>
        <v>0</v>
      </c>
      <c r="DA711" s="1814">
        <f>IFERROR(IF(IB711=TRUE,CZ711-CZ713,0),0)</f>
        <v>0</v>
      </c>
      <c r="DB711" s="1819">
        <f>IF(IB711=TRUE,AD711,0)</f>
        <v>0</v>
      </c>
      <c r="DC711" s="1819">
        <f>IF(IB711=TRUE,AD714,0)</f>
        <v>0</v>
      </c>
      <c r="DD711" s="1819">
        <f>IFERROR(DB711-DC711,0)</f>
        <v>0</v>
      </c>
      <c r="DF711" s="1702">
        <f>IF(IB711=TRUE,AF712,0)</f>
        <v>0</v>
      </c>
      <c r="DG711" s="1830">
        <f>IFERROR(IF(__Retrofit_TI_NC=2,IF(CQ711="Exterior",O714,FQ711),FN711),"")</f>
        <v>0</v>
      </c>
      <c r="DH711" s="1702"/>
      <c r="DI711" s="1837">
        <f>JE711</f>
        <v>0</v>
      </c>
      <c r="DJ711" s="1710">
        <f>IF(AND(__Retrofit_TI_NC&gt;0,CR711="interior"),0,IF(IB711=TRUE,AN711,0))</f>
        <v>0</v>
      </c>
      <c r="DK711" s="1712">
        <f>IFERROR(IF(IB711=TRUE,DJ713-DJ711,0),0)</f>
        <v>0</v>
      </c>
      <c r="DM711" s="1717">
        <f>IFERROR(CZ711-DJ711,0)</f>
        <v>0</v>
      </c>
      <c r="DO711" s="1708">
        <f>DM711-DN713</f>
        <v>0</v>
      </c>
      <c r="DQ711" s="1715" t="str">
        <f>IFERROR(IF(AND(OR(GC711=4,GC711=5,GC711=6),OR(GF711=4,GF711=5,GF711=6)),GC711+8,VLOOKUP(CW713,Fixtures!R$31:Y$78,8,FALSE)),"")</f>
        <v/>
      </c>
      <c r="DR711" s="1829" t="str">
        <f>DQ711</f>
        <v/>
      </c>
      <c r="DS711" s="1702" t="str">
        <f>IFERROR(VLOOKUP(DG713,Lookup!BB$3:BC$20,2,FALSE),"")</f>
        <v/>
      </c>
      <c r="DT711" s="1713" t="str">
        <f>IF(OR(DS711=7,DS711=8,DS711=9),"ALC","")</f>
        <v/>
      </c>
      <c r="DU711" s="1715">
        <f>IFERROR(IF(OR(DQ711=4,DQ711=5,DQ711=6,DQ711=12,DQ711=13,DQ711=14),VLOOKUP(CW713,Fixtures!DN$27:EG$77,19,FALSE),1)*CV713,0)</f>
        <v>0</v>
      </c>
      <c r="DV711" s="1716">
        <f>IF(OR(DS711=7,DS711=8,DS711=9),IF(DG711=DG713,0,DF713),0)</f>
        <v>0</v>
      </c>
      <c r="DX711" s="1715" t="str">
        <f>IFERROR(IF(EZ711&lt;EZ713,"Yes","No"),"")</f>
        <v/>
      </c>
      <c r="DY711" s="1829" t="str">
        <f>DX711</f>
        <v/>
      </c>
      <c r="DZ711" s="1715">
        <f>IF(DX711="Yes",DF713,0)</f>
        <v>0</v>
      </c>
      <c r="EA711" s="1715">
        <f>DZ711-DV711</f>
        <v>0</v>
      </c>
      <c r="EC711" s="1834">
        <f>IFERROR(VLOOKUP(DQ711,Lookup!AU$3:AV$16,2,FALSE),0)</f>
        <v>0</v>
      </c>
      <c r="ED711" s="1834">
        <f>IF(IB711=FALSE,0,IF(DX711="Yes",EC711+Lookup!K$6,EC711))</f>
        <v>0</v>
      </c>
      <c r="EF711" s="1707">
        <f>IF(IB711=TRUE,DM711,0)</f>
        <v>0</v>
      </c>
      <c r="EG711" s="1712">
        <f>IF(IB711=TRUE,CZ713,0)</f>
        <v>0</v>
      </c>
      <c r="EH711" s="1814">
        <f>IFERROR(EF711-EG711,0)</f>
        <v>0</v>
      </c>
      <c r="EI711" s="1712">
        <f>IF(IB711=TRUE,DJ713,0)</f>
        <v>0</v>
      </c>
      <c r="EJ711" s="1712">
        <f>IFERROR(EF711-EG711+EI711,0)</f>
        <v>0</v>
      </c>
      <c r="EK711" s="1812">
        <f>IF(IB711=TRUE,CV713*CX713,0)</f>
        <v>0</v>
      </c>
      <c r="EL711" s="1812">
        <f>IF(IB711=TRUE,DF713*DH713,0)</f>
        <v>0</v>
      </c>
      <c r="EM711" s="1807">
        <f>AR711</f>
        <v>0</v>
      </c>
      <c r="EN711" s="1839" t="str">
        <f>IFERROR(IF(IB711=TRUE,VLOOKUP(DQ711,Lookup!AU$3:AW$16,3,FALSE)*DU711,""),0)</f>
        <v/>
      </c>
      <c r="EO711" s="1839">
        <f>IF(IB711=TRUE,DZ711*Lookup!AW$12,0)</f>
        <v>0</v>
      </c>
      <c r="EP711" s="1817">
        <f>IFERROR(IF(IB711=TRUE,EN711/EP$40,0),0)</f>
        <v>0</v>
      </c>
      <c r="EQ711" s="1817">
        <f>IF(IB711=TRUE,EO711/EQ$40,0)</f>
        <v>0</v>
      </c>
      <c r="ER711" s="1807">
        <f>IF(IB711=TRUE,ET$40*EP711,0)</f>
        <v>0</v>
      </c>
      <c r="ES711" s="1807">
        <f>IF(IB711=TRUE,ET$40*EQ711,0)</f>
        <v>0</v>
      </c>
      <c r="ET711" s="1807">
        <f>ER711+ES711</f>
        <v>0</v>
      </c>
      <c r="EV711" s="1715">
        <f>IF(G711="",0,1)</f>
        <v>0</v>
      </c>
      <c r="EX711" s="1804" t="str">
        <f>IFERROR(VLOOKUP(CS713,'Space Table'!$B$3:$L$163,8,FALSE),"")</f>
        <v/>
      </c>
      <c r="EY711" s="1804" t="str">
        <f>IFERROR(IF(FB711="Yes",VLOOKUP(DG711,Lookup_Control_Type_Table2,4,FALSE),VLOOKUP(DG711,Lookup_Control_Type_Table2,3,FALSE)),"")</f>
        <v/>
      </c>
      <c r="EZ711" s="1804" t="e">
        <f>VLOOKUP(DG711,Lookup!BB$3:BC$20,2,FALSE)</f>
        <v>#N/A</v>
      </c>
      <c r="FA711" s="1804" t="e">
        <f>VLOOKUP(EX711,Lookup_Control_Type_Table,2,FALSE)</f>
        <v>#N/A</v>
      </c>
      <c r="FB711" s="1804" t="e">
        <f>VLOOKUP(CS713,'Space Table'!$B$3:$L$163,7,FALSE)</f>
        <v>#N/A</v>
      </c>
      <c r="FC711" s="1826" t="b">
        <f>ISNUMBER(SEARCH("TLED",U713))</f>
        <v>0</v>
      </c>
      <c r="FE711" s="1698" t="str">
        <f>CONCATENATE(CQ711," - ",DG711)</f>
        <v xml:space="preserve"> - 0</v>
      </c>
      <c r="FG711" s="1702" t="str">
        <f>VLOOKUP(CW713,Fixtures!DN$27:EZ$77,38,FALSE)</f>
        <v/>
      </c>
      <c r="FH711" s="1702">
        <f>IFERROR(FG711*EH711,0)</f>
        <v>0</v>
      </c>
      <c r="FI711" s="133"/>
      <c r="FL711" s="1822" t="str">
        <f>IF(CQ711="Exterior","Not Daylighted",G714)</f>
        <v>Not Daylighted</v>
      </c>
      <c r="FM711" s="1824">
        <f>VLOOKUP(FL711,_New_Daylight_Table_Codes,2,FALSE)</f>
        <v>0</v>
      </c>
      <c r="FN711" s="1698">
        <f>IF(__Retrofit_TI_NC&gt;0,VLOOKUP(G713,'Space Table'!$B$3:$L$163,11,FALSE),AG712)</f>
        <v>0</v>
      </c>
      <c r="FO711" s="1698" t="e">
        <f>IF(__Retrofit_TI_NC=2,VLOOKUP(FQ711,_Control_Table,2,FALSE),VLOOKUP(FN711,_Control_Table,2,FALSE))</f>
        <v>#N/A</v>
      </c>
      <c r="FP711" s="1678" t="e">
        <f>VLOOKUP(CONCATENATE(FL711," ",FN711),Lookup!AY$102:AZ721,2,FALSE)</f>
        <v>#N/A</v>
      </c>
      <c r="FQ711" s="1678">
        <f>IF(__Retrofit_TI_NC=0,FN711,IF(AND(FT711&gt;0,FN711="Occupancy Sensor"),"Daylight + Occupancy",IF(AND(FT711&gt;0,VLOOKUP(FN711,_Control_Table,2,FALSE)&lt;4),"Interior Daylight Dimming",FN711)))</f>
        <v>0</v>
      </c>
      <c r="FS711" s="1686">
        <f>IF(CR711="Interior",VLOOKUP(CS711,Control_Savings_Interior,5,FALSE),0)</f>
        <v>0</v>
      </c>
      <c r="FT711" s="1687">
        <f>IF(CQ711="Exterior",0,IF(FM711=2,0.5,IF(OR(FM711=1,FM711=3),1,0)))</f>
        <v>0</v>
      </c>
      <c r="FU711" s="1685">
        <f>IF(R710&gt;FS$44,(FS711*(FS$44/R710)),FS711)*FT711</f>
        <v>0</v>
      </c>
      <c r="FV711" s="1686">
        <f>DI711</f>
        <v>0</v>
      </c>
      <c r="FW711" s="1686">
        <f>ROUND(FV711+((1-FV711)*FU711),2)</f>
        <v>0</v>
      </c>
      <c r="FX711" s="1686">
        <f>IF(__Retrofit_TI_NC=2,FW711,FV711)</f>
        <v>0</v>
      </c>
      <c r="FY711" s="1697"/>
      <c r="GA711" s="1696" t="str">
        <f>IFERROR(VLOOKUP(U712,_Exist_Fixture_Table,3,FALSE),"")</f>
        <v/>
      </c>
      <c r="GB711" s="1696" t="str">
        <f>VLOOKUP(CW711,_Exist_Fixture_Table,4,FALSE)</f>
        <v/>
      </c>
      <c r="GC711" s="1696">
        <f>IFERROR(VLOOKUP(GB711,Lookup!AT$6:AU$8,2,FALSE),0)</f>
        <v>0</v>
      </c>
      <c r="GD711" s="1696" t="b">
        <f>IFERROR(IF(OR(GF711=4,GF711=5,GF711=6),TRUE,FALSE),"")</f>
        <v>0</v>
      </c>
      <c r="GE711" s="1696" t="str">
        <f>IFERROR(VLOOKUP(GF711,GC$6:GD$10,2,FALSE),"")</f>
        <v/>
      </c>
      <c r="GF711" s="1696" t="str">
        <f>VLOOKUP(CW713,Fixtures!R$31:Y$78,8,FALSE)</f>
        <v/>
      </c>
      <c r="GG711" s="1696">
        <f>IF(AND(GA711=TRUE,GD711=TRUE,OR(DQ711=12,DQ711=13,DQ711=14)),GC711+8,0)</f>
        <v>0</v>
      </c>
      <c r="GH711" s="1696" t="b">
        <f>IF(OR(GG711=12,GG711=13,GG711=14),TRUE,FALSE)</f>
        <v>0</v>
      </c>
      <c r="GI711" s="673" t="b">
        <f>IF(ISNUMBER(SEARCH("TLED",U712)),TRUE,FALSE)</f>
        <v>0</v>
      </c>
      <c r="GJ711" s="1135" t="str">
        <f>IFERROR(VLOOKUP(U712,Fixtures!BM$93:BR$142,6,FALSE),"")</f>
        <v/>
      </c>
      <c r="GK711" s="1832" t="b">
        <f>IF(OR(GI711=FALSE,GI713=FALSE),TRUE,IF(GJ711-GJ713&lt;5,FALSE,TRUE))</f>
        <v>1</v>
      </c>
      <c r="GO711" s="674">
        <f>GP711</f>
        <v>0</v>
      </c>
      <c r="GP711" s="674">
        <f>IF(G711="",0,1)</f>
        <v>0</v>
      </c>
      <c r="GQ711" s="674">
        <f ca="1">SUM(GR711:HF711)</f>
        <v>2</v>
      </c>
      <c r="GR711" s="674">
        <f>IF(G712="",0,1)</f>
        <v>0</v>
      </c>
      <c r="GS711" s="674">
        <f>IF(N714="BAM",1,IF(G713="",0,1))</f>
        <v>0</v>
      </c>
      <c r="GT711" s="674">
        <f>IF(N714="BAM",1,IF(R712="",0,1))</f>
        <v>0</v>
      </c>
      <c r="GU711" s="674">
        <f>IF(N714="BAM",1,IF(__Retrofit_TI_NC=0,1,IF(R713="",0,1)))</f>
        <v>1</v>
      </c>
      <c r="GV711" s="674">
        <f>IF(N714="BAM",1,IF(CQ711="Exterior",1,IF(G714="",0,1)))</f>
        <v>1</v>
      </c>
      <c r="GW711" s="674">
        <f>IF(__Retrofit_TI_NC&gt;0,1,IF(T712="",0,1))</f>
        <v>0</v>
      </c>
      <c r="GX711" s="674">
        <f>IF(__Retrofit_TI_NC&gt;0,1,IF(U712="",0,1))</f>
        <v>0</v>
      </c>
      <c r="GY711" s="674">
        <f>IF(N714="BAM",1,IF(T713="",0,1))</f>
        <v>0</v>
      </c>
      <c r="GZ711" s="674">
        <f>IF(N714="BAM",1,IF(U713="",0,1))</f>
        <v>0</v>
      </c>
      <c r="HA711" s="674">
        <f ca="1">IF(N714="BAM",1,IF(__Retrofit_TI_NC&gt;0,1,IF(U714="",0,1)))</f>
        <v>0</v>
      </c>
      <c r="HB711" s="674">
        <f>IF(__Retrofit_TI_NC&lt;&gt;0,1,IF(AF712="",0,1))</f>
        <v>0</v>
      </c>
      <c r="HC711" s="674">
        <f>IF(__Retrofit_TI_NC&lt;&gt;0,1,IF(AG712="",0,1))</f>
        <v>0</v>
      </c>
      <c r="HD711" s="674">
        <f>IF(N714="BAM",1,IF(AF713="",0,1))</f>
        <v>0</v>
      </c>
      <c r="HE711" s="674">
        <f>IF(N714="BAM",1,IF(AG713="",0,1))</f>
        <v>0</v>
      </c>
      <c r="HF711" s="674">
        <f>IF(N714="BAM",1,IF(__Retrofit_TI_NC&gt;0,1,IF(AG714="",0,1)))</f>
        <v>0</v>
      </c>
      <c r="HG711" s="391"/>
      <c r="IA711" s="391"/>
      <c r="IB711" s="1693" t="b">
        <f>IF(OR(IB714=0,IB714=HY$16,IB714=HX$16,IB714=HZ$16),TRUE,FALSE)</f>
        <v>0</v>
      </c>
      <c r="IC711" s="1694" t="b">
        <f>IB711</f>
        <v>0</v>
      </c>
      <c r="ID711" s="391"/>
      <c r="IE711" s="391"/>
      <c r="IF711" s="1688" t="b">
        <f ca="1">IF(MAX(GN714:HU714)&gt;5,FALSE,TRUE)</f>
        <v>0</v>
      </c>
      <c r="IG711" s="1689">
        <f ca="1">IF(IF711=TRUE,AC711,0)</f>
        <v>0</v>
      </c>
      <c r="IH711" s="1689">
        <f ca="1">IG711-IG713</f>
        <v>0</v>
      </c>
      <c r="IK711" s="1689" t="e">
        <f>ROUND(T712*VLOOKUP(U712,Fixtures_Existing_List,2,FALSE)*N712*R712/1000,0)</f>
        <v>#N/A</v>
      </c>
      <c r="IL711" s="1690" t="e">
        <f>IK711-IK713</f>
        <v>#N/A</v>
      </c>
      <c r="IM711" s="1693" t="e">
        <f>ROUND(IF(CQ711="Interior",N713*R713*R712*N712*_C406_reduction/1000,N713*R713*R712*N712/1000),0)</f>
        <v>#N/A</v>
      </c>
      <c r="IN711" s="1693" t="e">
        <f>IM711-IM713</f>
        <v>#N/A</v>
      </c>
      <c r="IP711" s="1679"/>
      <c r="IQ711" s="1679" t="e">
        <f t="shared" ref="IQ711:IU711" si="656">IF($CR711="interior",VLOOKUP($CS711,_New_Control_Savings_Interior,IQ$30,FALSE),VLOOKUP($CS711,Control_Savings_Exterior,IQ$30,FALSE))</f>
        <v>#N/A</v>
      </c>
      <c r="IR711" s="1679" t="e">
        <f t="shared" si="656"/>
        <v>#N/A</v>
      </c>
      <c r="IS711" s="1679" t="e">
        <f t="shared" si="656"/>
        <v>#N/A</v>
      </c>
      <c r="IT711" s="1679" t="e">
        <f t="shared" si="656"/>
        <v>#N/A</v>
      </c>
      <c r="IU711" s="1679" t="e">
        <f t="shared" si="656"/>
        <v>#N/A</v>
      </c>
      <c r="IV711" s="1679" t="e">
        <f>IF($CR711="interior",IF(R712&gt;$IP$14,ROUND(($IV$18*($IP$14/R712)),2),$IV$18),VLOOKUP($CS711,Control_Savings_Exterior,IV$30,FALSE))</f>
        <v>#N/A</v>
      </c>
      <c r="IW711" s="1679" t="e">
        <f>IF($CR711="interior",ROUND(((1-IS711)*IV711)+IS711,2),VLOOKUP($CS711,Control_Savings_Exterior,IW$30,FALSE))</f>
        <v>#N/A</v>
      </c>
      <c r="IX711" s="1679" t="e">
        <f>IF($CR711="interior",ROUND(((1-IT711)*IV711)+IT711,2),VLOOKUP($CS711,Control_Savings_Exterior,IX$30,FALSE))</f>
        <v>#N/A</v>
      </c>
      <c r="IY711" s="1679" t="e">
        <f>IF($CR711="interior",IF(R712&gt;$IP$14,ROUND(($IY$18*($IP$14/R712)),2),$IY$18),VLOOKUP($CS711,Control_Savings_Exterior,IY$30,FALSE))</f>
        <v>#N/A</v>
      </c>
      <c r="IZ711" s="1679" t="e">
        <f>IF($CR711="interior",ROUND(((1-IS711)*IY711)+IS711,2),VLOOKUP($CS711,Control_Savings_Exterior,IZ$30,FALSE))</f>
        <v>#N/A</v>
      </c>
      <c r="JA711" s="1679" t="e">
        <f>IF($CR711="interior",ROUND(((1-IT711)*IY711)+IT711,2),VLOOKUP($CS711,Control_Savings_Exterior,JA$30,FALSE))</f>
        <v>#N/A</v>
      </c>
      <c r="JC711" s="1680">
        <f>IFERROR(IF(CR711="Interior",CONCATENATE(G714," ",FQ711),FQ711),"")</f>
        <v>0</v>
      </c>
      <c r="JD711" s="1670" t="str">
        <f>IFERROR(VLOOKUP(JC711,_Controls_2023,2,FALSE),"")</f>
        <v/>
      </c>
      <c r="JE711" s="1681">
        <f>IFERROR(CHOOSE(JD711-1,IQ711,IR711,IS711,IT711,IU711,IV711,IW711,IX711,IY711,IZ711,JA711),0)</f>
        <v>0</v>
      </c>
      <c r="JG711" s="1680" t="str">
        <f>FE711</f>
        <v xml:space="preserve"> - 0</v>
      </c>
      <c r="JH711" s="1670" t="e">
        <f>$FO711</f>
        <v>#N/A</v>
      </c>
      <c r="JI711" s="1060"/>
      <c r="JJ711" s="1682" t="b">
        <f>IF($JG713=CONCATENATE("Interior - ",JJ$4),TRUE,FALSE)</f>
        <v>0</v>
      </c>
      <c r="JK711" s="1061"/>
      <c r="JL711" s="1682" t="b">
        <f>IF($JG713=CONCATENATE("Interior - ",JL$4),TRUE,FALSE)</f>
        <v>0</v>
      </c>
      <c r="JM711" s="1061"/>
      <c r="JN711" s="1682" t="b">
        <f>IF($JG713=CONCATENATE("Interior - ",JN$4),TRUE,FALSE)</f>
        <v>0</v>
      </c>
      <c r="JO711" s="1061"/>
      <c r="JP711" s="1682" t="b">
        <f>IF(__Retrofit_TI_NC&gt;0,FALSE,IF($JG713=CONCATENATE("Interior - ",JP$4),TRUE,FALSE))</f>
        <v>0</v>
      </c>
      <c r="JQ711" s="1061"/>
      <c r="JR711" s="1682" t="b">
        <f>IF(__Retrofit_TI_NC&gt;0,FALSE,IF($JG713=CONCATENATE("Interior - ",JR$4),TRUE,FALSE))</f>
        <v>0</v>
      </c>
      <c r="JS711" s="1061"/>
      <c r="JT711" s="1670" t="b">
        <f>IF(__Retrofit_TI_NC&gt;0,FALSE,IF($JG713=CONCATENATE("Interior - ",JT$4),TRUE,FALSE))</f>
        <v>0</v>
      </c>
      <c r="JU711" s="1061"/>
      <c r="JV711" s="1670" t="b">
        <f>IF(JC713="AELC on Existing",TRUE,FALSE)</f>
        <v>0</v>
      </c>
      <c r="JX711" s="1670" t="b">
        <f>IF(OR(JG713="Exterior - AELC Occupancy based",JG713="Exterior - AELC Time based"),TRUE,FALSE)</f>
        <v>0</v>
      </c>
      <c r="JZ711" s="1682" t="b">
        <f>IF($JG713=CONCATENATE("Exterior - ",JZ$4),TRUE,FALSE)</f>
        <v>0</v>
      </c>
      <c r="KB711" s="1670" t="b">
        <f>IF(__Retrofit_TI_NC&gt;0,FALSE,IF($JG713=CONCATENATE("Interior - ",KB$4),TRUE,FALSE))</f>
        <v>0</v>
      </c>
    </row>
    <row r="712" spans="1:288" s="78" customFormat="1" ht="14.95" customHeight="1" thickTop="1" thickBot="1">
      <c r="B712" s="1845"/>
      <c r="C712" s="1846"/>
      <c r="D712" s="1847"/>
      <c r="E712" s="1737" t="s">
        <v>297</v>
      </c>
      <c r="F712" s="1738"/>
      <c r="G712" s="1739"/>
      <c r="H712" s="1739"/>
      <c r="I712" s="1739"/>
      <c r="J712" s="1739"/>
      <c r="K712" s="1739"/>
      <c r="L712" s="1739"/>
      <c r="M712" s="461" t="e">
        <f>IF(__Retrofit_TI_NC&lt;&gt;0,IF(VLOOKUP(G713,'Space Table'!$B$3:$L$163,3,FALSE)&gt;0,1,0),IF(__Retrofit_TI_NC=VLOOKUP(G713,'Space Table'!$B$3:$L$163,3,FALSE),1,0))</f>
        <v>#N/A</v>
      </c>
      <c r="N712" s="461" t="str">
        <f>IFERROR(VLOOKUP(G712,_Lookup_Heat_Type_Table_New,2,FALSE),"")</f>
        <v/>
      </c>
      <c r="O712" s="461">
        <f>IF(__Retrofit_TI_NC=1,CONCATENATE("TI ",G712),IF(__Retrofit_TI_NC=2,CONCATENATE("NC ",G712),G712))</f>
        <v>0</v>
      </c>
      <c r="P712" s="1740" t="s">
        <v>435</v>
      </c>
      <c r="Q712" s="1740"/>
      <c r="R712" s="595"/>
      <c r="S712" s="1792"/>
      <c r="T712" s="597"/>
      <c r="U712" s="1765"/>
      <c r="V712" s="1766"/>
      <c r="W712" s="1766"/>
      <c r="X712" s="1766"/>
      <c r="Y712" s="1766"/>
      <c r="Z712" s="1766"/>
      <c r="AA712" s="1766"/>
      <c r="AB712" s="1766"/>
      <c r="AC712" s="1766"/>
      <c r="AD712" s="1767"/>
      <c r="AE712" s="1000"/>
      <c r="AF712" s="597"/>
      <c r="AG712" s="1723"/>
      <c r="AH712" s="1724"/>
      <c r="AI712" s="1724"/>
      <c r="AJ712" s="1724"/>
      <c r="AK712" s="1725"/>
      <c r="AL712" s="996"/>
      <c r="AM712" s="1747"/>
      <c r="AN712" s="1775"/>
      <c r="AO712" s="1777"/>
      <c r="AP712" s="1780"/>
      <c r="AQ712" s="1781"/>
      <c r="AR712" s="1795"/>
      <c r="AS712" s="1795"/>
      <c r="AT712" s="1796"/>
      <c r="AU712" s="1735"/>
      <c r="AV712" s="1752"/>
      <c r="AW712" s="1705"/>
      <c r="AX712" s="467"/>
      <c r="AY712" s="1749"/>
      <c r="AZ712" s="1749"/>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696"/>
      <c r="CQ712" s="1696"/>
      <c r="CR712" s="1809"/>
      <c r="CS712" s="1811"/>
      <c r="CU712" s="1688"/>
      <c r="CV712" s="1703"/>
      <c r="CW712" s="1703"/>
      <c r="CX712" s="1703"/>
      <c r="CY712" s="1815"/>
      <c r="CZ712" s="1711"/>
      <c r="DA712" s="1818"/>
      <c r="DB712" s="1820"/>
      <c r="DC712" s="1820"/>
      <c r="DD712" s="1820"/>
      <c r="DF712" s="1703"/>
      <c r="DG712" s="1831"/>
      <c r="DH712" s="1703"/>
      <c r="DI712" s="1838"/>
      <c r="DJ712" s="1711"/>
      <c r="DK712" s="1712"/>
      <c r="DM712" s="1718"/>
      <c r="DO712" s="1708"/>
      <c r="DQ712" s="1715"/>
      <c r="DR712" s="1720"/>
      <c r="DS712" s="1816"/>
      <c r="DT712" s="1714"/>
      <c r="DU712" s="1715"/>
      <c r="DV712" s="1716"/>
      <c r="DX712" s="1715"/>
      <c r="DY712" s="1720"/>
      <c r="DZ712" s="1715"/>
      <c r="EA712" s="1715"/>
      <c r="EC712" s="1834"/>
      <c r="ED712" s="1834"/>
      <c r="EF712" s="1707"/>
      <c r="EG712" s="1712"/>
      <c r="EH712" s="1818"/>
      <c r="EI712" s="1712"/>
      <c r="EJ712" s="1712"/>
      <c r="EK712" s="1836"/>
      <c r="EL712" s="1836"/>
      <c r="EM712" s="1807"/>
      <c r="EN712" s="1839"/>
      <c r="EO712" s="1839"/>
      <c r="EP712" s="1817"/>
      <c r="EQ712" s="1817"/>
      <c r="ER712" s="1807"/>
      <c r="ES712" s="1807"/>
      <c r="ET712" s="1807"/>
      <c r="EV712" s="1715"/>
      <c r="EX712" s="1805"/>
      <c r="EY712" s="1805"/>
      <c r="EZ712" s="1805"/>
      <c r="FA712" s="1805"/>
      <c r="FB712" s="1805"/>
      <c r="FC712" s="1827"/>
      <c r="FE712" s="1698"/>
      <c r="FG712" s="1816"/>
      <c r="FH712" s="1816"/>
      <c r="FI712" s="133"/>
      <c r="FL712" s="1823"/>
      <c r="FM712" s="1825"/>
      <c r="FN712" s="1698"/>
      <c r="FO712" s="1698"/>
      <c r="FP712" s="1678"/>
      <c r="FQ712" s="1678"/>
      <c r="FS712" s="1687"/>
      <c r="FT712" s="1687"/>
      <c r="FU712" s="1685"/>
      <c r="FV712" s="1687"/>
      <c r="FW712" s="1687"/>
      <c r="FX712" s="1687"/>
      <c r="FY712" s="1697"/>
      <c r="GA712" s="1696"/>
      <c r="GB712" s="1696"/>
      <c r="GC712" s="1696"/>
      <c r="GD712" s="1696"/>
      <c r="GE712" s="1696"/>
      <c r="GF712" s="1696"/>
      <c r="GG712" s="1696"/>
      <c r="GH712" s="1696"/>
      <c r="GI712" s="673"/>
      <c r="GJ712" s="1135"/>
      <c r="GK712" s="1832"/>
      <c r="GM712" s="1693" t="b">
        <f ca="1">IF(AND(GP712=TRUE,GQ712=TRUE),TRUE,FALSE)</f>
        <v>0</v>
      </c>
      <c r="GN712" s="1684" t="b">
        <f>IFERROR(IF(__Retrofit_TI_NC=2,TRUE,IF(AU711="Yes",TRUE,FALSE)),FALSE)</f>
        <v>1</v>
      </c>
      <c r="GP712" s="1684" t="b">
        <f>IFERROR(IF(GP711=1,TRUE,FALSE),FALSE)</f>
        <v>0</v>
      </c>
      <c r="GQ712" s="1684" t="b">
        <f ca="1">IFERROR(IF(GQ711=GQ$14,TRUE,FALSE),FALSE)</f>
        <v>0</v>
      </c>
      <c r="HG712" s="1684" t="b">
        <f>IFERROR(IF(AND(__Retrofit_TI_NC&gt;0,CQ711="Interior"),FALSE,TRUE),FALSE)</f>
        <v>1</v>
      </c>
      <c r="HH712" s="1684" t="b">
        <f>IFERROR(IF(M712=1,TRUE,FALSE),FALSE)</f>
        <v>0</v>
      </c>
      <c r="HI712" s="1684" t="b">
        <f>IFERROR(IF(OR(M713=1,N714="BAM"),TRUE,FALSE),FALSE)</f>
        <v>0</v>
      </c>
      <c r="HJ712" s="1684" t="b">
        <f>IFERROR(IF(__Retrofit_TI_NC&lt;&gt;0,TRUE,IFERROR(IF(VLOOKUP(U712,Fixtures_Existing_List,2,FALSE)&lt;&gt;"",TRUE,FALSE),FALSE)),FALSE)</f>
        <v>0</v>
      </c>
      <c r="HK712" s="1684" t="b">
        <f>IFERROR(IF(VLOOKUP(U713,Fixtures_Proposed_List,2,FALSE)&lt;&gt;"",TRUE,FALSE),FALSE)</f>
        <v>0</v>
      </c>
      <c r="HL712" s="1684" t="b">
        <f>IF(AND(__Retrofit_TI_NC=2,FC711=TRUE),FALSE,TRUE)</f>
        <v>1</v>
      </c>
      <c r="HM712" s="1684" t="b">
        <f>GK711</f>
        <v>1</v>
      </c>
      <c r="HN712" s="1682" t="b">
        <f>IF(ISERROR(MATCH(FE711,_Control_Match[],0))=TRUE,FALSE,TRUE)</f>
        <v>0</v>
      </c>
      <c r="HO712" s="1693" t="b">
        <f>IFERROR(IF(EX711&lt;&gt;EY711,FALSE,TRUE),FALSE)</f>
        <v>1</v>
      </c>
      <c r="HP712" s="1693" t="b">
        <f>IFERROR(IF(EX713&lt;&gt;EY713,FALSE,TRUE),FALSE)</f>
        <v>1</v>
      </c>
      <c r="HQ712" s="1670" t="b">
        <f>IFERROR(IF(CQ711="Exterior",TRUE,IF(AND(OR(FM713=0,FM713=3),JD713&gt;6),FALSE,TRUE)),FALSE)</f>
        <v>0</v>
      </c>
      <c r="HR712" s="1684" t="b">
        <f>IFERROR(IF(AND(FO713=7,FC711=TRUE),FALSE,TRUE),FALSE)</f>
        <v>0</v>
      </c>
      <c r="HS712" s="1684" t="b">
        <f>IFERROR(IF(AND(T713&lt;&gt;AF713,OR(AG713="Interior LLLC", AG713="Interior NLC", AG713="LLLC (outside Daylight)",AG713="LLLC Controls Only"))=TRUE,FALSE,TRUE),FALSE)</f>
        <v>1</v>
      </c>
      <c r="HT712" s="1670" t="b">
        <f>IFERROR(IF(OR(AG713=Lookup!BB$17,AG713=Lookup!BB$18,AG713=Lookup!BB$19)=TRUE,IF(AF713&gt;T713,FALSE,TRUE),TRUE),FALSE)</f>
        <v>1</v>
      </c>
      <c r="HU712" s="1684" t="b">
        <f>IFERROR(IF(__Retrofit_TI_NC=2,IF(EZ713&lt;EZ711,FALSE,TRUE),TRUE),FALSE)</f>
        <v>1</v>
      </c>
      <c r="HV712" s="1684" t="b">
        <f>IF(CQ711="Interior",IL$6,TRUE)</f>
        <v>1</v>
      </c>
      <c r="HW712" s="1684" t="b">
        <f>IF(CQ711="Exterior",IL$8,TRUE)</f>
        <v>1</v>
      </c>
      <c r="HX712" s="1684" t="b">
        <f>IFERROR(IF(__Retrofit_TI_NC&lt;&gt;0,IF(AZ711&lt;AY711,FALSE,TRUE),TRUE),FALSE)</f>
        <v>1</v>
      </c>
      <c r="HY712" s="1684" t="b">
        <f>IFERROR(IF(AND(G712="Exterior",R712&gt;4200),FALSE,TRUE),FALSE)</f>
        <v>1</v>
      </c>
      <c r="HZ712" s="1684" t="b">
        <f>IFERROR(IF(AB714/AB711&lt;HZ$18,FALSE,TRUE),FALSE)</f>
        <v>0</v>
      </c>
      <c r="IB712" s="1691"/>
      <c r="IC712" s="1695"/>
      <c r="ID712" s="1694" t="str">
        <f>VLOOKUP(IB714,_Error_Table,4,FALSE)</f>
        <v>White</v>
      </c>
      <c r="IE712" s="391"/>
      <c r="IF712" s="1688"/>
      <c r="IG712" s="1689"/>
      <c r="IH712" s="1684"/>
      <c r="IK712" s="1689"/>
      <c r="IL712" s="1691"/>
      <c r="IM712" s="1691"/>
      <c r="IN712" s="1691"/>
      <c r="IP712" s="1679"/>
      <c r="IQ712" s="1679"/>
      <c r="IR712" s="1679"/>
      <c r="IS712" s="1679"/>
      <c r="IT712" s="1679"/>
      <c r="IU712" s="1679"/>
      <c r="IV712" s="1679"/>
      <c r="IW712" s="1679"/>
      <c r="IX712" s="1679"/>
      <c r="IY712" s="1679"/>
      <c r="IZ712" s="1679"/>
      <c r="JA712" s="1679"/>
      <c r="JC712" s="1680"/>
      <c r="JD712" s="1670"/>
      <c r="JE712" s="1681"/>
      <c r="JG712" s="1680"/>
      <c r="JH712" s="1670"/>
      <c r="JI712" s="1060"/>
      <c r="JJ712" s="1683"/>
      <c r="JK712" s="1061"/>
      <c r="JL712" s="1683"/>
      <c r="JM712" s="1061"/>
      <c r="JN712" s="1683"/>
      <c r="JO712" s="1061"/>
      <c r="JP712" s="1683"/>
      <c r="JQ712" s="1061"/>
      <c r="JR712" s="1683"/>
      <c r="JS712" s="1061"/>
      <c r="JT712" s="1670"/>
      <c r="JU712" s="1061"/>
      <c r="JV712" s="1670"/>
      <c r="JX712" s="1670"/>
      <c r="JZ712" s="1683"/>
      <c r="KB712" s="1670"/>
    </row>
    <row r="713" spans="1:288" s="78" customFormat="1" ht="14.95" customHeight="1" thickTop="1" thickBot="1">
      <c r="A713" s="78">
        <f>ROW()</f>
        <v>713</v>
      </c>
      <c r="B713" s="1845"/>
      <c r="C713" s="1846"/>
      <c r="D713" s="1847"/>
      <c r="E713" s="1737" t="s">
        <v>298</v>
      </c>
      <c r="F713" s="1738"/>
      <c r="G713" s="1760"/>
      <c r="H713" s="1761"/>
      <c r="I713" s="1761"/>
      <c r="J713" s="1761"/>
      <c r="K713" s="1761"/>
      <c r="L713" s="1762"/>
      <c r="M713" s="461">
        <f>IFERROR(IF(IF(__Retrofit_TI_NC&lt;&gt;0,IF(CQ711="Interior",MATCH(G713,Lookup_Interior_New,0),MATCH(G713,Lookup_Exterior_New,0)),IF(CQ711="Interior",MATCH(G713,Lookup_Interior,0),MATCH(G713,Lookup_Exterior_Areas,0)))&gt;0,1,0),0)</f>
        <v>0</v>
      </c>
      <c r="N713" s="461" t="e">
        <f>IF(__Retrofit_TI_NC=1,
VLOOKUP(G713,'Space Table'!$B$3:$L$163,4,FALSE),
IF(__Retrofit_TI_NC=2,VLOOKUP(G713,'Space Table'!$B$3:$L$163,5,FALSE),VLOOKUP(G713,'Space Table'!$B$3:$L$163,5,FALSE)))</f>
        <v>#N/A</v>
      </c>
      <c r="O713" s="461">
        <f>G713</f>
        <v>0</v>
      </c>
      <c r="P713" s="1738" t="str">
        <f>IFERROR(IF(__Retrofit_TI_NC=1,VLOOKUP(G713,'Space Table'!$B$3:$O$163,13,FALSE),IF(__Retrofit_TI_NC=2,VLOOKUP(G713,'Space Table'!$B$3:$O$163,14,FALSE),"Area (sf):")),"Area (sf):")</f>
        <v>Area (sf):</v>
      </c>
      <c r="Q713" s="1738"/>
      <c r="R713" s="596"/>
      <c r="S713" s="1763" t="s">
        <v>345</v>
      </c>
      <c r="T713" s="594"/>
      <c r="U713" s="1801"/>
      <c r="V713" s="1802"/>
      <c r="W713" s="1802"/>
      <c r="X713" s="1802"/>
      <c r="Y713" s="1802"/>
      <c r="Z713" s="1802"/>
      <c r="AA713" s="1802"/>
      <c r="AB713" s="1802"/>
      <c r="AC713" s="1802"/>
      <c r="AD713" s="1802"/>
      <c r="AE713" s="1803"/>
      <c r="AF713" s="594"/>
      <c r="AG713" s="1787"/>
      <c r="AH713" s="1787"/>
      <c r="AI713" s="1787"/>
      <c r="AJ713" s="1787"/>
      <c r="AK713" s="1787"/>
      <c r="AL713" s="1787"/>
      <c r="AM713" s="1726">
        <f>IFERROR(DI713,"")</f>
        <v>0</v>
      </c>
      <c r="AN713" s="1728" t="str">
        <f>IFERROR(ROUND(AM713*AC714,0),"")</f>
        <v/>
      </c>
      <c r="AO713" s="1730">
        <f>IFERROR(IF(IB711=FALSE,0,AC714-AN713),0)</f>
        <v>0</v>
      </c>
      <c r="AP713" s="1780"/>
      <c r="AQ713" s="1781"/>
      <c r="AR713" s="1795"/>
      <c r="AS713" s="1795"/>
      <c r="AT713" s="1796"/>
      <c r="AU713" s="1735"/>
      <c r="AV713" s="1752"/>
      <c r="AW713" s="1705"/>
      <c r="AX713" s="467"/>
      <c r="AY713" s="1749"/>
      <c r="AZ713" s="1749"/>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696"/>
      <c r="CQ713" s="1696"/>
      <c r="CR713" s="1808" t="str">
        <f>CQ711</f>
        <v/>
      </c>
      <c r="CS713" s="1810" t="str">
        <f>CS711</f>
        <v/>
      </c>
      <c r="CU713" s="1688" t="s">
        <v>345</v>
      </c>
      <c r="CV713" s="1702">
        <f>IF(IB711=TRUE,T713,0)</f>
        <v>0</v>
      </c>
      <c r="CW713" s="1702" t="str">
        <f>IF(IB711=TRUE,U713,"")</f>
        <v/>
      </c>
      <c r="CX713" s="1812">
        <f>IF(IB711=TRUE,U714,0)</f>
        <v>0</v>
      </c>
      <c r="CY713" s="1814">
        <f>IF(IB711=TRUE,AB714,0)</f>
        <v>0</v>
      </c>
      <c r="CZ713" s="1710">
        <f>IF(AND(__Retrofit_TI_NC&gt;0,CR711="interior"),0,IF(IB711=TRUE,AC714,0))</f>
        <v>0</v>
      </c>
      <c r="DA713" s="1818"/>
      <c r="DB713" s="1820"/>
      <c r="DC713" s="1820"/>
      <c r="DD713" s="1820"/>
      <c r="DF713" s="1702">
        <f>IF(IB711=TRUE,AF713,0)</f>
        <v>0</v>
      </c>
      <c r="DG713" s="1830" t="str">
        <f>IF(IB711=TRUE,AG713,"")</f>
        <v/>
      </c>
      <c r="DH713" s="1812">
        <f>AG714</f>
        <v>0</v>
      </c>
      <c r="DI713" s="1837">
        <f>JE713</f>
        <v>0</v>
      </c>
      <c r="DJ713" s="1710">
        <f>IF(AND(__Retrofit_TI_NC&gt;0,CR711="interior"),0,IF(IB711=TRUE,AN713,0))</f>
        <v>0</v>
      </c>
      <c r="DK713" s="1712"/>
      <c r="DN713" s="1717">
        <f>IFERROR(CZ713-DJ713,0)</f>
        <v>0</v>
      </c>
      <c r="DO713" s="1709"/>
      <c r="DQ713" s="1715"/>
      <c r="DR713" s="1719" t="str">
        <f>DQ711</f>
        <v/>
      </c>
      <c r="DS713" s="1816"/>
      <c r="DT713" s="1835" t="str">
        <f>IF(OR(DS711=7,DS711=8,DS711=9),"ALC","")</f>
        <v/>
      </c>
      <c r="DU713" s="1715"/>
      <c r="DV713" s="1716"/>
      <c r="DX713" s="1715"/>
      <c r="DY713" s="1829" t="str">
        <f>DX711</f>
        <v/>
      </c>
      <c r="DZ713" s="1715"/>
      <c r="EA713" s="1715"/>
      <c r="EC713" s="1834"/>
      <c r="ED713" s="1834"/>
      <c r="EF713" s="1707"/>
      <c r="EG713" s="1712"/>
      <c r="EH713" s="1818"/>
      <c r="EI713" s="1712"/>
      <c r="EJ713" s="1712"/>
      <c r="EK713" s="1836"/>
      <c r="EL713" s="1836"/>
      <c r="EM713" s="1807"/>
      <c r="EN713" s="1839"/>
      <c r="EO713" s="1839"/>
      <c r="EP713" s="1817"/>
      <c r="EQ713" s="1817"/>
      <c r="ER713" s="1807"/>
      <c r="ES713" s="1807"/>
      <c r="ET713" s="1807"/>
      <c r="EV713" s="1715"/>
      <c r="EX713" s="1805" t="str">
        <f>IFERROR(VLOOKUP(CS713,'Space Table'!$B$3:$L$163,8,FALSE),"")</f>
        <v/>
      </c>
      <c r="EY713" s="1805" t="str">
        <f>IFERROR(IF(FB713="Yes",VLOOKUP(AG713,Lookup_Control_Type_Table2,4,FALSE),VLOOKUP(AG713,Lookup_Control_Type_Table2,3,FALSE)),"")</f>
        <v/>
      </c>
      <c r="EZ713" s="1805" t="e">
        <f>VLOOKUP(AG713,Lookup!BB$3:BC$20,2,FALSE)</f>
        <v>#N/A</v>
      </c>
      <c r="FA713" s="1805" t="e">
        <f>VLOOKUP(EX711,Lookup_Control_Type_Table,2,FALSE)</f>
        <v>#N/A</v>
      </c>
      <c r="FB713" s="1805" t="e">
        <f>VLOOKUP(CS713,'Space Table'!$B$3:$L$163,7,FALSE)</f>
        <v>#N/A</v>
      </c>
      <c r="FC713" s="1827"/>
      <c r="FE713" s="1698" t="str">
        <f>CONCATENATE(CQ711," - ",AG713)</f>
        <v xml:space="preserve"> - </v>
      </c>
      <c r="FG713" s="1816"/>
      <c r="FH713" s="1816"/>
      <c r="FI713" s="133"/>
      <c r="FL713" s="1822" t="str">
        <f>IF(CQ711="Exterior","Not Daylighted",G714)</f>
        <v>Not Daylighted</v>
      </c>
      <c r="FM713" s="1824">
        <f>VLOOKUP(FL713,_New_Daylight_Table_Codes,2,FALSE)</f>
        <v>0</v>
      </c>
      <c r="FN713" s="1698">
        <f>AG713</f>
        <v>0</v>
      </c>
      <c r="FO713" s="1698" t="e">
        <f>VLOOKUP(FN713,_Control_Table,2,FALSE)</f>
        <v>#N/A</v>
      </c>
      <c r="FP713" s="1678" t="e">
        <f>VLOOKUP(CONCATENATE(FL713," ",FN713),Lookup!AY$102:AZ724,2,FALSE)</f>
        <v>#N/A</v>
      </c>
      <c r="FQ713" s="1698">
        <f>IF(__Retrofit_TI_NC=0,FN713,IF(AND(FT713&gt;0,FN713="Occupancy Sensor"),"Daylight + Occupancy",IF(AND(FT713&gt;0,FO713&lt;4),"Interior Daylight Dimming",FN713)))</f>
        <v>0</v>
      </c>
      <c r="FS713" s="1686">
        <f>IF(CQ711="Interior",VLOOKUP(CS711,Control_Savings_Interior,5,FALSE),0)</f>
        <v>0</v>
      </c>
      <c r="FT713" s="1687">
        <f>IF(CQ713="Exterior",0,IF(FM713=2,0.5,IF(OR(FM713=1,FM713=3),1,0)))</f>
        <v>0</v>
      </c>
      <c r="FU713" s="1685">
        <f>IF(R712&gt;FS$44,(FS713*(FS$44/R712)),FS713)*FT713</f>
        <v>0</v>
      </c>
      <c r="FV713" s="1686">
        <f>DI713</f>
        <v>0</v>
      </c>
      <c r="FW713" s="1686">
        <f>ROUND(FV713+((1-FV713)*FU713),2)</f>
        <v>0</v>
      </c>
      <c r="FX713" s="1686">
        <f>IF(__Retrofit_TI_NC=2,FW713,FV713)</f>
        <v>0</v>
      </c>
      <c r="FY713" s="1697">
        <f>IF(CR713="Interior",VLOOKUP(CS713,Control_Savings_Interior,4,FALSE),0)</f>
        <v>0</v>
      </c>
      <c r="GA713" s="1696"/>
      <c r="GB713" s="1696"/>
      <c r="GC713" s="1696"/>
      <c r="GD713" s="1696"/>
      <c r="GE713" s="1696"/>
      <c r="GF713" s="1696"/>
      <c r="GG713" s="1696"/>
      <c r="GH713" s="1696"/>
      <c r="GI713" s="673" t="b">
        <f>IF(ISNUMBER(SEARCH("TLED",U713)),TRUE,FALSE)</f>
        <v>0</v>
      </c>
      <c r="GJ713" s="1135" t="str">
        <f>IFERROR(VLOOKUP(U713,Fixtures!DM$93:DR$142,6,FALSE),"")</f>
        <v/>
      </c>
      <c r="GK713" s="1832"/>
      <c r="GM713" s="1692"/>
      <c r="GN713" s="1684"/>
      <c r="GP713" s="1684"/>
      <c r="GQ713" s="1684"/>
      <c r="HG713" s="1684"/>
      <c r="HH713" s="1684"/>
      <c r="HI713" s="1684"/>
      <c r="HJ713" s="1684"/>
      <c r="HK713" s="1684"/>
      <c r="HL713" s="1684"/>
      <c r="HM713" s="1684"/>
      <c r="HN713" s="1683"/>
      <c r="HO713" s="1692"/>
      <c r="HP713" s="1692"/>
      <c r="HQ713" s="1670"/>
      <c r="HR713" s="1684"/>
      <c r="HS713" s="1684"/>
      <c r="HT713" s="1670"/>
      <c r="HU713" s="1684"/>
      <c r="HV713" s="1684"/>
      <c r="HW713" s="1684"/>
      <c r="HX713" s="1684"/>
      <c r="HY713" s="1684"/>
      <c r="HZ713" s="1684"/>
      <c r="IB713" s="1692"/>
      <c r="IC713" s="1693" t="b">
        <f>IB711</f>
        <v>0</v>
      </c>
      <c r="ID713" s="1695"/>
      <c r="IE713" s="391"/>
      <c r="IF713" s="1688"/>
      <c r="IG713" s="1689">
        <f ca="1">IF(IF711=TRUE,AC714,0)</f>
        <v>0</v>
      </c>
      <c r="IH713" s="1684"/>
      <c r="IK713" s="1689" t="e">
        <f>ROUND(T713*AB714*N712*R712/1000,0)</f>
        <v>#VALUE!</v>
      </c>
      <c r="IL713" s="1691"/>
      <c r="IM713" s="1693" t="e">
        <f>ROUND(T713*AB714*N712*R712/1000,0)</f>
        <v>#VALUE!</v>
      </c>
      <c r="IN713" s="1691"/>
      <c r="IP713" s="1679"/>
      <c r="IQ713" s="1679" t="e">
        <f t="shared" ref="IQ713:IU713" si="657">IF($CR713="interior",VLOOKUP($CS713,_New_Control_Savings_Interior,IQ$30,FALSE),VLOOKUP($CS713,Control_Savings_Exterior,IQ$30,FALSE))</f>
        <v>#N/A</v>
      </c>
      <c r="IR713" s="1679" t="e">
        <f t="shared" si="657"/>
        <v>#N/A</v>
      </c>
      <c r="IS713" s="1679" t="e">
        <f t="shared" si="657"/>
        <v>#N/A</v>
      </c>
      <c r="IT713" s="1679" t="e">
        <f t="shared" si="657"/>
        <v>#N/A</v>
      </c>
      <c r="IU713" s="1679" t="e">
        <f t="shared" si="657"/>
        <v>#N/A</v>
      </c>
      <c r="IV713" s="1679" t="e">
        <f>IF($CR713="interior",IF(R712&gt;$IP$14,ROUND(($IV$18*($IP$14/R712)),2),$IV$18),VLOOKUP($CS713,Control_Savings_Exterior,IV$30,FALSE))</f>
        <v>#N/A</v>
      </c>
      <c r="IW713" s="1679" t="e">
        <f>IF($CR713="interior",ROUND(((1-IS713)*IV713)+IS713,2),VLOOKUP($CS713,Control_Savings_Exterior,IW$30,FALSE))</f>
        <v>#N/A</v>
      </c>
      <c r="IX713" s="1679" t="e">
        <f>IF($CR713="interior",ROUND(((1-IT713)*IV713)+IT713,2),VLOOKUP($CS713,Control_Savings_Exterior,IX$30,FALSE))</f>
        <v>#N/A</v>
      </c>
      <c r="IY713" s="1679" t="e">
        <f>IF($CR713="interior",IF(R712&gt;$IP$14,ROUND(($IY$18*($IP$14/R712)),2),$IY$18),VLOOKUP($CS713,Control_Savings_Exterior,IY$30,FALSE))</f>
        <v>#N/A</v>
      </c>
      <c r="IZ713" s="1679" t="e">
        <f>IF($CR713="interior",ROUND(((1-IS713)*IY713)+IS713,2),VLOOKUP($CS713,Control_Savings_Exterior,IZ$30,FALSE))</f>
        <v>#N/A</v>
      </c>
      <c r="JA713" s="1679" t="e">
        <f>IF($CR713="interior",ROUND(((1-IT713)*IY713)+IT713,2),VLOOKUP($CS713,Control_Savings_Exterior,JA$30,FALSE))</f>
        <v>#N/A</v>
      </c>
      <c r="JC713" s="1680">
        <f>IFERROR(IF(CR713="Interior",CONCATENATE(G714," ",FQ713),AG713),"")</f>
        <v>0</v>
      </c>
      <c r="JD713" s="1670" t="str">
        <f>IFERROR(VLOOKUP(JC713,_Controls_2023,2,FALSE),"")</f>
        <v/>
      </c>
      <c r="JE713" s="1681">
        <f>IFERROR(CHOOSE(JD713-1,IQ713,IR713,IS713,IT713,IU713,IV713,IW713,IX713,IY713,IZ713,JA713),0)</f>
        <v>0</v>
      </c>
      <c r="JG713" s="1680" t="str">
        <f>FE713</f>
        <v xml:space="preserve"> - </v>
      </c>
      <c r="JH713" s="1670" t="e">
        <f>$FO713</f>
        <v>#N/A</v>
      </c>
      <c r="JI713" s="1060"/>
      <c r="JJ713" s="1670">
        <f>IFERROR(IF($IB711=TRUE,IF(OR(JJ$14="No",JJ711=FALSE,JH713&lt;=JH711,AND(_kWh_Grant=0,GD711=FALSE)),0,IF(JJ$8="Per Line",1,$AF713)),0),0)</f>
        <v>0</v>
      </c>
      <c r="JK713" s="1061"/>
      <c r="JL713" s="1670">
        <f>IFERROR(IF(_kWh_Grant=0,0,IF($IB711=TRUE,IF(OR(JL$14="No",JL711=FALSE,JH713&lt;=JH711),0,IF(JL$8="Per Line",1,$T713)),0)),0)</f>
        <v>0</v>
      </c>
      <c r="JM713" s="1061"/>
      <c r="JN713" s="1670">
        <f>IFERROR(IF(_kWh_Grant=0,0,IF($IB711=TRUE,IF(OR(JN$14="No",JN711=FALSE,JH713&lt;=JH711),0,IF(JN$8="Per Line",1,$AF713)),0)),0)</f>
        <v>0</v>
      </c>
      <c r="JO713" s="1061"/>
      <c r="JP713" s="1670">
        <f>IFERROR(IF(__Retrofit_TI_NC=0,IF(_kWh_Grant=0,0,IF($IB711=TRUE,IF(OR(JP$14="No",JP711=FALSE,$JH713&lt;=$JH711),0,IF(JP$8="Per Line",1,$AF713)),0)),IF($IB711=TRUE,IF(OR(JP$14="No",JP711=FALSE,$JH713&lt;=$JH711),0,IF(JP$8="Per Line",1,$AF713)))),0)</f>
        <v>0</v>
      </c>
      <c r="JQ713" s="1061"/>
      <c r="JR713" s="1670">
        <f>IFERROR(IF(__Retrofit_TI_NC=0,IF(_kWh_Grant=0,0,IF($IB711=TRUE,IF(OR(JR$14="No",JR711=FALSE,$JH713&lt;=$JH711),0,IF(JR$8="Per Line",1,$AF713)),0)),IF($IB711=TRUE,IF(OR(JR$14="No",JR711=FALSE,$JH713&lt;=$JH711),0,IF(JR$8="Per Line",1,$AF713)))),0)</f>
        <v>0</v>
      </c>
      <c r="JS713" s="1061"/>
      <c r="JT713" s="1670">
        <f>IFERROR(IF(__Retrofit_TI_NC=0,IF(_kWh_Grant=0,0,IF($IB711=TRUE,IF(OR(JT$14="No",JT711=FALSE,$JH713&lt;=$JH711),0,IF(JT$8="Per Line",1,$AF713)),0)),IF($IB711=TRUE,IF(OR(JT$14="No",JT711=FALSE,$JH713&lt;=$JH711),0,IF(JT$8="Per Line",1,$AF713)))),0)</f>
        <v>0</v>
      </c>
      <c r="JU713" s="1061"/>
      <c r="JV713" s="1670">
        <f>IFERROR(IF(__Retrofit_TI_NC=0,IF(_kWh_Grant=0,0,IF($IB711=TRUE,IF(OR(JV$14="No",JV711=FALSE,$JH713&lt;=$JH711),0,IF(JV$8="Per Line",1,$AF713)),0)),IF($IB711=TRUE,IF(OR(JV$14="No",JV711=FALSE,$JH713&lt;=$JH711),0,IF(JV$8="Per Line",1,$AF713)))),0)</f>
        <v>0</v>
      </c>
      <c r="JX713" s="1670">
        <f>IFERROR(IF(__Retrofit_TI_NC=0,IF(_kWh_Grant=0,0,IF($IB711=TRUE,IF(OR(JX$14="No",JX711=FALSE,$JH713&lt;=$JH711),0,IF(JX$8="Per Line",1,$AF713)),0)),IF($IB711=TRUE,IF(OR(JX$14="No",JX711=FALSE,$JH713&lt;=$JH711),0,IF(JX$8="Per Line",1,$AF713)))),0)</f>
        <v>0</v>
      </c>
      <c r="JZ713" s="1670">
        <f>IFERROR(IF($IB711=TRUE,IF(OR(JZ$14="No",JZ711=FALSE,$JH713&lt;=$JH711,AND(_kWh_Grant=0,$GD711=FALSE)),0,IF(JZ$8="Per Line",1,$AF713)),0),0)</f>
        <v>0</v>
      </c>
      <c r="KB713" s="1670">
        <f>IFERROR(IF(__Retrofit_TI_NC=0,IF(_kWh_Grant=0,0,IF($IB711=TRUE,IF(OR(KB$14="No",KB711=FALSE,$JH713&lt;=$JH711),0,IF(KB$8="Per Line",1,$AF713)),0)),IF($IB711=TRUE,IF(OR(KB$14="No",KB711=FALSE,$JH713&lt;=$JH711),0,IF(KB$8="Per Line",1,$AF713)))),0)</f>
        <v>0</v>
      </c>
    </row>
    <row r="714" spans="1:288" s="78" customFormat="1" ht="14.95" customHeight="1" thickTop="1" thickBot="1">
      <c r="B714" s="1845"/>
      <c r="C714" s="1846"/>
      <c r="D714" s="1847"/>
      <c r="E714" s="1771" t="s">
        <v>436</v>
      </c>
      <c r="F714" s="1772"/>
      <c r="G714" s="1784" t="s">
        <v>437</v>
      </c>
      <c r="H714" s="1785"/>
      <c r="I714" s="1785"/>
      <c r="J714" s="1785"/>
      <c r="K714" s="1785"/>
      <c r="L714" s="1786"/>
      <c r="M714" s="591">
        <f>IFERROR(VLOOKUP(G714,_Daylight_Table[],2,FALSE),0)</f>
        <v>0</v>
      </c>
      <c r="N714" s="592" t="str">
        <f>IF(AND(__Retrofit_TI_NC&gt;0,CQ711="Interior"),"BAM","")</f>
        <v/>
      </c>
      <c r="O714" s="591" t="e">
        <f>VLOOKUP(G713,'Space Table'!$B$3:$L$163,11,FALSE)</f>
        <v>#N/A</v>
      </c>
      <c r="P714" s="1789"/>
      <c r="Q714" s="1790"/>
      <c r="R714" s="1790"/>
      <c r="S714" s="1788"/>
      <c r="T714" s="593" t="s">
        <v>342</v>
      </c>
      <c r="U714" s="1756" t="str" cm="1">
        <f t="array" aca="1" ref="U714" ca="1">IFERROR(VLOOKUP(INDIRECT("U" &amp; ROW()-1),Fixtures!DM$93:DP$142,4,FALSE),"")</f>
        <v/>
      </c>
      <c r="V714" s="1757"/>
      <c r="W714" s="1757"/>
      <c r="X714" s="1757"/>
      <c r="Y714" s="1757"/>
      <c r="Z714" s="1757"/>
      <c r="AA714" s="1758"/>
      <c r="AB714" s="939" t="str">
        <f>IFERROR(VLOOKUP(U713,Fixtures_Proposed_List,2,FALSE),"")</f>
        <v/>
      </c>
      <c r="AC714" s="933" t="str">
        <f>IFERROR(ROUND(T713*AB714*N712*R712/1000,0),"")</f>
        <v/>
      </c>
      <c r="AD714" s="934" t="str">
        <f>IFERROR(ROUND(T713*AB714/1000,2),"")</f>
        <v/>
      </c>
      <c r="AE714" s="998"/>
      <c r="AF714" s="938" t="s">
        <v>342</v>
      </c>
      <c r="AG714" s="1770"/>
      <c r="AH714" s="1770"/>
      <c r="AI714" s="1770"/>
      <c r="AJ714" s="1770"/>
      <c r="AK714" s="1770"/>
      <c r="AL714" s="1770"/>
      <c r="AM714" s="1727"/>
      <c r="AN714" s="1729"/>
      <c r="AO714" s="1731"/>
      <c r="AP714" s="1782"/>
      <c r="AQ714" s="1783"/>
      <c r="AR714" s="1797"/>
      <c r="AS714" s="1797"/>
      <c r="AT714" s="1798"/>
      <c r="AU714" s="1736"/>
      <c r="AV714" s="1753"/>
      <c r="AW714" s="1706"/>
      <c r="AX714" s="468"/>
      <c r="AY714" s="1750"/>
      <c r="AZ714" s="1750"/>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696"/>
      <c r="CQ714" s="1696"/>
      <c r="CR714" s="1809"/>
      <c r="CS714" s="1811"/>
      <c r="CU714" s="1688"/>
      <c r="CV714" s="1703"/>
      <c r="CW714" s="1703"/>
      <c r="CX714" s="1813"/>
      <c r="CY714" s="1815"/>
      <c r="CZ714" s="1711"/>
      <c r="DA714" s="1815"/>
      <c r="DB714" s="1821"/>
      <c r="DC714" s="1821"/>
      <c r="DD714" s="1821"/>
      <c r="DF714" s="1703"/>
      <c r="DG714" s="1831"/>
      <c r="DH714" s="1813"/>
      <c r="DI714" s="1838"/>
      <c r="DJ714" s="1711"/>
      <c r="DK714" s="1712"/>
      <c r="DN714" s="1718"/>
      <c r="DO714" s="1709"/>
      <c r="DQ714" s="1715"/>
      <c r="DR714" s="1720"/>
      <c r="DS714" s="1703"/>
      <c r="DT714" s="1714"/>
      <c r="DU714" s="1715"/>
      <c r="DV714" s="1716"/>
      <c r="DX714" s="1715"/>
      <c r="DY714" s="1720"/>
      <c r="DZ714" s="1715"/>
      <c r="EA714" s="1715"/>
      <c r="EC714" s="1834"/>
      <c r="ED714" s="1834"/>
      <c r="EF714" s="1707"/>
      <c r="EG714" s="1712"/>
      <c r="EH714" s="1815"/>
      <c r="EI714" s="1712"/>
      <c r="EJ714" s="1712"/>
      <c r="EK714" s="1813"/>
      <c r="EL714" s="1813"/>
      <c r="EM714" s="1807"/>
      <c r="EN714" s="1839"/>
      <c r="EO714" s="1839"/>
      <c r="EP714" s="1817"/>
      <c r="EQ714" s="1817"/>
      <c r="ER714" s="1807"/>
      <c r="ES714" s="1807"/>
      <c r="ET714" s="1807"/>
      <c r="EV714" s="1715"/>
      <c r="EX714" s="1806"/>
      <c r="EY714" s="1806"/>
      <c r="EZ714" s="1806"/>
      <c r="FA714" s="1806"/>
      <c r="FB714" s="1806"/>
      <c r="FC714" s="1828"/>
      <c r="FE714" s="1698"/>
      <c r="FG714" s="1703"/>
      <c r="FH714" s="1703"/>
      <c r="FI714" s="133"/>
      <c r="FL714" s="1823"/>
      <c r="FM714" s="1825"/>
      <c r="FN714" s="1698"/>
      <c r="FO714" s="1698"/>
      <c r="FP714" s="1678"/>
      <c r="FQ714" s="1698"/>
      <c r="FS714" s="1687"/>
      <c r="FT714" s="1687"/>
      <c r="FU714" s="1685"/>
      <c r="FV714" s="1687"/>
      <c r="FW714" s="1687"/>
      <c r="FX714" s="1687"/>
      <c r="FY714" s="1697"/>
      <c r="GA714" s="1696"/>
      <c r="GB714" s="1696"/>
      <c r="GC714" s="1696"/>
      <c r="GD714" s="1696"/>
      <c r="GE714" s="1696"/>
      <c r="GF714" s="1696"/>
      <c r="GG714" s="1696"/>
      <c r="GH714" s="1696"/>
      <c r="GI714" s="673"/>
      <c r="GJ714" s="1135"/>
      <c r="GK714" s="1832"/>
      <c r="GN714" s="674">
        <f>IF(GN712=TRUE,0,GN$16)</f>
        <v>0</v>
      </c>
      <c r="GP714" s="674">
        <f>IF(GP712=TRUE,0,GP$16)</f>
        <v>36</v>
      </c>
      <c r="GQ714" s="674">
        <f ca="1">IF(GQ712=TRUE,0,GQ$16)</f>
        <v>35</v>
      </c>
      <c r="GR714" s="391"/>
      <c r="GS714" s="391"/>
      <c r="GT714" s="391"/>
      <c r="GU714" s="391"/>
      <c r="GV714" s="391"/>
      <c r="HG714" s="674">
        <f>IF(HG712=TRUE,0,HG$16)</f>
        <v>0</v>
      </c>
      <c r="HH714" s="674">
        <f t="shared" ref="HH714:HM714" si="658">IF(HH712=TRUE,0,HH$16)</f>
        <v>19</v>
      </c>
      <c r="HI714" s="674">
        <f t="shared" si="658"/>
        <v>18</v>
      </c>
      <c r="HJ714" s="674">
        <f t="shared" si="658"/>
        <v>17</v>
      </c>
      <c r="HK714" s="674">
        <f t="shared" si="658"/>
        <v>16</v>
      </c>
      <c r="HL714" s="674">
        <f t="shared" si="658"/>
        <v>0</v>
      </c>
      <c r="HM714" s="674">
        <f t="shared" si="658"/>
        <v>0</v>
      </c>
      <c r="HN714" s="674">
        <f>IF(HN712=TRUE,0,HN$16)</f>
        <v>13</v>
      </c>
      <c r="HO714" s="674">
        <f t="shared" ref="HO714:HQ714" si="659">IF(HO712=TRUE,0,HO$16)</f>
        <v>0</v>
      </c>
      <c r="HP714" s="674">
        <f t="shared" si="659"/>
        <v>0</v>
      </c>
      <c r="HQ714" s="674">
        <f t="shared" si="659"/>
        <v>10</v>
      </c>
      <c r="HR714" s="674">
        <f>IF(HR712=TRUE,0,HR$16)</f>
        <v>9</v>
      </c>
      <c r="HS714" s="674">
        <f t="shared" ref="HS714:HW714" si="660">IF(HS712=TRUE,0,HS$16)</f>
        <v>0</v>
      </c>
      <c r="HT714" s="674">
        <f t="shared" si="660"/>
        <v>0</v>
      </c>
      <c r="HU714" s="674">
        <f t="shared" si="660"/>
        <v>0</v>
      </c>
      <c r="HV714" s="674">
        <f t="shared" si="660"/>
        <v>0</v>
      </c>
      <c r="HW714" s="674">
        <f t="shared" si="660"/>
        <v>0</v>
      </c>
      <c r="HX714" s="674">
        <f>IF(HX712=TRUE,0,HX$16)</f>
        <v>0</v>
      </c>
      <c r="HY714" s="674">
        <f>IF(HY712=TRUE,0,HY$16)</f>
        <v>0</v>
      </c>
      <c r="HZ714" s="674">
        <f>IF(HZ712=TRUE,0,HZ$16)</f>
        <v>1</v>
      </c>
      <c r="IB714" s="674">
        <f>IF(GP712=FALSE,GP714,IF(GQ712=FALSE,GQ714,MAX(GN714:HZ714)))</f>
        <v>36</v>
      </c>
      <c r="IC714" s="1692"/>
      <c r="ID714" s="205" t="str">
        <f>VLOOKUP(IB714,_Error_Table,3,FALSE)</f>
        <v xml:space="preserve"> </v>
      </c>
      <c r="IE714" s="205"/>
      <c r="IF714" s="1688"/>
      <c r="IG714" s="1689"/>
      <c r="IH714" s="1684"/>
      <c r="IK714" s="1689"/>
      <c r="IL714" s="1692"/>
      <c r="IM714" s="1692"/>
      <c r="IN714" s="1692"/>
      <c r="IP714" s="1679"/>
      <c r="IQ714" s="1679"/>
      <c r="IR714" s="1679"/>
      <c r="IS714" s="1679"/>
      <c r="IT714" s="1679"/>
      <c r="IU714" s="1679"/>
      <c r="IV714" s="1679"/>
      <c r="IW714" s="1679"/>
      <c r="IX714" s="1679"/>
      <c r="IY714" s="1679"/>
      <c r="IZ714" s="1679"/>
      <c r="JA714" s="1679"/>
      <c r="JC714" s="1680"/>
      <c r="JD714" s="1670"/>
      <c r="JE714" s="1681"/>
      <c r="JG714" s="1680"/>
      <c r="JH714" s="1670"/>
      <c r="JI714" s="1060"/>
      <c r="JJ714" s="1670"/>
      <c r="JK714" s="1061"/>
      <c r="JL714" s="1670"/>
      <c r="JM714" s="1061"/>
      <c r="JN714" s="1670"/>
      <c r="JO714" s="1061"/>
      <c r="JP714" s="1670"/>
      <c r="JQ714" s="1061"/>
      <c r="JR714" s="1670"/>
      <c r="JS714" s="1061"/>
      <c r="JT714" s="1670"/>
      <c r="JU714" s="1061"/>
      <c r="JV714" s="1670"/>
      <c r="JX714" s="1670"/>
      <c r="JZ714" s="1670"/>
      <c r="KB714" s="1670"/>
    </row>
    <row r="715" spans="1:288" s="78" customFormat="1" ht="5.0999999999999996" customHeight="1">
      <c r="B715" s="676"/>
      <c r="C715" s="392"/>
      <c r="D715" s="392"/>
      <c r="E715" s="1733"/>
      <c r="F715" s="1733"/>
      <c r="G715" s="1733"/>
      <c r="H715" s="1733"/>
      <c r="I715" s="1733"/>
      <c r="J715" s="1733"/>
      <c r="K715" s="1733"/>
      <c r="L715" s="1733"/>
      <c r="M715" s="1733"/>
      <c r="N715" s="1733"/>
      <c r="O715" s="1733"/>
      <c r="P715" s="1733"/>
      <c r="Q715" s="1733"/>
      <c r="R715" s="1733"/>
      <c r="S715" s="1733"/>
      <c r="T715" s="1733"/>
      <c r="U715" s="1733"/>
      <c r="V715" s="1733"/>
      <c r="W715" s="1733"/>
      <c r="X715" s="1733"/>
      <c r="Y715" s="1733"/>
      <c r="Z715" s="1733"/>
      <c r="AA715" s="1733"/>
      <c r="AB715" s="1733"/>
      <c r="AC715" s="1733"/>
      <c r="AD715" s="1733"/>
      <c r="AE715" s="1733"/>
      <c r="AF715" s="1733"/>
      <c r="AG715" s="1733"/>
      <c r="AH715" s="1733"/>
      <c r="AI715" s="1733"/>
      <c r="AJ715" s="1733"/>
      <c r="AK715" s="1733"/>
      <c r="AL715" s="1733"/>
      <c r="AM715" s="1733"/>
      <c r="AN715" s="1733"/>
      <c r="AO715" s="1733"/>
      <c r="AP715" s="1733"/>
      <c r="AQ715" s="1733"/>
      <c r="AR715" s="1733"/>
      <c r="AS715" s="1733"/>
      <c r="AT715" s="1733"/>
      <c r="AU715" s="1733"/>
      <c r="AV715" s="1733"/>
      <c r="AW715" s="1733"/>
      <c r="AX715" s="469"/>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663"/>
      <c r="CQ715" s="663"/>
      <c r="CR715" s="438"/>
      <c r="CS715" s="663"/>
      <c r="CV715" s="391"/>
      <c r="CW715" s="391"/>
      <c r="CX715" s="207"/>
      <c r="CY715" s="208"/>
      <c r="CZ715" s="208"/>
      <c r="DA715" s="208"/>
      <c r="DB715" s="209"/>
      <c r="DC715" s="209"/>
      <c r="DD715" s="209"/>
      <c r="DF715" s="664"/>
      <c r="DG715" s="665"/>
      <c r="DH715" s="666"/>
      <c r="DI715" s="667"/>
      <c r="DJ715" s="668"/>
      <c r="DK715" s="668"/>
      <c r="DN715" s="208"/>
      <c r="DO715" s="664"/>
      <c r="DQ715" s="664"/>
      <c r="DR715" s="669"/>
      <c r="DS715" s="391"/>
      <c r="DT715" s="664"/>
      <c r="DU715" s="664"/>
      <c r="DV715" s="664"/>
      <c r="DX715" s="664"/>
      <c r="DY715" s="664"/>
      <c r="DZ715" s="664"/>
      <c r="EA715" s="664"/>
      <c r="EC715" s="670"/>
      <c r="ED715" s="670"/>
      <c r="EF715" s="668"/>
      <c r="EG715" s="668"/>
      <c r="EH715" s="208"/>
      <c r="EI715" s="668"/>
      <c r="EJ715" s="668"/>
      <c r="EK715" s="207"/>
      <c r="EL715" s="207"/>
      <c r="EM715" s="666"/>
      <c r="EN715" s="671"/>
      <c r="EO715" s="671"/>
      <c r="EP715" s="672"/>
      <c r="EQ715" s="672"/>
      <c r="ER715" s="666"/>
      <c r="ES715" s="666"/>
      <c r="ET715" s="666"/>
      <c r="EV715" s="664"/>
      <c r="EX715" s="391"/>
      <c r="EY715" s="391"/>
      <c r="EZ715" s="391"/>
      <c r="FA715" s="391"/>
      <c r="FB715" s="391"/>
      <c r="FC715" s="391"/>
      <c r="FE715" s="569"/>
      <c r="FG715" s="391"/>
      <c r="FH715" s="391"/>
      <c r="FI715" s="391"/>
      <c r="FS715" s="664"/>
      <c r="FT715" s="391"/>
      <c r="FU715" s="391"/>
      <c r="FV715" s="664"/>
      <c r="FW715" s="664"/>
      <c r="GA715" s="663"/>
      <c r="GB715" s="663"/>
      <c r="GC715" s="663"/>
      <c r="GD715" s="663"/>
      <c r="GE715" s="663"/>
      <c r="GF715" s="663"/>
      <c r="GG715" s="663"/>
      <c r="GH715" s="663"/>
      <c r="GI715" s="665"/>
      <c r="GJ715" s="664"/>
      <c r="GK715" s="664"/>
    </row>
    <row r="716" spans="1:288">
      <c r="DX716" s="669"/>
      <c r="DY716" s="669"/>
      <c r="DZ716" s="669"/>
      <c r="EA716" s="669"/>
      <c r="EB716" s="669"/>
      <c r="EC716" s="669"/>
      <c r="ED716" s="669"/>
      <c r="EE716" s="669"/>
      <c r="EF716" s="677" t="s">
        <v>344</v>
      </c>
      <c r="EG716" s="677" t="s">
        <v>345</v>
      </c>
      <c r="EH716" s="677" t="s">
        <v>234</v>
      </c>
      <c r="EI716" s="677" t="s">
        <v>347</v>
      </c>
      <c r="EJ716" s="677" t="s">
        <v>348</v>
      </c>
      <c r="EK716" s="677"/>
      <c r="EL716" s="677"/>
      <c r="EM716" s="677" t="s">
        <v>349</v>
      </c>
      <c r="EN716" s="677" t="s">
        <v>234</v>
      </c>
      <c r="EO716" s="677" t="s">
        <v>347</v>
      </c>
      <c r="EP716" s="677" t="s">
        <v>234</v>
      </c>
      <c r="EQ716" s="677" t="s">
        <v>347</v>
      </c>
      <c r="ER716" s="677" t="s">
        <v>234</v>
      </c>
      <c r="ES716" s="677" t="s">
        <v>347</v>
      </c>
      <c r="ET716" s="677"/>
      <c r="EV716" s="38">
        <f>ROW()</f>
        <v>716</v>
      </c>
    </row>
    <row r="717" spans="1:288" s="78" customFormat="1" ht="20.05" customHeight="1">
      <c r="B717" s="211"/>
      <c r="C717" s="392"/>
      <c r="D717" s="392"/>
      <c r="E717" s="211"/>
      <c r="F717" s="211"/>
      <c r="G717" s="211"/>
      <c r="H717" s="211"/>
      <c r="I717" s="438"/>
      <c r="J717" s="438"/>
      <c r="K717" s="438"/>
      <c r="L717" s="438"/>
      <c r="M717" s="438"/>
      <c r="N717" s="438"/>
      <c r="O717" s="438"/>
      <c r="P717" s="438"/>
      <c r="Q717" s="438"/>
      <c r="R717" s="391"/>
      <c r="S717" s="206"/>
      <c r="T717" s="391"/>
      <c r="U717" s="205"/>
      <c r="V717" s="205"/>
      <c r="W717" s="205"/>
      <c r="X717" s="205"/>
      <c r="Y717" s="205"/>
      <c r="Z717" s="205"/>
      <c r="AA717" s="207"/>
      <c r="AB717" s="391"/>
      <c r="AC717" s="208"/>
      <c r="AD717" s="209"/>
      <c r="AE717" s="209"/>
      <c r="AF717" s="391"/>
      <c r="AG717" s="205"/>
      <c r="AH717" s="205"/>
      <c r="AI717" s="205"/>
      <c r="AJ717" s="205"/>
      <c r="AK717" s="205"/>
      <c r="AL717" s="207"/>
      <c r="AM717" s="210"/>
      <c r="AN717" s="208"/>
      <c r="AO717" s="208"/>
      <c r="AP717" s="1768" t="s">
        <v>407</v>
      </c>
      <c r="AQ717" s="1769"/>
      <c r="AR717" s="1867" t="s">
        <v>433</v>
      </c>
      <c r="AS717" s="1867"/>
      <c r="AT717" s="1867" t="s">
        <v>257</v>
      </c>
      <c r="AU717" s="1867"/>
      <c r="AV717" s="1867"/>
      <c r="AW717" s="1867"/>
      <c r="AX717" s="4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101" t="s">
        <v>354</v>
      </c>
      <c r="CQ717" s="101" t="s">
        <v>355</v>
      </c>
      <c r="CR717" s="101"/>
      <c r="CS717" s="101" t="s">
        <v>356</v>
      </c>
      <c r="CT717" s="38"/>
      <c r="CU717" s="38"/>
      <c r="CV717" s="37" t="s">
        <v>341</v>
      </c>
      <c r="CW717" s="38"/>
      <c r="CX717" s="101" t="s">
        <v>342</v>
      </c>
      <c r="CY717" s="38"/>
      <c r="CZ717" s="38"/>
      <c r="DA717" s="101" t="s">
        <v>343</v>
      </c>
      <c r="DB717" s="101" t="s">
        <v>344</v>
      </c>
      <c r="DC717" s="101" t="s">
        <v>345</v>
      </c>
      <c r="DD717" s="101" t="s">
        <v>346</v>
      </c>
      <c r="DE717" s="391"/>
      <c r="DF717" s="37" t="s">
        <v>357</v>
      </c>
      <c r="DG717" s="38"/>
      <c r="DH717" s="101" t="s">
        <v>342</v>
      </c>
      <c r="DI717" s="37"/>
      <c r="DJ717" s="101" t="s">
        <v>343</v>
      </c>
      <c r="DK717" s="101" t="s">
        <v>343</v>
      </c>
      <c r="DL717" s="38"/>
      <c r="DM717" s="101" t="s">
        <v>430</v>
      </c>
      <c r="DN717" s="101" t="s">
        <v>430</v>
      </c>
      <c r="DO717" s="101" t="s">
        <v>286</v>
      </c>
      <c r="DP717" s="38"/>
      <c r="DQ717" s="1732" t="s">
        <v>234</v>
      </c>
      <c r="DR717" s="1732"/>
      <c r="DS717" s="101" t="s">
        <v>347</v>
      </c>
      <c r="DT717" s="101"/>
      <c r="DU717" s="101" t="s">
        <v>358</v>
      </c>
      <c r="DV717" s="101" t="s">
        <v>358</v>
      </c>
      <c r="DW717" s="38"/>
      <c r="DX717" s="1732" t="s">
        <v>347</v>
      </c>
      <c r="DY717" s="1732"/>
      <c r="DZ717" s="101" t="s">
        <v>358</v>
      </c>
      <c r="EA717" s="101" t="s">
        <v>359</v>
      </c>
      <c r="EB717" s="38"/>
      <c r="EC717" s="101" t="s">
        <v>360</v>
      </c>
      <c r="ED717" s="101" t="s">
        <v>361</v>
      </c>
      <c r="EE717" s="391"/>
      <c r="EF717" s="609" t="s">
        <v>234</v>
      </c>
      <c r="EG717" s="609" t="s">
        <v>234</v>
      </c>
      <c r="EH717" s="609" t="s">
        <v>362</v>
      </c>
      <c r="EI717" s="609" t="s">
        <v>362</v>
      </c>
      <c r="EJ717" s="609" t="s">
        <v>362</v>
      </c>
      <c r="EK717" s="609" t="s">
        <v>234</v>
      </c>
      <c r="EL717" s="609" t="s">
        <v>347</v>
      </c>
      <c r="EM717" s="609" t="s">
        <v>347</v>
      </c>
      <c r="EN717" s="609" t="s">
        <v>363</v>
      </c>
      <c r="EO717" s="609" t="s">
        <v>363</v>
      </c>
      <c r="EP717" s="609" t="s">
        <v>363</v>
      </c>
      <c r="EQ717" s="609" t="s">
        <v>363</v>
      </c>
      <c r="ER717" s="609" t="s">
        <v>363</v>
      </c>
      <c r="ES717" s="609" t="s">
        <v>363</v>
      </c>
      <c r="ET717" s="609" t="s">
        <v>363</v>
      </c>
      <c r="EU717" s="391"/>
      <c r="EV717" s="391"/>
      <c r="EX717" s="391"/>
      <c r="EY717" s="391"/>
      <c r="EZ717" s="391"/>
      <c r="FA717" s="391"/>
      <c r="FB717" s="391"/>
      <c r="FC717" s="391"/>
      <c r="FG717" s="391"/>
      <c r="FH717" s="391"/>
      <c r="FI717" s="391"/>
      <c r="FL717" s="101" t="s">
        <v>364</v>
      </c>
      <c r="FM717" s="101" t="s">
        <v>365</v>
      </c>
      <c r="FN717" s="101" t="s">
        <v>366</v>
      </c>
      <c r="FO717" s="101" t="s">
        <v>367</v>
      </c>
      <c r="FP717" s="101"/>
      <c r="FQ717" s="38"/>
      <c r="FR717" s="38" t="s">
        <v>368</v>
      </c>
      <c r="FS717" s="101">
        <v>3200</v>
      </c>
      <c r="FT717" s="101" t="s">
        <v>369</v>
      </c>
      <c r="FU717" s="101" t="s">
        <v>370</v>
      </c>
      <c r="FV717" s="101" t="s">
        <v>371</v>
      </c>
      <c r="FW717" s="101" t="s">
        <v>370</v>
      </c>
      <c r="FX717" s="38"/>
      <c r="FY717" s="38"/>
    </row>
    <row r="718" spans="1:288" s="78" customFormat="1" ht="20.05" customHeight="1">
      <c r="B718" s="211"/>
      <c r="C718" s="585">
        <f>1+C640</f>
        <v>10</v>
      </c>
      <c r="D718" s="392"/>
      <c r="E718" s="205" t="str">
        <f>CONCATENATE(AH$20," - page ",C718)</f>
        <v xml:space="preserve"> - page 10</v>
      </c>
      <c r="F718" s="211"/>
      <c r="G718" s="211"/>
      <c r="H718" s="211"/>
      <c r="I718" s="438"/>
      <c r="J718" s="438"/>
      <c r="K718" s="438"/>
      <c r="L718" s="438"/>
      <c r="M718" s="438"/>
      <c r="N718" s="438"/>
      <c r="O718" s="438"/>
      <c r="P718" s="438"/>
      <c r="Q718" s="438"/>
      <c r="R718" s="391"/>
      <c r="S718" s="206"/>
      <c r="T718" s="391"/>
      <c r="U718" s="205"/>
      <c r="V718" s="205"/>
      <c r="W718" s="205"/>
      <c r="X718" s="205"/>
      <c r="Y718" s="205"/>
      <c r="Z718" s="205"/>
      <c r="AA718" s="207"/>
      <c r="AB718" s="599" t="s">
        <v>194</v>
      </c>
      <c r="AC718" s="599" t="s">
        <v>343</v>
      </c>
      <c r="AD718" s="599" t="s">
        <v>383</v>
      </c>
      <c r="AE718" s="999"/>
      <c r="AF718" s="391"/>
      <c r="AG718" s="205"/>
      <c r="AH718" s="205"/>
      <c r="AI718" s="205"/>
      <c r="AJ718" s="205"/>
      <c r="AK718" s="205"/>
      <c r="AL718" s="207"/>
      <c r="AM718" s="600" t="s">
        <v>286</v>
      </c>
      <c r="AN718" s="600" t="s">
        <v>407</v>
      </c>
      <c r="AO718" s="601" t="s">
        <v>432</v>
      </c>
      <c r="AP718" s="1840">
        <f>BA$4</f>
        <v>0</v>
      </c>
      <c r="AQ718" s="1841"/>
      <c r="AR718" s="1842">
        <f>BA$6</f>
        <v>0</v>
      </c>
      <c r="AS718" s="1843"/>
      <c r="AT718" s="1844"/>
      <c r="AU718" s="1898" t="str">
        <f>BA$2</f>
        <v>Rate Sch?</v>
      </c>
      <c r="AV718" s="1898"/>
      <c r="AW718" s="1684"/>
      <c r="AX718" s="391"/>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101" t="s">
        <v>381</v>
      </c>
      <c r="CQ718" s="101" t="s">
        <v>333</v>
      </c>
      <c r="CR718" s="101"/>
      <c r="CS718" s="101" t="s">
        <v>221</v>
      </c>
      <c r="CT718" s="38"/>
      <c r="CU718" s="38"/>
      <c r="CV718" s="101" t="s">
        <v>239</v>
      </c>
      <c r="CW718" s="101" t="s">
        <v>234</v>
      </c>
      <c r="CX718" s="101" t="s">
        <v>382</v>
      </c>
      <c r="CY718" s="101" t="s">
        <v>194</v>
      </c>
      <c r="CZ718" s="101" t="s">
        <v>343</v>
      </c>
      <c r="DA718" s="101" t="s">
        <v>346</v>
      </c>
      <c r="DB718" s="101" t="s">
        <v>383</v>
      </c>
      <c r="DC718" s="101" t="s">
        <v>383</v>
      </c>
      <c r="DD718" s="101" t="s">
        <v>383</v>
      </c>
      <c r="DE718" s="391"/>
      <c r="DF718" s="101" t="s">
        <v>239</v>
      </c>
      <c r="DG718" s="37" t="s">
        <v>347</v>
      </c>
      <c r="DH718" s="101" t="s">
        <v>382</v>
      </c>
      <c r="DI718" s="101" t="s">
        <v>384</v>
      </c>
      <c r="DJ718" s="101" t="s">
        <v>346</v>
      </c>
      <c r="DK718" s="101" t="s">
        <v>346</v>
      </c>
      <c r="DL718" s="38"/>
      <c r="DM718" s="101" t="s">
        <v>432</v>
      </c>
      <c r="DN718" s="101" t="s">
        <v>345</v>
      </c>
      <c r="DO718" s="38"/>
      <c r="DP718" s="38"/>
      <c r="DQ718" s="1833" t="s">
        <v>221</v>
      </c>
      <c r="DR718" s="1833"/>
      <c r="DS718" s="101" t="s">
        <v>221</v>
      </c>
      <c r="DT718" s="101"/>
      <c r="DU718" s="101" t="s">
        <v>234</v>
      </c>
      <c r="DV718" s="101" t="s">
        <v>385</v>
      </c>
      <c r="DW718" s="38"/>
      <c r="DX718" s="1833" t="s">
        <v>386</v>
      </c>
      <c r="DY718" s="1833"/>
      <c r="DZ718" s="101" t="s">
        <v>387</v>
      </c>
      <c r="EA718" s="101" t="s">
        <v>385</v>
      </c>
      <c r="EB718" s="38"/>
      <c r="EC718" s="101" t="s">
        <v>257</v>
      </c>
      <c r="ED718" s="101" t="s">
        <v>257</v>
      </c>
      <c r="EE718" s="391"/>
      <c r="EF718" s="609" t="s">
        <v>343</v>
      </c>
      <c r="EG718" s="609" t="s">
        <v>343</v>
      </c>
      <c r="EH718" s="609" t="s">
        <v>343</v>
      </c>
      <c r="EI718" s="609" t="s">
        <v>343</v>
      </c>
      <c r="EJ718" s="609" t="s">
        <v>343</v>
      </c>
      <c r="EK718" s="609" t="s">
        <v>342</v>
      </c>
      <c r="EL718" s="609" t="s">
        <v>342</v>
      </c>
      <c r="EM718" s="609" t="s">
        <v>342</v>
      </c>
      <c r="EN718" s="609" t="s">
        <v>388</v>
      </c>
      <c r="EO718" s="609" t="s">
        <v>388</v>
      </c>
      <c r="EP718" s="609" t="s">
        <v>389</v>
      </c>
      <c r="EQ718" s="609" t="s">
        <v>389</v>
      </c>
      <c r="ER718" s="609" t="s">
        <v>342</v>
      </c>
      <c r="ES718" s="609" t="s">
        <v>342</v>
      </c>
      <c r="ET718" s="609" t="s">
        <v>342</v>
      </c>
      <c r="EU718" s="391"/>
      <c r="EV718" s="391">
        <f>SUM(EV719:EV792)</f>
        <v>0</v>
      </c>
      <c r="EX718" s="391"/>
      <c r="EY718" s="391"/>
      <c r="EZ718" s="391"/>
      <c r="FA718" s="391"/>
      <c r="FB718" s="85" t="s">
        <v>385</v>
      </c>
      <c r="FC718" s="85" t="s">
        <v>218</v>
      </c>
      <c r="FG718" s="391"/>
      <c r="FH718" s="391"/>
      <c r="FI718" s="391"/>
      <c r="FL718" s="38"/>
      <c r="FM718" s="101" t="s">
        <v>328</v>
      </c>
      <c r="FN718" s="38"/>
      <c r="FO718" s="38"/>
      <c r="FP718" s="38"/>
      <c r="FQ718" s="38"/>
      <c r="FR718" s="38" t="s">
        <v>286</v>
      </c>
      <c r="FS718" s="101" t="s">
        <v>369</v>
      </c>
      <c r="FT718" s="101" t="s">
        <v>391</v>
      </c>
      <c r="FU718" s="101" t="s">
        <v>369</v>
      </c>
      <c r="FV718" s="101" t="s">
        <v>347</v>
      </c>
      <c r="FW718" s="37" t="s">
        <v>392</v>
      </c>
      <c r="FX718" s="38"/>
      <c r="FY718" s="101" t="s">
        <v>393</v>
      </c>
    </row>
    <row r="719" spans="1:288" s="78" customFormat="1" ht="14.95" customHeight="1">
      <c r="B719" s="1845" t="str">
        <f>ID722</f>
        <v xml:space="preserve"> </v>
      </c>
      <c r="C719" s="1846">
        <f>C711+1</f>
        <v>130</v>
      </c>
      <c r="D719" s="1847"/>
      <c r="E719" s="1799" t="s">
        <v>295</v>
      </c>
      <c r="F719" s="1800"/>
      <c r="G719" s="1741"/>
      <c r="H719" s="1742"/>
      <c r="I719" s="1742"/>
      <c r="J719" s="1742"/>
      <c r="K719" s="1742"/>
      <c r="L719" s="1742"/>
      <c r="M719" s="1742"/>
      <c r="N719" s="1742"/>
      <c r="O719" s="1742"/>
      <c r="P719" s="1742"/>
      <c r="Q719" s="1742"/>
      <c r="R719" s="1742"/>
      <c r="S719" s="1791" t="s">
        <v>344</v>
      </c>
      <c r="T719" s="590"/>
      <c r="U719" s="1743"/>
      <c r="V719" s="1744"/>
      <c r="W719" s="1744"/>
      <c r="X719" s="1744"/>
      <c r="Y719" s="1744"/>
      <c r="Z719" s="1744"/>
      <c r="AA719" s="1744"/>
      <c r="AB719" s="961" t="str">
        <f>IFERROR(IF(__Retrofit_TI_NC=0,VLOOKUP(U720,Fixtures_Existing_List,2,FALSE),ROUND(N721*R721/T721,10)),"")</f>
        <v/>
      </c>
      <c r="AC719" s="935" t="str">
        <f>IFERROR(IF(__Retrofit_TI_NC=0,ROUND(T720*AB719*N720*R720/1000,0),IF(CQ719="Interior",N721*R721*R720*N720*_C406_reduction/1000,N721*R721*R720*N720/1000)),"")</f>
        <v/>
      </c>
      <c r="AD719" s="936" t="str">
        <f>IFERROR(IF(C$43=0,ROUND(T720*AB719/1000,2),N721*R721/1000),"")</f>
        <v/>
      </c>
      <c r="AE719" s="997"/>
      <c r="AF719" s="937"/>
      <c r="AG719" s="1745" t="str">
        <f>IF(__Retrofit_TI_NC=0," Control","Select Advanced Control for New System")</f>
        <v xml:space="preserve"> Control</v>
      </c>
      <c r="AH719" s="1745"/>
      <c r="AI719" s="1745"/>
      <c r="AJ719" s="1745"/>
      <c r="AK719" s="1745"/>
      <c r="AL719" s="1745"/>
      <c r="AM719" s="1746">
        <f>IFERROR(DI719,"")</f>
        <v>0</v>
      </c>
      <c r="AN719" s="1774" t="str">
        <f>IFERROR(ROUND(AM719*AC719,0),"")</f>
        <v/>
      </c>
      <c r="AO719" s="1776">
        <f>IFERROR(IF(IB719=FALSE,0,AC719-AN719),0)</f>
        <v>0</v>
      </c>
      <c r="AP719" s="1778">
        <f>AO719-AO721</f>
        <v>0</v>
      </c>
      <c r="AQ719" s="1779"/>
      <c r="AR719" s="1793">
        <f>IFERROR(IF(IB719=FALSE,0,(T721*U722)+(AF721*AG722)),0)</f>
        <v>0</v>
      </c>
      <c r="AS719" s="1793"/>
      <c r="AT719" s="1794"/>
      <c r="AU719" s="1734" t="s">
        <v>237</v>
      </c>
      <c r="AV719" s="1751">
        <f>IF(AU719="Yes",1,0)</f>
        <v>1</v>
      </c>
      <c r="AW719" s="1704" t="str">
        <f>IF(OR(DQ719=4,DQ719=5,DQ719=6,DQ719=12),CONCATENATE("$",IF(GH719=TRUE,Lookup!$K$10,Lookup!$K$2)," /lamp"),CONCATENATE(TEXT(ED719,"$0.00"),"/ kWh"))</f>
        <v>$0.00/ kWh</v>
      </c>
      <c r="AX719" s="467"/>
      <c r="AY719" s="1748">
        <f ca="1">IFERROR(IF(GM720=TRUE,(AB722*T721)/R721,0),"NA")</f>
        <v>0</v>
      </c>
      <c r="AZ719" s="1748"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696" t="str">
        <f>N720</f>
        <v/>
      </c>
      <c r="CQ719" s="1696" t="str">
        <f>IFERROR(VLOOKUP(G720,_Lookup_Heat_Type_Table_New,3,FALSE),"")</f>
        <v/>
      </c>
      <c r="CR719" s="1808" t="str">
        <f>CQ719</f>
        <v/>
      </c>
      <c r="CS719" s="1810" t="str">
        <f>IFERROR(VLOOKUP(G721,'Space Table'!$B$3:$L$163,9,FALSE),"")</f>
        <v/>
      </c>
      <c r="CU719" s="1688" t="s">
        <v>344</v>
      </c>
      <c r="CV719" s="1702">
        <f>IF(IB719=TRUE,T720,0)</f>
        <v>0</v>
      </c>
      <c r="CW719" s="1702" t="str">
        <f>IF(IB719=TRUE,U720,"")</f>
        <v/>
      </c>
      <c r="CX719" s="1702"/>
      <c r="CY719" s="1814">
        <f>IF(IB719=TRUE,AB719,0)</f>
        <v>0</v>
      </c>
      <c r="CZ719" s="1710">
        <f>IF(AND(__Retrofit_TI_NC&gt;0,CR719="interior"),0,IF(IB719=TRUE,AC719,0))</f>
        <v>0</v>
      </c>
      <c r="DA719" s="1814">
        <f>IFERROR(IF(IB719=TRUE,CZ719-CZ721,0),0)</f>
        <v>0</v>
      </c>
      <c r="DB719" s="1819">
        <f>IF(IB719=TRUE,AD719,0)</f>
        <v>0</v>
      </c>
      <c r="DC719" s="1819">
        <f>IF(IB719=TRUE,AD722,0)</f>
        <v>0</v>
      </c>
      <c r="DD719" s="1819">
        <f>IFERROR(DB719-DC719,0)</f>
        <v>0</v>
      </c>
      <c r="DF719" s="1702">
        <f>IF(IB719=TRUE,AF720,0)</f>
        <v>0</v>
      </c>
      <c r="DG719" s="1830">
        <f>IFERROR(IF(__Retrofit_TI_NC=2,IF(CQ719="Exterior",O722,FQ719),FN719),"")</f>
        <v>0</v>
      </c>
      <c r="DH719" s="1702"/>
      <c r="DI719" s="1837">
        <f>JE719</f>
        <v>0</v>
      </c>
      <c r="DJ719" s="1710">
        <f>IF(AND(__Retrofit_TI_NC&gt;0,CR719="interior"),0,IF(IB719=TRUE,AN719,0))</f>
        <v>0</v>
      </c>
      <c r="DK719" s="1712">
        <f>IFERROR(IF(IB719=TRUE,DJ721-DJ719,0),0)</f>
        <v>0</v>
      </c>
      <c r="DM719" s="1717">
        <f>IFERROR(CZ719-DJ719,0)</f>
        <v>0</v>
      </c>
      <c r="DO719" s="1708">
        <f>DM719-DN721</f>
        <v>0</v>
      </c>
      <c r="DQ719" s="1715" t="str">
        <f>IFERROR(IF(AND(OR(GC719=4,GC719=5,GC719=6),OR(GF719=4,GF719=5,GF719=6)),GC719+8,VLOOKUP(CW721,Fixtures!R$31:Y$78,8,FALSE)),"")</f>
        <v/>
      </c>
      <c r="DR719" s="1829" t="str">
        <f>DQ719</f>
        <v/>
      </c>
      <c r="DS719" s="1702" t="str">
        <f>IFERROR(VLOOKUP(DG721,Lookup!BB$3:BC$20,2,FALSE),"")</f>
        <v/>
      </c>
      <c r="DT719" s="1713" t="str">
        <f>IF(OR(DS719=7,DS719=8,DS719=9),"ALC","")</f>
        <v/>
      </c>
      <c r="DU719" s="1715">
        <f>IFERROR(IF(OR(DQ719=4,DQ719=5,DQ719=6,DQ719=12,DQ719=13,DQ719=14),VLOOKUP(CW721,Fixtures!DN$27:EG$77,19,FALSE),1)*CV721,0)</f>
        <v>0</v>
      </c>
      <c r="DV719" s="1716">
        <f>IF(OR(DS719=7,DS719=8,DS719=9),IF(DG719=DG721,0,DF721),0)</f>
        <v>0</v>
      </c>
      <c r="DX719" s="1715" t="str">
        <f>IFERROR(IF(EZ719&lt;EZ721,"Yes","No"),"")</f>
        <v/>
      </c>
      <c r="DY719" s="1829" t="str">
        <f>DX719</f>
        <v/>
      </c>
      <c r="DZ719" s="1715">
        <f>IF(DX719="Yes",DF721,0)</f>
        <v>0</v>
      </c>
      <c r="EA719" s="1715">
        <f>DZ719-DV719</f>
        <v>0</v>
      </c>
      <c r="EC719" s="1834">
        <f>IFERROR(VLOOKUP(DQ719,Lookup!AU$3:AV$16,2,FALSE),0)</f>
        <v>0</v>
      </c>
      <c r="ED719" s="1834">
        <f>IF(IB719=FALSE,0,IF(DX719="Yes",EC719+Lookup!K$6,EC719))</f>
        <v>0</v>
      </c>
      <c r="EF719" s="1707">
        <f>IF(IB719=TRUE,DM719,0)</f>
        <v>0</v>
      </c>
      <c r="EG719" s="1712">
        <f>IF(IB719=TRUE,CZ721,0)</f>
        <v>0</v>
      </c>
      <c r="EH719" s="1814">
        <f>IFERROR(EF719-EG719,0)</f>
        <v>0</v>
      </c>
      <c r="EI719" s="1712">
        <f>IF(IB719=TRUE,DJ721,0)</f>
        <v>0</v>
      </c>
      <c r="EJ719" s="1712">
        <f>IFERROR(EF719-EG719+EI719,0)</f>
        <v>0</v>
      </c>
      <c r="EK719" s="1812">
        <f>IF(IB719=TRUE,CV721*CX721,0)</f>
        <v>0</v>
      </c>
      <c r="EL719" s="1812">
        <f>IF(IB719=TRUE,DF721*DH721,0)</f>
        <v>0</v>
      </c>
      <c r="EM719" s="1807">
        <f>AR719</f>
        <v>0</v>
      </c>
      <c r="EN719" s="1839" t="str">
        <f>IFERROR(IF(IB719=TRUE,VLOOKUP(DQ719,Lookup!AU$3:AW$16,3,FALSE)*DU719,""),0)</f>
        <v/>
      </c>
      <c r="EO719" s="1839">
        <f>IF(IB719=TRUE,DZ719*Lookup!AW$12,0)</f>
        <v>0</v>
      </c>
      <c r="EP719" s="1817">
        <f>IFERROR(IF(IB719=TRUE,EN719/EP$40,0),0)</f>
        <v>0</v>
      </c>
      <c r="EQ719" s="1817">
        <f>IF(IB719=TRUE,EO719/EQ$40,0)</f>
        <v>0</v>
      </c>
      <c r="ER719" s="1807">
        <f>IF(IB719=TRUE,ET$40*EP719,0)</f>
        <v>0</v>
      </c>
      <c r="ES719" s="1807">
        <f>IF(IB719=TRUE,ET$40*EQ719,0)</f>
        <v>0</v>
      </c>
      <c r="ET719" s="1807">
        <f>ER719+ES719</f>
        <v>0</v>
      </c>
      <c r="EV719" s="1715">
        <f>IF(G719="",0,1)</f>
        <v>0</v>
      </c>
      <c r="EX719" s="1804" t="str">
        <f>IFERROR(VLOOKUP(CS721,'Space Table'!$B$3:$L$163,8,FALSE),"")</f>
        <v/>
      </c>
      <c r="EY719" s="1804" t="str">
        <f>IFERROR(IF(FB719="Yes",VLOOKUP(DG719,Lookup_Control_Type_Table2,4,FALSE),VLOOKUP(DG719,Lookup_Control_Type_Table2,3,FALSE)),"")</f>
        <v/>
      </c>
      <c r="EZ719" s="1804" t="e">
        <f>VLOOKUP(DG719,Lookup!BB$3:BC$20,2,FALSE)</f>
        <v>#N/A</v>
      </c>
      <c r="FA719" s="1804" t="e">
        <f>VLOOKUP(EX719,Lookup_Control_Type_Table,2,FALSE)</f>
        <v>#N/A</v>
      </c>
      <c r="FB719" s="1804" t="e">
        <f>VLOOKUP(CS721,'Space Table'!$B$3:$L$163,7,FALSE)</f>
        <v>#N/A</v>
      </c>
      <c r="FC719" s="1826" t="b">
        <f>ISNUMBER(SEARCH("TLED",U721))</f>
        <v>0</v>
      </c>
      <c r="FE719" s="1698" t="str">
        <f>CONCATENATE(CQ719," - ",DG719)</f>
        <v xml:space="preserve"> - 0</v>
      </c>
      <c r="FG719" s="1702" t="str">
        <f>VLOOKUP(CW721,Fixtures!DN$27:EZ$77,38,FALSE)</f>
        <v/>
      </c>
      <c r="FH719" s="1702">
        <f>IFERROR(FG719*EH719,0)</f>
        <v>0</v>
      </c>
      <c r="FI719" s="133"/>
      <c r="FL719" s="1822" t="str">
        <f>IF(CQ719="Exterior","Not Daylighted",G722)</f>
        <v>Not Daylighted</v>
      </c>
      <c r="FM719" s="1824">
        <f>VLOOKUP(FL719,_New_Daylight_Table_Codes,2,FALSE)</f>
        <v>0</v>
      </c>
      <c r="FN719" s="1698">
        <f>IF(__Retrofit_TI_NC&gt;0,VLOOKUP(G721,'Space Table'!$B$3:$L$163,11,FALSE),AG720)</f>
        <v>0</v>
      </c>
      <c r="FO719" s="1698" t="e">
        <f>IF(__Retrofit_TI_NC=2,VLOOKUP(FQ719,_Control_Table,2,FALSE),VLOOKUP(FN719,_Control_Table,2,FALSE))</f>
        <v>#N/A</v>
      </c>
      <c r="FP719" s="1678" t="e">
        <f>VLOOKUP(CONCATENATE(FL719," ",FN719),Lookup!AY$102:AZ729,2,FALSE)</f>
        <v>#N/A</v>
      </c>
      <c r="FQ719" s="1678">
        <f>IF(__Retrofit_TI_NC=0,FN719,IF(AND(FT719&gt;0,FN719="Occupancy Sensor"),"Daylight + Occupancy",IF(AND(FT719&gt;0,VLOOKUP(FN719,_Control_Table,2,FALSE)&lt;4),"Interior Daylight Dimming",FN719)))</f>
        <v>0</v>
      </c>
      <c r="FS719" s="1686">
        <f>IF(CR719="Interior",VLOOKUP(CS719,Control_Savings_Interior,5,FALSE),0)</f>
        <v>0</v>
      </c>
      <c r="FT719" s="1687">
        <f>IF(CQ719="Exterior",0,IF(FM719=2,0.5,IF(OR(FM719=1,FM719=3),1,0)))</f>
        <v>0</v>
      </c>
      <c r="FU719" s="1685">
        <f>IF(R718&gt;FS$44,(FS719*(FS$44/R718)),FS719)*FT719</f>
        <v>0</v>
      </c>
      <c r="FV719" s="1686">
        <f>DI719</f>
        <v>0</v>
      </c>
      <c r="FW719" s="1686">
        <f>ROUND(FV719+((1-FV719)*FU719),2)</f>
        <v>0</v>
      </c>
      <c r="FX719" s="1686">
        <f>IF(__Retrofit_TI_NC=2,FW719,FV719)</f>
        <v>0</v>
      </c>
      <c r="FY719" s="1697"/>
      <c r="GA719" s="1696" t="str">
        <f>IFERROR(VLOOKUP(U720,_Exist_Fixture_Table,3,FALSE),"")</f>
        <v/>
      </c>
      <c r="GB719" s="1696" t="str">
        <f>VLOOKUP(CW719,_Exist_Fixture_Table,4,FALSE)</f>
        <v/>
      </c>
      <c r="GC719" s="1696">
        <f>IFERROR(VLOOKUP(GB719,Lookup!AT$6:AU$8,2,FALSE),0)</f>
        <v>0</v>
      </c>
      <c r="GD719" s="1696" t="b">
        <f>IFERROR(IF(OR(GF719=4,GF719=5,GF719=6),TRUE,FALSE),"")</f>
        <v>0</v>
      </c>
      <c r="GE719" s="1696" t="str">
        <f>IFERROR(VLOOKUP(GF719,GC$6:GD$10,2,FALSE),"")</f>
        <v/>
      </c>
      <c r="GF719" s="1696" t="str">
        <f>VLOOKUP(CW721,Fixtures!R$31:Y$78,8,FALSE)</f>
        <v/>
      </c>
      <c r="GG719" s="1696">
        <f>IF(AND(GA719=TRUE,GD719=TRUE,OR(DQ719=12,DQ719=13,DQ719=14)),GC719+8,0)</f>
        <v>0</v>
      </c>
      <c r="GH719" s="1696" t="b">
        <f>IF(OR(GG719=12,GG719=13,GG719=14),TRUE,FALSE)</f>
        <v>0</v>
      </c>
      <c r="GI719" s="673" t="b">
        <f>IF(ISNUMBER(SEARCH("TLED",U720)),TRUE,FALSE)</f>
        <v>0</v>
      </c>
      <c r="GJ719" s="1135" t="str">
        <f>IFERROR(VLOOKUP(U720,Fixtures!BM$93:BR$142,6,FALSE),"")</f>
        <v/>
      </c>
      <c r="GK719" s="1832" t="b">
        <f>IF(OR(GI719=FALSE,GI721=FALSE),TRUE,IF(GJ719-GJ721&lt;5,FALSE,TRUE))</f>
        <v>1</v>
      </c>
      <c r="GO719" s="674">
        <f>GP719</f>
        <v>0</v>
      </c>
      <c r="GP719" s="674">
        <f>IF(G719="",0,1)</f>
        <v>0</v>
      </c>
      <c r="GQ719" s="674">
        <f ca="1">SUM(GR719:HF719)</f>
        <v>2</v>
      </c>
      <c r="GR719" s="674">
        <f>IF(G720="",0,1)</f>
        <v>0</v>
      </c>
      <c r="GS719" s="674">
        <f>IF(N722="BAM",1,IF(G721="",0,1))</f>
        <v>0</v>
      </c>
      <c r="GT719" s="674">
        <f>IF(N722="BAM",1,IF(R720="",0,1))</f>
        <v>0</v>
      </c>
      <c r="GU719" s="674">
        <f>IF(N722="BAM",1,IF(__Retrofit_TI_NC=0,1,IF(R721="",0,1)))</f>
        <v>1</v>
      </c>
      <c r="GV719" s="674">
        <f>IF(N722="BAM",1,IF(CQ719="Exterior",1,IF(G722="",0,1)))</f>
        <v>1</v>
      </c>
      <c r="GW719" s="674">
        <f>IF(__Retrofit_TI_NC&gt;0,1,IF(T720="",0,1))</f>
        <v>0</v>
      </c>
      <c r="GX719" s="674">
        <f>IF(__Retrofit_TI_NC&gt;0,1,IF(U720="",0,1))</f>
        <v>0</v>
      </c>
      <c r="GY719" s="674">
        <f>IF(N722="BAM",1,IF(T721="",0,1))</f>
        <v>0</v>
      </c>
      <c r="GZ719" s="674">
        <f>IF(N722="BAM",1,IF(U721="",0,1))</f>
        <v>0</v>
      </c>
      <c r="HA719" s="674">
        <f ca="1">IF(N722="BAM",1,IF(__Retrofit_TI_NC&gt;0,1,IF(U722="",0,1)))</f>
        <v>0</v>
      </c>
      <c r="HB719" s="674">
        <f>IF(__Retrofit_TI_NC&lt;&gt;0,1,IF(AF720="",0,1))</f>
        <v>0</v>
      </c>
      <c r="HC719" s="674">
        <f>IF(__Retrofit_TI_NC&lt;&gt;0,1,IF(AG720="",0,1))</f>
        <v>0</v>
      </c>
      <c r="HD719" s="674">
        <f>IF(N722="BAM",1,IF(AF721="",0,1))</f>
        <v>0</v>
      </c>
      <c r="HE719" s="674">
        <f>IF(N722="BAM",1,IF(AG721="",0,1))</f>
        <v>0</v>
      </c>
      <c r="HF719" s="674">
        <f>IF(N722="BAM",1,IF(__Retrofit_TI_NC&gt;0,1,IF(AG722="",0,1)))</f>
        <v>0</v>
      </c>
      <c r="HG719" s="391"/>
      <c r="IA719" s="391"/>
      <c r="IB719" s="1693" t="b">
        <f>IF(OR(IB722=0,IB722=HY$16,IB722=HX$16,IB722=HZ$16),TRUE,FALSE)</f>
        <v>0</v>
      </c>
      <c r="IC719" s="1694" t="b">
        <f>IB719</f>
        <v>0</v>
      </c>
      <c r="ID719" s="391"/>
      <c r="IE719" s="391"/>
      <c r="IF719" s="1688" t="b">
        <f ca="1">IF(MAX(GN722:HU722)&gt;5,FALSE,TRUE)</f>
        <v>0</v>
      </c>
      <c r="IG719" s="1689">
        <f ca="1">IF(IF719=TRUE,AC719,0)</f>
        <v>0</v>
      </c>
      <c r="IH719" s="1689">
        <f ca="1">IG719-IG721</f>
        <v>0</v>
      </c>
      <c r="IK719" s="1689" t="e">
        <f>ROUND(T720*VLOOKUP(U720,Fixtures_Existing_List,2,FALSE)*N720*R720/1000,0)</f>
        <v>#N/A</v>
      </c>
      <c r="IL719" s="1690" t="e">
        <f>IK719-IK721</f>
        <v>#N/A</v>
      </c>
      <c r="IM719" s="1693" t="e">
        <f>ROUND(IF(CQ719="Interior",N721*R721*R720*N720*_C406_reduction/1000,N721*R721*R720*N720/1000),0)</f>
        <v>#N/A</v>
      </c>
      <c r="IN719" s="1693" t="e">
        <f>IM719-IM721</f>
        <v>#N/A</v>
      </c>
      <c r="IP719" s="1679"/>
      <c r="IQ719" s="1679" t="e">
        <f t="shared" ref="IQ719:IU719" si="661">IF($CR719="interior",VLOOKUP($CS719,_New_Control_Savings_Interior,IQ$30,FALSE),VLOOKUP($CS719,Control_Savings_Exterior,IQ$30,FALSE))</f>
        <v>#N/A</v>
      </c>
      <c r="IR719" s="1679" t="e">
        <f t="shared" si="661"/>
        <v>#N/A</v>
      </c>
      <c r="IS719" s="1679" t="e">
        <f t="shared" si="661"/>
        <v>#N/A</v>
      </c>
      <c r="IT719" s="1679" t="e">
        <f t="shared" si="661"/>
        <v>#N/A</v>
      </c>
      <c r="IU719" s="1679" t="e">
        <f t="shared" si="661"/>
        <v>#N/A</v>
      </c>
      <c r="IV719" s="1679" t="e">
        <f>IF($CR719="interior",IF(R720&gt;$IP$14,ROUND(($IV$18*($IP$14/R720)),2),$IV$18),VLOOKUP($CS719,Control_Savings_Exterior,IV$30,FALSE))</f>
        <v>#N/A</v>
      </c>
      <c r="IW719" s="1679" t="e">
        <f>IF($CR719="interior",ROUND(((1-IS719)*IV719)+IS719,2),VLOOKUP($CS719,Control_Savings_Exterior,IW$30,FALSE))</f>
        <v>#N/A</v>
      </c>
      <c r="IX719" s="1679" t="e">
        <f>IF($CR719="interior",ROUND(((1-IT719)*IV719)+IT719,2),VLOOKUP($CS719,Control_Savings_Exterior,IX$30,FALSE))</f>
        <v>#N/A</v>
      </c>
      <c r="IY719" s="1679" t="e">
        <f>IF($CR719="interior",IF(R720&gt;$IP$14,ROUND(($IY$18*($IP$14/R720)),2),$IY$18),VLOOKUP($CS719,Control_Savings_Exterior,IY$30,FALSE))</f>
        <v>#N/A</v>
      </c>
      <c r="IZ719" s="1679" t="e">
        <f>IF($CR719="interior",ROUND(((1-IS719)*IY719)+IS719,2),VLOOKUP($CS719,Control_Savings_Exterior,IZ$30,FALSE))</f>
        <v>#N/A</v>
      </c>
      <c r="JA719" s="1679" t="e">
        <f>IF($CR719="interior",ROUND(((1-IT719)*IY719)+IT719,2),VLOOKUP($CS719,Control_Savings_Exterior,JA$30,FALSE))</f>
        <v>#N/A</v>
      </c>
      <c r="JC719" s="1680">
        <f>IFERROR(IF(CR719="Interior",CONCATENATE(G722," ",FQ719),FQ719),"")</f>
        <v>0</v>
      </c>
      <c r="JD719" s="1670" t="str">
        <f>IFERROR(VLOOKUP(JC719,_Controls_2023,2,FALSE),"")</f>
        <v/>
      </c>
      <c r="JE719" s="1681">
        <f>IFERROR(CHOOSE(JD719-1,IQ719,IR719,IS719,IT719,IU719,IV719,IW719,IX719,IY719,IZ719,JA719),0)</f>
        <v>0</v>
      </c>
      <c r="JG719" s="1680" t="str">
        <f>FE719</f>
        <v xml:space="preserve"> - 0</v>
      </c>
      <c r="JH719" s="1670" t="e">
        <f>$FO719</f>
        <v>#N/A</v>
      </c>
      <c r="JI719" s="1060"/>
      <c r="JJ719" s="1682" t="b">
        <f>IF($JG721=CONCATENATE("Interior - ",JJ$4),TRUE,FALSE)</f>
        <v>0</v>
      </c>
      <c r="JK719" s="1061"/>
      <c r="JL719" s="1682" t="b">
        <f>IF($JG721=CONCATENATE("Interior - ",JL$4),TRUE,FALSE)</f>
        <v>0</v>
      </c>
      <c r="JM719" s="1061"/>
      <c r="JN719" s="1682" t="b">
        <f>IF($JG721=CONCATENATE("Interior - ",JN$4),TRUE,FALSE)</f>
        <v>0</v>
      </c>
      <c r="JO719" s="1061"/>
      <c r="JP719" s="1682" t="b">
        <f>IF(__Retrofit_TI_NC&gt;0,FALSE,IF($JG721=CONCATENATE("Interior - ",JP$4),TRUE,FALSE))</f>
        <v>0</v>
      </c>
      <c r="JQ719" s="1061"/>
      <c r="JR719" s="1682" t="b">
        <f>IF(__Retrofit_TI_NC&gt;0,FALSE,IF($JG721=CONCATENATE("Interior - ",JR$4),TRUE,FALSE))</f>
        <v>0</v>
      </c>
      <c r="JS719" s="1061"/>
      <c r="JT719" s="1670" t="b">
        <f>IF(__Retrofit_TI_NC&gt;0,FALSE,IF($JG721=CONCATENATE("Interior - ",JT$4),TRUE,FALSE))</f>
        <v>0</v>
      </c>
      <c r="JU719" s="1061"/>
      <c r="JV719" s="1670" t="b">
        <f>IF(JC721="AELC on Existing",TRUE,FALSE)</f>
        <v>0</v>
      </c>
      <c r="JX719" s="1670" t="b">
        <f>IF(OR(JG721="Exterior - AELC Occupancy based",JG721="Exterior - AELC Time based"),TRUE,FALSE)</f>
        <v>0</v>
      </c>
      <c r="JZ719" s="1682" t="b">
        <f>IF($JG721=CONCATENATE("Exterior - ",JZ$4),TRUE,FALSE)</f>
        <v>0</v>
      </c>
      <c r="KB719" s="1670" t="b">
        <f>IF(__Retrofit_TI_NC&gt;0,FALSE,IF($JG721=CONCATENATE("Interior - ",KB$4),TRUE,FALSE))</f>
        <v>0</v>
      </c>
    </row>
    <row r="720" spans="1:288" s="78" customFormat="1" ht="14.95" customHeight="1" thickTop="1" thickBot="1">
      <c r="B720" s="1845"/>
      <c r="C720" s="1846"/>
      <c r="D720" s="1847"/>
      <c r="E720" s="1737" t="s">
        <v>297</v>
      </c>
      <c r="F720" s="1738"/>
      <c r="G720" s="1739"/>
      <c r="H720" s="1739"/>
      <c r="I720" s="1739"/>
      <c r="J720" s="1739"/>
      <c r="K720" s="1739"/>
      <c r="L720" s="1739"/>
      <c r="M720" s="461" t="e">
        <f>IF(__Retrofit_TI_NC&lt;&gt;0,IF(VLOOKUP(G721,'Space Table'!$B$3:$L$163,3,FALSE)&gt;0,1,0),IF(__Retrofit_TI_NC=VLOOKUP(G721,'Space Table'!$B$3:$L$163,3,FALSE),1,0))</f>
        <v>#N/A</v>
      </c>
      <c r="N720" s="461" t="str">
        <f>IFERROR(VLOOKUP(G720,_Lookup_Heat_Type_Table_New,2,FALSE),"")</f>
        <v/>
      </c>
      <c r="O720" s="461">
        <f>IF(__Retrofit_TI_NC=1,CONCATENATE("TI ",G720),IF(__Retrofit_TI_NC=2,CONCATENATE("NC ",G720),G720))</f>
        <v>0</v>
      </c>
      <c r="P720" s="1740" t="s">
        <v>435</v>
      </c>
      <c r="Q720" s="1740"/>
      <c r="R720" s="595"/>
      <c r="S720" s="1792"/>
      <c r="T720" s="597"/>
      <c r="U720" s="1765"/>
      <c r="V720" s="1766"/>
      <c r="W720" s="1766"/>
      <c r="X720" s="1766"/>
      <c r="Y720" s="1766"/>
      <c r="Z720" s="1766"/>
      <c r="AA720" s="1766"/>
      <c r="AB720" s="1766"/>
      <c r="AC720" s="1766"/>
      <c r="AD720" s="1767"/>
      <c r="AE720" s="1000"/>
      <c r="AF720" s="597"/>
      <c r="AG720" s="1723"/>
      <c r="AH720" s="1724"/>
      <c r="AI720" s="1724"/>
      <c r="AJ720" s="1724"/>
      <c r="AK720" s="1725"/>
      <c r="AL720" s="996"/>
      <c r="AM720" s="1747"/>
      <c r="AN720" s="1775"/>
      <c r="AO720" s="1777"/>
      <c r="AP720" s="1780"/>
      <c r="AQ720" s="1781"/>
      <c r="AR720" s="1795"/>
      <c r="AS720" s="1795"/>
      <c r="AT720" s="1796"/>
      <c r="AU720" s="1735"/>
      <c r="AV720" s="1752"/>
      <c r="AW720" s="1705"/>
      <c r="AX720" s="467"/>
      <c r="AY720" s="1749"/>
      <c r="AZ720" s="1749"/>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696"/>
      <c r="CQ720" s="1696"/>
      <c r="CR720" s="1809"/>
      <c r="CS720" s="1811"/>
      <c r="CU720" s="1688"/>
      <c r="CV720" s="1703"/>
      <c r="CW720" s="1703"/>
      <c r="CX720" s="1703"/>
      <c r="CY720" s="1815"/>
      <c r="CZ720" s="1711"/>
      <c r="DA720" s="1818"/>
      <c r="DB720" s="1820"/>
      <c r="DC720" s="1820"/>
      <c r="DD720" s="1820"/>
      <c r="DF720" s="1703"/>
      <c r="DG720" s="1831"/>
      <c r="DH720" s="1703"/>
      <c r="DI720" s="1838"/>
      <c r="DJ720" s="1711"/>
      <c r="DK720" s="1712"/>
      <c r="DM720" s="1718"/>
      <c r="DO720" s="1708"/>
      <c r="DQ720" s="1715"/>
      <c r="DR720" s="1720"/>
      <c r="DS720" s="1816"/>
      <c r="DT720" s="1714"/>
      <c r="DU720" s="1715"/>
      <c r="DV720" s="1716"/>
      <c r="DX720" s="1715"/>
      <c r="DY720" s="1720"/>
      <c r="DZ720" s="1715"/>
      <c r="EA720" s="1715"/>
      <c r="EC720" s="1834"/>
      <c r="ED720" s="1834"/>
      <c r="EF720" s="1707"/>
      <c r="EG720" s="1712"/>
      <c r="EH720" s="1818"/>
      <c r="EI720" s="1712"/>
      <c r="EJ720" s="1712"/>
      <c r="EK720" s="1836"/>
      <c r="EL720" s="1836"/>
      <c r="EM720" s="1807"/>
      <c r="EN720" s="1839"/>
      <c r="EO720" s="1839"/>
      <c r="EP720" s="1817"/>
      <c r="EQ720" s="1817"/>
      <c r="ER720" s="1807"/>
      <c r="ES720" s="1807"/>
      <c r="ET720" s="1807"/>
      <c r="EV720" s="1715"/>
      <c r="EX720" s="1805"/>
      <c r="EY720" s="1805"/>
      <c r="EZ720" s="1805"/>
      <c r="FA720" s="1805"/>
      <c r="FB720" s="1805"/>
      <c r="FC720" s="1827"/>
      <c r="FE720" s="1698"/>
      <c r="FG720" s="1816"/>
      <c r="FH720" s="1816"/>
      <c r="FI720" s="133"/>
      <c r="FL720" s="1823"/>
      <c r="FM720" s="1825"/>
      <c r="FN720" s="1698"/>
      <c r="FO720" s="1698"/>
      <c r="FP720" s="1678"/>
      <c r="FQ720" s="1678"/>
      <c r="FS720" s="1687"/>
      <c r="FT720" s="1687"/>
      <c r="FU720" s="1685"/>
      <c r="FV720" s="1687"/>
      <c r="FW720" s="1687"/>
      <c r="FX720" s="1687"/>
      <c r="FY720" s="1697"/>
      <c r="GA720" s="1696"/>
      <c r="GB720" s="1696"/>
      <c r="GC720" s="1696"/>
      <c r="GD720" s="1696"/>
      <c r="GE720" s="1696"/>
      <c r="GF720" s="1696"/>
      <c r="GG720" s="1696"/>
      <c r="GH720" s="1696"/>
      <c r="GI720" s="673"/>
      <c r="GJ720" s="1135"/>
      <c r="GK720" s="1832"/>
      <c r="GM720" s="1693" t="b">
        <f ca="1">IF(AND(GP720=TRUE,GQ720=TRUE),TRUE,FALSE)</f>
        <v>0</v>
      </c>
      <c r="GN720" s="1684" t="b">
        <f>IFERROR(IF(__Retrofit_TI_NC=2,TRUE,IF(AU719="Yes",TRUE,FALSE)),FALSE)</f>
        <v>1</v>
      </c>
      <c r="GP720" s="1684" t="b">
        <f>IFERROR(IF(GP719=1,TRUE,FALSE),FALSE)</f>
        <v>0</v>
      </c>
      <c r="GQ720" s="1684" t="b">
        <f ca="1">IFERROR(IF(GQ719=GQ$14,TRUE,FALSE),FALSE)</f>
        <v>0</v>
      </c>
      <c r="HG720" s="1684" t="b">
        <f>IFERROR(IF(AND(__Retrofit_TI_NC&gt;0,CQ719="Interior"),FALSE,TRUE),FALSE)</f>
        <v>1</v>
      </c>
      <c r="HH720" s="1684" t="b">
        <f>IFERROR(IF(M720=1,TRUE,FALSE),FALSE)</f>
        <v>0</v>
      </c>
      <c r="HI720" s="1684" t="b">
        <f>IFERROR(IF(OR(M721=1,N722="BAM"),TRUE,FALSE),FALSE)</f>
        <v>0</v>
      </c>
      <c r="HJ720" s="1684" t="b">
        <f>IFERROR(IF(__Retrofit_TI_NC&lt;&gt;0,TRUE,IFERROR(IF(VLOOKUP(U720,Fixtures_Existing_List,2,FALSE)&lt;&gt;"",TRUE,FALSE),FALSE)),FALSE)</f>
        <v>0</v>
      </c>
      <c r="HK720" s="1684" t="b">
        <f>IFERROR(IF(VLOOKUP(U721,Fixtures_Proposed_List,2,FALSE)&lt;&gt;"",TRUE,FALSE),FALSE)</f>
        <v>0</v>
      </c>
      <c r="HL720" s="1684" t="b">
        <f>IF(AND(__Retrofit_TI_NC=2,FC719=TRUE),FALSE,TRUE)</f>
        <v>1</v>
      </c>
      <c r="HM720" s="1684" t="b">
        <f>GK719</f>
        <v>1</v>
      </c>
      <c r="HN720" s="1682" t="b">
        <f>IF(ISERROR(MATCH(FE719,_Control_Match[],0))=TRUE,FALSE,TRUE)</f>
        <v>0</v>
      </c>
      <c r="HO720" s="1693" t="b">
        <f>IFERROR(IF(EX719&lt;&gt;EY719,FALSE,TRUE),FALSE)</f>
        <v>1</v>
      </c>
      <c r="HP720" s="1693" t="b">
        <f>IFERROR(IF(EX721&lt;&gt;EY721,FALSE,TRUE),FALSE)</f>
        <v>1</v>
      </c>
      <c r="HQ720" s="1670" t="b">
        <f>IFERROR(IF(CQ719="Exterior",TRUE,IF(AND(OR(FM721=0,FM721=3),JD721&gt;6),FALSE,TRUE)),FALSE)</f>
        <v>0</v>
      </c>
      <c r="HR720" s="1684" t="b">
        <f>IFERROR(IF(AND(FO721=7,FC719=TRUE),FALSE,TRUE),FALSE)</f>
        <v>0</v>
      </c>
      <c r="HS720" s="1684" t="b">
        <f>IFERROR(IF(AND(T721&lt;&gt;AF721,OR(AG721="Interior LLLC", AG721="Interior NLC", AG721="LLLC (outside Daylight)",AG721="LLLC Controls Only"))=TRUE,FALSE,TRUE),FALSE)</f>
        <v>1</v>
      </c>
      <c r="HT720" s="1670" t="b">
        <f>IFERROR(IF(OR(AG721=Lookup!BB$17,AG721=Lookup!BB$18,AG721=Lookup!BB$19)=TRUE,IF(AF721&gt;T721,FALSE,TRUE),TRUE),FALSE)</f>
        <v>1</v>
      </c>
      <c r="HU720" s="1684" t="b">
        <f>IFERROR(IF(__Retrofit_TI_NC=2,IF(EZ721&lt;EZ719,FALSE,TRUE),TRUE),FALSE)</f>
        <v>1</v>
      </c>
      <c r="HV720" s="1684" t="b">
        <f>IF(CQ719="Interior",IL$6,TRUE)</f>
        <v>1</v>
      </c>
      <c r="HW720" s="1684" t="b">
        <f>IF(CQ719="Exterior",IL$8,TRUE)</f>
        <v>1</v>
      </c>
      <c r="HX720" s="1684" t="b">
        <f>IFERROR(IF(__Retrofit_TI_NC&lt;&gt;0,IF(AZ719&lt;AY719,FALSE,TRUE),TRUE),FALSE)</f>
        <v>1</v>
      </c>
      <c r="HY720" s="1684" t="b">
        <f>IFERROR(IF(AND(G720="Exterior",R720&gt;4200),FALSE,TRUE),FALSE)</f>
        <v>1</v>
      </c>
      <c r="HZ720" s="1684" t="b">
        <f>IFERROR(IF(AB722/AB719&lt;HZ$18,FALSE,TRUE),FALSE)</f>
        <v>0</v>
      </c>
      <c r="IB720" s="1691"/>
      <c r="IC720" s="1695"/>
      <c r="ID720" s="1694" t="str">
        <f>VLOOKUP(IB722,_Error_Table,4,FALSE)</f>
        <v>White</v>
      </c>
      <c r="IE720" s="391"/>
      <c r="IF720" s="1688"/>
      <c r="IG720" s="1689"/>
      <c r="IH720" s="1684"/>
      <c r="IK720" s="1689"/>
      <c r="IL720" s="1691"/>
      <c r="IM720" s="1691"/>
      <c r="IN720" s="1691"/>
      <c r="IP720" s="1679"/>
      <c r="IQ720" s="1679"/>
      <c r="IR720" s="1679"/>
      <c r="IS720" s="1679"/>
      <c r="IT720" s="1679"/>
      <c r="IU720" s="1679"/>
      <c r="IV720" s="1679"/>
      <c r="IW720" s="1679"/>
      <c r="IX720" s="1679"/>
      <c r="IY720" s="1679"/>
      <c r="IZ720" s="1679"/>
      <c r="JA720" s="1679"/>
      <c r="JC720" s="1680"/>
      <c r="JD720" s="1670"/>
      <c r="JE720" s="1681"/>
      <c r="JG720" s="1680"/>
      <c r="JH720" s="1670"/>
      <c r="JI720" s="1060"/>
      <c r="JJ720" s="1683"/>
      <c r="JK720" s="1061"/>
      <c r="JL720" s="1683"/>
      <c r="JM720" s="1061"/>
      <c r="JN720" s="1683"/>
      <c r="JO720" s="1061"/>
      <c r="JP720" s="1683"/>
      <c r="JQ720" s="1061"/>
      <c r="JR720" s="1683"/>
      <c r="JS720" s="1061"/>
      <c r="JT720" s="1670"/>
      <c r="JU720" s="1061"/>
      <c r="JV720" s="1670"/>
      <c r="JX720" s="1670"/>
      <c r="JZ720" s="1683"/>
      <c r="KB720" s="1670"/>
    </row>
    <row r="721" spans="1:288" s="78" customFormat="1" ht="14.95" customHeight="1" thickTop="1" thickBot="1">
      <c r="A721" s="78">
        <f>ROW()</f>
        <v>721</v>
      </c>
      <c r="B721" s="1845"/>
      <c r="C721" s="1846"/>
      <c r="D721" s="1847"/>
      <c r="E721" s="1737" t="s">
        <v>298</v>
      </c>
      <c r="F721" s="1738"/>
      <c r="G721" s="1760"/>
      <c r="H721" s="1761"/>
      <c r="I721" s="1761"/>
      <c r="J721" s="1761"/>
      <c r="K721" s="1761"/>
      <c r="L721" s="1762"/>
      <c r="M721" s="461">
        <f>IFERROR(IF(IF(__Retrofit_TI_NC&lt;&gt;0,IF(CQ719="Interior",MATCH(G721,Lookup_Interior_New,0),MATCH(G721,Lookup_Exterior_New,0)),IF(CQ719="Interior",MATCH(G721,Lookup_Interior,0),MATCH(G721,Lookup_Exterior_Areas,0)))&gt;0,1,0),0)</f>
        <v>0</v>
      </c>
      <c r="N721" s="461" t="e">
        <f>IF(__Retrofit_TI_NC=1,
VLOOKUP(G721,'Space Table'!$B$3:$L$163,4,FALSE),
IF(__Retrofit_TI_NC=2,VLOOKUP(G721,'Space Table'!$B$3:$L$163,5,FALSE),VLOOKUP(G721,'Space Table'!$B$3:$L$163,5,FALSE)))</f>
        <v>#N/A</v>
      </c>
      <c r="O721" s="461">
        <f>G721</f>
        <v>0</v>
      </c>
      <c r="P721" s="1738" t="str">
        <f>IFERROR(IF(__Retrofit_TI_NC=1,VLOOKUP(G721,'Space Table'!$B$3:$O$163,13,FALSE),IF(__Retrofit_TI_NC=2,VLOOKUP(G721,'Space Table'!$B$3:$O$163,14,FALSE),"Area (sf):")),"Area (sf):")</f>
        <v>Area (sf):</v>
      </c>
      <c r="Q721" s="1738"/>
      <c r="R721" s="596"/>
      <c r="S721" s="1763" t="s">
        <v>345</v>
      </c>
      <c r="T721" s="594"/>
      <c r="U721" s="1801"/>
      <c r="V721" s="1802"/>
      <c r="W721" s="1802"/>
      <c r="X721" s="1802"/>
      <c r="Y721" s="1802"/>
      <c r="Z721" s="1802"/>
      <c r="AA721" s="1802"/>
      <c r="AB721" s="1802"/>
      <c r="AC721" s="1802"/>
      <c r="AD721" s="1802"/>
      <c r="AE721" s="1803"/>
      <c r="AF721" s="594"/>
      <c r="AG721" s="1787"/>
      <c r="AH721" s="1787"/>
      <c r="AI721" s="1787"/>
      <c r="AJ721" s="1787"/>
      <c r="AK721" s="1787"/>
      <c r="AL721" s="1787"/>
      <c r="AM721" s="1726">
        <f>IFERROR(DI721,"")</f>
        <v>0</v>
      </c>
      <c r="AN721" s="1728" t="str">
        <f>IFERROR(ROUND(AM721*AC722,0),"")</f>
        <v/>
      </c>
      <c r="AO721" s="1730">
        <f>IFERROR(IF(IB719=FALSE,0,AC722-AN721),0)</f>
        <v>0</v>
      </c>
      <c r="AP721" s="1780"/>
      <c r="AQ721" s="1781"/>
      <c r="AR721" s="1795"/>
      <c r="AS721" s="1795"/>
      <c r="AT721" s="1796"/>
      <c r="AU721" s="1735"/>
      <c r="AV721" s="1752"/>
      <c r="AW721" s="1705"/>
      <c r="AX721" s="467"/>
      <c r="AY721" s="1749"/>
      <c r="AZ721" s="1749"/>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696"/>
      <c r="CQ721" s="1696"/>
      <c r="CR721" s="1808" t="str">
        <f>CQ719</f>
        <v/>
      </c>
      <c r="CS721" s="1810" t="str">
        <f>CS719</f>
        <v/>
      </c>
      <c r="CU721" s="1688" t="s">
        <v>345</v>
      </c>
      <c r="CV721" s="1702">
        <f>IF(IB719=TRUE,T721,0)</f>
        <v>0</v>
      </c>
      <c r="CW721" s="1702" t="str">
        <f>IF(IB719=TRUE,U721,"")</f>
        <v/>
      </c>
      <c r="CX721" s="1812">
        <f>IF(IB719=TRUE,U722,0)</f>
        <v>0</v>
      </c>
      <c r="CY721" s="1814">
        <f>IF(IB719=TRUE,AB722,0)</f>
        <v>0</v>
      </c>
      <c r="CZ721" s="1710">
        <f>IF(AND(__Retrofit_TI_NC&gt;0,CR719="interior"),0,IF(IB719=TRUE,AC722,0))</f>
        <v>0</v>
      </c>
      <c r="DA721" s="1818"/>
      <c r="DB721" s="1820"/>
      <c r="DC721" s="1820"/>
      <c r="DD721" s="1820"/>
      <c r="DF721" s="1702">
        <f>IF(IB719=TRUE,AF721,0)</f>
        <v>0</v>
      </c>
      <c r="DG721" s="1830" t="str">
        <f>IF(IB719=TRUE,AG721,"")</f>
        <v/>
      </c>
      <c r="DH721" s="1812">
        <f>AG722</f>
        <v>0</v>
      </c>
      <c r="DI721" s="1837">
        <f>JE721</f>
        <v>0</v>
      </c>
      <c r="DJ721" s="1710">
        <f>IF(AND(__Retrofit_TI_NC&gt;0,CR719="interior"),0,IF(IB719=TRUE,AN721,0))</f>
        <v>0</v>
      </c>
      <c r="DK721" s="1712"/>
      <c r="DN721" s="1717">
        <f>IFERROR(CZ721-DJ721,0)</f>
        <v>0</v>
      </c>
      <c r="DO721" s="1709"/>
      <c r="DQ721" s="1715"/>
      <c r="DR721" s="1719" t="str">
        <f>DQ719</f>
        <v/>
      </c>
      <c r="DS721" s="1816"/>
      <c r="DT721" s="1835" t="str">
        <f>IF(OR(DS719=7,DS719=8,DS719=9),"ALC","")</f>
        <v/>
      </c>
      <c r="DU721" s="1715"/>
      <c r="DV721" s="1716"/>
      <c r="DX721" s="1715"/>
      <c r="DY721" s="1829" t="str">
        <f>DX719</f>
        <v/>
      </c>
      <c r="DZ721" s="1715"/>
      <c r="EA721" s="1715"/>
      <c r="EC721" s="1834"/>
      <c r="ED721" s="1834"/>
      <c r="EF721" s="1707"/>
      <c r="EG721" s="1712"/>
      <c r="EH721" s="1818"/>
      <c r="EI721" s="1712"/>
      <c r="EJ721" s="1712"/>
      <c r="EK721" s="1836"/>
      <c r="EL721" s="1836"/>
      <c r="EM721" s="1807"/>
      <c r="EN721" s="1839"/>
      <c r="EO721" s="1839"/>
      <c r="EP721" s="1817"/>
      <c r="EQ721" s="1817"/>
      <c r="ER721" s="1807"/>
      <c r="ES721" s="1807"/>
      <c r="ET721" s="1807"/>
      <c r="EV721" s="1715"/>
      <c r="EX721" s="1805" t="str">
        <f>IFERROR(VLOOKUP(CS721,'Space Table'!$B$3:$L$163,8,FALSE),"")</f>
        <v/>
      </c>
      <c r="EY721" s="1805" t="str">
        <f>IFERROR(IF(FB721="Yes",VLOOKUP(AG721,Lookup_Control_Type_Table2,4,FALSE),VLOOKUP(AG721,Lookup_Control_Type_Table2,3,FALSE)),"")</f>
        <v/>
      </c>
      <c r="EZ721" s="1805" t="e">
        <f>VLOOKUP(AG721,Lookup!BB$3:BC$20,2,FALSE)</f>
        <v>#N/A</v>
      </c>
      <c r="FA721" s="1805" t="e">
        <f>VLOOKUP(EX719,Lookup_Control_Type_Table,2,FALSE)</f>
        <v>#N/A</v>
      </c>
      <c r="FB721" s="1805" t="e">
        <f>VLOOKUP(CS721,'Space Table'!$B$3:$L$163,7,FALSE)</f>
        <v>#N/A</v>
      </c>
      <c r="FC721" s="1827"/>
      <c r="FE721" s="1698" t="str">
        <f>CONCATENATE(CQ719," - ",AG721)</f>
        <v xml:space="preserve"> - </v>
      </c>
      <c r="FG721" s="1816"/>
      <c r="FH721" s="1816"/>
      <c r="FI721" s="133"/>
      <c r="FL721" s="1822" t="str">
        <f>IF(CQ719="Exterior","Not Daylighted",G722)</f>
        <v>Not Daylighted</v>
      </c>
      <c r="FM721" s="1824">
        <f>VLOOKUP(FL721,_New_Daylight_Table_Codes,2,FALSE)</f>
        <v>0</v>
      </c>
      <c r="FN721" s="1698">
        <f>AG721</f>
        <v>0</v>
      </c>
      <c r="FO721" s="1698" t="e">
        <f>VLOOKUP(FN721,_Control_Table,2,FALSE)</f>
        <v>#N/A</v>
      </c>
      <c r="FP721" s="1678" t="e">
        <f>VLOOKUP(CONCATENATE(FL721," ",FN721),Lookup!AY$102:AZ732,2,FALSE)</f>
        <v>#N/A</v>
      </c>
      <c r="FQ721" s="1698">
        <f>IF(__Retrofit_TI_NC=0,FN721,IF(AND(FT721&gt;0,FN721="Occupancy Sensor"),"Daylight + Occupancy",IF(AND(FT721&gt;0,FO721&lt;4),"Interior Daylight Dimming",FN721)))</f>
        <v>0</v>
      </c>
      <c r="FS721" s="1686">
        <f>IF(CQ719="Interior",VLOOKUP(CS719,Control_Savings_Interior,5,FALSE),0)</f>
        <v>0</v>
      </c>
      <c r="FT721" s="1687">
        <f>IF(CQ721="Exterior",0,IF(FM721=2,0.5,IF(OR(FM721=1,FM721=3),1,0)))</f>
        <v>0</v>
      </c>
      <c r="FU721" s="1685">
        <f>IF(R720&gt;FS$44,(FS721*(FS$44/R720)),FS721)*FT721</f>
        <v>0</v>
      </c>
      <c r="FV721" s="1686">
        <f>DI721</f>
        <v>0</v>
      </c>
      <c r="FW721" s="1686">
        <f>ROUND(FV721+((1-FV721)*FU721),2)</f>
        <v>0</v>
      </c>
      <c r="FX721" s="1686">
        <f>IF(__Retrofit_TI_NC=2,FW721,FV721)</f>
        <v>0</v>
      </c>
      <c r="FY721" s="1697">
        <f>IF(CR721="Interior",VLOOKUP(CS721,Control_Savings_Interior,4,FALSE),0)</f>
        <v>0</v>
      </c>
      <c r="GA721" s="1696"/>
      <c r="GB721" s="1696"/>
      <c r="GC721" s="1696"/>
      <c r="GD721" s="1696"/>
      <c r="GE721" s="1696"/>
      <c r="GF721" s="1696"/>
      <c r="GG721" s="1696"/>
      <c r="GH721" s="1696"/>
      <c r="GI721" s="673" t="b">
        <f>IF(ISNUMBER(SEARCH("TLED",U721)),TRUE,FALSE)</f>
        <v>0</v>
      </c>
      <c r="GJ721" s="1135" t="str">
        <f>IFERROR(VLOOKUP(U721,Fixtures!DM$93:DR$142,6,FALSE),"")</f>
        <v/>
      </c>
      <c r="GK721" s="1832"/>
      <c r="GM721" s="1692"/>
      <c r="GN721" s="1684"/>
      <c r="GP721" s="1684"/>
      <c r="GQ721" s="1684"/>
      <c r="HG721" s="1684"/>
      <c r="HH721" s="1684"/>
      <c r="HI721" s="1684"/>
      <c r="HJ721" s="1684"/>
      <c r="HK721" s="1684"/>
      <c r="HL721" s="1684"/>
      <c r="HM721" s="1684"/>
      <c r="HN721" s="1683"/>
      <c r="HO721" s="1692"/>
      <c r="HP721" s="1692"/>
      <c r="HQ721" s="1670"/>
      <c r="HR721" s="1684"/>
      <c r="HS721" s="1684"/>
      <c r="HT721" s="1670"/>
      <c r="HU721" s="1684"/>
      <c r="HV721" s="1684"/>
      <c r="HW721" s="1684"/>
      <c r="HX721" s="1684"/>
      <c r="HY721" s="1684"/>
      <c r="HZ721" s="1684"/>
      <c r="IB721" s="1692"/>
      <c r="IC721" s="1693" t="b">
        <f>IB719</f>
        <v>0</v>
      </c>
      <c r="ID721" s="1695"/>
      <c r="IE721" s="391"/>
      <c r="IF721" s="1688"/>
      <c r="IG721" s="1689">
        <f ca="1">IF(IF719=TRUE,AC722,0)</f>
        <v>0</v>
      </c>
      <c r="IH721" s="1684"/>
      <c r="IK721" s="1689" t="e">
        <f>ROUND(T721*AB722*N720*R720/1000,0)</f>
        <v>#VALUE!</v>
      </c>
      <c r="IL721" s="1691"/>
      <c r="IM721" s="1693" t="e">
        <f>ROUND(T721*AB722*N720*R720/1000,0)</f>
        <v>#VALUE!</v>
      </c>
      <c r="IN721" s="1691"/>
      <c r="IP721" s="1679"/>
      <c r="IQ721" s="1679" t="e">
        <f t="shared" ref="IQ721:IU721" si="662">IF($CR721="interior",VLOOKUP($CS721,_New_Control_Savings_Interior,IQ$30,FALSE),VLOOKUP($CS721,Control_Savings_Exterior,IQ$30,FALSE))</f>
        <v>#N/A</v>
      </c>
      <c r="IR721" s="1679" t="e">
        <f t="shared" si="662"/>
        <v>#N/A</v>
      </c>
      <c r="IS721" s="1679" t="e">
        <f t="shared" si="662"/>
        <v>#N/A</v>
      </c>
      <c r="IT721" s="1679" t="e">
        <f t="shared" si="662"/>
        <v>#N/A</v>
      </c>
      <c r="IU721" s="1679" t="e">
        <f t="shared" si="662"/>
        <v>#N/A</v>
      </c>
      <c r="IV721" s="1679" t="e">
        <f>IF($CR721="interior",IF(R720&gt;$IP$14,ROUND(($IV$18*($IP$14/R720)),2),$IV$18),VLOOKUP($CS721,Control_Savings_Exterior,IV$30,FALSE))</f>
        <v>#N/A</v>
      </c>
      <c r="IW721" s="1679" t="e">
        <f>IF($CR721="interior",ROUND(((1-IS721)*IV721)+IS721,2),VLOOKUP($CS721,Control_Savings_Exterior,IW$30,FALSE))</f>
        <v>#N/A</v>
      </c>
      <c r="IX721" s="1679" t="e">
        <f>IF($CR721="interior",ROUND(((1-IT721)*IV721)+IT721,2),VLOOKUP($CS721,Control_Savings_Exterior,IX$30,FALSE))</f>
        <v>#N/A</v>
      </c>
      <c r="IY721" s="1679" t="e">
        <f>IF($CR721="interior",IF(R720&gt;$IP$14,ROUND(($IY$18*($IP$14/R720)),2),$IY$18),VLOOKUP($CS721,Control_Savings_Exterior,IY$30,FALSE))</f>
        <v>#N/A</v>
      </c>
      <c r="IZ721" s="1679" t="e">
        <f>IF($CR721="interior",ROUND(((1-IS721)*IY721)+IS721,2),VLOOKUP($CS721,Control_Savings_Exterior,IZ$30,FALSE))</f>
        <v>#N/A</v>
      </c>
      <c r="JA721" s="1679" t="e">
        <f>IF($CR721="interior",ROUND(((1-IT721)*IY721)+IT721,2),VLOOKUP($CS721,Control_Savings_Exterior,JA$30,FALSE))</f>
        <v>#N/A</v>
      </c>
      <c r="JC721" s="1680">
        <f>IFERROR(IF(CR721="Interior",CONCATENATE(G722," ",FQ721),AG721),"")</f>
        <v>0</v>
      </c>
      <c r="JD721" s="1670" t="str">
        <f>IFERROR(VLOOKUP(JC721,_Controls_2023,2,FALSE),"")</f>
        <v/>
      </c>
      <c r="JE721" s="1681">
        <f>IFERROR(CHOOSE(JD721-1,IQ721,IR721,IS721,IT721,IU721,IV721,IW721,IX721,IY721,IZ721,JA721),0)</f>
        <v>0</v>
      </c>
      <c r="JG721" s="1680" t="str">
        <f>FE721</f>
        <v xml:space="preserve"> - </v>
      </c>
      <c r="JH721" s="1670" t="e">
        <f>$FO721</f>
        <v>#N/A</v>
      </c>
      <c r="JI721" s="1060"/>
      <c r="JJ721" s="1670">
        <f>IFERROR(IF($IB719=TRUE,IF(OR(JJ$14="No",JJ719=FALSE,JH721&lt;=JH719,AND(_kWh_Grant=0,GD719=FALSE)),0,IF(JJ$8="Per Line",1,$AF721)),0),0)</f>
        <v>0</v>
      </c>
      <c r="JK721" s="1061"/>
      <c r="JL721" s="1670">
        <f>IFERROR(IF(_kWh_Grant=0,0,IF($IB719=TRUE,IF(OR(JL$14="No",JL719=FALSE,JH721&lt;=JH719),0,IF(JL$8="Per Line",1,$T721)),0)),0)</f>
        <v>0</v>
      </c>
      <c r="JM721" s="1061"/>
      <c r="JN721" s="1670">
        <f>IFERROR(IF(_kWh_Grant=0,0,IF($IB719=TRUE,IF(OR(JN$14="No",JN719=FALSE,JH721&lt;=JH719),0,IF(JN$8="Per Line",1,$AF721)),0)),0)</f>
        <v>0</v>
      </c>
      <c r="JO721" s="1061"/>
      <c r="JP721" s="1670">
        <f>IFERROR(IF(__Retrofit_TI_NC=0,IF(_kWh_Grant=0,0,IF($IB719=TRUE,IF(OR(JP$14="No",JP719=FALSE,$JH721&lt;=$JH719),0,IF(JP$8="Per Line",1,$AF721)),0)),IF($IB719=TRUE,IF(OR(JP$14="No",JP719=FALSE,$JH721&lt;=$JH719),0,IF(JP$8="Per Line",1,$AF721)))),0)</f>
        <v>0</v>
      </c>
      <c r="JQ721" s="1061"/>
      <c r="JR721" s="1670">
        <f>IFERROR(IF(__Retrofit_TI_NC=0,IF(_kWh_Grant=0,0,IF($IB719=TRUE,IF(OR(JR$14="No",JR719=FALSE,$JH721&lt;=$JH719),0,IF(JR$8="Per Line",1,$AF721)),0)),IF($IB719=TRUE,IF(OR(JR$14="No",JR719=FALSE,$JH721&lt;=$JH719),0,IF(JR$8="Per Line",1,$AF721)))),0)</f>
        <v>0</v>
      </c>
      <c r="JS721" s="1061"/>
      <c r="JT721" s="1670">
        <f>IFERROR(IF(__Retrofit_TI_NC=0,IF(_kWh_Grant=0,0,IF($IB719=TRUE,IF(OR(JT$14="No",JT719=FALSE,$JH721&lt;=$JH719),0,IF(JT$8="Per Line",1,$AF721)),0)),IF($IB719=TRUE,IF(OR(JT$14="No",JT719=FALSE,$JH721&lt;=$JH719),0,IF(JT$8="Per Line",1,$AF721)))),0)</f>
        <v>0</v>
      </c>
      <c r="JU721" s="1061"/>
      <c r="JV721" s="1670">
        <f>IFERROR(IF(__Retrofit_TI_NC=0,IF(_kWh_Grant=0,0,IF($IB719=TRUE,IF(OR(JV$14="No",JV719=FALSE,$JH721&lt;=$JH719),0,IF(JV$8="Per Line",1,$AF721)),0)),IF($IB719=TRUE,IF(OR(JV$14="No",JV719=FALSE,$JH721&lt;=$JH719),0,IF(JV$8="Per Line",1,$AF721)))),0)</f>
        <v>0</v>
      </c>
      <c r="JX721" s="1670">
        <f>IFERROR(IF(__Retrofit_TI_NC=0,IF(_kWh_Grant=0,0,IF($IB719=TRUE,IF(OR(JX$14="No",JX719=FALSE,$JH721&lt;=$JH719),0,IF(JX$8="Per Line",1,$AF721)),0)),IF($IB719=TRUE,IF(OR(JX$14="No",JX719=FALSE,$JH721&lt;=$JH719),0,IF(JX$8="Per Line",1,$AF721)))),0)</f>
        <v>0</v>
      </c>
      <c r="JZ721" s="1670">
        <f>IFERROR(IF($IB719=TRUE,IF(OR(JZ$14="No",JZ719=FALSE,$JH721&lt;=$JH719,AND(_kWh_Grant=0,$GD719=FALSE)),0,IF(JZ$8="Per Line",1,$AF721)),0),0)</f>
        <v>0</v>
      </c>
      <c r="KB721" s="1670">
        <f>IFERROR(IF(__Retrofit_TI_NC=0,IF(_kWh_Grant=0,0,IF($IB719=TRUE,IF(OR(KB$14="No",KB719=FALSE,$JH721&lt;=$JH719),0,IF(KB$8="Per Line",1,$AF721)),0)),IF($IB719=TRUE,IF(OR(KB$14="No",KB719=FALSE,$JH721&lt;=$JH719),0,IF(KB$8="Per Line",1,$AF721)))),0)</f>
        <v>0</v>
      </c>
    </row>
    <row r="722" spans="1:288" s="78" customFormat="1" ht="14.95" customHeight="1" thickTop="1" thickBot="1">
      <c r="B722" s="1845"/>
      <c r="C722" s="1846"/>
      <c r="D722" s="1847"/>
      <c r="E722" s="1771" t="s">
        <v>436</v>
      </c>
      <c r="F722" s="1772"/>
      <c r="G722" s="1784" t="s">
        <v>437</v>
      </c>
      <c r="H722" s="1785"/>
      <c r="I722" s="1785"/>
      <c r="J722" s="1785"/>
      <c r="K722" s="1785"/>
      <c r="L722" s="1786"/>
      <c r="M722" s="591">
        <f>IFERROR(VLOOKUP(G722,_Daylight_Table[],2,FALSE),0)</f>
        <v>0</v>
      </c>
      <c r="N722" s="592" t="str">
        <f>IF(AND(__Retrofit_TI_NC&gt;0,CQ719="Interior"),"BAM","")</f>
        <v/>
      </c>
      <c r="O722" s="591" t="e">
        <f>VLOOKUP(G721,'Space Table'!$B$3:$L$163,11,FALSE)</f>
        <v>#N/A</v>
      </c>
      <c r="P722" s="1789"/>
      <c r="Q722" s="1790"/>
      <c r="R722" s="1790"/>
      <c r="S722" s="1788"/>
      <c r="T722" s="593" t="s">
        <v>342</v>
      </c>
      <c r="U722" s="1756" t="str" cm="1">
        <f t="array" aca="1" ref="U722" ca="1">IFERROR(VLOOKUP(INDIRECT("U" &amp; ROW()-1),Fixtures!DM$93:DP$142,4,FALSE),"")</f>
        <v/>
      </c>
      <c r="V722" s="1757"/>
      <c r="W722" s="1757"/>
      <c r="X722" s="1757"/>
      <c r="Y722" s="1757"/>
      <c r="Z722" s="1757"/>
      <c r="AA722" s="1758"/>
      <c r="AB722" s="939" t="str">
        <f>IFERROR(VLOOKUP(U721,Fixtures_Proposed_List,2,FALSE),"")</f>
        <v/>
      </c>
      <c r="AC722" s="933" t="str">
        <f>IFERROR(ROUND(T721*AB722*N720*R720/1000,0),"")</f>
        <v/>
      </c>
      <c r="AD722" s="934" t="str">
        <f>IFERROR(ROUND(T721*AB722/1000,2),"")</f>
        <v/>
      </c>
      <c r="AE722" s="998"/>
      <c r="AF722" s="938" t="s">
        <v>342</v>
      </c>
      <c r="AG722" s="1770"/>
      <c r="AH722" s="1770"/>
      <c r="AI722" s="1770"/>
      <c r="AJ722" s="1770"/>
      <c r="AK722" s="1770"/>
      <c r="AL722" s="1770"/>
      <c r="AM722" s="1727"/>
      <c r="AN722" s="1729"/>
      <c r="AO722" s="1731"/>
      <c r="AP722" s="1782"/>
      <c r="AQ722" s="1783"/>
      <c r="AR722" s="1797"/>
      <c r="AS722" s="1797"/>
      <c r="AT722" s="1798"/>
      <c r="AU722" s="1736"/>
      <c r="AV722" s="1753"/>
      <c r="AW722" s="1706"/>
      <c r="AX722" s="468"/>
      <c r="AY722" s="1750"/>
      <c r="AZ722" s="1750"/>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696"/>
      <c r="CQ722" s="1696"/>
      <c r="CR722" s="1809"/>
      <c r="CS722" s="1811"/>
      <c r="CU722" s="1688"/>
      <c r="CV722" s="1703"/>
      <c r="CW722" s="1703"/>
      <c r="CX722" s="1813"/>
      <c r="CY722" s="1815"/>
      <c r="CZ722" s="1711"/>
      <c r="DA722" s="1815"/>
      <c r="DB722" s="1821"/>
      <c r="DC722" s="1821"/>
      <c r="DD722" s="1821"/>
      <c r="DF722" s="1703"/>
      <c r="DG722" s="1831"/>
      <c r="DH722" s="1813"/>
      <c r="DI722" s="1838"/>
      <c r="DJ722" s="1711"/>
      <c r="DK722" s="1712"/>
      <c r="DN722" s="1718"/>
      <c r="DO722" s="1709"/>
      <c r="DQ722" s="1715"/>
      <c r="DR722" s="1720"/>
      <c r="DS722" s="1703"/>
      <c r="DT722" s="1714"/>
      <c r="DU722" s="1715"/>
      <c r="DV722" s="1716"/>
      <c r="DX722" s="1715"/>
      <c r="DY722" s="1720"/>
      <c r="DZ722" s="1715"/>
      <c r="EA722" s="1715"/>
      <c r="EC722" s="1834"/>
      <c r="ED722" s="1834"/>
      <c r="EF722" s="1707"/>
      <c r="EG722" s="1712"/>
      <c r="EH722" s="1815"/>
      <c r="EI722" s="1712"/>
      <c r="EJ722" s="1712"/>
      <c r="EK722" s="1813"/>
      <c r="EL722" s="1813"/>
      <c r="EM722" s="1807"/>
      <c r="EN722" s="1839"/>
      <c r="EO722" s="1839"/>
      <c r="EP722" s="1817"/>
      <c r="EQ722" s="1817"/>
      <c r="ER722" s="1807"/>
      <c r="ES722" s="1807"/>
      <c r="ET722" s="1807"/>
      <c r="EV722" s="1715"/>
      <c r="EX722" s="1806"/>
      <c r="EY722" s="1806"/>
      <c r="EZ722" s="1806"/>
      <c r="FA722" s="1806"/>
      <c r="FB722" s="1806"/>
      <c r="FC722" s="1828"/>
      <c r="FE722" s="1698"/>
      <c r="FG722" s="1703"/>
      <c r="FH722" s="1703"/>
      <c r="FI722" s="133"/>
      <c r="FL722" s="1823"/>
      <c r="FM722" s="1825"/>
      <c r="FN722" s="1698"/>
      <c r="FO722" s="1698"/>
      <c r="FP722" s="1678"/>
      <c r="FQ722" s="1698"/>
      <c r="FS722" s="1687"/>
      <c r="FT722" s="1687"/>
      <c r="FU722" s="1685"/>
      <c r="FV722" s="1687"/>
      <c r="FW722" s="1687"/>
      <c r="FX722" s="1687"/>
      <c r="FY722" s="1697"/>
      <c r="GA722" s="1696"/>
      <c r="GB722" s="1696"/>
      <c r="GC722" s="1696"/>
      <c r="GD722" s="1696"/>
      <c r="GE722" s="1696"/>
      <c r="GF722" s="1696"/>
      <c r="GG722" s="1696"/>
      <c r="GH722" s="1696"/>
      <c r="GI722" s="673"/>
      <c r="GJ722" s="1135"/>
      <c r="GK722" s="1832"/>
      <c r="GN722" s="674">
        <f>IF(GN720=TRUE,0,GN$16)</f>
        <v>0</v>
      </c>
      <c r="GP722" s="674">
        <f>IF(GP720=TRUE,0,GP$16)</f>
        <v>36</v>
      </c>
      <c r="GQ722" s="674">
        <f ca="1">IF(GQ720=TRUE,0,GQ$16)</f>
        <v>35</v>
      </c>
      <c r="GR722" s="391"/>
      <c r="GS722" s="391"/>
      <c r="GT722" s="391"/>
      <c r="GU722" s="391"/>
      <c r="GV722" s="391"/>
      <c r="HG722" s="674">
        <f>IF(HG720=TRUE,0,HG$16)</f>
        <v>0</v>
      </c>
      <c r="HH722" s="674">
        <f t="shared" ref="HH722:HM722" si="663">IF(HH720=TRUE,0,HH$16)</f>
        <v>19</v>
      </c>
      <c r="HI722" s="674">
        <f t="shared" si="663"/>
        <v>18</v>
      </c>
      <c r="HJ722" s="674">
        <f t="shared" si="663"/>
        <v>17</v>
      </c>
      <c r="HK722" s="674">
        <f t="shared" si="663"/>
        <v>16</v>
      </c>
      <c r="HL722" s="674">
        <f t="shared" si="663"/>
        <v>0</v>
      </c>
      <c r="HM722" s="674">
        <f t="shared" si="663"/>
        <v>0</v>
      </c>
      <c r="HN722" s="674">
        <f>IF(HN720=TRUE,0,HN$16)</f>
        <v>13</v>
      </c>
      <c r="HO722" s="674">
        <f t="shared" ref="HO722:HQ722" si="664">IF(HO720=TRUE,0,HO$16)</f>
        <v>0</v>
      </c>
      <c r="HP722" s="674">
        <f t="shared" si="664"/>
        <v>0</v>
      </c>
      <c r="HQ722" s="674">
        <f t="shared" si="664"/>
        <v>10</v>
      </c>
      <c r="HR722" s="674">
        <f>IF(HR720=TRUE,0,HR$16)</f>
        <v>9</v>
      </c>
      <c r="HS722" s="674">
        <f t="shared" ref="HS722:HW722" si="665">IF(HS720=TRUE,0,HS$16)</f>
        <v>0</v>
      </c>
      <c r="HT722" s="674">
        <f t="shared" si="665"/>
        <v>0</v>
      </c>
      <c r="HU722" s="674">
        <f t="shared" si="665"/>
        <v>0</v>
      </c>
      <c r="HV722" s="674">
        <f t="shared" si="665"/>
        <v>0</v>
      </c>
      <c r="HW722" s="674">
        <f t="shared" si="665"/>
        <v>0</v>
      </c>
      <c r="HX722" s="674">
        <f>IF(HX720=TRUE,0,HX$16)</f>
        <v>0</v>
      </c>
      <c r="HY722" s="674">
        <f>IF(HY720=TRUE,0,HY$16)</f>
        <v>0</v>
      </c>
      <c r="HZ722" s="674">
        <f>IF(HZ720=TRUE,0,HZ$16)</f>
        <v>1</v>
      </c>
      <c r="IB722" s="674">
        <f>IF(GP720=FALSE,GP722,IF(GQ720=FALSE,GQ722,MAX(GN722:HZ722)))</f>
        <v>36</v>
      </c>
      <c r="IC722" s="1692"/>
      <c r="ID722" s="205" t="str">
        <f>VLOOKUP(IB722,_Error_Table,3,FALSE)</f>
        <v xml:space="preserve"> </v>
      </c>
      <c r="IE722" s="205"/>
      <c r="IF722" s="1688"/>
      <c r="IG722" s="1689"/>
      <c r="IH722" s="1684"/>
      <c r="IK722" s="1689"/>
      <c r="IL722" s="1692"/>
      <c r="IM722" s="1692"/>
      <c r="IN722" s="1692"/>
      <c r="IP722" s="1679"/>
      <c r="IQ722" s="1679"/>
      <c r="IR722" s="1679"/>
      <c r="IS722" s="1679"/>
      <c r="IT722" s="1679"/>
      <c r="IU722" s="1679"/>
      <c r="IV722" s="1679"/>
      <c r="IW722" s="1679"/>
      <c r="IX722" s="1679"/>
      <c r="IY722" s="1679"/>
      <c r="IZ722" s="1679"/>
      <c r="JA722" s="1679"/>
      <c r="JC722" s="1680"/>
      <c r="JD722" s="1670"/>
      <c r="JE722" s="1681"/>
      <c r="JG722" s="1680"/>
      <c r="JH722" s="1670"/>
      <c r="JI722" s="1060"/>
      <c r="JJ722" s="1670"/>
      <c r="JK722" s="1061"/>
      <c r="JL722" s="1670"/>
      <c r="JM722" s="1061"/>
      <c r="JN722" s="1670"/>
      <c r="JO722" s="1061"/>
      <c r="JP722" s="1670"/>
      <c r="JQ722" s="1061"/>
      <c r="JR722" s="1670"/>
      <c r="JS722" s="1061"/>
      <c r="JT722" s="1670"/>
      <c r="JU722" s="1061"/>
      <c r="JV722" s="1670"/>
      <c r="JX722" s="1670"/>
      <c r="JZ722" s="1670"/>
      <c r="KB722" s="1670"/>
    </row>
    <row r="723" spans="1:288" s="78" customFormat="1" ht="4.95" customHeight="1">
      <c r="B723" s="676"/>
      <c r="C723" s="392"/>
      <c r="D723" s="392"/>
      <c r="E723" s="1733"/>
      <c r="F723" s="1733"/>
      <c r="G723" s="1733"/>
      <c r="H723" s="1733"/>
      <c r="I723" s="1733"/>
      <c r="J723" s="1733"/>
      <c r="K723" s="1733"/>
      <c r="L723" s="1733"/>
      <c r="M723" s="1733"/>
      <c r="N723" s="1733"/>
      <c r="O723" s="1733"/>
      <c r="P723" s="1733"/>
      <c r="Q723" s="1733"/>
      <c r="R723" s="1733"/>
      <c r="S723" s="1733"/>
      <c r="T723" s="1733"/>
      <c r="U723" s="1733"/>
      <c r="V723" s="1733"/>
      <c r="W723" s="1733"/>
      <c r="X723" s="1733"/>
      <c r="Y723" s="1733"/>
      <c r="Z723" s="1733"/>
      <c r="AA723" s="1733"/>
      <c r="AB723" s="1733"/>
      <c r="AC723" s="1733"/>
      <c r="AD723" s="1733"/>
      <c r="AE723" s="1733"/>
      <c r="AF723" s="1733"/>
      <c r="AG723" s="1733"/>
      <c r="AH723" s="1733"/>
      <c r="AI723" s="1733"/>
      <c r="AJ723" s="1733"/>
      <c r="AK723" s="1733"/>
      <c r="AL723" s="1733"/>
      <c r="AM723" s="1733"/>
      <c r="AN723" s="1733"/>
      <c r="AO723" s="1733"/>
      <c r="AP723" s="1733"/>
      <c r="AQ723" s="1733"/>
      <c r="AR723" s="1733"/>
      <c r="AS723" s="1733"/>
      <c r="AT723" s="1733"/>
      <c r="AU723" s="1733"/>
      <c r="AV723" s="1733"/>
      <c r="AW723" s="1733"/>
      <c r="AX723" s="469"/>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663"/>
      <c r="CQ723" s="663"/>
      <c r="CR723" s="438"/>
      <c r="CS723" s="663"/>
      <c r="CV723" s="391"/>
      <c r="CW723" s="391"/>
      <c r="CX723" s="207"/>
      <c r="CY723" s="208"/>
      <c r="CZ723" s="208"/>
      <c r="DA723" s="208"/>
      <c r="DB723" s="209"/>
      <c r="DC723" s="209"/>
      <c r="DD723" s="209"/>
      <c r="DF723" s="664"/>
      <c r="DG723" s="665"/>
      <c r="DH723" s="666"/>
      <c r="DI723" s="667"/>
      <c r="DJ723" s="668"/>
      <c r="DK723" s="668"/>
      <c r="DN723" s="208"/>
      <c r="DO723" s="664"/>
      <c r="DQ723" s="664"/>
      <c r="DR723" s="669"/>
      <c r="DS723" s="391"/>
      <c r="DT723" s="664"/>
      <c r="DU723" s="664"/>
      <c r="DV723" s="664"/>
      <c r="DX723" s="664"/>
      <c r="DY723" s="664"/>
      <c r="DZ723" s="664"/>
      <c r="EA723" s="664"/>
      <c r="EC723" s="670"/>
      <c r="ED723" s="670"/>
      <c r="EF723" s="668"/>
      <c r="EG723" s="668"/>
      <c r="EH723" s="208"/>
      <c r="EI723" s="668"/>
      <c r="EJ723" s="668"/>
      <c r="EK723" s="207"/>
      <c r="EL723" s="207"/>
      <c r="EM723" s="666"/>
      <c r="EN723" s="671"/>
      <c r="EO723" s="671"/>
      <c r="EP723" s="672"/>
      <c r="EQ723" s="672"/>
      <c r="ER723" s="666"/>
      <c r="ES723" s="666"/>
      <c r="ET723" s="666"/>
      <c r="EV723" s="664"/>
      <c r="EX723" s="391"/>
      <c r="EY723" s="391"/>
      <c r="EZ723" s="391"/>
      <c r="FA723" s="391"/>
      <c r="FB723" s="391"/>
      <c r="FC723" s="391"/>
      <c r="FE723" s="569"/>
      <c r="FG723" s="391"/>
      <c r="FH723" s="391"/>
      <c r="FI723" s="391"/>
      <c r="FS723" s="664"/>
      <c r="FT723" s="391"/>
      <c r="FU723" s="391"/>
      <c r="FV723" s="664"/>
      <c r="FW723" s="664"/>
      <c r="GA723" s="663"/>
      <c r="GB723" s="663"/>
      <c r="GC723" s="663"/>
      <c r="GD723" s="663"/>
      <c r="GE723" s="663"/>
      <c r="GF723" s="663"/>
      <c r="GG723" s="663"/>
      <c r="GH723" s="663"/>
      <c r="GI723" s="665"/>
      <c r="GJ723" s="664"/>
      <c r="GK723" s="664"/>
    </row>
    <row r="724" spans="1:288" s="78" customFormat="1" ht="14.95" customHeight="1">
      <c r="B724" s="1845" t="str">
        <f>ID727</f>
        <v xml:space="preserve"> </v>
      </c>
      <c r="C724" s="1846">
        <f>C719+1</f>
        <v>131</v>
      </c>
      <c r="D724" s="1847"/>
      <c r="E724" s="1799" t="s">
        <v>295</v>
      </c>
      <c r="F724" s="1800"/>
      <c r="G724" s="1741"/>
      <c r="H724" s="1742"/>
      <c r="I724" s="1742"/>
      <c r="J724" s="1742"/>
      <c r="K724" s="1742"/>
      <c r="L724" s="1742"/>
      <c r="M724" s="1742"/>
      <c r="N724" s="1742"/>
      <c r="O724" s="1742"/>
      <c r="P724" s="1742"/>
      <c r="Q724" s="1742"/>
      <c r="R724" s="1742"/>
      <c r="S724" s="1791" t="s">
        <v>344</v>
      </c>
      <c r="T724" s="590"/>
      <c r="U724" s="1743"/>
      <c r="V724" s="1744"/>
      <c r="W724" s="1744"/>
      <c r="X724" s="1744"/>
      <c r="Y724" s="1744"/>
      <c r="Z724" s="1744"/>
      <c r="AA724" s="1744"/>
      <c r="AB724" s="961" t="str">
        <f>IFERROR(IF(__Retrofit_TI_NC=0,VLOOKUP(U725,Fixtures_Existing_List,2,FALSE),ROUND(N726*R726/T726,10)),"")</f>
        <v/>
      </c>
      <c r="AC724" s="935" t="str">
        <f>IFERROR(IF(__Retrofit_TI_NC=0,ROUND(T725*AB724*N725*R725/1000,0),IF(CQ724="Interior",N726*R726*R725*N725*_C406_reduction/1000,N726*R726*R725*N725/1000)),"")</f>
        <v/>
      </c>
      <c r="AD724" s="936" t="str">
        <f>IFERROR(IF(C$43=0,ROUND(T725*AB724/1000,2),N726*R726/1000),"")</f>
        <v/>
      </c>
      <c r="AE724" s="997"/>
      <c r="AF724" s="937"/>
      <c r="AG724" s="1745" t="str">
        <f>IF(__Retrofit_TI_NC=0," Control","Select Advanced Control for New System")</f>
        <v xml:space="preserve"> Control</v>
      </c>
      <c r="AH724" s="1745"/>
      <c r="AI724" s="1745"/>
      <c r="AJ724" s="1745"/>
      <c r="AK724" s="1745"/>
      <c r="AL724" s="1745"/>
      <c r="AM724" s="1746">
        <f>IFERROR(DI724,"")</f>
        <v>0</v>
      </c>
      <c r="AN724" s="1774" t="str">
        <f>IFERROR(ROUND(AM724*AC724,0),"")</f>
        <v/>
      </c>
      <c r="AO724" s="1776">
        <f>IFERROR(IF(IB724=FALSE,0,AC724-AN724),0)</f>
        <v>0</v>
      </c>
      <c r="AP724" s="1778">
        <f>AO724-AO726</f>
        <v>0</v>
      </c>
      <c r="AQ724" s="1779"/>
      <c r="AR724" s="1793">
        <f>IFERROR(IF(IB724=FALSE,0,(T726*U727)+(AF726*AG727)),0)</f>
        <v>0</v>
      </c>
      <c r="AS724" s="1793"/>
      <c r="AT724" s="1794"/>
      <c r="AU724" s="1734" t="s">
        <v>237</v>
      </c>
      <c r="AV724" s="1751">
        <f>IF(AU724="Yes",1,0)</f>
        <v>1</v>
      </c>
      <c r="AW724" s="1704" t="str">
        <f>IF(OR(DQ724=4,DQ724=5,DQ724=6,DQ724=12),CONCATENATE("$",IF(GH724=TRUE,Lookup!$K$10,Lookup!$K$2)," /lamp"),CONCATENATE(TEXT(ED724,"$0.00"),"/ kWh"))</f>
        <v>$0.00/ kWh</v>
      </c>
      <c r="AX724" s="467"/>
      <c r="AY724" s="1748">
        <f ca="1">IFERROR(IF(GM725=TRUE,(AB727*T726)/R726,0),"NA")</f>
        <v>0</v>
      </c>
      <c r="AZ724" s="1748"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696" t="str">
        <f>N725</f>
        <v/>
      </c>
      <c r="CQ724" s="1696" t="str">
        <f>IFERROR(VLOOKUP(G725,_Lookup_Heat_Type_Table_New,3,FALSE),"")</f>
        <v/>
      </c>
      <c r="CR724" s="1808" t="str">
        <f>CQ724</f>
        <v/>
      </c>
      <c r="CS724" s="1810" t="str">
        <f>IFERROR(VLOOKUP(G726,'Space Table'!$B$3:$L$163,9,FALSE),"")</f>
        <v/>
      </c>
      <c r="CU724" s="1688" t="s">
        <v>344</v>
      </c>
      <c r="CV724" s="1702">
        <f>IF(IB724=TRUE,T725,0)</f>
        <v>0</v>
      </c>
      <c r="CW724" s="1702" t="str">
        <f>IF(IB724=TRUE,U725,"")</f>
        <v/>
      </c>
      <c r="CX724" s="1702"/>
      <c r="CY724" s="1814">
        <f>IF(IB724=TRUE,AB724,0)</f>
        <v>0</v>
      </c>
      <c r="CZ724" s="1710">
        <f>IF(AND(__Retrofit_TI_NC&gt;0,CR724="interior"),0,IF(IB724=TRUE,AC724,0))</f>
        <v>0</v>
      </c>
      <c r="DA724" s="1814">
        <f>IFERROR(IF(IB724=TRUE,CZ724-CZ726,0),0)</f>
        <v>0</v>
      </c>
      <c r="DB724" s="1819">
        <f>IF(IB724=TRUE,AD724,0)</f>
        <v>0</v>
      </c>
      <c r="DC724" s="1819">
        <f>IF(IB724=TRUE,AD727,0)</f>
        <v>0</v>
      </c>
      <c r="DD724" s="1819">
        <f>IFERROR(DB724-DC724,0)</f>
        <v>0</v>
      </c>
      <c r="DF724" s="1702">
        <f>IF(IB724=TRUE,AF725,0)</f>
        <v>0</v>
      </c>
      <c r="DG724" s="1830">
        <f>IFERROR(IF(__Retrofit_TI_NC=2,IF(CQ724="Exterior",O727,FQ724),FN724),"")</f>
        <v>0</v>
      </c>
      <c r="DH724" s="1702"/>
      <c r="DI724" s="1837">
        <f>JE724</f>
        <v>0</v>
      </c>
      <c r="DJ724" s="1710">
        <f>IF(AND(__Retrofit_TI_NC&gt;0,CR724="interior"),0,IF(IB724=TRUE,AN724,0))</f>
        <v>0</v>
      </c>
      <c r="DK724" s="1712">
        <f>IFERROR(IF(IB724=TRUE,DJ726-DJ724,0),0)</f>
        <v>0</v>
      </c>
      <c r="DM724" s="1717">
        <f>IFERROR(CZ724-DJ724,0)</f>
        <v>0</v>
      </c>
      <c r="DO724" s="1708">
        <f>DM724-DN726</f>
        <v>0</v>
      </c>
      <c r="DQ724" s="1715" t="str">
        <f>IFERROR(IF(AND(OR(GC724=4,GC724=5,GC724=6),OR(GF724=4,GF724=5,GF724=6)),GC724+8,VLOOKUP(CW726,Fixtures!R$31:Y$78,8,FALSE)),"")</f>
        <v/>
      </c>
      <c r="DR724" s="1829" t="str">
        <f>DQ724</f>
        <v/>
      </c>
      <c r="DS724" s="1702" t="str">
        <f>IFERROR(VLOOKUP(DG726,Lookup!BB$3:BC$20,2,FALSE),"")</f>
        <v/>
      </c>
      <c r="DT724" s="1713" t="str">
        <f>IF(OR(DS724=7,DS724=8,DS724=9),"ALC","")</f>
        <v/>
      </c>
      <c r="DU724" s="1715">
        <f>IFERROR(IF(OR(DQ724=4,DQ724=5,DQ724=6,DQ724=12,DQ724=13,DQ724=14),VLOOKUP(CW726,Fixtures!DN$27:EG$77,19,FALSE),1)*CV726,0)</f>
        <v>0</v>
      </c>
      <c r="DV724" s="1716">
        <f>IF(OR(DS724=7,DS724=8,DS724=9),IF(DG724=DG726,0,DF726),0)</f>
        <v>0</v>
      </c>
      <c r="DX724" s="1715" t="str">
        <f>IFERROR(IF(EZ724&lt;EZ726,"Yes","No"),"")</f>
        <v/>
      </c>
      <c r="DY724" s="1829" t="str">
        <f>DX724</f>
        <v/>
      </c>
      <c r="DZ724" s="1715">
        <f>IF(DX724="Yes",DF726,0)</f>
        <v>0</v>
      </c>
      <c r="EA724" s="1715">
        <f>DZ724-DV724</f>
        <v>0</v>
      </c>
      <c r="EC724" s="1834">
        <f>IFERROR(VLOOKUP(DQ724,Lookup!AU$3:AV$16,2,FALSE),0)</f>
        <v>0</v>
      </c>
      <c r="ED724" s="1834">
        <f>IF(IB724=FALSE,0,IF(DX724="Yes",EC724+Lookup!K$6,EC724))</f>
        <v>0</v>
      </c>
      <c r="EF724" s="1707">
        <f>IF(IB724=TRUE,DM724,0)</f>
        <v>0</v>
      </c>
      <c r="EG724" s="1712">
        <f>IF(IB724=TRUE,CZ726,0)</f>
        <v>0</v>
      </c>
      <c r="EH724" s="1814">
        <f>IFERROR(EF724-EG724,0)</f>
        <v>0</v>
      </c>
      <c r="EI724" s="1712">
        <f>IF(IB724=TRUE,DJ726,0)</f>
        <v>0</v>
      </c>
      <c r="EJ724" s="1712">
        <f>IFERROR(EF724-EG724+EI724,0)</f>
        <v>0</v>
      </c>
      <c r="EK724" s="1812">
        <f>IF(IB724=TRUE,CV726*CX726,0)</f>
        <v>0</v>
      </c>
      <c r="EL724" s="1812">
        <f>IF(IB724=TRUE,DF726*DH726,0)</f>
        <v>0</v>
      </c>
      <c r="EM724" s="1807">
        <f>AR724</f>
        <v>0</v>
      </c>
      <c r="EN724" s="1839" t="str">
        <f>IFERROR(IF(IB724=TRUE,VLOOKUP(DQ724,Lookup!AU$3:AW$16,3,FALSE)*DU724,""),0)</f>
        <v/>
      </c>
      <c r="EO724" s="1839">
        <f>IF(IB724=TRUE,DZ724*Lookup!AW$12,0)</f>
        <v>0</v>
      </c>
      <c r="EP724" s="1817">
        <f>IFERROR(IF(IB724=TRUE,EN724/EP$40,0),0)</f>
        <v>0</v>
      </c>
      <c r="EQ724" s="1817">
        <f>IF(IB724=TRUE,EO724/EQ$40,0)</f>
        <v>0</v>
      </c>
      <c r="ER724" s="1807">
        <f>IF(IB724=TRUE,ET$40*EP724,0)</f>
        <v>0</v>
      </c>
      <c r="ES724" s="1807">
        <f>IF(IB724=TRUE,ET$40*EQ724,0)</f>
        <v>0</v>
      </c>
      <c r="ET724" s="1807">
        <f>ER724+ES724</f>
        <v>0</v>
      </c>
      <c r="EV724" s="1715">
        <f>IF(G724="",0,1)</f>
        <v>0</v>
      </c>
      <c r="EX724" s="1804" t="str">
        <f>IFERROR(VLOOKUP(CS726,'Space Table'!$B$3:$L$163,8,FALSE),"")</f>
        <v/>
      </c>
      <c r="EY724" s="1804" t="str">
        <f>IFERROR(IF(FB724="Yes",VLOOKUP(DG724,Lookup_Control_Type_Table2,4,FALSE),VLOOKUP(DG724,Lookup_Control_Type_Table2,3,FALSE)),"")</f>
        <v/>
      </c>
      <c r="EZ724" s="1804" t="e">
        <f>VLOOKUP(DG724,Lookup!BB$3:BC$20,2,FALSE)</f>
        <v>#N/A</v>
      </c>
      <c r="FA724" s="1804" t="e">
        <f>VLOOKUP(EX724,Lookup_Control_Type_Table,2,FALSE)</f>
        <v>#N/A</v>
      </c>
      <c r="FB724" s="1804" t="e">
        <f>VLOOKUP(CS726,'Space Table'!$B$3:$L$163,7,FALSE)</f>
        <v>#N/A</v>
      </c>
      <c r="FC724" s="1826" t="b">
        <f>ISNUMBER(SEARCH("TLED",U726))</f>
        <v>0</v>
      </c>
      <c r="FE724" s="1698" t="str">
        <f>CONCATENATE(CQ724," - ",DG724)</f>
        <v xml:space="preserve"> - 0</v>
      </c>
      <c r="FG724" s="1702" t="str">
        <f>VLOOKUP(CW726,Fixtures!DN$27:EZ$77,38,FALSE)</f>
        <v/>
      </c>
      <c r="FH724" s="1702">
        <f>IFERROR(FG724*EH724,0)</f>
        <v>0</v>
      </c>
      <c r="FI724" s="133"/>
      <c r="FL724" s="1822" t="str">
        <f>IF(CQ724="Exterior","Not Daylighted",G727)</f>
        <v>Not Daylighted</v>
      </c>
      <c r="FM724" s="1824">
        <f>VLOOKUP(FL724,_New_Daylight_Table_Codes,2,FALSE)</f>
        <v>0</v>
      </c>
      <c r="FN724" s="1698">
        <f>IF(__Retrofit_TI_NC&gt;0,VLOOKUP(G726,'Space Table'!$B$3:$L$163,11,FALSE),AG725)</f>
        <v>0</v>
      </c>
      <c r="FO724" s="1698" t="e">
        <f>IF(__Retrofit_TI_NC=2,VLOOKUP(FQ724,_Control_Table,2,FALSE),VLOOKUP(FN724,_Control_Table,2,FALSE))</f>
        <v>#N/A</v>
      </c>
      <c r="FP724" s="1678" t="e">
        <f>VLOOKUP(CONCATENATE(FL724," ",FN724),Lookup!AY$102:AZ734,2,FALSE)</f>
        <v>#N/A</v>
      </c>
      <c r="FQ724" s="1678">
        <f>IF(__Retrofit_TI_NC=0,FN724,IF(AND(FT724&gt;0,FN724="Occupancy Sensor"),"Daylight + Occupancy",IF(AND(FT724&gt;0,VLOOKUP(FN724,_Control_Table,2,FALSE)&lt;4),"Interior Daylight Dimming",FN724)))</f>
        <v>0</v>
      </c>
      <c r="FS724" s="1686">
        <f>IF(CR724="Interior",VLOOKUP(CS724,Control_Savings_Interior,5,FALSE),0)</f>
        <v>0</v>
      </c>
      <c r="FT724" s="1687">
        <f>IF(CQ724="Exterior",0,IF(FM724=2,0.5,IF(OR(FM724=1,FM724=3),1,0)))</f>
        <v>0</v>
      </c>
      <c r="FU724" s="1685">
        <f>IF(R723&gt;FS$44,(FS724*(FS$44/R723)),FS724)*FT724</f>
        <v>0</v>
      </c>
      <c r="FV724" s="1686">
        <f>DI724</f>
        <v>0</v>
      </c>
      <c r="FW724" s="1686">
        <f>ROUND(FV724+((1-FV724)*FU724),2)</f>
        <v>0</v>
      </c>
      <c r="FX724" s="1686">
        <f>IF(__Retrofit_TI_NC=2,FW724,FV724)</f>
        <v>0</v>
      </c>
      <c r="FY724" s="1697"/>
      <c r="GA724" s="1696" t="str">
        <f>IFERROR(VLOOKUP(U725,_Exist_Fixture_Table,3,FALSE),"")</f>
        <v/>
      </c>
      <c r="GB724" s="1696" t="str">
        <f>VLOOKUP(CW724,_Exist_Fixture_Table,4,FALSE)</f>
        <v/>
      </c>
      <c r="GC724" s="1696">
        <f>IFERROR(VLOOKUP(GB724,Lookup!AT$6:AU$8,2,FALSE),0)</f>
        <v>0</v>
      </c>
      <c r="GD724" s="1696" t="b">
        <f>IFERROR(IF(OR(GF724=4,GF724=5,GF724=6),TRUE,FALSE),"")</f>
        <v>0</v>
      </c>
      <c r="GE724" s="1696" t="str">
        <f>IFERROR(VLOOKUP(GF724,GC$6:GD$10,2,FALSE),"")</f>
        <v/>
      </c>
      <c r="GF724" s="1696" t="str">
        <f>VLOOKUP(CW726,Fixtures!R$31:Y$78,8,FALSE)</f>
        <v/>
      </c>
      <c r="GG724" s="1696">
        <f>IF(AND(GA724=TRUE,GD724=TRUE,OR(DQ724=12,DQ724=13,DQ724=14)),GC724+8,0)</f>
        <v>0</v>
      </c>
      <c r="GH724" s="1696" t="b">
        <f>IF(OR(GG724=12,GG724=13,GG724=14),TRUE,FALSE)</f>
        <v>0</v>
      </c>
      <c r="GI724" s="673" t="b">
        <f>IF(ISNUMBER(SEARCH("TLED",U725)),TRUE,FALSE)</f>
        <v>0</v>
      </c>
      <c r="GJ724" s="1135" t="str">
        <f>IFERROR(VLOOKUP(U725,Fixtures!BM$93:BR$142,6,FALSE),"")</f>
        <v/>
      </c>
      <c r="GK724" s="1832" t="b">
        <f>IF(OR(GI724=FALSE,GI726=FALSE),TRUE,IF(GJ724-GJ726&lt;5,FALSE,TRUE))</f>
        <v>1</v>
      </c>
      <c r="GO724" s="674">
        <f>GP724</f>
        <v>0</v>
      </c>
      <c r="GP724" s="674">
        <f>IF(G724="",0,1)</f>
        <v>0</v>
      </c>
      <c r="GQ724" s="674">
        <f ca="1">SUM(GR724:HF724)</f>
        <v>2</v>
      </c>
      <c r="GR724" s="674">
        <f>IF(G725="",0,1)</f>
        <v>0</v>
      </c>
      <c r="GS724" s="674">
        <f>IF(N727="BAM",1,IF(G726="",0,1))</f>
        <v>0</v>
      </c>
      <c r="GT724" s="674">
        <f>IF(N727="BAM",1,IF(R725="",0,1))</f>
        <v>0</v>
      </c>
      <c r="GU724" s="674">
        <f>IF(N727="BAM",1,IF(__Retrofit_TI_NC=0,1,IF(R726="",0,1)))</f>
        <v>1</v>
      </c>
      <c r="GV724" s="674">
        <f>IF(N727="BAM",1,IF(CQ724="Exterior",1,IF(G727="",0,1)))</f>
        <v>1</v>
      </c>
      <c r="GW724" s="674">
        <f>IF(__Retrofit_TI_NC&gt;0,1,IF(T725="",0,1))</f>
        <v>0</v>
      </c>
      <c r="GX724" s="674">
        <f>IF(__Retrofit_TI_NC&gt;0,1,IF(U725="",0,1))</f>
        <v>0</v>
      </c>
      <c r="GY724" s="674">
        <f>IF(N727="BAM",1,IF(T726="",0,1))</f>
        <v>0</v>
      </c>
      <c r="GZ724" s="674">
        <f>IF(N727="BAM",1,IF(U726="",0,1))</f>
        <v>0</v>
      </c>
      <c r="HA724" s="674">
        <f ca="1">IF(N727="BAM",1,IF(__Retrofit_TI_NC&gt;0,1,IF(U727="",0,1)))</f>
        <v>0</v>
      </c>
      <c r="HB724" s="674">
        <f>IF(__Retrofit_TI_NC&lt;&gt;0,1,IF(AF725="",0,1))</f>
        <v>0</v>
      </c>
      <c r="HC724" s="674">
        <f>IF(__Retrofit_TI_NC&lt;&gt;0,1,IF(AG725="",0,1))</f>
        <v>0</v>
      </c>
      <c r="HD724" s="674">
        <f>IF(N727="BAM",1,IF(AF726="",0,1))</f>
        <v>0</v>
      </c>
      <c r="HE724" s="674">
        <f>IF(N727="BAM",1,IF(AG726="",0,1))</f>
        <v>0</v>
      </c>
      <c r="HF724" s="674">
        <f>IF(N727="BAM",1,IF(__Retrofit_TI_NC&gt;0,1,IF(AG727="",0,1)))</f>
        <v>0</v>
      </c>
      <c r="HG724" s="391"/>
      <c r="IA724" s="391"/>
      <c r="IB724" s="1693" t="b">
        <f>IF(OR(IB727=0,IB727=HY$16,IB727=HX$16,IB727=HZ$16),TRUE,FALSE)</f>
        <v>0</v>
      </c>
      <c r="IC724" s="1694" t="b">
        <f>IB724</f>
        <v>0</v>
      </c>
      <c r="ID724" s="391"/>
      <c r="IE724" s="391"/>
      <c r="IF724" s="1688" t="b">
        <f ca="1">IF(MAX(GN727:HU727)&gt;5,FALSE,TRUE)</f>
        <v>0</v>
      </c>
      <c r="IG724" s="1689">
        <f ca="1">IF(IF724=TRUE,AC724,0)</f>
        <v>0</v>
      </c>
      <c r="IH724" s="1689">
        <f ca="1">IG724-IG726</f>
        <v>0</v>
      </c>
      <c r="IK724" s="1689" t="e">
        <f>ROUND(T725*VLOOKUP(U725,Fixtures_Existing_List,2,FALSE)*N725*R725/1000,0)</f>
        <v>#N/A</v>
      </c>
      <c r="IL724" s="1690" t="e">
        <f>IK724-IK726</f>
        <v>#N/A</v>
      </c>
      <c r="IM724" s="1693" t="e">
        <f>ROUND(IF(CQ724="Interior",N726*R726*R725*N725*_C406_reduction/1000,N726*R726*R725*N725/1000),0)</f>
        <v>#N/A</v>
      </c>
      <c r="IN724" s="1693" t="e">
        <f>IM724-IM726</f>
        <v>#N/A</v>
      </c>
      <c r="IP724" s="1679"/>
      <c r="IQ724" s="1679" t="e">
        <f t="shared" ref="IQ724:IU724" si="666">IF($CR724="interior",VLOOKUP($CS724,_New_Control_Savings_Interior,IQ$30,FALSE),VLOOKUP($CS724,Control_Savings_Exterior,IQ$30,FALSE))</f>
        <v>#N/A</v>
      </c>
      <c r="IR724" s="1679" t="e">
        <f t="shared" si="666"/>
        <v>#N/A</v>
      </c>
      <c r="IS724" s="1679" t="e">
        <f t="shared" si="666"/>
        <v>#N/A</v>
      </c>
      <c r="IT724" s="1679" t="e">
        <f t="shared" si="666"/>
        <v>#N/A</v>
      </c>
      <c r="IU724" s="1679" t="e">
        <f t="shared" si="666"/>
        <v>#N/A</v>
      </c>
      <c r="IV724" s="1679" t="e">
        <f>IF($CR724="interior",IF(R725&gt;$IP$14,ROUND(($IV$18*($IP$14/R725)),2),$IV$18),VLOOKUP($CS724,Control_Savings_Exterior,IV$30,FALSE))</f>
        <v>#N/A</v>
      </c>
      <c r="IW724" s="1679" t="e">
        <f>IF($CR724="interior",ROUND(((1-IS724)*IV724)+IS724,2),VLOOKUP($CS724,Control_Savings_Exterior,IW$30,FALSE))</f>
        <v>#N/A</v>
      </c>
      <c r="IX724" s="1679" t="e">
        <f>IF($CR724="interior",ROUND(((1-IT724)*IV724)+IT724,2),VLOOKUP($CS724,Control_Savings_Exterior,IX$30,FALSE))</f>
        <v>#N/A</v>
      </c>
      <c r="IY724" s="1679" t="e">
        <f>IF($CR724="interior",IF(R725&gt;$IP$14,ROUND(($IY$18*($IP$14/R725)),2),$IY$18),VLOOKUP($CS724,Control_Savings_Exterior,IY$30,FALSE))</f>
        <v>#N/A</v>
      </c>
      <c r="IZ724" s="1679" t="e">
        <f>IF($CR724="interior",ROUND(((1-IS724)*IY724)+IS724,2),VLOOKUP($CS724,Control_Savings_Exterior,IZ$30,FALSE))</f>
        <v>#N/A</v>
      </c>
      <c r="JA724" s="1679" t="e">
        <f>IF($CR724="interior",ROUND(((1-IT724)*IY724)+IT724,2),VLOOKUP($CS724,Control_Savings_Exterior,JA$30,FALSE))</f>
        <v>#N/A</v>
      </c>
      <c r="JC724" s="1680">
        <f>IFERROR(IF(CR724="Interior",CONCATENATE(G727," ",FQ724),FQ724),"")</f>
        <v>0</v>
      </c>
      <c r="JD724" s="1670" t="str">
        <f>IFERROR(VLOOKUP(JC724,_Controls_2023,2,FALSE),"")</f>
        <v/>
      </c>
      <c r="JE724" s="1681">
        <f>IFERROR(CHOOSE(JD724-1,IQ724,IR724,IS724,IT724,IU724,IV724,IW724,IX724,IY724,IZ724,JA724),0)</f>
        <v>0</v>
      </c>
      <c r="JG724" s="1680" t="str">
        <f>FE724</f>
        <v xml:space="preserve"> - 0</v>
      </c>
      <c r="JH724" s="1670" t="e">
        <f>$FO724</f>
        <v>#N/A</v>
      </c>
      <c r="JI724" s="1060"/>
      <c r="JJ724" s="1682" t="b">
        <f>IF($JG726=CONCATENATE("Interior - ",JJ$4),TRUE,FALSE)</f>
        <v>0</v>
      </c>
      <c r="JK724" s="1061"/>
      <c r="JL724" s="1682" t="b">
        <f>IF($JG726=CONCATENATE("Interior - ",JL$4),TRUE,FALSE)</f>
        <v>0</v>
      </c>
      <c r="JM724" s="1061"/>
      <c r="JN724" s="1682" t="b">
        <f>IF($JG726=CONCATENATE("Interior - ",JN$4),TRUE,FALSE)</f>
        <v>0</v>
      </c>
      <c r="JO724" s="1061"/>
      <c r="JP724" s="1682" t="b">
        <f>IF(__Retrofit_TI_NC&gt;0,FALSE,IF($JG726=CONCATENATE("Interior - ",JP$4),TRUE,FALSE))</f>
        <v>0</v>
      </c>
      <c r="JQ724" s="1061"/>
      <c r="JR724" s="1682" t="b">
        <f>IF(__Retrofit_TI_NC&gt;0,FALSE,IF($JG726=CONCATENATE("Interior - ",JR$4),TRUE,FALSE))</f>
        <v>0</v>
      </c>
      <c r="JS724" s="1061"/>
      <c r="JT724" s="1670" t="b">
        <f>IF(__Retrofit_TI_NC&gt;0,FALSE,IF($JG726=CONCATENATE("Interior - ",JT$4),TRUE,FALSE))</f>
        <v>0</v>
      </c>
      <c r="JU724" s="1061"/>
      <c r="JV724" s="1670" t="b">
        <f>IF(JC726="AELC on Existing",TRUE,FALSE)</f>
        <v>0</v>
      </c>
      <c r="JX724" s="1670" t="b">
        <f>IF(OR(JG726="Exterior - AELC Occupancy based",JG726="Exterior - AELC Time based"),TRUE,FALSE)</f>
        <v>0</v>
      </c>
      <c r="JZ724" s="1682" t="b">
        <f>IF($JG726=CONCATENATE("Exterior - ",JZ$4),TRUE,FALSE)</f>
        <v>0</v>
      </c>
      <c r="KB724" s="1670" t="b">
        <f>IF(__Retrofit_TI_NC&gt;0,FALSE,IF($JG726=CONCATENATE("Interior - ",KB$4),TRUE,FALSE))</f>
        <v>0</v>
      </c>
    </row>
    <row r="725" spans="1:288" s="78" customFormat="1" ht="14.95" customHeight="1" thickTop="1" thickBot="1">
      <c r="B725" s="1845"/>
      <c r="C725" s="1846"/>
      <c r="D725" s="1847"/>
      <c r="E725" s="1737" t="s">
        <v>297</v>
      </c>
      <c r="F725" s="1738"/>
      <c r="G725" s="1739"/>
      <c r="H725" s="1739"/>
      <c r="I725" s="1739"/>
      <c r="J725" s="1739"/>
      <c r="K725" s="1739"/>
      <c r="L725" s="1739"/>
      <c r="M725" s="461" t="e">
        <f>IF(__Retrofit_TI_NC&lt;&gt;0,IF(VLOOKUP(G726,'Space Table'!$B$3:$L$163,3,FALSE)&gt;0,1,0),IF(__Retrofit_TI_NC=VLOOKUP(G726,'Space Table'!$B$3:$L$163,3,FALSE),1,0))</f>
        <v>#N/A</v>
      </c>
      <c r="N725" s="461" t="str">
        <f>IFERROR(VLOOKUP(G725,_Lookup_Heat_Type_Table_New,2,FALSE),"")</f>
        <v/>
      </c>
      <c r="O725" s="461">
        <f>IF(__Retrofit_TI_NC=1,CONCATENATE("TI ",G725),IF(__Retrofit_TI_NC=2,CONCATENATE("NC ",G725),G725))</f>
        <v>0</v>
      </c>
      <c r="P725" s="1740" t="s">
        <v>435</v>
      </c>
      <c r="Q725" s="1740"/>
      <c r="R725" s="595"/>
      <c r="S725" s="1792"/>
      <c r="T725" s="597"/>
      <c r="U725" s="1765"/>
      <c r="V725" s="1766"/>
      <c r="W725" s="1766"/>
      <c r="X725" s="1766"/>
      <c r="Y725" s="1766"/>
      <c r="Z725" s="1766"/>
      <c r="AA725" s="1766"/>
      <c r="AB725" s="1766"/>
      <c r="AC725" s="1766"/>
      <c r="AD725" s="1767"/>
      <c r="AE725" s="1000"/>
      <c r="AF725" s="597"/>
      <c r="AG725" s="1723"/>
      <c r="AH725" s="1724"/>
      <c r="AI725" s="1724"/>
      <c r="AJ725" s="1724"/>
      <c r="AK725" s="1725"/>
      <c r="AL725" s="996"/>
      <c r="AM725" s="1747"/>
      <c r="AN725" s="1775"/>
      <c r="AO725" s="1777"/>
      <c r="AP725" s="1780"/>
      <c r="AQ725" s="1781"/>
      <c r="AR725" s="1795"/>
      <c r="AS725" s="1795"/>
      <c r="AT725" s="1796"/>
      <c r="AU725" s="1735"/>
      <c r="AV725" s="1752"/>
      <c r="AW725" s="1705"/>
      <c r="AX725" s="467"/>
      <c r="AY725" s="1749"/>
      <c r="AZ725" s="1749"/>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696"/>
      <c r="CQ725" s="1696"/>
      <c r="CR725" s="1809"/>
      <c r="CS725" s="1811"/>
      <c r="CU725" s="1688"/>
      <c r="CV725" s="1703"/>
      <c r="CW725" s="1703"/>
      <c r="CX725" s="1703"/>
      <c r="CY725" s="1815"/>
      <c r="CZ725" s="1711"/>
      <c r="DA725" s="1818"/>
      <c r="DB725" s="1820"/>
      <c r="DC725" s="1820"/>
      <c r="DD725" s="1820"/>
      <c r="DF725" s="1703"/>
      <c r="DG725" s="1831"/>
      <c r="DH725" s="1703"/>
      <c r="DI725" s="1838"/>
      <c r="DJ725" s="1711"/>
      <c r="DK725" s="1712"/>
      <c r="DM725" s="1718"/>
      <c r="DO725" s="1708"/>
      <c r="DQ725" s="1715"/>
      <c r="DR725" s="1720"/>
      <c r="DS725" s="1816"/>
      <c r="DT725" s="1714"/>
      <c r="DU725" s="1715"/>
      <c r="DV725" s="1716"/>
      <c r="DX725" s="1715"/>
      <c r="DY725" s="1720"/>
      <c r="DZ725" s="1715"/>
      <c r="EA725" s="1715"/>
      <c r="EC725" s="1834"/>
      <c r="ED725" s="1834"/>
      <c r="EF725" s="1707"/>
      <c r="EG725" s="1712"/>
      <c r="EH725" s="1818"/>
      <c r="EI725" s="1712"/>
      <c r="EJ725" s="1712"/>
      <c r="EK725" s="1836"/>
      <c r="EL725" s="1836"/>
      <c r="EM725" s="1807"/>
      <c r="EN725" s="1839"/>
      <c r="EO725" s="1839"/>
      <c r="EP725" s="1817"/>
      <c r="EQ725" s="1817"/>
      <c r="ER725" s="1807"/>
      <c r="ES725" s="1807"/>
      <c r="ET725" s="1807"/>
      <c r="EV725" s="1715"/>
      <c r="EX725" s="1805"/>
      <c r="EY725" s="1805"/>
      <c r="EZ725" s="1805"/>
      <c r="FA725" s="1805"/>
      <c r="FB725" s="1805"/>
      <c r="FC725" s="1827"/>
      <c r="FE725" s="1698"/>
      <c r="FG725" s="1816"/>
      <c r="FH725" s="1816"/>
      <c r="FI725" s="133"/>
      <c r="FL725" s="1823"/>
      <c r="FM725" s="1825"/>
      <c r="FN725" s="1698"/>
      <c r="FO725" s="1698"/>
      <c r="FP725" s="1678"/>
      <c r="FQ725" s="1678"/>
      <c r="FS725" s="1687"/>
      <c r="FT725" s="1687"/>
      <c r="FU725" s="1685"/>
      <c r="FV725" s="1687"/>
      <c r="FW725" s="1687"/>
      <c r="FX725" s="1687"/>
      <c r="FY725" s="1697"/>
      <c r="GA725" s="1696"/>
      <c r="GB725" s="1696"/>
      <c r="GC725" s="1696"/>
      <c r="GD725" s="1696"/>
      <c r="GE725" s="1696"/>
      <c r="GF725" s="1696"/>
      <c r="GG725" s="1696"/>
      <c r="GH725" s="1696"/>
      <c r="GI725" s="673"/>
      <c r="GJ725" s="1135"/>
      <c r="GK725" s="1832"/>
      <c r="GM725" s="1693" t="b">
        <f ca="1">IF(AND(GP725=TRUE,GQ725=TRUE),TRUE,FALSE)</f>
        <v>0</v>
      </c>
      <c r="GN725" s="1684" t="b">
        <f>IFERROR(IF(__Retrofit_TI_NC=2,TRUE,IF(AU724="Yes",TRUE,FALSE)),FALSE)</f>
        <v>1</v>
      </c>
      <c r="GP725" s="1684" t="b">
        <f>IFERROR(IF(GP724=1,TRUE,FALSE),FALSE)</f>
        <v>0</v>
      </c>
      <c r="GQ725" s="1684" t="b">
        <f ca="1">IFERROR(IF(GQ724=GQ$14,TRUE,FALSE),FALSE)</f>
        <v>0</v>
      </c>
      <c r="HG725" s="1684" t="b">
        <f>IFERROR(IF(AND(__Retrofit_TI_NC&gt;0,CQ724="Interior"),FALSE,TRUE),FALSE)</f>
        <v>1</v>
      </c>
      <c r="HH725" s="1684" t="b">
        <f>IFERROR(IF(M725=1,TRUE,FALSE),FALSE)</f>
        <v>0</v>
      </c>
      <c r="HI725" s="1684" t="b">
        <f>IFERROR(IF(OR(M726=1,N727="BAM"),TRUE,FALSE),FALSE)</f>
        <v>0</v>
      </c>
      <c r="HJ725" s="1684" t="b">
        <f>IFERROR(IF(__Retrofit_TI_NC&lt;&gt;0,TRUE,IFERROR(IF(VLOOKUP(U725,Fixtures_Existing_List,2,FALSE)&lt;&gt;"",TRUE,FALSE),FALSE)),FALSE)</f>
        <v>0</v>
      </c>
      <c r="HK725" s="1684" t="b">
        <f>IFERROR(IF(VLOOKUP(U726,Fixtures_Proposed_List,2,FALSE)&lt;&gt;"",TRUE,FALSE),FALSE)</f>
        <v>0</v>
      </c>
      <c r="HL725" s="1684" t="b">
        <f>IF(AND(__Retrofit_TI_NC=2,FC724=TRUE),FALSE,TRUE)</f>
        <v>1</v>
      </c>
      <c r="HM725" s="1684" t="b">
        <f>GK724</f>
        <v>1</v>
      </c>
      <c r="HN725" s="1682" t="b">
        <f>IF(ISERROR(MATCH(FE724,_Control_Match[],0))=TRUE,FALSE,TRUE)</f>
        <v>0</v>
      </c>
      <c r="HO725" s="1693" t="b">
        <f>IFERROR(IF(EX724&lt;&gt;EY724,FALSE,TRUE),FALSE)</f>
        <v>1</v>
      </c>
      <c r="HP725" s="1693" t="b">
        <f>IFERROR(IF(EX726&lt;&gt;EY726,FALSE,TRUE),FALSE)</f>
        <v>1</v>
      </c>
      <c r="HQ725" s="1670" t="b">
        <f>IFERROR(IF(CQ724="Exterior",TRUE,IF(AND(OR(FM726=0,FM726=3),JD726&gt;6),FALSE,TRUE)),FALSE)</f>
        <v>0</v>
      </c>
      <c r="HR725" s="1684" t="b">
        <f>IFERROR(IF(AND(FO726=7,FC724=TRUE),FALSE,TRUE),FALSE)</f>
        <v>0</v>
      </c>
      <c r="HS725" s="1684" t="b">
        <f>IFERROR(IF(AND(T726&lt;&gt;AF726,OR(AG726="Interior LLLC", AG726="Interior NLC", AG726="LLLC (outside Daylight)",AG726="LLLC Controls Only"))=TRUE,FALSE,TRUE),FALSE)</f>
        <v>1</v>
      </c>
      <c r="HT725" s="1670" t="b">
        <f>IFERROR(IF(OR(AG726=Lookup!BB$17,AG726=Lookup!BB$18,AG726=Lookup!BB$19)=TRUE,IF(AF726&gt;T726,FALSE,TRUE),TRUE),FALSE)</f>
        <v>1</v>
      </c>
      <c r="HU725" s="1684" t="b">
        <f>IFERROR(IF(__Retrofit_TI_NC=2,IF(EZ726&lt;EZ724,FALSE,TRUE),TRUE),FALSE)</f>
        <v>1</v>
      </c>
      <c r="HV725" s="1684" t="b">
        <f>IF(CQ724="Interior",IL$6,TRUE)</f>
        <v>1</v>
      </c>
      <c r="HW725" s="1684" t="b">
        <f>IF(CQ724="Exterior",IL$8,TRUE)</f>
        <v>1</v>
      </c>
      <c r="HX725" s="1684" t="b">
        <f>IFERROR(IF(__Retrofit_TI_NC&lt;&gt;0,IF(AZ724&lt;AY724,FALSE,TRUE),TRUE),FALSE)</f>
        <v>1</v>
      </c>
      <c r="HY725" s="1684" t="b">
        <f>IFERROR(IF(AND(G725="Exterior",R725&gt;4200),FALSE,TRUE),FALSE)</f>
        <v>1</v>
      </c>
      <c r="HZ725" s="1684" t="b">
        <f>IFERROR(IF(AB727/AB724&lt;HZ$18,FALSE,TRUE),FALSE)</f>
        <v>0</v>
      </c>
      <c r="IB725" s="1691"/>
      <c r="IC725" s="1695"/>
      <c r="ID725" s="1694" t="str">
        <f>VLOOKUP(IB727,_Error_Table,4,FALSE)</f>
        <v>White</v>
      </c>
      <c r="IE725" s="391"/>
      <c r="IF725" s="1688"/>
      <c r="IG725" s="1689"/>
      <c r="IH725" s="1684"/>
      <c r="IK725" s="1689"/>
      <c r="IL725" s="1691"/>
      <c r="IM725" s="1691"/>
      <c r="IN725" s="1691"/>
      <c r="IP725" s="1679"/>
      <c r="IQ725" s="1679"/>
      <c r="IR725" s="1679"/>
      <c r="IS725" s="1679"/>
      <c r="IT725" s="1679"/>
      <c r="IU725" s="1679"/>
      <c r="IV725" s="1679"/>
      <c r="IW725" s="1679"/>
      <c r="IX725" s="1679"/>
      <c r="IY725" s="1679"/>
      <c r="IZ725" s="1679"/>
      <c r="JA725" s="1679"/>
      <c r="JC725" s="1680"/>
      <c r="JD725" s="1670"/>
      <c r="JE725" s="1681"/>
      <c r="JG725" s="1680"/>
      <c r="JH725" s="1670"/>
      <c r="JI725" s="1060"/>
      <c r="JJ725" s="1683"/>
      <c r="JK725" s="1061"/>
      <c r="JL725" s="1683"/>
      <c r="JM725" s="1061"/>
      <c r="JN725" s="1683"/>
      <c r="JO725" s="1061"/>
      <c r="JP725" s="1683"/>
      <c r="JQ725" s="1061"/>
      <c r="JR725" s="1683"/>
      <c r="JS725" s="1061"/>
      <c r="JT725" s="1670"/>
      <c r="JU725" s="1061"/>
      <c r="JV725" s="1670"/>
      <c r="JX725" s="1670"/>
      <c r="JZ725" s="1683"/>
      <c r="KB725" s="1670"/>
    </row>
    <row r="726" spans="1:288" s="78" customFormat="1" ht="14.95" customHeight="1" thickTop="1" thickBot="1">
      <c r="A726" s="78">
        <f>ROW()</f>
        <v>726</v>
      </c>
      <c r="B726" s="1845"/>
      <c r="C726" s="1846"/>
      <c r="D726" s="1847"/>
      <c r="E726" s="1737" t="s">
        <v>298</v>
      </c>
      <c r="F726" s="1738"/>
      <c r="G726" s="1760"/>
      <c r="H726" s="1761"/>
      <c r="I726" s="1761"/>
      <c r="J726" s="1761"/>
      <c r="K726" s="1761"/>
      <c r="L726" s="1762"/>
      <c r="M726" s="461">
        <f>IFERROR(IF(IF(__Retrofit_TI_NC&lt;&gt;0,IF(CQ724="Interior",MATCH(G726,Lookup_Interior_New,0),MATCH(G726,Lookup_Exterior_New,0)),IF(CQ724="Interior",MATCH(G726,Lookup_Interior,0),MATCH(G726,Lookup_Exterior_Areas,0)))&gt;0,1,0),0)</f>
        <v>0</v>
      </c>
      <c r="N726" s="461" t="e">
        <f>IF(__Retrofit_TI_NC=1,
VLOOKUP(G726,'Space Table'!$B$3:$L$163,4,FALSE),
IF(__Retrofit_TI_NC=2,VLOOKUP(G726,'Space Table'!$B$3:$L$163,5,FALSE),VLOOKUP(G726,'Space Table'!$B$3:$L$163,5,FALSE)))</f>
        <v>#N/A</v>
      </c>
      <c r="O726" s="461">
        <f>G726</f>
        <v>0</v>
      </c>
      <c r="P726" s="1738" t="str">
        <f>IFERROR(IF(__Retrofit_TI_NC=1,VLOOKUP(G726,'Space Table'!$B$3:$O$163,13,FALSE),IF(__Retrofit_TI_NC=2,VLOOKUP(G726,'Space Table'!$B$3:$O$163,14,FALSE),"Area (sf):")),"Area (sf):")</f>
        <v>Area (sf):</v>
      </c>
      <c r="Q726" s="1738"/>
      <c r="R726" s="596"/>
      <c r="S726" s="1763" t="s">
        <v>345</v>
      </c>
      <c r="T726" s="594"/>
      <c r="U726" s="1801"/>
      <c r="V726" s="1802"/>
      <c r="W726" s="1802"/>
      <c r="X726" s="1802"/>
      <c r="Y726" s="1802"/>
      <c r="Z726" s="1802"/>
      <c r="AA726" s="1802"/>
      <c r="AB726" s="1802"/>
      <c r="AC726" s="1802"/>
      <c r="AD726" s="1802"/>
      <c r="AE726" s="1803"/>
      <c r="AF726" s="594"/>
      <c r="AG726" s="1787"/>
      <c r="AH726" s="1787"/>
      <c r="AI726" s="1787"/>
      <c r="AJ726" s="1787"/>
      <c r="AK726" s="1787"/>
      <c r="AL726" s="1787"/>
      <c r="AM726" s="1726">
        <f>IFERROR(DI726,"")</f>
        <v>0</v>
      </c>
      <c r="AN726" s="1728" t="str">
        <f>IFERROR(ROUND(AM726*AC727,0),"")</f>
        <v/>
      </c>
      <c r="AO726" s="1730">
        <f>IFERROR(IF(IB724=FALSE,0,AC727-AN726),0)</f>
        <v>0</v>
      </c>
      <c r="AP726" s="1780"/>
      <c r="AQ726" s="1781"/>
      <c r="AR726" s="1795"/>
      <c r="AS726" s="1795"/>
      <c r="AT726" s="1796"/>
      <c r="AU726" s="1735"/>
      <c r="AV726" s="1752"/>
      <c r="AW726" s="1705"/>
      <c r="AX726" s="467"/>
      <c r="AY726" s="1749"/>
      <c r="AZ726" s="1749"/>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696"/>
      <c r="CQ726" s="1696"/>
      <c r="CR726" s="1808" t="str">
        <f>CQ724</f>
        <v/>
      </c>
      <c r="CS726" s="1810" t="str">
        <f>CS724</f>
        <v/>
      </c>
      <c r="CU726" s="1688" t="s">
        <v>345</v>
      </c>
      <c r="CV726" s="1702">
        <f>IF(IB724=TRUE,T726,0)</f>
        <v>0</v>
      </c>
      <c r="CW726" s="1702" t="str">
        <f>IF(IB724=TRUE,U726,"")</f>
        <v/>
      </c>
      <c r="CX726" s="1812">
        <f>IF(IB724=TRUE,U727,0)</f>
        <v>0</v>
      </c>
      <c r="CY726" s="1814">
        <f>IF(IB724=TRUE,AB727,0)</f>
        <v>0</v>
      </c>
      <c r="CZ726" s="1710">
        <f>IF(AND(__Retrofit_TI_NC&gt;0,CR724="interior"),0,IF(IB724=TRUE,AC727,0))</f>
        <v>0</v>
      </c>
      <c r="DA726" s="1818"/>
      <c r="DB726" s="1820"/>
      <c r="DC726" s="1820"/>
      <c r="DD726" s="1820"/>
      <c r="DF726" s="1702">
        <f>IF(IB724=TRUE,AF726,0)</f>
        <v>0</v>
      </c>
      <c r="DG726" s="1830" t="str">
        <f>IF(IB724=TRUE,AG726,"")</f>
        <v/>
      </c>
      <c r="DH726" s="1812">
        <f>AG727</f>
        <v>0</v>
      </c>
      <c r="DI726" s="1837">
        <f>JE726</f>
        <v>0</v>
      </c>
      <c r="DJ726" s="1710">
        <f>IF(AND(__Retrofit_TI_NC&gt;0,CR724="interior"),0,IF(IB724=TRUE,AN726,0))</f>
        <v>0</v>
      </c>
      <c r="DK726" s="1712"/>
      <c r="DN726" s="1717">
        <f>IFERROR(CZ726-DJ726,0)</f>
        <v>0</v>
      </c>
      <c r="DO726" s="1709"/>
      <c r="DQ726" s="1715"/>
      <c r="DR726" s="1719" t="str">
        <f>DQ724</f>
        <v/>
      </c>
      <c r="DS726" s="1816"/>
      <c r="DT726" s="1835" t="str">
        <f>IF(OR(DS724=7,DS724=8,DS724=9),"ALC","")</f>
        <v/>
      </c>
      <c r="DU726" s="1715"/>
      <c r="DV726" s="1716"/>
      <c r="DX726" s="1715"/>
      <c r="DY726" s="1829" t="str">
        <f>DX724</f>
        <v/>
      </c>
      <c r="DZ726" s="1715"/>
      <c r="EA726" s="1715"/>
      <c r="EC726" s="1834"/>
      <c r="ED726" s="1834"/>
      <c r="EF726" s="1707"/>
      <c r="EG726" s="1712"/>
      <c r="EH726" s="1818"/>
      <c r="EI726" s="1712"/>
      <c r="EJ726" s="1712"/>
      <c r="EK726" s="1836"/>
      <c r="EL726" s="1836"/>
      <c r="EM726" s="1807"/>
      <c r="EN726" s="1839"/>
      <c r="EO726" s="1839"/>
      <c r="EP726" s="1817"/>
      <c r="EQ726" s="1817"/>
      <c r="ER726" s="1807"/>
      <c r="ES726" s="1807"/>
      <c r="ET726" s="1807"/>
      <c r="EV726" s="1715"/>
      <c r="EX726" s="1805" t="str">
        <f>IFERROR(VLOOKUP(CS726,'Space Table'!$B$3:$L$163,8,FALSE),"")</f>
        <v/>
      </c>
      <c r="EY726" s="1805" t="str">
        <f>IFERROR(IF(FB726="Yes",VLOOKUP(AG726,Lookup_Control_Type_Table2,4,FALSE),VLOOKUP(AG726,Lookup_Control_Type_Table2,3,FALSE)),"")</f>
        <v/>
      </c>
      <c r="EZ726" s="1805" t="e">
        <f>VLOOKUP(AG726,Lookup!BB$3:BC$20,2,FALSE)</f>
        <v>#N/A</v>
      </c>
      <c r="FA726" s="1805" t="e">
        <f>VLOOKUP(EX724,Lookup_Control_Type_Table,2,FALSE)</f>
        <v>#N/A</v>
      </c>
      <c r="FB726" s="1805" t="e">
        <f>VLOOKUP(CS726,'Space Table'!$B$3:$L$163,7,FALSE)</f>
        <v>#N/A</v>
      </c>
      <c r="FC726" s="1827"/>
      <c r="FE726" s="1698" t="str">
        <f>CONCATENATE(CQ724," - ",AG726)</f>
        <v xml:space="preserve"> - </v>
      </c>
      <c r="FG726" s="1816"/>
      <c r="FH726" s="1816"/>
      <c r="FI726" s="133"/>
      <c r="FL726" s="1822" t="str">
        <f>IF(CQ724="Exterior","Not Daylighted",G727)</f>
        <v>Not Daylighted</v>
      </c>
      <c r="FM726" s="1824">
        <f>VLOOKUP(FL726,_New_Daylight_Table_Codes,2,FALSE)</f>
        <v>0</v>
      </c>
      <c r="FN726" s="1698">
        <f>AG726</f>
        <v>0</v>
      </c>
      <c r="FO726" s="1698" t="e">
        <f>VLOOKUP(FN726,_Control_Table,2,FALSE)</f>
        <v>#N/A</v>
      </c>
      <c r="FP726" s="1678" t="e">
        <f>VLOOKUP(CONCATENATE(FL726," ",FN726),Lookup!AY$102:AZ737,2,FALSE)</f>
        <v>#N/A</v>
      </c>
      <c r="FQ726" s="1698">
        <f>IF(__Retrofit_TI_NC=0,FN726,IF(AND(FT726&gt;0,FN726="Occupancy Sensor"),"Daylight + Occupancy",IF(AND(FT726&gt;0,FO726&lt;4),"Interior Daylight Dimming",FN726)))</f>
        <v>0</v>
      </c>
      <c r="FS726" s="1686">
        <f>IF(CQ724="Interior",VLOOKUP(CS724,Control_Savings_Interior,5,FALSE),0)</f>
        <v>0</v>
      </c>
      <c r="FT726" s="1687">
        <f>IF(CQ726="Exterior",0,IF(FM726=2,0.5,IF(OR(FM726=1,FM726=3),1,0)))</f>
        <v>0</v>
      </c>
      <c r="FU726" s="1685">
        <f>IF(R725&gt;FS$44,(FS726*(FS$44/R725)),FS726)*FT726</f>
        <v>0</v>
      </c>
      <c r="FV726" s="1686">
        <f>DI726</f>
        <v>0</v>
      </c>
      <c r="FW726" s="1686">
        <f>ROUND(FV726+((1-FV726)*FU726),2)</f>
        <v>0</v>
      </c>
      <c r="FX726" s="1686">
        <f>IF(__Retrofit_TI_NC=2,FW726,FV726)</f>
        <v>0</v>
      </c>
      <c r="FY726" s="1697">
        <f>IF(CR726="Interior",VLOOKUP(CS726,Control_Savings_Interior,4,FALSE),0)</f>
        <v>0</v>
      </c>
      <c r="GA726" s="1696"/>
      <c r="GB726" s="1696"/>
      <c r="GC726" s="1696"/>
      <c r="GD726" s="1696"/>
      <c r="GE726" s="1696"/>
      <c r="GF726" s="1696"/>
      <c r="GG726" s="1696"/>
      <c r="GH726" s="1696"/>
      <c r="GI726" s="673" t="b">
        <f>IF(ISNUMBER(SEARCH("TLED",U726)),TRUE,FALSE)</f>
        <v>0</v>
      </c>
      <c r="GJ726" s="1135" t="str">
        <f>IFERROR(VLOOKUP(U726,Fixtures!DM$93:DR$142,6,FALSE),"")</f>
        <v/>
      </c>
      <c r="GK726" s="1832"/>
      <c r="GM726" s="1692"/>
      <c r="GN726" s="1684"/>
      <c r="GP726" s="1684"/>
      <c r="GQ726" s="1684"/>
      <c r="HG726" s="1684"/>
      <c r="HH726" s="1684"/>
      <c r="HI726" s="1684"/>
      <c r="HJ726" s="1684"/>
      <c r="HK726" s="1684"/>
      <c r="HL726" s="1684"/>
      <c r="HM726" s="1684"/>
      <c r="HN726" s="1683"/>
      <c r="HO726" s="1692"/>
      <c r="HP726" s="1692"/>
      <c r="HQ726" s="1670"/>
      <c r="HR726" s="1684"/>
      <c r="HS726" s="1684"/>
      <c r="HT726" s="1670"/>
      <c r="HU726" s="1684"/>
      <c r="HV726" s="1684"/>
      <c r="HW726" s="1684"/>
      <c r="HX726" s="1684"/>
      <c r="HY726" s="1684"/>
      <c r="HZ726" s="1684"/>
      <c r="IB726" s="1692"/>
      <c r="IC726" s="1693" t="b">
        <f>IB724</f>
        <v>0</v>
      </c>
      <c r="ID726" s="1695"/>
      <c r="IE726" s="391"/>
      <c r="IF726" s="1688"/>
      <c r="IG726" s="1689">
        <f ca="1">IF(IF724=TRUE,AC727,0)</f>
        <v>0</v>
      </c>
      <c r="IH726" s="1684"/>
      <c r="IK726" s="1689" t="e">
        <f>ROUND(T726*AB727*N725*R725/1000,0)</f>
        <v>#VALUE!</v>
      </c>
      <c r="IL726" s="1691"/>
      <c r="IM726" s="1693" t="e">
        <f>ROUND(T726*AB727*N725*R725/1000,0)</f>
        <v>#VALUE!</v>
      </c>
      <c r="IN726" s="1691"/>
      <c r="IP726" s="1679"/>
      <c r="IQ726" s="1679" t="e">
        <f t="shared" ref="IQ726:IU726" si="667">IF($CR726="interior",VLOOKUP($CS726,_New_Control_Savings_Interior,IQ$30,FALSE),VLOOKUP($CS726,Control_Savings_Exterior,IQ$30,FALSE))</f>
        <v>#N/A</v>
      </c>
      <c r="IR726" s="1679" t="e">
        <f t="shared" si="667"/>
        <v>#N/A</v>
      </c>
      <c r="IS726" s="1679" t="e">
        <f t="shared" si="667"/>
        <v>#N/A</v>
      </c>
      <c r="IT726" s="1679" t="e">
        <f t="shared" si="667"/>
        <v>#N/A</v>
      </c>
      <c r="IU726" s="1679" t="e">
        <f t="shared" si="667"/>
        <v>#N/A</v>
      </c>
      <c r="IV726" s="1679" t="e">
        <f>IF($CR726="interior",IF(R725&gt;$IP$14,ROUND(($IV$18*($IP$14/R725)),2),$IV$18),VLOOKUP($CS726,Control_Savings_Exterior,IV$30,FALSE))</f>
        <v>#N/A</v>
      </c>
      <c r="IW726" s="1679" t="e">
        <f>IF($CR726="interior",ROUND(((1-IS726)*IV726)+IS726,2),VLOOKUP($CS726,Control_Savings_Exterior,IW$30,FALSE))</f>
        <v>#N/A</v>
      </c>
      <c r="IX726" s="1679" t="e">
        <f>IF($CR726="interior",ROUND(((1-IT726)*IV726)+IT726,2),VLOOKUP($CS726,Control_Savings_Exterior,IX$30,FALSE))</f>
        <v>#N/A</v>
      </c>
      <c r="IY726" s="1679" t="e">
        <f>IF($CR726="interior",IF(R725&gt;$IP$14,ROUND(($IY$18*($IP$14/R725)),2),$IY$18),VLOOKUP($CS726,Control_Savings_Exterior,IY$30,FALSE))</f>
        <v>#N/A</v>
      </c>
      <c r="IZ726" s="1679" t="e">
        <f>IF($CR726="interior",ROUND(((1-IS726)*IY726)+IS726,2),VLOOKUP($CS726,Control_Savings_Exterior,IZ$30,FALSE))</f>
        <v>#N/A</v>
      </c>
      <c r="JA726" s="1679" t="e">
        <f>IF($CR726="interior",ROUND(((1-IT726)*IY726)+IT726,2),VLOOKUP($CS726,Control_Savings_Exterior,JA$30,FALSE))</f>
        <v>#N/A</v>
      </c>
      <c r="JC726" s="1680">
        <f>IFERROR(IF(CR726="Interior",CONCATENATE(G727," ",FQ726),AG726),"")</f>
        <v>0</v>
      </c>
      <c r="JD726" s="1670" t="str">
        <f>IFERROR(VLOOKUP(JC726,_Controls_2023,2,FALSE),"")</f>
        <v/>
      </c>
      <c r="JE726" s="1681">
        <f>IFERROR(CHOOSE(JD726-1,IQ726,IR726,IS726,IT726,IU726,IV726,IW726,IX726,IY726,IZ726,JA726),0)</f>
        <v>0</v>
      </c>
      <c r="JG726" s="1680" t="str">
        <f>FE726</f>
        <v xml:space="preserve"> - </v>
      </c>
      <c r="JH726" s="1670" t="e">
        <f>$FO726</f>
        <v>#N/A</v>
      </c>
      <c r="JI726" s="1060"/>
      <c r="JJ726" s="1670">
        <f>IFERROR(IF($IB724=TRUE,IF(OR(JJ$14="No",JJ724=FALSE,JH726&lt;=JH724,AND(_kWh_Grant=0,GD724=FALSE)),0,IF(JJ$8="Per Line",1,$AF726)),0),0)</f>
        <v>0</v>
      </c>
      <c r="JK726" s="1061"/>
      <c r="JL726" s="1670">
        <f>IFERROR(IF(_kWh_Grant=0,0,IF($IB724=TRUE,IF(OR(JL$14="No",JL724=FALSE,JH726&lt;=JH724),0,IF(JL$8="Per Line",1,$T726)),0)),0)</f>
        <v>0</v>
      </c>
      <c r="JM726" s="1061"/>
      <c r="JN726" s="1670">
        <f>IFERROR(IF(_kWh_Grant=0,0,IF($IB724=TRUE,IF(OR(JN$14="No",JN724=FALSE,JH726&lt;=JH724),0,IF(JN$8="Per Line",1,$AF726)),0)),0)</f>
        <v>0</v>
      </c>
      <c r="JO726" s="1061"/>
      <c r="JP726" s="1670">
        <f>IFERROR(IF(__Retrofit_TI_NC=0,IF(_kWh_Grant=0,0,IF($IB724=TRUE,IF(OR(JP$14="No",JP724=FALSE,$JH726&lt;=$JH724),0,IF(JP$8="Per Line",1,$AF726)),0)),IF($IB724=TRUE,IF(OR(JP$14="No",JP724=FALSE,$JH726&lt;=$JH724),0,IF(JP$8="Per Line",1,$AF726)))),0)</f>
        <v>0</v>
      </c>
      <c r="JQ726" s="1061"/>
      <c r="JR726" s="1670">
        <f>IFERROR(IF(__Retrofit_TI_NC=0,IF(_kWh_Grant=0,0,IF($IB724=TRUE,IF(OR(JR$14="No",JR724=FALSE,$JH726&lt;=$JH724),0,IF(JR$8="Per Line",1,$AF726)),0)),IF($IB724=TRUE,IF(OR(JR$14="No",JR724=FALSE,$JH726&lt;=$JH724),0,IF(JR$8="Per Line",1,$AF726)))),0)</f>
        <v>0</v>
      </c>
      <c r="JS726" s="1061"/>
      <c r="JT726" s="1670">
        <f>IFERROR(IF(__Retrofit_TI_NC=0,IF(_kWh_Grant=0,0,IF($IB724=TRUE,IF(OR(JT$14="No",JT724=FALSE,$JH726&lt;=$JH724),0,IF(JT$8="Per Line",1,$AF726)),0)),IF($IB724=TRUE,IF(OR(JT$14="No",JT724=FALSE,$JH726&lt;=$JH724),0,IF(JT$8="Per Line",1,$AF726)))),0)</f>
        <v>0</v>
      </c>
      <c r="JU726" s="1061"/>
      <c r="JV726" s="1670">
        <f>IFERROR(IF(__Retrofit_TI_NC=0,IF(_kWh_Grant=0,0,IF($IB724=TRUE,IF(OR(JV$14="No",JV724=FALSE,$JH726&lt;=$JH724),0,IF(JV$8="Per Line",1,$AF726)),0)),IF($IB724=TRUE,IF(OR(JV$14="No",JV724=FALSE,$JH726&lt;=$JH724),0,IF(JV$8="Per Line",1,$AF726)))),0)</f>
        <v>0</v>
      </c>
      <c r="JX726" s="1670">
        <f>IFERROR(IF(__Retrofit_TI_NC=0,IF(_kWh_Grant=0,0,IF($IB724=TRUE,IF(OR(JX$14="No",JX724=FALSE,$JH726&lt;=$JH724),0,IF(JX$8="Per Line",1,$AF726)),0)),IF($IB724=TRUE,IF(OR(JX$14="No",JX724=FALSE,$JH726&lt;=$JH724),0,IF(JX$8="Per Line",1,$AF726)))),0)</f>
        <v>0</v>
      </c>
      <c r="JZ726" s="1670">
        <f>IFERROR(IF($IB724=TRUE,IF(OR(JZ$14="No",JZ724=FALSE,$JH726&lt;=$JH724,AND(_kWh_Grant=0,$GD724=FALSE)),0,IF(JZ$8="Per Line",1,$AF726)),0),0)</f>
        <v>0</v>
      </c>
      <c r="KB726" s="1670">
        <f>IFERROR(IF(__Retrofit_TI_NC=0,IF(_kWh_Grant=0,0,IF($IB724=TRUE,IF(OR(KB$14="No",KB724=FALSE,$JH726&lt;=$JH724),0,IF(KB$8="Per Line",1,$AF726)),0)),IF($IB724=TRUE,IF(OR(KB$14="No",KB724=FALSE,$JH726&lt;=$JH724),0,IF(KB$8="Per Line",1,$AF726)))),0)</f>
        <v>0</v>
      </c>
    </row>
    <row r="727" spans="1:288" s="78" customFormat="1" ht="14.95" customHeight="1" thickTop="1" thickBot="1">
      <c r="B727" s="1845"/>
      <c r="C727" s="1846"/>
      <c r="D727" s="1847"/>
      <c r="E727" s="1771" t="s">
        <v>436</v>
      </c>
      <c r="F727" s="1772"/>
      <c r="G727" s="1784" t="s">
        <v>437</v>
      </c>
      <c r="H727" s="1785"/>
      <c r="I727" s="1785"/>
      <c r="J727" s="1785"/>
      <c r="K727" s="1785"/>
      <c r="L727" s="1786"/>
      <c r="M727" s="591">
        <f>IFERROR(VLOOKUP(G727,_Daylight_Table[],2,FALSE),0)</f>
        <v>0</v>
      </c>
      <c r="N727" s="592" t="str">
        <f>IF(AND(__Retrofit_TI_NC&gt;0,CQ724="Interior"),"BAM","")</f>
        <v/>
      </c>
      <c r="O727" s="591" t="e">
        <f>VLOOKUP(G726,'Space Table'!$B$3:$L$163,11,FALSE)</f>
        <v>#N/A</v>
      </c>
      <c r="P727" s="1789"/>
      <c r="Q727" s="1790"/>
      <c r="R727" s="1790"/>
      <c r="S727" s="1788"/>
      <c r="T727" s="593" t="s">
        <v>342</v>
      </c>
      <c r="U727" s="1756" t="str" cm="1">
        <f t="array" aca="1" ref="U727" ca="1">IFERROR(VLOOKUP(INDIRECT("U" &amp; ROW()-1),Fixtures!DM$93:DP$142,4,FALSE),"")</f>
        <v/>
      </c>
      <c r="V727" s="1757"/>
      <c r="W727" s="1757"/>
      <c r="X727" s="1757"/>
      <c r="Y727" s="1757"/>
      <c r="Z727" s="1757"/>
      <c r="AA727" s="1758"/>
      <c r="AB727" s="939" t="str">
        <f>IFERROR(VLOOKUP(U726,Fixtures_Proposed_List,2,FALSE),"")</f>
        <v/>
      </c>
      <c r="AC727" s="933" t="str">
        <f>IFERROR(ROUND(T726*AB727*N725*R725/1000,0),"")</f>
        <v/>
      </c>
      <c r="AD727" s="934" t="str">
        <f>IFERROR(ROUND(T726*AB727/1000,2),"")</f>
        <v/>
      </c>
      <c r="AE727" s="998"/>
      <c r="AF727" s="938" t="s">
        <v>342</v>
      </c>
      <c r="AG727" s="1770"/>
      <c r="AH727" s="1770"/>
      <c r="AI727" s="1770"/>
      <c r="AJ727" s="1770"/>
      <c r="AK727" s="1770"/>
      <c r="AL727" s="1770"/>
      <c r="AM727" s="1727"/>
      <c r="AN727" s="1729"/>
      <c r="AO727" s="1731"/>
      <c r="AP727" s="1782"/>
      <c r="AQ727" s="1783"/>
      <c r="AR727" s="1797"/>
      <c r="AS727" s="1797"/>
      <c r="AT727" s="1798"/>
      <c r="AU727" s="1736"/>
      <c r="AV727" s="1753"/>
      <c r="AW727" s="1706"/>
      <c r="AX727" s="468"/>
      <c r="AY727" s="1750"/>
      <c r="AZ727" s="1750"/>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696"/>
      <c r="CQ727" s="1696"/>
      <c r="CR727" s="1809"/>
      <c r="CS727" s="1811"/>
      <c r="CU727" s="1688"/>
      <c r="CV727" s="1703"/>
      <c r="CW727" s="1703"/>
      <c r="CX727" s="1813"/>
      <c r="CY727" s="1815"/>
      <c r="CZ727" s="1711"/>
      <c r="DA727" s="1815"/>
      <c r="DB727" s="1821"/>
      <c r="DC727" s="1821"/>
      <c r="DD727" s="1821"/>
      <c r="DF727" s="1703"/>
      <c r="DG727" s="1831"/>
      <c r="DH727" s="1813"/>
      <c r="DI727" s="1838"/>
      <c r="DJ727" s="1711"/>
      <c r="DK727" s="1712"/>
      <c r="DN727" s="1718"/>
      <c r="DO727" s="1709"/>
      <c r="DQ727" s="1715"/>
      <c r="DR727" s="1720"/>
      <c r="DS727" s="1703"/>
      <c r="DT727" s="1714"/>
      <c r="DU727" s="1715"/>
      <c r="DV727" s="1716"/>
      <c r="DX727" s="1715"/>
      <c r="DY727" s="1720"/>
      <c r="DZ727" s="1715"/>
      <c r="EA727" s="1715"/>
      <c r="EC727" s="1834"/>
      <c r="ED727" s="1834"/>
      <c r="EF727" s="1707"/>
      <c r="EG727" s="1712"/>
      <c r="EH727" s="1815"/>
      <c r="EI727" s="1712"/>
      <c r="EJ727" s="1712"/>
      <c r="EK727" s="1813"/>
      <c r="EL727" s="1813"/>
      <c r="EM727" s="1807"/>
      <c r="EN727" s="1839"/>
      <c r="EO727" s="1839"/>
      <c r="EP727" s="1817"/>
      <c r="EQ727" s="1817"/>
      <c r="ER727" s="1807"/>
      <c r="ES727" s="1807"/>
      <c r="ET727" s="1807"/>
      <c r="EV727" s="1715"/>
      <c r="EX727" s="1806"/>
      <c r="EY727" s="1806"/>
      <c r="EZ727" s="1806"/>
      <c r="FA727" s="1806"/>
      <c r="FB727" s="1806"/>
      <c r="FC727" s="1828"/>
      <c r="FE727" s="1698"/>
      <c r="FG727" s="1703"/>
      <c r="FH727" s="1703"/>
      <c r="FI727" s="133"/>
      <c r="FL727" s="1823"/>
      <c r="FM727" s="1825"/>
      <c r="FN727" s="1698"/>
      <c r="FO727" s="1698"/>
      <c r="FP727" s="1678"/>
      <c r="FQ727" s="1698"/>
      <c r="FS727" s="1687"/>
      <c r="FT727" s="1687"/>
      <c r="FU727" s="1685"/>
      <c r="FV727" s="1687"/>
      <c r="FW727" s="1687"/>
      <c r="FX727" s="1687"/>
      <c r="FY727" s="1697"/>
      <c r="GA727" s="1696"/>
      <c r="GB727" s="1696"/>
      <c r="GC727" s="1696"/>
      <c r="GD727" s="1696"/>
      <c r="GE727" s="1696"/>
      <c r="GF727" s="1696"/>
      <c r="GG727" s="1696"/>
      <c r="GH727" s="1696"/>
      <c r="GI727" s="673"/>
      <c r="GJ727" s="1135"/>
      <c r="GK727" s="1832"/>
      <c r="GN727" s="674">
        <f>IF(GN725=TRUE,0,GN$16)</f>
        <v>0</v>
      </c>
      <c r="GP727" s="674">
        <f>IF(GP725=TRUE,0,GP$16)</f>
        <v>36</v>
      </c>
      <c r="GQ727" s="674">
        <f ca="1">IF(GQ725=TRUE,0,GQ$16)</f>
        <v>35</v>
      </c>
      <c r="GR727" s="391"/>
      <c r="GS727" s="391"/>
      <c r="GT727" s="391"/>
      <c r="GU727" s="391"/>
      <c r="GV727" s="391"/>
      <c r="HG727" s="674">
        <f>IF(HG725=TRUE,0,HG$16)</f>
        <v>0</v>
      </c>
      <c r="HH727" s="674">
        <f t="shared" ref="HH727:HM727" si="668">IF(HH725=TRUE,0,HH$16)</f>
        <v>19</v>
      </c>
      <c r="HI727" s="674">
        <f t="shared" si="668"/>
        <v>18</v>
      </c>
      <c r="HJ727" s="674">
        <f t="shared" si="668"/>
        <v>17</v>
      </c>
      <c r="HK727" s="674">
        <f t="shared" si="668"/>
        <v>16</v>
      </c>
      <c r="HL727" s="674">
        <f t="shared" si="668"/>
        <v>0</v>
      </c>
      <c r="HM727" s="674">
        <f t="shared" si="668"/>
        <v>0</v>
      </c>
      <c r="HN727" s="674">
        <f>IF(HN725=TRUE,0,HN$16)</f>
        <v>13</v>
      </c>
      <c r="HO727" s="674">
        <f t="shared" ref="HO727:HQ727" si="669">IF(HO725=TRUE,0,HO$16)</f>
        <v>0</v>
      </c>
      <c r="HP727" s="674">
        <f t="shared" si="669"/>
        <v>0</v>
      </c>
      <c r="HQ727" s="674">
        <f t="shared" si="669"/>
        <v>10</v>
      </c>
      <c r="HR727" s="674">
        <f>IF(HR725=TRUE,0,HR$16)</f>
        <v>9</v>
      </c>
      <c r="HS727" s="674">
        <f t="shared" ref="HS727:HW727" si="670">IF(HS725=TRUE,0,HS$16)</f>
        <v>0</v>
      </c>
      <c r="HT727" s="674">
        <f t="shared" si="670"/>
        <v>0</v>
      </c>
      <c r="HU727" s="674">
        <f t="shared" si="670"/>
        <v>0</v>
      </c>
      <c r="HV727" s="674">
        <f t="shared" si="670"/>
        <v>0</v>
      </c>
      <c r="HW727" s="674">
        <f t="shared" si="670"/>
        <v>0</v>
      </c>
      <c r="HX727" s="674">
        <f>IF(HX725=TRUE,0,HX$16)</f>
        <v>0</v>
      </c>
      <c r="HY727" s="674">
        <f>IF(HY725=TRUE,0,HY$16)</f>
        <v>0</v>
      </c>
      <c r="HZ727" s="674">
        <f>IF(HZ725=TRUE,0,HZ$16)</f>
        <v>1</v>
      </c>
      <c r="IB727" s="674">
        <f>IF(GP725=FALSE,GP727,IF(GQ725=FALSE,GQ727,MAX(GN727:HZ727)))</f>
        <v>36</v>
      </c>
      <c r="IC727" s="1692"/>
      <c r="ID727" s="205" t="str">
        <f>VLOOKUP(IB727,_Error_Table,3,FALSE)</f>
        <v xml:space="preserve"> </v>
      </c>
      <c r="IE727" s="205"/>
      <c r="IF727" s="1688"/>
      <c r="IG727" s="1689"/>
      <c r="IH727" s="1684"/>
      <c r="IK727" s="1689"/>
      <c r="IL727" s="1692"/>
      <c r="IM727" s="1692"/>
      <c r="IN727" s="1692"/>
      <c r="IP727" s="1679"/>
      <c r="IQ727" s="1679"/>
      <c r="IR727" s="1679"/>
      <c r="IS727" s="1679"/>
      <c r="IT727" s="1679"/>
      <c r="IU727" s="1679"/>
      <c r="IV727" s="1679"/>
      <c r="IW727" s="1679"/>
      <c r="IX727" s="1679"/>
      <c r="IY727" s="1679"/>
      <c r="IZ727" s="1679"/>
      <c r="JA727" s="1679"/>
      <c r="JC727" s="1680"/>
      <c r="JD727" s="1670"/>
      <c r="JE727" s="1681"/>
      <c r="JG727" s="1680"/>
      <c r="JH727" s="1670"/>
      <c r="JI727" s="1060"/>
      <c r="JJ727" s="1670"/>
      <c r="JK727" s="1061"/>
      <c r="JL727" s="1670"/>
      <c r="JM727" s="1061"/>
      <c r="JN727" s="1670"/>
      <c r="JO727" s="1061"/>
      <c r="JP727" s="1670"/>
      <c r="JQ727" s="1061"/>
      <c r="JR727" s="1670"/>
      <c r="JS727" s="1061"/>
      <c r="JT727" s="1670"/>
      <c r="JU727" s="1061"/>
      <c r="JV727" s="1670"/>
      <c r="JX727" s="1670"/>
      <c r="JZ727" s="1670"/>
      <c r="KB727" s="1670"/>
    </row>
    <row r="728" spans="1:288" s="78" customFormat="1" ht="5.0999999999999996" customHeight="1">
      <c r="B728" s="676"/>
      <c r="C728" s="392"/>
      <c r="D728" s="392"/>
      <c r="E728" s="1733"/>
      <c r="F728" s="1733"/>
      <c r="G728" s="1733"/>
      <c r="H728" s="1733"/>
      <c r="I728" s="1733"/>
      <c r="J728" s="1733"/>
      <c r="K728" s="1733"/>
      <c r="L728" s="1733"/>
      <c r="M728" s="1733"/>
      <c r="N728" s="1733"/>
      <c r="O728" s="1733"/>
      <c r="P728" s="1733"/>
      <c r="Q728" s="1733"/>
      <c r="R728" s="1733"/>
      <c r="S728" s="1733"/>
      <c r="T728" s="1733"/>
      <c r="U728" s="1733"/>
      <c r="V728" s="1733"/>
      <c r="W728" s="1733"/>
      <c r="X728" s="1733"/>
      <c r="Y728" s="1733"/>
      <c r="Z728" s="1733"/>
      <c r="AA728" s="1733"/>
      <c r="AB728" s="1733"/>
      <c r="AC728" s="1733"/>
      <c r="AD728" s="1733"/>
      <c r="AE728" s="1733"/>
      <c r="AF728" s="1733"/>
      <c r="AG728" s="1733"/>
      <c r="AH728" s="1733"/>
      <c r="AI728" s="1733"/>
      <c r="AJ728" s="1733"/>
      <c r="AK728" s="1733"/>
      <c r="AL728" s="1733"/>
      <c r="AM728" s="1733"/>
      <c r="AN728" s="1733"/>
      <c r="AO728" s="1733"/>
      <c r="AP728" s="1733"/>
      <c r="AQ728" s="1733"/>
      <c r="AR728" s="1733"/>
      <c r="AS728" s="1733"/>
      <c r="AT728" s="1733"/>
      <c r="AU728" s="1733"/>
      <c r="AV728" s="1733"/>
      <c r="AW728" s="1733"/>
      <c r="AX728" s="469"/>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663"/>
      <c r="CQ728" s="663"/>
      <c r="CR728" s="438"/>
      <c r="CS728" s="663"/>
      <c r="CV728" s="391"/>
      <c r="CW728" s="391"/>
      <c r="CX728" s="207"/>
      <c r="CY728" s="208"/>
      <c r="CZ728" s="208"/>
      <c r="DA728" s="208"/>
      <c r="DB728" s="209"/>
      <c r="DC728" s="209"/>
      <c r="DD728" s="209"/>
      <c r="DF728" s="664"/>
      <c r="DG728" s="665"/>
      <c r="DH728" s="666"/>
      <c r="DI728" s="667"/>
      <c r="DJ728" s="668"/>
      <c r="DK728" s="668"/>
      <c r="DN728" s="208"/>
      <c r="DO728" s="664"/>
      <c r="DQ728" s="664"/>
      <c r="DR728" s="669"/>
      <c r="DS728" s="391"/>
      <c r="DT728" s="664"/>
      <c r="DU728" s="664"/>
      <c r="DV728" s="664"/>
      <c r="DX728" s="664"/>
      <c r="DY728" s="664"/>
      <c r="DZ728" s="664"/>
      <c r="EA728" s="664"/>
      <c r="EC728" s="670"/>
      <c r="ED728" s="670"/>
      <c r="EF728" s="668"/>
      <c r="EG728" s="668"/>
      <c r="EH728" s="208"/>
      <c r="EI728" s="668"/>
      <c r="EJ728" s="668"/>
      <c r="EK728" s="207"/>
      <c r="EL728" s="207"/>
      <c r="EM728" s="666"/>
      <c r="EN728" s="671"/>
      <c r="EO728" s="671"/>
      <c r="EP728" s="672"/>
      <c r="EQ728" s="672"/>
      <c r="ER728" s="666"/>
      <c r="ES728" s="666"/>
      <c r="ET728" s="666"/>
      <c r="EV728" s="664"/>
      <c r="EX728" s="391"/>
      <c r="EY728" s="391"/>
      <c r="EZ728" s="391"/>
      <c r="FA728" s="391"/>
      <c r="FB728" s="391"/>
      <c r="FC728" s="391"/>
      <c r="FE728" s="569"/>
      <c r="FG728" s="391"/>
      <c r="FH728" s="391"/>
      <c r="FI728" s="391"/>
      <c r="FS728" s="664"/>
      <c r="FT728" s="391"/>
      <c r="FU728" s="391"/>
      <c r="FV728" s="664"/>
      <c r="FW728" s="664"/>
      <c r="GA728" s="663"/>
      <c r="GB728" s="663"/>
      <c r="GC728" s="663"/>
      <c r="GD728" s="663"/>
      <c r="GE728" s="663"/>
      <c r="GF728" s="663"/>
      <c r="GG728" s="663"/>
      <c r="GH728" s="663"/>
      <c r="GI728" s="665"/>
      <c r="GJ728" s="664"/>
      <c r="GK728" s="664"/>
    </row>
    <row r="729" spans="1:288" s="78" customFormat="1" ht="14.95" customHeight="1">
      <c r="B729" s="1845" t="str">
        <f>ID732</f>
        <v xml:space="preserve"> </v>
      </c>
      <c r="C729" s="1846">
        <f>C724+1</f>
        <v>132</v>
      </c>
      <c r="D729" s="1847"/>
      <c r="E729" s="1799" t="s">
        <v>295</v>
      </c>
      <c r="F729" s="1800"/>
      <c r="G729" s="1741"/>
      <c r="H729" s="1742"/>
      <c r="I729" s="1742"/>
      <c r="J729" s="1742"/>
      <c r="K729" s="1742"/>
      <c r="L729" s="1742"/>
      <c r="M729" s="1742"/>
      <c r="N729" s="1742"/>
      <c r="O729" s="1742"/>
      <c r="P729" s="1742"/>
      <c r="Q729" s="1742"/>
      <c r="R729" s="1742"/>
      <c r="S729" s="1791" t="s">
        <v>344</v>
      </c>
      <c r="T729" s="590"/>
      <c r="U729" s="1743"/>
      <c r="V729" s="1744"/>
      <c r="W729" s="1744"/>
      <c r="X729" s="1744"/>
      <c r="Y729" s="1744"/>
      <c r="Z729" s="1744"/>
      <c r="AA729" s="1744"/>
      <c r="AB729" s="961" t="str">
        <f>IFERROR(IF(__Retrofit_TI_NC=0,VLOOKUP(U730,Fixtures_Existing_List,2,FALSE),ROUND(N731*R731/T731,10)),"")</f>
        <v/>
      </c>
      <c r="AC729" s="935" t="str">
        <f>IFERROR(IF(__Retrofit_TI_NC=0,ROUND(T730*AB729*N730*R730/1000,0),IF(CQ729="Interior",N731*R731*R730*N730*_C406_reduction/1000,N731*R731*R730*N730/1000)),"")</f>
        <v/>
      </c>
      <c r="AD729" s="936" t="str">
        <f>IFERROR(IF(C$43=0,ROUND(T730*AB729/1000,2),N731*R731/1000),"")</f>
        <v/>
      </c>
      <c r="AE729" s="997"/>
      <c r="AF729" s="937"/>
      <c r="AG729" s="1745" t="str">
        <f>IF(__Retrofit_TI_NC=0," Control","Select Advanced Control for New System")</f>
        <v xml:space="preserve"> Control</v>
      </c>
      <c r="AH729" s="1745"/>
      <c r="AI729" s="1745"/>
      <c r="AJ729" s="1745"/>
      <c r="AK729" s="1745"/>
      <c r="AL729" s="1745"/>
      <c r="AM729" s="1746">
        <f>IFERROR(DI729,"")</f>
        <v>0</v>
      </c>
      <c r="AN729" s="1774" t="str">
        <f>IFERROR(ROUND(AM729*AC729,0),"")</f>
        <v/>
      </c>
      <c r="AO729" s="1776">
        <f>IFERROR(IF(IB729=FALSE,0,AC729-AN729),0)</f>
        <v>0</v>
      </c>
      <c r="AP729" s="1778">
        <f>AO729-AO731</f>
        <v>0</v>
      </c>
      <c r="AQ729" s="1779"/>
      <c r="AR729" s="1793">
        <f>IFERROR(IF(IB729=FALSE,0,(T731*U732)+(AF731*AG732)),0)</f>
        <v>0</v>
      </c>
      <c r="AS729" s="1793"/>
      <c r="AT729" s="1794"/>
      <c r="AU729" s="1734" t="s">
        <v>237</v>
      </c>
      <c r="AV729" s="1751">
        <f>IF(AU729="Yes",1,0)</f>
        <v>1</v>
      </c>
      <c r="AW729" s="1704" t="str">
        <f>IF(OR(DQ729=4,DQ729=5,DQ729=6,DQ729=12),CONCATENATE("$",IF(GH729=TRUE,Lookup!$K$10,Lookup!$K$2)," /lamp"),CONCATENATE(TEXT(ED729,"$0.00"),"/ kWh"))</f>
        <v>$0.00/ kWh</v>
      </c>
      <c r="AX729" s="467"/>
      <c r="AY729" s="1748">
        <f ca="1">IFERROR(IF(GM730=TRUE,(AB732*T731)/R731,0),"NA")</f>
        <v>0</v>
      </c>
      <c r="AZ729" s="1748"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696" t="str">
        <f>N730</f>
        <v/>
      </c>
      <c r="CQ729" s="1696" t="str">
        <f>IFERROR(VLOOKUP(G730,_Lookup_Heat_Type_Table_New,3,FALSE),"")</f>
        <v/>
      </c>
      <c r="CR729" s="1808" t="str">
        <f>CQ729</f>
        <v/>
      </c>
      <c r="CS729" s="1810" t="str">
        <f>IFERROR(VLOOKUP(G731,'Space Table'!$B$3:$L$163,9,FALSE),"")</f>
        <v/>
      </c>
      <c r="CU729" s="1688" t="s">
        <v>344</v>
      </c>
      <c r="CV729" s="1702">
        <f>IF(IB729=TRUE,T730,0)</f>
        <v>0</v>
      </c>
      <c r="CW729" s="1702" t="str">
        <f>IF(IB729=TRUE,U730,"")</f>
        <v/>
      </c>
      <c r="CX729" s="1702"/>
      <c r="CY729" s="1814">
        <f>IF(IB729=TRUE,AB729,0)</f>
        <v>0</v>
      </c>
      <c r="CZ729" s="1710">
        <f>IF(AND(__Retrofit_TI_NC&gt;0,CR729="interior"),0,IF(IB729=TRUE,AC729,0))</f>
        <v>0</v>
      </c>
      <c r="DA729" s="1814">
        <f>IFERROR(IF(IB729=TRUE,CZ729-CZ731,0),0)</f>
        <v>0</v>
      </c>
      <c r="DB729" s="1819">
        <f>IF(IB729=TRUE,AD729,0)</f>
        <v>0</v>
      </c>
      <c r="DC729" s="1819">
        <f>IF(IB729=TRUE,AD732,0)</f>
        <v>0</v>
      </c>
      <c r="DD729" s="1819">
        <f>IFERROR(DB729-DC729,0)</f>
        <v>0</v>
      </c>
      <c r="DF729" s="1702">
        <f>IF(IB729=TRUE,AF730,0)</f>
        <v>0</v>
      </c>
      <c r="DG729" s="1830">
        <f>IFERROR(IF(__Retrofit_TI_NC=2,IF(CQ729="Exterior",O732,FQ729),FN729),"")</f>
        <v>0</v>
      </c>
      <c r="DH729" s="1702"/>
      <c r="DI729" s="1837">
        <f>JE729</f>
        <v>0</v>
      </c>
      <c r="DJ729" s="1710">
        <f>IF(AND(__Retrofit_TI_NC&gt;0,CR729="interior"),0,IF(IB729=TRUE,AN729,0))</f>
        <v>0</v>
      </c>
      <c r="DK729" s="1712">
        <f>IFERROR(IF(IB729=TRUE,DJ731-DJ729,0),0)</f>
        <v>0</v>
      </c>
      <c r="DM729" s="1717">
        <f>IFERROR(CZ729-DJ729,0)</f>
        <v>0</v>
      </c>
      <c r="DO729" s="1708">
        <f>DM729-DN731</f>
        <v>0</v>
      </c>
      <c r="DQ729" s="1715" t="str">
        <f>IFERROR(IF(AND(OR(GC729=4,GC729=5,GC729=6),OR(GF729=4,GF729=5,GF729=6)),GC729+8,VLOOKUP(CW731,Fixtures!R$31:Y$78,8,FALSE)),"")</f>
        <v/>
      </c>
      <c r="DR729" s="1829" t="str">
        <f>DQ729</f>
        <v/>
      </c>
      <c r="DS729" s="1702" t="str">
        <f>IFERROR(VLOOKUP(DG731,Lookup!BB$3:BC$20,2,FALSE),"")</f>
        <v/>
      </c>
      <c r="DT729" s="1713" t="str">
        <f>IF(OR(DS729=7,DS729=8,DS729=9),"ALC","")</f>
        <v/>
      </c>
      <c r="DU729" s="1715">
        <f>IFERROR(IF(OR(DQ729=4,DQ729=5,DQ729=6,DQ729=12,DQ729=13,DQ729=14),VLOOKUP(CW731,Fixtures!DN$27:EG$77,19,FALSE),1)*CV731,0)</f>
        <v>0</v>
      </c>
      <c r="DV729" s="1716">
        <f>IF(OR(DS729=7,DS729=8,DS729=9),IF(DG729=DG731,0,DF731),0)</f>
        <v>0</v>
      </c>
      <c r="DX729" s="1715" t="str">
        <f>IFERROR(IF(EZ729&lt;EZ731,"Yes","No"),"")</f>
        <v/>
      </c>
      <c r="DY729" s="1829" t="str">
        <f>DX729</f>
        <v/>
      </c>
      <c r="DZ729" s="1715">
        <f>IF(DX729="Yes",DF731,0)</f>
        <v>0</v>
      </c>
      <c r="EA729" s="1715">
        <f>DZ729-DV729</f>
        <v>0</v>
      </c>
      <c r="EC729" s="1834">
        <f>IFERROR(VLOOKUP(DQ729,Lookup!AU$3:AV$16,2,FALSE),0)</f>
        <v>0</v>
      </c>
      <c r="ED729" s="1834">
        <f>IF(IB729=FALSE,0,IF(DX729="Yes",EC729+Lookup!K$6,EC729))</f>
        <v>0</v>
      </c>
      <c r="EF729" s="1707">
        <f>IF(IB729=TRUE,DM729,0)</f>
        <v>0</v>
      </c>
      <c r="EG729" s="1712">
        <f>IF(IB729=TRUE,CZ731,0)</f>
        <v>0</v>
      </c>
      <c r="EH729" s="1814">
        <f>IFERROR(EF729-EG729,0)</f>
        <v>0</v>
      </c>
      <c r="EI729" s="1712">
        <f>IF(IB729=TRUE,DJ731,0)</f>
        <v>0</v>
      </c>
      <c r="EJ729" s="1712">
        <f>IFERROR(EF729-EG729+EI729,0)</f>
        <v>0</v>
      </c>
      <c r="EK729" s="1812">
        <f>IF(IB729=TRUE,CV731*CX731,0)</f>
        <v>0</v>
      </c>
      <c r="EL729" s="1812">
        <f>IF(IB729=TRUE,DF731*DH731,0)</f>
        <v>0</v>
      </c>
      <c r="EM729" s="1807">
        <f>AR729</f>
        <v>0</v>
      </c>
      <c r="EN729" s="1839" t="str">
        <f>IFERROR(IF(IB729=TRUE,VLOOKUP(DQ729,Lookup!AU$3:AW$16,3,FALSE)*DU729,""),0)</f>
        <v/>
      </c>
      <c r="EO729" s="1839">
        <f>IF(IB729=TRUE,DZ729*Lookup!AW$12,0)</f>
        <v>0</v>
      </c>
      <c r="EP729" s="1817">
        <f>IFERROR(IF(IB729=TRUE,EN729/EP$40,0),0)</f>
        <v>0</v>
      </c>
      <c r="EQ729" s="1817">
        <f>IF(IB729=TRUE,EO729/EQ$40,0)</f>
        <v>0</v>
      </c>
      <c r="ER729" s="1807">
        <f>IF(IB729=TRUE,ET$40*EP729,0)</f>
        <v>0</v>
      </c>
      <c r="ES729" s="1807">
        <f>IF(IB729=TRUE,ET$40*EQ729,0)</f>
        <v>0</v>
      </c>
      <c r="ET729" s="1807">
        <f>ER729+ES729</f>
        <v>0</v>
      </c>
      <c r="EV729" s="1715">
        <f>IF(G729="",0,1)</f>
        <v>0</v>
      </c>
      <c r="EX729" s="1804" t="str">
        <f>IFERROR(VLOOKUP(CS731,'Space Table'!$B$3:$L$163,8,FALSE),"")</f>
        <v/>
      </c>
      <c r="EY729" s="1804" t="str">
        <f>IFERROR(IF(FB729="Yes",VLOOKUP(DG729,Lookup_Control_Type_Table2,4,FALSE),VLOOKUP(DG729,Lookup_Control_Type_Table2,3,FALSE)),"")</f>
        <v/>
      </c>
      <c r="EZ729" s="1804" t="e">
        <f>VLOOKUP(DG729,Lookup!BB$3:BC$20,2,FALSE)</f>
        <v>#N/A</v>
      </c>
      <c r="FA729" s="1804" t="e">
        <f>VLOOKUP(EX729,Lookup_Control_Type_Table,2,FALSE)</f>
        <v>#N/A</v>
      </c>
      <c r="FB729" s="1804" t="e">
        <f>VLOOKUP(CS731,'Space Table'!$B$3:$L$163,7,FALSE)</f>
        <v>#N/A</v>
      </c>
      <c r="FC729" s="1826" t="b">
        <f>ISNUMBER(SEARCH("TLED",U731))</f>
        <v>0</v>
      </c>
      <c r="FE729" s="1698" t="str">
        <f>CONCATENATE(CQ729," - ",DG729)</f>
        <v xml:space="preserve"> - 0</v>
      </c>
      <c r="FG729" s="1702" t="str">
        <f>VLOOKUP(CW731,Fixtures!DN$27:EZ$77,38,FALSE)</f>
        <v/>
      </c>
      <c r="FH729" s="1702">
        <f>IFERROR(FG729*EH729,0)</f>
        <v>0</v>
      </c>
      <c r="FI729" s="133"/>
      <c r="FL729" s="1822" t="str">
        <f>IF(CQ729="Exterior","Not Daylighted",G732)</f>
        <v>Not Daylighted</v>
      </c>
      <c r="FM729" s="1824">
        <f>VLOOKUP(FL729,_New_Daylight_Table_Codes,2,FALSE)</f>
        <v>0</v>
      </c>
      <c r="FN729" s="1698">
        <f>IF(__Retrofit_TI_NC&gt;0,VLOOKUP(G731,'Space Table'!$B$3:$L$163,11,FALSE),AG730)</f>
        <v>0</v>
      </c>
      <c r="FO729" s="1698" t="e">
        <f>IF(__Retrofit_TI_NC=2,VLOOKUP(FQ729,_Control_Table,2,FALSE),VLOOKUP(FN729,_Control_Table,2,FALSE))</f>
        <v>#N/A</v>
      </c>
      <c r="FP729" s="1678" t="e">
        <f>VLOOKUP(CONCATENATE(FL729," ",FN729),Lookup!AY$102:AZ739,2,FALSE)</f>
        <v>#N/A</v>
      </c>
      <c r="FQ729" s="1678">
        <f>IF(__Retrofit_TI_NC=0,FN729,IF(AND(FT729&gt;0,FN729="Occupancy Sensor"),"Daylight + Occupancy",IF(AND(FT729&gt;0,VLOOKUP(FN729,_Control_Table,2,FALSE)&lt;4),"Interior Daylight Dimming",FN729)))</f>
        <v>0</v>
      </c>
      <c r="FS729" s="1686">
        <f>IF(CR729="Interior",VLOOKUP(CS729,Control_Savings_Interior,5,FALSE),0)</f>
        <v>0</v>
      </c>
      <c r="FT729" s="1687">
        <f>IF(CQ729="Exterior",0,IF(FM729=2,0.5,IF(OR(FM729=1,FM729=3),1,0)))</f>
        <v>0</v>
      </c>
      <c r="FU729" s="1685">
        <f>IF(R728&gt;FS$44,(FS729*(FS$44/R728)),FS729)*FT729</f>
        <v>0</v>
      </c>
      <c r="FV729" s="1686">
        <f>DI729</f>
        <v>0</v>
      </c>
      <c r="FW729" s="1686">
        <f>ROUND(FV729+((1-FV729)*FU729),2)</f>
        <v>0</v>
      </c>
      <c r="FX729" s="1686">
        <f>IF(__Retrofit_TI_NC=2,FW729,FV729)</f>
        <v>0</v>
      </c>
      <c r="FY729" s="1697"/>
      <c r="GA729" s="1696" t="str">
        <f>IFERROR(VLOOKUP(U730,_Exist_Fixture_Table,3,FALSE),"")</f>
        <v/>
      </c>
      <c r="GB729" s="1696" t="str">
        <f>VLOOKUP(CW729,_Exist_Fixture_Table,4,FALSE)</f>
        <v/>
      </c>
      <c r="GC729" s="1696">
        <f>IFERROR(VLOOKUP(GB729,Lookup!AT$6:AU$8,2,FALSE),0)</f>
        <v>0</v>
      </c>
      <c r="GD729" s="1696" t="b">
        <f>IFERROR(IF(OR(GF729=4,GF729=5,GF729=6),TRUE,FALSE),"")</f>
        <v>0</v>
      </c>
      <c r="GE729" s="1696" t="str">
        <f>IFERROR(VLOOKUP(GF729,GC$6:GD$10,2,FALSE),"")</f>
        <v/>
      </c>
      <c r="GF729" s="1696" t="str">
        <f>VLOOKUP(CW731,Fixtures!R$31:Y$78,8,FALSE)</f>
        <v/>
      </c>
      <c r="GG729" s="1696">
        <f>IF(AND(GA729=TRUE,GD729=TRUE,OR(DQ729=12,DQ729=13,DQ729=14)),GC729+8,0)</f>
        <v>0</v>
      </c>
      <c r="GH729" s="1696" t="b">
        <f>IF(OR(GG729=12,GG729=13,GG729=14),TRUE,FALSE)</f>
        <v>0</v>
      </c>
      <c r="GI729" s="673" t="b">
        <f>IF(ISNUMBER(SEARCH("TLED",U730)),TRUE,FALSE)</f>
        <v>0</v>
      </c>
      <c r="GJ729" s="1135" t="str">
        <f>IFERROR(VLOOKUP(U730,Fixtures!BM$93:BR$142,6,FALSE),"")</f>
        <v/>
      </c>
      <c r="GK729" s="1832" t="b">
        <f>IF(OR(GI729=FALSE,GI731=FALSE),TRUE,IF(GJ729-GJ731&lt;5,FALSE,TRUE))</f>
        <v>1</v>
      </c>
      <c r="GO729" s="674">
        <f>GP729</f>
        <v>0</v>
      </c>
      <c r="GP729" s="674">
        <f>IF(G729="",0,1)</f>
        <v>0</v>
      </c>
      <c r="GQ729" s="674">
        <f ca="1">SUM(GR729:HF729)</f>
        <v>2</v>
      </c>
      <c r="GR729" s="674">
        <f>IF(G730="",0,1)</f>
        <v>0</v>
      </c>
      <c r="GS729" s="674">
        <f>IF(N732="BAM",1,IF(G731="",0,1))</f>
        <v>0</v>
      </c>
      <c r="GT729" s="674">
        <f>IF(N732="BAM",1,IF(R730="",0,1))</f>
        <v>0</v>
      </c>
      <c r="GU729" s="674">
        <f>IF(N732="BAM",1,IF(__Retrofit_TI_NC=0,1,IF(R731="",0,1)))</f>
        <v>1</v>
      </c>
      <c r="GV729" s="674">
        <f>IF(N732="BAM",1,IF(CQ729="Exterior",1,IF(G732="",0,1)))</f>
        <v>1</v>
      </c>
      <c r="GW729" s="674">
        <f>IF(__Retrofit_TI_NC&gt;0,1,IF(T730="",0,1))</f>
        <v>0</v>
      </c>
      <c r="GX729" s="674">
        <f>IF(__Retrofit_TI_NC&gt;0,1,IF(U730="",0,1))</f>
        <v>0</v>
      </c>
      <c r="GY729" s="674">
        <f>IF(N732="BAM",1,IF(T731="",0,1))</f>
        <v>0</v>
      </c>
      <c r="GZ729" s="674">
        <f>IF(N732="BAM",1,IF(U731="",0,1))</f>
        <v>0</v>
      </c>
      <c r="HA729" s="674">
        <f ca="1">IF(N732="BAM",1,IF(__Retrofit_TI_NC&gt;0,1,IF(U732="",0,1)))</f>
        <v>0</v>
      </c>
      <c r="HB729" s="674">
        <f>IF(__Retrofit_TI_NC&lt;&gt;0,1,IF(AF730="",0,1))</f>
        <v>0</v>
      </c>
      <c r="HC729" s="674">
        <f>IF(__Retrofit_TI_NC&lt;&gt;0,1,IF(AG730="",0,1))</f>
        <v>0</v>
      </c>
      <c r="HD729" s="674">
        <f>IF(N732="BAM",1,IF(AF731="",0,1))</f>
        <v>0</v>
      </c>
      <c r="HE729" s="674">
        <f>IF(N732="BAM",1,IF(AG731="",0,1))</f>
        <v>0</v>
      </c>
      <c r="HF729" s="674">
        <f>IF(N732="BAM",1,IF(__Retrofit_TI_NC&gt;0,1,IF(AG732="",0,1)))</f>
        <v>0</v>
      </c>
      <c r="HG729" s="391"/>
      <c r="IA729" s="391"/>
      <c r="IB729" s="1693" t="b">
        <f>IF(OR(IB732=0,IB732=HY$16,IB732=HX$16,IB732=HZ$16),TRUE,FALSE)</f>
        <v>0</v>
      </c>
      <c r="IC729" s="1694" t="b">
        <f>IB729</f>
        <v>0</v>
      </c>
      <c r="ID729" s="391"/>
      <c r="IE729" s="391"/>
      <c r="IF729" s="1688" t="b">
        <f ca="1">IF(MAX(GN732:HU732)&gt;5,FALSE,TRUE)</f>
        <v>0</v>
      </c>
      <c r="IG729" s="1689">
        <f ca="1">IF(IF729=TRUE,AC729,0)</f>
        <v>0</v>
      </c>
      <c r="IH729" s="1689">
        <f ca="1">IG729-IG731</f>
        <v>0</v>
      </c>
      <c r="IK729" s="1689" t="e">
        <f>ROUND(T730*VLOOKUP(U730,Fixtures_Existing_List,2,FALSE)*N730*R730/1000,0)</f>
        <v>#N/A</v>
      </c>
      <c r="IL729" s="1690" t="e">
        <f>IK729-IK731</f>
        <v>#N/A</v>
      </c>
      <c r="IM729" s="1693" t="e">
        <f>ROUND(IF(CQ729="Interior",N731*R731*R730*N730*_C406_reduction/1000,N731*R731*R730*N730/1000),0)</f>
        <v>#N/A</v>
      </c>
      <c r="IN729" s="1693" t="e">
        <f>IM729-IM731</f>
        <v>#N/A</v>
      </c>
      <c r="IP729" s="1679"/>
      <c r="IQ729" s="1679" t="e">
        <f t="shared" ref="IQ729:IU729" si="671">IF($CR729="interior",VLOOKUP($CS729,_New_Control_Savings_Interior,IQ$30,FALSE),VLOOKUP($CS729,Control_Savings_Exterior,IQ$30,FALSE))</f>
        <v>#N/A</v>
      </c>
      <c r="IR729" s="1679" t="e">
        <f t="shared" si="671"/>
        <v>#N/A</v>
      </c>
      <c r="IS729" s="1679" t="e">
        <f t="shared" si="671"/>
        <v>#N/A</v>
      </c>
      <c r="IT729" s="1679" t="e">
        <f t="shared" si="671"/>
        <v>#N/A</v>
      </c>
      <c r="IU729" s="1679" t="e">
        <f t="shared" si="671"/>
        <v>#N/A</v>
      </c>
      <c r="IV729" s="1679" t="e">
        <f>IF($CR729="interior",IF(R730&gt;$IP$14,ROUND(($IV$18*($IP$14/R730)),2),$IV$18),VLOOKUP($CS729,Control_Savings_Exterior,IV$30,FALSE))</f>
        <v>#N/A</v>
      </c>
      <c r="IW729" s="1679" t="e">
        <f>IF($CR729="interior",ROUND(((1-IS729)*IV729)+IS729,2),VLOOKUP($CS729,Control_Savings_Exterior,IW$30,FALSE))</f>
        <v>#N/A</v>
      </c>
      <c r="IX729" s="1679" t="e">
        <f>IF($CR729="interior",ROUND(((1-IT729)*IV729)+IT729,2),VLOOKUP($CS729,Control_Savings_Exterior,IX$30,FALSE))</f>
        <v>#N/A</v>
      </c>
      <c r="IY729" s="1679" t="e">
        <f>IF($CR729="interior",IF(R730&gt;$IP$14,ROUND(($IY$18*($IP$14/R730)),2),$IY$18),VLOOKUP($CS729,Control_Savings_Exterior,IY$30,FALSE))</f>
        <v>#N/A</v>
      </c>
      <c r="IZ729" s="1679" t="e">
        <f>IF($CR729="interior",ROUND(((1-IS729)*IY729)+IS729,2),VLOOKUP($CS729,Control_Savings_Exterior,IZ$30,FALSE))</f>
        <v>#N/A</v>
      </c>
      <c r="JA729" s="1679" t="e">
        <f>IF($CR729="interior",ROUND(((1-IT729)*IY729)+IT729,2),VLOOKUP($CS729,Control_Savings_Exterior,JA$30,FALSE))</f>
        <v>#N/A</v>
      </c>
      <c r="JC729" s="1680">
        <f>IFERROR(IF(CR729="Interior",CONCATENATE(G732," ",FQ729),FQ729),"")</f>
        <v>0</v>
      </c>
      <c r="JD729" s="1670" t="str">
        <f>IFERROR(VLOOKUP(JC729,_Controls_2023,2,FALSE),"")</f>
        <v/>
      </c>
      <c r="JE729" s="1681">
        <f>IFERROR(CHOOSE(JD729-1,IQ729,IR729,IS729,IT729,IU729,IV729,IW729,IX729,IY729,IZ729,JA729),0)</f>
        <v>0</v>
      </c>
      <c r="JG729" s="1680" t="str">
        <f>FE729</f>
        <v xml:space="preserve"> - 0</v>
      </c>
      <c r="JH729" s="1670" t="e">
        <f>$FO729</f>
        <v>#N/A</v>
      </c>
      <c r="JI729" s="1060"/>
      <c r="JJ729" s="1682" t="b">
        <f>IF($JG731=CONCATENATE("Interior - ",JJ$4),TRUE,FALSE)</f>
        <v>0</v>
      </c>
      <c r="JK729" s="1061"/>
      <c r="JL729" s="1682" t="b">
        <f>IF($JG731=CONCATENATE("Interior - ",JL$4),TRUE,FALSE)</f>
        <v>0</v>
      </c>
      <c r="JM729" s="1061"/>
      <c r="JN729" s="1682" t="b">
        <f>IF($JG731=CONCATENATE("Interior - ",JN$4),TRUE,FALSE)</f>
        <v>0</v>
      </c>
      <c r="JO729" s="1061"/>
      <c r="JP729" s="1682" t="b">
        <f>IF(__Retrofit_TI_NC&gt;0,FALSE,IF($JG731=CONCATENATE("Interior - ",JP$4),TRUE,FALSE))</f>
        <v>0</v>
      </c>
      <c r="JQ729" s="1061"/>
      <c r="JR729" s="1682" t="b">
        <f>IF(__Retrofit_TI_NC&gt;0,FALSE,IF($JG731=CONCATENATE("Interior - ",JR$4),TRUE,FALSE))</f>
        <v>0</v>
      </c>
      <c r="JS729" s="1061"/>
      <c r="JT729" s="1670" t="b">
        <f>IF(__Retrofit_TI_NC&gt;0,FALSE,IF($JG731=CONCATENATE("Interior - ",JT$4),TRUE,FALSE))</f>
        <v>0</v>
      </c>
      <c r="JU729" s="1061"/>
      <c r="JV729" s="1670" t="b">
        <f>IF(JC731="AELC on Existing",TRUE,FALSE)</f>
        <v>0</v>
      </c>
      <c r="JX729" s="1670" t="b">
        <f>IF(OR(JG731="Exterior - AELC Occupancy based",JG731="Exterior - AELC Time based"),TRUE,FALSE)</f>
        <v>0</v>
      </c>
      <c r="JZ729" s="1682" t="b">
        <f>IF($JG731=CONCATENATE("Exterior - ",JZ$4),TRUE,FALSE)</f>
        <v>0</v>
      </c>
      <c r="KB729" s="1670" t="b">
        <f>IF(__Retrofit_TI_NC&gt;0,FALSE,IF($JG731=CONCATENATE("Interior - ",KB$4),TRUE,FALSE))</f>
        <v>0</v>
      </c>
    </row>
    <row r="730" spans="1:288" s="78" customFormat="1" ht="14.95" customHeight="1" thickTop="1" thickBot="1">
      <c r="B730" s="1845"/>
      <c r="C730" s="1846"/>
      <c r="D730" s="1847"/>
      <c r="E730" s="1737" t="s">
        <v>297</v>
      </c>
      <c r="F730" s="1738"/>
      <c r="G730" s="1739"/>
      <c r="H730" s="1739"/>
      <c r="I730" s="1739"/>
      <c r="J730" s="1739"/>
      <c r="K730" s="1739"/>
      <c r="L730" s="1739"/>
      <c r="M730" s="461" t="e">
        <f>IF(__Retrofit_TI_NC&lt;&gt;0,IF(VLOOKUP(G731,'Space Table'!$B$3:$L$163,3,FALSE)&gt;0,1,0),IF(__Retrofit_TI_NC=VLOOKUP(G731,'Space Table'!$B$3:$L$163,3,FALSE),1,0))</f>
        <v>#N/A</v>
      </c>
      <c r="N730" s="461" t="str">
        <f>IFERROR(VLOOKUP(G730,_Lookup_Heat_Type_Table_New,2,FALSE),"")</f>
        <v/>
      </c>
      <c r="O730" s="461">
        <f>IF(__Retrofit_TI_NC=1,CONCATENATE("TI ",G730),IF(__Retrofit_TI_NC=2,CONCATENATE("NC ",G730),G730))</f>
        <v>0</v>
      </c>
      <c r="P730" s="1740" t="s">
        <v>435</v>
      </c>
      <c r="Q730" s="1740"/>
      <c r="R730" s="595"/>
      <c r="S730" s="1792"/>
      <c r="T730" s="597"/>
      <c r="U730" s="1765"/>
      <c r="V730" s="1766"/>
      <c r="W730" s="1766"/>
      <c r="X730" s="1766"/>
      <c r="Y730" s="1766"/>
      <c r="Z730" s="1766"/>
      <c r="AA730" s="1766"/>
      <c r="AB730" s="1766"/>
      <c r="AC730" s="1766"/>
      <c r="AD730" s="1767"/>
      <c r="AE730" s="1000"/>
      <c r="AF730" s="597"/>
      <c r="AG730" s="1723"/>
      <c r="AH730" s="1724"/>
      <c r="AI730" s="1724"/>
      <c r="AJ730" s="1724"/>
      <c r="AK730" s="1725"/>
      <c r="AL730" s="996"/>
      <c r="AM730" s="1747"/>
      <c r="AN730" s="1775"/>
      <c r="AO730" s="1777"/>
      <c r="AP730" s="1780"/>
      <c r="AQ730" s="1781"/>
      <c r="AR730" s="1795"/>
      <c r="AS730" s="1795"/>
      <c r="AT730" s="1796"/>
      <c r="AU730" s="1735"/>
      <c r="AV730" s="1752"/>
      <c r="AW730" s="1705"/>
      <c r="AX730" s="467"/>
      <c r="AY730" s="1749"/>
      <c r="AZ730" s="1749"/>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696"/>
      <c r="CQ730" s="1696"/>
      <c r="CR730" s="1809"/>
      <c r="CS730" s="1811"/>
      <c r="CU730" s="1688"/>
      <c r="CV730" s="1703"/>
      <c r="CW730" s="1703"/>
      <c r="CX730" s="1703"/>
      <c r="CY730" s="1815"/>
      <c r="CZ730" s="1711"/>
      <c r="DA730" s="1818"/>
      <c r="DB730" s="1820"/>
      <c r="DC730" s="1820"/>
      <c r="DD730" s="1820"/>
      <c r="DF730" s="1703"/>
      <c r="DG730" s="1831"/>
      <c r="DH730" s="1703"/>
      <c r="DI730" s="1838"/>
      <c r="DJ730" s="1711"/>
      <c r="DK730" s="1712"/>
      <c r="DM730" s="1718"/>
      <c r="DO730" s="1708"/>
      <c r="DQ730" s="1715"/>
      <c r="DR730" s="1720"/>
      <c r="DS730" s="1816"/>
      <c r="DT730" s="1714"/>
      <c r="DU730" s="1715"/>
      <c r="DV730" s="1716"/>
      <c r="DX730" s="1715"/>
      <c r="DY730" s="1720"/>
      <c r="DZ730" s="1715"/>
      <c r="EA730" s="1715"/>
      <c r="EC730" s="1834"/>
      <c r="ED730" s="1834"/>
      <c r="EF730" s="1707"/>
      <c r="EG730" s="1712"/>
      <c r="EH730" s="1818"/>
      <c r="EI730" s="1712"/>
      <c r="EJ730" s="1712"/>
      <c r="EK730" s="1836"/>
      <c r="EL730" s="1836"/>
      <c r="EM730" s="1807"/>
      <c r="EN730" s="1839"/>
      <c r="EO730" s="1839"/>
      <c r="EP730" s="1817"/>
      <c r="EQ730" s="1817"/>
      <c r="ER730" s="1807"/>
      <c r="ES730" s="1807"/>
      <c r="ET730" s="1807"/>
      <c r="EV730" s="1715"/>
      <c r="EX730" s="1805"/>
      <c r="EY730" s="1805"/>
      <c r="EZ730" s="1805"/>
      <c r="FA730" s="1805"/>
      <c r="FB730" s="1805"/>
      <c r="FC730" s="1827"/>
      <c r="FE730" s="1698"/>
      <c r="FG730" s="1816"/>
      <c r="FH730" s="1816"/>
      <c r="FI730" s="133"/>
      <c r="FL730" s="1823"/>
      <c r="FM730" s="1825"/>
      <c r="FN730" s="1698"/>
      <c r="FO730" s="1698"/>
      <c r="FP730" s="1678"/>
      <c r="FQ730" s="1678"/>
      <c r="FS730" s="1687"/>
      <c r="FT730" s="1687"/>
      <c r="FU730" s="1685"/>
      <c r="FV730" s="1687"/>
      <c r="FW730" s="1687"/>
      <c r="FX730" s="1687"/>
      <c r="FY730" s="1697"/>
      <c r="GA730" s="1696"/>
      <c r="GB730" s="1696"/>
      <c r="GC730" s="1696"/>
      <c r="GD730" s="1696"/>
      <c r="GE730" s="1696"/>
      <c r="GF730" s="1696"/>
      <c r="GG730" s="1696"/>
      <c r="GH730" s="1696"/>
      <c r="GI730" s="673"/>
      <c r="GJ730" s="1135"/>
      <c r="GK730" s="1832"/>
      <c r="GM730" s="1693" t="b">
        <f ca="1">IF(AND(GP730=TRUE,GQ730=TRUE),TRUE,FALSE)</f>
        <v>0</v>
      </c>
      <c r="GN730" s="1684" t="b">
        <f>IFERROR(IF(__Retrofit_TI_NC=2,TRUE,IF(AU729="Yes",TRUE,FALSE)),FALSE)</f>
        <v>1</v>
      </c>
      <c r="GP730" s="1684" t="b">
        <f>IFERROR(IF(GP729=1,TRUE,FALSE),FALSE)</f>
        <v>0</v>
      </c>
      <c r="GQ730" s="1684" t="b">
        <f ca="1">IFERROR(IF(GQ729=GQ$14,TRUE,FALSE),FALSE)</f>
        <v>0</v>
      </c>
      <c r="HG730" s="1684" t="b">
        <f>IFERROR(IF(AND(__Retrofit_TI_NC&gt;0,CQ729="Interior"),FALSE,TRUE),FALSE)</f>
        <v>1</v>
      </c>
      <c r="HH730" s="1684" t="b">
        <f>IFERROR(IF(M730=1,TRUE,FALSE),FALSE)</f>
        <v>0</v>
      </c>
      <c r="HI730" s="1684" t="b">
        <f>IFERROR(IF(OR(M731=1,N732="BAM"),TRUE,FALSE),FALSE)</f>
        <v>0</v>
      </c>
      <c r="HJ730" s="1684" t="b">
        <f>IFERROR(IF(__Retrofit_TI_NC&lt;&gt;0,TRUE,IFERROR(IF(VLOOKUP(U730,Fixtures_Existing_List,2,FALSE)&lt;&gt;"",TRUE,FALSE),FALSE)),FALSE)</f>
        <v>0</v>
      </c>
      <c r="HK730" s="1684" t="b">
        <f>IFERROR(IF(VLOOKUP(U731,Fixtures_Proposed_List,2,FALSE)&lt;&gt;"",TRUE,FALSE),FALSE)</f>
        <v>0</v>
      </c>
      <c r="HL730" s="1684" t="b">
        <f>IF(AND(__Retrofit_TI_NC=2,FC729=TRUE),FALSE,TRUE)</f>
        <v>1</v>
      </c>
      <c r="HM730" s="1684" t="b">
        <f>GK729</f>
        <v>1</v>
      </c>
      <c r="HN730" s="1682" t="b">
        <f>IF(ISERROR(MATCH(FE729,_Control_Match[],0))=TRUE,FALSE,TRUE)</f>
        <v>0</v>
      </c>
      <c r="HO730" s="1693" t="b">
        <f>IFERROR(IF(EX729&lt;&gt;EY729,FALSE,TRUE),FALSE)</f>
        <v>1</v>
      </c>
      <c r="HP730" s="1693" t="b">
        <f>IFERROR(IF(EX731&lt;&gt;EY731,FALSE,TRUE),FALSE)</f>
        <v>1</v>
      </c>
      <c r="HQ730" s="1670" t="b">
        <f>IFERROR(IF(CQ729="Exterior",TRUE,IF(AND(OR(FM731=0,FM731=3),JD731&gt;6),FALSE,TRUE)),FALSE)</f>
        <v>0</v>
      </c>
      <c r="HR730" s="1684" t="b">
        <f>IFERROR(IF(AND(FO731=7,FC729=TRUE),FALSE,TRUE),FALSE)</f>
        <v>0</v>
      </c>
      <c r="HS730" s="1684" t="b">
        <f>IFERROR(IF(AND(T731&lt;&gt;AF731,OR(AG731="Interior LLLC", AG731="Interior NLC", AG731="LLLC (outside Daylight)",AG731="LLLC Controls Only"))=TRUE,FALSE,TRUE),FALSE)</f>
        <v>1</v>
      </c>
      <c r="HT730" s="1670" t="b">
        <f>IFERROR(IF(OR(AG731=Lookup!BB$17,AG731=Lookup!BB$18,AG731=Lookup!BB$19)=TRUE,IF(AF731&gt;T731,FALSE,TRUE),TRUE),FALSE)</f>
        <v>1</v>
      </c>
      <c r="HU730" s="1684" t="b">
        <f>IFERROR(IF(__Retrofit_TI_NC=2,IF(EZ731&lt;EZ729,FALSE,TRUE),TRUE),FALSE)</f>
        <v>1</v>
      </c>
      <c r="HV730" s="1684" t="b">
        <f>IF(CQ729="Interior",IL$6,TRUE)</f>
        <v>1</v>
      </c>
      <c r="HW730" s="1684" t="b">
        <f>IF(CQ729="Exterior",IL$8,TRUE)</f>
        <v>1</v>
      </c>
      <c r="HX730" s="1684" t="b">
        <f>IFERROR(IF(__Retrofit_TI_NC&lt;&gt;0,IF(AZ729&lt;AY729,FALSE,TRUE),TRUE),FALSE)</f>
        <v>1</v>
      </c>
      <c r="HY730" s="1684" t="b">
        <f>IFERROR(IF(AND(G730="Exterior",R730&gt;4200),FALSE,TRUE),FALSE)</f>
        <v>1</v>
      </c>
      <c r="HZ730" s="1684" t="b">
        <f>IFERROR(IF(AB732/AB729&lt;HZ$18,FALSE,TRUE),FALSE)</f>
        <v>0</v>
      </c>
      <c r="IB730" s="1691"/>
      <c r="IC730" s="1695"/>
      <c r="ID730" s="1694" t="str">
        <f>VLOOKUP(IB732,_Error_Table,4,FALSE)</f>
        <v>White</v>
      </c>
      <c r="IE730" s="391"/>
      <c r="IF730" s="1688"/>
      <c r="IG730" s="1689"/>
      <c r="IH730" s="1684"/>
      <c r="IK730" s="1689"/>
      <c r="IL730" s="1691"/>
      <c r="IM730" s="1691"/>
      <c r="IN730" s="1691"/>
      <c r="IP730" s="1679"/>
      <c r="IQ730" s="1679"/>
      <c r="IR730" s="1679"/>
      <c r="IS730" s="1679"/>
      <c r="IT730" s="1679"/>
      <c r="IU730" s="1679"/>
      <c r="IV730" s="1679"/>
      <c r="IW730" s="1679"/>
      <c r="IX730" s="1679"/>
      <c r="IY730" s="1679"/>
      <c r="IZ730" s="1679"/>
      <c r="JA730" s="1679"/>
      <c r="JC730" s="1680"/>
      <c r="JD730" s="1670"/>
      <c r="JE730" s="1681"/>
      <c r="JG730" s="1680"/>
      <c r="JH730" s="1670"/>
      <c r="JI730" s="1060"/>
      <c r="JJ730" s="1683"/>
      <c r="JK730" s="1061"/>
      <c r="JL730" s="1683"/>
      <c r="JM730" s="1061"/>
      <c r="JN730" s="1683"/>
      <c r="JO730" s="1061"/>
      <c r="JP730" s="1683"/>
      <c r="JQ730" s="1061"/>
      <c r="JR730" s="1683"/>
      <c r="JS730" s="1061"/>
      <c r="JT730" s="1670"/>
      <c r="JU730" s="1061"/>
      <c r="JV730" s="1670"/>
      <c r="JX730" s="1670"/>
      <c r="JZ730" s="1683"/>
      <c r="KB730" s="1670"/>
    </row>
    <row r="731" spans="1:288" s="78" customFormat="1" ht="14.95" customHeight="1" thickTop="1" thickBot="1">
      <c r="A731" s="78">
        <f>ROW()</f>
        <v>731</v>
      </c>
      <c r="B731" s="1845"/>
      <c r="C731" s="1846"/>
      <c r="D731" s="1847"/>
      <c r="E731" s="1737" t="s">
        <v>298</v>
      </c>
      <c r="F731" s="1738"/>
      <c r="G731" s="1760"/>
      <c r="H731" s="1761"/>
      <c r="I731" s="1761"/>
      <c r="J731" s="1761"/>
      <c r="K731" s="1761"/>
      <c r="L731" s="1762"/>
      <c r="M731" s="461">
        <f>IFERROR(IF(IF(__Retrofit_TI_NC&lt;&gt;0,IF(CQ729="Interior",MATCH(G731,Lookup_Interior_New,0),MATCH(G731,Lookup_Exterior_New,0)),IF(CQ729="Interior",MATCH(G731,Lookup_Interior,0),MATCH(G731,Lookup_Exterior_Areas,0)))&gt;0,1,0),0)</f>
        <v>0</v>
      </c>
      <c r="N731" s="461" t="e">
        <f>IF(__Retrofit_TI_NC=1,
VLOOKUP(G731,'Space Table'!$B$3:$L$163,4,FALSE),
IF(__Retrofit_TI_NC=2,VLOOKUP(G731,'Space Table'!$B$3:$L$163,5,FALSE),VLOOKUP(G731,'Space Table'!$B$3:$L$163,5,FALSE)))</f>
        <v>#N/A</v>
      </c>
      <c r="O731" s="461">
        <f>G731</f>
        <v>0</v>
      </c>
      <c r="P731" s="1738" t="str">
        <f>IFERROR(IF(__Retrofit_TI_NC=1,VLOOKUP(G731,'Space Table'!$B$3:$O$163,13,FALSE),IF(__Retrofit_TI_NC=2,VLOOKUP(G731,'Space Table'!$B$3:$O$163,14,FALSE),"Area (sf):")),"Area (sf):")</f>
        <v>Area (sf):</v>
      </c>
      <c r="Q731" s="1738"/>
      <c r="R731" s="596"/>
      <c r="S731" s="1763" t="s">
        <v>345</v>
      </c>
      <c r="T731" s="594"/>
      <c r="U731" s="1801"/>
      <c r="V731" s="1802"/>
      <c r="W731" s="1802"/>
      <c r="X731" s="1802"/>
      <c r="Y731" s="1802"/>
      <c r="Z731" s="1802"/>
      <c r="AA731" s="1802"/>
      <c r="AB731" s="1802"/>
      <c r="AC731" s="1802"/>
      <c r="AD731" s="1802"/>
      <c r="AE731" s="1803"/>
      <c r="AF731" s="594"/>
      <c r="AG731" s="1787"/>
      <c r="AH731" s="1787"/>
      <c r="AI731" s="1787"/>
      <c r="AJ731" s="1787"/>
      <c r="AK731" s="1787"/>
      <c r="AL731" s="1787"/>
      <c r="AM731" s="1726">
        <f>IFERROR(DI731,"")</f>
        <v>0</v>
      </c>
      <c r="AN731" s="1728" t="str">
        <f>IFERROR(ROUND(AM731*AC732,0),"")</f>
        <v/>
      </c>
      <c r="AO731" s="1730">
        <f>IFERROR(IF(IB729=FALSE,0,AC732-AN731),0)</f>
        <v>0</v>
      </c>
      <c r="AP731" s="1780"/>
      <c r="AQ731" s="1781"/>
      <c r="AR731" s="1795"/>
      <c r="AS731" s="1795"/>
      <c r="AT731" s="1796"/>
      <c r="AU731" s="1735"/>
      <c r="AV731" s="1752"/>
      <c r="AW731" s="1705"/>
      <c r="AX731" s="467"/>
      <c r="AY731" s="1749"/>
      <c r="AZ731" s="1749"/>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696"/>
      <c r="CQ731" s="1696"/>
      <c r="CR731" s="1808" t="str">
        <f>CQ729</f>
        <v/>
      </c>
      <c r="CS731" s="1810" t="str">
        <f>CS729</f>
        <v/>
      </c>
      <c r="CU731" s="1688" t="s">
        <v>345</v>
      </c>
      <c r="CV731" s="1702">
        <f>IF(IB729=TRUE,T731,0)</f>
        <v>0</v>
      </c>
      <c r="CW731" s="1702" t="str">
        <f>IF(IB729=TRUE,U731,"")</f>
        <v/>
      </c>
      <c r="CX731" s="1812">
        <f>IF(IB729=TRUE,U732,0)</f>
        <v>0</v>
      </c>
      <c r="CY731" s="1814">
        <f>IF(IB729=TRUE,AB732,0)</f>
        <v>0</v>
      </c>
      <c r="CZ731" s="1710">
        <f>IF(AND(__Retrofit_TI_NC&gt;0,CR729="interior"),0,IF(IB729=TRUE,AC732,0))</f>
        <v>0</v>
      </c>
      <c r="DA731" s="1818"/>
      <c r="DB731" s="1820"/>
      <c r="DC731" s="1820"/>
      <c r="DD731" s="1820"/>
      <c r="DF731" s="1702">
        <f>IF(IB729=TRUE,AF731,0)</f>
        <v>0</v>
      </c>
      <c r="DG731" s="1830" t="str">
        <f>IF(IB729=TRUE,AG731,"")</f>
        <v/>
      </c>
      <c r="DH731" s="1812">
        <f>AG732</f>
        <v>0</v>
      </c>
      <c r="DI731" s="1837">
        <f>JE731</f>
        <v>0</v>
      </c>
      <c r="DJ731" s="1710">
        <f>IF(AND(__Retrofit_TI_NC&gt;0,CR729="interior"),0,IF(IB729=TRUE,AN731,0))</f>
        <v>0</v>
      </c>
      <c r="DK731" s="1712"/>
      <c r="DN731" s="1717">
        <f>IFERROR(CZ731-DJ731,0)</f>
        <v>0</v>
      </c>
      <c r="DO731" s="1709"/>
      <c r="DQ731" s="1715"/>
      <c r="DR731" s="1719" t="str">
        <f>DQ729</f>
        <v/>
      </c>
      <c r="DS731" s="1816"/>
      <c r="DT731" s="1835" t="str">
        <f>IF(OR(DS729=7,DS729=8,DS729=9),"ALC","")</f>
        <v/>
      </c>
      <c r="DU731" s="1715"/>
      <c r="DV731" s="1716"/>
      <c r="DX731" s="1715"/>
      <c r="DY731" s="1829" t="str">
        <f>DX729</f>
        <v/>
      </c>
      <c r="DZ731" s="1715"/>
      <c r="EA731" s="1715"/>
      <c r="EC731" s="1834"/>
      <c r="ED731" s="1834"/>
      <c r="EF731" s="1707"/>
      <c r="EG731" s="1712"/>
      <c r="EH731" s="1818"/>
      <c r="EI731" s="1712"/>
      <c r="EJ731" s="1712"/>
      <c r="EK731" s="1836"/>
      <c r="EL731" s="1836"/>
      <c r="EM731" s="1807"/>
      <c r="EN731" s="1839"/>
      <c r="EO731" s="1839"/>
      <c r="EP731" s="1817"/>
      <c r="EQ731" s="1817"/>
      <c r="ER731" s="1807"/>
      <c r="ES731" s="1807"/>
      <c r="ET731" s="1807"/>
      <c r="EV731" s="1715"/>
      <c r="EX731" s="1805" t="str">
        <f>IFERROR(VLOOKUP(CS731,'Space Table'!$B$3:$L$163,8,FALSE),"")</f>
        <v/>
      </c>
      <c r="EY731" s="1805" t="str">
        <f>IFERROR(IF(FB731="Yes",VLOOKUP(AG731,Lookup_Control_Type_Table2,4,FALSE),VLOOKUP(AG731,Lookup_Control_Type_Table2,3,FALSE)),"")</f>
        <v/>
      </c>
      <c r="EZ731" s="1805" t="e">
        <f>VLOOKUP(AG731,Lookup!BB$3:BC$20,2,FALSE)</f>
        <v>#N/A</v>
      </c>
      <c r="FA731" s="1805" t="e">
        <f>VLOOKUP(EX729,Lookup_Control_Type_Table,2,FALSE)</f>
        <v>#N/A</v>
      </c>
      <c r="FB731" s="1805" t="e">
        <f>VLOOKUP(CS731,'Space Table'!$B$3:$L$163,7,FALSE)</f>
        <v>#N/A</v>
      </c>
      <c r="FC731" s="1827"/>
      <c r="FE731" s="1698" t="str">
        <f>CONCATENATE(CQ729," - ",AG731)</f>
        <v xml:space="preserve"> - </v>
      </c>
      <c r="FG731" s="1816"/>
      <c r="FH731" s="1816"/>
      <c r="FI731" s="133"/>
      <c r="FL731" s="1822" t="str">
        <f>IF(CQ729="Exterior","Not Daylighted",G732)</f>
        <v>Not Daylighted</v>
      </c>
      <c r="FM731" s="1824">
        <f>VLOOKUP(FL731,_New_Daylight_Table_Codes,2,FALSE)</f>
        <v>0</v>
      </c>
      <c r="FN731" s="1698">
        <f>AG731</f>
        <v>0</v>
      </c>
      <c r="FO731" s="1698" t="e">
        <f>VLOOKUP(FN731,_Control_Table,2,FALSE)</f>
        <v>#N/A</v>
      </c>
      <c r="FP731" s="1678" t="e">
        <f>VLOOKUP(CONCATENATE(FL731," ",FN731),Lookup!AY$102:AZ742,2,FALSE)</f>
        <v>#N/A</v>
      </c>
      <c r="FQ731" s="1698">
        <f>IF(__Retrofit_TI_NC=0,FN731,IF(AND(FT731&gt;0,FN731="Occupancy Sensor"),"Daylight + Occupancy",IF(AND(FT731&gt;0,FO731&lt;4),"Interior Daylight Dimming",FN731)))</f>
        <v>0</v>
      </c>
      <c r="FS731" s="1686">
        <f>IF(CQ729="Interior",VLOOKUP(CS729,Control_Savings_Interior,5,FALSE),0)</f>
        <v>0</v>
      </c>
      <c r="FT731" s="1687">
        <f>IF(CQ731="Exterior",0,IF(FM731=2,0.5,IF(OR(FM731=1,FM731=3),1,0)))</f>
        <v>0</v>
      </c>
      <c r="FU731" s="1685">
        <f>IF(R730&gt;FS$44,(FS731*(FS$44/R730)),FS731)*FT731</f>
        <v>0</v>
      </c>
      <c r="FV731" s="1686">
        <f>DI731</f>
        <v>0</v>
      </c>
      <c r="FW731" s="1686">
        <f>ROUND(FV731+((1-FV731)*FU731),2)</f>
        <v>0</v>
      </c>
      <c r="FX731" s="1686">
        <f>IF(__Retrofit_TI_NC=2,FW731,FV731)</f>
        <v>0</v>
      </c>
      <c r="FY731" s="1697">
        <f>IF(CR731="Interior",VLOOKUP(CS731,Control_Savings_Interior,4,FALSE),0)</f>
        <v>0</v>
      </c>
      <c r="GA731" s="1696"/>
      <c r="GB731" s="1696"/>
      <c r="GC731" s="1696"/>
      <c r="GD731" s="1696"/>
      <c r="GE731" s="1696"/>
      <c r="GF731" s="1696"/>
      <c r="GG731" s="1696"/>
      <c r="GH731" s="1696"/>
      <c r="GI731" s="673" t="b">
        <f>IF(ISNUMBER(SEARCH("TLED",U731)),TRUE,FALSE)</f>
        <v>0</v>
      </c>
      <c r="GJ731" s="1135" t="str">
        <f>IFERROR(VLOOKUP(U731,Fixtures!DM$93:DR$142,6,FALSE),"")</f>
        <v/>
      </c>
      <c r="GK731" s="1832"/>
      <c r="GM731" s="1692"/>
      <c r="GN731" s="1684"/>
      <c r="GP731" s="1684"/>
      <c r="GQ731" s="1684"/>
      <c r="HG731" s="1684"/>
      <c r="HH731" s="1684"/>
      <c r="HI731" s="1684"/>
      <c r="HJ731" s="1684"/>
      <c r="HK731" s="1684"/>
      <c r="HL731" s="1684"/>
      <c r="HM731" s="1684"/>
      <c r="HN731" s="1683"/>
      <c r="HO731" s="1692"/>
      <c r="HP731" s="1692"/>
      <c r="HQ731" s="1670"/>
      <c r="HR731" s="1684"/>
      <c r="HS731" s="1684"/>
      <c r="HT731" s="1670"/>
      <c r="HU731" s="1684"/>
      <c r="HV731" s="1684"/>
      <c r="HW731" s="1684"/>
      <c r="HX731" s="1684"/>
      <c r="HY731" s="1684"/>
      <c r="HZ731" s="1684"/>
      <c r="IB731" s="1692"/>
      <c r="IC731" s="1693" t="b">
        <f>IB729</f>
        <v>0</v>
      </c>
      <c r="ID731" s="1695"/>
      <c r="IE731" s="391"/>
      <c r="IF731" s="1688"/>
      <c r="IG731" s="1689">
        <f ca="1">IF(IF729=TRUE,AC732,0)</f>
        <v>0</v>
      </c>
      <c r="IH731" s="1684"/>
      <c r="IK731" s="1689" t="e">
        <f>ROUND(T731*AB732*N730*R730/1000,0)</f>
        <v>#VALUE!</v>
      </c>
      <c r="IL731" s="1691"/>
      <c r="IM731" s="1693" t="e">
        <f>ROUND(T731*AB732*N730*R730/1000,0)</f>
        <v>#VALUE!</v>
      </c>
      <c r="IN731" s="1691"/>
      <c r="IP731" s="1679"/>
      <c r="IQ731" s="1679" t="e">
        <f t="shared" ref="IQ731:IU731" si="672">IF($CR731="interior",VLOOKUP($CS731,_New_Control_Savings_Interior,IQ$30,FALSE),VLOOKUP($CS731,Control_Savings_Exterior,IQ$30,FALSE))</f>
        <v>#N/A</v>
      </c>
      <c r="IR731" s="1679" t="e">
        <f t="shared" si="672"/>
        <v>#N/A</v>
      </c>
      <c r="IS731" s="1679" t="e">
        <f t="shared" si="672"/>
        <v>#N/A</v>
      </c>
      <c r="IT731" s="1679" t="e">
        <f t="shared" si="672"/>
        <v>#N/A</v>
      </c>
      <c r="IU731" s="1679" t="e">
        <f t="shared" si="672"/>
        <v>#N/A</v>
      </c>
      <c r="IV731" s="1679" t="e">
        <f>IF($CR731="interior",IF(R730&gt;$IP$14,ROUND(($IV$18*($IP$14/R730)),2),$IV$18),VLOOKUP($CS731,Control_Savings_Exterior,IV$30,FALSE))</f>
        <v>#N/A</v>
      </c>
      <c r="IW731" s="1679" t="e">
        <f>IF($CR731="interior",ROUND(((1-IS731)*IV731)+IS731,2),VLOOKUP($CS731,Control_Savings_Exterior,IW$30,FALSE))</f>
        <v>#N/A</v>
      </c>
      <c r="IX731" s="1679" t="e">
        <f>IF($CR731="interior",ROUND(((1-IT731)*IV731)+IT731,2),VLOOKUP($CS731,Control_Savings_Exterior,IX$30,FALSE))</f>
        <v>#N/A</v>
      </c>
      <c r="IY731" s="1679" t="e">
        <f>IF($CR731="interior",IF(R730&gt;$IP$14,ROUND(($IY$18*($IP$14/R730)),2),$IY$18),VLOOKUP($CS731,Control_Savings_Exterior,IY$30,FALSE))</f>
        <v>#N/A</v>
      </c>
      <c r="IZ731" s="1679" t="e">
        <f>IF($CR731="interior",ROUND(((1-IS731)*IY731)+IS731,2),VLOOKUP($CS731,Control_Savings_Exterior,IZ$30,FALSE))</f>
        <v>#N/A</v>
      </c>
      <c r="JA731" s="1679" t="e">
        <f>IF($CR731="interior",ROUND(((1-IT731)*IY731)+IT731,2),VLOOKUP($CS731,Control_Savings_Exterior,JA$30,FALSE))</f>
        <v>#N/A</v>
      </c>
      <c r="JC731" s="1680">
        <f>IFERROR(IF(CR731="Interior",CONCATENATE(G732," ",FQ731),AG731),"")</f>
        <v>0</v>
      </c>
      <c r="JD731" s="1670" t="str">
        <f>IFERROR(VLOOKUP(JC731,_Controls_2023,2,FALSE),"")</f>
        <v/>
      </c>
      <c r="JE731" s="1681">
        <f>IFERROR(CHOOSE(JD731-1,IQ731,IR731,IS731,IT731,IU731,IV731,IW731,IX731,IY731,IZ731,JA731),0)</f>
        <v>0</v>
      </c>
      <c r="JG731" s="1680" t="str">
        <f>FE731</f>
        <v xml:space="preserve"> - </v>
      </c>
      <c r="JH731" s="1670" t="e">
        <f>$FO731</f>
        <v>#N/A</v>
      </c>
      <c r="JI731" s="1060"/>
      <c r="JJ731" s="1670">
        <f>IFERROR(IF($IB729=TRUE,IF(OR(JJ$14="No",JJ729=FALSE,JH731&lt;=JH729,AND(_kWh_Grant=0,GD729=FALSE)),0,IF(JJ$8="Per Line",1,$AF731)),0),0)</f>
        <v>0</v>
      </c>
      <c r="JK731" s="1061"/>
      <c r="JL731" s="1670">
        <f>IFERROR(IF(_kWh_Grant=0,0,IF($IB729=TRUE,IF(OR(JL$14="No",JL729=FALSE,JH731&lt;=JH729),0,IF(JL$8="Per Line",1,$T731)),0)),0)</f>
        <v>0</v>
      </c>
      <c r="JM731" s="1061"/>
      <c r="JN731" s="1670">
        <f>IFERROR(IF(_kWh_Grant=0,0,IF($IB729=TRUE,IF(OR(JN$14="No",JN729=FALSE,JH731&lt;=JH729),0,IF(JN$8="Per Line",1,$AF731)),0)),0)</f>
        <v>0</v>
      </c>
      <c r="JO731" s="1061"/>
      <c r="JP731" s="1670">
        <f>IFERROR(IF(__Retrofit_TI_NC=0,IF(_kWh_Grant=0,0,IF($IB729=TRUE,IF(OR(JP$14="No",JP729=FALSE,$JH731&lt;=$JH729),0,IF(JP$8="Per Line",1,$AF731)),0)),IF($IB729=TRUE,IF(OR(JP$14="No",JP729=FALSE,$JH731&lt;=$JH729),0,IF(JP$8="Per Line",1,$AF731)))),0)</f>
        <v>0</v>
      </c>
      <c r="JQ731" s="1061"/>
      <c r="JR731" s="1670">
        <f>IFERROR(IF(__Retrofit_TI_NC=0,IF(_kWh_Grant=0,0,IF($IB729=TRUE,IF(OR(JR$14="No",JR729=FALSE,$JH731&lt;=$JH729),0,IF(JR$8="Per Line",1,$AF731)),0)),IF($IB729=TRUE,IF(OR(JR$14="No",JR729=FALSE,$JH731&lt;=$JH729),0,IF(JR$8="Per Line",1,$AF731)))),0)</f>
        <v>0</v>
      </c>
      <c r="JS731" s="1061"/>
      <c r="JT731" s="1670">
        <f>IFERROR(IF(__Retrofit_TI_NC=0,IF(_kWh_Grant=0,0,IF($IB729=TRUE,IF(OR(JT$14="No",JT729=FALSE,$JH731&lt;=$JH729),0,IF(JT$8="Per Line",1,$AF731)),0)),IF($IB729=TRUE,IF(OR(JT$14="No",JT729=FALSE,$JH731&lt;=$JH729),0,IF(JT$8="Per Line",1,$AF731)))),0)</f>
        <v>0</v>
      </c>
      <c r="JU731" s="1061"/>
      <c r="JV731" s="1670">
        <f>IFERROR(IF(__Retrofit_TI_NC=0,IF(_kWh_Grant=0,0,IF($IB729=TRUE,IF(OR(JV$14="No",JV729=FALSE,$JH731&lt;=$JH729),0,IF(JV$8="Per Line",1,$AF731)),0)),IF($IB729=TRUE,IF(OR(JV$14="No",JV729=FALSE,$JH731&lt;=$JH729),0,IF(JV$8="Per Line",1,$AF731)))),0)</f>
        <v>0</v>
      </c>
      <c r="JX731" s="1670">
        <f>IFERROR(IF(__Retrofit_TI_NC=0,IF(_kWh_Grant=0,0,IF($IB729=TRUE,IF(OR(JX$14="No",JX729=FALSE,$JH731&lt;=$JH729),0,IF(JX$8="Per Line",1,$AF731)),0)),IF($IB729=TRUE,IF(OR(JX$14="No",JX729=FALSE,$JH731&lt;=$JH729),0,IF(JX$8="Per Line",1,$AF731)))),0)</f>
        <v>0</v>
      </c>
      <c r="JZ731" s="1670">
        <f>IFERROR(IF($IB729=TRUE,IF(OR(JZ$14="No",JZ729=FALSE,$JH731&lt;=$JH729,AND(_kWh_Grant=0,$GD729=FALSE)),0,IF(JZ$8="Per Line",1,$AF731)),0),0)</f>
        <v>0</v>
      </c>
      <c r="KB731" s="1670">
        <f>IFERROR(IF(__Retrofit_TI_NC=0,IF(_kWh_Grant=0,0,IF($IB729=TRUE,IF(OR(KB$14="No",KB729=FALSE,$JH731&lt;=$JH729),0,IF(KB$8="Per Line",1,$AF731)),0)),IF($IB729=TRUE,IF(OR(KB$14="No",KB729=FALSE,$JH731&lt;=$JH729),0,IF(KB$8="Per Line",1,$AF731)))),0)</f>
        <v>0</v>
      </c>
    </row>
    <row r="732" spans="1:288" s="78" customFormat="1" ht="14.95" customHeight="1" thickTop="1" thickBot="1">
      <c r="B732" s="1845"/>
      <c r="C732" s="1846"/>
      <c r="D732" s="1847"/>
      <c r="E732" s="1771" t="s">
        <v>436</v>
      </c>
      <c r="F732" s="1772"/>
      <c r="G732" s="1784" t="s">
        <v>437</v>
      </c>
      <c r="H732" s="1785"/>
      <c r="I732" s="1785"/>
      <c r="J732" s="1785"/>
      <c r="K732" s="1785"/>
      <c r="L732" s="1786"/>
      <c r="M732" s="591">
        <f>IFERROR(VLOOKUP(G732,_Daylight_Table[],2,FALSE),0)</f>
        <v>0</v>
      </c>
      <c r="N732" s="592" t="str">
        <f>IF(AND(__Retrofit_TI_NC&gt;0,CQ729="Interior"),"BAM","")</f>
        <v/>
      </c>
      <c r="O732" s="591" t="e">
        <f>VLOOKUP(G731,'Space Table'!$B$3:$L$163,11,FALSE)</f>
        <v>#N/A</v>
      </c>
      <c r="P732" s="1789"/>
      <c r="Q732" s="1790"/>
      <c r="R732" s="1790"/>
      <c r="S732" s="1788"/>
      <c r="T732" s="593" t="s">
        <v>342</v>
      </c>
      <c r="U732" s="1756" t="str" cm="1">
        <f t="array" aca="1" ref="U732" ca="1">IFERROR(VLOOKUP(INDIRECT("U" &amp; ROW()-1),Fixtures!DM$93:DP$142,4,FALSE),"")</f>
        <v/>
      </c>
      <c r="V732" s="1757"/>
      <c r="W732" s="1757"/>
      <c r="X732" s="1757"/>
      <c r="Y732" s="1757"/>
      <c r="Z732" s="1757"/>
      <c r="AA732" s="1758"/>
      <c r="AB732" s="939" t="str">
        <f>IFERROR(VLOOKUP(U731,Fixtures_Proposed_List,2,FALSE),"")</f>
        <v/>
      </c>
      <c r="AC732" s="933" t="str">
        <f>IFERROR(ROUND(T731*AB732*N730*R730/1000,0),"")</f>
        <v/>
      </c>
      <c r="AD732" s="934" t="str">
        <f>IFERROR(ROUND(T731*AB732/1000,2),"")</f>
        <v/>
      </c>
      <c r="AE732" s="998"/>
      <c r="AF732" s="938" t="s">
        <v>342</v>
      </c>
      <c r="AG732" s="1770"/>
      <c r="AH732" s="1770"/>
      <c r="AI732" s="1770"/>
      <c r="AJ732" s="1770"/>
      <c r="AK732" s="1770"/>
      <c r="AL732" s="1770"/>
      <c r="AM732" s="1727"/>
      <c r="AN732" s="1729"/>
      <c r="AO732" s="1731"/>
      <c r="AP732" s="1782"/>
      <c r="AQ732" s="1783"/>
      <c r="AR732" s="1797"/>
      <c r="AS732" s="1797"/>
      <c r="AT732" s="1798"/>
      <c r="AU732" s="1736"/>
      <c r="AV732" s="1753"/>
      <c r="AW732" s="1706"/>
      <c r="AX732" s="468"/>
      <c r="AY732" s="1750"/>
      <c r="AZ732" s="1750"/>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696"/>
      <c r="CQ732" s="1696"/>
      <c r="CR732" s="1809"/>
      <c r="CS732" s="1811"/>
      <c r="CU732" s="1688"/>
      <c r="CV732" s="1703"/>
      <c r="CW732" s="1703"/>
      <c r="CX732" s="1813"/>
      <c r="CY732" s="1815"/>
      <c r="CZ732" s="1711"/>
      <c r="DA732" s="1815"/>
      <c r="DB732" s="1821"/>
      <c r="DC732" s="1821"/>
      <c r="DD732" s="1821"/>
      <c r="DF732" s="1703"/>
      <c r="DG732" s="1831"/>
      <c r="DH732" s="1813"/>
      <c r="DI732" s="1838"/>
      <c r="DJ732" s="1711"/>
      <c r="DK732" s="1712"/>
      <c r="DN732" s="1718"/>
      <c r="DO732" s="1709"/>
      <c r="DQ732" s="1715"/>
      <c r="DR732" s="1720"/>
      <c r="DS732" s="1703"/>
      <c r="DT732" s="1714"/>
      <c r="DU732" s="1715"/>
      <c r="DV732" s="1716"/>
      <c r="DX732" s="1715"/>
      <c r="DY732" s="1720"/>
      <c r="DZ732" s="1715"/>
      <c r="EA732" s="1715"/>
      <c r="EC732" s="1834"/>
      <c r="ED732" s="1834"/>
      <c r="EF732" s="1707"/>
      <c r="EG732" s="1712"/>
      <c r="EH732" s="1815"/>
      <c r="EI732" s="1712"/>
      <c r="EJ732" s="1712"/>
      <c r="EK732" s="1813"/>
      <c r="EL732" s="1813"/>
      <c r="EM732" s="1807"/>
      <c r="EN732" s="1839"/>
      <c r="EO732" s="1839"/>
      <c r="EP732" s="1817"/>
      <c r="EQ732" s="1817"/>
      <c r="ER732" s="1807"/>
      <c r="ES732" s="1807"/>
      <c r="ET732" s="1807"/>
      <c r="EV732" s="1715"/>
      <c r="EX732" s="1806"/>
      <c r="EY732" s="1806"/>
      <c r="EZ732" s="1806"/>
      <c r="FA732" s="1806"/>
      <c r="FB732" s="1806"/>
      <c r="FC732" s="1828"/>
      <c r="FE732" s="1698"/>
      <c r="FG732" s="1703"/>
      <c r="FH732" s="1703"/>
      <c r="FI732" s="133"/>
      <c r="FL732" s="1823"/>
      <c r="FM732" s="1825"/>
      <c r="FN732" s="1698"/>
      <c r="FO732" s="1698"/>
      <c r="FP732" s="1678"/>
      <c r="FQ732" s="1698"/>
      <c r="FS732" s="1687"/>
      <c r="FT732" s="1687"/>
      <c r="FU732" s="1685"/>
      <c r="FV732" s="1687"/>
      <c r="FW732" s="1687"/>
      <c r="FX732" s="1687"/>
      <c r="FY732" s="1697"/>
      <c r="GA732" s="1696"/>
      <c r="GB732" s="1696"/>
      <c r="GC732" s="1696"/>
      <c r="GD732" s="1696"/>
      <c r="GE732" s="1696"/>
      <c r="GF732" s="1696"/>
      <c r="GG732" s="1696"/>
      <c r="GH732" s="1696"/>
      <c r="GI732" s="673"/>
      <c r="GJ732" s="1135"/>
      <c r="GK732" s="1832"/>
      <c r="GN732" s="674">
        <f>IF(GN730=TRUE,0,GN$16)</f>
        <v>0</v>
      </c>
      <c r="GP732" s="674">
        <f>IF(GP730=TRUE,0,GP$16)</f>
        <v>36</v>
      </c>
      <c r="GQ732" s="674">
        <f ca="1">IF(GQ730=TRUE,0,GQ$16)</f>
        <v>35</v>
      </c>
      <c r="GR732" s="391"/>
      <c r="GS732" s="391"/>
      <c r="GT732" s="391"/>
      <c r="GU732" s="391"/>
      <c r="GV732" s="391"/>
      <c r="HG732" s="674">
        <f>IF(HG730=TRUE,0,HG$16)</f>
        <v>0</v>
      </c>
      <c r="HH732" s="674">
        <f t="shared" ref="HH732:HM732" si="673">IF(HH730=TRUE,0,HH$16)</f>
        <v>19</v>
      </c>
      <c r="HI732" s="674">
        <f t="shared" si="673"/>
        <v>18</v>
      </c>
      <c r="HJ732" s="674">
        <f t="shared" si="673"/>
        <v>17</v>
      </c>
      <c r="HK732" s="674">
        <f t="shared" si="673"/>
        <v>16</v>
      </c>
      <c r="HL732" s="674">
        <f t="shared" si="673"/>
        <v>0</v>
      </c>
      <c r="HM732" s="674">
        <f t="shared" si="673"/>
        <v>0</v>
      </c>
      <c r="HN732" s="674">
        <f>IF(HN730=TRUE,0,HN$16)</f>
        <v>13</v>
      </c>
      <c r="HO732" s="674">
        <f t="shared" ref="HO732:HQ732" si="674">IF(HO730=TRUE,0,HO$16)</f>
        <v>0</v>
      </c>
      <c r="HP732" s="674">
        <f t="shared" si="674"/>
        <v>0</v>
      </c>
      <c r="HQ732" s="674">
        <f t="shared" si="674"/>
        <v>10</v>
      </c>
      <c r="HR732" s="674">
        <f>IF(HR730=TRUE,0,HR$16)</f>
        <v>9</v>
      </c>
      <c r="HS732" s="674">
        <f t="shared" ref="HS732:HW732" si="675">IF(HS730=TRUE,0,HS$16)</f>
        <v>0</v>
      </c>
      <c r="HT732" s="674">
        <f t="shared" si="675"/>
        <v>0</v>
      </c>
      <c r="HU732" s="674">
        <f t="shared" si="675"/>
        <v>0</v>
      </c>
      <c r="HV732" s="674">
        <f t="shared" si="675"/>
        <v>0</v>
      </c>
      <c r="HW732" s="674">
        <f t="shared" si="675"/>
        <v>0</v>
      </c>
      <c r="HX732" s="674">
        <f>IF(HX730=TRUE,0,HX$16)</f>
        <v>0</v>
      </c>
      <c r="HY732" s="674">
        <f>IF(HY730=TRUE,0,HY$16)</f>
        <v>0</v>
      </c>
      <c r="HZ732" s="674">
        <f>IF(HZ730=TRUE,0,HZ$16)</f>
        <v>1</v>
      </c>
      <c r="IB732" s="674">
        <f>IF(GP730=FALSE,GP732,IF(GQ730=FALSE,GQ732,MAX(GN732:HZ732)))</f>
        <v>36</v>
      </c>
      <c r="IC732" s="1692"/>
      <c r="ID732" s="205" t="str">
        <f>VLOOKUP(IB732,_Error_Table,3,FALSE)</f>
        <v xml:space="preserve"> </v>
      </c>
      <c r="IE732" s="205"/>
      <c r="IF732" s="1688"/>
      <c r="IG732" s="1689"/>
      <c r="IH732" s="1684"/>
      <c r="IK732" s="1689"/>
      <c r="IL732" s="1692"/>
      <c r="IM732" s="1692"/>
      <c r="IN732" s="1692"/>
      <c r="IP732" s="1679"/>
      <c r="IQ732" s="1679"/>
      <c r="IR732" s="1679"/>
      <c r="IS732" s="1679"/>
      <c r="IT732" s="1679"/>
      <c r="IU732" s="1679"/>
      <c r="IV732" s="1679"/>
      <c r="IW732" s="1679"/>
      <c r="IX732" s="1679"/>
      <c r="IY732" s="1679"/>
      <c r="IZ732" s="1679"/>
      <c r="JA732" s="1679"/>
      <c r="JC732" s="1680"/>
      <c r="JD732" s="1670"/>
      <c r="JE732" s="1681"/>
      <c r="JG732" s="1680"/>
      <c r="JH732" s="1670"/>
      <c r="JI732" s="1060"/>
      <c r="JJ732" s="1670"/>
      <c r="JK732" s="1061"/>
      <c r="JL732" s="1670"/>
      <c r="JM732" s="1061"/>
      <c r="JN732" s="1670"/>
      <c r="JO732" s="1061"/>
      <c r="JP732" s="1670"/>
      <c r="JQ732" s="1061"/>
      <c r="JR732" s="1670"/>
      <c r="JS732" s="1061"/>
      <c r="JT732" s="1670"/>
      <c r="JU732" s="1061"/>
      <c r="JV732" s="1670"/>
      <c r="JX732" s="1670"/>
      <c r="JZ732" s="1670"/>
      <c r="KB732" s="1670"/>
    </row>
    <row r="733" spans="1:288" s="78" customFormat="1" ht="5.0999999999999996" customHeight="1">
      <c r="B733" s="676"/>
      <c r="C733" s="392"/>
      <c r="D733" s="392"/>
      <c r="E733" s="1733"/>
      <c r="F733" s="1733"/>
      <c r="G733" s="1733"/>
      <c r="H733" s="1733"/>
      <c r="I733" s="1733"/>
      <c r="J733" s="1733"/>
      <c r="K733" s="1733"/>
      <c r="L733" s="1733"/>
      <c r="M733" s="1733"/>
      <c r="N733" s="1733"/>
      <c r="O733" s="1733"/>
      <c r="P733" s="1733"/>
      <c r="Q733" s="1733"/>
      <c r="R733" s="1733"/>
      <c r="S733" s="1733"/>
      <c r="T733" s="1733"/>
      <c r="U733" s="1733"/>
      <c r="V733" s="1733"/>
      <c r="W733" s="1733"/>
      <c r="X733" s="1733"/>
      <c r="Y733" s="1733"/>
      <c r="Z733" s="1733"/>
      <c r="AA733" s="1733"/>
      <c r="AB733" s="1733"/>
      <c r="AC733" s="1733"/>
      <c r="AD733" s="1733"/>
      <c r="AE733" s="1733"/>
      <c r="AF733" s="1733"/>
      <c r="AG733" s="1733"/>
      <c r="AH733" s="1733"/>
      <c r="AI733" s="1733"/>
      <c r="AJ733" s="1733"/>
      <c r="AK733" s="1733"/>
      <c r="AL733" s="1733"/>
      <c r="AM733" s="1733"/>
      <c r="AN733" s="1733"/>
      <c r="AO733" s="1733"/>
      <c r="AP733" s="1733"/>
      <c r="AQ733" s="1733"/>
      <c r="AR733" s="1733"/>
      <c r="AS733" s="1733"/>
      <c r="AT733" s="1733"/>
      <c r="AU733" s="1733"/>
      <c r="AV733" s="1733"/>
      <c r="AW733" s="1733"/>
      <c r="AX733" s="469"/>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663"/>
      <c r="CQ733" s="663"/>
      <c r="CR733" s="438"/>
      <c r="CS733" s="663"/>
      <c r="CV733" s="391"/>
      <c r="CW733" s="391"/>
      <c r="CX733" s="207"/>
      <c r="CY733" s="208"/>
      <c r="CZ733" s="208"/>
      <c r="DA733" s="208"/>
      <c r="DB733" s="209"/>
      <c r="DC733" s="209"/>
      <c r="DD733" s="209"/>
      <c r="DF733" s="664"/>
      <c r="DG733" s="665"/>
      <c r="DH733" s="666"/>
      <c r="DI733" s="667"/>
      <c r="DJ733" s="668"/>
      <c r="DK733" s="668"/>
      <c r="DN733" s="208"/>
      <c r="DO733" s="664"/>
      <c r="DQ733" s="664"/>
      <c r="DR733" s="669"/>
      <c r="DS733" s="391"/>
      <c r="DT733" s="664"/>
      <c r="DU733" s="664"/>
      <c r="DV733" s="664"/>
      <c r="DX733" s="664"/>
      <c r="DY733" s="664"/>
      <c r="DZ733" s="664"/>
      <c r="EA733" s="664"/>
      <c r="EC733" s="670"/>
      <c r="ED733" s="670"/>
      <c r="EF733" s="668"/>
      <c r="EG733" s="668"/>
      <c r="EH733" s="208"/>
      <c r="EI733" s="668"/>
      <c r="EJ733" s="668"/>
      <c r="EK733" s="207"/>
      <c r="EL733" s="207"/>
      <c r="EM733" s="666"/>
      <c r="EN733" s="671"/>
      <c r="EO733" s="671"/>
      <c r="EP733" s="672"/>
      <c r="EQ733" s="672"/>
      <c r="ER733" s="666"/>
      <c r="ES733" s="666"/>
      <c r="ET733" s="666"/>
      <c r="EV733" s="664"/>
      <c r="EX733" s="391"/>
      <c r="EY733" s="391"/>
      <c r="EZ733" s="391"/>
      <c r="FA733" s="391"/>
      <c r="FB733" s="391"/>
      <c r="FC733" s="391"/>
      <c r="FE733" s="569"/>
      <c r="FG733" s="391"/>
      <c r="FH733" s="391"/>
      <c r="FI733" s="391"/>
      <c r="FS733" s="664"/>
      <c r="FT733" s="391"/>
      <c r="FU733" s="391"/>
      <c r="FV733" s="664"/>
      <c r="FW733" s="664"/>
      <c r="GA733" s="663"/>
      <c r="GB733" s="663"/>
      <c r="GC733" s="663"/>
      <c r="GD733" s="663"/>
      <c r="GE733" s="663"/>
      <c r="GF733" s="663"/>
      <c r="GG733" s="663"/>
      <c r="GH733" s="663"/>
      <c r="GI733" s="665"/>
      <c r="GJ733" s="664"/>
      <c r="GK733" s="664"/>
    </row>
    <row r="734" spans="1:288" s="78" customFormat="1" ht="14.95" customHeight="1">
      <c r="B734" s="1845" t="str">
        <f>ID737</f>
        <v xml:space="preserve"> </v>
      </c>
      <c r="C734" s="1846">
        <f>C729+1</f>
        <v>133</v>
      </c>
      <c r="D734" s="1847"/>
      <c r="E734" s="1799" t="s">
        <v>295</v>
      </c>
      <c r="F734" s="1800"/>
      <c r="G734" s="1741"/>
      <c r="H734" s="1742"/>
      <c r="I734" s="1742"/>
      <c r="J734" s="1742"/>
      <c r="K734" s="1742"/>
      <c r="L734" s="1742"/>
      <c r="M734" s="1742"/>
      <c r="N734" s="1742"/>
      <c r="O734" s="1742"/>
      <c r="P734" s="1742"/>
      <c r="Q734" s="1742"/>
      <c r="R734" s="1742"/>
      <c r="S734" s="1791" t="s">
        <v>344</v>
      </c>
      <c r="T734" s="590"/>
      <c r="U734" s="1743"/>
      <c r="V734" s="1744"/>
      <c r="W734" s="1744"/>
      <c r="X734" s="1744"/>
      <c r="Y734" s="1744"/>
      <c r="Z734" s="1744"/>
      <c r="AA734" s="1744"/>
      <c r="AB734" s="961" t="str">
        <f>IFERROR(IF(__Retrofit_TI_NC=0,VLOOKUP(U735,Fixtures_Existing_List,2,FALSE),ROUND(N736*R736/T736,10)),"")</f>
        <v/>
      </c>
      <c r="AC734" s="935" t="str">
        <f>IFERROR(IF(__Retrofit_TI_NC=0,ROUND(T735*AB734*N735*R735/1000,0),IF(CQ734="Interior",N736*R736*R735*N735*_C406_reduction/1000,N736*R736*R735*N735/1000)),"")</f>
        <v/>
      </c>
      <c r="AD734" s="936" t="str">
        <f>IFERROR(IF(C$43=0,ROUND(T735*AB734/1000,2),N736*R736/1000),"")</f>
        <v/>
      </c>
      <c r="AE734" s="997"/>
      <c r="AF734" s="937"/>
      <c r="AG734" s="1745" t="str">
        <f>IF(__Retrofit_TI_NC=0," Control","Select Advanced Control for New System")</f>
        <v xml:space="preserve"> Control</v>
      </c>
      <c r="AH734" s="1745"/>
      <c r="AI734" s="1745"/>
      <c r="AJ734" s="1745"/>
      <c r="AK734" s="1745"/>
      <c r="AL734" s="1745"/>
      <c r="AM734" s="1746">
        <f>IFERROR(DI734,"")</f>
        <v>0</v>
      </c>
      <c r="AN734" s="1774" t="str">
        <f>IFERROR(ROUND(AM734*AC734,0),"")</f>
        <v/>
      </c>
      <c r="AO734" s="1776">
        <f>IFERROR(IF(IB734=FALSE,0,AC734-AN734),0)</f>
        <v>0</v>
      </c>
      <c r="AP734" s="1778">
        <f>AO734-AO736</f>
        <v>0</v>
      </c>
      <c r="AQ734" s="1779"/>
      <c r="AR734" s="1793">
        <f>IFERROR(IF(IB734=FALSE,0,(T736*U737)+(AF736*AG737)),0)</f>
        <v>0</v>
      </c>
      <c r="AS734" s="1793"/>
      <c r="AT734" s="1794"/>
      <c r="AU734" s="1734" t="s">
        <v>237</v>
      </c>
      <c r="AV734" s="1751">
        <f>IF(AU734="Yes",1,0)</f>
        <v>1</v>
      </c>
      <c r="AW734" s="1704" t="str">
        <f>IF(OR(DQ734=4,DQ734=5,DQ734=6,DQ734=12),CONCATENATE("$",IF(GH734=TRUE,Lookup!$K$10,Lookup!$K$2)," /lamp"),CONCATENATE(TEXT(ED734,"$0.00"),"/ kWh"))</f>
        <v>$0.00/ kWh</v>
      </c>
      <c r="AX734" s="467"/>
      <c r="AY734" s="1748">
        <f ca="1">IFERROR(IF(GM735=TRUE,(AB737*T736)/R736,0),"NA")</f>
        <v>0</v>
      </c>
      <c r="AZ734" s="1748"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696" t="str">
        <f>N735</f>
        <v/>
      </c>
      <c r="CQ734" s="1696" t="str">
        <f>IFERROR(VLOOKUP(G735,_Lookup_Heat_Type_Table_New,3,FALSE),"")</f>
        <v/>
      </c>
      <c r="CR734" s="1808" t="str">
        <f>CQ734</f>
        <v/>
      </c>
      <c r="CS734" s="1810" t="str">
        <f>IFERROR(VLOOKUP(G736,'Space Table'!$B$3:$L$163,9,FALSE),"")</f>
        <v/>
      </c>
      <c r="CU734" s="1688" t="s">
        <v>344</v>
      </c>
      <c r="CV734" s="1702">
        <f>IF(IB734=TRUE,T735,0)</f>
        <v>0</v>
      </c>
      <c r="CW734" s="1702" t="str">
        <f>IF(IB734=TRUE,U735,"")</f>
        <v/>
      </c>
      <c r="CX734" s="1702"/>
      <c r="CY734" s="1814">
        <f>IF(IB734=TRUE,AB734,0)</f>
        <v>0</v>
      </c>
      <c r="CZ734" s="1710">
        <f>IF(AND(__Retrofit_TI_NC&gt;0,CR734="interior"),0,IF(IB734=TRUE,AC734,0))</f>
        <v>0</v>
      </c>
      <c r="DA734" s="1814">
        <f>IFERROR(IF(IB734=TRUE,CZ734-CZ736,0),0)</f>
        <v>0</v>
      </c>
      <c r="DB734" s="1819">
        <f>IF(IB734=TRUE,AD734,0)</f>
        <v>0</v>
      </c>
      <c r="DC734" s="1819">
        <f>IF(IB734=TRUE,AD737,0)</f>
        <v>0</v>
      </c>
      <c r="DD734" s="1819">
        <f>IFERROR(DB734-DC734,0)</f>
        <v>0</v>
      </c>
      <c r="DF734" s="1702">
        <f>IF(IB734=TRUE,AF735,0)</f>
        <v>0</v>
      </c>
      <c r="DG734" s="1830">
        <f>IFERROR(IF(__Retrofit_TI_NC=2,IF(CQ734="Exterior",O737,FQ734),FN734),"")</f>
        <v>0</v>
      </c>
      <c r="DH734" s="1702"/>
      <c r="DI734" s="1837">
        <f>JE734</f>
        <v>0</v>
      </c>
      <c r="DJ734" s="1710">
        <f>IF(AND(__Retrofit_TI_NC&gt;0,CR734="interior"),0,IF(IB734=TRUE,AN734,0))</f>
        <v>0</v>
      </c>
      <c r="DK734" s="1712">
        <f>IFERROR(IF(IB734=TRUE,DJ736-DJ734,0),0)</f>
        <v>0</v>
      </c>
      <c r="DM734" s="1717">
        <f>IFERROR(CZ734-DJ734,0)</f>
        <v>0</v>
      </c>
      <c r="DO734" s="1708">
        <f>DM734-DN736</f>
        <v>0</v>
      </c>
      <c r="DQ734" s="1715" t="str">
        <f>IFERROR(IF(AND(OR(GC734=4,GC734=5,GC734=6),OR(GF734=4,GF734=5,GF734=6)),GC734+8,VLOOKUP(CW736,Fixtures!R$31:Y$78,8,FALSE)),"")</f>
        <v/>
      </c>
      <c r="DR734" s="1829" t="str">
        <f>DQ734</f>
        <v/>
      </c>
      <c r="DS734" s="1702" t="str">
        <f>IFERROR(VLOOKUP(DG736,Lookup!BB$3:BC$20,2,FALSE),"")</f>
        <v/>
      </c>
      <c r="DT734" s="1713" t="str">
        <f>IF(OR(DS734=7,DS734=8,DS734=9),"ALC","")</f>
        <v/>
      </c>
      <c r="DU734" s="1715">
        <f>IFERROR(IF(OR(DQ734=4,DQ734=5,DQ734=6,DQ734=12,DQ734=13,DQ734=14),VLOOKUP(CW736,Fixtures!DN$27:EG$77,19,FALSE),1)*CV736,0)</f>
        <v>0</v>
      </c>
      <c r="DV734" s="1716">
        <f>IF(OR(DS734=7,DS734=8,DS734=9),IF(DG734=DG736,0,DF736),0)</f>
        <v>0</v>
      </c>
      <c r="DX734" s="1715" t="str">
        <f>IFERROR(IF(EZ734&lt;EZ736,"Yes","No"),"")</f>
        <v/>
      </c>
      <c r="DY734" s="1829" t="str">
        <f>DX734</f>
        <v/>
      </c>
      <c r="DZ734" s="1715">
        <f>IF(DX734="Yes",DF736,0)</f>
        <v>0</v>
      </c>
      <c r="EA734" s="1715">
        <f>DZ734-DV734</f>
        <v>0</v>
      </c>
      <c r="EC734" s="1834">
        <f>IFERROR(VLOOKUP(DQ734,Lookup!AU$3:AV$16,2,FALSE),0)</f>
        <v>0</v>
      </c>
      <c r="ED734" s="1834">
        <f>IF(IB734=FALSE,0,IF(DX734="Yes",EC734+Lookup!K$6,EC734))</f>
        <v>0</v>
      </c>
      <c r="EF734" s="1707">
        <f>IF(IB734=TRUE,DM734,0)</f>
        <v>0</v>
      </c>
      <c r="EG734" s="1712">
        <f>IF(IB734=TRUE,CZ736,0)</f>
        <v>0</v>
      </c>
      <c r="EH734" s="1814">
        <f>IFERROR(EF734-EG734,0)</f>
        <v>0</v>
      </c>
      <c r="EI734" s="1712">
        <f>IF(IB734=TRUE,DJ736,0)</f>
        <v>0</v>
      </c>
      <c r="EJ734" s="1712">
        <f>IFERROR(EF734-EG734+EI734,0)</f>
        <v>0</v>
      </c>
      <c r="EK734" s="1812">
        <f>IF(IB734=TRUE,CV736*CX736,0)</f>
        <v>0</v>
      </c>
      <c r="EL734" s="1812">
        <f>IF(IB734=TRUE,DF736*DH736,0)</f>
        <v>0</v>
      </c>
      <c r="EM734" s="1807">
        <f>AR734</f>
        <v>0</v>
      </c>
      <c r="EN734" s="1839" t="str">
        <f>IFERROR(IF(IB734=TRUE,VLOOKUP(DQ734,Lookup!AU$3:AW$16,3,FALSE)*DU734,""),0)</f>
        <v/>
      </c>
      <c r="EO734" s="1839">
        <f>IF(IB734=TRUE,DZ734*Lookup!AW$12,0)</f>
        <v>0</v>
      </c>
      <c r="EP734" s="1817">
        <f>IFERROR(IF(IB734=TRUE,EN734/EP$40,0),0)</f>
        <v>0</v>
      </c>
      <c r="EQ734" s="1817">
        <f>IF(IB734=TRUE,EO734/EQ$40,0)</f>
        <v>0</v>
      </c>
      <c r="ER734" s="1807">
        <f>IF(IB734=TRUE,ET$40*EP734,0)</f>
        <v>0</v>
      </c>
      <c r="ES734" s="1807">
        <f>IF(IB734=TRUE,ET$40*EQ734,0)</f>
        <v>0</v>
      </c>
      <c r="ET734" s="1807">
        <f>ER734+ES734</f>
        <v>0</v>
      </c>
      <c r="EV734" s="1715">
        <f>IF(G734="",0,1)</f>
        <v>0</v>
      </c>
      <c r="EX734" s="1804" t="str">
        <f>IFERROR(VLOOKUP(CS736,'Space Table'!$B$3:$L$163,8,FALSE),"")</f>
        <v/>
      </c>
      <c r="EY734" s="1804" t="str">
        <f>IFERROR(IF(FB734="Yes",VLOOKUP(DG734,Lookup_Control_Type_Table2,4,FALSE),VLOOKUP(DG734,Lookup_Control_Type_Table2,3,FALSE)),"")</f>
        <v/>
      </c>
      <c r="EZ734" s="1804" t="e">
        <f>VLOOKUP(DG734,Lookup!BB$3:BC$20,2,FALSE)</f>
        <v>#N/A</v>
      </c>
      <c r="FA734" s="1804" t="e">
        <f>VLOOKUP(EX734,Lookup_Control_Type_Table,2,FALSE)</f>
        <v>#N/A</v>
      </c>
      <c r="FB734" s="1804" t="e">
        <f>VLOOKUP(CS736,'Space Table'!$B$3:$L$163,7,FALSE)</f>
        <v>#N/A</v>
      </c>
      <c r="FC734" s="1826" t="b">
        <f>ISNUMBER(SEARCH("TLED",U736))</f>
        <v>0</v>
      </c>
      <c r="FE734" s="1698" t="str">
        <f>CONCATENATE(CQ734," - ",DG734)</f>
        <v xml:space="preserve"> - 0</v>
      </c>
      <c r="FG734" s="1702" t="str">
        <f>VLOOKUP(CW736,Fixtures!DN$27:EZ$77,38,FALSE)</f>
        <v/>
      </c>
      <c r="FH734" s="1702">
        <f>IFERROR(FG734*EH734,0)</f>
        <v>0</v>
      </c>
      <c r="FI734" s="133"/>
      <c r="FL734" s="1822" t="str">
        <f>IF(CQ734="Exterior","Not Daylighted",G737)</f>
        <v>Not Daylighted</v>
      </c>
      <c r="FM734" s="1824">
        <f>VLOOKUP(FL734,_New_Daylight_Table_Codes,2,FALSE)</f>
        <v>0</v>
      </c>
      <c r="FN734" s="1698">
        <f>IF(__Retrofit_TI_NC&gt;0,VLOOKUP(G736,'Space Table'!$B$3:$L$163,11,FALSE),AG735)</f>
        <v>0</v>
      </c>
      <c r="FO734" s="1698" t="e">
        <f>IF(__Retrofit_TI_NC=2,VLOOKUP(FQ734,_Control_Table,2,FALSE),VLOOKUP(FN734,_Control_Table,2,FALSE))</f>
        <v>#N/A</v>
      </c>
      <c r="FP734" s="1678" t="e">
        <f>VLOOKUP(CONCATENATE(FL734," ",FN734),Lookup!AY$102:AZ744,2,FALSE)</f>
        <v>#N/A</v>
      </c>
      <c r="FQ734" s="1678">
        <f>IF(__Retrofit_TI_NC=0,FN734,IF(AND(FT734&gt;0,FN734="Occupancy Sensor"),"Daylight + Occupancy",IF(AND(FT734&gt;0,VLOOKUP(FN734,_Control_Table,2,FALSE)&lt;4),"Interior Daylight Dimming",FN734)))</f>
        <v>0</v>
      </c>
      <c r="FS734" s="1686">
        <f>IF(CR734="Interior",VLOOKUP(CS734,Control_Savings_Interior,5,FALSE),0)</f>
        <v>0</v>
      </c>
      <c r="FT734" s="1687">
        <f>IF(CQ734="Exterior",0,IF(FM734=2,0.5,IF(OR(FM734=1,FM734=3),1,0)))</f>
        <v>0</v>
      </c>
      <c r="FU734" s="1685">
        <f>IF(R733&gt;FS$44,(FS734*(FS$44/R733)),FS734)*FT734</f>
        <v>0</v>
      </c>
      <c r="FV734" s="1686">
        <f>DI734</f>
        <v>0</v>
      </c>
      <c r="FW734" s="1686">
        <f>ROUND(FV734+((1-FV734)*FU734),2)</f>
        <v>0</v>
      </c>
      <c r="FX734" s="1686">
        <f>IF(__Retrofit_TI_NC=2,FW734,FV734)</f>
        <v>0</v>
      </c>
      <c r="FY734" s="1697"/>
      <c r="GA734" s="1696" t="str">
        <f>IFERROR(VLOOKUP(U735,_Exist_Fixture_Table,3,FALSE),"")</f>
        <v/>
      </c>
      <c r="GB734" s="1696" t="str">
        <f>VLOOKUP(CW734,_Exist_Fixture_Table,4,FALSE)</f>
        <v/>
      </c>
      <c r="GC734" s="1696">
        <f>IFERROR(VLOOKUP(GB734,Lookup!AT$6:AU$8,2,FALSE),0)</f>
        <v>0</v>
      </c>
      <c r="GD734" s="1696" t="b">
        <f>IFERROR(IF(OR(GF734=4,GF734=5,GF734=6),TRUE,FALSE),"")</f>
        <v>0</v>
      </c>
      <c r="GE734" s="1696" t="str">
        <f>IFERROR(VLOOKUP(GF734,GC$6:GD$10,2,FALSE),"")</f>
        <v/>
      </c>
      <c r="GF734" s="1696" t="str">
        <f>VLOOKUP(CW736,Fixtures!R$31:Y$78,8,FALSE)</f>
        <v/>
      </c>
      <c r="GG734" s="1696">
        <f>IF(AND(GA734=TRUE,GD734=TRUE,OR(DQ734=12,DQ734=13,DQ734=14)),GC734+8,0)</f>
        <v>0</v>
      </c>
      <c r="GH734" s="1696" t="b">
        <f>IF(OR(GG734=12,GG734=13,GG734=14),TRUE,FALSE)</f>
        <v>0</v>
      </c>
      <c r="GI734" s="673" t="b">
        <f>IF(ISNUMBER(SEARCH("TLED",U735)),TRUE,FALSE)</f>
        <v>0</v>
      </c>
      <c r="GJ734" s="1135" t="str">
        <f>IFERROR(VLOOKUP(U735,Fixtures!BM$93:BR$142,6,FALSE),"")</f>
        <v/>
      </c>
      <c r="GK734" s="1832" t="b">
        <f>IF(OR(GI734=FALSE,GI736=FALSE),TRUE,IF(GJ734-GJ736&lt;5,FALSE,TRUE))</f>
        <v>1</v>
      </c>
      <c r="GO734" s="674">
        <f>GP734</f>
        <v>0</v>
      </c>
      <c r="GP734" s="674">
        <f>IF(G734="",0,1)</f>
        <v>0</v>
      </c>
      <c r="GQ734" s="674">
        <f ca="1">SUM(GR734:HF734)</f>
        <v>2</v>
      </c>
      <c r="GR734" s="674">
        <f>IF(G735="",0,1)</f>
        <v>0</v>
      </c>
      <c r="GS734" s="674">
        <f>IF(N737="BAM",1,IF(G736="",0,1))</f>
        <v>0</v>
      </c>
      <c r="GT734" s="674">
        <f>IF(N737="BAM",1,IF(R735="",0,1))</f>
        <v>0</v>
      </c>
      <c r="GU734" s="674">
        <f>IF(N737="BAM",1,IF(__Retrofit_TI_NC=0,1,IF(R736="",0,1)))</f>
        <v>1</v>
      </c>
      <c r="GV734" s="674">
        <f>IF(N737="BAM",1,IF(CQ734="Exterior",1,IF(G737="",0,1)))</f>
        <v>1</v>
      </c>
      <c r="GW734" s="674">
        <f>IF(__Retrofit_TI_NC&gt;0,1,IF(T735="",0,1))</f>
        <v>0</v>
      </c>
      <c r="GX734" s="674">
        <f>IF(__Retrofit_TI_NC&gt;0,1,IF(U735="",0,1))</f>
        <v>0</v>
      </c>
      <c r="GY734" s="674">
        <f>IF(N737="BAM",1,IF(T736="",0,1))</f>
        <v>0</v>
      </c>
      <c r="GZ734" s="674">
        <f>IF(N737="BAM",1,IF(U736="",0,1))</f>
        <v>0</v>
      </c>
      <c r="HA734" s="674">
        <f ca="1">IF(N737="BAM",1,IF(__Retrofit_TI_NC&gt;0,1,IF(U737="",0,1)))</f>
        <v>0</v>
      </c>
      <c r="HB734" s="674">
        <f>IF(__Retrofit_TI_NC&lt;&gt;0,1,IF(AF735="",0,1))</f>
        <v>0</v>
      </c>
      <c r="HC734" s="674">
        <f>IF(__Retrofit_TI_NC&lt;&gt;0,1,IF(AG735="",0,1))</f>
        <v>0</v>
      </c>
      <c r="HD734" s="674">
        <f>IF(N737="BAM",1,IF(AF736="",0,1))</f>
        <v>0</v>
      </c>
      <c r="HE734" s="674">
        <f>IF(N737="BAM",1,IF(AG736="",0,1))</f>
        <v>0</v>
      </c>
      <c r="HF734" s="674">
        <f>IF(N737="BAM",1,IF(__Retrofit_TI_NC&gt;0,1,IF(AG737="",0,1)))</f>
        <v>0</v>
      </c>
      <c r="HG734" s="391"/>
      <c r="IA734" s="391"/>
      <c r="IB734" s="1693" t="b">
        <f>IF(OR(IB737=0,IB737=HY$16,IB737=HX$16,IB737=HZ$16),TRUE,FALSE)</f>
        <v>0</v>
      </c>
      <c r="IC734" s="1694" t="b">
        <f>IB734</f>
        <v>0</v>
      </c>
      <c r="ID734" s="391"/>
      <c r="IE734" s="391"/>
      <c r="IF734" s="1688" t="b">
        <f ca="1">IF(MAX(GN737:HU737)&gt;5,FALSE,TRUE)</f>
        <v>0</v>
      </c>
      <c r="IG734" s="1689">
        <f ca="1">IF(IF734=TRUE,AC734,0)</f>
        <v>0</v>
      </c>
      <c r="IH734" s="1689">
        <f ca="1">IG734-IG736</f>
        <v>0</v>
      </c>
      <c r="IK734" s="1689" t="e">
        <f>ROUND(T735*VLOOKUP(U735,Fixtures_Existing_List,2,FALSE)*N735*R735/1000,0)</f>
        <v>#N/A</v>
      </c>
      <c r="IL734" s="1690" t="e">
        <f>IK734-IK736</f>
        <v>#N/A</v>
      </c>
      <c r="IM734" s="1693" t="e">
        <f>ROUND(IF(CQ734="Interior",N736*R736*R735*N735*_C406_reduction/1000,N736*R736*R735*N735/1000),0)</f>
        <v>#N/A</v>
      </c>
      <c r="IN734" s="1693" t="e">
        <f>IM734-IM736</f>
        <v>#N/A</v>
      </c>
      <c r="IP734" s="1679"/>
      <c r="IQ734" s="1679" t="e">
        <f t="shared" ref="IQ734:IU734" si="676">IF($CR734="interior",VLOOKUP($CS734,_New_Control_Savings_Interior,IQ$30,FALSE),VLOOKUP($CS734,Control_Savings_Exterior,IQ$30,FALSE))</f>
        <v>#N/A</v>
      </c>
      <c r="IR734" s="1679" t="e">
        <f t="shared" si="676"/>
        <v>#N/A</v>
      </c>
      <c r="IS734" s="1679" t="e">
        <f t="shared" si="676"/>
        <v>#N/A</v>
      </c>
      <c r="IT734" s="1679" t="e">
        <f t="shared" si="676"/>
        <v>#N/A</v>
      </c>
      <c r="IU734" s="1679" t="e">
        <f t="shared" si="676"/>
        <v>#N/A</v>
      </c>
      <c r="IV734" s="1679" t="e">
        <f>IF($CR734="interior",IF(R735&gt;$IP$14,ROUND(($IV$18*($IP$14/R735)),2),$IV$18),VLOOKUP($CS734,Control_Savings_Exterior,IV$30,FALSE))</f>
        <v>#N/A</v>
      </c>
      <c r="IW734" s="1679" t="e">
        <f>IF($CR734="interior",ROUND(((1-IS734)*IV734)+IS734,2),VLOOKUP($CS734,Control_Savings_Exterior,IW$30,FALSE))</f>
        <v>#N/A</v>
      </c>
      <c r="IX734" s="1679" t="e">
        <f>IF($CR734="interior",ROUND(((1-IT734)*IV734)+IT734,2),VLOOKUP($CS734,Control_Savings_Exterior,IX$30,FALSE))</f>
        <v>#N/A</v>
      </c>
      <c r="IY734" s="1679" t="e">
        <f>IF($CR734="interior",IF(R735&gt;$IP$14,ROUND(($IY$18*($IP$14/R735)),2),$IY$18),VLOOKUP($CS734,Control_Savings_Exterior,IY$30,FALSE))</f>
        <v>#N/A</v>
      </c>
      <c r="IZ734" s="1679" t="e">
        <f>IF($CR734="interior",ROUND(((1-IS734)*IY734)+IS734,2),VLOOKUP($CS734,Control_Savings_Exterior,IZ$30,FALSE))</f>
        <v>#N/A</v>
      </c>
      <c r="JA734" s="1679" t="e">
        <f>IF($CR734="interior",ROUND(((1-IT734)*IY734)+IT734,2),VLOOKUP($CS734,Control_Savings_Exterior,JA$30,FALSE))</f>
        <v>#N/A</v>
      </c>
      <c r="JC734" s="1680">
        <f>IFERROR(IF(CR734="Interior",CONCATENATE(G737," ",FQ734),FQ734),"")</f>
        <v>0</v>
      </c>
      <c r="JD734" s="1670" t="str">
        <f>IFERROR(VLOOKUP(JC734,_Controls_2023,2,FALSE),"")</f>
        <v/>
      </c>
      <c r="JE734" s="1681">
        <f>IFERROR(CHOOSE(JD734-1,IQ734,IR734,IS734,IT734,IU734,IV734,IW734,IX734,IY734,IZ734,JA734),0)</f>
        <v>0</v>
      </c>
      <c r="JG734" s="1680" t="str">
        <f>FE734</f>
        <v xml:space="preserve"> - 0</v>
      </c>
      <c r="JH734" s="1670" t="e">
        <f>$FO734</f>
        <v>#N/A</v>
      </c>
      <c r="JI734" s="1060"/>
      <c r="JJ734" s="1682" t="b">
        <f>IF($JG736=CONCATENATE("Interior - ",JJ$4),TRUE,FALSE)</f>
        <v>0</v>
      </c>
      <c r="JK734" s="1061"/>
      <c r="JL734" s="1682" t="b">
        <f>IF($JG736=CONCATENATE("Interior - ",JL$4),TRUE,FALSE)</f>
        <v>0</v>
      </c>
      <c r="JM734" s="1061"/>
      <c r="JN734" s="1682" t="b">
        <f>IF($JG736=CONCATENATE("Interior - ",JN$4),TRUE,FALSE)</f>
        <v>0</v>
      </c>
      <c r="JO734" s="1061"/>
      <c r="JP734" s="1682" t="b">
        <f>IF(__Retrofit_TI_NC&gt;0,FALSE,IF($JG736=CONCATENATE("Interior - ",JP$4),TRUE,FALSE))</f>
        <v>0</v>
      </c>
      <c r="JQ734" s="1061"/>
      <c r="JR734" s="1682" t="b">
        <f>IF(__Retrofit_TI_NC&gt;0,FALSE,IF($JG736=CONCATENATE("Interior - ",JR$4),TRUE,FALSE))</f>
        <v>0</v>
      </c>
      <c r="JS734" s="1061"/>
      <c r="JT734" s="1670" t="b">
        <f>IF(__Retrofit_TI_NC&gt;0,FALSE,IF($JG736=CONCATENATE("Interior - ",JT$4),TRUE,FALSE))</f>
        <v>0</v>
      </c>
      <c r="JU734" s="1061"/>
      <c r="JV734" s="1670" t="b">
        <f>IF(JC736="AELC on Existing",TRUE,FALSE)</f>
        <v>0</v>
      </c>
      <c r="JX734" s="1670" t="b">
        <f>IF(OR(JG736="Exterior - AELC Occupancy based",JG736="Exterior - AELC Time based"),TRUE,FALSE)</f>
        <v>0</v>
      </c>
      <c r="JZ734" s="1682" t="b">
        <f>IF($JG736=CONCATENATE("Exterior - ",JZ$4),TRUE,FALSE)</f>
        <v>0</v>
      </c>
      <c r="KB734" s="1670" t="b">
        <f>IF(__Retrofit_TI_NC&gt;0,FALSE,IF($JG736=CONCATENATE("Interior - ",KB$4),TRUE,FALSE))</f>
        <v>0</v>
      </c>
    </row>
    <row r="735" spans="1:288" s="78" customFormat="1" ht="14.95" customHeight="1" thickTop="1" thickBot="1">
      <c r="B735" s="1845"/>
      <c r="C735" s="1846"/>
      <c r="D735" s="1847"/>
      <c r="E735" s="1737" t="s">
        <v>297</v>
      </c>
      <c r="F735" s="1738"/>
      <c r="G735" s="1739"/>
      <c r="H735" s="1739"/>
      <c r="I735" s="1739"/>
      <c r="J735" s="1739"/>
      <c r="K735" s="1739"/>
      <c r="L735" s="1739"/>
      <c r="M735" s="461" t="e">
        <f>IF(__Retrofit_TI_NC&lt;&gt;0,IF(VLOOKUP(G736,'Space Table'!$B$3:$L$163,3,FALSE)&gt;0,1,0),IF(__Retrofit_TI_NC=VLOOKUP(G736,'Space Table'!$B$3:$L$163,3,FALSE),1,0))</f>
        <v>#N/A</v>
      </c>
      <c r="N735" s="461" t="str">
        <f>IFERROR(VLOOKUP(G735,_Lookup_Heat_Type_Table_New,2,FALSE),"")</f>
        <v/>
      </c>
      <c r="O735" s="461">
        <f>IF(__Retrofit_TI_NC=1,CONCATENATE("TI ",G735),IF(__Retrofit_TI_NC=2,CONCATENATE("NC ",G735),G735))</f>
        <v>0</v>
      </c>
      <c r="P735" s="1740" t="s">
        <v>435</v>
      </c>
      <c r="Q735" s="1740"/>
      <c r="R735" s="595"/>
      <c r="S735" s="1792"/>
      <c r="T735" s="597"/>
      <c r="U735" s="1765"/>
      <c r="V735" s="1766"/>
      <c r="W735" s="1766"/>
      <c r="X735" s="1766"/>
      <c r="Y735" s="1766"/>
      <c r="Z735" s="1766"/>
      <c r="AA735" s="1766"/>
      <c r="AB735" s="1766"/>
      <c r="AC735" s="1766"/>
      <c r="AD735" s="1767"/>
      <c r="AE735" s="1000"/>
      <c r="AF735" s="597"/>
      <c r="AG735" s="1723"/>
      <c r="AH735" s="1724"/>
      <c r="AI735" s="1724"/>
      <c r="AJ735" s="1724"/>
      <c r="AK735" s="1725"/>
      <c r="AL735" s="996"/>
      <c r="AM735" s="1747"/>
      <c r="AN735" s="1775"/>
      <c r="AO735" s="1777"/>
      <c r="AP735" s="1780"/>
      <c r="AQ735" s="1781"/>
      <c r="AR735" s="1795"/>
      <c r="AS735" s="1795"/>
      <c r="AT735" s="1796"/>
      <c r="AU735" s="1735"/>
      <c r="AV735" s="1752"/>
      <c r="AW735" s="1705"/>
      <c r="AX735" s="467"/>
      <c r="AY735" s="1749"/>
      <c r="AZ735" s="1749"/>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696"/>
      <c r="CQ735" s="1696"/>
      <c r="CR735" s="1809"/>
      <c r="CS735" s="1811"/>
      <c r="CU735" s="1688"/>
      <c r="CV735" s="1703"/>
      <c r="CW735" s="1703"/>
      <c r="CX735" s="1703"/>
      <c r="CY735" s="1815"/>
      <c r="CZ735" s="1711"/>
      <c r="DA735" s="1818"/>
      <c r="DB735" s="1820"/>
      <c r="DC735" s="1820"/>
      <c r="DD735" s="1820"/>
      <c r="DF735" s="1703"/>
      <c r="DG735" s="1831"/>
      <c r="DH735" s="1703"/>
      <c r="DI735" s="1838"/>
      <c r="DJ735" s="1711"/>
      <c r="DK735" s="1712"/>
      <c r="DM735" s="1718"/>
      <c r="DO735" s="1708"/>
      <c r="DQ735" s="1715"/>
      <c r="DR735" s="1720"/>
      <c r="DS735" s="1816"/>
      <c r="DT735" s="1714"/>
      <c r="DU735" s="1715"/>
      <c r="DV735" s="1716"/>
      <c r="DX735" s="1715"/>
      <c r="DY735" s="1720"/>
      <c r="DZ735" s="1715"/>
      <c r="EA735" s="1715"/>
      <c r="EC735" s="1834"/>
      <c r="ED735" s="1834"/>
      <c r="EF735" s="1707"/>
      <c r="EG735" s="1712"/>
      <c r="EH735" s="1818"/>
      <c r="EI735" s="1712"/>
      <c r="EJ735" s="1712"/>
      <c r="EK735" s="1836"/>
      <c r="EL735" s="1836"/>
      <c r="EM735" s="1807"/>
      <c r="EN735" s="1839"/>
      <c r="EO735" s="1839"/>
      <c r="EP735" s="1817"/>
      <c r="EQ735" s="1817"/>
      <c r="ER735" s="1807"/>
      <c r="ES735" s="1807"/>
      <c r="ET735" s="1807"/>
      <c r="EV735" s="1715"/>
      <c r="EX735" s="1805"/>
      <c r="EY735" s="1805"/>
      <c r="EZ735" s="1805"/>
      <c r="FA735" s="1805"/>
      <c r="FB735" s="1805"/>
      <c r="FC735" s="1827"/>
      <c r="FE735" s="1698"/>
      <c r="FG735" s="1816"/>
      <c r="FH735" s="1816"/>
      <c r="FI735" s="133"/>
      <c r="FL735" s="1823"/>
      <c r="FM735" s="1825"/>
      <c r="FN735" s="1698"/>
      <c r="FO735" s="1698"/>
      <c r="FP735" s="1678"/>
      <c r="FQ735" s="1678"/>
      <c r="FS735" s="1687"/>
      <c r="FT735" s="1687"/>
      <c r="FU735" s="1685"/>
      <c r="FV735" s="1687"/>
      <c r="FW735" s="1687"/>
      <c r="FX735" s="1687"/>
      <c r="FY735" s="1697"/>
      <c r="GA735" s="1696"/>
      <c r="GB735" s="1696"/>
      <c r="GC735" s="1696"/>
      <c r="GD735" s="1696"/>
      <c r="GE735" s="1696"/>
      <c r="GF735" s="1696"/>
      <c r="GG735" s="1696"/>
      <c r="GH735" s="1696"/>
      <c r="GI735" s="673"/>
      <c r="GJ735" s="1135"/>
      <c r="GK735" s="1832"/>
      <c r="GM735" s="1693" t="b">
        <f ca="1">IF(AND(GP735=TRUE,GQ735=TRUE),TRUE,FALSE)</f>
        <v>0</v>
      </c>
      <c r="GN735" s="1684" t="b">
        <f>IFERROR(IF(__Retrofit_TI_NC=2,TRUE,IF(AU734="Yes",TRUE,FALSE)),FALSE)</f>
        <v>1</v>
      </c>
      <c r="GP735" s="1684" t="b">
        <f>IFERROR(IF(GP734=1,TRUE,FALSE),FALSE)</f>
        <v>0</v>
      </c>
      <c r="GQ735" s="1684" t="b">
        <f ca="1">IFERROR(IF(GQ734=GQ$14,TRUE,FALSE),FALSE)</f>
        <v>0</v>
      </c>
      <c r="HG735" s="1684" t="b">
        <f>IFERROR(IF(AND(__Retrofit_TI_NC&gt;0,CQ734="Interior"),FALSE,TRUE),FALSE)</f>
        <v>1</v>
      </c>
      <c r="HH735" s="1684" t="b">
        <f>IFERROR(IF(M735=1,TRUE,FALSE),FALSE)</f>
        <v>0</v>
      </c>
      <c r="HI735" s="1684" t="b">
        <f>IFERROR(IF(OR(M736=1,N737="BAM"),TRUE,FALSE),FALSE)</f>
        <v>0</v>
      </c>
      <c r="HJ735" s="1684" t="b">
        <f>IFERROR(IF(__Retrofit_TI_NC&lt;&gt;0,TRUE,IFERROR(IF(VLOOKUP(U735,Fixtures_Existing_List,2,FALSE)&lt;&gt;"",TRUE,FALSE),FALSE)),FALSE)</f>
        <v>0</v>
      </c>
      <c r="HK735" s="1684" t="b">
        <f>IFERROR(IF(VLOOKUP(U736,Fixtures_Proposed_List,2,FALSE)&lt;&gt;"",TRUE,FALSE),FALSE)</f>
        <v>0</v>
      </c>
      <c r="HL735" s="1684" t="b">
        <f>IF(AND(__Retrofit_TI_NC=2,FC734=TRUE),FALSE,TRUE)</f>
        <v>1</v>
      </c>
      <c r="HM735" s="1684" t="b">
        <f>GK734</f>
        <v>1</v>
      </c>
      <c r="HN735" s="1682" t="b">
        <f>IF(ISERROR(MATCH(FE734,_Control_Match[],0))=TRUE,FALSE,TRUE)</f>
        <v>0</v>
      </c>
      <c r="HO735" s="1693" t="b">
        <f>IFERROR(IF(EX734&lt;&gt;EY734,FALSE,TRUE),FALSE)</f>
        <v>1</v>
      </c>
      <c r="HP735" s="1693" t="b">
        <f>IFERROR(IF(EX736&lt;&gt;EY736,FALSE,TRUE),FALSE)</f>
        <v>1</v>
      </c>
      <c r="HQ735" s="1670" t="b">
        <f>IFERROR(IF(CQ734="Exterior",TRUE,IF(AND(OR(FM736=0,FM736=3),JD736&gt;6),FALSE,TRUE)),FALSE)</f>
        <v>0</v>
      </c>
      <c r="HR735" s="1684" t="b">
        <f>IFERROR(IF(AND(FO736=7,FC734=TRUE),FALSE,TRUE),FALSE)</f>
        <v>0</v>
      </c>
      <c r="HS735" s="1684" t="b">
        <f>IFERROR(IF(AND(T736&lt;&gt;AF736,OR(AG736="Interior LLLC", AG736="Interior NLC", AG736="LLLC (outside Daylight)",AG736="LLLC Controls Only"))=TRUE,FALSE,TRUE),FALSE)</f>
        <v>1</v>
      </c>
      <c r="HT735" s="1670" t="b">
        <f>IFERROR(IF(OR(AG736=Lookup!BB$17,AG736=Lookup!BB$18,AG736=Lookup!BB$19)=TRUE,IF(AF736&gt;T736,FALSE,TRUE),TRUE),FALSE)</f>
        <v>1</v>
      </c>
      <c r="HU735" s="1684" t="b">
        <f>IFERROR(IF(__Retrofit_TI_NC=2,IF(EZ736&lt;EZ734,FALSE,TRUE),TRUE),FALSE)</f>
        <v>1</v>
      </c>
      <c r="HV735" s="1684" t="b">
        <f>IF(CQ734="Interior",IL$6,TRUE)</f>
        <v>1</v>
      </c>
      <c r="HW735" s="1684" t="b">
        <f>IF(CQ734="Exterior",IL$8,TRUE)</f>
        <v>1</v>
      </c>
      <c r="HX735" s="1684" t="b">
        <f>IFERROR(IF(__Retrofit_TI_NC&lt;&gt;0,IF(AZ734&lt;AY734,FALSE,TRUE),TRUE),FALSE)</f>
        <v>1</v>
      </c>
      <c r="HY735" s="1684" t="b">
        <f>IFERROR(IF(AND(G735="Exterior",R735&gt;4200),FALSE,TRUE),FALSE)</f>
        <v>1</v>
      </c>
      <c r="HZ735" s="1684" t="b">
        <f>IFERROR(IF(AB737/AB734&lt;HZ$18,FALSE,TRUE),FALSE)</f>
        <v>0</v>
      </c>
      <c r="IB735" s="1691"/>
      <c r="IC735" s="1695"/>
      <c r="ID735" s="1694" t="str">
        <f>VLOOKUP(IB737,_Error_Table,4,FALSE)</f>
        <v>White</v>
      </c>
      <c r="IE735" s="391"/>
      <c r="IF735" s="1688"/>
      <c r="IG735" s="1689"/>
      <c r="IH735" s="1684"/>
      <c r="IK735" s="1689"/>
      <c r="IL735" s="1691"/>
      <c r="IM735" s="1691"/>
      <c r="IN735" s="1691"/>
      <c r="IP735" s="1679"/>
      <c r="IQ735" s="1679"/>
      <c r="IR735" s="1679"/>
      <c r="IS735" s="1679"/>
      <c r="IT735" s="1679"/>
      <c r="IU735" s="1679"/>
      <c r="IV735" s="1679"/>
      <c r="IW735" s="1679"/>
      <c r="IX735" s="1679"/>
      <c r="IY735" s="1679"/>
      <c r="IZ735" s="1679"/>
      <c r="JA735" s="1679"/>
      <c r="JC735" s="1680"/>
      <c r="JD735" s="1670"/>
      <c r="JE735" s="1681"/>
      <c r="JG735" s="1680"/>
      <c r="JH735" s="1670"/>
      <c r="JI735" s="1060"/>
      <c r="JJ735" s="1683"/>
      <c r="JK735" s="1061"/>
      <c r="JL735" s="1683"/>
      <c r="JM735" s="1061"/>
      <c r="JN735" s="1683"/>
      <c r="JO735" s="1061"/>
      <c r="JP735" s="1683"/>
      <c r="JQ735" s="1061"/>
      <c r="JR735" s="1683"/>
      <c r="JS735" s="1061"/>
      <c r="JT735" s="1670"/>
      <c r="JU735" s="1061"/>
      <c r="JV735" s="1670"/>
      <c r="JX735" s="1670"/>
      <c r="JZ735" s="1683"/>
      <c r="KB735" s="1670"/>
    </row>
    <row r="736" spans="1:288" s="78" customFormat="1" ht="14.95" customHeight="1" thickTop="1" thickBot="1">
      <c r="A736" s="78">
        <f>ROW()</f>
        <v>736</v>
      </c>
      <c r="B736" s="1845"/>
      <c r="C736" s="1846"/>
      <c r="D736" s="1847"/>
      <c r="E736" s="1737" t="s">
        <v>298</v>
      </c>
      <c r="F736" s="1738"/>
      <c r="G736" s="1760"/>
      <c r="H736" s="1761"/>
      <c r="I736" s="1761"/>
      <c r="J736" s="1761"/>
      <c r="K736" s="1761"/>
      <c r="L736" s="1762"/>
      <c r="M736" s="461">
        <f>IFERROR(IF(IF(__Retrofit_TI_NC&lt;&gt;0,IF(CQ734="Interior",MATCH(G736,Lookup_Interior_New,0),MATCH(G736,Lookup_Exterior_New,0)),IF(CQ734="Interior",MATCH(G736,Lookup_Interior,0),MATCH(G736,Lookup_Exterior_Areas,0)))&gt;0,1,0),0)</f>
        <v>0</v>
      </c>
      <c r="N736" s="461" t="e">
        <f>IF(__Retrofit_TI_NC=1,
VLOOKUP(G736,'Space Table'!$B$3:$L$163,4,FALSE),
IF(__Retrofit_TI_NC=2,VLOOKUP(G736,'Space Table'!$B$3:$L$163,5,FALSE),VLOOKUP(G736,'Space Table'!$B$3:$L$163,5,FALSE)))</f>
        <v>#N/A</v>
      </c>
      <c r="O736" s="461">
        <f>G736</f>
        <v>0</v>
      </c>
      <c r="P736" s="1738" t="str">
        <f>IFERROR(IF(__Retrofit_TI_NC=1,VLOOKUP(G736,'Space Table'!$B$3:$O$163,13,FALSE),IF(__Retrofit_TI_NC=2,VLOOKUP(G736,'Space Table'!$B$3:$O$163,14,FALSE),"Area (sf):")),"Area (sf):")</f>
        <v>Area (sf):</v>
      </c>
      <c r="Q736" s="1738"/>
      <c r="R736" s="596"/>
      <c r="S736" s="1763" t="s">
        <v>345</v>
      </c>
      <c r="T736" s="594"/>
      <c r="U736" s="1801"/>
      <c r="V736" s="1802"/>
      <c r="W736" s="1802"/>
      <c r="X736" s="1802"/>
      <c r="Y736" s="1802"/>
      <c r="Z736" s="1802"/>
      <c r="AA736" s="1802"/>
      <c r="AB736" s="1802"/>
      <c r="AC736" s="1802"/>
      <c r="AD736" s="1802"/>
      <c r="AE736" s="1803"/>
      <c r="AF736" s="594"/>
      <c r="AG736" s="1787"/>
      <c r="AH736" s="1787"/>
      <c r="AI736" s="1787"/>
      <c r="AJ736" s="1787"/>
      <c r="AK736" s="1787"/>
      <c r="AL736" s="1787"/>
      <c r="AM736" s="1726">
        <f>IFERROR(DI736,"")</f>
        <v>0</v>
      </c>
      <c r="AN736" s="1728" t="str">
        <f>IFERROR(ROUND(AM736*AC737,0),"")</f>
        <v/>
      </c>
      <c r="AO736" s="1730">
        <f>IFERROR(IF(IB734=FALSE,0,AC737-AN736),0)</f>
        <v>0</v>
      </c>
      <c r="AP736" s="1780"/>
      <c r="AQ736" s="1781"/>
      <c r="AR736" s="1795"/>
      <c r="AS736" s="1795"/>
      <c r="AT736" s="1796"/>
      <c r="AU736" s="1735"/>
      <c r="AV736" s="1752"/>
      <c r="AW736" s="1705"/>
      <c r="AX736" s="467"/>
      <c r="AY736" s="1749"/>
      <c r="AZ736" s="1749"/>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696"/>
      <c r="CQ736" s="1696"/>
      <c r="CR736" s="1808" t="str">
        <f>CQ734</f>
        <v/>
      </c>
      <c r="CS736" s="1810" t="str">
        <f>CS734</f>
        <v/>
      </c>
      <c r="CU736" s="1688" t="s">
        <v>345</v>
      </c>
      <c r="CV736" s="1702">
        <f>IF(IB734=TRUE,T736,0)</f>
        <v>0</v>
      </c>
      <c r="CW736" s="1702" t="str">
        <f>IF(IB734=TRUE,U736,"")</f>
        <v/>
      </c>
      <c r="CX736" s="1812">
        <f>IF(IB734=TRUE,U737,0)</f>
        <v>0</v>
      </c>
      <c r="CY736" s="1814">
        <f>IF(IB734=TRUE,AB737,0)</f>
        <v>0</v>
      </c>
      <c r="CZ736" s="1710">
        <f>IF(AND(__Retrofit_TI_NC&gt;0,CR734="interior"),0,IF(IB734=TRUE,AC737,0))</f>
        <v>0</v>
      </c>
      <c r="DA736" s="1818"/>
      <c r="DB736" s="1820"/>
      <c r="DC736" s="1820"/>
      <c r="DD736" s="1820"/>
      <c r="DF736" s="1702">
        <f>IF(IB734=TRUE,AF736,0)</f>
        <v>0</v>
      </c>
      <c r="DG736" s="1830" t="str">
        <f>IF(IB734=TRUE,AG736,"")</f>
        <v/>
      </c>
      <c r="DH736" s="1812">
        <f>AG737</f>
        <v>0</v>
      </c>
      <c r="DI736" s="1837">
        <f>JE736</f>
        <v>0</v>
      </c>
      <c r="DJ736" s="1710">
        <f>IF(AND(__Retrofit_TI_NC&gt;0,CR734="interior"),0,IF(IB734=TRUE,AN736,0))</f>
        <v>0</v>
      </c>
      <c r="DK736" s="1712"/>
      <c r="DN736" s="1717">
        <f>IFERROR(CZ736-DJ736,0)</f>
        <v>0</v>
      </c>
      <c r="DO736" s="1709"/>
      <c r="DQ736" s="1715"/>
      <c r="DR736" s="1719" t="str">
        <f>DQ734</f>
        <v/>
      </c>
      <c r="DS736" s="1816"/>
      <c r="DT736" s="1835" t="str">
        <f>IF(OR(DS734=7,DS734=8,DS734=9),"ALC","")</f>
        <v/>
      </c>
      <c r="DU736" s="1715"/>
      <c r="DV736" s="1716"/>
      <c r="DX736" s="1715"/>
      <c r="DY736" s="1829" t="str">
        <f>DX734</f>
        <v/>
      </c>
      <c r="DZ736" s="1715"/>
      <c r="EA736" s="1715"/>
      <c r="EC736" s="1834"/>
      <c r="ED736" s="1834"/>
      <c r="EF736" s="1707"/>
      <c r="EG736" s="1712"/>
      <c r="EH736" s="1818"/>
      <c r="EI736" s="1712"/>
      <c r="EJ736" s="1712"/>
      <c r="EK736" s="1836"/>
      <c r="EL736" s="1836"/>
      <c r="EM736" s="1807"/>
      <c r="EN736" s="1839"/>
      <c r="EO736" s="1839"/>
      <c r="EP736" s="1817"/>
      <c r="EQ736" s="1817"/>
      <c r="ER736" s="1807"/>
      <c r="ES736" s="1807"/>
      <c r="ET736" s="1807"/>
      <c r="EV736" s="1715"/>
      <c r="EX736" s="1805" t="str">
        <f>IFERROR(VLOOKUP(CS736,'Space Table'!$B$3:$L$163,8,FALSE),"")</f>
        <v/>
      </c>
      <c r="EY736" s="1805" t="str">
        <f>IFERROR(IF(FB736="Yes",VLOOKUP(AG736,Lookup_Control_Type_Table2,4,FALSE),VLOOKUP(AG736,Lookup_Control_Type_Table2,3,FALSE)),"")</f>
        <v/>
      </c>
      <c r="EZ736" s="1805" t="e">
        <f>VLOOKUP(AG736,Lookup!BB$3:BC$20,2,FALSE)</f>
        <v>#N/A</v>
      </c>
      <c r="FA736" s="1805" t="e">
        <f>VLOOKUP(EX734,Lookup_Control_Type_Table,2,FALSE)</f>
        <v>#N/A</v>
      </c>
      <c r="FB736" s="1805" t="e">
        <f>VLOOKUP(CS736,'Space Table'!$B$3:$L$163,7,FALSE)</f>
        <v>#N/A</v>
      </c>
      <c r="FC736" s="1827"/>
      <c r="FE736" s="1698" t="str">
        <f>CONCATENATE(CQ734," - ",AG736)</f>
        <v xml:space="preserve"> - </v>
      </c>
      <c r="FG736" s="1816"/>
      <c r="FH736" s="1816"/>
      <c r="FI736" s="133"/>
      <c r="FL736" s="1822" t="str">
        <f>IF(CQ734="Exterior","Not Daylighted",G737)</f>
        <v>Not Daylighted</v>
      </c>
      <c r="FM736" s="1824">
        <f>VLOOKUP(FL736,_New_Daylight_Table_Codes,2,FALSE)</f>
        <v>0</v>
      </c>
      <c r="FN736" s="1698">
        <f>AG736</f>
        <v>0</v>
      </c>
      <c r="FO736" s="1698" t="e">
        <f>VLOOKUP(FN736,_Control_Table,2,FALSE)</f>
        <v>#N/A</v>
      </c>
      <c r="FP736" s="1678" t="e">
        <f>VLOOKUP(CONCATENATE(FL736," ",FN736),Lookup!AY$102:AZ747,2,FALSE)</f>
        <v>#N/A</v>
      </c>
      <c r="FQ736" s="1698">
        <f>IF(__Retrofit_TI_NC=0,FN736,IF(AND(FT736&gt;0,FN736="Occupancy Sensor"),"Daylight + Occupancy",IF(AND(FT736&gt;0,FO736&lt;4),"Interior Daylight Dimming",FN736)))</f>
        <v>0</v>
      </c>
      <c r="FS736" s="1686">
        <f>IF(CQ734="Interior",VLOOKUP(CS734,Control_Savings_Interior,5,FALSE),0)</f>
        <v>0</v>
      </c>
      <c r="FT736" s="1687">
        <f>IF(CQ736="Exterior",0,IF(FM736=2,0.5,IF(OR(FM736=1,FM736=3),1,0)))</f>
        <v>0</v>
      </c>
      <c r="FU736" s="1685">
        <f>IF(R735&gt;FS$44,(FS736*(FS$44/R735)),FS736)*FT736</f>
        <v>0</v>
      </c>
      <c r="FV736" s="1686">
        <f>DI736</f>
        <v>0</v>
      </c>
      <c r="FW736" s="1686">
        <f>ROUND(FV736+((1-FV736)*FU736),2)</f>
        <v>0</v>
      </c>
      <c r="FX736" s="1686">
        <f>IF(__Retrofit_TI_NC=2,FW736,FV736)</f>
        <v>0</v>
      </c>
      <c r="FY736" s="1697">
        <f>IF(CR736="Interior",VLOOKUP(CS736,Control_Savings_Interior,4,FALSE),0)</f>
        <v>0</v>
      </c>
      <c r="GA736" s="1696"/>
      <c r="GB736" s="1696"/>
      <c r="GC736" s="1696"/>
      <c r="GD736" s="1696"/>
      <c r="GE736" s="1696"/>
      <c r="GF736" s="1696"/>
      <c r="GG736" s="1696"/>
      <c r="GH736" s="1696"/>
      <c r="GI736" s="673" t="b">
        <f>IF(ISNUMBER(SEARCH("TLED",U736)),TRUE,FALSE)</f>
        <v>0</v>
      </c>
      <c r="GJ736" s="1135" t="str">
        <f>IFERROR(VLOOKUP(U736,Fixtures!DM$93:DR$142,6,FALSE),"")</f>
        <v/>
      </c>
      <c r="GK736" s="1832"/>
      <c r="GM736" s="1692"/>
      <c r="GN736" s="1684"/>
      <c r="GP736" s="1684"/>
      <c r="GQ736" s="1684"/>
      <c r="HG736" s="1684"/>
      <c r="HH736" s="1684"/>
      <c r="HI736" s="1684"/>
      <c r="HJ736" s="1684"/>
      <c r="HK736" s="1684"/>
      <c r="HL736" s="1684"/>
      <c r="HM736" s="1684"/>
      <c r="HN736" s="1683"/>
      <c r="HO736" s="1692"/>
      <c r="HP736" s="1692"/>
      <c r="HQ736" s="1670"/>
      <c r="HR736" s="1684"/>
      <c r="HS736" s="1684"/>
      <c r="HT736" s="1670"/>
      <c r="HU736" s="1684"/>
      <c r="HV736" s="1684"/>
      <c r="HW736" s="1684"/>
      <c r="HX736" s="1684"/>
      <c r="HY736" s="1684"/>
      <c r="HZ736" s="1684"/>
      <c r="IB736" s="1692"/>
      <c r="IC736" s="1693" t="b">
        <f>IB734</f>
        <v>0</v>
      </c>
      <c r="ID736" s="1695"/>
      <c r="IE736" s="391"/>
      <c r="IF736" s="1688"/>
      <c r="IG736" s="1689">
        <f ca="1">IF(IF734=TRUE,AC737,0)</f>
        <v>0</v>
      </c>
      <c r="IH736" s="1684"/>
      <c r="IK736" s="1689" t="e">
        <f>ROUND(T736*AB737*N735*R735/1000,0)</f>
        <v>#VALUE!</v>
      </c>
      <c r="IL736" s="1691"/>
      <c r="IM736" s="1693" t="e">
        <f>ROUND(T736*AB737*N735*R735/1000,0)</f>
        <v>#VALUE!</v>
      </c>
      <c r="IN736" s="1691"/>
      <c r="IP736" s="1679"/>
      <c r="IQ736" s="1679" t="e">
        <f t="shared" ref="IQ736:IU736" si="677">IF($CR736="interior",VLOOKUP($CS736,_New_Control_Savings_Interior,IQ$30,FALSE),VLOOKUP($CS736,Control_Savings_Exterior,IQ$30,FALSE))</f>
        <v>#N/A</v>
      </c>
      <c r="IR736" s="1679" t="e">
        <f t="shared" si="677"/>
        <v>#N/A</v>
      </c>
      <c r="IS736" s="1679" t="e">
        <f t="shared" si="677"/>
        <v>#N/A</v>
      </c>
      <c r="IT736" s="1679" t="e">
        <f t="shared" si="677"/>
        <v>#N/A</v>
      </c>
      <c r="IU736" s="1679" t="e">
        <f t="shared" si="677"/>
        <v>#N/A</v>
      </c>
      <c r="IV736" s="1679" t="e">
        <f>IF($CR736="interior",IF(R735&gt;$IP$14,ROUND(($IV$18*($IP$14/R735)),2),$IV$18),VLOOKUP($CS736,Control_Savings_Exterior,IV$30,FALSE))</f>
        <v>#N/A</v>
      </c>
      <c r="IW736" s="1679" t="e">
        <f>IF($CR736="interior",ROUND(((1-IS736)*IV736)+IS736,2),VLOOKUP($CS736,Control_Savings_Exterior,IW$30,FALSE))</f>
        <v>#N/A</v>
      </c>
      <c r="IX736" s="1679" t="e">
        <f>IF($CR736="interior",ROUND(((1-IT736)*IV736)+IT736,2),VLOOKUP($CS736,Control_Savings_Exterior,IX$30,FALSE))</f>
        <v>#N/A</v>
      </c>
      <c r="IY736" s="1679" t="e">
        <f>IF($CR736="interior",IF(R735&gt;$IP$14,ROUND(($IY$18*($IP$14/R735)),2),$IY$18),VLOOKUP($CS736,Control_Savings_Exterior,IY$30,FALSE))</f>
        <v>#N/A</v>
      </c>
      <c r="IZ736" s="1679" t="e">
        <f>IF($CR736="interior",ROUND(((1-IS736)*IY736)+IS736,2),VLOOKUP($CS736,Control_Savings_Exterior,IZ$30,FALSE))</f>
        <v>#N/A</v>
      </c>
      <c r="JA736" s="1679" t="e">
        <f>IF($CR736="interior",ROUND(((1-IT736)*IY736)+IT736,2),VLOOKUP($CS736,Control_Savings_Exterior,JA$30,FALSE))</f>
        <v>#N/A</v>
      </c>
      <c r="JC736" s="1680">
        <f>IFERROR(IF(CR736="Interior",CONCATENATE(G737," ",FQ736),AG736),"")</f>
        <v>0</v>
      </c>
      <c r="JD736" s="1670" t="str">
        <f>IFERROR(VLOOKUP(JC736,_Controls_2023,2,FALSE),"")</f>
        <v/>
      </c>
      <c r="JE736" s="1681">
        <f>IFERROR(CHOOSE(JD736-1,IQ736,IR736,IS736,IT736,IU736,IV736,IW736,IX736,IY736,IZ736,JA736),0)</f>
        <v>0</v>
      </c>
      <c r="JG736" s="1680" t="str">
        <f>FE736</f>
        <v xml:space="preserve"> - </v>
      </c>
      <c r="JH736" s="1670" t="e">
        <f>$FO736</f>
        <v>#N/A</v>
      </c>
      <c r="JI736" s="1060"/>
      <c r="JJ736" s="1670">
        <f>IFERROR(IF($IB734=TRUE,IF(OR(JJ$14="No",JJ734=FALSE,JH736&lt;=JH734,AND(_kWh_Grant=0,GD734=FALSE)),0,IF(JJ$8="Per Line",1,$AF736)),0),0)</f>
        <v>0</v>
      </c>
      <c r="JK736" s="1061"/>
      <c r="JL736" s="1670">
        <f>IFERROR(IF(_kWh_Grant=0,0,IF($IB734=TRUE,IF(OR(JL$14="No",JL734=FALSE,JH736&lt;=JH734),0,IF(JL$8="Per Line",1,$T736)),0)),0)</f>
        <v>0</v>
      </c>
      <c r="JM736" s="1061"/>
      <c r="JN736" s="1670">
        <f>IFERROR(IF(_kWh_Grant=0,0,IF($IB734=TRUE,IF(OR(JN$14="No",JN734=FALSE,JH736&lt;=JH734),0,IF(JN$8="Per Line",1,$AF736)),0)),0)</f>
        <v>0</v>
      </c>
      <c r="JO736" s="1061"/>
      <c r="JP736" s="1670">
        <f>IFERROR(IF(__Retrofit_TI_NC=0,IF(_kWh_Grant=0,0,IF($IB734=TRUE,IF(OR(JP$14="No",JP734=FALSE,$JH736&lt;=$JH734),0,IF(JP$8="Per Line",1,$AF736)),0)),IF($IB734=TRUE,IF(OR(JP$14="No",JP734=FALSE,$JH736&lt;=$JH734),0,IF(JP$8="Per Line",1,$AF736)))),0)</f>
        <v>0</v>
      </c>
      <c r="JQ736" s="1061"/>
      <c r="JR736" s="1670">
        <f>IFERROR(IF(__Retrofit_TI_NC=0,IF(_kWh_Grant=0,0,IF($IB734=TRUE,IF(OR(JR$14="No",JR734=FALSE,$JH736&lt;=$JH734),0,IF(JR$8="Per Line",1,$AF736)),0)),IF($IB734=TRUE,IF(OR(JR$14="No",JR734=FALSE,$JH736&lt;=$JH734),0,IF(JR$8="Per Line",1,$AF736)))),0)</f>
        <v>0</v>
      </c>
      <c r="JS736" s="1061"/>
      <c r="JT736" s="1670">
        <f>IFERROR(IF(__Retrofit_TI_NC=0,IF(_kWh_Grant=0,0,IF($IB734=TRUE,IF(OR(JT$14="No",JT734=FALSE,$JH736&lt;=$JH734),0,IF(JT$8="Per Line",1,$AF736)),0)),IF($IB734=TRUE,IF(OR(JT$14="No",JT734=FALSE,$JH736&lt;=$JH734),0,IF(JT$8="Per Line",1,$AF736)))),0)</f>
        <v>0</v>
      </c>
      <c r="JU736" s="1061"/>
      <c r="JV736" s="1670">
        <f>IFERROR(IF(__Retrofit_TI_NC=0,IF(_kWh_Grant=0,0,IF($IB734=TRUE,IF(OR(JV$14="No",JV734=FALSE,$JH736&lt;=$JH734),0,IF(JV$8="Per Line",1,$AF736)),0)),IF($IB734=TRUE,IF(OR(JV$14="No",JV734=FALSE,$JH736&lt;=$JH734),0,IF(JV$8="Per Line",1,$AF736)))),0)</f>
        <v>0</v>
      </c>
      <c r="JX736" s="1670">
        <f>IFERROR(IF(__Retrofit_TI_NC=0,IF(_kWh_Grant=0,0,IF($IB734=TRUE,IF(OR(JX$14="No",JX734=FALSE,$JH736&lt;=$JH734),0,IF(JX$8="Per Line",1,$AF736)),0)),IF($IB734=TRUE,IF(OR(JX$14="No",JX734=FALSE,$JH736&lt;=$JH734),0,IF(JX$8="Per Line",1,$AF736)))),0)</f>
        <v>0</v>
      </c>
      <c r="JZ736" s="1670">
        <f>IFERROR(IF($IB734=TRUE,IF(OR(JZ$14="No",JZ734=FALSE,$JH736&lt;=$JH734,AND(_kWh_Grant=0,$GD734=FALSE)),0,IF(JZ$8="Per Line",1,$AF736)),0),0)</f>
        <v>0</v>
      </c>
      <c r="KB736" s="1670">
        <f>IFERROR(IF(__Retrofit_TI_NC=0,IF(_kWh_Grant=0,0,IF($IB734=TRUE,IF(OR(KB$14="No",KB734=FALSE,$JH736&lt;=$JH734),0,IF(KB$8="Per Line",1,$AF736)),0)),IF($IB734=TRUE,IF(OR(KB$14="No",KB734=FALSE,$JH736&lt;=$JH734),0,IF(KB$8="Per Line",1,$AF736)))),0)</f>
        <v>0</v>
      </c>
    </row>
    <row r="737" spans="1:288" s="78" customFormat="1" ht="14.95" customHeight="1" thickTop="1" thickBot="1">
      <c r="B737" s="1845"/>
      <c r="C737" s="1846"/>
      <c r="D737" s="1847"/>
      <c r="E737" s="1771" t="s">
        <v>436</v>
      </c>
      <c r="F737" s="1772"/>
      <c r="G737" s="1784" t="s">
        <v>437</v>
      </c>
      <c r="H737" s="1785"/>
      <c r="I737" s="1785"/>
      <c r="J737" s="1785"/>
      <c r="K737" s="1785"/>
      <c r="L737" s="1786"/>
      <c r="M737" s="591">
        <f>IFERROR(VLOOKUP(G737,_Daylight_Table[],2,FALSE),0)</f>
        <v>0</v>
      </c>
      <c r="N737" s="592" t="str">
        <f>IF(AND(__Retrofit_TI_NC&gt;0,CQ734="Interior"),"BAM","")</f>
        <v/>
      </c>
      <c r="O737" s="591" t="e">
        <f>VLOOKUP(G736,'Space Table'!$B$3:$L$163,11,FALSE)</f>
        <v>#N/A</v>
      </c>
      <c r="P737" s="1789"/>
      <c r="Q737" s="1790"/>
      <c r="R737" s="1790"/>
      <c r="S737" s="1788"/>
      <c r="T737" s="593" t="s">
        <v>342</v>
      </c>
      <c r="U737" s="1756" t="str" cm="1">
        <f t="array" aca="1" ref="U737" ca="1">IFERROR(VLOOKUP(INDIRECT("U" &amp; ROW()-1),Fixtures!DM$93:DP$142,4,FALSE),"")</f>
        <v/>
      </c>
      <c r="V737" s="1757"/>
      <c r="W737" s="1757"/>
      <c r="X737" s="1757"/>
      <c r="Y737" s="1757"/>
      <c r="Z737" s="1757"/>
      <c r="AA737" s="1758"/>
      <c r="AB737" s="939" t="str">
        <f>IFERROR(VLOOKUP(U736,Fixtures_Proposed_List,2,FALSE),"")</f>
        <v/>
      </c>
      <c r="AC737" s="933" t="str">
        <f>IFERROR(ROUND(T736*AB737*N735*R735/1000,0),"")</f>
        <v/>
      </c>
      <c r="AD737" s="934" t="str">
        <f>IFERROR(ROUND(T736*AB737/1000,2),"")</f>
        <v/>
      </c>
      <c r="AE737" s="998"/>
      <c r="AF737" s="938" t="s">
        <v>342</v>
      </c>
      <c r="AG737" s="1770"/>
      <c r="AH737" s="1770"/>
      <c r="AI737" s="1770"/>
      <c r="AJ737" s="1770"/>
      <c r="AK737" s="1770"/>
      <c r="AL737" s="1770"/>
      <c r="AM737" s="1727"/>
      <c r="AN737" s="1729"/>
      <c r="AO737" s="1731"/>
      <c r="AP737" s="1782"/>
      <c r="AQ737" s="1783"/>
      <c r="AR737" s="1797"/>
      <c r="AS737" s="1797"/>
      <c r="AT737" s="1798"/>
      <c r="AU737" s="1736"/>
      <c r="AV737" s="1753"/>
      <c r="AW737" s="1706"/>
      <c r="AX737" s="468"/>
      <c r="AY737" s="1750"/>
      <c r="AZ737" s="1750"/>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696"/>
      <c r="CQ737" s="1696"/>
      <c r="CR737" s="1809"/>
      <c r="CS737" s="1811"/>
      <c r="CU737" s="1688"/>
      <c r="CV737" s="1703"/>
      <c r="CW737" s="1703"/>
      <c r="CX737" s="1813"/>
      <c r="CY737" s="1815"/>
      <c r="CZ737" s="1711"/>
      <c r="DA737" s="1815"/>
      <c r="DB737" s="1821"/>
      <c r="DC737" s="1821"/>
      <c r="DD737" s="1821"/>
      <c r="DF737" s="1703"/>
      <c r="DG737" s="1831"/>
      <c r="DH737" s="1813"/>
      <c r="DI737" s="1838"/>
      <c r="DJ737" s="1711"/>
      <c r="DK737" s="1712"/>
      <c r="DN737" s="1718"/>
      <c r="DO737" s="1709"/>
      <c r="DQ737" s="1715"/>
      <c r="DR737" s="1720"/>
      <c r="DS737" s="1703"/>
      <c r="DT737" s="1714"/>
      <c r="DU737" s="1715"/>
      <c r="DV737" s="1716"/>
      <c r="DX737" s="1715"/>
      <c r="DY737" s="1720"/>
      <c r="DZ737" s="1715"/>
      <c r="EA737" s="1715"/>
      <c r="EC737" s="1834"/>
      <c r="ED737" s="1834"/>
      <c r="EF737" s="1707"/>
      <c r="EG737" s="1712"/>
      <c r="EH737" s="1815"/>
      <c r="EI737" s="1712"/>
      <c r="EJ737" s="1712"/>
      <c r="EK737" s="1813"/>
      <c r="EL737" s="1813"/>
      <c r="EM737" s="1807"/>
      <c r="EN737" s="1839"/>
      <c r="EO737" s="1839"/>
      <c r="EP737" s="1817"/>
      <c r="EQ737" s="1817"/>
      <c r="ER737" s="1807"/>
      <c r="ES737" s="1807"/>
      <c r="ET737" s="1807"/>
      <c r="EV737" s="1715"/>
      <c r="EX737" s="1806"/>
      <c r="EY737" s="1806"/>
      <c r="EZ737" s="1806"/>
      <c r="FA737" s="1806"/>
      <c r="FB737" s="1806"/>
      <c r="FC737" s="1828"/>
      <c r="FE737" s="1698"/>
      <c r="FG737" s="1703"/>
      <c r="FH737" s="1703"/>
      <c r="FI737" s="133"/>
      <c r="FL737" s="1823"/>
      <c r="FM737" s="1825"/>
      <c r="FN737" s="1698"/>
      <c r="FO737" s="1698"/>
      <c r="FP737" s="1678"/>
      <c r="FQ737" s="1698"/>
      <c r="FS737" s="1687"/>
      <c r="FT737" s="1687"/>
      <c r="FU737" s="1685"/>
      <c r="FV737" s="1687"/>
      <c r="FW737" s="1687"/>
      <c r="FX737" s="1687"/>
      <c r="FY737" s="1697"/>
      <c r="GA737" s="1696"/>
      <c r="GB737" s="1696"/>
      <c r="GC737" s="1696"/>
      <c r="GD737" s="1696"/>
      <c r="GE737" s="1696"/>
      <c r="GF737" s="1696"/>
      <c r="GG737" s="1696"/>
      <c r="GH737" s="1696"/>
      <c r="GI737" s="673"/>
      <c r="GJ737" s="1135"/>
      <c r="GK737" s="1832"/>
      <c r="GN737" s="674">
        <f>IF(GN735=TRUE,0,GN$16)</f>
        <v>0</v>
      </c>
      <c r="GP737" s="674">
        <f>IF(GP735=TRUE,0,GP$16)</f>
        <v>36</v>
      </c>
      <c r="GQ737" s="674">
        <f ca="1">IF(GQ735=TRUE,0,GQ$16)</f>
        <v>35</v>
      </c>
      <c r="GR737" s="391"/>
      <c r="GS737" s="391"/>
      <c r="GT737" s="391"/>
      <c r="GU737" s="391"/>
      <c r="GV737" s="391"/>
      <c r="HG737" s="674">
        <f>IF(HG735=TRUE,0,HG$16)</f>
        <v>0</v>
      </c>
      <c r="HH737" s="674">
        <f t="shared" ref="HH737:HM737" si="678">IF(HH735=TRUE,0,HH$16)</f>
        <v>19</v>
      </c>
      <c r="HI737" s="674">
        <f t="shared" si="678"/>
        <v>18</v>
      </c>
      <c r="HJ737" s="674">
        <f t="shared" si="678"/>
        <v>17</v>
      </c>
      <c r="HK737" s="674">
        <f t="shared" si="678"/>
        <v>16</v>
      </c>
      <c r="HL737" s="674">
        <f t="shared" si="678"/>
        <v>0</v>
      </c>
      <c r="HM737" s="674">
        <f t="shared" si="678"/>
        <v>0</v>
      </c>
      <c r="HN737" s="674">
        <f>IF(HN735=TRUE,0,HN$16)</f>
        <v>13</v>
      </c>
      <c r="HO737" s="674">
        <f t="shared" ref="HO737:HQ737" si="679">IF(HO735=TRUE,0,HO$16)</f>
        <v>0</v>
      </c>
      <c r="HP737" s="674">
        <f t="shared" si="679"/>
        <v>0</v>
      </c>
      <c r="HQ737" s="674">
        <f t="shared" si="679"/>
        <v>10</v>
      </c>
      <c r="HR737" s="674">
        <f>IF(HR735=TRUE,0,HR$16)</f>
        <v>9</v>
      </c>
      <c r="HS737" s="674">
        <f t="shared" ref="HS737:HW737" si="680">IF(HS735=TRUE,0,HS$16)</f>
        <v>0</v>
      </c>
      <c r="HT737" s="674">
        <f t="shared" si="680"/>
        <v>0</v>
      </c>
      <c r="HU737" s="674">
        <f t="shared" si="680"/>
        <v>0</v>
      </c>
      <c r="HV737" s="674">
        <f t="shared" si="680"/>
        <v>0</v>
      </c>
      <c r="HW737" s="674">
        <f t="shared" si="680"/>
        <v>0</v>
      </c>
      <c r="HX737" s="674">
        <f>IF(HX735=TRUE,0,HX$16)</f>
        <v>0</v>
      </c>
      <c r="HY737" s="674">
        <f>IF(HY735=TRUE,0,HY$16)</f>
        <v>0</v>
      </c>
      <c r="HZ737" s="674">
        <f>IF(HZ735=TRUE,0,HZ$16)</f>
        <v>1</v>
      </c>
      <c r="IB737" s="674">
        <f>IF(GP735=FALSE,GP737,IF(GQ735=FALSE,GQ737,MAX(GN737:HZ737)))</f>
        <v>36</v>
      </c>
      <c r="IC737" s="1692"/>
      <c r="ID737" s="205" t="str">
        <f>VLOOKUP(IB737,_Error_Table,3,FALSE)</f>
        <v xml:space="preserve"> </v>
      </c>
      <c r="IE737" s="205"/>
      <c r="IF737" s="1688"/>
      <c r="IG737" s="1689"/>
      <c r="IH737" s="1684"/>
      <c r="IK737" s="1689"/>
      <c r="IL737" s="1692"/>
      <c r="IM737" s="1692"/>
      <c r="IN737" s="1692"/>
      <c r="IP737" s="1679"/>
      <c r="IQ737" s="1679"/>
      <c r="IR737" s="1679"/>
      <c r="IS737" s="1679"/>
      <c r="IT737" s="1679"/>
      <c r="IU737" s="1679"/>
      <c r="IV737" s="1679"/>
      <c r="IW737" s="1679"/>
      <c r="IX737" s="1679"/>
      <c r="IY737" s="1679"/>
      <c r="IZ737" s="1679"/>
      <c r="JA737" s="1679"/>
      <c r="JC737" s="1680"/>
      <c r="JD737" s="1670"/>
      <c r="JE737" s="1681"/>
      <c r="JG737" s="1680"/>
      <c r="JH737" s="1670"/>
      <c r="JI737" s="1060"/>
      <c r="JJ737" s="1670"/>
      <c r="JK737" s="1061"/>
      <c r="JL737" s="1670"/>
      <c r="JM737" s="1061"/>
      <c r="JN737" s="1670"/>
      <c r="JO737" s="1061"/>
      <c r="JP737" s="1670"/>
      <c r="JQ737" s="1061"/>
      <c r="JR737" s="1670"/>
      <c r="JS737" s="1061"/>
      <c r="JT737" s="1670"/>
      <c r="JU737" s="1061"/>
      <c r="JV737" s="1670"/>
      <c r="JX737" s="1670"/>
      <c r="JZ737" s="1670"/>
      <c r="KB737" s="1670"/>
    </row>
    <row r="738" spans="1:288" s="78" customFormat="1" ht="5.0999999999999996" customHeight="1">
      <c r="B738" s="676"/>
      <c r="C738" s="392"/>
      <c r="D738" s="392"/>
      <c r="E738" s="1733"/>
      <c r="F738" s="1733"/>
      <c r="G738" s="1733"/>
      <c r="H738" s="1733"/>
      <c r="I738" s="1733"/>
      <c r="J738" s="1733"/>
      <c r="K738" s="1733"/>
      <c r="L738" s="1733"/>
      <c r="M738" s="1733"/>
      <c r="N738" s="1733"/>
      <c r="O738" s="1733"/>
      <c r="P738" s="1733"/>
      <c r="Q738" s="1733"/>
      <c r="R738" s="1733"/>
      <c r="S738" s="1733"/>
      <c r="T738" s="1733"/>
      <c r="U738" s="1733"/>
      <c r="V738" s="1733"/>
      <c r="W738" s="1733"/>
      <c r="X738" s="1733"/>
      <c r="Y738" s="1733"/>
      <c r="Z738" s="1733"/>
      <c r="AA738" s="1733"/>
      <c r="AB738" s="1733"/>
      <c r="AC738" s="1733"/>
      <c r="AD738" s="1733"/>
      <c r="AE738" s="1733"/>
      <c r="AF738" s="1733"/>
      <c r="AG738" s="1733"/>
      <c r="AH738" s="1733"/>
      <c r="AI738" s="1733"/>
      <c r="AJ738" s="1733"/>
      <c r="AK738" s="1733"/>
      <c r="AL738" s="1733"/>
      <c r="AM738" s="1733"/>
      <c r="AN738" s="1733"/>
      <c r="AO738" s="1733"/>
      <c r="AP738" s="1733"/>
      <c r="AQ738" s="1733"/>
      <c r="AR738" s="1733"/>
      <c r="AS738" s="1733"/>
      <c r="AT738" s="1733"/>
      <c r="AU738" s="1733"/>
      <c r="AV738" s="1733"/>
      <c r="AW738" s="1733"/>
      <c r="AX738" s="469"/>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663"/>
      <c r="CQ738" s="663"/>
      <c r="CR738" s="438"/>
      <c r="CS738" s="663"/>
      <c r="CV738" s="391"/>
      <c r="CW738" s="391"/>
      <c r="CX738" s="207"/>
      <c r="CY738" s="208"/>
      <c r="CZ738" s="208"/>
      <c r="DA738" s="208"/>
      <c r="DB738" s="209"/>
      <c r="DC738" s="209"/>
      <c r="DD738" s="209"/>
      <c r="DF738" s="664"/>
      <c r="DG738" s="665"/>
      <c r="DH738" s="666"/>
      <c r="DI738" s="667"/>
      <c r="DJ738" s="668"/>
      <c r="DK738" s="668"/>
      <c r="DN738" s="208"/>
      <c r="DO738" s="664"/>
      <c r="DQ738" s="664"/>
      <c r="DR738" s="669"/>
      <c r="DS738" s="391"/>
      <c r="DT738" s="664"/>
      <c r="DU738" s="664"/>
      <c r="DV738" s="664"/>
      <c r="DX738" s="664"/>
      <c r="DY738" s="664"/>
      <c r="DZ738" s="664"/>
      <c r="EA738" s="664"/>
      <c r="EC738" s="670"/>
      <c r="ED738" s="670"/>
      <c r="EF738" s="668"/>
      <c r="EG738" s="668"/>
      <c r="EH738" s="208"/>
      <c r="EI738" s="668"/>
      <c r="EJ738" s="668"/>
      <c r="EK738" s="207"/>
      <c r="EL738" s="207"/>
      <c r="EM738" s="666"/>
      <c r="EN738" s="671"/>
      <c r="EO738" s="671"/>
      <c r="EP738" s="672"/>
      <c r="EQ738" s="672"/>
      <c r="ER738" s="666"/>
      <c r="ES738" s="666"/>
      <c r="ET738" s="666"/>
      <c r="EV738" s="664"/>
      <c r="EX738" s="391"/>
      <c r="EY738" s="391"/>
      <c r="EZ738" s="391"/>
      <c r="FA738" s="391"/>
      <c r="FB738" s="391"/>
      <c r="FC738" s="391"/>
      <c r="FE738" s="569"/>
      <c r="FG738" s="391"/>
      <c r="FH738" s="391"/>
      <c r="FI738" s="391"/>
      <c r="FS738" s="664"/>
      <c r="FT738" s="391"/>
      <c r="FU738" s="391"/>
      <c r="FV738" s="664"/>
      <c r="FW738" s="664"/>
      <c r="GA738" s="663"/>
      <c r="GB738" s="663"/>
      <c r="GC738" s="663"/>
      <c r="GD738" s="663"/>
      <c r="GE738" s="663"/>
      <c r="GF738" s="663"/>
      <c r="GG738" s="663"/>
      <c r="GH738" s="663"/>
      <c r="GI738" s="665"/>
      <c r="GJ738" s="664"/>
      <c r="GK738" s="664"/>
    </row>
    <row r="739" spans="1:288" s="78" customFormat="1" ht="14.95" customHeight="1">
      <c r="B739" s="1845" t="str">
        <f>ID742</f>
        <v xml:space="preserve"> </v>
      </c>
      <c r="C739" s="1846">
        <f>C734+1</f>
        <v>134</v>
      </c>
      <c r="D739" s="1847"/>
      <c r="E739" s="1799" t="s">
        <v>295</v>
      </c>
      <c r="F739" s="1800"/>
      <c r="G739" s="1741"/>
      <c r="H739" s="1742"/>
      <c r="I739" s="1742"/>
      <c r="J739" s="1742"/>
      <c r="K739" s="1742"/>
      <c r="L739" s="1742"/>
      <c r="M739" s="1742"/>
      <c r="N739" s="1742"/>
      <c r="O739" s="1742"/>
      <c r="P739" s="1742"/>
      <c r="Q739" s="1742"/>
      <c r="R739" s="1742"/>
      <c r="S739" s="1791" t="s">
        <v>344</v>
      </c>
      <c r="T739" s="590"/>
      <c r="U739" s="1743"/>
      <c r="V739" s="1744"/>
      <c r="W739" s="1744"/>
      <c r="X739" s="1744"/>
      <c r="Y739" s="1744"/>
      <c r="Z739" s="1744"/>
      <c r="AA739" s="1744"/>
      <c r="AB739" s="961" t="str">
        <f>IFERROR(IF(__Retrofit_TI_NC=0,VLOOKUP(U740,Fixtures_Existing_List,2,FALSE),ROUND(N741*R741/T741,10)),"")</f>
        <v/>
      </c>
      <c r="AC739" s="935" t="str">
        <f>IFERROR(IF(__Retrofit_TI_NC=0,ROUND(T740*AB739*N740*R740/1000,0),IF(CQ739="Interior",N741*R741*R740*N740*_C406_reduction/1000,N741*R741*R740*N740/1000)),"")</f>
        <v/>
      </c>
      <c r="AD739" s="936" t="str">
        <f>IFERROR(IF(C$43=0,ROUND(T740*AB739/1000,2),N741*R741/1000),"")</f>
        <v/>
      </c>
      <c r="AE739" s="997"/>
      <c r="AF739" s="937"/>
      <c r="AG739" s="1745" t="str">
        <f>IF(__Retrofit_TI_NC=0," Control","Select Advanced Control for New System")</f>
        <v xml:space="preserve"> Control</v>
      </c>
      <c r="AH739" s="1745"/>
      <c r="AI739" s="1745"/>
      <c r="AJ739" s="1745"/>
      <c r="AK739" s="1745"/>
      <c r="AL739" s="1745"/>
      <c r="AM739" s="1746">
        <f>IFERROR(DI739,"")</f>
        <v>0</v>
      </c>
      <c r="AN739" s="1774" t="str">
        <f>IFERROR(ROUND(AM739*AC739,0),"")</f>
        <v/>
      </c>
      <c r="AO739" s="1776">
        <f>IFERROR(IF(IB739=FALSE,0,AC739-AN739),0)</f>
        <v>0</v>
      </c>
      <c r="AP739" s="1778">
        <f>AO739-AO741</f>
        <v>0</v>
      </c>
      <c r="AQ739" s="1779"/>
      <c r="AR739" s="1793">
        <f>IFERROR(IF(IB739=FALSE,0,(T741*U742)+(AF741*AG742)),0)</f>
        <v>0</v>
      </c>
      <c r="AS739" s="1793"/>
      <c r="AT739" s="1794"/>
      <c r="AU739" s="1734" t="s">
        <v>237</v>
      </c>
      <c r="AV739" s="1751">
        <f>IF(AU739="Yes",1,0)</f>
        <v>1</v>
      </c>
      <c r="AW739" s="1704" t="str">
        <f>IF(OR(DQ739=4,DQ739=5,DQ739=6,DQ739=12),CONCATENATE("$",IF(GH739=TRUE,Lookup!$K$10,Lookup!$K$2)," /lamp"),CONCATENATE(TEXT(ED739,"$0.00"),"/ kWh"))</f>
        <v>$0.00/ kWh</v>
      </c>
      <c r="AX739" s="467"/>
      <c r="AY739" s="1748">
        <f ca="1">IFERROR(IF(GM740=TRUE,(AB742*T741)/R741,0),"NA")</f>
        <v>0</v>
      </c>
      <c r="AZ739" s="1748"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696" t="str">
        <f>N740</f>
        <v/>
      </c>
      <c r="CQ739" s="1696" t="str">
        <f>IFERROR(VLOOKUP(G740,_Lookup_Heat_Type_Table_New,3,FALSE),"")</f>
        <v/>
      </c>
      <c r="CR739" s="1808" t="str">
        <f>CQ739</f>
        <v/>
      </c>
      <c r="CS739" s="1810" t="str">
        <f>IFERROR(VLOOKUP(G741,'Space Table'!$B$3:$L$163,9,FALSE),"")</f>
        <v/>
      </c>
      <c r="CU739" s="1688" t="s">
        <v>344</v>
      </c>
      <c r="CV739" s="1702">
        <f>IF(IB739=TRUE,T740,0)</f>
        <v>0</v>
      </c>
      <c r="CW739" s="1702" t="str">
        <f>IF(IB739=TRUE,U740,"")</f>
        <v/>
      </c>
      <c r="CX739" s="1702"/>
      <c r="CY739" s="1814">
        <f>IF(IB739=TRUE,AB739,0)</f>
        <v>0</v>
      </c>
      <c r="CZ739" s="1710">
        <f>IF(AND(__Retrofit_TI_NC&gt;0,CR739="interior"),0,IF(IB739=TRUE,AC739,0))</f>
        <v>0</v>
      </c>
      <c r="DA739" s="1814">
        <f>IFERROR(IF(IB739=TRUE,CZ739-CZ741,0),0)</f>
        <v>0</v>
      </c>
      <c r="DB739" s="1819">
        <f>IF(IB739=TRUE,AD739,0)</f>
        <v>0</v>
      </c>
      <c r="DC739" s="1819">
        <f>IF(IB739=TRUE,AD742,0)</f>
        <v>0</v>
      </c>
      <c r="DD739" s="1819">
        <f>IFERROR(DB739-DC739,0)</f>
        <v>0</v>
      </c>
      <c r="DF739" s="1702">
        <f>IF(IB739=TRUE,AF740,0)</f>
        <v>0</v>
      </c>
      <c r="DG739" s="1830">
        <f>IFERROR(IF(__Retrofit_TI_NC=2,IF(CQ739="Exterior",O742,FQ739),FN739),"")</f>
        <v>0</v>
      </c>
      <c r="DH739" s="1702"/>
      <c r="DI739" s="1837">
        <f>JE739</f>
        <v>0</v>
      </c>
      <c r="DJ739" s="1710">
        <f>IF(AND(__Retrofit_TI_NC&gt;0,CR739="interior"),0,IF(IB739=TRUE,AN739,0))</f>
        <v>0</v>
      </c>
      <c r="DK739" s="1712">
        <f>IFERROR(IF(IB739=TRUE,DJ741-DJ739,0),0)</f>
        <v>0</v>
      </c>
      <c r="DM739" s="1717">
        <f>IFERROR(CZ739-DJ739,0)</f>
        <v>0</v>
      </c>
      <c r="DO739" s="1708">
        <f>DM739-DN741</f>
        <v>0</v>
      </c>
      <c r="DQ739" s="1715" t="str">
        <f>IFERROR(IF(AND(OR(GC739=4,GC739=5,GC739=6),OR(GF739=4,GF739=5,GF739=6)),GC739+8,VLOOKUP(CW741,Fixtures!R$31:Y$78,8,FALSE)),"")</f>
        <v/>
      </c>
      <c r="DR739" s="1829" t="str">
        <f>DQ739</f>
        <v/>
      </c>
      <c r="DS739" s="1702" t="str">
        <f>IFERROR(VLOOKUP(DG741,Lookup!BB$3:BC$20,2,FALSE),"")</f>
        <v/>
      </c>
      <c r="DT739" s="1713" t="str">
        <f>IF(OR(DS739=7,DS739=8,DS739=9),"ALC","")</f>
        <v/>
      </c>
      <c r="DU739" s="1715">
        <f>IFERROR(IF(OR(DQ739=4,DQ739=5,DQ739=6,DQ739=12,DQ739=13,DQ739=14),VLOOKUP(CW741,Fixtures!DN$27:EG$77,19,FALSE),1)*CV741,0)</f>
        <v>0</v>
      </c>
      <c r="DV739" s="1716">
        <f>IF(OR(DS739=7,DS739=8,DS739=9),IF(DG739=DG741,0,DF741),0)</f>
        <v>0</v>
      </c>
      <c r="DX739" s="1715" t="str">
        <f>IFERROR(IF(EZ739&lt;EZ741,"Yes","No"),"")</f>
        <v/>
      </c>
      <c r="DY739" s="1829" t="str">
        <f>DX739</f>
        <v/>
      </c>
      <c r="DZ739" s="1715">
        <f>IF(DX739="Yes",DF741,0)</f>
        <v>0</v>
      </c>
      <c r="EA739" s="1715">
        <f>DZ739-DV739</f>
        <v>0</v>
      </c>
      <c r="EC739" s="1834">
        <f>IFERROR(VLOOKUP(DQ739,Lookup!AU$3:AV$16,2,FALSE),0)</f>
        <v>0</v>
      </c>
      <c r="ED739" s="1834">
        <f>IF(IB739=FALSE,0,IF(DX739="Yes",EC739+Lookup!K$6,EC739))</f>
        <v>0</v>
      </c>
      <c r="EF739" s="1707">
        <f>IF(IB739=TRUE,DM739,0)</f>
        <v>0</v>
      </c>
      <c r="EG739" s="1712">
        <f>IF(IB739=TRUE,CZ741,0)</f>
        <v>0</v>
      </c>
      <c r="EH739" s="1814">
        <f>IFERROR(EF739-EG739,0)</f>
        <v>0</v>
      </c>
      <c r="EI739" s="1712">
        <f>IF(IB739=TRUE,DJ741,0)</f>
        <v>0</v>
      </c>
      <c r="EJ739" s="1712">
        <f>IFERROR(EF739-EG739+EI739,0)</f>
        <v>0</v>
      </c>
      <c r="EK739" s="1812">
        <f>IF(IB739=TRUE,CV741*CX741,0)</f>
        <v>0</v>
      </c>
      <c r="EL739" s="1812">
        <f>IF(IB739=TRUE,DF741*DH741,0)</f>
        <v>0</v>
      </c>
      <c r="EM739" s="1807">
        <f>AR739</f>
        <v>0</v>
      </c>
      <c r="EN739" s="1839" t="str">
        <f>IFERROR(IF(IB739=TRUE,VLOOKUP(DQ739,Lookup!AU$3:AW$16,3,FALSE)*DU739,""),0)</f>
        <v/>
      </c>
      <c r="EO739" s="1839">
        <f>IF(IB739=TRUE,DZ739*Lookup!AW$12,0)</f>
        <v>0</v>
      </c>
      <c r="EP739" s="1817">
        <f>IFERROR(IF(IB739=TRUE,EN739/EP$40,0),0)</f>
        <v>0</v>
      </c>
      <c r="EQ739" s="1817">
        <f>IF(IB739=TRUE,EO739/EQ$40,0)</f>
        <v>0</v>
      </c>
      <c r="ER739" s="1807">
        <f>IF(IB739=TRUE,ET$40*EP739,0)</f>
        <v>0</v>
      </c>
      <c r="ES739" s="1807">
        <f>IF(IB739=TRUE,ET$40*EQ739,0)</f>
        <v>0</v>
      </c>
      <c r="ET739" s="1807">
        <f>ER739+ES739</f>
        <v>0</v>
      </c>
      <c r="EV739" s="1715">
        <f>IF(G739="",0,1)</f>
        <v>0</v>
      </c>
      <c r="EX739" s="1804" t="str">
        <f>IFERROR(VLOOKUP(CS741,'Space Table'!$B$3:$L$163,8,FALSE),"")</f>
        <v/>
      </c>
      <c r="EY739" s="1804" t="str">
        <f>IFERROR(IF(FB739="Yes",VLOOKUP(DG739,Lookup_Control_Type_Table2,4,FALSE),VLOOKUP(DG739,Lookup_Control_Type_Table2,3,FALSE)),"")</f>
        <v/>
      </c>
      <c r="EZ739" s="1804" t="e">
        <f>VLOOKUP(DG739,Lookup!BB$3:BC$20,2,FALSE)</f>
        <v>#N/A</v>
      </c>
      <c r="FA739" s="1804" t="e">
        <f>VLOOKUP(EX739,Lookup_Control_Type_Table,2,FALSE)</f>
        <v>#N/A</v>
      </c>
      <c r="FB739" s="1804" t="e">
        <f>VLOOKUP(CS741,'Space Table'!$B$3:$L$163,7,FALSE)</f>
        <v>#N/A</v>
      </c>
      <c r="FC739" s="1826" t="b">
        <f>ISNUMBER(SEARCH("TLED",U741))</f>
        <v>0</v>
      </c>
      <c r="FE739" s="1698" t="str">
        <f>CONCATENATE(CQ739," - ",DG739)</f>
        <v xml:space="preserve"> - 0</v>
      </c>
      <c r="FG739" s="1702" t="str">
        <f>VLOOKUP(CW741,Fixtures!DN$27:EZ$77,38,FALSE)</f>
        <v/>
      </c>
      <c r="FH739" s="1702">
        <f>IFERROR(FG739*EH739,0)</f>
        <v>0</v>
      </c>
      <c r="FI739" s="133"/>
      <c r="FL739" s="1822" t="str">
        <f>IF(CQ739="Exterior","Not Daylighted",G742)</f>
        <v>Not Daylighted</v>
      </c>
      <c r="FM739" s="1824">
        <f>VLOOKUP(FL739,_New_Daylight_Table_Codes,2,FALSE)</f>
        <v>0</v>
      </c>
      <c r="FN739" s="1698">
        <f>IF(__Retrofit_TI_NC&gt;0,VLOOKUP(G741,'Space Table'!$B$3:$L$163,11,FALSE),AG740)</f>
        <v>0</v>
      </c>
      <c r="FO739" s="1698" t="e">
        <f>IF(__Retrofit_TI_NC=2,VLOOKUP(FQ739,_Control_Table,2,FALSE),VLOOKUP(FN739,_Control_Table,2,FALSE))</f>
        <v>#N/A</v>
      </c>
      <c r="FP739" s="1678" t="e">
        <f>VLOOKUP(CONCATENATE(FL739," ",FN739),Lookup!AY$102:AZ749,2,FALSE)</f>
        <v>#N/A</v>
      </c>
      <c r="FQ739" s="1678">
        <f>IF(__Retrofit_TI_NC=0,FN739,IF(AND(FT739&gt;0,FN739="Occupancy Sensor"),"Daylight + Occupancy",IF(AND(FT739&gt;0,VLOOKUP(FN739,_Control_Table,2,FALSE)&lt;4),"Interior Daylight Dimming",FN739)))</f>
        <v>0</v>
      </c>
      <c r="FS739" s="1686">
        <f>IF(CR739="Interior",VLOOKUP(CS739,Control_Savings_Interior,5,FALSE),0)</f>
        <v>0</v>
      </c>
      <c r="FT739" s="1687">
        <f>IF(CQ739="Exterior",0,IF(FM739=2,0.5,IF(OR(FM739=1,FM739=3),1,0)))</f>
        <v>0</v>
      </c>
      <c r="FU739" s="1685">
        <f>IF(R738&gt;FS$44,(FS739*(FS$44/R738)),FS739)*FT739</f>
        <v>0</v>
      </c>
      <c r="FV739" s="1686">
        <f>DI739</f>
        <v>0</v>
      </c>
      <c r="FW739" s="1686">
        <f>ROUND(FV739+((1-FV739)*FU739),2)</f>
        <v>0</v>
      </c>
      <c r="FX739" s="1686">
        <f>IF(__Retrofit_TI_NC=2,FW739,FV739)</f>
        <v>0</v>
      </c>
      <c r="FY739" s="1697"/>
      <c r="GA739" s="1696" t="str">
        <f>IFERROR(VLOOKUP(U740,_Exist_Fixture_Table,3,FALSE),"")</f>
        <v/>
      </c>
      <c r="GB739" s="1696" t="str">
        <f>VLOOKUP(CW739,_Exist_Fixture_Table,4,FALSE)</f>
        <v/>
      </c>
      <c r="GC739" s="1696">
        <f>IFERROR(VLOOKUP(GB739,Lookup!AT$6:AU$8,2,FALSE),0)</f>
        <v>0</v>
      </c>
      <c r="GD739" s="1696" t="b">
        <f>IFERROR(IF(OR(GF739=4,GF739=5,GF739=6),TRUE,FALSE),"")</f>
        <v>0</v>
      </c>
      <c r="GE739" s="1696" t="str">
        <f>IFERROR(VLOOKUP(GF739,GC$6:GD$10,2,FALSE),"")</f>
        <v/>
      </c>
      <c r="GF739" s="1696" t="str">
        <f>VLOOKUP(CW741,Fixtures!R$31:Y$78,8,FALSE)</f>
        <v/>
      </c>
      <c r="GG739" s="1696">
        <f>IF(AND(GA739=TRUE,GD739=TRUE,OR(DQ739=12,DQ739=13,DQ739=14)),GC739+8,0)</f>
        <v>0</v>
      </c>
      <c r="GH739" s="1696" t="b">
        <f>IF(OR(GG739=12,GG739=13,GG739=14),TRUE,FALSE)</f>
        <v>0</v>
      </c>
      <c r="GI739" s="673" t="b">
        <f>IF(ISNUMBER(SEARCH("TLED",U740)),TRUE,FALSE)</f>
        <v>0</v>
      </c>
      <c r="GJ739" s="1135" t="str">
        <f>IFERROR(VLOOKUP(U740,Fixtures!BM$93:BR$142,6,FALSE),"")</f>
        <v/>
      </c>
      <c r="GK739" s="1832" t="b">
        <f>IF(OR(GI739=FALSE,GI741=FALSE),TRUE,IF(GJ739-GJ741&lt;5,FALSE,TRUE))</f>
        <v>1</v>
      </c>
      <c r="GO739" s="674">
        <f>GP739</f>
        <v>0</v>
      </c>
      <c r="GP739" s="674">
        <f>IF(G739="",0,1)</f>
        <v>0</v>
      </c>
      <c r="GQ739" s="674">
        <f ca="1">SUM(GR739:HF739)</f>
        <v>2</v>
      </c>
      <c r="GR739" s="674">
        <f>IF(G740="",0,1)</f>
        <v>0</v>
      </c>
      <c r="GS739" s="674">
        <f>IF(N742="BAM",1,IF(G741="",0,1))</f>
        <v>0</v>
      </c>
      <c r="GT739" s="674">
        <f>IF(N742="BAM",1,IF(R740="",0,1))</f>
        <v>0</v>
      </c>
      <c r="GU739" s="674">
        <f>IF(N742="BAM",1,IF(__Retrofit_TI_NC=0,1,IF(R741="",0,1)))</f>
        <v>1</v>
      </c>
      <c r="GV739" s="674">
        <f>IF(N742="BAM",1,IF(CQ739="Exterior",1,IF(G742="",0,1)))</f>
        <v>1</v>
      </c>
      <c r="GW739" s="674">
        <f>IF(__Retrofit_TI_NC&gt;0,1,IF(T740="",0,1))</f>
        <v>0</v>
      </c>
      <c r="GX739" s="674">
        <f>IF(__Retrofit_TI_NC&gt;0,1,IF(U740="",0,1))</f>
        <v>0</v>
      </c>
      <c r="GY739" s="674">
        <f>IF(N742="BAM",1,IF(T741="",0,1))</f>
        <v>0</v>
      </c>
      <c r="GZ739" s="674">
        <f>IF(N742="BAM",1,IF(U741="",0,1))</f>
        <v>0</v>
      </c>
      <c r="HA739" s="674">
        <f ca="1">IF(N742="BAM",1,IF(__Retrofit_TI_NC&gt;0,1,IF(U742="",0,1)))</f>
        <v>0</v>
      </c>
      <c r="HB739" s="674">
        <f>IF(__Retrofit_TI_NC&lt;&gt;0,1,IF(AF740="",0,1))</f>
        <v>0</v>
      </c>
      <c r="HC739" s="674">
        <f>IF(__Retrofit_TI_NC&lt;&gt;0,1,IF(AG740="",0,1))</f>
        <v>0</v>
      </c>
      <c r="HD739" s="674">
        <f>IF(N742="BAM",1,IF(AF741="",0,1))</f>
        <v>0</v>
      </c>
      <c r="HE739" s="674">
        <f>IF(N742="BAM",1,IF(AG741="",0,1))</f>
        <v>0</v>
      </c>
      <c r="HF739" s="674">
        <f>IF(N742="BAM",1,IF(__Retrofit_TI_NC&gt;0,1,IF(AG742="",0,1)))</f>
        <v>0</v>
      </c>
      <c r="HG739" s="391"/>
      <c r="IA739" s="391"/>
      <c r="IB739" s="1693" t="b">
        <f>IF(OR(IB742=0,IB742=HY$16,IB742=HX$16,IB742=HZ$16),TRUE,FALSE)</f>
        <v>0</v>
      </c>
      <c r="IC739" s="1694" t="b">
        <f>IB739</f>
        <v>0</v>
      </c>
      <c r="ID739" s="391"/>
      <c r="IE739" s="391"/>
      <c r="IF739" s="1688" t="b">
        <f ca="1">IF(MAX(GN742:HU742)&gt;5,FALSE,TRUE)</f>
        <v>0</v>
      </c>
      <c r="IG739" s="1689">
        <f ca="1">IF(IF739=TRUE,AC739,0)</f>
        <v>0</v>
      </c>
      <c r="IH739" s="1689">
        <f ca="1">IG739-IG741</f>
        <v>0</v>
      </c>
      <c r="IK739" s="1689" t="e">
        <f>ROUND(T740*VLOOKUP(U740,Fixtures_Existing_List,2,FALSE)*N740*R740/1000,0)</f>
        <v>#N/A</v>
      </c>
      <c r="IL739" s="1690" t="e">
        <f>IK739-IK741</f>
        <v>#N/A</v>
      </c>
      <c r="IM739" s="1693" t="e">
        <f>ROUND(IF(CQ739="Interior",N741*R741*R740*N740*_C406_reduction/1000,N741*R741*R740*N740/1000),0)</f>
        <v>#N/A</v>
      </c>
      <c r="IN739" s="1693" t="e">
        <f>IM739-IM741</f>
        <v>#N/A</v>
      </c>
      <c r="IP739" s="1679"/>
      <c r="IQ739" s="1679" t="e">
        <f t="shared" ref="IQ739:IU739" si="681">IF($CR739="interior",VLOOKUP($CS739,_New_Control_Savings_Interior,IQ$30,FALSE),VLOOKUP($CS739,Control_Savings_Exterior,IQ$30,FALSE))</f>
        <v>#N/A</v>
      </c>
      <c r="IR739" s="1679" t="e">
        <f t="shared" si="681"/>
        <v>#N/A</v>
      </c>
      <c r="IS739" s="1679" t="e">
        <f t="shared" si="681"/>
        <v>#N/A</v>
      </c>
      <c r="IT739" s="1679" t="e">
        <f t="shared" si="681"/>
        <v>#N/A</v>
      </c>
      <c r="IU739" s="1679" t="e">
        <f t="shared" si="681"/>
        <v>#N/A</v>
      </c>
      <c r="IV739" s="1679" t="e">
        <f>IF($CR739="interior",IF(R740&gt;$IP$14,ROUND(($IV$18*($IP$14/R740)),2),$IV$18),VLOOKUP($CS739,Control_Savings_Exterior,IV$30,FALSE))</f>
        <v>#N/A</v>
      </c>
      <c r="IW739" s="1679" t="e">
        <f>IF($CR739="interior",ROUND(((1-IS739)*IV739)+IS739,2),VLOOKUP($CS739,Control_Savings_Exterior,IW$30,FALSE))</f>
        <v>#N/A</v>
      </c>
      <c r="IX739" s="1679" t="e">
        <f>IF($CR739="interior",ROUND(((1-IT739)*IV739)+IT739,2),VLOOKUP($CS739,Control_Savings_Exterior,IX$30,FALSE))</f>
        <v>#N/A</v>
      </c>
      <c r="IY739" s="1679" t="e">
        <f>IF($CR739="interior",IF(R740&gt;$IP$14,ROUND(($IY$18*($IP$14/R740)),2),$IY$18),VLOOKUP($CS739,Control_Savings_Exterior,IY$30,FALSE))</f>
        <v>#N/A</v>
      </c>
      <c r="IZ739" s="1679" t="e">
        <f>IF($CR739="interior",ROUND(((1-IS739)*IY739)+IS739,2),VLOOKUP($CS739,Control_Savings_Exterior,IZ$30,FALSE))</f>
        <v>#N/A</v>
      </c>
      <c r="JA739" s="1679" t="e">
        <f>IF($CR739="interior",ROUND(((1-IT739)*IY739)+IT739,2),VLOOKUP($CS739,Control_Savings_Exterior,JA$30,FALSE))</f>
        <v>#N/A</v>
      </c>
      <c r="JC739" s="1680">
        <f>IFERROR(IF(CR739="Interior",CONCATENATE(G742," ",FQ739),FQ739),"")</f>
        <v>0</v>
      </c>
      <c r="JD739" s="1670" t="str">
        <f>IFERROR(VLOOKUP(JC739,_Controls_2023,2,FALSE),"")</f>
        <v/>
      </c>
      <c r="JE739" s="1681">
        <f>IFERROR(CHOOSE(JD739-1,IQ739,IR739,IS739,IT739,IU739,IV739,IW739,IX739,IY739,IZ739,JA739),0)</f>
        <v>0</v>
      </c>
      <c r="JG739" s="1680" t="str">
        <f>FE739</f>
        <v xml:space="preserve"> - 0</v>
      </c>
      <c r="JH739" s="1670" t="e">
        <f>$FO739</f>
        <v>#N/A</v>
      </c>
      <c r="JI739" s="1060"/>
      <c r="JJ739" s="1682" t="b">
        <f>IF($JG741=CONCATENATE("Interior - ",JJ$4),TRUE,FALSE)</f>
        <v>0</v>
      </c>
      <c r="JK739" s="1061"/>
      <c r="JL739" s="1682" t="b">
        <f>IF($JG741=CONCATENATE("Interior - ",JL$4),TRUE,FALSE)</f>
        <v>0</v>
      </c>
      <c r="JM739" s="1061"/>
      <c r="JN739" s="1682" t="b">
        <f>IF($JG741=CONCATENATE("Interior - ",JN$4),TRUE,FALSE)</f>
        <v>0</v>
      </c>
      <c r="JO739" s="1061"/>
      <c r="JP739" s="1682" t="b">
        <f>IF(__Retrofit_TI_NC&gt;0,FALSE,IF($JG741=CONCATENATE("Interior - ",JP$4),TRUE,FALSE))</f>
        <v>0</v>
      </c>
      <c r="JQ739" s="1061"/>
      <c r="JR739" s="1682" t="b">
        <f>IF(__Retrofit_TI_NC&gt;0,FALSE,IF($JG741=CONCATENATE("Interior - ",JR$4),TRUE,FALSE))</f>
        <v>0</v>
      </c>
      <c r="JS739" s="1061"/>
      <c r="JT739" s="1670" t="b">
        <f>IF(__Retrofit_TI_NC&gt;0,FALSE,IF($JG741=CONCATENATE("Interior - ",JT$4),TRUE,FALSE))</f>
        <v>0</v>
      </c>
      <c r="JU739" s="1061"/>
      <c r="JV739" s="1670" t="b">
        <f>IF(JC741="AELC on Existing",TRUE,FALSE)</f>
        <v>0</v>
      </c>
      <c r="JX739" s="1670" t="b">
        <f>IF(OR(JG741="Exterior - AELC Occupancy based",JG741="Exterior - AELC Time based"),TRUE,FALSE)</f>
        <v>0</v>
      </c>
      <c r="JZ739" s="1682" t="b">
        <f>IF($JG741=CONCATENATE("Exterior - ",JZ$4),TRUE,FALSE)</f>
        <v>0</v>
      </c>
      <c r="KB739" s="1670" t="b">
        <f>IF(__Retrofit_TI_NC&gt;0,FALSE,IF($JG741=CONCATENATE("Interior - ",KB$4),TRUE,FALSE))</f>
        <v>0</v>
      </c>
    </row>
    <row r="740" spans="1:288" s="78" customFormat="1" ht="14.95" customHeight="1" thickTop="1" thickBot="1">
      <c r="B740" s="1845"/>
      <c r="C740" s="1846"/>
      <c r="D740" s="1847"/>
      <c r="E740" s="1737" t="s">
        <v>297</v>
      </c>
      <c r="F740" s="1738"/>
      <c r="G740" s="1739"/>
      <c r="H740" s="1739"/>
      <c r="I740" s="1739"/>
      <c r="J740" s="1739"/>
      <c r="K740" s="1739"/>
      <c r="L740" s="1739"/>
      <c r="M740" s="461" t="e">
        <f>IF(__Retrofit_TI_NC&lt;&gt;0,IF(VLOOKUP(G741,'Space Table'!$B$3:$L$163,3,FALSE)&gt;0,1,0),IF(__Retrofit_TI_NC=VLOOKUP(G741,'Space Table'!$B$3:$L$163,3,FALSE),1,0))</f>
        <v>#N/A</v>
      </c>
      <c r="N740" s="461" t="str">
        <f>IFERROR(VLOOKUP(G740,_Lookup_Heat_Type_Table_New,2,FALSE),"")</f>
        <v/>
      </c>
      <c r="O740" s="461">
        <f>IF(__Retrofit_TI_NC=1,CONCATENATE("TI ",G740),IF(__Retrofit_TI_NC=2,CONCATENATE("NC ",G740),G740))</f>
        <v>0</v>
      </c>
      <c r="P740" s="1740" t="s">
        <v>435</v>
      </c>
      <c r="Q740" s="1740"/>
      <c r="R740" s="595"/>
      <c r="S740" s="1792"/>
      <c r="T740" s="597"/>
      <c r="U740" s="1765"/>
      <c r="V740" s="1766"/>
      <c r="W740" s="1766"/>
      <c r="X740" s="1766"/>
      <c r="Y740" s="1766"/>
      <c r="Z740" s="1766"/>
      <c r="AA740" s="1766"/>
      <c r="AB740" s="1766"/>
      <c r="AC740" s="1766"/>
      <c r="AD740" s="1767"/>
      <c r="AE740" s="1000"/>
      <c r="AF740" s="597"/>
      <c r="AG740" s="1723"/>
      <c r="AH740" s="1724"/>
      <c r="AI740" s="1724"/>
      <c r="AJ740" s="1724"/>
      <c r="AK740" s="1725"/>
      <c r="AL740" s="996"/>
      <c r="AM740" s="1747"/>
      <c r="AN740" s="1775"/>
      <c r="AO740" s="1777"/>
      <c r="AP740" s="1780"/>
      <c r="AQ740" s="1781"/>
      <c r="AR740" s="1795"/>
      <c r="AS740" s="1795"/>
      <c r="AT740" s="1796"/>
      <c r="AU740" s="1735"/>
      <c r="AV740" s="1752"/>
      <c r="AW740" s="1705"/>
      <c r="AX740" s="467"/>
      <c r="AY740" s="1749"/>
      <c r="AZ740" s="1749"/>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696"/>
      <c r="CQ740" s="1696"/>
      <c r="CR740" s="1809"/>
      <c r="CS740" s="1811"/>
      <c r="CU740" s="1688"/>
      <c r="CV740" s="1703"/>
      <c r="CW740" s="1703"/>
      <c r="CX740" s="1703"/>
      <c r="CY740" s="1815"/>
      <c r="CZ740" s="1711"/>
      <c r="DA740" s="1818"/>
      <c r="DB740" s="1820"/>
      <c r="DC740" s="1820"/>
      <c r="DD740" s="1820"/>
      <c r="DF740" s="1703"/>
      <c r="DG740" s="1831"/>
      <c r="DH740" s="1703"/>
      <c r="DI740" s="1838"/>
      <c r="DJ740" s="1711"/>
      <c r="DK740" s="1712"/>
      <c r="DM740" s="1718"/>
      <c r="DO740" s="1708"/>
      <c r="DQ740" s="1715"/>
      <c r="DR740" s="1720"/>
      <c r="DS740" s="1816"/>
      <c r="DT740" s="1714"/>
      <c r="DU740" s="1715"/>
      <c r="DV740" s="1716"/>
      <c r="DX740" s="1715"/>
      <c r="DY740" s="1720"/>
      <c r="DZ740" s="1715"/>
      <c r="EA740" s="1715"/>
      <c r="EC740" s="1834"/>
      <c r="ED740" s="1834"/>
      <c r="EF740" s="1707"/>
      <c r="EG740" s="1712"/>
      <c r="EH740" s="1818"/>
      <c r="EI740" s="1712"/>
      <c r="EJ740" s="1712"/>
      <c r="EK740" s="1836"/>
      <c r="EL740" s="1836"/>
      <c r="EM740" s="1807"/>
      <c r="EN740" s="1839"/>
      <c r="EO740" s="1839"/>
      <c r="EP740" s="1817"/>
      <c r="EQ740" s="1817"/>
      <c r="ER740" s="1807"/>
      <c r="ES740" s="1807"/>
      <c r="ET740" s="1807"/>
      <c r="EV740" s="1715"/>
      <c r="EX740" s="1805"/>
      <c r="EY740" s="1805"/>
      <c r="EZ740" s="1805"/>
      <c r="FA740" s="1805"/>
      <c r="FB740" s="1805"/>
      <c r="FC740" s="1827"/>
      <c r="FE740" s="1698"/>
      <c r="FG740" s="1816"/>
      <c r="FH740" s="1816"/>
      <c r="FI740" s="133"/>
      <c r="FL740" s="1823"/>
      <c r="FM740" s="1825"/>
      <c r="FN740" s="1698"/>
      <c r="FO740" s="1698"/>
      <c r="FP740" s="1678"/>
      <c r="FQ740" s="1678"/>
      <c r="FS740" s="1687"/>
      <c r="FT740" s="1687"/>
      <c r="FU740" s="1685"/>
      <c r="FV740" s="1687"/>
      <c r="FW740" s="1687"/>
      <c r="FX740" s="1687"/>
      <c r="FY740" s="1697"/>
      <c r="GA740" s="1696"/>
      <c r="GB740" s="1696"/>
      <c r="GC740" s="1696"/>
      <c r="GD740" s="1696"/>
      <c r="GE740" s="1696"/>
      <c r="GF740" s="1696"/>
      <c r="GG740" s="1696"/>
      <c r="GH740" s="1696"/>
      <c r="GI740" s="673"/>
      <c r="GJ740" s="1135"/>
      <c r="GK740" s="1832"/>
      <c r="GM740" s="1693" t="b">
        <f ca="1">IF(AND(GP740=TRUE,GQ740=TRUE),TRUE,FALSE)</f>
        <v>0</v>
      </c>
      <c r="GN740" s="1684" t="b">
        <f>IFERROR(IF(__Retrofit_TI_NC=2,TRUE,IF(AU739="Yes",TRUE,FALSE)),FALSE)</f>
        <v>1</v>
      </c>
      <c r="GP740" s="1684" t="b">
        <f>IFERROR(IF(GP739=1,TRUE,FALSE),FALSE)</f>
        <v>0</v>
      </c>
      <c r="GQ740" s="1684" t="b">
        <f ca="1">IFERROR(IF(GQ739=GQ$14,TRUE,FALSE),FALSE)</f>
        <v>0</v>
      </c>
      <c r="HG740" s="1684" t="b">
        <f>IFERROR(IF(AND(__Retrofit_TI_NC&gt;0,CQ739="Interior"),FALSE,TRUE),FALSE)</f>
        <v>1</v>
      </c>
      <c r="HH740" s="1684" t="b">
        <f>IFERROR(IF(M740=1,TRUE,FALSE),FALSE)</f>
        <v>0</v>
      </c>
      <c r="HI740" s="1684" t="b">
        <f>IFERROR(IF(OR(M741=1,N742="BAM"),TRUE,FALSE),FALSE)</f>
        <v>0</v>
      </c>
      <c r="HJ740" s="1684" t="b">
        <f>IFERROR(IF(__Retrofit_TI_NC&lt;&gt;0,TRUE,IFERROR(IF(VLOOKUP(U740,Fixtures_Existing_List,2,FALSE)&lt;&gt;"",TRUE,FALSE),FALSE)),FALSE)</f>
        <v>0</v>
      </c>
      <c r="HK740" s="1684" t="b">
        <f>IFERROR(IF(VLOOKUP(U741,Fixtures_Proposed_List,2,FALSE)&lt;&gt;"",TRUE,FALSE),FALSE)</f>
        <v>0</v>
      </c>
      <c r="HL740" s="1684" t="b">
        <f>IF(AND(__Retrofit_TI_NC=2,FC739=TRUE),FALSE,TRUE)</f>
        <v>1</v>
      </c>
      <c r="HM740" s="1684" t="b">
        <f>GK739</f>
        <v>1</v>
      </c>
      <c r="HN740" s="1682" t="b">
        <f>IF(ISERROR(MATCH(FE739,_Control_Match[],0))=TRUE,FALSE,TRUE)</f>
        <v>0</v>
      </c>
      <c r="HO740" s="1693" t="b">
        <f>IFERROR(IF(EX739&lt;&gt;EY739,FALSE,TRUE),FALSE)</f>
        <v>1</v>
      </c>
      <c r="HP740" s="1693" t="b">
        <f>IFERROR(IF(EX741&lt;&gt;EY741,FALSE,TRUE),FALSE)</f>
        <v>1</v>
      </c>
      <c r="HQ740" s="1670" t="b">
        <f>IFERROR(IF(CQ739="Exterior",TRUE,IF(AND(OR(FM741=0,FM741=3),JD741&gt;6),FALSE,TRUE)),FALSE)</f>
        <v>0</v>
      </c>
      <c r="HR740" s="1684" t="b">
        <f>IFERROR(IF(AND(FO741=7,FC739=TRUE),FALSE,TRUE),FALSE)</f>
        <v>0</v>
      </c>
      <c r="HS740" s="1684" t="b">
        <f>IFERROR(IF(AND(T741&lt;&gt;AF741,OR(AG741="Interior LLLC", AG741="Interior NLC", AG741="LLLC (outside Daylight)",AG741="LLLC Controls Only"))=TRUE,FALSE,TRUE),FALSE)</f>
        <v>1</v>
      </c>
      <c r="HT740" s="1670" t="b">
        <f>IFERROR(IF(OR(AG741=Lookup!BB$17,AG741=Lookup!BB$18,AG741=Lookup!BB$19)=TRUE,IF(AF741&gt;T741,FALSE,TRUE),TRUE),FALSE)</f>
        <v>1</v>
      </c>
      <c r="HU740" s="1684" t="b">
        <f>IFERROR(IF(__Retrofit_TI_NC=2,IF(EZ741&lt;EZ739,FALSE,TRUE),TRUE),FALSE)</f>
        <v>1</v>
      </c>
      <c r="HV740" s="1684" t="b">
        <f>IF(CQ739="Interior",IL$6,TRUE)</f>
        <v>1</v>
      </c>
      <c r="HW740" s="1684" t="b">
        <f>IF(CQ739="Exterior",IL$8,TRUE)</f>
        <v>1</v>
      </c>
      <c r="HX740" s="1684" t="b">
        <f>IFERROR(IF(__Retrofit_TI_NC&lt;&gt;0,IF(AZ739&lt;AY739,FALSE,TRUE),TRUE),FALSE)</f>
        <v>1</v>
      </c>
      <c r="HY740" s="1684" t="b">
        <f>IFERROR(IF(AND(G740="Exterior",R740&gt;4200),FALSE,TRUE),FALSE)</f>
        <v>1</v>
      </c>
      <c r="HZ740" s="1684" t="b">
        <f>IFERROR(IF(AB742/AB739&lt;HZ$18,FALSE,TRUE),FALSE)</f>
        <v>0</v>
      </c>
      <c r="IB740" s="1691"/>
      <c r="IC740" s="1695"/>
      <c r="ID740" s="1694" t="str">
        <f>VLOOKUP(IB742,_Error_Table,4,FALSE)</f>
        <v>White</v>
      </c>
      <c r="IE740" s="391"/>
      <c r="IF740" s="1688"/>
      <c r="IG740" s="1689"/>
      <c r="IH740" s="1684"/>
      <c r="IK740" s="1689"/>
      <c r="IL740" s="1691"/>
      <c r="IM740" s="1691"/>
      <c r="IN740" s="1691"/>
      <c r="IP740" s="1679"/>
      <c r="IQ740" s="1679"/>
      <c r="IR740" s="1679"/>
      <c r="IS740" s="1679"/>
      <c r="IT740" s="1679"/>
      <c r="IU740" s="1679"/>
      <c r="IV740" s="1679"/>
      <c r="IW740" s="1679"/>
      <c r="IX740" s="1679"/>
      <c r="IY740" s="1679"/>
      <c r="IZ740" s="1679"/>
      <c r="JA740" s="1679"/>
      <c r="JC740" s="1680"/>
      <c r="JD740" s="1670"/>
      <c r="JE740" s="1681"/>
      <c r="JG740" s="1680"/>
      <c r="JH740" s="1670"/>
      <c r="JI740" s="1060"/>
      <c r="JJ740" s="1683"/>
      <c r="JK740" s="1061"/>
      <c r="JL740" s="1683"/>
      <c r="JM740" s="1061"/>
      <c r="JN740" s="1683"/>
      <c r="JO740" s="1061"/>
      <c r="JP740" s="1683"/>
      <c r="JQ740" s="1061"/>
      <c r="JR740" s="1683"/>
      <c r="JS740" s="1061"/>
      <c r="JT740" s="1670"/>
      <c r="JU740" s="1061"/>
      <c r="JV740" s="1670"/>
      <c r="JX740" s="1670"/>
      <c r="JZ740" s="1683"/>
      <c r="KB740" s="1670"/>
    </row>
    <row r="741" spans="1:288" s="78" customFormat="1" ht="14.95" customHeight="1" thickTop="1" thickBot="1">
      <c r="A741" s="78">
        <f>ROW()</f>
        <v>741</v>
      </c>
      <c r="B741" s="1845"/>
      <c r="C741" s="1846"/>
      <c r="D741" s="1847"/>
      <c r="E741" s="1737" t="s">
        <v>298</v>
      </c>
      <c r="F741" s="1738"/>
      <c r="G741" s="1760"/>
      <c r="H741" s="1761"/>
      <c r="I741" s="1761"/>
      <c r="J741" s="1761"/>
      <c r="K741" s="1761"/>
      <c r="L741" s="1762"/>
      <c r="M741" s="461">
        <f>IFERROR(IF(IF(__Retrofit_TI_NC&lt;&gt;0,IF(CQ739="Interior",MATCH(G741,Lookup_Interior_New,0),MATCH(G741,Lookup_Exterior_New,0)),IF(CQ739="Interior",MATCH(G741,Lookup_Interior,0),MATCH(G741,Lookup_Exterior_Areas,0)))&gt;0,1,0),0)</f>
        <v>0</v>
      </c>
      <c r="N741" s="461" t="e">
        <f>IF(__Retrofit_TI_NC=1,
VLOOKUP(G741,'Space Table'!$B$3:$L$163,4,FALSE),
IF(__Retrofit_TI_NC=2,VLOOKUP(G741,'Space Table'!$B$3:$L$163,5,FALSE),VLOOKUP(G741,'Space Table'!$B$3:$L$163,5,FALSE)))</f>
        <v>#N/A</v>
      </c>
      <c r="O741" s="461">
        <f>G741</f>
        <v>0</v>
      </c>
      <c r="P741" s="1738" t="str">
        <f>IFERROR(IF(__Retrofit_TI_NC=1,VLOOKUP(G741,'Space Table'!$B$3:$O$163,13,FALSE),IF(__Retrofit_TI_NC=2,VLOOKUP(G741,'Space Table'!$B$3:$O$163,14,FALSE),"Area (sf):")),"Area (sf):")</f>
        <v>Area (sf):</v>
      </c>
      <c r="Q741" s="1738"/>
      <c r="R741" s="596"/>
      <c r="S741" s="1763" t="s">
        <v>345</v>
      </c>
      <c r="T741" s="594"/>
      <c r="U741" s="1801"/>
      <c r="V741" s="1802"/>
      <c r="W741" s="1802"/>
      <c r="X741" s="1802"/>
      <c r="Y741" s="1802"/>
      <c r="Z741" s="1802"/>
      <c r="AA741" s="1802"/>
      <c r="AB741" s="1802"/>
      <c r="AC741" s="1802"/>
      <c r="AD741" s="1802"/>
      <c r="AE741" s="1803"/>
      <c r="AF741" s="594"/>
      <c r="AG741" s="1787"/>
      <c r="AH741" s="1787"/>
      <c r="AI741" s="1787"/>
      <c r="AJ741" s="1787"/>
      <c r="AK741" s="1787"/>
      <c r="AL741" s="1787"/>
      <c r="AM741" s="1726">
        <f>IFERROR(DI741,"")</f>
        <v>0</v>
      </c>
      <c r="AN741" s="1728" t="str">
        <f>IFERROR(ROUND(AM741*AC742,0),"")</f>
        <v/>
      </c>
      <c r="AO741" s="1730">
        <f>IFERROR(IF(IB739=FALSE,0,AC742-AN741),0)</f>
        <v>0</v>
      </c>
      <c r="AP741" s="1780"/>
      <c r="AQ741" s="1781"/>
      <c r="AR741" s="1795"/>
      <c r="AS741" s="1795"/>
      <c r="AT741" s="1796"/>
      <c r="AU741" s="1735"/>
      <c r="AV741" s="1752"/>
      <c r="AW741" s="1705"/>
      <c r="AX741" s="467"/>
      <c r="AY741" s="1749"/>
      <c r="AZ741" s="1749"/>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696"/>
      <c r="CQ741" s="1696"/>
      <c r="CR741" s="1808" t="str">
        <f>CQ739</f>
        <v/>
      </c>
      <c r="CS741" s="1810" t="str">
        <f>CS739</f>
        <v/>
      </c>
      <c r="CU741" s="1688" t="s">
        <v>345</v>
      </c>
      <c r="CV741" s="1702">
        <f>IF(IB739=TRUE,T741,0)</f>
        <v>0</v>
      </c>
      <c r="CW741" s="1702" t="str">
        <f>IF(IB739=TRUE,U741,"")</f>
        <v/>
      </c>
      <c r="CX741" s="1812">
        <f>IF(IB739=TRUE,U742,0)</f>
        <v>0</v>
      </c>
      <c r="CY741" s="1814">
        <f>IF(IB739=TRUE,AB742,0)</f>
        <v>0</v>
      </c>
      <c r="CZ741" s="1710">
        <f>IF(AND(__Retrofit_TI_NC&gt;0,CR739="interior"),0,IF(IB739=TRUE,AC742,0))</f>
        <v>0</v>
      </c>
      <c r="DA741" s="1818"/>
      <c r="DB741" s="1820"/>
      <c r="DC741" s="1820"/>
      <c r="DD741" s="1820"/>
      <c r="DF741" s="1702">
        <f>IF(IB739=TRUE,AF741,0)</f>
        <v>0</v>
      </c>
      <c r="DG741" s="1830" t="str">
        <f>IF(IB739=TRUE,AG741,"")</f>
        <v/>
      </c>
      <c r="DH741" s="1812">
        <f>AG742</f>
        <v>0</v>
      </c>
      <c r="DI741" s="1837">
        <f>JE741</f>
        <v>0</v>
      </c>
      <c r="DJ741" s="1710">
        <f>IF(AND(__Retrofit_TI_NC&gt;0,CR739="interior"),0,IF(IB739=TRUE,AN741,0))</f>
        <v>0</v>
      </c>
      <c r="DK741" s="1712"/>
      <c r="DN741" s="1717">
        <f>IFERROR(CZ741-DJ741,0)</f>
        <v>0</v>
      </c>
      <c r="DO741" s="1709"/>
      <c r="DQ741" s="1715"/>
      <c r="DR741" s="1719" t="str">
        <f>DQ739</f>
        <v/>
      </c>
      <c r="DS741" s="1816"/>
      <c r="DT741" s="1835" t="str">
        <f>IF(OR(DS739=7,DS739=8,DS739=9),"ALC","")</f>
        <v/>
      </c>
      <c r="DU741" s="1715"/>
      <c r="DV741" s="1716"/>
      <c r="DX741" s="1715"/>
      <c r="DY741" s="1829" t="str">
        <f>DX739</f>
        <v/>
      </c>
      <c r="DZ741" s="1715"/>
      <c r="EA741" s="1715"/>
      <c r="EC741" s="1834"/>
      <c r="ED741" s="1834"/>
      <c r="EF741" s="1707"/>
      <c r="EG741" s="1712"/>
      <c r="EH741" s="1818"/>
      <c r="EI741" s="1712"/>
      <c r="EJ741" s="1712"/>
      <c r="EK741" s="1836"/>
      <c r="EL741" s="1836"/>
      <c r="EM741" s="1807"/>
      <c r="EN741" s="1839"/>
      <c r="EO741" s="1839"/>
      <c r="EP741" s="1817"/>
      <c r="EQ741" s="1817"/>
      <c r="ER741" s="1807"/>
      <c r="ES741" s="1807"/>
      <c r="ET741" s="1807"/>
      <c r="EV741" s="1715"/>
      <c r="EX741" s="1805" t="str">
        <f>IFERROR(VLOOKUP(CS741,'Space Table'!$B$3:$L$163,8,FALSE),"")</f>
        <v/>
      </c>
      <c r="EY741" s="1805" t="str">
        <f>IFERROR(IF(FB741="Yes",VLOOKUP(AG741,Lookup_Control_Type_Table2,4,FALSE),VLOOKUP(AG741,Lookup_Control_Type_Table2,3,FALSE)),"")</f>
        <v/>
      </c>
      <c r="EZ741" s="1805" t="e">
        <f>VLOOKUP(AG741,Lookup!BB$3:BC$20,2,FALSE)</f>
        <v>#N/A</v>
      </c>
      <c r="FA741" s="1805" t="e">
        <f>VLOOKUP(EX739,Lookup_Control_Type_Table,2,FALSE)</f>
        <v>#N/A</v>
      </c>
      <c r="FB741" s="1805" t="e">
        <f>VLOOKUP(CS741,'Space Table'!$B$3:$L$163,7,FALSE)</f>
        <v>#N/A</v>
      </c>
      <c r="FC741" s="1827"/>
      <c r="FE741" s="1698" t="str">
        <f>CONCATENATE(CQ739," - ",AG741)</f>
        <v xml:space="preserve"> - </v>
      </c>
      <c r="FG741" s="1816"/>
      <c r="FH741" s="1816"/>
      <c r="FI741" s="133"/>
      <c r="FL741" s="1822" t="str">
        <f>IF(CQ739="Exterior","Not Daylighted",G742)</f>
        <v>Not Daylighted</v>
      </c>
      <c r="FM741" s="1824">
        <f>VLOOKUP(FL741,_New_Daylight_Table_Codes,2,FALSE)</f>
        <v>0</v>
      </c>
      <c r="FN741" s="1698">
        <f>AG741</f>
        <v>0</v>
      </c>
      <c r="FO741" s="1698" t="e">
        <f>VLOOKUP(FN741,_Control_Table,2,FALSE)</f>
        <v>#N/A</v>
      </c>
      <c r="FP741" s="1678" t="e">
        <f>VLOOKUP(CONCATENATE(FL741," ",FN741),Lookup!AY$102:AZ752,2,FALSE)</f>
        <v>#N/A</v>
      </c>
      <c r="FQ741" s="1698">
        <f>IF(__Retrofit_TI_NC=0,FN741,IF(AND(FT741&gt;0,FN741="Occupancy Sensor"),"Daylight + Occupancy",IF(AND(FT741&gt;0,FO741&lt;4),"Interior Daylight Dimming",FN741)))</f>
        <v>0</v>
      </c>
      <c r="FS741" s="1686">
        <f>IF(CQ739="Interior",VLOOKUP(CS739,Control_Savings_Interior,5,FALSE),0)</f>
        <v>0</v>
      </c>
      <c r="FT741" s="1687">
        <f>IF(CQ741="Exterior",0,IF(FM741=2,0.5,IF(OR(FM741=1,FM741=3),1,0)))</f>
        <v>0</v>
      </c>
      <c r="FU741" s="1685">
        <f>IF(R740&gt;FS$44,(FS741*(FS$44/R740)),FS741)*FT741</f>
        <v>0</v>
      </c>
      <c r="FV741" s="1686">
        <f>DI741</f>
        <v>0</v>
      </c>
      <c r="FW741" s="1686">
        <f>ROUND(FV741+((1-FV741)*FU741),2)</f>
        <v>0</v>
      </c>
      <c r="FX741" s="1686">
        <f>IF(__Retrofit_TI_NC=2,FW741,FV741)</f>
        <v>0</v>
      </c>
      <c r="FY741" s="1697">
        <f>IF(CR741="Interior",VLOOKUP(CS741,Control_Savings_Interior,4,FALSE),0)</f>
        <v>0</v>
      </c>
      <c r="GA741" s="1696"/>
      <c r="GB741" s="1696"/>
      <c r="GC741" s="1696"/>
      <c r="GD741" s="1696"/>
      <c r="GE741" s="1696"/>
      <c r="GF741" s="1696"/>
      <c r="GG741" s="1696"/>
      <c r="GH741" s="1696"/>
      <c r="GI741" s="673" t="b">
        <f>IF(ISNUMBER(SEARCH("TLED",U741)),TRUE,FALSE)</f>
        <v>0</v>
      </c>
      <c r="GJ741" s="1135" t="str">
        <f>IFERROR(VLOOKUP(U741,Fixtures!DM$93:DR$142,6,FALSE),"")</f>
        <v/>
      </c>
      <c r="GK741" s="1832"/>
      <c r="GM741" s="1692"/>
      <c r="GN741" s="1684"/>
      <c r="GP741" s="1684"/>
      <c r="GQ741" s="1684"/>
      <c r="HG741" s="1684"/>
      <c r="HH741" s="1684"/>
      <c r="HI741" s="1684"/>
      <c r="HJ741" s="1684"/>
      <c r="HK741" s="1684"/>
      <c r="HL741" s="1684"/>
      <c r="HM741" s="1684"/>
      <c r="HN741" s="1683"/>
      <c r="HO741" s="1692"/>
      <c r="HP741" s="1692"/>
      <c r="HQ741" s="1670"/>
      <c r="HR741" s="1684"/>
      <c r="HS741" s="1684"/>
      <c r="HT741" s="1670"/>
      <c r="HU741" s="1684"/>
      <c r="HV741" s="1684"/>
      <c r="HW741" s="1684"/>
      <c r="HX741" s="1684"/>
      <c r="HY741" s="1684"/>
      <c r="HZ741" s="1684"/>
      <c r="IB741" s="1692"/>
      <c r="IC741" s="1693" t="b">
        <f>IB739</f>
        <v>0</v>
      </c>
      <c r="ID741" s="1695"/>
      <c r="IE741" s="391"/>
      <c r="IF741" s="1688"/>
      <c r="IG741" s="1689">
        <f ca="1">IF(IF739=TRUE,AC742,0)</f>
        <v>0</v>
      </c>
      <c r="IH741" s="1684"/>
      <c r="IK741" s="1689" t="e">
        <f>ROUND(T741*AB742*N740*R740/1000,0)</f>
        <v>#VALUE!</v>
      </c>
      <c r="IL741" s="1691"/>
      <c r="IM741" s="1693" t="e">
        <f>ROUND(T741*AB742*N740*R740/1000,0)</f>
        <v>#VALUE!</v>
      </c>
      <c r="IN741" s="1691"/>
      <c r="IP741" s="1679"/>
      <c r="IQ741" s="1679" t="e">
        <f t="shared" ref="IQ741:IU741" si="682">IF($CR741="interior",VLOOKUP($CS741,_New_Control_Savings_Interior,IQ$30,FALSE),VLOOKUP($CS741,Control_Savings_Exterior,IQ$30,FALSE))</f>
        <v>#N/A</v>
      </c>
      <c r="IR741" s="1679" t="e">
        <f t="shared" si="682"/>
        <v>#N/A</v>
      </c>
      <c r="IS741" s="1679" t="e">
        <f t="shared" si="682"/>
        <v>#N/A</v>
      </c>
      <c r="IT741" s="1679" t="e">
        <f t="shared" si="682"/>
        <v>#N/A</v>
      </c>
      <c r="IU741" s="1679" t="e">
        <f t="shared" si="682"/>
        <v>#N/A</v>
      </c>
      <c r="IV741" s="1679" t="e">
        <f>IF($CR741="interior",IF(R740&gt;$IP$14,ROUND(($IV$18*($IP$14/R740)),2),$IV$18),VLOOKUP($CS741,Control_Savings_Exterior,IV$30,FALSE))</f>
        <v>#N/A</v>
      </c>
      <c r="IW741" s="1679" t="e">
        <f>IF($CR741="interior",ROUND(((1-IS741)*IV741)+IS741,2),VLOOKUP($CS741,Control_Savings_Exterior,IW$30,FALSE))</f>
        <v>#N/A</v>
      </c>
      <c r="IX741" s="1679" t="e">
        <f>IF($CR741="interior",ROUND(((1-IT741)*IV741)+IT741,2),VLOOKUP($CS741,Control_Savings_Exterior,IX$30,FALSE))</f>
        <v>#N/A</v>
      </c>
      <c r="IY741" s="1679" t="e">
        <f>IF($CR741="interior",IF(R740&gt;$IP$14,ROUND(($IY$18*($IP$14/R740)),2),$IY$18),VLOOKUP($CS741,Control_Savings_Exterior,IY$30,FALSE))</f>
        <v>#N/A</v>
      </c>
      <c r="IZ741" s="1679" t="e">
        <f>IF($CR741="interior",ROUND(((1-IS741)*IY741)+IS741,2),VLOOKUP($CS741,Control_Savings_Exterior,IZ$30,FALSE))</f>
        <v>#N/A</v>
      </c>
      <c r="JA741" s="1679" t="e">
        <f>IF($CR741="interior",ROUND(((1-IT741)*IY741)+IT741,2),VLOOKUP($CS741,Control_Savings_Exterior,JA$30,FALSE))</f>
        <v>#N/A</v>
      </c>
      <c r="JC741" s="1680">
        <f>IFERROR(IF(CR741="Interior",CONCATENATE(G742," ",FQ741),AG741),"")</f>
        <v>0</v>
      </c>
      <c r="JD741" s="1670" t="str">
        <f>IFERROR(VLOOKUP(JC741,_Controls_2023,2,FALSE),"")</f>
        <v/>
      </c>
      <c r="JE741" s="1681">
        <f>IFERROR(CHOOSE(JD741-1,IQ741,IR741,IS741,IT741,IU741,IV741,IW741,IX741,IY741,IZ741,JA741),0)</f>
        <v>0</v>
      </c>
      <c r="JG741" s="1680" t="str">
        <f>FE741</f>
        <v xml:space="preserve"> - </v>
      </c>
      <c r="JH741" s="1670" t="e">
        <f>$FO741</f>
        <v>#N/A</v>
      </c>
      <c r="JI741" s="1060"/>
      <c r="JJ741" s="1670">
        <f>IFERROR(IF($IB739=TRUE,IF(OR(JJ$14="No",JJ739=FALSE,JH741&lt;=JH739,AND(_kWh_Grant=0,GD739=FALSE)),0,IF(JJ$8="Per Line",1,$AF741)),0),0)</f>
        <v>0</v>
      </c>
      <c r="JK741" s="1061"/>
      <c r="JL741" s="1670">
        <f>IFERROR(IF(_kWh_Grant=0,0,IF($IB739=TRUE,IF(OR(JL$14="No",JL739=FALSE,JH741&lt;=JH739),0,IF(JL$8="Per Line",1,$T741)),0)),0)</f>
        <v>0</v>
      </c>
      <c r="JM741" s="1061"/>
      <c r="JN741" s="1670">
        <f>IFERROR(IF(_kWh_Grant=0,0,IF($IB739=TRUE,IF(OR(JN$14="No",JN739=FALSE,JH741&lt;=JH739),0,IF(JN$8="Per Line",1,$AF741)),0)),0)</f>
        <v>0</v>
      </c>
      <c r="JO741" s="1061"/>
      <c r="JP741" s="1670">
        <f>IFERROR(IF(__Retrofit_TI_NC=0,IF(_kWh_Grant=0,0,IF($IB739=TRUE,IF(OR(JP$14="No",JP739=FALSE,$JH741&lt;=$JH739),0,IF(JP$8="Per Line",1,$AF741)),0)),IF($IB739=TRUE,IF(OR(JP$14="No",JP739=FALSE,$JH741&lt;=$JH739),0,IF(JP$8="Per Line",1,$AF741)))),0)</f>
        <v>0</v>
      </c>
      <c r="JQ741" s="1061"/>
      <c r="JR741" s="1670">
        <f>IFERROR(IF(__Retrofit_TI_NC=0,IF(_kWh_Grant=0,0,IF($IB739=TRUE,IF(OR(JR$14="No",JR739=FALSE,$JH741&lt;=$JH739),0,IF(JR$8="Per Line",1,$AF741)),0)),IF($IB739=TRUE,IF(OR(JR$14="No",JR739=FALSE,$JH741&lt;=$JH739),0,IF(JR$8="Per Line",1,$AF741)))),0)</f>
        <v>0</v>
      </c>
      <c r="JS741" s="1061"/>
      <c r="JT741" s="1670">
        <f>IFERROR(IF(__Retrofit_TI_NC=0,IF(_kWh_Grant=0,0,IF($IB739=TRUE,IF(OR(JT$14="No",JT739=FALSE,$JH741&lt;=$JH739),0,IF(JT$8="Per Line",1,$AF741)),0)),IF($IB739=TRUE,IF(OR(JT$14="No",JT739=FALSE,$JH741&lt;=$JH739),0,IF(JT$8="Per Line",1,$AF741)))),0)</f>
        <v>0</v>
      </c>
      <c r="JU741" s="1061"/>
      <c r="JV741" s="1670">
        <f>IFERROR(IF(__Retrofit_TI_NC=0,IF(_kWh_Grant=0,0,IF($IB739=TRUE,IF(OR(JV$14="No",JV739=FALSE,$JH741&lt;=$JH739),0,IF(JV$8="Per Line",1,$AF741)),0)),IF($IB739=TRUE,IF(OR(JV$14="No",JV739=FALSE,$JH741&lt;=$JH739),0,IF(JV$8="Per Line",1,$AF741)))),0)</f>
        <v>0</v>
      </c>
      <c r="JX741" s="1670">
        <f>IFERROR(IF(__Retrofit_TI_NC=0,IF(_kWh_Grant=0,0,IF($IB739=TRUE,IF(OR(JX$14="No",JX739=FALSE,$JH741&lt;=$JH739),0,IF(JX$8="Per Line",1,$AF741)),0)),IF($IB739=TRUE,IF(OR(JX$14="No",JX739=FALSE,$JH741&lt;=$JH739),0,IF(JX$8="Per Line",1,$AF741)))),0)</f>
        <v>0</v>
      </c>
      <c r="JZ741" s="1670">
        <f>IFERROR(IF($IB739=TRUE,IF(OR(JZ$14="No",JZ739=FALSE,$JH741&lt;=$JH739,AND(_kWh_Grant=0,$GD739=FALSE)),0,IF(JZ$8="Per Line",1,$AF741)),0),0)</f>
        <v>0</v>
      </c>
      <c r="KB741" s="1670">
        <f>IFERROR(IF(__Retrofit_TI_NC=0,IF(_kWh_Grant=0,0,IF($IB739=TRUE,IF(OR(KB$14="No",KB739=FALSE,$JH741&lt;=$JH739),0,IF(KB$8="Per Line",1,$AF741)),0)),IF($IB739=TRUE,IF(OR(KB$14="No",KB739=FALSE,$JH741&lt;=$JH739),0,IF(KB$8="Per Line",1,$AF741)))),0)</f>
        <v>0</v>
      </c>
    </row>
    <row r="742" spans="1:288" s="78" customFormat="1" ht="14.95" customHeight="1" thickTop="1" thickBot="1">
      <c r="B742" s="1845"/>
      <c r="C742" s="1846"/>
      <c r="D742" s="1847"/>
      <c r="E742" s="1771" t="s">
        <v>436</v>
      </c>
      <c r="F742" s="1772"/>
      <c r="G742" s="1784" t="s">
        <v>437</v>
      </c>
      <c r="H742" s="1785"/>
      <c r="I742" s="1785"/>
      <c r="J742" s="1785"/>
      <c r="K742" s="1785"/>
      <c r="L742" s="1786"/>
      <c r="M742" s="591">
        <f>IFERROR(VLOOKUP(G742,_Daylight_Table[],2,FALSE),0)</f>
        <v>0</v>
      </c>
      <c r="N742" s="592" t="str">
        <f>IF(AND(__Retrofit_TI_NC&gt;0,CQ739="Interior"),"BAM","")</f>
        <v/>
      </c>
      <c r="O742" s="591" t="e">
        <f>VLOOKUP(G741,'Space Table'!$B$3:$L$163,11,FALSE)</f>
        <v>#N/A</v>
      </c>
      <c r="P742" s="1789"/>
      <c r="Q742" s="1790"/>
      <c r="R742" s="1790"/>
      <c r="S742" s="1788"/>
      <c r="T742" s="593" t="s">
        <v>342</v>
      </c>
      <c r="U742" s="1756" t="str" cm="1">
        <f t="array" aca="1" ref="U742" ca="1">IFERROR(VLOOKUP(INDIRECT("U" &amp; ROW()-1),Fixtures!DM$93:DP$142,4,FALSE),"")</f>
        <v/>
      </c>
      <c r="V742" s="1757"/>
      <c r="W742" s="1757"/>
      <c r="X742" s="1757"/>
      <c r="Y742" s="1757"/>
      <c r="Z742" s="1757"/>
      <c r="AA742" s="1758"/>
      <c r="AB742" s="939" t="str">
        <f>IFERROR(VLOOKUP(U741,Fixtures_Proposed_List,2,FALSE),"")</f>
        <v/>
      </c>
      <c r="AC742" s="933" t="str">
        <f>IFERROR(ROUND(T741*AB742*N740*R740/1000,0),"")</f>
        <v/>
      </c>
      <c r="AD742" s="934" t="str">
        <f>IFERROR(ROUND(T741*AB742/1000,2),"")</f>
        <v/>
      </c>
      <c r="AE742" s="998"/>
      <c r="AF742" s="938" t="s">
        <v>342</v>
      </c>
      <c r="AG742" s="1770"/>
      <c r="AH742" s="1770"/>
      <c r="AI742" s="1770"/>
      <c r="AJ742" s="1770"/>
      <c r="AK742" s="1770"/>
      <c r="AL742" s="1770"/>
      <c r="AM742" s="1727"/>
      <c r="AN742" s="1729"/>
      <c r="AO742" s="1731"/>
      <c r="AP742" s="1782"/>
      <c r="AQ742" s="1783"/>
      <c r="AR742" s="1797"/>
      <c r="AS742" s="1797"/>
      <c r="AT742" s="1798"/>
      <c r="AU742" s="1736"/>
      <c r="AV742" s="1753"/>
      <c r="AW742" s="1706"/>
      <c r="AX742" s="468"/>
      <c r="AY742" s="1750"/>
      <c r="AZ742" s="1750"/>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696"/>
      <c r="CQ742" s="1696"/>
      <c r="CR742" s="1809"/>
      <c r="CS742" s="1811"/>
      <c r="CU742" s="1688"/>
      <c r="CV742" s="1703"/>
      <c r="CW742" s="1703"/>
      <c r="CX742" s="1813"/>
      <c r="CY742" s="1815"/>
      <c r="CZ742" s="1711"/>
      <c r="DA742" s="1815"/>
      <c r="DB742" s="1821"/>
      <c r="DC742" s="1821"/>
      <c r="DD742" s="1821"/>
      <c r="DF742" s="1703"/>
      <c r="DG742" s="1831"/>
      <c r="DH742" s="1813"/>
      <c r="DI742" s="1838"/>
      <c r="DJ742" s="1711"/>
      <c r="DK742" s="1712"/>
      <c r="DN742" s="1718"/>
      <c r="DO742" s="1709"/>
      <c r="DQ742" s="1715"/>
      <c r="DR742" s="1720"/>
      <c r="DS742" s="1703"/>
      <c r="DT742" s="1714"/>
      <c r="DU742" s="1715"/>
      <c r="DV742" s="1716"/>
      <c r="DX742" s="1715"/>
      <c r="DY742" s="1720"/>
      <c r="DZ742" s="1715"/>
      <c r="EA742" s="1715"/>
      <c r="EC742" s="1834"/>
      <c r="ED742" s="1834"/>
      <c r="EF742" s="1707"/>
      <c r="EG742" s="1712"/>
      <c r="EH742" s="1815"/>
      <c r="EI742" s="1712"/>
      <c r="EJ742" s="1712"/>
      <c r="EK742" s="1813"/>
      <c r="EL742" s="1813"/>
      <c r="EM742" s="1807"/>
      <c r="EN742" s="1839"/>
      <c r="EO742" s="1839"/>
      <c r="EP742" s="1817"/>
      <c r="EQ742" s="1817"/>
      <c r="ER742" s="1807"/>
      <c r="ES742" s="1807"/>
      <c r="ET742" s="1807"/>
      <c r="EV742" s="1715"/>
      <c r="EX742" s="1806"/>
      <c r="EY742" s="1806"/>
      <c r="EZ742" s="1806"/>
      <c r="FA742" s="1806"/>
      <c r="FB742" s="1806"/>
      <c r="FC742" s="1828"/>
      <c r="FE742" s="1698"/>
      <c r="FG742" s="1703"/>
      <c r="FH742" s="1703"/>
      <c r="FI742" s="133"/>
      <c r="FL742" s="1823"/>
      <c r="FM742" s="1825"/>
      <c r="FN742" s="1698"/>
      <c r="FO742" s="1698"/>
      <c r="FP742" s="1678"/>
      <c r="FQ742" s="1698"/>
      <c r="FS742" s="1687"/>
      <c r="FT742" s="1687"/>
      <c r="FU742" s="1685"/>
      <c r="FV742" s="1687"/>
      <c r="FW742" s="1687"/>
      <c r="FX742" s="1687"/>
      <c r="FY742" s="1697"/>
      <c r="GA742" s="1696"/>
      <c r="GB742" s="1696"/>
      <c r="GC742" s="1696"/>
      <c r="GD742" s="1696"/>
      <c r="GE742" s="1696"/>
      <c r="GF742" s="1696"/>
      <c r="GG742" s="1696"/>
      <c r="GH742" s="1696"/>
      <c r="GI742" s="673"/>
      <c r="GJ742" s="1135"/>
      <c r="GK742" s="1832"/>
      <c r="GN742" s="674">
        <f>IF(GN740=TRUE,0,GN$16)</f>
        <v>0</v>
      </c>
      <c r="GP742" s="674">
        <f>IF(GP740=TRUE,0,GP$16)</f>
        <v>36</v>
      </c>
      <c r="GQ742" s="674">
        <f ca="1">IF(GQ740=TRUE,0,GQ$16)</f>
        <v>35</v>
      </c>
      <c r="GR742" s="391"/>
      <c r="GS742" s="391"/>
      <c r="GT742" s="391"/>
      <c r="GU742" s="391"/>
      <c r="GV742" s="391"/>
      <c r="HG742" s="674">
        <f>IF(HG740=TRUE,0,HG$16)</f>
        <v>0</v>
      </c>
      <c r="HH742" s="674">
        <f t="shared" ref="HH742:HM742" si="683">IF(HH740=TRUE,0,HH$16)</f>
        <v>19</v>
      </c>
      <c r="HI742" s="674">
        <f t="shared" si="683"/>
        <v>18</v>
      </c>
      <c r="HJ742" s="674">
        <f t="shared" si="683"/>
        <v>17</v>
      </c>
      <c r="HK742" s="674">
        <f t="shared" si="683"/>
        <v>16</v>
      </c>
      <c r="HL742" s="674">
        <f t="shared" si="683"/>
        <v>0</v>
      </c>
      <c r="HM742" s="674">
        <f t="shared" si="683"/>
        <v>0</v>
      </c>
      <c r="HN742" s="674">
        <f>IF(HN740=TRUE,0,HN$16)</f>
        <v>13</v>
      </c>
      <c r="HO742" s="674">
        <f t="shared" ref="HO742:HQ742" si="684">IF(HO740=TRUE,0,HO$16)</f>
        <v>0</v>
      </c>
      <c r="HP742" s="674">
        <f t="shared" si="684"/>
        <v>0</v>
      </c>
      <c r="HQ742" s="674">
        <f t="shared" si="684"/>
        <v>10</v>
      </c>
      <c r="HR742" s="674">
        <f>IF(HR740=TRUE,0,HR$16)</f>
        <v>9</v>
      </c>
      <c r="HS742" s="674">
        <f t="shared" ref="HS742:HW742" si="685">IF(HS740=TRUE,0,HS$16)</f>
        <v>0</v>
      </c>
      <c r="HT742" s="674">
        <f t="shared" si="685"/>
        <v>0</v>
      </c>
      <c r="HU742" s="674">
        <f t="shared" si="685"/>
        <v>0</v>
      </c>
      <c r="HV742" s="674">
        <f t="shared" si="685"/>
        <v>0</v>
      </c>
      <c r="HW742" s="674">
        <f t="shared" si="685"/>
        <v>0</v>
      </c>
      <c r="HX742" s="674">
        <f>IF(HX740=TRUE,0,HX$16)</f>
        <v>0</v>
      </c>
      <c r="HY742" s="674">
        <f>IF(HY740=TRUE,0,HY$16)</f>
        <v>0</v>
      </c>
      <c r="HZ742" s="674">
        <f>IF(HZ740=TRUE,0,HZ$16)</f>
        <v>1</v>
      </c>
      <c r="IB742" s="674">
        <f>IF(GP740=FALSE,GP742,IF(GQ740=FALSE,GQ742,MAX(GN742:HZ742)))</f>
        <v>36</v>
      </c>
      <c r="IC742" s="1692"/>
      <c r="ID742" s="205" t="str">
        <f>VLOOKUP(IB742,_Error_Table,3,FALSE)</f>
        <v xml:space="preserve"> </v>
      </c>
      <c r="IE742" s="205"/>
      <c r="IF742" s="1688"/>
      <c r="IG742" s="1689"/>
      <c r="IH742" s="1684"/>
      <c r="IK742" s="1689"/>
      <c r="IL742" s="1692"/>
      <c r="IM742" s="1692"/>
      <c r="IN742" s="1692"/>
      <c r="IP742" s="1679"/>
      <c r="IQ742" s="1679"/>
      <c r="IR742" s="1679"/>
      <c r="IS742" s="1679"/>
      <c r="IT742" s="1679"/>
      <c r="IU742" s="1679"/>
      <c r="IV742" s="1679"/>
      <c r="IW742" s="1679"/>
      <c r="IX742" s="1679"/>
      <c r="IY742" s="1679"/>
      <c r="IZ742" s="1679"/>
      <c r="JA742" s="1679"/>
      <c r="JC742" s="1680"/>
      <c r="JD742" s="1670"/>
      <c r="JE742" s="1681"/>
      <c r="JG742" s="1680"/>
      <c r="JH742" s="1670"/>
      <c r="JI742" s="1060"/>
      <c r="JJ742" s="1670"/>
      <c r="JK742" s="1061"/>
      <c r="JL742" s="1670"/>
      <c r="JM742" s="1061"/>
      <c r="JN742" s="1670"/>
      <c r="JO742" s="1061"/>
      <c r="JP742" s="1670"/>
      <c r="JQ742" s="1061"/>
      <c r="JR742" s="1670"/>
      <c r="JS742" s="1061"/>
      <c r="JT742" s="1670"/>
      <c r="JU742" s="1061"/>
      <c r="JV742" s="1670"/>
      <c r="JX742" s="1670"/>
      <c r="JZ742" s="1670"/>
      <c r="KB742" s="1670"/>
    </row>
    <row r="743" spans="1:288" s="78" customFormat="1" ht="5.0999999999999996" customHeight="1">
      <c r="B743" s="676"/>
      <c r="C743" s="392"/>
      <c r="D743" s="392"/>
      <c r="E743" s="1733"/>
      <c r="F743" s="1733"/>
      <c r="G743" s="1733"/>
      <c r="H743" s="1733"/>
      <c r="I743" s="1733"/>
      <c r="J743" s="1733"/>
      <c r="K743" s="1733"/>
      <c r="L743" s="1733"/>
      <c r="M743" s="1733"/>
      <c r="N743" s="1733"/>
      <c r="O743" s="1733"/>
      <c r="P743" s="1733"/>
      <c r="Q743" s="1733"/>
      <c r="R743" s="1733"/>
      <c r="S743" s="1733"/>
      <c r="T743" s="1733"/>
      <c r="U743" s="1733"/>
      <c r="V743" s="1733"/>
      <c r="W743" s="1733"/>
      <c r="X743" s="1733"/>
      <c r="Y743" s="1733"/>
      <c r="Z743" s="1733"/>
      <c r="AA743" s="1733"/>
      <c r="AB743" s="1733"/>
      <c r="AC743" s="1733"/>
      <c r="AD743" s="1733"/>
      <c r="AE743" s="1733"/>
      <c r="AF743" s="1733"/>
      <c r="AG743" s="1733"/>
      <c r="AH743" s="1733"/>
      <c r="AI743" s="1733"/>
      <c r="AJ743" s="1733"/>
      <c r="AK743" s="1733"/>
      <c r="AL743" s="1733"/>
      <c r="AM743" s="1733"/>
      <c r="AN743" s="1733"/>
      <c r="AO743" s="1733"/>
      <c r="AP743" s="1733"/>
      <c r="AQ743" s="1733"/>
      <c r="AR743" s="1733"/>
      <c r="AS743" s="1733"/>
      <c r="AT743" s="1733"/>
      <c r="AU743" s="1733"/>
      <c r="AV743" s="1733"/>
      <c r="AW743" s="1733"/>
      <c r="AX743" s="469"/>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663"/>
      <c r="CQ743" s="663"/>
      <c r="CR743" s="438"/>
      <c r="CS743" s="663"/>
      <c r="CV743" s="391"/>
      <c r="CW743" s="391"/>
      <c r="CX743" s="207"/>
      <c r="CY743" s="208"/>
      <c r="CZ743" s="208"/>
      <c r="DA743" s="208"/>
      <c r="DB743" s="209"/>
      <c r="DC743" s="209"/>
      <c r="DD743" s="209"/>
      <c r="DF743" s="664"/>
      <c r="DG743" s="665"/>
      <c r="DH743" s="666"/>
      <c r="DI743" s="667"/>
      <c r="DJ743" s="668"/>
      <c r="DK743" s="668"/>
      <c r="DN743" s="208"/>
      <c r="DO743" s="664"/>
      <c r="DQ743" s="664"/>
      <c r="DR743" s="669"/>
      <c r="DS743" s="391"/>
      <c r="DT743" s="664"/>
      <c r="DU743" s="664"/>
      <c r="DV743" s="664"/>
      <c r="DX743" s="664"/>
      <c r="DY743" s="664"/>
      <c r="DZ743" s="664"/>
      <c r="EA743" s="664"/>
      <c r="EC743" s="670"/>
      <c r="ED743" s="670"/>
      <c r="EF743" s="668"/>
      <c r="EG743" s="668"/>
      <c r="EH743" s="208"/>
      <c r="EI743" s="668"/>
      <c r="EJ743" s="668"/>
      <c r="EK743" s="207"/>
      <c r="EL743" s="207"/>
      <c r="EM743" s="666"/>
      <c r="EN743" s="671"/>
      <c r="EO743" s="671"/>
      <c r="EP743" s="672"/>
      <c r="EQ743" s="672"/>
      <c r="ER743" s="666"/>
      <c r="ES743" s="666"/>
      <c r="ET743" s="666"/>
      <c r="EV743" s="664"/>
      <c r="EX743" s="391"/>
      <c r="EY743" s="391"/>
      <c r="EZ743" s="391"/>
      <c r="FA743" s="391"/>
      <c r="FB743" s="391"/>
      <c r="FC743" s="391"/>
      <c r="FE743" s="569"/>
      <c r="FG743" s="391"/>
      <c r="FH743" s="391"/>
      <c r="FI743" s="391"/>
      <c r="FS743" s="664"/>
      <c r="FT743" s="391"/>
      <c r="FU743" s="391"/>
      <c r="FV743" s="664"/>
      <c r="FW743" s="664"/>
      <c r="GA743" s="663"/>
      <c r="GB743" s="663"/>
      <c r="GC743" s="663"/>
      <c r="GD743" s="663"/>
      <c r="GE743" s="663"/>
      <c r="GF743" s="663"/>
      <c r="GG743" s="663"/>
      <c r="GH743" s="663"/>
      <c r="GI743" s="665"/>
      <c r="GJ743" s="664"/>
      <c r="GK743" s="664"/>
    </row>
    <row r="744" spans="1:288" s="78" customFormat="1" ht="14.95" customHeight="1">
      <c r="B744" s="1845" t="str">
        <f>ID747</f>
        <v xml:space="preserve"> </v>
      </c>
      <c r="C744" s="1846">
        <f>C739+1</f>
        <v>135</v>
      </c>
      <c r="D744" s="1847"/>
      <c r="E744" s="1799" t="s">
        <v>295</v>
      </c>
      <c r="F744" s="1800"/>
      <c r="G744" s="1741"/>
      <c r="H744" s="1742"/>
      <c r="I744" s="1742"/>
      <c r="J744" s="1742"/>
      <c r="K744" s="1742"/>
      <c r="L744" s="1742"/>
      <c r="M744" s="1742"/>
      <c r="N744" s="1742"/>
      <c r="O744" s="1742"/>
      <c r="P744" s="1742"/>
      <c r="Q744" s="1742"/>
      <c r="R744" s="1742"/>
      <c r="S744" s="1791" t="s">
        <v>344</v>
      </c>
      <c r="T744" s="590"/>
      <c r="U744" s="1743"/>
      <c r="V744" s="1744"/>
      <c r="W744" s="1744"/>
      <c r="X744" s="1744"/>
      <c r="Y744" s="1744"/>
      <c r="Z744" s="1744"/>
      <c r="AA744" s="1744"/>
      <c r="AB744" s="961" t="str">
        <f>IFERROR(IF(__Retrofit_TI_NC=0,VLOOKUP(U745,Fixtures_Existing_List,2,FALSE),ROUND(N746*R746/T746,10)),"")</f>
        <v/>
      </c>
      <c r="AC744" s="935" t="str">
        <f>IFERROR(IF(__Retrofit_TI_NC=0,ROUND(T745*AB744*N745*R745/1000,0),IF(CQ744="Interior",N746*R746*R745*N745*_C406_reduction/1000,N746*R746*R745*N745/1000)),"")</f>
        <v/>
      </c>
      <c r="AD744" s="936" t="str">
        <f>IFERROR(IF(C$43=0,ROUND(T745*AB744/1000,2),N746*R746/1000),"")</f>
        <v/>
      </c>
      <c r="AE744" s="997"/>
      <c r="AF744" s="937"/>
      <c r="AG744" s="1745" t="str">
        <f>IF(__Retrofit_TI_NC=0," Control","Select Advanced Control for New System")</f>
        <v xml:space="preserve"> Control</v>
      </c>
      <c r="AH744" s="1745"/>
      <c r="AI744" s="1745"/>
      <c r="AJ744" s="1745"/>
      <c r="AK744" s="1745"/>
      <c r="AL744" s="1745"/>
      <c r="AM744" s="1746">
        <f>IFERROR(DI744,"")</f>
        <v>0</v>
      </c>
      <c r="AN744" s="1774" t="str">
        <f>IFERROR(ROUND(AM744*AC744,0),"")</f>
        <v/>
      </c>
      <c r="AO744" s="1776">
        <f>IFERROR(IF(IB744=FALSE,0,AC744-AN744),0)</f>
        <v>0</v>
      </c>
      <c r="AP744" s="1778">
        <f>AO744-AO746</f>
        <v>0</v>
      </c>
      <c r="AQ744" s="1779"/>
      <c r="AR744" s="1793">
        <f>IFERROR(IF(IB744=FALSE,0,(T746*U747)+(AF746*AG747)),0)</f>
        <v>0</v>
      </c>
      <c r="AS744" s="1793"/>
      <c r="AT744" s="1794"/>
      <c r="AU744" s="1734" t="s">
        <v>237</v>
      </c>
      <c r="AV744" s="1751">
        <f>IF(AU744="Yes",1,0)</f>
        <v>1</v>
      </c>
      <c r="AW744" s="1704" t="str">
        <f>IF(OR(DQ744=4,DQ744=5,DQ744=6,DQ744=12),CONCATENATE("$",IF(GH744=TRUE,Lookup!$K$10,Lookup!$K$2)," /lamp"),CONCATENATE(TEXT(ED744,"$0.00"),"/ kWh"))</f>
        <v>$0.00/ kWh</v>
      </c>
      <c r="AX744" s="467"/>
      <c r="AY744" s="1748">
        <f ca="1">IFERROR(IF(GM745=TRUE,(AB747*T746)/R746,0),"NA")</f>
        <v>0</v>
      </c>
      <c r="AZ744" s="1748"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696" t="str">
        <f>N745</f>
        <v/>
      </c>
      <c r="CQ744" s="1696" t="str">
        <f>IFERROR(VLOOKUP(G745,_Lookup_Heat_Type_Table_New,3,FALSE),"")</f>
        <v/>
      </c>
      <c r="CR744" s="1808" t="str">
        <f>CQ744</f>
        <v/>
      </c>
      <c r="CS744" s="1810" t="str">
        <f>IFERROR(VLOOKUP(G746,'Space Table'!$B$3:$L$163,9,FALSE),"")</f>
        <v/>
      </c>
      <c r="CU744" s="1688" t="s">
        <v>344</v>
      </c>
      <c r="CV744" s="1702">
        <f>IF(IB744=TRUE,T745,0)</f>
        <v>0</v>
      </c>
      <c r="CW744" s="1702" t="str">
        <f>IF(IB744=TRUE,U745,"")</f>
        <v/>
      </c>
      <c r="CX744" s="1702"/>
      <c r="CY744" s="1814">
        <f>IF(IB744=TRUE,AB744,0)</f>
        <v>0</v>
      </c>
      <c r="CZ744" s="1710">
        <f>IF(AND(__Retrofit_TI_NC&gt;0,CR744="interior"),0,IF(IB744=TRUE,AC744,0))</f>
        <v>0</v>
      </c>
      <c r="DA744" s="1814">
        <f>IFERROR(IF(IB744=TRUE,CZ744-CZ746,0),0)</f>
        <v>0</v>
      </c>
      <c r="DB744" s="1819">
        <f>IF(IB744=TRUE,AD744,0)</f>
        <v>0</v>
      </c>
      <c r="DC744" s="1819">
        <f>IF(IB744=TRUE,AD747,0)</f>
        <v>0</v>
      </c>
      <c r="DD744" s="1819">
        <f>IFERROR(DB744-DC744,0)</f>
        <v>0</v>
      </c>
      <c r="DF744" s="1702">
        <f>IF(IB744=TRUE,AF745,0)</f>
        <v>0</v>
      </c>
      <c r="DG744" s="1830">
        <f>IFERROR(IF(__Retrofit_TI_NC=2,IF(CQ744="Exterior",O747,FQ744),FN744),"")</f>
        <v>0</v>
      </c>
      <c r="DH744" s="1702"/>
      <c r="DI744" s="1837">
        <f>JE744</f>
        <v>0</v>
      </c>
      <c r="DJ744" s="1710">
        <f>IF(AND(__Retrofit_TI_NC&gt;0,CR744="interior"),0,IF(IB744=TRUE,AN744,0))</f>
        <v>0</v>
      </c>
      <c r="DK744" s="1712">
        <f>IFERROR(IF(IB744=TRUE,DJ746-DJ744,0),0)</f>
        <v>0</v>
      </c>
      <c r="DM744" s="1717">
        <f>IFERROR(CZ744-DJ744,0)</f>
        <v>0</v>
      </c>
      <c r="DO744" s="1708">
        <f>DM744-DN746</f>
        <v>0</v>
      </c>
      <c r="DQ744" s="1715" t="str">
        <f>IFERROR(IF(AND(OR(GC744=4,GC744=5,GC744=6),OR(GF744=4,GF744=5,GF744=6)),GC744+8,VLOOKUP(CW746,Fixtures!R$31:Y$78,8,FALSE)),"")</f>
        <v/>
      </c>
      <c r="DR744" s="1829" t="str">
        <f>DQ744</f>
        <v/>
      </c>
      <c r="DS744" s="1702" t="str">
        <f>IFERROR(VLOOKUP(DG746,Lookup!BB$3:BC$20,2,FALSE),"")</f>
        <v/>
      </c>
      <c r="DT744" s="1713" t="str">
        <f>IF(OR(DS744=7,DS744=8,DS744=9),"ALC","")</f>
        <v/>
      </c>
      <c r="DU744" s="1715">
        <f>IFERROR(IF(OR(DQ744=4,DQ744=5,DQ744=6,DQ744=12,DQ744=13,DQ744=14),VLOOKUP(CW746,Fixtures!DN$27:EG$77,19,FALSE),1)*CV746,0)</f>
        <v>0</v>
      </c>
      <c r="DV744" s="1716">
        <f>IF(OR(DS744=7,DS744=8,DS744=9),IF(DG744=DG746,0,DF746),0)</f>
        <v>0</v>
      </c>
      <c r="DX744" s="1715" t="str">
        <f>IFERROR(IF(EZ744&lt;EZ746,"Yes","No"),"")</f>
        <v/>
      </c>
      <c r="DY744" s="1829" t="str">
        <f>DX744</f>
        <v/>
      </c>
      <c r="DZ744" s="1715">
        <f>IF(DX744="Yes",DF746,0)</f>
        <v>0</v>
      </c>
      <c r="EA744" s="1715">
        <f>DZ744-DV744</f>
        <v>0</v>
      </c>
      <c r="EC744" s="1834">
        <f>IFERROR(VLOOKUP(DQ744,Lookup!AU$3:AV$16,2,FALSE),0)</f>
        <v>0</v>
      </c>
      <c r="ED744" s="1834">
        <f>IF(IB744=FALSE,0,IF(DX744="Yes",EC744+Lookup!K$6,EC744))</f>
        <v>0</v>
      </c>
      <c r="EF744" s="1707">
        <f>IF(IB744=TRUE,DM744,0)</f>
        <v>0</v>
      </c>
      <c r="EG744" s="1712">
        <f>IF(IB744=TRUE,CZ746,0)</f>
        <v>0</v>
      </c>
      <c r="EH744" s="1814">
        <f>IFERROR(EF744-EG744,0)</f>
        <v>0</v>
      </c>
      <c r="EI744" s="1712">
        <f>IF(IB744=TRUE,DJ746,0)</f>
        <v>0</v>
      </c>
      <c r="EJ744" s="1712">
        <f>IFERROR(EF744-EG744+EI744,0)</f>
        <v>0</v>
      </c>
      <c r="EK744" s="1812">
        <f>IF(IB744=TRUE,CV746*CX746,0)</f>
        <v>0</v>
      </c>
      <c r="EL744" s="1812">
        <f>IF(IB744=TRUE,DF746*DH746,0)</f>
        <v>0</v>
      </c>
      <c r="EM744" s="1807">
        <f>AR744</f>
        <v>0</v>
      </c>
      <c r="EN744" s="1839" t="str">
        <f>IFERROR(IF(IB744=TRUE,VLOOKUP(DQ744,Lookup!AU$3:AW$16,3,FALSE)*DU744,""),0)</f>
        <v/>
      </c>
      <c r="EO744" s="1839">
        <f>IF(IB744=TRUE,DZ744*Lookup!AW$12,0)</f>
        <v>0</v>
      </c>
      <c r="EP744" s="1817">
        <f>IFERROR(IF(IB744=TRUE,EN744/EP$40,0),0)</f>
        <v>0</v>
      </c>
      <c r="EQ744" s="1817">
        <f>IF(IB744=TRUE,EO744/EQ$40,0)</f>
        <v>0</v>
      </c>
      <c r="ER744" s="1807">
        <f>IF(IB744=TRUE,ET$40*EP744,0)</f>
        <v>0</v>
      </c>
      <c r="ES744" s="1807">
        <f>IF(IB744=TRUE,ET$40*EQ744,0)</f>
        <v>0</v>
      </c>
      <c r="ET744" s="1807">
        <f>ER744+ES744</f>
        <v>0</v>
      </c>
      <c r="EV744" s="1715">
        <f>IF(G744="",0,1)</f>
        <v>0</v>
      </c>
      <c r="EX744" s="1804" t="str">
        <f>IFERROR(VLOOKUP(CS746,'Space Table'!$B$3:$L$163,8,FALSE),"")</f>
        <v/>
      </c>
      <c r="EY744" s="1804" t="str">
        <f>IFERROR(IF(FB744="Yes",VLOOKUP(DG744,Lookup_Control_Type_Table2,4,FALSE),VLOOKUP(DG744,Lookup_Control_Type_Table2,3,FALSE)),"")</f>
        <v/>
      </c>
      <c r="EZ744" s="1804" t="e">
        <f>VLOOKUP(DG744,Lookup!BB$3:BC$20,2,FALSE)</f>
        <v>#N/A</v>
      </c>
      <c r="FA744" s="1804" t="e">
        <f>VLOOKUP(EX744,Lookup_Control_Type_Table,2,FALSE)</f>
        <v>#N/A</v>
      </c>
      <c r="FB744" s="1804" t="e">
        <f>VLOOKUP(CS746,'Space Table'!$B$3:$L$163,7,FALSE)</f>
        <v>#N/A</v>
      </c>
      <c r="FC744" s="1826" t="b">
        <f>ISNUMBER(SEARCH("TLED",U746))</f>
        <v>0</v>
      </c>
      <c r="FE744" s="1698" t="str">
        <f>CONCATENATE(CQ744," - ",DG744)</f>
        <v xml:space="preserve"> - 0</v>
      </c>
      <c r="FG744" s="1702" t="str">
        <f>VLOOKUP(CW746,Fixtures!DN$27:EZ$77,38,FALSE)</f>
        <v/>
      </c>
      <c r="FH744" s="1702">
        <f>IFERROR(FG744*EH744,0)</f>
        <v>0</v>
      </c>
      <c r="FI744" s="133"/>
      <c r="FL744" s="1822" t="str">
        <f>IF(CQ744="Exterior","Not Daylighted",G747)</f>
        <v>Not Daylighted</v>
      </c>
      <c r="FM744" s="1824">
        <f>VLOOKUP(FL744,_New_Daylight_Table_Codes,2,FALSE)</f>
        <v>0</v>
      </c>
      <c r="FN744" s="1698">
        <f>IF(__Retrofit_TI_NC&gt;0,VLOOKUP(G746,'Space Table'!$B$3:$L$163,11,FALSE),AG745)</f>
        <v>0</v>
      </c>
      <c r="FO744" s="1698" t="e">
        <f>IF(__Retrofit_TI_NC=2,VLOOKUP(FQ744,_Control_Table,2,FALSE),VLOOKUP(FN744,_Control_Table,2,FALSE))</f>
        <v>#N/A</v>
      </c>
      <c r="FP744" s="1678" t="e">
        <f>VLOOKUP(CONCATENATE(FL744," ",FN744),Lookup!AY$102:AZ754,2,FALSE)</f>
        <v>#N/A</v>
      </c>
      <c r="FQ744" s="1678">
        <f>IF(__Retrofit_TI_NC=0,FN744,IF(AND(FT744&gt;0,FN744="Occupancy Sensor"),"Daylight + Occupancy",IF(AND(FT744&gt;0,VLOOKUP(FN744,_Control_Table,2,FALSE)&lt;4),"Interior Daylight Dimming",FN744)))</f>
        <v>0</v>
      </c>
      <c r="FS744" s="1686">
        <f>IF(CR744="Interior",VLOOKUP(CS744,Control_Savings_Interior,5,FALSE),0)</f>
        <v>0</v>
      </c>
      <c r="FT744" s="1687">
        <f>IF(CQ744="Exterior",0,IF(FM744=2,0.5,IF(OR(FM744=1,FM744=3),1,0)))</f>
        <v>0</v>
      </c>
      <c r="FU744" s="1685">
        <f>IF(R743&gt;FS$44,(FS744*(FS$44/R743)),FS744)*FT744</f>
        <v>0</v>
      </c>
      <c r="FV744" s="1686">
        <f>DI744</f>
        <v>0</v>
      </c>
      <c r="FW744" s="1686">
        <f>ROUND(FV744+((1-FV744)*FU744),2)</f>
        <v>0</v>
      </c>
      <c r="FX744" s="1686">
        <f>IF(__Retrofit_TI_NC=2,FW744,FV744)</f>
        <v>0</v>
      </c>
      <c r="FY744" s="1697"/>
      <c r="GA744" s="1696" t="str">
        <f>IFERROR(VLOOKUP(U745,_Exist_Fixture_Table,3,FALSE),"")</f>
        <v/>
      </c>
      <c r="GB744" s="1696" t="str">
        <f>VLOOKUP(CW744,_Exist_Fixture_Table,4,FALSE)</f>
        <v/>
      </c>
      <c r="GC744" s="1696">
        <f>IFERROR(VLOOKUP(GB744,Lookup!AT$6:AU$8,2,FALSE),0)</f>
        <v>0</v>
      </c>
      <c r="GD744" s="1696" t="b">
        <f>IFERROR(IF(OR(GF744=4,GF744=5,GF744=6),TRUE,FALSE),"")</f>
        <v>0</v>
      </c>
      <c r="GE744" s="1696" t="str">
        <f>IFERROR(VLOOKUP(GF744,GC$6:GD$10,2,FALSE),"")</f>
        <v/>
      </c>
      <c r="GF744" s="1696" t="str">
        <f>VLOOKUP(CW746,Fixtures!R$31:Y$78,8,FALSE)</f>
        <v/>
      </c>
      <c r="GG744" s="1696">
        <f>IF(AND(GA744=TRUE,GD744=TRUE,OR(DQ744=12,DQ744=13,DQ744=14)),GC744+8,0)</f>
        <v>0</v>
      </c>
      <c r="GH744" s="1696" t="b">
        <f>IF(OR(GG744=12,GG744=13,GG744=14),TRUE,FALSE)</f>
        <v>0</v>
      </c>
      <c r="GI744" s="673" t="b">
        <f>IF(ISNUMBER(SEARCH("TLED",U745)),TRUE,FALSE)</f>
        <v>0</v>
      </c>
      <c r="GJ744" s="1135" t="str">
        <f>IFERROR(VLOOKUP(U745,Fixtures!BM$93:BR$142,6,FALSE),"")</f>
        <v/>
      </c>
      <c r="GK744" s="1832" t="b">
        <f>IF(OR(GI744=FALSE,GI746=FALSE),TRUE,IF(GJ744-GJ746&lt;5,FALSE,TRUE))</f>
        <v>1</v>
      </c>
      <c r="GO744" s="674">
        <f>GP744</f>
        <v>0</v>
      </c>
      <c r="GP744" s="674">
        <f>IF(G744="",0,1)</f>
        <v>0</v>
      </c>
      <c r="GQ744" s="674">
        <f ca="1">SUM(GR744:HF744)</f>
        <v>2</v>
      </c>
      <c r="GR744" s="674">
        <f>IF(G745="",0,1)</f>
        <v>0</v>
      </c>
      <c r="GS744" s="674">
        <f>IF(N747="BAM",1,IF(G746="",0,1))</f>
        <v>0</v>
      </c>
      <c r="GT744" s="674">
        <f>IF(N747="BAM",1,IF(R745="",0,1))</f>
        <v>0</v>
      </c>
      <c r="GU744" s="674">
        <f>IF(N747="BAM",1,IF(__Retrofit_TI_NC=0,1,IF(R746="",0,1)))</f>
        <v>1</v>
      </c>
      <c r="GV744" s="674">
        <f>IF(N747="BAM",1,IF(CQ744="Exterior",1,IF(G747="",0,1)))</f>
        <v>1</v>
      </c>
      <c r="GW744" s="674">
        <f>IF(__Retrofit_TI_NC&gt;0,1,IF(T745="",0,1))</f>
        <v>0</v>
      </c>
      <c r="GX744" s="674">
        <f>IF(__Retrofit_TI_NC&gt;0,1,IF(U745="",0,1))</f>
        <v>0</v>
      </c>
      <c r="GY744" s="674">
        <f>IF(N747="BAM",1,IF(T746="",0,1))</f>
        <v>0</v>
      </c>
      <c r="GZ744" s="674">
        <f>IF(N747="BAM",1,IF(U746="",0,1))</f>
        <v>0</v>
      </c>
      <c r="HA744" s="674">
        <f ca="1">IF(N747="BAM",1,IF(__Retrofit_TI_NC&gt;0,1,IF(U747="",0,1)))</f>
        <v>0</v>
      </c>
      <c r="HB744" s="674">
        <f>IF(__Retrofit_TI_NC&lt;&gt;0,1,IF(AF745="",0,1))</f>
        <v>0</v>
      </c>
      <c r="HC744" s="674">
        <f>IF(__Retrofit_TI_NC&lt;&gt;0,1,IF(AG745="",0,1))</f>
        <v>0</v>
      </c>
      <c r="HD744" s="674">
        <f>IF(N747="BAM",1,IF(AF746="",0,1))</f>
        <v>0</v>
      </c>
      <c r="HE744" s="674">
        <f>IF(N747="BAM",1,IF(AG746="",0,1))</f>
        <v>0</v>
      </c>
      <c r="HF744" s="674">
        <f>IF(N747="BAM",1,IF(__Retrofit_TI_NC&gt;0,1,IF(AG747="",0,1)))</f>
        <v>0</v>
      </c>
      <c r="HG744" s="391"/>
      <c r="IA744" s="391"/>
      <c r="IB744" s="1693" t="b">
        <f>IF(OR(IB747=0,IB747=HY$16,IB747=HX$16,IB747=HZ$16),TRUE,FALSE)</f>
        <v>0</v>
      </c>
      <c r="IC744" s="1694" t="b">
        <f>IB744</f>
        <v>0</v>
      </c>
      <c r="ID744" s="391"/>
      <c r="IE744" s="391"/>
      <c r="IF744" s="1688" t="b">
        <f ca="1">IF(MAX(GN747:HU747)&gt;5,FALSE,TRUE)</f>
        <v>0</v>
      </c>
      <c r="IG744" s="1689">
        <f ca="1">IF(IF744=TRUE,AC744,0)</f>
        <v>0</v>
      </c>
      <c r="IH744" s="1689">
        <f ca="1">IG744-IG746</f>
        <v>0</v>
      </c>
      <c r="IK744" s="1689" t="e">
        <f>ROUND(T745*VLOOKUP(U745,Fixtures_Existing_List,2,FALSE)*N745*R745/1000,0)</f>
        <v>#N/A</v>
      </c>
      <c r="IL744" s="1690" t="e">
        <f>IK744-IK746</f>
        <v>#N/A</v>
      </c>
      <c r="IM744" s="1693" t="e">
        <f>ROUND(IF(CQ744="Interior",N746*R746*R745*N745*_C406_reduction/1000,N746*R746*R745*N745/1000),0)</f>
        <v>#N/A</v>
      </c>
      <c r="IN744" s="1693" t="e">
        <f>IM744-IM746</f>
        <v>#N/A</v>
      </c>
      <c r="IP744" s="1679"/>
      <c r="IQ744" s="1679" t="e">
        <f t="shared" ref="IQ744:IU744" si="686">IF($CR744="interior",VLOOKUP($CS744,_New_Control_Savings_Interior,IQ$30,FALSE),VLOOKUP($CS744,Control_Savings_Exterior,IQ$30,FALSE))</f>
        <v>#N/A</v>
      </c>
      <c r="IR744" s="1679" t="e">
        <f t="shared" si="686"/>
        <v>#N/A</v>
      </c>
      <c r="IS744" s="1679" t="e">
        <f t="shared" si="686"/>
        <v>#N/A</v>
      </c>
      <c r="IT744" s="1679" t="e">
        <f t="shared" si="686"/>
        <v>#N/A</v>
      </c>
      <c r="IU744" s="1679" t="e">
        <f t="shared" si="686"/>
        <v>#N/A</v>
      </c>
      <c r="IV744" s="1679" t="e">
        <f>IF($CR744="interior",IF(R745&gt;$IP$14,ROUND(($IV$18*($IP$14/R745)),2),$IV$18),VLOOKUP($CS744,Control_Savings_Exterior,IV$30,FALSE))</f>
        <v>#N/A</v>
      </c>
      <c r="IW744" s="1679" t="e">
        <f>IF($CR744="interior",ROUND(((1-IS744)*IV744)+IS744,2),VLOOKUP($CS744,Control_Savings_Exterior,IW$30,FALSE))</f>
        <v>#N/A</v>
      </c>
      <c r="IX744" s="1679" t="e">
        <f>IF($CR744="interior",ROUND(((1-IT744)*IV744)+IT744,2),VLOOKUP($CS744,Control_Savings_Exterior,IX$30,FALSE))</f>
        <v>#N/A</v>
      </c>
      <c r="IY744" s="1679" t="e">
        <f>IF($CR744="interior",IF(R745&gt;$IP$14,ROUND(($IY$18*($IP$14/R745)),2),$IY$18),VLOOKUP($CS744,Control_Savings_Exterior,IY$30,FALSE))</f>
        <v>#N/A</v>
      </c>
      <c r="IZ744" s="1679" t="e">
        <f>IF($CR744="interior",ROUND(((1-IS744)*IY744)+IS744,2),VLOOKUP($CS744,Control_Savings_Exterior,IZ$30,FALSE))</f>
        <v>#N/A</v>
      </c>
      <c r="JA744" s="1679" t="e">
        <f>IF($CR744="interior",ROUND(((1-IT744)*IY744)+IT744,2),VLOOKUP($CS744,Control_Savings_Exterior,JA$30,FALSE))</f>
        <v>#N/A</v>
      </c>
      <c r="JC744" s="1680">
        <f>IFERROR(IF(CR744="Interior",CONCATENATE(G747," ",FQ744),FQ744),"")</f>
        <v>0</v>
      </c>
      <c r="JD744" s="1670" t="str">
        <f>IFERROR(VLOOKUP(JC744,_Controls_2023,2,FALSE),"")</f>
        <v/>
      </c>
      <c r="JE744" s="1681">
        <f>IFERROR(CHOOSE(JD744-1,IQ744,IR744,IS744,IT744,IU744,IV744,IW744,IX744,IY744,IZ744,JA744),0)</f>
        <v>0</v>
      </c>
      <c r="JG744" s="1680" t="str">
        <f>FE744</f>
        <v xml:space="preserve"> - 0</v>
      </c>
      <c r="JH744" s="1670" t="e">
        <f>$FO744</f>
        <v>#N/A</v>
      </c>
      <c r="JI744" s="1060"/>
      <c r="JJ744" s="1682" t="b">
        <f>IF($JG746=CONCATENATE("Interior - ",JJ$4),TRUE,FALSE)</f>
        <v>0</v>
      </c>
      <c r="JK744" s="1061"/>
      <c r="JL744" s="1682" t="b">
        <f>IF($JG746=CONCATENATE("Interior - ",JL$4),TRUE,FALSE)</f>
        <v>0</v>
      </c>
      <c r="JM744" s="1061"/>
      <c r="JN744" s="1682" t="b">
        <f>IF($JG746=CONCATENATE("Interior - ",JN$4),TRUE,FALSE)</f>
        <v>0</v>
      </c>
      <c r="JO744" s="1061"/>
      <c r="JP744" s="1682" t="b">
        <f>IF(__Retrofit_TI_NC&gt;0,FALSE,IF($JG746=CONCATENATE("Interior - ",JP$4),TRUE,FALSE))</f>
        <v>0</v>
      </c>
      <c r="JQ744" s="1061"/>
      <c r="JR744" s="1682" t="b">
        <f>IF(__Retrofit_TI_NC&gt;0,FALSE,IF($JG746=CONCATENATE("Interior - ",JR$4),TRUE,FALSE))</f>
        <v>0</v>
      </c>
      <c r="JS744" s="1061"/>
      <c r="JT744" s="1670" t="b">
        <f>IF(__Retrofit_TI_NC&gt;0,FALSE,IF($JG746=CONCATENATE("Interior - ",JT$4),TRUE,FALSE))</f>
        <v>0</v>
      </c>
      <c r="JU744" s="1061"/>
      <c r="JV744" s="1670" t="b">
        <f>IF(JC746="AELC on Existing",TRUE,FALSE)</f>
        <v>0</v>
      </c>
      <c r="JX744" s="1670" t="b">
        <f>IF(OR(JG746="Exterior - AELC Occupancy based",JG746="Exterior - AELC Time based"),TRUE,FALSE)</f>
        <v>0</v>
      </c>
      <c r="JZ744" s="1682" t="b">
        <f>IF($JG746=CONCATENATE("Exterior - ",JZ$4),TRUE,FALSE)</f>
        <v>0</v>
      </c>
      <c r="KB744" s="1670" t="b">
        <f>IF(__Retrofit_TI_NC&gt;0,FALSE,IF($JG746=CONCATENATE("Interior - ",KB$4),TRUE,FALSE))</f>
        <v>0</v>
      </c>
    </row>
    <row r="745" spans="1:288" s="78" customFormat="1" ht="14.95" customHeight="1" thickTop="1" thickBot="1">
      <c r="B745" s="1845"/>
      <c r="C745" s="1846"/>
      <c r="D745" s="1847"/>
      <c r="E745" s="1737" t="s">
        <v>297</v>
      </c>
      <c r="F745" s="1738"/>
      <c r="G745" s="1739"/>
      <c r="H745" s="1739"/>
      <c r="I745" s="1739"/>
      <c r="J745" s="1739"/>
      <c r="K745" s="1739"/>
      <c r="L745" s="1739"/>
      <c r="M745" s="461" t="e">
        <f>IF(__Retrofit_TI_NC&lt;&gt;0,IF(VLOOKUP(G746,'Space Table'!$B$3:$L$163,3,FALSE)&gt;0,1,0),IF(__Retrofit_TI_NC=VLOOKUP(G746,'Space Table'!$B$3:$L$163,3,FALSE),1,0))</f>
        <v>#N/A</v>
      </c>
      <c r="N745" s="461" t="str">
        <f>IFERROR(VLOOKUP(G745,_Lookup_Heat_Type_Table_New,2,FALSE),"")</f>
        <v/>
      </c>
      <c r="O745" s="461">
        <f>IF(__Retrofit_TI_NC=1,CONCATENATE("TI ",G745),IF(__Retrofit_TI_NC=2,CONCATENATE("NC ",G745),G745))</f>
        <v>0</v>
      </c>
      <c r="P745" s="1740" t="s">
        <v>435</v>
      </c>
      <c r="Q745" s="1740"/>
      <c r="R745" s="595"/>
      <c r="S745" s="1792"/>
      <c r="T745" s="597"/>
      <c r="U745" s="1765"/>
      <c r="V745" s="1766"/>
      <c r="W745" s="1766"/>
      <c r="X745" s="1766"/>
      <c r="Y745" s="1766"/>
      <c r="Z745" s="1766"/>
      <c r="AA745" s="1766"/>
      <c r="AB745" s="1766"/>
      <c r="AC745" s="1766"/>
      <c r="AD745" s="1767"/>
      <c r="AE745" s="1000"/>
      <c r="AF745" s="597"/>
      <c r="AG745" s="1723"/>
      <c r="AH745" s="1724"/>
      <c r="AI745" s="1724"/>
      <c r="AJ745" s="1724"/>
      <c r="AK745" s="1725"/>
      <c r="AL745" s="996"/>
      <c r="AM745" s="1747"/>
      <c r="AN745" s="1775"/>
      <c r="AO745" s="1777"/>
      <c r="AP745" s="1780"/>
      <c r="AQ745" s="1781"/>
      <c r="AR745" s="1795"/>
      <c r="AS745" s="1795"/>
      <c r="AT745" s="1796"/>
      <c r="AU745" s="1735"/>
      <c r="AV745" s="1752"/>
      <c r="AW745" s="1705"/>
      <c r="AX745" s="467"/>
      <c r="AY745" s="1749"/>
      <c r="AZ745" s="1749"/>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696"/>
      <c r="CQ745" s="1696"/>
      <c r="CR745" s="1809"/>
      <c r="CS745" s="1811"/>
      <c r="CU745" s="1688"/>
      <c r="CV745" s="1703"/>
      <c r="CW745" s="1703"/>
      <c r="CX745" s="1703"/>
      <c r="CY745" s="1815"/>
      <c r="CZ745" s="1711"/>
      <c r="DA745" s="1818"/>
      <c r="DB745" s="1820"/>
      <c r="DC745" s="1820"/>
      <c r="DD745" s="1820"/>
      <c r="DF745" s="1703"/>
      <c r="DG745" s="1831"/>
      <c r="DH745" s="1703"/>
      <c r="DI745" s="1838"/>
      <c r="DJ745" s="1711"/>
      <c r="DK745" s="1712"/>
      <c r="DM745" s="1718"/>
      <c r="DO745" s="1708"/>
      <c r="DQ745" s="1715"/>
      <c r="DR745" s="1720"/>
      <c r="DS745" s="1816"/>
      <c r="DT745" s="1714"/>
      <c r="DU745" s="1715"/>
      <c r="DV745" s="1716"/>
      <c r="DX745" s="1715"/>
      <c r="DY745" s="1720"/>
      <c r="DZ745" s="1715"/>
      <c r="EA745" s="1715"/>
      <c r="EC745" s="1834"/>
      <c r="ED745" s="1834"/>
      <c r="EF745" s="1707"/>
      <c r="EG745" s="1712"/>
      <c r="EH745" s="1818"/>
      <c r="EI745" s="1712"/>
      <c r="EJ745" s="1712"/>
      <c r="EK745" s="1836"/>
      <c r="EL745" s="1836"/>
      <c r="EM745" s="1807"/>
      <c r="EN745" s="1839"/>
      <c r="EO745" s="1839"/>
      <c r="EP745" s="1817"/>
      <c r="EQ745" s="1817"/>
      <c r="ER745" s="1807"/>
      <c r="ES745" s="1807"/>
      <c r="ET745" s="1807"/>
      <c r="EV745" s="1715"/>
      <c r="EX745" s="1805"/>
      <c r="EY745" s="1805"/>
      <c r="EZ745" s="1805"/>
      <c r="FA745" s="1805"/>
      <c r="FB745" s="1805"/>
      <c r="FC745" s="1827"/>
      <c r="FE745" s="1698"/>
      <c r="FG745" s="1816"/>
      <c r="FH745" s="1816"/>
      <c r="FI745" s="133"/>
      <c r="FL745" s="1823"/>
      <c r="FM745" s="1825"/>
      <c r="FN745" s="1698"/>
      <c r="FO745" s="1698"/>
      <c r="FP745" s="1678"/>
      <c r="FQ745" s="1678"/>
      <c r="FS745" s="1687"/>
      <c r="FT745" s="1687"/>
      <c r="FU745" s="1685"/>
      <c r="FV745" s="1687"/>
      <c r="FW745" s="1687"/>
      <c r="FX745" s="1687"/>
      <c r="FY745" s="1697"/>
      <c r="GA745" s="1696"/>
      <c r="GB745" s="1696"/>
      <c r="GC745" s="1696"/>
      <c r="GD745" s="1696"/>
      <c r="GE745" s="1696"/>
      <c r="GF745" s="1696"/>
      <c r="GG745" s="1696"/>
      <c r="GH745" s="1696"/>
      <c r="GI745" s="673"/>
      <c r="GJ745" s="1135"/>
      <c r="GK745" s="1832"/>
      <c r="GM745" s="1693" t="b">
        <f ca="1">IF(AND(GP745=TRUE,GQ745=TRUE),TRUE,FALSE)</f>
        <v>0</v>
      </c>
      <c r="GN745" s="1684" t="b">
        <f>IFERROR(IF(__Retrofit_TI_NC=2,TRUE,IF(AU744="Yes",TRUE,FALSE)),FALSE)</f>
        <v>1</v>
      </c>
      <c r="GP745" s="1684" t="b">
        <f>IFERROR(IF(GP744=1,TRUE,FALSE),FALSE)</f>
        <v>0</v>
      </c>
      <c r="GQ745" s="1684" t="b">
        <f ca="1">IFERROR(IF(GQ744=GQ$14,TRUE,FALSE),FALSE)</f>
        <v>0</v>
      </c>
      <c r="HG745" s="1684" t="b">
        <f>IFERROR(IF(AND(__Retrofit_TI_NC&gt;0,CQ744="Interior"),FALSE,TRUE),FALSE)</f>
        <v>1</v>
      </c>
      <c r="HH745" s="1684" t="b">
        <f>IFERROR(IF(M745=1,TRUE,FALSE),FALSE)</f>
        <v>0</v>
      </c>
      <c r="HI745" s="1684" t="b">
        <f>IFERROR(IF(OR(M746=1,N747="BAM"),TRUE,FALSE),FALSE)</f>
        <v>0</v>
      </c>
      <c r="HJ745" s="1684" t="b">
        <f>IFERROR(IF(__Retrofit_TI_NC&lt;&gt;0,TRUE,IFERROR(IF(VLOOKUP(U745,Fixtures_Existing_List,2,FALSE)&lt;&gt;"",TRUE,FALSE),FALSE)),FALSE)</f>
        <v>0</v>
      </c>
      <c r="HK745" s="1684" t="b">
        <f>IFERROR(IF(VLOOKUP(U746,Fixtures_Proposed_List,2,FALSE)&lt;&gt;"",TRUE,FALSE),FALSE)</f>
        <v>0</v>
      </c>
      <c r="HL745" s="1684" t="b">
        <f>IF(AND(__Retrofit_TI_NC=2,FC744=TRUE),FALSE,TRUE)</f>
        <v>1</v>
      </c>
      <c r="HM745" s="1684" t="b">
        <f>GK744</f>
        <v>1</v>
      </c>
      <c r="HN745" s="1682" t="b">
        <f>IF(ISERROR(MATCH(FE744,_Control_Match[],0))=TRUE,FALSE,TRUE)</f>
        <v>0</v>
      </c>
      <c r="HO745" s="1693" t="b">
        <f>IFERROR(IF(EX744&lt;&gt;EY744,FALSE,TRUE),FALSE)</f>
        <v>1</v>
      </c>
      <c r="HP745" s="1693" t="b">
        <f>IFERROR(IF(EX746&lt;&gt;EY746,FALSE,TRUE),FALSE)</f>
        <v>1</v>
      </c>
      <c r="HQ745" s="1670" t="b">
        <f>IFERROR(IF(CQ744="Exterior",TRUE,IF(AND(OR(FM746=0,FM746=3),JD746&gt;6),FALSE,TRUE)),FALSE)</f>
        <v>0</v>
      </c>
      <c r="HR745" s="1684" t="b">
        <f>IFERROR(IF(AND(FO746=7,FC744=TRUE),FALSE,TRUE),FALSE)</f>
        <v>0</v>
      </c>
      <c r="HS745" s="1684" t="b">
        <f>IFERROR(IF(AND(T746&lt;&gt;AF746,OR(AG746="Interior LLLC", AG746="Interior NLC", AG746="LLLC (outside Daylight)",AG746="LLLC Controls Only"))=TRUE,FALSE,TRUE),FALSE)</f>
        <v>1</v>
      </c>
      <c r="HT745" s="1670" t="b">
        <f>IFERROR(IF(OR(AG746=Lookup!BB$17,AG746=Lookup!BB$18,AG746=Lookup!BB$19)=TRUE,IF(AF746&gt;T746,FALSE,TRUE),TRUE),FALSE)</f>
        <v>1</v>
      </c>
      <c r="HU745" s="1684" t="b">
        <f>IFERROR(IF(__Retrofit_TI_NC=2,IF(EZ746&lt;EZ744,FALSE,TRUE),TRUE),FALSE)</f>
        <v>1</v>
      </c>
      <c r="HV745" s="1684" t="b">
        <f>IF(CQ744="Interior",IL$6,TRUE)</f>
        <v>1</v>
      </c>
      <c r="HW745" s="1684" t="b">
        <f>IF(CQ744="Exterior",IL$8,TRUE)</f>
        <v>1</v>
      </c>
      <c r="HX745" s="1684" t="b">
        <f>IFERROR(IF(__Retrofit_TI_NC&lt;&gt;0,IF(AZ744&lt;AY744,FALSE,TRUE),TRUE),FALSE)</f>
        <v>1</v>
      </c>
      <c r="HY745" s="1684" t="b">
        <f>IFERROR(IF(AND(G745="Exterior",R745&gt;4200),FALSE,TRUE),FALSE)</f>
        <v>1</v>
      </c>
      <c r="HZ745" s="1684" t="b">
        <f>IFERROR(IF(AB747/AB744&lt;HZ$18,FALSE,TRUE),FALSE)</f>
        <v>0</v>
      </c>
      <c r="IB745" s="1691"/>
      <c r="IC745" s="1695"/>
      <c r="ID745" s="1694" t="str">
        <f>VLOOKUP(IB747,_Error_Table,4,FALSE)</f>
        <v>White</v>
      </c>
      <c r="IE745" s="391"/>
      <c r="IF745" s="1688"/>
      <c r="IG745" s="1689"/>
      <c r="IH745" s="1684"/>
      <c r="IK745" s="1689"/>
      <c r="IL745" s="1691"/>
      <c r="IM745" s="1691"/>
      <c r="IN745" s="1691"/>
      <c r="IP745" s="1679"/>
      <c r="IQ745" s="1679"/>
      <c r="IR745" s="1679"/>
      <c r="IS745" s="1679"/>
      <c r="IT745" s="1679"/>
      <c r="IU745" s="1679"/>
      <c r="IV745" s="1679"/>
      <c r="IW745" s="1679"/>
      <c r="IX745" s="1679"/>
      <c r="IY745" s="1679"/>
      <c r="IZ745" s="1679"/>
      <c r="JA745" s="1679"/>
      <c r="JC745" s="1680"/>
      <c r="JD745" s="1670"/>
      <c r="JE745" s="1681"/>
      <c r="JG745" s="1680"/>
      <c r="JH745" s="1670"/>
      <c r="JI745" s="1060"/>
      <c r="JJ745" s="1683"/>
      <c r="JK745" s="1061"/>
      <c r="JL745" s="1683"/>
      <c r="JM745" s="1061"/>
      <c r="JN745" s="1683"/>
      <c r="JO745" s="1061"/>
      <c r="JP745" s="1683"/>
      <c r="JQ745" s="1061"/>
      <c r="JR745" s="1683"/>
      <c r="JS745" s="1061"/>
      <c r="JT745" s="1670"/>
      <c r="JU745" s="1061"/>
      <c r="JV745" s="1670"/>
      <c r="JX745" s="1670"/>
      <c r="JZ745" s="1683"/>
      <c r="KB745" s="1670"/>
    </row>
    <row r="746" spans="1:288" s="78" customFormat="1" ht="14.95" customHeight="1" thickTop="1" thickBot="1">
      <c r="A746" s="78">
        <f>ROW()</f>
        <v>746</v>
      </c>
      <c r="B746" s="1845"/>
      <c r="C746" s="1846"/>
      <c r="D746" s="1847"/>
      <c r="E746" s="1737" t="s">
        <v>298</v>
      </c>
      <c r="F746" s="1738"/>
      <c r="G746" s="1760"/>
      <c r="H746" s="1761"/>
      <c r="I746" s="1761"/>
      <c r="J746" s="1761"/>
      <c r="K746" s="1761"/>
      <c r="L746" s="1762"/>
      <c r="M746" s="461">
        <f>IFERROR(IF(IF(__Retrofit_TI_NC&lt;&gt;0,IF(CQ744="Interior",MATCH(G746,Lookup_Interior_New,0),MATCH(G746,Lookup_Exterior_New,0)),IF(CQ744="Interior",MATCH(G746,Lookup_Interior,0),MATCH(G746,Lookup_Exterior_Areas,0)))&gt;0,1,0),0)</f>
        <v>0</v>
      </c>
      <c r="N746" s="461" t="e">
        <f>IF(__Retrofit_TI_NC=1,
VLOOKUP(G746,'Space Table'!$B$3:$L$163,4,FALSE),
IF(__Retrofit_TI_NC=2,VLOOKUP(G746,'Space Table'!$B$3:$L$163,5,FALSE),VLOOKUP(G746,'Space Table'!$B$3:$L$163,5,FALSE)))</f>
        <v>#N/A</v>
      </c>
      <c r="O746" s="461">
        <f>G746</f>
        <v>0</v>
      </c>
      <c r="P746" s="1738" t="str">
        <f>IFERROR(IF(__Retrofit_TI_NC=1,VLOOKUP(G746,'Space Table'!$B$3:$O$163,13,FALSE),IF(__Retrofit_TI_NC=2,VLOOKUP(G746,'Space Table'!$B$3:$O$163,14,FALSE),"Area (sf):")),"Area (sf):")</f>
        <v>Area (sf):</v>
      </c>
      <c r="Q746" s="1738"/>
      <c r="R746" s="596"/>
      <c r="S746" s="1763" t="s">
        <v>345</v>
      </c>
      <c r="T746" s="594"/>
      <c r="U746" s="1801"/>
      <c r="V746" s="1802"/>
      <c r="W746" s="1802"/>
      <c r="X746" s="1802"/>
      <c r="Y746" s="1802"/>
      <c r="Z746" s="1802"/>
      <c r="AA746" s="1802"/>
      <c r="AB746" s="1802"/>
      <c r="AC746" s="1802"/>
      <c r="AD746" s="1802"/>
      <c r="AE746" s="1803"/>
      <c r="AF746" s="594"/>
      <c r="AG746" s="1787"/>
      <c r="AH746" s="1787"/>
      <c r="AI746" s="1787"/>
      <c r="AJ746" s="1787"/>
      <c r="AK746" s="1787"/>
      <c r="AL746" s="1787"/>
      <c r="AM746" s="1726">
        <f>IFERROR(DI746,"")</f>
        <v>0</v>
      </c>
      <c r="AN746" s="1728" t="str">
        <f>IFERROR(ROUND(AM746*AC747,0),"")</f>
        <v/>
      </c>
      <c r="AO746" s="1730">
        <f>IFERROR(IF(IB744=FALSE,0,AC747-AN746),0)</f>
        <v>0</v>
      </c>
      <c r="AP746" s="1780"/>
      <c r="AQ746" s="1781"/>
      <c r="AR746" s="1795"/>
      <c r="AS746" s="1795"/>
      <c r="AT746" s="1796"/>
      <c r="AU746" s="1735"/>
      <c r="AV746" s="1752"/>
      <c r="AW746" s="1705"/>
      <c r="AX746" s="467"/>
      <c r="AY746" s="1749"/>
      <c r="AZ746" s="1749"/>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696"/>
      <c r="CQ746" s="1696"/>
      <c r="CR746" s="1808" t="str">
        <f>CQ744</f>
        <v/>
      </c>
      <c r="CS746" s="1810" t="str">
        <f>CS744</f>
        <v/>
      </c>
      <c r="CU746" s="1688" t="s">
        <v>345</v>
      </c>
      <c r="CV746" s="1702">
        <f>IF(IB744=TRUE,T746,0)</f>
        <v>0</v>
      </c>
      <c r="CW746" s="1702" t="str">
        <f>IF(IB744=TRUE,U746,"")</f>
        <v/>
      </c>
      <c r="CX746" s="1812">
        <f>IF(IB744=TRUE,U747,0)</f>
        <v>0</v>
      </c>
      <c r="CY746" s="1814">
        <f>IF(IB744=TRUE,AB747,0)</f>
        <v>0</v>
      </c>
      <c r="CZ746" s="1710">
        <f>IF(AND(__Retrofit_TI_NC&gt;0,CR744="interior"),0,IF(IB744=TRUE,AC747,0))</f>
        <v>0</v>
      </c>
      <c r="DA746" s="1818"/>
      <c r="DB746" s="1820"/>
      <c r="DC746" s="1820"/>
      <c r="DD746" s="1820"/>
      <c r="DF746" s="1702">
        <f>IF(IB744=TRUE,AF746,0)</f>
        <v>0</v>
      </c>
      <c r="DG746" s="1830" t="str">
        <f>IF(IB744=TRUE,AG746,"")</f>
        <v/>
      </c>
      <c r="DH746" s="1812">
        <f>AG747</f>
        <v>0</v>
      </c>
      <c r="DI746" s="1837">
        <f>JE746</f>
        <v>0</v>
      </c>
      <c r="DJ746" s="1710">
        <f>IF(AND(__Retrofit_TI_NC&gt;0,CR744="interior"),0,IF(IB744=TRUE,AN746,0))</f>
        <v>0</v>
      </c>
      <c r="DK746" s="1712"/>
      <c r="DN746" s="1717">
        <f>IFERROR(CZ746-DJ746,0)</f>
        <v>0</v>
      </c>
      <c r="DO746" s="1709"/>
      <c r="DQ746" s="1715"/>
      <c r="DR746" s="1719" t="str">
        <f>DQ744</f>
        <v/>
      </c>
      <c r="DS746" s="1816"/>
      <c r="DT746" s="1835" t="str">
        <f>IF(OR(DS744=7,DS744=8,DS744=9),"ALC","")</f>
        <v/>
      </c>
      <c r="DU746" s="1715"/>
      <c r="DV746" s="1716"/>
      <c r="DX746" s="1715"/>
      <c r="DY746" s="1829" t="str">
        <f>DX744</f>
        <v/>
      </c>
      <c r="DZ746" s="1715"/>
      <c r="EA746" s="1715"/>
      <c r="EC746" s="1834"/>
      <c r="ED746" s="1834"/>
      <c r="EF746" s="1707"/>
      <c r="EG746" s="1712"/>
      <c r="EH746" s="1818"/>
      <c r="EI746" s="1712"/>
      <c r="EJ746" s="1712"/>
      <c r="EK746" s="1836"/>
      <c r="EL746" s="1836"/>
      <c r="EM746" s="1807"/>
      <c r="EN746" s="1839"/>
      <c r="EO746" s="1839"/>
      <c r="EP746" s="1817"/>
      <c r="EQ746" s="1817"/>
      <c r="ER746" s="1807"/>
      <c r="ES746" s="1807"/>
      <c r="ET746" s="1807"/>
      <c r="EV746" s="1715"/>
      <c r="EX746" s="1805" t="str">
        <f>IFERROR(VLOOKUP(CS746,'Space Table'!$B$3:$L$163,8,FALSE),"")</f>
        <v/>
      </c>
      <c r="EY746" s="1805" t="str">
        <f>IFERROR(IF(FB746="Yes",VLOOKUP(AG746,Lookup_Control_Type_Table2,4,FALSE),VLOOKUP(AG746,Lookup_Control_Type_Table2,3,FALSE)),"")</f>
        <v/>
      </c>
      <c r="EZ746" s="1805" t="e">
        <f>VLOOKUP(AG746,Lookup!BB$3:BC$20,2,FALSE)</f>
        <v>#N/A</v>
      </c>
      <c r="FA746" s="1805" t="e">
        <f>VLOOKUP(EX744,Lookup_Control_Type_Table,2,FALSE)</f>
        <v>#N/A</v>
      </c>
      <c r="FB746" s="1805" t="e">
        <f>VLOOKUP(CS746,'Space Table'!$B$3:$L$163,7,FALSE)</f>
        <v>#N/A</v>
      </c>
      <c r="FC746" s="1827"/>
      <c r="FE746" s="1698" t="str">
        <f>CONCATENATE(CQ744," - ",AG746)</f>
        <v xml:space="preserve"> - </v>
      </c>
      <c r="FG746" s="1816"/>
      <c r="FH746" s="1816"/>
      <c r="FI746" s="133"/>
      <c r="FL746" s="1822" t="str">
        <f>IF(CQ744="Exterior","Not Daylighted",G747)</f>
        <v>Not Daylighted</v>
      </c>
      <c r="FM746" s="1824">
        <f>VLOOKUP(FL746,_New_Daylight_Table_Codes,2,FALSE)</f>
        <v>0</v>
      </c>
      <c r="FN746" s="1698">
        <f>AG746</f>
        <v>0</v>
      </c>
      <c r="FO746" s="1698" t="e">
        <f>VLOOKUP(FN746,_Control_Table,2,FALSE)</f>
        <v>#N/A</v>
      </c>
      <c r="FP746" s="1678" t="e">
        <f>VLOOKUP(CONCATENATE(FL746," ",FN746),Lookup!AY$102:AZ757,2,FALSE)</f>
        <v>#N/A</v>
      </c>
      <c r="FQ746" s="1698">
        <f>IF(__Retrofit_TI_NC=0,FN746,IF(AND(FT746&gt;0,FN746="Occupancy Sensor"),"Daylight + Occupancy",IF(AND(FT746&gt;0,FO746&lt;4),"Interior Daylight Dimming",FN746)))</f>
        <v>0</v>
      </c>
      <c r="FS746" s="1686">
        <f>IF(CQ744="Interior",VLOOKUP(CS744,Control_Savings_Interior,5,FALSE),0)</f>
        <v>0</v>
      </c>
      <c r="FT746" s="1687">
        <f>IF(CQ746="Exterior",0,IF(FM746=2,0.5,IF(OR(FM746=1,FM746=3),1,0)))</f>
        <v>0</v>
      </c>
      <c r="FU746" s="1685">
        <f>IF(R745&gt;FS$44,(FS746*(FS$44/R745)),FS746)*FT746</f>
        <v>0</v>
      </c>
      <c r="FV746" s="1686">
        <f>DI746</f>
        <v>0</v>
      </c>
      <c r="FW746" s="1686">
        <f>ROUND(FV746+((1-FV746)*FU746),2)</f>
        <v>0</v>
      </c>
      <c r="FX746" s="1686">
        <f>IF(__Retrofit_TI_NC=2,FW746,FV746)</f>
        <v>0</v>
      </c>
      <c r="FY746" s="1697">
        <f>IF(CR746="Interior",VLOOKUP(CS746,Control_Savings_Interior,4,FALSE),0)</f>
        <v>0</v>
      </c>
      <c r="GA746" s="1696"/>
      <c r="GB746" s="1696"/>
      <c r="GC746" s="1696"/>
      <c r="GD746" s="1696"/>
      <c r="GE746" s="1696"/>
      <c r="GF746" s="1696"/>
      <c r="GG746" s="1696"/>
      <c r="GH746" s="1696"/>
      <c r="GI746" s="673" t="b">
        <f>IF(ISNUMBER(SEARCH("TLED",U746)),TRUE,FALSE)</f>
        <v>0</v>
      </c>
      <c r="GJ746" s="1135" t="str">
        <f>IFERROR(VLOOKUP(U746,Fixtures!DM$93:DR$142,6,FALSE),"")</f>
        <v/>
      </c>
      <c r="GK746" s="1832"/>
      <c r="GM746" s="1692"/>
      <c r="GN746" s="1684"/>
      <c r="GP746" s="1684"/>
      <c r="GQ746" s="1684"/>
      <c r="HG746" s="1684"/>
      <c r="HH746" s="1684"/>
      <c r="HI746" s="1684"/>
      <c r="HJ746" s="1684"/>
      <c r="HK746" s="1684"/>
      <c r="HL746" s="1684"/>
      <c r="HM746" s="1684"/>
      <c r="HN746" s="1683"/>
      <c r="HO746" s="1692"/>
      <c r="HP746" s="1692"/>
      <c r="HQ746" s="1670"/>
      <c r="HR746" s="1684"/>
      <c r="HS746" s="1684"/>
      <c r="HT746" s="1670"/>
      <c r="HU746" s="1684"/>
      <c r="HV746" s="1684"/>
      <c r="HW746" s="1684"/>
      <c r="HX746" s="1684"/>
      <c r="HY746" s="1684"/>
      <c r="HZ746" s="1684"/>
      <c r="IB746" s="1692"/>
      <c r="IC746" s="1693" t="b">
        <f>IB744</f>
        <v>0</v>
      </c>
      <c r="ID746" s="1695"/>
      <c r="IE746" s="391"/>
      <c r="IF746" s="1688"/>
      <c r="IG746" s="1689">
        <f ca="1">IF(IF744=TRUE,AC747,0)</f>
        <v>0</v>
      </c>
      <c r="IH746" s="1684"/>
      <c r="IK746" s="1689" t="e">
        <f>ROUND(T746*AB747*N745*R745/1000,0)</f>
        <v>#VALUE!</v>
      </c>
      <c r="IL746" s="1691"/>
      <c r="IM746" s="1693" t="e">
        <f>ROUND(T746*AB747*N745*R745/1000,0)</f>
        <v>#VALUE!</v>
      </c>
      <c r="IN746" s="1691"/>
      <c r="IP746" s="1679"/>
      <c r="IQ746" s="1679" t="e">
        <f t="shared" ref="IQ746:IU746" si="687">IF($CR746="interior",VLOOKUP($CS746,_New_Control_Savings_Interior,IQ$30,FALSE),VLOOKUP($CS746,Control_Savings_Exterior,IQ$30,FALSE))</f>
        <v>#N/A</v>
      </c>
      <c r="IR746" s="1679" t="e">
        <f t="shared" si="687"/>
        <v>#N/A</v>
      </c>
      <c r="IS746" s="1679" t="e">
        <f t="shared" si="687"/>
        <v>#N/A</v>
      </c>
      <c r="IT746" s="1679" t="e">
        <f t="shared" si="687"/>
        <v>#N/A</v>
      </c>
      <c r="IU746" s="1679" t="e">
        <f t="shared" si="687"/>
        <v>#N/A</v>
      </c>
      <c r="IV746" s="1679" t="e">
        <f>IF($CR746="interior",IF(R745&gt;$IP$14,ROUND(($IV$18*($IP$14/R745)),2),$IV$18),VLOOKUP($CS746,Control_Savings_Exterior,IV$30,FALSE))</f>
        <v>#N/A</v>
      </c>
      <c r="IW746" s="1679" t="e">
        <f>IF($CR746="interior",ROUND(((1-IS746)*IV746)+IS746,2),VLOOKUP($CS746,Control_Savings_Exterior,IW$30,FALSE))</f>
        <v>#N/A</v>
      </c>
      <c r="IX746" s="1679" t="e">
        <f>IF($CR746="interior",ROUND(((1-IT746)*IV746)+IT746,2),VLOOKUP($CS746,Control_Savings_Exterior,IX$30,FALSE))</f>
        <v>#N/A</v>
      </c>
      <c r="IY746" s="1679" t="e">
        <f>IF($CR746="interior",IF(R745&gt;$IP$14,ROUND(($IY$18*($IP$14/R745)),2),$IY$18),VLOOKUP($CS746,Control_Savings_Exterior,IY$30,FALSE))</f>
        <v>#N/A</v>
      </c>
      <c r="IZ746" s="1679" t="e">
        <f>IF($CR746="interior",ROUND(((1-IS746)*IY746)+IS746,2),VLOOKUP($CS746,Control_Savings_Exterior,IZ$30,FALSE))</f>
        <v>#N/A</v>
      </c>
      <c r="JA746" s="1679" t="e">
        <f>IF($CR746="interior",ROUND(((1-IT746)*IY746)+IT746,2),VLOOKUP($CS746,Control_Savings_Exterior,JA$30,FALSE))</f>
        <v>#N/A</v>
      </c>
      <c r="JC746" s="1680">
        <f>IFERROR(IF(CR746="Interior",CONCATENATE(G747," ",FQ746),AG746),"")</f>
        <v>0</v>
      </c>
      <c r="JD746" s="1670" t="str">
        <f>IFERROR(VLOOKUP(JC746,_Controls_2023,2,FALSE),"")</f>
        <v/>
      </c>
      <c r="JE746" s="1681">
        <f>IFERROR(CHOOSE(JD746-1,IQ746,IR746,IS746,IT746,IU746,IV746,IW746,IX746,IY746,IZ746,JA746),0)</f>
        <v>0</v>
      </c>
      <c r="JG746" s="1680" t="str">
        <f>FE746</f>
        <v xml:space="preserve"> - </v>
      </c>
      <c r="JH746" s="1670" t="e">
        <f>$FO746</f>
        <v>#N/A</v>
      </c>
      <c r="JI746" s="1060"/>
      <c r="JJ746" s="1670">
        <f>IFERROR(IF($IB744=TRUE,IF(OR(JJ$14="No",JJ744=FALSE,JH746&lt;=JH744,AND(_kWh_Grant=0,GD744=FALSE)),0,IF(JJ$8="Per Line",1,$AF746)),0),0)</f>
        <v>0</v>
      </c>
      <c r="JK746" s="1061"/>
      <c r="JL746" s="1670">
        <f>IFERROR(IF(_kWh_Grant=0,0,IF($IB744=TRUE,IF(OR(JL$14="No",JL744=FALSE,JH746&lt;=JH744),0,IF(JL$8="Per Line",1,$T746)),0)),0)</f>
        <v>0</v>
      </c>
      <c r="JM746" s="1061"/>
      <c r="JN746" s="1670">
        <f>IFERROR(IF(_kWh_Grant=0,0,IF($IB744=TRUE,IF(OR(JN$14="No",JN744=FALSE,JH746&lt;=JH744),0,IF(JN$8="Per Line",1,$AF746)),0)),0)</f>
        <v>0</v>
      </c>
      <c r="JO746" s="1061"/>
      <c r="JP746" s="1670">
        <f>IFERROR(IF(__Retrofit_TI_NC=0,IF(_kWh_Grant=0,0,IF($IB744=TRUE,IF(OR(JP$14="No",JP744=FALSE,$JH746&lt;=$JH744),0,IF(JP$8="Per Line",1,$AF746)),0)),IF($IB744=TRUE,IF(OR(JP$14="No",JP744=FALSE,$JH746&lt;=$JH744),0,IF(JP$8="Per Line",1,$AF746)))),0)</f>
        <v>0</v>
      </c>
      <c r="JQ746" s="1061"/>
      <c r="JR746" s="1670">
        <f>IFERROR(IF(__Retrofit_TI_NC=0,IF(_kWh_Grant=0,0,IF($IB744=TRUE,IF(OR(JR$14="No",JR744=FALSE,$JH746&lt;=$JH744),0,IF(JR$8="Per Line",1,$AF746)),0)),IF($IB744=TRUE,IF(OR(JR$14="No",JR744=FALSE,$JH746&lt;=$JH744),0,IF(JR$8="Per Line",1,$AF746)))),0)</f>
        <v>0</v>
      </c>
      <c r="JS746" s="1061"/>
      <c r="JT746" s="1670">
        <f>IFERROR(IF(__Retrofit_TI_NC=0,IF(_kWh_Grant=0,0,IF($IB744=TRUE,IF(OR(JT$14="No",JT744=FALSE,$JH746&lt;=$JH744),0,IF(JT$8="Per Line",1,$AF746)),0)),IF($IB744=TRUE,IF(OR(JT$14="No",JT744=FALSE,$JH746&lt;=$JH744),0,IF(JT$8="Per Line",1,$AF746)))),0)</f>
        <v>0</v>
      </c>
      <c r="JU746" s="1061"/>
      <c r="JV746" s="1670">
        <f>IFERROR(IF(__Retrofit_TI_NC=0,IF(_kWh_Grant=0,0,IF($IB744=TRUE,IF(OR(JV$14="No",JV744=FALSE,$JH746&lt;=$JH744),0,IF(JV$8="Per Line",1,$AF746)),0)),IF($IB744=TRUE,IF(OR(JV$14="No",JV744=FALSE,$JH746&lt;=$JH744),0,IF(JV$8="Per Line",1,$AF746)))),0)</f>
        <v>0</v>
      </c>
      <c r="JX746" s="1670">
        <f>IFERROR(IF(__Retrofit_TI_NC=0,IF(_kWh_Grant=0,0,IF($IB744=TRUE,IF(OR(JX$14="No",JX744=FALSE,$JH746&lt;=$JH744),0,IF(JX$8="Per Line",1,$AF746)),0)),IF($IB744=TRUE,IF(OR(JX$14="No",JX744=FALSE,$JH746&lt;=$JH744),0,IF(JX$8="Per Line",1,$AF746)))),0)</f>
        <v>0</v>
      </c>
      <c r="JZ746" s="1670">
        <f>IFERROR(IF($IB744=TRUE,IF(OR(JZ$14="No",JZ744=FALSE,$JH746&lt;=$JH744,AND(_kWh_Grant=0,$GD744=FALSE)),0,IF(JZ$8="Per Line",1,$AF746)),0),0)</f>
        <v>0</v>
      </c>
      <c r="KB746" s="1670">
        <f>IFERROR(IF(__Retrofit_TI_NC=0,IF(_kWh_Grant=0,0,IF($IB744=TRUE,IF(OR(KB$14="No",KB744=FALSE,$JH746&lt;=$JH744),0,IF(KB$8="Per Line",1,$AF746)),0)),IF($IB744=TRUE,IF(OR(KB$14="No",KB744=FALSE,$JH746&lt;=$JH744),0,IF(KB$8="Per Line",1,$AF746)))),0)</f>
        <v>0</v>
      </c>
    </row>
    <row r="747" spans="1:288" s="78" customFormat="1" ht="14.95" customHeight="1" thickTop="1" thickBot="1">
      <c r="B747" s="1845"/>
      <c r="C747" s="1846"/>
      <c r="D747" s="1847"/>
      <c r="E747" s="1771" t="s">
        <v>436</v>
      </c>
      <c r="F747" s="1772"/>
      <c r="G747" s="1784" t="s">
        <v>437</v>
      </c>
      <c r="H747" s="1785"/>
      <c r="I747" s="1785"/>
      <c r="J747" s="1785"/>
      <c r="K747" s="1785"/>
      <c r="L747" s="1786"/>
      <c r="M747" s="591">
        <f>IFERROR(VLOOKUP(G747,_Daylight_Table[],2,FALSE),0)</f>
        <v>0</v>
      </c>
      <c r="N747" s="592" t="str">
        <f>IF(AND(__Retrofit_TI_NC&gt;0,CQ744="Interior"),"BAM","")</f>
        <v/>
      </c>
      <c r="O747" s="591" t="e">
        <f>VLOOKUP(G746,'Space Table'!$B$3:$L$163,11,FALSE)</f>
        <v>#N/A</v>
      </c>
      <c r="P747" s="1789"/>
      <c r="Q747" s="1790"/>
      <c r="R747" s="1790"/>
      <c r="S747" s="1788"/>
      <c r="T747" s="593" t="s">
        <v>342</v>
      </c>
      <c r="U747" s="1756" t="str" cm="1">
        <f t="array" aca="1" ref="U747" ca="1">IFERROR(VLOOKUP(INDIRECT("U" &amp; ROW()-1),Fixtures!DM$93:DP$142,4,FALSE),"")</f>
        <v/>
      </c>
      <c r="V747" s="1757"/>
      <c r="W747" s="1757"/>
      <c r="X747" s="1757"/>
      <c r="Y747" s="1757"/>
      <c r="Z747" s="1757"/>
      <c r="AA747" s="1758"/>
      <c r="AB747" s="939" t="str">
        <f>IFERROR(VLOOKUP(U746,Fixtures_Proposed_List,2,FALSE),"")</f>
        <v/>
      </c>
      <c r="AC747" s="933" t="str">
        <f>IFERROR(ROUND(T746*AB747*N745*R745/1000,0),"")</f>
        <v/>
      </c>
      <c r="AD747" s="934" t="str">
        <f>IFERROR(ROUND(T746*AB747/1000,2),"")</f>
        <v/>
      </c>
      <c r="AE747" s="998"/>
      <c r="AF747" s="938" t="s">
        <v>342</v>
      </c>
      <c r="AG747" s="1770"/>
      <c r="AH747" s="1770"/>
      <c r="AI747" s="1770"/>
      <c r="AJ747" s="1770"/>
      <c r="AK747" s="1770"/>
      <c r="AL747" s="1770"/>
      <c r="AM747" s="1727"/>
      <c r="AN747" s="1729"/>
      <c r="AO747" s="1731"/>
      <c r="AP747" s="1782"/>
      <c r="AQ747" s="1783"/>
      <c r="AR747" s="1797"/>
      <c r="AS747" s="1797"/>
      <c r="AT747" s="1798"/>
      <c r="AU747" s="1736"/>
      <c r="AV747" s="1753"/>
      <c r="AW747" s="1706"/>
      <c r="AX747" s="468"/>
      <c r="AY747" s="1750"/>
      <c r="AZ747" s="1750"/>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696"/>
      <c r="CQ747" s="1696"/>
      <c r="CR747" s="1809"/>
      <c r="CS747" s="1811"/>
      <c r="CU747" s="1688"/>
      <c r="CV747" s="1703"/>
      <c r="CW747" s="1703"/>
      <c r="CX747" s="1813"/>
      <c r="CY747" s="1815"/>
      <c r="CZ747" s="1711"/>
      <c r="DA747" s="1815"/>
      <c r="DB747" s="1821"/>
      <c r="DC747" s="1821"/>
      <c r="DD747" s="1821"/>
      <c r="DF747" s="1703"/>
      <c r="DG747" s="1831"/>
      <c r="DH747" s="1813"/>
      <c r="DI747" s="1838"/>
      <c r="DJ747" s="1711"/>
      <c r="DK747" s="1712"/>
      <c r="DN747" s="1718"/>
      <c r="DO747" s="1709"/>
      <c r="DQ747" s="1715"/>
      <c r="DR747" s="1720"/>
      <c r="DS747" s="1703"/>
      <c r="DT747" s="1714"/>
      <c r="DU747" s="1715"/>
      <c r="DV747" s="1716"/>
      <c r="DX747" s="1715"/>
      <c r="DY747" s="1720"/>
      <c r="DZ747" s="1715"/>
      <c r="EA747" s="1715"/>
      <c r="EC747" s="1834"/>
      <c r="ED747" s="1834"/>
      <c r="EF747" s="1707"/>
      <c r="EG747" s="1712"/>
      <c r="EH747" s="1815"/>
      <c r="EI747" s="1712"/>
      <c r="EJ747" s="1712"/>
      <c r="EK747" s="1813"/>
      <c r="EL747" s="1813"/>
      <c r="EM747" s="1807"/>
      <c r="EN747" s="1839"/>
      <c r="EO747" s="1839"/>
      <c r="EP747" s="1817"/>
      <c r="EQ747" s="1817"/>
      <c r="ER747" s="1807"/>
      <c r="ES747" s="1807"/>
      <c r="ET747" s="1807"/>
      <c r="EV747" s="1715"/>
      <c r="EX747" s="1806"/>
      <c r="EY747" s="1806"/>
      <c r="EZ747" s="1806"/>
      <c r="FA747" s="1806"/>
      <c r="FB747" s="1806"/>
      <c r="FC747" s="1828"/>
      <c r="FE747" s="1698"/>
      <c r="FG747" s="1703"/>
      <c r="FH747" s="1703"/>
      <c r="FI747" s="133"/>
      <c r="FL747" s="1823"/>
      <c r="FM747" s="1825"/>
      <c r="FN747" s="1698"/>
      <c r="FO747" s="1698"/>
      <c r="FP747" s="1678"/>
      <c r="FQ747" s="1698"/>
      <c r="FS747" s="1687"/>
      <c r="FT747" s="1687"/>
      <c r="FU747" s="1685"/>
      <c r="FV747" s="1687"/>
      <c r="FW747" s="1687"/>
      <c r="FX747" s="1687"/>
      <c r="FY747" s="1697"/>
      <c r="GA747" s="1696"/>
      <c r="GB747" s="1696"/>
      <c r="GC747" s="1696"/>
      <c r="GD747" s="1696"/>
      <c r="GE747" s="1696"/>
      <c r="GF747" s="1696"/>
      <c r="GG747" s="1696"/>
      <c r="GH747" s="1696"/>
      <c r="GI747" s="673"/>
      <c r="GJ747" s="1135"/>
      <c r="GK747" s="1832"/>
      <c r="GN747" s="674">
        <f>IF(GN745=TRUE,0,GN$16)</f>
        <v>0</v>
      </c>
      <c r="GP747" s="674">
        <f>IF(GP745=TRUE,0,GP$16)</f>
        <v>36</v>
      </c>
      <c r="GQ747" s="674">
        <f ca="1">IF(GQ745=TRUE,0,GQ$16)</f>
        <v>35</v>
      </c>
      <c r="GR747" s="391"/>
      <c r="GS747" s="391"/>
      <c r="GT747" s="391"/>
      <c r="GU747" s="391"/>
      <c r="GV747" s="391"/>
      <c r="HG747" s="674">
        <f>IF(HG745=TRUE,0,HG$16)</f>
        <v>0</v>
      </c>
      <c r="HH747" s="674">
        <f t="shared" ref="HH747:HM747" si="688">IF(HH745=TRUE,0,HH$16)</f>
        <v>19</v>
      </c>
      <c r="HI747" s="674">
        <f t="shared" si="688"/>
        <v>18</v>
      </c>
      <c r="HJ747" s="674">
        <f t="shared" si="688"/>
        <v>17</v>
      </c>
      <c r="HK747" s="674">
        <f t="shared" si="688"/>
        <v>16</v>
      </c>
      <c r="HL747" s="674">
        <f t="shared" si="688"/>
        <v>0</v>
      </c>
      <c r="HM747" s="674">
        <f t="shared" si="688"/>
        <v>0</v>
      </c>
      <c r="HN747" s="674">
        <f>IF(HN745=TRUE,0,HN$16)</f>
        <v>13</v>
      </c>
      <c r="HO747" s="674">
        <f t="shared" ref="HO747:HQ747" si="689">IF(HO745=TRUE,0,HO$16)</f>
        <v>0</v>
      </c>
      <c r="HP747" s="674">
        <f t="shared" si="689"/>
        <v>0</v>
      </c>
      <c r="HQ747" s="674">
        <f t="shared" si="689"/>
        <v>10</v>
      </c>
      <c r="HR747" s="674">
        <f>IF(HR745=TRUE,0,HR$16)</f>
        <v>9</v>
      </c>
      <c r="HS747" s="674">
        <f t="shared" ref="HS747:HW747" si="690">IF(HS745=TRUE,0,HS$16)</f>
        <v>0</v>
      </c>
      <c r="HT747" s="674">
        <f t="shared" si="690"/>
        <v>0</v>
      </c>
      <c r="HU747" s="674">
        <f t="shared" si="690"/>
        <v>0</v>
      </c>
      <c r="HV747" s="674">
        <f t="shared" si="690"/>
        <v>0</v>
      </c>
      <c r="HW747" s="674">
        <f t="shared" si="690"/>
        <v>0</v>
      </c>
      <c r="HX747" s="674">
        <f>IF(HX745=TRUE,0,HX$16)</f>
        <v>0</v>
      </c>
      <c r="HY747" s="674">
        <f>IF(HY745=TRUE,0,HY$16)</f>
        <v>0</v>
      </c>
      <c r="HZ747" s="674">
        <f>IF(HZ745=TRUE,0,HZ$16)</f>
        <v>1</v>
      </c>
      <c r="IB747" s="674">
        <f>IF(GP745=FALSE,GP747,IF(GQ745=FALSE,GQ747,MAX(GN747:HZ747)))</f>
        <v>36</v>
      </c>
      <c r="IC747" s="1692"/>
      <c r="ID747" s="205" t="str">
        <f>VLOOKUP(IB747,_Error_Table,3,FALSE)</f>
        <v xml:space="preserve"> </v>
      </c>
      <c r="IE747" s="205"/>
      <c r="IF747" s="1688"/>
      <c r="IG747" s="1689"/>
      <c r="IH747" s="1684"/>
      <c r="IK747" s="1689"/>
      <c r="IL747" s="1692"/>
      <c r="IM747" s="1692"/>
      <c r="IN747" s="1692"/>
      <c r="IP747" s="1679"/>
      <c r="IQ747" s="1679"/>
      <c r="IR747" s="1679"/>
      <c r="IS747" s="1679"/>
      <c r="IT747" s="1679"/>
      <c r="IU747" s="1679"/>
      <c r="IV747" s="1679"/>
      <c r="IW747" s="1679"/>
      <c r="IX747" s="1679"/>
      <c r="IY747" s="1679"/>
      <c r="IZ747" s="1679"/>
      <c r="JA747" s="1679"/>
      <c r="JC747" s="1680"/>
      <c r="JD747" s="1670"/>
      <c r="JE747" s="1681"/>
      <c r="JG747" s="1680"/>
      <c r="JH747" s="1670"/>
      <c r="JI747" s="1060"/>
      <c r="JJ747" s="1670"/>
      <c r="JK747" s="1061"/>
      <c r="JL747" s="1670"/>
      <c r="JM747" s="1061"/>
      <c r="JN747" s="1670"/>
      <c r="JO747" s="1061"/>
      <c r="JP747" s="1670"/>
      <c r="JQ747" s="1061"/>
      <c r="JR747" s="1670"/>
      <c r="JS747" s="1061"/>
      <c r="JT747" s="1670"/>
      <c r="JU747" s="1061"/>
      <c r="JV747" s="1670"/>
      <c r="JX747" s="1670"/>
      <c r="JZ747" s="1670"/>
      <c r="KB747" s="1670"/>
    </row>
    <row r="748" spans="1:288" s="78" customFormat="1" ht="5.0999999999999996" customHeight="1">
      <c r="B748" s="676"/>
      <c r="C748" s="392"/>
      <c r="D748" s="392"/>
      <c r="E748" s="1733"/>
      <c r="F748" s="1733"/>
      <c r="G748" s="1733"/>
      <c r="H748" s="1733"/>
      <c r="I748" s="1733"/>
      <c r="J748" s="1733"/>
      <c r="K748" s="1733"/>
      <c r="L748" s="1733"/>
      <c r="M748" s="1733"/>
      <c r="N748" s="1733"/>
      <c r="O748" s="1733"/>
      <c r="P748" s="1733"/>
      <c r="Q748" s="1733"/>
      <c r="R748" s="1733"/>
      <c r="S748" s="1733"/>
      <c r="T748" s="1733"/>
      <c r="U748" s="1733"/>
      <c r="V748" s="1733"/>
      <c r="W748" s="1733"/>
      <c r="X748" s="1733"/>
      <c r="Y748" s="1733"/>
      <c r="Z748" s="1733"/>
      <c r="AA748" s="1733"/>
      <c r="AB748" s="1733"/>
      <c r="AC748" s="1733"/>
      <c r="AD748" s="1733"/>
      <c r="AE748" s="1733"/>
      <c r="AF748" s="1733"/>
      <c r="AG748" s="1733"/>
      <c r="AH748" s="1733"/>
      <c r="AI748" s="1733"/>
      <c r="AJ748" s="1733"/>
      <c r="AK748" s="1733"/>
      <c r="AL748" s="1733"/>
      <c r="AM748" s="1733"/>
      <c r="AN748" s="1733"/>
      <c r="AO748" s="1733"/>
      <c r="AP748" s="1733"/>
      <c r="AQ748" s="1733"/>
      <c r="AR748" s="1733"/>
      <c r="AS748" s="1733"/>
      <c r="AT748" s="1733"/>
      <c r="AU748" s="1733"/>
      <c r="AV748" s="1733"/>
      <c r="AW748" s="1733"/>
      <c r="AX748" s="469"/>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663"/>
      <c r="CQ748" s="663"/>
      <c r="CR748" s="438"/>
      <c r="CS748" s="663"/>
      <c r="CV748" s="391"/>
      <c r="CW748" s="391"/>
      <c r="CX748" s="207"/>
      <c r="CY748" s="208"/>
      <c r="CZ748" s="208"/>
      <c r="DA748" s="208"/>
      <c r="DB748" s="209"/>
      <c r="DC748" s="209"/>
      <c r="DD748" s="209"/>
      <c r="DF748" s="664"/>
      <c r="DG748" s="665"/>
      <c r="DH748" s="666"/>
      <c r="DI748" s="667"/>
      <c r="DJ748" s="668"/>
      <c r="DK748" s="668"/>
      <c r="DN748" s="208"/>
      <c r="DO748" s="664"/>
      <c r="DQ748" s="664"/>
      <c r="DR748" s="669"/>
      <c r="DS748" s="391"/>
      <c r="DT748" s="664"/>
      <c r="DU748" s="664"/>
      <c r="DV748" s="664"/>
      <c r="DX748" s="664"/>
      <c r="DY748" s="664"/>
      <c r="DZ748" s="664"/>
      <c r="EA748" s="664"/>
      <c r="EC748" s="670"/>
      <c r="ED748" s="670"/>
      <c r="EF748" s="668"/>
      <c r="EG748" s="668"/>
      <c r="EH748" s="208"/>
      <c r="EI748" s="668"/>
      <c r="EJ748" s="668"/>
      <c r="EK748" s="207"/>
      <c r="EL748" s="207"/>
      <c r="EM748" s="666"/>
      <c r="EN748" s="671"/>
      <c r="EO748" s="671"/>
      <c r="EP748" s="672"/>
      <c r="EQ748" s="672"/>
      <c r="ER748" s="666"/>
      <c r="ES748" s="666"/>
      <c r="ET748" s="666"/>
      <c r="EV748" s="664"/>
      <c r="EX748" s="391"/>
      <c r="EY748" s="391"/>
      <c r="EZ748" s="391"/>
      <c r="FA748" s="391"/>
      <c r="FB748" s="391"/>
      <c r="FC748" s="391"/>
      <c r="FE748" s="569"/>
      <c r="FG748" s="391"/>
      <c r="FH748" s="391"/>
      <c r="FI748" s="391"/>
      <c r="FS748" s="664"/>
      <c r="FT748" s="391"/>
      <c r="FU748" s="391"/>
      <c r="FV748" s="664"/>
      <c r="FW748" s="664"/>
      <c r="GA748" s="663"/>
      <c r="GB748" s="663"/>
      <c r="GC748" s="663"/>
      <c r="GD748" s="663"/>
      <c r="GE748" s="663"/>
      <c r="GF748" s="663"/>
      <c r="GG748" s="663"/>
      <c r="GH748" s="663"/>
      <c r="GI748" s="665"/>
      <c r="GJ748" s="664"/>
      <c r="GK748" s="664"/>
    </row>
    <row r="749" spans="1:288" s="78" customFormat="1" ht="14.95" customHeight="1">
      <c r="B749" s="1845" t="str">
        <f>ID752</f>
        <v xml:space="preserve"> </v>
      </c>
      <c r="C749" s="1846">
        <f>C744+1</f>
        <v>136</v>
      </c>
      <c r="D749" s="1847"/>
      <c r="E749" s="1799" t="s">
        <v>295</v>
      </c>
      <c r="F749" s="1800"/>
      <c r="G749" s="1741"/>
      <c r="H749" s="1742"/>
      <c r="I749" s="1742"/>
      <c r="J749" s="1742"/>
      <c r="K749" s="1742"/>
      <c r="L749" s="1742"/>
      <c r="M749" s="1742"/>
      <c r="N749" s="1742"/>
      <c r="O749" s="1742"/>
      <c r="P749" s="1742"/>
      <c r="Q749" s="1742"/>
      <c r="R749" s="1742"/>
      <c r="S749" s="1791" t="s">
        <v>344</v>
      </c>
      <c r="T749" s="590"/>
      <c r="U749" s="1743"/>
      <c r="V749" s="1744"/>
      <c r="W749" s="1744"/>
      <c r="X749" s="1744"/>
      <c r="Y749" s="1744"/>
      <c r="Z749" s="1744"/>
      <c r="AA749" s="1744"/>
      <c r="AB749" s="961" t="str">
        <f>IFERROR(IF(__Retrofit_TI_NC=0,VLOOKUP(U750,Fixtures_Existing_List,2,FALSE),ROUND(N751*R751/T751,10)),"")</f>
        <v/>
      </c>
      <c r="AC749" s="935" t="str">
        <f>IFERROR(IF(__Retrofit_TI_NC=0,ROUND(T750*AB749*N750*R750/1000,0),IF(CQ749="Interior",N751*R751*R750*N750*_C406_reduction/1000,N751*R751*R750*N750/1000)),"")</f>
        <v/>
      </c>
      <c r="AD749" s="936" t="str">
        <f>IFERROR(IF(C$43=0,ROUND(T750*AB749/1000,2),N751*R751/1000),"")</f>
        <v/>
      </c>
      <c r="AE749" s="997"/>
      <c r="AF749" s="937"/>
      <c r="AG749" s="1745" t="str">
        <f>IF(__Retrofit_TI_NC=0," Control","Select Advanced Control for New System")</f>
        <v xml:space="preserve"> Control</v>
      </c>
      <c r="AH749" s="1745"/>
      <c r="AI749" s="1745"/>
      <c r="AJ749" s="1745"/>
      <c r="AK749" s="1745"/>
      <c r="AL749" s="1745"/>
      <c r="AM749" s="1746">
        <f>IFERROR(DI749,"")</f>
        <v>0</v>
      </c>
      <c r="AN749" s="1774" t="str">
        <f>IFERROR(ROUND(AM749*AC749,0),"")</f>
        <v/>
      </c>
      <c r="AO749" s="1776">
        <f>IFERROR(IF(IB749=FALSE,0,AC749-AN749),0)</f>
        <v>0</v>
      </c>
      <c r="AP749" s="1778">
        <f>AO749-AO751</f>
        <v>0</v>
      </c>
      <c r="AQ749" s="1779"/>
      <c r="AR749" s="1793">
        <f>IFERROR(IF(IB749=FALSE,0,(T751*U752)+(AF751*AG752)),0)</f>
        <v>0</v>
      </c>
      <c r="AS749" s="1793"/>
      <c r="AT749" s="1794"/>
      <c r="AU749" s="1734" t="s">
        <v>237</v>
      </c>
      <c r="AV749" s="1751">
        <f>IF(AU749="Yes",1,0)</f>
        <v>1</v>
      </c>
      <c r="AW749" s="1704" t="str">
        <f>IF(OR(DQ749=4,DQ749=5,DQ749=6,DQ749=12),CONCATENATE("$",IF(GH749=TRUE,Lookup!$K$10,Lookup!$K$2)," /lamp"),CONCATENATE(TEXT(ED749,"$0.00"),"/ kWh"))</f>
        <v>$0.00/ kWh</v>
      </c>
      <c r="AX749" s="467"/>
      <c r="AY749" s="1748">
        <f ca="1">IFERROR(IF(GM750=TRUE,(AB752*T751)/R751,0),"NA")</f>
        <v>0</v>
      </c>
      <c r="AZ749" s="1748"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696" t="str">
        <f>N750</f>
        <v/>
      </c>
      <c r="CQ749" s="1696" t="str">
        <f>IFERROR(VLOOKUP(G750,_Lookup_Heat_Type_Table_New,3,FALSE),"")</f>
        <v/>
      </c>
      <c r="CR749" s="1808" t="str">
        <f>CQ749</f>
        <v/>
      </c>
      <c r="CS749" s="1810" t="str">
        <f>IFERROR(VLOOKUP(G751,'Space Table'!$B$3:$L$163,9,FALSE),"")</f>
        <v/>
      </c>
      <c r="CU749" s="1688" t="s">
        <v>344</v>
      </c>
      <c r="CV749" s="1702">
        <f>IF(IB749=TRUE,T750,0)</f>
        <v>0</v>
      </c>
      <c r="CW749" s="1702" t="str">
        <f>IF(IB749=TRUE,U750,"")</f>
        <v/>
      </c>
      <c r="CX749" s="1702"/>
      <c r="CY749" s="1814">
        <f>IF(IB749=TRUE,AB749,0)</f>
        <v>0</v>
      </c>
      <c r="CZ749" s="1710">
        <f>IF(AND(__Retrofit_TI_NC&gt;0,CR749="interior"),0,IF(IB749=TRUE,AC749,0))</f>
        <v>0</v>
      </c>
      <c r="DA749" s="1814">
        <f>IFERROR(IF(IB749=TRUE,CZ749-CZ751,0),0)</f>
        <v>0</v>
      </c>
      <c r="DB749" s="1819">
        <f>IF(IB749=TRUE,AD749,0)</f>
        <v>0</v>
      </c>
      <c r="DC749" s="1819">
        <f>IF(IB749=TRUE,AD752,0)</f>
        <v>0</v>
      </c>
      <c r="DD749" s="1819">
        <f>IFERROR(DB749-DC749,0)</f>
        <v>0</v>
      </c>
      <c r="DF749" s="1702">
        <f>IF(IB749=TRUE,AF750,0)</f>
        <v>0</v>
      </c>
      <c r="DG749" s="1830">
        <f>IFERROR(IF(__Retrofit_TI_NC=2,IF(CQ749="Exterior",O752,FQ749),FN749),"")</f>
        <v>0</v>
      </c>
      <c r="DH749" s="1702"/>
      <c r="DI749" s="1837">
        <f>JE749</f>
        <v>0</v>
      </c>
      <c r="DJ749" s="1710">
        <f>IF(AND(__Retrofit_TI_NC&gt;0,CR749="interior"),0,IF(IB749=TRUE,AN749,0))</f>
        <v>0</v>
      </c>
      <c r="DK749" s="1712">
        <f>IFERROR(IF(IB749=TRUE,DJ751-DJ749,0),0)</f>
        <v>0</v>
      </c>
      <c r="DM749" s="1717">
        <f>IFERROR(CZ749-DJ749,0)</f>
        <v>0</v>
      </c>
      <c r="DO749" s="1708">
        <f>DM749-DN751</f>
        <v>0</v>
      </c>
      <c r="DQ749" s="1715" t="str">
        <f>IFERROR(IF(AND(OR(GC749=4,GC749=5,GC749=6),OR(GF749=4,GF749=5,GF749=6)),GC749+8,VLOOKUP(CW751,Fixtures!R$31:Y$78,8,FALSE)),"")</f>
        <v/>
      </c>
      <c r="DR749" s="1829" t="str">
        <f>DQ749</f>
        <v/>
      </c>
      <c r="DS749" s="1702" t="str">
        <f>IFERROR(VLOOKUP(DG751,Lookup!BB$3:BC$20,2,FALSE),"")</f>
        <v/>
      </c>
      <c r="DT749" s="1713" t="str">
        <f>IF(OR(DS749=7,DS749=8,DS749=9),"ALC","")</f>
        <v/>
      </c>
      <c r="DU749" s="1715">
        <f>IFERROR(IF(OR(DQ749=4,DQ749=5,DQ749=6,DQ749=12,DQ749=13,DQ749=14),VLOOKUP(CW751,Fixtures!DN$27:EG$77,19,FALSE),1)*CV751,0)</f>
        <v>0</v>
      </c>
      <c r="DV749" s="1716">
        <f>IF(OR(DS749=7,DS749=8,DS749=9),IF(DG749=DG751,0,DF751),0)</f>
        <v>0</v>
      </c>
      <c r="DX749" s="1715" t="str">
        <f>IFERROR(IF(EZ749&lt;EZ751,"Yes","No"),"")</f>
        <v/>
      </c>
      <c r="DY749" s="1829" t="str">
        <f>DX749</f>
        <v/>
      </c>
      <c r="DZ749" s="1715">
        <f>IF(DX749="Yes",DF751,0)</f>
        <v>0</v>
      </c>
      <c r="EA749" s="1715">
        <f>DZ749-DV749</f>
        <v>0</v>
      </c>
      <c r="EC749" s="1834">
        <f>IFERROR(VLOOKUP(DQ749,Lookup!AU$3:AV$16,2,FALSE),0)</f>
        <v>0</v>
      </c>
      <c r="ED749" s="1834">
        <f>IF(IB749=FALSE,0,IF(DX749="Yes",EC749+Lookup!K$6,EC749))</f>
        <v>0</v>
      </c>
      <c r="EF749" s="1707">
        <f>IF(IB749=TRUE,DM749,0)</f>
        <v>0</v>
      </c>
      <c r="EG749" s="1712">
        <f>IF(IB749=TRUE,CZ751,0)</f>
        <v>0</v>
      </c>
      <c r="EH749" s="1814">
        <f>IFERROR(EF749-EG749,0)</f>
        <v>0</v>
      </c>
      <c r="EI749" s="1712">
        <f>IF(IB749=TRUE,DJ751,0)</f>
        <v>0</v>
      </c>
      <c r="EJ749" s="1712">
        <f>IFERROR(EF749-EG749+EI749,0)</f>
        <v>0</v>
      </c>
      <c r="EK749" s="1812">
        <f>IF(IB749=TRUE,CV751*CX751,0)</f>
        <v>0</v>
      </c>
      <c r="EL749" s="1812">
        <f>IF(IB749=TRUE,DF751*DH751,0)</f>
        <v>0</v>
      </c>
      <c r="EM749" s="1807">
        <f>AR749</f>
        <v>0</v>
      </c>
      <c r="EN749" s="1839" t="str">
        <f>IFERROR(IF(IB749=TRUE,VLOOKUP(DQ749,Lookup!AU$3:AW$16,3,FALSE)*DU749,""),0)</f>
        <v/>
      </c>
      <c r="EO749" s="1839">
        <f>IF(IB749=TRUE,DZ749*Lookup!AW$12,0)</f>
        <v>0</v>
      </c>
      <c r="EP749" s="1817">
        <f>IFERROR(IF(IB749=TRUE,EN749/EP$40,0),0)</f>
        <v>0</v>
      </c>
      <c r="EQ749" s="1817">
        <f>IF(IB749=TRUE,EO749/EQ$40,0)</f>
        <v>0</v>
      </c>
      <c r="ER749" s="1807">
        <f>IF(IB749=TRUE,ET$40*EP749,0)</f>
        <v>0</v>
      </c>
      <c r="ES749" s="1807">
        <f>IF(IB749=TRUE,ET$40*EQ749,0)</f>
        <v>0</v>
      </c>
      <c r="ET749" s="1807">
        <f>ER749+ES749</f>
        <v>0</v>
      </c>
      <c r="EV749" s="1715">
        <f>IF(G749="",0,1)</f>
        <v>0</v>
      </c>
      <c r="EX749" s="1804" t="str">
        <f>IFERROR(VLOOKUP(CS751,'Space Table'!$B$3:$L$163,8,FALSE),"")</f>
        <v/>
      </c>
      <c r="EY749" s="1804" t="str">
        <f>IFERROR(IF(FB749="Yes",VLOOKUP(DG749,Lookup_Control_Type_Table2,4,FALSE),VLOOKUP(DG749,Lookup_Control_Type_Table2,3,FALSE)),"")</f>
        <v/>
      </c>
      <c r="EZ749" s="1804" t="e">
        <f>VLOOKUP(DG749,Lookup!BB$3:BC$20,2,FALSE)</f>
        <v>#N/A</v>
      </c>
      <c r="FA749" s="1804" t="e">
        <f>VLOOKUP(EX749,Lookup_Control_Type_Table,2,FALSE)</f>
        <v>#N/A</v>
      </c>
      <c r="FB749" s="1804" t="e">
        <f>VLOOKUP(CS751,'Space Table'!$B$3:$L$163,7,FALSE)</f>
        <v>#N/A</v>
      </c>
      <c r="FC749" s="1826" t="b">
        <f>ISNUMBER(SEARCH("TLED",U751))</f>
        <v>0</v>
      </c>
      <c r="FE749" s="1698" t="str">
        <f>CONCATENATE(CQ749," - ",DG749)</f>
        <v xml:space="preserve"> - 0</v>
      </c>
      <c r="FG749" s="1702" t="str">
        <f>VLOOKUP(CW751,Fixtures!DN$27:EZ$77,38,FALSE)</f>
        <v/>
      </c>
      <c r="FH749" s="1702">
        <f>IFERROR(FG749*EH749,0)</f>
        <v>0</v>
      </c>
      <c r="FI749" s="133"/>
      <c r="FL749" s="1822" t="str">
        <f>IF(CQ749="Exterior","Not Daylighted",G752)</f>
        <v>Not Daylighted</v>
      </c>
      <c r="FM749" s="1824">
        <f>VLOOKUP(FL749,_New_Daylight_Table_Codes,2,FALSE)</f>
        <v>0</v>
      </c>
      <c r="FN749" s="1698">
        <f>IF(__Retrofit_TI_NC&gt;0,VLOOKUP(G751,'Space Table'!$B$3:$L$163,11,FALSE),AG750)</f>
        <v>0</v>
      </c>
      <c r="FO749" s="1698" t="e">
        <f>IF(__Retrofit_TI_NC=2,VLOOKUP(FQ749,_Control_Table,2,FALSE),VLOOKUP(FN749,_Control_Table,2,FALSE))</f>
        <v>#N/A</v>
      </c>
      <c r="FP749" s="1678" t="e">
        <f>VLOOKUP(CONCATENATE(FL749," ",FN749),Lookup!AY$102:AZ759,2,FALSE)</f>
        <v>#N/A</v>
      </c>
      <c r="FQ749" s="1678">
        <f>IF(__Retrofit_TI_NC=0,FN749,IF(AND(FT749&gt;0,FN749="Occupancy Sensor"),"Daylight + Occupancy",IF(AND(FT749&gt;0,VLOOKUP(FN749,_Control_Table,2,FALSE)&lt;4),"Interior Daylight Dimming",FN749)))</f>
        <v>0</v>
      </c>
      <c r="FS749" s="1686">
        <f>IF(CR749="Interior",VLOOKUP(CS749,Control_Savings_Interior,5,FALSE),0)</f>
        <v>0</v>
      </c>
      <c r="FT749" s="1687">
        <f>IF(CQ749="Exterior",0,IF(FM749=2,0.5,IF(OR(FM749=1,FM749=3),1,0)))</f>
        <v>0</v>
      </c>
      <c r="FU749" s="1685">
        <f>IF(R748&gt;FS$44,(FS749*(FS$44/R748)),FS749)*FT749</f>
        <v>0</v>
      </c>
      <c r="FV749" s="1686">
        <f>DI749</f>
        <v>0</v>
      </c>
      <c r="FW749" s="1686">
        <f>ROUND(FV749+((1-FV749)*FU749),2)</f>
        <v>0</v>
      </c>
      <c r="FX749" s="1686">
        <f>IF(__Retrofit_TI_NC=2,FW749,FV749)</f>
        <v>0</v>
      </c>
      <c r="FY749" s="1697"/>
      <c r="GA749" s="1696" t="str">
        <f>IFERROR(VLOOKUP(U750,_Exist_Fixture_Table,3,FALSE),"")</f>
        <v/>
      </c>
      <c r="GB749" s="1696" t="str">
        <f>VLOOKUP(CW749,_Exist_Fixture_Table,4,FALSE)</f>
        <v/>
      </c>
      <c r="GC749" s="1696">
        <f>IFERROR(VLOOKUP(GB749,Lookup!AT$6:AU$8,2,FALSE),0)</f>
        <v>0</v>
      </c>
      <c r="GD749" s="1696" t="b">
        <f>IFERROR(IF(OR(GF749=4,GF749=5,GF749=6),TRUE,FALSE),"")</f>
        <v>0</v>
      </c>
      <c r="GE749" s="1696" t="str">
        <f>IFERROR(VLOOKUP(GF749,GC$6:GD$10,2,FALSE),"")</f>
        <v/>
      </c>
      <c r="GF749" s="1696" t="str">
        <f>VLOOKUP(CW751,Fixtures!R$31:Y$78,8,FALSE)</f>
        <v/>
      </c>
      <c r="GG749" s="1696">
        <f>IF(AND(GA749=TRUE,GD749=TRUE,OR(DQ749=12,DQ749=13,DQ749=14)),GC749+8,0)</f>
        <v>0</v>
      </c>
      <c r="GH749" s="1696" t="b">
        <f>IF(OR(GG749=12,GG749=13,GG749=14),TRUE,FALSE)</f>
        <v>0</v>
      </c>
      <c r="GI749" s="673" t="b">
        <f>IF(ISNUMBER(SEARCH("TLED",U750)),TRUE,FALSE)</f>
        <v>0</v>
      </c>
      <c r="GJ749" s="1135" t="str">
        <f>IFERROR(VLOOKUP(U750,Fixtures!BM$93:BR$142,6,FALSE),"")</f>
        <v/>
      </c>
      <c r="GK749" s="1832" t="b">
        <f>IF(OR(GI749=FALSE,GI751=FALSE),TRUE,IF(GJ749-GJ751&lt;5,FALSE,TRUE))</f>
        <v>1</v>
      </c>
      <c r="GO749" s="674">
        <f>GP749</f>
        <v>0</v>
      </c>
      <c r="GP749" s="674">
        <f>IF(G749="",0,1)</f>
        <v>0</v>
      </c>
      <c r="GQ749" s="674">
        <f ca="1">SUM(GR749:HF749)</f>
        <v>2</v>
      </c>
      <c r="GR749" s="674">
        <f>IF(G750="",0,1)</f>
        <v>0</v>
      </c>
      <c r="GS749" s="674">
        <f>IF(N752="BAM",1,IF(G751="",0,1))</f>
        <v>0</v>
      </c>
      <c r="GT749" s="674">
        <f>IF(N752="BAM",1,IF(R750="",0,1))</f>
        <v>0</v>
      </c>
      <c r="GU749" s="674">
        <f>IF(N752="BAM",1,IF(__Retrofit_TI_NC=0,1,IF(R751="",0,1)))</f>
        <v>1</v>
      </c>
      <c r="GV749" s="674">
        <f>IF(N752="BAM",1,IF(CQ749="Exterior",1,IF(G752="",0,1)))</f>
        <v>1</v>
      </c>
      <c r="GW749" s="674">
        <f>IF(__Retrofit_TI_NC&gt;0,1,IF(T750="",0,1))</f>
        <v>0</v>
      </c>
      <c r="GX749" s="674">
        <f>IF(__Retrofit_TI_NC&gt;0,1,IF(U750="",0,1))</f>
        <v>0</v>
      </c>
      <c r="GY749" s="674">
        <f>IF(N752="BAM",1,IF(T751="",0,1))</f>
        <v>0</v>
      </c>
      <c r="GZ749" s="674">
        <f>IF(N752="BAM",1,IF(U751="",0,1))</f>
        <v>0</v>
      </c>
      <c r="HA749" s="674">
        <f ca="1">IF(N752="BAM",1,IF(__Retrofit_TI_NC&gt;0,1,IF(U752="",0,1)))</f>
        <v>0</v>
      </c>
      <c r="HB749" s="674">
        <f>IF(__Retrofit_TI_NC&lt;&gt;0,1,IF(AF750="",0,1))</f>
        <v>0</v>
      </c>
      <c r="HC749" s="674">
        <f>IF(__Retrofit_TI_NC&lt;&gt;0,1,IF(AG750="",0,1))</f>
        <v>0</v>
      </c>
      <c r="HD749" s="674">
        <f>IF(N752="BAM",1,IF(AF751="",0,1))</f>
        <v>0</v>
      </c>
      <c r="HE749" s="674">
        <f>IF(N752="BAM",1,IF(AG751="",0,1))</f>
        <v>0</v>
      </c>
      <c r="HF749" s="674">
        <f>IF(N752="BAM",1,IF(__Retrofit_TI_NC&gt;0,1,IF(AG752="",0,1)))</f>
        <v>0</v>
      </c>
      <c r="HG749" s="391"/>
      <c r="IA749" s="391"/>
      <c r="IB749" s="1693" t="b">
        <f>IF(OR(IB752=0,IB752=HY$16,IB752=HX$16,IB752=HZ$16),TRUE,FALSE)</f>
        <v>0</v>
      </c>
      <c r="IC749" s="1694" t="b">
        <f>IB749</f>
        <v>0</v>
      </c>
      <c r="ID749" s="391"/>
      <c r="IE749" s="391"/>
      <c r="IF749" s="1688" t="b">
        <f ca="1">IF(MAX(GN752:HU752)&gt;5,FALSE,TRUE)</f>
        <v>0</v>
      </c>
      <c r="IG749" s="1689">
        <f ca="1">IF(IF749=TRUE,AC749,0)</f>
        <v>0</v>
      </c>
      <c r="IH749" s="1689">
        <f ca="1">IG749-IG751</f>
        <v>0</v>
      </c>
      <c r="IK749" s="1689" t="e">
        <f>ROUND(T750*VLOOKUP(U750,Fixtures_Existing_List,2,FALSE)*N750*R750/1000,0)</f>
        <v>#N/A</v>
      </c>
      <c r="IL749" s="1690" t="e">
        <f>IK749-IK751</f>
        <v>#N/A</v>
      </c>
      <c r="IM749" s="1693" t="e">
        <f>ROUND(IF(CQ749="Interior",N751*R751*R750*N750*_C406_reduction/1000,N751*R751*R750*N750/1000),0)</f>
        <v>#N/A</v>
      </c>
      <c r="IN749" s="1693" t="e">
        <f>IM749-IM751</f>
        <v>#N/A</v>
      </c>
      <c r="IP749" s="1679"/>
      <c r="IQ749" s="1679" t="e">
        <f t="shared" ref="IQ749:IU749" si="691">IF($CR749="interior",VLOOKUP($CS749,_New_Control_Savings_Interior,IQ$30,FALSE),VLOOKUP($CS749,Control_Savings_Exterior,IQ$30,FALSE))</f>
        <v>#N/A</v>
      </c>
      <c r="IR749" s="1679" t="e">
        <f t="shared" si="691"/>
        <v>#N/A</v>
      </c>
      <c r="IS749" s="1679" t="e">
        <f t="shared" si="691"/>
        <v>#N/A</v>
      </c>
      <c r="IT749" s="1679" t="e">
        <f t="shared" si="691"/>
        <v>#N/A</v>
      </c>
      <c r="IU749" s="1679" t="e">
        <f t="shared" si="691"/>
        <v>#N/A</v>
      </c>
      <c r="IV749" s="1679" t="e">
        <f>IF($CR749="interior",IF(R750&gt;$IP$14,ROUND(($IV$18*($IP$14/R750)),2),$IV$18),VLOOKUP($CS749,Control_Savings_Exterior,IV$30,FALSE))</f>
        <v>#N/A</v>
      </c>
      <c r="IW749" s="1679" t="e">
        <f>IF($CR749="interior",ROUND(((1-IS749)*IV749)+IS749,2),VLOOKUP($CS749,Control_Savings_Exterior,IW$30,FALSE))</f>
        <v>#N/A</v>
      </c>
      <c r="IX749" s="1679" t="e">
        <f>IF($CR749="interior",ROUND(((1-IT749)*IV749)+IT749,2),VLOOKUP($CS749,Control_Savings_Exterior,IX$30,FALSE))</f>
        <v>#N/A</v>
      </c>
      <c r="IY749" s="1679" t="e">
        <f>IF($CR749="interior",IF(R750&gt;$IP$14,ROUND(($IY$18*($IP$14/R750)),2),$IY$18),VLOOKUP($CS749,Control_Savings_Exterior,IY$30,FALSE))</f>
        <v>#N/A</v>
      </c>
      <c r="IZ749" s="1679" t="e">
        <f>IF($CR749="interior",ROUND(((1-IS749)*IY749)+IS749,2),VLOOKUP($CS749,Control_Savings_Exterior,IZ$30,FALSE))</f>
        <v>#N/A</v>
      </c>
      <c r="JA749" s="1679" t="e">
        <f>IF($CR749="interior",ROUND(((1-IT749)*IY749)+IT749,2),VLOOKUP($CS749,Control_Savings_Exterior,JA$30,FALSE))</f>
        <v>#N/A</v>
      </c>
      <c r="JC749" s="1680">
        <f>IFERROR(IF(CR749="Interior",CONCATENATE(G752," ",FQ749),FQ749),"")</f>
        <v>0</v>
      </c>
      <c r="JD749" s="1670" t="str">
        <f>IFERROR(VLOOKUP(JC749,_Controls_2023,2,FALSE),"")</f>
        <v/>
      </c>
      <c r="JE749" s="1681">
        <f>IFERROR(CHOOSE(JD749-1,IQ749,IR749,IS749,IT749,IU749,IV749,IW749,IX749,IY749,IZ749,JA749),0)</f>
        <v>0</v>
      </c>
      <c r="JG749" s="1680" t="str">
        <f>FE749</f>
        <v xml:space="preserve"> - 0</v>
      </c>
      <c r="JH749" s="1670" t="e">
        <f>$FO749</f>
        <v>#N/A</v>
      </c>
      <c r="JI749" s="1060"/>
      <c r="JJ749" s="1682" t="b">
        <f>IF($JG751=CONCATENATE("Interior - ",JJ$4),TRUE,FALSE)</f>
        <v>0</v>
      </c>
      <c r="JK749" s="1061"/>
      <c r="JL749" s="1682" t="b">
        <f>IF($JG751=CONCATENATE("Interior - ",JL$4),TRUE,FALSE)</f>
        <v>0</v>
      </c>
      <c r="JM749" s="1061"/>
      <c r="JN749" s="1682" t="b">
        <f>IF($JG751=CONCATENATE("Interior - ",JN$4),TRUE,FALSE)</f>
        <v>0</v>
      </c>
      <c r="JO749" s="1061"/>
      <c r="JP749" s="1682" t="b">
        <f>IF(__Retrofit_TI_NC&gt;0,FALSE,IF($JG751=CONCATENATE("Interior - ",JP$4),TRUE,FALSE))</f>
        <v>0</v>
      </c>
      <c r="JQ749" s="1061"/>
      <c r="JR749" s="1682" t="b">
        <f>IF(__Retrofit_TI_NC&gt;0,FALSE,IF($JG751=CONCATENATE("Interior - ",JR$4),TRUE,FALSE))</f>
        <v>0</v>
      </c>
      <c r="JS749" s="1061"/>
      <c r="JT749" s="1670" t="b">
        <f>IF(__Retrofit_TI_NC&gt;0,FALSE,IF($JG751=CONCATENATE("Interior - ",JT$4),TRUE,FALSE))</f>
        <v>0</v>
      </c>
      <c r="JU749" s="1061"/>
      <c r="JV749" s="1670" t="b">
        <f>IF(JC751="AELC on Existing",TRUE,FALSE)</f>
        <v>0</v>
      </c>
      <c r="JX749" s="1670" t="b">
        <f>IF(OR(JG751="Exterior - AELC Occupancy based",JG751="Exterior - AELC Time based"),TRUE,FALSE)</f>
        <v>0</v>
      </c>
      <c r="JZ749" s="1682" t="b">
        <f>IF($JG751=CONCATENATE("Exterior - ",JZ$4),TRUE,FALSE)</f>
        <v>0</v>
      </c>
      <c r="KB749" s="1670" t="b">
        <f>IF(__Retrofit_TI_NC&gt;0,FALSE,IF($JG751=CONCATENATE("Interior - ",KB$4),TRUE,FALSE))</f>
        <v>0</v>
      </c>
    </row>
    <row r="750" spans="1:288" s="78" customFormat="1" ht="14.95" customHeight="1" thickTop="1" thickBot="1">
      <c r="B750" s="1845"/>
      <c r="C750" s="1846"/>
      <c r="D750" s="1847"/>
      <c r="E750" s="1737" t="s">
        <v>297</v>
      </c>
      <c r="F750" s="1738"/>
      <c r="G750" s="1739"/>
      <c r="H750" s="1739"/>
      <c r="I750" s="1739"/>
      <c r="J750" s="1739"/>
      <c r="K750" s="1739"/>
      <c r="L750" s="1739"/>
      <c r="M750" s="461" t="e">
        <f>IF(__Retrofit_TI_NC&lt;&gt;0,IF(VLOOKUP(G751,'Space Table'!$B$3:$L$163,3,FALSE)&gt;0,1,0),IF(__Retrofit_TI_NC=VLOOKUP(G751,'Space Table'!$B$3:$L$163,3,FALSE),1,0))</f>
        <v>#N/A</v>
      </c>
      <c r="N750" s="461" t="str">
        <f>IFERROR(VLOOKUP(G750,_Lookup_Heat_Type_Table_New,2,FALSE),"")</f>
        <v/>
      </c>
      <c r="O750" s="461">
        <f>IF(__Retrofit_TI_NC=1,CONCATENATE("TI ",G750),IF(__Retrofit_TI_NC=2,CONCATENATE("NC ",G750),G750))</f>
        <v>0</v>
      </c>
      <c r="P750" s="1740" t="s">
        <v>435</v>
      </c>
      <c r="Q750" s="1740"/>
      <c r="R750" s="595"/>
      <c r="S750" s="1792"/>
      <c r="T750" s="597"/>
      <c r="U750" s="1765"/>
      <c r="V750" s="1766"/>
      <c r="W750" s="1766"/>
      <c r="X750" s="1766"/>
      <c r="Y750" s="1766"/>
      <c r="Z750" s="1766"/>
      <c r="AA750" s="1766"/>
      <c r="AB750" s="1766"/>
      <c r="AC750" s="1766"/>
      <c r="AD750" s="1767"/>
      <c r="AE750" s="1000"/>
      <c r="AF750" s="597"/>
      <c r="AG750" s="1723"/>
      <c r="AH750" s="1724"/>
      <c r="AI750" s="1724"/>
      <c r="AJ750" s="1724"/>
      <c r="AK750" s="1725"/>
      <c r="AL750" s="996"/>
      <c r="AM750" s="1747"/>
      <c r="AN750" s="1775"/>
      <c r="AO750" s="1777"/>
      <c r="AP750" s="1780"/>
      <c r="AQ750" s="1781"/>
      <c r="AR750" s="1795"/>
      <c r="AS750" s="1795"/>
      <c r="AT750" s="1796"/>
      <c r="AU750" s="1735"/>
      <c r="AV750" s="1752"/>
      <c r="AW750" s="1705"/>
      <c r="AX750" s="467"/>
      <c r="AY750" s="1749"/>
      <c r="AZ750" s="1749"/>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696"/>
      <c r="CQ750" s="1696"/>
      <c r="CR750" s="1809"/>
      <c r="CS750" s="1811"/>
      <c r="CU750" s="1688"/>
      <c r="CV750" s="1703"/>
      <c r="CW750" s="1703"/>
      <c r="CX750" s="1703"/>
      <c r="CY750" s="1815"/>
      <c r="CZ750" s="1711"/>
      <c r="DA750" s="1818"/>
      <c r="DB750" s="1820"/>
      <c r="DC750" s="1820"/>
      <c r="DD750" s="1820"/>
      <c r="DF750" s="1703"/>
      <c r="DG750" s="1831"/>
      <c r="DH750" s="1703"/>
      <c r="DI750" s="1838"/>
      <c r="DJ750" s="1711"/>
      <c r="DK750" s="1712"/>
      <c r="DM750" s="1718"/>
      <c r="DO750" s="1708"/>
      <c r="DQ750" s="1715"/>
      <c r="DR750" s="1720"/>
      <c r="DS750" s="1816"/>
      <c r="DT750" s="1714"/>
      <c r="DU750" s="1715"/>
      <c r="DV750" s="1716"/>
      <c r="DX750" s="1715"/>
      <c r="DY750" s="1720"/>
      <c r="DZ750" s="1715"/>
      <c r="EA750" s="1715"/>
      <c r="EC750" s="1834"/>
      <c r="ED750" s="1834"/>
      <c r="EF750" s="1707"/>
      <c r="EG750" s="1712"/>
      <c r="EH750" s="1818"/>
      <c r="EI750" s="1712"/>
      <c r="EJ750" s="1712"/>
      <c r="EK750" s="1836"/>
      <c r="EL750" s="1836"/>
      <c r="EM750" s="1807"/>
      <c r="EN750" s="1839"/>
      <c r="EO750" s="1839"/>
      <c r="EP750" s="1817"/>
      <c r="EQ750" s="1817"/>
      <c r="ER750" s="1807"/>
      <c r="ES750" s="1807"/>
      <c r="ET750" s="1807"/>
      <c r="EV750" s="1715"/>
      <c r="EX750" s="1805"/>
      <c r="EY750" s="1805"/>
      <c r="EZ750" s="1805"/>
      <c r="FA750" s="1805"/>
      <c r="FB750" s="1805"/>
      <c r="FC750" s="1827"/>
      <c r="FE750" s="1698"/>
      <c r="FG750" s="1816"/>
      <c r="FH750" s="1816"/>
      <c r="FI750" s="133"/>
      <c r="FL750" s="1823"/>
      <c r="FM750" s="1825"/>
      <c r="FN750" s="1698"/>
      <c r="FO750" s="1698"/>
      <c r="FP750" s="1678"/>
      <c r="FQ750" s="1678"/>
      <c r="FS750" s="1687"/>
      <c r="FT750" s="1687"/>
      <c r="FU750" s="1685"/>
      <c r="FV750" s="1687"/>
      <c r="FW750" s="1687"/>
      <c r="FX750" s="1687"/>
      <c r="FY750" s="1697"/>
      <c r="GA750" s="1696"/>
      <c r="GB750" s="1696"/>
      <c r="GC750" s="1696"/>
      <c r="GD750" s="1696"/>
      <c r="GE750" s="1696"/>
      <c r="GF750" s="1696"/>
      <c r="GG750" s="1696"/>
      <c r="GH750" s="1696"/>
      <c r="GI750" s="673"/>
      <c r="GJ750" s="1135"/>
      <c r="GK750" s="1832"/>
      <c r="GM750" s="1693" t="b">
        <f ca="1">IF(AND(GP750=TRUE,GQ750=TRUE),TRUE,FALSE)</f>
        <v>0</v>
      </c>
      <c r="GN750" s="1684" t="b">
        <f>IFERROR(IF(__Retrofit_TI_NC=2,TRUE,IF(AU749="Yes",TRUE,FALSE)),FALSE)</f>
        <v>1</v>
      </c>
      <c r="GP750" s="1684" t="b">
        <f>IFERROR(IF(GP749=1,TRUE,FALSE),FALSE)</f>
        <v>0</v>
      </c>
      <c r="GQ750" s="1684" t="b">
        <f ca="1">IFERROR(IF(GQ749=GQ$14,TRUE,FALSE),FALSE)</f>
        <v>0</v>
      </c>
      <c r="HG750" s="1684" t="b">
        <f>IFERROR(IF(AND(__Retrofit_TI_NC&gt;0,CQ749="Interior"),FALSE,TRUE),FALSE)</f>
        <v>1</v>
      </c>
      <c r="HH750" s="1684" t="b">
        <f>IFERROR(IF(M750=1,TRUE,FALSE),FALSE)</f>
        <v>0</v>
      </c>
      <c r="HI750" s="1684" t="b">
        <f>IFERROR(IF(OR(M751=1,N752="BAM"),TRUE,FALSE),FALSE)</f>
        <v>0</v>
      </c>
      <c r="HJ750" s="1684" t="b">
        <f>IFERROR(IF(__Retrofit_TI_NC&lt;&gt;0,TRUE,IFERROR(IF(VLOOKUP(U750,Fixtures_Existing_List,2,FALSE)&lt;&gt;"",TRUE,FALSE),FALSE)),FALSE)</f>
        <v>0</v>
      </c>
      <c r="HK750" s="1684" t="b">
        <f>IFERROR(IF(VLOOKUP(U751,Fixtures_Proposed_List,2,FALSE)&lt;&gt;"",TRUE,FALSE),FALSE)</f>
        <v>0</v>
      </c>
      <c r="HL750" s="1684" t="b">
        <f>IF(AND(__Retrofit_TI_NC=2,FC749=TRUE),FALSE,TRUE)</f>
        <v>1</v>
      </c>
      <c r="HM750" s="1684" t="b">
        <f>GK749</f>
        <v>1</v>
      </c>
      <c r="HN750" s="1682" t="b">
        <f>IF(ISERROR(MATCH(FE749,_Control_Match[],0))=TRUE,FALSE,TRUE)</f>
        <v>0</v>
      </c>
      <c r="HO750" s="1693" t="b">
        <f>IFERROR(IF(EX749&lt;&gt;EY749,FALSE,TRUE),FALSE)</f>
        <v>1</v>
      </c>
      <c r="HP750" s="1693" t="b">
        <f>IFERROR(IF(EX751&lt;&gt;EY751,FALSE,TRUE),FALSE)</f>
        <v>1</v>
      </c>
      <c r="HQ750" s="1670" t="b">
        <f>IFERROR(IF(CQ749="Exterior",TRUE,IF(AND(OR(FM751=0,FM751=3),JD751&gt;6),FALSE,TRUE)),FALSE)</f>
        <v>0</v>
      </c>
      <c r="HR750" s="1684" t="b">
        <f>IFERROR(IF(AND(FO751=7,FC749=TRUE),FALSE,TRUE),FALSE)</f>
        <v>0</v>
      </c>
      <c r="HS750" s="1684" t="b">
        <f>IFERROR(IF(AND(T751&lt;&gt;AF751,OR(AG751="Interior LLLC", AG751="Interior NLC", AG751="LLLC (outside Daylight)",AG751="LLLC Controls Only"))=TRUE,FALSE,TRUE),FALSE)</f>
        <v>1</v>
      </c>
      <c r="HT750" s="1670" t="b">
        <f>IFERROR(IF(OR(AG751=Lookup!BB$17,AG751=Lookup!BB$18,AG751=Lookup!BB$19)=TRUE,IF(AF751&gt;T751,FALSE,TRUE),TRUE),FALSE)</f>
        <v>1</v>
      </c>
      <c r="HU750" s="1684" t="b">
        <f>IFERROR(IF(__Retrofit_TI_NC=2,IF(EZ751&lt;EZ749,FALSE,TRUE),TRUE),FALSE)</f>
        <v>1</v>
      </c>
      <c r="HV750" s="1684" t="b">
        <f>IF(CQ749="Interior",IL$6,TRUE)</f>
        <v>1</v>
      </c>
      <c r="HW750" s="1684" t="b">
        <f>IF(CQ749="Exterior",IL$8,TRUE)</f>
        <v>1</v>
      </c>
      <c r="HX750" s="1684" t="b">
        <f>IFERROR(IF(__Retrofit_TI_NC&lt;&gt;0,IF(AZ749&lt;AY749,FALSE,TRUE),TRUE),FALSE)</f>
        <v>1</v>
      </c>
      <c r="HY750" s="1684" t="b">
        <f>IFERROR(IF(AND(G750="Exterior",R750&gt;4200),FALSE,TRUE),FALSE)</f>
        <v>1</v>
      </c>
      <c r="HZ750" s="1684" t="b">
        <f>IFERROR(IF(AB752/AB749&lt;HZ$18,FALSE,TRUE),FALSE)</f>
        <v>0</v>
      </c>
      <c r="IB750" s="1691"/>
      <c r="IC750" s="1695"/>
      <c r="ID750" s="1694" t="str">
        <f>VLOOKUP(IB752,_Error_Table,4,FALSE)</f>
        <v>White</v>
      </c>
      <c r="IE750" s="391"/>
      <c r="IF750" s="1688"/>
      <c r="IG750" s="1689"/>
      <c r="IH750" s="1684"/>
      <c r="IK750" s="1689"/>
      <c r="IL750" s="1691"/>
      <c r="IM750" s="1691"/>
      <c r="IN750" s="1691"/>
      <c r="IP750" s="1679"/>
      <c r="IQ750" s="1679"/>
      <c r="IR750" s="1679"/>
      <c r="IS750" s="1679"/>
      <c r="IT750" s="1679"/>
      <c r="IU750" s="1679"/>
      <c r="IV750" s="1679"/>
      <c r="IW750" s="1679"/>
      <c r="IX750" s="1679"/>
      <c r="IY750" s="1679"/>
      <c r="IZ750" s="1679"/>
      <c r="JA750" s="1679"/>
      <c r="JC750" s="1680"/>
      <c r="JD750" s="1670"/>
      <c r="JE750" s="1681"/>
      <c r="JG750" s="1680"/>
      <c r="JH750" s="1670"/>
      <c r="JI750" s="1060"/>
      <c r="JJ750" s="1683"/>
      <c r="JK750" s="1061"/>
      <c r="JL750" s="1683"/>
      <c r="JM750" s="1061"/>
      <c r="JN750" s="1683"/>
      <c r="JO750" s="1061"/>
      <c r="JP750" s="1683"/>
      <c r="JQ750" s="1061"/>
      <c r="JR750" s="1683"/>
      <c r="JS750" s="1061"/>
      <c r="JT750" s="1670"/>
      <c r="JU750" s="1061"/>
      <c r="JV750" s="1670"/>
      <c r="JX750" s="1670"/>
      <c r="JZ750" s="1683"/>
      <c r="KB750" s="1670"/>
    </row>
    <row r="751" spans="1:288" s="78" customFormat="1" ht="14.95" customHeight="1" thickTop="1" thickBot="1">
      <c r="A751" s="78">
        <f>ROW()</f>
        <v>751</v>
      </c>
      <c r="B751" s="1845"/>
      <c r="C751" s="1846"/>
      <c r="D751" s="1847"/>
      <c r="E751" s="1737" t="s">
        <v>298</v>
      </c>
      <c r="F751" s="1738"/>
      <c r="G751" s="1760"/>
      <c r="H751" s="1761"/>
      <c r="I751" s="1761"/>
      <c r="J751" s="1761"/>
      <c r="K751" s="1761"/>
      <c r="L751" s="1762"/>
      <c r="M751" s="461">
        <f>IFERROR(IF(IF(__Retrofit_TI_NC&lt;&gt;0,IF(CQ749="Interior",MATCH(G751,Lookup_Interior_New,0),MATCH(G751,Lookup_Exterior_New,0)),IF(CQ749="Interior",MATCH(G751,Lookup_Interior,0),MATCH(G751,Lookup_Exterior_Areas,0)))&gt;0,1,0),0)</f>
        <v>0</v>
      </c>
      <c r="N751" s="461" t="e">
        <f>IF(__Retrofit_TI_NC=1,
VLOOKUP(G751,'Space Table'!$B$3:$L$163,4,FALSE),
IF(__Retrofit_TI_NC=2,VLOOKUP(G751,'Space Table'!$B$3:$L$163,5,FALSE),VLOOKUP(G751,'Space Table'!$B$3:$L$163,5,FALSE)))</f>
        <v>#N/A</v>
      </c>
      <c r="O751" s="461">
        <f>G751</f>
        <v>0</v>
      </c>
      <c r="P751" s="1738" t="str">
        <f>IFERROR(IF(__Retrofit_TI_NC=1,VLOOKUP(G751,'Space Table'!$B$3:$O$163,13,FALSE),IF(__Retrofit_TI_NC=2,VLOOKUP(G751,'Space Table'!$B$3:$O$163,14,FALSE),"Area (sf):")),"Area (sf):")</f>
        <v>Area (sf):</v>
      </c>
      <c r="Q751" s="1738"/>
      <c r="R751" s="596"/>
      <c r="S751" s="1763" t="s">
        <v>345</v>
      </c>
      <c r="T751" s="594"/>
      <c r="U751" s="1801"/>
      <c r="V751" s="1802"/>
      <c r="W751" s="1802"/>
      <c r="X751" s="1802"/>
      <c r="Y751" s="1802"/>
      <c r="Z751" s="1802"/>
      <c r="AA751" s="1802"/>
      <c r="AB751" s="1802"/>
      <c r="AC751" s="1802"/>
      <c r="AD751" s="1802"/>
      <c r="AE751" s="1803"/>
      <c r="AF751" s="594"/>
      <c r="AG751" s="1787"/>
      <c r="AH751" s="1787"/>
      <c r="AI751" s="1787"/>
      <c r="AJ751" s="1787"/>
      <c r="AK751" s="1787"/>
      <c r="AL751" s="1787"/>
      <c r="AM751" s="1726">
        <f>IFERROR(DI751,"")</f>
        <v>0</v>
      </c>
      <c r="AN751" s="1728" t="str">
        <f>IFERROR(ROUND(AM751*AC752,0),"")</f>
        <v/>
      </c>
      <c r="AO751" s="1730">
        <f>IFERROR(IF(IB749=FALSE,0,AC752-AN751),0)</f>
        <v>0</v>
      </c>
      <c r="AP751" s="1780"/>
      <c r="AQ751" s="1781"/>
      <c r="AR751" s="1795"/>
      <c r="AS751" s="1795"/>
      <c r="AT751" s="1796"/>
      <c r="AU751" s="1735"/>
      <c r="AV751" s="1752"/>
      <c r="AW751" s="1705"/>
      <c r="AX751" s="467"/>
      <c r="AY751" s="1749"/>
      <c r="AZ751" s="1749"/>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696"/>
      <c r="CQ751" s="1696"/>
      <c r="CR751" s="1808" t="str">
        <f>CQ749</f>
        <v/>
      </c>
      <c r="CS751" s="1810" t="str">
        <f>CS749</f>
        <v/>
      </c>
      <c r="CU751" s="1688" t="s">
        <v>345</v>
      </c>
      <c r="CV751" s="1702">
        <f>IF(IB749=TRUE,T751,0)</f>
        <v>0</v>
      </c>
      <c r="CW751" s="1702" t="str">
        <f>IF(IB749=TRUE,U751,"")</f>
        <v/>
      </c>
      <c r="CX751" s="1812">
        <f>IF(IB749=TRUE,U752,0)</f>
        <v>0</v>
      </c>
      <c r="CY751" s="1814">
        <f>IF(IB749=TRUE,AB752,0)</f>
        <v>0</v>
      </c>
      <c r="CZ751" s="1710">
        <f>IF(AND(__Retrofit_TI_NC&gt;0,CR749="interior"),0,IF(IB749=TRUE,AC752,0))</f>
        <v>0</v>
      </c>
      <c r="DA751" s="1818"/>
      <c r="DB751" s="1820"/>
      <c r="DC751" s="1820"/>
      <c r="DD751" s="1820"/>
      <c r="DF751" s="1702">
        <f>IF(IB749=TRUE,AF751,0)</f>
        <v>0</v>
      </c>
      <c r="DG751" s="1830" t="str">
        <f>IF(IB749=TRUE,AG751,"")</f>
        <v/>
      </c>
      <c r="DH751" s="1812">
        <f>AG752</f>
        <v>0</v>
      </c>
      <c r="DI751" s="1837">
        <f>JE751</f>
        <v>0</v>
      </c>
      <c r="DJ751" s="1710">
        <f>IF(AND(__Retrofit_TI_NC&gt;0,CR749="interior"),0,IF(IB749=TRUE,AN751,0))</f>
        <v>0</v>
      </c>
      <c r="DK751" s="1712"/>
      <c r="DN751" s="1717">
        <f>IFERROR(CZ751-DJ751,0)</f>
        <v>0</v>
      </c>
      <c r="DO751" s="1709"/>
      <c r="DQ751" s="1715"/>
      <c r="DR751" s="1719" t="str">
        <f>DQ749</f>
        <v/>
      </c>
      <c r="DS751" s="1816"/>
      <c r="DT751" s="1835" t="str">
        <f>IF(OR(DS749=7,DS749=8,DS749=9),"ALC","")</f>
        <v/>
      </c>
      <c r="DU751" s="1715"/>
      <c r="DV751" s="1716"/>
      <c r="DX751" s="1715"/>
      <c r="DY751" s="1829" t="str">
        <f>DX749</f>
        <v/>
      </c>
      <c r="DZ751" s="1715"/>
      <c r="EA751" s="1715"/>
      <c r="EC751" s="1834"/>
      <c r="ED751" s="1834"/>
      <c r="EF751" s="1707"/>
      <c r="EG751" s="1712"/>
      <c r="EH751" s="1818"/>
      <c r="EI751" s="1712"/>
      <c r="EJ751" s="1712"/>
      <c r="EK751" s="1836"/>
      <c r="EL751" s="1836"/>
      <c r="EM751" s="1807"/>
      <c r="EN751" s="1839"/>
      <c r="EO751" s="1839"/>
      <c r="EP751" s="1817"/>
      <c r="EQ751" s="1817"/>
      <c r="ER751" s="1807"/>
      <c r="ES751" s="1807"/>
      <c r="ET751" s="1807"/>
      <c r="EV751" s="1715"/>
      <c r="EX751" s="1805" t="str">
        <f>IFERROR(VLOOKUP(CS751,'Space Table'!$B$3:$L$163,8,FALSE),"")</f>
        <v/>
      </c>
      <c r="EY751" s="1805" t="str">
        <f>IFERROR(IF(FB751="Yes",VLOOKUP(AG751,Lookup_Control_Type_Table2,4,FALSE),VLOOKUP(AG751,Lookup_Control_Type_Table2,3,FALSE)),"")</f>
        <v/>
      </c>
      <c r="EZ751" s="1805" t="e">
        <f>VLOOKUP(AG751,Lookup!BB$3:BC$20,2,FALSE)</f>
        <v>#N/A</v>
      </c>
      <c r="FA751" s="1805" t="e">
        <f>VLOOKUP(EX749,Lookup_Control_Type_Table,2,FALSE)</f>
        <v>#N/A</v>
      </c>
      <c r="FB751" s="1805" t="e">
        <f>VLOOKUP(CS751,'Space Table'!$B$3:$L$163,7,FALSE)</f>
        <v>#N/A</v>
      </c>
      <c r="FC751" s="1827"/>
      <c r="FE751" s="1698" t="str">
        <f>CONCATENATE(CQ749," - ",AG751)</f>
        <v xml:space="preserve"> - </v>
      </c>
      <c r="FG751" s="1816"/>
      <c r="FH751" s="1816"/>
      <c r="FI751" s="133"/>
      <c r="FL751" s="1822" t="str">
        <f>IF(CQ749="Exterior","Not Daylighted",G752)</f>
        <v>Not Daylighted</v>
      </c>
      <c r="FM751" s="1824">
        <f>VLOOKUP(FL751,_New_Daylight_Table_Codes,2,FALSE)</f>
        <v>0</v>
      </c>
      <c r="FN751" s="1698">
        <f>AG751</f>
        <v>0</v>
      </c>
      <c r="FO751" s="1698" t="e">
        <f>VLOOKUP(FN751,_Control_Table,2,FALSE)</f>
        <v>#N/A</v>
      </c>
      <c r="FP751" s="1678" t="e">
        <f>VLOOKUP(CONCATENATE(FL751," ",FN751),Lookup!AY$102:AZ762,2,FALSE)</f>
        <v>#N/A</v>
      </c>
      <c r="FQ751" s="1698">
        <f>IF(__Retrofit_TI_NC=0,FN751,IF(AND(FT751&gt;0,FN751="Occupancy Sensor"),"Daylight + Occupancy",IF(AND(FT751&gt;0,FO751&lt;4),"Interior Daylight Dimming",FN751)))</f>
        <v>0</v>
      </c>
      <c r="FS751" s="1686">
        <f>IF(CQ749="Interior",VLOOKUP(CS749,Control_Savings_Interior,5,FALSE),0)</f>
        <v>0</v>
      </c>
      <c r="FT751" s="1687">
        <f>IF(CQ751="Exterior",0,IF(FM751=2,0.5,IF(OR(FM751=1,FM751=3),1,0)))</f>
        <v>0</v>
      </c>
      <c r="FU751" s="1685">
        <f>IF(R750&gt;FS$44,(FS751*(FS$44/R750)),FS751)*FT751</f>
        <v>0</v>
      </c>
      <c r="FV751" s="1686">
        <f>DI751</f>
        <v>0</v>
      </c>
      <c r="FW751" s="1686">
        <f>ROUND(FV751+((1-FV751)*FU751),2)</f>
        <v>0</v>
      </c>
      <c r="FX751" s="1686">
        <f>IF(__Retrofit_TI_NC=2,FW751,FV751)</f>
        <v>0</v>
      </c>
      <c r="FY751" s="1697">
        <f>IF(CR751="Interior",VLOOKUP(CS751,Control_Savings_Interior,4,FALSE),0)</f>
        <v>0</v>
      </c>
      <c r="GA751" s="1696"/>
      <c r="GB751" s="1696"/>
      <c r="GC751" s="1696"/>
      <c r="GD751" s="1696"/>
      <c r="GE751" s="1696"/>
      <c r="GF751" s="1696"/>
      <c r="GG751" s="1696"/>
      <c r="GH751" s="1696"/>
      <c r="GI751" s="673" t="b">
        <f>IF(ISNUMBER(SEARCH("TLED",U751)),TRUE,FALSE)</f>
        <v>0</v>
      </c>
      <c r="GJ751" s="1135" t="str">
        <f>IFERROR(VLOOKUP(U751,Fixtures!DM$93:DR$142,6,FALSE),"")</f>
        <v/>
      </c>
      <c r="GK751" s="1832"/>
      <c r="GM751" s="1692"/>
      <c r="GN751" s="1684"/>
      <c r="GP751" s="1684"/>
      <c r="GQ751" s="1684"/>
      <c r="HG751" s="1684"/>
      <c r="HH751" s="1684"/>
      <c r="HI751" s="1684"/>
      <c r="HJ751" s="1684"/>
      <c r="HK751" s="1684"/>
      <c r="HL751" s="1684"/>
      <c r="HM751" s="1684"/>
      <c r="HN751" s="1683"/>
      <c r="HO751" s="1692"/>
      <c r="HP751" s="1692"/>
      <c r="HQ751" s="1670"/>
      <c r="HR751" s="1684"/>
      <c r="HS751" s="1684"/>
      <c r="HT751" s="1670"/>
      <c r="HU751" s="1684"/>
      <c r="HV751" s="1684"/>
      <c r="HW751" s="1684"/>
      <c r="HX751" s="1684"/>
      <c r="HY751" s="1684"/>
      <c r="HZ751" s="1684"/>
      <c r="IB751" s="1692"/>
      <c r="IC751" s="1693" t="b">
        <f>IB749</f>
        <v>0</v>
      </c>
      <c r="ID751" s="1695"/>
      <c r="IE751" s="391"/>
      <c r="IF751" s="1688"/>
      <c r="IG751" s="1689">
        <f ca="1">IF(IF749=TRUE,AC752,0)</f>
        <v>0</v>
      </c>
      <c r="IH751" s="1684"/>
      <c r="IK751" s="1689" t="e">
        <f>ROUND(T751*AB752*N750*R750/1000,0)</f>
        <v>#VALUE!</v>
      </c>
      <c r="IL751" s="1691"/>
      <c r="IM751" s="1693" t="e">
        <f>ROUND(T751*AB752*N750*R750/1000,0)</f>
        <v>#VALUE!</v>
      </c>
      <c r="IN751" s="1691"/>
      <c r="IP751" s="1679"/>
      <c r="IQ751" s="1679" t="e">
        <f t="shared" ref="IQ751:IU751" si="692">IF($CR751="interior",VLOOKUP($CS751,_New_Control_Savings_Interior,IQ$30,FALSE),VLOOKUP($CS751,Control_Savings_Exterior,IQ$30,FALSE))</f>
        <v>#N/A</v>
      </c>
      <c r="IR751" s="1679" t="e">
        <f t="shared" si="692"/>
        <v>#N/A</v>
      </c>
      <c r="IS751" s="1679" t="e">
        <f t="shared" si="692"/>
        <v>#N/A</v>
      </c>
      <c r="IT751" s="1679" t="e">
        <f t="shared" si="692"/>
        <v>#N/A</v>
      </c>
      <c r="IU751" s="1679" t="e">
        <f t="shared" si="692"/>
        <v>#N/A</v>
      </c>
      <c r="IV751" s="1679" t="e">
        <f>IF($CR751="interior",IF(R750&gt;$IP$14,ROUND(($IV$18*($IP$14/R750)),2),$IV$18),VLOOKUP($CS751,Control_Savings_Exterior,IV$30,FALSE))</f>
        <v>#N/A</v>
      </c>
      <c r="IW751" s="1679" t="e">
        <f>IF($CR751="interior",ROUND(((1-IS751)*IV751)+IS751,2),VLOOKUP($CS751,Control_Savings_Exterior,IW$30,FALSE))</f>
        <v>#N/A</v>
      </c>
      <c r="IX751" s="1679" t="e">
        <f>IF($CR751="interior",ROUND(((1-IT751)*IV751)+IT751,2),VLOOKUP($CS751,Control_Savings_Exterior,IX$30,FALSE))</f>
        <v>#N/A</v>
      </c>
      <c r="IY751" s="1679" t="e">
        <f>IF($CR751="interior",IF(R750&gt;$IP$14,ROUND(($IY$18*($IP$14/R750)),2),$IY$18),VLOOKUP($CS751,Control_Savings_Exterior,IY$30,FALSE))</f>
        <v>#N/A</v>
      </c>
      <c r="IZ751" s="1679" t="e">
        <f>IF($CR751="interior",ROUND(((1-IS751)*IY751)+IS751,2),VLOOKUP($CS751,Control_Savings_Exterior,IZ$30,FALSE))</f>
        <v>#N/A</v>
      </c>
      <c r="JA751" s="1679" t="e">
        <f>IF($CR751="interior",ROUND(((1-IT751)*IY751)+IT751,2),VLOOKUP($CS751,Control_Savings_Exterior,JA$30,FALSE))</f>
        <v>#N/A</v>
      </c>
      <c r="JC751" s="1680">
        <f>IFERROR(IF(CR751="Interior",CONCATENATE(G752," ",FQ751),AG751),"")</f>
        <v>0</v>
      </c>
      <c r="JD751" s="1670" t="str">
        <f>IFERROR(VLOOKUP(JC751,_Controls_2023,2,FALSE),"")</f>
        <v/>
      </c>
      <c r="JE751" s="1681">
        <f>IFERROR(CHOOSE(JD751-1,IQ751,IR751,IS751,IT751,IU751,IV751,IW751,IX751,IY751,IZ751,JA751),0)</f>
        <v>0</v>
      </c>
      <c r="JG751" s="1680" t="str">
        <f>FE751</f>
        <v xml:space="preserve"> - </v>
      </c>
      <c r="JH751" s="1670" t="e">
        <f>$FO751</f>
        <v>#N/A</v>
      </c>
      <c r="JI751" s="1060"/>
      <c r="JJ751" s="1670">
        <f>IFERROR(IF($IB749=TRUE,IF(OR(JJ$14="No",JJ749=FALSE,JH751&lt;=JH749,AND(_kWh_Grant=0,GD749=FALSE)),0,IF(JJ$8="Per Line",1,$AF751)),0),0)</f>
        <v>0</v>
      </c>
      <c r="JK751" s="1061"/>
      <c r="JL751" s="1670">
        <f>IFERROR(IF(_kWh_Grant=0,0,IF($IB749=TRUE,IF(OR(JL$14="No",JL749=FALSE,JH751&lt;=JH749),0,IF(JL$8="Per Line",1,$T751)),0)),0)</f>
        <v>0</v>
      </c>
      <c r="JM751" s="1061"/>
      <c r="JN751" s="1670">
        <f>IFERROR(IF(_kWh_Grant=0,0,IF($IB749=TRUE,IF(OR(JN$14="No",JN749=FALSE,JH751&lt;=JH749),0,IF(JN$8="Per Line",1,$AF751)),0)),0)</f>
        <v>0</v>
      </c>
      <c r="JO751" s="1061"/>
      <c r="JP751" s="1670">
        <f>IFERROR(IF(__Retrofit_TI_NC=0,IF(_kWh_Grant=0,0,IF($IB749=TRUE,IF(OR(JP$14="No",JP749=FALSE,$JH751&lt;=$JH749),0,IF(JP$8="Per Line",1,$AF751)),0)),IF($IB749=TRUE,IF(OR(JP$14="No",JP749=FALSE,$JH751&lt;=$JH749),0,IF(JP$8="Per Line",1,$AF751)))),0)</f>
        <v>0</v>
      </c>
      <c r="JQ751" s="1061"/>
      <c r="JR751" s="1670">
        <f>IFERROR(IF(__Retrofit_TI_NC=0,IF(_kWh_Grant=0,0,IF($IB749=TRUE,IF(OR(JR$14="No",JR749=FALSE,$JH751&lt;=$JH749),0,IF(JR$8="Per Line",1,$AF751)),0)),IF($IB749=TRUE,IF(OR(JR$14="No",JR749=FALSE,$JH751&lt;=$JH749),0,IF(JR$8="Per Line",1,$AF751)))),0)</f>
        <v>0</v>
      </c>
      <c r="JS751" s="1061"/>
      <c r="JT751" s="1670">
        <f>IFERROR(IF(__Retrofit_TI_NC=0,IF(_kWh_Grant=0,0,IF($IB749=TRUE,IF(OR(JT$14="No",JT749=FALSE,$JH751&lt;=$JH749),0,IF(JT$8="Per Line",1,$AF751)),0)),IF($IB749=TRUE,IF(OR(JT$14="No",JT749=FALSE,$JH751&lt;=$JH749),0,IF(JT$8="Per Line",1,$AF751)))),0)</f>
        <v>0</v>
      </c>
      <c r="JU751" s="1061"/>
      <c r="JV751" s="1670">
        <f>IFERROR(IF(__Retrofit_TI_NC=0,IF(_kWh_Grant=0,0,IF($IB749=TRUE,IF(OR(JV$14="No",JV749=FALSE,$JH751&lt;=$JH749),0,IF(JV$8="Per Line",1,$AF751)),0)),IF($IB749=TRUE,IF(OR(JV$14="No",JV749=FALSE,$JH751&lt;=$JH749),0,IF(JV$8="Per Line",1,$AF751)))),0)</f>
        <v>0</v>
      </c>
      <c r="JX751" s="1670">
        <f>IFERROR(IF(__Retrofit_TI_NC=0,IF(_kWh_Grant=0,0,IF($IB749=TRUE,IF(OR(JX$14="No",JX749=FALSE,$JH751&lt;=$JH749),0,IF(JX$8="Per Line",1,$AF751)),0)),IF($IB749=TRUE,IF(OR(JX$14="No",JX749=FALSE,$JH751&lt;=$JH749),0,IF(JX$8="Per Line",1,$AF751)))),0)</f>
        <v>0</v>
      </c>
      <c r="JZ751" s="1670">
        <f>IFERROR(IF($IB749=TRUE,IF(OR(JZ$14="No",JZ749=FALSE,$JH751&lt;=$JH749,AND(_kWh_Grant=0,$GD749=FALSE)),0,IF(JZ$8="Per Line",1,$AF751)),0),0)</f>
        <v>0</v>
      </c>
      <c r="KB751" s="1670">
        <f>IFERROR(IF(__Retrofit_TI_NC=0,IF(_kWh_Grant=0,0,IF($IB749=TRUE,IF(OR(KB$14="No",KB749=FALSE,$JH751&lt;=$JH749),0,IF(KB$8="Per Line",1,$AF751)),0)),IF($IB749=TRUE,IF(OR(KB$14="No",KB749=FALSE,$JH751&lt;=$JH749),0,IF(KB$8="Per Line",1,$AF751)))),0)</f>
        <v>0</v>
      </c>
    </row>
    <row r="752" spans="1:288" s="78" customFormat="1" ht="14.95" customHeight="1" thickTop="1" thickBot="1">
      <c r="B752" s="1845"/>
      <c r="C752" s="1846"/>
      <c r="D752" s="1847"/>
      <c r="E752" s="1771" t="s">
        <v>436</v>
      </c>
      <c r="F752" s="1772"/>
      <c r="G752" s="1784" t="s">
        <v>437</v>
      </c>
      <c r="H752" s="1785"/>
      <c r="I752" s="1785"/>
      <c r="J752" s="1785"/>
      <c r="K752" s="1785"/>
      <c r="L752" s="1786"/>
      <c r="M752" s="591">
        <f>IFERROR(VLOOKUP(G752,_Daylight_Table[],2,FALSE),0)</f>
        <v>0</v>
      </c>
      <c r="N752" s="592" t="str">
        <f>IF(AND(__Retrofit_TI_NC&gt;0,CQ749="Interior"),"BAM","")</f>
        <v/>
      </c>
      <c r="O752" s="591" t="e">
        <f>VLOOKUP(G751,'Space Table'!$B$3:$L$163,11,FALSE)</f>
        <v>#N/A</v>
      </c>
      <c r="P752" s="1789"/>
      <c r="Q752" s="1790"/>
      <c r="R752" s="1790"/>
      <c r="S752" s="1788"/>
      <c r="T752" s="593" t="s">
        <v>342</v>
      </c>
      <c r="U752" s="1756" t="str" cm="1">
        <f t="array" aca="1" ref="U752" ca="1">IFERROR(VLOOKUP(INDIRECT("U" &amp; ROW()-1),Fixtures!DM$93:DP$142,4,FALSE),"")</f>
        <v/>
      </c>
      <c r="V752" s="1757"/>
      <c r="W752" s="1757"/>
      <c r="X752" s="1757"/>
      <c r="Y752" s="1757"/>
      <c r="Z752" s="1757"/>
      <c r="AA752" s="1758"/>
      <c r="AB752" s="939" t="str">
        <f>IFERROR(VLOOKUP(U751,Fixtures_Proposed_List,2,FALSE),"")</f>
        <v/>
      </c>
      <c r="AC752" s="933" t="str">
        <f>IFERROR(ROUND(T751*AB752*N750*R750/1000,0),"")</f>
        <v/>
      </c>
      <c r="AD752" s="934" t="str">
        <f>IFERROR(ROUND(T751*AB752/1000,2),"")</f>
        <v/>
      </c>
      <c r="AE752" s="998"/>
      <c r="AF752" s="938" t="s">
        <v>342</v>
      </c>
      <c r="AG752" s="1770"/>
      <c r="AH752" s="1770"/>
      <c r="AI752" s="1770"/>
      <c r="AJ752" s="1770"/>
      <c r="AK752" s="1770"/>
      <c r="AL752" s="1770"/>
      <c r="AM752" s="1727"/>
      <c r="AN752" s="1729"/>
      <c r="AO752" s="1731"/>
      <c r="AP752" s="1782"/>
      <c r="AQ752" s="1783"/>
      <c r="AR752" s="1797"/>
      <c r="AS752" s="1797"/>
      <c r="AT752" s="1798"/>
      <c r="AU752" s="1736"/>
      <c r="AV752" s="1753"/>
      <c r="AW752" s="1706"/>
      <c r="AX752" s="468"/>
      <c r="AY752" s="1750"/>
      <c r="AZ752" s="1750"/>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696"/>
      <c r="CQ752" s="1696"/>
      <c r="CR752" s="1809"/>
      <c r="CS752" s="1811"/>
      <c r="CU752" s="1688"/>
      <c r="CV752" s="1703"/>
      <c r="CW752" s="1703"/>
      <c r="CX752" s="1813"/>
      <c r="CY752" s="1815"/>
      <c r="CZ752" s="1711"/>
      <c r="DA752" s="1815"/>
      <c r="DB752" s="1821"/>
      <c r="DC752" s="1821"/>
      <c r="DD752" s="1821"/>
      <c r="DF752" s="1703"/>
      <c r="DG752" s="1831"/>
      <c r="DH752" s="1813"/>
      <c r="DI752" s="1838"/>
      <c r="DJ752" s="1711"/>
      <c r="DK752" s="1712"/>
      <c r="DN752" s="1718"/>
      <c r="DO752" s="1709"/>
      <c r="DQ752" s="1715"/>
      <c r="DR752" s="1720"/>
      <c r="DS752" s="1703"/>
      <c r="DT752" s="1714"/>
      <c r="DU752" s="1715"/>
      <c r="DV752" s="1716"/>
      <c r="DX752" s="1715"/>
      <c r="DY752" s="1720"/>
      <c r="DZ752" s="1715"/>
      <c r="EA752" s="1715"/>
      <c r="EC752" s="1834"/>
      <c r="ED752" s="1834"/>
      <c r="EF752" s="1707"/>
      <c r="EG752" s="1712"/>
      <c r="EH752" s="1815"/>
      <c r="EI752" s="1712"/>
      <c r="EJ752" s="1712"/>
      <c r="EK752" s="1813"/>
      <c r="EL752" s="1813"/>
      <c r="EM752" s="1807"/>
      <c r="EN752" s="1839"/>
      <c r="EO752" s="1839"/>
      <c r="EP752" s="1817"/>
      <c r="EQ752" s="1817"/>
      <c r="ER752" s="1807"/>
      <c r="ES752" s="1807"/>
      <c r="ET752" s="1807"/>
      <c r="EV752" s="1715"/>
      <c r="EX752" s="1806"/>
      <c r="EY752" s="1806"/>
      <c r="EZ752" s="1806"/>
      <c r="FA752" s="1806"/>
      <c r="FB752" s="1806"/>
      <c r="FC752" s="1828"/>
      <c r="FE752" s="1698"/>
      <c r="FG752" s="1703"/>
      <c r="FH752" s="1703"/>
      <c r="FI752" s="133"/>
      <c r="FL752" s="1823"/>
      <c r="FM752" s="1825"/>
      <c r="FN752" s="1698"/>
      <c r="FO752" s="1698"/>
      <c r="FP752" s="1678"/>
      <c r="FQ752" s="1698"/>
      <c r="FS752" s="1687"/>
      <c r="FT752" s="1687"/>
      <c r="FU752" s="1685"/>
      <c r="FV752" s="1687"/>
      <c r="FW752" s="1687"/>
      <c r="FX752" s="1687"/>
      <c r="FY752" s="1697"/>
      <c r="GA752" s="1696"/>
      <c r="GB752" s="1696"/>
      <c r="GC752" s="1696"/>
      <c r="GD752" s="1696"/>
      <c r="GE752" s="1696"/>
      <c r="GF752" s="1696"/>
      <c r="GG752" s="1696"/>
      <c r="GH752" s="1696"/>
      <c r="GI752" s="673"/>
      <c r="GJ752" s="1135"/>
      <c r="GK752" s="1832"/>
      <c r="GN752" s="674">
        <f>IF(GN750=TRUE,0,GN$16)</f>
        <v>0</v>
      </c>
      <c r="GP752" s="674">
        <f>IF(GP750=TRUE,0,GP$16)</f>
        <v>36</v>
      </c>
      <c r="GQ752" s="674">
        <f ca="1">IF(GQ750=TRUE,0,GQ$16)</f>
        <v>35</v>
      </c>
      <c r="GR752" s="391"/>
      <c r="GS752" s="391"/>
      <c r="GT752" s="391"/>
      <c r="GU752" s="391"/>
      <c r="GV752" s="391"/>
      <c r="HG752" s="674">
        <f>IF(HG750=TRUE,0,HG$16)</f>
        <v>0</v>
      </c>
      <c r="HH752" s="674">
        <f t="shared" ref="HH752:HM752" si="693">IF(HH750=TRUE,0,HH$16)</f>
        <v>19</v>
      </c>
      <c r="HI752" s="674">
        <f t="shared" si="693"/>
        <v>18</v>
      </c>
      <c r="HJ752" s="674">
        <f t="shared" si="693"/>
        <v>17</v>
      </c>
      <c r="HK752" s="674">
        <f t="shared" si="693"/>
        <v>16</v>
      </c>
      <c r="HL752" s="674">
        <f t="shared" si="693"/>
        <v>0</v>
      </c>
      <c r="HM752" s="674">
        <f t="shared" si="693"/>
        <v>0</v>
      </c>
      <c r="HN752" s="674">
        <f>IF(HN750=TRUE,0,HN$16)</f>
        <v>13</v>
      </c>
      <c r="HO752" s="674">
        <f t="shared" ref="HO752:HQ752" si="694">IF(HO750=TRUE,0,HO$16)</f>
        <v>0</v>
      </c>
      <c r="HP752" s="674">
        <f t="shared" si="694"/>
        <v>0</v>
      </c>
      <c r="HQ752" s="674">
        <f t="shared" si="694"/>
        <v>10</v>
      </c>
      <c r="HR752" s="674">
        <f>IF(HR750=TRUE,0,HR$16)</f>
        <v>9</v>
      </c>
      <c r="HS752" s="674">
        <f t="shared" ref="HS752:HW752" si="695">IF(HS750=TRUE,0,HS$16)</f>
        <v>0</v>
      </c>
      <c r="HT752" s="674">
        <f t="shared" si="695"/>
        <v>0</v>
      </c>
      <c r="HU752" s="674">
        <f t="shared" si="695"/>
        <v>0</v>
      </c>
      <c r="HV752" s="674">
        <f t="shared" si="695"/>
        <v>0</v>
      </c>
      <c r="HW752" s="674">
        <f t="shared" si="695"/>
        <v>0</v>
      </c>
      <c r="HX752" s="674">
        <f>IF(HX750=TRUE,0,HX$16)</f>
        <v>0</v>
      </c>
      <c r="HY752" s="674">
        <f>IF(HY750=TRUE,0,HY$16)</f>
        <v>0</v>
      </c>
      <c r="HZ752" s="674">
        <f>IF(HZ750=TRUE,0,HZ$16)</f>
        <v>1</v>
      </c>
      <c r="IB752" s="674">
        <f>IF(GP750=FALSE,GP752,IF(GQ750=FALSE,GQ752,MAX(GN752:HZ752)))</f>
        <v>36</v>
      </c>
      <c r="IC752" s="1692"/>
      <c r="ID752" s="205" t="str">
        <f>VLOOKUP(IB752,_Error_Table,3,FALSE)</f>
        <v xml:space="preserve"> </v>
      </c>
      <c r="IE752" s="205"/>
      <c r="IF752" s="1688"/>
      <c r="IG752" s="1689"/>
      <c r="IH752" s="1684"/>
      <c r="IK752" s="1689"/>
      <c r="IL752" s="1692"/>
      <c r="IM752" s="1692"/>
      <c r="IN752" s="1692"/>
      <c r="IP752" s="1679"/>
      <c r="IQ752" s="1679"/>
      <c r="IR752" s="1679"/>
      <c r="IS752" s="1679"/>
      <c r="IT752" s="1679"/>
      <c r="IU752" s="1679"/>
      <c r="IV752" s="1679"/>
      <c r="IW752" s="1679"/>
      <c r="IX752" s="1679"/>
      <c r="IY752" s="1679"/>
      <c r="IZ752" s="1679"/>
      <c r="JA752" s="1679"/>
      <c r="JC752" s="1680"/>
      <c r="JD752" s="1670"/>
      <c r="JE752" s="1681"/>
      <c r="JG752" s="1680"/>
      <c r="JH752" s="1670"/>
      <c r="JI752" s="1060"/>
      <c r="JJ752" s="1670"/>
      <c r="JK752" s="1061"/>
      <c r="JL752" s="1670"/>
      <c r="JM752" s="1061"/>
      <c r="JN752" s="1670"/>
      <c r="JO752" s="1061"/>
      <c r="JP752" s="1670"/>
      <c r="JQ752" s="1061"/>
      <c r="JR752" s="1670"/>
      <c r="JS752" s="1061"/>
      <c r="JT752" s="1670"/>
      <c r="JU752" s="1061"/>
      <c r="JV752" s="1670"/>
      <c r="JX752" s="1670"/>
      <c r="JZ752" s="1670"/>
      <c r="KB752" s="1670"/>
    </row>
    <row r="753" spans="1:288" s="78" customFormat="1" ht="5.0999999999999996" customHeight="1">
      <c r="B753" s="676"/>
      <c r="C753" s="392"/>
      <c r="D753" s="392"/>
      <c r="E753" s="1733"/>
      <c r="F753" s="1733"/>
      <c r="G753" s="1733"/>
      <c r="H753" s="1733"/>
      <c r="I753" s="1733"/>
      <c r="J753" s="1733"/>
      <c r="K753" s="1733"/>
      <c r="L753" s="1733"/>
      <c r="M753" s="1733"/>
      <c r="N753" s="1733"/>
      <c r="O753" s="1733"/>
      <c r="P753" s="1733"/>
      <c r="Q753" s="1733"/>
      <c r="R753" s="1733"/>
      <c r="S753" s="1733"/>
      <c r="T753" s="1733"/>
      <c r="U753" s="1733"/>
      <c r="V753" s="1733"/>
      <c r="W753" s="1733"/>
      <c r="X753" s="1733"/>
      <c r="Y753" s="1733"/>
      <c r="Z753" s="1733"/>
      <c r="AA753" s="1733"/>
      <c r="AB753" s="1733"/>
      <c r="AC753" s="1733"/>
      <c r="AD753" s="1733"/>
      <c r="AE753" s="1733"/>
      <c r="AF753" s="1733"/>
      <c r="AG753" s="1733"/>
      <c r="AH753" s="1733"/>
      <c r="AI753" s="1733"/>
      <c r="AJ753" s="1733"/>
      <c r="AK753" s="1733"/>
      <c r="AL753" s="1733"/>
      <c r="AM753" s="1733"/>
      <c r="AN753" s="1733"/>
      <c r="AO753" s="1733"/>
      <c r="AP753" s="1733"/>
      <c r="AQ753" s="1733"/>
      <c r="AR753" s="1733"/>
      <c r="AS753" s="1733"/>
      <c r="AT753" s="1733"/>
      <c r="AU753" s="1733"/>
      <c r="AV753" s="1733"/>
      <c r="AW753" s="1733"/>
      <c r="AX753" s="469"/>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663"/>
      <c r="CQ753" s="663"/>
      <c r="CR753" s="438"/>
      <c r="CS753" s="663"/>
      <c r="CV753" s="391"/>
      <c r="CW753" s="391"/>
      <c r="CX753" s="207"/>
      <c r="CY753" s="208"/>
      <c r="CZ753" s="208"/>
      <c r="DA753" s="208"/>
      <c r="DB753" s="209"/>
      <c r="DC753" s="209"/>
      <c r="DD753" s="209"/>
      <c r="DF753" s="664"/>
      <c r="DG753" s="665"/>
      <c r="DH753" s="666"/>
      <c r="DI753" s="667"/>
      <c r="DJ753" s="668"/>
      <c r="DK753" s="668"/>
      <c r="DN753" s="208"/>
      <c r="DO753" s="664"/>
      <c r="DQ753" s="664"/>
      <c r="DR753" s="669"/>
      <c r="DS753" s="391"/>
      <c r="DT753" s="664"/>
      <c r="DU753" s="664"/>
      <c r="DV753" s="664"/>
      <c r="DX753" s="664"/>
      <c r="DY753" s="664"/>
      <c r="DZ753" s="664"/>
      <c r="EA753" s="664"/>
      <c r="EC753" s="670"/>
      <c r="ED753" s="670"/>
      <c r="EF753" s="668"/>
      <c r="EG753" s="668"/>
      <c r="EH753" s="208"/>
      <c r="EI753" s="668"/>
      <c r="EJ753" s="668"/>
      <c r="EK753" s="207"/>
      <c r="EL753" s="207"/>
      <c r="EM753" s="666"/>
      <c r="EN753" s="671"/>
      <c r="EO753" s="671"/>
      <c r="EP753" s="672"/>
      <c r="EQ753" s="672"/>
      <c r="ER753" s="666"/>
      <c r="ES753" s="666"/>
      <c r="ET753" s="666"/>
      <c r="EV753" s="664"/>
      <c r="EX753" s="391"/>
      <c r="EY753" s="391"/>
      <c r="EZ753" s="391"/>
      <c r="FA753" s="391"/>
      <c r="FB753" s="391"/>
      <c r="FC753" s="391"/>
      <c r="FE753" s="569"/>
      <c r="FG753" s="391"/>
      <c r="FH753" s="391"/>
      <c r="FI753" s="391"/>
      <c r="FS753" s="664"/>
      <c r="FT753" s="391"/>
      <c r="FU753" s="391"/>
      <c r="FV753" s="664"/>
      <c r="FW753" s="664"/>
      <c r="GA753" s="663"/>
      <c r="GB753" s="663"/>
      <c r="GC753" s="663"/>
      <c r="GD753" s="663"/>
      <c r="GE753" s="663"/>
      <c r="GF753" s="663"/>
      <c r="GG753" s="663"/>
      <c r="GH753" s="663"/>
      <c r="GI753" s="665"/>
      <c r="GJ753" s="664"/>
      <c r="GK753" s="664"/>
    </row>
    <row r="754" spans="1:288" s="78" customFormat="1" ht="14.95" customHeight="1">
      <c r="B754" s="1845" t="str">
        <f>ID757</f>
        <v xml:space="preserve"> </v>
      </c>
      <c r="C754" s="1846">
        <f>C749+1</f>
        <v>137</v>
      </c>
      <c r="D754" s="1847"/>
      <c r="E754" s="1799" t="s">
        <v>295</v>
      </c>
      <c r="F754" s="1800"/>
      <c r="G754" s="1741"/>
      <c r="H754" s="1742"/>
      <c r="I754" s="1742"/>
      <c r="J754" s="1742"/>
      <c r="K754" s="1742"/>
      <c r="L754" s="1742"/>
      <c r="M754" s="1742"/>
      <c r="N754" s="1742"/>
      <c r="O754" s="1742"/>
      <c r="P754" s="1742"/>
      <c r="Q754" s="1742"/>
      <c r="R754" s="1742"/>
      <c r="S754" s="1791" t="s">
        <v>344</v>
      </c>
      <c r="T754" s="590"/>
      <c r="U754" s="1743"/>
      <c r="V754" s="1744"/>
      <c r="W754" s="1744"/>
      <c r="X754" s="1744"/>
      <c r="Y754" s="1744"/>
      <c r="Z754" s="1744"/>
      <c r="AA754" s="1744"/>
      <c r="AB754" s="961" t="str">
        <f>IFERROR(IF(__Retrofit_TI_NC=0,VLOOKUP(U755,Fixtures_Existing_List,2,FALSE),ROUND(N756*R756/T756,10)),"")</f>
        <v/>
      </c>
      <c r="AC754" s="935" t="str">
        <f>IFERROR(IF(__Retrofit_TI_NC=0,ROUND(T755*AB754*N755*R755/1000,0),IF(CQ754="Interior",N756*R756*R755*N755*_C406_reduction/1000,N756*R756*R755*N755/1000)),"")</f>
        <v/>
      </c>
      <c r="AD754" s="936" t="str">
        <f>IFERROR(IF(C$43=0,ROUND(T755*AB754/1000,2),N756*R756/1000),"")</f>
        <v/>
      </c>
      <c r="AE754" s="997"/>
      <c r="AF754" s="937"/>
      <c r="AG754" s="1745" t="str">
        <f>IF(__Retrofit_TI_NC=0," Control","Select Advanced Control for New System")</f>
        <v xml:space="preserve"> Control</v>
      </c>
      <c r="AH754" s="1745"/>
      <c r="AI754" s="1745"/>
      <c r="AJ754" s="1745"/>
      <c r="AK754" s="1745"/>
      <c r="AL754" s="1745"/>
      <c r="AM754" s="1746">
        <f>IFERROR(DI754,"")</f>
        <v>0</v>
      </c>
      <c r="AN754" s="1774" t="str">
        <f>IFERROR(ROUND(AM754*AC754,0),"")</f>
        <v/>
      </c>
      <c r="AO754" s="1776">
        <f>IFERROR(IF(IB754=FALSE,0,AC754-AN754),0)</f>
        <v>0</v>
      </c>
      <c r="AP754" s="1778">
        <f>AO754-AO756</f>
        <v>0</v>
      </c>
      <c r="AQ754" s="1779"/>
      <c r="AR754" s="1793">
        <f>IFERROR(IF(IB754=FALSE,0,(T756*U757)+(AF756*AG757)),0)</f>
        <v>0</v>
      </c>
      <c r="AS754" s="1793"/>
      <c r="AT754" s="1794"/>
      <c r="AU754" s="1734" t="s">
        <v>237</v>
      </c>
      <c r="AV754" s="1751">
        <f>IF(AU754="Yes",1,0)</f>
        <v>1</v>
      </c>
      <c r="AW754" s="1704" t="str">
        <f>IF(OR(DQ754=4,DQ754=5,DQ754=6,DQ754=12),CONCATENATE("$",IF(GH754=TRUE,Lookup!$K$10,Lookup!$K$2)," /lamp"),CONCATENATE(TEXT(ED754,"$0.00"),"/ kWh"))</f>
        <v>$0.00/ kWh</v>
      </c>
      <c r="AX754" s="467"/>
      <c r="AY754" s="1748">
        <f ca="1">IFERROR(IF(GM755=TRUE,(AB757*T756)/R756,0),"NA")</f>
        <v>0</v>
      </c>
      <c r="AZ754" s="1748"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696" t="str">
        <f>N755</f>
        <v/>
      </c>
      <c r="CQ754" s="1696" t="str">
        <f>IFERROR(VLOOKUP(G755,_Lookup_Heat_Type_Table_New,3,FALSE),"")</f>
        <v/>
      </c>
      <c r="CR754" s="1808" t="str">
        <f>CQ754</f>
        <v/>
      </c>
      <c r="CS754" s="1810" t="str">
        <f>IFERROR(VLOOKUP(G756,'Space Table'!$B$3:$L$163,9,FALSE),"")</f>
        <v/>
      </c>
      <c r="CU754" s="1688" t="s">
        <v>344</v>
      </c>
      <c r="CV754" s="1702">
        <f>IF(IB754=TRUE,T755,0)</f>
        <v>0</v>
      </c>
      <c r="CW754" s="1702" t="str">
        <f>IF(IB754=TRUE,U755,"")</f>
        <v/>
      </c>
      <c r="CX754" s="1702"/>
      <c r="CY754" s="1814">
        <f>IF(IB754=TRUE,AB754,0)</f>
        <v>0</v>
      </c>
      <c r="CZ754" s="1710">
        <f>IF(AND(__Retrofit_TI_NC&gt;0,CR754="interior"),0,IF(IB754=TRUE,AC754,0))</f>
        <v>0</v>
      </c>
      <c r="DA754" s="1814">
        <f>IFERROR(IF(IB754=TRUE,CZ754-CZ756,0),0)</f>
        <v>0</v>
      </c>
      <c r="DB754" s="1819">
        <f>IF(IB754=TRUE,AD754,0)</f>
        <v>0</v>
      </c>
      <c r="DC754" s="1819">
        <f>IF(IB754=TRUE,AD757,0)</f>
        <v>0</v>
      </c>
      <c r="DD754" s="1819">
        <f>IFERROR(DB754-DC754,0)</f>
        <v>0</v>
      </c>
      <c r="DF754" s="1702">
        <f>IF(IB754=TRUE,AF755,0)</f>
        <v>0</v>
      </c>
      <c r="DG754" s="1830">
        <f>IFERROR(IF(__Retrofit_TI_NC=2,IF(CQ754="Exterior",O757,FQ754),FN754),"")</f>
        <v>0</v>
      </c>
      <c r="DH754" s="1702"/>
      <c r="DI754" s="1837">
        <f>JE754</f>
        <v>0</v>
      </c>
      <c r="DJ754" s="1710">
        <f>IF(AND(__Retrofit_TI_NC&gt;0,CR754="interior"),0,IF(IB754=TRUE,AN754,0))</f>
        <v>0</v>
      </c>
      <c r="DK754" s="1712">
        <f>IFERROR(IF(IB754=TRUE,DJ756-DJ754,0),0)</f>
        <v>0</v>
      </c>
      <c r="DM754" s="1717">
        <f>IFERROR(CZ754-DJ754,0)</f>
        <v>0</v>
      </c>
      <c r="DO754" s="1708">
        <f>DM754-DN756</f>
        <v>0</v>
      </c>
      <c r="DQ754" s="1715" t="str">
        <f>IFERROR(IF(AND(OR(GC754=4,GC754=5,GC754=6),OR(GF754=4,GF754=5,GF754=6)),GC754+8,VLOOKUP(CW756,Fixtures!R$31:Y$78,8,FALSE)),"")</f>
        <v/>
      </c>
      <c r="DR754" s="1829" t="str">
        <f>DQ754</f>
        <v/>
      </c>
      <c r="DS754" s="1702" t="str">
        <f>IFERROR(VLOOKUP(DG756,Lookup!BB$3:BC$20,2,FALSE),"")</f>
        <v/>
      </c>
      <c r="DT754" s="1713" t="str">
        <f>IF(OR(DS754=7,DS754=8,DS754=9),"ALC","")</f>
        <v/>
      </c>
      <c r="DU754" s="1715">
        <f>IFERROR(IF(OR(DQ754=4,DQ754=5,DQ754=6,DQ754=12,DQ754=13,DQ754=14),VLOOKUP(CW756,Fixtures!DN$27:EG$77,19,FALSE),1)*CV756,0)</f>
        <v>0</v>
      </c>
      <c r="DV754" s="1716">
        <f>IF(OR(DS754=7,DS754=8,DS754=9),IF(DG754=DG756,0,DF756),0)</f>
        <v>0</v>
      </c>
      <c r="DX754" s="1715" t="str">
        <f>IFERROR(IF(EZ754&lt;EZ756,"Yes","No"),"")</f>
        <v/>
      </c>
      <c r="DY754" s="1829" t="str">
        <f>DX754</f>
        <v/>
      </c>
      <c r="DZ754" s="1715">
        <f>IF(DX754="Yes",DF756,0)</f>
        <v>0</v>
      </c>
      <c r="EA754" s="1715">
        <f>DZ754-DV754</f>
        <v>0</v>
      </c>
      <c r="EC754" s="1834">
        <f>IFERROR(VLOOKUP(DQ754,Lookup!AU$3:AV$16,2,FALSE),0)</f>
        <v>0</v>
      </c>
      <c r="ED754" s="1834">
        <f>IF(IB754=FALSE,0,IF(DX754="Yes",EC754+Lookup!K$6,EC754))</f>
        <v>0</v>
      </c>
      <c r="EF754" s="1707">
        <f>IF(IB754=TRUE,DM754,0)</f>
        <v>0</v>
      </c>
      <c r="EG754" s="1712">
        <f>IF(IB754=TRUE,CZ756,0)</f>
        <v>0</v>
      </c>
      <c r="EH754" s="1814">
        <f>IFERROR(EF754-EG754,0)</f>
        <v>0</v>
      </c>
      <c r="EI754" s="1712">
        <f>IF(IB754=TRUE,DJ756,0)</f>
        <v>0</v>
      </c>
      <c r="EJ754" s="1712">
        <f>IFERROR(EF754-EG754+EI754,0)</f>
        <v>0</v>
      </c>
      <c r="EK754" s="1812">
        <f>IF(IB754=TRUE,CV756*CX756,0)</f>
        <v>0</v>
      </c>
      <c r="EL754" s="1812">
        <f>IF(IB754=TRUE,DF756*DH756,0)</f>
        <v>0</v>
      </c>
      <c r="EM754" s="1807">
        <f>AR754</f>
        <v>0</v>
      </c>
      <c r="EN754" s="1839" t="str">
        <f>IFERROR(IF(IB754=TRUE,VLOOKUP(DQ754,Lookup!AU$3:AW$16,3,FALSE)*DU754,""),0)</f>
        <v/>
      </c>
      <c r="EO754" s="1839">
        <f>IF(IB754=TRUE,DZ754*Lookup!AW$12,0)</f>
        <v>0</v>
      </c>
      <c r="EP754" s="1817">
        <f>IFERROR(IF(IB754=TRUE,EN754/EP$40,0),0)</f>
        <v>0</v>
      </c>
      <c r="EQ754" s="1817">
        <f>IF(IB754=TRUE,EO754/EQ$40,0)</f>
        <v>0</v>
      </c>
      <c r="ER754" s="1807">
        <f>IF(IB754=TRUE,ET$40*EP754,0)</f>
        <v>0</v>
      </c>
      <c r="ES754" s="1807">
        <f>IF(IB754=TRUE,ET$40*EQ754,0)</f>
        <v>0</v>
      </c>
      <c r="ET754" s="1807">
        <f>ER754+ES754</f>
        <v>0</v>
      </c>
      <c r="EV754" s="1715">
        <f>IF(G754="",0,1)</f>
        <v>0</v>
      </c>
      <c r="EX754" s="1804" t="str">
        <f>IFERROR(VLOOKUP(CS756,'Space Table'!$B$3:$L$163,8,FALSE),"")</f>
        <v/>
      </c>
      <c r="EY754" s="1804" t="str">
        <f>IFERROR(IF(FB754="Yes",VLOOKUP(DG754,Lookup_Control_Type_Table2,4,FALSE),VLOOKUP(DG754,Lookup_Control_Type_Table2,3,FALSE)),"")</f>
        <v/>
      </c>
      <c r="EZ754" s="1804" t="e">
        <f>VLOOKUP(DG754,Lookup!BB$3:BC$20,2,FALSE)</f>
        <v>#N/A</v>
      </c>
      <c r="FA754" s="1804" t="e">
        <f>VLOOKUP(EX754,Lookup_Control_Type_Table,2,FALSE)</f>
        <v>#N/A</v>
      </c>
      <c r="FB754" s="1804" t="e">
        <f>VLOOKUP(CS756,'Space Table'!$B$3:$L$163,7,FALSE)</f>
        <v>#N/A</v>
      </c>
      <c r="FC754" s="1826" t="b">
        <f>ISNUMBER(SEARCH("TLED",U756))</f>
        <v>0</v>
      </c>
      <c r="FE754" s="1698" t="str">
        <f>CONCATENATE(CQ754," - ",DG754)</f>
        <v xml:space="preserve"> - 0</v>
      </c>
      <c r="FG754" s="1702" t="str">
        <f>VLOOKUP(CW756,Fixtures!DN$27:EZ$77,38,FALSE)</f>
        <v/>
      </c>
      <c r="FH754" s="1702">
        <f>IFERROR(FG754*EH754,0)</f>
        <v>0</v>
      </c>
      <c r="FI754" s="133"/>
      <c r="FL754" s="1822" t="str">
        <f>IF(CQ754="Exterior","Not Daylighted",G757)</f>
        <v>Not Daylighted</v>
      </c>
      <c r="FM754" s="1824">
        <f>VLOOKUP(FL754,_New_Daylight_Table_Codes,2,FALSE)</f>
        <v>0</v>
      </c>
      <c r="FN754" s="1698">
        <f>IF(__Retrofit_TI_NC&gt;0,VLOOKUP(G756,'Space Table'!$B$3:$L$163,11,FALSE),AG755)</f>
        <v>0</v>
      </c>
      <c r="FO754" s="1698" t="e">
        <f>IF(__Retrofit_TI_NC=2,VLOOKUP(FQ754,_Control_Table,2,FALSE),VLOOKUP(FN754,_Control_Table,2,FALSE))</f>
        <v>#N/A</v>
      </c>
      <c r="FP754" s="1678" t="e">
        <f>VLOOKUP(CONCATENATE(FL754," ",FN754),Lookup!AY$102:AZ764,2,FALSE)</f>
        <v>#N/A</v>
      </c>
      <c r="FQ754" s="1678">
        <f>IF(__Retrofit_TI_NC=0,FN754,IF(AND(FT754&gt;0,FN754="Occupancy Sensor"),"Daylight + Occupancy",IF(AND(FT754&gt;0,VLOOKUP(FN754,_Control_Table,2,FALSE)&lt;4),"Interior Daylight Dimming",FN754)))</f>
        <v>0</v>
      </c>
      <c r="FS754" s="1686">
        <f>IF(CR754="Interior",VLOOKUP(CS754,Control_Savings_Interior,5,FALSE),0)</f>
        <v>0</v>
      </c>
      <c r="FT754" s="1687">
        <f>IF(CQ754="Exterior",0,IF(FM754=2,0.5,IF(OR(FM754=1,FM754=3),1,0)))</f>
        <v>0</v>
      </c>
      <c r="FU754" s="1685">
        <f>IF(R753&gt;FS$44,(FS754*(FS$44/R753)),FS754)*FT754</f>
        <v>0</v>
      </c>
      <c r="FV754" s="1686">
        <f>DI754</f>
        <v>0</v>
      </c>
      <c r="FW754" s="1686">
        <f>ROUND(FV754+((1-FV754)*FU754),2)</f>
        <v>0</v>
      </c>
      <c r="FX754" s="1686">
        <f>IF(__Retrofit_TI_NC=2,FW754,FV754)</f>
        <v>0</v>
      </c>
      <c r="FY754" s="1697"/>
      <c r="GA754" s="1696" t="str">
        <f>IFERROR(VLOOKUP(U755,_Exist_Fixture_Table,3,FALSE),"")</f>
        <v/>
      </c>
      <c r="GB754" s="1696" t="str">
        <f>VLOOKUP(CW754,_Exist_Fixture_Table,4,FALSE)</f>
        <v/>
      </c>
      <c r="GC754" s="1696">
        <f>IFERROR(VLOOKUP(GB754,Lookup!AT$6:AU$8,2,FALSE),0)</f>
        <v>0</v>
      </c>
      <c r="GD754" s="1696" t="b">
        <f>IFERROR(IF(OR(GF754=4,GF754=5,GF754=6),TRUE,FALSE),"")</f>
        <v>0</v>
      </c>
      <c r="GE754" s="1696" t="str">
        <f>IFERROR(VLOOKUP(GF754,GC$6:GD$10,2,FALSE),"")</f>
        <v/>
      </c>
      <c r="GF754" s="1696" t="str">
        <f>VLOOKUP(CW756,Fixtures!R$31:Y$78,8,FALSE)</f>
        <v/>
      </c>
      <c r="GG754" s="1696">
        <f>IF(AND(GA754=TRUE,GD754=TRUE,OR(DQ754=12,DQ754=13,DQ754=14)),GC754+8,0)</f>
        <v>0</v>
      </c>
      <c r="GH754" s="1696" t="b">
        <f>IF(OR(GG754=12,GG754=13,GG754=14),TRUE,FALSE)</f>
        <v>0</v>
      </c>
      <c r="GI754" s="673" t="b">
        <f>IF(ISNUMBER(SEARCH("TLED",U755)),TRUE,FALSE)</f>
        <v>0</v>
      </c>
      <c r="GJ754" s="1135" t="str">
        <f>IFERROR(VLOOKUP(U755,Fixtures!BM$93:BR$142,6,FALSE),"")</f>
        <v/>
      </c>
      <c r="GK754" s="1832" t="b">
        <f>IF(OR(GI754=FALSE,GI756=FALSE),TRUE,IF(GJ754-GJ756&lt;5,FALSE,TRUE))</f>
        <v>1</v>
      </c>
      <c r="GO754" s="674">
        <f>GP754</f>
        <v>0</v>
      </c>
      <c r="GP754" s="674">
        <f>IF(G754="",0,1)</f>
        <v>0</v>
      </c>
      <c r="GQ754" s="674">
        <f ca="1">SUM(GR754:HF754)</f>
        <v>2</v>
      </c>
      <c r="GR754" s="674">
        <f>IF(G755="",0,1)</f>
        <v>0</v>
      </c>
      <c r="GS754" s="674">
        <f>IF(N757="BAM",1,IF(G756="",0,1))</f>
        <v>0</v>
      </c>
      <c r="GT754" s="674">
        <f>IF(N757="BAM",1,IF(R755="",0,1))</f>
        <v>0</v>
      </c>
      <c r="GU754" s="674">
        <f>IF(N757="BAM",1,IF(__Retrofit_TI_NC=0,1,IF(R756="",0,1)))</f>
        <v>1</v>
      </c>
      <c r="GV754" s="674">
        <f>IF(N757="BAM",1,IF(CQ754="Exterior",1,IF(G757="",0,1)))</f>
        <v>1</v>
      </c>
      <c r="GW754" s="674">
        <f>IF(__Retrofit_TI_NC&gt;0,1,IF(T755="",0,1))</f>
        <v>0</v>
      </c>
      <c r="GX754" s="674">
        <f>IF(__Retrofit_TI_NC&gt;0,1,IF(U755="",0,1))</f>
        <v>0</v>
      </c>
      <c r="GY754" s="674">
        <f>IF(N757="BAM",1,IF(T756="",0,1))</f>
        <v>0</v>
      </c>
      <c r="GZ754" s="674">
        <f>IF(N757="BAM",1,IF(U756="",0,1))</f>
        <v>0</v>
      </c>
      <c r="HA754" s="674">
        <f ca="1">IF(N757="BAM",1,IF(__Retrofit_TI_NC&gt;0,1,IF(U757="",0,1)))</f>
        <v>0</v>
      </c>
      <c r="HB754" s="674">
        <f>IF(__Retrofit_TI_NC&lt;&gt;0,1,IF(AF755="",0,1))</f>
        <v>0</v>
      </c>
      <c r="HC754" s="674">
        <f>IF(__Retrofit_TI_NC&lt;&gt;0,1,IF(AG755="",0,1))</f>
        <v>0</v>
      </c>
      <c r="HD754" s="674">
        <f>IF(N757="BAM",1,IF(AF756="",0,1))</f>
        <v>0</v>
      </c>
      <c r="HE754" s="674">
        <f>IF(N757="BAM",1,IF(AG756="",0,1))</f>
        <v>0</v>
      </c>
      <c r="HF754" s="674">
        <f>IF(N757="BAM",1,IF(__Retrofit_TI_NC&gt;0,1,IF(AG757="",0,1)))</f>
        <v>0</v>
      </c>
      <c r="HG754" s="391"/>
      <c r="IA754" s="391"/>
      <c r="IB754" s="1693" t="b">
        <f>IF(OR(IB757=0,IB757=HY$16,IB757=HX$16,IB757=HZ$16),TRUE,FALSE)</f>
        <v>0</v>
      </c>
      <c r="IC754" s="1694" t="b">
        <f>IB754</f>
        <v>0</v>
      </c>
      <c r="ID754" s="391"/>
      <c r="IE754" s="391"/>
      <c r="IF754" s="1688" t="b">
        <f ca="1">IF(MAX(GN757:HU757)&gt;5,FALSE,TRUE)</f>
        <v>0</v>
      </c>
      <c r="IG754" s="1689">
        <f ca="1">IF(IF754=TRUE,AC754,0)</f>
        <v>0</v>
      </c>
      <c r="IH754" s="1689">
        <f ca="1">IG754-IG756</f>
        <v>0</v>
      </c>
      <c r="IK754" s="1689" t="e">
        <f>ROUND(T755*VLOOKUP(U755,Fixtures_Existing_List,2,FALSE)*N755*R755/1000,0)</f>
        <v>#N/A</v>
      </c>
      <c r="IL754" s="1690" t="e">
        <f>IK754-IK756</f>
        <v>#N/A</v>
      </c>
      <c r="IM754" s="1693" t="e">
        <f>ROUND(IF(CQ754="Interior",N756*R756*R755*N755*_C406_reduction/1000,N756*R756*R755*N755/1000),0)</f>
        <v>#N/A</v>
      </c>
      <c r="IN754" s="1693" t="e">
        <f>IM754-IM756</f>
        <v>#N/A</v>
      </c>
      <c r="IP754" s="1679"/>
      <c r="IQ754" s="1679" t="e">
        <f t="shared" ref="IQ754:IU754" si="696">IF($CR754="interior",VLOOKUP($CS754,_New_Control_Savings_Interior,IQ$30,FALSE),VLOOKUP($CS754,Control_Savings_Exterior,IQ$30,FALSE))</f>
        <v>#N/A</v>
      </c>
      <c r="IR754" s="1679" t="e">
        <f t="shared" si="696"/>
        <v>#N/A</v>
      </c>
      <c r="IS754" s="1679" t="e">
        <f t="shared" si="696"/>
        <v>#N/A</v>
      </c>
      <c r="IT754" s="1679" t="e">
        <f t="shared" si="696"/>
        <v>#N/A</v>
      </c>
      <c r="IU754" s="1679" t="e">
        <f t="shared" si="696"/>
        <v>#N/A</v>
      </c>
      <c r="IV754" s="1679" t="e">
        <f>IF($CR754="interior",IF(R755&gt;$IP$14,ROUND(($IV$18*($IP$14/R755)),2),$IV$18),VLOOKUP($CS754,Control_Savings_Exterior,IV$30,FALSE))</f>
        <v>#N/A</v>
      </c>
      <c r="IW754" s="1679" t="e">
        <f>IF($CR754="interior",ROUND(((1-IS754)*IV754)+IS754,2),VLOOKUP($CS754,Control_Savings_Exterior,IW$30,FALSE))</f>
        <v>#N/A</v>
      </c>
      <c r="IX754" s="1679" t="e">
        <f>IF($CR754="interior",ROUND(((1-IT754)*IV754)+IT754,2),VLOOKUP($CS754,Control_Savings_Exterior,IX$30,FALSE))</f>
        <v>#N/A</v>
      </c>
      <c r="IY754" s="1679" t="e">
        <f>IF($CR754="interior",IF(R755&gt;$IP$14,ROUND(($IY$18*($IP$14/R755)),2),$IY$18),VLOOKUP($CS754,Control_Savings_Exterior,IY$30,FALSE))</f>
        <v>#N/A</v>
      </c>
      <c r="IZ754" s="1679" t="e">
        <f>IF($CR754="interior",ROUND(((1-IS754)*IY754)+IS754,2),VLOOKUP($CS754,Control_Savings_Exterior,IZ$30,FALSE))</f>
        <v>#N/A</v>
      </c>
      <c r="JA754" s="1679" t="e">
        <f>IF($CR754="interior",ROUND(((1-IT754)*IY754)+IT754,2),VLOOKUP($CS754,Control_Savings_Exterior,JA$30,FALSE))</f>
        <v>#N/A</v>
      </c>
      <c r="JC754" s="1680">
        <f>IFERROR(IF(CR754="Interior",CONCATENATE(G757," ",FQ754),FQ754),"")</f>
        <v>0</v>
      </c>
      <c r="JD754" s="1670" t="str">
        <f>IFERROR(VLOOKUP(JC754,_Controls_2023,2,FALSE),"")</f>
        <v/>
      </c>
      <c r="JE754" s="1681">
        <f>IFERROR(CHOOSE(JD754-1,IQ754,IR754,IS754,IT754,IU754,IV754,IW754,IX754,IY754,IZ754,JA754),0)</f>
        <v>0</v>
      </c>
      <c r="JG754" s="1680" t="str">
        <f>FE754</f>
        <v xml:space="preserve"> - 0</v>
      </c>
      <c r="JH754" s="1670" t="e">
        <f>$FO754</f>
        <v>#N/A</v>
      </c>
      <c r="JI754" s="1060"/>
      <c r="JJ754" s="1682" t="b">
        <f>IF($JG756=CONCATENATE("Interior - ",JJ$4),TRUE,FALSE)</f>
        <v>0</v>
      </c>
      <c r="JK754" s="1061"/>
      <c r="JL754" s="1682" t="b">
        <f>IF($JG756=CONCATENATE("Interior - ",JL$4),TRUE,FALSE)</f>
        <v>0</v>
      </c>
      <c r="JM754" s="1061"/>
      <c r="JN754" s="1682" t="b">
        <f>IF($JG756=CONCATENATE("Interior - ",JN$4),TRUE,FALSE)</f>
        <v>0</v>
      </c>
      <c r="JO754" s="1061"/>
      <c r="JP754" s="1682" t="b">
        <f>IF(__Retrofit_TI_NC&gt;0,FALSE,IF($JG756=CONCATENATE("Interior - ",JP$4),TRUE,FALSE))</f>
        <v>0</v>
      </c>
      <c r="JQ754" s="1061"/>
      <c r="JR754" s="1682" t="b">
        <f>IF(__Retrofit_TI_NC&gt;0,FALSE,IF($JG756=CONCATENATE("Interior - ",JR$4),TRUE,FALSE))</f>
        <v>0</v>
      </c>
      <c r="JS754" s="1061"/>
      <c r="JT754" s="1670" t="b">
        <f>IF(__Retrofit_TI_NC&gt;0,FALSE,IF($JG756=CONCATENATE("Interior - ",JT$4),TRUE,FALSE))</f>
        <v>0</v>
      </c>
      <c r="JU754" s="1061"/>
      <c r="JV754" s="1670" t="b">
        <f>IF(JC756="AELC on Existing",TRUE,FALSE)</f>
        <v>0</v>
      </c>
      <c r="JX754" s="1670" t="b">
        <f>IF(OR(JG756="Exterior - AELC Occupancy based",JG756="Exterior - AELC Time based"),TRUE,FALSE)</f>
        <v>0</v>
      </c>
      <c r="JZ754" s="1682" t="b">
        <f>IF($JG756=CONCATENATE("Exterior - ",JZ$4),TRUE,FALSE)</f>
        <v>0</v>
      </c>
      <c r="KB754" s="1670" t="b">
        <f>IF(__Retrofit_TI_NC&gt;0,FALSE,IF($JG756=CONCATENATE("Interior - ",KB$4),TRUE,FALSE))</f>
        <v>0</v>
      </c>
    </row>
    <row r="755" spans="1:288" s="78" customFormat="1" ht="14.95" customHeight="1" thickTop="1" thickBot="1">
      <c r="B755" s="1845"/>
      <c r="C755" s="1846"/>
      <c r="D755" s="1847"/>
      <c r="E755" s="1737" t="s">
        <v>297</v>
      </c>
      <c r="F755" s="1738"/>
      <c r="G755" s="1739"/>
      <c r="H755" s="1739"/>
      <c r="I755" s="1739"/>
      <c r="J755" s="1739"/>
      <c r="K755" s="1739"/>
      <c r="L755" s="1739"/>
      <c r="M755" s="461" t="e">
        <f>IF(__Retrofit_TI_NC&lt;&gt;0,IF(VLOOKUP(G756,'Space Table'!$B$3:$L$163,3,FALSE)&gt;0,1,0),IF(__Retrofit_TI_NC=VLOOKUP(G756,'Space Table'!$B$3:$L$163,3,FALSE),1,0))</f>
        <v>#N/A</v>
      </c>
      <c r="N755" s="461" t="str">
        <f>IFERROR(VLOOKUP(G755,_Lookup_Heat_Type_Table_New,2,FALSE),"")</f>
        <v/>
      </c>
      <c r="O755" s="461">
        <f>IF(__Retrofit_TI_NC=1,CONCATENATE("TI ",G755),IF(__Retrofit_TI_NC=2,CONCATENATE("NC ",G755),G755))</f>
        <v>0</v>
      </c>
      <c r="P755" s="1740" t="s">
        <v>435</v>
      </c>
      <c r="Q755" s="1740"/>
      <c r="R755" s="595"/>
      <c r="S755" s="1792"/>
      <c r="T755" s="597"/>
      <c r="U755" s="1765"/>
      <c r="V755" s="1766"/>
      <c r="W755" s="1766"/>
      <c r="X755" s="1766"/>
      <c r="Y755" s="1766"/>
      <c r="Z755" s="1766"/>
      <c r="AA755" s="1766"/>
      <c r="AB755" s="1766"/>
      <c r="AC755" s="1766"/>
      <c r="AD755" s="1767"/>
      <c r="AE755" s="1000"/>
      <c r="AF755" s="597"/>
      <c r="AG755" s="1723"/>
      <c r="AH755" s="1724"/>
      <c r="AI755" s="1724"/>
      <c r="AJ755" s="1724"/>
      <c r="AK755" s="1725"/>
      <c r="AL755" s="996"/>
      <c r="AM755" s="1747"/>
      <c r="AN755" s="1775"/>
      <c r="AO755" s="1777"/>
      <c r="AP755" s="1780"/>
      <c r="AQ755" s="1781"/>
      <c r="AR755" s="1795"/>
      <c r="AS755" s="1795"/>
      <c r="AT755" s="1796"/>
      <c r="AU755" s="1735"/>
      <c r="AV755" s="1752"/>
      <c r="AW755" s="1705"/>
      <c r="AX755" s="467"/>
      <c r="AY755" s="1749"/>
      <c r="AZ755" s="1749"/>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696"/>
      <c r="CQ755" s="1696"/>
      <c r="CR755" s="1809"/>
      <c r="CS755" s="1811"/>
      <c r="CU755" s="1688"/>
      <c r="CV755" s="1703"/>
      <c r="CW755" s="1703"/>
      <c r="CX755" s="1703"/>
      <c r="CY755" s="1815"/>
      <c r="CZ755" s="1711"/>
      <c r="DA755" s="1818"/>
      <c r="DB755" s="1820"/>
      <c r="DC755" s="1820"/>
      <c r="DD755" s="1820"/>
      <c r="DF755" s="1703"/>
      <c r="DG755" s="1831"/>
      <c r="DH755" s="1703"/>
      <c r="DI755" s="1838"/>
      <c r="DJ755" s="1711"/>
      <c r="DK755" s="1712"/>
      <c r="DM755" s="1718"/>
      <c r="DO755" s="1708"/>
      <c r="DQ755" s="1715"/>
      <c r="DR755" s="1720"/>
      <c r="DS755" s="1816"/>
      <c r="DT755" s="1714"/>
      <c r="DU755" s="1715"/>
      <c r="DV755" s="1716"/>
      <c r="DX755" s="1715"/>
      <c r="DY755" s="1720"/>
      <c r="DZ755" s="1715"/>
      <c r="EA755" s="1715"/>
      <c r="EC755" s="1834"/>
      <c r="ED755" s="1834"/>
      <c r="EF755" s="1707"/>
      <c r="EG755" s="1712"/>
      <c r="EH755" s="1818"/>
      <c r="EI755" s="1712"/>
      <c r="EJ755" s="1712"/>
      <c r="EK755" s="1836"/>
      <c r="EL755" s="1836"/>
      <c r="EM755" s="1807"/>
      <c r="EN755" s="1839"/>
      <c r="EO755" s="1839"/>
      <c r="EP755" s="1817"/>
      <c r="EQ755" s="1817"/>
      <c r="ER755" s="1807"/>
      <c r="ES755" s="1807"/>
      <c r="ET755" s="1807"/>
      <c r="EV755" s="1715"/>
      <c r="EX755" s="1805"/>
      <c r="EY755" s="1805"/>
      <c r="EZ755" s="1805"/>
      <c r="FA755" s="1805"/>
      <c r="FB755" s="1805"/>
      <c r="FC755" s="1827"/>
      <c r="FE755" s="1698"/>
      <c r="FG755" s="1816"/>
      <c r="FH755" s="1816"/>
      <c r="FI755" s="133"/>
      <c r="FL755" s="1823"/>
      <c r="FM755" s="1825"/>
      <c r="FN755" s="1698"/>
      <c r="FO755" s="1698"/>
      <c r="FP755" s="1678"/>
      <c r="FQ755" s="1678"/>
      <c r="FS755" s="1687"/>
      <c r="FT755" s="1687"/>
      <c r="FU755" s="1685"/>
      <c r="FV755" s="1687"/>
      <c r="FW755" s="1687"/>
      <c r="FX755" s="1687"/>
      <c r="FY755" s="1697"/>
      <c r="GA755" s="1696"/>
      <c r="GB755" s="1696"/>
      <c r="GC755" s="1696"/>
      <c r="GD755" s="1696"/>
      <c r="GE755" s="1696"/>
      <c r="GF755" s="1696"/>
      <c r="GG755" s="1696"/>
      <c r="GH755" s="1696"/>
      <c r="GI755" s="673"/>
      <c r="GJ755" s="1135"/>
      <c r="GK755" s="1832"/>
      <c r="GM755" s="1693" t="b">
        <f ca="1">IF(AND(GP755=TRUE,GQ755=TRUE),TRUE,FALSE)</f>
        <v>0</v>
      </c>
      <c r="GN755" s="1684" t="b">
        <f>IFERROR(IF(__Retrofit_TI_NC=2,TRUE,IF(AU754="Yes",TRUE,FALSE)),FALSE)</f>
        <v>1</v>
      </c>
      <c r="GP755" s="1684" t="b">
        <f>IFERROR(IF(GP754=1,TRUE,FALSE),FALSE)</f>
        <v>0</v>
      </c>
      <c r="GQ755" s="1684" t="b">
        <f ca="1">IFERROR(IF(GQ754=GQ$14,TRUE,FALSE),FALSE)</f>
        <v>0</v>
      </c>
      <c r="HG755" s="1684" t="b">
        <f>IFERROR(IF(AND(__Retrofit_TI_NC&gt;0,CQ754="Interior"),FALSE,TRUE),FALSE)</f>
        <v>1</v>
      </c>
      <c r="HH755" s="1684" t="b">
        <f>IFERROR(IF(M755=1,TRUE,FALSE),FALSE)</f>
        <v>0</v>
      </c>
      <c r="HI755" s="1684" t="b">
        <f>IFERROR(IF(OR(M756=1,N757="BAM"),TRUE,FALSE),FALSE)</f>
        <v>0</v>
      </c>
      <c r="HJ755" s="1684" t="b">
        <f>IFERROR(IF(__Retrofit_TI_NC&lt;&gt;0,TRUE,IFERROR(IF(VLOOKUP(U755,Fixtures_Existing_List,2,FALSE)&lt;&gt;"",TRUE,FALSE),FALSE)),FALSE)</f>
        <v>0</v>
      </c>
      <c r="HK755" s="1684" t="b">
        <f>IFERROR(IF(VLOOKUP(U756,Fixtures_Proposed_List,2,FALSE)&lt;&gt;"",TRUE,FALSE),FALSE)</f>
        <v>0</v>
      </c>
      <c r="HL755" s="1684" t="b">
        <f>IF(AND(__Retrofit_TI_NC=2,FC754=TRUE),FALSE,TRUE)</f>
        <v>1</v>
      </c>
      <c r="HM755" s="1684" t="b">
        <f>GK754</f>
        <v>1</v>
      </c>
      <c r="HN755" s="1682" t="b">
        <f>IF(ISERROR(MATCH(FE754,_Control_Match[],0))=TRUE,FALSE,TRUE)</f>
        <v>0</v>
      </c>
      <c r="HO755" s="1693" t="b">
        <f>IFERROR(IF(EX754&lt;&gt;EY754,FALSE,TRUE),FALSE)</f>
        <v>1</v>
      </c>
      <c r="HP755" s="1693" t="b">
        <f>IFERROR(IF(EX756&lt;&gt;EY756,FALSE,TRUE),FALSE)</f>
        <v>1</v>
      </c>
      <c r="HQ755" s="1670" t="b">
        <f>IFERROR(IF(CQ754="Exterior",TRUE,IF(AND(OR(FM756=0,FM756=3),JD756&gt;6),FALSE,TRUE)),FALSE)</f>
        <v>0</v>
      </c>
      <c r="HR755" s="1684" t="b">
        <f>IFERROR(IF(AND(FO756=7,FC754=TRUE),FALSE,TRUE),FALSE)</f>
        <v>0</v>
      </c>
      <c r="HS755" s="1684" t="b">
        <f>IFERROR(IF(AND(T756&lt;&gt;AF756,OR(AG756="Interior LLLC", AG756="Interior NLC", AG756="LLLC (outside Daylight)",AG756="LLLC Controls Only"))=TRUE,FALSE,TRUE),FALSE)</f>
        <v>1</v>
      </c>
      <c r="HT755" s="1670" t="b">
        <f>IFERROR(IF(OR(AG756=Lookup!BB$17,AG756=Lookup!BB$18,AG756=Lookup!BB$19)=TRUE,IF(AF756&gt;T756,FALSE,TRUE),TRUE),FALSE)</f>
        <v>1</v>
      </c>
      <c r="HU755" s="1684" t="b">
        <f>IFERROR(IF(__Retrofit_TI_NC=2,IF(EZ756&lt;EZ754,FALSE,TRUE),TRUE),FALSE)</f>
        <v>1</v>
      </c>
      <c r="HV755" s="1684" t="b">
        <f>IF(CQ754="Interior",IL$6,TRUE)</f>
        <v>1</v>
      </c>
      <c r="HW755" s="1684" t="b">
        <f>IF(CQ754="Exterior",IL$8,TRUE)</f>
        <v>1</v>
      </c>
      <c r="HX755" s="1684" t="b">
        <f>IFERROR(IF(__Retrofit_TI_NC&lt;&gt;0,IF(AZ754&lt;AY754,FALSE,TRUE),TRUE),FALSE)</f>
        <v>1</v>
      </c>
      <c r="HY755" s="1684" t="b">
        <f>IFERROR(IF(AND(G755="Exterior",R755&gt;4200),FALSE,TRUE),FALSE)</f>
        <v>1</v>
      </c>
      <c r="HZ755" s="1684" t="b">
        <f>IFERROR(IF(AB757/AB754&lt;HZ$18,FALSE,TRUE),FALSE)</f>
        <v>0</v>
      </c>
      <c r="IB755" s="1691"/>
      <c r="IC755" s="1695"/>
      <c r="ID755" s="1694" t="str">
        <f>VLOOKUP(IB757,_Error_Table,4,FALSE)</f>
        <v>White</v>
      </c>
      <c r="IE755" s="391"/>
      <c r="IF755" s="1688"/>
      <c r="IG755" s="1689"/>
      <c r="IH755" s="1684"/>
      <c r="IK755" s="1689"/>
      <c r="IL755" s="1691"/>
      <c r="IM755" s="1691"/>
      <c r="IN755" s="1691"/>
      <c r="IP755" s="1679"/>
      <c r="IQ755" s="1679"/>
      <c r="IR755" s="1679"/>
      <c r="IS755" s="1679"/>
      <c r="IT755" s="1679"/>
      <c r="IU755" s="1679"/>
      <c r="IV755" s="1679"/>
      <c r="IW755" s="1679"/>
      <c r="IX755" s="1679"/>
      <c r="IY755" s="1679"/>
      <c r="IZ755" s="1679"/>
      <c r="JA755" s="1679"/>
      <c r="JC755" s="1680"/>
      <c r="JD755" s="1670"/>
      <c r="JE755" s="1681"/>
      <c r="JG755" s="1680"/>
      <c r="JH755" s="1670"/>
      <c r="JI755" s="1060"/>
      <c r="JJ755" s="1683"/>
      <c r="JK755" s="1061"/>
      <c r="JL755" s="1683"/>
      <c r="JM755" s="1061"/>
      <c r="JN755" s="1683"/>
      <c r="JO755" s="1061"/>
      <c r="JP755" s="1683"/>
      <c r="JQ755" s="1061"/>
      <c r="JR755" s="1683"/>
      <c r="JS755" s="1061"/>
      <c r="JT755" s="1670"/>
      <c r="JU755" s="1061"/>
      <c r="JV755" s="1670"/>
      <c r="JX755" s="1670"/>
      <c r="JZ755" s="1683"/>
      <c r="KB755" s="1670"/>
    </row>
    <row r="756" spans="1:288" s="78" customFormat="1" ht="14.95" customHeight="1" thickTop="1" thickBot="1">
      <c r="A756" s="78">
        <f>ROW()</f>
        <v>756</v>
      </c>
      <c r="B756" s="1845"/>
      <c r="C756" s="1846"/>
      <c r="D756" s="1847"/>
      <c r="E756" s="1737" t="s">
        <v>298</v>
      </c>
      <c r="F756" s="1738"/>
      <c r="G756" s="1760"/>
      <c r="H756" s="1761"/>
      <c r="I756" s="1761"/>
      <c r="J756" s="1761"/>
      <c r="K756" s="1761"/>
      <c r="L756" s="1762"/>
      <c r="M756" s="461">
        <f>IFERROR(IF(IF(__Retrofit_TI_NC&lt;&gt;0,IF(CQ754="Interior",MATCH(G756,Lookup_Interior_New,0),MATCH(G756,Lookup_Exterior_New,0)),IF(CQ754="Interior",MATCH(G756,Lookup_Interior,0),MATCH(G756,Lookup_Exterior_Areas,0)))&gt;0,1,0),0)</f>
        <v>0</v>
      </c>
      <c r="N756" s="461" t="e">
        <f>IF(__Retrofit_TI_NC=1,
VLOOKUP(G756,'Space Table'!$B$3:$L$163,4,FALSE),
IF(__Retrofit_TI_NC=2,VLOOKUP(G756,'Space Table'!$B$3:$L$163,5,FALSE),VLOOKUP(G756,'Space Table'!$B$3:$L$163,5,FALSE)))</f>
        <v>#N/A</v>
      </c>
      <c r="O756" s="461">
        <f>G756</f>
        <v>0</v>
      </c>
      <c r="P756" s="1738" t="str">
        <f>IFERROR(IF(__Retrofit_TI_NC=1,VLOOKUP(G756,'Space Table'!$B$3:$O$163,13,FALSE),IF(__Retrofit_TI_NC=2,VLOOKUP(G756,'Space Table'!$B$3:$O$163,14,FALSE),"Area (sf):")),"Area (sf):")</f>
        <v>Area (sf):</v>
      </c>
      <c r="Q756" s="1738"/>
      <c r="R756" s="596"/>
      <c r="S756" s="1763" t="s">
        <v>345</v>
      </c>
      <c r="T756" s="594"/>
      <c r="U756" s="1801"/>
      <c r="V756" s="1802"/>
      <c r="W756" s="1802"/>
      <c r="X756" s="1802"/>
      <c r="Y756" s="1802"/>
      <c r="Z756" s="1802"/>
      <c r="AA756" s="1802"/>
      <c r="AB756" s="1802"/>
      <c r="AC756" s="1802"/>
      <c r="AD756" s="1802"/>
      <c r="AE756" s="1803"/>
      <c r="AF756" s="594"/>
      <c r="AG756" s="1787"/>
      <c r="AH756" s="1787"/>
      <c r="AI756" s="1787"/>
      <c r="AJ756" s="1787"/>
      <c r="AK756" s="1787"/>
      <c r="AL756" s="1787"/>
      <c r="AM756" s="1726">
        <f>IFERROR(DI756,"")</f>
        <v>0</v>
      </c>
      <c r="AN756" s="1728" t="str">
        <f>IFERROR(ROUND(AM756*AC757,0),"")</f>
        <v/>
      </c>
      <c r="AO756" s="1730">
        <f>IFERROR(IF(IB754=FALSE,0,AC757-AN756),0)</f>
        <v>0</v>
      </c>
      <c r="AP756" s="1780"/>
      <c r="AQ756" s="1781"/>
      <c r="AR756" s="1795"/>
      <c r="AS756" s="1795"/>
      <c r="AT756" s="1796"/>
      <c r="AU756" s="1735"/>
      <c r="AV756" s="1752"/>
      <c r="AW756" s="1705"/>
      <c r="AX756" s="467"/>
      <c r="AY756" s="1749"/>
      <c r="AZ756" s="1749"/>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696"/>
      <c r="CQ756" s="1696"/>
      <c r="CR756" s="1808" t="str">
        <f>CQ754</f>
        <v/>
      </c>
      <c r="CS756" s="1810" t="str">
        <f>CS754</f>
        <v/>
      </c>
      <c r="CU756" s="1688" t="s">
        <v>345</v>
      </c>
      <c r="CV756" s="1702">
        <f>IF(IB754=TRUE,T756,0)</f>
        <v>0</v>
      </c>
      <c r="CW756" s="1702" t="str">
        <f>IF(IB754=TRUE,U756,"")</f>
        <v/>
      </c>
      <c r="CX756" s="1812">
        <f>IF(IB754=TRUE,U757,0)</f>
        <v>0</v>
      </c>
      <c r="CY756" s="1814">
        <f>IF(IB754=TRUE,AB757,0)</f>
        <v>0</v>
      </c>
      <c r="CZ756" s="1710">
        <f>IF(AND(__Retrofit_TI_NC&gt;0,CR754="interior"),0,IF(IB754=TRUE,AC757,0))</f>
        <v>0</v>
      </c>
      <c r="DA756" s="1818"/>
      <c r="DB756" s="1820"/>
      <c r="DC756" s="1820"/>
      <c r="DD756" s="1820"/>
      <c r="DF756" s="1702">
        <f>IF(IB754=TRUE,AF756,0)</f>
        <v>0</v>
      </c>
      <c r="DG756" s="1830" t="str">
        <f>IF(IB754=TRUE,AG756,"")</f>
        <v/>
      </c>
      <c r="DH756" s="1812">
        <f>AG757</f>
        <v>0</v>
      </c>
      <c r="DI756" s="1837">
        <f>JE756</f>
        <v>0</v>
      </c>
      <c r="DJ756" s="1710">
        <f>IF(AND(__Retrofit_TI_NC&gt;0,CR754="interior"),0,IF(IB754=TRUE,AN756,0))</f>
        <v>0</v>
      </c>
      <c r="DK756" s="1712"/>
      <c r="DN756" s="1717">
        <f>IFERROR(CZ756-DJ756,0)</f>
        <v>0</v>
      </c>
      <c r="DO756" s="1709"/>
      <c r="DQ756" s="1715"/>
      <c r="DR756" s="1719" t="str">
        <f>DQ754</f>
        <v/>
      </c>
      <c r="DS756" s="1816"/>
      <c r="DT756" s="1835" t="str">
        <f>IF(OR(DS754=7,DS754=8,DS754=9),"ALC","")</f>
        <v/>
      </c>
      <c r="DU756" s="1715"/>
      <c r="DV756" s="1716"/>
      <c r="DX756" s="1715"/>
      <c r="DY756" s="1829" t="str">
        <f>DX754</f>
        <v/>
      </c>
      <c r="DZ756" s="1715"/>
      <c r="EA756" s="1715"/>
      <c r="EC756" s="1834"/>
      <c r="ED756" s="1834"/>
      <c r="EF756" s="1707"/>
      <c r="EG756" s="1712"/>
      <c r="EH756" s="1818"/>
      <c r="EI756" s="1712"/>
      <c r="EJ756" s="1712"/>
      <c r="EK756" s="1836"/>
      <c r="EL756" s="1836"/>
      <c r="EM756" s="1807"/>
      <c r="EN756" s="1839"/>
      <c r="EO756" s="1839"/>
      <c r="EP756" s="1817"/>
      <c r="EQ756" s="1817"/>
      <c r="ER756" s="1807"/>
      <c r="ES756" s="1807"/>
      <c r="ET756" s="1807"/>
      <c r="EV756" s="1715"/>
      <c r="EX756" s="1805" t="str">
        <f>IFERROR(VLOOKUP(CS756,'Space Table'!$B$3:$L$163,8,FALSE),"")</f>
        <v/>
      </c>
      <c r="EY756" s="1805" t="str">
        <f>IFERROR(IF(FB756="Yes",VLOOKUP(AG756,Lookup_Control_Type_Table2,4,FALSE),VLOOKUP(AG756,Lookup_Control_Type_Table2,3,FALSE)),"")</f>
        <v/>
      </c>
      <c r="EZ756" s="1805" t="e">
        <f>VLOOKUP(AG756,Lookup!BB$3:BC$20,2,FALSE)</f>
        <v>#N/A</v>
      </c>
      <c r="FA756" s="1805" t="e">
        <f>VLOOKUP(EX754,Lookup_Control_Type_Table,2,FALSE)</f>
        <v>#N/A</v>
      </c>
      <c r="FB756" s="1805" t="e">
        <f>VLOOKUP(CS756,'Space Table'!$B$3:$L$163,7,FALSE)</f>
        <v>#N/A</v>
      </c>
      <c r="FC756" s="1827"/>
      <c r="FE756" s="1698" t="str">
        <f>CONCATENATE(CQ754," - ",AG756)</f>
        <v xml:space="preserve"> - </v>
      </c>
      <c r="FG756" s="1816"/>
      <c r="FH756" s="1816"/>
      <c r="FI756" s="133"/>
      <c r="FL756" s="1822" t="str">
        <f>IF(CQ754="Exterior","Not Daylighted",G757)</f>
        <v>Not Daylighted</v>
      </c>
      <c r="FM756" s="1824">
        <f>VLOOKUP(FL756,_New_Daylight_Table_Codes,2,FALSE)</f>
        <v>0</v>
      </c>
      <c r="FN756" s="1698">
        <f>AG756</f>
        <v>0</v>
      </c>
      <c r="FO756" s="1698" t="e">
        <f>VLOOKUP(FN756,_Control_Table,2,FALSE)</f>
        <v>#N/A</v>
      </c>
      <c r="FP756" s="1678" t="e">
        <f>VLOOKUP(CONCATENATE(FL756," ",FN756),Lookup!AY$102:AZ767,2,FALSE)</f>
        <v>#N/A</v>
      </c>
      <c r="FQ756" s="1698">
        <f>IF(__Retrofit_TI_NC=0,FN756,IF(AND(FT756&gt;0,FN756="Occupancy Sensor"),"Daylight + Occupancy",IF(AND(FT756&gt;0,FO756&lt;4),"Interior Daylight Dimming",FN756)))</f>
        <v>0</v>
      </c>
      <c r="FS756" s="1686">
        <f>IF(CQ754="Interior",VLOOKUP(CS754,Control_Savings_Interior,5,FALSE),0)</f>
        <v>0</v>
      </c>
      <c r="FT756" s="1687">
        <f>IF(CQ756="Exterior",0,IF(FM756=2,0.5,IF(OR(FM756=1,FM756=3),1,0)))</f>
        <v>0</v>
      </c>
      <c r="FU756" s="1685">
        <f>IF(R755&gt;FS$44,(FS756*(FS$44/R755)),FS756)*FT756</f>
        <v>0</v>
      </c>
      <c r="FV756" s="1686">
        <f>DI756</f>
        <v>0</v>
      </c>
      <c r="FW756" s="1686">
        <f>ROUND(FV756+((1-FV756)*FU756),2)</f>
        <v>0</v>
      </c>
      <c r="FX756" s="1686">
        <f>IF(__Retrofit_TI_NC=2,FW756,FV756)</f>
        <v>0</v>
      </c>
      <c r="FY756" s="1697">
        <f>IF(CR756="Interior",VLOOKUP(CS756,Control_Savings_Interior,4,FALSE),0)</f>
        <v>0</v>
      </c>
      <c r="GA756" s="1696"/>
      <c r="GB756" s="1696"/>
      <c r="GC756" s="1696"/>
      <c r="GD756" s="1696"/>
      <c r="GE756" s="1696"/>
      <c r="GF756" s="1696"/>
      <c r="GG756" s="1696"/>
      <c r="GH756" s="1696"/>
      <c r="GI756" s="673" t="b">
        <f>IF(ISNUMBER(SEARCH("TLED",U756)),TRUE,FALSE)</f>
        <v>0</v>
      </c>
      <c r="GJ756" s="1135" t="str">
        <f>IFERROR(VLOOKUP(U756,Fixtures!DM$93:DR$142,6,FALSE),"")</f>
        <v/>
      </c>
      <c r="GK756" s="1832"/>
      <c r="GM756" s="1692"/>
      <c r="GN756" s="1684"/>
      <c r="GP756" s="1684"/>
      <c r="GQ756" s="1684"/>
      <c r="HG756" s="1684"/>
      <c r="HH756" s="1684"/>
      <c r="HI756" s="1684"/>
      <c r="HJ756" s="1684"/>
      <c r="HK756" s="1684"/>
      <c r="HL756" s="1684"/>
      <c r="HM756" s="1684"/>
      <c r="HN756" s="1683"/>
      <c r="HO756" s="1692"/>
      <c r="HP756" s="1692"/>
      <c r="HQ756" s="1670"/>
      <c r="HR756" s="1684"/>
      <c r="HS756" s="1684"/>
      <c r="HT756" s="1670"/>
      <c r="HU756" s="1684"/>
      <c r="HV756" s="1684"/>
      <c r="HW756" s="1684"/>
      <c r="HX756" s="1684"/>
      <c r="HY756" s="1684"/>
      <c r="HZ756" s="1684"/>
      <c r="IB756" s="1692"/>
      <c r="IC756" s="1693" t="b">
        <f>IB754</f>
        <v>0</v>
      </c>
      <c r="ID756" s="1695"/>
      <c r="IE756" s="391"/>
      <c r="IF756" s="1688"/>
      <c r="IG756" s="1689">
        <f ca="1">IF(IF754=TRUE,AC757,0)</f>
        <v>0</v>
      </c>
      <c r="IH756" s="1684"/>
      <c r="IK756" s="1689" t="e">
        <f>ROUND(T756*AB757*N755*R755/1000,0)</f>
        <v>#VALUE!</v>
      </c>
      <c r="IL756" s="1691"/>
      <c r="IM756" s="1693" t="e">
        <f>ROUND(T756*AB757*N755*R755/1000,0)</f>
        <v>#VALUE!</v>
      </c>
      <c r="IN756" s="1691"/>
      <c r="IP756" s="1679"/>
      <c r="IQ756" s="1679" t="e">
        <f t="shared" ref="IQ756:IU756" si="697">IF($CR756="interior",VLOOKUP($CS756,_New_Control_Savings_Interior,IQ$30,FALSE),VLOOKUP($CS756,Control_Savings_Exterior,IQ$30,FALSE))</f>
        <v>#N/A</v>
      </c>
      <c r="IR756" s="1679" t="e">
        <f t="shared" si="697"/>
        <v>#N/A</v>
      </c>
      <c r="IS756" s="1679" t="e">
        <f t="shared" si="697"/>
        <v>#N/A</v>
      </c>
      <c r="IT756" s="1679" t="e">
        <f t="shared" si="697"/>
        <v>#N/A</v>
      </c>
      <c r="IU756" s="1679" t="e">
        <f t="shared" si="697"/>
        <v>#N/A</v>
      </c>
      <c r="IV756" s="1679" t="e">
        <f>IF($CR756="interior",IF(R755&gt;$IP$14,ROUND(($IV$18*($IP$14/R755)),2),$IV$18),VLOOKUP($CS756,Control_Savings_Exterior,IV$30,FALSE))</f>
        <v>#N/A</v>
      </c>
      <c r="IW756" s="1679" t="e">
        <f>IF($CR756="interior",ROUND(((1-IS756)*IV756)+IS756,2),VLOOKUP($CS756,Control_Savings_Exterior,IW$30,FALSE))</f>
        <v>#N/A</v>
      </c>
      <c r="IX756" s="1679" t="e">
        <f>IF($CR756="interior",ROUND(((1-IT756)*IV756)+IT756,2),VLOOKUP($CS756,Control_Savings_Exterior,IX$30,FALSE))</f>
        <v>#N/A</v>
      </c>
      <c r="IY756" s="1679" t="e">
        <f>IF($CR756="interior",IF(R755&gt;$IP$14,ROUND(($IY$18*($IP$14/R755)),2),$IY$18),VLOOKUP($CS756,Control_Savings_Exterior,IY$30,FALSE))</f>
        <v>#N/A</v>
      </c>
      <c r="IZ756" s="1679" t="e">
        <f>IF($CR756="interior",ROUND(((1-IS756)*IY756)+IS756,2),VLOOKUP($CS756,Control_Savings_Exterior,IZ$30,FALSE))</f>
        <v>#N/A</v>
      </c>
      <c r="JA756" s="1679" t="e">
        <f>IF($CR756="interior",ROUND(((1-IT756)*IY756)+IT756,2),VLOOKUP($CS756,Control_Savings_Exterior,JA$30,FALSE))</f>
        <v>#N/A</v>
      </c>
      <c r="JC756" s="1680">
        <f>IFERROR(IF(CR756="Interior",CONCATENATE(G757," ",FQ756),AG756),"")</f>
        <v>0</v>
      </c>
      <c r="JD756" s="1670" t="str">
        <f>IFERROR(VLOOKUP(JC756,_Controls_2023,2,FALSE),"")</f>
        <v/>
      </c>
      <c r="JE756" s="1681">
        <f>IFERROR(CHOOSE(JD756-1,IQ756,IR756,IS756,IT756,IU756,IV756,IW756,IX756,IY756,IZ756,JA756),0)</f>
        <v>0</v>
      </c>
      <c r="JG756" s="1680" t="str">
        <f>FE756</f>
        <v xml:space="preserve"> - </v>
      </c>
      <c r="JH756" s="1670" t="e">
        <f>$FO756</f>
        <v>#N/A</v>
      </c>
      <c r="JI756" s="1060"/>
      <c r="JJ756" s="1670">
        <f>IFERROR(IF($IB754=TRUE,IF(OR(JJ$14="No",JJ754=FALSE,JH756&lt;=JH754,AND(_kWh_Grant=0,GD754=FALSE)),0,IF(JJ$8="Per Line",1,$AF756)),0),0)</f>
        <v>0</v>
      </c>
      <c r="JK756" s="1061"/>
      <c r="JL756" s="1670">
        <f>IFERROR(IF(_kWh_Grant=0,0,IF($IB754=TRUE,IF(OR(JL$14="No",JL754=FALSE,JH756&lt;=JH754),0,IF(JL$8="Per Line",1,$T756)),0)),0)</f>
        <v>0</v>
      </c>
      <c r="JM756" s="1061"/>
      <c r="JN756" s="1670">
        <f>IFERROR(IF(_kWh_Grant=0,0,IF($IB754=TRUE,IF(OR(JN$14="No",JN754=FALSE,JH756&lt;=JH754),0,IF(JN$8="Per Line",1,$AF756)),0)),0)</f>
        <v>0</v>
      </c>
      <c r="JO756" s="1061"/>
      <c r="JP756" s="1670">
        <f>IFERROR(IF(__Retrofit_TI_NC=0,IF(_kWh_Grant=0,0,IF($IB754=TRUE,IF(OR(JP$14="No",JP754=FALSE,$JH756&lt;=$JH754),0,IF(JP$8="Per Line",1,$AF756)),0)),IF($IB754=TRUE,IF(OR(JP$14="No",JP754=FALSE,$JH756&lt;=$JH754),0,IF(JP$8="Per Line",1,$AF756)))),0)</f>
        <v>0</v>
      </c>
      <c r="JQ756" s="1061"/>
      <c r="JR756" s="1670">
        <f>IFERROR(IF(__Retrofit_TI_NC=0,IF(_kWh_Grant=0,0,IF($IB754=TRUE,IF(OR(JR$14="No",JR754=FALSE,$JH756&lt;=$JH754),0,IF(JR$8="Per Line",1,$AF756)),0)),IF($IB754=TRUE,IF(OR(JR$14="No",JR754=FALSE,$JH756&lt;=$JH754),0,IF(JR$8="Per Line",1,$AF756)))),0)</f>
        <v>0</v>
      </c>
      <c r="JS756" s="1061"/>
      <c r="JT756" s="1670">
        <f>IFERROR(IF(__Retrofit_TI_NC=0,IF(_kWh_Grant=0,0,IF($IB754=TRUE,IF(OR(JT$14="No",JT754=FALSE,$JH756&lt;=$JH754),0,IF(JT$8="Per Line",1,$AF756)),0)),IF($IB754=TRUE,IF(OR(JT$14="No",JT754=FALSE,$JH756&lt;=$JH754),0,IF(JT$8="Per Line",1,$AF756)))),0)</f>
        <v>0</v>
      </c>
      <c r="JU756" s="1061"/>
      <c r="JV756" s="1670">
        <f>IFERROR(IF(__Retrofit_TI_NC=0,IF(_kWh_Grant=0,0,IF($IB754=TRUE,IF(OR(JV$14="No",JV754=FALSE,$JH756&lt;=$JH754),0,IF(JV$8="Per Line",1,$AF756)),0)),IF($IB754=TRUE,IF(OR(JV$14="No",JV754=FALSE,$JH756&lt;=$JH754),0,IF(JV$8="Per Line",1,$AF756)))),0)</f>
        <v>0</v>
      </c>
      <c r="JX756" s="1670">
        <f>IFERROR(IF(__Retrofit_TI_NC=0,IF(_kWh_Grant=0,0,IF($IB754=TRUE,IF(OR(JX$14="No",JX754=FALSE,$JH756&lt;=$JH754),0,IF(JX$8="Per Line",1,$AF756)),0)),IF($IB754=TRUE,IF(OR(JX$14="No",JX754=FALSE,$JH756&lt;=$JH754),0,IF(JX$8="Per Line",1,$AF756)))),0)</f>
        <v>0</v>
      </c>
      <c r="JZ756" s="1670">
        <f>IFERROR(IF($IB754=TRUE,IF(OR(JZ$14="No",JZ754=FALSE,$JH756&lt;=$JH754,AND(_kWh_Grant=0,$GD754=FALSE)),0,IF(JZ$8="Per Line",1,$AF756)),0),0)</f>
        <v>0</v>
      </c>
      <c r="KB756" s="1670">
        <f>IFERROR(IF(__Retrofit_TI_NC=0,IF(_kWh_Grant=0,0,IF($IB754=TRUE,IF(OR(KB$14="No",KB754=FALSE,$JH756&lt;=$JH754),0,IF(KB$8="Per Line",1,$AF756)),0)),IF($IB754=TRUE,IF(OR(KB$14="No",KB754=FALSE,$JH756&lt;=$JH754),0,IF(KB$8="Per Line",1,$AF756)))),0)</f>
        <v>0</v>
      </c>
    </row>
    <row r="757" spans="1:288" s="78" customFormat="1" ht="14.95" customHeight="1" thickTop="1" thickBot="1">
      <c r="B757" s="1845"/>
      <c r="C757" s="1846"/>
      <c r="D757" s="1847"/>
      <c r="E757" s="1771" t="s">
        <v>436</v>
      </c>
      <c r="F757" s="1772"/>
      <c r="G757" s="1784" t="s">
        <v>437</v>
      </c>
      <c r="H757" s="1785"/>
      <c r="I757" s="1785"/>
      <c r="J757" s="1785"/>
      <c r="K757" s="1785"/>
      <c r="L757" s="1786"/>
      <c r="M757" s="591">
        <f>IFERROR(VLOOKUP(G757,_Daylight_Table[],2,FALSE),0)</f>
        <v>0</v>
      </c>
      <c r="N757" s="592" t="str">
        <f>IF(AND(__Retrofit_TI_NC&gt;0,CQ754="Interior"),"BAM","")</f>
        <v/>
      </c>
      <c r="O757" s="591" t="e">
        <f>VLOOKUP(G756,'Space Table'!$B$3:$L$163,11,FALSE)</f>
        <v>#N/A</v>
      </c>
      <c r="P757" s="1789"/>
      <c r="Q757" s="1790"/>
      <c r="R757" s="1790"/>
      <c r="S757" s="1788"/>
      <c r="T757" s="593" t="s">
        <v>342</v>
      </c>
      <c r="U757" s="1756" t="str" cm="1">
        <f t="array" aca="1" ref="U757" ca="1">IFERROR(VLOOKUP(INDIRECT("U" &amp; ROW()-1),Fixtures!DM$93:DP$142,4,FALSE),"")</f>
        <v/>
      </c>
      <c r="V757" s="1757"/>
      <c r="W757" s="1757"/>
      <c r="X757" s="1757"/>
      <c r="Y757" s="1757"/>
      <c r="Z757" s="1757"/>
      <c r="AA757" s="1758"/>
      <c r="AB757" s="939" t="str">
        <f>IFERROR(VLOOKUP(U756,Fixtures_Proposed_List,2,FALSE),"")</f>
        <v/>
      </c>
      <c r="AC757" s="933" t="str">
        <f>IFERROR(ROUND(T756*AB757*N755*R755/1000,0),"")</f>
        <v/>
      </c>
      <c r="AD757" s="934" t="str">
        <f>IFERROR(ROUND(T756*AB757/1000,2),"")</f>
        <v/>
      </c>
      <c r="AE757" s="998"/>
      <c r="AF757" s="938" t="s">
        <v>342</v>
      </c>
      <c r="AG757" s="1770"/>
      <c r="AH757" s="1770"/>
      <c r="AI757" s="1770"/>
      <c r="AJ757" s="1770"/>
      <c r="AK757" s="1770"/>
      <c r="AL757" s="1770"/>
      <c r="AM757" s="1727"/>
      <c r="AN757" s="1729"/>
      <c r="AO757" s="1731"/>
      <c r="AP757" s="1782"/>
      <c r="AQ757" s="1783"/>
      <c r="AR757" s="1797"/>
      <c r="AS757" s="1797"/>
      <c r="AT757" s="1798"/>
      <c r="AU757" s="1736"/>
      <c r="AV757" s="1753"/>
      <c r="AW757" s="1706"/>
      <c r="AX757" s="468"/>
      <c r="AY757" s="1750"/>
      <c r="AZ757" s="1750"/>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696"/>
      <c r="CQ757" s="1696"/>
      <c r="CR757" s="1809"/>
      <c r="CS757" s="1811"/>
      <c r="CU757" s="1688"/>
      <c r="CV757" s="1703"/>
      <c r="CW757" s="1703"/>
      <c r="CX757" s="1813"/>
      <c r="CY757" s="1815"/>
      <c r="CZ757" s="1711"/>
      <c r="DA757" s="1815"/>
      <c r="DB757" s="1821"/>
      <c r="DC757" s="1821"/>
      <c r="DD757" s="1821"/>
      <c r="DF757" s="1703"/>
      <c r="DG757" s="1831"/>
      <c r="DH757" s="1813"/>
      <c r="DI757" s="1838"/>
      <c r="DJ757" s="1711"/>
      <c r="DK757" s="1712"/>
      <c r="DN757" s="1718"/>
      <c r="DO757" s="1709"/>
      <c r="DQ757" s="1715"/>
      <c r="DR757" s="1720"/>
      <c r="DS757" s="1703"/>
      <c r="DT757" s="1714"/>
      <c r="DU757" s="1715"/>
      <c r="DV757" s="1716"/>
      <c r="DX757" s="1715"/>
      <c r="DY757" s="1720"/>
      <c r="DZ757" s="1715"/>
      <c r="EA757" s="1715"/>
      <c r="EC757" s="1834"/>
      <c r="ED757" s="1834"/>
      <c r="EF757" s="1707"/>
      <c r="EG757" s="1712"/>
      <c r="EH757" s="1815"/>
      <c r="EI757" s="1712"/>
      <c r="EJ757" s="1712"/>
      <c r="EK757" s="1813"/>
      <c r="EL757" s="1813"/>
      <c r="EM757" s="1807"/>
      <c r="EN757" s="1839"/>
      <c r="EO757" s="1839"/>
      <c r="EP757" s="1817"/>
      <c r="EQ757" s="1817"/>
      <c r="ER757" s="1807"/>
      <c r="ES757" s="1807"/>
      <c r="ET757" s="1807"/>
      <c r="EV757" s="1715"/>
      <c r="EX757" s="1806"/>
      <c r="EY757" s="1806"/>
      <c r="EZ757" s="1806"/>
      <c r="FA757" s="1806"/>
      <c r="FB757" s="1806"/>
      <c r="FC757" s="1828"/>
      <c r="FE757" s="1698"/>
      <c r="FG757" s="1703"/>
      <c r="FH757" s="1703"/>
      <c r="FI757" s="133"/>
      <c r="FL757" s="1823"/>
      <c r="FM757" s="1825"/>
      <c r="FN757" s="1698"/>
      <c r="FO757" s="1698"/>
      <c r="FP757" s="1678"/>
      <c r="FQ757" s="1698"/>
      <c r="FS757" s="1687"/>
      <c r="FT757" s="1687"/>
      <c r="FU757" s="1685"/>
      <c r="FV757" s="1687"/>
      <c r="FW757" s="1687"/>
      <c r="FX757" s="1687"/>
      <c r="FY757" s="1697"/>
      <c r="GA757" s="1696"/>
      <c r="GB757" s="1696"/>
      <c r="GC757" s="1696"/>
      <c r="GD757" s="1696"/>
      <c r="GE757" s="1696"/>
      <c r="GF757" s="1696"/>
      <c r="GG757" s="1696"/>
      <c r="GH757" s="1696"/>
      <c r="GI757" s="673"/>
      <c r="GJ757" s="1135"/>
      <c r="GK757" s="1832"/>
      <c r="GN757" s="674">
        <f>IF(GN755=TRUE,0,GN$16)</f>
        <v>0</v>
      </c>
      <c r="GP757" s="674">
        <f>IF(GP755=TRUE,0,GP$16)</f>
        <v>36</v>
      </c>
      <c r="GQ757" s="674">
        <f ca="1">IF(GQ755=TRUE,0,GQ$16)</f>
        <v>35</v>
      </c>
      <c r="GR757" s="391"/>
      <c r="GS757" s="391"/>
      <c r="GT757" s="391"/>
      <c r="GU757" s="391"/>
      <c r="GV757" s="391"/>
      <c r="HG757" s="674">
        <f>IF(HG755=TRUE,0,HG$16)</f>
        <v>0</v>
      </c>
      <c r="HH757" s="674">
        <f t="shared" ref="HH757:HM757" si="698">IF(HH755=TRUE,0,HH$16)</f>
        <v>19</v>
      </c>
      <c r="HI757" s="674">
        <f t="shared" si="698"/>
        <v>18</v>
      </c>
      <c r="HJ757" s="674">
        <f t="shared" si="698"/>
        <v>17</v>
      </c>
      <c r="HK757" s="674">
        <f t="shared" si="698"/>
        <v>16</v>
      </c>
      <c r="HL757" s="674">
        <f t="shared" si="698"/>
        <v>0</v>
      </c>
      <c r="HM757" s="674">
        <f t="shared" si="698"/>
        <v>0</v>
      </c>
      <c r="HN757" s="674">
        <f>IF(HN755=TRUE,0,HN$16)</f>
        <v>13</v>
      </c>
      <c r="HO757" s="674">
        <f t="shared" ref="HO757:HQ757" si="699">IF(HO755=TRUE,0,HO$16)</f>
        <v>0</v>
      </c>
      <c r="HP757" s="674">
        <f t="shared" si="699"/>
        <v>0</v>
      </c>
      <c r="HQ757" s="674">
        <f t="shared" si="699"/>
        <v>10</v>
      </c>
      <c r="HR757" s="674">
        <f>IF(HR755=TRUE,0,HR$16)</f>
        <v>9</v>
      </c>
      <c r="HS757" s="674">
        <f t="shared" ref="HS757:HW757" si="700">IF(HS755=TRUE,0,HS$16)</f>
        <v>0</v>
      </c>
      <c r="HT757" s="674">
        <f t="shared" si="700"/>
        <v>0</v>
      </c>
      <c r="HU757" s="674">
        <f t="shared" si="700"/>
        <v>0</v>
      </c>
      <c r="HV757" s="674">
        <f t="shared" si="700"/>
        <v>0</v>
      </c>
      <c r="HW757" s="674">
        <f t="shared" si="700"/>
        <v>0</v>
      </c>
      <c r="HX757" s="674">
        <f>IF(HX755=TRUE,0,HX$16)</f>
        <v>0</v>
      </c>
      <c r="HY757" s="674">
        <f>IF(HY755=TRUE,0,HY$16)</f>
        <v>0</v>
      </c>
      <c r="HZ757" s="674">
        <f>IF(HZ755=TRUE,0,HZ$16)</f>
        <v>1</v>
      </c>
      <c r="IB757" s="674">
        <f>IF(GP755=FALSE,GP757,IF(GQ755=FALSE,GQ757,MAX(GN757:HZ757)))</f>
        <v>36</v>
      </c>
      <c r="IC757" s="1692"/>
      <c r="ID757" s="205" t="str">
        <f>VLOOKUP(IB757,_Error_Table,3,FALSE)</f>
        <v xml:space="preserve"> </v>
      </c>
      <c r="IE757" s="205"/>
      <c r="IF757" s="1688"/>
      <c r="IG757" s="1689"/>
      <c r="IH757" s="1684"/>
      <c r="IK757" s="1689"/>
      <c r="IL757" s="1692"/>
      <c r="IM757" s="1692"/>
      <c r="IN757" s="1692"/>
      <c r="IP757" s="1679"/>
      <c r="IQ757" s="1679"/>
      <c r="IR757" s="1679"/>
      <c r="IS757" s="1679"/>
      <c r="IT757" s="1679"/>
      <c r="IU757" s="1679"/>
      <c r="IV757" s="1679"/>
      <c r="IW757" s="1679"/>
      <c r="IX757" s="1679"/>
      <c r="IY757" s="1679"/>
      <c r="IZ757" s="1679"/>
      <c r="JA757" s="1679"/>
      <c r="JC757" s="1680"/>
      <c r="JD757" s="1670"/>
      <c r="JE757" s="1681"/>
      <c r="JG757" s="1680"/>
      <c r="JH757" s="1670"/>
      <c r="JI757" s="1060"/>
      <c r="JJ757" s="1670"/>
      <c r="JK757" s="1061"/>
      <c r="JL757" s="1670"/>
      <c r="JM757" s="1061"/>
      <c r="JN757" s="1670"/>
      <c r="JO757" s="1061"/>
      <c r="JP757" s="1670"/>
      <c r="JQ757" s="1061"/>
      <c r="JR757" s="1670"/>
      <c r="JS757" s="1061"/>
      <c r="JT757" s="1670"/>
      <c r="JU757" s="1061"/>
      <c r="JV757" s="1670"/>
      <c r="JX757" s="1670"/>
      <c r="JZ757" s="1670"/>
      <c r="KB757" s="1670"/>
    </row>
    <row r="758" spans="1:288" s="78" customFormat="1" ht="5.0999999999999996" customHeight="1">
      <c r="B758" s="676"/>
      <c r="C758" s="392"/>
      <c r="D758" s="392"/>
      <c r="E758" s="1733"/>
      <c r="F758" s="1733"/>
      <c r="G758" s="1733"/>
      <c r="H758" s="1733"/>
      <c r="I758" s="1733"/>
      <c r="J758" s="1733"/>
      <c r="K758" s="1733"/>
      <c r="L758" s="1733"/>
      <c r="M758" s="1733"/>
      <c r="N758" s="1733"/>
      <c r="O758" s="1733"/>
      <c r="P758" s="1733"/>
      <c r="Q758" s="1733"/>
      <c r="R758" s="1733"/>
      <c r="S758" s="1733"/>
      <c r="T758" s="1733"/>
      <c r="U758" s="1733"/>
      <c r="V758" s="1733"/>
      <c r="W758" s="1733"/>
      <c r="X758" s="1733"/>
      <c r="Y758" s="1733"/>
      <c r="Z758" s="1733"/>
      <c r="AA758" s="1733"/>
      <c r="AB758" s="1733"/>
      <c r="AC758" s="1733"/>
      <c r="AD758" s="1733"/>
      <c r="AE758" s="1733"/>
      <c r="AF758" s="1733"/>
      <c r="AG758" s="1733"/>
      <c r="AH758" s="1733"/>
      <c r="AI758" s="1733"/>
      <c r="AJ758" s="1733"/>
      <c r="AK758" s="1733"/>
      <c r="AL758" s="1733"/>
      <c r="AM758" s="1733"/>
      <c r="AN758" s="1733"/>
      <c r="AO758" s="1733"/>
      <c r="AP758" s="1733"/>
      <c r="AQ758" s="1733"/>
      <c r="AR758" s="1733"/>
      <c r="AS758" s="1733"/>
      <c r="AT758" s="1733"/>
      <c r="AU758" s="1733"/>
      <c r="AV758" s="1733"/>
      <c r="AW758" s="1733"/>
      <c r="AX758" s="469"/>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663"/>
      <c r="CQ758" s="663"/>
      <c r="CR758" s="438"/>
      <c r="CS758" s="663"/>
      <c r="CV758" s="391"/>
      <c r="CW758" s="391"/>
      <c r="CX758" s="207"/>
      <c r="CY758" s="208"/>
      <c r="CZ758" s="208"/>
      <c r="DA758" s="208"/>
      <c r="DB758" s="209"/>
      <c r="DC758" s="209"/>
      <c r="DD758" s="209"/>
      <c r="DF758" s="664"/>
      <c r="DG758" s="665"/>
      <c r="DH758" s="666"/>
      <c r="DI758" s="667"/>
      <c r="DJ758" s="668"/>
      <c r="DK758" s="668"/>
      <c r="DN758" s="208"/>
      <c r="DO758" s="664"/>
      <c r="DQ758" s="664"/>
      <c r="DR758" s="669"/>
      <c r="DS758" s="391"/>
      <c r="DT758" s="664"/>
      <c r="DU758" s="664"/>
      <c r="DV758" s="664"/>
      <c r="DX758" s="664"/>
      <c r="DY758" s="664"/>
      <c r="DZ758" s="664"/>
      <c r="EA758" s="664"/>
      <c r="EC758" s="670"/>
      <c r="ED758" s="670"/>
      <c r="EF758" s="668"/>
      <c r="EG758" s="668"/>
      <c r="EH758" s="208"/>
      <c r="EI758" s="668"/>
      <c r="EJ758" s="668"/>
      <c r="EK758" s="207"/>
      <c r="EL758" s="207"/>
      <c r="EM758" s="666"/>
      <c r="EN758" s="671"/>
      <c r="EO758" s="671"/>
      <c r="EP758" s="672"/>
      <c r="EQ758" s="672"/>
      <c r="ER758" s="666"/>
      <c r="ES758" s="666"/>
      <c r="ET758" s="666"/>
      <c r="EV758" s="664"/>
      <c r="EX758" s="391"/>
      <c r="EY758" s="391"/>
      <c r="EZ758" s="391"/>
      <c r="FA758" s="391"/>
      <c r="FB758" s="391"/>
      <c r="FC758" s="391"/>
      <c r="FE758" s="569"/>
      <c r="FG758" s="391"/>
      <c r="FH758" s="391"/>
      <c r="FI758" s="391"/>
      <c r="FS758" s="664"/>
      <c r="FT758" s="391"/>
      <c r="FU758" s="391"/>
      <c r="FV758" s="664"/>
      <c r="FW758" s="664"/>
      <c r="GA758" s="663"/>
      <c r="GB758" s="663"/>
      <c r="GC758" s="663"/>
      <c r="GD758" s="663"/>
      <c r="GE758" s="663"/>
      <c r="GF758" s="663"/>
      <c r="GG758" s="663"/>
      <c r="GH758" s="663"/>
      <c r="GI758" s="665"/>
      <c r="GJ758" s="664"/>
      <c r="GK758" s="664"/>
    </row>
    <row r="759" spans="1:288" s="78" customFormat="1" ht="14.95" customHeight="1">
      <c r="B759" s="1845" t="str">
        <f>ID762</f>
        <v xml:space="preserve"> </v>
      </c>
      <c r="C759" s="1846">
        <f>C754+1</f>
        <v>138</v>
      </c>
      <c r="D759" s="1847"/>
      <c r="E759" s="1799" t="s">
        <v>295</v>
      </c>
      <c r="F759" s="1800"/>
      <c r="G759" s="1741"/>
      <c r="H759" s="1742"/>
      <c r="I759" s="1742"/>
      <c r="J759" s="1742"/>
      <c r="K759" s="1742"/>
      <c r="L759" s="1742"/>
      <c r="M759" s="1742"/>
      <c r="N759" s="1742"/>
      <c r="O759" s="1742"/>
      <c r="P759" s="1742"/>
      <c r="Q759" s="1742"/>
      <c r="R759" s="1742"/>
      <c r="S759" s="1791" t="s">
        <v>344</v>
      </c>
      <c r="T759" s="590"/>
      <c r="U759" s="1743"/>
      <c r="V759" s="1744"/>
      <c r="W759" s="1744"/>
      <c r="X759" s="1744"/>
      <c r="Y759" s="1744"/>
      <c r="Z759" s="1744"/>
      <c r="AA759" s="1744"/>
      <c r="AB759" s="961" t="str">
        <f>IFERROR(IF(__Retrofit_TI_NC=0,VLOOKUP(U760,Fixtures_Existing_List,2,FALSE),ROUND(N761*R761/T761,10)),"")</f>
        <v/>
      </c>
      <c r="AC759" s="935" t="str">
        <f>IFERROR(IF(__Retrofit_TI_NC=0,ROUND(T760*AB759*N760*R760/1000,0),IF(CQ759="Interior",N761*R761*R760*N760*_C406_reduction/1000,N761*R761*R760*N760/1000)),"")</f>
        <v/>
      </c>
      <c r="AD759" s="936" t="str">
        <f>IFERROR(IF(C$43=0,ROUND(T760*AB759/1000,2),N761*R761/1000),"")</f>
        <v/>
      </c>
      <c r="AE759" s="997"/>
      <c r="AF759" s="937"/>
      <c r="AG759" s="1745" t="str">
        <f>IF(__Retrofit_TI_NC=0," Control","Select Advanced Control for New System")</f>
        <v xml:space="preserve"> Control</v>
      </c>
      <c r="AH759" s="1745"/>
      <c r="AI759" s="1745"/>
      <c r="AJ759" s="1745"/>
      <c r="AK759" s="1745"/>
      <c r="AL759" s="1745"/>
      <c r="AM759" s="1746">
        <f>IFERROR(DI759,"")</f>
        <v>0</v>
      </c>
      <c r="AN759" s="1774" t="str">
        <f>IFERROR(ROUND(AM759*AC759,0),"")</f>
        <v/>
      </c>
      <c r="AO759" s="1776">
        <f>IFERROR(IF(IB759=FALSE,0,AC759-AN759),0)</f>
        <v>0</v>
      </c>
      <c r="AP759" s="1778">
        <f>AO759-AO761</f>
        <v>0</v>
      </c>
      <c r="AQ759" s="1779"/>
      <c r="AR759" s="1793">
        <f>IFERROR(IF(IB759=FALSE,0,(T761*U762)+(AF761*AG762)),0)</f>
        <v>0</v>
      </c>
      <c r="AS759" s="1793"/>
      <c r="AT759" s="1794"/>
      <c r="AU759" s="1734" t="s">
        <v>237</v>
      </c>
      <c r="AV759" s="1751">
        <f>IF(AU759="Yes",1,0)</f>
        <v>1</v>
      </c>
      <c r="AW759" s="1704" t="str">
        <f>IF(OR(DQ759=4,DQ759=5,DQ759=6,DQ759=12),CONCATENATE("$",IF(GH759=TRUE,Lookup!$K$10,Lookup!$K$2)," /lamp"),CONCATENATE(TEXT(ED759,"$0.00"),"/ kWh"))</f>
        <v>$0.00/ kWh</v>
      </c>
      <c r="AX759" s="467"/>
      <c r="AY759" s="1748">
        <f ca="1">IFERROR(IF(GM760=TRUE,(AB762*T761)/R761,0),"NA")</f>
        <v>0</v>
      </c>
      <c r="AZ759" s="1748"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696" t="str">
        <f>N760</f>
        <v/>
      </c>
      <c r="CQ759" s="1696" t="str">
        <f>IFERROR(VLOOKUP(G760,_Lookup_Heat_Type_Table_New,3,FALSE),"")</f>
        <v/>
      </c>
      <c r="CR759" s="1808" t="str">
        <f>CQ759</f>
        <v/>
      </c>
      <c r="CS759" s="1810" t="str">
        <f>IFERROR(VLOOKUP(G761,'Space Table'!$B$3:$L$163,9,FALSE),"")</f>
        <v/>
      </c>
      <c r="CU759" s="1688" t="s">
        <v>344</v>
      </c>
      <c r="CV759" s="1702">
        <f>IF(IB759=TRUE,T760,0)</f>
        <v>0</v>
      </c>
      <c r="CW759" s="1702" t="str">
        <f>IF(IB759=TRUE,U760,"")</f>
        <v/>
      </c>
      <c r="CX759" s="1702"/>
      <c r="CY759" s="1814">
        <f>IF(IB759=TRUE,AB759,0)</f>
        <v>0</v>
      </c>
      <c r="CZ759" s="1710">
        <f>IF(AND(__Retrofit_TI_NC&gt;0,CR759="interior"),0,IF(IB759=TRUE,AC759,0))</f>
        <v>0</v>
      </c>
      <c r="DA759" s="1814">
        <f>IFERROR(IF(IB759=TRUE,CZ759-CZ761,0),0)</f>
        <v>0</v>
      </c>
      <c r="DB759" s="1819">
        <f>IF(IB759=TRUE,AD759,0)</f>
        <v>0</v>
      </c>
      <c r="DC759" s="1819">
        <f>IF(IB759=TRUE,AD762,0)</f>
        <v>0</v>
      </c>
      <c r="DD759" s="1819">
        <f>IFERROR(DB759-DC759,0)</f>
        <v>0</v>
      </c>
      <c r="DF759" s="1702">
        <f>IF(IB759=TRUE,AF760,0)</f>
        <v>0</v>
      </c>
      <c r="DG759" s="1830">
        <f>IFERROR(IF(__Retrofit_TI_NC=2,IF(CQ759="Exterior",O762,FQ759),FN759),"")</f>
        <v>0</v>
      </c>
      <c r="DH759" s="1702"/>
      <c r="DI759" s="1837">
        <f>JE759</f>
        <v>0</v>
      </c>
      <c r="DJ759" s="1710">
        <f>IF(AND(__Retrofit_TI_NC&gt;0,CR759="interior"),0,IF(IB759=TRUE,AN759,0))</f>
        <v>0</v>
      </c>
      <c r="DK759" s="1712">
        <f>IFERROR(IF(IB759=TRUE,DJ761-DJ759,0),0)</f>
        <v>0</v>
      </c>
      <c r="DM759" s="1717">
        <f>IFERROR(CZ759-DJ759,0)</f>
        <v>0</v>
      </c>
      <c r="DO759" s="1708">
        <f>DM759-DN761</f>
        <v>0</v>
      </c>
      <c r="DQ759" s="1715" t="str">
        <f>IFERROR(IF(AND(OR(GC759=4,GC759=5,GC759=6),OR(GF759=4,GF759=5,GF759=6)),GC759+8,VLOOKUP(CW761,Fixtures!R$31:Y$78,8,FALSE)),"")</f>
        <v/>
      </c>
      <c r="DR759" s="1829" t="str">
        <f>DQ759</f>
        <v/>
      </c>
      <c r="DS759" s="1702" t="str">
        <f>IFERROR(VLOOKUP(DG761,Lookup!BB$3:BC$20,2,FALSE),"")</f>
        <v/>
      </c>
      <c r="DT759" s="1713" t="str">
        <f>IF(OR(DS759=7,DS759=8,DS759=9),"ALC","")</f>
        <v/>
      </c>
      <c r="DU759" s="1715">
        <f>IFERROR(IF(OR(DQ759=4,DQ759=5,DQ759=6,DQ759=12,DQ759=13,DQ759=14),VLOOKUP(CW761,Fixtures!DN$27:EG$77,19,FALSE),1)*CV761,0)</f>
        <v>0</v>
      </c>
      <c r="DV759" s="1716">
        <f>IF(OR(DS759=7,DS759=8,DS759=9),IF(DG759=DG761,0,DF761),0)</f>
        <v>0</v>
      </c>
      <c r="DX759" s="1715" t="str">
        <f>IFERROR(IF(EZ759&lt;EZ761,"Yes","No"),"")</f>
        <v/>
      </c>
      <c r="DY759" s="1829" t="str">
        <f>DX759</f>
        <v/>
      </c>
      <c r="DZ759" s="1715">
        <f>IF(DX759="Yes",DF761,0)</f>
        <v>0</v>
      </c>
      <c r="EA759" s="1715">
        <f>DZ759-DV759</f>
        <v>0</v>
      </c>
      <c r="EC759" s="1834">
        <f>IFERROR(VLOOKUP(DQ759,Lookup!AU$3:AV$16,2,FALSE),0)</f>
        <v>0</v>
      </c>
      <c r="ED759" s="1834">
        <f>IF(IB759=FALSE,0,IF(DX759="Yes",EC759+Lookup!K$6,EC759))</f>
        <v>0</v>
      </c>
      <c r="EF759" s="1707">
        <f>IF(IB759=TRUE,DM759,0)</f>
        <v>0</v>
      </c>
      <c r="EG759" s="1712">
        <f>IF(IB759=TRUE,CZ761,0)</f>
        <v>0</v>
      </c>
      <c r="EH759" s="1814">
        <f>IFERROR(EF759-EG759,0)</f>
        <v>0</v>
      </c>
      <c r="EI759" s="1712">
        <f>IF(IB759=TRUE,DJ761,0)</f>
        <v>0</v>
      </c>
      <c r="EJ759" s="1712">
        <f>IFERROR(EF759-EG759+EI759,0)</f>
        <v>0</v>
      </c>
      <c r="EK759" s="1812">
        <f>IF(IB759=TRUE,CV761*CX761,0)</f>
        <v>0</v>
      </c>
      <c r="EL759" s="1812">
        <f>IF(IB759=TRUE,DF761*DH761,0)</f>
        <v>0</v>
      </c>
      <c r="EM759" s="1807">
        <f>AR759</f>
        <v>0</v>
      </c>
      <c r="EN759" s="1839" t="str">
        <f>IFERROR(IF(IB759=TRUE,VLOOKUP(DQ759,Lookup!AU$3:AW$16,3,FALSE)*DU759,""),0)</f>
        <v/>
      </c>
      <c r="EO759" s="1839">
        <f>IF(IB759=TRUE,DZ759*Lookup!AW$12,0)</f>
        <v>0</v>
      </c>
      <c r="EP759" s="1817">
        <f>IFERROR(IF(IB759=TRUE,EN759/EP$40,0),0)</f>
        <v>0</v>
      </c>
      <c r="EQ759" s="1817">
        <f>IF(IB759=TRUE,EO759/EQ$40,0)</f>
        <v>0</v>
      </c>
      <c r="ER759" s="1807">
        <f>IF(IB759=TRUE,ET$40*EP759,0)</f>
        <v>0</v>
      </c>
      <c r="ES759" s="1807">
        <f>IF(IB759=TRUE,ET$40*EQ759,0)</f>
        <v>0</v>
      </c>
      <c r="ET759" s="1807">
        <f>ER759+ES759</f>
        <v>0</v>
      </c>
      <c r="EV759" s="1715">
        <f>IF(G759="",0,1)</f>
        <v>0</v>
      </c>
      <c r="EX759" s="1804" t="str">
        <f>IFERROR(VLOOKUP(CS761,'Space Table'!$B$3:$L$163,8,FALSE),"")</f>
        <v/>
      </c>
      <c r="EY759" s="1804" t="str">
        <f>IFERROR(IF(FB759="Yes",VLOOKUP(DG759,Lookup_Control_Type_Table2,4,FALSE),VLOOKUP(DG759,Lookup_Control_Type_Table2,3,FALSE)),"")</f>
        <v/>
      </c>
      <c r="EZ759" s="1804" t="e">
        <f>VLOOKUP(DG759,Lookup!BB$3:BC$20,2,FALSE)</f>
        <v>#N/A</v>
      </c>
      <c r="FA759" s="1804" t="e">
        <f>VLOOKUP(EX759,Lookup_Control_Type_Table,2,FALSE)</f>
        <v>#N/A</v>
      </c>
      <c r="FB759" s="1804" t="e">
        <f>VLOOKUP(CS761,'Space Table'!$B$3:$L$163,7,FALSE)</f>
        <v>#N/A</v>
      </c>
      <c r="FC759" s="1826" t="b">
        <f>ISNUMBER(SEARCH("TLED",U761))</f>
        <v>0</v>
      </c>
      <c r="FE759" s="1698" t="str">
        <f>CONCATENATE(CQ759," - ",DG759)</f>
        <v xml:space="preserve"> - 0</v>
      </c>
      <c r="FG759" s="1702" t="str">
        <f>VLOOKUP(CW761,Fixtures!DN$27:EZ$77,38,FALSE)</f>
        <v/>
      </c>
      <c r="FH759" s="1702">
        <f>IFERROR(FG759*EH759,0)</f>
        <v>0</v>
      </c>
      <c r="FI759" s="133"/>
      <c r="FL759" s="1822" t="str">
        <f>IF(CQ759="Exterior","Not Daylighted",G762)</f>
        <v>Not Daylighted</v>
      </c>
      <c r="FM759" s="1824">
        <f>VLOOKUP(FL759,_New_Daylight_Table_Codes,2,FALSE)</f>
        <v>0</v>
      </c>
      <c r="FN759" s="1698">
        <f>IF(__Retrofit_TI_NC&gt;0,VLOOKUP(G761,'Space Table'!$B$3:$L$163,11,FALSE),AG760)</f>
        <v>0</v>
      </c>
      <c r="FO759" s="1698" t="e">
        <f>IF(__Retrofit_TI_NC=2,VLOOKUP(FQ759,_Control_Table,2,FALSE),VLOOKUP(FN759,_Control_Table,2,FALSE))</f>
        <v>#N/A</v>
      </c>
      <c r="FP759" s="1678" t="e">
        <f>VLOOKUP(CONCATENATE(FL759," ",FN759),Lookup!AY$102:AZ769,2,FALSE)</f>
        <v>#N/A</v>
      </c>
      <c r="FQ759" s="1678">
        <f>IF(__Retrofit_TI_NC=0,FN759,IF(AND(FT759&gt;0,FN759="Occupancy Sensor"),"Daylight + Occupancy",IF(AND(FT759&gt;0,VLOOKUP(FN759,_Control_Table,2,FALSE)&lt;4),"Interior Daylight Dimming",FN759)))</f>
        <v>0</v>
      </c>
      <c r="FS759" s="1686">
        <f>IF(CR759="Interior",VLOOKUP(CS759,Control_Savings_Interior,5,FALSE),0)</f>
        <v>0</v>
      </c>
      <c r="FT759" s="1687">
        <f>IF(CQ759="Exterior",0,IF(FM759=2,0.5,IF(OR(FM759=1,FM759=3),1,0)))</f>
        <v>0</v>
      </c>
      <c r="FU759" s="1685">
        <f>IF(R758&gt;FS$44,(FS759*(FS$44/R758)),FS759)*FT759</f>
        <v>0</v>
      </c>
      <c r="FV759" s="1686">
        <f>DI759</f>
        <v>0</v>
      </c>
      <c r="FW759" s="1686">
        <f>ROUND(FV759+((1-FV759)*FU759),2)</f>
        <v>0</v>
      </c>
      <c r="FX759" s="1686">
        <f>IF(__Retrofit_TI_NC=2,FW759,FV759)</f>
        <v>0</v>
      </c>
      <c r="FY759" s="1697"/>
      <c r="GA759" s="1696" t="str">
        <f>IFERROR(VLOOKUP(U760,_Exist_Fixture_Table,3,FALSE),"")</f>
        <v/>
      </c>
      <c r="GB759" s="1696" t="str">
        <f>VLOOKUP(CW759,_Exist_Fixture_Table,4,FALSE)</f>
        <v/>
      </c>
      <c r="GC759" s="1696">
        <f>IFERROR(VLOOKUP(GB759,Lookup!AT$6:AU$8,2,FALSE),0)</f>
        <v>0</v>
      </c>
      <c r="GD759" s="1696" t="b">
        <f>IFERROR(IF(OR(GF759=4,GF759=5,GF759=6),TRUE,FALSE),"")</f>
        <v>0</v>
      </c>
      <c r="GE759" s="1696" t="str">
        <f>IFERROR(VLOOKUP(GF759,GC$6:GD$10,2,FALSE),"")</f>
        <v/>
      </c>
      <c r="GF759" s="1696" t="str">
        <f>VLOOKUP(CW761,Fixtures!R$31:Y$78,8,FALSE)</f>
        <v/>
      </c>
      <c r="GG759" s="1696">
        <f>IF(AND(GA759=TRUE,GD759=TRUE,OR(DQ759=12,DQ759=13,DQ759=14)),GC759+8,0)</f>
        <v>0</v>
      </c>
      <c r="GH759" s="1696" t="b">
        <f>IF(OR(GG759=12,GG759=13,GG759=14),TRUE,FALSE)</f>
        <v>0</v>
      </c>
      <c r="GI759" s="673" t="b">
        <f>IF(ISNUMBER(SEARCH("TLED",U760)),TRUE,FALSE)</f>
        <v>0</v>
      </c>
      <c r="GJ759" s="1135" t="str">
        <f>IFERROR(VLOOKUP(U760,Fixtures!BM$93:BR$142,6,FALSE),"")</f>
        <v/>
      </c>
      <c r="GK759" s="1832" t="b">
        <f>IF(OR(GI759=FALSE,GI761=FALSE),TRUE,IF(GJ759-GJ761&lt;5,FALSE,TRUE))</f>
        <v>1</v>
      </c>
      <c r="GO759" s="674">
        <f>GP759</f>
        <v>0</v>
      </c>
      <c r="GP759" s="674">
        <f>IF(G759="",0,1)</f>
        <v>0</v>
      </c>
      <c r="GQ759" s="674">
        <f ca="1">SUM(GR759:HF759)</f>
        <v>2</v>
      </c>
      <c r="GR759" s="674">
        <f>IF(G760="",0,1)</f>
        <v>0</v>
      </c>
      <c r="GS759" s="674">
        <f>IF(N762="BAM",1,IF(G761="",0,1))</f>
        <v>0</v>
      </c>
      <c r="GT759" s="674">
        <f>IF(N762="BAM",1,IF(R760="",0,1))</f>
        <v>0</v>
      </c>
      <c r="GU759" s="674">
        <f>IF(N762="BAM",1,IF(__Retrofit_TI_NC=0,1,IF(R761="",0,1)))</f>
        <v>1</v>
      </c>
      <c r="GV759" s="674">
        <f>IF(N762="BAM",1,IF(CQ759="Exterior",1,IF(G762="",0,1)))</f>
        <v>1</v>
      </c>
      <c r="GW759" s="674">
        <f>IF(__Retrofit_TI_NC&gt;0,1,IF(T760="",0,1))</f>
        <v>0</v>
      </c>
      <c r="GX759" s="674">
        <f>IF(__Retrofit_TI_NC&gt;0,1,IF(U760="",0,1))</f>
        <v>0</v>
      </c>
      <c r="GY759" s="674">
        <f>IF(N762="BAM",1,IF(T761="",0,1))</f>
        <v>0</v>
      </c>
      <c r="GZ759" s="674">
        <f>IF(N762="BAM",1,IF(U761="",0,1))</f>
        <v>0</v>
      </c>
      <c r="HA759" s="674">
        <f ca="1">IF(N762="BAM",1,IF(__Retrofit_TI_NC&gt;0,1,IF(U762="",0,1)))</f>
        <v>0</v>
      </c>
      <c r="HB759" s="674">
        <f>IF(__Retrofit_TI_NC&lt;&gt;0,1,IF(AF760="",0,1))</f>
        <v>0</v>
      </c>
      <c r="HC759" s="674">
        <f>IF(__Retrofit_TI_NC&lt;&gt;0,1,IF(AG760="",0,1))</f>
        <v>0</v>
      </c>
      <c r="HD759" s="674">
        <f>IF(N762="BAM",1,IF(AF761="",0,1))</f>
        <v>0</v>
      </c>
      <c r="HE759" s="674">
        <f>IF(N762="BAM",1,IF(AG761="",0,1))</f>
        <v>0</v>
      </c>
      <c r="HF759" s="674">
        <f>IF(N762="BAM",1,IF(__Retrofit_TI_NC&gt;0,1,IF(AG762="",0,1)))</f>
        <v>0</v>
      </c>
      <c r="HG759" s="391"/>
      <c r="IA759" s="391"/>
      <c r="IB759" s="1693" t="b">
        <f>IF(OR(IB762=0,IB762=HY$16,IB762=HX$16,IB762=HZ$16),TRUE,FALSE)</f>
        <v>0</v>
      </c>
      <c r="IC759" s="1694" t="b">
        <f>IB759</f>
        <v>0</v>
      </c>
      <c r="ID759" s="391"/>
      <c r="IE759" s="391"/>
      <c r="IF759" s="1688" t="b">
        <f ca="1">IF(MAX(GN762:HU762)&gt;5,FALSE,TRUE)</f>
        <v>0</v>
      </c>
      <c r="IG759" s="1689">
        <f ca="1">IF(IF759=TRUE,AC759,0)</f>
        <v>0</v>
      </c>
      <c r="IH759" s="1689">
        <f ca="1">IG759-IG761</f>
        <v>0</v>
      </c>
      <c r="IK759" s="1689" t="e">
        <f>ROUND(T760*VLOOKUP(U760,Fixtures_Existing_List,2,FALSE)*N760*R760/1000,0)</f>
        <v>#N/A</v>
      </c>
      <c r="IL759" s="1690" t="e">
        <f>IK759-IK761</f>
        <v>#N/A</v>
      </c>
      <c r="IM759" s="1693" t="e">
        <f>ROUND(IF(CQ759="Interior",N761*R761*R760*N760*_C406_reduction/1000,N761*R761*R760*N760/1000),0)</f>
        <v>#N/A</v>
      </c>
      <c r="IN759" s="1693" t="e">
        <f>IM759-IM761</f>
        <v>#N/A</v>
      </c>
      <c r="IP759" s="1679"/>
      <c r="IQ759" s="1679" t="e">
        <f t="shared" ref="IQ759:IU759" si="701">IF($CR759="interior",VLOOKUP($CS759,_New_Control_Savings_Interior,IQ$30,FALSE),VLOOKUP($CS759,Control_Savings_Exterior,IQ$30,FALSE))</f>
        <v>#N/A</v>
      </c>
      <c r="IR759" s="1679" t="e">
        <f t="shared" si="701"/>
        <v>#N/A</v>
      </c>
      <c r="IS759" s="1679" t="e">
        <f t="shared" si="701"/>
        <v>#N/A</v>
      </c>
      <c r="IT759" s="1679" t="e">
        <f t="shared" si="701"/>
        <v>#N/A</v>
      </c>
      <c r="IU759" s="1679" t="e">
        <f t="shared" si="701"/>
        <v>#N/A</v>
      </c>
      <c r="IV759" s="1679" t="e">
        <f>IF($CR759="interior",IF(R760&gt;$IP$14,ROUND(($IV$18*($IP$14/R760)),2),$IV$18),VLOOKUP($CS759,Control_Savings_Exterior,IV$30,FALSE))</f>
        <v>#N/A</v>
      </c>
      <c r="IW759" s="1679" t="e">
        <f>IF($CR759="interior",ROUND(((1-IS759)*IV759)+IS759,2),VLOOKUP($CS759,Control_Savings_Exterior,IW$30,FALSE))</f>
        <v>#N/A</v>
      </c>
      <c r="IX759" s="1679" t="e">
        <f>IF($CR759="interior",ROUND(((1-IT759)*IV759)+IT759,2),VLOOKUP($CS759,Control_Savings_Exterior,IX$30,FALSE))</f>
        <v>#N/A</v>
      </c>
      <c r="IY759" s="1679" t="e">
        <f>IF($CR759="interior",IF(R760&gt;$IP$14,ROUND(($IY$18*($IP$14/R760)),2),$IY$18),VLOOKUP($CS759,Control_Savings_Exterior,IY$30,FALSE))</f>
        <v>#N/A</v>
      </c>
      <c r="IZ759" s="1679" t="e">
        <f>IF($CR759="interior",ROUND(((1-IS759)*IY759)+IS759,2),VLOOKUP($CS759,Control_Savings_Exterior,IZ$30,FALSE))</f>
        <v>#N/A</v>
      </c>
      <c r="JA759" s="1679" t="e">
        <f>IF($CR759="interior",ROUND(((1-IT759)*IY759)+IT759,2),VLOOKUP($CS759,Control_Savings_Exterior,JA$30,FALSE))</f>
        <v>#N/A</v>
      </c>
      <c r="JC759" s="1680">
        <f>IFERROR(IF(CR759="Interior",CONCATENATE(G762," ",FQ759),FQ759),"")</f>
        <v>0</v>
      </c>
      <c r="JD759" s="1670" t="str">
        <f>IFERROR(VLOOKUP(JC759,_Controls_2023,2,FALSE),"")</f>
        <v/>
      </c>
      <c r="JE759" s="1681">
        <f>IFERROR(CHOOSE(JD759-1,IQ759,IR759,IS759,IT759,IU759,IV759,IW759,IX759,IY759,IZ759,JA759),0)</f>
        <v>0</v>
      </c>
      <c r="JG759" s="1680" t="str">
        <f>FE759</f>
        <v xml:space="preserve"> - 0</v>
      </c>
      <c r="JH759" s="1670" t="e">
        <f>$FO759</f>
        <v>#N/A</v>
      </c>
      <c r="JI759" s="1060"/>
      <c r="JJ759" s="1682" t="b">
        <f>IF($JG761=CONCATENATE("Interior - ",JJ$4),TRUE,FALSE)</f>
        <v>0</v>
      </c>
      <c r="JK759" s="1061"/>
      <c r="JL759" s="1682" t="b">
        <f>IF($JG761=CONCATENATE("Interior - ",JL$4),TRUE,FALSE)</f>
        <v>0</v>
      </c>
      <c r="JM759" s="1061"/>
      <c r="JN759" s="1682" t="b">
        <f>IF($JG761=CONCATENATE("Interior - ",JN$4),TRUE,FALSE)</f>
        <v>0</v>
      </c>
      <c r="JO759" s="1061"/>
      <c r="JP759" s="1682" t="b">
        <f>IF(__Retrofit_TI_NC&gt;0,FALSE,IF($JG761=CONCATENATE("Interior - ",JP$4),TRUE,FALSE))</f>
        <v>0</v>
      </c>
      <c r="JQ759" s="1061"/>
      <c r="JR759" s="1682" t="b">
        <f>IF(__Retrofit_TI_NC&gt;0,FALSE,IF($JG761=CONCATENATE("Interior - ",JR$4),TRUE,FALSE))</f>
        <v>0</v>
      </c>
      <c r="JS759" s="1061"/>
      <c r="JT759" s="1670" t="b">
        <f>IF(__Retrofit_TI_NC&gt;0,FALSE,IF($JG761=CONCATENATE("Interior - ",JT$4),TRUE,FALSE))</f>
        <v>0</v>
      </c>
      <c r="JU759" s="1061"/>
      <c r="JV759" s="1670" t="b">
        <f>IF(JC761="AELC on Existing",TRUE,FALSE)</f>
        <v>0</v>
      </c>
      <c r="JX759" s="1670" t="b">
        <f>IF(OR(JG761="Exterior - AELC Occupancy based",JG761="Exterior - AELC Time based"),TRUE,FALSE)</f>
        <v>0</v>
      </c>
      <c r="JZ759" s="1682" t="b">
        <f>IF($JG761=CONCATENATE("Exterior - ",JZ$4),TRUE,FALSE)</f>
        <v>0</v>
      </c>
      <c r="KB759" s="1670" t="b">
        <f>IF(__Retrofit_TI_NC&gt;0,FALSE,IF($JG761=CONCATENATE("Interior - ",KB$4),TRUE,FALSE))</f>
        <v>0</v>
      </c>
    </row>
    <row r="760" spans="1:288" s="78" customFormat="1" ht="14.95" customHeight="1" thickTop="1" thickBot="1">
      <c r="B760" s="1845"/>
      <c r="C760" s="1846"/>
      <c r="D760" s="1847"/>
      <c r="E760" s="1737" t="s">
        <v>297</v>
      </c>
      <c r="F760" s="1738"/>
      <c r="G760" s="1739"/>
      <c r="H760" s="1739"/>
      <c r="I760" s="1739"/>
      <c r="J760" s="1739"/>
      <c r="K760" s="1739"/>
      <c r="L760" s="1739"/>
      <c r="M760" s="461" t="e">
        <f>IF(__Retrofit_TI_NC&lt;&gt;0,IF(VLOOKUP(G761,'Space Table'!$B$3:$L$163,3,FALSE)&gt;0,1,0),IF(__Retrofit_TI_NC=VLOOKUP(G761,'Space Table'!$B$3:$L$163,3,FALSE),1,0))</f>
        <v>#N/A</v>
      </c>
      <c r="N760" s="461" t="str">
        <f>IFERROR(VLOOKUP(G760,_Lookup_Heat_Type_Table_New,2,FALSE),"")</f>
        <v/>
      </c>
      <c r="O760" s="461">
        <f>IF(__Retrofit_TI_NC=1,CONCATENATE("TI ",G760),IF(__Retrofit_TI_NC=2,CONCATENATE("NC ",G760),G760))</f>
        <v>0</v>
      </c>
      <c r="P760" s="1740" t="s">
        <v>435</v>
      </c>
      <c r="Q760" s="1740"/>
      <c r="R760" s="595"/>
      <c r="S760" s="1792"/>
      <c r="T760" s="597"/>
      <c r="U760" s="1765"/>
      <c r="V760" s="1766"/>
      <c r="W760" s="1766"/>
      <c r="X760" s="1766"/>
      <c r="Y760" s="1766"/>
      <c r="Z760" s="1766"/>
      <c r="AA760" s="1766"/>
      <c r="AB760" s="1766"/>
      <c r="AC760" s="1766"/>
      <c r="AD760" s="1767"/>
      <c r="AE760" s="1000"/>
      <c r="AF760" s="597"/>
      <c r="AG760" s="1723"/>
      <c r="AH760" s="1724"/>
      <c r="AI760" s="1724"/>
      <c r="AJ760" s="1724"/>
      <c r="AK760" s="1725"/>
      <c r="AL760" s="996"/>
      <c r="AM760" s="1747"/>
      <c r="AN760" s="1775"/>
      <c r="AO760" s="1777"/>
      <c r="AP760" s="1780"/>
      <c r="AQ760" s="1781"/>
      <c r="AR760" s="1795"/>
      <c r="AS760" s="1795"/>
      <c r="AT760" s="1796"/>
      <c r="AU760" s="1735"/>
      <c r="AV760" s="1752"/>
      <c r="AW760" s="1705"/>
      <c r="AX760" s="467"/>
      <c r="AY760" s="1749"/>
      <c r="AZ760" s="1749"/>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696"/>
      <c r="CQ760" s="1696"/>
      <c r="CR760" s="1809"/>
      <c r="CS760" s="1811"/>
      <c r="CU760" s="1688"/>
      <c r="CV760" s="1703"/>
      <c r="CW760" s="1703"/>
      <c r="CX760" s="1703"/>
      <c r="CY760" s="1815"/>
      <c r="CZ760" s="1711"/>
      <c r="DA760" s="1818"/>
      <c r="DB760" s="1820"/>
      <c r="DC760" s="1820"/>
      <c r="DD760" s="1820"/>
      <c r="DF760" s="1703"/>
      <c r="DG760" s="1831"/>
      <c r="DH760" s="1703"/>
      <c r="DI760" s="1838"/>
      <c r="DJ760" s="1711"/>
      <c r="DK760" s="1712"/>
      <c r="DM760" s="1718"/>
      <c r="DO760" s="1708"/>
      <c r="DQ760" s="1715"/>
      <c r="DR760" s="1720"/>
      <c r="DS760" s="1816"/>
      <c r="DT760" s="1714"/>
      <c r="DU760" s="1715"/>
      <c r="DV760" s="1716"/>
      <c r="DX760" s="1715"/>
      <c r="DY760" s="1720"/>
      <c r="DZ760" s="1715"/>
      <c r="EA760" s="1715"/>
      <c r="EC760" s="1834"/>
      <c r="ED760" s="1834"/>
      <c r="EF760" s="1707"/>
      <c r="EG760" s="1712"/>
      <c r="EH760" s="1818"/>
      <c r="EI760" s="1712"/>
      <c r="EJ760" s="1712"/>
      <c r="EK760" s="1836"/>
      <c r="EL760" s="1836"/>
      <c r="EM760" s="1807"/>
      <c r="EN760" s="1839"/>
      <c r="EO760" s="1839"/>
      <c r="EP760" s="1817"/>
      <c r="EQ760" s="1817"/>
      <c r="ER760" s="1807"/>
      <c r="ES760" s="1807"/>
      <c r="ET760" s="1807"/>
      <c r="EV760" s="1715"/>
      <c r="EX760" s="1805"/>
      <c r="EY760" s="1805"/>
      <c r="EZ760" s="1805"/>
      <c r="FA760" s="1805"/>
      <c r="FB760" s="1805"/>
      <c r="FC760" s="1827"/>
      <c r="FE760" s="1698"/>
      <c r="FG760" s="1816"/>
      <c r="FH760" s="1816"/>
      <c r="FI760" s="133"/>
      <c r="FL760" s="1823"/>
      <c r="FM760" s="1825"/>
      <c r="FN760" s="1698"/>
      <c r="FO760" s="1698"/>
      <c r="FP760" s="1678"/>
      <c r="FQ760" s="1678"/>
      <c r="FS760" s="1687"/>
      <c r="FT760" s="1687"/>
      <c r="FU760" s="1685"/>
      <c r="FV760" s="1687"/>
      <c r="FW760" s="1687"/>
      <c r="FX760" s="1687"/>
      <c r="FY760" s="1697"/>
      <c r="GA760" s="1696"/>
      <c r="GB760" s="1696"/>
      <c r="GC760" s="1696"/>
      <c r="GD760" s="1696"/>
      <c r="GE760" s="1696"/>
      <c r="GF760" s="1696"/>
      <c r="GG760" s="1696"/>
      <c r="GH760" s="1696"/>
      <c r="GI760" s="673"/>
      <c r="GJ760" s="1135"/>
      <c r="GK760" s="1832"/>
      <c r="GM760" s="1693" t="b">
        <f ca="1">IF(AND(GP760=TRUE,GQ760=TRUE),TRUE,FALSE)</f>
        <v>0</v>
      </c>
      <c r="GN760" s="1684" t="b">
        <f>IFERROR(IF(__Retrofit_TI_NC=2,TRUE,IF(AU759="Yes",TRUE,FALSE)),FALSE)</f>
        <v>1</v>
      </c>
      <c r="GP760" s="1684" t="b">
        <f>IFERROR(IF(GP759=1,TRUE,FALSE),FALSE)</f>
        <v>0</v>
      </c>
      <c r="GQ760" s="1684" t="b">
        <f ca="1">IFERROR(IF(GQ759=GQ$14,TRUE,FALSE),FALSE)</f>
        <v>0</v>
      </c>
      <c r="HG760" s="1684" t="b">
        <f>IFERROR(IF(AND(__Retrofit_TI_NC&gt;0,CQ759="Interior"),FALSE,TRUE),FALSE)</f>
        <v>1</v>
      </c>
      <c r="HH760" s="1684" t="b">
        <f>IFERROR(IF(M760=1,TRUE,FALSE),FALSE)</f>
        <v>0</v>
      </c>
      <c r="HI760" s="1684" t="b">
        <f>IFERROR(IF(OR(M761=1,N762="BAM"),TRUE,FALSE),FALSE)</f>
        <v>0</v>
      </c>
      <c r="HJ760" s="1684" t="b">
        <f>IFERROR(IF(__Retrofit_TI_NC&lt;&gt;0,TRUE,IFERROR(IF(VLOOKUP(U760,Fixtures_Existing_List,2,FALSE)&lt;&gt;"",TRUE,FALSE),FALSE)),FALSE)</f>
        <v>0</v>
      </c>
      <c r="HK760" s="1684" t="b">
        <f>IFERROR(IF(VLOOKUP(U761,Fixtures_Proposed_List,2,FALSE)&lt;&gt;"",TRUE,FALSE),FALSE)</f>
        <v>0</v>
      </c>
      <c r="HL760" s="1684" t="b">
        <f>IF(AND(__Retrofit_TI_NC=2,FC759=TRUE),FALSE,TRUE)</f>
        <v>1</v>
      </c>
      <c r="HM760" s="1684" t="b">
        <f>GK759</f>
        <v>1</v>
      </c>
      <c r="HN760" s="1682" t="b">
        <f>IF(ISERROR(MATCH(FE759,_Control_Match[],0))=TRUE,FALSE,TRUE)</f>
        <v>0</v>
      </c>
      <c r="HO760" s="1693" t="b">
        <f>IFERROR(IF(EX759&lt;&gt;EY759,FALSE,TRUE),FALSE)</f>
        <v>1</v>
      </c>
      <c r="HP760" s="1693" t="b">
        <f>IFERROR(IF(EX761&lt;&gt;EY761,FALSE,TRUE),FALSE)</f>
        <v>1</v>
      </c>
      <c r="HQ760" s="1670" t="b">
        <f>IFERROR(IF(CQ759="Exterior",TRUE,IF(AND(OR(FM761=0,FM761=3),JD761&gt;6),FALSE,TRUE)),FALSE)</f>
        <v>0</v>
      </c>
      <c r="HR760" s="1684" t="b">
        <f>IFERROR(IF(AND(FO761=7,FC759=TRUE),FALSE,TRUE),FALSE)</f>
        <v>0</v>
      </c>
      <c r="HS760" s="1684" t="b">
        <f>IFERROR(IF(AND(T761&lt;&gt;AF761,OR(AG761="Interior LLLC", AG761="Interior NLC", AG761="LLLC (outside Daylight)",AG761="LLLC Controls Only"))=TRUE,FALSE,TRUE),FALSE)</f>
        <v>1</v>
      </c>
      <c r="HT760" s="1670" t="b">
        <f>IFERROR(IF(OR(AG761=Lookup!BB$17,AG761=Lookup!BB$18,AG761=Lookup!BB$19)=TRUE,IF(AF761&gt;T761,FALSE,TRUE),TRUE),FALSE)</f>
        <v>1</v>
      </c>
      <c r="HU760" s="1684" t="b">
        <f>IFERROR(IF(__Retrofit_TI_NC=2,IF(EZ761&lt;EZ759,FALSE,TRUE),TRUE),FALSE)</f>
        <v>1</v>
      </c>
      <c r="HV760" s="1684" t="b">
        <f>IF(CQ759="Interior",IL$6,TRUE)</f>
        <v>1</v>
      </c>
      <c r="HW760" s="1684" t="b">
        <f>IF(CQ759="Exterior",IL$8,TRUE)</f>
        <v>1</v>
      </c>
      <c r="HX760" s="1684" t="b">
        <f>IFERROR(IF(__Retrofit_TI_NC&lt;&gt;0,IF(AZ759&lt;AY759,FALSE,TRUE),TRUE),FALSE)</f>
        <v>1</v>
      </c>
      <c r="HY760" s="1684" t="b">
        <f>IFERROR(IF(AND(G760="Exterior",R760&gt;4200),FALSE,TRUE),FALSE)</f>
        <v>1</v>
      </c>
      <c r="HZ760" s="1684" t="b">
        <f>IFERROR(IF(AB762/AB759&lt;HZ$18,FALSE,TRUE),FALSE)</f>
        <v>0</v>
      </c>
      <c r="IB760" s="1691"/>
      <c r="IC760" s="1695"/>
      <c r="ID760" s="1694" t="str">
        <f>VLOOKUP(IB762,_Error_Table,4,FALSE)</f>
        <v>White</v>
      </c>
      <c r="IE760" s="391"/>
      <c r="IF760" s="1688"/>
      <c r="IG760" s="1689"/>
      <c r="IH760" s="1684"/>
      <c r="IK760" s="1689"/>
      <c r="IL760" s="1691"/>
      <c r="IM760" s="1691"/>
      <c r="IN760" s="1691"/>
      <c r="IP760" s="1679"/>
      <c r="IQ760" s="1679"/>
      <c r="IR760" s="1679"/>
      <c r="IS760" s="1679"/>
      <c r="IT760" s="1679"/>
      <c r="IU760" s="1679"/>
      <c r="IV760" s="1679"/>
      <c r="IW760" s="1679"/>
      <c r="IX760" s="1679"/>
      <c r="IY760" s="1679"/>
      <c r="IZ760" s="1679"/>
      <c r="JA760" s="1679"/>
      <c r="JC760" s="1680"/>
      <c r="JD760" s="1670"/>
      <c r="JE760" s="1681"/>
      <c r="JG760" s="1680"/>
      <c r="JH760" s="1670"/>
      <c r="JI760" s="1060"/>
      <c r="JJ760" s="1683"/>
      <c r="JK760" s="1061"/>
      <c r="JL760" s="1683"/>
      <c r="JM760" s="1061"/>
      <c r="JN760" s="1683"/>
      <c r="JO760" s="1061"/>
      <c r="JP760" s="1683"/>
      <c r="JQ760" s="1061"/>
      <c r="JR760" s="1683"/>
      <c r="JS760" s="1061"/>
      <c r="JT760" s="1670"/>
      <c r="JU760" s="1061"/>
      <c r="JV760" s="1670"/>
      <c r="JX760" s="1670"/>
      <c r="JZ760" s="1683"/>
      <c r="KB760" s="1670"/>
    </row>
    <row r="761" spans="1:288" s="78" customFormat="1" ht="14.95" customHeight="1" thickTop="1" thickBot="1">
      <c r="A761" s="78">
        <f>ROW()</f>
        <v>761</v>
      </c>
      <c r="B761" s="1845"/>
      <c r="C761" s="1846"/>
      <c r="D761" s="1847"/>
      <c r="E761" s="1737" t="s">
        <v>298</v>
      </c>
      <c r="F761" s="1738"/>
      <c r="G761" s="1760"/>
      <c r="H761" s="1761"/>
      <c r="I761" s="1761"/>
      <c r="J761" s="1761"/>
      <c r="K761" s="1761"/>
      <c r="L761" s="1762"/>
      <c r="M761" s="461">
        <f>IFERROR(IF(IF(__Retrofit_TI_NC&lt;&gt;0,IF(CQ759="Interior",MATCH(G761,Lookup_Interior_New,0),MATCH(G761,Lookup_Exterior_New,0)),IF(CQ759="Interior",MATCH(G761,Lookup_Interior,0),MATCH(G761,Lookup_Exterior_Areas,0)))&gt;0,1,0),0)</f>
        <v>0</v>
      </c>
      <c r="N761" s="461" t="e">
        <f>IF(__Retrofit_TI_NC=1,
VLOOKUP(G761,'Space Table'!$B$3:$L$163,4,FALSE),
IF(__Retrofit_TI_NC=2,VLOOKUP(G761,'Space Table'!$B$3:$L$163,5,FALSE),VLOOKUP(G761,'Space Table'!$B$3:$L$163,5,FALSE)))</f>
        <v>#N/A</v>
      </c>
      <c r="O761" s="461">
        <f>G761</f>
        <v>0</v>
      </c>
      <c r="P761" s="1738" t="str">
        <f>IFERROR(IF(__Retrofit_TI_NC=1,VLOOKUP(G761,'Space Table'!$B$3:$O$163,13,FALSE),IF(__Retrofit_TI_NC=2,VLOOKUP(G761,'Space Table'!$B$3:$O$163,14,FALSE),"Area (sf):")),"Area (sf):")</f>
        <v>Area (sf):</v>
      </c>
      <c r="Q761" s="1738"/>
      <c r="R761" s="596"/>
      <c r="S761" s="1763" t="s">
        <v>345</v>
      </c>
      <c r="T761" s="594"/>
      <c r="U761" s="1801"/>
      <c r="V761" s="1802"/>
      <c r="W761" s="1802"/>
      <c r="X761" s="1802"/>
      <c r="Y761" s="1802"/>
      <c r="Z761" s="1802"/>
      <c r="AA761" s="1802"/>
      <c r="AB761" s="1802"/>
      <c r="AC761" s="1802"/>
      <c r="AD761" s="1802"/>
      <c r="AE761" s="1803"/>
      <c r="AF761" s="594"/>
      <c r="AG761" s="1787"/>
      <c r="AH761" s="1787"/>
      <c r="AI761" s="1787"/>
      <c r="AJ761" s="1787"/>
      <c r="AK761" s="1787"/>
      <c r="AL761" s="1787"/>
      <c r="AM761" s="1726">
        <f>IFERROR(DI761,"")</f>
        <v>0</v>
      </c>
      <c r="AN761" s="1728" t="str">
        <f>IFERROR(ROUND(AM761*AC762,0),"")</f>
        <v/>
      </c>
      <c r="AO761" s="1730">
        <f>IFERROR(IF(IB759=FALSE,0,AC762-AN761),0)</f>
        <v>0</v>
      </c>
      <c r="AP761" s="1780"/>
      <c r="AQ761" s="1781"/>
      <c r="AR761" s="1795"/>
      <c r="AS761" s="1795"/>
      <c r="AT761" s="1796"/>
      <c r="AU761" s="1735"/>
      <c r="AV761" s="1752"/>
      <c r="AW761" s="1705"/>
      <c r="AX761" s="467"/>
      <c r="AY761" s="1749"/>
      <c r="AZ761" s="1749"/>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696"/>
      <c r="CQ761" s="1696"/>
      <c r="CR761" s="1808" t="str">
        <f>CQ759</f>
        <v/>
      </c>
      <c r="CS761" s="1810" t="str">
        <f>CS759</f>
        <v/>
      </c>
      <c r="CU761" s="1688" t="s">
        <v>345</v>
      </c>
      <c r="CV761" s="1702">
        <f>IF(IB759=TRUE,T761,0)</f>
        <v>0</v>
      </c>
      <c r="CW761" s="1702" t="str">
        <f>IF(IB759=TRUE,U761,"")</f>
        <v/>
      </c>
      <c r="CX761" s="1812">
        <f>IF(IB759=TRUE,U762,0)</f>
        <v>0</v>
      </c>
      <c r="CY761" s="1814">
        <f>IF(IB759=TRUE,AB762,0)</f>
        <v>0</v>
      </c>
      <c r="CZ761" s="1710">
        <f>IF(AND(__Retrofit_TI_NC&gt;0,CR759="interior"),0,IF(IB759=TRUE,AC762,0))</f>
        <v>0</v>
      </c>
      <c r="DA761" s="1818"/>
      <c r="DB761" s="1820"/>
      <c r="DC761" s="1820"/>
      <c r="DD761" s="1820"/>
      <c r="DF761" s="1702">
        <f>IF(IB759=TRUE,AF761,0)</f>
        <v>0</v>
      </c>
      <c r="DG761" s="1830" t="str">
        <f>IF(IB759=TRUE,AG761,"")</f>
        <v/>
      </c>
      <c r="DH761" s="1812">
        <f>AG762</f>
        <v>0</v>
      </c>
      <c r="DI761" s="1837">
        <f>JE761</f>
        <v>0</v>
      </c>
      <c r="DJ761" s="1710">
        <f>IF(AND(__Retrofit_TI_NC&gt;0,CR759="interior"),0,IF(IB759=TRUE,AN761,0))</f>
        <v>0</v>
      </c>
      <c r="DK761" s="1712"/>
      <c r="DN761" s="1717">
        <f>IFERROR(CZ761-DJ761,0)</f>
        <v>0</v>
      </c>
      <c r="DO761" s="1709"/>
      <c r="DQ761" s="1715"/>
      <c r="DR761" s="1719" t="str">
        <f>DQ759</f>
        <v/>
      </c>
      <c r="DS761" s="1816"/>
      <c r="DT761" s="1835" t="str">
        <f>IF(OR(DS759=7,DS759=8,DS759=9),"ALC","")</f>
        <v/>
      </c>
      <c r="DU761" s="1715"/>
      <c r="DV761" s="1716"/>
      <c r="DX761" s="1715"/>
      <c r="DY761" s="1829" t="str">
        <f>DX759</f>
        <v/>
      </c>
      <c r="DZ761" s="1715"/>
      <c r="EA761" s="1715"/>
      <c r="EC761" s="1834"/>
      <c r="ED761" s="1834"/>
      <c r="EF761" s="1707"/>
      <c r="EG761" s="1712"/>
      <c r="EH761" s="1818"/>
      <c r="EI761" s="1712"/>
      <c r="EJ761" s="1712"/>
      <c r="EK761" s="1836"/>
      <c r="EL761" s="1836"/>
      <c r="EM761" s="1807"/>
      <c r="EN761" s="1839"/>
      <c r="EO761" s="1839"/>
      <c r="EP761" s="1817"/>
      <c r="EQ761" s="1817"/>
      <c r="ER761" s="1807"/>
      <c r="ES761" s="1807"/>
      <c r="ET761" s="1807"/>
      <c r="EV761" s="1715"/>
      <c r="EX761" s="1805" t="str">
        <f>IFERROR(VLOOKUP(CS761,'Space Table'!$B$3:$L$163,8,FALSE),"")</f>
        <v/>
      </c>
      <c r="EY761" s="1805" t="str">
        <f>IFERROR(IF(FB761="Yes",VLOOKUP(AG761,Lookup_Control_Type_Table2,4,FALSE),VLOOKUP(AG761,Lookup_Control_Type_Table2,3,FALSE)),"")</f>
        <v/>
      </c>
      <c r="EZ761" s="1805" t="e">
        <f>VLOOKUP(AG761,Lookup!BB$3:BC$20,2,FALSE)</f>
        <v>#N/A</v>
      </c>
      <c r="FA761" s="1805" t="e">
        <f>VLOOKUP(EX759,Lookup_Control_Type_Table,2,FALSE)</f>
        <v>#N/A</v>
      </c>
      <c r="FB761" s="1805" t="e">
        <f>VLOOKUP(CS761,'Space Table'!$B$3:$L$163,7,FALSE)</f>
        <v>#N/A</v>
      </c>
      <c r="FC761" s="1827"/>
      <c r="FE761" s="1698" t="str">
        <f>CONCATENATE(CQ759," - ",AG761)</f>
        <v xml:space="preserve"> - </v>
      </c>
      <c r="FG761" s="1816"/>
      <c r="FH761" s="1816"/>
      <c r="FI761" s="133"/>
      <c r="FL761" s="1822" t="str">
        <f>IF(CQ759="Exterior","Not Daylighted",G762)</f>
        <v>Not Daylighted</v>
      </c>
      <c r="FM761" s="1824">
        <f>VLOOKUP(FL761,_New_Daylight_Table_Codes,2,FALSE)</f>
        <v>0</v>
      </c>
      <c r="FN761" s="1698">
        <f>AG761</f>
        <v>0</v>
      </c>
      <c r="FO761" s="1698" t="e">
        <f>VLOOKUP(FN761,_Control_Table,2,FALSE)</f>
        <v>#N/A</v>
      </c>
      <c r="FP761" s="1678" t="e">
        <f>VLOOKUP(CONCATENATE(FL761," ",FN761),Lookup!AY$102:AZ772,2,FALSE)</f>
        <v>#N/A</v>
      </c>
      <c r="FQ761" s="1698">
        <f>IF(__Retrofit_TI_NC=0,FN761,IF(AND(FT761&gt;0,FN761="Occupancy Sensor"),"Daylight + Occupancy",IF(AND(FT761&gt;0,FO761&lt;4),"Interior Daylight Dimming",FN761)))</f>
        <v>0</v>
      </c>
      <c r="FS761" s="1686">
        <f>IF(CQ759="Interior",VLOOKUP(CS759,Control_Savings_Interior,5,FALSE),0)</f>
        <v>0</v>
      </c>
      <c r="FT761" s="1687">
        <f>IF(CQ761="Exterior",0,IF(FM761=2,0.5,IF(OR(FM761=1,FM761=3),1,0)))</f>
        <v>0</v>
      </c>
      <c r="FU761" s="1685">
        <f>IF(R760&gt;FS$44,(FS761*(FS$44/R760)),FS761)*FT761</f>
        <v>0</v>
      </c>
      <c r="FV761" s="1686">
        <f>DI761</f>
        <v>0</v>
      </c>
      <c r="FW761" s="1686">
        <f>ROUND(FV761+((1-FV761)*FU761),2)</f>
        <v>0</v>
      </c>
      <c r="FX761" s="1686">
        <f>IF(__Retrofit_TI_NC=2,FW761,FV761)</f>
        <v>0</v>
      </c>
      <c r="FY761" s="1697">
        <f>IF(CR761="Interior",VLOOKUP(CS761,Control_Savings_Interior,4,FALSE),0)</f>
        <v>0</v>
      </c>
      <c r="GA761" s="1696"/>
      <c r="GB761" s="1696"/>
      <c r="GC761" s="1696"/>
      <c r="GD761" s="1696"/>
      <c r="GE761" s="1696"/>
      <c r="GF761" s="1696"/>
      <c r="GG761" s="1696"/>
      <c r="GH761" s="1696"/>
      <c r="GI761" s="673" t="b">
        <f>IF(ISNUMBER(SEARCH("TLED",U761)),TRUE,FALSE)</f>
        <v>0</v>
      </c>
      <c r="GJ761" s="1135" t="str">
        <f>IFERROR(VLOOKUP(U761,Fixtures!DM$93:DR$142,6,FALSE),"")</f>
        <v/>
      </c>
      <c r="GK761" s="1832"/>
      <c r="GM761" s="1692"/>
      <c r="GN761" s="1684"/>
      <c r="GP761" s="1684"/>
      <c r="GQ761" s="1684"/>
      <c r="HG761" s="1684"/>
      <c r="HH761" s="1684"/>
      <c r="HI761" s="1684"/>
      <c r="HJ761" s="1684"/>
      <c r="HK761" s="1684"/>
      <c r="HL761" s="1684"/>
      <c r="HM761" s="1684"/>
      <c r="HN761" s="1683"/>
      <c r="HO761" s="1692"/>
      <c r="HP761" s="1692"/>
      <c r="HQ761" s="1670"/>
      <c r="HR761" s="1684"/>
      <c r="HS761" s="1684"/>
      <c r="HT761" s="1670"/>
      <c r="HU761" s="1684"/>
      <c r="HV761" s="1684"/>
      <c r="HW761" s="1684"/>
      <c r="HX761" s="1684"/>
      <c r="HY761" s="1684"/>
      <c r="HZ761" s="1684"/>
      <c r="IB761" s="1692"/>
      <c r="IC761" s="1693" t="b">
        <f>IB759</f>
        <v>0</v>
      </c>
      <c r="ID761" s="1695"/>
      <c r="IE761" s="391"/>
      <c r="IF761" s="1688"/>
      <c r="IG761" s="1689">
        <f ca="1">IF(IF759=TRUE,AC762,0)</f>
        <v>0</v>
      </c>
      <c r="IH761" s="1684"/>
      <c r="IK761" s="1689" t="e">
        <f>ROUND(T761*AB762*N760*R760/1000,0)</f>
        <v>#VALUE!</v>
      </c>
      <c r="IL761" s="1691"/>
      <c r="IM761" s="1693" t="e">
        <f>ROUND(T761*AB762*N760*R760/1000,0)</f>
        <v>#VALUE!</v>
      </c>
      <c r="IN761" s="1691"/>
      <c r="IP761" s="1679"/>
      <c r="IQ761" s="1679" t="e">
        <f t="shared" ref="IQ761:IU761" si="702">IF($CR761="interior",VLOOKUP($CS761,_New_Control_Savings_Interior,IQ$30,FALSE),VLOOKUP($CS761,Control_Savings_Exterior,IQ$30,FALSE))</f>
        <v>#N/A</v>
      </c>
      <c r="IR761" s="1679" t="e">
        <f t="shared" si="702"/>
        <v>#N/A</v>
      </c>
      <c r="IS761" s="1679" t="e">
        <f t="shared" si="702"/>
        <v>#N/A</v>
      </c>
      <c r="IT761" s="1679" t="e">
        <f t="shared" si="702"/>
        <v>#N/A</v>
      </c>
      <c r="IU761" s="1679" t="e">
        <f t="shared" si="702"/>
        <v>#N/A</v>
      </c>
      <c r="IV761" s="1679" t="e">
        <f>IF($CR761="interior",IF(R760&gt;$IP$14,ROUND(($IV$18*($IP$14/R760)),2),$IV$18),VLOOKUP($CS761,Control_Savings_Exterior,IV$30,FALSE))</f>
        <v>#N/A</v>
      </c>
      <c r="IW761" s="1679" t="e">
        <f>IF($CR761="interior",ROUND(((1-IS761)*IV761)+IS761,2),VLOOKUP($CS761,Control_Savings_Exterior,IW$30,FALSE))</f>
        <v>#N/A</v>
      </c>
      <c r="IX761" s="1679" t="e">
        <f>IF($CR761="interior",ROUND(((1-IT761)*IV761)+IT761,2),VLOOKUP($CS761,Control_Savings_Exterior,IX$30,FALSE))</f>
        <v>#N/A</v>
      </c>
      <c r="IY761" s="1679" t="e">
        <f>IF($CR761="interior",IF(R760&gt;$IP$14,ROUND(($IY$18*($IP$14/R760)),2),$IY$18),VLOOKUP($CS761,Control_Savings_Exterior,IY$30,FALSE))</f>
        <v>#N/A</v>
      </c>
      <c r="IZ761" s="1679" t="e">
        <f>IF($CR761="interior",ROUND(((1-IS761)*IY761)+IS761,2),VLOOKUP($CS761,Control_Savings_Exterior,IZ$30,FALSE))</f>
        <v>#N/A</v>
      </c>
      <c r="JA761" s="1679" t="e">
        <f>IF($CR761="interior",ROUND(((1-IT761)*IY761)+IT761,2),VLOOKUP($CS761,Control_Savings_Exterior,JA$30,FALSE))</f>
        <v>#N/A</v>
      </c>
      <c r="JC761" s="1680">
        <f>IFERROR(IF(CR761="Interior",CONCATENATE(G762," ",FQ761),AG761),"")</f>
        <v>0</v>
      </c>
      <c r="JD761" s="1670" t="str">
        <f>IFERROR(VLOOKUP(JC761,_Controls_2023,2,FALSE),"")</f>
        <v/>
      </c>
      <c r="JE761" s="1681">
        <f>IFERROR(CHOOSE(JD761-1,IQ761,IR761,IS761,IT761,IU761,IV761,IW761,IX761,IY761,IZ761,JA761),0)</f>
        <v>0</v>
      </c>
      <c r="JG761" s="1680" t="str">
        <f>FE761</f>
        <v xml:space="preserve"> - </v>
      </c>
      <c r="JH761" s="1670" t="e">
        <f>$FO761</f>
        <v>#N/A</v>
      </c>
      <c r="JI761" s="1060"/>
      <c r="JJ761" s="1670">
        <f>IFERROR(IF($IB759=TRUE,IF(OR(JJ$14="No",JJ759=FALSE,JH761&lt;=JH759,AND(_kWh_Grant=0,GD759=FALSE)),0,IF(JJ$8="Per Line",1,$AF761)),0),0)</f>
        <v>0</v>
      </c>
      <c r="JK761" s="1061"/>
      <c r="JL761" s="1670">
        <f>IFERROR(IF(_kWh_Grant=0,0,IF($IB759=TRUE,IF(OR(JL$14="No",JL759=FALSE,JH761&lt;=JH759),0,IF(JL$8="Per Line",1,$T761)),0)),0)</f>
        <v>0</v>
      </c>
      <c r="JM761" s="1061"/>
      <c r="JN761" s="1670">
        <f>IFERROR(IF(_kWh_Grant=0,0,IF($IB759=TRUE,IF(OR(JN$14="No",JN759=FALSE,JH761&lt;=JH759),0,IF(JN$8="Per Line",1,$AF761)),0)),0)</f>
        <v>0</v>
      </c>
      <c r="JO761" s="1061"/>
      <c r="JP761" s="1670">
        <f>IFERROR(IF(__Retrofit_TI_NC=0,IF(_kWh_Grant=0,0,IF($IB759=TRUE,IF(OR(JP$14="No",JP759=FALSE,$JH761&lt;=$JH759),0,IF(JP$8="Per Line",1,$AF761)),0)),IF($IB759=TRUE,IF(OR(JP$14="No",JP759=FALSE,$JH761&lt;=$JH759),0,IF(JP$8="Per Line",1,$AF761)))),0)</f>
        <v>0</v>
      </c>
      <c r="JQ761" s="1061"/>
      <c r="JR761" s="1670">
        <f>IFERROR(IF(__Retrofit_TI_NC=0,IF(_kWh_Grant=0,0,IF($IB759=TRUE,IF(OR(JR$14="No",JR759=FALSE,$JH761&lt;=$JH759),0,IF(JR$8="Per Line",1,$AF761)),0)),IF($IB759=TRUE,IF(OR(JR$14="No",JR759=FALSE,$JH761&lt;=$JH759),0,IF(JR$8="Per Line",1,$AF761)))),0)</f>
        <v>0</v>
      </c>
      <c r="JS761" s="1061"/>
      <c r="JT761" s="1670">
        <f>IFERROR(IF(__Retrofit_TI_NC=0,IF(_kWh_Grant=0,0,IF($IB759=TRUE,IF(OR(JT$14="No",JT759=FALSE,$JH761&lt;=$JH759),0,IF(JT$8="Per Line",1,$AF761)),0)),IF($IB759=TRUE,IF(OR(JT$14="No",JT759=FALSE,$JH761&lt;=$JH759),0,IF(JT$8="Per Line",1,$AF761)))),0)</f>
        <v>0</v>
      </c>
      <c r="JU761" s="1061"/>
      <c r="JV761" s="1670">
        <f>IFERROR(IF(__Retrofit_TI_NC=0,IF(_kWh_Grant=0,0,IF($IB759=TRUE,IF(OR(JV$14="No",JV759=FALSE,$JH761&lt;=$JH759),0,IF(JV$8="Per Line",1,$AF761)),0)),IF($IB759=TRUE,IF(OR(JV$14="No",JV759=FALSE,$JH761&lt;=$JH759),0,IF(JV$8="Per Line",1,$AF761)))),0)</f>
        <v>0</v>
      </c>
      <c r="JX761" s="1670">
        <f>IFERROR(IF(__Retrofit_TI_NC=0,IF(_kWh_Grant=0,0,IF($IB759=TRUE,IF(OR(JX$14="No",JX759=FALSE,$JH761&lt;=$JH759),0,IF(JX$8="Per Line",1,$AF761)),0)),IF($IB759=TRUE,IF(OR(JX$14="No",JX759=FALSE,$JH761&lt;=$JH759),0,IF(JX$8="Per Line",1,$AF761)))),0)</f>
        <v>0</v>
      </c>
      <c r="JZ761" s="1670">
        <f>IFERROR(IF($IB759=TRUE,IF(OR(JZ$14="No",JZ759=FALSE,$JH761&lt;=$JH759,AND(_kWh_Grant=0,$GD759=FALSE)),0,IF(JZ$8="Per Line",1,$AF761)),0),0)</f>
        <v>0</v>
      </c>
      <c r="KB761" s="1670">
        <f>IFERROR(IF(__Retrofit_TI_NC=0,IF(_kWh_Grant=0,0,IF($IB759=TRUE,IF(OR(KB$14="No",KB759=FALSE,$JH761&lt;=$JH759),0,IF(KB$8="Per Line",1,$AF761)),0)),IF($IB759=TRUE,IF(OR(KB$14="No",KB759=FALSE,$JH761&lt;=$JH759),0,IF(KB$8="Per Line",1,$AF761)))),0)</f>
        <v>0</v>
      </c>
    </row>
    <row r="762" spans="1:288" s="78" customFormat="1" ht="14.95" customHeight="1" thickTop="1" thickBot="1">
      <c r="B762" s="1845"/>
      <c r="C762" s="1846"/>
      <c r="D762" s="1847"/>
      <c r="E762" s="1771" t="s">
        <v>436</v>
      </c>
      <c r="F762" s="1772"/>
      <c r="G762" s="1784" t="s">
        <v>437</v>
      </c>
      <c r="H762" s="1785"/>
      <c r="I762" s="1785"/>
      <c r="J762" s="1785"/>
      <c r="K762" s="1785"/>
      <c r="L762" s="1786"/>
      <c r="M762" s="591">
        <f>IFERROR(VLOOKUP(G762,_Daylight_Table[],2,FALSE),0)</f>
        <v>0</v>
      </c>
      <c r="N762" s="592" t="str">
        <f>IF(AND(__Retrofit_TI_NC&gt;0,CQ759="Interior"),"BAM","")</f>
        <v/>
      </c>
      <c r="O762" s="591" t="e">
        <f>VLOOKUP(G761,'Space Table'!$B$3:$L$163,11,FALSE)</f>
        <v>#N/A</v>
      </c>
      <c r="P762" s="1789"/>
      <c r="Q762" s="1790"/>
      <c r="R762" s="1790"/>
      <c r="S762" s="1788"/>
      <c r="T762" s="593" t="s">
        <v>342</v>
      </c>
      <c r="U762" s="1756" t="str" cm="1">
        <f t="array" aca="1" ref="U762" ca="1">IFERROR(VLOOKUP(INDIRECT("U" &amp; ROW()-1),Fixtures!DM$93:DP$142,4,FALSE),"")</f>
        <v/>
      </c>
      <c r="V762" s="1757"/>
      <c r="W762" s="1757"/>
      <c r="X762" s="1757"/>
      <c r="Y762" s="1757"/>
      <c r="Z762" s="1757"/>
      <c r="AA762" s="1758"/>
      <c r="AB762" s="939" t="str">
        <f>IFERROR(VLOOKUP(U761,Fixtures_Proposed_List,2,FALSE),"")</f>
        <v/>
      </c>
      <c r="AC762" s="933" t="str">
        <f>IFERROR(ROUND(T761*AB762*N760*R760/1000,0),"")</f>
        <v/>
      </c>
      <c r="AD762" s="934" t="str">
        <f>IFERROR(ROUND(T761*AB762/1000,2),"")</f>
        <v/>
      </c>
      <c r="AE762" s="998"/>
      <c r="AF762" s="938" t="s">
        <v>342</v>
      </c>
      <c r="AG762" s="1770"/>
      <c r="AH762" s="1770"/>
      <c r="AI762" s="1770"/>
      <c r="AJ762" s="1770"/>
      <c r="AK762" s="1770"/>
      <c r="AL762" s="1770"/>
      <c r="AM762" s="1727"/>
      <c r="AN762" s="1729"/>
      <c r="AO762" s="1731"/>
      <c r="AP762" s="1782"/>
      <c r="AQ762" s="1783"/>
      <c r="AR762" s="1797"/>
      <c r="AS762" s="1797"/>
      <c r="AT762" s="1798"/>
      <c r="AU762" s="1736"/>
      <c r="AV762" s="1753"/>
      <c r="AW762" s="1706"/>
      <c r="AX762" s="468"/>
      <c r="AY762" s="1750"/>
      <c r="AZ762" s="1750"/>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696"/>
      <c r="CQ762" s="1696"/>
      <c r="CR762" s="1809"/>
      <c r="CS762" s="1811"/>
      <c r="CU762" s="1688"/>
      <c r="CV762" s="1703"/>
      <c r="CW762" s="1703"/>
      <c r="CX762" s="1813"/>
      <c r="CY762" s="1815"/>
      <c r="CZ762" s="1711"/>
      <c r="DA762" s="1815"/>
      <c r="DB762" s="1821"/>
      <c r="DC762" s="1821"/>
      <c r="DD762" s="1821"/>
      <c r="DF762" s="1703"/>
      <c r="DG762" s="1831"/>
      <c r="DH762" s="1813"/>
      <c r="DI762" s="1838"/>
      <c r="DJ762" s="1711"/>
      <c r="DK762" s="1712"/>
      <c r="DN762" s="1718"/>
      <c r="DO762" s="1709"/>
      <c r="DQ762" s="1715"/>
      <c r="DR762" s="1720"/>
      <c r="DS762" s="1703"/>
      <c r="DT762" s="1714"/>
      <c r="DU762" s="1715"/>
      <c r="DV762" s="1716"/>
      <c r="DX762" s="1715"/>
      <c r="DY762" s="1720"/>
      <c r="DZ762" s="1715"/>
      <c r="EA762" s="1715"/>
      <c r="EC762" s="1834"/>
      <c r="ED762" s="1834"/>
      <c r="EF762" s="1707"/>
      <c r="EG762" s="1712"/>
      <c r="EH762" s="1815"/>
      <c r="EI762" s="1712"/>
      <c r="EJ762" s="1712"/>
      <c r="EK762" s="1813"/>
      <c r="EL762" s="1813"/>
      <c r="EM762" s="1807"/>
      <c r="EN762" s="1839"/>
      <c r="EO762" s="1839"/>
      <c r="EP762" s="1817"/>
      <c r="EQ762" s="1817"/>
      <c r="ER762" s="1807"/>
      <c r="ES762" s="1807"/>
      <c r="ET762" s="1807"/>
      <c r="EV762" s="1715"/>
      <c r="EX762" s="1806"/>
      <c r="EY762" s="1806"/>
      <c r="EZ762" s="1806"/>
      <c r="FA762" s="1806"/>
      <c r="FB762" s="1806"/>
      <c r="FC762" s="1828"/>
      <c r="FE762" s="1698"/>
      <c r="FG762" s="1703"/>
      <c r="FH762" s="1703"/>
      <c r="FI762" s="133"/>
      <c r="FL762" s="1823"/>
      <c r="FM762" s="1825"/>
      <c r="FN762" s="1698"/>
      <c r="FO762" s="1698"/>
      <c r="FP762" s="1678"/>
      <c r="FQ762" s="1698"/>
      <c r="FS762" s="1687"/>
      <c r="FT762" s="1687"/>
      <c r="FU762" s="1685"/>
      <c r="FV762" s="1687"/>
      <c r="FW762" s="1687"/>
      <c r="FX762" s="1687"/>
      <c r="FY762" s="1697"/>
      <c r="GA762" s="1696"/>
      <c r="GB762" s="1696"/>
      <c r="GC762" s="1696"/>
      <c r="GD762" s="1696"/>
      <c r="GE762" s="1696"/>
      <c r="GF762" s="1696"/>
      <c r="GG762" s="1696"/>
      <c r="GH762" s="1696"/>
      <c r="GI762" s="673"/>
      <c r="GJ762" s="1135"/>
      <c r="GK762" s="1832"/>
      <c r="GN762" s="674">
        <f>IF(GN760=TRUE,0,GN$16)</f>
        <v>0</v>
      </c>
      <c r="GP762" s="674">
        <f>IF(GP760=TRUE,0,GP$16)</f>
        <v>36</v>
      </c>
      <c r="GQ762" s="674">
        <f ca="1">IF(GQ760=TRUE,0,GQ$16)</f>
        <v>35</v>
      </c>
      <c r="GR762" s="391"/>
      <c r="GS762" s="391"/>
      <c r="GT762" s="391"/>
      <c r="GU762" s="391"/>
      <c r="GV762" s="391"/>
      <c r="HG762" s="674">
        <f>IF(HG760=TRUE,0,HG$16)</f>
        <v>0</v>
      </c>
      <c r="HH762" s="674">
        <f t="shared" ref="HH762:HM762" si="703">IF(HH760=TRUE,0,HH$16)</f>
        <v>19</v>
      </c>
      <c r="HI762" s="674">
        <f t="shared" si="703"/>
        <v>18</v>
      </c>
      <c r="HJ762" s="674">
        <f t="shared" si="703"/>
        <v>17</v>
      </c>
      <c r="HK762" s="674">
        <f t="shared" si="703"/>
        <v>16</v>
      </c>
      <c r="HL762" s="674">
        <f t="shared" si="703"/>
        <v>0</v>
      </c>
      <c r="HM762" s="674">
        <f t="shared" si="703"/>
        <v>0</v>
      </c>
      <c r="HN762" s="674">
        <f>IF(HN760=TRUE,0,HN$16)</f>
        <v>13</v>
      </c>
      <c r="HO762" s="674">
        <f t="shared" ref="HO762:HQ762" si="704">IF(HO760=TRUE,0,HO$16)</f>
        <v>0</v>
      </c>
      <c r="HP762" s="674">
        <f t="shared" si="704"/>
        <v>0</v>
      </c>
      <c r="HQ762" s="674">
        <f t="shared" si="704"/>
        <v>10</v>
      </c>
      <c r="HR762" s="674">
        <f>IF(HR760=TRUE,0,HR$16)</f>
        <v>9</v>
      </c>
      <c r="HS762" s="674">
        <f t="shared" ref="HS762:HW762" si="705">IF(HS760=TRUE,0,HS$16)</f>
        <v>0</v>
      </c>
      <c r="HT762" s="674">
        <f t="shared" si="705"/>
        <v>0</v>
      </c>
      <c r="HU762" s="674">
        <f t="shared" si="705"/>
        <v>0</v>
      </c>
      <c r="HV762" s="674">
        <f t="shared" si="705"/>
        <v>0</v>
      </c>
      <c r="HW762" s="674">
        <f t="shared" si="705"/>
        <v>0</v>
      </c>
      <c r="HX762" s="674">
        <f>IF(HX760=TRUE,0,HX$16)</f>
        <v>0</v>
      </c>
      <c r="HY762" s="674">
        <f>IF(HY760=TRUE,0,HY$16)</f>
        <v>0</v>
      </c>
      <c r="HZ762" s="674">
        <f>IF(HZ760=TRUE,0,HZ$16)</f>
        <v>1</v>
      </c>
      <c r="IB762" s="674">
        <f>IF(GP760=FALSE,GP762,IF(GQ760=FALSE,GQ762,MAX(GN762:HZ762)))</f>
        <v>36</v>
      </c>
      <c r="IC762" s="1692"/>
      <c r="ID762" s="205" t="str">
        <f>VLOOKUP(IB762,_Error_Table,3,FALSE)</f>
        <v xml:space="preserve"> </v>
      </c>
      <c r="IE762" s="205"/>
      <c r="IF762" s="1688"/>
      <c r="IG762" s="1689"/>
      <c r="IH762" s="1684"/>
      <c r="IK762" s="1689"/>
      <c r="IL762" s="1692"/>
      <c r="IM762" s="1692"/>
      <c r="IN762" s="1692"/>
      <c r="IP762" s="1679"/>
      <c r="IQ762" s="1679"/>
      <c r="IR762" s="1679"/>
      <c r="IS762" s="1679"/>
      <c r="IT762" s="1679"/>
      <c r="IU762" s="1679"/>
      <c r="IV762" s="1679"/>
      <c r="IW762" s="1679"/>
      <c r="IX762" s="1679"/>
      <c r="IY762" s="1679"/>
      <c r="IZ762" s="1679"/>
      <c r="JA762" s="1679"/>
      <c r="JC762" s="1680"/>
      <c r="JD762" s="1670"/>
      <c r="JE762" s="1681"/>
      <c r="JG762" s="1680"/>
      <c r="JH762" s="1670"/>
      <c r="JI762" s="1060"/>
      <c r="JJ762" s="1670"/>
      <c r="JK762" s="1061"/>
      <c r="JL762" s="1670"/>
      <c r="JM762" s="1061"/>
      <c r="JN762" s="1670"/>
      <c r="JO762" s="1061"/>
      <c r="JP762" s="1670"/>
      <c r="JQ762" s="1061"/>
      <c r="JR762" s="1670"/>
      <c r="JS762" s="1061"/>
      <c r="JT762" s="1670"/>
      <c r="JU762" s="1061"/>
      <c r="JV762" s="1670"/>
      <c r="JX762" s="1670"/>
      <c r="JZ762" s="1670"/>
      <c r="KB762" s="1670"/>
    </row>
    <row r="763" spans="1:288" s="78" customFormat="1" ht="5.0999999999999996" customHeight="1">
      <c r="B763" s="676"/>
      <c r="C763" s="392"/>
      <c r="D763" s="392"/>
      <c r="E763" s="1733"/>
      <c r="F763" s="1733"/>
      <c r="G763" s="1733"/>
      <c r="H763" s="1733"/>
      <c r="I763" s="1733"/>
      <c r="J763" s="1733"/>
      <c r="K763" s="1733"/>
      <c r="L763" s="1733"/>
      <c r="M763" s="1733"/>
      <c r="N763" s="1733"/>
      <c r="O763" s="1733"/>
      <c r="P763" s="1733"/>
      <c r="Q763" s="1733"/>
      <c r="R763" s="1733"/>
      <c r="S763" s="1733"/>
      <c r="T763" s="1733"/>
      <c r="U763" s="1733"/>
      <c r="V763" s="1733"/>
      <c r="W763" s="1733"/>
      <c r="X763" s="1733"/>
      <c r="Y763" s="1733"/>
      <c r="Z763" s="1733"/>
      <c r="AA763" s="1733"/>
      <c r="AB763" s="1733"/>
      <c r="AC763" s="1733"/>
      <c r="AD763" s="1733"/>
      <c r="AE763" s="1733"/>
      <c r="AF763" s="1733"/>
      <c r="AG763" s="1733"/>
      <c r="AH763" s="1733"/>
      <c r="AI763" s="1733"/>
      <c r="AJ763" s="1733"/>
      <c r="AK763" s="1733"/>
      <c r="AL763" s="1733"/>
      <c r="AM763" s="1733"/>
      <c r="AN763" s="1733"/>
      <c r="AO763" s="1733"/>
      <c r="AP763" s="1733"/>
      <c r="AQ763" s="1733"/>
      <c r="AR763" s="1733"/>
      <c r="AS763" s="1733"/>
      <c r="AT763" s="1733"/>
      <c r="AU763" s="1733"/>
      <c r="AV763" s="1733"/>
      <c r="AW763" s="1733"/>
      <c r="AX763" s="469"/>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663"/>
      <c r="CQ763" s="663"/>
      <c r="CR763" s="438"/>
      <c r="CS763" s="663"/>
      <c r="CV763" s="391"/>
      <c r="CW763" s="391"/>
      <c r="CX763" s="207"/>
      <c r="CY763" s="208"/>
      <c r="CZ763" s="208"/>
      <c r="DA763" s="208"/>
      <c r="DB763" s="209"/>
      <c r="DC763" s="209"/>
      <c r="DD763" s="209"/>
      <c r="DF763" s="664"/>
      <c r="DG763" s="665"/>
      <c r="DH763" s="666"/>
      <c r="DI763" s="667"/>
      <c r="DJ763" s="668"/>
      <c r="DK763" s="668"/>
      <c r="DN763" s="208"/>
      <c r="DO763" s="664"/>
      <c r="DQ763" s="664"/>
      <c r="DR763" s="669"/>
      <c r="DS763" s="391"/>
      <c r="DT763" s="664"/>
      <c r="DU763" s="664"/>
      <c r="DV763" s="664"/>
      <c r="DX763" s="664"/>
      <c r="DY763" s="664"/>
      <c r="DZ763" s="664"/>
      <c r="EA763" s="664"/>
      <c r="EC763" s="670"/>
      <c r="ED763" s="670"/>
      <c r="EF763" s="668"/>
      <c r="EG763" s="668"/>
      <c r="EH763" s="208"/>
      <c r="EI763" s="668"/>
      <c r="EJ763" s="668"/>
      <c r="EK763" s="207"/>
      <c r="EL763" s="207"/>
      <c r="EM763" s="666"/>
      <c r="EN763" s="671"/>
      <c r="EO763" s="671"/>
      <c r="EP763" s="672"/>
      <c r="EQ763" s="672"/>
      <c r="ER763" s="666"/>
      <c r="ES763" s="666"/>
      <c r="ET763" s="666"/>
      <c r="EV763" s="664"/>
      <c r="EX763" s="391"/>
      <c r="EY763" s="391"/>
      <c r="EZ763" s="391"/>
      <c r="FA763" s="391"/>
      <c r="FB763" s="391"/>
      <c r="FC763" s="391"/>
      <c r="FE763" s="569"/>
      <c r="FG763" s="391"/>
      <c r="FH763" s="391"/>
      <c r="FI763" s="391"/>
      <c r="FS763" s="664"/>
      <c r="FT763" s="391"/>
      <c r="FU763" s="391"/>
      <c r="FV763" s="664"/>
      <c r="FW763" s="664"/>
      <c r="GA763" s="663"/>
      <c r="GB763" s="663"/>
      <c r="GC763" s="663"/>
      <c r="GD763" s="663"/>
      <c r="GE763" s="663"/>
      <c r="GF763" s="663"/>
      <c r="GG763" s="663"/>
      <c r="GH763" s="663"/>
      <c r="GI763" s="665"/>
      <c r="GJ763" s="664"/>
      <c r="GK763" s="664"/>
    </row>
    <row r="764" spans="1:288" s="78" customFormat="1" ht="14.95" customHeight="1">
      <c r="B764" s="1845" t="str">
        <f>ID767</f>
        <v xml:space="preserve"> </v>
      </c>
      <c r="C764" s="1846">
        <f>C759+1</f>
        <v>139</v>
      </c>
      <c r="D764" s="1847"/>
      <c r="E764" s="1799" t="s">
        <v>295</v>
      </c>
      <c r="F764" s="1800"/>
      <c r="G764" s="1741"/>
      <c r="H764" s="1742"/>
      <c r="I764" s="1742"/>
      <c r="J764" s="1742"/>
      <c r="K764" s="1742"/>
      <c r="L764" s="1742"/>
      <c r="M764" s="1742"/>
      <c r="N764" s="1742"/>
      <c r="O764" s="1742"/>
      <c r="P764" s="1742"/>
      <c r="Q764" s="1742"/>
      <c r="R764" s="1742"/>
      <c r="S764" s="1791" t="s">
        <v>344</v>
      </c>
      <c r="T764" s="590"/>
      <c r="U764" s="1743"/>
      <c r="V764" s="1744"/>
      <c r="W764" s="1744"/>
      <c r="X764" s="1744"/>
      <c r="Y764" s="1744"/>
      <c r="Z764" s="1744"/>
      <c r="AA764" s="1744"/>
      <c r="AB764" s="961" t="str">
        <f>IFERROR(IF(__Retrofit_TI_NC=0,VLOOKUP(U765,Fixtures_Existing_List,2,FALSE),ROUND(N766*R766/T766,10)),"")</f>
        <v/>
      </c>
      <c r="AC764" s="935" t="str">
        <f>IFERROR(IF(__Retrofit_TI_NC=0,ROUND(T765*AB764*N765*R765/1000,0),IF(CQ764="Interior",N766*R766*R765*N765*_C406_reduction/1000,N766*R766*R765*N765/1000)),"")</f>
        <v/>
      </c>
      <c r="AD764" s="936" t="str">
        <f>IFERROR(IF(C$43=0,ROUND(T765*AB764/1000,2),N766*R766/1000),"")</f>
        <v/>
      </c>
      <c r="AE764" s="997"/>
      <c r="AF764" s="937"/>
      <c r="AG764" s="1745" t="str">
        <f>IF(__Retrofit_TI_NC=0," Control","Select Advanced Control for New System")</f>
        <v xml:space="preserve"> Control</v>
      </c>
      <c r="AH764" s="1745"/>
      <c r="AI764" s="1745"/>
      <c r="AJ764" s="1745"/>
      <c r="AK764" s="1745"/>
      <c r="AL764" s="1745"/>
      <c r="AM764" s="1746">
        <f>IFERROR(DI764,"")</f>
        <v>0</v>
      </c>
      <c r="AN764" s="1774" t="str">
        <f>IFERROR(ROUND(AM764*AC764,0),"")</f>
        <v/>
      </c>
      <c r="AO764" s="1776">
        <f>IFERROR(IF(IB764=FALSE,0,AC764-AN764),0)</f>
        <v>0</v>
      </c>
      <c r="AP764" s="1778">
        <f>AO764-AO766</f>
        <v>0</v>
      </c>
      <c r="AQ764" s="1779"/>
      <c r="AR764" s="1793">
        <f>IFERROR(IF(IB764=FALSE,0,(T766*U767)+(AF766*AG767)),0)</f>
        <v>0</v>
      </c>
      <c r="AS764" s="1793"/>
      <c r="AT764" s="1794"/>
      <c r="AU764" s="1734" t="s">
        <v>237</v>
      </c>
      <c r="AV764" s="1751">
        <f>IF(AU764="Yes",1,0)</f>
        <v>1</v>
      </c>
      <c r="AW764" s="1704" t="str">
        <f>IF(OR(DQ764=4,DQ764=5,DQ764=6,DQ764=12),CONCATENATE("$",IF(GH764=TRUE,Lookup!$K$10,Lookup!$K$2)," /lamp"),CONCATENATE(TEXT(ED764,"$0.00"),"/ kWh"))</f>
        <v>$0.00/ kWh</v>
      </c>
      <c r="AX764" s="467"/>
      <c r="AY764" s="1748">
        <f ca="1">IFERROR(IF(GM765=TRUE,(AB767*T766)/R766,0),"NA")</f>
        <v>0</v>
      </c>
      <c r="AZ764" s="1748"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696" t="str">
        <f>N765</f>
        <v/>
      </c>
      <c r="CQ764" s="1696" t="str">
        <f>IFERROR(VLOOKUP(G765,_Lookup_Heat_Type_Table_New,3,FALSE),"")</f>
        <v/>
      </c>
      <c r="CR764" s="1808" t="str">
        <f>CQ764</f>
        <v/>
      </c>
      <c r="CS764" s="1810" t="str">
        <f>IFERROR(VLOOKUP(G766,'Space Table'!$B$3:$L$163,9,FALSE),"")</f>
        <v/>
      </c>
      <c r="CU764" s="1688" t="s">
        <v>344</v>
      </c>
      <c r="CV764" s="1702">
        <f>IF(IB764=TRUE,T765,0)</f>
        <v>0</v>
      </c>
      <c r="CW764" s="1702" t="str">
        <f>IF(IB764=TRUE,U765,"")</f>
        <v/>
      </c>
      <c r="CX764" s="1702"/>
      <c r="CY764" s="1814">
        <f>IF(IB764=TRUE,AB764,0)</f>
        <v>0</v>
      </c>
      <c r="CZ764" s="1710">
        <f>IF(AND(__Retrofit_TI_NC&gt;0,CR764="interior"),0,IF(IB764=TRUE,AC764,0))</f>
        <v>0</v>
      </c>
      <c r="DA764" s="1814">
        <f>IFERROR(IF(IB764=TRUE,CZ764-CZ766,0),0)</f>
        <v>0</v>
      </c>
      <c r="DB764" s="1819">
        <f>IF(IB764=TRUE,AD764,0)</f>
        <v>0</v>
      </c>
      <c r="DC764" s="1819">
        <f>IF(IB764=TRUE,AD767,0)</f>
        <v>0</v>
      </c>
      <c r="DD764" s="1819">
        <f>IFERROR(DB764-DC764,0)</f>
        <v>0</v>
      </c>
      <c r="DF764" s="1702">
        <f>IF(IB764=TRUE,AF765,0)</f>
        <v>0</v>
      </c>
      <c r="DG764" s="1830">
        <f>IFERROR(IF(__Retrofit_TI_NC=2,IF(CQ764="Exterior",O767,FQ764),FN764),"")</f>
        <v>0</v>
      </c>
      <c r="DH764" s="1702"/>
      <c r="DI764" s="1837">
        <f>JE764</f>
        <v>0</v>
      </c>
      <c r="DJ764" s="1710">
        <f>IF(AND(__Retrofit_TI_NC&gt;0,CR764="interior"),0,IF(IB764=TRUE,AN764,0))</f>
        <v>0</v>
      </c>
      <c r="DK764" s="1712">
        <f>IFERROR(IF(IB764=TRUE,DJ766-DJ764,0),0)</f>
        <v>0</v>
      </c>
      <c r="DM764" s="1717">
        <f>IFERROR(CZ764-DJ764,0)</f>
        <v>0</v>
      </c>
      <c r="DO764" s="1708">
        <f>DM764-DN766</f>
        <v>0</v>
      </c>
      <c r="DQ764" s="1715" t="str">
        <f>IFERROR(IF(AND(OR(GC764=4,GC764=5,GC764=6),OR(GF764=4,GF764=5,GF764=6)),GC764+8,VLOOKUP(CW766,Fixtures!R$31:Y$78,8,FALSE)),"")</f>
        <v/>
      </c>
      <c r="DR764" s="1829" t="str">
        <f>DQ764</f>
        <v/>
      </c>
      <c r="DS764" s="1702" t="str">
        <f>IFERROR(VLOOKUP(DG766,Lookup!BB$3:BC$20,2,FALSE),"")</f>
        <v/>
      </c>
      <c r="DT764" s="1713" t="str">
        <f>IF(OR(DS764=7,DS764=8,DS764=9),"ALC","")</f>
        <v/>
      </c>
      <c r="DU764" s="1715">
        <f>IFERROR(IF(OR(DQ764=4,DQ764=5,DQ764=6,DQ764=12,DQ764=13,DQ764=14),VLOOKUP(CW766,Fixtures!DN$27:EG$77,19,FALSE),1)*CV766,0)</f>
        <v>0</v>
      </c>
      <c r="DV764" s="1716">
        <f>IF(OR(DS764=7,DS764=8,DS764=9),IF(DG764=DG766,0,DF766),0)</f>
        <v>0</v>
      </c>
      <c r="DX764" s="1715" t="str">
        <f>IFERROR(IF(EZ764&lt;EZ766,"Yes","No"),"")</f>
        <v/>
      </c>
      <c r="DY764" s="1829" t="str">
        <f>DX764</f>
        <v/>
      </c>
      <c r="DZ764" s="1715">
        <f>IF(DX764="Yes",DF766,0)</f>
        <v>0</v>
      </c>
      <c r="EA764" s="1715">
        <f>DZ764-DV764</f>
        <v>0</v>
      </c>
      <c r="EC764" s="1834">
        <f>IFERROR(VLOOKUP(DQ764,Lookup!AU$3:AV$16,2,FALSE),0)</f>
        <v>0</v>
      </c>
      <c r="ED764" s="1834">
        <f>IF(IB764=FALSE,0,IF(DX764="Yes",EC764+Lookup!K$6,EC764))</f>
        <v>0</v>
      </c>
      <c r="EF764" s="1707">
        <f>IF(IB764=TRUE,DM764,0)</f>
        <v>0</v>
      </c>
      <c r="EG764" s="1712">
        <f>IF(IB764=TRUE,CZ766,0)</f>
        <v>0</v>
      </c>
      <c r="EH764" s="1814">
        <f>IFERROR(EF764-EG764,0)</f>
        <v>0</v>
      </c>
      <c r="EI764" s="1712">
        <f>IF(IB764=TRUE,DJ766,0)</f>
        <v>0</v>
      </c>
      <c r="EJ764" s="1712">
        <f>IFERROR(EF764-EG764+EI764,0)</f>
        <v>0</v>
      </c>
      <c r="EK764" s="1812">
        <f>IF(IB764=TRUE,CV766*CX766,0)</f>
        <v>0</v>
      </c>
      <c r="EL764" s="1812">
        <f>IF(IB764=TRUE,DF766*DH766,0)</f>
        <v>0</v>
      </c>
      <c r="EM764" s="1807">
        <f>AR764</f>
        <v>0</v>
      </c>
      <c r="EN764" s="1839" t="str">
        <f>IFERROR(IF(IB764=TRUE,VLOOKUP(DQ764,Lookup!AU$3:AW$16,3,FALSE)*DU764,""),0)</f>
        <v/>
      </c>
      <c r="EO764" s="1839">
        <f>IF(IB764=TRUE,DZ764*Lookup!AW$12,0)</f>
        <v>0</v>
      </c>
      <c r="EP764" s="1817">
        <f>IFERROR(IF(IB764=TRUE,EN764/EP$40,0),0)</f>
        <v>0</v>
      </c>
      <c r="EQ764" s="1817">
        <f>IF(IB764=TRUE,EO764/EQ$40,0)</f>
        <v>0</v>
      </c>
      <c r="ER764" s="1807">
        <f>IF(IB764=TRUE,ET$40*EP764,0)</f>
        <v>0</v>
      </c>
      <c r="ES764" s="1807">
        <f>IF(IB764=TRUE,ET$40*EQ764,0)</f>
        <v>0</v>
      </c>
      <c r="ET764" s="1807">
        <f>ER764+ES764</f>
        <v>0</v>
      </c>
      <c r="EV764" s="1715">
        <f>IF(G764="",0,1)</f>
        <v>0</v>
      </c>
      <c r="EX764" s="1804" t="str">
        <f>IFERROR(VLOOKUP(CS766,'Space Table'!$B$3:$L$163,8,FALSE),"")</f>
        <v/>
      </c>
      <c r="EY764" s="1804" t="str">
        <f>IFERROR(IF(FB764="Yes",VLOOKUP(DG764,Lookup_Control_Type_Table2,4,FALSE),VLOOKUP(DG764,Lookup_Control_Type_Table2,3,FALSE)),"")</f>
        <v/>
      </c>
      <c r="EZ764" s="1804" t="e">
        <f>VLOOKUP(DG764,Lookup!BB$3:BC$20,2,FALSE)</f>
        <v>#N/A</v>
      </c>
      <c r="FA764" s="1804" t="e">
        <f>VLOOKUP(EX764,Lookup_Control_Type_Table,2,FALSE)</f>
        <v>#N/A</v>
      </c>
      <c r="FB764" s="1804" t="e">
        <f>VLOOKUP(CS766,'Space Table'!$B$3:$L$163,7,FALSE)</f>
        <v>#N/A</v>
      </c>
      <c r="FC764" s="1826" t="b">
        <f>ISNUMBER(SEARCH("TLED",U766))</f>
        <v>0</v>
      </c>
      <c r="FE764" s="1698" t="str">
        <f>CONCATENATE(CQ764," - ",DG764)</f>
        <v xml:space="preserve"> - 0</v>
      </c>
      <c r="FG764" s="1702" t="str">
        <f>VLOOKUP(CW766,Fixtures!DN$27:EZ$77,38,FALSE)</f>
        <v/>
      </c>
      <c r="FH764" s="1702">
        <f>IFERROR(FG764*EH764,0)</f>
        <v>0</v>
      </c>
      <c r="FI764" s="133"/>
      <c r="FL764" s="1822" t="str">
        <f>IF(CQ764="Exterior","Not Daylighted",G767)</f>
        <v>Not Daylighted</v>
      </c>
      <c r="FM764" s="1824">
        <f>VLOOKUP(FL764,_New_Daylight_Table_Codes,2,FALSE)</f>
        <v>0</v>
      </c>
      <c r="FN764" s="1698">
        <f>IF(__Retrofit_TI_NC&gt;0,VLOOKUP(G766,'Space Table'!$B$3:$L$163,11,FALSE),AG765)</f>
        <v>0</v>
      </c>
      <c r="FO764" s="1698" t="e">
        <f>IF(__Retrofit_TI_NC=2,VLOOKUP(FQ764,_Control_Table,2,FALSE),VLOOKUP(FN764,_Control_Table,2,FALSE))</f>
        <v>#N/A</v>
      </c>
      <c r="FP764" s="1678" t="e">
        <f>VLOOKUP(CONCATENATE(FL764," ",FN764),Lookup!AY$102:AZ774,2,FALSE)</f>
        <v>#N/A</v>
      </c>
      <c r="FQ764" s="1678">
        <f>IF(__Retrofit_TI_NC=0,FN764,IF(AND(FT764&gt;0,FN764="Occupancy Sensor"),"Daylight + Occupancy",IF(AND(FT764&gt;0,VLOOKUP(FN764,_Control_Table,2,FALSE)&lt;4),"Interior Daylight Dimming",FN764)))</f>
        <v>0</v>
      </c>
      <c r="FS764" s="1686">
        <f>IF(CR764="Interior",VLOOKUP(CS764,Control_Savings_Interior,5,FALSE),0)</f>
        <v>0</v>
      </c>
      <c r="FT764" s="1687">
        <f>IF(CQ764="Exterior",0,IF(FM764=2,0.5,IF(OR(FM764=1,FM764=3),1,0)))</f>
        <v>0</v>
      </c>
      <c r="FU764" s="1685">
        <f>IF(R763&gt;FS$44,(FS764*(FS$44/R763)),FS764)*FT764</f>
        <v>0</v>
      </c>
      <c r="FV764" s="1686">
        <f>DI764</f>
        <v>0</v>
      </c>
      <c r="FW764" s="1686">
        <f>ROUND(FV764+((1-FV764)*FU764),2)</f>
        <v>0</v>
      </c>
      <c r="FX764" s="1686">
        <f>IF(__Retrofit_TI_NC=2,FW764,FV764)</f>
        <v>0</v>
      </c>
      <c r="FY764" s="1697"/>
      <c r="GA764" s="1696" t="str">
        <f>IFERROR(VLOOKUP(U765,_Exist_Fixture_Table,3,FALSE),"")</f>
        <v/>
      </c>
      <c r="GB764" s="1696" t="str">
        <f>VLOOKUP(CW764,_Exist_Fixture_Table,4,FALSE)</f>
        <v/>
      </c>
      <c r="GC764" s="1696">
        <f>IFERROR(VLOOKUP(GB764,Lookup!AT$6:AU$8,2,FALSE),0)</f>
        <v>0</v>
      </c>
      <c r="GD764" s="1696" t="b">
        <f>IFERROR(IF(OR(GF764=4,GF764=5,GF764=6),TRUE,FALSE),"")</f>
        <v>0</v>
      </c>
      <c r="GE764" s="1696" t="str">
        <f>IFERROR(VLOOKUP(GF764,GC$6:GD$10,2,FALSE),"")</f>
        <v/>
      </c>
      <c r="GF764" s="1696" t="str">
        <f>VLOOKUP(CW766,Fixtures!R$31:Y$78,8,FALSE)</f>
        <v/>
      </c>
      <c r="GG764" s="1696">
        <f>IF(AND(GA764=TRUE,GD764=TRUE,OR(DQ764=12,DQ764=13,DQ764=14)),GC764+8,0)</f>
        <v>0</v>
      </c>
      <c r="GH764" s="1696" t="b">
        <f>IF(OR(GG764=12,GG764=13,GG764=14),TRUE,FALSE)</f>
        <v>0</v>
      </c>
      <c r="GI764" s="673" t="b">
        <f>IF(ISNUMBER(SEARCH("TLED",U765)),TRUE,FALSE)</f>
        <v>0</v>
      </c>
      <c r="GJ764" s="1135" t="str">
        <f>IFERROR(VLOOKUP(U765,Fixtures!BM$93:BR$142,6,FALSE),"")</f>
        <v/>
      </c>
      <c r="GK764" s="1832" t="b">
        <f>IF(OR(GI764=FALSE,GI766=FALSE),TRUE,IF(GJ764-GJ766&lt;5,FALSE,TRUE))</f>
        <v>1</v>
      </c>
      <c r="GO764" s="674">
        <f>GP764</f>
        <v>0</v>
      </c>
      <c r="GP764" s="674">
        <f>IF(G764="",0,1)</f>
        <v>0</v>
      </c>
      <c r="GQ764" s="674">
        <f ca="1">SUM(GR764:HF764)</f>
        <v>2</v>
      </c>
      <c r="GR764" s="674">
        <f>IF(G765="",0,1)</f>
        <v>0</v>
      </c>
      <c r="GS764" s="674">
        <f>IF(N767="BAM",1,IF(G766="",0,1))</f>
        <v>0</v>
      </c>
      <c r="GT764" s="674">
        <f>IF(N767="BAM",1,IF(R765="",0,1))</f>
        <v>0</v>
      </c>
      <c r="GU764" s="674">
        <f>IF(N767="BAM",1,IF(__Retrofit_TI_NC=0,1,IF(R766="",0,1)))</f>
        <v>1</v>
      </c>
      <c r="GV764" s="674">
        <f>IF(N767="BAM",1,IF(CQ764="Exterior",1,IF(G767="",0,1)))</f>
        <v>1</v>
      </c>
      <c r="GW764" s="674">
        <f>IF(__Retrofit_TI_NC&gt;0,1,IF(T765="",0,1))</f>
        <v>0</v>
      </c>
      <c r="GX764" s="674">
        <f>IF(__Retrofit_TI_NC&gt;0,1,IF(U765="",0,1))</f>
        <v>0</v>
      </c>
      <c r="GY764" s="674">
        <f>IF(N767="BAM",1,IF(T766="",0,1))</f>
        <v>0</v>
      </c>
      <c r="GZ764" s="674">
        <f>IF(N767="BAM",1,IF(U766="",0,1))</f>
        <v>0</v>
      </c>
      <c r="HA764" s="674">
        <f ca="1">IF(N767="BAM",1,IF(__Retrofit_TI_NC&gt;0,1,IF(U767="",0,1)))</f>
        <v>0</v>
      </c>
      <c r="HB764" s="674">
        <f>IF(__Retrofit_TI_NC&lt;&gt;0,1,IF(AF765="",0,1))</f>
        <v>0</v>
      </c>
      <c r="HC764" s="674">
        <f>IF(__Retrofit_TI_NC&lt;&gt;0,1,IF(AG765="",0,1))</f>
        <v>0</v>
      </c>
      <c r="HD764" s="674">
        <f>IF(N767="BAM",1,IF(AF766="",0,1))</f>
        <v>0</v>
      </c>
      <c r="HE764" s="674">
        <f>IF(N767="BAM",1,IF(AG766="",0,1))</f>
        <v>0</v>
      </c>
      <c r="HF764" s="674">
        <f>IF(N767="BAM",1,IF(__Retrofit_TI_NC&gt;0,1,IF(AG767="",0,1)))</f>
        <v>0</v>
      </c>
      <c r="HG764" s="391"/>
      <c r="IA764" s="391"/>
      <c r="IB764" s="1693" t="b">
        <f>IF(OR(IB767=0,IB767=HY$16,IB767=HX$16,IB767=HZ$16),TRUE,FALSE)</f>
        <v>0</v>
      </c>
      <c r="IC764" s="1694" t="b">
        <f>IB764</f>
        <v>0</v>
      </c>
      <c r="ID764" s="391"/>
      <c r="IE764" s="391"/>
      <c r="IF764" s="1688" t="b">
        <f ca="1">IF(MAX(GN767:HU767)&gt;5,FALSE,TRUE)</f>
        <v>0</v>
      </c>
      <c r="IG764" s="1689">
        <f ca="1">IF(IF764=TRUE,AC764,0)</f>
        <v>0</v>
      </c>
      <c r="IH764" s="1689">
        <f ca="1">IG764-IG766</f>
        <v>0</v>
      </c>
      <c r="IK764" s="1689" t="e">
        <f>ROUND(T765*VLOOKUP(U765,Fixtures_Existing_List,2,FALSE)*N765*R765/1000,0)</f>
        <v>#N/A</v>
      </c>
      <c r="IL764" s="1690" t="e">
        <f>IK764-IK766</f>
        <v>#N/A</v>
      </c>
      <c r="IM764" s="1693" t="e">
        <f>ROUND(IF(CQ764="Interior",N766*R766*R765*N765*_C406_reduction/1000,N766*R766*R765*N765/1000),0)</f>
        <v>#N/A</v>
      </c>
      <c r="IN764" s="1693" t="e">
        <f>IM764-IM766</f>
        <v>#N/A</v>
      </c>
      <c r="IP764" s="1679"/>
      <c r="IQ764" s="1679" t="e">
        <f t="shared" ref="IQ764:IU764" si="706">IF($CR764="interior",VLOOKUP($CS764,_New_Control_Savings_Interior,IQ$30,FALSE),VLOOKUP($CS764,Control_Savings_Exterior,IQ$30,FALSE))</f>
        <v>#N/A</v>
      </c>
      <c r="IR764" s="1679" t="e">
        <f t="shared" si="706"/>
        <v>#N/A</v>
      </c>
      <c r="IS764" s="1679" t="e">
        <f t="shared" si="706"/>
        <v>#N/A</v>
      </c>
      <c r="IT764" s="1679" t="e">
        <f t="shared" si="706"/>
        <v>#N/A</v>
      </c>
      <c r="IU764" s="1679" t="e">
        <f t="shared" si="706"/>
        <v>#N/A</v>
      </c>
      <c r="IV764" s="1679" t="e">
        <f>IF($CR764="interior",IF(R765&gt;$IP$14,ROUND(($IV$18*($IP$14/R765)),2),$IV$18),VLOOKUP($CS764,Control_Savings_Exterior,IV$30,FALSE))</f>
        <v>#N/A</v>
      </c>
      <c r="IW764" s="1679" t="e">
        <f>IF($CR764="interior",ROUND(((1-IS764)*IV764)+IS764,2),VLOOKUP($CS764,Control_Savings_Exterior,IW$30,FALSE))</f>
        <v>#N/A</v>
      </c>
      <c r="IX764" s="1679" t="e">
        <f>IF($CR764="interior",ROUND(((1-IT764)*IV764)+IT764,2),VLOOKUP($CS764,Control_Savings_Exterior,IX$30,FALSE))</f>
        <v>#N/A</v>
      </c>
      <c r="IY764" s="1679" t="e">
        <f>IF($CR764="interior",IF(R765&gt;$IP$14,ROUND(($IY$18*($IP$14/R765)),2),$IY$18),VLOOKUP($CS764,Control_Savings_Exterior,IY$30,FALSE))</f>
        <v>#N/A</v>
      </c>
      <c r="IZ764" s="1679" t="e">
        <f>IF($CR764="interior",ROUND(((1-IS764)*IY764)+IS764,2),VLOOKUP($CS764,Control_Savings_Exterior,IZ$30,FALSE))</f>
        <v>#N/A</v>
      </c>
      <c r="JA764" s="1679" t="e">
        <f>IF($CR764="interior",ROUND(((1-IT764)*IY764)+IT764,2),VLOOKUP($CS764,Control_Savings_Exterior,JA$30,FALSE))</f>
        <v>#N/A</v>
      </c>
      <c r="JC764" s="1680">
        <f>IFERROR(IF(CR764="Interior",CONCATENATE(G767," ",FQ764),FQ764),"")</f>
        <v>0</v>
      </c>
      <c r="JD764" s="1670" t="str">
        <f>IFERROR(VLOOKUP(JC764,_Controls_2023,2,FALSE),"")</f>
        <v/>
      </c>
      <c r="JE764" s="1681">
        <f>IFERROR(CHOOSE(JD764-1,IQ764,IR764,IS764,IT764,IU764,IV764,IW764,IX764,IY764,IZ764,JA764),0)</f>
        <v>0</v>
      </c>
      <c r="JG764" s="1680" t="str">
        <f>FE764</f>
        <v xml:space="preserve"> - 0</v>
      </c>
      <c r="JH764" s="1670" t="e">
        <f>$FO764</f>
        <v>#N/A</v>
      </c>
      <c r="JI764" s="1060"/>
      <c r="JJ764" s="1682" t="b">
        <f>IF($JG766=CONCATENATE("Interior - ",JJ$4),TRUE,FALSE)</f>
        <v>0</v>
      </c>
      <c r="JK764" s="1061"/>
      <c r="JL764" s="1682" t="b">
        <f>IF($JG766=CONCATENATE("Interior - ",JL$4),TRUE,FALSE)</f>
        <v>0</v>
      </c>
      <c r="JM764" s="1061"/>
      <c r="JN764" s="1682" t="b">
        <f>IF($JG766=CONCATENATE("Interior - ",JN$4),TRUE,FALSE)</f>
        <v>0</v>
      </c>
      <c r="JO764" s="1061"/>
      <c r="JP764" s="1682" t="b">
        <f>IF(__Retrofit_TI_NC&gt;0,FALSE,IF($JG766=CONCATENATE("Interior - ",JP$4),TRUE,FALSE))</f>
        <v>0</v>
      </c>
      <c r="JQ764" s="1061"/>
      <c r="JR764" s="1682" t="b">
        <f>IF(__Retrofit_TI_NC&gt;0,FALSE,IF($JG766=CONCATENATE("Interior - ",JR$4),TRUE,FALSE))</f>
        <v>0</v>
      </c>
      <c r="JS764" s="1061"/>
      <c r="JT764" s="1670" t="b">
        <f>IF(__Retrofit_TI_NC&gt;0,FALSE,IF($JG766=CONCATENATE("Interior - ",JT$4),TRUE,FALSE))</f>
        <v>0</v>
      </c>
      <c r="JU764" s="1061"/>
      <c r="JV764" s="1670" t="b">
        <f>IF(JC766="AELC on Existing",TRUE,FALSE)</f>
        <v>0</v>
      </c>
      <c r="JX764" s="1670" t="b">
        <f>IF(OR(JG766="Exterior - AELC Occupancy based",JG766="Exterior - AELC Time based"),TRUE,FALSE)</f>
        <v>0</v>
      </c>
      <c r="JZ764" s="1682" t="b">
        <f>IF($JG766=CONCATENATE("Exterior - ",JZ$4),TRUE,FALSE)</f>
        <v>0</v>
      </c>
      <c r="KB764" s="1670" t="b">
        <f>IF(__Retrofit_TI_NC&gt;0,FALSE,IF($JG766=CONCATENATE("Interior - ",KB$4),TRUE,FALSE))</f>
        <v>0</v>
      </c>
    </row>
    <row r="765" spans="1:288" s="78" customFormat="1" ht="14.95" customHeight="1" thickTop="1" thickBot="1">
      <c r="B765" s="1845"/>
      <c r="C765" s="1846"/>
      <c r="D765" s="1847"/>
      <c r="E765" s="1737" t="s">
        <v>297</v>
      </c>
      <c r="F765" s="1738"/>
      <c r="G765" s="1739"/>
      <c r="H765" s="1739"/>
      <c r="I765" s="1739"/>
      <c r="J765" s="1739"/>
      <c r="K765" s="1739"/>
      <c r="L765" s="1739"/>
      <c r="M765" s="461" t="e">
        <f>IF(__Retrofit_TI_NC&lt;&gt;0,IF(VLOOKUP(G766,'Space Table'!$B$3:$L$163,3,FALSE)&gt;0,1,0),IF(__Retrofit_TI_NC=VLOOKUP(G766,'Space Table'!$B$3:$L$163,3,FALSE),1,0))</f>
        <v>#N/A</v>
      </c>
      <c r="N765" s="461" t="str">
        <f>IFERROR(VLOOKUP(G765,_Lookup_Heat_Type_Table_New,2,FALSE),"")</f>
        <v/>
      </c>
      <c r="O765" s="461">
        <f>IF(__Retrofit_TI_NC=1,CONCATENATE("TI ",G765),IF(__Retrofit_TI_NC=2,CONCATENATE("NC ",G765),G765))</f>
        <v>0</v>
      </c>
      <c r="P765" s="1740" t="s">
        <v>435</v>
      </c>
      <c r="Q765" s="1740"/>
      <c r="R765" s="595"/>
      <c r="S765" s="1792"/>
      <c r="T765" s="597"/>
      <c r="U765" s="1765"/>
      <c r="V765" s="1766"/>
      <c r="W765" s="1766"/>
      <c r="X765" s="1766"/>
      <c r="Y765" s="1766"/>
      <c r="Z765" s="1766"/>
      <c r="AA765" s="1766"/>
      <c r="AB765" s="1766"/>
      <c r="AC765" s="1766"/>
      <c r="AD765" s="1767"/>
      <c r="AE765" s="1000"/>
      <c r="AF765" s="597"/>
      <c r="AG765" s="1723"/>
      <c r="AH765" s="1724"/>
      <c r="AI765" s="1724"/>
      <c r="AJ765" s="1724"/>
      <c r="AK765" s="1725"/>
      <c r="AL765" s="996"/>
      <c r="AM765" s="1747"/>
      <c r="AN765" s="1775"/>
      <c r="AO765" s="1777"/>
      <c r="AP765" s="1780"/>
      <c r="AQ765" s="1781"/>
      <c r="AR765" s="1795"/>
      <c r="AS765" s="1795"/>
      <c r="AT765" s="1796"/>
      <c r="AU765" s="1735"/>
      <c r="AV765" s="1752"/>
      <c r="AW765" s="1705"/>
      <c r="AX765" s="467"/>
      <c r="AY765" s="1749"/>
      <c r="AZ765" s="1749"/>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696"/>
      <c r="CQ765" s="1696"/>
      <c r="CR765" s="1809"/>
      <c r="CS765" s="1811"/>
      <c r="CU765" s="1688"/>
      <c r="CV765" s="1703"/>
      <c r="CW765" s="1703"/>
      <c r="CX765" s="1703"/>
      <c r="CY765" s="1815"/>
      <c r="CZ765" s="1711"/>
      <c r="DA765" s="1818"/>
      <c r="DB765" s="1820"/>
      <c r="DC765" s="1820"/>
      <c r="DD765" s="1820"/>
      <c r="DF765" s="1703"/>
      <c r="DG765" s="1831"/>
      <c r="DH765" s="1703"/>
      <c r="DI765" s="1838"/>
      <c r="DJ765" s="1711"/>
      <c r="DK765" s="1712"/>
      <c r="DM765" s="1718"/>
      <c r="DO765" s="1708"/>
      <c r="DQ765" s="1715"/>
      <c r="DR765" s="1720"/>
      <c r="DS765" s="1816"/>
      <c r="DT765" s="1714"/>
      <c r="DU765" s="1715"/>
      <c r="DV765" s="1716"/>
      <c r="DX765" s="1715"/>
      <c r="DY765" s="1720"/>
      <c r="DZ765" s="1715"/>
      <c r="EA765" s="1715"/>
      <c r="EC765" s="1834"/>
      <c r="ED765" s="1834"/>
      <c r="EF765" s="1707"/>
      <c r="EG765" s="1712"/>
      <c r="EH765" s="1818"/>
      <c r="EI765" s="1712"/>
      <c r="EJ765" s="1712"/>
      <c r="EK765" s="1836"/>
      <c r="EL765" s="1836"/>
      <c r="EM765" s="1807"/>
      <c r="EN765" s="1839"/>
      <c r="EO765" s="1839"/>
      <c r="EP765" s="1817"/>
      <c r="EQ765" s="1817"/>
      <c r="ER765" s="1807"/>
      <c r="ES765" s="1807"/>
      <c r="ET765" s="1807"/>
      <c r="EV765" s="1715"/>
      <c r="EX765" s="1805"/>
      <c r="EY765" s="1805"/>
      <c r="EZ765" s="1805"/>
      <c r="FA765" s="1805"/>
      <c r="FB765" s="1805"/>
      <c r="FC765" s="1827"/>
      <c r="FE765" s="1698"/>
      <c r="FG765" s="1816"/>
      <c r="FH765" s="1816"/>
      <c r="FI765" s="133"/>
      <c r="FL765" s="1823"/>
      <c r="FM765" s="1825"/>
      <c r="FN765" s="1698"/>
      <c r="FO765" s="1698"/>
      <c r="FP765" s="1678"/>
      <c r="FQ765" s="1678"/>
      <c r="FS765" s="1687"/>
      <c r="FT765" s="1687"/>
      <c r="FU765" s="1685"/>
      <c r="FV765" s="1687"/>
      <c r="FW765" s="1687"/>
      <c r="FX765" s="1687"/>
      <c r="FY765" s="1697"/>
      <c r="GA765" s="1696"/>
      <c r="GB765" s="1696"/>
      <c r="GC765" s="1696"/>
      <c r="GD765" s="1696"/>
      <c r="GE765" s="1696"/>
      <c r="GF765" s="1696"/>
      <c r="GG765" s="1696"/>
      <c r="GH765" s="1696"/>
      <c r="GI765" s="673"/>
      <c r="GJ765" s="1135"/>
      <c r="GK765" s="1832"/>
      <c r="GM765" s="1693" t="b">
        <f ca="1">IF(AND(GP765=TRUE,GQ765=TRUE),TRUE,FALSE)</f>
        <v>0</v>
      </c>
      <c r="GN765" s="1684" t="b">
        <f>IFERROR(IF(__Retrofit_TI_NC=2,TRUE,IF(AU764="Yes",TRUE,FALSE)),FALSE)</f>
        <v>1</v>
      </c>
      <c r="GP765" s="1684" t="b">
        <f>IFERROR(IF(GP764=1,TRUE,FALSE),FALSE)</f>
        <v>0</v>
      </c>
      <c r="GQ765" s="1684" t="b">
        <f ca="1">IFERROR(IF(GQ764=GQ$14,TRUE,FALSE),FALSE)</f>
        <v>0</v>
      </c>
      <c r="HG765" s="1684" t="b">
        <f>IFERROR(IF(AND(__Retrofit_TI_NC&gt;0,CQ764="Interior"),FALSE,TRUE),FALSE)</f>
        <v>1</v>
      </c>
      <c r="HH765" s="1684" t="b">
        <f>IFERROR(IF(M765=1,TRUE,FALSE),FALSE)</f>
        <v>0</v>
      </c>
      <c r="HI765" s="1684" t="b">
        <f>IFERROR(IF(OR(M766=1,N767="BAM"),TRUE,FALSE),FALSE)</f>
        <v>0</v>
      </c>
      <c r="HJ765" s="1684" t="b">
        <f>IFERROR(IF(__Retrofit_TI_NC&lt;&gt;0,TRUE,IFERROR(IF(VLOOKUP(U765,Fixtures_Existing_List,2,FALSE)&lt;&gt;"",TRUE,FALSE),FALSE)),FALSE)</f>
        <v>0</v>
      </c>
      <c r="HK765" s="1684" t="b">
        <f>IFERROR(IF(VLOOKUP(U766,Fixtures_Proposed_List,2,FALSE)&lt;&gt;"",TRUE,FALSE),FALSE)</f>
        <v>0</v>
      </c>
      <c r="HL765" s="1684" t="b">
        <f>IF(AND(__Retrofit_TI_NC=2,FC764=TRUE),FALSE,TRUE)</f>
        <v>1</v>
      </c>
      <c r="HM765" s="1684" t="b">
        <f>GK764</f>
        <v>1</v>
      </c>
      <c r="HN765" s="1682" t="b">
        <f>IF(ISERROR(MATCH(FE764,_Control_Match[],0))=TRUE,FALSE,TRUE)</f>
        <v>0</v>
      </c>
      <c r="HO765" s="1693" t="b">
        <f>IFERROR(IF(EX764&lt;&gt;EY764,FALSE,TRUE),FALSE)</f>
        <v>1</v>
      </c>
      <c r="HP765" s="1693" t="b">
        <f>IFERROR(IF(EX766&lt;&gt;EY766,FALSE,TRUE),FALSE)</f>
        <v>1</v>
      </c>
      <c r="HQ765" s="1670" t="b">
        <f>IFERROR(IF(CQ764="Exterior",TRUE,IF(AND(OR(FM766=0,FM766=3),JD766&gt;6),FALSE,TRUE)),FALSE)</f>
        <v>0</v>
      </c>
      <c r="HR765" s="1684" t="b">
        <f>IFERROR(IF(AND(FO766=7,FC764=TRUE),FALSE,TRUE),FALSE)</f>
        <v>0</v>
      </c>
      <c r="HS765" s="1684" t="b">
        <f>IFERROR(IF(AND(T766&lt;&gt;AF766,OR(AG766="Interior LLLC", AG766="Interior NLC", AG766="LLLC (outside Daylight)",AG766="LLLC Controls Only"))=TRUE,FALSE,TRUE),FALSE)</f>
        <v>1</v>
      </c>
      <c r="HT765" s="1670" t="b">
        <f>IFERROR(IF(OR(AG766=Lookup!BB$17,AG766=Lookup!BB$18,AG766=Lookup!BB$19)=TRUE,IF(AF766&gt;T766,FALSE,TRUE),TRUE),FALSE)</f>
        <v>1</v>
      </c>
      <c r="HU765" s="1684" t="b">
        <f>IFERROR(IF(__Retrofit_TI_NC=2,IF(EZ766&lt;EZ764,FALSE,TRUE),TRUE),FALSE)</f>
        <v>1</v>
      </c>
      <c r="HV765" s="1684" t="b">
        <f>IF(CQ764="Interior",IL$6,TRUE)</f>
        <v>1</v>
      </c>
      <c r="HW765" s="1684" t="b">
        <f>IF(CQ764="Exterior",IL$8,TRUE)</f>
        <v>1</v>
      </c>
      <c r="HX765" s="1684" t="b">
        <f>IFERROR(IF(__Retrofit_TI_NC&lt;&gt;0,IF(AZ764&lt;AY764,FALSE,TRUE),TRUE),FALSE)</f>
        <v>1</v>
      </c>
      <c r="HY765" s="1684" t="b">
        <f>IFERROR(IF(AND(G765="Exterior",R765&gt;4200),FALSE,TRUE),FALSE)</f>
        <v>1</v>
      </c>
      <c r="HZ765" s="1684" t="b">
        <f>IFERROR(IF(AB767/AB764&lt;HZ$18,FALSE,TRUE),FALSE)</f>
        <v>0</v>
      </c>
      <c r="IB765" s="1691"/>
      <c r="IC765" s="1695"/>
      <c r="ID765" s="1694" t="str">
        <f>VLOOKUP(IB767,_Error_Table,4,FALSE)</f>
        <v>White</v>
      </c>
      <c r="IE765" s="391"/>
      <c r="IF765" s="1688"/>
      <c r="IG765" s="1689"/>
      <c r="IH765" s="1684"/>
      <c r="IK765" s="1689"/>
      <c r="IL765" s="1691"/>
      <c r="IM765" s="1691"/>
      <c r="IN765" s="1691"/>
      <c r="IP765" s="1679"/>
      <c r="IQ765" s="1679"/>
      <c r="IR765" s="1679"/>
      <c r="IS765" s="1679"/>
      <c r="IT765" s="1679"/>
      <c r="IU765" s="1679"/>
      <c r="IV765" s="1679"/>
      <c r="IW765" s="1679"/>
      <c r="IX765" s="1679"/>
      <c r="IY765" s="1679"/>
      <c r="IZ765" s="1679"/>
      <c r="JA765" s="1679"/>
      <c r="JC765" s="1680"/>
      <c r="JD765" s="1670"/>
      <c r="JE765" s="1681"/>
      <c r="JG765" s="1680"/>
      <c r="JH765" s="1670"/>
      <c r="JI765" s="1060"/>
      <c r="JJ765" s="1683"/>
      <c r="JK765" s="1061"/>
      <c r="JL765" s="1683"/>
      <c r="JM765" s="1061"/>
      <c r="JN765" s="1683"/>
      <c r="JO765" s="1061"/>
      <c r="JP765" s="1683"/>
      <c r="JQ765" s="1061"/>
      <c r="JR765" s="1683"/>
      <c r="JS765" s="1061"/>
      <c r="JT765" s="1670"/>
      <c r="JU765" s="1061"/>
      <c r="JV765" s="1670"/>
      <c r="JX765" s="1670"/>
      <c r="JZ765" s="1683"/>
      <c r="KB765" s="1670"/>
    </row>
    <row r="766" spans="1:288" s="78" customFormat="1" ht="14.95" customHeight="1" thickTop="1" thickBot="1">
      <c r="A766" s="78">
        <f>ROW()</f>
        <v>766</v>
      </c>
      <c r="B766" s="1845"/>
      <c r="C766" s="1846"/>
      <c r="D766" s="1847"/>
      <c r="E766" s="1737" t="s">
        <v>298</v>
      </c>
      <c r="F766" s="1738"/>
      <c r="G766" s="1760"/>
      <c r="H766" s="1761"/>
      <c r="I766" s="1761"/>
      <c r="J766" s="1761"/>
      <c r="K766" s="1761"/>
      <c r="L766" s="1762"/>
      <c r="M766" s="461">
        <f>IFERROR(IF(IF(__Retrofit_TI_NC&lt;&gt;0,IF(CQ764="Interior",MATCH(G766,Lookup_Interior_New,0),MATCH(G766,Lookup_Exterior_New,0)),IF(CQ764="Interior",MATCH(G766,Lookup_Interior,0),MATCH(G766,Lookup_Exterior_Areas,0)))&gt;0,1,0),0)</f>
        <v>0</v>
      </c>
      <c r="N766" s="461" t="e">
        <f>IF(__Retrofit_TI_NC=1,
VLOOKUP(G766,'Space Table'!$B$3:$L$163,4,FALSE),
IF(__Retrofit_TI_NC=2,VLOOKUP(G766,'Space Table'!$B$3:$L$163,5,FALSE),VLOOKUP(G766,'Space Table'!$B$3:$L$163,5,FALSE)))</f>
        <v>#N/A</v>
      </c>
      <c r="O766" s="461">
        <f>G766</f>
        <v>0</v>
      </c>
      <c r="P766" s="1738" t="str">
        <f>IFERROR(IF(__Retrofit_TI_NC=1,VLOOKUP(G766,'Space Table'!$B$3:$O$163,13,FALSE),IF(__Retrofit_TI_NC=2,VLOOKUP(G766,'Space Table'!$B$3:$O$163,14,FALSE),"Area (sf):")),"Area (sf):")</f>
        <v>Area (sf):</v>
      </c>
      <c r="Q766" s="1738"/>
      <c r="R766" s="596"/>
      <c r="S766" s="1763" t="s">
        <v>345</v>
      </c>
      <c r="T766" s="594"/>
      <c r="U766" s="1801"/>
      <c r="V766" s="1802"/>
      <c r="W766" s="1802"/>
      <c r="X766" s="1802"/>
      <c r="Y766" s="1802"/>
      <c r="Z766" s="1802"/>
      <c r="AA766" s="1802"/>
      <c r="AB766" s="1802"/>
      <c r="AC766" s="1802"/>
      <c r="AD766" s="1802"/>
      <c r="AE766" s="1803"/>
      <c r="AF766" s="594"/>
      <c r="AG766" s="1787"/>
      <c r="AH766" s="1787"/>
      <c r="AI766" s="1787"/>
      <c r="AJ766" s="1787"/>
      <c r="AK766" s="1787"/>
      <c r="AL766" s="1787"/>
      <c r="AM766" s="1726">
        <f>IFERROR(DI766,"")</f>
        <v>0</v>
      </c>
      <c r="AN766" s="1728" t="str">
        <f>IFERROR(ROUND(AM766*AC767,0),"")</f>
        <v/>
      </c>
      <c r="AO766" s="1730">
        <f>IFERROR(IF(IB764=FALSE,0,AC767-AN766),0)</f>
        <v>0</v>
      </c>
      <c r="AP766" s="1780"/>
      <c r="AQ766" s="1781"/>
      <c r="AR766" s="1795"/>
      <c r="AS766" s="1795"/>
      <c r="AT766" s="1796"/>
      <c r="AU766" s="1735"/>
      <c r="AV766" s="1752"/>
      <c r="AW766" s="1705"/>
      <c r="AX766" s="467"/>
      <c r="AY766" s="1749"/>
      <c r="AZ766" s="1749"/>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696"/>
      <c r="CQ766" s="1696"/>
      <c r="CR766" s="1808" t="str">
        <f>CQ764</f>
        <v/>
      </c>
      <c r="CS766" s="1810" t="str">
        <f>CS764</f>
        <v/>
      </c>
      <c r="CU766" s="1688" t="s">
        <v>345</v>
      </c>
      <c r="CV766" s="1702">
        <f>IF(IB764=TRUE,T766,0)</f>
        <v>0</v>
      </c>
      <c r="CW766" s="1702" t="str">
        <f>IF(IB764=TRUE,U766,"")</f>
        <v/>
      </c>
      <c r="CX766" s="1812">
        <f>IF(IB764=TRUE,U767,0)</f>
        <v>0</v>
      </c>
      <c r="CY766" s="1814">
        <f>IF(IB764=TRUE,AB767,0)</f>
        <v>0</v>
      </c>
      <c r="CZ766" s="1710">
        <f>IF(AND(__Retrofit_TI_NC&gt;0,CR764="interior"),0,IF(IB764=TRUE,AC767,0))</f>
        <v>0</v>
      </c>
      <c r="DA766" s="1818"/>
      <c r="DB766" s="1820"/>
      <c r="DC766" s="1820"/>
      <c r="DD766" s="1820"/>
      <c r="DF766" s="1702">
        <f>IF(IB764=TRUE,AF766,0)</f>
        <v>0</v>
      </c>
      <c r="DG766" s="1830" t="str">
        <f>IF(IB764=TRUE,AG766,"")</f>
        <v/>
      </c>
      <c r="DH766" s="1812">
        <f>AG767</f>
        <v>0</v>
      </c>
      <c r="DI766" s="1837">
        <f>JE766</f>
        <v>0</v>
      </c>
      <c r="DJ766" s="1710">
        <f>IF(AND(__Retrofit_TI_NC&gt;0,CR764="interior"),0,IF(IB764=TRUE,AN766,0))</f>
        <v>0</v>
      </c>
      <c r="DK766" s="1712"/>
      <c r="DN766" s="1717">
        <f>IFERROR(CZ766-DJ766,0)</f>
        <v>0</v>
      </c>
      <c r="DO766" s="1709"/>
      <c r="DQ766" s="1715"/>
      <c r="DR766" s="1719" t="str">
        <f>DQ764</f>
        <v/>
      </c>
      <c r="DS766" s="1816"/>
      <c r="DT766" s="1835" t="str">
        <f>IF(OR(DS764=7,DS764=8,DS764=9),"ALC","")</f>
        <v/>
      </c>
      <c r="DU766" s="1715"/>
      <c r="DV766" s="1716"/>
      <c r="DX766" s="1715"/>
      <c r="DY766" s="1829" t="str">
        <f>DX764</f>
        <v/>
      </c>
      <c r="DZ766" s="1715"/>
      <c r="EA766" s="1715"/>
      <c r="EC766" s="1834"/>
      <c r="ED766" s="1834"/>
      <c r="EF766" s="1707"/>
      <c r="EG766" s="1712"/>
      <c r="EH766" s="1818"/>
      <c r="EI766" s="1712"/>
      <c r="EJ766" s="1712"/>
      <c r="EK766" s="1836"/>
      <c r="EL766" s="1836"/>
      <c r="EM766" s="1807"/>
      <c r="EN766" s="1839"/>
      <c r="EO766" s="1839"/>
      <c r="EP766" s="1817"/>
      <c r="EQ766" s="1817"/>
      <c r="ER766" s="1807"/>
      <c r="ES766" s="1807"/>
      <c r="ET766" s="1807"/>
      <c r="EV766" s="1715"/>
      <c r="EX766" s="1805" t="str">
        <f>IFERROR(VLOOKUP(CS766,'Space Table'!$B$3:$L$163,8,FALSE),"")</f>
        <v/>
      </c>
      <c r="EY766" s="1805" t="str">
        <f>IFERROR(IF(FB766="Yes",VLOOKUP(AG766,Lookup_Control_Type_Table2,4,FALSE),VLOOKUP(AG766,Lookup_Control_Type_Table2,3,FALSE)),"")</f>
        <v/>
      </c>
      <c r="EZ766" s="1805" t="e">
        <f>VLOOKUP(AG766,Lookup!BB$3:BC$20,2,FALSE)</f>
        <v>#N/A</v>
      </c>
      <c r="FA766" s="1805" t="e">
        <f>VLOOKUP(EX764,Lookup_Control_Type_Table,2,FALSE)</f>
        <v>#N/A</v>
      </c>
      <c r="FB766" s="1805" t="e">
        <f>VLOOKUP(CS766,'Space Table'!$B$3:$L$163,7,FALSE)</f>
        <v>#N/A</v>
      </c>
      <c r="FC766" s="1827"/>
      <c r="FE766" s="1698" t="str">
        <f>CONCATENATE(CQ764," - ",AG766)</f>
        <v xml:space="preserve"> - </v>
      </c>
      <c r="FG766" s="1816"/>
      <c r="FH766" s="1816"/>
      <c r="FI766" s="133"/>
      <c r="FL766" s="1822" t="str">
        <f>IF(CQ764="Exterior","Not Daylighted",G767)</f>
        <v>Not Daylighted</v>
      </c>
      <c r="FM766" s="1824">
        <f>VLOOKUP(FL766,_New_Daylight_Table_Codes,2,FALSE)</f>
        <v>0</v>
      </c>
      <c r="FN766" s="1698">
        <f>AG766</f>
        <v>0</v>
      </c>
      <c r="FO766" s="1698" t="e">
        <f>VLOOKUP(FN766,_Control_Table,2,FALSE)</f>
        <v>#N/A</v>
      </c>
      <c r="FP766" s="1678" t="e">
        <f>VLOOKUP(CONCATENATE(FL766," ",FN766),Lookup!AY$102:AZ777,2,FALSE)</f>
        <v>#N/A</v>
      </c>
      <c r="FQ766" s="1698">
        <f>IF(__Retrofit_TI_NC=0,FN766,IF(AND(FT766&gt;0,FN766="Occupancy Sensor"),"Daylight + Occupancy",IF(AND(FT766&gt;0,FO766&lt;4),"Interior Daylight Dimming",FN766)))</f>
        <v>0</v>
      </c>
      <c r="FS766" s="1686">
        <f>IF(CQ764="Interior",VLOOKUP(CS764,Control_Savings_Interior,5,FALSE),0)</f>
        <v>0</v>
      </c>
      <c r="FT766" s="1687">
        <f>IF(CQ766="Exterior",0,IF(FM766=2,0.5,IF(OR(FM766=1,FM766=3),1,0)))</f>
        <v>0</v>
      </c>
      <c r="FU766" s="1685">
        <f>IF(R765&gt;FS$44,(FS766*(FS$44/R765)),FS766)*FT766</f>
        <v>0</v>
      </c>
      <c r="FV766" s="1686">
        <f>DI766</f>
        <v>0</v>
      </c>
      <c r="FW766" s="1686">
        <f>ROUND(FV766+((1-FV766)*FU766),2)</f>
        <v>0</v>
      </c>
      <c r="FX766" s="1686">
        <f>IF(__Retrofit_TI_NC=2,FW766,FV766)</f>
        <v>0</v>
      </c>
      <c r="FY766" s="1697">
        <f>IF(CR766="Interior",VLOOKUP(CS766,Control_Savings_Interior,4,FALSE),0)</f>
        <v>0</v>
      </c>
      <c r="GA766" s="1696"/>
      <c r="GB766" s="1696"/>
      <c r="GC766" s="1696"/>
      <c r="GD766" s="1696"/>
      <c r="GE766" s="1696"/>
      <c r="GF766" s="1696"/>
      <c r="GG766" s="1696"/>
      <c r="GH766" s="1696"/>
      <c r="GI766" s="673" t="b">
        <f>IF(ISNUMBER(SEARCH("TLED",U766)),TRUE,FALSE)</f>
        <v>0</v>
      </c>
      <c r="GJ766" s="1135" t="str">
        <f>IFERROR(VLOOKUP(U766,Fixtures!DM$93:DR$142,6,FALSE),"")</f>
        <v/>
      </c>
      <c r="GK766" s="1832"/>
      <c r="GM766" s="1692"/>
      <c r="GN766" s="1684"/>
      <c r="GP766" s="1684"/>
      <c r="GQ766" s="1684"/>
      <c r="HG766" s="1684"/>
      <c r="HH766" s="1684"/>
      <c r="HI766" s="1684"/>
      <c r="HJ766" s="1684"/>
      <c r="HK766" s="1684"/>
      <c r="HL766" s="1684"/>
      <c r="HM766" s="1684"/>
      <c r="HN766" s="1683"/>
      <c r="HO766" s="1692"/>
      <c r="HP766" s="1692"/>
      <c r="HQ766" s="1670"/>
      <c r="HR766" s="1684"/>
      <c r="HS766" s="1684"/>
      <c r="HT766" s="1670"/>
      <c r="HU766" s="1684"/>
      <c r="HV766" s="1684"/>
      <c r="HW766" s="1684"/>
      <c r="HX766" s="1684"/>
      <c r="HY766" s="1684"/>
      <c r="HZ766" s="1684"/>
      <c r="IB766" s="1692"/>
      <c r="IC766" s="1693" t="b">
        <f>IB764</f>
        <v>0</v>
      </c>
      <c r="ID766" s="1695"/>
      <c r="IE766" s="391"/>
      <c r="IF766" s="1688"/>
      <c r="IG766" s="1689">
        <f ca="1">IF(IF764=TRUE,AC767,0)</f>
        <v>0</v>
      </c>
      <c r="IH766" s="1684"/>
      <c r="IK766" s="1689" t="e">
        <f>ROUND(T766*AB767*N765*R765/1000,0)</f>
        <v>#VALUE!</v>
      </c>
      <c r="IL766" s="1691"/>
      <c r="IM766" s="1693" t="e">
        <f>ROUND(T766*AB767*N765*R765/1000,0)</f>
        <v>#VALUE!</v>
      </c>
      <c r="IN766" s="1691"/>
      <c r="IP766" s="1679"/>
      <c r="IQ766" s="1679" t="e">
        <f t="shared" ref="IQ766:IU766" si="707">IF($CR766="interior",VLOOKUP($CS766,_New_Control_Savings_Interior,IQ$30,FALSE),VLOOKUP($CS766,Control_Savings_Exterior,IQ$30,FALSE))</f>
        <v>#N/A</v>
      </c>
      <c r="IR766" s="1679" t="e">
        <f t="shared" si="707"/>
        <v>#N/A</v>
      </c>
      <c r="IS766" s="1679" t="e">
        <f t="shared" si="707"/>
        <v>#N/A</v>
      </c>
      <c r="IT766" s="1679" t="e">
        <f t="shared" si="707"/>
        <v>#N/A</v>
      </c>
      <c r="IU766" s="1679" t="e">
        <f t="shared" si="707"/>
        <v>#N/A</v>
      </c>
      <c r="IV766" s="1679" t="e">
        <f>IF($CR766="interior",IF(R765&gt;$IP$14,ROUND(($IV$18*($IP$14/R765)),2),$IV$18),VLOOKUP($CS766,Control_Savings_Exterior,IV$30,FALSE))</f>
        <v>#N/A</v>
      </c>
      <c r="IW766" s="1679" t="e">
        <f>IF($CR766="interior",ROUND(((1-IS766)*IV766)+IS766,2),VLOOKUP($CS766,Control_Savings_Exterior,IW$30,FALSE))</f>
        <v>#N/A</v>
      </c>
      <c r="IX766" s="1679" t="e">
        <f>IF($CR766="interior",ROUND(((1-IT766)*IV766)+IT766,2),VLOOKUP($CS766,Control_Savings_Exterior,IX$30,FALSE))</f>
        <v>#N/A</v>
      </c>
      <c r="IY766" s="1679" t="e">
        <f>IF($CR766="interior",IF(R765&gt;$IP$14,ROUND(($IY$18*($IP$14/R765)),2),$IY$18),VLOOKUP($CS766,Control_Savings_Exterior,IY$30,FALSE))</f>
        <v>#N/A</v>
      </c>
      <c r="IZ766" s="1679" t="e">
        <f>IF($CR766="interior",ROUND(((1-IS766)*IY766)+IS766,2),VLOOKUP($CS766,Control_Savings_Exterior,IZ$30,FALSE))</f>
        <v>#N/A</v>
      </c>
      <c r="JA766" s="1679" t="e">
        <f>IF($CR766="interior",ROUND(((1-IT766)*IY766)+IT766,2),VLOOKUP($CS766,Control_Savings_Exterior,JA$30,FALSE))</f>
        <v>#N/A</v>
      </c>
      <c r="JC766" s="1680">
        <f>IFERROR(IF(CR766="Interior",CONCATENATE(G767," ",FQ766),AG766),"")</f>
        <v>0</v>
      </c>
      <c r="JD766" s="1670" t="str">
        <f>IFERROR(VLOOKUP(JC766,_Controls_2023,2,FALSE),"")</f>
        <v/>
      </c>
      <c r="JE766" s="1681">
        <f>IFERROR(CHOOSE(JD766-1,IQ766,IR766,IS766,IT766,IU766,IV766,IW766,IX766,IY766,IZ766,JA766),0)</f>
        <v>0</v>
      </c>
      <c r="JG766" s="1680" t="str">
        <f>FE766</f>
        <v xml:space="preserve"> - </v>
      </c>
      <c r="JH766" s="1670" t="e">
        <f>$FO766</f>
        <v>#N/A</v>
      </c>
      <c r="JI766" s="1060"/>
      <c r="JJ766" s="1670">
        <f>IFERROR(IF($IB764=TRUE,IF(OR(JJ$14="No",JJ764=FALSE,JH766&lt;=JH764,AND(_kWh_Grant=0,GD764=FALSE)),0,IF(JJ$8="Per Line",1,$AF766)),0),0)</f>
        <v>0</v>
      </c>
      <c r="JK766" s="1061"/>
      <c r="JL766" s="1670">
        <f>IFERROR(IF(_kWh_Grant=0,0,IF($IB764=TRUE,IF(OR(JL$14="No",JL764=FALSE,JH766&lt;=JH764),0,IF(JL$8="Per Line",1,$T766)),0)),0)</f>
        <v>0</v>
      </c>
      <c r="JM766" s="1061"/>
      <c r="JN766" s="1670">
        <f>IFERROR(IF(_kWh_Grant=0,0,IF($IB764=TRUE,IF(OR(JN$14="No",JN764=FALSE,JH766&lt;=JH764),0,IF(JN$8="Per Line",1,$AF766)),0)),0)</f>
        <v>0</v>
      </c>
      <c r="JO766" s="1061"/>
      <c r="JP766" s="1670">
        <f>IFERROR(IF(__Retrofit_TI_NC=0,IF(_kWh_Grant=0,0,IF($IB764=TRUE,IF(OR(JP$14="No",JP764=FALSE,$JH766&lt;=$JH764),0,IF(JP$8="Per Line",1,$AF766)),0)),IF($IB764=TRUE,IF(OR(JP$14="No",JP764=FALSE,$JH766&lt;=$JH764),0,IF(JP$8="Per Line",1,$AF766)))),0)</f>
        <v>0</v>
      </c>
      <c r="JQ766" s="1061"/>
      <c r="JR766" s="1670">
        <f>IFERROR(IF(__Retrofit_TI_NC=0,IF(_kWh_Grant=0,0,IF($IB764=TRUE,IF(OR(JR$14="No",JR764=FALSE,$JH766&lt;=$JH764),0,IF(JR$8="Per Line",1,$AF766)),0)),IF($IB764=TRUE,IF(OR(JR$14="No",JR764=FALSE,$JH766&lt;=$JH764),0,IF(JR$8="Per Line",1,$AF766)))),0)</f>
        <v>0</v>
      </c>
      <c r="JS766" s="1061"/>
      <c r="JT766" s="1670">
        <f>IFERROR(IF(__Retrofit_TI_NC=0,IF(_kWh_Grant=0,0,IF($IB764=TRUE,IF(OR(JT$14="No",JT764=FALSE,$JH766&lt;=$JH764),0,IF(JT$8="Per Line",1,$AF766)),0)),IF($IB764=TRUE,IF(OR(JT$14="No",JT764=FALSE,$JH766&lt;=$JH764),0,IF(JT$8="Per Line",1,$AF766)))),0)</f>
        <v>0</v>
      </c>
      <c r="JU766" s="1061"/>
      <c r="JV766" s="1670">
        <f>IFERROR(IF(__Retrofit_TI_NC=0,IF(_kWh_Grant=0,0,IF($IB764=TRUE,IF(OR(JV$14="No",JV764=FALSE,$JH766&lt;=$JH764),0,IF(JV$8="Per Line",1,$AF766)),0)),IF($IB764=TRUE,IF(OR(JV$14="No",JV764=FALSE,$JH766&lt;=$JH764),0,IF(JV$8="Per Line",1,$AF766)))),0)</f>
        <v>0</v>
      </c>
      <c r="JX766" s="1670">
        <f>IFERROR(IF(__Retrofit_TI_NC=0,IF(_kWh_Grant=0,0,IF($IB764=TRUE,IF(OR(JX$14="No",JX764=FALSE,$JH766&lt;=$JH764),0,IF(JX$8="Per Line",1,$AF766)),0)),IF($IB764=TRUE,IF(OR(JX$14="No",JX764=FALSE,$JH766&lt;=$JH764),0,IF(JX$8="Per Line",1,$AF766)))),0)</f>
        <v>0</v>
      </c>
      <c r="JZ766" s="1670">
        <f>IFERROR(IF($IB764=TRUE,IF(OR(JZ$14="No",JZ764=FALSE,$JH766&lt;=$JH764,AND(_kWh_Grant=0,$GD764=FALSE)),0,IF(JZ$8="Per Line",1,$AF766)),0),0)</f>
        <v>0</v>
      </c>
      <c r="KB766" s="1670">
        <f>IFERROR(IF(__Retrofit_TI_NC=0,IF(_kWh_Grant=0,0,IF($IB764=TRUE,IF(OR(KB$14="No",KB764=FALSE,$JH766&lt;=$JH764),0,IF(KB$8="Per Line",1,$AF766)),0)),IF($IB764=TRUE,IF(OR(KB$14="No",KB764=FALSE,$JH766&lt;=$JH764),0,IF(KB$8="Per Line",1,$AF766)))),0)</f>
        <v>0</v>
      </c>
    </row>
    <row r="767" spans="1:288" s="78" customFormat="1" ht="14.95" customHeight="1" thickTop="1" thickBot="1">
      <c r="B767" s="1845"/>
      <c r="C767" s="1846"/>
      <c r="D767" s="1847"/>
      <c r="E767" s="1771" t="s">
        <v>436</v>
      </c>
      <c r="F767" s="1772"/>
      <c r="G767" s="1784" t="s">
        <v>437</v>
      </c>
      <c r="H767" s="1785"/>
      <c r="I767" s="1785"/>
      <c r="J767" s="1785"/>
      <c r="K767" s="1785"/>
      <c r="L767" s="1786"/>
      <c r="M767" s="591">
        <f>IFERROR(VLOOKUP(G767,_Daylight_Table[],2,FALSE),0)</f>
        <v>0</v>
      </c>
      <c r="N767" s="592" t="str">
        <f>IF(AND(__Retrofit_TI_NC&gt;0,CQ764="Interior"),"BAM","")</f>
        <v/>
      </c>
      <c r="O767" s="591" t="e">
        <f>VLOOKUP(G766,'Space Table'!$B$3:$L$163,11,FALSE)</f>
        <v>#N/A</v>
      </c>
      <c r="P767" s="1789"/>
      <c r="Q767" s="1790"/>
      <c r="R767" s="1790"/>
      <c r="S767" s="1788"/>
      <c r="T767" s="593" t="s">
        <v>342</v>
      </c>
      <c r="U767" s="1756" t="str" cm="1">
        <f t="array" aca="1" ref="U767" ca="1">IFERROR(VLOOKUP(INDIRECT("U" &amp; ROW()-1),Fixtures!DM$93:DP$142,4,FALSE),"")</f>
        <v/>
      </c>
      <c r="V767" s="1757"/>
      <c r="W767" s="1757"/>
      <c r="X767" s="1757"/>
      <c r="Y767" s="1757"/>
      <c r="Z767" s="1757"/>
      <c r="AA767" s="1758"/>
      <c r="AB767" s="939" t="str">
        <f>IFERROR(VLOOKUP(U766,Fixtures_Proposed_List,2,FALSE),"")</f>
        <v/>
      </c>
      <c r="AC767" s="933" t="str">
        <f>IFERROR(ROUND(T766*AB767*N765*R765/1000,0),"")</f>
        <v/>
      </c>
      <c r="AD767" s="934" t="str">
        <f>IFERROR(ROUND(T766*AB767/1000,2),"")</f>
        <v/>
      </c>
      <c r="AE767" s="998"/>
      <c r="AF767" s="938" t="s">
        <v>342</v>
      </c>
      <c r="AG767" s="1770"/>
      <c r="AH767" s="1770"/>
      <c r="AI767" s="1770"/>
      <c r="AJ767" s="1770"/>
      <c r="AK767" s="1770"/>
      <c r="AL767" s="1770"/>
      <c r="AM767" s="1727"/>
      <c r="AN767" s="1729"/>
      <c r="AO767" s="1731"/>
      <c r="AP767" s="1782"/>
      <c r="AQ767" s="1783"/>
      <c r="AR767" s="1797"/>
      <c r="AS767" s="1797"/>
      <c r="AT767" s="1798"/>
      <c r="AU767" s="1736"/>
      <c r="AV767" s="1753"/>
      <c r="AW767" s="1706"/>
      <c r="AX767" s="468"/>
      <c r="AY767" s="1750"/>
      <c r="AZ767" s="1750"/>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696"/>
      <c r="CQ767" s="1696"/>
      <c r="CR767" s="1809"/>
      <c r="CS767" s="1811"/>
      <c r="CU767" s="1688"/>
      <c r="CV767" s="1703"/>
      <c r="CW767" s="1703"/>
      <c r="CX767" s="1813"/>
      <c r="CY767" s="1815"/>
      <c r="CZ767" s="1711"/>
      <c r="DA767" s="1815"/>
      <c r="DB767" s="1821"/>
      <c r="DC767" s="1821"/>
      <c r="DD767" s="1821"/>
      <c r="DF767" s="1703"/>
      <c r="DG767" s="1831"/>
      <c r="DH767" s="1813"/>
      <c r="DI767" s="1838"/>
      <c r="DJ767" s="1711"/>
      <c r="DK767" s="1712"/>
      <c r="DN767" s="1718"/>
      <c r="DO767" s="1709"/>
      <c r="DQ767" s="1715"/>
      <c r="DR767" s="1720"/>
      <c r="DS767" s="1703"/>
      <c r="DT767" s="1714"/>
      <c r="DU767" s="1715"/>
      <c r="DV767" s="1716"/>
      <c r="DX767" s="1715"/>
      <c r="DY767" s="1720"/>
      <c r="DZ767" s="1715"/>
      <c r="EA767" s="1715"/>
      <c r="EC767" s="1834"/>
      <c r="ED767" s="1834"/>
      <c r="EF767" s="1707"/>
      <c r="EG767" s="1712"/>
      <c r="EH767" s="1815"/>
      <c r="EI767" s="1712"/>
      <c r="EJ767" s="1712"/>
      <c r="EK767" s="1813"/>
      <c r="EL767" s="1813"/>
      <c r="EM767" s="1807"/>
      <c r="EN767" s="1839"/>
      <c r="EO767" s="1839"/>
      <c r="EP767" s="1817"/>
      <c r="EQ767" s="1817"/>
      <c r="ER767" s="1807"/>
      <c r="ES767" s="1807"/>
      <c r="ET767" s="1807"/>
      <c r="EV767" s="1715"/>
      <c r="EX767" s="1806"/>
      <c r="EY767" s="1806"/>
      <c r="EZ767" s="1806"/>
      <c r="FA767" s="1806"/>
      <c r="FB767" s="1806"/>
      <c r="FC767" s="1828"/>
      <c r="FE767" s="1698"/>
      <c r="FG767" s="1703"/>
      <c r="FH767" s="1703"/>
      <c r="FI767" s="133"/>
      <c r="FL767" s="1823"/>
      <c r="FM767" s="1825"/>
      <c r="FN767" s="1698"/>
      <c r="FO767" s="1698"/>
      <c r="FP767" s="1678"/>
      <c r="FQ767" s="1698"/>
      <c r="FS767" s="1687"/>
      <c r="FT767" s="1687"/>
      <c r="FU767" s="1685"/>
      <c r="FV767" s="1687"/>
      <c r="FW767" s="1687"/>
      <c r="FX767" s="1687"/>
      <c r="FY767" s="1697"/>
      <c r="GA767" s="1696"/>
      <c r="GB767" s="1696"/>
      <c r="GC767" s="1696"/>
      <c r="GD767" s="1696"/>
      <c r="GE767" s="1696"/>
      <c r="GF767" s="1696"/>
      <c r="GG767" s="1696"/>
      <c r="GH767" s="1696"/>
      <c r="GI767" s="673"/>
      <c r="GJ767" s="1135"/>
      <c r="GK767" s="1832"/>
      <c r="GN767" s="674">
        <f>IF(GN765=TRUE,0,GN$16)</f>
        <v>0</v>
      </c>
      <c r="GP767" s="674">
        <f>IF(GP765=TRUE,0,GP$16)</f>
        <v>36</v>
      </c>
      <c r="GQ767" s="674">
        <f ca="1">IF(GQ765=TRUE,0,GQ$16)</f>
        <v>35</v>
      </c>
      <c r="GR767" s="391"/>
      <c r="GS767" s="391"/>
      <c r="GT767" s="391"/>
      <c r="GU767" s="391"/>
      <c r="GV767" s="391"/>
      <c r="HG767" s="674">
        <f>IF(HG765=TRUE,0,HG$16)</f>
        <v>0</v>
      </c>
      <c r="HH767" s="674">
        <f t="shared" ref="HH767:HM767" si="708">IF(HH765=TRUE,0,HH$16)</f>
        <v>19</v>
      </c>
      <c r="HI767" s="674">
        <f t="shared" si="708"/>
        <v>18</v>
      </c>
      <c r="HJ767" s="674">
        <f t="shared" si="708"/>
        <v>17</v>
      </c>
      <c r="HK767" s="674">
        <f t="shared" si="708"/>
        <v>16</v>
      </c>
      <c r="HL767" s="674">
        <f t="shared" si="708"/>
        <v>0</v>
      </c>
      <c r="HM767" s="674">
        <f t="shared" si="708"/>
        <v>0</v>
      </c>
      <c r="HN767" s="674">
        <f>IF(HN765=TRUE,0,HN$16)</f>
        <v>13</v>
      </c>
      <c r="HO767" s="674">
        <f t="shared" ref="HO767:HQ767" si="709">IF(HO765=TRUE,0,HO$16)</f>
        <v>0</v>
      </c>
      <c r="HP767" s="674">
        <f t="shared" si="709"/>
        <v>0</v>
      </c>
      <c r="HQ767" s="674">
        <f t="shared" si="709"/>
        <v>10</v>
      </c>
      <c r="HR767" s="674">
        <f>IF(HR765=TRUE,0,HR$16)</f>
        <v>9</v>
      </c>
      <c r="HS767" s="674">
        <f t="shared" ref="HS767:HW767" si="710">IF(HS765=TRUE,0,HS$16)</f>
        <v>0</v>
      </c>
      <c r="HT767" s="674">
        <f t="shared" si="710"/>
        <v>0</v>
      </c>
      <c r="HU767" s="674">
        <f t="shared" si="710"/>
        <v>0</v>
      </c>
      <c r="HV767" s="674">
        <f t="shared" si="710"/>
        <v>0</v>
      </c>
      <c r="HW767" s="674">
        <f t="shared" si="710"/>
        <v>0</v>
      </c>
      <c r="HX767" s="674">
        <f>IF(HX765=TRUE,0,HX$16)</f>
        <v>0</v>
      </c>
      <c r="HY767" s="674">
        <f>IF(HY765=TRUE,0,HY$16)</f>
        <v>0</v>
      </c>
      <c r="HZ767" s="674">
        <f>IF(HZ765=TRUE,0,HZ$16)</f>
        <v>1</v>
      </c>
      <c r="IB767" s="674">
        <f>IF(GP765=FALSE,GP767,IF(GQ765=FALSE,GQ767,MAX(GN767:HZ767)))</f>
        <v>36</v>
      </c>
      <c r="IC767" s="1692"/>
      <c r="ID767" s="205" t="str">
        <f>VLOOKUP(IB767,_Error_Table,3,FALSE)</f>
        <v xml:space="preserve"> </v>
      </c>
      <c r="IE767" s="205"/>
      <c r="IF767" s="1688"/>
      <c r="IG767" s="1689"/>
      <c r="IH767" s="1684"/>
      <c r="IK767" s="1689"/>
      <c r="IL767" s="1692"/>
      <c r="IM767" s="1692"/>
      <c r="IN767" s="1692"/>
      <c r="IP767" s="1679"/>
      <c r="IQ767" s="1679"/>
      <c r="IR767" s="1679"/>
      <c r="IS767" s="1679"/>
      <c r="IT767" s="1679"/>
      <c r="IU767" s="1679"/>
      <c r="IV767" s="1679"/>
      <c r="IW767" s="1679"/>
      <c r="IX767" s="1679"/>
      <c r="IY767" s="1679"/>
      <c r="IZ767" s="1679"/>
      <c r="JA767" s="1679"/>
      <c r="JC767" s="1680"/>
      <c r="JD767" s="1670"/>
      <c r="JE767" s="1681"/>
      <c r="JG767" s="1680"/>
      <c r="JH767" s="1670"/>
      <c r="JI767" s="1060"/>
      <c r="JJ767" s="1670"/>
      <c r="JK767" s="1061"/>
      <c r="JL767" s="1670"/>
      <c r="JM767" s="1061"/>
      <c r="JN767" s="1670"/>
      <c r="JO767" s="1061"/>
      <c r="JP767" s="1670"/>
      <c r="JQ767" s="1061"/>
      <c r="JR767" s="1670"/>
      <c r="JS767" s="1061"/>
      <c r="JT767" s="1670"/>
      <c r="JU767" s="1061"/>
      <c r="JV767" s="1670"/>
      <c r="JX767" s="1670"/>
      <c r="JZ767" s="1670"/>
      <c r="KB767" s="1670"/>
    </row>
    <row r="768" spans="1:288" s="78" customFormat="1" ht="5.0999999999999996" customHeight="1">
      <c r="B768" s="676"/>
      <c r="C768" s="392"/>
      <c r="D768" s="392"/>
      <c r="E768" s="1733"/>
      <c r="F768" s="1733"/>
      <c r="G768" s="1733"/>
      <c r="H768" s="1733"/>
      <c r="I768" s="1733"/>
      <c r="J768" s="1733"/>
      <c r="K768" s="1733"/>
      <c r="L768" s="1733"/>
      <c r="M768" s="1733"/>
      <c r="N768" s="1733"/>
      <c r="O768" s="1733"/>
      <c r="P768" s="1733"/>
      <c r="Q768" s="1733"/>
      <c r="R768" s="1733"/>
      <c r="S768" s="1733"/>
      <c r="T768" s="1733"/>
      <c r="U768" s="1733"/>
      <c r="V768" s="1733"/>
      <c r="W768" s="1733"/>
      <c r="X768" s="1733"/>
      <c r="Y768" s="1733"/>
      <c r="Z768" s="1733"/>
      <c r="AA768" s="1733"/>
      <c r="AB768" s="1733"/>
      <c r="AC768" s="1733"/>
      <c r="AD768" s="1733"/>
      <c r="AE768" s="1733"/>
      <c r="AF768" s="1733"/>
      <c r="AG768" s="1733"/>
      <c r="AH768" s="1733"/>
      <c r="AI768" s="1733"/>
      <c r="AJ768" s="1733"/>
      <c r="AK768" s="1733"/>
      <c r="AL768" s="1733"/>
      <c r="AM768" s="1733"/>
      <c r="AN768" s="1733"/>
      <c r="AO768" s="1733"/>
      <c r="AP768" s="1733"/>
      <c r="AQ768" s="1733"/>
      <c r="AR768" s="1733"/>
      <c r="AS768" s="1733"/>
      <c r="AT768" s="1733"/>
      <c r="AU768" s="1733"/>
      <c r="AV768" s="1733"/>
      <c r="AW768" s="1733"/>
      <c r="AX768" s="469"/>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663"/>
      <c r="CQ768" s="663"/>
      <c r="CR768" s="438"/>
      <c r="CS768" s="663"/>
      <c r="CV768" s="391"/>
      <c r="CW768" s="391"/>
      <c r="CX768" s="207"/>
      <c r="CY768" s="208"/>
      <c r="CZ768" s="208"/>
      <c r="DA768" s="208"/>
      <c r="DB768" s="209"/>
      <c r="DC768" s="209"/>
      <c r="DD768" s="209"/>
      <c r="DF768" s="664"/>
      <c r="DG768" s="665"/>
      <c r="DH768" s="666"/>
      <c r="DI768" s="667"/>
      <c r="DJ768" s="668"/>
      <c r="DK768" s="668"/>
      <c r="DN768" s="208"/>
      <c r="DO768" s="664"/>
      <c r="DQ768" s="664"/>
      <c r="DR768" s="669"/>
      <c r="DS768" s="391"/>
      <c r="DT768" s="664"/>
      <c r="DU768" s="664"/>
      <c r="DV768" s="664"/>
      <c r="DX768" s="664"/>
      <c r="DY768" s="664"/>
      <c r="DZ768" s="664"/>
      <c r="EA768" s="664"/>
      <c r="EC768" s="670"/>
      <c r="ED768" s="670"/>
      <c r="EF768" s="668"/>
      <c r="EG768" s="668"/>
      <c r="EH768" s="208"/>
      <c r="EI768" s="668"/>
      <c r="EJ768" s="668"/>
      <c r="EK768" s="207"/>
      <c r="EL768" s="207"/>
      <c r="EM768" s="666"/>
      <c r="EN768" s="671"/>
      <c r="EO768" s="671"/>
      <c r="EP768" s="672"/>
      <c r="EQ768" s="672"/>
      <c r="ER768" s="666"/>
      <c r="ES768" s="666"/>
      <c r="ET768" s="666"/>
      <c r="EV768" s="664"/>
      <c r="EX768" s="391"/>
      <c r="EY768" s="391"/>
      <c r="EZ768" s="391"/>
      <c r="FA768" s="391"/>
      <c r="FB768" s="391"/>
      <c r="FC768" s="391"/>
      <c r="FE768" s="569"/>
      <c r="FG768" s="391"/>
      <c r="FH768" s="391"/>
      <c r="FI768" s="391"/>
      <c r="FS768" s="664"/>
      <c r="FT768" s="391"/>
      <c r="FU768" s="391"/>
      <c r="FV768" s="664"/>
      <c r="FW768" s="664"/>
      <c r="GA768" s="663"/>
      <c r="GB768" s="663"/>
      <c r="GC768" s="663"/>
      <c r="GD768" s="663"/>
      <c r="GE768" s="663"/>
      <c r="GF768" s="663"/>
      <c r="GG768" s="663"/>
      <c r="GH768" s="663"/>
      <c r="GI768" s="665"/>
      <c r="GJ768" s="664"/>
      <c r="GK768" s="664"/>
    </row>
    <row r="769" spans="1:288" s="78" customFormat="1" ht="14.95" customHeight="1">
      <c r="B769" s="1845" t="str">
        <f>ID772</f>
        <v xml:space="preserve"> </v>
      </c>
      <c r="C769" s="1846">
        <f>C764+1</f>
        <v>140</v>
      </c>
      <c r="D769" s="1847"/>
      <c r="E769" s="1799" t="s">
        <v>295</v>
      </c>
      <c r="F769" s="1800"/>
      <c r="G769" s="1741"/>
      <c r="H769" s="1742"/>
      <c r="I769" s="1742"/>
      <c r="J769" s="1742"/>
      <c r="K769" s="1742"/>
      <c r="L769" s="1742"/>
      <c r="M769" s="1742"/>
      <c r="N769" s="1742"/>
      <c r="O769" s="1742"/>
      <c r="P769" s="1742"/>
      <c r="Q769" s="1742"/>
      <c r="R769" s="1742"/>
      <c r="S769" s="1791" t="s">
        <v>344</v>
      </c>
      <c r="T769" s="590"/>
      <c r="U769" s="1743"/>
      <c r="V769" s="1744"/>
      <c r="W769" s="1744"/>
      <c r="X769" s="1744"/>
      <c r="Y769" s="1744"/>
      <c r="Z769" s="1744"/>
      <c r="AA769" s="1744"/>
      <c r="AB769" s="961" t="str">
        <f>IFERROR(IF(__Retrofit_TI_NC=0,VLOOKUP(U770,Fixtures_Existing_List,2,FALSE),ROUND(N771*R771/T771,10)),"")</f>
        <v/>
      </c>
      <c r="AC769" s="935" t="str">
        <f>IFERROR(IF(__Retrofit_TI_NC=0,ROUND(T770*AB769*N770*R770/1000,0),IF(CQ769="Interior",N771*R771*R770*N770*_C406_reduction/1000,N771*R771*R770*N770/1000)),"")</f>
        <v/>
      </c>
      <c r="AD769" s="936" t="str">
        <f>IFERROR(IF(C$43=0,ROUND(T770*AB769/1000,2),N771*R771/1000),"")</f>
        <v/>
      </c>
      <c r="AE769" s="997"/>
      <c r="AF769" s="937"/>
      <c r="AG769" s="1745" t="str">
        <f>IF(__Retrofit_TI_NC=0," Control","Select Advanced Control for New System")</f>
        <v xml:space="preserve"> Control</v>
      </c>
      <c r="AH769" s="1745"/>
      <c r="AI769" s="1745"/>
      <c r="AJ769" s="1745"/>
      <c r="AK769" s="1745"/>
      <c r="AL769" s="1745"/>
      <c r="AM769" s="1746">
        <f>IFERROR(DI769,"")</f>
        <v>0</v>
      </c>
      <c r="AN769" s="1774" t="str">
        <f>IFERROR(ROUND(AM769*AC769,0),"")</f>
        <v/>
      </c>
      <c r="AO769" s="1776">
        <f>IFERROR(IF(IB769=FALSE,0,AC769-AN769),0)</f>
        <v>0</v>
      </c>
      <c r="AP769" s="1778">
        <f>AO769-AO771</f>
        <v>0</v>
      </c>
      <c r="AQ769" s="1779"/>
      <c r="AR769" s="1793">
        <f>IFERROR(IF(IB769=FALSE,0,(T771*U772)+(AF771*AG772)),0)</f>
        <v>0</v>
      </c>
      <c r="AS769" s="1793"/>
      <c r="AT769" s="1794"/>
      <c r="AU769" s="1734" t="s">
        <v>237</v>
      </c>
      <c r="AV769" s="1751">
        <f>IF(AU769="Yes",1,0)</f>
        <v>1</v>
      </c>
      <c r="AW769" s="1704" t="str">
        <f>IF(OR(DQ769=4,DQ769=5,DQ769=6,DQ769=12),CONCATENATE("$",IF(GH769=TRUE,Lookup!$K$10,Lookup!$K$2)," /lamp"),CONCATENATE(TEXT(ED769,"$0.00"),"/ kWh"))</f>
        <v>$0.00/ kWh</v>
      </c>
      <c r="AX769" s="467"/>
      <c r="AY769" s="1748">
        <f ca="1">IFERROR(IF(GM770=TRUE,(AB772*T771)/R771,0),"NA")</f>
        <v>0</v>
      </c>
      <c r="AZ769" s="1748"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696" t="str">
        <f>N770</f>
        <v/>
      </c>
      <c r="CQ769" s="1696" t="str">
        <f>IFERROR(VLOOKUP(G770,_Lookup_Heat_Type_Table_New,3,FALSE),"")</f>
        <v/>
      </c>
      <c r="CR769" s="1808" t="str">
        <f>CQ769</f>
        <v/>
      </c>
      <c r="CS769" s="1810" t="str">
        <f>IFERROR(VLOOKUP(G771,'Space Table'!$B$3:$L$163,9,FALSE),"")</f>
        <v/>
      </c>
      <c r="CU769" s="1688" t="s">
        <v>344</v>
      </c>
      <c r="CV769" s="1702">
        <f>IF(IB769=TRUE,T770,0)</f>
        <v>0</v>
      </c>
      <c r="CW769" s="1702" t="str">
        <f>IF(IB769=TRUE,U770,"")</f>
        <v/>
      </c>
      <c r="CX769" s="1702"/>
      <c r="CY769" s="1814">
        <f>IF(IB769=TRUE,AB769,0)</f>
        <v>0</v>
      </c>
      <c r="CZ769" s="1710">
        <f>IF(AND(__Retrofit_TI_NC&gt;0,CR769="interior"),0,IF(IB769=TRUE,AC769,0))</f>
        <v>0</v>
      </c>
      <c r="DA769" s="1814">
        <f>IFERROR(IF(IB769=TRUE,CZ769-CZ771,0),0)</f>
        <v>0</v>
      </c>
      <c r="DB769" s="1819">
        <f>IF(IB769=TRUE,AD769,0)</f>
        <v>0</v>
      </c>
      <c r="DC769" s="1819">
        <f>IF(IB769=TRUE,AD772,0)</f>
        <v>0</v>
      </c>
      <c r="DD769" s="1819">
        <f>IFERROR(DB769-DC769,0)</f>
        <v>0</v>
      </c>
      <c r="DF769" s="1702">
        <f>IF(IB769=TRUE,AF770,0)</f>
        <v>0</v>
      </c>
      <c r="DG769" s="1830">
        <f>IFERROR(IF(__Retrofit_TI_NC=2,IF(CQ769="Exterior",O772,FQ769),FN769),"")</f>
        <v>0</v>
      </c>
      <c r="DH769" s="1702"/>
      <c r="DI769" s="1837">
        <f>JE769</f>
        <v>0</v>
      </c>
      <c r="DJ769" s="1710">
        <f>IF(AND(__Retrofit_TI_NC&gt;0,CR769="interior"),0,IF(IB769=TRUE,AN769,0))</f>
        <v>0</v>
      </c>
      <c r="DK769" s="1712">
        <f>IFERROR(IF(IB769=TRUE,DJ771-DJ769,0),0)</f>
        <v>0</v>
      </c>
      <c r="DM769" s="1717">
        <f>IFERROR(CZ769-DJ769,0)</f>
        <v>0</v>
      </c>
      <c r="DO769" s="1708">
        <f>DM769-DN771</f>
        <v>0</v>
      </c>
      <c r="DQ769" s="1715" t="str">
        <f>IFERROR(IF(AND(OR(GC769=4,GC769=5,GC769=6),OR(GF769=4,GF769=5,GF769=6)),GC769+8,VLOOKUP(CW771,Fixtures!R$31:Y$78,8,FALSE)),"")</f>
        <v/>
      </c>
      <c r="DR769" s="1829" t="str">
        <f>DQ769</f>
        <v/>
      </c>
      <c r="DS769" s="1702" t="str">
        <f>IFERROR(VLOOKUP(DG771,Lookup!BB$3:BC$20,2,FALSE),"")</f>
        <v/>
      </c>
      <c r="DT769" s="1713" t="str">
        <f>IF(OR(DS769=7,DS769=8,DS769=9),"ALC","")</f>
        <v/>
      </c>
      <c r="DU769" s="1715">
        <f>IFERROR(IF(OR(DQ769=4,DQ769=5,DQ769=6,DQ769=12,DQ769=13,DQ769=14),VLOOKUP(CW771,Fixtures!DN$27:EG$77,19,FALSE),1)*CV771,0)</f>
        <v>0</v>
      </c>
      <c r="DV769" s="1716">
        <f>IF(OR(DS769=7,DS769=8,DS769=9),IF(DG769=DG771,0,DF771),0)</f>
        <v>0</v>
      </c>
      <c r="DX769" s="1715" t="str">
        <f>IFERROR(IF(EZ769&lt;EZ771,"Yes","No"),"")</f>
        <v/>
      </c>
      <c r="DY769" s="1829" t="str">
        <f>DX769</f>
        <v/>
      </c>
      <c r="DZ769" s="1715">
        <f>IF(DX769="Yes",DF771,0)</f>
        <v>0</v>
      </c>
      <c r="EA769" s="1715">
        <f>DZ769-DV769</f>
        <v>0</v>
      </c>
      <c r="EC769" s="1834">
        <f>IFERROR(VLOOKUP(DQ769,Lookup!AU$3:AV$16,2,FALSE),0)</f>
        <v>0</v>
      </c>
      <c r="ED769" s="1834">
        <f>IF(IB769=FALSE,0,IF(DX769="Yes",EC769+Lookup!K$6,EC769))</f>
        <v>0</v>
      </c>
      <c r="EF769" s="1707">
        <f>IF(IB769=TRUE,DM769,0)</f>
        <v>0</v>
      </c>
      <c r="EG769" s="1712">
        <f>IF(IB769=TRUE,CZ771,0)</f>
        <v>0</v>
      </c>
      <c r="EH769" s="1814">
        <f>IFERROR(EF769-EG769,0)</f>
        <v>0</v>
      </c>
      <c r="EI769" s="1712">
        <f>IF(IB769=TRUE,DJ771,0)</f>
        <v>0</v>
      </c>
      <c r="EJ769" s="1712">
        <f>IFERROR(EF769-EG769+EI769,0)</f>
        <v>0</v>
      </c>
      <c r="EK769" s="1812">
        <f>IF(IB769=TRUE,CV771*CX771,0)</f>
        <v>0</v>
      </c>
      <c r="EL769" s="1812">
        <f>IF(IB769=TRUE,DF771*DH771,0)</f>
        <v>0</v>
      </c>
      <c r="EM769" s="1807">
        <f>AR769</f>
        <v>0</v>
      </c>
      <c r="EN769" s="1839" t="str">
        <f>IFERROR(IF(IB769=TRUE,VLOOKUP(DQ769,Lookup!AU$3:AW$16,3,FALSE)*DU769,""),0)</f>
        <v/>
      </c>
      <c r="EO769" s="1839">
        <f>IF(IB769=TRUE,DZ769*Lookup!AW$12,0)</f>
        <v>0</v>
      </c>
      <c r="EP769" s="1817">
        <f>IFERROR(IF(IB769=TRUE,EN769/EP$40,0),0)</f>
        <v>0</v>
      </c>
      <c r="EQ769" s="1817">
        <f>IF(IB769=TRUE,EO769/EQ$40,0)</f>
        <v>0</v>
      </c>
      <c r="ER769" s="1807">
        <f>IF(IB769=TRUE,ET$40*EP769,0)</f>
        <v>0</v>
      </c>
      <c r="ES769" s="1807">
        <f>IF(IB769=TRUE,ET$40*EQ769,0)</f>
        <v>0</v>
      </c>
      <c r="ET769" s="1807">
        <f>ER769+ES769</f>
        <v>0</v>
      </c>
      <c r="EV769" s="1715">
        <f>IF(G769="",0,1)</f>
        <v>0</v>
      </c>
      <c r="EX769" s="1804" t="str">
        <f>IFERROR(VLOOKUP(CS771,'Space Table'!$B$3:$L$163,8,FALSE),"")</f>
        <v/>
      </c>
      <c r="EY769" s="1804" t="str">
        <f>IFERROR(IF(FB769="Yes",VLOOKUP(DG769,Lookup_Control_Type_Table2,4,FALSE),VLOOKUP(DG769,Lookup_Control_Type_Table2,3,FALSE)),"")</f>
        <v/>
      </c>
      <c r="EZ769" s="1804" t="e">
        <f>VLOOKUP(DG769,Lookup!BB$3:BC$20,2,FALSE)</f>
        <v>#N/A</v>
      </c>
      <c r="FA769" s="1804" t="e">
        <f>VLOOKUP(EX769,Lookup_Control_Type_Table,2,FALSE)</f>
        <v>#N/A</v>
      </c>
      <c r="FB769" s="1804" t="e">
        <f>VLOOKUP(CS771,'Space Table'!$B$3:$L$163,7,FALSE)</f>
        <v>#N/A</v>
      </c>
      <c r="FC769" s="1826" t="b">
        <f>ISNUMBER(SEARCH("TLED",U771))</f>
        <v>0</v>
      </c>
      <c r="FE769" s="1698" t="str">
        <f>CONCATENATE(CQ769," - ",DG769)</f>
        <v xml:space="preserve"> - 0</v>
      </c>
      <c r="FG769" s="1702" t="str">
        <f>VLOOKUP(CW771,Fixtures!DN$27:EZ$77,38,FALSE)</f>
        <v/>
      </c>
      <c r="FH769" s="1702">
        <f>IFERROR(FG769*EH769,0)</f>
        <v>0</v>
      </c>
      <c r="FI769" s="133"/>
      <c r="FL769" s="1822" t="str">
        <f>IF(CQ769="Exterior","Not Daylighted",G772)</f>
        <v>Not Daylighted</v>
      </c>
      <c r="FM769" s="1824">
        <f>VLOOKUP(FL769,_New_Daylight_Table_Codes,2,FALSE)</f>
        <v>0</v>
      </c>
      <c r="FN769" s="1698">
        <f>IF(__Retrofit_TI_NC&gt;0,VLOOKUP(G771,'Space Table'!$B$3:$L$163,11,FALSE),AG770)</f>
        <v>0</v>
      </c>
      <c r="FO769" s="1698" t="e">
        <f>IF(__Retrofit_TI_NC=2,VLOOKUP(FQ769,_Control_Table,2,FALSE),VLOOKUP(FN769,_Control_Table,2,FALSE))</f>
        <v>#N/A</v>
      </c>
      <c r="FP769" s="1678" t="e">
        <f>VLOOKUP(CONCATENATE(FL769," ",FN769),Lookup!AY$102:AZ779,2,FALSE)</f>
        <v>#N/A</v>
      </c>
      <c r="FQ769" s="1678">
        <f>IF(__Retrofit_TI_NC=0,FN769,IF(AND(FT769&gt;0,FN769="Occupancy Sensor"),"Daylight + Occupancy",IF(AND(FT769&gt;0,VLOOKUP(FN769,_Control_Table,2,FALSE)&lt;4),"Interior Daylight Dimming",FN769)))</f>
        <v>0</v>
      </c>
      <c r="FS769" s="1686">
        <f>IF(CR769="Interior",VLOOKUP(CS769,Control_Savings_Interior,5,FALSE),0)</f>
        <v>0</v>
      </c>
      <c r="FT769" s="1687">
        <f>IF(CQ769="Exterior",0,IF(FM769=2,0.5,IF(OR(FM769=1,FM769=3),1,0)))</f>
        <v>0</v>
      </c>
      <c r="FU769" s="1685">
        <f>IF(R768&gt;FS$44,(FS769*(FS$44/R768)),FS769)*FT769</f>
        <v>0</v>
      </c>
      <c r="FV769" s="1686">
        <f>DI769</f>
        <v>0</v>
      </c>
      <c r="FW769" s="1686">
        <f>ROUND(FV769+((1-FV769)*FU769),2)</f>
        <v>0</v>
      </c>
      <c r="FX769" s="1686">
        <f>IF(__Retrofit_TI_NC=2,FW769,FV769)</f>
        <v>0</v>
      </c>
      <c r="FY769" s="1697"/>
      <c r="GA769" s="1696" t="str">
        <f>IFERROR(VLOOKUP(U770,_Exist_Fixture_Table,3,FALSE),"")</f>
        <v/>
      </c>
      <c r="GB769" s="1696" t="str">
        <f>VLOOKUP(CW769,_Exist_Fixture_Table,4,FALSE)</f>
        <v/>
      </c>
      <c r="GC769" s="1696">
        <f>IFERROR(VLOOKUP(GB769,Lookup!AT$6:AU$8,2,FALSE),0)</f>
        <v>0</v>
      </c>
      <c r="GD769" s="1696" t="b">
        <f>IFERROR(IF(OR(GF769=4,GF769=5,GF769=6),TRUE,FALSE),"")</f>
        <v>0</v>
      </c>
      <c r="GE769" s="1696" t="str">
        <f>IFERROR(VLOOKUP(GF769,GC$6:GD$10,2,FALSE),"")</f>
        <v/>
      </c>
      <c r="GF769" s="1696" t="str">
        <f>VLOOKUP(CW771,Fixtures!R$31:Y$78,8,FALSE)</f>
        <v/>
      </c>
      <c r="GG769" s="1696">
        <f>IF(AND(GA769=TRUE,GD769=TRUE,OR(DQ769=12,DQ769=13,DQ769=14)),GC769+8,0)</f>
        <v>0</v>
      </c>
      <c r="GH769" s="1696" t="b">
        <f>IF(OR(GG769=12,GG769=13,GG769=14),TRUE,FALSE)</f>
        <v>0</v>
      </c>
      <c r="GI769" s="673" t="b">
        <f>IF(ISNUMBER(SEARCH("TLED",U770)),TRUE,FALSE)</f>
        <v>0</v>
      </c>
      <c r="GJ769" s="1135" t="str">
        <f>IFERROR(VLOOKUP(U770,Fixtures!BM$93:BR$142,6,FALSE),"")</f>
        <v/>
      </c>
      <c r="GK769" s="1832" t="b">
        <f>IF(OR(GI769=FALSE,GI771=FALSE),TRUE,IF(GJ769-GJ771&lt;5,FALSE,TRUE))</f>
        <v>1</v>
      </c>
      <c r="GO769" s="674">
        <f>GP769</f>
        <v>0</v>
      </c>
      <c r="GP769" s="674">
        <f>IF(G769="",0,1)</f>
        <v>0</v>
      </c>
      <c r="GQ769" s="674">
        <f ca="1">SUM(GR769:HF769)</f>
        <v>2</v>
      </c>
      <c r="GR769" s="674">
        <f>IF(G770="",0,1)</f>
        <v>0</v>
      </c>
      <c r="GS769" s="674">
        <f>IF(N772="BAM",1,IF(G771="",0,1))</f>
        <v>0</v>
      </c>
      <c r="GT769" s="674">
        <f>IF(N772="BAM",1,IF(R770="",0,1))</f>
        <v>0</v>
      </c>
      <c r="GU769" s="674">
        <f>IF(N772="BAM",1,IF(__Retrofit_TI_NC=0,1,IF(R771="",0,1)))</f>
        <v>1</v>
      </c>
      <c r="GV769" s="674">
        <f>IF(N772="BAM",1,IF(CQ769="Exterior",1,IF(G772="",0,1)))</f>
        <v>1</v>
      </c>
      <c r="GW769" s="674">
        <f>IF(__Retrofit_TI_NC&gt;0,1,IF(T770="",0,1))</f>
        <v>0</v>
      </c>
      <c r="GX769" s="674">
        <f>IF(__Retrofit_TI_NC&gt;0,1,IF(U770="",0,1))</f>
        <v>0</v>
      </c>
      <c r="GY769" s="674">
        <f>IF(N772="BAM",1,IF(T771="",0,1))</f>
        <v>0</v>
      </c>
      <c r="GZ769" s="674">
        <f>IF(N772="BAM",1,IF(U771="",0,1))</f>
        <v>0</v>
      </c>
      <c r="HA769" s="674">
        <f ca="1">IF(N772="BAM",1,IF(__Retrofit_TI_NC&gt;0,1,IF(U772="",0,1)))</f>
        <v>0</v>
      </c>
      <c r="HB769" s="674">
        <f>IF(__Retrofit_TI_NC&lt;&gt;0,1,IF(AF770="",0,1))</f>
        <v>0</v>
      </c>
      <c r="HC769" s="674">
        <f>IF(__Retrofit_TI_NC&lt;&gt;0,1,IF(AG770="",0,1))</f>
        <v>0</v>
      </c>
      <c r="HD769" s="674">
        <f>IF(N772="BAM",1,IF(AF771="",0,1))</f>
        <v>0</v>
      </c>
      <c r="HE769" s="674">
        <f>IF(N772="BAM",1,IF(AG771="",0,1))</f>
        <v>0</v>
      </c>
      <c r="HF769" s="674">
        <f>IF(N772="BAM",1,IF(__Retrofit_TI_NC&gt;0,1,IF(AG772="",0,1)))</f>
        <v>0</v>
      </c>
      <c r="HG769" s="391"/>
      <c r="IA769" s="391"/>
      <c r="IB769" s="1693" t="b">
        <f>IF(OR(IB772=0,IB772=HY$16,IB772=HX$16,IB772=HZ$16),TRUE,FALSE)</f>
        <v>0</v>
      </c>
      <c r="IC769" s="1694" t="b">
        <f>IB769</f>
        <v>0</v>
      </c>
      <c r="ID769" s="391"/>
      <c r="IE769" s="391"/>
      <c r="IF769" s="1688" t="b">
        <f ca="1">IF(MAX(GN772:HU772)&gt;5,FALSE,TRUE)</f>
        <v>0</v>
      </c>
      <c r="IG769" s="1689">
        <f ca="1">IF(IF769=TRUE,AC769,0)</f>
        <v>0</v>
      </c>
      <c r="IH769" s="1689">
        <f ca="1">IG769-IG771</f>
        <v>0</v>
      </c>
      <c r="IK769" s="1689" t="e">
        <f>ROUND(T770*VLOOKUP(U770,Fixtures_Existing_List,2,FALSE)*N770*R770/1000,0)</f>
        <v>#N/A</v>
      </c>
      <c r="IL769" s="1690" t="e">
        <f>IK769-IK771</f>
        <v>#N/A</v>
      </c>
      <c r="IM769" s="1693" t="e">
        <f>ROUND(IF(CQ769="Interior",N771*R771*R770*N770*_C406_reduction/1000,N771*R771*R770*N770/1000),0)</f>
        <v>#N/A</v>
      </c>
      <c r="IN769" s="1693" t="e">
        <f>IM769-IM771</f>
        <v>#N/A</v>
      </c>
      <c r="IP769" s="1679"/>
      <c r="IQ769" s="1679" t="e">
        <f t="shared" ref="IQ769:IU769" si="711">IF($CR769="interior",VLOOKUP($CS769,_New_Control_Savings_Interior,IQ$30,FALSE),VLOOKUP($CS769,Control_Savings_Exterior,IQ$30,FALSE))</f>
        <v>#N/A</v>
      </c>
      <c r="IR769" s="1679" t="e">
        <f t="shared" si="711"/>
        <v>#N/A</v>
      </c>
      <c r="IS769" s="1679" t="e">
        <f t="shared" si="711"/>
        <v>#N/A</v>
      </c>
      <c r="IT769" s="1679" t="e">
        <f t="shared" si="711"/>
        <v>#N/A</v>
      </c>
      <c r="IU769" s="1679" t="e">
        <f t="shared" si="711"/>
        <v>#N/A</v>
      </c>
      <c r="IV769" s="1679" t="e">
        <f>IF($CR769="interior",IF(R770&gt;$IP$14,ROUND(($IV$18*($IP$14/R770)),2),$IV$18),VLOOKUP($CS769,Control_Savings_Exterior,IV$30,FALSE))</f>
        <v>#N/A</v>
      </c>
      <c r="IW769" s="1679" t="e">
        <f>IF($CR769="interior",ROUND(((1-IS769)*IV769)+IS769,2),VLOOKUP($CS769,Control_Savings_Exterior,IW$30,FALSE))</f>
        <v>#N/A</v>
      </c>
      <c r="IX769" s="1679" t="e">
        <f>IF($CR769="interior",ROUND(((1-IT769)*IV769)+IT769,2),VLOOKUP($CS769,Control_Savings_Exterior,IX$30,FALSE))</f>
        <v>#N/A</v>
      </c>
      <c r="IY769" s="1679" t="e">
        <f>IF($CR769="interior",IF(R770&gt;$IP$14,ROUND(($IY$18*($IP$14/R770)),2),$IY$18),VLOOKUP($CS769,Control_Savings_Exterior,IY$30,FALSE))</f>
        <v>#N/A</v>
      </c>
      <c r="IZ769" s="1679" t="e">
        <f>IF($CR769="interior",ROUND(((1-IS769)*IY769)+IS769,2),VLOOKUP($CS769,Control_Savings_Exterior,IZ$30,FALSE))</f>
        <v>#N/A</v>
      </c>
      <c r="JA769" s="1679" t="e">
        <f>IF($CR769="interior",ROUND(((1-IT769)*IY769)+IT769,2),VLOOKUP($CS769,Control_Savings_Exterior,JA$30,FALSE))</f>
        <v>#N/A</v>
      </c>
      <c r="JC769" s="1680">
        <f>IFERROR(IF(CR769="Interior",CONCATENATE(G772," ",FQ769),FQ769),"")</f>
        <v>0</v>
      </c>
      <c r="JD769" s="1670" t="str">
        <f>IFERROR(VLOOKUP(JC769,_Controls_2023,2,FALSE),"")</f>
        <v/>
      </c>
      <c r="JE769" s="1681">
        <f>IFERROR(CHOOSE(JD769-1,IQ769,IR769,IS769,IT769,IU769,IV769,IW769,IX769,IY769,IZ769,JA769),0)</f>
        <v>0</v>
      </c>
      <c r="JG769" s="1680" t="str">
        <f>FE769</f>
        <v xml:space="preserve"> - 0</v>
      </c>
      <c r="JH769" s="1670" t="e">
        <f>$FO769</f>
        <v>#N/A</v>
      </c>
      <c r="JI769" s="1060"/>
      <c r="JJ769" s="1682" t="b">
        <f>IF($JG771=CONCATENATE("Interior - ",JJ$4),TRUE,FALSE)</f>
        <v>0</v>
      </c>
      <c r="JK769" s="1061"/>
      <c r="JL769" s="1682" t="b">
        <f>IF($JG771=CONCATENATE("Interior - ",JL$4),TRUE,FALSE)</f>
        <v>0</v>
      </c>
      <c r="JM769" s="1061"/>
      <c r="JN769" s="1682" t="b">
        <f>IF($JG771=CONCATENATE("Interior - ",JN$4),TRUE,FALSE)</f>
        <v>0</v>
      </c>
      <c r="JO769" s="1061"/>
      <c r="JP769" s="1682" t="b">
        <f>IF(__Retrofit_TI_NC&gt;0,FALSE,IF($JG771=CONCATENATE("Interior - ",JP$4),TRUE,FALSE))</f>
        <v>0</v>
      </c>
      <c r="JQ769" s="1061"/>
      <c r="JR769" s="1682" t="b">
        <f>IF(__Retrofit_TI_NC&gt;0,FALSE,IF($JG771=CONCATENATE("Interior - ",JR$4),TRUE,FALSE))</f>
        <v>0</v>
      </c>
      <c r="JS769" s="1061"/>
      <c r="JT769" s="1670" t="b">
        <f>IF(__Retrofit_TI_NC&gt;0,FALSE,IF($JG771=CONCATENATE("Interior - ",JT$4),TRUE,FALSE))</f>
        <v>0</v>
      </c>
      <c r="JU769" s="1061"/>
      <c r="JV769" s="1670" t="b">
        <f>IF(JC771="AELC on Existing",TRUE,FALSE)</f>
        <v>0</v>
      </c>
      <c r="JX769" s="1670" t="b">
        <f>IF(OR(JG771="Exterior - AELC Occupancy based",JG771="Exterior - AELC Time based"),TRUE,FALSE)</f>
        <v>0</v>
      </c>
      <c r="JZ769" s="1682" t="b">
        <f>IF($JG771=CONCATENATE("Exterior - ",JZ$4),TRUE,FALSE)</f>
        <v>0</v>
      </c>
      <c r="KB769" s="1670" t="b">
        <f>IF(__Retrofit_TI_NC&gt;0,FALSE,IF($JG771=CONCATENATE("Interior - ",KB$4),TRUE,FALSE))</f>
        <v>0</v>
      </c>
    </row>
    <row r="770" spans="1:288" s="78" customFormat="1" ht="14.95" customHeight="1" thickTop="1" thickBot="1">
      <c r="B770" s="1845"/>
      <c r="C770" s="1846"/>
      <c r="D770" s="1847"/>
      <c r="E770" s="1737" t="s">
        <v>297</v>
      </c>
      <c r="F770" s="1738"/>
      <c r="G770" s="1739"/>
      <c r="H770" s="1739"/>
      <c r="I770" s="1739"/>
      <c r="J770" s="1739"/>
      <c r="K770" s="1739"/>
      <c r="L770" s="1739"/>
      <c r="M770" s="461" t="e">
        <f>IF(__Retrofit_TI_NC&lt;&gt;0,IF(VLOOKUP(G771,'Space Table'!$B$3:$L$163,3,FALSE)&gt;0,1,0),IF(__Retrofit_TI_NC=VLOOKUP(G771,'Space Table'!$B$3:$L$163,3,FALSE),1,0))</f>
        <v>#N/A</v>
      </c>
      <c r="N770" s="461" t="str">
        <f>IFERROR(VLOOKUP(G770,_Lookup_Heat_Type_Table_New,2,FALSE),"")</f>
        <v/>
      </c>
      <c r="O770" s="461">
        <f>IF(__Retrofit_TI_NC=1,CONCATENATE("TI ",G770),IF(__Retrofit_TI_NC=2,CONCATENATE("NC ",G770),G770))</f>
        <v>0</v>
      </c>
      <c r="P770" s="1740" t="s">
        <v>435</v>
      </c>
      <c r="Q770" s="1740"/>
      <c r="R770" s="595"/>
      <c r="S770" s="1792"/>
      <c r="T770" s="597"/>
      <c r="U770" s="1765"/>
      <c r="V770" s="1766"/>
      <c r="W770" s="1766"/>
      <c r="X770" s="1766"/>
      <c r="Y770" s="1766"/>
      <c r="Z770" s="1766"/>
      <c r="AA770" s="1766"/>
      <c r="AB770" s="1766"/>
      <c r="AC770" s="1766"/>
      <c r="AD770" s="1767"/>
      <c r="AE770" s="1000"/>
      <c r="AF770" s="597"/>
      <c r="AG770" s="1723"/>
      <c r="AH770" s="1724"/>
      <c r="AI770" s="1724"/>
      <c r="AJ770" s="1724"/>
      <c r="AK770" s="1725"/>
      <c r="AL770" s="996"/>
      <c r="AM770" s="1747"/>
      <c r="AN770" s="1775"/>
      <c r="AO770" s="1777"/>
      <c r="AP770" s="1780"/>
      <c r="AQ770" s="1781"/>
      <c r="AR770" s="1795"/>
      <c r="AS770" s="1795"/>
      <c r="AT770" s="1796"/>
      <c r="AU770" s="1735"/>
      <c r="AV770" s="1752"/>
      <c r="AW770" s="1705"/>
      <c r="AX770" s="467"/>
      <c r="AY770" s="1749"/>
      <c r="AZ770" s="1749"/>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696"/>
      <c r="CQ770" s="1696"/>
      <c r="CR770" s="1809"/>
      <c r="CS770" s="1811"/>
      <c r="CU770" s="1688"/>
      <c r="CV770" s="1703"/>
      <c r="CW770" s="1703"/>
      <c r="CX770" s="1703"/>
      <c r="CY770" s="1815"/>
      <c r="CZ770" s="1711"/>
      <c r="DA770" s="1818"/>
      <c r="DB770" s="1820"/>
      <c r="DC770" s="1820"/>
      <c r="DD770" s="1820"/>
      <c r="DF770" s="1703"/>
      <c r="DG770" s="1831"/>
      <c r="DH770" s="1703"/>
      <c r="DI770" s="1838"/>
      <c r="DJ770" s="1711"/>
      <c r="DK770" s="1712"/>
      <c r="DM770" s="1718"/>
      <c r="DO770" s="1708"/>
      <c r="DQ770" s="1715"/>
      <c r="DR770" s="1720"/>
      <c r="DS770" s="1816"/>
      <c r="DT770" s="1714"/>
      <c r="DU770" s="1715"/>
      <c r="DV770" s="1716"/>
      <c r="DX770" s="1715"/>
      <c r="DY770" s="1720"/>
      <c r="DZ770" s="1715"/>
      <c r="EA770" s="1715"/>
      <c r="EC770" s="1834"/>
      <c r="ED770" s="1834"/>
      <c r="EF770" s="1707"/>
      <c r="EG770" s="1712"/>
      <c r="EH770" s="1818"/>
      <c r="EI770" s="1712"/>
      <c r="EJ770" s="1712"/>
      <c r="EK770" s="1836"/>
      <c r="EL770" s="1836"/>
      <c r="EM770" s="1807"/>
      <c r="EN770" s="1839"/>
      <c r="EO770" s="1839"/>
      <c r="EP770" s="1817"/>
      <c r="EQ770" s="1817"/>
      <c r="ER770" s="1807"/>
      <c r="ES770" s="1807"/>
      <c r="ET770" s="1807"/>
      <c r="EV770" s="1715"/>
      <c r="EX770" s="1805"/>
      <c r="EY770" s="1805"/>
      <c r="EZ770" s="1805"/>
      <c r="FA770" s="1805"/>
      <c r="FB770" s="1805"/>
      <c r="FC770" s="1827"/>
      <c r="FE770" s="1698"/>
      <c r="FG770" s="1816"/>
      <c r="FH770" s="1816"/>
      <c r="FI770" s="133"/>
      <c r="FL770" s="1823"/>
      <c r="FM770" s="1825"/>
      <c r="FN770" s="1698"/>
      <c r="FO770" s="1698"/>
      <c r="FP770" s="1678"/>
      <c r="FQ770" s="1678"/>
      <c r="FS770" s="1687"/>
      <c r="FT770" s="1687"/>
      <c r="FU770" s="1685"/>
      <c r="FV770" s="1687"/>
      <c r="FW770" s="1687"/>
      <c r="FX770" s="1687"/>
      <c r="FY770" s="1697"/>
      <c r="GA770" s="1696"/>
      <c r="GB770" s="1696"/>
      <c r="GC770" s="1696"/>
      <c r="GD770" s="1696"/>
      <c r="GE770" s="1696"/>
      <c r="GF770" s="1696"/>
      <c r="GG770" s="1696"/>
      <c r="GH770" s="1696"/>
      <c r="GI770" s="673"/>
      <c r="GJ770" s="1135"/>
      <c r="GK770" s="1832"/>
      <c r="GM770" s="1693" t="b">
        <f ca="1">IF(AND(GP770=TRUE,GQ770=TRUE),TRUE,FALSE)</f>
        <v>0</v>
      </c>
      <c r="GN770" s="1684" t="b">
        <f>IFERROR(IF(__Retrofit_TI_NC=2,TRUE,IF(AU769="Yes",TRUE,FALSE)),FALSE)</f>
        <v>1</v>
      </c>
      <c r="GP770" s="1684" t="b">
        <f>IFERROR(IF(GP769=1,TRUE,FALSE),FALSE)</f>
        <v>0</v>
      </c>
      <c r="GQ770" s="1684" t="b">
        <f ca="1">IFERROR(IF(GQ769=GQ$14,TRUE,FALSE),FALSE)</f>
        <v>0</v>
      </c>
      <c r="HG770" s="1684" t="b">
        <f>IFERROR(IF(AND(__Retrofit_TI_NC&gt;0,CQ769="Interior"),FALSE,TRUE),FALSE)</f>
        <v>1</v>
      </c>
      <c r="HH770" s="1684" t="b">
        <f>IFERROR(IF(M770=1,TRUE,FALSE),FALSE)</f>
        <v>0</v>
      </c>
      <c r="HI770" s="1684" t="b">
        <f>IFERROR(IF(OR(M771=1,N772="BAM"),TRUE,FALSE),FALSE)</f>
        <v>0</v>
      </c>
      <c r="HJ770" s="1684" t="b">
        <f>IFERROR(IF(__Retrofit_TI_NC&lt;&gt;0,TRUE,IFERROR(IF(VLOOKUP(U770,Fixtures_Existing_List,2,FALSE)&lt;&gt;"",TRUE,FALSE),FALSE)),FALSE)</f>
        <v>0</v>
      </c>
      <c r="HK770" s="1684" t="b">
        <f>IFERROR(IF(VLOOKUP(U771,Fixtures_Proposed_List,2,FALSE)&lt;&gt;"",TRUE,FALSE),FALSE)</f>
        <v>0</v>
      </c>
      <c r="HL770" s="1684" t="b">
        <f>IF(AND(__Retrofit_TI_NC=2,FC769=TRUE),FALSE,TRUE)</f>
        <v>1</v>
      </c>
      <c r="HM770" s="1684" t="b">
        <f>GK769</f>
        <v>1</v>
      </c>
      <c r="HN770" s="1682" t="b">
        <f>IF(ISERROR(MATCH(FE769,_Control_Match[],0))=TRUE,FALSE,TRUE)</f>
        <v>0</v>
      </c>
      <c r="HO770" s="1693" t="b">
        <f>IFERROR(IF(EX769&lt;&gt;EY769,FALSE,TRUE),FALSE)</f>
        <v>1</v>
      </c>
      <c r="HP770" s="1693" t="b">
        <f>IFERROR(IF(EX771&lt;&gt;EY771,FALSE,TRUE),FALSE)</f>
        <v>1</v>
      </c>
      <c r="HQ770" s="1670" t="b">
        <f>IFERROR(IF(CQ769="Exterior",TRUE,IF(AND(OR(FM771=0,FM771=3),JD771&gt;6),FALSE,TRUE)),FALSE)</f>
        <v>0</v>
      </c>
      <c r="HR770" s="1684" t="b">
        <f>IFERROR(IF(AND(FO771=7,FC769=TRUE),FALSE,TRUE),FALSE)</f>
        <v>0</v>
      </c>
      <c r="HS770" s="1684" t="b">
        <f>IFERROR(IF(AND(T771&lt;&gt;AF771,OR(AG771="Interior LLLC", AG771="Interior NLC", AG771="LLLC (outside Daylight)",AG771="LLLC Controls Only"))=TRUE,FALSE,TRUE),FALSE)</f>
        <v>1</v>
      </c>
      <c r="HT770" s="1670" t="b">
        <f>IFERROR(IF(OR(AG771=Lookup!BB$17,AG771=Lookup!BB$18,AG771=Lookup!BB$19)=TRUE,IF(AF771&gt;T771,FALSE,TRUE),TRUE),FALSE)</f>
        <v>1</v>
      </c>
      <c r="HU770" s="1684" t="b">
        <f>IFERROR(IF(__Retrofit_TI_NC=2,IF(EZ771&lt;EZ769,FALSE,TRUE),TRUE),FALSE)</f>
        <v>1</v>
      </c>
      <c r="HV770" s="1684" t="b">
        <f>IF(CQ769="Interior",IL$6,TRUE)</f>
        <v>1</v>
      </c>
      <c r="HW770" s="1684" t="b">
        <f>IF(CQ769="Exterior",IL$8,TRUE)</f>
        <v>1</v>
      </c>
      <c r="HX770" s="1684" t="b">
        <f>IFERROR(IF(__Retrofit_TI_NC&lt;&gt;0,IF(AZ769&lt;AY769,FALSE,TRUE),TRUE),FALSE)</f>
        <v>1</v>
      </c>
      <c r="HY770" s="1684" t="b">
        <f>IFERROR(IF(AND(G770="Exterior",R770&gt;4200),FALSE,TRUE),FALSE)</f>
        <v>1</v>
      </c>
      <c r="HZ770" s="1684" t="b">
        <f>IFERROR(IF(AB772/AB769&lt;HZ$18,FALSE,TRUE),FALSE)</f>
        <v>0</v>
      </c>
      <c r="IB770" s="1691"/>
      <c r="IC770" s="1695"/>
      <c r="ID770" s="1694" t="str">
        <f>VLOOKUP(IB772,_Error_Table,4,FALSE)</f>
        <v>White</v>
      </c>
      <c r="IE770" s="391"/>
      <c r="IF770" s="1688"/>
      <c r="IG770" s="1689"/>
      <c r="IH770" s="1684"/>
      <c r="IK770" s="1689"/>
      <c r="IL770" s="1691"/>
      <c r="IM770" s="1691"/>
      <c r="IN770" s="1691"/>
      <c r="IP770" s="1679"/>
      <c r="IQ770" s="1679"/>
      <c r="IR770" s="1679"/>
      <c r="IS770" s="1679"/>
      <c r="IT770" s="1679"/>
      <c r="IU770" s="1679"/>
      <c r="IV770" s="1679"/>
      <c r="IW770" s="1679"/>
      <c r="IX770" s="1679"/>
      <c r="IY770" s="1679"/>
      <c r="IZ770" s="1679"/>
      <c r="JA770" s="1679"/>
      <c r="JC770" s="1680"/>
      <c r="JD770" s="1670"/>
      <c r="JE770" s="1681"/>
      <c r="JG770" s="1680"/>
      <c r="JH770" s="1670"/>
      <c r="JI770" s="1060"/>
      <c r="JJ770" s="1683"/>
      <c r="JK770" s="1061"/>
      <c r="JL770" s="1683"/>
      <c r="JM770" s="1061"/>
      <c r="JN770" s="1683"/>
      <c r="JO770" s="1061"/>
      <c r="JP770" s="1683"/>
      <c r="JQ770" s="1061"/>
      <c r="JR770" s="1683"/>
      <c r="JS770" s="1061"/>
      <c r="JT770" s="1670"/>
      <c r="JU770" s="1061"/>
      <c r="JV770" s="1670"/>
      <c r="JX770" s="1670"/>
      <c r="JZ770" s="1683"/>
      <c r="KB770" s="1670"/>
    </row>
    <row r="771" spans="1:288" s="78" customFormat="1" ht="14.95" customHeight="1" thickTop="1" thickBot="1">
      <c r="A771" s="78">
        <f>ROW()</f>
        <v>771</v>
      </c>
      <c r="B771" s="1845"/>
      <c r="C771" s="1846"/>
      <c r="D771" s="1847"/>
      <c r="E771" s="1737" t="s">
        <v>298</v>
      </c>
      <c r="F771" s="1738"/>
      <c r="G771" s="1760"/>
      <c r="H771" s="1761"/>
      <c r="I771" s="1761"/>
      <c r="J771" s="1761"/>
      <c r="K771" s="1761"/>
      <c r="L771" s="1762"/>
      <c r="M771" s="461">
        <f>IFERROR(IF(IF(__Retrofit_TI_NC&lt;&gt;0,IF(CQ769="Interior",MATCH(G771,Lookup_Interior_New,0),MATCH(G771,Lookup_Exterior_New,0)),IF(CQ769="Interior",MATCH(G771,Lookup_Interior,0),MATCH(G771,Lookup_Exterior_Areas,0)))&gt;0,1,0),0)</f>
        <v>0</v>
      </c>
      <c r="N771" s="461" t="e">
        <f>IF(__Retrofit_TI_NC=1,
VLOOKUP(G771,'Space Table'!$B$3:$L$163,4,FALSE),
IF(__Retrofit_TI_NC=2,VLOOKUP(G771,'Space Table'!$B$3:$L$163,5,FALSE),VLOOKUP(G771,'Space Table'!$B$3:$L$163,5,FALSE)))</f>
        <v>#N/A</v>
      </c>
      <c r="O771" s="461">
        <f>G771</f>
        <v>0</v>
      </c>
      <c r="P771" s="1738" t="str">
        <f>IFERROR(IF(__Retrofit_TI_NC=1,VLOOKUP(G771,'Space Table'!$B$3:$O$163,13,FALSE),IF(__Retrofit_TI_NC=2,VLOOKUP(G771,'Space Table'!$B$3:$O$163,14,FALSE),"Area (sf):")),"Area (sf):")</f>
        <v>Area (sf):</v>
      </c>
      <c r="Q771" s="1738"/>
      <c r="R771" s="596"/>
      <c r="S771" s="1763" t="s">
        <v>345</v>
      </c>
      <c r="T771" s="594"/>
      <c r="U771" s="1801"/>
      <c r="V771" s="1802"/>
      <c r="W771" s="1802"/>
      <c r="X771" s="1802"/>
      <c r="Y771" s="1802"/>
      <c r="Z771" s="1802"/>
      <c r="AA771" s="1802"/>
      <c r="AB771" s="1802"/>
      <c r="AC771" s="1802"/>
      <c r="AD771" s="1802"/>
      <c r="AE771" s="1803"/>
      <c r="AF771" s="594"/>
      <c r="AG771" s="1787"/>
      <c r="AH771" s="1787"/>
      <c r="AI771" s="1787"/>
      <c r="AJ771" s="1787"/>
      <c r="AK771" s="1787"/>
      <c r="AL771" s="1787"/>
      <c r="AM771" s="1726">
        <f>IFERROR(DI771,"")</f>
        <v>0</v>
      </c>
      <c r="AN771" s="1728" t="str">
        <f>IFERROR(ROUND(AM771*AC772,0),"")</f>
        <v/>
      </c>
      <c r="AO771" s="1730">
        <f>IFERROR(IF(IB769=FALSE,0,AC772-AN771),0)</f>
        <v>0</v>
      </c>
      <c r="AP771" s="1780"/>
      <c r="AQ771" s="1781"/>
      <c r="AR771" s="1795"/>
      <c r="AS771" s="1795"/>
      <c r="AT771" s="1796"/>
      <c r="AU771" s="1735"/>
      <c r="AV771" s="1752"/>
      <c r="AW771" s="1705"/>
      <c r="AX771" s="467"/>
      <c r="AY771" s="1749"/>
      <c r="AZ771" s="1749"/>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696"/>
      <c r="CQ771" s="1696"/>
      <c r="CR771" s="1808" t="str">
        <f>CQ769</f>
        <v/>
      </c>
      <c r="CS771" s="1810" t="str">
        <f>CS769</f>
        <v/>
      </c>
      <c r="CU771" s="1688" t="s">
        <v>345</v>
      </c>
      <c r="CV771" s="1702">
        <f>IF(IB769=TRUE,T771,0)</f>
        <v>0</v>
      </c>
      <c r="CW771" s="1702" t="str">
        <f>IF(IB769=TRUE,U771,"")</f>
        <v/>
      </c>
      <c r="CX771" s="1812">
        <f>IF(IB769=TRUE,U772,0)</f>
        <v>0</v>
      </c>
      <c r="CY771" s="1814">
        <f>IF(IB769=TRUE,AB772,0)</f>
        <v>0</v>
      </c>
      <c r="CZ771" s="1710">
        <f>IF(AND(__Retrofit_TI_NC&gt;0,CR769="interior"),0,IF(IB769=TRUE,AC772,0))</f>
        <v>0</v>
      </c>
      <c r="DA771" s="1818"/>
      <c r="DB771" s="1820"/>
      <c r="DC771" s="1820"/>
      <c r="DD771" s="1820"/>
      <c r="DF771" s="1702">
        <f>IF(IB769=TRUE,AF771,0)</f>
        <v>0</v>
      </c>
      <c r="DG771" s="1830" t="str">
        <f>IF(IB769=TRUE,AG771,"")</f>
        <v/>
      </c>
      <c r="DH771" s="1812">
        <f>AG772</f>
        <v>0</v>
      </c>
      <c r="DI771" s="1837">
        <f>JE771</f>
        <v>0</v>
      </c>
      <c r="DJ771" s="1710">
        <f>IF(AND(__Retrofit_TI_NC&gt;0,CR769="interior"),0,IF(IB769=TRUE,AN771,0))</f>
        <v>0</v>
      </c>
      <c r="DK771" s="1712"/>
      <c r="DN771" s="1717">
        <f>IFERROR(CZ771-DJ771,0)</f>
        <v>0</v>
      </c>
      <c r="DO771" s="1709"/>
      <c r="DQ771" s="1715"/>
      <c r="DR771" s="1719" t="str">
        <f>DQ769</f>
        <v/>
      </c>
      <c r="DS771" s="1816"/>
      <c r="DT771" s="1835" t="str">
        <f>IF(OR(DS769=7,DS769=8,DS769=9),"ALC","")</f>
        <v/>
      </c>
      <c r="DU771" s="1715"/>
      <c r="DV771" s="1716"/>
      <c r="DX771" s="1715"/>
      <c r="DY771" s="1829" t="str">
        <f>DX769</f>
        <v/>
      </c>
      <c r="DZ771" s="1715"/>
      <c r="EA771" s="1715"/>
      <c r="EC771" s="1834"/>
      <c r="ED771" s="1834"/>
      <c r="EF771" s="1707"/>
      <c r="EG771" s="1712"/>
      <c r="EH771" s="1818"/>
      <c r="EI771" s="1712"/>
      <c r="EJ771" s="1712"/>
      <c r="EK771" s="1836"/>
      <c r="EL771" s="1836"/>
      <c r="EM771" s="1807"/>
      <c r="EN771" s="1839"/>
      <c r="EO771" s="1839"/>
      <c r="EP771" s="1817"/>
      <c r="EQ771" s="1817"/>
      <c r="ER771" s="1807"/>
      <c r="ES771" s="1807"/>
      <c r="ET771" s="1807"/>
      <c r="EV771" s="1715"/>
      <c r="EX771" s="1805" t="str">
        <f>IFERROR(VLOOKUP(CS771,'Space Table'!$B$3:$L$163,8,FALSE),"")</f>
        <v/>
      </c>
      <c r="EY771" s="1805" t="str">
        <f>IFERROR(IF(FB771="Yes",VLOOKUP(AG771,Lookup_Control_Type_Table2,4,FALSE),VLOOKUP(AG771,Lookup_Control_Type_Table2,3,FALSE)),"")</f>
        <v/>
      </c>
      <c r="EZ771" s="1805" t="e">
        <f>VLOOKUP(AG771,Lookup!BB$3:BC$20,2,FALSE)</f>
        <v>#N/A</v>
      </c>
      <c r="FA771" s="1805" t="e">
        <f>VLOOKUP(EX769,Lookup_Control_Type_Table,2,FALSE)</f>
        <v>#N/A</v>
      </c>
      <c r="FB771" s="1805" t="e">
        <f>VLOOKUP(CS771,'Space Table'!$B$3:$L$163,7,FALSE)</f>
        <v>#N/A</v>
      </c>
      <c r="FC771" s="1827"/>
      <c r="FE771" s="1698" t="str">
        <f>CONCATENATE(CQ769," - ",AG771)</f>
        <v xml:space="preserve"> - </v>
      </c>
      <c r="FG771" s="1816"/>
      <c r="FH771" s="1816"/>
      <c r="FI771" s="133"/>
      <c r="FL771" s="1822" t="str">
        <f>IF(CQ769="Exterior","Not Daylighted",G772)</f>
        <v>Not Daylighted</v>
      </c>
      <c r="FM771" s="1824">
        <f>VLOOKUP(FL771,_New_Daylight_Table_Codes,2,FALSE)</f>
        <v>0</v>
      </c>
      <c r="FN771" s="1698">
        <f>AG771</f>
        <v>0</v>
      </c>
      <c r="FO771" s="1698" t="e">
        <f>VLOOKUP(FN771,_Control_Table,2,FALSE)</f>
        <v>#N/A</v>
      </c>
      <c r="FP771" s="1678" t="e">
        <f>VLOOKUP(CONCATENATE(FL771," ",FN771),Lookup!AY$102:AZ782,2,FALSE)</f>
        <v>#N/A</v>
      </c>
      <c r="FQ771" s="1698">
        <f>IF(__Retrofit_TI_NC=0,FN771,IF(AND(FT771&gt;0,FN771="Occupancy Sensor"),"Daylight + Occupancy",IF(AND(FT771&gt;0,FO771&lt;4),"Interior Daylight Dimming",FN771)))</f>
        <v>0</v>
      </c>
      <c r="FS771" s="1686">
        <f>IF(CQ769="Interior",VLOOKUP(CS769,Control_Savings_Interior,5,FALSE),0)</f>
        <v>0</v>
      </c>
      <c r="FT771" s="1687">
        <f>IF(CQ771="Exterior",0,IF(FM771=2,0.5,IF(OR(FM771=1,FM771=3),1,0)))</f>
        <v>0</v>
      </c>
      <c r="FU771" s="1685">
        <f>IF(R770&gt;FS$44,(FS771*(FS$44/R770)),FS771)*FT771</f>
        <v>0</v>
      </c>
      <c r="FV771" s="1686">
        <f>DI771</f>
        <v>0</v>
      </c>
      <c r="FW771" s="1686">
        <f>ROUND(FV771+((1-FV771)*FU771),2)</f>
        <v>0</v>
      </c>
      <c r="FX771" s="1686">
        <f>IF(__Retrofit_TI_NC=2,FW771,FV771)</f>
        <v>0</v>
      </c>
      <c r="FY771" s="1697">
        <f>IF(CR771="Interior",VLOOKUP(CS771,Control_Savings_Interior,4,FALSE),0)</f>
        <v>0</v>
      </c>
      <c r="GA771" s="1696"/>
      <c r="GB771" s="1696"/>
      <c r="GC771" s="1696"/>
      <c r="GD771" s="1696"/>
      <c r="GE771" s="1696"/>
      <c r="GF771" s="1696"/>
      <c r="GG771" s="1696"/>
      <c r="GH771" s="1696"/>
      <c r="GI771" s="673" t="b">
        <f>IF(ISNUMBER(SEARCH("TLED",U771)),TRUE,FALSE)</f>
        <v>0</v>
      </c>
      <c r="GJ771" s="1135" t="str">
        <f>IFERROR(VLOOKUP(U771,Fixtures!DM$93:DR$142,6,FALSE),"")</f>
        <v/>
      </c>
      <c r="GK771" s="1832"/>
      <c r="GM771" s="1692"/>
      <c r="GN771" s="1684"/>
      <c r="GP771" s="1684"/>
      <c r="GQ771" s="1684"/>
      <c r="HG771" s="1684"/>
      <c r="HH771" s="1684"/>
      <c r="HI771" s="1684"/>
      <c r="HJ771" s="1684"/>
      <c r="HK771" s="1684"/>
      <c r="HL771" s="1684"/>
      <c r="HM771" s="1684"/>
      <c r="HN771" s="1683"/>
      <c r="HO771" s="1692"/>
      <c r="HP771" s="1692"/>
      <c r="HQ771" s="1670"/>
      <c r="HR771" s="1684"/>
      <c r="HS771" s="1684"/>
      <c r="HT771" s="1670"/>
      <c r="HU771" s="1684"/>
      <c r="HV771" s="1684"/>
      <c r="HW771" s="1684"/>
      <c r="HX771" s="1684"/>
      <c r="HY771" s="1684"/>
      <c r="HZ771" s="1684"/>
      <c r="IB771" s="1692"/>
      <c r="IC771" s="1693" t="b">
        <f>IB769</f>
        <v>0</v>
      </c>
      <c r="ID771" s="1695"/>
      <c r="IE771" s="391"/>
      <c r="IF771" s="1688"/>
      <c r="IG771" s="1689">
        <f ca="1">IF(IF769=TRUE,AC772,0)</f>
        <v>0</v>
      </c>
      <c r="IH771" s="1684"/>
      <c r="IK771" s="1689" t="e">
        <f>ROUND(T771*AB772*N770*R770/1000,0)</f>
        <v>#VALUE!</v>
      </c>
      <c r="IL771" s="1691"/>
      <c r="IM771" s="1693" t="e">
        <f>ROUND(T771*AB772*N770*R770/1000,0)</f>
        <v>#VALUE!</v>
      </c>
      <c r="IN771" s="1691"/>
      <c r="IP771" s="1679"/>
      <c r="IQ771" s="1679" t="e">
        <f t="shared" ref="IQ771:IU771" si="712">IF($CR771="interior",VLOOKUP($CS771,_New_Control_Savings_Interior,IQ$30,FALSE),VLOOKUP($CS771,Control_Savings_Exterior,IQ$30,FALSE))</f>
        <v>#N/A</v>
      </c>
      <c r="IR771" s="1679" t="e">
        <f t="shared" si="712"/>
        <v>#N/A</v>
      </c>
      <c r="IS771" s="1679" t="e">
        <f t="shared" si="712"/>
        <v>#N/A</v>
      </c>
      <c r="IT771" s="1679" t="e">
        <f t="shared" si="712"/>
        <v>#N/A</v>
      </c>
      <c r="IU771" s="1679" t="e">
        <f t="shared" si="712"/>
        <v>#N/A</v>
      </c>
      <c r="IV771" s="1679" t="e">
        <f>IF($CR771="interior",IF(R770&gt;$IP$14,ROUND(($IV$18*($IP$14/R770)),2),$IV$18),VLOOKUP($CS771,Control_Savings_Exterior,IV$30,FALSE))</f>
        <v>#N/A</v>
      </c>
      <c r="IW771" s="1679" t="e">
        <f>IF($CR771="interior",ROUND(((1-IS771)*IV771)+IS771,2),VLOOKUP($CS771,Control_Savings_Exterior,IW$30,FALSE))</f>
        <v>#N/A</v>
      </c>
      <c r="IX771" s="1679" t="e">
        <f>IF($CR771="interior",ROUND(((1-IT771)*IV771)+IT771,2),VLOOKUP($CS771,Control_Savings_Exterior,IX$30,FALSE))</f>
        <v>#N/A</v>
      </c>
      <c r="IY771" s="1679" t="e">
        <f>IF($CR771="interior",IF(R770&gt;$IP$14,ROUND(($IY$18*($IP$14/R770)),2),$IY$18),VLOOKUP($CS771,Control_Savings_Exterior,IY$30,FALSE))</f>
        <v>#N/A</v>
      </c>
      <c r="IZ771" s="1679" t="e">
        <f>IF($CR771="interior",ROUND(((1-IS771)*IY771)+IS771,2),VLOOKUP($CS771,Control_Savings_Exterior,IZ$30,FALSE))</f>
        <v>#N/A</v>
      </c>
      <c r="JA771" s="1679" t="e">
        <f>IF($CR771="interior",ROUND(((1-IT771)*IY771)+IT771,2),VLOOKUP($CS771,Control_Savings_Exterior,JA$30,FALSE))</f>
        <v>#N/A</v>
      </c>
      <c r="JC771" s="1680">
        <f>IFERROR(IF(CR771="Interior",CONCATENATE(G772," ",FQ771),AG771),"")</f>
        <v>0</v>
      </c>
      <c r="JD771" s="1670" t="str">
        <f>IFERROR(VLOOKUP(JC771,_Controls_2023,2,FALSE),"")</f>
        <v/>
      </c>
      <c r="JE771" s="1681">
        <f>IFERROR(CHOOSE(JD771-1,IQ771,IR771,IS771,IT771,IU771,IV771,IW771,IX771,IY771,IZ771,JA771),0)</f>
        <v>0</v>
      </c>
      <c r="JG771" s="1680" t="str">
        <f>FE771</f>
        <v xml:space="preserve"> - </v>
      </c>
      <c r="JH771" s="1670" t="e">
        <f>$FO771</f>
        <v>#N/A</v>
      </c>
      <c r="JI771" s="1060"/>
      <c r="JJ771" s="1670">
        <f>IFERROR(IF($IB769=TRUE,IF(OR(JJ$14="No",JJ769=FALSE,JH771&lt;=JH769,AND(_kWh_Grant=0,GD769=FALSE)),0,IF(JJ$8="Per Line",1,$AF771)),0),0)</f>
        <v>0</v>
      </c>
      <c r="JK771" s="1061"/>
      <c r="JL771" s="1670">
        <f>IFERROR(IF(_kWh_Grant=0,0,IF($IB769=TRUE,IF(OR(JL$14="No",JL769=FALSE,JH771&lt;=JH769),0,IF(JL$8="Per Line",1,$T771)),0)),0)</f>
        <v>0</v>
      </c>
      <c r="JM771" s="1061"/>
      <c r="JN771" s="1670">
        <f>IFERROR(IF(_kWh_Grant=0,0,IF($IB769=TRUE,IF(OR(JN$14="No",JN769=FALSE,JH771&lt;=JH769),0,IF(JN$8="Per Line",1,$AF771)),0)),0)</f>
        <v>0</v>
      </c>
      <c r="JO771" s="1061"/>
      <c r="JP771" s="1670">
        <f>IFERROR(IF(__Retrofit_TI_NC=0,IF(_kWh_Grant=0,0,IF($IB769=TRUE,IF(OR(JP$14="No",JP769=FALSE,$JH771&lt;=$JH769),0,IF(JP$8="Per Line",1,$AF771)),0)),IF($IB769=TRUE,IF(OR(JP$14="No",JP769=FALSE,$JH771&lt;=$JH769),0,IF(JP$8="Per Line",1,$AF771)))),0)</f>
        <v>0</v>
      </c>
      <c r="JQ771" s="1061"/>
      <c r="JR771" s="1670">
        <f>IFERROR(IF(__Retrofit_TI_NC=0,IF(_kWh_Grant=0,0,IF($IB769=TRUE,IF(OR(JR$14="No",JR769=FALSE,$JH771&lt;=$JH769),0,IF(JR$8="Per Line",1,$AF771)),0)),IF($IB769=TRUE,IF(OR(JR$14="No",JR769=FALSE,$JH771&lt;=$JH769),0,IF(JR$8="Per Line",1,$AF771)))),0)</f>
        <v>0</v>
      </c>
      <c r="JS771" s="1061"/>
      <c r="JT771" s="1670">
        <f>IFERROR(IF(__Retrofit_TI_NC=0,IF(_kWh_Grant=0,0,IF($IB769=TRUE,IF(OR(JT$14="No",JT769=FALSE,$JH771&lt;=$JH769),0,IF(JT$8="Per Line",1,$AF771)),0)),IF($IB769=TRUE,IF(OR(JT$14="No",JT769=FALSE,$JH771&lt;=$JH769),0,IF(JT$8="Per Line",1,$AF771)))),0)</f>
        <v>0</v>
      </c>
      <c r="JU771" s="1061"/>
      <c r="JV771" s="1670">
        <f>IFERROR(IF(__Retrofit_TI_NC=0,IF(_kWh_Grant=0,0,IF($IB769=TRUE,IF(OR(JV$14="No",JV769=FALSE,$JH771&lt;=$JH769),0,IF(JV$8="Per Line",1,$AF771)),0)),IF($IB769=TRUE,IF(OR(JV$14="No",JV769=FALSE,$JH771&lt;=$JH769),0,IF(JV$8="Per Line",1,$AF771)))),0)</f>
        <v>0</v>
      </c>
      <c r="JX771" s="1670">
        <f>IFERROR(IF(__Retrofit_TI_NC=0,IF(_kWh_Grant=0,0,IF($IB769=TRUE,IF(OR(JX$14="No",JX769=FALSE,$JH771&lt;=$JH769),0,IF(JX$8="Per Line",1,$AF771)),0)),IF($IB769=TRUE,IF(OR(JX$14="No",JX769=FALSE,$JH771&lt;=$JH769),0,IF(JX$8="Per Line",1,$AF771)))),0)</f>
        <v>0</v>
      </c>
      <c r="JZ771" s="1670">
        <f>IFERROR(IF($IB769=TRUE,IF(OR(JZ$14="No",JZ769=FALSE,$JH771&lt;=$JH769,AND(_kWh_Grant=0,$GD769=FALSE)),0,IF(JZ$8="Per Line",1,$AF771)),0),0)</f>
        <v>0</v>
      </c>
      <c r="KB771" s="1670">
        <f>IFERROR(IF(__Retrofit_TI_NC=0,IF(_kWh_Grant=0,0,IF($IB769=TRUE,IF(OR(KB$14="No",KB769=FALSE,$JH771&lt;=$JH769),0,IF(KB$8="Per Line",1,$AF771)),0)),IF($IB769=TRUE,IF(OR(KB$14="No",KB769=FALSE,$JH771&lt;=$JH769),0,IF(KB$8="Per Line",1,$AF771)))),0)</f>
        <v>0</v>
      </c>
    </row>
    <row r="772" spans="1:288" s="78" customFormat="1" ht="14.95" customHeight="1" thickTop="1" thickBot="1">
      <c r="B772" s="1845"/>
      <c r="C772" s="1846"/>
      <c r="D772" s="1847"/>
      <c r="E772" s="1771" t="s">
        <v>436</v>
      </c>
      <c r="F772" s="1772"/>
      <c r="G772" s="1784" t="s">
        <v>437</v>
      </c>
      <c r="H772" s="1785"/>
      <c r="I772" s="1785"/>
      <c r="J772" s="1785"/>
      <c r="K772" s="1785"/>
      <c r="L772" s="1786"/>
      <c r="M772" s="591">
        <f>IFERROR(VLOOKUP(G772,_Daylight_Table[],2,FALSE),0)</f>
        <v>0</v>
      </c>
      <c r="N772" s="592" t="str">
        <f>IF(AND(__Retrofit_TI_NC&gt;0,CQ769="Interior"),"BAM","")</f>
        <v/>
      </c>
      <c r="O772" s="591" t="e">
        <f>VLOOKUP(G771,'Space Table'!$B$3:$L$163,11,FALSE)</f>
        <v>#N/A</v>
      </c>
      <c r="P772" s="1789"/>
      <c r="Q772" s="1790"/>
      <c r="R772" s="1790"/>
      <c r="S772" s="1788"/>
      <c r="T772" s="593" t="s">
        <v>342</v>
      </c>
      <c r="U772" s="1756" t="str" cm="1">
        <f t="array" aca="1" ref="U772" ca="1">IFERROR(VLOOKUP(INDIRECT("U" &amp; ROW()-1),Fixtures!DM$93:DP$142,4,FALSE),"")</f>
        <v/>
      </c>
      <c r="V772" s="1757"/>
      <c r="W772" s="1757"/>
      <c r="X772" s="1757"/>
      <c r="Y772" s="1757"/>
      <c r="Z772" s="1757"/>
      <c r="AA772" s="1758"/>
      <c r="AB772" s="939" t="str">
        <f>IFERROR(VLOOKUP(U771,Fixtures_Proposed_List,2,FALSE),"")</f>
        <v/>
      </c>
      <c r="AC772" s="933" t="str">
        <f>IFERROR(ROUND(T771*AB772*N770*R770/1000,0),"")</f>
        <v/>
      </c>
      <c r="AD772" s="934" t="str">
        <f>IFERROR(ROUND(T771*AB772/1000,2),"")</f>
        <v/>
      </c>
      <c r="AE772" s="998"/>
      <c r="AF772" s="938" t="s">
        <v>342</v>
      </c>
      <c r="AG772" s="1770"/>
      <c r="AH772" s="1770"/>
      <c r="AI772" s="1770"/>
      <c r="AJ772" s="1770"/>
      <c r="AK772" s="1770"/>
      <c r="AL772" s="1770"/>
      <c r="AM772" s="1727"/>
      <c r="AN772" s="1729"/>
      <c r="AO772" s="1731"/>
      <c r="AP772" s="1782"/>
      <c r="AQ772" s="1783"/>
      <c r="AR772" s="1797"/>
      <c r="AS772" s="1797"/>
      <c r="AT772" s="1798"/>
      <c r="AU772" s="1736"/>
      <c r="AV772" s="1753"/>
      <c r="AW772" s="1706"/>
      <c r="AX772" s="468"/>
      <c r="AY772" s="1750"/>
      <c r="AZ772" s="1750"/>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696"/>
      <c r="CQ772" s="1696"/>
      <c r="CR772" s="1809"/>
      <c r="CS772" s="1811"/>
      <c r="CU772" s="1688"/>
      <c r="CV772" s="1703"/>
      <c r="CW772" s="1703"/>
      <c r="CX772" s="1813"/>
      <c r="CY772" s="1815"/>
      <c r="CZ772" s="1711"/>
      <c r="DA772" s="1815"/>
      <c r="DB772" s="1821"/>
      <c r="DC772" s="1821"/>
      <c r="DD772" s="1821"/>
      <c r="DF772" s="1703"/>
      <c r="DG772" s="1831"/>
      <c r="DH772" s="1813"/>
      <c r="DI772" s="1838"/>
      <c r="DJ772" s="1711"/>
      <c r="DK772" s="1712"/>
      <c r="DN772" s="1718"/>
      <c r="DO772" s="1709"/>
      <c r="DQ772" s="1715"/>
      <c r="DR772" s="1720"/>
      <c r="DS772" s="1703"/>
      <c r="DT772" s="1714"/>
      <c r="DU772" s="1715"/>
      <c r="DV772" s="1716"/>
      <c r="DX772" s="1715"/>
      <c r="DY772" s="1720"/>
      <c r="DZ772" s="1715"/>
      <c r="EA772" s="1715"/>
      <c r="EC772" s="1834"/>
      <c r="ED772" s="1834"/>
      <c r="EF772" s="1707"/>
      <c r="EG772" s="1712"/>
      <c r="EH772" s="1815"/>
      <c r="EI772" s="1712"/>
      <c r="EJ772" s="1712"/>
      <c r="EK772" s="1813"/>
      <c r="EL772" s="1813"/>
      <c r="EM772" s="1807"/>
      <c r="EN772" s="1839"/>
      <c r="EO772" s="1839"/>
      <c r="EP772" s="1817"/>
      <c r="EQ772" s="1817"/>
      <c r="ER772" s="1807"/>
      <c r="ES772" s="1807"/>
      <c r="ET772" s="1807"/>
      <c r="EV772" s="1715"/>
      <c r="EX772" s="1806"/>
      <c r="EY772" s="1806"/>
      <c r="EZ772" s="1806"/>
      <c r="FA772" s="1806"/>
      <c r="FB772" s="1806"/>
      <c r="FC772" s="1828"/>
      <c r="FE772" s="1698"/>
      <c r="FG772" s="1703"/>
      <c r="FH772" s="1703"/>
      <c r="FI772" s="133"/>
      <c r="FL772" s="1823"/>
      <c r="FM772" s="1825"/>
      <c r="FN772" s="1698"/>
      <c r="FO772" s="1698"/>
      <c r="FP772" s="1678"/>
      <c r="FQ772" s="1698"/>
      <c r="FS772" s="1687"/>
      <c r="FT772" s="1687"/>
      <c r="FU772" s="1685"/>
      <c r="FV772" s="1687"/>
      <c r="FW772" s="1687"/>
      <c r="FX772" s="1687"/>
      <c r="FY772" s="1697"/>
      <c r="GA772" s="1696"/>
      <c r="GB772" s="1696"/>
      <c r="GC772" s="1696"/>
      <c r="GD772" s="1696"/>
      <c r="GE772" s="1696"/>
      <c r="GF772" s="1696"/>
      <c r="GG772" s="1696"/>
      <c r="GH772" s="1696"/>
      <c r="GI772" s="673"/>
      <c r="GJ772" s="1135"/>
      <c r="GK772" s="1832"/>
      <c r="GN772" s="674">
        <f>IF(GN770=TRUE,0,GN$16)</f>
        <v>0</v>
      </c>
      <c r="GP772" s="674">
        <f>IF(GP770=TRUE,0,GP$16)</f>
        <v>36</v>
      </c>
      <c r="GQ772" s="674">
        <f ca="1">IF(GQ770=TRUE,0,GQ$16)</f>
        <v>35</v>
      </c>
      <c r="GR772" s="391"/>
      <c r="GS772" s="391"/>
      <c r="GT772" s="391"/>
      <c r="GU772" s="391"/>
      <c r="GV772" s="391"/>
      <c r="HG772" s="674">
        <f>IF(HG770=TRUE,0,HG$16)</f>
        <v>0</v>
      </c>
      <c r="HH772" s="674">
        <f t="shared" ref="HH772:HM772" si="713">IF(HH770=TRUE,0,HH$16)</f>
        <v>19</v>
      </c>
      <c r="HI772" s="674">
        <f t="shared" si="713"/>
        <v>18</v>
      </c>
      <c r="HJ772" s="674">
        <f t="shared" si="713"/>
        <v>17</v>
      </c>
      <c r="HK772" s="674">
        <f t="shared" si="713"/>
        <v>16</v>
      </c>
      <c r="HL772" s="674">
        <f t="shared" si="713"/>
        <v>0</v>
      </c>
      <c r="HM772" s="674">
        <f t="shared" si="713"/>
        <v>0</v>
      </c>
      <c r="HN772" s="674">
        <f>IF(HN770=TRUE,0,HN$16)</f>
        <v>13</v>
      </c>
      <c r="HO772" s="674">
        <f t="shared" ref="HO772:HQ772" si="714">IF(HO770=TRUE,0,HO$16)</f>
        <v>0</v>
      </c>
      <c r="HP772" s="674">
        <f t="shared" si="714"/>
        <v>0</v>
      </c>
      <c r="HQ772" s="674">
        <f t="shared" si="714"/>
        <v>10</v>
      </c>
      <c r="HR772" s="674">
        <f>IF(HR770=TRUE,0,HR$16)</f>
        <v>9</v>
      </c>
      <c r="HS772" s="674">
        <f t="shared" ref="HS772:HW772" si="715">IF(HS770=TRUE,0,HS$16)</f>
        <v>0</v>
      </c>
      <c r="HT772" s="674">
        <f t="shared" si="715"/>
        <v>0</v>
      </c>
      <c r="HU772" s="674">
        <f t="shared" si="715"/>
        <v>0</v>
      </c>
      <c r="HV772" s="674">
        <f t="shared" si="715"/>
        <v>0</v>
      </c>
      <c r="HW772" s="674">
        <f t="shared" si="715"/>
        <v>0</v>
      </c>
      <c r="HX772" s="674">
        <f>IF(HX770=TRUE,0,HX$16)</f>
        <v>0</v>
      </c>
      <c r="HY772" s="674">
        <f>IF(HY770=TRUE,0,HY$16)</f>
        <v>0</v>
      </c>
      <c r="HZ772" s="674">
        <f>IF(HZ770=TRUE,0,HZ$16)</f>
        <v>1</v>
      </c>
      <c r="IB772" s="674">
        <f>IF(GP770=FALSE,GP772,IF(GQ770=FALSE,GQ772,MAX(GN772:HZ772)))</f>
        <v>36</v>
      </c>
      <c r="IC772" s="1692"/>
      <c r="ID772" s="205" t="str">
        <f>VLOOKUP(IB772,_Error_Table,3,FALSE)</f>
        <v xml:space="preserve"> </v>
      </c>
      <c r="IE772" s="205"/>
      <c r="IF772" s="1688"/>
      <c r="IG772" s="1689"/>
      <c r="IH772" s="1684"/>
      <c r="IK772" s="1689"/>
      <c r="IL772" s="1692"/>
      <c r="IM772" s="1692"/>
      <c r="IN772" s="1692"/>
      <c r="IP772" s="1679"/>
      <c r="IQ772" s="1679"/>
      <c r="IR772" s="1679"/>
      <c r="IS772" s="1679"/>
      <c r="IT772" s="1679"/>
      <c r="IU772" s="1679"/>
      <c r="IV772" s="1679"/>
      <c r="IW772" s="1679"/>
      <c r="IX772" s="1679"/>
      <c r="IY772" s="1679"/>
      <c r="IZ772" s="1679"/>
      <c r="JA772" s="1679"/>
      <c r="JC772" s="1680"/>
      <c r="JD772" s="1670"/>
      <c r="JE772" s="1681"/>
      <c r="JG772" s="1680"/>
      <c r="JH772" s="1670"/>
      <c r="JI772" s="1060"/>
      <c r="JJ772" s="1670"/>
      <c r="JK772" s="1061"/>
      <c r="JL772" s="1670"/>
      <c r="JM772" s="1061"/>
      <c r="JN772" s="1670"/>
      <c r="JO772" s="1061"/>
      <c r="JP772" s="1670"/>
      <c r="JQ772" s="1061"/>
      <c r="JR772" s="1670"/>
      <c r="JS772" s="1061"/>
      <c r="JT772" s="1670"/>
      <c r="JU772" s="1061"/>
      <c r="JV772" s="1670"/>
      <c r="JX772" s="1670"/>
      <c r="JZ772" s="1670"/>
      <c r="KB772" s="1670"/>
    </row>
    <row r="773" spans="1:288" s="78" customFormat="1" ht="5.0999999999999996" customHeight="1">
      <c r="B773" s="676"/>
      <c r="C773" s="392"/>
      <c r="D773" s="392"/>
      <c r="E773" s="1733"/>
      <c r="F773" s="1733"/>
      <c r="G773" s="1733"/>
      <c r="H773" s="1733"/>
      <c r="I773" s="1733"/>
      <c r="J773" s="1733"/>
      <c r="K773" s="1733"/>
      <c r="L773" s="1733"/>
      <c r="M773" s="1733"/>
      <c r="N773" s="1733"/>
      <c r="O773" s="1733"/>
      <c r="P773" s="1733"/>
      <c r="Q773" s="1733"/>
      <c r="R773" s="1733"/>
      <c r="S773" s="1733"/>
      <c r="T773" s="1733"/>
      <c r="U773" s="1733"/>
      <c r="V773" s="1733"/>
      <c r="W773" s="1733"/>
      <c r="X773" s="1733"/>
      <c r="Y773" s="1733"/>
      <c r="Z773" s="1733"/>
      <c r="AA773" s="1733"/>
      <c r="AB773" s="1733"/>
      <c r="AC773" s="1733"/>
      <c r="AD773" s="1733"/>
      <c r="AE773" s="1733"/>
      <c r="AF773" s="1733"/>
      <c r="AG773" s="1733"/>
      <c r="AH773" s="1733"/>
      <c r="AI773" s="1733"/>
      <c r="AJ773" s="1733"/>
      <c r="AK773" s="1733"/>
      <c r="AL773" s="1733"/>
      <c r="AM773" s="1733"/>
      <c r="AN773" s="1733"/>
      <c r="AO773" s="1733"/>
      <c r="AP773" s="1733"/>
      <c r="AQ773" s="1733"/>
      <c r="AR773" s="1733"/>
      <c r="AS773" s="1733"/>
      <c r="AT773" s="1733"/>
      <c r="AU773" s="1733"/>
      <c r="AV773" s="1733"/>
      <c r="AW773" s="1733"/>
      <c r="AX773" s="469"/>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663"/>
      <c r="CQ773" s="663"/>
      <c r="CR773" s="438"/>
      <c r="CS773" s="663"/>
      <c r="CV773" s="391"/>
      <c r="CW773" s="391"/>
      <c r="CX773" s="207"/>
      <c r="CY773" s="208"/>
      <c r="CZ773" s="208"/>
      <c r="DA773" s="208"/>
      <c r="DB773" s="209"/>
      <c r="DC773" s="209"/>
      <c r="DD773" s="209"/>
      <c r="DF773" s="664"/>
      <c r="DG773" s="665"/>
      <c r="DH773" s="666"/>
      <c r="DI773" s="667"/>
      <c r="DJ773" s="668"/>
      <c r="DK773" s="668"/>
      <c r="DN773" s="208"/>
      <c r="DO773" s="664"/>
      <c r="DQ773" s="664"/>
      <c r="DR773" s="669"/>
      <c r="DS773" s="391"/>
      <c r="DT773" s="664"/>
      <c r="DU773" s="664"/>
      <c r="DV773" s="664"/>
      <c r="DX773" s="664"/>
      <c r="DY773" s="664"/>
      <c r="DZ773" s="664"/>
      <c r="EA773" s="664"/>
      <c r="EC773" s="670"/>
      <c r="ED773" s="670"/>
      <c r="EF773" s="668"/>
      <c r="EG773" s="668"/>
      <c r="EH773" s="208"/>
      <c r="EI773" s="668"/>
      <c r="EJ773" s="668"/>
      <c r="EK773" s="207"/>
      <c r="EL773" s="207"/>
      <c r="EM773" s="666"/>
      <c r="EN773" s="671"/>
      <c r="EO773" s="671"/>
      <c r="EP773" s="672"/>
      <c r="EQ773" s="672"/>
      <c r="ER773" s="666"/>
      <c r="ES773" s="666"/>
      <c r="ET773" s="666"/>
      <c r="EV773" s="664"/>
      <c r="EX773" s="391"/>
      <c r="EY773" s="391"/>
      <c r="EZ773" s="391"/>
      <c r="FA773" s="391"/>
      <c r="FB773" s="391"/>
      <c r="FC773" s="391"/>
      <c r="FE773" s="569"/>
      <c r="FG773" s="391"/>
      <c r="FH773" s="391"/>
      <c r="FI773" s="391"/>
      <c r="FS773" s="664"/>
      <c r="FT773" s="391"/>
      <c r="FU773" s="391"/>
      <c r="FV773" s="664"/>
      <c r="FW773" s="664"/>
      <c r="GA773" s="663"/>
      <c r="GB773" s="663"/>
      <c r="GC773" s="663"/>
      <c r="GD773" s="663"/>
      <c r="GE773" s="663"/>
      <c r="GF773" s="663"/>
      <c r="GG773" s="663"/>
      <c r="GH773" s="663"/>
      <c r="GI773" s="665"/>
      <c r="GJ773" s="664"/>
      <c r="GK773" s="664"/>
    </row>
    <row r="774" spans="1:288" s="78" customFormat="1" ht="14.95" customHeight="1">
      <c r="B774" s="1845" t="str">
        <f>ID777</f>
        <v xml:space="preserve"> </v>
      </c>
      <c r="C774" s="1846">
        <f>C769+1</f>
        <v>141</v>
      </c>
      <c r="D774" s="1847"/>
      <c r="E774" s="1799" t="s">
        <v>295</v>
      </c>
      <c r="F774" s="1800"/>
      <c r="G774" s="1741"/>
      <c r="H774" s="1742"/>
      <c r="I774" s="1742"/>
      <c r="J774" s="1742"/>
      <c r="K774" s="1742"/>
      <c r="L774" s="1742"/>
      <c r="M774" s="1742"/>
      <c r="N774" s="1742"/>
      <c r="O774" s="1742"/>
      <c r="P774" s="1742"/>
      <c r="Q774" s="1742"/>
      <c r="R774" s="1742"/>
      <c r="S774" s="1791" t="s">
        <v>344</v>
      </c>
      <c r="T774" s="590"/>
      <c r="U774" s="1743"/>
      <c r="V774" s="1744"/>
      <c r="W774" s="1744"/>
      <c r="X774" s="1744"/>
      <c r="Y774" s="1744"/>
      <c r="Z774" s="1744"/>
      <c r="AA774" s="1744"/>
      <c r="AB774" s="961" t="str">
        <f>IFERROR(IF(__Retrofit_TI_NC=0,VLOOKUP(U775,Fixtures_Existing_List,2,FALSE),ROUND(N776*R776/T776,10)),"")</f>
        <v/>
      </c>
      <c r="AC774" s="935" t="str">
        <f>IFERROR(IF(__Retrofit_TI_NC=0,ROUND(T775*AB774*N775*R775/1000,0),IF(CQ774="Interior",N776*R776*R775*N775*_C406_reduction/1000,N776*R776*R775*N775/1000)),"")</f>
        <v/>
      </c>
      <c r="AD774" s="936" t="str">
        <f>IFERROR(IF(C$43=0,ROUND(T775*AB774/1000,2),N776*R776/1000),"")</f>
        <v/>
      </c>
      <c r="AE774" s="997"/>
      <c r="AF774" s="937"/>
      <c r="AG774" s="1745" t="str">
        <f>IF(__Retrofit_TI_NC=0," Control","Select Advanced Control for New System")</f>
        <v xml:space="preserve"> Control</v>
      </c>
      <c r="AH774" s="1745"/>
      <c r="AI774" s="1745"/>
      <c r="AJ774" s="1745"/>
      <c r="AK774" s="1745"/>
      <c r="AL774" s="1745"/>
      <c r="AM774" s="1746">
        <f>IFERROR(DI774,"")</f>
        <v>0</v>
      </c>
      <c r="AN774" s="1774" t="str">
        <f>IFERROR(ROUND(AM774*AC774,0),"")</f>
        <v/>
      </c>
      <c r="AO774" s="1776">
        <f>IFERROR(IF(IB774=FALSE,0,AC774-AN774),0)</f>
        <v>0</v>
      </c>
      <c r="AP774" s="1778">
        <f>AO774-AO776</f>
        <v>0</v>
      </c>
      <c r="AQ774" s="1779"/>
      <c r="AR774" s="1793">
        <f>IFERROR(IF(IB774=FALSE,0,(T776*U777)+(AF776*AG777)),0)</f>
        <v>0</v>
      </c>
      <c r="AS774" s="1793"/>
      <c r="AT774" s="1794"/>
      <c r="AU774" s="1734" t="s">
        <v>237</v>
      </c>
      <c r="AV774" s="1751">
        <f>IF(AU774="Yes",1,0)</f>
        <v>1</v>
      </c>
      <c r="AW774" s="1704" t="str">
        <f>IF(OR(DQ774=4,DQ774=5,DQ774=6,DQ774=12),CONCATENATE("$",IF(GH774=TRUE,Lookup!$K$10,Lookup!$K$2)," /lamp"),CONCATENATE(TEXT(ED774,"$0.00"),"/ kWh"))</f>
        <v>$0.00/ kWh</v>
      </c>
      <c r="AX774" s="467"/>
      <c r="AY774" s="1748">
        <f ca="1">IFERROR(IF(GM775=TRUE,(AB777*T776)/R776,0),"NA")</f>
        <v>0</v>
      </c>
      <c r="AZ774" s="1748"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696" t="str">
        <f>N775</f>
        <v/>
      </c>
      <c r="CQ774" s="1696" t="str">
        <f>IFERROR(VLOOKUP(G775,_Lookup_Heat_Type_Table_New,3,FALSE),"")</f>
        <v/>
      </c>
      <c r="CR774" s="1808" t="str">
        <f>CQ774</f>
        <v/>
      </c>
      <c r="CS774" s="1810" t="str">
        <f>IFERROR(VLOOKUP(G776,'Space Table'!$B$3:$L$163,9,FALSE),"")</f>
        <v/>
      </c>
      <c r="CU774" s="1688" t="s">
        <v>344</v>
      </c>
      <c r="CV774" s="1702">
        <f>IF(IB774=TRUE,T775,0)</f>
        <v>0</v>
      </c>
      <c r="CW774" s="1702" t="str">
        <f>IF(IB774=TRUE,U775,"")</f>
        <v/>
      </c>
      <c r="CX774" s="1702"/>
      <c r="CY774" s="1814">
        <f>IF(IB774=TRUE,AB774,0)</f>
        <v>0</v>
      </c>
      <c r="CZ774" s="1710">
        <f>IF(AND(__Retrofit_TI_NC&gt;0,CR774="interior"),0,IF(IB774=TRUE,AC774,0))</f>
        <v>0</v>
      </c>
      <c r="DA774" s="1814">
        <f>IFERROR(IF(IB774=TRUE,CZ774-CZ776,0),0)</f>
        <v>0</v>
      </c>
      <c r="DB774" s="1819">
        <f>IF(IB774=TRUE,AD774,0)</f>
        <v>0</v>
      </c>
      <c r="DC774" s="1819">
        <f>IF(IB774=TRUE,AD777,0)</f>
        <v>0</v>
      </c>
      <c r="DD774" s="1819">
        <f>IFERROR(DB774-DC774,0)</f>
        <v>0</v>
      </c>
      <c r="DF774" s="1702">
        <f>IF(IB774=TRUE,AF775,0)</f>
        <v>0</v>
      </c>
      <c r="DG774" s="1830">
        <f>IFERROR(IF(__Retrofit_TI_NC=2,IF(CQ774="Exterior",O777,FQ774),FN774),"")</f>
        <v>0</v>
      </c>
      <c r="DH774" s="1702"/>
      <c r="DI774" s="1837">
        <f>JE774</f>
        <v>0</v>
      </c>
      <c r="DJ774" s="1710">
        <f>IF(AND(__Retrofit_TI_NC&gt;0,CR774="interior"),0,IF(IB774=TRUE,AN774,0))</f>
        <v>0</v>
      </c>
      <c r="DK774" s="1712">
        <f>IFERROR(IF(IB774=TRUE,DJ776-DJ774,0),0)</f>
        <v>0</v>
      </c>
      <c r="DM774" s="1717">
        <f>IFERROR(CZ774-DJ774,0)</f>
        <v>0</v>
      </c>
      <c r="DO774" s="1708">
        <f>DM774-DN776</f>
        <v>0</v>
      </c>
      <c r="DQ774" s="1715" t="str">
        <f>IFERROR(IF(AND(OR(GC774=4,GC774=5,GC774=6),OR(GF774=4,GF774=5,GF774=6)),GC774+8,VLOOKUP(CW776,Fixtures!R$31:Y$78,8,FALSE)),"")</f>
        <v/>
      </c>
      <c r="DR774" s="1829" t="str">
        <f>DQ774</f>
        <v/>
      </c>
      <c r="DS774" s="1702" t="str">
        <f>IFERROR(VLOOKUP(DG776,Lookup!BB$3:BC$20,2,FALSE),"")</f>
        <v/>
      </c>
      <c r="DT774" s="1713" t="str">
        <f>IF(OR(DS774=7,DS774=8,DS774=9),"ALC","")</f>
        <v/>
      </c>
      <c r="DU774" s="1715">
        <f>IFERROR(IF(OR(DQ774=4,DQ774=5,DQ774=6,DQ774=12,DQ774=13,DQ774=14),VLOOKUP(CW776,Fixtures!DN$27:EG$77,19,FALSE),1)*CV776,0)</f>
        <v>0</v>
      </c>
      <c r="DV774" s="1716">
        <f>IF(OR(DS774=7,DS774=8,DS774=9),IF(DG774=DG776,0,DF776),0)</f>
        <v>0</v>
      </c>
      <c r="DX774" s="1715" t="str">
        <f>IFERROR(IF(EZ774&lt;EZ776,"Yes","No"),"")</f>
        <v/>
      </c>
      <c r="DY774" s="1829" t="str">
        <f>DX774</f>
        <v/>
      </c>
      <c r="DZ774" s="1715">
        <f>IF(DX774="Yes",DF776,0)</f>
        <v>0</v>
      </c>
      <c r="EA774" s="1715">
        <f>DZ774-DV774</f>
        <v>0</v>
      </c>
      <c r="EC774" s="1834">
        <f>IFERROR(VLOOKUP(DQ774,Lookup!AU$3:AV$16,2,FALSE),0)</f>
        <v>0</v>
      </c>
      <c r="ED774" s="1834">
        <f>IF(IB774=FALSE,0,IF(DX774="Yes",EC774+Lookup!K$6,EC774))</f>
        <v>0</v>
      </c>
      <c r="EF774" s="1707">
        <f>IF(IB774=TRUE,DM774,0)</f>
        <v>0</v>
      </c>
      <c r="EG774" s="1712">
        <f>IF(IB774=TRUE,CZ776,0)</f>
        <v>0</v>
      </c>
      <c r="EH774" s="1814">
        <f>IFERROR(EF774-EG774,0)</f>
        <v>0</v>
      </c>
      <c r="EI774" s="1712">
        <f>IF(IB774=TRUE,DJ776,0)</f>
        <v>0</v>
      </c>
      <c r="EJ774" s="1712">
        <f>IFERROR(EF774-EG774+EI774,0)</f>
        <v>0</v>
      </c>
      <c r="EK774" s="1812">
        <f>IF(IB774=TRUE,CV776*CX776,0)</f>
        <v>0</v>
      </c>
      <c r="EL774" s="1812">
        <f>IF(IB774=TRUE,DF776*DH776,0)</f>
        <v>0</v>
      </c>
      <c r="EM774" s="1807">
        <f>AR774</f>
        <v>0</v>
      </c>
      <c r="EN774" s="1839" t="str">
        <f>IFERROR(IF(IB774=TRUE,VLOOKUP(DQ774,Lookup!AU$3:AW$16,3,FALSE)*DU774,""),0)</f>
        <v/>
      </c>
      <c r="EO774" s="1839">
        <f>IF(IB774=TRUE,DZ774*Lookup!AW$12,0)</f>
        <v>0</v>
      </c>
      <c r="EP774" s="1817">
        <f>IFERROR(IF(IB774=TRUE,EN774/EP$40,0),0)</f>
        <v>0</v>
      </c>
      <c r="EQ774" s="1817">
        <f>IF(IB774=TRUE,EO774/EQ$40,0)</f>
        <v>0</v>
      </c>
      <c r="ER774" s="1807">
        <f>IF(IB774=TRUE,ET$40*EP774,0)</f>
        <v>0</v>
      </c>
      <c r="ES774" s="1807">
        <f>IF(IB774=TRUE,ET$40*EQ774,0)</f>
        <v>0</v>
      </c>
      <c r="ET774" s="1807">
        <f>ER774+ES774</f>
        <v>0</v>
      </c>
      <c r="EV774" s="1715">
        <f>IF(G774="",0,1)</f>
        <v>0</v>
      </c>
      <c r="EX774" s="1804" t="str">
        <f>IFERROR(VLOOKUP(CS776,'Space Table'!$B$3:$L$163,8,FALSE),"")</f>
        <v/>
      </c>
      <c r="EY774" s="1804" t="str">
        <f>IFERROR(IF(FB774="Yes",VLOOKUP(DG774,Lookup_Control_Type_Table2,4,FALSE),VLOOKUP(DG774,Lookup_Control_Type_Table2,3,FALSE)),"")</f>
        <v/>
      </c>
      <c r="EZ774" s="1804" t="e">
        <f>VLOOKUP(DG774,Lookup!BB$3:BC$20,2,FALSE)</f>
        <v>#N/A</v>
      </c>
      <c r="FA774" s="1804" t="e">
        <f>VLOOKUP(EX774,Lookup_Control_Type_Table,2,FALSE)</f>
        <v>#N/A</v>
      </c>
      <c r="FB774" s="1804" t="e">
        <f>VLOOKUP(CS776,'Space Table'!$B$3:$L$163,7,FALSE)</f>
        <v>#N/A</v>
      </c>
      <c r="FC774" s="1826" t="b">
        <f>ISNUMBER(SEARCH("TLED",U776))</f>
        <v>0</v>
      </c>
      <c r="FE774" s="1698" t="str">
        <f>CONCATENATE(CQ774," - ",DG774)</f>
        <v xml:space="preserve"> - 0</v>
      </c>
      <c r="FG774" s="1702" t="str">
        <f>VLOOKUP(CW776,Fixtures!DN$27:EZ$77,38,FALSE)</f>
        <v/>
      </c>
      <c r="FH774" s="1702">
        <f>IFERROR(FG774*EH774,0)</f>
        <v>0</v>
      </c>
      <c r="FI774" s="133"/>
      <c r="FL774" s="1822" t="str">
        <f>IF(CQ774="Exterior","Not Daylighted",G777)</f>
        <v>Not Daylighted</v>
      </c>
      <c r="FM774" s="1824">
        <f>VLOOKUP(FL774,_New_Daylight_Table_Codes,2,FALSE)</f>
        <v>0</v>
      </c>
      <c r="FN774" s="1698">
        <f>IF(__Retrofit_TI_NC&gt;0,VLOOKUP(G776,'Space Table'!$B$3:$L$163,11,FALSE),AG775)</f>
        <v>0</v>
      </c>
      <c r="FO774" s="1698" t="e">
        <f>IF(__Retrofit_TI_NC=2,VLOOKUP(FQ774,_Control_Table,2,FALSE),VLOOKUP(FN774,_Control_Table,2,FALSE))</f>
        <v>#N/A</v>
      </c>
      <c r="FP774" s="1678" t="e">
        <f>VLOOKUP(CONCATENATE(FL774," ",FN774),Lookup!AY$102:AZ784,2,FALSE)</f>
        <v>#N/A</v>
      </c>
      <c r="FQ774" s="1678">
        <f>IF(__Retrofit_TI_NC=0,FN774,IF(AND(FT774&gt;0,FN774="Occupancy Sensor"),"Daylight + Occupancy",IF(AND(FT774&gt;0,VLOOKUP(FN774,_Control_Table,2,FALSE)&lt;4),"Interior Daylight Dimming",FN774)))</f>
        <v>0</v>
      </c>
      <c r="FS774" s="1686">
        <f>IF(CR774="Interior",VLOOKUP(CS774,Control_Savings_Interior,5,FALSE),0)</f>
        <v>0</v>
      </c>
      <c r="FT774" s="1687">
        <f>IF(CQ774="Exterior",0,IF(FM774=2,0.5,IF(OR(FM774=1,FM774=3),1,0)))</f>
        <v>0</v>
      </c>
      <c r="FU774" s="1685">
        <f>IF(R773&gt;FS$44,(FS774*(FS$44/R773)),FS774)*FT774</f>
        <v>0</v>
      </c>
      <c r="FV774" s="1686">
        <f>DI774</f>
        <v>0</v>
      </c>
      <c r="FW774" s="1686">
        <f>ROUND(FV774+((1-FV774)*FU774),2)</f>
        <v>0</v>
      </c>
      <c r="FX774" s="1686">
        <f>IF(__Retrofit_TI_NC=2,FW774,FV774)</f>
        <v>0</v>
      </c>
      <c r="FY774" s="1697"/>
      <c r="GA774" s="1696" t="str">
        <f>IFERROR(VLOOKUP(U775,_Exist_Fixture_Table,3,FALSE),"")</f>
        <v/>
      </c>
      <c r="GB774" s="1696" t="str">
        <f>VLOOKUP(CW774,_Exist_Fixture_Table,4,FALSE)</f>
        <v/>
      </c>
      <c r="GC774" s="1696">
        <f>IFERROR(VLOOKUP(GB774,Lookup!AT$6:AU$8,2,FALSE),0)</f>
        <v>0</v>
      </c>
      <c r="GD774" s="1696" t="b">
        <f>IFERROR(IF(OR(GF774=4,GF774=5,GF774=6),TRUE,FALSE),"")</f>
        <v>0</v>
      </c>
      <c r="GE774" s="1696" t="str">
        <f>IFERROR(VLOOKUP(GF774,GC$6:GD$10,2,FALSE),"")</f>
        <v/>
      </c>
      <c r="GF774" s="1696" t="str">
        <f>VLOOKUP(CW776,Fixtures!R$31:Y$78,8,FALSE)</f>
        <v/>
      </c>
      <c r="GG774" s="1696">
        <f>IF(AND(GA774=TRUE,GD774=TRUE,OR(DQ774=12,DQ774=13,DQ774=14)),GC774+8,0)</f>
        <v>0</v>
      </c>
      <c r="GH774" s="1696" t="b">
        <f>IF(OR(GG774=12,GG774=13,GG774=14),TRUE,FALSE)</f>
        <v>0</v>
      </c>
      <c r="GI774" s="673" t="b">
        <f>IF(ISNUMBER(SEARCH("TLED",U775)),TRUE,FALSE)</f>
        <v>0</v>
      </c>
      <c r="GJ774" s="1135" t="str">
        <f>IFERROR(VLOOKUP(U775,Fixtures!BM$93:BR$142,6,FALSE),"")</f>
        <v/>
      </c>
      <c r="GK774" s="1832" t="b">
        <f>IF(OR(GI774=FALSE,GI776=FALSE),TRUE,IF(GJ774-GJ776&lt;5,FALSE,TRUE))</f>
        <v>1</v>
      </c>
      <c r="GO774" s="674">
        <f>GP774</f>
        <v>0</v>
      </c>
      <c r="GP774" s="674">
        <f>IF(G774="",0,1)</f>
        <v>0</v>
      </c>
      <c r="GQ774" s="674">
        <f ca="1">SUM(GR774:HF774)</f>
        <v>2</v>
      </c>
      <c r="GR774" s="674">
        <f>IF(G775="",0,1)</f>
        <v>0</v>
      </c>
      <c r="GS774" s="674">
        <f>IF(N777="BAM",1,IF(G776="",0,1))</f>
        <v>0</v>
      </c>
      <c r="GT774" s="674">
        <f>IF(N777="BAM",1,IF(R775="",0,1))</f>
        <v>0</v>
      </c>
      <c r="GU774" s="674">
        <f>IF(N777="BAM",1,IF(__Retrofit_TI_NC=0,1,IF(R776="",0,1)))</f>
        <v>1</v>
      </c>
      <c r="GV774" s="674">
        <f>IF(N777="BAM",1,IF(CQ774="Exterior",1,IF(G777="",0,1)))</f>
        <v>1</v>
      </c>
      <c r="GW774" s="674">
        <f>IF(__Retrofit_TI_NC&gt;0,1,IF(T775="",0,1))</f>
        <v>0</v>
      </c>
      <c r="GX774" s="674">
        <f>IF(__Retrofit_TI_NC&gt;0,1,IF(U775="",0,1))</f>
        <v>0</v>
      </c>
      <c r="GY774" s="674">
        <f>IF(N777="BAM",1,IF(T776="",0,1))</f>
        <v>0</v>
      </c>
      <c r="GZ774" s="674">
        <f>IF(N777="BAM",1,IF(U776="",0,1))</f>
        <v>0</v>
      </c>
      <c r="HA774" s="674">
        <f ca="1">IF(N777="BAM",1,IF(__Retrofit_TI_NC&gt;0,1,IF(U777="",0,1)))</f>
        <v>0</v>
      </c>
      <c r="HB774" s="674">
        <f>IF(__Retrofit_TI_NC&lt;&gt;0,1,IF(AF775="",0,1))</f>
        <v>0</v>
      </c>
      <c r="HC774" s="674">
        <f>IF(__Retrofit_TI_NC&lt;&gt;0,1,IF(AG775="",0,1))</f>
        <v>0</v>
      </c>
      <c r="HD774" s="674">
        <f>IF(N777="BAM",1,IF(AF776="",0,1))</f>
        <v>0</v>
      </c>
      <c r="HE774" s="674">
        <f>IF(N777="BAM",1,IF(AG776="",0,1))</f>
        <v>0</v>
      </c>
      <c r="HF774" s="674">
        <f>IF(N777="BAM",1,IF(__Retrofit_TI_NC&gt;0,1,IF(AG777="",0,1)))</f>
        <v>0</v>
      </c>
      <c r="HG774" s="391"/>
      <c r="IA774" s="391"/>
      <c r="IB774" s="1693" t="b">
        <f>IF(OR(IB777=0,IB777=HY$16,IB777=HX$16,IB777=HZ$16),TRUE,FALSE)</f>
        <v>0</v>
      </c>
      <c r="IC774" s="1694" t="b">
        <f>IB774</f>
        <v>0</v>
      </c>
      <c r="ID774" s="391"/>
      <c r="IE774" s="391"/>
      <c r="IF774" s="1688" t="b">
        <f ca="1">IF(MAX(GN777:HU777)&gt;5,FALSE,TRUE)</f>
        <v>0</v>
      </c>
      <c r="IG774" s="1689">
        <f ca="1">IF(IF774=TRUE,AC774,0)</f>
        <v>0</v>
      </c>
      <c r="IH774" s="1689">
        <f ca="1">IG774-IG776</f>
        <v>0</v>
      </c>
      <c r="IK774" s="1689" t="e">
        <f>ROUND(T775*VLOOKUP(U775,Fixtures_Existing_List,2,FALSE)*N775*R775/1000,0)</f>
        <v>#N/A</v>
      </c>
      <c r="IL774" s="1690" t="e">
        <f>IK774-IK776</f>
        <v>#N/A</v>
      </c>
      <c r="IM774" s="1693" t="e">
        <f>ROUND(IF(CQ774="Interior",N776*R776*R775*N775*_C406_reduction/1000,N776*R776*R775*N775/1000),0)</f>
        <v>#N/A</v>
      </c>
      <c r="IN774" s="1693" t="e">
        <f>IM774-IM776</f>
        <v>#N/A</v>
      </c>
      <c r="IP774" s="1679"/>
      <c r="IQ774" s="1679" t="e">
        <f t="shared" ref="IQ774:IU774" si="716">IF($CR774="interior",VLOOKUP($CS774,_New_Control_Savings_Interior,IQ$30,FALSE),VLOOKUP($CS774,Control_Savings_Exterior,IQ$30,FALSE))</f>
        <v>#N/A</v>
      </c>
      <c r="IR774" s="1679" t="e">
        <f t="shared" si="716"/>
        <v>#N/A</v>
      </c>
      <c r="IS774" s="1679" t="e">
        <f t="shared" si="716"/>
        <v>#N/A</v>
      </c>
      <c r="IT774" s="1679" t="e">
        <f t="shared" si="716"/>
        <v>#N/A</v>
      </c>
      <c r="IU774" s="1679" t="e">
        <f t="shared" si="716"/>
        <v>#N/A</v>
      </c>
      <c r="IV774" s="1679" t="e">
        <f>IF($CR774="interior",IF(R775&gt;$IP$14,ROUND(($IV$18*($IP$14/R775)),2),$IV$18),VLOOKUP($CS774,Control_Savings_Exterior,IV$30,FALSE))</f>
        <v>#N/A</v>
      </c>
      <c r="IW774" s="1679" t="e">
        <f>IF($CR774="interior",ROUND(((1-IS774)*IV774)+IS774,2),VLOOKUP($CS774,Control_Savings_Exterior,IW$30,FALSE))</f>
        <v>#N/A</v>
      </c>
      <c r="IX774" s="1679" t="e">
        <f>IF($CR774="interior",ROUND(((1-IT774)*IV774)+IT774,2),VLOOKUP($CS774,Control_Savings_Exterior,IX$30,FALSE))</f>
        <v>#N/A</v>
      </c>
      <c r="IY774" s="1679" t="e">
        <f>IF($CR774="interior",IF(R775&gt;$IP$14,ROUND(($IY$18*($IP$14/R775)),2),$IY$18),VLOOKUP($CS774,Control_Savings_Exterior,IY$30,FALSE))</f>
        <v>#N/A</v>
      </c>
      <c r="IZ774" s="1679" t="e">
        <f>IF($CR774="interior",ROUND(((1-IS774)*IY774)+IS774,2),VLOOKUP($CS774,Control_Savings_Exterior,IZ$30,FALSE))</f>
        <v>#N/A</v>
      </c>
      <c r="JA774" s="1679" t="e">
        <f>IF($CR774="interior",ROUND(((1-IT774)*IY774)+IT774,2),VLOOKUP($CS774,Control_Savings_Exterior,JA$30,FALSE))</f>
        <v>#N/A</v>
      </c>
      <c r="JC774" s="1680">
        <f>IFERROR(IF(CR774="Interior",CONCATENATE(G777," ",FQ774),FQ774),"")</f>
        <v>0</v>
      </c>
      <c r="JD774" s="1670" t="str">
        <f>IFERROR(VLOOKUP(JC774,_Controls_2023,2,FALSE),"")</f>
        <v/>
      </c>
      <c r="JE774" s="1681">
        <f>IFERROR(CHOOSE(JD774-1,IQ774,IR774,IS774,IT774,IU774,IV774,IW774,IX774,IY774,IZ774,JA774),0)</f>
        <v>0</v>
      </c>
      <c r="JG774" s="1680" t="str">
        <f>FE774</f>
        <v xml:space="preserve"> - 0</v>
      </c>
      <c r="JH774" s="1670" t="e">
        <f>$FO774</f>
        <v>#N/A</v>
      </c>
      <c r="JI774" s="1060"/>
      <c r="JJ774" s="1682" t="b">
        <f>IF($JG776=CONCATENATE("Interior - ",JJ$4),TRUE,FALSE)</f>
        <v>0</v>
      </c>
      <c r="JK774" s="1061"/>
      <c r="JL774" s="1682" t="b">
        <f>IF($JG776=CONCATENATE("Interior - ",JL$4),TRUE,FALSE)</f>
        <v>0</v>
      </c>
      <c r="JM774" s="1061"/>
      <c r="JN774" s="1682" t="b">
        <f>IF($JG776=CONCATENATE("Interior - ",JN$4),TRUE,FALSE)</f>
        <v>0</v>
      </c>
      <c r="JO774" s="1061"/>
      <c r="JP774" s="1682" t="b">
        <f>IF(__Retrofit_TI_NC&gt;0,FALSE,IF($JG776=CONCATENATE("Interior - ",JP$4),TRUE,FALSE))</f>
        <v>0</v>
      </c>
      <c r="JQ774" s="1061"/>
      <c r="JR774" s="1682" t="b">
        <f>IF(__Retrofit_TI_NC&gt;0,FALSE,IF($JG776=CONCATENATE("Interior - ",JR$4),TRUE,FALSE))</f>
        <v>0</v>
      </c>
      <c r="JS774" s="1061"/>
      <c r="JT774" s="1670" t="b">
        <f>IF(__Retrofit_TI_NC&gt;0,FALSE,IF($JG776=CONCATENATE("Interior - ",JT$4),TRUE,FALSE))</f>
        <v>0</v>
      </c>
      <c r="JU774" s="1061"/>
      <c r="JV774" s="1670" t="b">
        <f>IF(JC776="AELC on Existing",TRUE,FALSE)</f>
        <v>0</v>
      </c>
      <c r="JX774" s="1670" t="b">
        <f>IF(OR(JG776="Exterior - AELC Occupancy based",JG776="Exterior - AELC Time based"),TRUE,FALSE)</f>
        <v>0</v>
      </c>
      <c r="JZ774" s="1682" t="b">
        <f>IF($JG776=CONCATENATE("Exterior - ",JZ$4),TRUE,FALSE)</f>
        <v>0</v>
      </c>
      <c r="KB774" s="1670" t="b">
        <f>IF(__Retrofit_TI_NC&gt;0,FALSE,IF($JG776=CONCATENATE("Interior - ",KB$4),TRUE,FALSE))</f>
        <v>0</v>
      </c>
    </row>
    <row r="775" spans="1:288" s="78" customFormat="1" ht="14.95" customHeight="1" thickTop="1" thickBot="1">
      <c r="B775" s="1845"/>
      <c r="C775" s="1846"/>
      <c r="D775" s="1847"/>
      <c r="E775" s="1737" t="s">
        <v>297</v>
      </c>
      <c r="F775" s="1738"/>
      <c r="G775" s="1739"/>
      <c r="H775" s="1739"/>
      <c r="I775" s="1739"/>
      <c r="J775" s="1739"/>
      <c r="K775" s="1739"/>
      <c r="L775" s="1739"/>
      <c r="M775" s="461" t="e">
        <f>IF(__Retrofit_TI_NC&lt;&gt;0,IF(VLOOKUP(G776,'Space Table'!$B$3:$L$163,3,FALSE)&gt;0,1,0),IF(__Retrofit_TI_NC=VLOOKUP(G776,'Space Table'!$B$3:$L$163,3,FALSE),1,0))</f>
        <v>#N/A</v>
      </c>
      <c r="N775" s="461" t="str">
        <f>IFERROR(VLOOKUP(G775,_Lookup_Heat_Type_Table_New,2,FALSE),"")</f>
        <v/>
      </c>
      <c r="O775" s="461">
        <f>IF(__Retrofit_TI_NC=1,CONCATENATE("TI ",G775),IF(__Retrofit_TI_NC=2,CONCATENATE("NC ",G775),G775))</f>
        <v>0</v>
      </c>
      <c r="P775" s="1740" t="s">
        <v>435</v>
      </c>
      <c r="Q775" s="1740"/>
      <c r="R775" s="595"/>
      <c r="S775" s="1792"/>
      <c r="T775" s="597"/>
      <c r="U775" s="1765"/>
      <c r="V775" s="1766"/>
      <c r="W775" s="1766"/>
      <c r="X775" s="1766"/>
      <c r="Y775" s="1766"/>
      <c r="Z775" s="1766"/>
      <c r="AA775" s="1766"/>
      <c r="AB775" s="1766"/>
      <c r="AC775" s="1766"/>
      <c r="AD775" s="1767"/>
      <c r="AE775" s="1000"/>
      <c r="AF775" s="597"/>
      <c r="AG775" s="1723"/>
      <c r="AH775" s="1724"/>
      <c r="AI775" s="1724"/>
      <c r="AJ775" s="1724"/>
      <c r="AK775" s="1725"/>
      <c r="AL775" s="996"/>
      <c r="AM775" s="1747"/>
      <c r="AN775" s="1775"/>
      <c r="AO775" s="1777"/>
      <c r="AP775" s="1780"/>
      <c r="AQ775" s="1781"/>
      <c r="AR775" s="1795"/>
      <c r="AS775" s="1795"/>
      <c r="AT775" s="1796"/>
      <c r="AU775" s="1735"/>
      <c r="AV775" s="1752"/>
      <c r="AW775" s="1705"/>
      <c r="AX775" s="467"/>
      <c r="AY775" s="1749"/>
      <c r="AZ775" s="1749"/>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696"/>
      <c r="CQ775" s="1696"/>
      <c r="CR775" s="1809"/>
      <c r="CS775" s="1811"/>
      <c r="CU775" s="1688"/>
      <c r="CV775" s="1703"/>
      <c r="CW775" s="1703"/>
      <c r="CX775" s="1703"/>
      <c r="CY775" s="1815"/>
      <c r="CZ775" s="1711"/>
      <c r="DA775" s="1818"/>
      <c r="DB775" s="1820"/>
      <c r="DC775" s="1820"/>
      <c r="DD775" s="1820"/>
      <c r="DF775" s="1703"/>
      <c r="DG775" s="1831"/>
      <c r="DH775" s="1703"/>
      <c r="DI775" s="1838"/>
      <c r="DJ775" s="1711"/>
      <c r="DK775" s="1712"/>
      <c r="DM775" s="1718"/>
      <c r="DO775" s="1708"/>
      <c r="DQ775" s="1715"/>
      <c r="DR775" s="1720"/>
      <c r="DS775" s="1816"/>
      <c r="DT775" s="1714"/>
      <c r="DU775" s="1715"/>
      <c r="DV775" s="1716"/>
      <c r="DX775" s="1715"/>
      <c r="DY775" s="1720"/>
      <c r="DZ775" s="1715"/>
      <c r="EA775" s="1715"/>
      <c r="EC775" s="1834"/>
      <c r="ED775" s="1834"/>
      <c r="EF775" s="1707"/>
      <c r="EG775" s="1712"/>
      <c r="EH775" s="1818"/>
      <c r="EI775" s="1712"/>
      <c r="EJ775" s="1712"/>
      <c r="EK775" s="1836"/>
      <c r="EL775" s="1836"/>
      <c r="EM775" s="1807"/>
      <c r="EN775" s="1839"/>
      <c r="EO775" s="1839"/>
      <c r="EP775" s="1817"/>
      <c r="EQ775" s="1817"/>
      <c r="ER775" s="1807"/>
      <c r="ES775" s="1807"/>
      <c r="ET775" s="1807"/>
      <c r="EV775" s="1715"/>
      <c r="EX775" s="1805"/>
      <c r="EY775" s="1805"/>
      <c r="EZ775" s="1805"/>
      <c r="FA775" s="1805"/>
      <c r="FB775" s="1805"/>
      <c r="FC775" s="1827"/>
      <c r="FE775" s="1698"/>
      <c r="FG775" s="1816"/>
      <c r="FH775" s="1816"/>
      <c r="FI775" s="133"/>
      <c r="FL775" s="1823"/>
      <c r="FM775" s="1825"/>
      <c r="FN775" s="1698"/>
      <c r="FO775" s="1698"/>
      <c r="FP775" s="1678"/>
      <c r="FQ775" s="1678"/>
      <c r="FS775" s="1687"/>
      <c r="FT775" s="1687"/>
      <c r="FU775" s="1685"/>
      <c r="FV775" s="1687"/>
      <c r="FW775" s="1687"/>
      <c r="FX775" s="1687"/>
      <c r="FY775" s="1697"/>
      <c r="GA775" s="1696"/>
      <c r="GB775" s="1696"/>
      <c r="GC775" s="1696"/>
      <c r="GD775" s="1696"/>
      <c r="GE775" s="1696"/>
      <c r="GF775" s="1696"/>
      <c r="GG775" s="1696"/>
      <c r="GH775" s="1696"/>
      <c r="GI775" s="673"/>
      <c r="GJ775" s="1135"/>
      <c r="GK775" s="1832"/>
      <c r="GM775" s="1693" t="b">
        <f ca="1">IF(AND(GP775=TRUE,GQ775=TRUE),TRUE,FALSE)</f>
        <v>0</v>
      </c>
      <c r="GN775" s="1684" t="b">
        <f>IFERROR(IF(__Retrofit_TI_NC=2,TRUE,IF(AU774="Yes",TRUE,FALSE)),FALSE)</f>
        <v>1</v>
      </c>
      <c r="GP775" s="1684" t="b">
        <f>IFERROR(IF(GP774=1,TRUE,FALSE),FALSE)</f>
        <v>0</v>
      </c>
      <c r="GQ775" s="1684" t="b">
        <f ca="1">IFERROR(IF(GQ774=GQ$14,TRUE,FALSE),FALSE)</f>
        <v>0</v>
      </c>
      <c r="HG775" s="1684" t="b">
        <f>IFERROR(IF(AND(__Retrofit_TI_NC&gt;0,CQ774="Interior"),FALSE,TRUE),FALSE)</f>
        <v>1</v>
      </c>
      <c r="HH775" s="1684" t="b">
        <f>IFERROR(IF(M775=1,TRUE,FALSE),FALSE)</f>
        <v>0</v>
      </c>
      <c r="HI775" s="1684" t="b">
        <f>IFERROR(IF(OR(M776=1,N777="BAM"),TRUE,FALSE),FALSE)</f>
        <v>0</v>
      </c>
      <c r="HJ775" s="1684" t="b">
        <f>IFERROR(IF(__Retrofit_TI_NC&lt;&gt;0,TRUE,IFERROR(IF(VLOOKUP(U775,Fixtures_Existing_List,2,FALSE)&lt;&gt;"",TRUE,FALSE),FALSE)),FALSE)</f>
        <v>0</v>
      </c>
      <c r="HK775" s="1684" t="b">
        <f>IFERROR(IF(VLOOKUP(U776,Fixtures_Proposed_List,2,FALSE)&lt;&gt;"",TRUE,FALSE),FALSE)</f>
        <v>0</v>
      </c>
      <c r="HL775" s="1684" t="b">
        <f>IF(AND(__Retrofit_TI_NC=2,FC774=TRUE),FALSE,TRUE)</f>
        <v>1</v>
      </c>
      <c r="HM775" s="1684" t="b">
        <f>GK774</f>
        <v>1</v>
      </c>
      <c r="HN775" s="1682" t="b">
        <f>IF(ISERROR(MATCH(FE774,_Control_Match[],0))=TRUE,FALSE,TRUE)</f>
        <v>0</v>
      </c>
      <c r="HO775" s="1693" t="b">
        <f>IFERROR(IF(EX774&lt;&gt;EY774,FALSE,TRUE),FALSE)</f>
        <v>1</v>
      </c>
      <c r="HP775" s="1693" t="b">
        <f>IFERROR(IF(EX776&lt;&gt;EY776,FALSE,TRUE),FALSE)</f>
        <v>1</v>
      </c>
      <c r="HQ775" s="1670" t="b">
        <f>IFERROR(IF(CQ774="Exterior",TRUE,IF(AND(OR(FM776=0,FM776=3),JD776&gt;6),FALSE,TRUE)),FALSE)</f>
        <v>0</v>
      </c>
      <c r="HR775" s="1684" t="b">
        <f>IFERROR(IF(AND(FO776=7,FC774=TRUE),FALSE,TRUE),FALSE)</f>
        <v>0</v>
      </c>
      <c r="HS775" s="1684" t="b">
        <f>IFERROR(IF(AND(T776&lt;&gt;AF776,OR(AG776="Interior LLLC", AG776="Interior NLC", AG776="LLLC (outside Daylight)",AG776="LLLC Controls Only"))=TRUE,FALSE,TRUE),FALSE)</f>
        <v>1</v>
      </c>
      <c r="HT775" s="1670" t="b">
        <f>IFERROR(IF(OR(AG776=Lookup!BB$17,AG776=Lookup!BB$18,AG776=Lookup!BB$19)=TRUE,IF(AF776&gt;T776,FALSE,TRUE),TRUE),FALSE)</f>
        <v>1</v>
      </c>
      <c r="HU775" s="1684" t="b">
        <f>IFERROR(IF(__Retrofit_TI_NC=2,IF(EZ776&lt;EZ774,FALSE,TRUE),TRUE),FALSE)</f>
        <v>1</v>
      </c>
      <c r="HV775" s="1684" t="b">
        <f>IF(CQ774="Interior",IL$6,TRUE)</f>
        <v>1</v>
      </c>
      <c r="HW775" s="1684" t="b">
        <f>IF(CQ774="Exterior",IL$8,TRUE)</f>
        <v>1</v>
      </c>
      <c r="HX775" s="1684" t="b">
        <f>IFERROR(IF(__Retrofit_TI_NC&lt;&gt;0,IF(AZ774&lt;AY774,FALSE,TRUE),TRUE),FALSE)</f>
        <v>1</v>
      </c>
      <c r="HY775" s="1684" t="b">
        <f>IFERROR(IF(AND(G775="Exterior",R775&gt;4200),FALSE,TRUE),FALSE)</f>
        <v>1</v>
      </c>
      <c r="HZ775" s="1684" t="b">
        <f>IFERROR(IF(AB777/AB774&lt;HZ$18,FALSE,TRUE),FALSE)</f>
        <v>0</v>
      </c>
      <c r="IB775" s="1691"/>
      <c r="IC775" s="1695"/>
      <c r="ID775" s="1694" t="str">
        <f>VLOOKUP(IB777,_Error_Table,4,FALSE)</f>
        <v>White</v>
      </c>
      <c r="IE775" s="391"/>
      <c r="IF775" s="1688"/>
      <c r="IG775" s="1689"/>
      <c r="IH775" s="1684"/>
      <c r="IK775" s="1689"/>
      <c r="IL775" s="1691"/>
      <c r="IM775" s="1691"/>
      <c r="IN775" s="1691"/>
      <c r="IP775" s="1679"/>
      <c r="IQ775" s="1679"/>
      <c r="IR775" s="1679"/>
      <c r="IS775" s="1679"/>
      <c r="IT775" s="1679"/>
      <c r="IU775" s="1679"/>
      <c r="IV775" s="1679"/>
      <c r="IW775" s="1679"/>
      <c r="IX775" s="1679"/>
      <c r="IY775" s="1679"/>
      <c r="IZ775" s="1679"/>
      <c r="JA775" s="1679"/>
      <c r="JC775" s="1680"/>
      <c r="JD775" s="1670"/>
      <c r="JE775" s="1681"/>
      <c r="JG775" s="1680"/>
      <c r="JH775" s="1670"/>
      <c r="JI775" s="1060"/>
      <c r="JJ775" s="1683"/>
      <c r="JK775" s="1061"/>
      <c r="JL775" s="1683"/>
      <c r="JM775" s="1061"/>
      <c r="JN775" s="1683"/>
      <c r="JO775" s="1061"/>
      <c r="JP775" s="1683"/>
      <c r="JQ775" s="1061"/>
      <c r="JR775" s="1683"/>
      <c r="JS775" s="1061"/>
      <c r="JT775" s="1670"/>
      <c r="JU775" s="1061"/>
      <c r="JV775" s="1670"/>
      <c r="JX775" s="1670"/>
      <c r="JZ775" s="1683"/>
      <c r="KB775" s="1670"/>
    </row>
    <row r="776" spans="1:288" s="78" customFormat="1" ht="14.95" customHeight="1" thickTop="1" thickBot="1">
      <c r="A776" s="78">
        <f>ROW()</f>
        <v>776</v>
      </c>
      <c r="B776" s="1845"/>
      <c r="C776" s="1846"/>
      <c r="D776" s="1847"/>
      <c r="E776" s="1737" t="s">
        <v>298</v>
      </c>
      <c r="F776" s="1738"/>
      <c r="G776" s="1760"/>
      <c r="H776" s="1761"/>
      <c r="I776" s="1761"/>
      <c r="J776" s="1761"/>
      <c r="K776" s="1761"/>
      <c r="L776" s="1762"/>
      <c r="M776" s="461">
        <f>IFERROR(IF(IF(__Retrofit_TI_NC&lt;&gt;0,IF(CQ774="Interior",MATCH(G776,Lookup_Interior_New,0),MATCH(G776,Lookup_Exterior_New,0)),IF(CQ774="Interior",MATCH(G776,Lookup_Interior,0),MATCH(G776,Lookup_Exterior_Areas,0)))&gt;0,1,0),0)</f>
        <v>0</v>
      </c>
      <c r="N776" s="461" t="e">
        <f>IF(__Retrofit_TI_NC=1,
VLOOKUP(G776,'Space Table'!$B$3:$L$163,4,FALSE),
IF(__Retrofit_TI_NC=2,VLOOKUP(G776,'Space Table'!$B$3:$L$163,5,FALSE),VLOOKUP(G776,'Space Table'!$B$3:$L$163,5,FALSE)))</f>
        <v>#N/A</v>
      </c>
      <c r="O776" s="461">
        <f>G776</f>
        <v>0</v>
      </c>
      <c r="P776" s="1738" t="str">
        <f>IFERROR(IF(__Retrofit_TI_NC=1,VLOOKUP(G776,'Space Table'!$B$3:$O$163,13,FALSE),IF(__Retrofit_TI_NC=2,VLOOKUP(G776,'Space Table'!$B$3:$O$163,14,FALSE),"Area (sf):")),"Area (sf):")</f>
        <v>Area (sf):</v>
      </c>
      <c r="Q776" s="1738"/>
      <c r="R776" s="596"/>
      <c r="S776" s="1763" t="s">
        <v>345</v>
      </c>
      <c r="T776" s="594"/>
      <c r="U776" s="1801"/>
      <c r="V776" s="1802"/>
      <c r="W776" s="1802"/>
      <c r="X776" s="1802"/>
      <c r="Y776" s="1802"/>
      <c r="Z776" s="1802"/>
      <c r="AA776" s="1802"/>
      <c r="AB776" s="1802"/>
      <c r="AC776" s="1802"/>
      <c r="AD776" s="1802"/>
      <c r="AE776" s="1803"/>
      <c r="AF776" s="594"/>
      <c r="AG776" s="1787"/>
      <c r="AH776" s="1787"/>
      <c r="AI776" s="1787"/>
      <c r="AJ776" s="1787"/>
      <c r="AK776" s="1787"/>
      <c r="AL776" s="1787"/>
      <c r="AM776" s="1726">
        <f>IFERROR(DI776,"")</f>
        <v>0</v>
      </c>
      <c r="AN776" s="1728" t="str">
        <f>IFERROR(ROUND(AM776*AC777,0),"")</f>
        <v/>
      </c>
      <c r="AO776" s="1730">
        <f>IFERROR(IF(IB774=FALSE,0,AC777-AN776),0)</f>
        <v>0</v>
      </c>
      <c r="AP776" s="1780"/>
      <c r="AQ776" s="1781"/>
      <c r="AR776" s="1795"/>
      <c r="AS776" s="1795"/>
      <c r="AT776" s="1796"/>
      <c r="AU776" s="1735"/>
      <c r="AV776" s="1752"/>
      <c r="AW776" s="1705"/>
      <c r="AX776" s="467"/>
      <c r="AY776" s="1749"/>
      <c r="AZ776" s="1749"/>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696"/>
      <c r="CQ776" s="1696"/>
      <c r="CR776" s="1808" t="str">
        <f>CQ774</f>
        <v/>
      </c>
      <c r="CS776" s="1810" t="str">
        <f>CS774</f>
        <v/>
      </c>
      <c r="CU776" s="1688" t="s">
        <v>345</v>
      </c>
      <c r="CV776" s="1702">
        <f>IF(IB774=TRUE,T776,0)</f>
        <v>0</v>
      </c>
      <c r="CW776" s="1702" t="str">
        <f>IF(IB774=TRUE,U776,"")</f>
        <v/>
      </c>
      <c r="CX776" s="1812">
        <f>IF(IB774=TRUE,U777,0)</f>
        <v>0</v>
      </c>
      <c r="CY776" s="1814">
        <f>IF(IB774=TRUE,AB777,0)</f>
        <v>0</v>
      </c>
      <c r="CZ776" s="1710">
        <f>IF(AND(__Retrofit_TI_NC&gt;0,CR774="interior"),0,IF(IB774=TRUE,AC777,0))</f>
        <v>0</v>
      </c>
      <c r="DA776" s="1818"/>
      <c r="DB776" s="1820"/>
      <c r="DC776" s="1820"/>
      <c r="DD776" s="1820"/>
      <c r="DF776" s="1702">
        <f>IF(IB774=TRUE,AF776,0)</f>
        <v>0</v>
      </c>
      <c r="DG776" s="1830" t="str">
        <f>IF(IB774=TRUE,AG776,"")</f>
        <v/>
      </c>
      <c r="DH776" s="1812">
        <f>AG777</f>
        <v>0</v>
      </c>
      <c r="DI776" s="1837">
        <f>JE776</f>
        <v>0</v>
      </c>
      <c r="DJ776" s="1710">
        <f>IF(AND(__Retrofit_TI_NC&gt;0,CR774="interior"),0,IF(IB774=TRUE,AN776,0))</f>
        <v>0</v>
      </c>
      <c r="DK776" s="1712"/>
      <c r="DN776" s="1717">
        <f>IFERROR(CZ776-DJ776,0)</f>
        <v>0</v>
      </c>
      <c r="DO776" s="1709"/>
      <c r="DQ776" s="1715"/>
      <c r="DR776" s="1719" t="str">
        <f>DQ774</f>
        <v/>
      </c>
      <c r="DS776" s="1816"/>
      <c r="DT776" s="1835" t="str">
        <f>IF(OR(DS774=7,DS774=8,DS774=9),"ALC","")</f>
        <v/>
      </c>
      <c r="DU776" s="1715"/>
      <c r="DV776" s="1716"/>
      <c r="DX776" s="1715"/>
      <c r="DY776" s="1829" t="str">
        <f>DX774</f>
        <v/>
      </c>
      <c r="DZ776" s="1715"/>
      <c r="EA776" s="1715"/>
      <c r="EC776" s="1834"/>
      <c r="ED776" s="1834"/>
      <c r="EF776" s="1707"/>
      <c r="EG776" s="1712"/>
      <c r="EH776" s="1818"/>
      <c r="EI776" s="1712"/>
      <c r="EJ776" s="1712"/>
      <c r="EK776" s="1836"/>
      <c r="EL776" s="1836"/>
      <c r="EM776" s="1807"/>
      <c r="EN776" s="1839"/>
      <c r="EO776" s="1839"/>
      <c r="EP776" s="1817"/>
      <c r="EQ776" s="1817"/>
      <c r="ER776" s="1807"/>
      <c r="ES776" s="1807"/>
      <c r="ET776" s="1807"/>
      <c r="EV776" s="1715"/>
      <c r="EX776" s="1805" t="str">
        <f>IFERROR(VLOOKUP(CS776,'Space Table'!$B$3:$L$163,8,FALSE),"")</f>
        <v/>
      </c>
      <c r="EY776" s="1805" t="str">
        <f>IFERROR(IF(FB776="Yes",VLOOKUP(AG776,Lookup_Control_Type_Table2,4,FALSE),VLOOKUP(AG776,Lookup_Control_Type_Table2,3,FALSE)),"")</f>
        <v/>
      </c>
      <c r="EZ776" s="1805" t="e">
        <f>VLOOKUP(AG776,Lookup!BB$3:BC$20,2,FALSE)</f>
        <v>#N/A</v>
      </c>
      <c r="FA776" s="1805" t="e">
        <f>VLOOKUP(EX774,Lookup_Control_Type_Table,2,FALSE)</f>
        <v>#N/A</v>
      </c>
      <c r="FB776" s="1805" t="e">
        <f>VLOOKUP(CS776,'Space Table'!$B$3:$L$163,7,FALSE)</f>
        <v>#N/A</v>
      </c>
      <c r="FC776" s="1827"/>
      <c r="FE776" s="1698" t="str">
        <f>CONCATENATE(CQ774," - ",AG776)</f>
        <v xml:space="preserve"> - </v>
      </c>
      <c r="FG776" s="1816"/>
      <c r="FH776" s="1816"/>
      <c r="FI776" s="133"/>
      <c r="FL776" s="1822" t="str">
        <f>IF(CQ774="Exterior","Not Daylighted",G777)</f>
        <v>Not Daylighted</v>
      </c>
      <c r="FM776" s="1824">
        <f>VLOOKUP(FL776,_New_Daylight_Table_Codes,2,FALSE)</f>
        <v>0</v>
      </c>
      <c r="FN776" s="1698">
        <f>AG776</f>
        <v>0</v>
      </c>
      <c r="FO776" s="1698" t="e">
        <f>VLOOKUP(FN776,_Control_Table,2,FALSE)</f>
        <v>#N/A</v>
      </c>
      <c r="FP776" s="1678" t="e">
        <f>VLOOKUP(CONCATENATE(FL776," ",FN776),Lookup!AY$102:AZ787,2,FALSE)</f>
        <v>#N/A</v>
      </c>
      <c r="FQ776" s="1698">
        <f>IF(__Retrofit_TI_NC=0,FN776,IF(AND(FT776&gt;0,FN776="Occupancy Sensor"),"Daylight + Occupancy",IF(AND(FT776&gt;0,FO776&lt;4),"Interior Daylight Dimming",FN776)))</f>
        <v>0</v>
      </c>
      <c r="FS776" s="1686">
        <f>IF(CQ774="Interior",VLOOKUP(CS774,Control_Savings_Interior,5,FALSE),0)</f>
        <v>0</v>
      </c>
      <c r="FT776" s="1687">
        <f>IF(CQ776="Exterior",0,IF(FM776=2,0.5,IF(OR(FM776=1,FM776=3),1,0)))</f>
        <v>0</v>
      </c>
      <c r="FU776" s="1685">
        <f>IF(R775&gt;FS$44,(FS776*(FS$44/R775)),FS776)*FT776</f>
        <v>0</v>
      </c>
      <c r="FV776" s="1686">
        <f>DI776</f>
        <v>0</v>
      </c>
      <c r="FW776" s="1686">
        <f>ROUND(FV776+((1-FV776)*FU776),2)</f>
        <v>0</v>
      </c>
      <c r="FX776" s="1686">
        <f>IF(__Retrofit_TI_NC=2,FW776,FV776)</f>
        <v>0</v>
      </c>
      <c r="FY776" s="1697">
        <f>IF(CR776="Interior",VLOOKUP(CS776,Control_Savings_Interior,4,FALSE),0)</f>
        <v>0</v>
      </c>
      <c r="GA776" s="1696"/>
      <c r="GB776" s="1696"/>
      <c r="GC776" s="1696"/>
      <c r="GD776" s="1696"/>
      <c r="GE776" s="1696"/>
      <c r="GF776" s="1696"/>
      <c r="GG776" s="1696"/>
      <c r="GH776" s="1696"/>
      <c r="GI776" s="673" t="b">
        <f>IF(ISNUMBER(SEARCH("TLED",U776)),TRUE,FALSE)</f>
        <v>0</v>
      </c>
      <c r="GJ776" s="1135" t="str">
        <f>IFERROR(VLOOKUP(U776,Fixtures!DM$93:DR$142,6,FALSE),"")</f>
        <v/>
      </c>
      <c r="GK776" s="1832"/>
      <c r="GM776" s="1692"/>
      <c r="GN776" s="1684"/>
      <c r="GP776" s="1684"/>
      <c r="GQ776" s="1684"/>
      <c r="HG776" s="1684"/>
      <c r="HH776" s="1684"/>
      <c r="HI776" s="1684"/>
      <c r="HJ776" s="1684"/>
      <c r="HK776" s="1684"/>
      <c r="HL776" s="1684"/>
      <c r="HM776" s="1684"/>
      <c r="HN776" s="1683"/>
      <c r="HO776" s="1692"/>
      <c r="HP776" s="1692"/>
      <c r="HQ776" s="1670"/>
      <c r="HR776" s="1684"/>
      <c r="HS776" s="1684"/>
      <c r="HT776" s="1670"/>
      <c r="HU776" s="1684"/>
      <c r="HV776" s="1684"/>
      <c r="HW776" s="1684"/>
      <c r="HX776" s="1684"/>
      <c r="HY776" s="1684"/>
      <c r="HZ776" s="1684"/>
      <c r="IB776" s="1692"/>
      <c r="IC776" s="1693" t="b">
        <f>IB774</f>
        <v>0</v>
      </c>
      <c r="ID776" s="1695"/>
      <c r="IE776" s="391"/>
      <c r="IF776" s="1688"/>
      <c r="IG776" s="1689">
        <f ca="1">IF(IF774=TRUE,AC777,0)</f>
        <v>0</v>
      </c>
      <c r="IH776" s="1684"/>
      <c r="IK776" s="1689" t="e">
        <f>ROUND(T776*AB777*N775*R775/1000,0)</f>
        <v>#VALUE!</v>
      </c>
      <c r="IL776" s="1691"/>
      <c r="IM776" s="1693" t="e">
        <f>ROUND(T776*AB777*N775*R775/1000,0)</f>
        <v>#VALUE!</v>
      </c>
      <c r="IN776" s="1691"/>
      <c r="IP776" s="1679"/>
      <c r="IQ776" s="1679" t="e">
        <f t="shared" ref="IQ776:IU776" si="717">IF($CR776="interior",VLOOKUP($CS776,_New_Control_Savings_Interior,IQ$30,FALSE),VLOOKUP($CS776,Control_Savings_Exterior,IQ$30,FALSE))</f>
        <v>#N/A</v>
      </c>
      <c r="IR776" s="1679" t="e">
        <f t="shared" si="717"/>
        <v>#N/A</v>
      </c>
      <c r="IS776" s="1679" t="e">
        <f t="shared" si="717"/>
        <v>#N/A</v>
      </c>
      <c r="IT776" s="1679" t="e">
        <f t="shared" si="717"/>
        <v>#N/A</v>
      </c>
      <c r="IU776" s="1679" t="e">
        <f t="shared" si="717"/>
        <v>#N/A</v>
      </c>
      <c r="IV776" s="1679" t="e">
        <f>IF($CR776="interior",IF(R775&gt;$IP$14,ROUND(($IV$18*($IP$14/R775)),2),$IV$18),VLOOKUP($CS776,Control_Savings_Exterior,IV$30,FALSE))</f>
        <v>#N/A</v>
      </c>
      <c r="IW776" s="1679" t="e">
        <f>IF($CR776="interior",ROUND(((1-IS776)*IV776)+IS776,2),VLOOKUP($CS776,Control_Savings_Exterior,IW$30,FALSE))</f>
        <v>#N/A</v>
      </c>
      <c r="IX776" s="1679" t="e">
        <f>IF($CR776="interior",ROUND(((1-IT776)*IV776)+IT776,2),VLOOKUP($CS776,Control_Savings_Exterior,IX$30,FALSE))</f>
        <v>#N/A</v>
      </c>
      <c r="IY776" s="1679" t="e">
        <f>IF($CR776="interior",IF(R775&gt;$IP$14,ROUND(($IY$18*($IP$14/R775)),2),$IY$18),VLOOKUP($CS776,Control_Savings_Exterior,IY$30,FALSE))</f>
        <v>#N/A</v>
      </c>
      <c r="IZ776" s="1679" t="e">
        <f>IF($CR776="interior",ROUND(((1-IS776)*IY776)+IS776,2),VLOOKUP($CS776,Control_Savings_Exterior,IZ$30,FALSE))</f>
        <v>#N/A</v>
      </c>
      <c r="JA776" s="1679" t="e">
        <f>IF($CR776="interior",ROUND(((1-IT776)*IY776)+IT776,2),VLOOKUP($CS776,Control_Savings_Exterior,JA$30,FALSE))</f>
        <v>#N/A</v>
      </c>
      <c r="JC776" s="1680">
        <f>IFERROR(IF(CR776="Interior",CONCATENATE(G777," ",FQ776),AG776),"")</f>
        <v>0</v>
      </c>
      <c r="JD776" s="1670" t="str">
        <f>IFERROR(VLOOKUP(JC776,_Controls_2023,2,FALSE),"")</f>
        <v/>
      </c>
      <c r="JE776" s="1681">
        <f>IFERROR(CHOOSE(JD776-1,IQ776,IR776,IS776,IT776,IU776,IV776,IW776,IX776,IY776,IZ776,JA776),0)</f>
        <v>0</v>
      </c>
      <c r="JG776" s="1680" t="str">
        <f>FE776</f>
        <v xml:space="preserve"> - </v>
      </c>
      <c r="JH776" s="1670" t="e">
        <f>$FO776</f>
        <v>#N/A</v>
      </c>
      <c r="JI776" s="1060"/>
      <c r="JJ776" s="1670">
        <f>IFERROR(IF($IB774=TRUE,IF(OR(JJ$14="No",JJ774=FALSE,JH776&lt;=JH774,AND(_kWh_Grant=0,GD774=FALSE)),0,IF(JJ$8="Per Line",1,$AF776)),0),0)</f>
        <v>0</v>
      </c>
      <c r="JK776" s="1061"/>
      <c r="JL776" s="1670">
        <f>IFERROR(IF(_kWh_Grant=0,0,IF($IB774=TRUE,IF(OR(JL$14="No",JL774=FALSE,JH776&lt;=JH774),0,IF(JL$8="Per Line",1,$T776)),0)),0)</f>
        <v>0</v>
      </c>
      <c r="JM776" s="1061"/>
      <c r="JN776" s="1670">
        <f>IFERROR(IF(_kWh_Grant=0,0,IF($IB774=TRUE,IF(OR(JN$14="No",JN774=FALSE,JH776&lt;=JH774),0,IF(JN$8="Per Line",1,$AF776)),0)),0)</f>
        <v>0</v>
      </c>
      <c r="JO776" s="1061"/>
      <c r="JP776" s="1670">
        <f>IFERROR(IF(__Retrofit_TI_NC=0,IF(_kWh_Grant=0,0,IF($IB774=TRUE,IF(OR(JP$14="No",JP774=FALSE,$JH776&lt;=$JH774),0,IF(JP$8="Per Line",1,$AF776)),0)),IF($IB774=TRUE,IF(OR(JP$14="No",JP774=FALSE,$JH776&lt;=$JH774),0,IF(JP$8="Per Line",1,$AF776)))),0)</f>
        <v>0</v>
      </c>
      <c r="JQ776" s="1061"/>
      <c r="JR776" s="1670">
        <f>IFERROR(IF(__Retrofit_TI_NC=0,IF(_kWh_Grant=0,0,IF($IB774=TRUE,IF(OR(JR$14="No",JR774=FALSE,$JH776&lt;=$JH774),0,IF(JR$8="Per Line",1,$AF776)),0)),IF($IB774=TRUE,IF(OR(JR$14="No",JR774=FALSE,$JH776&lt;=$JH774),0,IF(JR$8="Per Line",1,$AF776)))),0)</f>
        <v>0</v>
      </c>
      <c r="JS776" s="1061"/>
      <c r="JT776" s="1670">
        <f>IFERROR(IF(__Retrofit_TI_NC=0,IF(_kWh_Grant=0,0,IF($IB774=TRUE,IF(OR(JT$14="No",JT774=FALSE,$JH776&lt;=$JH774),0,IF(JT$8="Per Line",1,$AF776)),0)),IF($IB774=TRUE,IF(OR(JT$14="No",JT774=FALSE,$JH776&lt;=$JH774),0,IF(JT$8="Per Line",1,$AF776)))),0)</f>
        <v>0</v>
      </c>
      <c r="JU776" s="1061"/>
      <c r="JV776" s="1670">
        <f>IFERROR(IF(__Retrofit_TI_NC=0,IF(_kWh_Grant=0,0,IF($IB774=TRUE,IF(OR(JV$14="No",JV774=FALSE,$JH776&lt;=$JH774),0,IF(JV$8="Per Line",1,$AF776)),0)),IF($IB774=TRUE,IF(OR(JV$14="No",JV774=FALSE,$JH776&lt;=$JH774),0,IF(JV$8="Per Line",1,$AF776)))),0)</f>
        <v>0</v>
      </c>
      <c r="JX776" s="1670">
        <f>IFERROR(IF(__Retrofit_TI_NC=0,IF(_kWh_Grant=0,0,IF($IB774=TRUE,IF(OR(JX$14="No",JX774=FALSE,$JH776&lt;=$JH774),0,IF(JX$8="Per Line",1,$AF776)),0)),IF($IB774=TRUE,IF(OR(JX$14="No",JX774=FALSE,$JH776&lt;=$JH774),0,IF(JX$8="Per Line",1,$AF776)))),0)</f>
        <v>0</v>
      </c>
      <c r="JZ776" s="1670">
        <f>IFERROR(IF($IB774=TRUE,IF(OR(JZ$14="No",JZ774=FALSE,$JH776&lt;=$JH774,AND(_kWh_Grant=0,$GD774=FALSE)),0,IF(JZ$8="Per Line",1,$AF776)),0),0)</f>
        <v>0</v>
      </c>
      <c r="KB776" s="1670">
        <f>IFERROR(IF(__Retrofit_TI_NC=0,IF(_kWh_Grant=0,0,IF($IB774=TRUE,IF(OR(KB$14="No",KB774=FALSE,$JH776&lt;=$JH774),0,IF(KB$8="Per Line",1,$AF776)),0)),IF($IB774=TRUE,IF(OR(KB$14="No",KB774=FALSE,$JH776&lt;=$JH774),0,IF(KB$8="Per Line",1,$AF776)))),0)</f>
        <v>0</v>
      </c>
    </row>
    <row r="777" spans="1:288" s="78" customFormat="1" ht="14.95" customHeight="1" thickTop="1" thickBot="1">
      <c r="B777" s="1845"/>
      <c r="C777" s="1846"/>
      <c r="D777" s="1847"/>
      <c r="E777" s="1771" t="s">
        <v>436</v>
      </c>
      <c r="F777" s="1772"/>
      <c r="G777" s="1784" t="s">
        <v>437</v>
      </c>
      <c r="H777" s="1785"/>
      <c r="I777" s="1785"/>
      <c r="J777" s="1785"/>
      <c r="K777" s="1785"/>
      <c r="L777" s="1786"/>
      <c r="M777" s="591">
        <f>IFERROR(VLOOKUP(G777,_Daylight_Table[],2,FALSE),0)</f>
        <v>0</v>
      </c>
      <c r="N777" s="592" t="str">
        <f>IF(AND(__Retrofit_TI_NC&gt;0,CQ774="Interior"),"BAM","")</f>
        <v/>
      </c>
      <c r="O777" s="591" t="e">
        <f>VLOOKUP(G776,'Space Table'!$B$3:$L$163,11,FALSE)</f>
        <v>#N/A</v>
      </c>
      <c r="P777" s="1789"/>
      <c r="Q777" s="1790"/>
      <c r="R777" s="1790"/>
      <c r="S777" s="1788"/>
      <c r="T777" s="593" t="s">
        <v>342</v>
      </c>
      <c r="U777" s="1756" t="str" cm="1">
        <f t="array" aca="1" ref="U777" ca="1">IFERROR(VLOOKUP(INDIRECT("U" &amp; ROW()-1),Fixtures!DM$93:DP$142,4,FALSE),"")</f>
        <v/>
      </c>
      <c r="V777" s="1757"/>
      <c r="W777" s="1757"/>
      <c r="X777" s="1757"/>
      <c r="Y777" s="1757"/>
      <c r="Z777" s="1757"/>
      <c r="AA777" s="1758"/>
      <c r="AB777" s="939" t="str">
        <f>IFERROR(VLOOKUP(U776,Fixtures_Proposed_List,2,FALSE),"")</f>
        <v/>
      </c>
      <c r="AC777" s="933" t="str">
        <f>IFERROR(ROUND(T776*AB777*N775*R775/1000,0),"")</f>
        <v/>
      </c>
      <c r="AD777" s="934" t="str">
        <f>IFERROR(ROUND(T776*AB777/1000,2),"")</f>
        <v/>
      </c>
      <c r="AE777" s="998"/>
      <c r="AF777" s="938" t="s">
        <v>342</v>
      </c>
      <c r="AG777" s="1770"/>
      <c r="AH777" s="1770"/>
      <c r="AI777" s="1770"/>
      <c r="AJ777" s="1770"/>
      <c r="AK777" s="1770"/>
      <c r="AL777" s="1770"/>
      <c r="AM777" s="1727"/>
      <c r="AN777" s="1729"/>
      <c r="AO777" s="1731"/>
      <c r="AP777" s="1782"/>
      <c r="AQ777" s="1783"/>
      <c r="AR777" s="1797"/>
      <c r="AS777" s="1797"/>
      <c r="AT777" s="1798"/>
      <c r="AU777" s="1736"/>
      <c r="AV777" s="1753"/>
      <c r="AW777" s="1706"/>
      <c r="AX777" s="468"/>
      <c r="AY777" s="1750"/>
      <c r="AZ777" s="1750"/>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696"/>
      <c r="CQ777" s="1696"/>
      <c r="CR777" s="1809"/>
      <c r="CS777" s="1811"/>
      <c r="CU777" s="1688"/>
      <c r="CV777" s="1703"/>
      <c r="CW777" s="1703"/>
      <c r="CX777" s="1813"/>
      <c r="CY777" s="1815"/>
      <c r="CZ777" s="1711"/>
      <c r="DA777" s="1815"/>
      <c r="DB777" s="1821"/>
      <c r="DC777" s="1821"/>
      <c r="DD777" s="1821"/>
      <c r="DF777" s="1703"/>
      <c r="DG777" s="1831"/>
      <c r="DH777" s="1813"/>
      <c r="DI777" s="1838"/>
      <c r="DJ777" s="1711"/>
      <c r="DK777" s="1712"/>
      <c r="DN777" s="1718"/>
      <c r="DO777" s="1709"/>
      <c r="DQ777" s="1715"/>
      <c r="DR777" s="1720"/>
      <c r="DS777" s="1703"/>
      <c r="DT777" s="1714"/>
      <c r="DU777" s="1715"/>
      <c r="DV777" s="1716"/>
      <c r="DX777" s="1715"/>
      <c r="DY777" s="1720"/>
      <c r="DZ777" s="1715"/>
      <c r="EA777" s="1715"/>
      <c r="EC777" s="1834"/>
      <c r="ED777" s="1834"/>
      <c r="EF777" s="1707"/>
      <c r="EG777" s="1712"/>
      <c r="EH777" s="1815"/>
      <c r="EI777" s="1712"/>
      <c r="EJ777" s="1712"/>
      <c r="EK777" s="1813"/>
      <c r="EL777" s="1813"/>
      <c r="EM777" s="1807"/>
      <c r="EN777" s="1839"/>
      <c r="EO777" s="1839"/>
      <c r="EP777" s="1817"/>
      <c r="EQ777" s="1817"/>
      <c r="ER777" s="1807"/>
      <c r="ES777" s="1807"/>
      <c r="ET777" s="1807"/>
      <c r="EV777" s="1715"/>
      <c r="EX777" s="1806"/>
      <c r="EY777" s="1806"/>
      <c r="EZ777" s="1806"/>
      <c r="FA777" s="1806"/>
      <c r="FB777" s="1806"/>
      <c r="FC777" s="1828"/>
      <c r="FE777" s="1698"/>
      <c r="FG777" s="1703"/>
      <c r="FH777" s="1703"/>
      <c r="FI777" s="133"/>
      <c r="FL777" s="1823"/>
      <c r="FM777" s="1825"/>
      <c r="FN777" s="1698"/>
      <c r="FO777" s="1698"/>
      <c r="FP777" s="1678"/>
      <c r="FQ777" s="1698"/>
      <c r="FS777" s="1687"/>
      <c r="FT777" s="1687"/>
      <c r="FU777" s="1685"/>
      <c r="FV777" s="1687"/>
      <c r="FW777" s="1687"/>
      <c r="FX777" s="1687"/>
      <c r="FY777" s="1697"/>
      <c r="GA777" s="1696"/>
      <c r="GB777" s="1696"/>
      <c r="GC777" s="1696"/>
      <c r="GD777" s="1696"/>
      <c r="GE777" s="1696"/>
      <c r="GF777" s="1696"/>
      <c r="GG777" s="1696"/>
      <c r="GH777" s="1696"/>
      <c r="GI777" s="673"/>
      <c r="GJ777" s="1135"/>
      <c r="GK777" s="1832"/>
      <c r="GN777" s="674">
        <f>IF(GN775=TRUE,0,GN$16)</f>
        <v>0</v>
      </c>
      <c r="GP777" s="674">
        <f>IF(GP775=TRUE,0,GP$16)</f>
        <v>36</v>
      </c>
      <c r="GQ777" s="674">
        <f ca="1">IF(GQ775=TRUE,0,GQ$16)</f>
        <v>35</v>
      </c>
      <c r="GR777" s="391"/>
      <c r="GS777" s="391"/>
      <c r="GT777" s="391"/>
      <c r="GU777" s="391"/>
      <c r="GV777" s="391"/>
      <c r="HG777" s="674">
        <f>IF(HG775=TRUE,0,HG$16)</f>
        <v>0</v>
      </c>
      <c r="HH777" s="674">
        <f t="shared" ref="HH777:HM777" si="718">IF(HH775=TRUE,0,HH$16)</f>
        <v>19</v>
      </c>
      <c r="HI777" s="674">
        <f t="shared" si="718"/>
        <v>18</v>
      </c>
      <c r="HJ777" s="674">
        <f t="shared" si="718"/>
        <v>17</v>
      </c>
      <c r="HK777" s="674">
        <f t="shared" si="718"/>
        <v>16</v>
      </c>
      <c r="HL777" s="674">
        <f t="shared" si="718"/>
        <v>0</v>
      </c>
      <c r="HM777" s="674">
        <f t="shared" si="718"/>
        <v>0</v>
      </c>
      <c r="HN777" s="674">
        <f>IF(HN775=TRUE,0,HN$16)</f>
        <v>13</v>
      </c>
      <c r="HO777" s="674">
        <f t="shared" ref="HO777:HQ777" si="719">IF(HO775=TRUE,0,HO$16)</f>
        <v>0</v>
      </c>
      <c r="HP777" s="674">
        <f t="shared" si="719"/>
        <v>0</v>
      </c>
      <c r="HQ777" s="674">
        <f t="shared" si="719"/>
        <v>10</v>
      </c>
      <c r="HR777" s="674">
        <f>IF(HR775=TRUE,0,HR$16)</f>
        <v>9</v>
      </c>
      <c r="HS777" s="674">
        <f t="shared" ref="HS777:HW777" si="720">IF(HS775=TRUE,0,HS$16)</f>
        <v>0</v>
      </c>
      <c r="HT777" s="674">
        <f t="shared" si="720"/>
        <v>0</v>
      </c>
      <c r="HU777" s="674">
        <f t="shared" si="720"/>
        <v>0</v>
      </c>
      <c r="HV777" s="674">
        <f t="shared" si="720"/>
        <v>0</v>
      </c>
      <c r="HW777" s="674">
        <f t="shared" si="720"/>
        <v>0</v>
      </c>
      <c r="HX777" s="674">
        <f>IF(HX775=TRUE,0,HX$16)</f>
        <v>0</v>
      </c>
      <c r="HY777" s="674">
        <f>IF(HY775=TRUE,0,HY$16)</f>
        <v>0</v>
      </c>
      <c r="HZ777" s="674">
        <f>IF(HZ775=TRUE,0,HZ$16)</f>
        <v>1</v>
      </c>
      <c r="IB777" s="674">
        <f>IF(GP775=FALSE,GP777,IF(GQ775=FALSE,GQ777,MAX(GN777:HZ777)))</f>
        <v>36</v>
      </c>
      <c r="IC777" s="1692"/>
      <c r="ID777" s="205" t="str">
        <f>VLOOKUP(IB777,_Error_Table,3,FALSE)</f>
        <v xml:space="preserve"> </v>
      </c>
      <c r="IE777" s="205"/>
      <c r="IF777" s="1688"/>
      <c r="IG777" s="1689"/>
      <c r="IH777" s="1684"/>
      <c r="IK777" s="1689"/>
      <c r="IL777" s="1692"/>
      <c r="IM777" s="1692"/>
      <c r="IN777" s="1692"/>
      <c r="IP777" s="1679"/>
      <c r="IQ777" s="1679"/>
      <c r="IR777" s="1679"/>
      <c r="IS777" s="1679"/>
      <c r="IT777" s="1679"/>
      <c r="IU777" s="1679"/>
      <c r="IV777" s="1679"/>
      <c r="IW777" s="1679"/>
      <c r="IX777" s="1679"/>
      <c r="IY777" s="1679"/>
      <c r="IZ777" s="1679"/>
      <c r="JA777" s="1679"/>
      <c r="JC777" s="1680"/>
      <c r="JD777" s="1670"/>
      <c r="JE777" s="1681"/>
      <c r="JG777" s="1680"/>
      <c r="JH777" s="1670"/>
      <c r="JI777" s="1060"/>
      <c r="JJ777" s="1670"/>
      <c r="JK777" s="1061"/>
      <c r="JL777" s="1670"/>
      <c r="JM777" s="1061"/>
      <c r="JN777" s="1670"/>
      <c r="JO777" s="1061"/>
      <c r="JP777" s="1670"/>
      <c r="JQ777" s="1061"/>
      <c r="JR777" s="1670"/>
      <c r="JS777" s="1061"/>
      <c r="JT777" s="1670"/>
      <c r="JU777" s="1061"/>
      <c r="JV777" s="1670"/>
      <c r="JX777" s="1670"/>
      <c r="JZ777" s="1670"/>
      <c r="KB777" s="1670"/>
    </row>
    <row r="778" spans="1:288" s="78" customFormat="1" ht="5.0999999999999996" customHeight="1">
      <c r="B778" s="676"/>
      <c r="C778" s="392"/>
      <c r="D778" s="392"/>
      <c r="E778" s="1733"/>
      <c r="F778" s="1733"/>
      <c r="G778" s="1733"/>
      <c r="H778" s="1733"/>
      <c r="I778" s="1733"/>
      <c r="J778" s="1733"/>
      <c r="K778" s="1733"/>
      <c r="L778" s="1733"/>
      <c r="M778" s="1733"/>
      <c r="N778" s="1733"/>
      <c r="O778" s="1733"/>
      <c r="P778" s="1733"/>
      <c r="Q778" s="1733"/>
      <c r="R778" s="1733"/>
      <c r="S778" s="1733"/>
      <c r="T778" s="1733"/>
      <c r="U778" s="1733"/>
      <c r="V778" s="1733"/>
      <c r="W778" s="1733"/>
      <c r="X778" s="1733"/>
      <c r="Y778" s="1733"/>
      <c r="Z778" s="1733"/>
      <c r="AA778" s="1733"/>
      <c r="AB778" s="1733"/>
      <c r="AC778" s="1733"/>
      <c r="AD778" s="1733"/>
      <c r="AE778" s="1733"/>
      <c r="AF778" s="1733"/>
      <c r="AG778" s="1733"/>
      <c r="AH778" s="1733"/>
      <c r="AI778" s="1733"/>
      <c r="AJ778" s="1733"/>
      <c r="AK778" s="1733"/>
      <c r="AL778" s="1733"/>
      <c r="AM778" s="1733"/>
      <c r="AN778" s="1733"/>
      <c r="AO778" s="1733"/>
      <c r="AP778" s="1733"/>
      <c r="AQ778" s="1733"/>
      <c r="AR778" s="1733"/>
      <c r="AS778" s="1733"/>
      <c r="AT778" s="1733"/>
      <c r="AU778" s="1733"/>
      <c r="AV778" s="1733"/>
      <c r="AW778" s="1733"/>
      <c r="AX778" s="469"/>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663"/>
      <c r="CQ778" s="663"/>
      <c r="CR778" s="438"/>
      <c r="CS778" s="663"/>
      <c r="CV778" s="391"/>
      <c r="CW778" s="391"/>
      <c r="CX778" s="207"/>
      <c r="CY778" s="208"/>
      <c r="CZ778" s="208"/>
      <c r="DA778" s="208"/>
      <c r="DB778" s="209"/>
      <c r="DC778" s="209"/>
      <c r="DD778" s="209"/>
      <c r="DF778" s="664"/>
      <c r="DG778" s="665"/>
      <c r="DH778" s="666"/>
      <c r="DI778" s="667"/>
      <c r="DJ778" s="668"/>
      <c r="DK778" s="668"/>
      <c r="DN778" s="208"/>
      <c r="DO778" s="664"/>
      <c r="DQ778" s="664"/>
      <c r="DR778" s="669"/>
      <c r="DS778" s="391"/>
      <c r="DT778" s="664"/>
      <c r="DU778" s="664"/>
      <c r="DV778" s="664"/>
      <c r="DX778" s="664"/>
      <c r="DY778" s="664"/>
      <c r="DZ778" s="664"/>
      <c r="EA778" s="664"/>
      <c r="EC778" s="670"/>
      <c r="ED778" s="670"/>
      <c r="EF778" s="668"/>
      <c r="EG778" s="668"/>
      <c r="EH778" s="208"/>
      <c r="EI778" s="668"/>
      <c r="EJ778" s="668"/>
      <c r="EK778" s="207"/>
      <c r="EL778" s="207"/>
      <c r="EM778" s="666"/>
      <c r="EN778" s="671"/>
      <c r="EO778" s="671"/>
      <c r="EP778" s="672"/>
      <c r="EQ778" s="672"/>
      <c r="ER778" s="666"/>
      <c r="ES778" s="666"/>
      <c r="ET778" s="666"/>
      <c r="EV778" s="664"/>
      <c r="EX778" s="391"/>
      <c r="EY778" s="391"/>
      <c r="EZ778" s="391"/>
      <c r="FA778" s="391"/>
      <c r="FB778" s="391"/>
      <c r="FC778" s="391"/>
      <c r="FE778" s="569"/>
      <c r="FG778" s="391"/>
      <c r="FH778" s="391"/>
      <c r="FI778" s="391"/>
      <c r="FS778" s="664"/>
      <c r="FT778" s="391"/>
      <c r="FU778" s="391"/>
      <c r="FV778" s="664"/>
      <c r="FW778" s="664"/>
      <c r="GA778" s="663"/>
      <c r="GB778" s="663"/>
      <c r="GC778" s="663"/>
      <c r="GD778" s="663"/>
      <c r="GE778" s="663"/>
      <c r="GF778" s="663"/>
      <c r="GG778" s="663"/>
      <c r="GH778" s="663"/>
      <c r="GI778" s="665"/>
      <c r="GJ778" s="664"/>
      <c r="GK778" s="664"/>
    </row>
    <row r="779" spans="1:288" s="78" customFormat="1" ht="14.95" customHeight="1">
      <c r="B779" s="1845" t="str">
        <f>ID782</f>
        <v xml:space="preserve"> </v>
      </c>
      <c r="C779" s="1846">
        <f>C774+1</f>
        <v>142</v>
      </c>
      <c r="D779" s="1847"/>
      <c r="E779" s="1799" t="s">
        <v>295</v>
      </c>
      <c r="F779" s="1800"/>
      <c r="G779" s="1741"/>
      <c r="H779" s="1742"/>
      <c r="I779" s="1742"/>
      <c r="J779" s="1742"/>
      <c r="K779" s="1742"/>
      <c r="L779" s="1742"/>
      <c r="M779" s="1742"/>
      <c r="N779" s="1742"/>
      <c r="O779" s="1742"/>
      <c r="P779" s="1742"/>
      <c r="Q779" s="1742"/>
      <c r="R779" s="1742"/>
      <c r="S779" s="1791" t="s">
        <v>344</v>
      </c>
      <c r="T779" s="590"/>
      <c r="U779" s="1743"/>
      <c r="V779" s="1744"/>
      <c r="W779" s="1744"/>
      <c r="X779" s="1744"/>
      <c r="Y779" s="1744"/>
      <c r="Z779" s="1744"/>
      <c r="AA779" s="1744"/>
      <c r="AB779" s="961" t="str">
        <f>IFERROR(IF(__Retrofit_TI_NC=0,VLOOKUP(U780,Fixtures_Existing_List,2,FALSE),ROUND(N781*R781/T781,10)),"")</f>
        <v/>
      </c>
      <c r="AC779" s="935" t="str">
        <f>IFERROR(IF(__Retrofit_TI_NC=0,ROUND(T780*AB779*N780*R780/1000,0),IF(CQ779="Interior",N781*R781*R780*N780*_C406_reduction/1000,N781*R781*R780*N780/1000)),"")</f>
        <v/>
      </c>
      <c r="AD779" s="936" t="str">
        <f>IFERROR(IF(C$43=0,ROUND(T780*AB779/1000,2),N781*R781/1000),"")</f>
        <v/>
      </c>
      <c r="AE779" s="997"/>
      <c r="AF779" s="937"/>
      <c r="AG779" s="1745" t="str">
        <f>IF(__Retrofit_TI_NC=0," Control","Select Advanced Control for New System")</f>
        <v xml:space="preserve"> Control</v>
      </c>
      <c r="AH779" s="1745"/>
      <c r="AI779" s="1745"/>
      <c r="AJ779" s="1745"/>
      <c r="AK779" s="1745"/>
      <c r="AL779" s="1745"/>
      <c r="AM779" s="1746">
        <f>IFERROR(DI779,"")</f>
        <v>0</v>
      </c>
      <c r="AN779" s="1774" t="str">
        <f>IFERROR(ROUND(AM779*AC779,0),"")</f>
        <v/>
      </c>
      <c r="AO779" s="1776">
        <f>IFERROR(IF(IB779=FALSE,0,AC779-AN779),0)</f>
        <v>0</v>
      </c>
      <c r="AP779" s="1778">
        <f>AO779-AO781</f>
        <v>0</v>
      </c>
      <c r="AQ779" s="1779"/>
      <c r="AR779" s="1793">
        <f>IFERROR(IF(IB779=FALSE,0,(T781*U782)+(AF781*AG782)),0)</f>
        <v>0</v>
      </c>
      <c r="AS779" s="1793"/>
      <c r="AT779" s="1794"/>
      <c r="AU779" s="1734" t="s">
        <v>237</v>
      </c>
      <c r="AV779" s="1751">
        <f>IF(AU779="Yes",1,0)</f>
        <v>1</v>
      </c>
      <c r="AW779" s="1704" t="str">
        <f>IF(OR(DQ779=4,DQ779=5,DQ779=6,DQ779=12),CONCATENATE("$",IF(GH779=TRUE,Lookup!$K$10,Lookup!$K$2)," /lamp"),CONCATENATE(TEXT(ED779,"$0.00"),"/ kWh"))</f>
        <v>$0.00/ kWh</v>
      </c>
      <c r="AX779" s="467"/>
      <c r="AY779" s="1748">
        <f ca="1">IFERROR(IF(GM780=TRUE,(AB782*T781)/R781,0),"NA")</f>
        <v>0</v>
      </c>
      <c r="AZ779" s="1748"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696" t="str">
        <f>N780</f>
        <v/>
      </c>
      <c r="CQ779" s="1696" t="str">
        <f>IFERROR(VLOOKUP(G780,_Lookup_Heat_Type_Table_New,3,FALSE),"")</f>
        <v/>
      </c>
      <c r="CR779" s="1808" t="str">
        <f>CQ779</f>
        <v/>
      </c>
      <c r="CS779" s="1810" t="str">
        <f>IFERROR(VLOOKUP(G781,'Space Table'!$B$3:$L$163,9,FALSE),"")</f>
        <v/>
      </c>
      <c r="CU779" s="1688" t="s">
        <v>344</v>
      </c>
      <c r="CV779" s="1702">
        <f>IF(IB779=TRUE,T780,0)</f>
        <v>0</v>
      </c>
      <c r="CW779" s="1702" t="str">
        <f>IF(IB779=TRUE,U780,"")</f>
        <v/>
      </c>
      <c r="CX779" s="1702"/>
      <c r="CY779" s="1814">
        <f>IF(IB779=TRUE,AB779,0)</f>
        <v>0</v>
      </c>
      <c r="CZ779" s="1710">
        <f>IF(AND(__Retrofit_TI_NC&gt;0,CR779="interior"),0,IF(IB779=TRUE,AC779,0))</f>
        <v>0</v>
      </c>
      <c r="DA779" s="1814">
        <f>IFERROR(IF(IB779=TRUE,CZ779-CZ781,0),0)</f>
        <v>0</v>
      </c>
      <c r="DB779" s="1819">
        <f>IF(IB779=TRUE,AD779,0)</f>
        <v>0</v>
      </c>
      <c r="DC779" s="1819">
        <f>IF(IB779=TRUE,AD782,0)</f>
        <v>0</v>
      </c>
      <c r="DD779" s="1819">
        <f>IFERROR(DB779-DC779,0)</f>
        <v>0</v>
      </c>
      <c r="DF779" s="1702">
        <f>IF(IB779=TRUE,AF780,0)</f>
        <v>0</v>
      </c>
      <c r="DG779" s="1830">
        <f>IFERROR(IF(__Retrofit_TI_NC=2,IF(CQ779="Exterior",O782,FQ779),FN779),"")</f>
        <v>0</v>
      </c>
      <c r="DH779" s="1702"/>
      <c r="DI779" s="1837">
        <f>JE779</f>
        <v>0</v>
      </c>
      <c r="DJ779" s="1710">
        <f>IF(AND(__Retrofit_TI_NC&gt;0,CR779="interior"),0,IF(IB779=TRUE,AN779,0))</f>
        <v>0</v>
      </c>
      <c r="DK779" s="1712">
        <f>IFERROR(IF(IB779=TRUE,DJ781-DJ779,0),0)</f>
        <v>0</v>
      </c>
      <c r="DM779" s="1717">
        <f>IFERROR(CZ779-DJ779,0)</f>
        <v>0</v>
      </c>
      <c r="DO779" s="1708">
        <f>DM779-DN781</f>
        <v>0</v>
      </c>
      <c r="DQ779" s="1715" t="str">
        <f>IFERROR(IF(AND(OR(GC779=4,GC779=5,GC779=6),OR(GF779=4,GF779=5,GF779=6)),GC779+8,VLOOKUP(CW781,Fixtures!R$31:Y$78,8,FALSE)),"")</f>
        <v/>
      </c>
      <c r="DR779" s="1829" t="str">
        <f>DQ779</f>
        <v/>
      </c>
      <c r="DS779" s="1702" t="str">
        <f>IFERROR(VLOOKUP(DG781,Lookup!BB$3:BC$20,2,FALSE),"")</f>
        <v/>
      </c>
      <c r="DT779" s="1713" t="str">
        <f>IF(OR(DS779=7,DS779=8,DS779=9),"ALC","")</f>
        <v/>
      </c>
      <c r="DU779" s="1715">
        <f>IFERROR(IF(OR(DQ779=4,DQ779=5,DQ779=6,DQ779=12,DQ779=13,DQ779=14),VLOOKUP(CW781,Fixtures!DN$27:EG$77,19,FALSE),1)*CV781,0)</f>
        <v>0</v>
      </c>
      <c r="DV779" s="1716">
        <f>IF(OR(DS779=7,DS779=8,DS779=9),IF(DG779=DG781,0,DF781),0)</f>
        <v>0</v>
      </c>
      <c r="DX779" s="1715" t="str">
        <f>IFERROR(IF(EZ779&lt;EZ781,"Yes","No"),"")</f>
        <v/>
      </c>
      <c r="DY779" s="1829" t="str">
        <f>DX779</f>
        <v/>
      </c>
      <c r="DZ779" s="1715">
        <f>IF(DX779="Yes",DF781,0)</f>
        <v>0</v>
      </c>
      <c r="EA779" s="1715">
        <f>DZ779-DV779</f>
        <v>0</v>
      </c>
      <c r="EC779" s="1834">
        <f>IFERROR(VLOOKUP(DQ779,Lookup!AU$3:AV$16,2,FALSE),0)</f>
        <v>0</v>
      </c>
      <c r="ED779" s="1834">
        <f>IF(IB779=FALSE,0,IF(DX779="Yes",EC779+Lookup!K$6,EC779))</f>
        <v>0</v>
      </c>
      <c r="EF779" s="1707">
        <f>IF(IB779=TRUE,DM779,0)</f>
        <v>0</v>
      </c>
      <c r="EG779" s="1712">
        <f>IF(IB779=TRUE,CZ781,0)</f>
        <v>0</v>
      </c>
      <c r="EH779" s="1814">
        <f>IFERROR(EF779-EG779,0)</f>
        <v>0</v>
      </c>
      <c r="EI779" s="1712">
        <f>IF(IB779=TRUE,DJ781,0)</f>
        <v>0</v>
      </c>
      <c r="EJ779" s="1712">
        <f>IFERROR(EF779-EG779+EI779,0)</f>
        <v>0</v>
      </c>
      <c r="EK779" s="1812">
        <f>IF(IB779=TRUE,CV781*CX781,0)</f>
        <v>0</v>
      </c>
      <c r="EL779" s="1812">
        <f>IF(IB779=TRUE,DF781*DH781,0)</f>
        <v>0</v>
      </c>
      <c r="EM779" s="1807">
        <f>AR779</f>
        <v>0</v>
      </c>
      <c r="EN779" s="1839" t="str">
        <f>IFERROR(IF(IB779=TRUE,VLOOKUP(DQ779,Lookup!AU$3:AW$16,3,FALSE)*DU779,""),0)</f>
        <v/>
      </c>
      <c r="EO779" s="1839">
        <f>IF(IB779=TRUE,DZ779*Lookup!AW$12,0)</f>
        <v>0</v>
      </c>
      <c r="EP779" s="1817">
        <f>IFERROR(IF(IB779=TRUE,EN779/EP$40,0),0)</f>
        <v>0</v>
      </c>
      <c r="EQ779" s="1817">
        <f>IF(IB779=TRUE,EO779/EQ$40,0)</f>
        <v>0</v>
      </c>
      <c r="ER779" s="1807">
        <f>IF(IB779=TRUE,ET$40*EP779,0)</f>
        <v>0</v>
      </c>
      <c r="ES779" s="1807">
        <f>IF(IB779=TRUE,ET$40*EQ779,0)</f>
        <v>0</v>
      </c>
      <c r="ET779" s="1807">
        <f>ER779+ES779</f>
        <v>0</v>
      </c>
      <c r="EV779" s="1715">
        <f>IF(G779="",0,1)</f>
        <v>0</v>
      </c>
      <c r="EX779" s="1804" t="str">
        <f>IFERROR(VLOOKUP(CS781,'Space Table'!$B$3:$L$163,8,FALSE),"")</f>
        <v/>
      </c>
      <c r="EY779" s="1804" t="str">
        <f>IFERROR(IF(FB779="Yes",VLOOKUP(DG779,Lookup_Control_Type_Table2,4,FALSE),VLOOKUP(DG779,Lookup_Control_Type_Table2,3,FALSE)),"")</f>
        <v/>
      </c>
      <c r="EZ779" s="1804" t="e">
        <f>VLOOKUP(DG779,Lookup!BB$3:BC$20,2,FALSE)</f>
        <v>#N/A</v>
      </c>
      <c r="FA779" s="1804" t="e">
        <f>VLOOKUP(EX779,Lookup_Control_Type_Table,2,FALSE)</f>
        <v>#N/A</v>
      </c>
      <c r="FB779" s="1804" t="e">
        <f>VLOOKUP(CS781,'Space Table'!$B$3:$L$163,7,FALSE)</f>
        <v>#N/A</v>
      </c>
      <c r="FC779" s="1826" t="b">
        <f>ISNUMBER(SEARCH("TLED",U781))</f>
        <v>0</v>
      </c>
      <c r="FE779" s="1698" t="str">
        <f>CONCATENATE(CQ779," - ",DG779)</f>
        <v xml:space="preserve"> - 0</v>
      </c>
      <c r="FG779" s="1702" t="str">
        <f>VLOOKUP(CW781,Fixtures!DN$27:EZ$77,38,FALSE)</f>
        <v/>
      </c>
      <c r="FH779" s="1702">
        <f>IFERROR(FG779*EH779,0)</f>
        <v>0</v>
      </c>
      <c r="FI779" s="133"/>
      <c r="FL779" s="1822" t="str">
        <f>IF(CQ779="Exterior","Not Daylighted",G782)</f>
        <v>Not Daylighted</v>
      </c>
      <c r="FM779" s="1824">
        <f>VLOOKUP(FL779,_New_Daylight_Table_Codes,2,FALSE)</f>
        <v>0</v>
      </c>
      <c r="FN779" s="1698">
        <f>IF(__Retrofit_TI_NC&gt;0,VLOOKUP(G781,'Space Table'!$B$3:$L$163,11,FALSE),AG780)</f>
        <v>0</v>
      </c>
      <c r="FO779" s="1698" t="e">
        <f>IF(__Retrofit_TI_NC=2,VLOOKUP(FQ779,_Control_Table,2,FALSE),VLOOKUP(FN779,_Control_Table,2,FALSE))</f>
        <v>#N/A</v>
      </c>
      <c r="FP779" s="1678" t="e">
        <f>VLOOKUP(CONCATENATE(FL779," ",FN779),Lookup!AY$102:AZ789,2,FALSE)</f>
        <v>#N/A</v>
      </c>
      <c r="FQ779" s="1678">
        <f>IF(__Retrofit_TI_NC=0,FN779,IF(AND(FT779&gt;0,FN779="Occupancy Sensor"),"Daylight + Occupancy",IF(AND(FT779&gt;0,VLOOKUP(FN779,_Control_Table,2,FALSE)&lt;4),"Interior Daylight Dimming",FN779)))</f>
        <v>0</v>
      </c>
      <c r="FS779" s="1686">
        <f>IF(CR779="Interior",VLOOKUP(CS779,Control_Savings_Interior,5,FALSE),0)</f>
        <v>0</v>
      </c>
      <c r="FT779" s="1687">
        <f>IF(CQ779="Exterior",0,IF(FM779=2,0.5,IF(OR(FM779=1,FM779=3),1,0)))</f>
        <v>0</v>
      </c>
      <c r="FU779" s="1685">
        <f>IF(R778&gt;FS$44,(FS779*(FS$44/R778)),FS779)*FT779</f>
        <v>0</v>
      </c>
      <c r="FV779" s="1686">
        <f>DI779</f>
        <v>0</v>
      </c>
      <c r="FW779" s="1686">
        <f>ROUND(FV779+((1-FV779)*FU779),2)</f>
        <v>0</v>
      </c>
      <c r="FX779" s="1686">
        <f>IF(__Retrofit_TI_NC=2,FW779,FV779)</f>
        <v>0</v>
      </c>
      <c r="FY779" s="1697"/>
      <c r="GA779" s="1696" t="str">
        <f>IFERROR(VLOOKUP(U780,_Exist_Fixture_Table,3,FALSE),"")</f>
        <v/>
      </c>
      <c r="GB779" s="1696" t="str">
        <f>VLOOKUP(CW779,_Exist_Fixture_Table,4,FALSE)</f>
        <v/>
      </c>
      <c r="GC779" s="1696">
        <f>IFERROR(VLOOKUP(GB779,Lookup!AT$6:AU$8,2,FALSE),0)</f>
        <v>0</v>
      </c>
      <c r="GD779" s="1696" t="b">
        <f>IFERROR(IF(OR(GF779=4,GF779=5,GF779=6),TRUE,FALSE),"")</f>
        <v>0</v>
      </c>
      <c r="GE779" s="1696" t="str">
        <f>IFERROR(VLOOKUP(GF779,GC$6:GD$10,2,FALSE),"")</f>
        <v/>
      </c>
      <c r="GF779" s="1696" t="str">
        <f>VLOOKUP(CW781,Fixtures!R$31:Y$78,8,FALSE)</f>
        <v/>
      </c>
      <c r="GG779" s="1696">
        <f>IF(AND(GA779=TRUE,GD779=TRUE,OR(DQ779=12,DQ779=13,DQ779=14)),GC779+8,0)</f>
        <v>0</v>
      </c>
      <c r="GH779" s="1696" t="b">
        <f>IF(OR(GG779=12,GG779=13,GG779=14),TRUE,FALSE)</f>
        <v>0</v>
      </c>
      <c r="GI779" s="673" t="b">
        <f>IF(ISNUMBER(SEARCH("TLED",U780)),TRUE,FALSE)</f>
        <v>0</v>
      </c>
      <c r="GJ779" s="1135" t="str">
        <f>IFERROR(VLOOKUP(U780,Fixtures!BM$93:BR$142,6,FALSE),"")</f>
        <v/>
      </c>
      <c r="GK779" s="1832" t="b">
        <f>IF(OR(GI779=FALSE,GI781=FALSE),TRUE,IF(GJ779-GJ781&lt;5,FALSE,TRUE))</f>
        <v>1</v>
      </c>
      <c r="GO779" s="674">
        <f>GP779</f>
        <v>0</v>
      </c>
      <c r="GP779" s="674">
        <f>IF(G779="",0,1)</f>
        <v>0</v>
      </c>
      <c r="GQ779" s="674">
        <f ca="1">SUM(GR779:HF779)</f>
        <v>2</v>
      </c>
      <c r="GR779" s="674">
        <f>IF(G780="",0,1)</f>
        <v>0</v>
      </c>
      <c r="GS779" s="674">
        <f>IF(N782="BAM",1,IF(G781="",0,1))</f>
        <v>0</v>
      </c>
      <c r="GT779" s="674">
        <f>IF(N782="BAM",1,IF(R780="",0,1))</f>
        <v>0</v>
      </c>
      <c r="GU779" s="674">
        <f>IF(N782="BAM",1,IF(__Retrofit_TI_NC=0,1,IF(R781="",0,1)))</f>
        <v>1</v>
      </c>
      <c r="GV779" s="674">
        <f>IF(N782="BAM",1,IF(CQ779="Exterior",1,IF(G782="",0,1)))</f>
        <v>1</v>
      </c>
      <c r="GW779" s="674">
        <f>IF(__Retrofit_TI_NC&gt;0,1,IF(T780="",0,1))</f>
        <v>0</v>
      </c>
      <c r="GX779" s="674">
        <f>IF(__Retrofit_TI_NC&gt;0,1,IF(U780="",0,1))</f>
        <v>0</v>
      </c>
      <c r="GY779" s="674">
        <f>IF(N782="BAM",1,IF(T781="",0,1))</f>
        <v>0</v>
      </c>
      <c r="GZ779" s="674">
        <f>IF(N782="BAM",1,IF(U781="",0,1))</f>
        <v>0</v>
      </c>
      <c r="HA779" s="674">
        <f ca="1">IF(N782="BAM",1,IF(__Retrofit_TI_NC&gt;0,1,IF(U782="",0,1)))</f>
        <v>0</v>
      </c>
      <c r="HB779" s="674">
        <f>IF(__Retrofit_TI_NC&lt;&gt;0,1,IF(AF780="",0,1))</f>
        <v>0</v>
      </c>
      <c r="HC779" s="674">
        <f>IF(__Retrofit_TI_NC&lt;&gt;0,1,IF(AG780="",0,1))</f>
        <v>0</v>
      </c>
      <c r="HD779" s="674">
        <f>IF(N782="BAM",1,IF(AF781="",0,1))</f>
        <v>0</v>
      </c>
      <c r="HE779" s="674">
        <f>IF(N782="BAM",1,IF(AG781="",0,1))</f>
        <v>0</v>
      </c>
      <c r="HF779" s="674">
        <f>IF(N782="BAM",1,IF(__Retrofit_TI_NC&gt;0,1,IF(AG782="",0,1)))</f>
        <v>0</v>
      </c>
      <c r="HG779" s="391"/>
      <c r="IA779" s="391"/>
      <c r="IB779" s="1693" t="b">
        <f>IF(OR(IB782=0,IB782=HY$16,IB782=HX$16,IB782=HZ$16),TRUE,FALSE)</f>
        <v>0</v>
      </c>
      <c r="IC779" s="1694" t="b">
        <f>IB779</f>
        <v>0</v>
      </c>
      <c r="ID779" s="391"/>
      <c r="IE779" s="391"/>
      <c r="IF779" s="1688" t="b">
        <f ca="1">IF(MAX(GN782:HU782)&gt;5,FALSE,TRUE)</f>
        <v>0</v>
      </c>
      <c r="IG779" s="1689">
        <f ca="1">IF(IF779=TRUE,AC779,0)</f>
        <v>0</v>
      </c>
      <c r="IH779" s="1689">
        <f ca="1">IG779-IG781</f>
        <v>0</v>
      </c>
      <c r="IK779" s="1689" t="e">
        <f>ROUND(T780*VLOOKUP(U780,Fixtures_Existing_List,2,FALSE)*N780*R780/1000,0)</f>
        <v>#N/A</v>
      </c>
      <c r="IL779" s="1690" t="e">
        <f>IK779-IK781</f>
        <v>#N/A</v>
      </c>
      <c r="IM779" s="1693" t="e">
        <f>ROUND(IF(CQ779="Interior",N781*R781*R780*N780*_C406_reduction/1000,N781*R781*R780*N780/1000),0)</f>
        <v>#N/A</v>
      </c>
      <c r="IN779" s="1693" t="e">
        <f>IM779-IM781</f>
        <v>#N/A</v>
      </c>
      <c r="IP779" s="1679"/>
      <c r="IQ779" s="1679" t="e">
        <f t="shared" ref="IQ779:IU779" si="721">IF($CR779="interior",VLOOKUP($CS779,_New_Control_Savings_Interior,IQ$30,FALSE),VLOOKUP($CS779,Control_Savings_Exterior,IQ$30,FALSE))</f>
        <v>#N/A</v>
      </c>
      <c r="IR779" s="1679" t="e">
        <f t="shared" si="721"/>
        <v>#N/A</v>
      </c>
      <c r="IS779" s="1679" t="e">
        <f t="shared" si="721"/>
        <v>#N/A</v>
      </c>
      <c r="IT779" s="1679" t="e">
        <f t="shared" si="721"/>
        <v>#N/A</v>
      </c>
      <c r="IU779" s="1679" t="e">
        <f t="shared" si="721"/>
        <v>#N/A</v>
      </c>
      <c r="IV779" s="1679" t="e">
        <f>IF($CR779="interior",IF(R780&gt;$IP$14,ROUND(($IV$18*($IP$14/R780)),2),$IV$18),VLOOKUP($CS779,Control_Savings_Exterior,IV$30,FALSE))</f>
        <v>#N/A</v>
      </c>
      <c r="IW779" s="1679" t="e">
        <f>IF($CR779="interior",ROUND(((1-IS779)*IV779)+IS779,2),VLOOKUP($CS779,Control_Savings_Exterior,IW$30,FALSE))</f>
        <v>#N/A</v>
      </c>
      <c r="IX779" s="1679" t="e">
        <f>IF($CR779="interior",ROUND(((1-IT779)*IV779)+IT779,2),VLOOKUP($CS779,Control_Savings_Exterior,IX$30,FALSE))</f>
        <v>#N/A</v>
      </c>
      <c r="IY779" s="1679" t="e">
        <f>IF($CR779="interior",IF(R780&gt;$IP$14,ROUND(($IY$18*($IP$14/R780)),2),$IY$18),VLOOKUP($CS779,Control_Savings_Exterior,IY$30,FALSE))</f>
        <v>#N/A</v>
      </c>
      <c r="IZ779" s="1679" t="e">
        <f>IF($CR779="interior",ROUND(((1-IS779)*IY779)+IS779,2),VLOOKUP($CS779,Control_Savings_Exterior,IZ$30,FALSE))</f>
        <v>#N/A</v>
      </c>
      <c r="JA779" s="1679" t="e">
        <f>IF($CR779="interior",ROUND(((1-IT779)*IY779)+IT779,2),VLOOKUP($CS779,Control_Savings_Exterior,JA$30,FALSE))</f>
        <v>#N/A</v>
      </c>
      <c r="JC779" s="1680">
        <f>IFERROR(IF(CR779="Interior",CONCATENATE(G782," ",FQ779),FQ779),"")</f>
        <v>0</v>
      </c>
      <c r="JD779" s="1670" t="str">
        <f>IFERROR(VLOOKUP(JC779,_Controls_2023,2,FALSE),"")</f>
        <v/>
      </c>
      <c r="JE779" s="1681">
        <f>IFERROR(CHOOSE(JD779-1,IQ779,IR779,IS779,IT779,IU779,IV779,IW779,IX779,IY779,IZ779,JA779),0)</f>
        <v>0</v>
      </c>
      <c r="JG779" s="1680" t="str">
        <f>FE779</f>
        <v xml:space="preserve"> - 0</v>
      </c>
      <c r="JH779" s="1670" t="e">
        <f>$FO779</f>
        <v>#N/A</v>
      </c>
      <c r="JI779" s="1060"/>
      <c r="JJ779" s="1682" t="b">
        <f>IF($JG781=CONCATENATE("Interior - ",JJ$4),TRUE,FALSE)</f>
        <v>0</v>
      </c>
      <c r="JK779" s="1061"/>
      <c r="JL779" s="1682" t="b">
        <f>IF($JG781=CONCATENATE("Interior - ",JL$4),TRUE,FALSE)</f>
        <v>0</v>
      </c>
      <c r="JM779" s="1061"/>
      <c r="JN779" s="1682" t="b">
        <f>IF($JG781=CONCATENATE("Interior - ",JN$4),TRUE,FALSE)</f>
        <v>0</v>
      </c>
      <c r="JO779" s="1061"/>
      <c r="JP779" s="1682" t="b">
        <f>IF(__Retrofit_TI_NC&gt;0,FALSE,IF($JG781=CONCATENATE("Interior - ",JP$4),TRUE,FALSE))</f>
        <v>0</v>
      </c>
      <c r="JQ779" s="1061"/>
      <c r="JR779" s="1682" t="b">
        <f>IF(__Retrofit_TI_NC&gt;0,FALSE,IF($JG781=CONCATENATE("Interior - ",JR$4),TRUE,FALSE))</f>
        <v>0</v>
      </c>
      <c r="JS779" s="1061"/>
      <c r="JT779" s="1670" t="b">
        <f>IF(__Retrofit_TI_NC&gt;0,FALSE,IF($JG781=CONCATENATE("Interior - ",JT$4),TRUE,FALSE))</f>
        <v>0</v>
      </c>
      <c r="JU779" s="1061"/>
      <c r="JV779" s="1670" t="b">
        <f>IF(JC781="AELC on Existing",TRUE,FALSE)</f>
        <v>0</v>
      </c>
      <c r="JX779" s="1670" t="b">
        <f>IF(OR(JG781="Exterior - AELC Occupancy based",JG781="Exterior - AELC Time based"),TRUE,FALSE)</f>
        <v>0</v>
      </c>
      <c r="JZ779" s="1682" t="b">
        <f>IF($JG781=CONCATENATE("Exterior - ",JZ$4),TRUE,FALSE)</f>
        <v>0</v>
      </c>
      <c r="KB779" s="1670" t="b">
        <f>IF(__Retrofit_TI_NC&gt;0,FALSE,IF($JG781=CONCATENATE("Interior - ",KB$4),TRUE,FALSE))</f>
        <v>0</v>
      </c>
    </row>
    <row r="780" spans="1:288" s="78" customFormat="1" ht="14.95" customHeight="1" thickTop="1" thickBot="1">
      <c r="B780" s="1845"/>
      <c r="C780" s="1846"/>
      <c r="D780" s="1847"/>
      <c r="E780" s="1737" t="s">
        <v>297</v>
      </c>
      <c r="F780" s="1738"/>
      <c r="G780" s="1739"/>
      <c r="H780" s="1739"/>
      <c r="I780" s="1739"/>
      <c r="J780" s="1739"/>
      <c r="K780" s="1739"/>
      <c r="L780" s="1739"/>
      <c r="M780" s="461" t="e">
        <f>IF(__Retrofit_TI_NC&lt;&gt;0,IF(VLOOKUP(G781,'Space Table'!$B$3:$L$163,3,FALSE)&gt;0,1,0),IF(__Retrofit_TI_NC=VLOOKUP(G781,'Space Table'!$B$3:$L$163,3,FALSE),1,0))</f>
        <v>#N/A</v>
      </c>
      <c r="N780" s="461" t="str">
        <f>IFERROR(VLOOKUP(G780,_Lookup_Heat_Type_Table_New,2,FALSE),"")</f>
        <v/>
      </c>
      <c r="O780" s="461">
        <f>IF(__Retrofit_TI_NC=1,CONCATENATE("TI ",G780),IF(__Retrofit_TI_NC=2,CONCATENATE("NC ",G780),G780))</f>
        <v>0</v>
      </c>
      <c r="P780" s="1740" t="s">
        <v>435</v>
      </c>
      <c r="Q780" s="1740"/>
      <c r="R780" s="595"/>
      <c r="S780" s="1792"/>
      <c r="T780" s="597"/>
      <c r="U780" s="1765"/>
      <c r="V780" s="1766"/>
      <c r="W780" s="1766"/>
      <c r="X780" s="1766"/>
      <c r="Y780" s="1766"/>
      <c r="Z780" s="1766"/>
      <c r="AA780" s="1766"/>
      <c r="AB780" s="1766"/>
      <c r="AC780" s="1766"/>
      <c r="AD780" s="1767"/>
      <c r="AE780" s="1000"/>
      <c r="AF780" s="597"/>
      <c r="AG780" s="1723"/>
      <c r="AH780" s="1724"/>
      <c r="AI780" s="1724"/>
      <c r="AJ780" s="1724"/>
      <c r="AK780" s="1725"/>
      <c r="AL780" s="996"/>
      <c r="AM780" s="1747"/>
      <c r="AN780" s="1775"/>
      <c r="AO780" s="1777"/>
      <c r="AP780" s="1780"/>
      <c r="AQ780" s="1781"/>
      <c r="AR780" s="1795"/>
      <c r="AS780" s="1795"/>
      <c r="AT780" s="1796"/>
      <c r="AU780" s="1735"/>
      <c r="AV780" s="1752"/>
      <c r="AW780" s="1705"/>
      <c r="AX780" s="467"/>
      <c r="AY780" s="1749"/>
      <c r="AZ780" s="1749"/>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696"/>
      <c r="CQ780" s="1696"/>
      <c r="CR780" s="1809"/>
      <c r="CS780" s="1811"/>
      <c r="CU780" s="1688"/>
      <c r="CV780" s="1703"/>
      <c r="CW780" s="1703"/>
      <c r="CX780" s="1703"/>
      <c r="CY780" s="1815"/>
      <c r="CZ780" s="1711"/>
      <c r="DA780" s="1818"/>
      <c r="DB780" s="1820"/>
      <c r="DC780" s="1820"/>
      <c r="DD780" s="1820"/>
      <c r="DF780" s="1703"/>
      <c r="DG780" s="1831"/>
      <c r="DH780" s="1703"/>
      <c r="DI780" s="1838"/>
      <c r="DJ780" s="1711"/>
      <c r="DK780" s="1712"/>
      <c r="DM780" s="1718"/>
      <c r="DO780" s="1708"/>
      <c r="DQ780" s="1715"/>
      <c r="DR780" s="1720"/>
      <c r="DS780" s="1816"/>
      <c r="DT780" s="1714"/>
      <c r="DU780" s="1715"/>
      <c r="DV780" s="1716"/>
      <c r="DX780" s="1715"/>
      <c r="DY780" s="1720"/>
      <c r="DZ780" s="1715"/>
      <c r="EA780" s="1715"/>
      <c r="EC780" s="1834"/>
      <c r="ED780" s="1834"/>
      <c r="EF780" s="1707"/>
      <c r="EG780" s="1712"/>
      <c r="EH780" s="1818"/>
      <c r="EI780" s="1712"/>
      <c r="EJ780" s="1712"/>
      <c r="EK780" s="1836"/>
      <c r="EL780" s="1836"/>
      <c r="EM780" s="1807"/>
      <c r="EN780" s="1839"/>
      <c r="EO780" s="1839"/>
      <c r="EP780" s="1817"/>
      <c r="EQ780" s="1817"/>
      <c r="ER780" s="1807"/>
      <c r="ES780" s="1807"/>
      <c r="ET780" s="1807"/>
      <c r="EV780" s="1715"/>
      <c r="EX780" s="1805"/>
      <c r="EY780" s="1805"/>
      <c r="EZ780" s="1805"/>
      <c r="FA780" s="1805"/>
      <c r="FB780" s="1805"/>
      <c r="FC780" s="1827"/>
      <c r="FE780" s="1698"/>
      <c r="FG780" s="1816"/>
      <c r="FH780" s="1816"/>
      <c r="FI780" s="133"/>
      <c r="FL780" s="1823"/>
      <c r="FM780" s="1825"/>
      <c r="FN780" s="1698"/>
      <c r="FO780" s="1698"/>
      <c r="FP780" s="1678"/>
      <c r="FQ780" s="1678"/>
      <c r="FS780" s="1687"/>
      <c r="FT780" s="1687"/>
      <c r="FU780" s="1685"/>
      <c r="FV780" s="1687"/>
      <c r="FW780" s="1687"/>
      <c r="FX780" s="1687"/>
      <c r="FY780" s="1697"/>
      <c r="GA780" s="1696"/>
      <c r="GB780" s="1696"/>
      <c r="GC780" s="1696"/>
      <c r="GD780" s="1696"/>
      <c r="GE780" s="1696"/>
      <c r="GF780" s="1696"/>
      <c r="GG780" s="1696"/>
      <c r="GH780" s="1696"/>
      <c r="GI780" s="673"/>
      <c r="GJ780" s="1135"/>
      <c r="GK780" s="1832"/>
      <c r="GM780" s="1693" t="b">
        <f ca="1">IF(AND(GP780=TRUE,GQ780=TRUE),TRUE,FALSE)</f>
        <v>0</v>
      </c>
      <c r="GN780" s="1684" t="b">
        <f>IFERROR(IF(__Retrofit_TI_NC=2,TRUE,IF(AU779="Yes",TRUE,FALSE)),FALSE)</f>
        <v>1</v>
      </c>
      <c r="GP780" s="1684" t="b">
        <f>IFERROR(IF(GP779=1,TRUE,FALSE),FALSE)</f>
        <v>0</v>
      </c>
      <c r="GQ780" s="1684" t="b">
        <f ca="1">IFERROR(IF(GQ779=GQ$14,TRUE,FALSE),FALSE)</f>
        <v>0</v>
      </c>
      <c r="HG780" s="1684" t="b">
        <f>IFERROR(IF(AND(__Retrofit_TI_NC&gt;0,CQ779="Interior"),FALSE,TRUE),FALSE)</f>
        <v>1</v>
      </c>
      <c r="HH780" s="1684" t="b">
        <f>IFERROR(IF(M780=1,TRUE,FALSE),FALSE)</f>
        <v>0</v>
      </c>
      <c r="HI780" s="1684" t="b">
        <f>IFERROR(IF(OR(M781=1,N782="BAM"),TRUE,FALSE),FALSE)</f>
        <v>0</v>
      </c>
      <c r="HJ780" s="1684" t="b">
        <f>IFERROR(IF(__Retrofit_TI_NC&lt;&gt;0,TRUE,IFERROR(IF(VLOOKUP(U780,Fixtures_Existing_List,2,FALSE)&lt;&gt;"",TRUE,FALSE),FALSE)),FALSE)</f>
        <v>0</v>
      </c>
      <c r="HK780" s="1684" t="b">
        <f>IFERROR(IF(VLOOKUP(U781,Fixtures_Proposed_List,2,FALSE)&lt;&gt;"",TRUE,FALSE),FALSE)</f>
        <v>0</v>
      </c>
      <c r="HL780" s="1684" t="b">
        <f>IF(AND(__Retrofit_TI_NC=2,FC779=TRUE),FALSE,TRUE)</f>
        <v>1</v>
      </c>
      <c r="HM780" s="1684" t="b">
        <f>GK779</f>
        <v>1</v>
      </c>
      <c r="HN780" s="1682" t="b">
        <f>IF(ISERROR(MATCH(FE779,_Control_Match[],0))=TRUE,FALSE,TRUE)</f>
        <v>0</v>
      </c>
      <c r="HO780" s="1693" t="b">
        <f>IFERROR(IF(EX779&lt;&gt;EY779,FALSE,TRUE),FALSE)</f>
        <v>1</v>
      </c>
      <c r="HP780" s="1693" t="b">
        <f>IFERROR(IF(EX781&lt;&gt;EY781,FALSE,TRUE),FALSE)</f>
        <v>1</v>
      </c>
      <c r="HQ780" s="1670" t="b">
        <f>IFERROR(IF(CQ779="Exterior",TRUE,IF(AND(OR(FM781=0,FM781=3),JD781&gt;6),FALSE,TRUE)),FALSE)</f>
        <v>0</v>
      </c>
      <c r="HR780" s="1684" t="b">
        <f>IFERROR(IF(AND(FO781=7,FC779=TRUE),FALSE,TRUE),FALSE)</f>
        <v>0</v>
      </c>
      <c r="HS780" s="1684" t="b">
        <f>IFERROR(IF(AND(T781&lt;&gt;AF781,OR(AG781="Interior LLLC", AG781="Interior NLC", AG781="LLLC (outside Daylight)",AG781="LLLC Controls Only"))=TRUE,FALSE,TRUE),FALSE)</f>
        <v>1</v>
      </c>
      <c r="HT780" s="1670" t="b">
        <f>IFERROR(IF(OR(AG781=Lookup!BB$17,AG781=Lookup!BB$18,AG781=Lookup!BB$19)=TRUE,IF(AF781&gt;T781,FALSE,TRUE),TRUE),FALSE)</f>
        <v>1</v>
      </c>
      <c r="HU780" s="1684" t="b">
        <f>IFERROR(IF(__Retrofit_TI_NC=2,IF(EZ781&lt;EZ779,FALSE,TRUE),TRUE),FALSE)</f>
        <v>1</v>
      </c>
      <c r="HV780" s="1684" t="b">
        <f>IF(CQ779="Interior",IL$6,TRUE)</f>
        <v>1</v>
      </c>
      <c r="HW780" s="1684" t="b">
        <f>IF(CQ779="Exterior",IL$8,TRUE)</f>
        <v>1</v>
      </c>
      <c r="HX780" s="1684" t="b">
        <f>IFERROR(IF(__Retrofit_TI_NC&lt;&gt;0,IF(AZ779&lt;AY779,FALSE,TRUE),TRUE),FALSE)</f>
        <v>1</v>
      </c>
      <c r="HY780" s="1684" t="b">
        <f>IFERROR(IF(AND(G780="Exterior",R780&gt;4200),FALSE,TRUE),FALSE)</f>
        <v>1</v>
      </c>
      <c r="HZ780" s="1684" t="b">
        <f>IFERROR(IF(AB782/AB779&lt;HZ$18,FALSE,TRUE),FALSE)</f>
        <v>0</v>
      </c>
      <c r="IB780" s="1691"/>
      <c r="IC780" s="1695"/>
      <c r="ID780" s="1694" t="str">
        <f>VLOOKUP(IB782,_Error_Table,4,FALSE)</f>
        <v>White</v>
      </c>
      <c r="IE780" s="391"/>
      <c r="IF780" s="1688"/>
      <c r="IG780" s="1689"/>
      <c r="IH780" s="1684"/>
      <c r="IK780" s="1689"/>
      <c r="IL780" s="1691"/>
      <c r="IM780" s="1691"/>
      <c r="IN780" s="1691"/>
      <c r="IP780" s="1679"/>
      <c r="IQ780" s="1679"/>
      <c r="IR780" s="1679"/>
      <c r="IS780" s="1679"/>
      <c r="IT780" s="1679"/>
      <c r="IU780" s="1679"/>
      <c r="IV780" s="1679"/>
      <c r="IW780" s="1679"/>
      <c r="IX780" s="1679"/>
      <c r="IY780" s="1679"/>
      <c r="IZ780" s="1679"/>
      <c r="JA780" s="1679"/>
      <c r="JC780" s="1680"/>
      <c r="JD780" s="1670"/>
      <c r="JE780" s="1681"/>
      <c r="JG780" s="1680"/>
      <c r="JH780" s="1670"/>
      <c r="JI780" s="1060"/>
      <c r="JJ780" s="1683"/>
      <c r="JK780" s="1061"/>
      <c r="JL780" s="1683"/>
      <c r="JM780" s="1061"/>
      <c r="JN780" s="1683"/>
      <c r="JO780" s="1061"/>
      <c r="JP780" s="1683"/>
      <c r="JQ780" s="1061"/>
      <c r="JR780" s="1683"/>
      <c r="JS780" s="1061"/>
      <c r="JT780" s="1670"/>
      <c r="JU780" s="1061"/>
      <c r="JV780" s="1670"/>
      <c r="JX780" s="1670"/>
      <c r="JZ780" s="1683"/>
      <c r="KB780" s="1670"/>
    </row>
    <row r="781" spans="1:288" s="78" customFormat="1" ht="14.95" customHeight="1" thickTop="1" thickBot="1">
      <c r="A781" s="78">
        <f>ROW()</f>
        <v>781</v>
      </c>
      <c r="B781" s="1845"/>
      <c r="C781" s="1846"/>
      <c r="D781" s="1847"/>
      <c r="E781" s="1737" t="s">
        <v>298</v>
      </c>
      <c r="F781" s="1738"/>
      <c r="G781" s="1760"/>
      <c r="H781" s="1761"/>
      <c r="I781" s="1761"/>
      <c r="J781" s="1761"/>
      <c r="K781" s="1761"/>
      <c r="L781" s="1762"/>
      <c r="M781" s="461">
        <f>IFERROR(IF(IF(__Retrofit_TI_NC&lt;&gt;0,IF(CQ779="Interior",MATCH(G781,Lookup_Interior_New,0),MATCH(G781,Lookup_Exterior_New,0)),IF(CQ779="Interior",MATCH(G781,Lookup_Interior,0),MATCH(G781,Lookup_Exterior_Areas,0)))&gt;0,1,0),0)</f>
        <v>0</v>
      </c>
      <c r="N781" s="461" t="e">
        <f>IF(__Retrofit_TI_NC=1,
VLOOKUP(G781,'Space Table'!$B$3:$L$163,4,FALSE),
IF(__Retrofit_TI_NC=2,VLOOKUP(G781,'Space Table'!$B$3:$L$163,5,FALSE),VLOOKUP(G781,'Space Table'!$B$3:$L$163,5,FALSE)))</f>
        <v>#N/A</v>
      </c>
      <c r="O781" s="461">
        <f>G781</f>
        <v>0</v>
      </c>
      <c r="P781" s="1738" t="str">
        <f>IFERROR(IF(__Retrofit_TI_NC=1,VLOOKUP(G781,'Space Table'!$B$3:$O$163,13,FALSE),IF(__Retrofit_TI_NC=2,VLOOKUP(G781,'Space Table'!$B$3:$O$163,14,FALSE),"Area (sf):")),"Area (sf):")</f>
        <v>Area (sf):</v>
      </c>
      <c r="Q781" s="1738"/>
      <c r="R781" s="596"/>
      <c r="S781" s="1763" t="s">
        <v>345</v>
      </c>
      <c r="T781" s="594"/>
      <c r="U781" s="1801"/>
      <c r="V781" s="1802"/>
      <c r="W781" s="1802"/>
      <c r="X781" s="1802"/>
      <c r="Y781" s="1802"/>
      <c r="Z781" s="1802"/>
      <c r="AA781" s="1802"/>
      <c r="AB781" s="1802"/>
      <c r="AC781" s="1802"/>
      <c r="AD781" s="1802"/>
      <c r="AE781" s="1803"/>
      <c r="AF781" s="594"/>
      <c r="AG781" s="1787"/>
      <c r="AH781" s="1787"/>
      <c r="AI781" s="1787"/>
      <c r="AJ781" s="1787"/>
      <c r="AK781" s="1787"/>
      <c r="AL781" s="1787"/>
      <c r="AM781" s="1726">
        <f>IFERROR(DI781,"")</f>
        <v>0</v>
      </c>
      <c r="AN781" s="1728" t="str">
        <f>IFERROR(ROUND(AM781*AC782,0),"")</f>
        <v/>
      </c>
      <c r="AO781" s="1730">
        <f>IFERROR(IF(IB779=FALSE,0,AC782-AN781),0)</f>
        <v>0</v>
      </c>
      <c r="AP781" s="1780"/>
      <c r="AQ781" s="1781"/>
      <c r="AR781" s="1795"/>
      <c r="AS781" s="1795"/>
      <c r="AT781" s="1796"/>
      <c r="AU781" s="1735"/>
      <c r="AV781" s="1752"/>
      <c r="AW781" s="1705"/>
      <c r="AX781" s="467"/>
      <c r="AY781" s="1749"/>
      <c r="AZ781" s="1749"/>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696"/>
      <c r="CQ781" s="1696"/>
      <c r="CR781" s="1808" t="str">
        <f>CQ779</f>
        <v/>
      </c>
      <c r="CS781" s="1810" t="str">
        <f>CS779</f>
        <v/>
      </c>
      <c r="CU781" s="1688" t="s">
        <v>345</v>
      </c>
      <c r="CV781" s="1702">
        <f>IF(IB779=TRUE,T781,0)</f>
        <v>0</v>
      </c>
      <c r="CW781" s="1702" t="str">
        <f>IF(IB779=TRUE,U781,"")</f>
        <v/>
      </c>
      <c r="CX781" s="1812">
        <f>IF(IB779=TRUE,U782,0)</f>
        <v>0</v>
      </c>
      <c r="CY781" s="1814">
        <f>IF(IB779=TRUE,AB782,0)</f>
        <v>0</v>
      </c>
      <c r="CZ781" s="1710">
        <f>IF(AND(__Retrofit_TI_NC&gt;0,CR779="interior"),0,IF(IB779=TRUE,AC782,0))</f>
        <v>0</v>
      </c>
      <c r="DA781" s="1818"/>
      <c r="DB781" s="1820"/>
      <c r="DC781" s="1820"/>
      <c r="DD781" s="1820"/>
      <c r="DF781" s="1702">
        <f>IF(IB779=TRUE,AF781,0)</f>
        <v>0</v>
      </c>
      <c r="DG781" s="1830" t="str">
        <f>IF(IB779=TRUE,AG781,"")</f>
        <v/>
      </c>
      <c r="DH781" s="1812">
        <f>AG782</f>
        <v>0</v>
      </c>
      <c r="DI781" s="1837">
        <f>JE781</f>
        <v>0</v>
      </c>
      <c r="DJ781" s="1710">
        <f>IF(AND(__Retrofit_TI_NC&gt;0,CR779="interior"),0,IF(IB779=TRUE,AN781,0))</f>
        <v>0</v>
      </c>
      <c r="DK781" s="1712"/>
      <c r="DN781" s="1717">
        <f>IFERROR(CZ781-DJ781,0)</f>
        <v>0</v>
      </c>
      <c r="DO781" s="1709"/>
      <c r="DQ781" s="1715"/>
      <c r="DR781" s="1719" t="str">
        <f>DQ779</f>
        <v/>
      </c>
      <c r="DS781" s="1816"/>
      <c r="DT781" s="1835" t="str">
        <f>IF(OR(DS779=7,DS779=8,DS779=9),"ALC","")</f>
        <v/>
      </c>
      <c r="DU781" s="1715"/>
      <c r="DV781" s="1716"/>
      <c r="DX781" s="1715"/>
      <c r="DY781" s="1829" t="str">
        <f>DX779</f>
        <v/>
      </c>
      <c r="DZ781" s="1715"/>
      <c r="EA781" s="1715"/>
      <c r="EC781" s="1834"/>
      <c r="ED781" s="1834"/>
      <c r="EF781" s="1707"/>
      <c r="EG781" s="1712"/>
      <c r="EH781" s="1818"/>
      <c r="EI781" s="1712"/>
      <c r="EJ781" s="1712"/>
      <c r="EK781" s="1836"/>
      <c r="EL781" s="1836"/>
      <c r="EM781" s="1807"/>
      <c r="EN781" s="1839"/>
      <c r="EO781" s="1839"/>
      <c r="EP781" s="1817"/>
      <c r="EQ781" s="1817"/>
      <c r="ER781" s="1807"/>
      <c r="ES781" s="1807"/>
      <c r="ET781" s="1807"/>
      <c r="EV781" s="1715"/>
      <c r="EX781" s="1805" t="str">
        <f>IFERROR(VLOOKUP(CS781,'Space Table'!$B$3:$L$163,8,FALSE),"")</f>
        <v/>
      </c>
      <c r="EY781" s="1805" t="str">
        <f>IFERROR(IF(FB781="Yes",VLOOKUP(AG781,Lookup_Control_Type_Table2,4,FALSE),VLOOKUP(AG781,Lookup_Control_Type_Table2,3,FALSE)),"")</f>
        <v/>
      </c>
      <c r="EZ781" s="1805" t="e">
        <f>VLOOKUP(AG781,Lookup!BB$3:BC$20,2,FALSE)</f>
        <v>#N/A</v>
      </c>
      <c r="FA781" s="1805" t="e">
        <f>VLOOKUP(EX779,Lookup_Control_Type_Table,2,FALSE)</f>
        <v>#N/A</v>
      </c>
      <c r="FB781" s="1805" t="e">
        <f>VLOOKUP(CS781,'Space Table'!$B$3:$L$163,7,FALSE)</f>
        <v>#N/A</v>
      </c>
      <c r="FC781" s="1827"/>
      <c r="FE781" s="1698" t="str">
        <f>CONCATENATE(CQ779," - ",AG781)</f>
        <v xml:space="preserve"> - </v>
      </c>
      <c r="FG781" s="1816"/>
      <c r="FH781" s="1816"/>
      <c r="FI781" s="133"/>
      <c r="FL781" s="1822" t="str">
        <f>IF(CQ779="Exterior","Not Daylighted",G782)</f>
        <v>Not Daylighted</v>
      </c>
      <c r="FM781" s="1824">
        <f>VLOOKUP(FL781,_New_Daylight_Table_Codes,2,FALSE)</f>
        <v>0</v>
      </c>
      <c r="FN781" s="1698">
        <f>AG781</f>
        <v>0</v>
      </c>
      <c r="FO781" s="1698" t="e">
        <f>VLOOKUP(FN781,_Control_Table,2,FALSE)</f>
        <v>#N/A</v>
      </c>
      <c r="FP781" s="1678" t="e">
        <f>VLOOKUP(CONCATENATE(FL781," ",FN781),Lookup!AY$102:AZ792,2,FALSE)</f>
        <v>#N/A</v>
      </c>
      <c r="FQ781" s="1698">
        <f>IF(__Retrofit_TI_NC=0,FN781,IF(AND(FT781&gt;0,FN781="Occupancy Sensor"),"Daylight + Occupancy",IF(AND(FT781&gt;0,FO781&lt;4),"Interior Daylight Dimming",FN781)))</f>
        <v>0</v>
      </c>
      <c r="FS781" s="1686">
        <f>IF(CQ779="Interior",VLOOKUP(CS779,Control_Savings_Interior,5,FALSE),0)</f>
        <v>0</v>
      </c>
      <c r="FT781" s="1687">
        <f>IF(CQ781="Exterior",0,IF(FM781=2,0.5,IF(OR(FM781=1,FM781=3),1,0)))</f>
        <v>0</v>
      </c>
      <c r="FU781" s="1685">
        <f>IF(R780&gt;FS$44,(FS781*(FS$44/R780)),FS781)*FT781</f>
        <v>0</v>
      </c>
      <c r="FV781" s="1686">
        <f>DI781</f>
        <v>0</v>
      </c>
      <c r="FW781" s="1686">
        <f>ROUND(FV781+((1-FV781)*FU781),2)</f>
        <v>0</v>
      </c>
      <c r="FX781" s="1686">
        <f>IF(__Retrofit_TI_NC=2,FW781,FV781)</f>
        <v>0</v>
      </c>
      <c r="FY781" s="1697">
        <f>IF(CR781="Interior",VLOOKUP(CS781,Control_Savings_Interior,4,FALSE),0)</f>
        <v>0</v>
      </c>
      <c r="GA781" s="1696"/>
      <c r="GB781" s="1696"/>
      <c r="GC781" s="1696"/>
      <c r="GD781" s="1696"/>
      <c r="GE781" s="1696"/>
      <c r="GF781" s="1696"/>
      <c r="GG781" s="1696"/>
      <c r="GH781" s="1696"/>
      <c r="GI781" s="673" t="b">
        <f>IF(ISNUMBER(SEARCH("TLED",U781)),TRUE,FALSE)</f>
        <v>0</v>
      </c>
      <c r="GJ781" s="1135" t="str">
        <f>IFERROR(VLOOKUP(U781,Fixtures!DM$93:DR$142,6,FALSE),"")</f>
        <v/>
      </c>
      <c r="GK781" s="1832"/>
      <c r="GM781" s="1692"/>
      <c r="GN781" s="1684"/>
      <c r="GP781" s="1684"/>
      <c r="GQ781" s="1684"/>
      <c r="HG781" s="1684"/>
      <c r="HH781" s="1684"/>
      <c r="HI781" s="1684"/>
      <c r="HJ781" s="1684"/>
      <c r="HK781" s="1684"/>
      <c r="HL781" s="1684"/>
      <c r="HM781" s="1684"/>
      <c r="HN781" s="1683"/>
      <c r="HO781" s="1692"/>
      <c r="HP781" s="1692"/>
      <c r="HQ781" s="1670"/>
      <c r="HR781" s="1684"/>
      <c r="HS781" s="1684"/>
      <c r="HT781" s="1670"/>
      <c r="HU781" s="1684"/>
      <c r="HV781" s="1684"/>
      <c r="HW781" s="1684"/>
      <c r="HX781" s="1684"/>
      <c r="HY781" s="1684"/>
      <c r="HZ781" s="1684"/>
      <c r="IB781" s="1692"/>
      <c r="IC781" s="1693" t="b">
        <f>IB779</f>
        <v>0</v>
      </c>
      <c r="ID781" s="1695"/>
      <c r="IE781" s="391"/>
      <c r="IF781" s="1688"/>
      <c r="IG781" s="1689">
        <f ca="1">IF(IF779=TRUE,AC782,0)</f>
        <v>0</v>
      </c>
      <c r="IH781" s="1684"/>
      <c r="IK781" s="1689" t="e">
        <f>ROUND(T781*AB782*N780*R780/1000,0)</f>
        <v>#VALUE!</v>
      </c>
      <c r="IL781" s="1691"/>
      <c r="IM781" s="1693" t="e">
        <f>ROUND(T781*AB782*N780*R780/1000,0)</f>
        <v>#VALUE!</v>
      </c>
      <c r="IN781" s="1691"/>
      <c r="IP781" s="1679"/>
      <c r="IQ781" s="1679" t="e">
        <f t="shared" ref="IQ781:IU781" si="722">IF($CR781="interior",VLOOKUP($CS781,_New_Control_Savings_Interior,IQ$30,FALSE),VLOOKUP($CS781,Control_Savings_Exterior,IQ$30,FALSE))</f>
        <v>#N/A</v>
      </c>
      <c r="IR781" s="1679" t="e">
        <f t="shared" si="722"/>
        <v>#N/A</v>
      </c>
      <c r="IS781" s="1679" t="e">
        <f t="shared" si="722"/>
        <v>#N/A</v>
      </c>
      <c r="IT781" s="1679" t="e">
        <f t="shared" si="722"/>
        <v>#N/A</v>
      </c>
      <c r="IU781" s="1679" t="e">
        <f t="shared" si="722"/>
        <v>#N/A</v>
      </c>
      <c r="IV781" s="1679" t="e">
        <f>IF($CR781="interior",IF(R780&gt;$IP$14,ROUND(($IV$18*($IP$14/R780)),2),$IV$18),VLOOKUP($CS781,Control_Savings_Exterior,IV$30,FALSE))</f>
        <v>#N/A</v>
      </c>
      <c r="IW781" s="1679" t="e">
        <f>IF($CR781="interior",ROUND(((1-IS781)*IV781)+IS781,2),VLOOKUP($CS781,Control_Savings_Exterior,IW$30,FALSE))</f>
        <v>#N/A</v>
      </c>
      <c r="IX781" s="1679" t="e">
        <f>IF($CR781="interior",ROUND(((1-IT781)*IV781)+IT781,2),VLOOKUP($CS781,Control_Savings_Exterior,IX$30,FALSE))</f>
        <v>#N/A</v>
      </c>
      <c r="IY781" s="1679" t="e">
        <f>IF($CR781="interior",IF(R780&gt;$IP$14,ROUND(($IY$18*($IP$14/R780)),2),$IY$18),VLOOKUP($CS781,Control_Savings_Exterior,IY$30,FALSE))</f>
        <v>#N/A</v>
      </c>
      <c r="IZ781" s="1679" t="e">
        <f>IF($CR781="interior",ROUND(((1-IS781)*IY781)+IS781,2),VLOOKUP($CS781,Control_Savings_Exterior,IZ$30,FALSE))</f>
        <v>#N/A</v>
      </c>
      <c r="JA781" s="1679" t="e">
        <f>IF($CR781="interior",ROUND(((1-IT781)*IY781)+IT781,2),VLOOKUP($CS781,Control_Savings_Exterior,JA$30,FALSE))</f>
        <v>#N/A</v>
      </c>
      <c r="JC781" s="1680">
        <f>IFERROR(IF(CR781="Interior",CONCATENATE(G782," ",FQ781),AG781),"")</f>
        <v>0</v>
      </c>
      <c r="JD781" s="1670" t="str">
        <f>IFERROR(VLOOKUP(JC781,_Controls_2023,2,FALSE),"")</f>
        <v/>
      </c>
      <c r="JE781" s="1681">
        <f>IFERROR(CHOOSE(JD781-1,IQ781,IR781,IS781,IT781,IU781,IV781,IW781,IX781,IY781,IZ781,JA781),0)</f>
        <v>0</v>
      </c>
      <c r="JG781" s="1680" t="str">
        <f>FE781</f>
        <v xml:space="preserve"> - </v>
      </c>
      <c r="JH781" s="1670" t="e">
        <f>$FO781</f>
        <v>#N/A</v>
      </c>
      <c r="JI781" s="1060"/>
      <c r="JJ781" s="1670">
        <f>IFERROR(IF($IB779=TRUE,IF(OR(JJ$14="No",JJ779=FALSE,JH781&lt;=JH779,AND(_kWh_Grant=0,GD779=FALSE)),0,IF(JJ$8="Per Line",1,$AF781)),0),0)</f>
        <v>0</v>
      </c>
      <c r="JK781" s="1061"/>
      <c r="JL781" s="1670">
        <f>IFERROR(IF(_kWh_Grant=0,0,IF($IB779=TRUE,IF(OR(JL$14="No",JL779=FALSE,JH781&lt;=JH779),0,IF(JL$8="Per Line",1,$T781)),0)),0)</f>
        <v>0</v>
      </c>
      <c r="JM781" s="1061"/>
      <c r="JN781" s="1670">
        <f>IFERROR(IF(_kWh_Grant=0,0,IF($IB779=TRUE,IF(OR(JN$14="No",JN779=FALSE,JH781&lt;=JH779),0,IF(JN$8="Per Line",1,$AF781)),0)),0)</f>
        <v>0</v>
      </c>
      <c r="JO781" s="1061"/>
      <c r="JP781" s="1670">
        <f>IFERROR(IF(__Retrofit_TI_NC=0,IF(_kWh_Grant=0,0,IF($IB779=TRUE,IF(OR(JP$14="No",JP779=FALSE,$JH781&lt;=$JH779),0,IF(JP$8="Per Line",1,$AF781)),0)),IF($IB779=TRUE,IF(OR(JP$14="No",JP779=FALSE,$JH781&lt;=$JH779),0,IF(JP$8="Per Line",1,$AF781)))),0)</f>
        <v>0</v>
      </c>
      <c r="JQ781" s="1061"/>
      <c r="JR781" s="1670">
        <f>IFERROR(IF(__Retrofit_TI_NC=0,IF(_kWh_Grant=0,0,IF($IB779=TRUE,IF(OR(JR$14="No",JR779=FALSE,$JH781&lt;=$JH779),0,IF(JR$8="Per Line",1,$AF781)),0)),IF($IB779=TRUE,IF(OR(JR$14="No",JR779=FALSE,$JH781&lt;=$JH779),0,IF(JR$8="Per Line",1,$AF781)))),0)</f>
        <v>0</v>
      </c>
      <c r="JS781" s="1061"/>
      <c r="JT781" s="1670">
        <f>IFERROR(IF(__Retrofit_TI_NC=0,IF(_kWh_Grant=0,0,IF($IB779=TRUE,IF(OR(JT$14="No",JT779=FALSE,$JH781&lt;=$JH779),0,IF(JT$8="Per Line",1,$AF781)),0)),IF($IB779=TRUE,IF(OR(JT$14="No",JT779=FALSE,$JH781&lt;=$JH779),0,IF(JT$8="Per Line",1,$AF781)))),0)</f>
        <v>0</v>
      </c>
      <c r="JU781" s="1061"/>
      <c r="JV781" s="1670">
        <f>IFERROR(IF(__Retrofit_TI_NC=0,IF(_kWh_Grant=0,0,IF($IB779=TRUE,IF(OR(JV$14="No",JV779=FALSE,$JH781&lt;=$JH779),0,IF(JV$8="Per Line",1,$AF781)),0)),IF($IB779=TRUE,IF(OR(JV$14="No",JV779=FALSE,$JH781&lt;=$JH779),0,IF(JV$8="Per Line",1,$AF781)))),0)</f>
        <v>0</v>
      </c>
      <c r="JX781" s="1670">
        <f>IFERROR(IF(__Retrofit_TI_NC=0,IF(_kWh_Grant=0,0,IF($IB779=TRUE,IF(OR(JX$14="No",JX779=FALSE,$JH781&lt;=$JH779),0,IF(JX$8="Per Line",1,$AF781)),0)),IF($IB779=TRUE,IF(OR(JX$14="No",JX779=FALSE,$JH781&lt;=$JH779),0,IF(JX$8="Per Line",1,$AF781)))),0)</f>
        <v>0</v>
      </c>
      <c r="JZ781" s="1670">
        <f>IFERROR(IF($IB779=TRUE,IF(OR(JZ$14="No",JZ779=FALSE,$JH781&lt;=$JH779,AND(_kWh_Grant=0,$GD779=FALSE)),0,IF(JZ$8="Per Line",1,$AF781)),0),0)</f>
        <v>0</v>
      </c>
      <c r="KB781" s="1670">
        <f>IFERROR(IF(__Retrofit_TI_NC=0,IF(_kWh_Grant=0,0,IF($IB779=TRUE,IF(OR(KB$14="No",KB779=FALSE,$JH781&lt;=$JH779),0,IF(KB$8="Per Line",1,$AF781)),0)),IF($IB779=TRUE,IF(OR(KB$14="No",KB779=FALSE,$JH781&lt;=$JH779),0,IF(KB$8="Per Line",1,$AF781)))),0)</f>
        <v>0</v>
      </c>
    </row>
    <row r="782" spans="1:288" s="78" customFormat="1" ht="14.95" customHeight="1" thickTop="1" thickBot="1">
      <c r="B782" s="1845"/>
      <c r="C782" s="1846"/>
      <c r="D782" s="1847"/>
      <c r="E782" s="1771" t="s">
        <v>436</v>
      </c>
      <c r="F782" s="1772"/>
      <c r="G782" s="1784" t="s">
        <v>437</v>
      </c>
      <c r="H782" s="1785"/>
      <c r="I782" s="1785"/>
      <c r="J782" s="1785"/>
      <c r="K782" s="1785"/>
      <c r="L782" s="1786"/>
      <c r="M782" s="591">
        <f>IFERROR(VLOOKUP(G782,_Daylight_Table[],2,FALSE),0)</f>
        <v>0</v>
      </c>
      <c r="N782" s="592" t="str">
        <f>IF(AND(__Retrofit_TI_NC&gt;0,CQ779="Interior"),"BAM","")</f>
        <v/>
      </c>
      <c r="O782" s="591" t="e">
        <f>VLOOKUP(G781,'Space Table'!$B$3:$L$163,11,FALSE)</f>
        <v>#N/A</v>
      </c>
      <c r="P782" s="1789"/>
      <c r="Q782" s="1790"/>
      <c r="R782" s="1790"/>
      <c r="S782" s="1788"/>
      <c r="T782" s="593" t="s">
        <v>342</v>
      </c>
      <c r="U782" s="1756" t="str" cm="1">
        <f t="array" aca="1" ref="U782" ca="1">IFERROR(VLOOKUP(INDIRECT("U" &amp; ROW()-1),Fixtures!DM$93:DP$142,4,FALSE),"")</f>
        <v/>
      </c>
      <c r="V782" s="1757"/>
      <c r="W782" s="1757"/>
      <c r="X782" s="1757"/>
      <c r="Y782" s="1757"/>
      <c r="Z782" s="1757"/>
      <c r="AA782" s="1758"/>
      <c r="AB782" s="939" t="str">
        <f>IFERROR(VLOOKUP(U781,Fixtures_Proposed_List,2,FALSE),"")</f>
        <v/>
      </c>
      <c r="AC782" s="933" t="str">
        <f>IFERROR(ROUND(T781*AB782*N780*R780/1000,0),"")</f>
        <v/>
      </c>
      <c r="AD782" s="934" t="str">
        <f>IFERROR(ROUND(T781*AB782/1000,2),"")</f>
        <v/>
      </c>
      <c r="AE782" s="998"/>
      <c r="AF782" s="938" t="s">
        <v>342</v>
      </c>
      <c r="AG782" s="1770"/>
      <c r="AH782" s="1770"/>
      <c r="AI782" s="1770"/>
      <c r="AJ782" s="1770"/>
      <c r="AK782" s="1770"/>
      <c r="AL782" s="1770"/>
      <c r="AM782" s="1727"/>
      <c r="AN782" s="1729"/>
      <c r="AO782" s="1731"/>
      <c r="AP782" s="1782"/>
      <c r="AQ782" s="1783"/>
      <c r="AR782" s="1797"/>
      <c r="AS782" s="1797"/>
      <c r="AT782" s="1798"/>
      <c r="AU782" s="1736"/>
      <c r="AV782" s="1753"/>
      <c r="AW782" s="1706"/>
      <c r="AX782" s="468"/>
      <c r="AY782" s="1750"/>
      <c r="AZ782" s="1750"/>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696"/>
      <c r="CQ782" s="1696"/>
      <c r="CR782" s="1809"/>
      <c r="CS782" s="1811"/>
      <c r="CU782" s="1688"/>
      <c r="CV782" s="1703"/>
      <c r="CW782" s="1703"/>
      <c r="CX782" s="1813"/>
      <c r="CY782" s="1815"/>
      <c r="CZ782" s="1711"/>
      <c r="DA782" s="1815"/>
      <c r="DB782" s="1821"/>
      <c r="DC782" s="1821"/>
      <c r="DD782" s="1821"/>
      <c r="DF782" s="1703"/>
      <c r="DG782" s="1831"/>
      <c r="DH782" s="1813"/>
      <c r="DI782" s="1838"/>
      <c r="DJ782" s="1711"/>
      <c r="DK782" s="1712"/>
      <c r="DN782" s="1718"/>
      <c r="DO782" s="1709"/>
      <c r="DQ782" s="1715"/>
      <c r="DR782" s="1720"/>
      <c r="DS782" s="1703"/>
      <c r="DT782" s="1714"/>
      <c r="DU782" s="1715"/>
      <c r="DV782" s="1716"/>
      <c r="DX782" s="1715"/>
      <c r="DY782" s="1720"/>
      <c r="DZ782" s="1715"/>
      <c r="EA782" s="1715"/>
      <c r="EC782" s="1834"/>
      <c r="ED782" s="1834"/>
      <c r="EF782" s="1707"/>
      <c r="EG782" s="1712"/>
      <c r="EH782" s="1815"/>
      <c r="EI782" s="1712"/>
      <c r="EJ782" s="1712"/>
      <c r="EK782" s="1813"/>
      <c r="EL782" s="1813"/>
      <c r="EM782" s="1807"/>
      <c r="EN782" s="1839"/>
      <c r="EO782" s="1839"/>
      <c r="EP782" s="1817"/>
      <c r="EQ782" s="1817"/>
      <c r="ER782" s="1807"/>
      <c r="ES782" s="1807"/>
      <c r="ET782" s="1807"/>
      <c r="EV782" s="1715"/>
      <c r="EX782" s="1806"/>
      <c r="EY782" s="1806"/>
      <c r="EZ782" s="1806"/>
      <c r="FA782" s="1806"/>
      <c r="FB782" s="1806"/>
      <c r="FC782" s="1828"/>
      <c r="FE782" s="1698"/>
      <c r="FG782" s="1703"/>
      <c r="FH782" s="1703"/>
      <c r="FI782" s="133"/>
      <c r="FL782" s="1823"/>
      <c r="FM782" s="1825"/>
      <c r="FN782" s="1698"/>
      <c r="FO782" s="1698"/>
      <c r="FP782" s="1678"/>
      <c r="FQ782" s="1698"/>
      <c r="FS782" s="1687"/>
      <c r="FT782" s="1687"/>
      <c r="FU782" s="1685"/>
      <c r="FV782" s="1687"/>
      <c r="FW782" s="1687"/>
      <c r="FX782" s="1687"/>
      <c r="FY782" s="1697"/>
      <c r="GA782" s="1696"/>
      <c r="GB782" s="1696"/>
      <c r="GC782" s="1696"/>
      <c r="GD782" s="1696"/>
      <c r="GE782" s="1696"/>
      <c r="GF782" s="1696"/>
      <c r="GG782" s="1696"/>
      <c r="GH782" s="1696"/>
      <c r="GI782" s="673"/>
      <c r="GJ782" s="1135"/>
      <c r="GK782" s="1832"/>
      <c r="GN782" s="674">
        <f>IF(GN780=TRUE,0,GN$16)</f>
        <v>0</v>
      </c>
      <c r="GP782" s="674">
        <f>IF(GP780=TRUE,0,GP$16)</f>
        <v>36</v>
      </c>
      <c r="GQ782" s="674">
        <f ca="1">IF(GQ780=TRUE,0,GQ$16)</f>
        <v>35</v>
      </c>
      <c r="GR782" s="391"/>
      <c r="GS782" s="391"/>
      <c r="GT782" s="391"/>
      <c r="GU782" s="391"/>
      <c r="GV782" s="391"/>
      <c r="HG782" s="674">
        <f>IF(HG780=TRUE,0,HG$16)</f>
        <v>0</v>
      </c>
      <c r="HH782" s="674">
        <f t="shared" ref="HH782:HM782" si="723">IF(HH780=TRUE,0,HH$16)</f>
        <v>19</v>
      </c>
      <c r="HI782" s="674">
        <f t="shared" si="723"/>
        <v>18</v>
      </c>
      <c r="HJ782" s="674">
        <f t="shared" si="723"/>
        <v>17</v>
      </c>
      <c r="HK782" s="674">
        <f t="shared" si="723"/>
        <v>16</v>
      </c>
      <c r="HL782" s="674">
        <f t="shared" si="723"/>
        <v>0</v>
      </c>
      <c r="HM782" s="674">
        <f t="shared" si="723"/>
        <v>0</v>
      </c>
      <c r="HN782" s="674">
        <f>IF(HN780=TRUE,0,HN$16)</f>
        <v>13</v>
      </c>
      <c r="HO782" s="674">
        <f t="shared" ref="HO782:HQ782" si="724">IF(HO780=TRUE,0,HO$16)</f>
        <v>0</v>
      </c>
      <c r="HP782" s="674">
        <f t="shared" si="724"/>
        <v>0</v>
      </c>
      <c r="HQ782" s="674">
        <f t="shared" si="724"/>
        <v>10</v>
      </c>
      <c r="HR782" s="674">
        <f>IF(HR780=TRUE,0,HR$16)</f>
        <v>9</v>
      </c>
      <c r="HS782" s="674">
        <f t="shared" ref="HS782:HW782" si="725">IF(HS780=TRUE,0,HS$16)</f>
        <v>0</v>
      </c>
      <c r="HT782" s="674">
        <f t="shared" si="725"/>
        <v>0</v>
      </c>
      <c r="HU782" s="674">
        <f t="shared" si="725"/>
        <v>0</v>
      </c>
      <c r="HV782" s="674">
        <f t="shared" si="725"/>
        <v>0</v>
      </c>
      <c r="HW782" s="674">
        <f t="shared" si="725"/>
        <v>0</v>
      </c>
      <c r="HX782" s="674">
        <f>IF(HX780=TRUE,0,HX$16)</f>
        <v>0</v>
      </c>
      <c r="HY782" s="674">
        <f>IF(HY780=TRUE,0,HY$16)</f>
        <v>0</v>
      </c>
      <c r="HZ782" s="674">
        <f>IF(HZ780=TRUE,0,HZ$16)</f>
        <v>1</v>
      </c>
      <c r="IB782" s="674">
        <f>IF(GP780=FALSE,GP782,IF(GQ780=FALSE,GQ782,MAX(GN782:HZ782)))</f>
        <v>36</v>
      </c>
      <c r="IC782" s="1692"/>
      <c r="ID782" s="205" t="str">
        <f>VLOOKUP(IB782,_Error_Table,3,FALSE)</f>
        <v xml:space="preserve"> </v>
      </c>
      <c r="IE782" s="205"/>
      <c r="IF782" s="1688"/>
      <c r="IG782" s="1689"/>
      <c r="IH782" s="1684"/>
      <c r="IK782" s="1689"/>
      <c r="IL782" s="1692"/>
      <c r="IM782" s="1692"/>
      <c r="IN782" s="1692"/>
      <c r="IP782" s="1679"/>
      <c r="IQ782" s="1679"/>
      <c r="IR782" s="1679"/>
      <c r="IS782" s="1679"/>
      <c r="IT782" s="1679"/>
      <c r="IU782" s="1679"/>
      <c r="IV782" s="1679"/>
      <c r="IW782" s="1679"/>
      <c r="IX782" s="1679"/>
      <c r="IY782" s="1679"/>
      <c r="IZ782" s="1679"/>
      <c r="JA782" s="1679"/>
      <c r="JC782" s="1680"/>
      <c r="JD782" s="1670"/>
      <c r="JE782" s="1681"/>
      <c r="JG782" s="1680"/>
      <c r="JH782" s="1670"/>
      <c r="JI782" s="1060"/>
      <c r="JJ782" s="1670"/>
      <c r="JK782" s="1061"/>
      <c r="JL782" s="1670"/>
      <c r="JM782" s="1061"/>
      <c r="JN782" s="1670"/>
      <c r="JO782" s="1061"/>
      <c r="JP782" s="1670"/>
      <c r="JQ782" s="1061"/>
      <c r="JR782" s="1670"/>
      <c r="JS782" s="1061"/>
      <c r="JT782" s="1670"/>
      <c r="JU782" s="1061"/>
      <c r="JV782" s="1670"/>
      <c r="JX782" s="1670"/>
      <c r="JZ782" s="1670"/>
      <c r="KB782" s="1670"/>
    </row>
    <row r="783" spans="1:288" s="78" customFormat="1" ht="5.0999999999999996" customHeight="1">
      <c r="B783" s="676"/>
      <c r="C783" s="392"/>
      <c r="D783" s="392"/>
      <c r="E783" s="1733"/>
      <c r="F783" s="1733"/>
      <c r="G783" s="1733"/>
      <c r="H783" s="1733"/>
      <c r="I783" s="1733"/>
      <c r="J783" s="1733"/>
      <c r="K783" s="1733"/>
      <c r="L783" s="1733"/>
      <c r="M783" s="1733"/>
      <c r="N783" s="1733"/>
      <c r="O783" s="1733"/>
      <c r="P783" s="1733"/>
      <c r="Q783" s="1733"/>
      <c r="R783" s="1733"/>
      <c r="S783" s="1733"/>
      <c r="T783" s="1733"/>
      <c r="U783" s="1733"/>
      <c r="V783" s="1733"/>
      <c r="W783" s="1733"/>
      <c r="X783" s="1733"/>
      <c r="Y783" s="1733"/>
      <c r="Z783" s="1733"/>
      <c r="AA783" s="1733"/>
      <c r="AB783" s="1733"/>
      <c r="AC783" s="1733"/>
      <c r="AD783" s="1733"/>
      <c r="AE783" s="1733"/>
      <c r="AF783" s="1733"/>
      <c r="AG783" s="1733"/>
      <c r="AH783" s="1733"/>
      <c r="AI783" s="1733"/>
      <c r="AJ783" s="1733"/>
      <c r="AK783" s="1733"/>
      <c r="AL783" s="1733"/>
      <c r="AM783" s="1733"/>
      <c r="AN783" s="1733"/>
      <c r="AO783" s="1733"/>
      <c r="AP783" s="1733"/>
      <c r="AQ783" s="1733"/>
      <c r="AR783" s="1733"/>
      <c r="AS783" s="1733"/>
      <c r="AT783" s="1733"/>
      <c r="AU783" s="1733"/>
      <c r="AV783" s="1733"/>
      <c r="AW783" s="1733"/>
      <c r="AX783" s="469"/>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663"/>
      <c r="CQ783" s="663"/>
      <c r="CR783" s="438"/>
      <c r="CS783" s="663"/>
      <c r="CV783" s="391"/>
      <c r="CW783" s="391"/>
      <c r="CX783" s="207"/>
      <c r="CY783" s="208"/>
      <c r="CZ783" s="208"/>
      <c r="DA783" s="208"/>
      <c r="DB783" s="209"/>
      <c r="DC783" s="209"/>
      <c r="DD783" s="209"/>
      <c r="DF783" s="664"/>
      <c r="DG783" s="665"/>
      <c r="DH783" s="666"/>
      <c r="DI783" s="667"/>
      <c r="DJ783" s="668"/>
      <c r="DK783" s="668"/>
      <c r="DN783" s="208"/>
      <c r="DO783" s="664"/>
      <c r="DQ783" s="664"/>
      <c r="DR783" s="669"/>
      <c r="DS783" s="391"/>
      <c r="DT783" s="664"/>
      <c r="DU783" s="664"/>
      <c r="DV783" s="664"/>
      <c r="DX783" s="664"/>
      <c r="DY783" s="664"/>
      <c r="DZ783" s="664"/>
      <c r="EA783" s="664"/>
      <c r="EC783" s="670"/>
      <c r="ED783" s="670"/>
      <c r="EF783" s="668"/>
      <c r="EG783" s="668"/>
      <c r="EH783" s="208"/>
      <c r="EI783" s="668"/>
      <c r="EJ783" s="668"/>
      <c r="EK783" s="207"/>
      <c r="EL783" s="207"/>
      <c r="EM783" s="666"/>
      <c r="EN783" s="671"/>
      <c r="EO783" s="671"/>
      <c r="EP783" s="672"/>
      <c r="EQ783" s="672"/>
      <c r="ER783" s="666"/>
      <c r="ES783" s="666"/>
      <c r="ET783" s="666"/>
      <c r="EV783" s="664"/>
      <c r="EX783" s="391"/>
      <c r="EY783" s="391"/>
      <c r="EZ783" s="391"/>
      <c r="FA783" s="391"/>
      <c r="FB783" s="391"/>
      <c r="FC783" s="391"/>
      <c r="FE783" s="569"/>
      <c r="FG783" s="391"/>
      <c r="FH783" s="391"/>
      <c r="FI783" s="391"/>
      <c r="FS783" s="664"/>
      <c r="FT783" s="391"/>
      <c r="FU783" s="391"/>
      <c r="FV783" s="664"/>
      <c r="FW783" s="664"/>
      <c r="GA783" s="663"/>
      <c r="GB783" s="663"/>
      <c r="GC783" s="663"/>
      <c r="GD783" s="663"/>
      <c r="GE783" s="663"/>
      <c r="GF783" s="663"/>
      <c r="GG783" s="663"/>
      <c r="GH783" s="663"/>
      <c r="GI783" s="665"/>
      <c r="GJ783" s="664"/>
      <c r="GK783" s="664"/>
    </row>
    <row r="784" spans="1:288" s="78" customFormat="1" ht="14.95" customHeight="1">
      <c r="B784" s="1845" t="str">
        <f>ID787</f>
        <v xml:space="preserve"> </v>
      </c>
      <c r="C784" s="1846">
        <f>C779+1</f>
        <v>143</v>
      </c>
      <c r="D784" s="1847"/>
      <c r="E784" s="1799" t="s">
        <v>295</v>
      </c>
      <c r="F784" s="1800"/>
      <c r="G784" s="1741"/>
      <c r="H784" s="1742"/>
      <c r="I784" s="1742"/>
      <c r="J784" s="1742"/>
      <c r="K784" s="1742"/>
      <c r="L784" s="1742"/>
      <c r="M784" s="1742"/>
      <c r="N784" s="1742"/>
      <c r="O784" s="1742"/>
      <c r="P784" s="1742"/>
      <c r="Q784" s="1742"/>
      <c r="R784" s="1742"/>
      <c r="S784" s="1791" t="s">
        <v>344</v>
      </c>
      <c r="T784" s="590"/>
      <c r="U784" s="1743"/>
      <c r="V784" s="1744"/>
      <c r="W784" s="1744"/>
      <c r="X784" s="1744"/>
      <c r="Y784" s="1744"/>
      <c r="Z784" s="1744"/>
      <c r="AA784" s="1744"/>
      <c r="AB784" s="961" t="str">
        <f>IFERROR(IF(__Retrofit_TI_NC=0,VLOOKUP(U785,Fixtures_Existing_List,2,FALSE),ROUND(N786*R786/T786,10)),"")</f>
        <v/>
      </c>
      <c r="AC784" s="935" t="str">
        <f>IFERROR(IF(__Retrofit_TI_NC=0,ROUND(T785*AB784*N785*R785/1000,0),IF(CQ784="Interior",N786*R786*R785*N785*_C406_reduction/1000,N786*R786*R785*N785/1000)),"")</f>
        <v/>
      </c>
      <c r="AD784" s="936" t="str">
        <f>IFERROR(IF(C$43=0,ROUND(T785*AB784/1000,2),N786*R786/1000),"")</f>
        <v/>
      </c>
      <c r="AE784" s="997"/>
      <c r="AF784" s="937"/>
      <c r="AG784" s="1745" t="str">
        <f>IF(__Retrofit_TI_NC=0," Control","Select Advanced Control for New System")</f>
        <v xml:space="preserve"> Control</v>
      </c>
      <c r="AH784" s="1745"/>
      <c r="AI784" s="1745"/>
      <c r="AJ784" s="1745"/>
      <c r="AK784" s="1745"/>
      <c r="AL784" s="1745"/>
      <c r="AM784" s="1746">
        <f>IFERROR(DI784,"")</f>
        <v>0</v>
      </c>
      <c r="AN784" s="1774" t="str">
        <f>IFERROR(ROUND(AM784*AC784,0),"")</f>
        <v/>
      </c>
      <c r="AO784" s="1776">
        <f>IFERROR(IF(IB784=FALSE,0,AC784-AN784),0)</f>
        <v>0</v>
      </c>
      <c r="AP784" s="1778">
        <f>AO784-AO786</f>
        <v>0</v>
      </c>
      <c r="AQ784" s="1779"/>
      <c r="AR784" s="1793">
        <f>IFERROR(IF(IB784=FALSE,0,(T786*U787)+(AF786*AG787)),0)</f>
        <v>0</v>
      </c>
      <c r="AS784" s="1793"/>
      <c r="AT784" s="1794"/>
      <c r="AU784" s="1734" t="s">
        <v>237</v>
      </c>
      <c r="AV784" s="1751">
        <f>IF(AU784="Yes",1,0)</f>
        <v>1</v>
      </c>
      <c r="AW784" s="1704" t="str">
        <f>IF(OR(DQ784=4,DQ784=5,DQ784=6,DQ784=12),CONCATENATE("$",IF(GH784=TRUE,Lookup!$K$10,Lookup!$K$2)," /lamp"),CONCATENATE(TEXT(ED784,"$0.00"),"/ kWh"))</f>
        <v>$0.00/ kWh</v>
      </c>
      <c r="AX784" s="467"/>
      <c r="AY784" s="1748">
        <f ca="1">IFERROR(IF(GM785=TRUE,(AB787*T786)/R786,0),"NA")</f>
        <v>0</v>
      </c>
      <c r="AZ784" s="1748"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696" t="str">
        <f>N785</f>
        <v/>
      </c>
      <c r="CQ784" s="1696" t="str">
        <f>IFERROR(VLOOKUP(G785,_Lookup_Heat_Type_Table_New,3,FALSE),"")</f>
        <v/>
      </c>
      <c r="CR784" s="1808" t="str">
        <f>CQ784</f>
        <v/>
      </c>
      <c r="CS784" s="1810" t="str">
        <f>IFERROR(VLOOKUP(G786,'Space Table'!$B$3:$L$163,9,FALSE),"")</f>
        <v/>
      </c>
      <c r="CU784" s="1688" t="s">
        <v>344</v>
      </c>
      <c r="CV784" s="1702">
        <f>IF(IB784=TRUE,T785,0)</f>
        <v>0</v>
      </c>
      <c r="CW784" s="1702" t="str">
        <f>IF(IB784=TRUE,U785,"")</f>
        <v/>
      </c>
      <c r="CX784" s="1702"/>
      <c r="CY784" s="1814">
        <f>IF(IB784=TRUE,AB784,0)</f>
        <v>0</v>
      </c>
      <c r="CZ784" s="1710">
        <f>IF(AND(__Retrofit_TI_NC&gt;0,CR784="interior"),0,IF(IB784=TRUE,AC784,0))</f>
        <v>0</v>
      </c>
      <c r="DA784" s="1814">
        <f>IFERROR(IF(IB784=TRUE,CZ784-CZ786,0),0)</f>
        <v>0</v>
      </c>
      <c r="DB784" s="1819">
        <f>IF(IB784=TRUE,AD784,0)</f>
        <v>0</v>
      </c>
      <c r="DC784" s="1819">
        <f>IF(IB784=TRUE,AD787,0)</f>
        <v>0</v>
      </c>
      <c r="DD784" s="1819">
        <f>IFERROR(DB784-DC784,0)</f>
        <v>0</v>
      </c>
      <c r="DF784" s="1702">
        <f>IF(IB784=TRUE,AF785,0)</f>
        <v>0</v>
      </c>
      <c r="DG784" s="1830">
        <f>IFERROR(IF(__Retrofit_TI_NC=2,IF(CQ784="Exterior",O787,FQ784),FN784),"")</f>
        <v>0</v>
      </c>
      <c r="DH784" s="1702"/>
      <c r="DI784" s="1837">
        <f>JE784</f>
        <v>0</v>
      </c>
      <c r="DJ784" s="1710">
        <f>IF(AND(__Retrofit_TI_NC&gt;0,CR784="interior"),0,IF(IB784=TRUE,AN784,0))</f>
        <v>0</v>
      </c>
      <c r="DK784" s="1712">
        <f>IFERROR(IF(IB784=TRUE,DJ786-DJ784,0),0)</f>
        <v>0</v>
      </c>
      <c r="DM784" s="1717">
        <f>IFERROR(CZ784-DJ784,0)</f>
        <v>0</v>
      </c>
      <c r="DO784" s="1708">
        <f>DM784-DN786</f>
        <v>0</v>
      </c>
      <c r="DQ784" s="1715" t="str">
        <f>IFERROR(IF(AND(OR(GC784=4,GC784=5,GC784=6),OR(GF784=4,GF784=5,GF784=6)),GC784+8,VLOOKUP(CW786,Fixtures!R$31:Y$78,8,FALSE)),"")</f>
        <v/>
      </c>
      <c r="DR784" s="1829" t="str">
        <f>DQ784</f>
        <v/>
      </c>
      <c r="DS784" s="1702" t="str">
        <f>IFERROR(VLOOKUP(DG786,Lookup!BB$3:BC$20,2,FALSE),"")</f>
        <v/>
      </c>
      <c r="DT784" s="1713" t="str">
        <f>IF(OR(DS784=7,DS784=8,DS784=9),"ALC","")</f>
        <v/>
      </c>
      <c r="DU784" s="1715">
        <f>IFERROR(IF(OR(DQ784=4,DQ784=5,DQ784=6,DQ784=12,DQ784=13,DQ784=14),VLOOKUP(CW786,Fixtures!DN$27:EG$77,19,FALSE),1)*CV786,0)</f>
        <v>0</v>
      </c>
      <c r="DV784" s="1716">
        <f>IF(OR(DS784=7,DS784=8,DS784=9),IF(DG784=DG786,0,DF786),0)</f>
        <v>0</v>
      </c>
      <c r="DX784" s="1715" t="str">
        <f>IFERROR(IF(EZ784&lt;EZ786,"Yes","No"),"")</f>
        <v/>
      </c>
      <c r="DY784" s="1829" t="str">
        <f>DX784</f>
        <v/>
      </c>
      <c r="DZ784" s="1715">
        <f>IF(DX784="Yes",DF786,0)</f>
        <v>0</v>
      </c>
      <c r="EA784" s="1715">
        <f>DZ784-DV784</f>
        <v>0</v>
      </c>
      <c r="EC784" s="1834">
        <f>IFERROR(VLOOKUP(DQ784,Lookup!AU$3:AV$16,2,FALSE),0)</f>
        <v>0</v>
      </c>
      <c r="ED784" s="1834">
        <f>IF(IB784=FALSE,0,IF(DX784="Yes",EC784+Lookup!K$6,EC784))</f>
        <v>0</v>
      </c>
      <c r="EF784" s="1707">
        <f>IF(IB784=TRUE,DM784,0)</f>
        <v>0</v>
      </c>
      <c r="EG784" s="1712">
        <f>IF(IB784=TRUE,CZ786,0)</f>
        <v>0</v>
      </c>
      <c r="EH784" s="1814">
        <f>IFERROR(EF784-EG784,0)</f>
        <v>0</v>
      </c>
      <c r="EI784" s="1712">
        <f>IF(IB784=TRUE,DJ786,0)</f>
        <v>0</v>
      </c>
      <c r="EJ784" s="1712">
        <f>IFERROR(EF784-EG784+EI784,0)</f>
        <v>0</v>
      </c>
      <c r="EK784" s="1812">
        <f>IF(IB784=TRUE,CV786*CX786,0)</f>
        <v>0</v>
      </c>
      <c r="EL784" s="1812">
        <f>IF(IB784=TRUE,DF786*DH786,0)</f>
        <v>0</v>
      </c>
      <c r="EM784" s="1807">
        <f>AR784</f>
        <v>0</v>
      </c>
      <c r="EN784" s="1839" t="str">
        <f>IFERROR(IF(IB784=TRUE,VLOOKUP(DQ784,Lookup!AU$3:AW$16,3,FALSE)*DU784,""),0)</f>
        <v/>
      </c>
      <c r="EO784" s="1839">
        <f>IF(IB784=TRUE,DZ784*Lookup!AW$12,0)</f>
        <v>0</v>
      </c>
      <c r="EP784" s="1817">
        <f>IFERROR(IF(IB784=TRUE,EN784/EP$40,0),0)</f>
        <v>0</v>
      </c>
      <c r="EQ784" s="1817">
        <f>IF(IB784=TRUE,EO784/EQ$40,0)</f>
        <v>0</v>
      </c>
      <c r="ER784" s="1807">
        <f>IF(IB784=TRUE,ET$40*EP784,0)</f>
        <v>0</v>
      </c>
      <c r="ES784" s="1807">
        <f>IF(IB784=TRUE,ET$40*EQ784,0)</f>
        <v>0</v>
      </c>
      <c r="ET784" s="1807">
        <f>ER784+ES784</f>
        <v>0</v>
      </c>
      <c r="EV784" s="1715">
        <f>IF(G784="",0,1)</f>
        <v>0</v>
      </c>
      <c r="EX784" s="1804" t="str">
        <f>IFERROR(VLOOKUP(CS786,'Space Table'!$B$3:$L$163,8,FALSE),"")</f>
        <v/>
      </c>
      <c r="EY784" s="1804" t="str">
        <f>IFERROR(IF(FB784="Yes",VLOOKUP(DG784,Lookup_Control_Type_Table2,4,FALSE),VLOOKUP(DG784,Lookup_Control_Type_Table2,3,FALSE)),"")</f>
        <v/>
      </c>
      <c r="EZ784" s="1804" t="e">
        <f>VLOOKUP(DG784,Lookup!BB$3:BC$20,2,FALSE)</f>
        <v>#N/A</v>
      </c>
      <c r="FA784" s="1804" t="e">
        <f>VLOOKUP(EX784,Lookup_Control_Type_Table,2,FALSE)</f>
        <v>#N/A</v>
      </c>
      <c r="FB784" s="1804" t="e">
        <f>VLOOKUP(CS786,'Space Table'!$B$3:$L$163,7,FALSE)</f>
        <v>#N/A</v>
      </c>
      <c r="FC784" s="1826" t="b">
        <f>ISNUMBER(SEARCH("TLED",U786))</f>
        <v>0</v>
      </c>
      <c r="FE784" s="1698" t="str">
        <f>CONCATENATE(CQ784," - ",DG784)</f>
        <v xml:space="preserve"> - 0</v>
      </c>
      <c r="FG784" s="1702" t="str">
        <f>VLOOKUP(CW786,Fixtures!DN$27:EZ$77,38,FALSE)</f>
        <v/>
      </c>
      <c r="FH784" s="1702">
        <f>IFERROR(FG784*EH784,0)</f>
        <v>0</v>
      </c>
      <c r="FI784" s="133"/>
      <c r="FL784" s="1822" t="str">
        <f>IF(CQ784="Exterior","Not Daylighted",G787)</f>
        <v>Not Daylighted</v>
      </c>
      <c r="FM784" s="1824">
        <f>VLOOKUP(FL784,_New_Daylight_Table_Codes,2,FALSE)</f>
        <v>0</v>
      </c>
      <c r="FN784" s="1698">
        <f>IF(__Retrofit_TI_NC&gt;0,VLOOKUP(G786,'Space Table'!$B$3:$L$163,11,FALSE),AG785)</f>
        <v>0</v>
      </c>
      <c r="FO784" s="1698" t="e">
        <f>IF(__Retrofit_TI_NC=2,VLOOKUP(FQ784,_Control_Table,2,FALSE),VLOOKUP(FN784,_Control_Table,2,FALSE))</f>
        <v>#N/A</v>
      </c>
      <c r="FP784" s="1678" t="e">
        <f>VLOOKUP(CONCATENATE(FL784," ",FN784),Lookup!AY$102:AZ794,2,FALSE)</f>
        <v>#N/A</v>
      </c>
      <c r="FQ784" s="1678">
        <f>IF(__Retrofit_TI_NC=0,FN784,IF(AND(FT784&gt;0,FN784="Occupancy Sensor"),"Daylight + Occupancy",IF(AND(FT784&gt;0,VLOOKUP(FN784,_Control_Table,2,FALSE)&lt;4),"Interior Daylight Dimming",FN784)))</f>
        <v>0</v>
      </c>
      <c r="FS784" s="1686">
        <f>IF(CR784="Interior",VLOOKUP(CS784,Control_Savings_Interior,5,FALSE),0)</f>
        <v>0</v>
      </c>
      <c r="FT784" s="1687">
        <f>IF(CQ784="Exterior",0,IF(FM784=2,0.5,IF(OR(FM784=1,FM784=3),1,0)))</f>
        <v>0</v>
      </c>
      <c r="FU784" s="1685">
        <f>IF(R783&gt;FS$44,(FS784*(FS$44/R783)),FS784)*FT784</f>
        <v>0</v>
      </c>
      <c r="FV784" s="1686">
        <f>DI784</f>
        <v>0</v>
      </c>
      <c r="FW784" s="1686">
        <f>ROUND(FV784+((1-FV784)*FU784),2)</f>
        <v>0</v>
      </c>
      <c r="FX784" s="1686">
        <f>IF(__Retrofit_TI_NC=2,FW784,FV784)</f>
        <v>0</v>
      </c>
      <c r="FY784" s="1697"/>
      <c r="GA784" s="1696" t="str">
        <f>IFERROR(VLOOKUP(U785,_Exist_Fixture_Table,3,FALSE),"")</f>
        <v/>
      </c>
      <c r="GB784" s="1696" t="str">
        <f>VLOOKUP(CW784,_Exist_Fixture_Table,4,FALSE)</f>
        <v/>
      </c>
      <c r="GC784" s="1696">
        <f>IFERROR(VLOOKUP(GB784,Lookup!AT$6:AU$8,2,FALSE),0)</f>
        <v>0</v>
      </c>
      <c r="GD784" s="1696" t="b">
        <f>IFERROR(IF(OR(GF784=4,GF784=5,GF784=6),TRUE,FALSE),"")</f>
        <v>0</v>
      </c>
      <c r="GE784" s="1696" t="str">
        <f>IFERROR(VLOOKUP(GF784,GC$6:GD$10,2,FALSE),"")</f>
        <v/>
      </c>
      <c r="GF784" s="1696" t="str">
        <f>VLOOKUP(CW786,Fixtures!R$31:Y$78,8,FALSE)</f>
        <v/>
      </c>
      <c r="GG784" s="1696">
        <f>IF(AND(GA784=TRUE,GD784=TRUE,OR(DQ784=12,DQ784=13,DQ784=14)),GC784+8,0)</f>
        <v>0</v>
      </c>
      <c r="GH784" s="1696" t="b">
        <f>IF(OR(GG784=12,GG784=13,GG784=14),TRUE,FALSE)</f>
        <v>0</v>
      </c>
      <c r="GI784" s="673" t="b">
        <f>IF(ISNUMBER(SEARCH("TLED",U785)),TRUE,FALSE)</f>
        <v>0</v>
      </c>
      <c r="GJ784" s="1135" t="str">
        <f>IFERROR(VLOOKUP(U785,Fixtures!BM$93:BR$142,6,FALSE),"")</f>
        <v/>
      </c>
      <c r="GK784" s="1832" t="b">
        <f>IF(OR(GI784=FALSE,GI786=FALSE),TRUE,IF(GJ784-GJ786&lt;5,FALSE,TRUE))</f>
        <v>1</v>
      </c>
      <c r="GO784" s="674">
        <f>GP784</f>
        <v>0</v>
      </c>
      <c r="GP784" s="674">
        <f>IF(G784="",0,1)</f>
        <v>0</v>
      </c>
      <c r="GQ784" s="674">
        <f ca="1">SUM(GR784:HF784)</f>
        <v>2</v>
      </c>
      <c r="GR784" s="674">
        <f>IF(G785="",0,1)</f>
        <v>0</v>
      </c>
      <c r="GS784" s="674">
        <f>IF(N787="BAM",1,IF(G786="",0,1))</f>
        <v>0</v>
      </c>
      <c r="GT784" s="674">
        <f>IF(N787="BAM",1,IF(R785="",0,1))</f>
        <v>0</v>
      </c>
      <c r="GU784" s="674">
        <f>IF(N787="BAM",1,IF(__Retrofit_TI_NC=0,1,IF(R786="",0,1)))</f>
        <v>1</v>
      </c>
      <c r="GV784" s="674">
        <f>IF(N787="BAM",1,IF(CQ784="Exterior",1,IF(G787="",0,1)))</f>
        <v>1</v>
      </c>
      <c r="GW784" s="674">
        <f>IF(__Retrofit_TI_NC&gt;0,1,IF(T785="",0,1))</f>
        <v>0</v>
      </c>
      <c r="GX784" s="674">
        <f>IF(__Retrofit_TI_NC&gt;0,1,IF(U785="",0,1))</f>
        <v>0</v>
      </c>
      <c r="GY784" s="674">
        <f>IF(N787="BAM",1,IF(T786="",0,1))</f>
        <v>0</v>
      </c>
      <c r="GZ784" s="674">
        <f>IF(N787="BAM",1,IF(U786="",0,1))</f>
        <v>0</v>
      </c>
      <c r="HA784" s="674">
        <f ca="1">IF(N787="BAM",1,IF(__Retrofit_TI_NC&gt;0,1,IF(U787="",0,1)))</f>
        <v>0</v>
      </c>
      <c r="HB784" s="674">
        <f>IF(__Retrofit_TI_NC&lt;&gt;0,1,IF(AF785="",0,1))</f>
        <v>0</v>
      </c>
      <c r="HC784" s="674">
        <f>IF(__Retrofit_TI_NC&lt;&gt;0,1,IF(AG785="",0,1))</f>
        <v>0</v>
      </c>
      <c r="HD784" s="674">
        <f>IF(N787="BAM",1,IF(AF786="",0,1))</f>
        <v>0</v>
      </c>
      <c r="HE784" s="674">
        <f>IF(N787="BAM",1,IF(AG786="",0,1))</f>
        <v>0</v>
      </c>
      <c r="HF784" s="674">
        <f>IF(N787="BAM",1,IF(__Retrofit_TI_NC&gt;0,1,IF(AG787="",0,1)))</f>
        <v>0</v>
      </c>
      <c r="HG784" s="391"/>
      <c r="IA784" s="391"/>
      <c r="IB784" s="1693" t="b">
        <f>IF(OR(IB787=0,IB787=HY$16,IB787=HX$16,IB787=HZ$16),TRUE,FALSE)</f>
        <v>0</v>
      </c>
      <c r="IC784" s="1694" t="b">
        <f>IB784</f>
        <v>0</v>
      </c>
      <c r="ID784" s="391"/>
      <c r="IE784" s="391"/>
      <c r="IF784" s="1688" t="b">
        <f ca="1">IF(MAX(GN787:HU787)&gt;5,FALSE,TRUE)</f>
        <v>0</v>
      </c>
      <c r="IG784" s="1689">
        <f ca="1">IF(IF784=TRUE,AC784,0)</f>
        <v>0</v>
      </c>
      <c r="IH784" s="1689">
        <f ca="1">IG784-IG786</f>
        <v>0</v>
      </c>
      <c r="IK784" s="1689" t="e">
        <f>ROUND(T785*VLOOKUP(U785,Fixtures_Existing_List,2,FALSE)*N785*R785/1000,0)</f>
        <v>#N/A</v>
      </c>
      <c r="IL784" s="1690" t="e">
        <f>IK784-IK786</f>
        <v>#N/A</v>
      </c>
      <c r="IM784" s="1693" t="e">
        <f>ROUND(IF(CQ784="Interior",N786*R786*R785*N785*_C406_reduction/1000,N786*R786*R785*N785/1000),0)</f>
        <v>#N/A</v>
      </c>
      <c r="IN784" s="1693" t="e">
        <f>IM784-IM786</f>
        <v>#N/A</v>
      </c>
      <c r="IP784" s="1679"/>
      <c r="IQ784" s="1679" t="e">
        <f t="shared" ref="IQ784:IU784" si="726">IF($CR784="interior",VLOOKUP($CS784,_New_Control_Savings_Interior,IQ$30,FALSE),VLOOKUP($CS784,Control_Savings_Exterior,IQ$30,FALSE))</f>
        <v>#N/A</v>
      </c>
      <c r="IR784" s="1679" t="e">
        <f t="shared" si="726"/>
        <v>#N/A</v>
      </c>
      <c r="IS784" s="1679" t="e">
        <f t="shared" si="726"/>
        <v>#N/A</v>
      </c>
      <c r="IT784" s="1679" t="e">
        <f t="shared" si="726"/>
        <v>#N/A</v>
      </c>
      <c r="IU784" s="1679" t="e">
        <f t="shared" si="726"/>
        <v>#N/A</v>
      </c>
      <c r="IV784" s="1679" t="e">
        <f>IF($CR784="interior",IF(R785&gt;$IP$14,ROUND(($IV$18*($IP$14/R785)),2),$IV$18),VLOOKUP($CS784,Control_Savings_Exterior,IV$30,FALSE))</f>
        <v>#N/A</v>
      </c>
      <c r="IW784" s="1679" t="e">
        <f>IF($CR784="interior",ROUND(((1-IS784)*IV784)+IS784,2),VLOOKUP($CS784,Control_Savings_Exterior,IW$30,FALSE))</f>
        <v>#N/A</v>
      </c>
      <c r="IX784" s="1679" t="e">
        <f>IF($CR784="interior",ROUND(((1-IT784)*IV784)+IT784,2),VLOOKUP($CS784,Control_Savings_Exterior,IX$30,FALSE))</f>
        <v>#N/A</v>
      </c>
      <c r="IY784" s="1679" t="e">
        <f>IF($CR784="interior",IF(R785&gt;$IP$14,ROUND(($IY$18*($IP$14/R785)),2),$IY$18),VLOOKUP($CS784,Control_Savings_Exterior,IY$30,FALSE))</f>
        <v>#N/A</v>
      </c>
      <c r="IZ784" s="1679" t="e">
        <f>IF($CR784="interior",ROUND(((1-IS784)*IY784)+IS784,2),VLOOKUP($CS784,Control_Savings_Exterior,IZ$30,FALSE))</f>
        <v>#N/A</v>
      </c>
      <c r="JA784" s="1679" t="e">
        <f>IF($CR784="interior",ROUND(((1-IT784)*IY784)+IT784,2),VLOOKUP($CS784,Control_Savings_Exterior,JA$30,FALSE))</f>
        <v>#N/A</v>
      </c>
      <c r="JC784" s="1680">
        <f>IFERROR(IF(CR784="Interior",CONCATENATE(G787," ",FQ784),FQ784),"")</f>
        <v>0</v>
      </c>
      <c r="JD784" s="1670" t="str">
        <f>IFERROR(VLOOKUP(JC784,_Controls_2023,2,FALSE),"")</f>
        <v/>
      </c>
      <c r="JE784" s="1681">
        <f>IFERROR(CHOOSE(JD784-1,IQ784,IR784,IS784,IT784,IU784,IV784,IW784,IX784,IY784,IZ784,JA784),0)</f>
        <v>0</v>
      </c>
      <c r="JG784" s="1680" t="str">
        <f>FE784</f>
        <v xml:space="preserve"> - 0</v>
      </c>
      <c r="JH784" s="1670" t="e">
        <f>$FO784</f>
        <v>#N/A</v>
      </c>
      <c r="JI784" s="1060"/>
      <c r="JJ784" s="1682" t="b">
        <f>IF($JG786=CONCATENATE("Interior - ",JJ$4),TRUE,FALSE)</f>
        <v>0</v>
      </c>
      <c r="JK784" s="1061"/>
      <c r="JL784" s="1682" t="b">
        <f>IF($JG786=CONCATENATE("Interior - ",JL$4),TRUE,FALSE)</f>
        <v>0</v>
      </c>
      <c r="JM784" s="1061"/>
      <c r="JN784" s="1682" t="b">
        <f>IF($JG786=CONCATENATE("Interior - ",JN$4),TRUE,FALSE)</f>
        <v>0</v>
      </c>
      <c r="JO784" s="1061"/>
      <c r="JP784" s="1682" t="b">
        <f>IF(__Retrofit_TI_NC&gt;0,FALSE,IF($JG786=CONCATENATE("Interior - ",JP$4),TRUE,FALSE))</f>
        <v>0</v>
      </c>
      <c r="JQ784" s="1061"/>
      <c r="JR784" s="1682" t="b">
        <f>IF(__Retrofit_TI_NC&gt;0,FALSE,IF($JG786=CONCATENATE("Interior - ",JR$4),TRUE,FALSE))</f>
        <v>0</v>
      </c>
      <c r="JS784" s="1061"/>
      <c r="JT784" s="1670" t="b">
        <f>IF(__Retrofit_TI_NC&gt;0,FALSE,IF($JG786=CONCATENATE("Interior - ",JT$4),TRUE,FALSE))</f>
        <v>0</v>
      </c>
      <c r="JU784" s="1061"/>
      <c r="JV784" s="1670" t="b">
        <f>IF(JC786="AELC on Existing",TRUE,FALSE)</f>
        <v>0</v>
      </c>
      <c r="JX784" s="1670" t="b">
        <f>IF(OR(JG786="Exterior - AELC Occupancy based",JG786="Exterior - AELC Time based"),TRUE,FALSE)</f>
        <v>0</v>
      </c>
      <c r="JZ784" s="1682" t="b">
        <f>IF($JG786=CONCATENATE("Exterior - ",JZ$4),TRUE,FALSE)</f>
        <v>0</v>
      </c>
      <c r="KB784" s="1670" t="b">
        <f>IF(__Retrofit_TI_NC&gt;0,FALSE,IF($JG786=CONCATENATE("Interior - ",KB$4),TRUE,FALSE))</f>
        <v>0</v>
      </c>
    </row>
    <row r="785" spans="1:288" s="78" customFormat="1" ht="14.95" customHeight="1" thickTop="1" thickBot="1">
      <c r="B785" s="1845"/>
      <c r="C785" s="1846"/>
      <c r="D785" s="1847"/>
      <c r="E785" s="1737" t="s">
        <v>297</v>
      </c>
      <c r="F785" s="1738"/>
      <c r="G785" s="1739"/>
      <c r="H785" s="1739"/>
      <c r="I785" s="1739"/>
      <c r="J785" s="1739"/>
      <c r="K785" s="1739"/>
      <c r="L785" s="1739"/>
      <c r="M785" s="461" t="e">
        <f>IF(__Retrofit_TI_NC&lt;&gt;0,IF(VLOOKUP(G786,'Space Table'!$B$3:$L$163,3,FALSE)&gt;0,1,0),IF(__Retrofit_TI_NC=VLOOKUP(G786,'Space Table'!$B$3:$L$163,3,FALSE),1,0))</f>
        <v>#N/A</v>
      </c>
      <c r="N785" s="461" t="str">
        <f>IFERROR(VLOOKUP(G785,_Lookup_Heat_Type_Table_New,2,FALSE),"")</f>
        <v/>
      </c>
      <c r="O785" s="461">
        <f>IF(__Retrofit_TI_NC=1,CONCATENATE("TI ",G785),IF(__Retrofit_TI_NC=2,CONCATENATE("NC ",G785),G785))</f>
        <v>0</v>
      </c>
      <c r="P785" s="1740" t="s">
        <v>435</v>
      </c>
      <c r="Q785" s="1740"/>
      <c r="R785" s="595"/>
      <c r="S785" s="1792"/>
      <c r="T785" s="597"/>
      <c r="U785" s="1765"/>
      <c r="V785" s="1766"/>
      <c r="W785" s="1766"/>
      <c r="X785" s="1766"/>
      <c r="Y785" s="1766"/>
      <c r="Z785" s="1766"/>
      <c r="AA785" s="1766"/>
      <c r="AB785" s="1766"/>
      <c r="AC785" s="1766"/>
      <c r="AD785" s="1767"/>
      <c r="AE785" s="1000"/>
      <c r="AF785" s="597"/>
      <c r="AG785" s="1723"/>
      <c r="AH785" s="1724"/>
      <c r="AI785" s="1724"/>
      <c r="AJ785" s="1724"/>
      <c r="AK785" s="1725"/>
      <c r="AL785" s="996"/>
      <c r="AM785" s="1747"/>
      <c r="AN785" s="1775"/>
      <c r="AO785" s="1777"/>
      <c r="AP785" s="1780"/>
      <c r="AQ785" s="1781"/>
      <c r="AR785" s="1795"/>
      <c r="AS785" s="1795"/>
      <c r="AT785" s="1796"/>
      <c r="AU785" s="1735"/>
      <c r="AV785" s="1752"/>
      <c r="AW785" s="1705"/>
      <c r="AX785" s="467"/>
      <c r="AY785" s="1749"/>
      <c r="AZ785" s="1749"/>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696"/>
      <c r="CQ785" s="1696"/>
      <c r="CR785" s="1809"/>
      <c r="CS785" s="1811"/>
      <c r="CU785" s="1688"/>
      <c r="CV785" s="1703"/>
      <c r="CW785" s="1703"/>
      <c r="CX785" s="1703"/>
      <c r="CY785" s="1815"/>
      <c r="CZ785" s="1711"/>
      <c r="DA785" s="1818"/>
      <c r="DB785" s="1820"/>
      <c r="DC785" s="1820"/>
      <c r="DD785" s="1820"/>
      <c r="DF785" s="1703"/>
      <c r="DG785" s="1831"/>
      <c r="DH785" s="1703"/>
      <c r="DI785" s="1838"/>
      <c r="DJ785" s="1711"/>
      <c r="DK785" s="1712"/>
      <c r="DM785" s="1718"/>
      <c r="DO785" s="1708"/>
      <c r="DQ785" s="1715"/>
      <c r="DR785" s="1720"/>
      <c r="DS785" s="1816"/>
      <c r="DT785" s="1714"/>
      <c r="DU785" s="1715"/>
      <c r="DV785" s="1716"/>
      <c r="DX785" s="1715"/>
      <c r="DY785" s="1720"/>
      <c r="DZ785" s="1715"/>
      <c r="EA785" s="1715"/>
      <c r="EC785" s="1834"/>
      <c r="ED785" s="1834"/>
      <c r="EF785" s="1707"/>
      <c r="EG785" s="1712"/>
      <c r="EH785" s="1818"/>
      <c r="EI785" s="1712"/>
      <c r="EJ785" s="1712"/>
      <c r="EK785" s="1836"/>
      <c r="EL785" s="1836"/>
      <c r="EM785" s="1807"/>
      <c r="EN785" s="1839"/>
      <c r="EO785" s="1839"/>
      <c r="EP785" s="1817"/>
      <c r="EQ785" s="1817"/>
      <c r="ER785" s="1807"/>
      <c r="ES785" s="1807"/>
      <c r="ET785" s="1807"/>
      <c r="EV785" s="1715"/>
      <c r="EX785" s="1805"/>
      <c r="EY785" s="1805"/>
      <c r="EZ785" s="1805"/>
      <c r="FA785" s="1805"/>
      <c r="FB785" s="1805"/>
      <c r="FC785" s="1827"/>
      <c r="FE785" s="1698"/>
      <c r="FG785" s="1816"/>
      <c r="FH785" s="1816"/>
      <c r="FI785" s="133"/>
      <c r="FL785" s="1823"/>
      <c r="FM785" s="1825"/>
      <c r="FN785" s="1698"/>
      <c r="FO785" s="1698"/>
      <c r="FP785" s="1678"/>
      <c r="FQ785" s="1678"/>
      <c r="FS785" s="1687"/>
      <c r="FT785" s="1687"/>
      <c r="FU785" s="1685"/>
      <c r="FV785" s="1687"/>
      <c r="FW785" s="1687"/>
      <c r="FX785" s="1687"/>
      <c r="FY785" s="1697"/>
      <c r="GA785" s="1696"/>
      <c r="GB785" s="1696"/>
      <c r="GC785" s="1696"/>
      <c r="GD785" s="1696"/>
      <c r="GE785" s="1696"/>
      <c r="GF785" s="1696"/>
      <c r="GG785" s="1696"/>
      <c r="GH785" s="1696"/>
      <c r="GI785" s="673"/>
      <c r="GJ785" s="1135"/>
      <c r="GK785" s="1832"/>
      <c r="GM785" s="1693" t="b">
        <f ca="1">IF(AND(GP785=TRUE,GQ785=TRUE),TRUE,FALSE)</f>
        <v>0</v>
      </c>
      <c r="GN785" s="1684" t="b">
        <f>IFERROR(IF(__Retrofit_TI_NC=2,TRUE,IF(AU784="Yes",TRUE,FALSE)),FALSE)</f>
        <v>1</v>
      </c>
      <c r="GP785" s="1684" t="b">
        <f>IFERROR(IF(GP784=1,TRUE,FALSE),FALSE)</f>
        <v>0</v>
      </c>
      <c r="GQ785" s="1684" t="b">
        <f ca="1">IFERROR(IF(GQ784=GQ$14,TRUE,FALSE),FALSE)</f>
        <v>0</v>
      </c>
      <c r="HG785" s="1684" t="b">
        <f>IFERROR(IF(AND(__Retrofit_TI_NC&gt;0,CQ784="Interior"),FALSE,TRUE),FALSE)</f>
        <v>1</v>
      </c>
      <c r="HH785" s="1684" t="b">
        <f>IFERROR(IF(M785=1,TRUE,FALSE),FALSE)</f>
        <v>0</v>
      </c>
      <c r="HI785" s="1684" t="b">
        <f>IFERROR(IF(OR(M786=1,N787="BAM"),TRUE,FALSE),FALSE)</f>
        <v>0</v>
      </c>
      <c r="HJ785" s="1684" t="b">
        <f>IFERROR(IF(__Retrofit_TI_NC&lt;&gt;0,TRUE,IFERROR(IF(VLOOKUP(U785,Fixtures_Existing_List,2,FALSE)&lt;&gt;"",TRUE,FALSE),FALSE)),FALSE)</f>
        <v>0</v>
      </c>
      <c r="HK785" s="1684" t="b">
        <f>IFERROR(IF(VLOOKUP(U786,Fixtures_Proposed_List,2,FALSE)&lt;&gt;"",TRUE,FALSE),FALSE)</f>
        <v>0</v>
      </c>
      <c r="HL785" s="1684" t="b">
        <f>IF(AND(__Retrofit_TI_NC=2,FC784=TRUE),FALSE,TRUE)</f>
        <v>1</v>
      </c>
      <c r="HM785" s="1684" t="b">
        <f>GK784</f>
        <v>1</v>
      </c>
      <c r="HN785" s="1682" t="b">
        <f>IF(ISERROR(MATCH(FE784,_Control_Match[],0))=TRUE,FALSE,TRUE)</f>
        <v>0</v>
      </c>
      <c r="HO785" s="1693" t="b">
        <f>IFERROR(IF(EX784&lt;&gt;EY784,FALSE,TRUE),FALSE)</f>
        <v>1</v>
      </c>
      <c r="HP785" s="1693" t="b">
        <f>IFERROR(IF(EX786&lt;&gt;EY786,FALSE,TRUE),FALSE)</f>
        <v>1</v>
      </c>
      <c r="HQ785" s="1670" t="b">
        <f>IFERROR(IF(CQ784="Exterior",TRUE,IF(AND(OR(FM786=0,FM786=3),JD786&gt;6),FALSE,TRUE)),FALSE)</f>
        <v>0</v>
      </c>
      <c r="HR785" s="1684" t="b">
        <f>IFERROR(IF(AND(FO786=7,FC784=TRUE),FALSE,TRUE),FALSE)</f>
        <v>0</v>
      </c>
      <c r="HS785" s="1684" t="b">
        <f>IFERROR(IF(AND(T786&lt;&gt;AF786,OR(AG786="Interior LLLC", AG786="Interior NLC", AG786="LLLC (outside Daylight)",AG786="LLLC Controls Only"))=TRUE,FALSE,TRUE),FALSE)</f>
        <v>1</v>
      </c>
      <c r="HT785" s="1670" t="b">
        <f>IFERROR(IF(OR(AG786=Lookup!BB$17,AG786=Lookup!BB$18,AG786=Lookup!BB$19)=TRUE,IF(AF786&gt;T786,FALSE,TRUE),TRUE),FALSE)</f>
        <v>1</v>
      </c>
      <c r="HU785" s="1684" t="b">
        <f>IFERROR(IF(__Retrofit_TI_NC=2,IF(EZ786&lt;EZ784,FALSE,TRUE),TRUE),FALSE)</f>
        <v>1</v>
      </c>
      <c r="HV785" s="1684" t="b">
        <f>IF(CQ784="Interior",IL$6,TRUE)</f>
        <v>1</v>
      </c>
      <c r="HW785" s="1684" t="b">
        <f>IF(CQ784="Exterior",IL$8,TRUE)</f>
        <v>1</v>
      </c>
      <c r="HX785" s="1684" t="b">
        <f>IFERROR(IF(__Retrofit_TI_NC&lt;&gt;0,IF(AZ784&lt;AY784,FALSE,TRUE),TRUE),FALSE)</f>
        <v>1</v>
      </c>
      <c r="HY785" s="1684" t="b">
        <f>IFERROR(IF(AND(G785="Exterior",R785&gt;4200),FALSE,TRUE),FALSE)</f>
        <v>1</v>
      </c>
      <c r="HZ785" s="1684" t="b">
        <f>IFERROR(IF(AB787/AB784&lt;HZ$18,FALSE,TRUE),FALSE)</f>
        <v>0</v>
      </c>
      <c r="IB785" s="1691"/>
      <c r="IC785" s="1695"/>
      <c r="ID785" s="1694" t="str">
        <f>VLOOKUP(IB787,_Error_Table,4,FALSE)</f>
        <v>White</v>
      </c>
      <c r="IE785" s="391"/>
      <c r="IF785" s="1688"/>
      <c r="IG785" s="1689"/>
      <c r="IH785" s="1684"/>
      <c r="IK785" s="1689"/>
      <c r="IL785" s="1691"/>
      <c r="IM785" s="1691"/>
      <c r="IN785" s="1691"/>
      <c r="IP785" s="1679"/>
      <c r="IQ785" s="1679"/>
      <c r="IR785" s="1679"/>
      <c r="IS785" s="1679"/>
      <c r="IT785" s="1679"/>
      <c r="IU785" s="1679"/>
      <c r="IV785" s="1679"/>
      <c r="IW785" s="1679"/>
      <c r="IX785" s="1679"/>
      <c r="IY785" s="1679"/>
      <c r="IZ785" s="1679"/>
      <c r="JA785" s="1679"/>
      <c r="JC785" s="1680"/>
      <c r="JD785" s="1670"/>
      <c r="JE785" s="1681"/>
      <c r="JG785" s="1680"/>
      <c r="JH785" s="1670"/>
      <c r="JI785" s="1060"/>
      <c r="JJ785" s="1683"/>
      <c r="JK785" s="1061"/>
      <c r="JL785" s="1683"/>
      <c r="JM785" s="1061"/>
      <c r="JN785" s="1683"/>
      <c r="JO785" s="1061"/>
      <c r="JP785" s="1683"/>
      <c r="JQ785" s="1061"/>
      <c r="JR785" s="1683"/>
      <c r="JS785" s="1061"/>
      <c r="JT785" s="1670"/>
      <c r="JU785" s="1061"/>
      <c r="JV785" s="1670"/>
      <c r="JX785" s="1670"/>
      <c r="JZ785" s="1683"/>
      <c r="KB785" s="1670"/>
    </row>
    <row r="786" spans="1:288" s="78" customFormat="1" ht="14.95" customHeight="1" thickTop="1" thickBot="1">
      <c r="A786" s="78">
        <f>ROW()</f>
        <v>786</v>
      </c>
      <c r="B786" s="1845"/>
      <c r="C786" s="1846"/>
      <c r="D786" s="1847"/>
      <c r="E786" s="1737" t="s">
        <v>298</v>
      </c>
      <c r="F786" s="1738"/>
      <c r="G786" s="1760"/>
      <c r="H786" s="1761"/>
      <c r="I786" s="1761"/>
      <c r="J786" s="1761"/>
      <c r="K786" s="1761"/>
      <c r="L786" s="1762"/>
      <c r="M786" s="461">
        <f>IFERROR(IF(IF(__Retrofit_TI_NC&lt;&gt;0,IF(CQ784="Interior",MATCH(G786,Lookup_Interior_New,0),MATCH(G786,Lookup_Exterior_New,0)),IF(CQ784="Interior",MATCH(G786,Lookup_Interior,0),MATCH(G786,Lookup_Exterior_Areas,0)))&gt;0,1,0),0)</f>
        <v>0</v>
      </c>
      <c r="N786" s="461" t="e">
        <f>IF(__Retrofit_TI_NC=1,
VLOOKUP(G786,'Space Table'!$B$3:$L$163,4,FALSE),
IF(__Retrofit_TI_NC=2,VLOOKUP(G786,'Space Table'!$B$3:$L$163,5,FALSE),VLOOKUP(G786,'Space Table'!$B$3:$L$163,5,FALSE)))</f>
        <v>#N/A</v>
      </c>
      <c r="O786" s="461">
        <f>G786</f>
        <v>0</v>
      </c>
      <c r="P786" s="1738" t="str">
        <f>IFERROR(IF(__Retrofit_TI_NC=1,VLOOKUP(G786,'Space Table'!$B$3:$O$163,13,FALSE),IF(__Retrofit_TI_NC=2,VLOOKUP(G786,'Space Table'!$B$3:$O$163,14,FALSE),"Area (sf):")),"Area (sf):")</f>
        <v>Area (sf):</v>
      </c>
      <c r="Q786" s="1738"/>
      <c r="R786" s="596"/>
      <c r="S786" s="1763" t="s">
        <v>345</v>
      </c>
      <c r="T786" s="594"/>
      <c r="U786" s="1801"/>
      <c r="V786" s="1802"/>
      <c r="W786" s="1802"/>
      <c r="X786" s="1802"/>
      <c r="Y786" s="1802"/>
      <c r="Z786" s="1802"/>
      <c r="AA786" s="1802"/>
      <c r="AB786" s="1802"/>
      <c r="AC786" s="1802"/>
      <c r="AD786" s="1802"/>
      <c r="AE786" s="1803"/>
      <c r="AF786" s="594"/>
      <c r="AG786" s="1787"/>
      <c r="AH786" s="1787"/>
      <c r="AI786" s="1787"/>
      <c r="AJ786" s="1787"/>
      <c r="AK786" s="1787"/>
      <c r="AL786" s="1787"/>
      <c r="AM786" s="1726">
        <f>IFERROR(DI786,"")</f>
        <v>0</v>
      </c>
      <c r="AN786" s="1728" t="str">
        <f>IFERROR(ROUND(AM786*AC787,0),"")</f>
        <v/>
      </c>
      <c r="AO786" s="1730">
        <f>IFERROR(IF(IB784=FALSE,0,AC787-AN786),0)</f>
        <v>0</v>
      </c>
      <c r="AP786" s="1780"/>
      <c r="AQ786" s="1781"/>
      <c r="AR786" s="1795"/>
      <c r="AS786" s="1795"/>
      <c r="AT786" s="1796"/>
      <c r="AU786" s="1735"/>
      <c r="AV786" s="1752"/>
      <c r="AW786" s="1705"/>
      <c r="AX786" s="467"/>
      <c r="AY786" s="1749"/>
      <c r="AZ786" s="1749"/>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696"/>
      <c r="CQ786" s="1696"/>
      <c r="CR786" s="1808" t="str">
        <f>CQ784</f>
        <v/>
      </c>
      <c r="CS786" s="1810" t="str">
        <f>CS784</f>
        <v/>
      </c>
      <c r="CU786" s="1688" t="s">
        <v>345</v>
      </c>
      <c r="CV786" s="1702">
        <f>IF(IB784=TRUE,T786,0)</f>
        <v>0</v>
      </c>
      <c r="CW786" s="1702" t="str">
        <f>IF(IB784=TRUE,U786,"")</f>
        <v/>
      </c>
      <c r="CX786" s="1812">
        <f>IF(IB784=TRUE,U787,0)</f>
        <v>0</v>
      </c>
      <c r="CY786" s="1814">
        <f>IF(IB784=TRUE,AB787,0)</f>
        <v>0</v>
      </c>
      <c r="CZ786" s="1710">
        <f>IF(AND(__Retrofit_TI_NC&gt;0,CR784="interior"),0,IF(IB784=TRUE,AC787,0))</f>
        <v>0</v>
      </c>
      <c r="DA786" s="1818"/>
      <c r="DB786" s="1820"/>
      <c r="DC786" s="1820"/>
      <c r="DD786" s="1820"/>
      <c r="DF786" s="1702">
        <f>IF(IB784=TRUE,AF786,0)</f>
        <v>0</v>
      </c>
      <c r="DG786" s="1830" t="str">
        <f>IF(IB784=TRUE,AG786,"")</f>
        <v/>
      </c>
      <c r="DH786" s="1812">
        <f>AG787</f>
        <v>0</v>
      </c>
      <c r="DI786" s="1837">
        <f>JE786</f>
        <v>0</v>
      </c>
      <c r="DJ786" s="1710">
        <f>IF(AND(__Retrofit_TI_NC&gt;0,CR784="interior"),0,IF(IB784=TRUE,AN786,0))</f>
        <v>0</v>
      </c>
      <c r="DK786" s="1712"/>
      <c r="DN786" s="1717">
        <f>IFERROR(CZ786-DJ786,0)</f>
        <v>0</v>
      </c>
      <c r="DO786" s="1709"/>
      <c r="DQ786" s="1715"/>
      <c r="DR786" s="1719" t="str">
        <f>DQ784</f>
        <v/>
      </c>
      <c r="DS786" s="1816"/>
      <c r="DT786" s="1835" t="str">
        <f>IF(OR(DS784=7,DS784=8,DS784=9),"ALC","")</f>
        <v/>
      </c>
      <c r="DU786" s="1715"/>
      <c r="DV786" s="1716"/>
      <c r="DX786" s="1715"/>
      <c r="DY786" s="1829" t="str">
        <f>DX784</f>
        <v/>
      </c>
      <c r="DZ786" s="1715"/>
      <c r="EA786" s="1715"/>
      <c r="EC786" s="1834"/>
      <c r="ED786" s="1834"/>
      <c r="EF786" s="1707"/>
      <c r="EG786" s="1712"/>
      <c r="EH786" s="1818"/>
      <c r="EI786" s="1712"/>
      <c r="EJ786" s="1712"/>
      <c r="EK786" s="1836"/>
      <c r="EL786" s="1836"/>
      <c r="EM786" s="1807"/>
      <c r="EN786" s="1839"/>
      <c r="EO786" s="1839"/>
      <c r="EP786" s="1817"/>
      <c r="EQ786" s="1817"/>
      <c r="ER786" s="1807"/>
      <c r="ES786" s="1807"/>
      <c r="ET786" s="1807"/>
      <c r="EV786" s="1715"/>
      <c r="EX786" s="1805" t="str">
        <f>IFERROR(VLOOKUP(CS786,'Space Table'!$B$3:$L$163,8,FALSE),"")</f>
        <v/>
      </c>
      <c r="EY786" s="1805" t="str">
        <f>IFERROR(IF(FB786="Yes",VLOOKUP(AG786,Lookup_Control_Type_Table2,4,FALSE),VLOOKUP(AG786,Lookup_Control_Type_Table2,3,FALSE)),"")</f>
        <v/>
      </c>
      <c r="EZ786" s="1805" t="e">
        <f>VLOOKUP(AG786,Lookup!BB$3:BC$20,2,FALSE)</f>
        <v>#N/A</v>
      </c>
      <c r="FA786" s="1805" t="e">
        <f>VLOOKUP(EX784,Lookup_Control_Type_Table,2,FALSE)</f>
        <v>#N/A</v>
      </c>
      <c r="FB786" s="1805" t="e">
        <f>VLOOKUP(CS786,'Space Table'!$B$3:$L$163,7,FALSE)</f>
        <v>#N/A</v>
      </c>
      <c r="FC786" s="1827"/>
      <c r="FE786" s="1698" t="str">
        <f>CONCATENATE(CQ784," - ",AG786)</f>
        <v xml:space="preserve"> - </v>
      </c>
      <c r="FG786" s="1816"/>
      <c r="FH786" s="1816"/>
      <c r="FI786" s="133"/>
      <c r="FL786" s="1822" t="str">
        <f>IF(CQ784="Exterior","Not Daylighted",G787)</f>
        <v>Not Daylighted</v>
      </c>
      <c r="FM786" s="1824">
        <f>VLOOKUP(FL786,_New_Daylight_Table_Codes,2,FALSE)</f>
        <v>0</v>
      </c>
      <c r="FN786" s="1698">
        <f>AG786</f>
        <v>0</v>
      </c>
      <c r="FO786" s="1698" t="e">
        <f>VLOOKUP(FN786,_Control_Table,2,FALSE)</f>
        <v>#N/A</v>
      </c>
      <c r="FP786" s="1678" t="e">
        <f>VLOOKUP(CONCATENATE(FL786," ",FN786),Lookup!AY$102:AZ797,2,FALSE)</f>
        <v>#N/A</v>
      </c>
      <c r="FQ786" s="1698">
        <f>IF(__Retrofit_TI_NC=0,FN786,IF(AND(FT786&gt;0,FN786="Occupancy Sensor"),"Daylight + Occupancy",IF(AND(FT786&gt;0,FO786&lt;4),"Interior Daylight Dimming",FN786)))</f>
        <v>0</v>
      </c>
      <c r="FS786" s="1686">
        <f>IF(CQ784="Interior",VLOOKUP(CS784,Control_Savings_Interior,5,FALSE),0)</f>
        <v>0</v>
      </c>
      <c r="FT786" s="1687">
        <f>IF(CQ786="Exterior",0,IF(FM786=2,0.5,IF(OR(FM786=1,FM786=3),1,0)))</f>
        <v>0</v>
      </c>
      <c r="FU786" s="1685">
        <f>IF(R785&gt;FS$44,(FS786*(FS$44/R785)),FS786)*FT786</f>
        <v>0</v>
      </c>
      <c r="FV786" s="1686">
        <f>DI786</f>
        <v>0</v>
      </c>
      <c r="FW786" s="1686">
        <f>ROUND(FV786+((1-FV786)*FU786),2)</f>
        <v>0</v>
      </c>
      <c r="FX786" s="1686">
        <f>IF(__Retrofit_TI_NC=2,FW786,FV786)</f>
        <v>0</v>
      </c>
      <c r="FY786" s="1697">
        <f>IF(CR786="Interior",VLOOKUP(CS786,Control_Savings_Interior,4,FALSE),0)</f>
        <v>0</v>
      </c>
      <c r="GA786" s="1696"/>
      <c r="GB786" s="1696"/>
      <c r="GC786" s="1696"/>
      <c r="GD786" s="1696"/>
      <c r="GE786" s="1696"/>
      <c r="GF786" s="1696"/>
      <c r="GG786" s="1696"/>
      <c r="GH786" s="1696"/>
      <c r="GI786" s="673" t="b">
        <f>IF(ISNUMBER(SEARCH("TLED",U786)),TRUE,FALSE)</f>
        <v>0</v>
      </c>
      <c r="GJ786" s="1135" t="str">
        <f>IFERROR(VLOOKUP(U786,Fixtures!DM$93:DR$142,6,FALSE),"")</f>
        <v/>
      </c>
      <c r="GK786" s="1832"/>
      <c r="GM786" s="1692"/>
      <c r="GN786" s="1684"/>
      <c r="GP786" s="1684"/>
      <c r="GQ786" s="1684"/>
      <c r="HG786" s="1684"/>
      <c r="HH786" s="1684"/>
      <c r="HI786" s="1684"/>
      <c r="HJ786" s="1684"/>
      <c r="HK786" s="1684"/>
      <c r="HL786" s="1684"/>
      <c r="HM786" s="1684"/>
      <c r="HN786" s="1683"/>
      <c r="HO786" s="1692"/>
      <c r="HP786" s="1692"/>
      <c r="HQ786" s="1670"/>
      <c r="HR786" s="1684"/>
      <c r="HS786" s="1684"/>
      <c r="HT786" s="1670"/>
      <c r="HU786" s="1684"/>
      <c r="HV786" s="1684"/>
      <c r="HW786" s="1684"/>
      <c r="HX786" s="1684"/>
      <c r="HY786" s="1684"/>
      <c r="HZ786" s="1684"/>
      <c r="IB786" s="1692"/>
      <c r="IC786" s="1693" t="b">
        <f>IB784</f>
        <v>0</v>
      </c>
      <c r="ID786" s="1695"/>
      <c r="IE786" s="391"/>
      <c r="IF786" s="1688"/>
      <c r="IG786" s="1689">
        <f ca="1">IF(IF784=TRUE,AC787,0)</f>
        <v>0</v>
      </c>
      <c r="IH786" s="1684"/>
      <c r="IK786" s="1689" t="e">
        <f>ROUND(T786*AB787*N785*R785/1000,0)</f>
        <v>#VALUE!</v>
      </c>
      <c r="IL786" s="1691"/>
      <c r="IM786" s="1693" t="e">
        <f>ROUND(T786*AB787*N785*R785/1000,0)</f>
        <v>#VALUE!</v>
      </c>
      <c r="IN786" s="1691"/>
      <c r="IP786" s="1679"/>
      <c r="IQ786" s="1679" t="e">
        <f t="shared" ref="IQ786:IU786" si="727">IF($CR786="interior",VLOOKUP($CS786,_New_Control_Savings_Interior,IQ$30,FALSE),VLOOKUP($CS786,Control_Savings_Exterior,IQ$30,FALSE))</f>
        <v>#N/A</v>
      </c>
      <c r="IR786" s="1679" t="e">
        <f t="shared" si="727"/>
        <v>#N/A</v>
      </c>
      <c r="IS786" s="1679" t="e">
        <f t="shared" si="727"/>
        <v>#N/A</v>
      </c>
      <c r="IT786" s="1679" t="e">
        <f t="shared" si="727"/>
        <v>#N/A</v>
      </c>
      <c r="IU786" s="1679" t="e">
        <f t="shared" si="727"/>
        <v>#N/A</v>
      </c>
      <c r="IV786" s="1679" t="e">
        <f>IF($CR786="interior",IF(R785&gt;$IP$14,ROUND(($IV$18*($IP$14/R785)),2),$IV$18),VLOOKUP($CS786,Control_Savings_Exterior,IV$30,FALSE))</f>
        <v>#N/A</v>
      </c>
      <c r="IW786" s="1679" t="e">
        <f>IF($CR786="interior",ROUND(((1-IS786)*IV786)+IS786,2),VLOOKUP($CS786,Control_Savings_Exterior,IW$30,FALSE))</f>
        <v>#N/A</v>
      </c>
      <c r="IX786" s="1679" t="e">
        <f>IF($CR786="interior",ROUND(((1-IT786)*IV786)+IT786,2),VLOOKUP($CS786,Control_Savings_Exterior,IX$30,FALSE))</f>
        <v>#N/A</v>
      </c>
      <c r="IY786" s="1679" t="e">
        <f>IF($CR786="interior",IF(R785&gt;$IP$14,ROUND(($IY$18*($IP$14/R785)),2),$IY$18),VLOOKUP($CS786,Control_Savings_Exterior,IY$30,FALSE))</f>
        <v>#N/A</v>
      </c>
      <c r="IZ786" s="1679" t="e">
        <f>IF($CR786="interior",ROUND(((1-IS786)*IY786)+IS786,2),VLOOKUP($CS786,Control_Savings_Exterior,IZ$30,FALSE))</f>
        <v>#N/A</v>
      </c>
      <c r="JA786" s="1679" t="e">
        <f>IF($CR786="interior",ROUND(((1-IT786)*IY786)+IT786,2),VLOOKUP($CS786,Control_Savings_Exterior,JA$30,FALSE))</f>
        <v>#N/A</v>
      </c>
      <c r="JC786" s="1680">
        <f>IFERROR(IF(CR786="Interior",CONCATENATE(G787," ",FQ786),AG786),"")</f>
        <v>0</v>
      </c>
      <c r="JD786" s="1670" t="str">
        <f>IFERROR(VLOOKUP(JC786,_Controls_2023,2,FALSE),"")</f>
        <v/>
      </c>
      <c r="JE786" s="1681">
        <f>IFERROR(CHOOSE(JD786-1,IQ786,IR786,IS786,IT786,IU786,IV786,IW786,IX786,IY786,IZ786,JA786),0)</f>
        <v>0</v>
      </c>
      <c r="JG786" s="1680" t="str">
        <f>FE786</f>
        <v xml:space="preserve"> - </v>
      </c>
      <c r="JH786" s="1670" t="e">
        <f>$FO786</f>
        <v>#N/A</v>
      </c>
      <c r="JI786" s="1060"/>
      <c r="JJ786" s="1670">
        <f>IFERROR(IF($IB784=TRUE,IF(OR(JJ$14="No",JJ784=FALSE,JH786&lt;=JH784,AND(_kWh_Grant=0,GD784=FALSE)),0,IF(JJ$8="Per Line",1,$AF786)),0),0)</f>
        <v>0</v>
      </c>
      <c r="JK786" s="1061"/>
      <c r="JL786" s="1670">
        <f>IFERROR(IF(_kWh_Grant=0,0,IF($IB784=TRUE,IF(OR(JL$14="No",JL784=FALSE,JH786&lt;=JH784),0,IF(JL$8="Per Line",1,$T786)),0)),0)</f>
        <v>0</v>
      </c>
      <c r="JM786" s="1061"/>
      <c r="JN786" s="1670">
        <f>IFERROR(IF(_kWh_Grant=0,0,IF($IB784=TRUE,IF(OR(JN$14="No",JN784=FALSE,JH786&lt;=JH784),0,IF(JN$8="Per Line",1,$AF786)),0)),0)</f>
        <v>0</v>
      </c>
      <c r="JO786" s="1061"/>
      <c r="JP786" s="1670">
        <f>IFERROR(IF(__Retrofit_TI_NC=0,IF(_kWh_Grant=0,0,IF($IB784=TRUE,IF(OR(JP$14="No",JP784=FALSE,$JH786&lt;=$JH784),0,IF(JP$8="Per Line",1,$AF786)),0)),IF($IB784=TRUE,IF(OR(JP$14="No",JP784=FALSE,$JH786&lt;=$JH784),0,IF(JP$8="Per Line",1,$AF786)))),0)</f>
        <v>0</v>
      </c>
      <c r="JQ786" s="1061"/>
      <c r="JR786" s="1670">
        <f>IFERROR(IF(__Retrofit_TI_NC=0,IF(_kWh_Grant=0,0,IF($IB784=TRUE,IF(OR(JR$14="No",JR784=FALSE,$JH786&lt;=$JH784),0,IF(JR$8="Per Line",1,$AF786)),0)),IF($IB784=TRUE,IF(OR(JR$14="No",JR784=FALSE,$JH786&lt;=$JH784),0,IF(JR$8="Per Line",1,$AF786)))),0)</f>
        <v>0</v>
      </c>
      <c r="JS786" s="1061"/>
      <c r="JT786" s="1670">
        <f>IFERROR(IF(__Retrofit_TI_NC=0,IF(_kWh_Grant=0,0,IF($IB784=TRUE,IF(OR(JT$14="No",JT784=FALSE,$JH786&lt;=$JH784),0,IF(JT$8="Per Line",1,$AF786)),0)),IF($IB784=TRUE,IF(OR(JT$14="No",JT784=FALSE,$JH786&lt;=$JH784),0,IF(JT$8="Per Line",1,$AF786)))),0)</f>
        <v>0</v>
      </c>
      <c r="JU786" s="1061"/>
      <c r="JV786" s="1670">
        <f>IFERROR(IF(__Retrofit_TI_NC=0,IF(_kWh_Grant=0,0,IF($IB784=TRUE,IF(OR(JV$14="No",JV784=FALSE,$JH786&lt;=$JH784),0,IF(JV$8="Per Line",1,$AF786)),0)),IF($IB784=TRUE,IF(OR(JV$14="No",JV784=FALSE,$JH786&lt;=$JH784),0,IF(JV$8="Per Line",1,$AF786)))),0)</f>
        <v>0</v>
      </c>
      <c r="JX786" s="1670">
        <f>IFERROR(IF(__Retrofit_TI_NC=0,IF(_kWh_Grant=0,0,IF($IB784=TRUE,IF(OR(JX$14="No",JX784=FALSE,$JH786&lt;=$JH784),0,IF(JX$8="Per Line",1,$AF786)),0)),IF($IB784=TRUE,IF(OR(JX$14="No",JX784=FALSE,$JH786&lt;=$JH784),0,IF(JX$8="Per Line",1,$AF786)))),0)</f>
        <v>0</v>
      </c>
      <c r="JZ786" s="1670">
        <f>IFERROR(IF($IB784=TRUE,IF(OR(JZ$14="No",JZ784=FALSE,$JH786&lt;=$JH784,AND(_kWh_Grant=0,$GD784=FALSE)),0,IF(JZ$8="Per Line",1,$AF786)),0),0)</f>
        <v>0</v>
      </c>
      <c r="KB786" s="1670">
        <f>IFERROR(IF(__Retrofit_TI_NC=0,IF(_kWh_Grant=0,0,IF($IB784=TRUE,IF(OR(KB$14="No",KB784=FALSE,$JH786&lt;=$JH784),0,IF(KB$8="Per Line",1,$AF786)),0)),IF($IB784=TRUE,IF(OR(KB$14="No",KB784=FALSE,$JH786&lt;=$JH784),0,IF(KB$8="Per Line",1,$AF786)))),0)</f>
        <v>0</v>
      </c>
    </row>
    <row r="787" spans="1:288" s="78" customFormat="1" ht="14.95" customHeight="1" thickTop="1" thickBot="1">
      <c r="B787" s="1845"/>
      <c r="C787" s="1846"/>
      <c r="D787" s="1847"/>
      <c r="E787" s="1902" t="s">
        <v>436</v>
      </c>
      <c r="F787" s="1903"/>
      <c r="G787" s="1904" t="s">
        <v>437</v>
      </c>
      <c r="H787" s="1905"/>
      <c r="I787" s="1905"/>
      <c r="J787" s="1905"/>
      <c r="K787" s="1905"/>
      <c r="L787" s="1906"/>
      <c r="M787" s="1145">
        <f>IFERROR(VLOOKUP(G787,_Daylight_Table[],2,FALSE),0)</f>
        <v>0</v>
      </c>
      <c r="N787" s="1146" t="str">
        <f>IF(AND(__Retrofit_TI_NC&gt;0,CQ784="Interior"),"BAM","")</f>
        <v/>
      </c>
      <c r="O787" s="1145" t="e">
        <f>VLOOKUP(G786,'Space Table'!$B$3:$L$163,11,FALSE)</f>
        <v>#N/A</v>
      </c>
      <c r="P787" s="1754"/>
      <c r="Q787" s="1755"/>
      <c r="R787" s="1755"/>
      <c r="S787" s="1764"/>
      <c r="T787" s="1147" t="s">
        <v>342</v>
      </c>
      <c r="U787" s="1756" t="str" cm="1">
        <f t="array" aca="1" ref="U787" ca="1">IFERROR(VLOOKUP(INDIRECT("U" &amp; ROW()-1),Fixtures!DM$93:DP$142,4,FALSE),"")</f>
        <v/>
      </c>
      <c r="V787" s="1757"/>
      <c r="W787" s="1757"/>
      <c r="X787" s="1757"/>
      <c r="Y787" s="1757"/>
      <c r="Z787" s="1757"/>
      <c r="AA787" s="1758"/>
      <c r="AB787" s="939" t="str">
        <f>IFERROR(VLOOKUP(U786,Fixtures_Proposed_List,2,FALSE),"")</f>
        <v/>
      </c>
      <c r="AC787" s="1148" t="str">
        <f>IFERROR(ROUND(T786*AB787*N785*R785/1000,0),"")</f>
        <v/>
      </c>
      <c r="AD787" s="1149" t="str">
        <f>IFERROR(ROUND(T786*AB787/1000,2),"")</f>
        <v/>
      </c>
      <c r="AE787" s="1150"/>
      <c r="AF787" s="1151" t="s">
        <v>342</v>
      </c>
      <c r="AG787" s="1759"/>
      <c r="AH787" s="1759"/>
      <c r="AI787" s="1759"/>
      <c r="AJ787" s="1759"/>
      <c r="AK787" s="1759"/>
      <c r="AL787" s="1759"/>
      <c r="AM787" s="1899"/>
      <c r="AN787" s="1900"/>
      <c r="AO787" s="1901"/>
      <c r="AP787" s="1780"/>
      <c r="AQ787" s="1781"/>
      <c r="AR787" s="1795"/>
      <c r="AS787" s="1795"/>
      <c r="AT787" s="1796"/>
      <c r="AU787" s="1907"/>
      <c r="AV787" s="1752"/>
      <c r="AW787" s="1706"/>
      <c r="AX787" s="468"/>
      <c r="AY787" s="1750"/>
      <c r="AZ787" s="1750"/>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696"/>
      <c r="CQ787" s="1696"/>
      <c r="CR787" s="1809"/>
      <c r="CS787" s="1811"/>
      <c r="CU787" s="1688"/>
      <c r="CV787" s="1703"/>
      <c r="CW787" s="1703"/>
      <c r="CX787" s="1813"/>
      <c r="CY787" s="1815"/>
      <c r="CZ787" s="1711"/>
      <c r="DA787" s="1815"/>
      <c r="DB787" s="1821"/>
      <c r="DC787" s="1821"/>
      <c r="DD787" s="1821"/>
      <c r="DF787" s="1703"/>
      <c r="DG787" s="1831"/>
      <c r="DH787" s="1813"/>
      <c r="DI787" s="1838"/>
      <c r="DJ787" s="1711"/>
      <c r="DK787" s="1712"/>
      <c r="DN787" s="1718"/>
      <c r="DO787" s="1709"/>
      <c r="DQ787" s="1715"/>
      <c r="DR787" s="1720"/>
      <c r="DS787" s="1703"/>
      <c r="DT787" s="1714"/>
      <c r="DU787" s="1715"/>
      <c r="DV787" s="1716"/>
      <c r="DX787" s="1715"/>
      <c r="DY787" s="1720"/>
      <c r="DZ787" s="1715"/>
      <c r="EA787" s="1715"/>
      <c r="EC787" s="1834"/>
      <c r="ED787" s="1834"/>
      <c r="EF787" s="1707"/>
      <c r="EG787" s="1712"/>
      <c r="EH787" s="1815"/>
      <c r="EI787" s="1712"/>
      <c r="EJ787" s="1712"/>
      <c r="EK787" s="1813"/>
      <c r="EL787" s="1813"/>
      <c r="EM787" s="1807"/>
      <c r="EN787" s="1839"/>
      <c r="EO787" s="1839"/>
      <c r="EP787" s="1817"/>
      <c r="EQ787" s="1817"/>
      <c r="ER787" s="1807"/>
      <c r="ES787" s="1807"/>
      <c r="ET787" s="1807"/>
      <c r="EV787" s="1715"/>
      <c r="EX787" s="1806"/>
      <c r="EY787" s="1806"/>
      <c r="EZ787" s="1806"/>
      <c r="FA787" s="1806"/>
      <c r="FB787" s="1806"/>
      <c r="FC787" s="1828"/>
      <c r="FE787" s="1698"/>
      <c r="FG787" s="1703"/>
      <c r="FH787" s="1703"/>
      <c r="FI787" s="133"/>
      <c r="FL787" s="1823"/>
      <c r="FM787" s="1825"/>
      <c r="FN787" s="1698"/>
      <c r="FO787" s="1698"/>
      <c r="FP787" s="1678"/>
      <c r="FQ787" s="1698"/>
      <c r="FS787" s="1687"/>
      <c r="FT787" s="1687"/>
      <c r="FU787" s="1685"/>
      <c r="FV787" s="1687"/>
      <c r="FW787" s="1687"/>
      <c r="FX787" s="1687"/>
      <c r="FY787" s="1697"/>
      <c r="GA787" s="1696"/>
      <c r="GB787" s="1696"/>
      <c r="GC787" s="1696"/>
      <c r="GD787" s="1696"/>
      <c r="GE787" s="1696"/>
      <c r="GF787" s="1696"/>
      <c r="GG787" s="1696"/>
      <c r="GH787" s="1696"/>
      <c r="GI787" s="673"/>
      <c r="GJ787" s="1135"/>
      <c r="GK787" s="1832"/>
      <c r="GN787" s="674">
        <f>IF(GN785=TRUE,0,GN$16)</f>
        <v>0</v>
      </c>
      <c r="GP787" s="674">
        <f>IF(GP785=TRUE,0,GP$16)</f>
        <v>36</v>
      </c>
      <c r="GQ787" s="674">
        <f ca="1">IF(GQ785=TRUE,0,GQ$16)</f>
        <v>35</v>
      </c>
      <c r="GR787" s="391"/>
      <c r="GS787" s="391"/>
      <c r="GT787" s="391"/>
      <c r="GU787" s="391"/>
      <c r="GV787" s="391"/>
      <c r="HG787" s="674">
        <f>IF(HG785=TRUE,0,HG$16)</f>
        <v>0</v>
      </c>
      <c r="HH787" s="674">
        <f t="shared" ref="HH787:HM787" si="728">IF(HH785=TRUE,0,HH$16)</f>
        <v>19</v>
      </c>
      <c r="HI787" s="674">
        <f t="shared" si="728"/>
        <v>18</v>
      </c>
      <c r="HJ787" s="674">
        <f t="shared" si="728"/>
        <v>17</v>
      </c>
      <c r="HK787" s="674">
        <f t="shared" si="728"/>
        <v>16</v>
      </c>
      <c r="HL787" s="674">
        <f t="shared" si="728"/>
        <v>0</v>
      </c>
      <c r="HM787" s="674">
        <f t="shared" si="728"/>
        <v>0</v>
      </c>
      <c r="HN787" s="674">
        <f>IF(HN785=TRUE,0,HN$16)</f>
        <v>13</v>
      </c>
      <c r="HO787" s="674">
        <f t="shared" ref="HO787:HQ787" si="729">IF(HO785=TRUE,0,HO$16)</f>
        <v>0</v>
      </c>
      <c r="HP787" s="674">
        <f t="shared" si="729"/>
        <v>0</v>
      </c>
      <c r="HQ787" s="674">
        <f t="shared" si="729"/>
        <v>10</v>
      </c>
      <c r="HR787" s="674">
        <f>IF(HR785=TRUE,0,HR$16)</f>
        <v>9</v>
      </c>
      <c r="HS787" s="674">
        <f t="shared" ref="HS787:HW787" si="730">IF(HS785=TRUE,0,HS$16)</f>
        <v>0</v>
      </c>
      <c r="HT787" s="674">
        <f t="shared" si="730"/>
        <v>0</v>
      </c>
      <c r="HU787" s="674">
        <f t="shared" si="730"/>
        <v>0</v>
      </c>
      <c r="HV787" s="674">
        <f t="shared" si="730"/>
        <v>0</v>
      </c>
      <c r="HW787" s="674">
        <f t="shared" si="730"/>
        <v>0</v>
      </c>
      <c r="HX787" s="674">
        <f>IF(HX785=TRUE,0,HX$16)</f>
        <v>0</v>
      </c>
      <c r="HY787" s="674">
        <f>IF(HY785=TRUE,0,HY$16)</f>
        <v>0</v>
      </c>
      <c r="HZ787" s="674">
        <f>IF(HZ785=TRUE,0,HZ$16)</f>
        <v>1</v>
      </c>
      <c r="IB787" s="674">
        <f>IF(GP785=FALSE,GP787,IF(GQ785=FALSE,GQ787,MAX(GN787:HZ787)))</f>
        <v>36</v>
      </c>
      <c r="IC787" s="1692"/>
      <c r="ID787" s="205" t="str">
        <f>VLOOKUP(IB787,_Error_Table,3,FALSE)</f>
        <v xml:space="preserve"> </v>
      </c>
      <c r="IE787" s="205"/>
      <c r="IF787" s="1688"/>
      <c r="IG787" s="1689"/>
      <c r="IH787" s="1684"/>
      <c r="IK787" s="1689"/>
      <c r="IL787" s="1692"/>
      <c r="IM787" s="1692"/>
      <c r="IN787" s="1692"/>
      <c r="IP787" s="1679"/>
      <c r="IQ787" s="1679"/>
      <c r="IR787" s="1679"/>
      <c r="IS787" s="1679"/>
      <c r="IT787" s="1679"/>
      <c r="IU787" s="1679"/>
      <c r="IV787" s="1679"/>
      <c r="IW787" s="1679"/>
      <c r="IX787" s="1679"/>
      <c r="IY787" s="1679"/>
      <c r="IZ787" s="1679"/>
      <c r="JA787" s="1679"/>
      <c r="JC787" s="1680"/>
      <c r="JD787" s="1670"/>
      <c r="JE787" s="1681"/>
      <c r="JG787" s="1680"/>
      <c r="JH787" s="1670"/>
      <c r="JI787" s="1060"/>
      <c r="JJ787" s="1670"/>
      <c r="JK787" s="1061"/>
      <c r="JL787" s="1670"/>
      <c r="JM787" s="1061"/>
      <c r="JN787" s="1670"/>
      <c r="JO787" s="1061"/>
      <c r="JP787" s="1670"/>
      <c r="JQ787" s="1061"/>
      <c r="JR787" s="1670"/>
      <c r="JS787" s="1061"/>
      <c r="JT787" s="1670"/>
      <c r="JU787" s="1061"/>
      <c r="JV787" s="1670"/>
      <c r="JX787" s="1670"/>
      <c r="JZ787" s="1670"/>
      <c r="KB787" s="1670"/>
    </row>
    <row r="788" spans="1:288" s="78" customFormat="1" ht="5.0999999999999996" customHeight="1">
      <c r="B788" s="676"/>
      <c r="C788" s="392"/>
      <c r="D788" s="392"/>
      <c r="E788" s="1773"/>
      <c r="F788" s="1773"/>
      <c r="G788" s="1773"/>
      <c r="H788" s="1773"/>
      <c r="I788" s="1773"/>
      <c r="J788" s="1773"/>
      <c r="K788" s="1773"/>
      <c r="L788" s="1773"/>
      <c r="M788" s="1773"/>
      <c r="N788" s="1773"/>
      <c r="O788" s="1773"/>
      <c r="P788" s="1773"/>
      <c r="Q788" s="1773"/>
      <c r="R788" s="1773"/>
      <c r="S788" s="1773"/>
      <c r="T788" s="1773"/>
      <c r="U788" s="1773"/>
      <c r="V788" s="1773"/>
      <c r="W788" s="1773"/>
      <c r="X788" s="1773"/>
      <c r="Y788" s="1773"/>
      <c r="Z788" s="1773"/>
      <c r="AA788" s="1773"/>
      <c r="AB788" s="1773"/>
      <c r="AC788" s="1773"/>
      <c r="AD788" s="1773"/>
      <c r="AE788" s="1773"/>
      <c r="AF788" s="1773"/>
      <c r="AG788" s="1773"/>
      <c r="AH788" s="1773"/>
      <c r="AI788" s="1773"/>
      <c r="AJ788" s="1773"/>
      <c r="AK788" s="1773"/>
      <c r="AL788" s="1773"/>
      <c r="AM788" s="1773"/>
      <c r="AN788" s="1773"/>
      <c r="AO788" s="1773"/>
      <c r="AP788" s="1773"/>
      <c r="AQ788" s="1773"/>
      <c r="AR788" s="1773"/>
      <c r="AS788" s="1773"/>
      <c r="AT788" s="1773"/>
      <c r="AU788" s="1773"/>
      <c r="AV788" s="1773"/>
      <c r="AW788" s="1773"/>
      <c r="AX788" s="469"/>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663"/>
      <c r="CQ788" s="663"/>
      <c r="CR788" s="438"/>
      <c r="CS788" s="663"/>
      <c r="CV788" s="391"/>
      <c r="CW788" s="391"/>
      <c r="CX788" s="207"/>
      <c r="CY788" s="208"/>
      <c r="CZ788" s="208"/>
      <c r="DA788" s="208"/>
      <c r="DB788" s="209"/>
      <c r="DC788" s="209"/>
      <c r="DD788" s="209"/>
      <c r="DF788" s="664"/>
      <c r="DG788" s="665"/>
      <c r="DH788" s="666"/>
      <c r="DI788" s="667"/>
      <c r="DJ788" s="668"/>
      <c r="DK788" s="668"/>
      <c r="DN788" s="208"/>
      <c r="DO788" s="664"/>
      <c r="DQ788" s="664"/>
      <c r="DR788" s="669"/>
      <c r="DS788" s="391"/>
      <c r="DT788" s="664"/>
      <c r="DU788" s="664"/>
      <c r="DV788" s="664"/>
      <c r="DX788" s="664"/>
      <c r="DY788" s="664"/>
      <c r="DZ788" s="664"/>
      <c r="EA788" s="664"/>
      <c r="EC788" s="670"/>
      <c r="ED788" s="670"/>
      <c r="EF788" s="668"/>
      <c r="EG788" s="668"/>
      <c r="EH788" s="208"/>
      <c r="EI788" s="668"/>
      <c r="EJ788" s="668"/>
      <c r="EK788" s="207"/>
      <c r="EL788" s="207"/>
      <c r="EM788" s="666"/>
      <c r="EN788" s="671"/>
      <c r="EO788" s="671"/>
      <c r="EP788" s="672"/>
      <c r="EQ788" s="672"/>
      <c r="ER788" s="666"/>
      <c r="ES788" s="666"/>
      <c r="ET788" s="666"/>
      <c r="EV788" s="664"/>
      <c r="EX788" s="391"/>
      <c r="EY788" s="391"/>
      <c r="EZ788" s="391"/>
      <c r="FA788" s="391"/>
      <c r="FB788" s="391"/>
      <c r="FC788" s="391"/>
      <c r="FE788" s="569"/>
      <c r="FG788" s="391"/>
      <c r="FH788" s="391"/>
      <c r="FI788" s="391"/>
      <c r="FS788" s="664"/>
      <c r="FT788" s="391"/>
      <c r="FU788" s="391"/>
      <c r="FV788" s="664"/>
      <c r="FW788" s="664"/>
      <c r="GA788" s="663"/>
      <c r="GB788" s="663"/>
      <c r="GC788" s="663"/>
      <c r="GD788" s="663"/>
      <c r="GE788" s="663"/>
      <c r="GF788" s="663"/>
      <c r="GG788" s="663"/>
      <c r="GH788" s="663"/>
      <c r="GI788" s="665"/>
      <c r="GJ788" s="664"/>
      <c r="GK788" s="664"/>
    </row>
    <row r="789" spans="1:288" s="78" customFormat="1" ht="14.95" customHeight="1">
      <c r="B789" s="1845" t="str">
        <f>ID792</f>
        <v xml:space="preserve"> </v>
      </c>
      <c r="C789" s="1846">
        <f>C784+1</f>
        <v>144</v>
      </c>
      <c r="D789" s="1847"/>
      <c r="E789" s="1799" t="s">
        <v>295</v>
      </c>
      <c r="F789" s="1800"/>
      <c r="G789" s="1741"/>
      <c r="H789" s="1742"/>
      <c r="I789" s="1742"/>
      <c r="J789" s="1742"/>
      <c r="K789" s="1742"/>
      <c r="L789" s="1742"/>
      <c r="M789" s="1742"/>
      <c r="N789" s="1742"/>
      <c r="O789" s="1742"/>
      <c r="P789" s="1742"/>
      <c r="Q789" s="1742"/>
      <c r="R789" s="1742"/>
      <c r="S789" s="1791" t="s">
        <v>344</v>
      </c>
      <c r="T789" s="590"/>
      <c r="U789" s="1743"/>
      <c r="V789" s="1744"/>
      <c r="W789" s="1744"/>
      <c r="X789" s="1744"/>
      <c r="Y789" s="1744"/>
      <c r="Z789" s="1744"/>
      <c r="AA789" s="1744"/>
      <c r="AB789" s="961" t="str">
        <f>IFERROR(IF(__Retrofit_TI_NC=0,VLOOKUP(U790,Fixtures_Existing_List,2,FALSE),ROUND(N791*R791/T791,10)),"")</f>
        <v/>
      </c>
      <c r="AC789" s="935" t="str">
        <f>IFERROR(IF(__Retrofit_TI_NC=0,ROUND(T790*AB789*N790*R790/1000,0),IF(CQ789="Interior",N791*R791*R790*N790*_C406_reduction/1000,N791*R791*R790*N790/1000)),"")</f>
        <v/>
      </c>
      <c r="AD789" s="936" t="str">
        <f>IFERROR(IF(C$43=0,ROUND(T790*AB789/1000,2),N791*R791/1000),"")</f>
        <v/>
      </c>
      <c r="AE789" s="997"/>
      <c r="AF789" s="937"/>
      <c r="AG789" s="1745" t="str">
        <f>IF(__Retrofit_TI_NC=0," Control","Select Advanced Control for New System")</f>
        <v xml:space="preserve"> Control</v>
      </c>
      <c r="AH789" s="1745"/>
      <c r="AI789" s="1745"/>
      <c r="AJ789" s="1745"/>
      <c r="AK789" s="1745"/>
      <c r="AL789" s="1745"/>
      <c r="AM789" s="1746">
        <f>IFERROR(DI789,"")</f>
        <v>0</v>
      </c>
      <c r="AN789" s="1774" t="str">
        <f>IFERROR(ROUND(AM789*AC789,0),"")</f>
        <v/>
      </c>
      <c r="AO789" s="1776">
        <f>IFERROR(IF(IB789=FALSE,0,AC789-AN789),0)</f>
        <v>0</v>
      </c>
      <c r="AP789" s="1778">
        <f>AO789-AO791</f>
        <v>0</v>
      </c>
      <c r="AQ789" s="1779"/>
      <c r="AR789" s="1793">
        <f>IFERROR(IF(IB789=FALSE,0,(T791*U792)+(AF791*AG792)),0)</f>
        <v>0</v>
      </c>
      <c r="AS789" s="1793"/>
      <c r="AT789" s="1794"/>
      <c r="AU789" s="1734" t="s">
        <v>237</v>
      </c>
      <c r="AV789" s="1751">
        <f>IF(AU789="Yes",1,0)</f>
        <v>1</v>
      </c>
      <c r="AW789" s="1704" t="str">
        <f>IF(OR(DQ789=4,DQ789=5,DQ789=6,DQ789=12),CONCATENATE("$",IF(GH789=TRUE,Lookup!$K$10,Lookup!$K$2)," /lamp"),CONCATENATE(TEXT(ED789,"$0.00"),"/ kWh"))</f>
        <v>$0.00/ kWh</v>
      </c>
      <c r="AX789" s="467"/>
      <c r="AY789" s="1748">
        <f ca="1">IFERROR(IF(GM790=TRUE,(AB792*T791)/R791,0),"NA")</f>
        <v>0</v>
      </c>
      <c r="AZ789" s="1748"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696" t="str">
        <f>N790</f>
        <v/>
      </c>
      <c r="CQ789" s="1696" t="str">
        <f>IFERROR(VLOOKUP(G790,_Lookup_Heat_Type_Table_New,3,FALSE),"")</f>
        <v/>
      </c>
      <c r="CR789" s="1808" t="str">
        <f>CQ789</f>
        <v/>
      </c>
      <c r="CS789" s="1810" t="str">
        <f>IFERROR(VLOOKUP(G791,'Space Table'!$B$3:$L$163,9,FALSE),"")</f>
        <v/>
      </c>
      <c r="CU789" s="1688" t="s">
        <v>344</v>
      </c>
      <c r="CV789" s="1702">
        <f>IF(IB789=TRUE,T790,0)</f>
        <v>0</v>
      </c>
      <c r="CW789" s="1702" t="str">
        <f>IF(IB789=TRUE,U790,"")</f>
        <v/>
      </c>
      <c r="CX789" s="1702"/>
      <c r="CY789" s="1814">
        <f>IF(IB789=TRUE,AB789,0)</f>
        <v>0</v>
      </c>
      <c r="CZ789" s="1710">
        <f>IF(AND(__Retrofit_TI_NC&gt;0,CR789="interior"),0,IF(IB789=TRUE,AC789,0))</f>
        <v>0</v>
      </c>
      <c r="DA789" s="1814">
        <f>IFERROR(IF(IB789=TRUE,CZ789-CZ791,0),0)</f>
        <v>0</v>
      </c>
      <c r="DB789" s="1819">
        <f>IF(IB789=TRUE,AD789,0)</f>
        <v>0</v>
      </c>
      <c r="DC789" s="1819">
        <f>IF(IB789=TRUE,AD792,0)</f>
        <v>0</v>
      </c>
      <c r="DD789" s="1819">
        <f>IFERROR(DB789-DC789,0)</f>
        <v>0</v>
      </c>
      <c r="DF789" s="1702">
        <f>IF(IB789=TRUE,AF790,0)</f>
        <v>0</v>
      </c>
      <c r="DG789" s="1830">
        <f>IFERROR(IF(__Retrofit_TI_NC=2,IF(CQ789="Exterior",O792,FQ789),FN789),"")</f>
        <v>0</v>
      </c>
      <c r="DH789" s="1702"/>
      <c r="DI789" s="1837">
        <f>JE789</f>
        <v>0</v>
      </c>
      <c r="DJ789" s="1710">
        <f>IF(AND(__Retrofit_TI_NC&gt;0,CR789="interior"),0,IF(IB789=TRUE,AN789,0))</f>
        <v>0</v>
      </c>
      <c r="DK789" s="1712">
        <f>IFERROR(IF(IB789=TRUE,DJ791-DJ789,0),0)</f>
        <v>0</v>
      </c>
      <c r="DM789" s="1717">
        <f>IFERROR(CZ789-DJ789,0)</f>
        <v>0</v>
      </c>
      <c r="DO789" s="1708">
        <f>DM789-DN791</f>
        <v>0</v>
      </c>
      <c r="DQ789" s="1715" t="str">
        <f>IFERROR(IF(AND(OR(GC789=4,GC789=5,GC789=6),OR(GF789=4,GF789=5,GF789=6)),GC789+8,VLOOKUP(CW791,Fixtures!R$31:Y$78,8,FALSE)),"")</f>
        <v/>
      </c>
      <c r="DR789" s="1829" t="str">
        <f>DQ789</f>
        <v/>
      </c>
      <c r="DS789" s="1702" t="str">
        <f>IFERROR(VLOOKUP(DG791,Lookup!BB$3:BC$20,2,FALSE),"")</f>
        <v/>
      </c>
      <c r="DT789" s="1713" t="str">
        <f>IF(OR(DS789=7,DS789=8,DS789=9),"ALC","")</f>
        <v/>
      </c>
      <c r="DU789" s="1715">
        <f>IFERROR(IF(OR(DQ789=4,DQ789=5,DQ789=6,DQ789=12,DQ789=13,DQ789=14),VLOOKUP(CW791,Fixtures!DN$27:EG$77,19,FALSE),1)*CV791,0)</f>
        <v>0</v>
      </c>
      <c r="DV789" s="1716">
        <f>IF(OR(DS789=7,DS789=8,DS789=9),IF(DG789=DG791,0,DF791),0)</f>
        <v>0</v>
      </c>
      <c r="DX789" s="1715" t="str">
        <f>IFERROR(IF(EZ789&lt;EZ791,"Yes","No"),"")</f>
        <v/>
      </c>
      <c r="DY789" s="1829" t="str">
        <f>DX789</f>
        <v/>
      </c>
      <c r="DZ789" s="1715">
        <f>IF(DX789="Yes",DF791,0)</f>
        <v>0</v>
      </c>
      <c r="EA789" s="1715">
        <f>DZ789-DV789</f>
        <v>0</v>
      </c>
      <c r="EC789" s="1834">
        <f>IFERROR(VLOOKUP(DQ789,Lookup!AU$3:AV$16,2,FALSE),0)</f>
        <v>0</v>
      </c>
      <c r="ED789" s="1834">
        <f>IF(IB789=FALSE,0,IF(DX789="Yes",EC789+Lookup!K$6,EC789))</f>
        <v>0</v>
      </c>
      <c r="EF789" s="1707">
        <f>IF(IB789=TRUE,DM789,0)</f>
        <v>0</v>
      </c>
      <c r="EG789" s="1712">
        <f>IF(IB789=TRUE,CZ791,0)</f>
        <v>0</v>
      </c>
      <c r="EH789" s="1814">
        <f>IFERROR(EF789-EG789,0)</f>
        <v>0</v>
      </c>
      <c r="EI789" s="1712">
        <f>IF(IB789=TRUE,DJ791,0)</f>
        <v>0</v>
      </c>
      <c r="EJ789" s="1712">
        <f>IFERROR(EF789-EG789+EI789,0)</f>
        <v>0</v>
      </c>
      <c r="EK789" s="1812">
        <f>IF(IB789=TRUE,CV791*CX791,0)</f>
        <v>0</v>
      </c>
      <c r="EL789" s="1812">
        <f>IF(IB789=TRUE,DF791*DH791,0)</f>
        <v>0</v>
      </c>
      <c r="EM789" s="1807">
        <f>AR789</f>
        <v>0</v>
      </c>
      <c r="EN789" s="1839" t="str">
        <f>IFERROR(IF(IB789=TRUE,VLOOKUP(DQ789,Lookup!AU$3:AW$16,3,FALSE)*DU789,""),0)</f>
        <v/>
      </c>
      <c r="EO789" s="1839">
        <f>IF(IB789=TRUE,DZ789*Lookup!AW$12,0)</f>
        <v>0</v>
      </c>
      <c r="EP789" s="1817">
        <f>IFERROR(IF(IB789=TRUE,EN789/EP$40,0),0)</f>
        <v>0</v>
      </c>
      <c r="EQ789" s="1817">
        <f>IF(IB789=TRUE,EO789/EQ$40,0)</f>
        <v>0</v>
      </c>
      <c r="ER789" s="1807">
        <f>IF(IB789=TRUE,ET$40*EP789,0)</f>
        <v>0</v>
      </c>
      <c r="ES789" s="1807">
        <f>IF(IB789=TRUE,ET$40*EQ789,0)</f>
        <v>0</v>
      </c>
      <c r="ET789" s="1807">
        <f>ER789+ES789</f>
        <v>0</v>
      </c>
      <c r="EV789" s="1715">
        <f>IF(G789="",0,1)</f>
        <v>0</v>
      </c>
      <c r="EX789" s="1804" t="str">
        <f>IFERROR(VLOOKUP(CS791,'Space Table'!$B$3:$L$163,8,FALSE),"")</f>
        <v/>
      </c>
      <c r="EY789" s="1804" t="str">
        <f>IFERROR(IF(FB789="Yes",VLOOKUP(DG789,Lookup_Control_Type_Table2,4,FALSE),VLOOKUP(DG789,Lookup_Control_Type_Table2,3,FALSE)),"")</f>
        <v/>
      </c>
      <c r="EZ789" s="1804" t="e">
        <f>VLOOKUP(DG789,Lookup!BB$3:BC$20,2,FALSE)</f>
        <v>#N/A</v>
      </c>
      <c r="FA789" s="1804" t="e">
        <f>VLOOKUP(EX789,Lookup_Control_Type_Table,2,FALSE)</f>
        <v>#N/A</v>
      </c>
      <c r="FB789" s="1804" t="e">
        <f>VLOOKUP(CS791,'Space Table'!$B$3:$L$163,7,FALSE)</f>
        <v>#N/A</v>
      </c>
      <c r="FC789" s="1826" t="b">
        <f>ISNUMBER(SEARCH("TLED",U791))</f>
        <v>0</v>
      </c>
      <c r="FE789" s="1698" t="str">
        <f>CONCATENATE(CQ789," - ",DG789)</f>
        <v xml:space="preserve"> - 0</v>
      </c>
      <c r="FG789" s="1702" t="str">
        <f>VLOOKUP(CW791,Fixtures!DN$27:EZ$77,38,FALSE)</f>
        <v/>
      </c>
      <c r="FH789" s="1702">
        <f>IFERROR(FG789*EH789,0)</f>
        <v>0</v>
      </c>
      <c r="FI789" s="133"/>
      <c r="FL789" s="1822" t="str">
        <f>IF(CQ789="Exterior","Not Daylighted",G792)</f>
        <v>Not Daylighted</v>
      </c>
      <c r="FM789" s="1824">
        <f>VLOOKUP(FL789,_New_Daylight_Table_Codes,2,FALSE)</f>
        <v>0</v>
      </c>
      <c r="FN789" s="1698">
        <f>IF(__Retrofit_TI_NC&gt;0,VLOOKUP(G791,'Space Table'!$B$3:$L$163,11,FALSE),AG790)</f>
        <v>0</v>
      </c>
      <c r="FO789" s="1698" t="e">
        <f>IF(__Retrofit_TI_NC=2,VLOOKUP(FQ789,_Control_Table,2,FALSE),VLOOKUP(FN789,_Control_Table,2,FALSE))</f>
        <v>#N/A</v>
      </c>
      <c r="FP789" s="1678" t="e">
        <f>VLOOKUP(CONCATENATE(FL789," ",FN789),Lookup!AY$102:AZ799,2,FALSE)</f>
        <v>#N/A</v>
      </c>
      <c r="FQ789" s="1678">
        <f>IF(__Retrofit_TI_NC=0,FN789,IF(AND(FT789&gt;0,FN789="Occupancy Sensor"),"Daylight + Occupancy",IF(AND(FT789&gt;0,VLOOKUP(FN789,_Control_Table,2,FALSE)&lt;4),"Interior Daylight Dimming",FN789)))</f>
        <v>0</v>
      </c>
      <c r="FS789" s="1686">
        <f>IF(CR789="Interior",VLOOKUP(CS789,Control_Savings_Interior,5,FALSE),0)</f>
        <v>0</v>
      </c>
      <c r="FT789" s="1687">
        <f>IF(CQ789="Exterior",0,IF(FM789=2,0.5,IF(OR(FM789=1,FM789=3),1,0)))</f>
        <v>0</v>
      </c>
      <c r="FU789" s="1685">
        <f>IF(R788&gt;FS$44,(FS789*(FS$44/R788)),FS789)*FT789</f>
        <v>0</v>
      </c>
      <c r="FV789" s="1686">
        <f>DI789</f>
        <v>0</v>
      </c>
      <c r="FW789" s="1686">
        <f>ROUND(FV789+((1-FV789)*FU789),2)</f>
        <v>0</v>
      </c>
      <c r="FX789" s="1686">
        <f>IF(__Retrofit_TI_NC=2,FW789,FV789)</f>
        <v>0</v>
      </c>
      <c r="FY789" s="1697"/>
      <c r="GA789" s="1696" t="str">
        <f>IFERROR(VLOOKUP(U790,_Exist_Fixture_Table,3,FALSE),"")</f>
        <v/>
      </c>
      <c r="GB789" s="1696" t="str">
        <f>VLOOKUP(CW789,_Exist_Fixture_Table,4,FALSE)</f>
        <v/>
      </c>
      <c r="GC789" s="1696">
        <f>IFERROR(VLOOKUP(GB789,Lookup!AT$6:AU$8,2,FALSE),0)</f>
        <v>0</v>
      </c>
      <c r="GD789" s="1696" t="b">
        <f>IFERROR(IF(OR(GF789=4,GF789=5,GF789=6),TRUE,FALSE),"")</f>
        <v>0</v>
      </c>
      <c r="GE789" s="1696" t="str">
        <f>IFERROR(VLOOKUP(GF789,GC$6:GD$10,2,FALSE),"")</f>
        <v/>
      </c>
      <c r="GF789" s="1696" t="str">
        <f>VLOOKUP(CW791,Fixtures!R$31:Y$78,8,FALSE)</f>
        <v/>
      </c>
      <c r="GG789" s="1696">
        <f>IF(AND(GA789=TRUE,GD789=TRUE,OR(DQ789=12,DQ789=13,DQ789=14)),GC789+8,0)</f>
        <v>0</v>
      </c>
      <c r="GH789" s="1696" t="b">
        <f>IF(OR(GG789=12,GG789=13,GG789=14),TRUE,FALSE)</f>
        <v>0</v>
      </c>
      <c r="GI789" s="673" t="b">
        <f>IF(ISNUMBER(SEARCH("TLED",U790)),TRUE,FALSE)</f>
        <v>0</v>
      </c>
      <c r="GJ789" s="1135" t="str">
        <f>IFERROR(VLOOKUP(U790,Fixtures!BM$93:BR$142,6,FALSE),"")</f>
        <v/>
      </c>
      <c r="GK789" s="1832" t="b">
        <f>IF(OR(GI789=FALSE,GI791=FALSE),TRUE,IF(GJ789-GJ791&lt;5,FALSE,TRUE))</f>
        <v>1</v>
      </c>
      <c r="GO789" s="674">
        <f>GP789</f>
        <v>0</v>
      </c>
      <c r="GP789" s="674">
        <f>IF(G789="",0,1)</f>
        <v>0</v>
      </c>
      <c r="GQ789" s="674">
        <f ca="1">SUM(GR789:HF789)</f>
        <v>2</v>
      </c>
      <c r="GR789" s="674">
        <f>IF(G790="",0,1)</f>
        <v>0</v>
      </c>
      <c r="GS789" s="674">
        <f>IF(N792="BAM",1,IF(G791="",0,1))</f>
        <v>0</v>
      </c>
      <c r="GT789" s="674">
        <f>IF(N792="BAM",1,IF(R790="",0,1))</f>
        <v>0</v>
      </c>
      <c r="GU789" s="674">
        <f>IF(N792="BAM",1,IF(__Retrofit_TI_NC=0,1,IF(R791="",0,1)))</f>
        <v>1</v>
      </c>
      <c r="GV789" s="674">
        <f>IF(N792="BAM",1,IF(CQ789="Exterior",1,IF(G792="",0,1)))</f>
        <v>1</v>
      </c>
      <c r="GW789" s="674">
        <f>IF(__Retrofit_TI_NC&gt;0,1,IF(T790="",0,1))</f>
        <v>0</v>
      </c>
      <c r="GX789" s="674">
        <f>IF(__Retrofit_TI_NC&gt;0,1,IF(U790="",0,1))</f>
        <v>0</v>
      </c>
      <c r="GY789" s="674">
        <f>IF(N792="BAM",1,IF(T791="",0,1))</f>
        <v>0</v>
      </c>
      <c r="GZ789" s="674">
        <f>IF(N792="BAM",1,IF(U791="",0,1))</f>
        <v>0</v>
      </c>
      <c r="HA789" s="674">
        <f ca="1">IF(N792="BAM",1,IF(__Retrofit_TI_NC&gt;0,1,IF(U792="",0,1)))</f>
        <v>0</v>
      </c>
      <c r="HB789" s="674">
        <f>IF(__Retrofit_TI_NC&lt;&gt;0,1,IF(AF790="",0,1))</f>
        <v>0</v>
      </c>
      <c r="HC789" s="674">
        <f>IF(__Retrofit_TI_NC&lt;&gt;0,1,IF(AG790="",0,1))</f>
        <v>0</v>
      </c>
      <c r="HD789" s="674">
        <f>IF(N792="BAM",1,IF(AF791="",0,1))</f>
        <v>0</v>
      </c>
      <c r="HE789" s="674">
        <f>IF(N792="BAM",1,IF(AG791="",0,1))</f>
        <v>0</v>
      </c>
      <c r="HF789" s="674">
        <f>IF(N792="BAM",1,IF(__Retrofit_TI_NC&gt;0,1,IF(AG792="",0,1)))</f>
        <v>0</v>
      </c>
      <c r="HG789" s="391"/>
      <c r="IA789" s="391"/>
      <c r="IB789" s="1693" t="b">
        <f>IF(OR(IB792=0,IB792=HY$16,IB792=HX$16,IB792=HZ$16),TRUE,FALSE)</f>
        <v>0</v>
      </c>
      <c r="IC789" s="1694" t="b">
        <f>IB789</f>
        <v>0</v>
      </c>
      <c r="ID789" s="391"/>
      <c r="IE789" s="391"/>
      <c r="IF789" s="1688" t="b">
        <f ca="1">IF(MAX(GN792:HU792)&gt;5,FALSE,TRUE)</f>
        <v>0</v>
      </c>
      <c r="IG789" s="1689">
        <f ca="1">IF(IF789=TRUE,AC789,0)</f>
        <v>0</v>
      </c>
      <c r="IH789" s="1689">
        <f ca="1">IG789-IG791</f>
        <v>0</v>
      </c>
      <c r="IK789" s="1689" t="e">
        <f>ROUND(T790*VLOOKUP(U790,Fixtures_Existing_List,2,FALSE)*N790*R790/1000,0)</f>
        <v>#N/A</v>
      </c>
      <c r="IL789" s="1690" t="e">
        <f>IK789-IK791</f>
        <v>#N/A</v>
      </c>
      <c r="IM789" s="1693" t="e">
        <f>ROUND(IF(CQ789="Interior",N791*R791*R790*N790*_C406_reduction/1000,N791*R791*R790*N790/1000),0)</f>
        <v>#N/A</v>
      </c>
      <c r="IN789" s="1693" t="e">
        <f>IM789-IM791</f>
        <v>#N/A</v>
      </c>
      <c r="IP789" s="1679"/>
      <c r="IQ789" s="1679" t="e">
        <f t="shared" ref="IQ789:IU789" si="731">IF($CR789="interior",VLOOKUP($CS789,_New_Control_Savings_Interior,IQ$30,FALSE),VLOOKUP($CS789,Control_Savings_Exterior,IQ$30,FALSE))</f>
        <v>#N/A</v>
      </c>
      <c r="IR789" s="1679" t="e">
        <f t="shared" si="731"/>
        <v>#N/A</v>
      </c>
      <c r="IS789" s="1679" t="e">
        <f t="shared" si="731"/>
        <v>#N/A</v>
      </c>
      <c r="IT789" s="1679" t="e">
        <f t="shared" si="731"/>
        <v>#N/A</v>
      </c>
      <c r="IU789" s="1679" t="e">
        <f t="shared" si="731"/>
        <v>#N/A</v>
      </c>
      <c r="IV789" s="1679" t="e">
        <f>IF($CR789="interior",IF(R790&gt;$IP$14,ROUND(($IV$18*($IP$14/R790)),2),$IV$18),VLOOKUP($CS789,Control_Savings_Exterior,IV$30,FALSE))</f>
        <v>#N/A</v>
      </c>
      <c r="IW789" s="1679" t="e">
        <f>IF($CR789="interior",ROUND(((1-IS789)*IV789)+IS789,2),VLOOKUP($CS789,Control_Savings_Exterior,IW$30,FALSE))</f>
        <v>#N/A</v>
      </c>
      <c r="IX789" s="1679" t="e">
        <f>IF($CR789="interior",ROUND(((1-IT789)*IV789)+IT789,2),VLOOKUP($CS789,Control_Savings_Exterior,IX$30,FALSE))</f>
        <v>#N/A</v>
      </c>
      <c r="IY789" s="1679" t="e">
        <f>IF($CR789="interior",IF(R790&gt;$IP$14,ROUND(($IY$18*($IP$14/R790)),2),$IY$18),VLOOKUP($CS789,Control_Savings_Exterior,IY$30,FALSE))</f>
        <v>#N/A</v>
      </c>
      <c r="IZ789" s="1679" t="e">
        <f>IF($CR789="interior",ROUND(((1-IS789)*IY789)+IS789,2),VLOOKUP($CS789,Control_Savings_Exterior,IZ$30,FALSE))</f>
        <v>#N/A</v>
      </c>
      <c r="JA789" s="1679" t="e">
        <f>IF($CR789="interior",ROUND(((1-IT789)*IY789)+IT789,2),VLOOKUP($CS789,Control_Savings_Exterior,JA$30,FALSE))</f>
        <v>#N/A</v>
      </c>
      <c r="JC789" s="1680">
        <f>IFERROR(IF(CR789="Interior",CONCATENATE(G792," ",FQ789),FQ789),"")</f>
        <v>0</v>
      </c>
      <c r="JD789" s="1670" t="str">
        <f>IFERROR(VLOOKUP(JC789,_Controls_2023,2,FALSE),"")</f>
        <v/>
      </c>
      <c r="JE789" s="1681">
        <f>IFERROR(CHOOSE(JD789-1,IQ789,IR789,IS789,IT789,IU789,IV789,IW789,IX789,IY789,IZ789,JA789),0)</f>
        <v>0</v>
      </c>
      <c r="JG789" s="1680" t="str">
        <f>FE789</f>
        <v xml:space="preserve"> - 0</v>
      </c>
      <c r="JH789" s="1670" t="e">
        <f>$FO789</f>
        <v>#N/A</v>
      </c>
      <c r="JI789" s="1060"/>
      <c r="JJ789" s="1682" t="b">
        <f>IF($JG791=CONCATENATE("Interior - ",JJ$4),TRUE,FALSE)</f>
        <v>0</v>
      </c>
      <c r="JK789" s="1061"/>
      <c r="JL789" s="1682" t="b">
        <f>IF($JG791=CONCATENATE("Interior - ",JL$4),TRUE,FALSE)</f>
        <v>0</v>
      </c>
      <c r="JM789" s="1061"/>
      <c r="JN789" s="1682" t="b">
        <f>IF($JG791=CONCATENATE("Interior - ",JN$4),TRUE,FALSE)</f>
        <v>0</v>
      </c>
      <c r="JO789" s="1061"/>
      <c r="JP789" s="1682" t="b">
        <f>IF(__Retrofit_TI_NC&gt;0,FALSE,IF($JG791=CONCATENATE("Interior - ",JP$4),TRUE,FALSE))</f>
        <v>0</v>
      </c>
      <c r="JQ789" s="1061"/>
      <c r="JR789" s="1682" t="b">
        <f>IF(__Retrofit_TI_NC&gt;0,FALSE,IF($JG791=CONCATENATE("Interior - ",JR$4),TRUE,FALSE))</f>
        <v>0</v>
      </c>
      <c r="JS789" s="1061"/>
      <c r="JT789" s="1670" t="b">
        <f>IF(__Retrofit_TI_NC&gt;0,FALSE,IF($JG791=CONCATENATE("Interior - ",JT$4),TRUE,FALSE))</f>
        <v>0</v>
      </c>
      <c r="JU789" s="1061"/>
      <c r="JV789" s="1670" t="b">
        <f>IF(JC791="AELC on Existing",TRUE,FALSE)</f>
        <v>0</v>
      </c>
      <c r="JX789" s="1670" t="b">
        <f>IF(OR(JG791="Exterior - AELC Occupancy based",JG791="Exterior - AELC Time based"),TRUE,FALSE)</f>
        <v>0</v>
      </c>
      <c r="JZ789" s="1682" t="b">
        <f>IF($JG791=CONCATENATE("Exterior - ",JZ$4),TRUE,FALSE)</f>
        <v>0</v>
      </c>
      <c r="KB789" s="1670" t="b">
        <f>IF(__Retrofit_TI_NC&gt;0,FALSE,IF($JG791=CONCATENATE("Interior - ",KB$4),TRUE,FALSE))</f>
        <v>0</v>
      </c>
    </row>
    <row r="790" spans="1:288" s="78" customFormat="1" ht="14.95" customHeight="1" thickTop="1" thickBot="1">
      <c r="B790" s="1845"/>
      <c r="C790" s="1846"/>
      <c r="D790" s="1847"/>
      <c r="E790" s="1737" t="s">
        <v>297</v>
      </c>
      <c r="F790" s="1738"/>
      <c r="G790" s="1739"/>
      <c r="H790" s="1739"/>
      <c r="I790" s="1739"/>
      <c r="J790" s="1739"/>
      <c r="K790" s="1739"/>
      <c r="L790" s="1739"/>
      <c r="M790" s="461" t="e">
        <f>IF(__Retrofit_TI_NC&lt;&gt;0,IF(VLOOKUP(G791,'Space Table'!$B$3:$L$163,3,FALSE)&gt;0,1,0),IF(__Retrofit_TI_NC=VLOOKUP(G791,'Space Table'!$B$3:$L$163,3,FALSE),1,0))</f>
        <v>#N/A</v>
      </c>
      <c r="N790" s="461" t="str">
        <f>IFERROR(VLOOKUP(G790,_Lookup_Heat_Type_Table_New,2,FALSE),"")</f>
        <v/>
      </c>
      <c r="O790" s="461">
        <f>IF(__Retrofit_TI_NC=1,CONCATENATE("TI ",G790),IF(__Retrofit_TI_NC=2,CONCATENATE("NC ",G790),G790))</f>
        <v>0</v>
      </c>
      <c r="P790" s="1740" t="s">
        <v>435</v>
      </c>
      <c r="Q790" s="1740"/>
      <c r="R790" s="595"/>
      <c r="S790" s="1792"/>
      <c r="T790" s="597"/>
      <c r="U790" s="1765"/>
      <c r="V790" s="1766"/>
      <c r="W790" s="1766"/>
      <c r="X790" s="1766"/>
      <c r="Y790" s="1766"/>
      <c r="Z790" s="1766"/>
      <c r="AA790" s="1766"/>
      <c r="AB790" s="1766"/>
      <c r="AC790" s="1766"/>
      <c r="AD790" s="1767"/>
      <c r="AE790" s="1000"/>
      <c r="AF790" s="597"/>
      <c r="AG790" s="1723"/>
      <c r="AH790" s="1724"/>
      <c r="AI790" s="1724"/>
      <c r="AJ790" s="1724"/>
      <c r="AK790" s="1725"/>
      <c r="AL790" s="996"/>
      <c r="AM790" s="1747"/>
      <c r="AN790" s="1775"/>
      <c r="AO790" s="1777"/>
      <c r="AP790" s="1780"/>
      <c r="AQ790" s="1781"/>
      <c r="AR790" s="1795"/>
      <c r="AS790" s="1795"/>
      <c r="AT790" s="1796"/>
      <c r="AU790" s="1735"/>
      <c r="AV790" s="1752"/>
      <c r="AW790" s="1705"/>
      <c r="AX790" s="467"/>
      <c r="AY790" s="1749"/>
      <c r="AZ790" s="1749"/>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696"/>
      <c r="CQ790" s="1696"/>
      <c r="CR790" s="1809"/>
      <c r="CS790" s="1811"/>
      <c r="CU790" s="1688"/>
      <c r="CV790" s="1703"/>
      <c r="CW790" s="1703"/>
      <c r="CX790" s="1703"/>
      <c r="CY790" s="1815"/>
      <c r="CZ790" s="1711"/>
      <c r="DA790" s="1818"/>
      <c r="DB790" s="1820"/>
      <c r="DC790" s="1820"/>
      <c r="DD790" s="1820"/>
      <c r="DF790" s="1703"/>
      <c r="DG790" s="1831"/>
      <c r="DH790" s="1703"/>
      <c r="DI790" s="1838"/>
      <c r="DJ790" s="1711"/>
      <c r="DK790" s="1712"/>
      <c r="DM790" s="1718"/>
      <c r="DO790" s="1708"/>
      <c r="DQ790" s="1715"/>
      <c r="DR790" s="1720"/>
      <c r="DS790" s="1816"/>
      <c r="DT790" s="1714"/>
      <c r="DU790" s="1715"/>
      <c r="DV790" s="1716"/>
      <c r="DX790" s="1715"/>
      <c r="DY790" s="1720"/>
      <c r="DZ790" s="1715"/>
      <c r="EA790" s="1715"/>
      <c r="EC790" s="1834"/>
      <c r="ED790" s="1834"/>
      <c r="EF790" s="1707"/>
      <c r="EG790" s="1712"/>
      <c r="EH790" s="1818"/>
      <c r="EI790" s="1712"/>
      <c r="EJ790" s="1712"/>
      <c r="EK790" s="1836"/>
      <c r="EL790" s="1836"/>
      <c r="EM790" s="1807"/>
      <c r="EN790" s="1839"/>
      <c r="EO790" s="1839"/>
      <c r="EP790" s="1817"/>
      <c r="EQ790" s="1817"/>
      <c r="ER790" s="1807"/>
      <c r="ES790" s="1807"/>
      <c r="ET790" s="1807"/>
      <c r="EV790" s="1715"/>
      <c r="EX790" s="1805"/>
      <c r="EY790" s="1805"/>
      <c r="EZ790" s="1805"/>
      <c r="FA790" s="1805"/>
      <c r="FB790" s="1805"/>
      <c r="FC790" s="1827"/>
      <c r="FE790" s="1698"/>
      <c r="FG790" s="1816"/>
      <c r="FH790" s="1816"/>
      <c r="FI790" s="133"/>
      <c r="FL790" s="1823"/>
      <c r="FM790" s="1825"/>
      <c r="FN790" s="1698"/>
      <c r="FO790" s="1698"/>
      <c r="FP790" s="1678"/>
      <c r="FQ790" s="1678"/>
      <c r="FS790" s="1687"/>
      <c r="FT790" s="1687"/>
      <c r="FU790" s="1685"/>
      <c r="FV790" s="1687"/>
      <c r="FW790" s="1687"/>
      <c r="FX790" s="1687"/>
      <c r="FY790" s="1697"/>
      <c r="GA790" s="1696"/>
      <c r="GB790" s="1696"/>
      <c r="GC790" s="1696"/>
      <c r="GD790" s="1696"/>
      <c r="GE790" s="1696"/>
      <c r="GF790" s="1696"/>
      <c r="GG790" s="1696"/>
      <c r="GH790" s="1696"/>
      <c r="GI790" s="673"/>
      <c r="GJ790" s="1135"/>
      <c r="GK790" s="1832"/>
      <c r="GM790" s="1693" t="b">
        <f ca="1">IF(AND(GP790=TRUE,GQ790=TRUE),TRUE,FALSE)</f>
        <v>0</v>
      </c>
      <c r="GN790" s="1684" t="b">
        <f>IFERROR(IF(__Retrofit_TI_NC=2,TRUE,IF(AU789="Yes",TRUE,FALSE)),FALSE)</f>
        <v>1</v>
      </c>
      <c r="GP790" s="1684" t="b">
        <f>IFERROR(IF(GP789=1,TRUE,FALSE),FALSE)</f>
        <v>0</v>
      </c>
      <c r="GQ790" s="1684" t="b">
        <f ca="1">IFERROR(IF(GQ789=GQ$14,TRUE,FALSE),FALSE)</f>
        <v>0</v>
      </c>
      <c r="HG790" s="1684" t="b">
        <f>IFERROR(IF(AND(__Retrofit_TI_NC&gt;0,CQ789="Interior"),FALSE,TRUE),FALSE)</f>
        <v>1</v>
      </c>
      <c r="HH790" s="1684" t="b">
        <f>IFERROR(IF(M790=1,TRUE,FALSE),FALSE)</f>
        <v>0</v>
      </c>
      <c r="HI790" s="1684" t="b">
        <f>IFERROR(IF(OR(M791=1,N792="BAM"),TRUE,FALSE),FALSE)</f>
        <v>0</v>
      </c>
      <c r="HJ790" s="1684" t="b">
        <f>IFERROR(IF(__Retrofit_TI_NC&lt;&gt;0,TRUE,IFERROR(IF(VLOOKUP(U790,Fixtures_Existing_List,2,FALSE)&lt;&gt;"",TRUE,FALSE),FALSE)),FALSE)</f>
        <v>0</v>
      </c>
      <c r="HK790" s="1684" t="b">
        <f>IFERROR(IF(VLOOKUP(U791,Fixtures_Proposed_List,2,FALSE)&lt;&gt;"",TRUE,FALSE),FALSE)</f>
        <v>0</v>
      </c>
      <c r="HL790" s="1684" t="b">
        <f>IF(AND(__Retrofit_TI_NC=2,FC789=TRUE),FALSE,TRUE)</f>
        <v>1</v>
      </c>
      <c r="HM790" s="1684" t="b">
        <f>GK789</f>
        <v>1</v>
      </c>
      <c r="HN790" s="1682" t="b">
        <f>IF(ISERROR(MATCH(FE789,_Control_Match[],0))=TRUE,FALSE,TRUE)</f>
        <v>0</v>
      </c>
      <c r="HO790" s="1693" t="b">
        <f>IFERROR(IF(EX789&lt;&gt;EY789,FALSE,TRUE),FALSE)</f>
        <v>1</v>
      </c>
      <c r="HP790" s="1693" t="b">
        <f>IFERROR(IF(EX791&lt;&gt;EY791,FALSE,TRUE),FALSE)</f>
        <v>1</v>
      </c>
      <c r="HQ790" s="1670" t="b">
        <f>IFERROR(IF(CQ789="Exterior",TRUE,IF(AND(OR(FM791=0,FM791=3),JD791&gt;6),FALSE,TRUE)),FALSE)</f>
        <v>0</v>
      </c>
      <c r="HR790" s="1684" t="b">
        <f>IFERROR(IF(AND(FO791=7,FC789=TRUE),FALSE,TRUE),FALSE)</f>
        <v>0</v>
      </c>
      <c r="HS790" s="1684" t="b">
        <f>IFERROR(IF(AND(T791&lt;&gt;AF791,OR(AG791="Interior LLLC", AG791="Interior NLC", AG791="LLLC (outside Daylight)",AG791="LLLC Controls Only"))=TRUE,FALSE,TRUE),FALSE)</f>
        <v>1</v>
      </c>
      <c r="HT790" s="1670" t="b">
        <f>IFERROR(IF(OR(AG791=Lookup!BB$17,AG791=Lookup!BB$18,AG791=Lookup!BB$19)=TRUE,IF(AF791&gt;T791,FALSE,TRUE),TRUE),FALSE)</f>
        <v>1</v>
      </c>
      <c r="HU790" s="1684" t="b">
        <f>IFERROR(IF(__Retrofit_TI_NC=2,IF(EZ791&lt;EZ789,FALSE,TRUE),TRUE),FALSE)</f>
        <v>1</v>
      </c>
      <c r="HV790" s="1684" t="b">
        <f>IF(CQ789="Interior",IL$6,TRUE)</f>
        <v>1</v>
      </c>
      <c r="HW790" s="1684" t="b">
        <f>IF(CQ789="Exterior",IL$8,TRUE)</f>
        <v>1</v>
      </c>
      <c r="HX790" s="1684" t="b">
        <f>IFERROR(IF(__Retrofit_TI_NC&lt;&gt;0,IF(AZ789&lt;AY789,FALSE,TRUE),TRUE),FALSE)</f>
        <v>1</v>
      </c>
      <c r="HY790" s="1684" t="b">
        <f>IFERROR(IF(AND(G790="Exterior",R790&gt;4200),FALSE,TRUE),FALSE)</f>
        <v>1</v>
      </c>
      <c r="HZ790" s="1684" t="b">
        <f>IFERROR(IF(AB792/AB789&lt;HZ$18,FALSE,TRUE),FALSE)</f>
        <v>0</v>
      </c>
      <c r="IB790" s="1691"/>
      <c r="IC790" s="1695"/>
      <c r="ID790" s="1694" t="str">
        <f>VLOOKUP(IB792,_Error_Table,4,FALSE)</f>
        <v>White</v>
      </c>
      <c r="IE790" s="391"/>
      <c r="IF790" s="1688"/>
      <c r="IG790" s="1689"/>
      <c r="IH790" s="1684"/>
      <c r="IK790" s="1689"/>
      <c r="IL790" s="1691"/>
      <c r="IM790" s="1691"/>
      <c r="IN790" s="1691"/>
      <c r="IP790" s="1679"/>
      <c r="IQ790" s="1679"/>
      <c r="IR790" s="1679"/>
      <c r="IS790" s="1679"/>
      <c r="IT790" s="1679"/>
      <c r="IU790" s="1679"/>
      <c r="IV790" s="1679"/>
      <c r="IW790" s="1679"/>
      <c r="IX790" s="1679"/>
      <c r="IY790" s="1679"/>
      <c r="IZ790" s="1679"/>
      <c r="JA790" s="1679"/>
      <c r="JC790" s="1680"/>
      <c r="JD790" s="1670"/>
      <c r="JE790" s="1681"/>
      <c r="JG790" s="1680"/>
      <c r="JH790" s="1670"/>
      <c r="JI790" s="1060"/>
      <c r="JJ790" s="1683"/>
      <c r="JK790" s="1061"/>
      <c r="JL790" s="1683"/>
      <c r="JM790" s="1061"/>
      <c r="JN790" s="1683"/>
      <c r="JO790" s="1061"/>
      <c r="JP790" s="1683"/>
      <c r="JQ790" s="1061"/>
      <c r="JR790" s="1683"/>
      <c r="JS790" s="1061"/>
      <c r="JT790" s="1670"/>
      <c r="JU790" s="1061"/>
      <c r="JV790" s="1670"/>
      <c r="JX790" s="1670"/>
      <c r="JZ790" s="1683"/>
      <c r="KB790" s="1670"/>
    </row>
    <row r="791" spans="1:288" s="78" customFormat="1" ht="14.95" customHeight="1" thickTop="1" thickBot="1">
      <c r="A791" s="78">
        <f>ROW()</f>
        <v>791</v>
      </c>
      <c r="B791" s="1845"/>
      <c r="C791" s="1846"/>
      <c r="D791" s="1847"/>
      <c r="E791" s="1737" t="s">
        <v>298</v>
      </c>
      <c r="F791" s="1738"/>
      <c r="G791" s="1760"/>
      <c r="H791" s="1761"/>
      <c r="I791" s="1761"/>
      <c r="J791" s="1761"/>
      <c r="K791" s="1761"/>
      <c r="L791" s="1762"/>
      <c r="M791" s="461">
        <f>IFERROR(IF(IF(__Retrofit_TI_NC&lt;&gt;0,IF(CQ789="Interior",MATCH(G791,Lookup_Interior_New,0),MATCH(G791,Lookup_Exterior_New,0)),IF(CQ789="Interior",MATCH(G791,Lookup_Interior,0),MATCH(G791,Lookup_Exterior_Areas,0)))&gt;0,1,0),0)</f>
        <v>0</v>
      </c>
      <c r="N791" s="461" t="e">
        <f>IF(__Retrofit_TI_NC=1,
VLOOKUP(G791,'Space Table'!$B$3:$L$163,4,FALSE),
IF(__Retrofit_TI_NC=2,VLOOKUP(G791,'Space Table'!$B$3:$L$163,5,FALSE),VLOOKUP(G791,'Space Table'!$B$3:$L$163,5,FALSE)))</f>
        <v>#N/A</v>
      </c>
      <c r="O791" s="461">
        <f>G791</f>
        <v>0</v>
      </c>
      <c r="P791" s="1738" t="str">
        <f>IFERROR(IF(__Retrofit_TI_NC=1,VLOOKUP(G791,'Space Table'!$B$3:$O$163,13,FALSE),IF(__Retrofit_TI_NC=2,VLOOKUP(G791,'Space Table'!$B$3:$O$163,14,FALSE),"Area (sf):")),"Area (sf):")</f>
        <v>Area (sf):</v>
      </c>
      <c r="Q791" s="1738"/>
      <c r="R791" s="596"/>
      <c r="S791" s="1763" t="s">
        <v>345</v>
      </c>
      <c r="T791" s="594"/>
      <c r="U791" s="1801"/>
      <c r="V791" s="1802"/>
      <c r="W791" s="1802"/>
      <c r="X791" s="1802"/>
      <c r="Y791" s="1802"/>
      <c r="Z791" s="1802"/>
      <c r="AA791" s="1802"/>
      <c r="AB791" s="1802"/>
      <c r="AC791" s="1802"/>
      <c r="AD791" s="1802"/>
      <c r="AE791" s="1803"/>
      <c r="AF791" s="594"/>
      <c r="AG791" s="1787"/>
      <c r="AH791" s="1787"/>
      <c r="AI791" s="1787"/>
      <c r="AJ791" s="1787"/>
      <c r="AK791" s="1787"/>
      <c r="AL791" s="1787"/>
      <c r="AM791" s="1726">
        <f>IFERROR(DI791,"")</f>
        <v>0</v>
      </c>
      <c r="AN791" s="1728" t="str">
        <f>IFERROR(ROUND(AM791*AC792,0),"")</f>
        <v/>
      </c>
      <c r="AO791" s="1730">
        <f>IFERROR(IF(IB789=FALSE,0,AC792-AN791),0)</f>
        <v>0</v>
      </c>
      <c r="AP791" s="1780"/>
      <c r="AQ791" s="1781"/>
      <c r="AR791" s="1795"/>
      <c r="AS791" s="1795"/>
      <c r="AT791" s="1796"/>
      <c r="AU791" s="1735"/>
      <c r="AV791" s="1752"/>
      <c r="AW791" s="1705"/>
      <c r="AX791" s="467"/>
      <c r="AY791" s="1749"/>
      <c r="AZ791" s="1749"/>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696"/>
      <c r="CQ791" s="1696"/>
      <c r="CR791" s="1808" t="str">
        <f>CQ789</f>
        <v/>
      </c>
      <c r="CS791" s="1810" t="str">
        <f>CS789</f>
        <v/>
      </c>
      <c r="CU791" s="1688" t="s">
        <v>345</v>
      </c>
      <c r="CV791" s="1702">
        <f>IF(IB789=TRUE,T791,0)</f>
        <v>0</v>
      </c>
      <c r="CW791" s="1702" t="str">
        <f>IF(IB789=TRUE,U791,"")</f>
        <v/>
      </c>
      <c r="CX791" s="1812">
        <f>IF(IB789=TRUE,U792,0)</f>
        <v>0</v>
      </c>
      <c r="CY791" s="1814">
        <f>IF(IB789=TRUE,AB792,0)</f>
        <v>0</v>
      </c>
      <c r="CZ791" s="1710">
        <f>IF(AND(__Retrofit_TI_NC&gt;0,CR789="interior"),0,IF(IB789=TRUE,AC792,0))</f>
        <v>0</v>
      </c>
      <c r="DA791" s="1818"/>
      <c r="DB791" s="1820"/>
      <c r="DC791" s="1820"/>
      <c r="DD791" s="1820"/>
      <c r="DF791" s="1702">
        <f>IF(IB789=TRUE,AF791,0)</f>
        <v>0</v>
      </c>
      <c r="DG791" s="1830" t="str">
        <f>IF(IB789=TRUE,AG791,"")</f>
        <v/>
      </c>
      <c r="DH791" s="1812">
        <f>AG792</f>
        <v>0</v>
      </c>
      <c r="DI791" s="1837">
        <f>JE791</f>
        <v>0</v>
      </c>
      <c r="DJ791" s="1710">
        <f>IF(AND(__Retrofit_TI_NC&gt;0,CR789="interior"),0,IF(IB789=TRUE,AN791,0))</f>
        <v>0</v>
      </c>
      <c r="DK791" s="1712"/>
      <c r="DN791" s="1717">
        <f>IFERROR(CZ791-DJ791,0)</f>
        <v>0</v>
      </c>
      <c r="DO791" s="1709"/>
      <c r="DQ791" s="1715"/>
      <c r="DR791" s="1719" t="str">
        <f>DQ789</f>
        <v/>
      </c>
      <c r="DS791" s="1816"/>
      <c r="DT791" s="1835" t="str">
        <f>IF(OR(DS789=7,DS789=8,DS789=9),"ALC","")</f>
        <v/>
      </c>
      <c r="DU791" s="1715"/>
      <c r="DV791" s="1716"/>
      <c r="DX791" s="1715"/>
      <c r="DY791" s="1829" t="str">
        <f>DX789</f>
        <v/>
      </c>
      <c r="DZ791" s="1715"/>
      <c r="EA791" s="1715"/>
      <c r="EC791" s="1834"/>
      <c r="ED791" s="1834"/>
      <c r="EF791" s="1707"/>
      <c r="EG791" s="1712"/>
      <c r="EH791" s="1818"/>
      <c r="EI791" s="1712"/>
      <c r="EJ791" s="1712"/>
      <c r="EK791" s="1836"/>
      <c r="EL791" s="1836"/>
      <c r="EM791" s="1807"/>
      <c r="EN791" s="1839"/>
      <c r="EO791" s="1839"/>
      <c r="EP791" s="1817"/>
      <c r="EQ791" s="1817"/>
      <c r="ER791" s="1807"/>
      <c r="ES791" s="1807"/>
      <c r="ET791" s="1807"/>
      <c r="EV791" s="1715"/>
      <c r="EX791" s="1805" t="str">
        <f>IFERROR(VLOOKUP(CS791,'Space Table'!$B$3:$L$163,8,FALSE),"")</f>
        <v/>
      </c>
      <c r="EY791" s="1805" t="str">
        <f>IFERROR(IF(FB791="Yes",VLOOKUP(AG791,Lookup_Control_Type_Table2,4,FALSE),VLOOKUP(AG791,Lookup_Control_Type_Table2,3,FALSE)),"")</f>
        <v/>
      </c>
      <c r="EZ791" s="1805" t="e">
        <f>VLOOKUP(AG791,Lookup!BB$3:BC$20,2,FALSE)</f>
        <v>#N/A</v>
      </c>
      <c r="FA791" s="1805" t="e">
        <f>VLOOKUP(EX789,Lookup_Control_Type_Table,2,FALSE)</f>
        <v>#N/A</v>
      </c>
      <c r="FB791" s="1805" t="e">
        <f>VLOOKUP(CS791,'Space Table'!$B$3:$L$163,7,FALSE)</f>
        <v>#N/A</v>
      </c>
      <c r="FC791" s="1827"/>
      <c r="FE791" s="1698" t="str">
        <f>CONCATENATE(CQ789," - ",AG791)</f>
        <v xml:space="preserve"> - </v>
      </c>
      <c r="FG791" s="1816"/>
      <c r="FH791" s="1816"/>
      <c r="FI791" s="133"/>
      <c r="FL791" s="1822" t="str">
        <f>IF(CQ789="Exterior","Not Daylighted",G792)</f>
        <v>Not Daylighted</v>
      </c>
      <c r="FM791" s="1824">
        <f>VLOOKUP(FL791,_New_Daylight_Table_Codes,2,FALSE)</f>
        <v>0</v>
      </c>
      <c r="FN791" s="1698">
        <f>AG791</f>
        <v>0</v>
      </c>
      <c r="FO791" s="1698" t="e">
        <f>VLOOKUP(FN791,_Control_Table,2,FALSE)</f>
        <v>#N/A</v>
      </c>
      <c r="FP791" s="1678" t="e">
        <f>VLOOKUP(CONCATENATE(FL791," ",FN791),Lookup!AY$102:AZ802,2,FALSE)</f>
        <v>#N/A</v>
      </c>
      <c r="FQ791" s="1698">
        <f>IF(__Retrofit_TI_NC=0,FN791,IF(AND(FT791&gt;0,FN791="Occupancy Sensor"),"Daylight + Occupancy",IF(AND(FT791&gt;0,FO791&lt;4),"Interior Daylight Dimming",FN791)))</f>
        <v>0</v>
      </c>
      <c r="FS791" s="1686">
        <f>IF(CQ789="Interior",VLOOKUP(CS789,Control_Savings_Interior,5,FALSE),0)</f>
        <v>0</v>
      </c>
      <c r="FT791" s="1687">
        <f>IF(CQ791="Exterior",0,IF(FM791=2,0.5,IF(OR(FM791=1,FM791=3),1,0)))</f>
        <v>0</v>
      </c>
      <c r="FU791" s="1685">
        <f>IF(R790&gt;FS$44,(FS791*(FS$44/R790)),FS791)*FT791</f>
        <v>0</v>
      </c>
      <c r="FV791" s="1686">
        <f>DI791</f>
        <v>0</v>
      </c>
      <c r="FW791" s="1686">
        <f>ROUND(FV791+((1-FV791)*FU791),2)</f>
        <v>0</v>
      </c>
      <c r="FX791" s="1686">
        <f>IF(__Retrofit_TI_NC=2,FW791,FV791)</f>
        <v>0</v>
      </c>
      <c r="FY791" s="1697">
        <f>IF(CR791="Interior",VLOOKUP(CS791,Control_Savings_Interior,4,FALSE),0)</f>
        <v>0</v>
      </c>
      <c r="GA791" s="1696"/>
      <c r="GB791" s="1696"/>
      <c r="GC791" s="1696"/>
      <c r="GD791" s="1696"/>
      <c r="GE791" s="1696"/>
      <c r="GF791" s="1696"/>
      <c r="GG791" s="1696"/>
      <c r="GH791" s="1696"/>
      <c r="GI791" s="673" t="b">
        <f>IF(ISNUMBER(SEARCH("TLED",U791)),TRUE,FALSE)</f>
        <v>0</v>
      </c>
      <c r="GJ791" s="1135" t="str">
        <f>IFERROR(VLOOKUP(U791,Fixtures!DM$93:DR$142,6,FALSE),"")</f>
        <v/>
      </c>
      <c r="GK791" s="1832"/>
      <c r="GM791" s="1692"/>
      <c r="GN791" s="1684"/>
      <c r="GP791" s="1684"/>
      <c r="GQ791" s="1684"/>
      <c r="HG791" s="1684"/>
      <c r="HH791" s="1684"/>
      <c r="HI791" s="1684"/>
      <c r="HJ791" s="1684"/>
      <c r="HK791" s="1684"/>
      <c r="HL791" s="1684"/>
      <c r="HM791" s="1684"/>
      <c r="HN791" s="1683"/>
      <c r="HO791" s="1692"/>
      <c r="HP791" s="1692"/>
      <c r="HQ791" s="1670"/>
      <c r="HR791" s="1684"/>
      <c r="HS791" s="1684"/>
      <c r="HT791" s="1670"/>
      <c r="HU791" s="1684"/>
      <c r="HV791" s="1684"/>
      <c r="HW791" s="1684"/>
      <c r="HX791" s="1684"/>
      <c r="HY791" s="1684"/>
      <c r="HZ791" s="1684"/>
      <c r="IB791" s="1692"/>
      <c r="IC791" s="1693" t="b">
        <f>IB789</f>
        <v>0</v>
      </c>
      <c r="ID791" s="1695"/>
      <c r="IE791" s="391"/>
      <c r="IF791" s="1688"/>
      <c r="IG791" s="1689">
        <f ca="1">IF(IF789=TRUE,AC792,0)</f>
        <v>0</v>
      </c>
      <c r="IH791" s="1684"/>
      <c r="IK791" s="1689" t="e">
        <f>ROUND(T791*AB792*N790*R790/1000,0)</f>
        <v>#VALUE!</v>
      </c>
      <c r="IL791" s="1691"/>
      <c r="IM791" s="1693" t="e">
        <f>ROUND(T791*AB792*N790*R790/1000,0)</f>
        <v>#VALUE!</v>
      </c>
      <c r="IN791" s="1691"/>
      <c r="IP791" s="1679"/>
      <c r="IQ791" s="1679" t="e">
        <f t="shared" ref="IQ791:IU791" si="732">IF($CR791="interior",VLOOKUP($CS791,_New_Control_Savings_Interior,IQ$30,FALSE),VLOOKUP($CS791,Control_Savings_Exterior,IQ$30,FALSE))</f>
        <v>#N/A</v>
      </c>
      <c r="IR791" s="1679" t="e">
        <f t="shared" si="732"/>
        <v>#N/A</v>
      </c>
      <c r="IS791" s="1679" t="e">
        <f t="shared" si="732"/>
        <v>#N/A</v>
      </c>
      <c r="IT791" s="1679" t="e">
        <f t="shared" si="732"/>
        <v>#N/A</v>
      </c>
      <c r="IU791" s="1679" t="e">
        <f t="shared" si="732"/>
        <v>#N/A</v>
      </c>
      <c r="IV791" s="1679" t="e">
        <f>IF($CR791="interior",IF(R790&gt;$IP$14,ROUND(($IV$18*($IP$14/R790)),2),$IV$18),VLOOKUP($CS791,Control_Savings_Exterior,IV$30,FALSE))</f>
        <v>#N/A</v>
      </c>
      <c r="IW791" s="1679" t="e">
        <f>IF($CR791="interior",ROUND(((1-IS791)*IV791)+IS791,2),VLOOKUP($CS791,Control_Savings_Exterior,IW$30,FALSE))</f>
        <v>#N/A</v>
      </c>
      <c r="IX791" s="1679" t="e">
        <f>IF($CR791="interior",ROUND(((1-IT791)*IV791)+IT791,2),VLOOKUP($CS791,Control_Savings_Exterior,IX$30,FALSE))</f>
        <v>#N/A</v>
      </c>
      <c r="IY791" s="1679" t="e">
        <f>IF($CR791="interior",IF(R790&gt;$IP$14,ROUND(($IY$18*($IP$14/R790)),2),$IY$18),VLOOKUP($CS791,Control_Savings_Exterior,IY$30,FALSE))</f>
        <v>#N/A</v>
      </c>
      <c r="IZ791" s="1679" t="e">
        <f>IF($CR791="interior",ROUND(((1-IS791)*IY791)+IS791,2),VLOOKUP($CS791,Control_Savings_Exterior,IZ$30,FALSE))</f>
        <v>#N/A</v>
      </c>
      <c r="JA791" s="1679" t="e">
        <f>IF($CR791="interior",ROUND(((1-IT791)*IY791)+IT791,2),VLOOKUP($CS791,Control_Savings_Exterior,JA$30,FALSE))</f>
        <v>#N/A</v>
      </c>
      <c r="JC791" s="1680">
        <f>IFERROR(IF(CR791="Interior",CONCATENATE(G792," ",FQ791),AG791),"")</f>
        <v>0</v>
      </c>
      <c r="JD791" s="1670" t="str">
        <f>IFERROR(VLOOKUP(JC791,_Controls_2023,2,FALSE),"")</f>
        <v/>
      </c>
      <c r="JE791" s="1681">
        <f>IFERROR(CHOOSE(JD791-1,IQ791,IR791,IS791,IT791,IU791,IV791,IW791,IX791,IY791,IZ791,JA791),0)</f>
        <v>0</v>
      </c>
      <c r="JG791" s="1680" t="str">
        <f>FE791</f>
        <v xml:space="preserve"> - </v>
      </c>
      <c r="JH791" s="1670" t="e">
        <f>$FO791</f>
        <v>#N/A</v>
      </c>
      <c r="JI791" s="1060"/>
      <c r="JJ791" s="1670">
        <f>IFERROR(IF($IB789=TRUE,IF(OR(JJ$14="No",JJ789=FALSE,JH791&lt;=JH789,AND(_kWh_Grant=0,GD789=FALSE)),0,IF(JJ$8="Per Line",1,$AF791)),0),0)</f>
        <v>0</v>
      </c>
      <c r="JK791" s="1061"/>
      <c r="JL791" s="1670">
        <f>IFERROR(IF(_kWh_Grant=0,0,IF($IB789=TRUE,IF(OR(JL$14="No",JL789=FALSE,JH791&lt;=JH789),0,IF(JL$8="Per Line",1,$T791)),0)),0)</f>
        <v>0</v>
      </c>
      <c r="JM791" s="1061"/>
      <c r="JN791" s="1670">
        <f>IFERROR(IF(_kWh_Grant=0,0,IF($IB789=TRUE,IF(OR(JN$14="No",JN789=FALSE,JH791&lt;=JH789),0,IF(JN$8="Per Line",1,$AF791)),0)),0)</f>
        <v>0</v>
      </c>
      <c r="JO791" s="1061"/>
      <c r="JP791" s="1670">
        <f>IFERROR(IF(__Retrofit_TI_NC=0,IF(_kWh_Grant=0,0,IF($IB789=TRUE,IF(OR(JP$14="No",JP789=FALSE,$JH791&lt;=$JH789),0,IF(JP$8="Per Line",1,$AF791)),0)),IF($IB789=TRUE,IF(OR(JP$14="No",JP789=FALSE,$JH791&lt;=$JH789),0,IF(JP$8="Per Line",1,$AF791)))),0)</f>
        <v>0</v>
      </c>
      <c r="JQ791" s="1061"/>
      <c r="JR791" s="1670">
        <f>IFERROR(IF(__Retrofit_TI_NC=0,IF(_kWh_Grant=0,0,IF($IB789=TRUE,IF(OR(JR$14="No",JR789=FALSE,$JH791&lt;=$JH789),0,IF(JR$8="Per Line",1,$AF791)),0)),IF($IB789=TRUE,IF(OR(JR$14="No",JR789=FALSE,$JH791&lt;=$JH789),0,IF(JR$8="Per Line",1,$AF791)))),0)</f>
        <v>0</v>
      </c>
      <c r="JS791" s="1061"/>
      <c r="JT791" s="1670">
        <f>IFERROR(IF(__Retrofit_TI_NC=0,IF(_kWh_Grant=0,0,IF($IB789=TRUE,IF(OR(JT$14="No",JT789=FALSE,$JH791&lt;=$JH789),0,IF(JT$8="Per Line",1,$AF791)),0)),IF($IB789=TRUE,IF(OR(JT$14="No",JT789=FALSE,$JH791&lt;=$JH789),0,IF(JT$8="Per Line",1,$AF791)))),0)</f>
        <v>0</v>
      </c>
      <c r="JU791" s="1061"/>
      <c r="JV791" s="1670">
        <f>IFERROR(IF(__Retrofit_TI_NC=0,IF(_kWh_Grant=0,0,IF($IB789=TRUE,IF(OR(JV$14="No",JV789=FALSE,$JH791&lt;=$JH789),0,IF(JV$8="Per Line",1,$AF791)),0)),IF($IB789=TRUE,IF(OR(JV$14="No",JV789=FALSE,$JH791&lt;=$JH789),0,IF(JV$8="Per Line",1,$AF791)))),0)</f>
        <v>0</v>
      </c>
      <c r="JX791" s="1670">
        <f>IFERROR(IF(__Retrofit_TI_NC=0,IF(_kWh_Grant=0,0,IF($IB789=TRUE,IF(OR(JX$14="No",JX789=FALSE,$JH791&lt;=$JH789),0,IF(JX$8="Per Line",1,$AF791)),0)),IF($IB789=TRUE,IF(OR(JX$14="No",JX789=FALSE,$JH791&lt;=$JH789),0,IF(JX$8="Per Line",1,$AF791)))),0)</f>
        <v>0</v>
      </c>
      <c r="JZ791" s="1670">
        <f>IFERROR(IF($IB789=TRUE,IF(OR(JZ$14="No",JZ789=FALSE,$JH791&lt;=$JH789,AND(_kWh_Grant=0,$GD789=FALSE)),0,IF(JZ$8="Per Line",1,$AF791)),0),0)</f>
        <v>0</v>
      </c>
      <c r="KB791" s="1670">
        <f>IFERROR(IF(__Retrofit_TI_NC=0,IF(_kWh_Grant=0,0,IF($IB789=TRUE,IF(OR(KB$14="No",KB789=FALSE,$JH791&lt;=$JH789),0,IF(KB$8="Per Line",1,$AF791)),0)),IF($IB789=TRUE,IF(OR(KB$14="No",KB789=FALSE,$JH791&lt;=$JH789),0,IF(KB$8="Per Line",1,$AF791)))),0)</f>
        <v>0</v>
      </c>
    </row>
    <row r="792" spans="1:288" s="78" customFormat="1" ht="14.95" customHeight="1" thickTop="1" thickBot="1">
      <c r="B792" s="1845"/>
      <c r="C792" s="1846"/>
      <c r="D792" s="1847"/>
      <c r="E792" s="1771" t="s">
        <v>436</v>
      </c>
      <c r="F792" s="1772"/>
      <c r="G792" s="1784" t="s">
        <v>437</v>
      </c>
      <c r="H792" s="1785"/>
      <c r="I792" s="1785"/>
      <c r="J792" s="1785"/>
      <c r="K792" s="1785"/>
      <c r="L792" s="1786"/>
      <c r="M792" s="591">
        <f>IFERROR(VLOOKUP(G792,_Daylight_Table[],2,FALSE),0)</f>
        <v>0</v>
      </c>
      <c r="N792" s="592" t="str">
        <f>IF(AND(__Retrofit_TI_NC&gt;0,CQ789="Interior"),"BAM","")</f>
        <v/>
      </c>
      <c r="O792" s="591" t="e">
        <f>VLOOKUP(G791,'Space Table'!$B$3:$L$163,11,FALSE)</f>
        <v>#N/A</v>
      </c>
      <c r="P792" s="1789"/>
      <c r="Q792" s="1790"/>
      <c r="R792" s="1790"/>
      <c r="S792" s="1788"/>
      <c r="T792" s="593" t="s">
        <v>342</v>
      </c>
      <c r="U792" s="1756" t="str" cm="1">
        <f t="array" aca="1" ref="U792" ca="1">IFERROR(VLOOKUP(INDIRECT("U" &amp; ROW()-1),Fixtures!DM$93:DP$142,4,FALSE),"")</f>
        <v/>
      </c>
      <c r="V792" s="1757"/>
      <c r="W792" s="1757"/>
      <c r="X792" s="1757"/>
      <c r="Y792" s="1757"/>
      <c r="Z792" s="1757"/>
      <c r="AA792" s="1758"/>
      <c r="AB792" s="939" t="str">
        <f>IFERROR(VLOOKUP(U791,Fixtures_Proposed_List,2,FALSE),"")</f>
        <v/>
      </c>
      <c r="AC792" s="933" t="str">
        <f>IFERROR(ROUND(T791*AB792*N790*R790/1000,0),"")</f>
        <v/>
      </c>
      <c r="AD792" s="934" t="str">
        <f>IFERROR(ROUND(T791*AB792/1000,2),"")</f>
        <v/>
      </c>
      <c r="AE792" s="998"/>
      <c r="AF792" s="938" t="s">
        <v>342</v>
      </c>
      <c r="AG792" s="1770"/>
      <c r="AH792" s="1770"/>
      <c r="AI792" s="1770"/>
      <c r="AJ792" s="1770"/>
      <c r="AK792" s="1770"/>
      <c r="AL792" s="1770"/>
      <c r="AM792" s="1727"/>
      <c r="AN792" s="1729"/>
      <c r="AO792" s="1731"/>
      <c r="AP792" s="1782"/>
      <c r="AQ792" s="1783"/>
      <c r="AR792" s="1797"/>
      <c r="AS792" s="1797"/>
      <c r="AT792" s="1798"/>
      <c r="AU792" s="1736"/>
      <c r="AV792" s="1753"/>
      <c r="AW792" s="1706"/>
      <c r="AX792" s="468"/>
      <c r="AY792" s="1750"/>
      <c r="AZ792" s="1750"/>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696"/>
      <c r="CQ792" s="1696"/>
      <c r="CR792" s="1809"/>
      <c r="CS792" s="1811"/>
      <c r="CU792" s="1688"/>
      <c r="CV792" s="1703"/>
      <c r="CW792" s="1703"/>
      <c r="CX792" s="1813"/>
      <c r="CY792" s="1815"/>
      <c r="CZ792" s="1711"/>
      <c r="DA792" s="1815"/>
      <c r="DB792" s="1821"/>
      <c r="DC792" s="1821"/>
      <c r="DD792" s="1821"/>
      <c r="DF792" s="1703"/>
      <c r="DG792" s="1831"/>
      <c r="DH792" s="1813"/>
      <c r="DI792" s="1838"/>
      <c r="DJ792" s="1711"/>
      <c r="DK792" s="1712"/>
      <c r="DN792" s="1718"/>
      <c r="DO792" s="1709"/>
      <c r="DQ792" s="1715"/>
      <c r="DR792" s="1720"/>
      <c r="DS792" s="1703"/>
      <c r="DT792" s="1714"/>
      <c r="DU792" s="1715"/>
      <c r="DV792" s="1716"/>
      <c r="DX792" s="1715"/>
      <c r="DY792" s="1720"/>
      <c r="DZ792" s="1715"/>
      <c r="EA792" s="1715"/>
      <c r="EC792" s="1834"/>
      <c r="ED792" s="1834"/>
      <c r="EF792" s="1707"/>
      <c r="EG792" s="1712"/>
      <c r="EH792" s="1815"/>
      <c r="EI792" s="1712"/>
      <c r="EJ792" s="1712"/>
      <c r="EK792" s="1813"/>
      <c r="EL792" s="1813"/>
      <c r="EM792" s="1807"/>
      <c r="EN792" s="1839"/>
      <c r="EO792" s="1839"/>
      <c r="EP792" s="1817"/>
      <c r="EQ792" s="1817"/>
      <c r="ER792" s="1807"/>
      <c r="ES792" s="1807"/>
      <c r="ET792" s="1807"/>
      <c r="EV792" s="1715"/>
      <c r="EX792" s="1806"/>
      <c r="EY792" s="1806"/>
      <c r="EZ792" s="1806"/>
      <c r="FA792" s="1806"/>
      <c r="FB792" s="1806"/>
      <c r="FC792" s="1828"/>
      <c r="FE792" s="1698"/>
      <c r="FG792" s="1703"/>
      <c r="FH792" s="1703"/>
      <c r="FI792" s="133"/>
      <c r="FL792" s="1823"/>
      <c r="FM792" s="1825"/>
      <c r="FN792" s="1698"/>
      <c r="FO792" s="1698"/>
      <c r="FP792" s="1678"/>
      <c r="FQ792" s="1698"/>
      <c r="FS792" s="1687"/>
      <c r="FT792" s="1687"/>
      <c r="FU792" s="1685"/>
      <c r="FV792" s="1687"/>
      <c r="FW792" s="1687"/>
      <c r="FX792" s="1687"/>
      <c r="FY792" s="1697"/>
      <c r="GA792" s="1696"/>
      <c r="GB792" s="1696"/>
      <c r="GC792" s="1696"/>
      <c r="GD792" s="1696"/>
      <c r="GE792" s="1696"/>
      <c r="GF792" s="1696"/>
      <c r="GG792" s="1696"/>
      <c r="GH792" s="1696"/>
      <c r="GI792" s="673"/>
      <c r="GJ792" s="1135"/>
      <c r="GK792" s="1832"/>
      <c r="GN792" s="674">
        <f>IF(GN790=TRUE,0,GN$16)</f>
        <v>0</v>
      </c>
      <c r="GP792" s="674">
        <f>IF(GP790=TRUE,0,GP$16)</f>
        <v>36</v>
      </c>
      <c r="GQ792" s="674">
        <f ca="1">IF(GQ790=TRUE,0,GQ$16)</f>
        <v>35</v>
      </c>
      <c r="GR792" s="391"/>
      <c r="GS792" s="391"/>
      <c r="GT792" s="391"/>
      <c r="GU792" s="391"/>
      <c r="GV792" s="391"/>
      <c r="HG792" s="674">
        <f>IF(HG790=TRUE,0,HG$16)</f>
        <v>0</v>
      </c>
      <c r="HH792" s="674">
        <f t="shared" ref="HH792:HM792" si="733">IF(HH790=TRUE,0,HH$16)</f>
        <v>19</v>
      </c>
      <c r="HI792" s="674">
        <f t="shared" si="733"/>
        <v>18</v>
      </c>
      <c r="HJ792" s="674">
        <f t="shared" si="733"/>
        <v>17</v>
      </c>
      <c r="HK792" s="674">
        <f t="shared" si="733"/>
        <v>16</v>
      </c>
      <c r="HL792" s="674">
        <f t="shared" si="733"/>
        <v>0</v>
      </c>
      <c r="HM792" s="674">
        <f t="shared" si="733"/>
        <v>0</v>
      </c>
      <c r="HN792" s="674">
        <f>IF(HN790=TRUE,0,HN$16)</f>
        <v>13</v>
      </c>
      <c r="HO792" s="674">
        <f t="shared" ref="HO792:HQ792" si="734">IF(HO790=TRUE,0,HO$16)</f>
        <v>0</v>
      </c>
      <c r="HP792" s="674">
        <f t="shared" si="734"/>
        <v>0</v>
      </c>
      <c r="HQ792" s="674">
        <f t="shared" si="734"/>
        <v>10</v>
      </c>
      <c r="HR792" s="674">
        <f>IF(HR790=TRUE,0,HR$16)</f>
        <v>9</v>
      </c>
      <c r="HS792" s="674">
        <f t="shared" ref="HS792:HW792" si="735">IF(HS790=TRUE,0,HS$16)</f>
        <v>0</v>
      </c>
      <c r="HT792" s="674">
        <f t="shared" si="735"/>
        <v>0</v>
      </c>
      <c r="HU792" s="674">
        <f t="shared" si="735"/>
        <v>0</v>
      </c>
      <c r="HV792" s="674">
        <f t="shared" si="735"/>
        <v>0</v>
      </c>
      <c r="HW792" s="674">
        <f t="shared" si="735"/>
        <v>0</v>
      </c>
      <c r="HX792" s="674">
        <f>IF(HX790=TRUE,0,HX$16)</f>
        <v>0</v>
      </c>
      <c r="HY792" s="674">
        <f>IF(HY790=TRUE,0,HY$16)</f>
        <v>0</v>
      </c>
      <c r="HZ792" s="674">
        <f>IF(HZ790=TRUE,0,HZ$16)</f>
        <v>1</v>
      </c>
      <c r="IB792" s="674">
        <f>IF(GP790=FALSE,GP792,IF(GQ790=FALSE,GQ792,MAX(GN792:HZ792)))</f>
        <v>36</v>
      </c>
      <c r="IC792" s="1692"/>
      <c r="ID792" s="205" t="str">
        <f>VLOOKUP(IB792,_Error_Table,3,FALSE)</f>
        <v xml:space="preserve"> </v>
      </c>
      <c r="IE792" s="205"/>
      <c r="IF792" s="1688"/>
      <c r="IG792" s="1689"/>
      <c r="IH792" s="1684"/>
      <c r="IK792" s="1689"/>
      <c r="IL792" s="1692"/>
      <c r="IM792" s="1692"/>
      <c r="IN792" s="1692"/>
      <c r="IP792" s="1679"/>
      <c r="IQ792" s="1679"/>
      <c r="IR792" s="1679"/>
      <c r="IS792" s="1679"/>
      <c r="IT792" s="1679"/>
      <c r="IU792" s="1679"/>
      <c r="IV792" s="1679"/>
      <c r="IW792" s="1679"/>
      <c r="IX792" s="1679"/>
      <c r="IY792" s="1679"/>
      <c r="IZ792" s="1679"/>
      <c r="JA792" s="1679"/>
      <c r="JC792" s="1680"/>
      <c r="JD792" s="1670"/>
      <c r="JE792" s="1681"/>
      <c r="JG792" s="1680"/>
      <c r="JH792" s="1670"/>
      <c r="JI792" s="1060"/>
      <c r="JJ792" s="1670"/>
      <c r="JK792" s="1061"/>
      <c r="JL792" s="1670"/>
      <c r="JM792" s="1061"/>
      <c r="JN792" s="1670"/>
      <c r="JO792" s="1061"/>
      <c r="JP792" s="1670"/>
      <c r="JQ792" s="1061"/>
      <c r="JR792" s="1670"/>
      <c r="JS792" s="1061"/>
      <c r="JT792" s="1670"/>
      <c r="JU792" s="1061"/>
      <c r="JV792" s="1670"/>
      <c r="JX792" s="1670"/>
      <c r="JZ792" s="1670"/>
      <c r="KB792" s="1670"/>
    </row>
    <row r="793" spans="1:288" s="78" customFormat="1" ht="5.0999999999999996" customHeight="1">
      <c r="B793" s="676"/>
      <c r="C793" s="392"/>
      <c r="D793" s="392"/>
      <c r="E793" s="1733"/>
      <c r="F793" s="1733"/>
      <c r="G793" s="1733"/>
      <c r="H793" s="1733"/>
      <c r="I793" s="1733"/>
      <c r="J793" s="1733"/>
      <c r="K793" s="1733"/>
      <c r="L793" s="1733"/>
      <c r="M793" s="1733"/>
      <c r="N793" s="1733"/>
      <c r="O793" s="1733"/>
      <c r="P793" s="1733"/>
      <c r="Q793" s="1733"/>
      <c r="R793" s="1733"/>
      <c r="S793" s="1733"/>
      <c r="T793" s="1733"/>
      <c r="U793" s="1733"/>
      <c r="V793" s="1733"/>
      <c r="W793" s="1733"/>
      <c r="X793" s="1733"/>
      <c r="Y793" s="1733"/>
      <c r="Z793" s="1733"/>
      <c r="AA793" s="1733"/>
      <c r="AB793" s="1733"/>
      <c r="AC793" s="1733"/>
      <c r="AD793" s="1733"/>
      <c r="AE793" s="1733"/>
      <c r="AF793" s="1733"/>
      <c r="AG793" s="1733"/>
      <c r="AH793" s="1733"/>
      <c r="AI793" s="1733"/>
      <c r="AJ793" s="1733"/>
      <c r="AK793" s="1733"/>
      <c r="AL793" s="1733"/>
      <c r="AM793" s="1733"/>
      <c r="AN793" s="1733"/>
      <c r="AO793" s="1733"/>
      <c r="AP793" s="1733"/>
      <c r="AQ793" s="1733"/>
      <c r="AR793" s="1733"/>
      <c r="AS793" s="1733"/>
      <c r="AT793" s="1733"/>
      <c r="AU793" s="1733"/>
      <c r="AV793" s="1733"/>
      <c r="AW793" s="1733"/>
      <c r="AX793" s="469"/>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663"/>
      <c r="CQ793" s="663"/>
      <c r="CR793" s="438"/>
      <c r="CS793" s="663"/>
      <c r="CV793" s="391"/>
      <c r="CW793" s="391"/>
      <c r="CX793" s="207"/>
      <c r="CY793" s="208"/>
      <c r="CZ793" s="208"/>
      <c r="DA793" s="208"/>
      <c r="DB793" s="209"/>
      <c r="DC793" s="209"/>
      <c r="DD793" s="209"/>
      <c r="DF793" s="664"/>
      <c r="DG793" s="665"/>
      <c r="DH793" s="666"/>
      <c r="DI793" s="667"/>
      <c r="DJ793" s="668"/>
      <c r="DK793" s="668"/>
      <c r="DN793" s="208"/>
      <c r="DO793" s="664"/>
      <c r="DQ793" s="664"/>
      <c r="DR793" s="669"/>
      <c r="DS793" s="391"/>
      <c r="DT793" s="664"/>
      <c r="DU793" s="664"/>
      <c r="DV793" s="664"/>
      <c r="DX793" s="664"/>
      <c r="DY793" s="664"/>
      <c r="DZ793" s="664"/>
      <c r="EA793" s="664"/>
      <c r="EC793" s="670"/>
      <c r="ED793" s="670"/>
      <c r="EF793" s="668"/>
      <c r="EG793" s="668"/>
      <c r="EH793" s="208"/>
      <c r="EI793" s="668"/>
      <c r="EJ793" s="668"/>
      <c r="EK793" s="207"/>
      <c r="EL793" s="207"/>
      <c r="EM793" s="666"/>
      <c r="EN793" s="671"/>
      <c r="EO793" s="671"/>
      <c r="EP793" s="672"/>
      <c r="EQ793" s="672"/>
      <c r="ER793" s="666"/>
      <c r="ES793" s="666"/>
      <c r="ET793" s="666"/>
      <c r="EV793" s="664"/>
      <c r="EX793" s="391"/>
      <c r="EY793" s="391"/>
      <c r="EZ793" s="391"/>
      <c r="FA793" s="391"/>
      <c r="FB793" s="391"/>
      <c r="FC793" s="391"/>
      <c r="FE793" s="569"/>
      <c r="FG793" s="391"/>
      <c r="FH793" s="391"/>
      <c r="FI793" s="391"/>
      <c r="FS793" s="664"/>
      <c r="FT793" s="391"/>
      <c r="FU793" s="391"/>
      <c r="FV793" s="664"/>
      <c r="FW793" s="664"/>
      <c r="GA793" s="663"/>
      <c r="GB793" s="663"/>
      <c r="GC793" s="663"/>
      <c r="GD793" s="663"/>
      <c r="GE793" s="663"/>
      <c r="GF793" s="663"/>
      <c r="GG793" s="663"/>
      <c r="GH793" s="663"/>
      <c r="GI793" s="665"/>
      <c r="GJ793" s="664"/>
      <c r="GK793" s="664"/>
    </row>
    <row r="794" spans="1:288">
      <c r="BD794" s="78"/>
      <c r="BE794" s="78"/>
      <c r="CL794" s="78"/>
    </row>
    <row r="795" spans="1:288">
      <c r="BD795" s="78"/>
      <c r="BE795" s="78"/>
      <c r="CL795" s="78"/>
      <c r="EV795" s="38">
        <f>ROW()</f>
        <v>795</v>
      </c>
    </row>
    <row r="796" spans="1:288">
      <c r="BD796" s="78"/>
      <c r="BE796" s="78"/>
      <c r="CL796" s="78"/>
    </row>
    <row r="797" spans="1:288">
      <c r="BD797" s="78"/>
      <c r="BE797" s="78"/>
      <c r="CL797" s="78"/>
    </row>
    <row r="798" spans="1:288">
      <c r="BD798" s="78"/>
      <c r="BE798" s="78"/>
      <c r="CL798" s="78"/>
    </row>
    <row r="799" spans="1:288">
      <c r="BD799" s="78"/>
      <c r="BE799" s="78"/>
      <c r="CL799" s="78"/>
    </row>
    <row r="800" spans="1:288">
      <c r="BD800" s="78"/>
      <c r="BE800" s="78"/>
      <c r="CL800" s="78"/>
    </row>
    <row r="801" spans="3:90">
      <c r="BD801" s="78"/>
      <c r="BE801" s="78"/>
      <c r="CL801" s="78"/>
    </row>
    <row r="802" spans="3:90">
      <c r="BD802" s="78"/>
      <c r="BE802" s="78"/>
      <c r="CL802" s="78"/>
    </row>
    <row r="803" spans="3:90">
      <c r="BD803" s="78"/>
      <c r="BE803" s="78"/>
      <c r="CL803" s="78"/>
    </row>
    <row r="804" spans="3:90" ht="14.3">
      <c r="C804" s="1110"/>
      <c r="D804" s="1110"/>
      <c r="E804" s="1110"/>
      <c r="F804" s="1110"/>
      <c r="G804" s="1110"/>
      <c r="H804" s="1111" t="s">
        <v>441</v>
      </c>
      <c r="I804" s="1910" t="s">
        <v>442</v>
      </c>
      <c r="J804" s="1910"/>
      <c r="K804" s="1910"/>
      <c r="L804" s="1910"/>
      <c r="M804" s="1910"/>
      <c r="N804" s="1910"/>
      <c r="O804" s="1910"/>
      <c r="P804" s="1910"/>
      <c r="Q804" s="1911"/>
      <c r="R804" s="1112" t="s">
        <v>443</v>
      </c>
      <c r="S804" s="1110"/>
      <c r="T804" s="1110"/>
      <c r="U804" s="1110"/>
      <c r="V804" s="1110"/>
      <c r="W804" s="1110"/>
      <c r="BD804" s="78"/>
      <c r="BE804" s="78"/>
      <c r="CL804" s="78"/>
    </row>
    <row r="805" spans="3:90">
      <c r="BD805" s="78"/>
      <c r="BE805" s="78"/>
      <c r="CL805" s="78"/>
    </row>
    <row r="806" spans="3:90">
      <c r="BD806" s="78"/>
      <c r="BE806" s="78"/>
      <c r="CL806" s="78"/>
    </row>
    <row r="807" spans="3:90">
      <c r="BD807" s="78"/>
      <c r="BE807" s="78"/>
      <c r="CL807" s="78"/>
    </row>
    <row r="808" spans="3:90">
      <c r="BD808" s="78"/>
      <c r="BE808" s="78"/>
      <c r="CL808" s="78"/>
    </row>
    <row r="809" spans="3:90">
      <c r="BD809" s="78"/>
      <c r="BE809" s="78"/>
      <c r="CL809" s="78"/>
    </row>
    <row r="810" spans="3:90">
      <c r="BD810" s="78"/>
      <c r="BE810" s="78"/>
      <c r="CL810" s="78"/>
    </row>
    <row r="811" spans="3:90">
      <c r="BD811" s="78"/>
      <c r="BE811" s="78"/>
      <c r="CL811" s="78"/>
    </row>
    <row r="812" spans="3:90">
      <c r="BD812" s="78"/>
      <c r="BE812" s="78"/>
      <c r="CL812" s="78"/>
    </row>
    <row r="813" spans="3:90">
      <c r="BD813" s="78"/>
      <c r="BE813" s="78"/>
      <c r="CL813" s="78"/>
    </row>
    <row r="814" spans="3:90">
      <c r="BD814" s="78"/>
      <c r="BE814" s="78"/>
      <c r="CL814" s="78"/>
    </row>
    <row r="815" spans="3:90">
      <c r="BD815" s="78"/>
      <c r="BE815" s="78"/>
      <c r="CL815" s="78"/>
    </row>
    <row r="816" spans="3:90">
      <c r="BD816" s="78"/>
      <c r="BE816" s="78"/>
      <c r="CL816" s="78"/>
    </row>
    <row r="817" spans="56:90">
      <c r="BD817" s="78"/>
      <c r="BE817" s="78"/>
      <c r="CL817" s="78"/>
    </row>
    <row r="818" spans="56:90">
      <c r="BD818" s="78"/>
      <c r="BE818" s="78"/>
      <c r="CL818" s="78"/>
    </row>
    <row r="819" spans="56:90">
      <c r="BD819" s="78"/>
      <c r="BE819" s="78"/>
      <c r="CL819" s="78"/>
    </row>
    <row r="820" spans="56:90">
      <c r="BD820" s="78"/>
      <c r="BE820" s="78"/>
      <c r="CL820" s="78"/>
    </row>
    <row r="821" spans="56:90">
      <c r="BD821" s="78"/>
      <c r="BE821" s="78"/>
      <c r="CL821" s="78"/>
    </row>
    <row r="822" spans="56:90">
      <c r="BD822" s="78"/>
      <c r="BE822" s="78"/>
      <c r="CL822" s="78"/>
    </row>
    <row r="823" spans="56:90">
      <c r="BD823" s="78"/>
      <c r="BE823" s="78"/>
      <c r="CL823" s="78"/>
    </row>
    <row r="824" spans="56:90">
      <c r="BD824" s="78"/>
      <c r="BE824" s="78"/>
      <c r="CL824" s="78"/>
    </row>
    <row r="825" spans="56:90">
      <c r="BD825" s="78"/>
      <c r="BE825" s="78"/>
      <c r="CL825" s="78"/>
    </row>
    <row r="826" spans="56:90">
      <c r="BD826" s="78"/>
      <c r="BE826" s="78"/>
      <c r="CL826" s="78"/>
    </row>
    <row r="827" spans="56:90">
      <c r="BD827" s="78"/>
      <c r="BE827" s="78"/>
      <c r="CL827" s="78"/>
    </row>
    <row r="828" spans="56:90">
      <c r="BD828" s="78"/>
      <c r="BE828" s="78"/>
      <c r="CL828" s="78"/>
    </row>
    <row r="829" spans="56:90">
      <c r="BD829" s="78"/>
      <c r="BE829" s="78"/>
      <c r="CL829" s="78"/>
    </row>
    <row r="830" spans="56:90">
      <c r="BD830" s="78"/>
      <c r="BE830" s="78"/>
      <c r="CL830" s="78"/>
    </row>
    <row r="831" spans="56:90">
      <c r="BD831" s="78"/>
      <c r="BE831" s="78"/>
      <c r="CL831" s="78"/>
    </row>
    <row r="832" spans="56:90">
      <c r="BD832" s="78"/>
      <c r="BE832" s="78"/>
      <c r="CL832" s="78"/>
    </row>
    <row r="833" spans="56:90">
      <c r="BD833" s="78"/>
      <c r="BE833" s="78"/>
      <c r="CL833" s="78"/>
    </row>
    <row r="834" spans="56:90">
      <c r="BD834" s="78"/>
      <c r="BE834" s="78"/>
      <c r="CL834" s="78"/>
    </row>
    <row r="835" spans="56:90">
      <c r="BD835" s="78"/>
      <c r="BE835" s="78"/>
      <c r="CL835" s="78"/>
    </row>
    <row r="836" spans="56:90">
      <c r="BD836" s="78"/>
      <c r="BE836" s="78"/>
      <c r="CL836" s="78"/>
    </row>
    <row r="837" spans="56:90">
      <c r="BD837" s="78"/>
      <c r="BE837" s="78"/>
      <c r="CL837" s="78"/>
    </row>
    <row r="838" spans="56:90">
      <c r="BD838" s="78"/>
      <c r="BE838" s="78"/>
      <c r="CL838" s="78"/>
    </row>
    <row r="839" spans="56:90">
      <c r="BD839" s="78"/>
      <c r="BE839" s="78"/>
      <c r="CL839" s="78"/>
    </row>
    <row r="840" spans="56:90">
      <c r="BD840" s="78"/>
      <c r="BE840" s="78"/>
      <c r="CL840" s="78"/>
    </row>
    <row r="841" spans="56:90">
      <c r="BD841" s="78"/>
      <c r="BE841" s="78"/>
      <c r="CL841" s="78"/>
    </row>
    <row r="842" spans="56:90">
      <c r="BD842" s="78"/>
      <c r="BE842" s="78"/>
      <c r="CL842" s="78"/>
    </row>
    <row r="843" spans="56:90">
      <c r="BD843" s="78"/>
      <c r="BE843" s="78"/>
      <c r="CL843" s="78"/>
    </row>
    <row r="844" spans="56:90">
      <c r="BD844" s="78"/>
      <c r="BE844" s="78"/>
      <c r="CL844" s="78"/>
    </row>
    <row r="845" spans="56:90">
      <c r="BD845" s="78"/>
      <c r="BE845" s="78"/>
      <c r="CL845" s="78"/>
    </row>
    <row r="846" spans="56:90">
      <c r="BD846" s="78"/>
      <c r="BE846" s="78"/>
      <c r="CL846" s="78"/>
    </row>
    <row r="847" spans="56:90">
      <c r="BD847" s="78"/>
      <c r="BE847" s="78"/>
      <c r="CL847" s="78"/>
    </row>
    <row r="848" spans="56:90">
      <c r="BD848" s="78"/>
      <c r="BE848" s="78"/>
      <c r="CL848" s="78"/>
    </row>
    <row r="849" spans="56:90">
      <c r="BD849" s="78"/>
      <c r="BE849" s="78"/>
      <c r="CL849" s="78"/>
    </row>
    <row r="850" spans="56:90">
      <c r="BD850" s="78"/>
      <c r="BE850" s="78"/>
      <c r="CL850" s="78"/>
    </row>
    <row r="851" spans="56:90">
      <c r="BD851" s="78"/>
      <c r="BE851" s="78"/>
      <c r="CL851" s="78"/>
    </row>
    <row r="852" spans="56:90">
      <c r="BD852" s="78"/>
      <c r="BE852" s="78"/>
      <c r="CL852" s="78"/>
    </row>
    <row r="853" spans="56:90">
      <c r="BD853" s="78"/>
      <c r="BE853" s="78"/>
      <c r="CL853" s="78"/>
    </row>
    <row r="854" spans="56:90">
      <c r="BD854" s="78"/>
      <c r="BE854" s="78"/>
      <c r="CL854" s="78"/>
    </row>
    <row r="855" spans="56:90">
      <c r="BD855" s="78"/>
      <c r="BE855" s="78"/>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78"/>
      <c r="BE856" s="38">
        <v>1</v>
      </c>
      <c r="BH856" s="198" t="str">
        <f t="array" ref="BH856">IFERROR(IF(ROWS(BG$880:BG880)&gt;COUNTA($BG$880:$BG$904),"",INDEX($BE$880:$BE$904,SMALL(IF($BG$880:$BG$904&lt;&gt;"",ROW($BG$880:$BG$904)-ROW($BG$880)+1),ROWS($BG$880:BG880)))),"")</f>
        <v/>
      </c>
      <c r="BI856" s="678" t="str">
        <f t="shared" ref="BI856:CJ856" si="736">IF(BH856="","",VLOOKUP($BH856,$BE$880:$CJ$904,BJ$855,FALSE))</f>
        <v/>
      </c>
      <c r="BJ856" s="678" t="str">
        <f t="shared" si="736"/>
        <v/>
      </c>
      <c r="BK856" s="678" t="str">
        <f t="shared" si="736"/>
        <v/>
      </c>
      <c r="BL856" s="678" t="str">
        <f t="shared" si="736"/>
        <v/>
      </c>
      <c r="BM856" s="678" t="str">
        <f t="shared" si="736"/>
        <v/>
      </c>
      <c r="BN856" s="678" t="str">
        <f t="shared" si="736"/>
        <v/>
      </c>
      <c r="BO856" s="678" t="str">
        <f t="shared" si="736"/>
        <v/>
      </c>
      <c r="BP856" s="678" t="str">
        <f t="shared" si="736"/>
        <v/>
      </c>
      <c r="BQ856" s="678" t="str">
        <f t="shared" si="736"/>
        <v/>
      </c>
      <c r="BR856" s="678" t="str">
        <f t="shared" si="736"/>
        <v/>
      </c>
      <c r="BS856" s="678" t="str">
        <f t="shared" si="736"/>
        <v/>
      </c>
      <c r="BT856" s="678" t="str">
        <f t="shared" si="736"/>
        <v/>
      </c>
      <c r="BU856" s="678" t="str">
        <f t="shared" si="736"/>
        <v/>
      </c>
      <c r="BV856" s="678" t="str">
        <f t="shared" si="736"/>
        <v/>
      </c>
      <c r="BW856" s="678" t="str">
        <f t="shared" si="736"/>
        <v/>
      </c>
      <c r="BX856" s="678" t="str">
        <f t="shared" si="736"/>
        <v/>
      </c>
      <c r="BY856" s="678" t="str">
        <f t="shared" si="736"/>
        <v/>
      </c>
      <c r="BZ856" s="678" t="str">
        <f t="shared" si="736"/>
        <v/>
      </c>
      <c r="CA856" s="678" t="str">
        <f t="shared" si="736"/>
        <v/>
      </c>
      <c r="CB856" s="678" t="str">
        <f t="shared" si="736"/>
        <v/>
      </c>
      <c r="CC856" s="678" t="str">
        <f t="shared" si="736"/>
        <v/>
      </c>
      <c r="CD856" s="678" t="str">
        <f t="shared" si="736"/>
        <v/>
      </c>
      <c r="CE856" s="678" t="str">
        <f t="shared" si="736"/>
        <v/>
      </c>
      <c r="CF856" s="678" t="str">
        <f t="shared" si="736"/>
        <v/>
      </c>
      <c r="CG856" s="678" t="str">
        <f t="shared" si="736"/>
        <v/>
      </c>
      <c r="CH856" s="678" t="str">
        <f t="shared" si="736"/>
        <v/>
      </c>
      <c r="CI856" s="678" t="str">
        <f t="shared" si="736"/>
        <v/>
      </c>
      <c r="CJ856" s="678" t="str">
        <f t="shared" si="736"/>
        <v/>
      </c>
      <c r="CK856" s="678" t="str">
        <f>IFERROR(VLOOKUP($BH856,$BE$152:$CJ$185,CK$127,FALSE),"")</f>
        <v/>
      </c>
    </row>
    <row r="857" spans="56:90">
      <c r="BD857" s="78"/>
      <c r="BE857" s="38">
        <v>2</v>
      </c>
      <c r="BH857" s="198" t="str">
        <f t="array" ref="BH857">IFERROR(IF(ROWS(BG$880:BG881)&gt;COUNTA($BG$880:$BG$904),"",INDEX($BE$880:$BE$904,SMALL(IF($BG$880:$BG$904&lt;&gt;"",ROW($BG$880:$BG$904)-ROW($BG$880)+1),ROWS($BG$880:BG881)))),"")</f>
        <v/>
      </c>
      <c r="BI857" s="678" t="str">
        <f t="shared" ref="BI857:CJ857" si="737">IF(BH857="","",VLOOKUP($BH857,$BE$880:$CJ$904,BJ$855,FALSE))</f>
        <v/>
      </c>
      <c r="BJ857" s="678" t="str">
        <f t="shared" si="737"/>
        <v/>
      </c>
      <c r="BK857" s="678" t="str">
        <f t="shared" si="737"/>
        <v/>
      </c>
      <c r="BL857" s="678" t="str">
        <f t="shared" si="737"/>
        <v/>
      </c>
      <c r="BM857" s="678" t="str">
        <f t="shared" si="737"/>
        <v/>
      </c>
      <c r="BN857" s="678" t="str">
        <f t="shared" si="737"/>
        <v/>
      </c>
      <c r="BO857" s="678" t="str">
        <f t="shared" si="737"/>
        <v/>
      </c>
      <c r="BP857" s="678" t="str">
        <f t="shared" si="737"/>
        <v/>
      </c>
      <c r="BQ857" s="678" t="str">
        <f t="shared" si="737"/>
        <v/>
      </c>
      <c r="BR857" s="678" t="str">
        <f t="shared" si="737"/>
        <v/>
      </c>
      <c r="BS857" s="678" t="str">
        <f t="shared" si="737"/>
        <v/>
      </c>
      <c r="BT857" s="678" t="str">
        <f t="shared" si="737"/>
        <v/>
      </c>
      <c r="BU857" s="678" t="str">
        <f t="shared" si="737"/>
        <v/>
      </c>
      <c r="BV857" s="678" t="str">
        <f t="shared" si="737"/>
        <v/>
      </c>
      <c r="BW857" s="678" t="str">
        <f t="shared" si="737"/>
        <v/>
      </c>
      <c r="BX857" s="678" t="str">
        <f t="shared" si="737"/>
        <v/>
      </c>
      <c r="BY857" s="678" t="str">
        <f t="shared" si="737"/>
        <v/>
      </c>
      <c r="BZ857" s="678" t="str">
        <f t="shared" si="737"/>
        <v/>
      </c>
      <c r="CA857" s="678" t="str">
        <f t="shared" si="737"/>
        <v/>
      </c>
      <c r="CB857" s="678" t="str">
        <f t="shared" si="737"/>
        <v/>
      </c>
      <c r="CC857" s="678" t="str">
        <f t="shared" si="737"/>
        <v/>
      </c>
      <c r="CD857" s="678" t="str">
        <f t="shared" si="737"/>
        <v/>
      </c>
      <c r="CE857" s="678" t="str">
        <f t="shared" si="737"/>
        <v/>
      </c>
      <c r="CF857" s="678" t="str">
        <f t="shared" si="737"/>
        <v/>
      </c>
      <c r="CG857" s="678" t="str">
        <f t="shared" si="737"/>
        <v/>
      </c>
      <c r="CH857" s="678" t="str">
        <f t="shared" si="737"/>
        <v/>
      </c>
      <c r="CI857" s="678" t="str">
        <f t="shared" si="737"/>
        <v/>
      </c>
      <c r="CJ857" s="678" t="str">
        <f t="shared" si="737"/>
        <v/>
      </c>
      <c r="CK857" s="678" t="str">
        <f t="shared" ref="CK857:CK871" si="738">IFERROR(VLOOKUP($BH857,$BE$152:$CJ$173,CK$127,FALSE),"")</f>
        <v/>
      </c>
    </row>
    <row r="858" spans="56:90">
      <c r="BD858" s="78"/>
      <c r="BE858" s="38">
        <v>3</v>
      </c>
      <c r="BH858" s="198" t="str">
        <f t="array" ref="BH858">IFERROR(IF(ROWS(BG$880:BG882)&gt;COUNTA($BG$880:$BG$904),"",INDEX($BE$880:$BE$904,SMALL(IF($BG$880:$BG$904&lt;&gt;"",ROW($BG$880:$BG$904)-ROW($BG$880)+1),ROWS($BG$880:BG882)))),"")</f>
        <v/>
      </c>
      <c r="BI858" s="678" t="str">
        <f t="shared" ref="BI858:CJ858" si="739">IF(BH858="","",VLOOKUP($BH858,$BE$880:$CJ$904,BJ$855,FALSE))</f>
        <v/>
      </c>
      <c r="BJ858" s="678" t="str">
        <f t="shared" si="739"/>
        <v/>
      </c>
      <c r="BK858" s="678" t="str">
        <f t="shared" si="739"/>
        <v/>
      </c>
      <c r="BL858" s="678" t="str">
        <f t="shared" si="739"/>
        <v/>
      </c>
      <c r="BM858" s="678" t="str">
        <f t="shared" si="739"/>
        <v/>
      </c>
      <c r="BN858" s="678" t="str">
        <f t="shared" si="739"/>
        <v/>
      </c>
      <c r="BO858" s="678" t="str">
        <f t="shared" si="739"/>
        <v/>
      </c>
      <c r="BP858" s="678" t="str">
        <f t="shared" si="739"/>
        <v/>
      </c>
      <c r="BQ858" s="678" t="str">
        <f t="shared" si="739"/>
        <v/>
      </c>
      <c r="BR858" s="678" t="str">
        <f t="shared" si="739"/>
        <v/>
      </c>
      <c r="BS858" s="678" t="str">
        <f t="shared" si="739"/>
        <v/>
      </c>
      <c r="BT858" s="678" t="str">
        <f t="shared" si="739"/>
        <v/>
      </c>
      <c r="BU858" s="678" t="str">
        <f t="shared" si="739"/>
        <v/>
      </c>
      <c r="BV858" s="678" t="str">
        <f t="shared" si="739"/>
        <v/>
      </c>
      <c r="BW858" s="678" t="str">
        <f t="shared" si="739"/>
        <v/>
      </c>
      <c r="BX858" s="678" t="str">
        <f t="shared" si="739"/>
        <v/>
      </c>
      <c r="BY858" s="678" t="str">
        <f t="shared" si="739"/>
        <v/>
      </c>
      <c r="BZ858" s="678" t="str">
        <f t="shared" si="739"/>
        <v/>
      </c>
      <c r="CA858" s="678" t="str">
        <f t="shared" si="739"/>
        <v/>
      </c>
      <c r="CB858" s="678" t="str">
        <f t="shared" si="739"/>
        <v/>
      </c>
      <c r="CC858" s="678" t="str">
        <f t="shared" si="739"/>
        <v/>
      </c>
      <c r="CD858" s="678" t="str">
        <f t="shared" si="739"/>
        <v/>
      </c>
      <c r="CE858" s="678" t="str">
        <f t="shared" si="739"/>
        <v/>
      </c>
      <c r="CF858" s="678" t="str">
        <f t="shared" si="739"/>
        <v/>
      </c>
      <c r="CG858" s="678" t="str">
        <f t="shared" si="739"/>
        <v/>
      </c>
      <c r="CH858" s="678" t="str">
        <f t="shared" si="739"/>
        <v/>
      </c>
      <c r="CI858" s="678" t="str">
        <f t="shared" si="739"/>
        <v/>
      </c>
      <c r="CJ858" s="678" t="str">
        <f t="shared" si="739"/>
        <v/>
      </c>
      <c r="CK858" s="678" t="str">
        <f t="shared" si="738"/>
        <v/>
      </c>
    </row>
    <row r="859" spans="56:90">
      <c r="BD859" s="78"/>
      <c r="BE859" s="38">
        <v>4</v>
      </c>
      <c r="BH859" s="198" t="str">
        <f t="array" ref="BH859">IFERROR(IF(ROWS(BG$880:BG883)&gt;COUNTA($BG$880:$BG$904),"",INDEX($BE$880:$BE$904,SMALL(IF($BG$880:$BG$904&lt;&gt;"",ROW($BG$880:$BG$904)-ROW($BG$880)+1),ROWS($BG$880:BG883)))),"")</f>
        <v/>
      </c>
      <c r="BI859" s="678" t="str">
        <f t="shared" ref="BI859:CJ859" si="740">IF(BH859="","",VLOOKUP($BH859,$BE$880:$CJ$904,BJ$855,FALSE))</f>
        <v/>
      </c>
      <c r="BJ859" s="678" t="str">
        <f t="shared" si="740"/>
        <v/>
      </c>
      <c r="BK859" s="678" t="str">
        <f t="shared" si="740"/>
        <v/>
      </c>
      <c r="BL859" s="678" t="str">
        <f t="shared" si="740"/>
        <v/>
      </c>
      <c r="BM859" s="678" t="str">
        <f t="shared" si="740"/>
        <v/>
      </c>
      <c r="BN859" s="678" t="str">
        <f t="shared" si="740"/>
        <v/>
      </c>
      <c r="BO859" s="678" t="str">
        <f t="shared" si="740"/>
        <v/>
      </c>
      <c r="BP859" s="678" t="str">
        <f t="shared" si="740"/>
        <v/>
      </c>
      <c r="BQ859" s="678" t="str">
        <f t="shared" si="740"/>
        <v/>
      </c>
      <c r="BR859" s="678" t="str">
        <f t="shared" si="740"/>
        <v/>
      </c>
      <c r="BS859" s="678" t="str">
        <f t="shared" si="740"/>
        <v/>
      </c>
      <c r="BT859" s="678" t="str">
        <f t="shared" si="740"/>
        <v/>
      </c>
      <c r="BU859" s="678" t="str">
        <f t="shared" si="740"/>
        <v/>
      </c>
      <c r="BV859" s="678" t="str">
        <f t="shared" si="740"/>
        <v/>
      </c>
      <c r="BW859" s="678" t="str">
        <f t="shared" si="740"/>
        <v/>
      </c>
      <c r="BX859" s="678" t="str">
        <f t="shared" si="740"/>
        <v/>
      </c>
      <c r="BY859" s="678" t="str">
        <f t="shared" si="740"/>
        <v/>
      </c>
      <c r="BZ859" s="678" t="str">
        <f t="shared" si="740"/>
        <v/>
      </c>
      <c r="CA859" s="678" t="str">
        <f t="shared" si="740"/>
        <v/>
      </c>
      <c r="CB859" s="678" t="str">
        <f t="shared" si="740"/>
        <v/>
      </c>
      <c r="CC859" s="678" t="str">
        <f t="shared" si="740"/>
        <v/>
      </c>
      <c r="CD859" s="678" t="str">
        <f t="shared" si="740"/>
        <v/>
      </c>
      <c r="CE859" s="678" t="str">
        <f t="shared" si="740"/>
        <v/>
      </c>
      <c r="CF859" s="678" t="str">
        <f t="shared" si="740"/>
        <v/>
      </c>
      <c r="CG859" s="678" t="str">
        <f t="shared" si="740"/>
        <v/>
      </c>
      <c r="CH859" s="678" t="str">
        <f t="shared" si="740"/>
        <v/>
      </c>
      <c r="CI859" s="678" t="str">
        <f t="shared" si="740"/>
        <v/>
      </c>
      <c r="CJ859" s="678" t="str">
        <f t="shared" si="740"/>
        <v/>
      </c>
      <c r="CK859" s="678" t="str">
        <f t="shared" si="738"/>
        <v/>
      </c>
    </row>
    <row r="860" spans="56:90">
      <c r="BD860" s="78"/>
      <c r="BE860" s="38">
        <v>5</v>
      </c>
      <c r="BH860" s="198" t="str">
        <f t="array" ref="BH860">IFERROR(IF(ROWS(BG$880:BG884)&gt;COUNTA($BG$880:$BG$904),"",INDEX($BE$880:$BE$904,SMALL(IF($BG$880:$BG$904&lt;&gt;"",ROW($BG$880:$BG$904)-ROW($BG$880)+1),ROWS($BG$880:BG884)))),"")</f>
        <v/>
      </c>
      <c r="BI860" s="678" t="str">
        <f t="shared" ref="BI860:CJ860" si="741">IF(BH860="","",VLOOKUP($BH860,$BE$880:$CJ$904,BJ$855,FALSE))</f>
        <v/>
      </c>
      <c r="BJ860" s="678" t="str">
        <f t="shared" si="741"/>
        <v/>
      </c>
      <c r="BK860" s="678" t="str">
        <f t="shared" si="741"/>
        <v/>
      </c>
      <c r="BL860" s="678" t="str">
        <f t="shared" si="741"/>
        <v/>
      </c>
      <c r="BM860" s="678" t="str">
        <f t="shared" si="741"/>
        <v/>
      </c>
      <c r="BN860" s="678" t="str">
        <f t="shared" si="741"/>
        <v/>
      </c>
      <c r="BO860" s="678" t="str">
        <f t="shared" si="741"/>
        <v/>
      </c>
      <c r="BP860" s="678" t="str">
        <f t="shared" si="741"/>
        <v/>
      </c>
      <c r="BQ860" s="678" t="str">
        <f t="shared" si="741"/>
        <v/>
      </c>
      <c r="BR860" s="678" t="str">
        <f t="shared" si="741"/>
        <v/>
      </c>
      <c r="BS860" s="678" t="str">
        <f t="shared" si="741"/>
        <v/>
      </c>
      <c r="BT860" s="678" t="str">
        <f t="shared" si="741"/>
        <v/>
      </c>
      <c r="BU860" s="678" t="str">
        <f t="shared" si="741"/>
        <v/>
      </c>
      <c r="BV860" s="678" t="str">
        <f t="shared" si="741"/>
        <v/>
      </c>
      <c r="BW860" s="678" t="str">
        <f t="shared" si="741"/>
        <v/>
      </c>
      <c r="BX860" s="678" t="str">
        <f t="shared" si="741"/>
        <v/>
      </c>
      <c r="BY860" s="678" t="str">
        <f t="shared" si="741"/>
        <v/>
      </c>
      <c r="BZ860" s="678" t="str">
        <f t="shared" si="741"/>
        <v/>
      </c>
      <c r="CA860" s="678" t="str">
        <f t="shared" si="741"/>
        <v/>
      </c>
      <c r="CB860" s="678" t="str">
        <f t="shared" si="741"/>
        <v/>
      </c>
      <c r="CC860" s="678" t="str">
        <f t="shared" si="741"/>
        <v/>
      </c>
      <c r="CD860" s="678" t="str">
        <f t="shared" si="741"/>
        <v/>
      </c>
      <c r="CE860" s="678" t="str">
        <f t="shared" si="741"/>
        <v/>
      </c>
      <c r="CF860" s="678" t="str">
        <f t="shared" si="741"/>
        <v/>
      </c>
      <c r="CG860" s="678" t="str">
        <f t="shared" si="741"/>
        <v/>
      </c>
      <c r="CH860" s="678" t="str">
        <f t="shared" si="741"/>
        <v/>
      </c>
      <c r="CI860" s="678" t="str">
        <f t="shared" si="741"/>
        <v/>
      </c>
      <c r="CJ860" s="678" t="str">
        <f t="shared" si="741"/>
        <v/>
      </c>
      <c r="CK860" s="678" t="str">
        <f t="shared" si="738"/>
        <v/>
      </c>
    </row>
    <row r="861" spans="56:90">
      <c r="BD861" s="78"/>
      <c r="BE861" s="38">
        <v>6</v>
      </c>
      <c r="BH861" s="198" t="str">
        <f t="array" ref="BH861">IFERROR(IF(ROWS(BG$880:BG885)&gt;COUNTA($BG$880:$BG$904),"",INDEX($BE$880:$BE$904,SMALL(IF($BG$880:$BG$904&lt;&gt;"",ROW($BG$880:$BG$904)-ROW($BG$880)+1),ROWS($BG$880:BG885)))),"")</f>
        <v/>
      </c>
      <c r="BI861" s="678" t="str">
        <f t="shared" ref="BI861:CJ861" si="742">IF(BH861="","",VLOOKUP($BH861,$BE$880:$CJ$904,BJ$855,FALSE))</f>
        <v/>
      </c>
      <c r="BJ861" s="678" t="str">
        <f t="shared" si="742"/>
        <v/>
      </c>
      <c r="BK861" s="678" t="str">
        <f t="shared" si="742"/>
        <v/>
      </c>
      <c r="BL861" s="678" t="str">
        <f t="shared" si="742"/>
        <v/>
      </c>
      <c r="BM861" s="678" t="str">
        <f t="shared" si="742"/>
        <v/>
      </c>
      <c r="BN861" s="678" t="str">
        <f t="shared" si="742"/>
        <v/>
      </c>
      <c r="BO861" s="678" t="str">
        <f t="shared" si="742"/>
        <v/>
      </c>
      <c r="BP861" s="678" t="str">
        <f t="shared" si="742"/>
        <v/>
      </c>
      <c r="BQ861" s="678" t="str">
        <f t="shared" si="742"/>
        <v/>
      </c>
      <c r="BR861" s="678" t="str">
        <f t="shared" si="742"/>
        <v/>
      </c>
      <c r="BS861" s="678" t="str">
        <f t="shared" si="742"/>
        <v/>
      </c>
      <c r="BT861" s="678" t="str">
        <f t="shared" si="742"/>
        <v/>
      </c>
      <c r="BU861" s="678" t="str">
        <f t="shared" si="742"/>
        <v/>
      </c>
      <c r="BV861" s="678" t="str">
        <f t="shared" si="742"/>
        <v/>
      </c>
      <c r="BW861" s="678" t="str">
        <f t="shared" si="742"/>
        <v/>
      </c>
      <c r="BX861" s="678" t="str">
        <f t="shared" si="742"/>
        <v/>
      </c>
      <c r="BY861" s="678" t="str">
        <f t="shared" si="742"/>
        <v/>
      </c>
      <c r="BZ861" s="678" t="str">
        <f t="shared" si="742"/>
        <v/>
      </c>
      <c r="CA861" s="678" t="str">
        <f t="shared" si="742"/>
        <v/>
      </c>
      <c r="CB861" s="678" t="str">
        <f t="shared" si="742"/>
        <v/>
      </c>
      <c r="CC861" s="678" t="str">
        <f t="shared" si="742"/>
        <v/>
      </c>
      <c r="CD861" s="678" t="str">
        <f t="shared" si="742"/>
        <v/>
      </c>
      <c r="CE861" s="678" t="str">
        <f t="shared" si="742"/>
        <v/>
      </c>
      <c r="CF861" s="678" t="str">
        <f t="shared" si="742"/>
        <v/>
      </c>
      <c r="CG861" s="678" t="str">
        <f t="shared" si="742"/>
        <v/>
      </c>
      <c r="CH861" s="678" t="str">
        <f t="shared" si="742"/>
        <v/>
      </c>
      <c r="CI861" s="678" t="str">
        <f t="shared" si="742"/>
        <v/>
      </c>
      <c r="CJ861" s="678" t="str">
        <f t="shared" si="742"/>
        <v/>
      </c>
      <c r="CK861" s="678" t="str">
        <f t="shared" si="738"/>
        <v/>
      </c>
    </row>
    <row r="862" spans="56:90">
      <c r="BD862" s="78"/>
      <c r="BE862" s="38">
        <v>7</v>
      </c>
      <c r="BH862" s="198" t="str">
        <f t="array" ref="BH862">IFERROR(IF(ROWS(BG$880:BG886)&gt;COUNTA($BG$880:$BG$904),"",INDEX($BE$880:$BE$904,SMALL(IF($BG$880:$BG$904&lt;&gt;"",ROW($BG$880:$BG$904)-ROW($BG$880)+1),ROWS($BG$880:BG886)))),"")</f>
        <v/>
      </c>
      <c r="BI862" s="678" t="str">
        <f t="shared" ref="BI862:CJ862" si="743">IF(BH862="","",VLOOKUP($BH862,$BE$880:$CJ$904,BJ$855,FALSE))</f>
        <v/>
      </c>
      <c r="BJ862" s="678" t="str">
        <f t="shared" si="743"/>
        <v/>
      </c>
      <c r="BK862" s="678" t="str">
        <f t="shared" si="743"/>
        <v/>
      </c>
      <c r="BL862" s="678" t="str">
        <f t="shared" si="743"/>
        <v/>
      </c>
      <c r="BM862" s="678" t="str">
        <f t="shared" si="743"/>
        <v/>
      </c>
      <c r="BN862" s="678" t="str">
        <f t="shared" si="743"/>
        <v/>
      </c>
      <c r="BO862" s="678" t="str">
        <f t="shared" si="743"/>
        <v/>
      </c>
      <c r="BP862" s="678" t="str">
        <f t="shared" si="743"/>
        <v/>
      </c>
      <c r="BQ862" s="678" t="str">
        <f t="shared" si="743"/>
        <v/>
      </c>
      <c r="BR862" s="678" t="str">
        <f t="shared" si="743"/>
        <v/>
      </c>
      <c r="BS862" s="678" t="str">
        <f t="shared" si="743"/>
        <v/>
      </c>
      <c r="BT862" s="678" t="str">
        <f t="shared" si="743"/>
        <v/>
      </c>
      <c r="BU862" s="678" t="str">
        <f t="shared" si="743"/>
        <v/>
      </c>
      <c r="BV862" s="678" t="str">
        <f t="shared" si="743"/>
        <v/>
      </c>
      <c r="BW862" s="678" t="str">
        <f t="shared" si="743"/>
        <v/>
      </c>
      <c r="BX862" s="678" t="str">
        <f t="shared" si="743"/>
        <v/>
      </c>
      <c r="BY862" s="678" t="str">
        <f t="shared" si="743"/>
        <v/>
      </c>
      <c r="BZ862" s="678" t="str">
        <f t="shared" si="743"/>
        <v/>
      </c>
      <c r="CA862" s="678" t="str">
        <f t="shared" si="743"/>
        <v/>
      </c>
      <c r="CB862" s="678" t="str">
        <f t="shared" si="743"/>
        <v/>
      </c>
      <c r="CC862" s="678" t="str">
        <f t="shared" si="743"/>
        <v/>
      </c>
      <c r="CD862" s="678" t="str">
        <f t="shared" si="743"/>
        <v/>
      </c>
      <c r="CE862" s="678" t="str">
        <f t="shared" si="743"/>
        <v/>
      </c>
      <c r="CF862" s="678" t="str">
        <f t="shared" si="743"/>
        <v/>
      </c>
      <c r="CG862" s="678" t="str">
        <f t="shared" si="743"/>
        <v/>
      </c>
      <c r="CH862" s="678" t="str">
        <f t="shared" si="743"/>
        <v/>
      </c>
      <c r="CI862" s="678" t="str">
        <f t="shared" si="743"/>
        <v/>
      </c>
      <c r="CJ862" s="678" t="str">
        <f t="shared" si="743"/>
        <v/>
      </c>
      <c r="CK862" s="678" t="str">
        <f t="shared" si="738"/>
        <v/>
      </c>
    </row>
    <row r="863" spans="56:90">
      <c r="BD863" s="78"/>
      <c r="BE863" s="38">
        <v>8</v>
      </c>
      <c r="BH863" s="198" t="str">
        <f t="array" ref="BH863">IFERROR(IF(ROWS(BG$880:BG887)&gt;COUNTA($BG$880:$BG$904),"",INDEX($BE$880:$BE$904,SMALL(IF($BG$880:$BG$904&lt;&gt;"",ROW($BG$880:$BG$904)-ROW($BG$880)+1),ROWS($BG$880:BG887)))),"")</f>
        <v/>
      </c>
      <c r="BI863" s="678" t="str">
        <f t="shared" ref="BI863:CJ863" si="744">IF(BH863="","",VLOOKUP($BH863,$BE$880:$CJ$904,BJ$855,FALSE))</f>
        <v/>
      </c>
      <c r="BJ863" s="678" t="str">
        <f t="shared" si="744"/>
        <v/>
      </c>
      <c r="BK863" s="678" t="str">
        <f t="shared" si="744"/>
        <v/>
      </c>
      <c r="BL863" s="678" t="str">
        <f t="shared" si="744"/>
        <v/>
      </c>
      <c r="BM863" s="678" t="str">
        <f t="shared" si="744"/>
        <v/>
      </c>
      <c r="BN863" s="678" t="str">
        <f t="shared" si="744"/>
        <v/>
      </c>
      <c r="BO863" s="678" t="str">
        <f t="shared" si="744"/>
        <v/>
      </c>
      <c r="BP863" s="678" t="str">
        <f t="shared" si="744"/>
        <v/>
      </c>
      <c r="BQ863" s="678" t="str">
        <f t="shared" si="744"/>
        <v/>
      </c>
      <c r="BR863" s="678" t="str">
        <f t="shared" si="744"/>
        <v/>
      </c>
      <c r="BS863" s="678" t="str">
        <f t="shared" si="744"/>
        <v/>
      </c>
      <c r="BT863" s="678" t="str">
        <f t="shared" si="744"/>
        <v/>
      </c>
      <c r="BU863" s="678" t="str">
        <f t="shared" si="744"/>
        <v/>
      </c>
      <c r="BV863" s="678" t="str">
        <f t="shared" si="744"/>
        <v/>
      </c>
      <c r="BW863" s="678" t="str">
        <f t="shared" si="744"/>
        <v/>
      </c>
      <c r="BX863" s="678" t="str">
        <f t="shared" si="744"/>
        <v/>
      </c>
      <c r="BY863" s="678" t="str">
        <f t="shared" si="744"/>
        <v/>
      </c>
      <c r="BZ863" s="678" t="str">
        <f t="shared" si="744"/>
        <v/>
      </c>
      <c r="CA863" s="678" t="str">
        <f t="shared" si="744"/>
        <v/>
      </c>
      <c r="CB863" s="678" t="str">
        <f t="shared" si="744"/>
        <v/>
      </c>
      <c r="CC863" s="678" t="str">
        <f t="shared" si="744"/>
        <v/>
      </c>
      <c r="CD863" s="678" t="str">
        <f t="shared" si="744"/>
        <v/>
      </c>
      <c r="CE863" s="678" t="str">
        <f t="shared" si="744"/>
        <v/>
      </c>
      <c r="CF863" s="678" t="str">
        <f t="shared" si="744"/>
        <v/>
      </c>
      <c r="CG863" s="678" t="str">
        <f t="shared" si="744"/>
        <v/>
      </c>
      <c r="CH863" s="678" t="str">
        <f t="shared" si="744"/>
        <v/>
      </c>
      <c r="CI863" s="678" t="str">
        <f t="shared" si="744"/>
        <v/>
      </c>
      <c r="CJ863" s="678" t="str">
        <f t="shared" si="744"/>
        <v/>
      </c>
      <c r="CK863" s="678" t="str">
        <f t="shared" si="738"/>
        <v/>
      </c>
    </row>
    <row r="864" spans="56:90">
      <c r="BD864" s="78"/>
      <c r="BE864" s="38">
        <v>9</v>
      </c>
      <c r="BH864" s="198" t="str">
        <f t="array" ref="BH864">IFERROR(IF(ROWS(BG$880:BG888)&gt;COUNTA($BG$880:$BG$904),"",INDEX($BE$880:$BE$904,SMALL(IF($BG$880:$BG$904&lt;&gt;"",ROW($BG$880:$BG$904)-ROW($BG$880)+1),ROWS($BG$880:BG888)))),"")</f>
        <v/>
      </c>
      <c r="BI864" s="678" t="str">
        <f t="shared" ref="BI864:CJ864" si="745">IF(BH864="","",VLOOKUP($BH864,$BE$880:$CJ$904,BJ$855,FALSE))</f>
        <v/>
      </c>
      <c r="BJ864" s="678" t="str">
        <f t="shared" si="745"/>
        <v/>
      </c>
      <c r="BK864" s="678" t="str">
        <f t="shared" si="745"/>
        <v/>
      </c>
      <c r="BL864" s="678" t="str">
        <f t="shared" si="745"/>
        <v/>
      </c>
      <c r="BM864" s="678" t="str">
        <f t="shared" si="745"/>
        <v/>
      </c>
      <c r="BN864" s="678" t="str">
        <f t="shared" si="745"/>
        <v/>
      </c>
      <c r="BO864" s="678" t="str">
        <f t="shared" si="745"/>
        <v/>
      </c>
      <c r="BP864" s="678" t="str">
        <f t="shared" si="745"/>
        <v/>
      </c>
      <c r="BQ864" s="678" t="str">
        <f t="shared" si="745"/>
        <v/>
      </c>
      <c r="BR864" s="678" t="str">
        <f t="shared" si="745"/>
        <v/>
      </c>
      <c r="BS864" s="678" t="str">
        <f t="shared" si="745"/>
        <v/>
      </c>
      <c r="BT864" s="678" t="str">
        <f t="shared" si="745"/>
        <v/>
      </c>
      <c r="BU864" s="678" t="str">
        <f t="shared" si="745"/>
        <v/>
      </c>
      <c r="BV864" s="678" t="str">
        <f t="shared" si="745"/>
        <v/>
      </c>
      <c r="BW864" s="678" t="str">
        <f t="shared" si="745"/>
        <v/>
      </c>
      <c r="BX864" s="678" t="str">
        <f t="shared" si="745"/>
        <v/>
      </c>
      <c r="BY864" s="678" t="str">
        <f t="shared" si="745"/>
        <v/>
      </c>
      <c r="BZ864" s="678" t="str">
        <f t="shared" si="745"/>
        <v/>
      </c>
      <c r="CA864" s="678" t="str">
        <f t="shared" si="745"/>
        <v/>
      </c>
      <c r="CB864" s="678" t="str">
        <f t="shared" si="745"/>
        <v/>
      </c>
      <c r="CC864" s="678" t="str">
        <f t="shared" si="745"/>
        <v/>
      </c>
      <c r="CD864" s="678" t="str">
        <f t="shared" si="745"/>
        <v/>
      </c>
      <c r="CE864" s="678" t="str">
        <f t="shared" si="745"/>
        <v/>
      </c>
      <c r="CF864" s="678" t="str">
        <f t="shared" si="745"/>
        <v/>
      </c>
      <c r="CG864" s="678" t="str">
        <f t="shared" si="745"/>
        <v/>
      </c>
      <c r="CH864" s="678" t="str">
        <f t="shared" si="745"/>
        <v/>
      </c>
      <c r="CI864" s="678" t="str">
        <f t="shared" si="745"/>
        <v/>
      </c>
      <c r="CJ864" s="678" t="str">
        <f t="shared" si="745"/>
        <v/>
      </c>
      <c r="CK864" s="678" t="str">
        <f t="shared" si="738"/>
        <v/>
      </c>
    </row>
    <row r="865" spans="56:89">
      <c r="BD865" s="78"/>
      <c r="BE865" s="38">
        <v>10</v>
      </c>
      <c r="BH865" s="198" t="str">
        <f t="array" ref="BH865">IFERROR(IF(ROWS(BG$880:BG889)&gt;COUNTA($BG$880:$BG$904),"",INDEX($BE$880:$BE$904,SMALL(IF($BG$880:$BG$904&lt;&gt;"",ROW($BG$880:$BG$904)-ROW($BG$880)+1),ROWS($BG$880:BG889)))),"")</f>
        <v/>
      </c>
      <c r="BI865" s="678" t="str">
        <f t="shared" ref="BI865:CJ865" si="746">IF(BH865="","",VLOOKUP($BH865,$BE$880:$CJ$904,BJ$855,FALSE))</f>
        <v/>
      </c>
      <c r="BJ865" s="678" t="str">
        <f t="shared" si="746"/>
        <v/>
      </c>
      <c r="BK865" s="678" t="str">
        <f t="shared" si="746"/>
        <v/>
      </c>
      <c r="BL865" s="678" t="str">
        <f t="shared" si="746"/>
        <v/>
      </c>
      <c r="BM865" s="678" t="str">
        <f t="shared" si="746"/>
        <v/>
      </c>
      <c r="BN865" s="678" t="str">
        <f t="shared" si="746"/>
        <v/>
      </c>
      <c r="BO865" s="678" t="str">
        <f t="shared" si="746"/>
        <v/>
      </c>
      <c r="BP865" s="678" t="str">
        <f t="shared" si="746"/>
        <v/>
      </c>
      <c r="BQ865" s="678" t="str">
        <f t="shared" si="746"/>
        <v/>
      </c>
      <c r="BR865" s="678" t="str">
        <f t="shared" si="746"/>
        <v/>
      </c>
      <c r="BS865" s="678" t="str">
        <f t="shared" si="746"/>
        <v/>
      </c>
      <c r="BT865" s="678" t="str">
        <f t="shared" si="746"/>
        <v/>
      </c>
      <c r="BU865" s="678" t="str">
        <f t="shared" si="746"/>
        <v/>
      </c>
      <c r="BV865" s="678" t="str">
        <f t="shared" si="746"/>
        <v/>
      </c>
      <c r="BW865" s="678" t="str">
        <f t="shared" si="746"/>
        <v/>
      </c>
      <c r="BX865" s="678" t="str">
        <f t="shared" si="746"/>
        <v/>
      </c>
      <c r="BY865" s="678" t="str">
        <f t="shared" si="746"/>
        <v/>
      </c>
      <c r="BZ865" s="678" t="str">
        <f t="shared" si="746"/>
        <v/>
      </c>
      <c r="CA865" s="678" t="str">
        <f t="shared" si="746"/>
        <v/>
      </c>
      <c r="CB865" s="678" t="str">
        <f t="shared" si="746"/>
        <v/>
      </c>
      <c r="CC865" s="678" t="str">
        <f t="shared" si="746"/>
        <v/>
      </c>
      <c r="CD865" s="678" t="str">
        <f t="shared" si="746"/>
        <v/>
      </c>
      <c r="CE865" s="678" t="str">
        <f t="shared" si="746"/>
        <v/>
      </c>
      <c r="CF865" s="678" t="str">
        <f t="shared" si="746"/>
        <v/>
      </c>
      <c r="CG865" s="678" t="str">
        <f t="shared" si="746"/>
        <v/>
      </c>
      <c r="CH865" s="678" t="str">
        <f t="shared" si="746"/>
        <v/>
      </c>
      <c r="CI865" s="678" t="str">
        <f t="shared" si="746"/>
        <v/>
      </c>
      <c r="CJ865" s="678" t="str">
        <f t="shared" si="746"/>
        <v/>
      </c>
      <c r="CK865" s="678" t="str">
        <f t="shared" si="738"/>
        <v/>
      </c>
    </row>
    <row r="866" spans="56:89">
      <c r="BD866" s="78"/>
      <c r="BE866" s="38">
        <v>11</v>
      </c>
      <c r="BH866" s="198" t="str">
        <f t="array" ref="BH866">IFERROR(IF(ROWS(BG$880:BG890)&gt;COUNTA($BG$880:$BG$904),"",INDEX($BE$880:$BE$904,SMALL(IF($BG$880:$BG$904&lt;&gt;"",ROW($BG$880:$BG$904)-ROW($BG$880)+1),ROWS($BG$880:BG890)))),"")</f>
        <v/>
      </c>
      <c r="BI866" s="678" t="str">
        <f t="shared" ref="BI866:CJ866" si="747">IF(BH866="","",VLOOKUP($BH866,$BE$880:$CJ$904,BJ$855,FALSE))</f>
        <v/>
      </c>
      <c r="BJ866" s="678" t="str">
        <f t="shared" si="747"/>
        <v/>
      </c>
      <c r="BK866" s="678" t="str">
        <f t="shared" si="747"/>
        <v/>
      </c>
      <c r="BL866" s="678" t="str">
        <f t="shared" si="747"/>
        <v/>
      </c>
      <c r="BM866" s="678" t="str">
        <f t="shared" si="747"/>
        <v/>
      </c>
      <c r="BN866" s="678" t="str">
        <f t="shared" si="747"/>
        <v/>
      </c>
      <c r="BO866" s="678" t="str">
        <f t="shared" si="747"/>
        <v/>
      </c>
      <c r="BP866" s="678" t="str">
        <f t="shared" si="747"/>
        <v/>
      </c>
      <c r="BQ866" s="678" t="str">
        <f t="shared" si="747"/>
        <v/>
      </c>
      <c r="BR866" s="678" t="str">
        <f t="shared" si="747"/>
        <v/>
      </c>
      <c r="BS866" s="678" t="str">
        <f t="shared" si="747"/>
        <v/>
      </c>
      <c r="BT866" s="678" t="str">
        <f t="shared" si="747"/>
        <v/>
      </c>
      <c r="BU866" s="678" t="str">
        <f t="shared" si="747"/>
        <v/>
      </c>
      <c r="BV866" s="678" t="str">
        <f t="shared" si="747"/>
        <v/>
      </c>
      <c r="BW866" s="678" t="str">
        <f t="shared" si="747"/>
        <v/>
      </c>
      <c r="BX866" s="678" t="str">
        <f t="shared" si="747"/>
        <v/>
      </c>
      <c r="BY866" s="678" t="str">
        <f t="shared" si="747"/>
        <v/>
      </c>
      <c r="BZ866" s="678" t="str">
        <f t="shared" si="747"/>
        <v/>
      </c>
      <c r="CA866" s="678" t="str">
        <f t="shared" si="747"/>
        <v/>
      </c>
      <c r="CB866" s="678" t="str">
        <f t="shared" si="747"/>
        <v/>
      </c>
      <c r="CC866" s="678" t="str">
        <f t="shared" si="747"/>
        <v/>
      </c>
      <c r="CD866" s="678" t="str">
        <f t="shared" si="747"/>
        <v/>
      </c>
      <c r="CE866" s="678" t="str">
        <f t="shared" si="747"/>
        <v/>
      </c>
      <c r="CF866" s="678" t="str">
        <f t="shared" si="747"/>
        <v/>
      </c>
      <c r="CG866" s="678" t="str">
        <f t="shared" si="747"/>
        <v/>
      </c>
      <c r="CH866" s="678" t="str">
        <f t="shared" si="747"/>
        <v/>
      </c>
      <c r="CI866" s="678" t="str">
        <f t="shared" si="747"/>
        <v/>
      </c>
      <c r="CJ866" s="678" t="str">
        <f t="shared" si="747"/>
        <v/>
      </c>
      <c r="CK866" s="678" t="str">
        <f t="shared" si="738"/>
        <v/>
      </c>
    </row>
    <row r="867" spans="56:89">
      <c r="BD867" s="78"/>
      <c r="BE867" s="38">
        <v>12</v>
      </c>
      <c r="BH867" s="198" t="str">
        <f t="array" ref="BH867">IFERROR(IF(ROWS(BG$880:BG891)&gt;COUNTA($BG$880:$BG$904),"",INDEX($BE$880:$BE$904,SMALL(IF($BG$880:$BG$904&lt;&gt;"",ROW($BG$880:$BG$904)-ROW($BG$880)+1),ROWS($BG$880:BG891)))),"")</f>
        <v/>
      </c>
      <c r="BI867" s="678" t="str">
        <f t="shared" ref="BI867:CJ867" si="748">IF(BH867="","",VLOOKUP($BH867,$BE$880:$CJ$904,BJ$855,FALSE))</f>
        <v/>
      </c>
      <c r="BJ867" s="678" t="str">
        <f t="shared" si="748"/>
        <v/>
      </c>
      <c r="BK867" s="678" t="str">
        <f t="shared" si="748"/>
        <v/>
      </c>
      <c r="BL867" s="678" t="str">
        <f t="shared" si="748"/>
        <v/>
      </c>
      <c r="BM867" s="678" t="str">
        <f t="shared" si="748"/>
        <v/>
      </c>
      <c r="BN867" s="678" t="str">
        <f t="shared" si="748"/>
        <v/>
      </c>
      <c r="BO867" s="678" t="str">
        <f t="shared" si="748"/>
        <v/>
      </c>
      <c r="BP867" s="678" t="str">
        <f t="shared" si="748"/>
        <v/>
      </c>
      <c r="BQ867" s="678" t="str">
        <f t="shared" si="748"/>
        <v/>
      </c>
      <c r="BR867" s="678" t="str">
        <f t="shared" si="748"/>
        <v/>
      </c>
      <c r="BS867" s="678" t="str">
        <f t="shared" si="748"/>
        <v/>
      </c>
      <c r="BT867" s="678" t="str">
        <f t="shared" si="748"/>
        <v/>
      </c>
      <c r="BU867" s="678" t="str">
        <f t="shared" si="748"/>
        <v/>
      </c>
      <c r="BV867" s="678" t="str">
        <f t="shared" si="748"/>
        <v/>
      </c>
      <c r="BW867" s="678" t="str">
        <f t="shared" si="748"/>
        <v/>
      </c>
      <c r="BX867" s="678" t="str">
        <f t="shared" si="748"/>
        <v/>
      </c>
      <c r="BY867" s="678" t="str">
        <f t="shared" si="748"/>
        <v/>
      </c>
      <c r="BZ867" s="678" t="str">
        <f t="shared" si="748"/>
        <v/>
      </c>
      <c r="CA867" s="678" t="str">
        <f t="shared" si="748"/>
        <v/>
      </c>
      <c r="CB867" s="678" t="str">
        <f t="shared" si="748"/>
        <v/>
      </c>
      <c r="CC867" s="678" t="str">
        <f t="shared" si="748"/>
        <v/>
      </c>
      <c r="CD867" s="678" t="str">
        <f t="shared" si="748"/>
        <v/>
      </c>
      <c r="CE867" s="678" t="str">
        <f t="shared" si="748"/>
        <v/>
      </c>
      <c r="CF867" s="678" t="str">
        <f t="shared" si="748"/>
        <v/>
      </c>
      <c r="CG867" s="678" t="str">
        <f t="shared" si="748"/>
        <v/>
      </c>
      <c r="CH867" s="678" t="str">
        <f t="shared" si="748"/>
        <v/>
      </c>
      <c r="CI867" s="678" t="str">
        <f t="shared" si="748"/>
        <v/>
      </c>
      <c r="CJ867" s="678" t="str">
        <f t="shared" si="748"/>
        <v/>
      </c>
      <c r="CK867" s="678" t="str">
        <f t="shared" si="738"/>
        <v/>
      </c>
    </row>
    <row r="868" spans="56:89">
      <c r="BD868" s="78"/>
      <c r="BE868" s="38">
        <v>13</v>
      </c>
      <c r="BH868" s="198" t="str">
        <f t="array" ref="BH868">IFERROR(IF(ROWS(BG$880:BG892)&gt;COUNTA($BG$880:$BG$904),"",INDEX($BE$880:$BE$904,SMALL(IF($BG$880:$BG$904&lt;&gt;"",ROW($BG$880:$BG$904)-ROW($BG$880)+1),ROWS($BG$880:BG892)))),"")</f>
        <v/>
      </c>
      <c r="BI868" s="678" t="str">
        <f t="shared" ref="BI868:CJ868" si="749">IF(BH868="","",VLOOKUP($BH868,$BE$880:$CJ$904,BJ$855,FALSE))</f>
        <v/>
      </c>
      <c r="BJ868" s="678" t="str">
        <f t="shared" si="749"/>
        <v/>
      </c>
      <c r="BK868" s="678" t="str">
        <f t="shared" si="749"/>
        <v/>
      </c>
      <c r="BL868" s="678" t="str">
        <f t="shared" si="749"/>
        <v/>
      </c>
      <c r="BM868" s="678" t="str">
        <f t="shared" si="749"/>
        <v/>
      </c>
      <c r="BN868" s="678" t="str">
        <f t="shared" si="749"/>
        <v/>
      </c>
      <c r="BO868" s="678" t="str">
        <f t="shared" si="749"/>
        <v/>
      </c>
      <c r="BP868" s="678" t="str">
        <f t="shared" si="749"/>
        <v/>
      </c>
      <c r="BQ868" s="678" t="str">
        <f t="shared" si="749"/>
        <v/>
      </c>
      <c r="BR868" s="678" t="str">
        <f t="shared" si="749"/>
        <v/>
      </c>
      <c r="BS868" s="678" t="str">
        <f t="shared" si="749"/>
        <v/>
      </c>
      <c r="BT868" s="678" t="str">
        <f t="shared" si="749"/>
        <v/>
      </c>
      <c r="BU868" s="678" t="str">
        <f t="shared" si="749"/>
        <v/>
      </c>
      <c r="BV868" s="678" t="str">
        <f t="shared" si="749"/>
        <v/>
      </c>
      <c r="BW868" s="678" t="str">
        <f t="shared" si="749"/>
        <v/>
      </c>
      <c r="BX868" s="678" t="str">
        <f t="shared" si="749"/>
        <v/>
      </c>
      <c r="BY868" s="678" t="str">
        <f t="shared" si="749"/>
        <v/>
      </c>
      <c r="BZ868" s="678" t="str">
        <f t="shared" si="749"/>
        <v/>
      </c>
      <c r="CA868" s="678" t="str">
        <f t="shared" si="749"/>
        <v/>
      </c>
      <c r="CB868" s="678" t="str">
        <f t="shared" si="749"/>
        <v/>
      </c>
      <c r="CC868" s="678" t="str">
        <f t="shared" si="749"/>
        <v/>
      </c>
      <c r="CD868" s="678" t="str">
        <f t="shared" si="749"/>
        <v/>
      </c>
      <c r="CE868" s="678" t="str">
        <f t="shared" si="749"/>
        <v/>
      </c>
      <c r="CF868" s="678" t="str">
        <f t="shared" si="749"/>
        <v/>
      </c>
      <c r="CG868" s="678" t="str">
        <f t="shared" si="749"/>
        <v/>
      </c>
      <c r="CH868" s="678" t="str">
        <f t="shared" si="749"/>
        <v/>
      </c>
      <c r="CI868" s="678" t="str">
        <f t="shared" si="749"/>
        <v/>
      </c>
      <c r="CJ868" s="678" t="str">
        <f t="shared" si="749"/>
        <v/>
      </c>
      <c r="CK868" s="678" t="str">
        <f t="shared" si="738"/>
        <v/>
      </c>
    </row>
    <row r="869" spans="56:89">
      <c r="BD869" s="78"/>
      <c r="BE869" s="38">
        <v>14</v>
      </c>
      <c r="BH869" s="198" t="str">
        <f t="array" ref="BH869">IFERROR(IF(ROWS(BG$880:BG893)&gt;COUNTA($BG$880:$BG$904),"",INDEX($BE$880:$BE$904,SMALL(IF($BG$880:$BG$904&lt;&gt;"",ROW($BG$880:$BG$904)-ROW($BG$880)+1),ROWS($BG$880:BG893)))),"")</f>
        <v/>
      </c>
      <c r="BI869" s="678" t="str">
        <f t="shared" ref="BI869:CJ869" si="750">IF(BH869="","",VLOOKUP($BH869,$BE$880:$CJ$904,BJ$855,FALSE))</f>
        <v/>
      </c>
      <c r="BJ869" s="678" t="str">
        <f t="shared" si="750"/>
        <v/>
      </c>
      <c r="BK869" s="678" t="str">
        <f t="shared" si="750"/>
        <v/>
      </c>
      <c r="BL869" s="678" t="str">
        <f t="shared" si="750"/>
        <v/>
      </c>
      <c r="BM869" s="678" t="str">
        <f t="shared" si="750"/>
        <v/>
      </c>
      <c r="BN869" s="678" t="str">
        <f t="shared" si="750"/>
        <v/>
      </c>
      <c r="BO869" s="678" t="str">
        <f t="shared" si="750"/>
        <v/>
      </c>
      <c r="BP869" s="678" t="str">
        <f t="shared" si="750"/>
        <v/>
      </c>
      <c r="BQ869" s="678" t="str">
        <f t="shared" si="750"/>
        <v/>
      </c>
      <c r="BR869" s="678" t="str">
        <f t="shared" si="750"/>
        <v/>
      </c>
      <c r="BS869" s="678" t="str">
        <f t="shared" si="750"/>
        <v/>
      </c>
      <c r="BT869" s="678" t="str">
        <f t="shared" si="750"/>
        <v/>
      </c>
      <c r="BU869" s="678" t="str">
        <f t="shared" si="750"/>
        <v/>
      </c>
      <c r="BV869" s="678" t="str">
        <f t="shared" si="750"/>
        <v/>
      </c>
      <c r="BW869" s="678" t="str">
        <f t="shared" si="750"/>
        <v/>
      </c>
      <c r="BX869" s="678" t="str">
        <f t="shared" si="750"/>
        <v/>
      </c>
      <c r="BY869" s="678" t="str">
        <f t="shared" si="750"/>
        <v/>
      </c>
      <c r="BZ869" s="678" t="str">
        <f t="shared" si="750"/>
        <v/>
      </c>
      <c r="CA869" s="678" t="str">
        <f t="shared" si="750"/>
        <v/>
      </c>
      <c r="CB869" s="678" t="str">
        <f t="shared" si="750"/>
        <v/>
      </c>
      <c r="CC869" s="678" t="str">
        <f t="shared" si="750"/>
        <v/>
      </c>
      <c r="CD869" s="678" t="str">
        <f t="shared" si="750"/>
        <v/>
      </c>
      <c r="CE869" s="678" t="str">
        <f t="shared" si="750"/>
        <v/>
      </c>
      <c r="CF869" s="678" t="str">
        <f t="shared" si="750"/>
        <v/>
      </c>
      <c r="CG869" s="678" t="str">
        <f t="shared" si="750"/>
        <v/>
      </c>
      <c r="CH869" s="678" t="str">
        <f t="shared" si="750"/>
        <v/>
      </c>
      <c r="CI869" s="678" t="str">
        <f t="shared" si="750"/>
        <v/>
      </c>
      <c r="CJ869" s="678" t="str">
        <f t="shared" si="750"/>
        <v/>
      </c>
      <c r="CK869" s="678" t="str">
        <f t="shared" si="738"/>
        <v/>
      </c>
    </row>
    <row r="870" spans="56:89">
      <c r="BD870" s="78"/>
      <c r="BE870" s="38">
        <v>15</v>
      </c>
      <c r="BH870" s="198" t="str">
        <f t="array" ref="BH870">IFERROR(IF(ROWS(BG$880:BG894)&gt;COUNTA($BG$880:$BG$904),"",INDEX($BE$880:$BE$904,SMALL(IF($BG$880:$BG$904&lt;&gt;"",ROW($BG$880:$BG$904)-ROW($BG$880)+1),ROWS($BG$880:BG894)))),"")</f>
        <v/>
      </c>
      <c r="BI870" s="678" t="str">
        <f t="shared" ref="BI870:CJ870" si="751">IF(BH870="","",VLOOKUP($BH870,$BE$880:$CJ$904,BJ$855,FALSE))</f>
        <v/>
      </c>
      <c r="BJ870" s="678" t="str">
        <f t="shared" si="751"/>
        <v/>
      </c>
      <c r="BK870" s="678" t="str">
        <f t="shared" si="751"/>
        <v/>
      </c>
      <c r="BL870" s="678" t="str">
        <f t="shared" si="751"/>
        <v/>
      </c>
      <c r="BM870" s="678" t="str">
        <f t="shared" si="751"/>
        <v/>
      </c>
      <c r="BN870" s="678" t="str">
        <f t="shared" si="751"/>
        <v/>
      </c>
      <c r="BO870" s="678" t="str">
        <f t="shared" si="751"/>
        <v/>
      </c>
      <c r="BP870" s="678" t="str">
        <f t="shared" si="751"/>
        <v/>
      </c>
      <c r="BQ870" s="678" t="str">
        <f t="shared" si="751"/>
        <v/>
      </c>
      <c r="BR870" s="678" t="str">
        <f t="shared" si="751"/>
        <v/>
      </c>
      <c r="BS870" s="678" t="str">
        <f t="shared" si="751"/>
        <v/>
      </c>
      <c r="BT870" s="678" t="str">
        <f t="shared" si="751"/>
        <v/>
      </c>
      <c r="BU870" s="678" t="str">
        <f t="shared" si="751"/>
        <v/>
      </c>
      <c r="BV870" s="678" t="str">
        <f t="shared" si="751"/>
        <v/>
      </c>
      <c r="BW870" s="678" t="str">
        <f t="shared" si="751"/>
        <v/>
      </c>
      <c r="BX870" s="678" t="str">
        <f t="shared" si="751"/>
        <v/>
      </c>
      <c r="BY870" s="678" t="str">
        <f t="shared" si="751"/>
        <v/>
      </c>
      <c r="BZ870" s="678" t="str">
        <f t="shared" si="751"/>
        <v/>
      </c>
      <c r="CA870" s="678" t="str">
        <f t="shared" si="751"/>
        <v/>
      </c>
      <c r="CB870" s="678" t="str">
        <f t="shared" si="751"/>
        <v/>
      </c>
      <c r="CC870" s="678" t="str">
        <f t="shared" si="751"/>
        <v/>
      </c>
      <c r="CD870" s="678" t="str">
        <f t="shared" si="751"/>
        <v/>
      </c>
      <c r="CE870" s="678" t="str">
        <f t="shared" si="751"/>
        <v/>
      </c>
      <c r="CF870" s="678" t="str">
        <f t="shared" si="751"/>
        <v/>
      </c>
      <c r="CG870" s="678" t="str">
        <f t="shared" si="751"/>
        <v/>
      </c>
      <c r="CH870" s="678" t="str">
        <f t="shared" si="751"/>
        <v/>
      </c>
      <c r="CI870" s="678" t="str">
        <f t="shared" si="751"/>
        <v/>
      </c>
      <c r="CJ870" s="678" t="str">
        <f t="shared" si="751"/>
        <v/>
      </c>
      <c r="CK870" s="678" t="str">
        <f t="shared" si="738"/>
        <v/>
      </c>
    </row>
    <row r="871" spans="56:89">
      <c r="BD871" s="78"/>
      <c r="BE871" s="38">
        <v>16</v>
      </c>
      <c r="BI871" s="678" t="str">
        <f t="shared" ref="BI871:CJ871" si="752">IF(BH871="","",VLOOKUP($BH871,$BE$880:$CJ$904,BJ$855,FALSE))</f>
        <v/>
      </c>
      <c r="BJ871" s="678" t="str">
        <f t="shared" si="752"/>
        <v/>
      </c>
      <c r="BK871" s="678" t="str">
        <f t="shared" si="752"/>
        <v/>
      </c>
      <c r="BL871" s="678" t="str">
        <f t="shared" si="752"/>
        <v/>
      </c>
      <c r="BM871" s="678" t="str">
        <f t="shared" si="752"/>
        <v/>
      </c>
      <c r="BN871" s="678" t="str">
        <f t="shared" si="752"/>
        <v/>
      </c>
      <c r="BO871" s="678" t="str">
        <f t="shared" si="752"/>
        <v/>
      </c>
      <c r="BP871" s="678" t="str">
        <f t="shared" si="752"/>
        <v/>
      </c>
      <c r="BQ871" s="678" t="str">
        <f t="shared" si="752"/>
        <v/>
      </c>
      <c r="BR871" s="678" t="str">
        <f t="shared" si="752"/>
        <v/>
      </c>
      <c r="BS871" s="678" t="str">
        <f t="shared" si="752"/>
        <v/>
      </c>
      <c r="BT871" s="678" t="str">
        <f t="shared" si="752"/>
        <v/>
      </c>
      <c r="BU871" s="678" t="str">
        <f t="shared" si="752"/>
        <v/>
      </c>
      <c r="BV871" s="678" t="str">
        <f t="shared" si="75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 r="CD871" s="678" t="str">
        <f t="shared" si="752"/>
        <v/>
      </c>
      <c r="CE871" s="678" t="str">
        <f t="shared" si="752"/>
        <v/>
      </c>
      <c r="CF871" s="678" t="str">
        <f t="shared" si="752"/>
        <v/>
      </c>
      <c r="CG871" s="678" t="str">
        <f t="shared" si="752"/>
        <v/>
      </c>
      <c r="CH871" s="678" t="str">
        <f t="shared" si="752"/>
        <v/>
      </c>
      <c r="CI871" s="678" t="str">
        <f t="shared" si="752"/>
        <v/>
      </c>
      <c r="CJ871" s="678" t="str">
        <f t="shared" si="752"/>
        <v/>
      </c>
      <c r="CK871" s="678" t="str">
        <f t="shared" si="738"/>
        <v/>
      </c>
    </row>
    <row r="872" spans="56:89">
      <c r="BD872" s="78"/>
      <c r="BE872" s="38">
        <v>17</v>
      </c>
    </row>
    <row r="873" spans="56:89">
      <c r="BD873" s="78"/>
      <c r="BE873" s="38">
        <v>18</v>
      </c>
    </row>
    <row r="874" spans="56:89">
      <c r="BD874" s="78"/>
      <c r="BE874" s="78"/>
    </row>
    <row r="875" spans="56:89">
      <c r="BD875" s="78"/>
      <c r="BE875" s="78"/>
    </row>
    <row r="876" spans="56:89">
      <c r="BD876" s="78"/>
      <c r="BE876" s="78"/>
    </row>
    <row r="877" spans="56:89">
      <c r="BD877" s="78"/>
      <c r="BE877" s="78"/>
    </row>
    <row r="878" spans="56:89">
      <c r="BD878" s="1878"/>
      <c r="BE878" s="78"/>
      <c r="BI878" s="1908" t="s">
        <v>258</v>
      </c>
      <c r="BJ878" s="1913" t="s">
        <v>259</v>
      </c>
      <c r="BK878" s="1908" t="s">
        <v>444</v>
      </c>
      <c r="BL878" s="1908" t="s">
        <v>261</v>
      </c>
      <c r="BM878" s="1915" t="s">
        <v>262</v>
      </c>
      <c r="BN878" s="1915" t="s">
        <v>263</v>
      </c>
      <c r="BO878" s="1915" t="s">
        <v>403</v>
      </c>
      <c r="BP878" s="1915" t="s">
        <v>445</v>
      </c>
      <c r="BQ878" s="1915" t="s">
        <v>446</v>
      </c>
      <c r="BR878" s="1908" t="s">
        <v>267</v>
      </c>
      <c r="BS878" s="1908" t="s">
        <v>268</v>
      </c>
      <c r="BT878" s="1908" t="s">
        <v>269</v>
      </c>
      <c r="BU878" s="1908" t="s">
        <v>270</v>
      </c>
      <c r="BV878" s="44"/>
      <c r="BW878" s="1908" t="s">
        <v>271</v>
      </c>
      <c r="BX878" s="1908" t="s">
        <v>272</v>
      </c>
      <c r="BY878" s="1908" t="s">
        <v>273</v>
      </c>
      <c r="BZ878" s="1908" t="s">
        <v>274</v>
      </c>
      <c r="CA878" s="1908" t="s">
        <v>275</v>
      </c>
      <c r="CB878" s="1913" t="s">
        <v>447</v>
      </c>
      <c r="CC878" s="1915" t="s">
        <v>448</v>
      </c>
      <c r="CD878" s="1915" t="s">
        <v>449</v>
      </c>
      <c r="CE878" s="44"/>
      <c r="CF878" s="1908" t="s">
        <v>279</v>
      </c>
      <c r="CG878" s="1908" t="s">
        <v>280</v>
      </c>
      <c r="CH878" s="1908" t="s">
        <v>281</v>
      </c>
      <c r="CI878" s="44"/>
      <c r="CJ878" s="1908" t="s">
        <v>205</v>
      </c>
    </row>
    <row r="879" spans="56:89">
      <c r="BD879" s="1878"/>
      <c r="BE879" s="38">
        <f>COUNT(BE880:BE895)</f>
        <v>16</v>
      </c>
      <c r="BI879" s="1909"/>
      <c r="BJ879" s="1914"/>
      <c r="BK879" s="1909"/>
      <c r="BL879" s="1909"/>
      <c r="BM879" s="1916"/>
      <c r="BN879" s="1916"/>
      <c r="BO879" s="1916"/>
      <c r="BP879" s="1916"/>
      <c r="BQ879" s="1916"/>
      <c r="BR879" s="1909"/>
      <c r="BS879" s="1909"/>
      <c r="BT879" s="1909"/>
      <c r="BU879" s="1909"/>
      <c r="BV879" s="44"/>
      <c r="BW879" s="1909"/>
      <c r="BX879" s="1909"/>
      <c r="BY879" s="1909"/>
      <c r="BZ879" s="1909"/>
      <c r="CA879" s="1909"/>
      <c r="CB879" s="1914" t="s">
        <v>385</v>
      </c>
      <c r="CC879" s="1916"/>
      <c r="CD879" s="1916"/>
      <c r="CE879" s="44"/>
      <c r="CF879" s="1909"/>
      <c r="CG879" s="1909"/>
      <c r="CH879" s="1909"/>
      <c r="CI879" s="44"/>
      <c r="CJ879" s="1909"/>
    </row>
    <row r="880" spans="56:89">
      <c r="BD880" s="1878"/>
      <c r="BE880" s="78">
        <v>1</v>
      </c>
      <c r="BF880" s="106">
        <f>ROW()</f>
        <v>880</v>
      </c>
      <c r="BG880" s="38" t="str">
        <f>IF(BW880&gt;0,CONCATENATE(BJ880," - ",BI880," Control Bonus"),"")</f>
        <v/>
      </c>
      <c r="BH880" s="106">
        <v>1</v>
      </c>
      <c r="BI880" s="674" t="s">
        <v>237</v>
      </c>
      <c r="BJ880" s="679" t="s">
        <v>305</v>
      </c>
      <c r="BK880" s="674">
        <f t="shared" ref="BK880:BK904" si="753">SUMIFS(DU$46:DU$803,$DQ$46:$DQ$803,$BH880,$IB$46:$IB$803,TRUE,DX$46:DX$803,BI880)</f>
        <v>0</v>
      </c>
      <c r="BL880" s="680">
        <f t="shared" ref="BL880:BL904" si="754">ROUND(SUMIFS(CZ$46:CZ$803,$DQ$46:$DQ$803,$BH880,$IB$46:$IB$803,TRUE,DX$46:DX$803,BI880),0)</f>
        <v>0</v>
      </c>
      <c r="BM880" s="681">
        <f>BL880-BN880</f>
        <v>0</v>
      </c>
      <c r="BN880" s="681">
        <f t="shared" ref="BN880:BN904" si="755">ROUND(SUMIFS(DM$46:DM$803,$DQ$46:$DQ$803,$BH880,$IB$46:$IB$803,TRUE,DX$46:DX$803,BI880),0)</f>
        <v>0</v>
      </c>
      <c r="BO880" s="681">
        <f t="shared" ref="BO880:BO904" si="756">ROUND(SUMIFS(EG$46:EG$803,$DQ$46:$DQ$803,$BH880,$IB$46:$IB$803,TRUE,DX$46:DX$803,BI880),0)</f>
        <v>0</v>
      </c>
      <c r="BP880" s="681">
        <f t="shared" ref="BP880:BP904" si="757">ROUND(SUMIFS(DJ$46:DJ$803,$DR$46:$DR$803,$BH880,$IC$46:$IC$803,TRUE,DY$46:DY$803,BI880,CU$46:CU$803,"New"),0)</f>
        <v>0</v>
      </c>
      <c r="BQ880" s="681">
        <f t="shared" ref="BQ880:BQ904" si="758">ROUND(SUMIFS(DN$46:DN$803,$DR$46:$DR$803,$BH880,$IC$46:$IC$803,TRUE,DY$46:DY$803,BI880,CU$46:CU$803,"New"),0)</f>
        <v>0</v>
      </c>
      <c r="BR880" s="680">
        <f>BN880-BO880</f>
        <v>0</v>
      </c>
      <c r="BS880" s="682">
        <f t="shared" ref="BS880:BS904" si="759">ROUND(SUMIFS(EK$46:EK$803,$DQ$46:$DQ$803,$BH880,$IB$46:$IB$803,TRUE,DX$46:DX$803,BI880),0)</f>
        <v>0</v>
      </c>
      <c r="BT880" s="680">
        <f>BP880-BM880</f>
        <v>0</v>
      </c>
      <c r="BU880" s="682">
        <f t="shared" ref="BU880:BU904" si="760">ROUND(SUMIFS(EL$46:EL$803,$DQ$46:$DQ$803,$BH880,$IB$46:$IB$803,TRUE,DX$46:DX$803,BI880),0)</f>
        <v>0</v>
      </c>
      <c r="BV880" s="78"/>
      <c r="BW880" s="680">
        <f>BN880-BQ880</f>
        <v>0</v>
      </c>
      <c r="BX880" s="682">
        <f>BS880+BU880</f>
        <v>0</v>
      </c>
      <c r="BY880" s="682">
        <f t="shared" ref="BY880:BY904" si="761">ROUND(SUMIFS(ES$46:ES$803,$DQ$46:$DQ$803,$BH880,$IB$46:$IB$803,TRUE,DX$46:DX$803,BI880),2)</f>
        <v>0</v>
      </c>
      <c r="BZ880" s="682">
        <f t="shared" ref="BZ880:BZ904" si="762">ROUND(SUMIFS(ER$46:ER$803,$DQ$46:$DQ$803,$BH880,$IB$46:$IB$803,TRUE,DX$46:DX$803,BI880),2)</f>
        <v>0</v>
      </c>
      <c r="CA880" s="682">
        <f t="shared" ref="CA880:CA904" si="763">ROUND(SUMIFS(ET$46:ET$803,$DQ$46:$DQ$803,$BH880,$IB$46:$IB$803,TRUE,DX$46:DX$803,BI880),2)</f>
        <v>0</v>
      </c>
      <c r="CB880" s="1070">
        <f>SUM(SUMIFS(DV$46:DV$803,DQ$46:DQ$803,BH880,DS$46:DS$803,{7,8,9},IB$46:IB$803,TRUE,DX$46:DX$803,BI880))</f>
        <v>0</v>
      </c>
      <c r="CC880" s="681">
        <f>ROUND(SUMIFS(CZ$46:CZ$803,$DR$46:$DR$803,$BH880,$IC$46:$IC$803,TRUE,DY$46:DY$803,BI880,CU$46:CU$803,"New",DT$46:DT$803,"ALC"),0)</f>
        <v>0</v>
      </c>
      <c r="CD880" s="681">
        <f t="shared" ref="CD880:CD904" si="764">ROUND(SUMIFS(DJ$46:DJ$803,$DR$46:$DR$803,$BH880,$IC$46:$IC$803,TRUE,DY$46:DY$803,BI880,CU$46:CU$803,"New",DT$46:DT$803,"ALC"),0)</f>
        <v>0</v>
      </c>
      <c r="CE880" s="78"/>
      <c r="CF880" s="683">
        <f t="shared" ref="CF880:CF904" si="765">ROUND(SUMIFS(DB$46:DB$803,$DQ$46:$DQ$803,$BH880,$IB$46:$IB$803,TRUE,DX$46:DX$803,BI880),2)</f>
        <v>0</v>
      </c>
      <c r="CG880" s="683">
        <f t="shared" ref="CG880:CG904" si="766">ROUND(SUMIFS(DC$46:DC$803,$DQ$46:$DQ$803,$BH880,$IB$46:$IB$803,TRUE,DX$46:DX$803,BI880),2)</f>
        <v>0</v>
      </c>
      <c r="CH880" s="683">
        <f>CF880-CG880</f>
        <v>0</v>
      </c>
      <c r="CJ880" s="680" t="str">
        <f t="shared" ref="CJ880:CJ904" si="767">IFERROR(ROUND(SUMIFS(FH$46:FH$803,$DQ$46:$DQ$803,$BH880,$IB$46:$IB$803,TRUE,DX$46:DX$803,BI880)/BR880,0),"")</f>
        <v/>
      </c>
    </row>
    <row r="881" spans="56:89">
      <c r="BD881" s="1878"/>
      <c r="BE881" s="78">
        <v>2</v>
      </c>
      <c r="BF881" s="106">
        <f>ROW()</f>
        <v>881</v>
      </c>
      <c r="BG881" s="38" t="str">
        <f t="shared" ref="BG881:BG904" si="768">IF(BW881&gt;0,CONCATENATE(BJ881," - ",BI881," Control Bonus"),"")</f>
        <v/>
      </c>
      <c r="BH881" s="106">
        <v>1</v>
      </c>
      <c r="BI881" s="674" t="s">
        <v>215</v>
      </c>
      <c r="BJ881" s="679" t="s">
        <v>305</v>
      </c>
      <c r="BK881" s="674">
        <f t="shared" si="753"/>
        <v>0</v>
      </c>
      <c r="BL881" s="680">
        <f t="shared" si="754"/>
        <v>0</v>
      </c>
      <c r="BM881" s="681">
        <f>BL881-BN881</f>
        <v>0</v>
      </c>
      <c r="BN881" s="681">
        <f t="shared" si="755"/>
        <v>0</v>
      </c>
      <c r="BO881" s="681">
        <f t="shared" si="756"/>
        <v>0</v>
      </c>
      <c r="BP881" s="681">
        <f t="shared" si="757"/>
        <v>0</v>
      </c>
      <c r="BQ881" s="681">
        <f t="shared" si="758"/>
        <v>0</v>
      </c>
      <c r="BR881" s="680">
        <f t="shared" ref="BR881:BR904" si="769">BN881-BO881</f>
        <v>0</v>
      </c>
      <c r="BS881" s="682">
        <f t="shared" si="759"/>
        <v>0</v>
      </c>
      <c r="BT881" s="680">
        <f>BP881-BM881</f>
        <v>0</v>
      </c>
      <c r="BU881" s="682">
        <f t="shared" si="760"/>
        <v>0</v>
      </c>
      <c r="BV881" s="78"/>
      <c r="BW881" s="680">
        <f>BN881-BQ881</f>
        <v>0</v>
      </c>
      <c r="BX881" s="682">
        <f>BS881+BU881</f>
        <v>0</v>
      </c>
      <c r="BY881" s="682">
        <f t="shared" si="761"/>
        <v>0</v>
      </c>
      <c r="BZ881" s="682">
        <f t="shared" si="762"/>
        <v>0</v>
      </c>
      <c r="CA881" s="682">
        <f t="shared" si="763"/>
        <v>0</v>
      </c>
      <c r="CB881" s="674">
        <f t="shared" ref="CB881:CB904" si="770">SUMIFS(DV$46:DV$803,DQ$46:DQ$803,BH881,DS$46:DS$803,7,IB$46:IB$803,TRUE,DX$46:DX$803,BI881)</f>
        <v>0</v>
      </c>
      <c r="CC881" s="681">
        <f>ROUND(SUMIFS(CZ$46:CZ$803,$DR$46:$DR$803,$BH881,$IC$46:$IC$803,TRUE,DY$46:DY$803,BI881,CU$46:CU$803,"New",DT$46:DT$803,"ALC"),0)</f>
        <v>0</v>
      </c>
      <c r="CD881" s="681">
        <f t="shared" si="764"/>
        <v>0</v>
      </c>
      <c r="CE881" s="78"/>
      <c r="CF881" s="683">
        <f t="shared" si="765"/>
        <v>0</v>
      </c>
      <c r="CG881" s="683">
        <f t="shared" si="766"/>
        <v>0</v>
      </c>
      <c r="CH881" s="683">
        <f>CF881-CG881</f>
        <v>0</v>
      </c>
      <c r="CJ881" s="680" t="str">
        <f t="shared" si="767"/>
        <v/>
      </c>
    </row>
    <row r="882" spans="56:89">
      <c r="BD882" s="1878"/>
      <c r="BE882" s="78">
        <v>3</v>
      </c>
      <c r="BF882" s="106">
        <f>ROW()</f>
        <v>882</v>
      </c>
      <c r="BG882" s="38" t="str">
        <f t="shared" si="768"/>
        <v/>
      </c>
      <c r="BH882" s="106">
        <v>2</v>
      </c>
      <c r="BI882" s="674" t="s">
        <v>237</v>
      </c>
      <c r="BJ882" s="679" t="s">
        <v>450</v>
      </c>
      <c r="BK882" s="674">
        <f t="shared" si="753"/>
        <v>0</v>
      </c>
      <c r="BL882" s="680">
        <f t="shared" si="754"/>
        <v>0</v>
      </c>
      <c r="BM882" s="681">
        <f>BL882-BN882</f>
        <v>0</v>
      </c>
      <c r="BN882" s="681">
        <f t="shared" si="755"/>
        <v>0</v>
      </c>
      <c r="BO882" s="681">
        <f t="shared" si="756"/>
        <v>0</v>
      </c>
      <c r="BP882" s="681">
        <f t="shared" si="757"/>
        <v>0</v>
      </c>
      <c r="BQ882" s="681">
        <f t="shared" si="758"/>
        <v>0</v>
      </c>
      <c r="BR882" s="680">
        <f t="shared" si="769"/>
        <v>0</v>
      </c>
      <c r="BS882" s="682">
        <f t="shared" si="759"/>
        <v>0</v>
      </c>
      <c r="BT882" s="680">
        <f>BP882-BM882</f>
        <v>0</v>
      </c>
      <c r="BU882" s="682">
        <f t="shared" si="760"/>
        <v>0</v>
      </c>
      <c r="BV882" s="78"/>
      <c r="BW882" s="680">
        <f>BN882-BQ882</f>
        <v>0</v>
      </c>
      <c r="BX882" s="682">
        <f>BS882+BU882</f>
        <v>0</v>
      </c>
      <c r="BY882" s="682">
        <f t="shared" si="761"/>
        <v>0</v>
      </c>
      <c r="BZ882" s="682">
        <f t="shared" si="762"/>
        <v>0</v>
      </c>
      <c r="CA882" s="682">
        <f t="shared" si="763"/>
        <v>0</v>
      </c>
      <c r="CB882" s="674">
        <f t="shared" si="770"/>
        <v>0</v>
      </c>
      <c r="CC882" s="681">
        <f>ROUND(SUMIFS(CZ$46:CZ$803,$DR$46:$DR$803,$BH882,$IC$46:$IC$803,TRUE,DY$46:DY$803,BI882,CU$46:CU$803,"New",DT$46:DT$803,"ALC"),0)</f>
        <v>0</v>
      </c>
      <c r="CD882" s="681">
        <f t="shared" si="764"/>
        <v>0</v>
      </c>
      <c r="CE882" s="78"/>
      <c r="CF882" s="683">
        <f t="shared" si="765"/>
        <v>0</v>
      </c>
      <c r="CG882" s="683">
        <f t="shared" si="766"/>
        <v>0</v>
      </c>
      <c r="CH882" s="683">
        <f>CF882-CG882</f>
        <v>0</v>
      </c>
      <c r="CJ882" s="680" t="str">
        <f t="shared" si="767"/>
        <v/>
      </c>
    </row>
    <row r="883" spans="56:89">
      <c r="BD883" s="1878"/>
      <c r="BE883" s="78">
        <v>4</v>
      </c>
      <c r="BF883" s="106">
        <f>ROW()</f>
        <v>883</v>
      </c>
      <c r="BG883" s="38" t="str">
        <f t="shared" si="768"/>
        <v/>
      </c>
      <c r="BH883" s="106">
        <v>2</v>
      </c>
      <c r="BI883" s="674" t="s">
        <v>215</v>
      </c>
      <c r="BJ883" s="679" t="s">
        <v>450</v>
      </c>
      <c r="BK883" s="674">
        <f t="shared" si="753"/>
        <v>0</v>
      </c>
      <c r="BL883" s="680">
        <f t="shared" si="754"/>
        <v>0</v>
      </c>
      <c r="BM883" s="681">
        <f>BL883-BN883</f>
        <v>0</v>
      </c>
      <c r="BN883" s="681">
        <f t="shared" si="755"/>
        <v>0</v>
      </c>
      <c r="BO883" s="681">
        <f t="shared" si="756"/>
        <v>0</v>
      </c>
      <c r="BP883" s="681">
        <f t="shared" si="757"/>
        <v>0</v>
      </c>
      <c r="BQ883" s="681">
        <f t="shared" si="758"/>
        <v>0</v>
      </c>
      <c r="BR883" s="680">
        <f t="shared" si="769"/>
        <v>0</v>
      </c>
      <c r="BS883" s="682">
        <f t="shared" si="759"/>
        <v>0</v>
      </c>
      <c r="BT883" s="680">
        <f>BP883-BM883</f>
        <v>0</v>
      </c>
      <c r="BU883" s="682">
        <f t="shared" si="760"/>
        <v>0</v>
      </c>
      <c r="BV883" s="78"/>
      <c r="BW883" s="680">
        <f>BN883-BQ883</f>
        <v>0</v>
      </c>
      <c r="BX883" s="682">
        <f>BS883+BU883</f>
        <v>0</v>
      </c>
      <c r="BY883" s="682">
        <f t="shared" si="761"/>
        <v>0</v>
      </c>
      <c r="BZ883" s="682">
        <f t="shared" si="762"/>
        <v>0</v>
      </c>
      <c r="CA883" s="682">
        <f t="shared" si="763"/>
        <v>0</v>
      </c>
      <c r="CB883" s="674">
        <f t="shared" si="770"/>
        <v>0</v>
      </c>
      <c r="CC883" s="681">
        <f>ROUND(SUMIFS(CZ$46:CZ$803,$DR$46:$DR$803,$BH883,$IC$46:$IC$803,TRUE,DY$46:DY$803,BI883,CU$46:CU$803,"New",DT$46:DT$803,"ALC"),0)</f>
        <v>0</v>
      </c>
      <c r="CD883" s="681">
        <f t="shared" si="764"/>
        <v>0</v>
      </c>
      <c r="CE883" s="78"/>
      <c r="CF883" s="683">
        <f t="shared" si="765"/>
        <v>0</v>
      </c>
      <c r="CG883" s="683">
        <f t="shared" si="766"/>
        <v>0</v>
      </c>
      <c r="CH883" s="683">
        <f>CF883-CG883</f>
        <v>0</v>
      </c>
      <c r="CJ883" s="680" t="str">
        <f t="shared" si="767"/>
        <v/>
      </c>
    </row>
    <row r="884" spans="56:89">
      <c r="BD884" s="1878"/>
      <c r="BE884" s="78">
        <v>5</v>
      </c>
      <c r="BF884" s="106">
        <f>ROW()</f>
        <v>884</v>
      </c>
      <c r="BG884" s="38" t="str">
        <f t="shared" si="768"/>
        <v/>
      </c>
      <c r="BH884" s="106">
        <v>3</v>
      </c>
      <c r="BI884" s="674" t="s">
        <v>237</v>
      </c>
      <c r="BJ884" s="679" t="s">
        <v>451</v>
      </c>
      <c r="BK884" s="674">
        <f t="shared" si="753"/>
        <v>0</v>
      </c>
      <c r="BL884" s="680">
        <f t="shared" si="754"/>
        <v>0</v>
      </c>
      <c r="BM884" s="681">
        <f>BL884-BN884</f>
        <v>0</v>
      </c>
      <c r="BN884" s="681">
        <f t="shared" si="755"/>
        <v>0</v>
      </c>
      <c r="BO884" s="681">
        <f t="shared" si="756"/>
        <v>0</v>
      </c>
      <c r="BP884" s="681">
        <f t="shared" si="757"/>
        <v>0</v>
      </c>
      <c r="BQ884" s="681">
        <f t="shared" si="758"/>
        <v>0</v>
      </c>
      <c r="BR884" s="680">
        <f t="shared" si="769"/>
        <v>0</v>
      </c>
      <c r="BS884" s="682">
        <f t="shared" si="759"/>
        <v>0</v>
      </c>
      <c r="BT884" s="680">
        <f>BP884-BM884</f>
        <v>0</v>
      </c>
      <c r="BU884" s="682">
        <f t="shared" si="760"/>
        <v>0</v>
      </c>
      <c r="BV884" s="78"/>
      <c r="BW884" s="680">
        <f>BN884-BQ884</f>
        <v>0</v>
      </c>
      <c r="BX884" s="682">
        <f>BS884+BU884</f>
        <v>0</v>
      </c>
      <c r="BY884" s="682">
        <f t="shared" si="761"/>
        <v>0</v>
      </c>
      <c r="BZ884" s="682">
        <f t="shared" si="762"/>
        <v>0</v>
      </c>
      <c r="CA884" s="682">
        <f t="shared" si="763"/>
        <v>0</v>
      </c>
      <c r="CB884" s="674">
        <f t="shared" si="770"/>
        <v>0</v>
      </c>
      <c r="CC884" s="681">
        <f>ROUND(SUMIFS(CZ$46:CZ$803,$DR$46:$DR$803,$BH884,$IC$46:$IC$803,TRUE,DY$46:DY$803,BI884,CU$46:CU$803,"New",DT$46:DT$803,"ALC"),0)</f>
        <v>0</v>
      </c>
      <c r="CD884" s="681">
        <f t="shared" si="764"/>
        <v>0</v>
      </c>
      <c r="CE884" s="78"/>
      <c r="CF884" s="683">
        <f t="shared" si="765"/>
        <v>0</v>
      </c>
      <c r="CG884" s="683">
        <f t="shared" si="766"/>
        <v>0</v>
      </c>
      <c r="CH884" s="683">
        <f>CF884-CG884</f>
        <v>0</v>
      </c>
      <c r="CJ884" s="680" t="str">
        <f t="shared" si="767"/>
        <v/>
      </c>
    </row>
    <row r="885" spans="56:89">
      <c r="BD885" s="1878"/>
      <c r="BE885" s="78">
        <v>6</v>
      </c>
      <c r="BF885" s="106">
        <f>ROW()</f>
        <v>885</v>
      </c>
      <c r="BG885" s="38" t="str">
        <f t="shared" si="768"/>
        <v/>
      </c>
      <c r="BH885" s="106">
        <v>3</v>
      </c>
      <c r="BI885" s="674" t="s">
        <v>215</v>
      </c>
      <c r="BJ885" s="679" t="s">
        <v>451</v>
      </c>
      <c r="BK885" s="674">
        <f t="shared" si="753"/>
        <v>0</v>
      </c>
      <c r="BL885" s="680">
        <f t="shared" si="754"/>
        <v>0</v>
      </c>
      <c r="BM885" s="681">
        <f t="shared" ref="BM885:BM898" si="771">BL885-BN885</f>
        <v>0</v>
      </c>
      <c r="BN885" s="681">
        <f t="shared" si="755"/>
        <v>0</v>
      </c>
      <c r="BO885" s="681">
        <f t="shared" si="756"/>
        <v>0</v>
      </c>
      <c r="BP885" s="681">
        <f t="shared" si="757"/>
        <v>0</v>
      </c>
      <c r="BQ885" s="681">
        <f t="shared" si="758"/>
        <v>0</v>
      </c>
      <c r="BR885" s="680">
        <f t="shared" si="769"/>
        <v>0</v>
      </c>
      <c r="BS885" s="682">
        <f t="shared" si="759"/>
        <v>0</v>
      </c>
      <c r="BT885" s="680">
        <f t="shared" ref="BT885:BT898" si="772">BP885-BM885</f>
        <v>0</v>
      </c>
      <c r="BU885" s="682">
        <f t="shared" si="760"/>
        <v>0</v>
      </c>
      <c r="BV885" s="78"/>
      <c r="BW885" s="680">
        <f t="shared" ref="BW885:BW898" si="773">BN885-BQ885</f>
        <v>0</v>
      </c>
      <c r="BX885" s="682">
        <f t="shared" ref="BX885:BX898" si="774">BS885+BU885</f>
        <v>0</v>
      </c>
      <c r="BY885" s="682">
        <f t="shared" si="761"/>
        <v>0</v>
      </c>
      <c r="BZ885" s="682">
        <f t="shared" si="762"/>
        <v>0</v>
      </c>
      <c r="CA885" s="682">
        <f t="shared" si="763"/>
        <v>0</v>
      </c>
      <c r="CB885" s="674">
        <f t="shared" si="770"/>
        <v>0</v>
      </c>
      <c r="CC885" s="681">
        <f t="shared" ref="CC885:CC904" si="775">ROUND(SUMIFS(CZ$46:CZ$803,$DR$46:$DR$803,$BH885,$IC$46:$IC$803,TRUE,DY$46:DY$803,BI885,CU$46:CU$803,"New",DT$46:DT$803,"ALC"),0)</f>
        <v>0</v>
      </c>
      <c r="CD885" s="681">
        <f t="shared" si="764"/>
        <v>0</v>
      </c>
      <c r="CE885" s="78"/>
      <c r="CF885" s="683">
        <f t="shared" si="765"/>
        <v>0</v>
      </c>
      <c r="CG885" s="683">
        <f t="shared" si="766"/>
        <v>0</v>
      </c>
      <c r="CH885" s="683">
        <f t="shared" ref="CH885:CH894" si="776">CF885-CG885</f>
        <v>0</v>
      </c>
      <c r="CI885" s="78"/>
      <c r="CJ885" s="680" t="str">
        <f t="shared" si="767"/>
        <v/>
      </c>
      <c r="CK885" s="78"/>
    </row>
    <row r="886" spans="56:89">
      <c r="BD886" s="1878"/>
      <c r="BE886" s="78">
        <v>7</v>
      </c>
      <c r="BF886" s="106">
        <f>ROW()</f>
        <v>886</v>
      </c>
      <c r="BG886" s="38" t="str">
        <f t="shared" si="768"/>
        <v/>
      </c>
      <c r="BH886" s="106">
        <v>4</v>
      </c>
      <c r="BI886" s="674" t="s">
        <v>237</v>
      </c>
      <c r="BJ886" s="679" t="s">
        <v>249</v>
      </c>
      <c r="BK886" s="674">
        <f t="shared" si="753"/>
        <v>0</v>
      </c>
      <c r="BL886" s="680">
        <f t="shared" si="754"/>
        <v>0</v>
      </c>
      <c r="BM886" s="681">
        <f t="shared" si="771"/>
        <v>0</v>
      </c>
      <c r="BN886" s="681">
        <f t="shared" si="755"/>
        <v>0</v>
      </c>
      <c r="BO886" s="681">
        <f t="shared" si="756"/>
        <v>0</v>
      </c>
      <c r="BP886" s="681">
        <f t="shared" si="757"/>
        <v>0</v>
      </c>
      <c r="BQ886" s="681">
        <f t="shared" si="758"/>
        <v>0</v>
      </c>
      <c r="BR886" s="680">
        <f t="shared" si="769"/>
        <v>0</v>
      </c>
      <c r="BS886" s="682">
        <f t="shared" si="759"/>
        <v>0</v>
      </c>
      <c r="BT886" s="680">
        <f t="shared" si="772"/>
        <v>0</v>
      </c>
      <c r="BU886" s="682">
        <f t="shared" si="760"/>
        <v>0</v>
      </c>
      <c r="BV886" s="78"/>
      <c r="BW886" s="680">
        <f t="shared" si="773"/>
        <v>0</v>
      </c>
      <c r="BX886" s="682">
        <f t="shared" si="774"/>
        <v>0</v>
      </c>
      <c r="BY886" s="682">
        <f t="shared" si="761"/>
        <v>0</v>
      </c>
      <c r="BZ886" s="682">
        <f t="shared" si="762"/>
        <v>0</v>
      </c>
      <c r="CA886" s="682">
        <f t="shared" si="763"/>
        <v>0</v>
      </c>
      <c r="CB886" s="674">
        <f t="shared" si="770"/>
        <v>0</v>
      </c>
      <c r="CC886" s="681">
        <f t="shared" si="775"/>
        <v>0</v>
      </c>
      <c r="CD886" s="681">
        <f t="shared" si="764"/>
        <v>0</v>
      </c>
      <c r="CE886" s="78"/>
      <c r="CF886" s="683">
        <f t="shared" si="765"/>
        <v>0</v>
      </c>
      <c r="CG886" s="683">
        <f t="shared" si="766"/>
        <v>0</v>
      </c>
      <c r="CH886" s="683">
        <f t="shared" si="776"/>
        <v>0</v>
      </c>
      <c r="CI886" s="78"/>
      <c r="CJ886" s="680" t="str">
        <f t="shared" si="767"/>
        <v/>
      </c>
      <c r="CK886" s="78"/>
    </row>
    <row r="887" spans="56:89">
      <c r="BD887" s="1878"/>
      <c r="BE887" s="78">
        <v>8</v>
      </c>
      <c r="BF887" s="106">
        <f>ROW()</f>
        <v>887</v>
      </c>
      <c r="BG887" s="38" t="str">
        <f t="shared" si="768"/>
        <v/>
      </c>
      <c r="BH887" s="106">
        <v>4</v>
      </c>
      <c r="BI887" s="674" t="s">
        <v>215</v>
      </c>
      <c r="BJ887" s="679" t="s">
        <v>249</v>
      </c>
      <c r="BK887" s="674">
        <f t="shared" si="753"/>
        <v>0</v>
      </c>
      <c r="BL887" s="680">
        <f t="shared" si="754"/>
        <v>0</v>
      </c>
      <c r="BM887" s="681">
        <f t="shared" si="771"/>
        <v>0</v>
      </c>
      <c r="BN887" s="681">
        <f t="shared" si="755"/>
        <v>0</v>
      </c>
      <c r="BO887" s="681">
        <f t="shared" si="756"/>
        <v>0</v>
      </c>
      <c r="BP887" s="681">
        <f t="shared" si="757"/>
        <v>0</v>
      </c>
      <c r="BQ887" s="681">
        <f t="shared" si="758"/>
        <v>0</v>
      </c>
      <c r="BR887" s="680">
        <f t="shared" si="769"/>
        <v>0</v>
      </c>
      <c r="BS887" s="682">
        <f t="shared" si="759"/>
        <v>0</v>
      </c>
      <c r="BT887" s="680">
        <f t="shared" si="772"/>
        <v>0</v>
      </c>
      <c r="BU887" s="682">
        <f t="shared" si="760"/>
        <v>0</v>
      </c>
      <c r="BV887" s="78"/>
      <c r="BW887" s="680">
        <f t="shared" si="773"/>
        <v>0</v>
      </c>
      <c r="BX887" s="682">
        <f t="shared" si="774"/>
        <v>0</v>
      </c>
      <c r="BY887" s="682">
        <f t="shared" si="761"/>
        <v>0</v>
      </c>
      <c r="BZ887" s="682">
        <f t="shared" si="762"/>
        <v>0</v>
      </c>
      <c r="CA887" s="682">
        <f t="shared" si="763"/>
        <v>0</v>
      </c>
      <c r="CB887" s="674">
        <f t="shared" si="770"/>
        <v>0</v>
      </c>
      <c r="CC887" s="681">
        <f t="shared" si="775"/>
        <v>0</v>
      </c>
      <c r="CD887" s="681">
        <f t="shared" si="764"/>
        <v>0</v>
      </c>
      <c r="CE887" s="78"/>
      <c r="CF887" s="683">
        <f t="shared" si="765"/>
        <v>0</v>
      </c>
      <c r="CG887" s="683">
        <f t="shared" si="766"/>
        <v>0</v>
      </c>
      <c r="CH887" s="683">
        <f t="shared" si="776"/>
        <v>0</v>
      </c>
      <c r="CI887" s="78"/>
      <c r="CJ887" s="680" t="str">
        <f t="shared" si="767"/>
        <v/>
      </c>
      <c r="CK887" s="78"/>
    </row>
    <row r="888" spans="56:89">
      <c r="BD888" s="1878"/>
      <c r="BE888" s="78">
        <v>9</v>
      </c>
      <c r="BF888" s="106">
        <f>ROW()</f>
        <v>888</v>
      </c>
      <c r="BG888" s="38" t="str">
        <f t="shared" si="768"/>
        <v/>
      </c>
      <c r="BH888" s="106">
        <v>5</v>
      </c>
      <c r="BI888" s="674" t="s">
        <v>237</v>
      </c>
      <c r="BJ888" s="679" t="s">
        <v>452</v>
      </c>
      <c r="BK888" s="674">
        <f t="shared" si="753"/>
        <v>0</v>
      </c>
      <c r="BL888" s="680">
        <f t="shared" si="754"/>
        <v>0</v>
      </c>
      <c r="BM888" s="681">
        <f t="shared" si="771"/>
        <v>0</v>
      </c>
      <c r="BN888" s="681">
        <f t="shared" si="755"/>
        <v>0</v>
      </c>
      <c r="BO888" s="681">
        <f t="shared" si="756"/>
        <v>0</v>
      </c>
      <c r="BP888" s="681">
        <f t="shared" si="757"/>
        <v>0</v>
      </c>
      <c r="BQ888" s="681">
        <f t="shared" si="758"/>
        <v>0</v>
      </c>
      <c r="BR888" s="680">
        <f t="shared" si="769"/>
        <v>0</v>
      </c>
      <c r="BS888" s="682">
        <f t="shared" si="759"/>
        <v>0</v>
      </c>
      <c r="BT888" s="680">
        <f t="shared" si="772"/>
        <v>0</v>
      </c>
      <c r="BU888" s="682">
        <f t="shared" si="760"/>
        <v>0</v>
      </c>
      <c r="BV888" s="78"/>
      <c r="BW888" s="680">
        <f t="shared" si="773"/>
        <v>0</v>
      </c>
      <c r="BX888" s="682">
        <f t="shared" si="774"/>
        <v>0</v>
      </c>
      <c r="BY888" s="682">
        <f t="shared" si="761"/>
        <v>0</v>
      </c>
      <c r="BZ888" s="682">
        <f t="shared" si="762"/>
        <v>0</v>
      </c>
      <c r="CA888" s="682">
        <f t="shared" si="763"/>
        <v>0</v>
      </c>
      <c r="CB888" s="674">
        <f t="shared" si="770"/>
        <v>0</v>
      </c>
      <c r="CC888" s="681">
        <f t="shared" si="775"/>
        <v>0</v>
      </c>
      <c r="CD888" s="681">
        <f t="shared" si="764"/>
        <v>0</v>
      </c>
      <c r="CE888" s="78"/>
      <c r="CF888" s="683">
        <f t="shared" si="765"/>
        <v>0</v>
      </c>
      <c r="CG888" s="683">
        <f t="shared" si="766"/>
        <v>0</v>
      </c>
      <c r="CH888" s="683">
        <f t="shared" si="776"/>
        <v>0</v>
      </c>
      <c r="CI888" s="78"/>
      <c r="CJ888" s="680" t="str">
        <f t="shared" si="767"/>
        <v/>
      </c>
      <c r="CK888" s="78"/>
    </row>
    <row r="889" spans="56:89">
      <c r="BD889" s="1878"/>
      <c r="BE889" s="78">
        <v>10</v>
      </c>
      <c r="BF889" s="106">
        <f>ROW()</f>
        <v>889</v>
      </c>
      <c r="BG889" s="38" t="str">
        <f t="shared" si="768"/>
        <v/>
      </c>
      <c r="BH889" s="106">
        <v>5</v>
      </c>
      <c r="BI889" s="674" t="s">
        <v>215</v>
      </c>
      <c r="BJ889" s="679" t="s">
        <v>452</v>
      </c>
      <c r="BK889" s="674">
        <f t="shared" si="753"/>
        <v>0</v>
      </c>
      <c r="BL889" s="680">
        <f t="shared" si="754"/>
        <v>0</v>
      </c>
      <c r="BM889" s="681">
        <f t="shared" si="771"/>
        <v>0</v>
      </c>
      <c r="BN889" s="681">
        <f t="shared" si="755"/>
        <v>0</v>
      </c>
      <c r="BO889" s="681">
        <f t="shared" si="756"/>
        <v>0</v>
      </c>
      <c r="BP889" s="681">
        <f t="shared" si="757"/>
        <v>0</v>
      </c>
      <c r="BQ889" s="681">
        <f t="shared" si="758"/>
        <v>0</v>
      </c>
      <c r="BR889" s="680">
        <f t="shared" si="769"/>
        <v>0</v>
      </c>
      <c r="BS889" s="682">
        <f t="shared" si="759"/>
        <v>0</v>
      </c>
      <c r="BT889" s="680">
        <f t="shared" si="772"/>
        <v>0</v>
      </c>
      <c r="BU889" s="682">
        <f t="shared" si="760"/>
        <v>0</v>
      </c>
      <c r="BV889" s="78"/>
      <c r="BW889" s="680">
        <f t="shared" si="773"/>
        <v>0</v>
      </c>
      <c r="BX889" s="682">
        <f t="shared" si="774"/>
        <v>0</v>
      </c>
      <c r="BY889" s="682">
        <f t="shared" si="761"/>
        <v>0</v>
      </c>
      <c r="BZ889" s="682">
        <f t="shared" si="762"/>
        <v>0</v>
      </c>
      <c r="CA889" s="682">
        <f t="shared" si="763"/>
        <v>0</v>
      </c>
      <c r="CB889" s="674">
        <f t="shared" si="770"/>
        <v>0</v>
      </c>
      <c r="CC889" s="681">
        <f t="shared" si="775"/>
        <v>0</v>
      </c>
      <c r="CD889" s="681">
        <f t="shared" si="764"/>
        <v>0</v>
      </c>
      <c r="CE889" s="78"/>
      <c r="CF889" s="683">
        <f t="shared" si="765"/>
        <v>0</v>
      </c>
      <c r="CG889" s="683">
        <f t="shared" si="766"/>
        <v>0</v>
      </c>
      <c r="CH889" s="683">
        <f t="shared" si="776"/>
        <v>0</v>
      </c>
      <c r="CI889" s="78"/>
      <c r="CJ889" s="680" t="str">
        <f t="shared" si="767"/>
        <v/>
      </c>
      <c r="CK889" s="78"/>
    </row>
    <row r="890" spans="56:89">
      <c r="BD890" s="1878"/>
      <c r="BE890" s="78">
        <v>11</v>
      </c>
      <c r="BF890" s="106">
        <f>ROW()</f>
        <v>890</v>
      </c>
      <c r="BG890" s="38" t="str">
        <f t="shared" si="768"/>
        <v/>
      </c>
      <c r="BH890" s="106">
        <v>6</v>
      </c>
      <c r="BI890" s="674" t="s">
        <v>237</v>
      </c>
      <c r="BJ890" s="679" t="s">
        <v>453</v>
      </c>
      <c r="BK890" s="674">
        <f t="shared" si="753"/>
        <v>0</v>
      </c>
      <c r="BL890" s="680">
        <f t="shared" si="754"/>
        <v>0</v>
      </c>
      <c r="BM890" s="681">
        <f t="shared" si="771"/>
        <v>0</v>
      </c>
      <c r="BN890" s="681">
        <f t="shared" si="755"/>
        <v>0</v>
      </c>
      <c r="BO890" s="681">
        <f t="shared" si="756"/>
        <v>0</v>
      </c>
      <c r="BP890" s="681">
        <f t="shared" si="757"/>
        <v>0</v>
      </c>
      <c r="BQ890" s="681">
        <f t="shared" si="758"/>
        <v>0</v>
      </c>
      <c r="BR890" s="680">
        <f t="shared" si="769"/>
        <v>0</v>
      </c>
      <c r="BS890" s="682">
        <f t="shared" si="759"/>
        <v>0</v>
      </c>
      <c r="BT890" s="680">
        <f t="shared" si="772"/>
        <v>0</v>
      </c>
      <c r="BU890" s="682">
        <f t="shared" si="760"/>
        <v>0</v>
      </c>
      <c r="BV890" s="78"/>
      <c r="BW890" s="680">
        <f t="shared" si="773"/>
        <v>0</v>
      </c>
      <c r="BX890" s="682">
        <f t="shared" si="774"/>
        <v>0</v>
      </c>
      <c r="BY890" s="682">
        <f t="shared" si="761"/>
        <v>0</v>
      </c>
      <c r="BZ890" s="682">
        <f t="shared" si="762"/>
        <v>0</v>
      </c>
      <c r="CA890" s="682">
        <f t="shared" si="763"/>
        <v>0</v>
      </c>
      <c r="CB890" s="674">
        <f t="shared" si="770"/>
        <v>0</v>
      </c>
      <c r="CC890" s="681">
        <f t="shared" si="775"/>
        <v>0</v>
      </c>
      <c r="CD890" s="681">
        <f t="shared" si="764"/>
        <v>0</v>
      </c>
      <c r="CE890" s="78"/>
      <c r="CF890" s="683">
        <f t="shared" si="765"/>
        <v>0</v>
      </c>
      <c r="CG890" s="683">
        <f t="shared" si="766"/>
        <v>0</v>
      </c>
      <c r="CH890" s="683">
        <f t="shared" si="776"/>
        <v>0</v>
      </c>
      <c r="CI890" s="78"/>
      <c r="CJ890" s="680" t="str">
        <f t="shared" si="767"/>
        <v/>
      </c>
      <c r="CK890" s="78"/>
    </row>
    <row r="891" spans="56:89">
      <c r="BD891" s="1878"/>
      <c r="BE891" s="78">
        <v>12</v>
      </c>
      <c r="BF891" s="106">
        <f>ROW()</f>
        <v>891</v>
      </c>
      <c r="BG891" s="38" t="str">
        <f t="shared" si="768"/>
        <v/>
      </c>
      <c r="BH891" s="106">
        <v>6</v>
      </c>
      <c r="BI891" s="674" t="s">
        <v>215</v>
      </c>
      <c r="BJ891" s="679" t="s">
        <v>453</v>
      </c>
      <c r="BK891" s="674">
        <f t="shared" si="753"/>
        <v>0</v>
      </c>
      <c r="BL891" s="680">
        <f t="shared" si="754"/>
        <v>0</v>
      </c>
      <c r="BM891" s="681">
        <f t="shared" si="771"/>
        <v>0</v>
      </c>
      <c r="BN891" s="681">
        <f t="shared" si="755"/>
        <v>0</v>
      </c>
      <c r="BO891" s="681">
        <f t="shared" si="756"/>
        <v>0</v>
      </c>
      <c r="BP891" s="681">
        <f t="shared" si="757"/>
        <v>0</v>
      </c>
      <c r="BQ891" s="681">
        <f t="shared" si="758"/>
        <v>0</v>
      </c>
      <c r="BR891" s="680">
        <f t="shared" si="769"/>
        <v>0</v>
      </c>
      <c r="BS891" s="682">
        <f t="shared" si="759"/>
        <v>0</v>
      </c>
      <c r="BT891" s="680">
        <f t="shared" si="772"/>
        <v>0</v>
      </c>
      <c r="BU891" s="682">
        <f t="shared" si="760"/>
        <v>0</v>
      </c>
      <c r="BV891" s="78"/>
      <c r="BW891" s="680">
        <f t="shared" si="773"/>
        <v>0</v>
      </c>
      <c r="BX891" s="682">
        <f t="shared" si="774"/>
        <v>0</v>
      </c>
      <c r="BY891" s="682">
        <f t="shared" si="761"/>
        <v>0</v>
      </c>
      <c r="BZ891" s="682">
        <f t="shared" si="762"/>
        <v>0</v>
      </c>
      <c r="CA891" s="682">
        <f t="shared" si="763"/>
        <v>0</v>
      </c>
      <c r="CB891" s="674">
        <f t="shared" si="770"/>
        <v>0</v>
      </c>
      <c r="CC891" s="681">
        <f t="shared" si="775"/>
        <v>0</v>
      </c>
      <c r="CD891" s="681">
        <f t="shared" si="764"/>
        <v>0</v>
      </c>
      <c r="CE891" s="78"/>
      <c r="CF891" s="683">
        <f t="shared" si="765"/>
        <v>0</v>
      </c>
      <c r="CG891" s="683">
        <f t="shared" si="766"/>
        <v>0</v>
      </c>
      <c r="CH891" s="683">
        <f t="shared" si="776"/>
        <v>0</v>
      </c>
      <c r="CI891" s="78"/>
      <c r="CJ891" s="680" t="str">
        <f t="shared" si="767"/>
        <v/>
      </c>
      <c r="CK891" s="78"/>
    </row>
    <row r="892" spans="56:89">
      <c r="BD892" s="1878"/>
      <c r="BE892" s="78">
        <v>13</v>
      </c>
      <c r="BF892" s="106">
        <f>ROW()</f>
        <v>892</v>
      </c>
      <c r="BG892" s="38" t="str">
        <f t="shared" si="768"/>
        <v/>
      </c>
      <c r="BH892" s="106">
        <v>7</v>
      </c>
      <c r="BI892" s="674" t="s">
        <v>237</v>
      </c>
      <c r="BJ892" s="679" t="s">
        <v>454</v>
      </c>
      <c r="BK892" s="674">
        <f t="shared" si="753"/>
        <v>0</v>
      </c>
      <c r="BL892" s="680">
        <f t="shared" si="754"/>
        <v>0</v>
      </c>
      <c r="BM892" s="681">
        <f t="shared" si="771"/>
        <v>0</v>
      </c>
      <c r="BN892" s="681">
        <f t="shared" si="755"/>
        <v>0</v>
      </c>
      <c r="BO892" s="681">
        <f t="shared" si="756"/>
        <v>0</v>
      </c>
      <c r="BP892" s="681">
        <f t="shared" si="757"/>
        <v>0</v>
      </c>
      <c r="BQ892" s="681">
        <f t="shared" si="758"/>
        <v>0</v>
      </c>
      <c r="BR892" s="680">
        <f t="shared" si="769"/>
        <v>0</v>
      </c>
      <c r="BS892" s="682">
        <f t="shared" si="759"/>
        <v>0</v>
      </c>
      <c r="BT892" s="680">
        <f t="shared" si="772"/>
        <v>0</v>
      </c>
      <c r="BU892" s="682">
        <f t="shared" si="760"/>
        <v>0</v>
      </c>
      <c r="BV892" s="78"/>
      <c r="BW892" s="680">
        <f t="shared" si="773"/>
        <v>0</v>
      </c>
      <c r="BX892" s="682">
        <f t="shared" si="774"/>
        <v>0</v>
      </c>
      <c r="BY892" s="682">
        <f t="shared" si="761"/>
        <v>0</v>
      </c>
      <c r="BZ892" s="682">
        <f t="shared" si="762"/>
        <v>0</v>
      </c>
      <c r="CA892" s="682">
        <f t="shared" si="763"/>
        <v>0</v>
      </c>
      <c r="CB892" s="674">
        <f t="shared" si="770"/>
        <v>0</v>
      </c>
      <c r="CC892" s="681">
        <f t="shared" si="775"/>
        <v>0</v>
      </c>
      <c r="CD892" s="681">
        <f t="shared" si="764"/>
        <v>0</v>
      </c>
      <c r="CE892" s="78"/>
      <c r="CF892" s="683">
        <f t="shared" si="765"/>
        <v>0</v>
      </c>
      <c r="CG892" s="683">
        <f t="shared" si="766"/>
        <v>0</v>
      </c>
      <c r="CH892" s="683">
        <f t="shared" si="776"/>
        <v>0</v>
      </c>
      <c r="CI892" s="78"/>
      <c r="CJ892" s="680" t="str">
        <f t="shared" si="767"/>
        <v/>
      </c>
      <c r="CK892" s="78"/>
    </row>
    <row r="893" spans="56:89">
      <c r="BD893" s="1878"/>
      <c r="BE893" s="78">
        <v>14</v>
      </c>
      <c r="BF893" s="106">
        <f>ROW()</f>
        <v>893</v>
      </c>
      <c r="BG893" s="38" t="str">
        <f t="shared" si="768"/>
        <v/>
      </c>
      <c r="BH893" s="106">
        <v>7</v>
      </c>
      <c r="BI893" s="674" t="s">
        <v>215</v>
      </c>
      <c r="BJ893" s="679" t="s">
        <v>454</v>
      </c>
      <c r="BK893" s="674">
        <f t="shared" si="753"/>
        <v>0</v>
      </c>
      <c r="BL893" s="680">
        <f t="shared" si="754"/>
        <v>0</v>
      </c>
      <c r="BM893" s="681">
        <f t="shared" si="771"/>
        <v>0</v>
      </c>
      <c r="BN893" s="681">
        <f t="shared" si="755"/>
        <v>0</v>
      </c>
      <c r="BO893" s="681">
        <f t="shared" si="756"/>
        <v>0</v>
      </c>
      <c r="BP893" s="681">
        <f t="shared" si="757"/>
        <v>0</v>
      </c>
      <c r="BQ893" s="681">
        <f t="shared" si="758"/>
        <v>0</v>
      </c>
      <c r="BR893" s="680">
        <f t="shared" si="769"/>
        <v>0</v>
      </c>
      <c r="BS893" s="682">
        <f t="shared" si="759"/>
        <v>0</v>
      </c>
      <c r="BT893" s="680">
        <f t="shared" si="772"/>
        <v>0</v>
      </c>
      <c r="BU893" s="682">
        <f t="shared" si="760"/>
        <v>0</v>
      </c>
      <c r="BV893" s="78"/>
      <c r="BW893" s="680">
        <f t="shared" si="773"/>
        <v>0</v>
      </c>
      <c r="BX893" s="682">
        <f t="shared" si="774"/>
        <v>0</v>
      </c>
      <c r="BY893" s="682">
        <f t="shared" si="761"/>
        <v>0</v>
      </c>
      <c r="BZ893" s="682">
        <f t="shared" si="762"/>
        <v>0</v>
      </c>
      <c r="CA893" s="682">
        <f t="shared" si="763"/>
        <v>0</v>
      </c>
      <c r="CB893" s="674">
        <f t="shared" si="770"/>
        <v>0</v>
      </c>
      <c r="CC893" s="681">
        <f t="shared" si="775"/>
        <v>0</v>
      </c>
      <c r="CD893" s="681">
        <f t="shared" si="764"/>
        <v>0</v>
      </c>
      <c r="CE893" s="78"/>
      <c r="CF893" s="683">
        <f t="shared" si="765"/>
        <v>0</v>
      </c>
      <c r="CG893" s="683">
        <f t="shared" si="766"/>
        <v>0</v>
      </c>
      <c r="CH893" s="683">
        <f t="shared" si="776"/>
        <v>0</v>
      </c>
      <c r="CI893" s="78"/>
      <c r="CJ893" s="680" t="str">
        <f t="shared" si="767"/>
        <v/>
      </c>
      <c r="CK893" s="78"/>
    </row>
    <row r="894" spans="56:89">
      <c r="BD894" s="1878"/>
      <c r="BE894" s="78">
        <v>15</v>
      </c>
      <c r="BF894" s="106">
        <f>ROW()</f>
        <v>894</v>
      </c>
      <c r="BG894" s="38" t="str">
        <f t="shared" si="768"/>
        <v/>
      </c>
      <c r="BH894" s="106">
        <v>8</v>
      </c>
      <c r="BI894" s="674" t="s">
        <v>237</v>
      </c>
      <c r="BJ894" s="679" t="s">
        <v>455</v>
      </c>
      <c r="BK894" s="674">
        <f t="shared" si="753"/>
        <v>0</v>
      </c>
      <c r="BL894" s="680">
        <f t="shared" si="754"/>
        <v>0</v>
      </c>
      <c r="BM894" s="681">
        <f t="shared" si="771"/>
        <v>0</v>
      </c>
      <c r="BN894" s="681">
        <f t="shared" si="755"/>
        <v>0</v>
      </c>
      <c r="BO894" s="681">
        <f t="shared" si="756"/>
        <v>0</v>
      </c>
      <c r="BP894" s="681">
        <f t="shared" si="757"/>
        <v>0</v>
      </c>
      <c r="BQ894" s="681">
        <f t="shared" si="758"/>
        <v>0</v>
      </c>
      <c r="BR894" s="680">
        <f t="shared" si="769"/>
        <v>0</v>
      </c>
      <c r="BS894" s="682">
        <f t="shared" si="759"/>
        <v>0</v>
      </c>
      <c r="BT894" s="680">
        <f t="shared" si="772"/>
        <v>0</v>
      </c>
      <c r="BU894" s="682">
        <f t="shared" si="760"/>
        <v>0</v>
      </c>
      <c r="BV894" s="78"/>
      <c r="BW894" s="680">
        <f t="shared" si="773"/>
        <v>0</v>
      </c>
      <c r="BX894" s="682">
        <f t="shared" si="774"/>
        <v>0</v>
      </c>
      <c r="BY894" s="682">
        <f t="shared" si="761"/>
        <v>0</v>
      </c>
      <c r="BZ894" s="682">
        <f t="shared" si="762"/>
        <v>0</v>
      </c>
      <c r="CA894" s="682">
        <f t="shared" si="763"/>
        <v>0</v>
      </c>
      <c r="CB894" s="674">
        <f t="shared" si="770"/>
        <v>0</v>
      </c>
      <c r="CC894" s="681">
        <f t="shared" si="775"/>
        <v>0</v>
      </c>
      <c r="CD894" s="681">
        <f t="shared" si="764"/>
        <v>0</v>
      </c>
      <c r="CE894" s="78"/>
      <c r="CF894" s="683">
        <f t="shared" si="765"/>
        <v>0</v>
      </c>
      <c r="CG894" s="683">
        <f t="shared" si="766"/>
        <v>0</v>
      </c>
      <c r="CH894" s="683">
        <f t="shared" si="776"/>
        <v>0</v>
      </c>
      <c r="CI894" s="78"/>
      <c r="CJ894" s="680" t="str">
        <f t="shared" si="767"/>
        <v/>
      </c>
      <c r="CK894" s="78"/>
    </row>
    <row r="895" spans="56:89">
      <c r="BD895" s="1878"/>
      <c r="BE895" s="78">
        <v>16</v>
      </c>
      <c r="BF895" s="106">
        <f>ROW()</f>
        <v>895</v>
      </c>
      <c r="BG895" s="38" t="str">
        <f t="shared" si="768"/>
        <v/>
      </c>
      <c r="BH895" s="106">
        <v>8</v>
      </c>
      <c r="BI895" s="674" t="s">
        <v>215</v>
      </c>
      <c r="BJ895" s="679" t="s">
        <v>455</v>
      </c>
      <c r="BK895" s="674">
        <f t="shared" si="753"/>
        <v>0</v>
      </c>
      <c r="BL895" s="680">
        <f t="shared" si="754"/>
        <v>0</v>
      </c>
      <c r="BM895" s="681">
        <f t="shared" si="771"/>
        <v>0</v>
      </c>
      <c r="BN895" s="681">
        <f t="shared" si="755"/>
        <v>0</v>
      </c>
      <c r="BO895" s="681">
        <f t="shared" si="756"/>
        <v>0</v>
      </c>
      <c r="BP895" s="681">
        <f t="shared" si="757"/>
        <v>0</v>
      </c>
      <c r="BQ895" s="681">
        <f t="shared" si="758"/>
        <v>0</v>
      </c>
      <c r="BR895" s="680">
        <f t="shared" si="769"/>
        <v>0</v>
      </c>
      <c r="BS895" s="682">
        <f t="shared" si="759"/>
        <v>0</v>
      </c>
      <c r="BT895" s="680">
        <f t="shared" si="772"/>
        <v>0</v>
      </c>
      <c r="BU895" s="682">
        <f t="shared" si="760"/>
        <v>0</v>
      </c>
      <c r="BV895" s="78"/>
      <c r="BW895" s="680">
        <f t="shared" si="773"/>
        <v>0</v>
      </c>
      <c r="BX895" s="682">
        <f t="shared" si="774"/>
        <v>0</v>
      </c>
      <c r="BY895" s="682">
        <f t="shared" si="761"/>
        <v>0</v>
      </c>
      <c r="BZ895" s="682">
        <f t="shared" si="762"/>
        <v>0</v>
      </c>
      <c r="CA895" s="682">
        <f t="shared" si="763"/>
        <v>0</v>
      </c>
      <c r="CB895" s="674">
        <f t="shared" si="770"/>
        <v>0</v>
      </c>
      <c r="CC895" s="681">
        <f t="shared" si="775"/>
        <v>0</v>
      </c>
      <c r="CD895" s="681">
        <f t="shared" si="764"/>
        <v>0</v>
      </c>
      <c r="CE895" s="78"/>
      <c r="CF895" s="683">
        <f t="shared" si="765"/>
        <v>0</v>
      </c>
      <c r="CG895" s="683">
        <f t="shared" si="766"/>
        <v>0</v>
      </c>
      <c r="CH895" s="683">
        <f t="shared" ref="CH895:CH904" si="777">CF895-CG895</f>
        <v>0</v>
      </c>
      <c r="CI895" s="78"/>
      <c r="CJ895" s="680" t="str">
        <f t="shared" si="767"/>
        <v/>
      </c>
      <c r="CK895" s="78"/>
    </row>
    <row r="896" spans="56:89">
      <c r="BD896" s="1878"/>
      <c r="BE896" s="78">
        <v>17</v>
      </c>
      <c r="BF896" s="106">
        <f>ROW()</f>
        <v>896</v>
      </c>
      <c r="BG896" s="38" t="str">
        <f t="shared" si="768"/>
        <v/>
      </c>
      <c r="BH896" s="106">
        <v>10</v>
      </c>
      <c r="BI896" s="674" t="s">
        <v>215</v>
      </c>
      <c r="BJ896" s="679" t="s">
        <v>225</v>
      </c>
      <c r="BK896" s="674">
        <f t="shared" si="753"/>
        <v>0</v>
      </c>
      <c r="BL896" s="680">
        <f t="shared" si="754"/>
        <v>0</v>
      </c>
      <c r="BM896" s="681">
        <f t="shared" si="771"/>
        <v>0</v>
      </c>
      <c r="BN896" s="681">
        <f t="shared" si="755"/>
        <v>0</v>
      </c>
      <c r="BO896" s="681">
        <f t="shared" si="756"/>
        <v>0</v>
      </c>
      <c r="BP896" s="681">
        <f t="shared" si="757"/>
        <v>0</v>
      </c>
      <c r="BQ896" s="681">
        <f t="shared" si="758"/>
        <v>0</v>
      </c>
      <c r="BR896" s="680">
        <f t="shared" si="769"/>
        <v>0</v>
      </c>
      <c r="BS896" s="682">
        <f t="shared" si="759"/>
        <v>0</v>
      </c>
      <c r="BT896" s="680">
        <f t="shared" si="772"/>
        <v>0</v>
      </c>
      <c r="BU896" s="682">
        <f t="shared" si="760"/>
        <v>0</v>
      </c>
      <c r="BV896" s="78"/>
      <c r="BW896" s="680">
        <f t="shared" si="773"/>
        <v>0</v>
      </c>
      <c r="BX896" s="682">
        <f t="shared" si="774"/>
        <v>0</v>
      </c>
      <c r="BY896" s="682">
        <f t="shared" si="761"/>
        <v>0</v>
      </c>
      <c r="BZ896" s="682">
        <f t="shared" si="762"/>
        <v>0</v>
      </c>
      <c r="CA896" s="682">
        <f t="shared" si="763"/>
        <v>0</v>
      </c>
      <c r="CB896" s="674">
        <f t="shared" si="770"/>
        <v>0</v>
      </c>
      <c r="CC896" s="681">
        <f t="shared" si="775"/>
        <v>0</v>
      </c>
      <c r="CD896" s="681">
        <f t="shared" si="764"/>
        <v>0</v>
      </c>
      <c r="CE896" s="78"/>
      <c r="CF896" s="683">
        <f t="shared" si="765"/>
        <v>0</v>
      </c>
      <c r="CG896" s="683">
        <f t="shared" si="766"/>
        <v>0</v>
      </c>
      <c r="CH896" s="683">
        <f t="shared" si="777"/>
        <v>0</v>
      </c>
      <c r="CI896" s="78"/>
      <c r="CJ896" s="680" t="str">
        <f t="shared" si="767"/>
        <v/>
      </c>
      <c r="CK896" s="78"/>
    </row>
    <row r="897" spans="56:89">
      <c r="BD897" s="1878"/>
      <c r="BE897" s="78">
        <v>18</v>
      </c>
      <c r="BF897" s="106">
        <f>ROW()</f>
        <v>897</v>
      </c>
      <c r="BG897" s="38" t="str">
        <f t="shared" si="768"/>
        <v/>
      </c>
      <c r="BH897" s="106">
        <v>11</v>
      </c>
      <c r="BI897" s="674" t="s">
        <v>237</v>
      </c>
      <c r="BJ897" s="679" t="s">
        <v>226</v>
      </c>
      <c r="BK897" s="674">
        <f t="shared" si="753"/>
        <v>0</v>
      </c>
      <c r="BL897" s="680">
        <f t="shared" si="754"/>
        <v>0</v>
      </c>
      <c r="BM897" s="681">
        <f t="shared" si="771"/>
        <v>0</v>
      </c>
      <c r="BN897" s="681">
        <f t="shared" si="755"/>
        <v>0</v>
      </c>
      <c r="BO897" s="681">
        <f t="shared" si="756"/>
        <v>0</v>
      </c>
      <c r="BP897" s="681">
        <f t="shared" si="757"/>
        <v>0</v>
      </c>
      <c r="BQ897" s="681">
        <f t="shared" si="758"/>
        <v>0</v>
      </c>
      <c r="BR897" s="680">
        <f t="shared" si="769"/>
        <v>0</v>
      </c>
      <c r="BS897" s="682">
        <f t="shared" si="759"/>
        <v>0</v>
      </c>
      <c r="BT897" s="680">
        <f t="shared" si="772"/>
        <v>0</v>
      </c>
      <c r="BU897" s="682">
        <f t="shared" si="760"/>
        <v>0</v>
      </c>
      <c r="BV897" s="78"/>
      <c r="BW897" s="680">
        <f t="shared" si="773"/>
        <v>0</v>
      </c>
      <c r="BX897" s="682">
        <f t="shared" si="774"/>
        <v>0</v>
      </c>
      <c r="BY897" s="682">
        <f t="shared" si="761"/>
        <v>0</v>
      </c>
      <c r="BZ897" s="682">
        <f t="shared" si="762"/>
        <v>0</v>
      </c>
      <c r="CA897" s="682">
        <f t="shared" si="763"/>
        <v>0</v>
      </c>
      <c r="CB897" s="674">
        <f t="shared" si="770"/>
        <v>0</v>
      </c>
      <c r="CC897" s="681">
        <f t="shared" si="775"/>
        <v>0</v>
      </c>
      <c r="CD897" s="681">
        <f t="shared" si="764"/>
        <v>0</v>
      </c>
      <c r="CE897" s="78"/>
      <c r="CF897" s="683">
        <f t="shared" si="765"/>
        <v>0</v>
      </c>
      <c r="CG897" s="683">
        <f t="shared" si="766"/>
        <v>0</v>
      </c>
      <c r="CH897" s="683">
        <f t="shared" si="777"/>
        <v>0</v>
      </c>
      <c r="CI897" s="78"/>
      <c r="CJ897" s="680" t="str">
        <f t="shared" si="767"/>
        <v/>
      </c>
      <c r="CK897" s="78"/>
    </row>
    <row r="898" spans="56:89">
      <c r="BD898" s="1878"/>
      <c r="BE898" s="78">
        <v>19</v>
      </c>
      <c r="BF898" s="106">
        <f>ROW()</f>
        <v>898</v>
      </c>
      <c r="BG898" s="38" t="str">
        <f t="shared" si="768"/>
        <v/>
      </c>
      <c r="BH898" s="106">
        <v>11</v>
      </c>
      <c r="BI898" s="674" t="s">
        <v>215</v>
      </c>
      <c r="BJ898" s="679" t="s">
        <v>226</v>
      </c>
      <c r="BK898" s="674">
        <f t="shared" si="753"/>
        <v>0</v>
      </c>
      <c r="BL898" s="680">
        <f t="shared" si="754"/>
        <v>0</v>
      </c>
      <c r="BM898" s="681">
        <f t="shared" si="771"/>
        <v>0</v>
      </c>
      <c r="BN898" s="681">
        <f t="shared" si="755"/>
        <v>0</v>
      </c>
      <c r="BO898" s="681">
        <f t="shared" si="756"/>
        <v>0</v>
      </c>
      <c r="BP898" s="681">
        <f t="shared" si="757"/>
        <v>0</v>
      </c>
      <c r="BQ898" s="681">
        <f t="shared" si="758"/>
        <v>0</v>
      </c>
      <c r="BR898" s="680">
        <f t="shared" si="769"/>
        <v>0</v>
      </c>
      <c r="BS898" s="682">
        <f t="shared" si="759"/>
        <v>0</v>
      </c>
      <c r="BT898" s="680">
        <f t="shared" si="772"/>
        <v>0</v>
      </c>
      <c r="BU898" s="682">
        <f t="shared" si="760"/>
        <v>0</v>
      </c>
      <c r="BV898" s="78"/>
      <c r="BW898" s="680">
        <f t="shared" si="773"/>
        <v>0</v>
      </c>
      <c r="BX898" s="682">
        <f t="shared" si="774"/>
        <v>0</v>
      </c>
      <c r="BY898" s="682">
        <f t="shared" si="761"/>
        <v>0</v>
      </c>
      <c r="BZ898" s="682">
        <f t="shared" si="762"/>
        <v>0</v>
      </c>
      <c r="CA898" s="682">
        <f t="shared" si="763"/>
        <v>0</v>
      </c>
      <c r="CB898" s="674">
        <f t="shared" si="770"/>
        <v>0</v>
      </c>
      <c r="CC898" s="681">
        <f t="shared" si="775"/>
        <v>0</v>
      </c>
      <c r="CD898" s="681">
        <f t="shared" si="764"/>
        <v>0</v>
      </c>
      <c r="CE898" s="78"/>
      <c r="CF898" s="683">
        <f t="shared" si="765"/>
        <v>0</v>
      </c>
      <c r="CG898" s="683">
        <f t="shared" si="766"/>
        <v>0</v>
      </c>
      <c r="CH898" s="683">
        <f t="shared" si="777"/>
        <v>0</v>
      </c>
      <c r="CI898" s="78"/>
      <c r="CJ898" s="680" t="str">
        <f t="shared" si="767"/>
        <v/>
      </c>
      <c r="CK898" s="78"/>
    </row>
    <row r="899" spans="56:89">
      <c r="BD899" s="1878"/>
      <c r="BE899" s="38">
        <v>20</v>
      </c>
      <c r="BF899" s="106">
        <f>ROW()</f>
        <v>899</v>
      </c>
      <c r="BG899" s="38" t="str">
        <f t="shared" si="768"/>
        <v/>
      </c>
      <c r="BH899" s="86">
        <v>12</v>
      </c>
      <c r="BI899" s="674" t="s">
        <v>237</v>
      </c>
      <c r="BJ899" s="679" t="s">
        <v>456</v>
      </c>
      <c r="BK899" s="674">
        <f t="shared" si="753"/>
        <v>0</v>
      </c>
      <c r="BL899" s="680">
        <f t="shared" si="754"/>
        <v>0</v>
      </c>
      <c r="BM899" s="681">
        <f t="shared" ref="BM899:BM904" si="778">BL899-BN899</f>
        <v>0</v>
      </c>
      <c r="BN899" s="681">
        <f t="shared" si="755"/>
        <v>0</v>
      </c>
      <c r="BO899" s="681">
        <f t="shared" si="756"/>
        <v>0</v>
      </c>
      <c r="BP899" s="681">
        <f t="shared" si="757"/>
        <v>0</v>
      </c>
      <c r="BQ899" s="681">
        <f t="shared" si="758"/>
        <v>0</v>
      </c>
      <c r="BR899" s="680">
        <f t="shared" si="769"/>
        <v>0</v>
      </c>
      <c r="BS899" s="682">
        <f t="shared" si="759"/>
        <v>0</v>
      </c>
      <c r="BT899" s="680">
        <f t="shared" ref="BT899:BT904" si="779">BP899</f>
        <v>0</v>
      </c>
      <c r="BU899" s="682">
        <f t="shared" si="760"/>
        <v>0</v>
      </c>
      <c r="BV899" s="78"/>
      <c r="BW899" s="680">
        <f t="shared" ref="BW899:BW904" si="780">BN899-BQ899</f>
        <v>0</v>
      </c>
      <c r="BX899" s="682">
        <f t="shared" ref="BX899:BX904" si="781">BS899+BU899</f>
        <v>0</v>
      </c>
      <c r="BY899" s="682">
        <f t="shared" si="761"/>
        <v>0</v>
      </c>
      <c r="BZ899" s="682">
        <f t="shared" si="762"/>
        <v>0</v>
      </c>
      <c r="CA899" s="682">
        <f t="shared" si="763"/>
        <v>0</v>
      </c>
      <c r="CB899" s="674">
        <f t="shared" si="770"/>
        <v>0</v>
      </c>
      <c r="CC899" s="681">
        <f t="shared" si="775"/>
        <v>0</v>
      </c>
      <c r="CD899" s="681">
        <f t="shared" si="764"/>
        <v>0</v>
      </c>
      <c r="CE899" s="78"/>
      <c r="CF899" s="683">
        <f t="shared" si="765"/>
        <v>0</v>
      </c>
      <c r="CG899" s="683">
        <f t="shared" si="766"/>
        <v>0</v>
      </c>
      <c r="CH899" s="683">
        <f t="shared" si="777"/>
        <v>0</v>
      </c>
      <c r="CI899" s="78"/>
      <c r="CJ899" s="680" t="str">
        <f t="shared" si="767"/>
        <v/>
      </c>
      <c r="CK899" s="78"/>
    </row>
    <row r="900" spans="56:89">
      <c r="BD900" s="1878"/>
      <c r="BE900" s="38">
        <v>21</v>
      </c>
      <c r="BF900" s="106">
        <f>ROW()</f>
        <v>900</v>
      </c>
      <c r="BG900" s="38" t="str">
        <f t="shared" si="768"/>
        <v/>
      </c>
      <c r="BH900" s="86">
        <v>12</v>
      </c>
      <c r="BI900" s="674" t="s">
        <v>215</v>
      </c>
      <c r="BJ900" s="679" t="s">
        <v>456</v>
      </c>
      <c r="BK900" s="674">
        <f t="shared" si="753"/>
        <v>0</v>
      </c>
      <c r="BL900" s="680">
        <f t="shared" si="754"/>
        <v>0</v>
      </c>
      <c r="BM900" s="681">
        <f t="shared" si="778"/>
        <v>0</v>
      </c>
      <c r="BN900" s="681">
        <f t="shared" si="755"/>
        <v>0</v>
      </c>
      <c r="BO900" s="681">
        <f t="shared" si="756"/>
        <v>0</v>
      </c>
      <c r="BP900" s="681">
        <f t="shared" si="757"/>
        <v>0</v>
      </c>
      <c r="BQ900" s="681">
        <f t="shared" si="758"/>
        <v>0</v>
      </c>
      <c r="BR900" s="680">
        <f t="shared" si="769"/>
        <v>0</v>
      </c>
      <c r="BS900" s="682">
        <f t="shared" si="759"/>
        <v>0</v>
      </c>
      <c r="BT900" s="680">
        <f t="shared" si="779"/>
        <v>0</v>
      </c>
      <c r="BU900" s="682">
        <f t="shared" si="760"/>
        <v>0</v>
      </c>
      <c r="BV900" s="78"/>
      <c r="BW900" s="680">
        <f t="shared" si="780"/>
        <v>0</v>
      </c>
      <c r="BX900" s="682">
        <f t="shared" si="781"/>
        <v>0</v>
      </c>
      <c r="BY900" s="682">
        <f t="shared" si="761"/>
        <v>0</v>
      </c>
      <c r="BZ900" s="682">
        <f t="shared" si="762"/>
        <v>0</v>
      </c>
      <c r="CA900" s="682">
        <f t="shared" si="763"/>
        <v>0</v>
      </c>
      <c r="CB900" s="674">
        <f t="shared" si="770"/>
        <v>0</v>
      </c>
      <c r="CC900" s="681">
        <f t="shared" si="775"/>
        <v>0</v>
      </c>
      <c r="CD900" s="681">
        <f t="shared" si="764"/>
        <v>0</v>
      </c>
      <c r="CE900" s="78"/>
      <c r="CF900" s="683">
        <f t="shared" si="765"/>
        <v>0</v>
      </c>
      <c r="CG900" s="683">
        <f t="shared" si="766"/>
        <v>0</v>
      </c>
      <c r="CH900" s="683">
        <f t="shared" si="777"/>
        <v>0</v>
      </c>
      <c r="CI900" s="78"/>
      <c r="CJ900" s="680" t="str">
        <f t="shared" si="767"/>
        <v/>
      </c>
      <c r="CK900" s="78"/>
    </row>
    <row r="901" spans="56:89">
      <c r="BD901" s="1878"/>
      <c r="BE901" s="38">
        <v>22</v>
      </c>
      <c r="BF901" s="106">
        <f>ROW()</f>
        <v>901</v>
      </c>
      <c r="BG901" s="38" t="str">
        <f t="shared" si="768"/>
        <v/>
      </c>
      <c r="BH901" s="86">
        <v>13</v>
      </c>
      <c r="BI901" s="674" t="s">
        <v>237</v>
      </c>
      <c r="BJ901" s="679" t="s">
        <v>457</v>
      </c>
      <c r="BK901" s="674">
        <f t="shared" si="753"/>
        <v>0</v>
      </c>
      <c r="BL901" s="680">
        <f t="shared" si="754"/>
        <v>0</v>
      </c>
      <c r="BM901" s="681">
        <f t="shared" si="778"/>
        <v>0</v>
      </c>
      <c r="BN901" s="681">
        <f t="shared" si="755"/>
        <v>0</v>
      </c>
      <c r="BO901" s="681">
        <f t="shared" si="756"/>
        <v>0</v>
      </c>
      <c r="BP901" s="681">
        <f t="shared" si="757"/>
        <v>0</v>
      </c>
      <c r="BQ901" s="681">
        <f t="shared" si="758"/>
        <v>0</v>
      </c>
      <c r="BR901" s="680">
        <f t="shared" si="769"/>
        <v>0</v>
      </c>
      <c r="BS901" s="682">
        <f t="shared" si="759"/>
        <v>0</v>
      </c>
      <c r="BT901" s="680">
        <f t="shared" si="779"/>
        <v>0</v>
      </c>
      <c r="BU901" s="682">
        <f t="shared" si="760"/>
        <v>0</v>
      </c>
      <c r="BV901" s="78"/>
      <c r="BW901" s="680">
        <f t="shared" si="780"/>
        <v>0</v>
      </c>
      <c r="BX901" s="682">
        <f t="shared" si="781"/>
        <v>0</v>
      </c>
      <c r="BY901" s="682">
        <f t="shared" si="761"/>
        <v>0</v>
      </c>
      <c r="BZ901" s="682">
        <f t="shared" si="762"/>
        <v>0</v>
      </c>
      <c r="CA901" s="682">
        <f t="shared" si="763"/>
        <v>0</v>
      </c>
      <c r="CB901" s="674">
        <f t="shared" si="770"/>
        <v>0</v>
      </c>
      <c r="CC901" s="681">
        <f t="shared" si="775"/>
        <v>0</v>
      </c>
      <c r="CD901" s="681">
        <f t="shared" si="764"/>
        <v>0</v>
      </c>
      <c r="CE901" s="78"/>
      <c r="CF901" s="683">
        <f t="shared" si="765"/>
        <v>0</v>
      </c>
      <c r="CG901" s="683">
        <f t="shared" si="766"/>
        <v>0</v>
      </c>
      <c r="CH901" s="683">
        <f t="shared" si="777"/>
        <v>0</v>
      </c>
      <c r="CI901" s="78"/>
      <c r="CJ901" s="680" t="str">
        <f t="shared" si="767"/>
        <v/>
      </c>
      <c r="CK901" s="78"/>
    </row>
    <row r="902" spans="56:89">
      <c r="BD902" s="1878"/>
      <c r="BE902" s="38">
        <v>23</v>
      </c>
      <c r="BF902" s="106">
        <f>ROW()</f>
        <v>902</v>
      </c>
      <c r="BG902" s="38" t="str">
        <f t="shared" si="768"/>
        <v/>
      </c>
      <c r="BH902" s="86">
        <v>13</v>
      </c>
      <c r="BI902" s="674" t="s">
        <v>215</v>
      </c>
      <c r="BJ902" s="679" t="s">
        <v>457</v>
      </c>
      <c r="BK902" s="674">
        <f t="shared" si="753"/>
        <v>0</v>
      </c>
      <c r="BL902" s="680">
        <f t="shared" si="754"/>
        <v>0</v>
      </c>
      <c r="BM902" s="681">
        <f t="shared" si="778"/>
        <v>0</v>
      </c>
      <c r="BN902" s="681">
        <f t="shared" si="755"/>
        <v>0</v>
      </c>
      <c r="BO902" s="681">
        <f t="shared" si="756"/>
        <v>0</v>
      </c>
      <c r="BP902" s="681">
        <f t="shared" si="757"/>
        <v>0</v>
      </c>
      <c r="BQ902" s="681">
        <f t="shared" si="758"/>
        <v>0</v>
      </c>
      <c r="BR902" s="680">
        <f t="shared" si="769"/>
        <v>0</v>
      </c>
      <c r="BS902" s="682">
        <f t="shared" si="759"/>
        <v>0</v>
      </c>
      <c r="BT902" s="680">
        <f t="shared" si="779"/>
        <v>0</v>
      </c>
      <c r="BU902" s="682">
        <f t="shared" si="760"/>
        <v>0</v>
      </c>
      <c r="BV902" s="78"/>
      <c r="BW902" s="680">
        <f t="shared" si="780"/>
        <v>0</v>
      </c>
      <c r="BX902" s="682">
        <f t="shared" si="781"/>
        <v>0</v>
      </c>
      <c r="BY902" s="682">
        <f t="shared" si="761"/>
        <v>0</v>
      </c>
      <c r="BZ902" s="682">
        <f t="shared" si="762"/>
        <v>0</v>
      </c>
      <c r="CA902" s="682">
        <f t="shared" si="763"/>
        <v>0</v>
      </c>
      <c r="CB902" s="674">
        <f t="shared" si="770"/>
        <v>0</v>
      </c>
      <c r="CC902" s="681">
        <f t="shared" si="775"/>
        <v>0</v>
      </c>
      <c r="CD902" s="681">
        <f t="shared" si="764"/>
        <v>0</v>
      </c>
      <c r="CE902" s="78"/>
      <c r="CF902" s="683">
        <f t="shared" si="765"/>
        <v>0</v>
      </c>
      <c r="CG902" s="683">
        <f t="shared" si="766"/>
        <v>0</v>
      </c>
      <c r="CH902" s="683">
        <f t="shared" si="777"/>
        <v>0</v>
      </c>
      <c r="CI902" s="78"/>
      <c r="CJ902" s="680" t="str">
        <f t="shared" si="767"/>
        <v/>
      </c>
      <c r="CK902" s="78"/>
    </row>
    <row r="903" spans="56:89">
      <c r="BD903" s="1878"/>
      <c r="BE903" s="38">
        <v>24</v>
      </c>
      <c r="BF903" s="106">
        <f>ROW()</f>
        <v>903</v>
      </c>
      <c r="BG903" s="38" t="str">
        <f t="shared" si="768"/>
        <v/>
      </c>
      <c r="BH903" s="86">
        <v>14</v>
      </c>
      <c r="BI903" s="674" t="s">
        <v>237</v>
      </c>
      <c r="BJ903" s="679" t="s">
        <v>458</v>
      </c>
      <c r="BK903" s="674">
        <f t="shared" si="753"/>
        <v>0</v>
      </c>
      <c r="BL903" s="680">
        <f t="shared" si="754"/>
        <v>0</v>
      </c>
      <c r="BM903" s="681">
        <f t="shared" si="778"/>
        <v>0</v>
      </c>
      <c r="BN903" s="681">
        <f t="shared" si="755"/>
        <v>0</v>
      </c>
      <c r="BO903" s="681">
        <f t="shared" si="756"/>
        <v>0</v>
      </c>
      <c r="BP903" s="681">
        <f t="shared" si="757"/>
        <v>0</v>
      </c>
      <c r="BQ903" s="681">
        <f t="shared" si="758"/>
        <v>0</v>
      </c>
      <c r="BR903" s="680">
        <f t="shared" si="769"/>
        <v>0</v>
      </c>
      <c r="BS903" s="682">
        <f t="shared" si="759"/>
        <v>0</v>
      </c>
      <c r="BT903" s="680">
        <f t="shared" si="779"/>
        <v>0</v>
      </c>
      <c r="BU903" s="682">
        <f t="shared" si="760"/>
        <v>0</v>
      </c>
      <c r="BV903" s="78"/>
      <c r="BW903" s="680">
        <f t="shared" si="780"/>
        <v>0</v>
      </c>
      <c r="BX903" s="682">
        <f t="shared" si="781"/>
        <v>0</v>
      </c>
      <c r="BY903" s="682">
        <f t="shared" si="761"/>
        <v>0</v>
      </c>
      <c r="BZ903" s="682">
        <f t="shared" si="762"/>
        <v>0</v>
      </c>
      <c r="CA903" s="682">
        <f t="shared" si="763"/>
        <v>0</v>
      </c>
      <c r="CB903" s="674">
        <f t="shared" si="770"/>
        <v>0</v>
      </c>
      <c r="CC903" s="681">
        <f t="shared" si="775"/>
        <v>0</v>
      </c>
      <c r="CD903" s="681">
        <f t="shared" si="764"/>
        <v>0</v>
      </c>
      <c r="CE903" s="78"/>
      <c r="CF903" s="683">
        <f t="shared" si="765"/>
        <v>0</v>
      </c>
      <c r="CG903" s="683">
        <f t="shared" si="766"/>
        <v>0</v>
      </c>
      <c r="CH903" s="683">
        <f t="shared" si="777"/>
        <v>0</v>
      </c>
      <c r="CI903" s="78"/>
      <c r="CJ903" s="680" t="str">
        <f t="shared" si="767"/>
        <v/>
      </c>
    </row>
    <row r="904" spans="56:89">
      <c r="BD904" s="1878"/>
      <c r="BE904" s="38">
        <v>25</v>
      </c>
      <c r="BF904" s="106">
        <f>ROW()</f>
        <v>904</v>
      </c>
      <c r="BG904" s="38" t="str">
        <f t="shared" si="768"/>
        <v/>
      </c>
      <c r="BH904" s="86">
        <v>14</v>
      </c>
      <c r="BI904" s="674" t="s">
        <v>215</v>
      </c>
      <c r="BJ904" s="679" t="s">
        <v>458</v>
      </c>
      <c r="BK904" s="674">
        <f t="shared" si="753"/>
        <v>0</v>
      </c>
      <c r="BL904" s="680">
        <f t="shared" si="754"/>
        <v>0</v>
      </c>
      <c r="BM904" s="681">
        <f t="shared" si="778"/>
        <v>0</v>
      </c>
      <c r="BN904" s="681">
        <f t="shared" si="755"/>
        <v>0</v>
      </c>
      <c r="BO904" s="681">
        <f t="shared" si="756"/>
        <v>0</v>
      </c>
      <c r="BP904" s="681">
        <f t="shared" si="757"/>
        <v>0</v>
      </c>
      <c r="BQ904" s="681">
        <f t="shared" si="758"/>
        <v>0</v>
      </c>
      <c r="BR904" s="680">
        <f t="shared" si="769"/>
        <v>0</v>
      </c>
      <c r="BS904" s="682">
        <f t="shared" si="759"/>
        <v>0</v>
      </c>
      <c r="BT904" s="680">
        <f t="shared" si="779"/>
        <v>0</v>
      </c>
      <c r="BU904" s="682">
        <f t="shared" si="760"/>
        <v>0</v>
      </c>
      <c r="BV904" s="78"/>
      <c r="BW904" s="680">
        <f t="shared" si="780"/>
        <v>0</v>
      </c>
      <c r="BX904" s="682">
        <f t="shared" si="781"/>
        <v>0</v>
      </c>
      <c r="BY904" s="682">
        <f t="shared" si="761"/>
        <v>0</v>
      </c>
      <c r="BZ904" s="682">
        <f t="shared" si="762"/>
        <v>0</v>
      </c>
      <c r="CA904" s="682">
        <f t="shared" si="763"/>
        <v>0</v>
      </c>
      <c r="CB904" s="674">
        <f t="shared" si="770"/>
        <v>0</v>
      </c>
      <c r="CC904" s="681">
        <f t="shared" si="775"/>
        <v>0</v>
      </c>
      <c r="CD904" s="681">
        <f t="shared" si="764"/>
        <v>0</v>
      </c>
      <c r="CE904" s="78"/>
      <c r="CF904" s="683">
        <f t="shared" si="765"/>
        <v>0</v>
      </c>
      <c r="CG904" s="683">
        <f t="shared" si="766"/>
        <v>0</v>
      </c>
      <c r="CH904" s="683">
        <f t="shared" si="777"/>
        <v>0</v>
      </c>
      <c r="CI904" s="78"/>
      <c r="CJ904" s="680" t="str">
        <f t="shared" si="767"/>
        <v/>
      </c>
    </row>
    <row r="905" spans="56:89">
      <c r="BD905" s="1878"/>
      <c r="BF905" s="106">
        <f>ROW()</f>
        <v>905</v>
      </c>
      <c r="BG905" s="78"/>
      <c r="BH905" s="78"/>
      <c r="BJ905" s="1912" t="s">
        <v>459</v>
      </c>
      <c r="BM905" s="83"/>
      <c r="BN905" s="83"/>
      <c r="BO905" s="83"/>
      <c r="BP905" s="83"/>
      <c r="BQ905" s="83"/>
    </row>
    <row r="906" spans="56:89">
      <c r="BD906" s="1878"/>
      <c r="BF906" s="106">
        <f>ROW()</f>
        <v>906</v>
      </c>
      <c r="BG906" s="78"/>
      <c r="BH906" s="78"/>
      <c r="BJ906" s="1912"/>
      <c r="BK906" s="684">
        <f t="shared" ref="BK906:BR906" si="782">SUM(BK880:BK905)</f>
        <v>0</v>
      </c>
      <c r="BL906" s="684">
        <f t="shared" si="782"/>
        <v>0</v>
      </c>
      <c r="BM906" s="685">
        <f t="shared" si="782"/>
        <v>0</v>
      </c>
      <c r="BN906" s="685">
        <f t="shared" si="782"/>
        <v>0</v>
      </c>
      <c r="BO906" s="685">
        <f t="shared" si="782"/>
        <v>0</v>
      </c>
      <c r="BP906" s="685">
        <f t="shared" si="782"/>
        <v>0</v>
      </c>
      <c r="BQ906" s="685">
        <f t="shared" si="782"/>
        <v>0</v>
      </c>
      <c r="BR906" s="684">
        <f t="shared" si="782"/>
        <v>0</v>
      </c>
      <c r="BS906" s="686">
        <f>SUM(BS880:BS896)</f>
        <v>0</v>
      </c>
      <c r="BT906" s="684">
        <f>SUM(BT880:BT896)</f>
        <v>0</v>
      </c>
      <c r="BU906" s="686">
        <f>SUM(BU880:BU896)</f>
        <v>0</v>
      </c>
      <c r="BV906" s="110"/>
      <c r="BW906" s="684">
        <f t="shared" ref="BW906:CD906" si="783">SUM(BW880:BW905)</f>
        <v>0</v>
      </c>
      <c r="BX906" s="686">
        <f t="shared" si="783"/>
        <v>0</v>
      </c>
      <c r="BY906" s="686">
        <f t="shared" si="783"/>
        <v>0</v>
      </c>
      <c r="BZ906" s="686">
        <f t="shared" si="783"/>
        <v>0</v>
      </c>
      <c r="CA906" s="686">
        <f t="shared" si="783"/>
        <v>0</v>
      </c>
      <c r="CB906" s="684">
        <f t="shared" si="783"/>
        <v>0</v>
      </c>
      <c r="CC906" s="684">
        <f t="shared" si="783"/>
        <v>0</v>
      </c>
      <c r="CD906" s="684">
        <f t="shared" si="783"/>
        <v>0</v>
      </c>
      <c r="CE906" s="110"/>
      <c r="CF906" s="687">
        <f>SUM(CF880:CF905)</f>
        <v>0</v>
      </c>
      <c r="CG906" s="687">
        <f>SUM(CG880:CG905)</f>
        <v>0</v>
      </c>
      <c r="CH906" s="687">
        <f>SUM(CH880:CH905)</f>
        <v>0</v>
      </c>
      <c r="CJ906" s="684"/>
    </row>
    <row r="907" spans="56:89">
      <c r="BD907" s="1878"/>
      <c r="BF907" s="106">
        <f>ROW()</f>
        <v>907</v>
      </c>
      <c r="BG907" s="78"/>
      <c r="BH907" s="78"/>
      <c r="BJ907" s="1912"/>
    </row>
    <row r="908" spans="56:89">
      <c r="BD908" s="1878"/>
      <c r="BF908" s="106">
        <f>ROW()</f>
        <v>908</v>
      </c>
      <c r="BG908" s="78"/>
      <c r="BH908" s="78"/>
      <c r="BK908" s="688"/>
      <c r="BL908" s="689"/>
      <c r="BM908" s="689"/>
      <c r="BN908" s="689"/>
      <c r="BO908" s="689"/>
      <c r="BP908" s="689"/>
      <c r="BQ908" s="689"/>
      <c r="BR908" s="689"/>
      <c r="BS908" s="689"/>
      <c r="BT908" s="689"/>
      <c r="BU908" s="689"/>
      <c r="BV908" s="689"/>
      <c r="BW908" s="689"/>
      <c r="BX908" s="689"/>
      <c r="BY908" s="689"/>
      <c r="BZ908" s="689"/>
      <c r="CA908" s="689"/>
      <c r="CB908" s="690" t="s">
        <v>460</v>
      </c>
      <c r="CC908" s="691">
        <f>CC906</f>
        <v>0</v>
      </c>
    </row>
    <row r="909" spans="56:89">
      <c r="BD909" s="1878"/>
      <c r="BH909" s="106">
        <v>1</v>
      </c>
      <c r="BI909" s="674" t="s">
        <v>237</v>
      </c>
      <c r="BJ909" s="679" t="s">
        <v>461</v>
      </c>
      <c r="BK909" s="688"/>
      <c r="BL909" s="689"/>
      <c r="BM909" s="689"/>
      <c r="BN909" s="689"/>
      <c r="BO909" s="689"/>
      <c r="BP909" s="689"/>
      <c r="BQ909" s="689"/>
      <c r="BR909" s="689"/>
      <c r="BS909" s="689"/>
      <c r="BT909" s="689"/>
      <c r="BU909" s="689"/>
      <c r="BV909" s="689"/>
      <c r="BW909" s="689"/>
      <c r="BX909" s="689"/>
      <c r="BY909" s="689"/>
      <c r="BZ909" s="689"/>
      <c r="CA909" s="689"/>
      <c r="CB909" s="690" t="s">
        <v>462</v>
      </c>
      <c r="CD909" s="680">
        <f>CD906</f>
        <v>0</v>
      </c>
    </row>
    <row r="910" spans="56:89">
      <c r="BD910" s="1878"/>
      <c r="BH910" s="78"/>
    </row>
    <row r="911" spans="56:89">
      <c r="BD911" s="1878"/>
      <c r="BH911" s="78"/>
      <c r="BK911" s="38" t="s">
        <v>463</v>
      </c>
    </row>
    <row r="912" spans="56:89">
      <c r="BD912" s="1878"/>
      <c r="BH912" s="78"/>
      <c r="BJ912" s="38" t="s">
        <v>464</v>
      </c>
      <c r="BK912" s="208">
        <f>BR906</f>
        <v>0</v>
      </c>
    </row>
    <row r="913" spans="56:63">
      <c r="BD913" s="1878"/>
      <c r="BH913" s="78"/>
      <c r="BJ913" s="38" t="s">
        <v>218</v>
      </c>
      <c r="BK913" s="337">
        <f>SUM(BR886:BR891)</f>
        <v>0</v>
      </c>
    </row>
    <row r="914" spans="56:63">
      <c r="BD914" s="1878"/>
      <c r="BJ914" s="38" t="s">
        <v>387</v>
      </c>
      <c r="BK914" s="337">
        <f>BT906</f>
        <v>0</v>
      </c>
    </row>
    <row r="915" spans="56:63">
      <c r="BD915" s="1878"/>
    </row>
    <row r="916" spans="56:63">
      <c r="BD916" s="1878"/>
    </row>
  </sheetData>
  <sheetProtection algorithmName="SHA-512" hashValue="/rlt0LGU0M7bElYNn4RIzLFA984Jb/XbZuyUKnQz9IZad/L2D/ifRkhwSZZysEQDvOMeOdAK/RVYXHiojsk/kw==" saltValue="X7aLKV42Ve8pH9FTCkmA4A==" spinCount="100000" sheet="1" selectLockedCells="1"/>
  <mergeCells count="35725">
    <mergeCell ref="AA38:AW38"/>
    <mergeCell ref="ID8:ID14"/>
    <mergeCell ref="JT625:JT626"/>
    <mergeCell ref="JV625:JV626"/>
    <mergeCell ref="JX625:JX626"/>
    <mergeCell ref="JZ625:JZ626"/>
    <mergeCell ref="FP628:FP629"/>
    <mergeCell ref="IP628:IP629"/>
    <mergeCell ref="IQ628:IQ629"/>
    <mergeCell ref="IU628:IU629"/>
    <mergeCell ref="IW628:IW629"/>
    <mergeCell ref="IZ628:IZ629"/>
    <mergeCell ref="JC628:JC629"/>
    <mergeCell ref="IU618:IU619"/>
    <mergeCell ref="IW618:IW619"/>
    <mergeCell ref="IZ618:IZ619"/>
    <mergeCell ref="JC618:JC619"/>
    <mergeCell ref="JD618:JD619"/>
    <mergeCell ref="JE618:JE619"/>
    <mergeCell ref="JR618:JR619"/>
    <mergeCell ref="JT618:JT619"/>
    <mergeCell ref="JV618:JV619"/>
    <mergeCell ref="JX618:JX619"/>
    <mergeCell ref="JZ618:JZ619"/>
    <mergeCell ref="K17:U18"/>
    <mergeCell ref="IP633:IP634"/>
    <mergeCell ref="IQ633:IQ634"/>
    <mergeCell ref="IU633:IU634"/>
    <mergeCell ref="IW633:IW634"/>
    <mergeCell ref="IZ633:IZ634"/>
    <mergeCell ref="JC633:JC634"/>
    <mergeCell ref="JD633:JD634"/>
    <mergeCell ref="JE633:JE634"/>
    <mergeCell ref="JR633:JR634"/>
    <mergeCell ref="JT633:JT634"/>
    <mergeCell ref="JV633:JV634"/>
    <mergeCell ref="JX633:JX634"/>
    <mergeCell ref="JZ633:JZ634"/>
    <mergeCell ref="HG634:HG635"/>
    <mergeCell ref="FP635:FP636"/>
    <mergeCell ref="IP635:IP636"/>
    <mergeCell ref="IQ635:IQ636"/>
    <mergeCell ref="IU635:IU636"/>
    <mergeCell ref="IW635:IW636"/>
    <mergeCell ref="IZ635:IZ636"/>
    <mergeCell ref="JC635:JC636"/>
    <mergeCell ref="JD635:JD636"/>
    <mergeCell ref="JE635:JE636"/>
    <mergeCell ref="JR635:JR636"/>
    <mergeCell ref="JT635:JT636"/>
    <mergeCell ref="JV635:JV636"/>
    <mergeCell ref="JX635:JX636"/>
    <mergeCell ref="JZ635:JZ636"/>
    <mergeCell ref="IP623:IP624"/>
    <mergeCell ref="IQ623:IQ624"/>
    <mergeCell ref="IU623:IU624"/>
    <mergeCell ref="IW623:IW624"/>
    <mergeCell ref="IZ623:IZ624"/>
    <mergeCell ref="JC623:JC624"/>
    <mergeCell ref="JD623:JD624"/>
    <mergeCell ref="JE623:JE624"/>
    <mergeCell ref="JR623:JR624"/>
    <mergeCell ref="JT623:JT624"/>
    <mergeCell ref="JV623:JV624"/>
    <mergeCell ref="JX623:JX624"/>
    <mergeCell ref="JZ623:JZ624"/>
    <mergeCell ref="HG624:HG625"/>
    <mergeCell ref="FP625:FP626"/>
    <mergeCell ref="IP625:IP626"/>
    <mergeCell ref="IQ625:IQ626"/>
    <mergeCell ref="IU625:IU626"/>
    <mergeCell ref="IW625:IW626"/>
    <mergeCell ref="IZ625:IZ626"/>
    <mergeCell ref="JC625:JC626"/>
    <mergeCell ref="JD625:JD626"/>
    <mergeCell ref="JE625:JE626"/>
    <mergeCell ref="JR625:JR626"/>
    <mergeCell ref="JV608:JV609"/>
    <mergeCell ref="JX608:JX609"/>
    <mergeCell ref="JZ608:JZ609"/>
    <mergeCell ref="HG609:HG610"/>
    <mergeCell ref="FP610:FP611"/>
    <mergeCell ref="IP610:IP611"/>
    <mergeCell ref="IQ610:IQ611"/>
    <mergeCell ref="IU610:IU611"/>
    <mergeCell ref="IW610:IW611"/>
    <mergeCell ref="IZ610:IZ611"/>
    <mergeCell ref="JC610:JC611"/>
    <mergeCell ref="JD628:JD629"/>
    <mergeCell ref="JE628:JE629"/>
    <mergeCell ref="JR628:JR629"/>
    <mergeCell ref="JT628:JT629"/>
    <mergeCell ref="JV628:JV629"/>
    <mergeCell ref="JX628:JX629"/>
    <mergeCell ref="JZ628:JZ629"/>
    <mergeCell ref="HG629:HG630"/>
    <mergeCell ref="FP630:FP631"/>
    <mergeCell ref="IP630:IP631"/>
    <mergeCell ref="IQ630:IQ631"/>
    <mergeCell ref="IU630:IU631"/>
    <mergeCell ref="IW630:IW631"/>
    <mergeCell ref="IZ630:IZ631"/>
    <mergeCell ref="JC630:JC631"/>
    <mergeCell ref="JD630:JD631"/>
    <mergeCell ref="JE630:JE631"/>
    <mergeCell ref="JR630:JR631"/>
    <mergeCell ref="JT630:JT631"/>
    <mergeCell ref="JV630:JV631"/>
    <mergeCell ref="JX630:JX631"/>
    <mergeCell ref="JZ630:JZ631"/>
    <mergeCell ref="IP613:IP614"/>
    <mergeCell ref="IQ613:IQ614"/>
    <mergeCell ref="IU613:IU614"/>
    <mergeCell ref="IW613:IW614"/>
    <mergeCell ref="IZ613:IZ614"/>
    <mergeCell ref="JC613:JC614"/>
    <mergeCell ref="JD613:JD614"/>
    <mergeCell ref="JE613:JE614"/>
    <mergeCell ref="JR613:JR614"/>
    <mergeCell ref="JT613:JT614"/>
    <mergeCell ref="JV613:JV614"/>
    <mergeCell ref="JX613:JX614"/>
    <mergeCell ref="JZ613:JZ614"/>
    <mergeCell ref="HG614:HG615"/>
    <mergeCell ref="FP615:FP616"/>
    <mergeCell ref="IP615:IP616"/>
    <mergeCell ref="IQ615:IQ616"/>
    <mergeCell ref="IU615:IU616"/>
    <mergeCell ref="IW615:IW616"/>
    <mergeCell ref="IZ615:IZ616"/>
    <mergeCell ref="FP588:FP589"/>
    <mergeCell ref="IP588:IP589"/>
    <mergeCell ref="IQ588:IQ589"/>
    <mergeCell ref="IU588:IU589"/>
    <mergeCell ref="IW588:IW589"/>
    <mergeCell ref="IZ588:IZ589"/>
    <mergeCell ref="JC615:JC616"/>
    <mergeCell ref="JD615:JD616"/>
    <mergeCell ref="JE615:JE616"/>
    <mergeCell ref="JR615:JR616"/>
    <mergeCell ref="JT615:JT616"/>
    <mergeCell ref="JV615:JV616"/>
    <mergeCell ref="JX615:JX616"/>
    <mergeCell ref="JZ615:JZ616"/>
    <mergeCell ref="FP618:FP619"/>
    <mergeCell ref="IP618:IP619"/>
    <mergeCell ref="IQ618:IQ619"/>
    <mergeCell ref="IQ600:IQ601"/>
    <mergeCell ref="IU600:IU601"/>
    <mergeCell ref="IW600:IW601"/>
    <mergeCell ref="IZ600:IZ601"/>
    <mergeCell ref="JC600:JC601"/>
    <mergeCell ref="JD600:JD601"/>
    <mergeCell ref="JE600:JE601"/>
    <mergeCell ref="JR600:JR601"/>
    <mergeCell ref="JT600:JT601"/>
    <mergeCell ref="JV600:JV601"/>
    <mergeCell ref="JX600:JX601"/>
    <mergeCell ref="IP620:IP621"/>
    <mergeCell ref="IQ620:IQ621"/>
    <mergeCell ref="IU620:IU621"/>
    <mergeCell ref="IW620:IW621"/>
    <mergeCell ref="IZ620:IZ621"/>
    <mergeCell ref="JC620:JC621"/>
    <mergeCell ref="JD620:JD621"/>
    <mergeCell ref="JE620:JE621"/>
    <mergeCell ref="JR620:JR621"/>
    <mergeCell ref="JT620:JT621"/>
    <mergeCell ref="JV620:JV621"/>
    <mergeCell ref="JX620:JX621"/>
    <mergeCell ref="JZ620:JZ621"/>
    <mergeCell ref="FP603:FP604"/>
    <mergeCell ref="IP603:IP604"/>
    <mergeCell ref="IQ603:IQ604"/>
    <mergeCell ref="IU603:IU604"/>
    <mergeCell ref="IW603:IW604"/>
    <mergeCell ref="IZ603:IZ604"/>
    <mergeCell ref="JC603:JC604"/>
    <mergeCell ref="JD603:JD604"/>
    <mergeCell ref="JE603:JE604"/>
    <mergeCell ref="JR603:JR604"/>
    <mergeCell ref="JT603:JT604"/>
    <mergeCell ref="JV603:JV604"/>
    <mergeCell ref="JX603:JX604"/>
    <mergeCell ref="JZ603:JZ604"/>
    <mergeCell ref="HG604:HG605"/>
    <mergeCell ref="FP605:FP606"/>
    <mergeCell ref="IP605:IP606"/>
    <mergeCell ref="IQ605:IQ606"/>
    <mergeCell ref="IU605:IU606"/>
    <mergeCell ref="IW605:IW606"/>
    <mergeCell ref="IZ605:IZ606"/>
    <mergeCell ref="JC605:JC606"/>
    <mergeCell ref="JD605:JD606"/>
    <mergeCell ref="JD610:JD611"/>
    <mergeCell ref="JE610:JE611"/>
    <mergeCell ref="JR610:JR611"/>
    <mergeCell ref="JT610:JT611"/>
    <mergeCell ref="JV610:JV611"/>
    <mergeCell ref="JX610:JX611"/>
    <mergeCell ref="JZ610:JZ611"/>
    <mergeCell ref="FP593:FP594"/>
    <mergeCell ref="IP593:IP594"/>
    <mergeCell ref="IQ593:IQ594"/>
    <mergeCell ref="IU593:IU594"/>
    <mergeCell ref="IW593:IW594"/>
    <mergeCell ref="IZ593:IZ594"/>
    <mergeCell ref="JC593:JC594"/>
    <mergeCell ref="JD593:JD594"/>
    <mergeCell ref="JE593:JE594"/>
    <mergeCell ref="JR593:JR594"/>
    <mergeCell ref="JT593:JT594"/>
    <mergeCell ref="JV593:JV594"/>
    <mergeCell ref="JX593:JX594"/>
    <mergeCell ref="JZ593:JZ594"/>
    <mergeCell ref="HG594:HG595"/>
    <mergeCell ref="FP595:FP596"/>
    <mergeCell ref="IP595:IP596"/>
    <mergeCell ref="IQ595:IQ596"/>
    <mergeCell ref="IU595:IU596"/>
    <mergeCell ref="IW595:IW596"/>
    <mergeCell ref="IZ595:IZ596"/>
    <mergeCell ref="JC595:JC596"/>
    <mergeCell ref="JD595:JD596"/>
    <mergeCell ref="JE595:JE596"/>
    <mergeCell ref="JR595:JR596"/>
    <mergeCell ref="JT595:JT596"/>
    <mergeCell ref="JV595:JV596"/>
    <mergeCell ref="JX595:JX596"/>
    <mergeCell ref="JZ595:JZ596"/>
    <mergeCell ref="FP598:FP599"/>
    <mergeCell ref="IP598:IP599"/>
    <mergeCell ref="IQ598:IQ599"/>
    <mergeCell ref="IU598:IU599"/>
    <mergeCell ref="IW598:IW599"/>
    <mergeCell ref="IZ598:IZ599"/>
    <mergeCell ref="JC598:JC599"/>
    <mergeCell ref="JE605:JE606"/>
    <mergeCell ref="JR605:JR606"/>
    <mergeCell ref="JT605:JT606"/>
    <mergeCell ref="JV605:JV606"/>
    <mergeCell ref="JX605:JX606"/>
    <mergeCell ref="JZ605:JZ606"/>
    <mergeCell ref="IP608:IP609"/>
    <mergeCell ref="IQ608:IQ609"/>
    <mergeCell ref="IU608:IU609"/>
    <mergeCell ref="IW608:IW609"/>
    <mergeCell ref="IZ608:IZ609"/>
    <mergeCell ref="JC608:JC609"/>
    <mergeCell ref="JD608:JD609"/>
    <mergeCell ref="JE608:JE609"/>
    <mergeCell ref="JR608:JR609"/>
    <mergeCell ref="JT608:JT609"/>
    <mergeCell ref="JG605:JG606"/>
    <mergeCell ref="JH605:JH606"/>
    <mergeCell ref="JJ605:JJ606"/>
    <mergeCell ref="IK600:IK601"/>
    <mergeCell ref="IM600:IM601"/>
    <mergeCell ref="GA598:GA601"/>
    <mergeCell ref="JG585:JG586"/>
    <mergeCell ref="JH585:JH586"/>
    <mergeCell ref="IP573:IP574"/>
    <mergeCell ref="IQ573:IQ574"/>
    <mergeCell ref="IU573:IU574"/>
    <mergeCell ref="IW573:IW574"/>
    <mergeCell ref="IZ573:IZ574"/>
    <mergeCell ref="JC573:JC574"/>
    <mergeCell ref="JD573:JD574"/>
    <mergeCell ref="JE573:JE574"/>
    <mergeCell ref="JR573:JR574"/>
    <mergeCell ref="JT573:JT574"/>
    <mergeCell ref="JV573:JV574"/>
    <mergeCell ref="JX573:JX574"/>
    <mergeCell ref="JZ573:JZ574"/>
    <mergeCell ref="HG574:HG575"/>
    <mergeCell ref="IY603:IY604"/>
    <mergeCell ref="JA603:JA604"/>
    <mergeCell ref="JH593:JH594"/>
    <mergeCell ref="JJ593:JJ594"/>
    <mergeCell ref="JG595:JG596"/>
    <mergeCell ref="JH595:JH596"/>
    <mergeCell ref="JJ595:JJ596"/>
    <mergeCell ref="JG598:JG599"/>
    <mergeCell ref="JH598:JH599"/>
    <mergeCell ref="JJ598:JJ599"/>
    <mergeCell ref="JG600:JG601"/>
    <mergeCell ref="JH600:JH601"/>
    <mergeCell ref="JJ600:JJ601"/>
    <mergeCell ref="JG603:JG604"/>
    <mergeCell ref="JH603:JH604"/>
    <mergeCell ref="JJ603:JJ604"/>
    <mergeCell ref="JG583:JG584"/>
    <mergeCell ref="JH583:JH584"/>
    <mergeCell ref="JJ583:JJ584"/>
    <mergeCell ref="GQ584:GQ585"/>
    <mergeCell ref="HK584:HK585"/>
    <mergeCell ref="HL584:HL585"/>
    <mergeCell ref="IZ585:IZ586"/>
    <mergeCell ref="JC585:JC586"/>
    <mergeCell ref="IP578:IP579"/>
    <mergeCell ref="IQ578:IQ579"/>
    <mergeCell ref="IU578:IU579"/>
    <mergeCell ref="IW578:IW579"/>
    <mergeCell ref="IZ578:IZ579"/>
    <mergeCell ref="JC578:JC579"/>
    <mergeCell ref="JD578:JD579"/>
    <mergeCell ref="JD598:JD599"/>
    <mergeCell ref="JE598:JE599"/>
    <mergeCell ref="JR598:JR599"/>
    <mergeCell ref="JT598:JT599"/>
    <mergeCell ref="JV598:JV599"/>
    <mergeCell ref="JX598:JX599"/>
    <mergeCell ref="JZ598:JZ599"/>
    <mergeCell ref="HG599:HG600"/>
    <mergeCell ref="IP600:IP601"/>
    <mergeCell ref="IU580:IU581"/>
    <mergeCell ref="IW580:IW581"/>
    <mergeCell ref="JC580:JC581"/>
    <mergeCell ref="JE580:JE581"/>
    <mergeCell ref="JR580:JR581"/>
    <mergeCell ref="JT580:JT581"/>
    <mergeCell ref="JV580:JV581"/>
    <mergeCell ref="JX580:JX581"/>
    <mergeCell ref="JZ580:JZ581"/>
    <mergeCell ref="JZ600:JZ601"/>
    <mergeCell ref="IL578:IL581"/>
    <mergeCell ref="JE578:JE579"/>
    <mergeCell ref="JR578:JR579"/>
    <mergeCell ref="JT578:JT579"/>
    <mergeCell ref="JV578:JV579"/>
    <mergeCell ref="JX578:JX579"/>
    <mergeCell ref="JZ578:JZ579"/>
    <mergeCell ref="HG579:HG580"/>
    <mergeCell ref="FP580:FP581"/>
    <mergeCell ref="IP580:IP581"/>
    <mergeCell ref="IQ580:IQ581"/>
    <mergeCell ref="JA600:JA601"/>
    <mergeCell ref="JJ585:JJ586"/>
    <mergeCell ref="JG588:JG589"/>
    <mergeCell ref="JH588:JH589"/>
    <mergeCell ref="JJ588:JJ589"/>
    <mergeCell ref="JG590:JG591"/>
    <mergeCell ref="JH590:JH591"/>
    <mergeCell ref="JJ590:JJ591"/>
    <mergeCell ref="JG593:JG594"/>
    <mergeCell ref="JC588:JC589"/>
    <mergeCell ref="JD588:JD589"/>
    <mergeCell ref="JE588:JE589"/>
    <mergeCell ref="JR588:JR589"/>
    <mergeCell ref="JT588:JT589"/>
    <mergeCell ref="JV588:JV589"/>
    <mergeCell ref="JX588:JX589"/>
    <mergeCell ref="JZ588:JZ589"/>
    <mergeCell ref="JD585:JD586"/>
    <mergeCell ref="JE585:JE586"/>
    <mergeCell ref="JR585:JR586"/>
    <mergeCell ref="JT585:JT586"/>
    <mergeCell ref="JV585:JV586"/>
    <mergeCell ref="JX585:JX586"/>
    <mergeCell ref="JZ585:JZ586"/>
    <mergeCell ref="GC598:GC601"/>
    <mergeCell ref="GD598:GD601"/>
    <mergeCell ref="GE598:GE601"/>
    <mergeCell ref="GF598:GF601"/>
    <mergeCell ref="GG598:GG601"/>
    <mergeCell ref="GH598:GH601"/>
    <mergeCell ref="GK598:GK601"/>
    <mergeCell ref="IF598:IF601"/>
    <mergeCell ref="IG598:IG599"/>
    <mergeCell ref="IH598:IH601"/>
    <mergeCell ref="IK598:IK599"/>
    <mergeCell ref="IL598:IL601"/>
    <mergeCell ref="IM598:IM599"/>
    <mergeCell ref="HH594:HH595"/>
    <mergeCell ref="HI594:HI595"/>
    <mergeCell ref="JR590:JR591"/>
    <mergeCell ref="HJ594:HJ595"/>
    <mergeCell ref="HK594:HK595"/>
    <mergeCell ref="HL594:HL595"/>
    <mergeCell ref="JZ590:JZ591"/>
    <mergeCell ref="JX590:JX591"/>
    <mergeCell ref="IG600:IG601"/>
    <mergeCell ref="IZ580:IZ581"/>
    <mergeCell ref="HO594:HO595"/>
    <mergeCell ref="IZ568:IZ569"/>
    <mergeCell ref="JC568:JC569"/>
    <mergeCell ref="JD568:JD569"/>
    <mergeCell ref="JE568:JE569"/>
    <mergeCell ref="JR568:JR569"/>
    <mergeCell ref="HG589:HG590"/>
    <mergeCell ref="FP590:FP591"/>
    <mergeCell ref="IP590:IP591"/>
    <mergeCell ref="IQ590:IQ591"/>
    <mergeCell ref="IU590:IU591"/>
    <mergeCell ref="IW590:IW591"/>
    <mergeCell ref="IZ590:IZ591"/>
    <mergeCell ref="JC590:JC591"/>
    <mergeCell ref="JD590:JD591"/>
    <mergeCell ref="JE590:JE591"/>
    <mergeCell ref="IZ570:IZ571"/>
    <mergeCell ref="JC570:JC571"/>
    <mergeCell ref="JD570:JD571"/>
    <mergeCell ref="JE570:JE571"/>
    <mergeCell ref="JR570:JR571"/>
    <mergeCell ref="JT570:JT571"/>
    <mergeCell ref="JV570:JV571"/>
    <mergeCell ref="JX570:JX571"/>
    <mergeCell ref="JZ570:JZ571"/>
    <mergeCell ref="JH570:JH571"/>
    <mergeCell ref="FT570:FT571"/>
    <mergeCell ref="HM584:HM585"/>
    <mergeCell ref="IP583:IP584"/>
    <mergeCell ref="IQ583:IQ584"/>
    <mergeCell ref="IU583:IU584"/>
    <mergeCell ref="IW583:IW584"/>
    <mergeCell ref="IZ583:IZ584"/>
    <mergeCell ref="JC583:JC584"/>
    <mergeCell ref="JD583:JD584"/>
    <mergeCell ref="JE583:JE584"/>
    <mergeCell ref="JR583:JR584"/>
    <mergeCell ref="JT583:JT584"/>
    <mergeCell ref="JV583:JV584"/>
    <mergeCell ref="JX583:JX584"/>
    <mergeCell ref="JZ583:JZ584"/>
    <mergeCell ref="HG584:HG585"/>
    <mergeCell ref="FP585:FP586"/>
    <mergeCell ref="IP585:IP586"/>
    <mergeCell ref="IQ585:IQ586"/>
    <mergeCell ref="IU585:IU586"/>
    <mergeCell ref="IW585:IW586"/>
    <mergeCell ref="FP575:FP576"/>
    <mergeCell ref="IP575:IP576"/>
    <mergeCell ref="IQ575:IQ576"/>
    <mergeCell ref="IU575:IU576"/>
    <mergeCell ref="IW575:IW576"/>
    <mergeCell ref="IZ575:IZ576"/>
    <mergeCell ref="JC575:JC576"/>
    <mergeCell ref="JD575:JD576"/>
    <mergeCell ref="JE575:JE576"/>
    <mergeCell ref="JR575:JR576"/>
    <mergeCell ref="JT575:JT576"/>
    <mergeCell ref="JV575:JV576"/>
    <mergeCell ref="JX575:JX576"/>
    <mergeCell ref="JZ575:JZ576"/>
    <mergeCell ref="FP578:FP579"/>
    <mergeCell ref="JT590:JT591"/>
    <mergeCell ref="JV590:JV591"/>
    <mergeCell ref="JD580:JD581"/>
    <mergeCell ref="JD550:JD551"/>
    <mergeCell ref="JE550:JE551"/>
    <mergeCell ref="FP547:FP548"/>
    <mergeCell ref="JC555:JC556"/>
    <mergeCell ref="JD555:JD556"/>
    <mergeCell ref="JE555:JE556"/>
    <mergeCell ref="JR555:JR556"/>
    <mergeCell ref="JT555:JT556"/>
    <mergeCell ref="JV555:JV556"/>
    <mergeCell ref="JX555:JX556"/>
    <mergeCell ref="JZ555:JZ556"/>
    <mergeCell ref="IR555:IR556"/>
    <mergeCell ref="IS555:IS556"/>
    <mergeCell ref="IT555:IT556"/>
    <mergeCell ref="IV555:IV556"/>
    <mergeCell ref="IX555:IX556"/>
    <mergeCell ref="IM555:IM556"/>
    <mergeCell ref="IH555:IH558"/>
    <mergeCell ref="IK555:IK556"/>
    <mergeCell ref="IR557:IR558"/>
    <mergeCell ref="IS557:IS558"/>
    <mergeCell ref="IT557:IT558"/>
    <mergeCell ref="IV557:IV558"/>
    <mergeCell ref="IX557:IX558"/>
    <mergeCell ref="IP565:IP566"/>
    <mergeCell ref="IQ565:IQ566"/>
    <mergeCell ref="IU565:IU566"/>
    <mergeCell ref="IW565:IW566"/>
    <mergeCell ref="IZ565:IZ566"/>
    <mergeCell ref="JC565:JC566"/>
    <mergeCell ref="JD565:JD566"/>
    <mergeCell ref="JE565:JE566"/>
    <mergeCell ref="JR565:JR566"/>
    <mergeCell ref="JT565:JT566"/>
    <mergeCell ref="JV565:JV566"/>
    <mergeCell ref="JX565:JX566"/>
    <mergeCell ref="JZ565:JZ566"/>
    <mergeCell ref="JN557:JN558"/>
    <mergeCell ref="IX563:IX564"/>
    <mergeCell ref="JL563:JL564"/>
    <mergeCell ref="JL565:JL566"/>
    <mergeCell ref="IW547:IW548"/>
    <mergeCell ref="IZ547:IZ548"/>
    <mergeCell ref="JC547:JC548"/>
    <mergeCell ref="JD547:JD548"/>
    <mergeCell ref="JE547:JE548"/>
    <mergeCell ref="FW550:FW551"/>
    <mergeCell ref="HT546:HT547"/>
    <mergeCell ref="HU546:HU547"/>
    <mergeCell ref="HV546:HV547"/>
    <mergeCell ref="HW546:HW547"/>
    <mergeCell ref="HX546:HX547"/>
    <mergeCell ref="HY546:HY547"/>
    <mergeCell ref="HZ546:HZ547"/>
    <mergeCell ref="ID546:ID547"/>
    <mergeCell ref="HG551:HG552"/>
    <mergeCell ref="IM547:IM548"/>
    <mergeCell ref="GA545:GA548"/>
    <mergeCell ref="GB545:GB548"/>
    <mergeCell ref="GC545:GC548"/>
    <mergeCell ref="GD545:GD548"/>
    <mergeCell ref="IX552:IX553"/>
    <mergeCell ref="IH550:IH553"/>
    <mergeCell ref="IK550:IK551"/>
    <mergeCell ref="JR542:JR543"/>
    <mergeCell ref="JT542:JT543"/>
    <mergeCell ref="JV542:JV543"/>
    <mergeCell ref="JX542:JX543"/>
    <mergeCell ref="JZ542:JZ543"/>
    <mergeCell ref="FP545:FP546"/>
    <mergeCell ref="IP545:IP546"/>
    <mergeCell ref="IQ545:IQ546"/>
    <mergeCell ref="IU545:IU546"/>
    <mergeCell ref="IW545:IW546"/>
    <mergeCell ref="IZ545:IZ546"/>
    <mergeCell ref="JC545:JC546"/>
    <mergeCell ref="JD545:JD546"/>
    <mergeCell ref="JE545:JE546"/>
    <mergeCell ref="JR545:JR546"/>
    <mergeCell ref="JT545:JT546"/>
    <mergeCell ref="JV545:JV546"/>
    <mergeCell ref="JX545:JX546"/>
    <mergeCell ref="JZ545:JZ546"/>
    <mergeCell ref="ID541:ID542"/>
    <mergeCell ref="IM542:IM543"/>
    <mergeCell ref="GB540:GB543"/>
    <mergeCell ref="GC540:GC543"/>
    <mergeCell ref="GD540:GD543"/>
    <mergeCell ref="GE540:GE543"/>
    <mergeCell ref="GF540:GF543"/>
    <mergeCell ref="GG540:GG543"/>
    <mergeCell ref="GH540:GH543"/>
    <mergeCell ref="GK540:GK543"/>
    <mergeCell ref="IB540:IB542"/>
    <mergeCell ref="IC540:IC541"/>
    <mergeCell ref="IF540:IF543"/>
    <mergeCell ref="IG540:IG541"/>
    <mergeCell ref="IH540:IH543"/>
    <mergeCell ref="IK540:IK541"/>
    <mergeCell ref="IL540:IL543"/>
    <mergeCell ref="IC542:IC543"/>
    <mergeCell ref="IR542:IR543"/>
    <mergeCell ref="IS542:IS543"/>
    <mergeCell ref="IT542:IT543"/>
    <mergeCell ref="IV542:IV543"/>
    <mergeCell ref="IX542:IX543"/>
    <mergeCell ref="IR545:IR546"/>
    <mergeCell ref="IM545:IM546"/>
    <mergeCell ref="GG545:GG548"/>
    <mergeCell ref="FQ547:FQ548"/>
    <mergeCell ref="IN545:IN548"/>
    <mergeCell ref="GM546:GM547"/>
    <mergeCell ref="GN546:GN547"/>
    <mergeCell ref="GP546:GP547"/>
    <mergeCell ref="GQ546:GQ547"/>
    <mergeCell ref="HH546:HH547"/>
    <mergeCell ref="HI546:HI547"/>
    <mergeCell ref="HJ546:HJ547"/>
    <mergeCell ref="HK546:HK547"/>
    <mergeCell ref="HL546:HL547"/>
    <mergeCell ref="HM546:HM547"/>
    <mergeCell ref="HN546:HN547"/>
    <mergeCell ref="HO546:HO547"/>
    <mergeCell ref="HP546:HP547"/>
    <mergeCell ref="JC542:JC543"/>
    <mergeCell ref="JD542:JD543"/>
    <mergeCell ref="JE542:JE543"/>
    <mergeCell ref="FW540:FW541"/>
    <mergeCell ref="JT568:JT569"/>
    <mergeCell ref="JV568:JV569"/>
    <mergeCell ref="JX568:JX569"/>
    <mergeCell ref="JZ568:JZ569"/>
    <mergeCell ref="HG569:HG570"/>
    <mergeCell ref="FP570:FP571"/>
    <mergeCell ref="IP570:IP571"/>
    <mergeCell ref="IQ570:IQ571"/>
    <mergeCell ref="IU570:IU571"/>
    <mergeCell ref="IW570:IW571"/>
    <mergeCell ref="JR547:JR548"/>
    <mergeCell ref="JT547:JT548"/>
    <mergeCell ref="JV547:JV548"/>
    <mergeCell ref="JX547:JX548"/>
    <mergeCell ref="JZ547:JZ548"/>
    <mergeCell ref="JN540:JN541"/>
    <mergeCell ref="JN542:JN543"/>
    <mergeCell ref="JN545:JN546"/>
    <mergeCell ref="JN547:JN548"/>
    <mergeCell ref="JG540:JG541"/>
    <mergeCell ref="JH540:JH541"/>
    <mergeCell ref="IP563:IP564"/>
    <mergeCell ref="IQ563:IQ564"/>
    <mergeCell ref="IU563:IU564"/>
    <mergeCell ref="IW563:IW564"/>
    <mergeCell ref="IZ563:IZ564"/>
    <mergeCell ref="JC563:JC564"/>
    <mergeCell ref="JD563:JD564"/>
    <mergeCell ref="JE563:JE564"/>
    <mergeCell ref="JR563:JR564"/>
    <mergeCell ref="JT563:JT564"/>
    <mergeCell ref="JV563:JV564"/>
    <mergeCell ref="JX563:JX564"/>
    <mergeCell ref="JZ563:JZ564"/>
    <mergeCell ref="HG564:HG565"/>
    <mergeCell ref="IP557:IP558"/>
    <mergeCell ref="IQ557:IQ558"/>
    <mergeCell ref="IU557:IU558"/>
    <mergeCell ref="IW557:IW558"/>
    <mergeCell ref="IZ557:IZ558"/>
    <mergeCell ref="JC557:JC558"/>
    <mergeCell ref="JD557:JD558"/>
    <mergeCell ref="JE557:JE558"/>
    <mergeCell ref="IG563:IG564"/>
    <mergeCell ref="IG555:IG556"/>
    <mergeCell ref="FV570:FV571"/>
    <mergeCell ref="IC563:IC564"/>
    <mergeCell ref="IG557:IG558"/>
    <mergeCell ref="FQ555:FQ556"/>
    <mergeCell ref="FS555:FS556"/>
    <mergeCell ref="FP563:FP564"/>
    <mergeCell ref="IL555:IL558"/>
    <mergeCell ref="HZ556:HZ557"/>
    <mergeCell ref="ID556:ID557"/>
    <mergeCell ref="IK557:IK558"/>
    <mergeCell ref="IF555:IF558"/>
    <mergeCell ref="JR557:JR558"/>
    <mergeCell ref="JT557:JT558"/>
    <mergeCell ref="JV557:JV558"/>
    <mergeCell ref="JX557:JX558"/>
    <mergeCell ref="JZ557:JZ558"/>
    <mergeCell ref="JN550:JN551"/>
    <mergeCell ref="JN552:JN553"/>
    <mergeCell ref="JN555:JN556"/>
    <mergeCell ref="IP552:IP553"/>
    <mergeCell ref="IQ552:IQ553"/>
    <mergeCell ref="IU552:IU553"/>
    <mergeCell ref="IW552:IW553"/>
    <mergeCell ref="IZ552:IZ553"/>
    <mergeCell ref="JC552:JC553"/>
    <mergeCell ref="HG546:HG547"/>
    <mergeCell ref="FW552:FW553"/>
    <mergeCell ref="FX552:FX553"/>
    <mergeCell ref="HT551:HT552"/>
    <mergeCell ref="HU551:HU552"/>
    <mergeCell ref="HV551:HV552"/>
    <mergeCell ref="HW551:HW552"/>
    <mergeCell ref="HX551:HX552"/>
    <mergeCell ref="HY551:HY552"/>
    <mergeCell ref="HZ551:HZ552"/>
    <mergeCell ref="ID551:ID552"/>
    <mergeCell ref="IG547:IG548"/>
    <mergeCell ref="IK547:IK548"/>
    <mergeCell ref="GM551:GM552"/>
    <mergeCell ref="GN551:GN552"/>
    <mergeCell ref="GP551:GP552"/>
    <mergeCell ref="GQ551:GQ552"/>
    <mergeCell ref="HH551:HH552"/>
    <mergeCell ref="HI551:HI552"/>
    <mergeCell ref="HJ551:HJ552"/>
    <mergeCell ref="HK551:HK552"/>
    <mergeCell ref="HL551:HL552"/>
    <mergeCell ref="HM551:HM552"/>
    <mergeCell ref="HN551:HN552"/>
    <mergeCell ref="HO551:HO552"/>
    <mergeCell ref="HP551:HP552"/>
    <mergeCell ref="HQ551:HQ552"/>
    <mergeCell ref="IF545:IF548"/>
    <mergeCell ref="IH545:IH548"/>
    <mergeCell ref="IK545:IK546"/>
    <mergeCell ref="IL545:IL548"/>
    <mergeCell ref="IW550:IW551"/>
    <mergeCell ref="IZ550:IZ551"/>
    <mergeCell ref="JC550:JC551"/>
    <mergeCell ref="IG545:IG546"/>
    <mergeCell ref="HR546:HR547"/>
    <mergeCell ref="HS546:HS547"/>
    <mergeCell ref="IV552:IV553"/>
    <mergeCell ref="IC552:IC553"/>
    <mergeCell ref="IG552:IG553"/>
    <mergeCell ref="HS551:HS552"/>
    <mergeCell ref="IT552:IT553"/>
    <mergeCell ref="JD552:JD553"/>
    <mergeCell ref="JE552:JE553"/>
    <mergeCell ref="HH556:HH557"/>
    <mergeCell ref="HQ546:HQ547"/>
    <mergeCell ref="IQ537:IQ538"/>
    <mergeCell ref="IU537:IU538"/>
    <mergeCell ref="IW537:IW538"/>
    <mergeCell ref="IZ537:IZ538"/>
    <mergeCell ref="JC537:JC538"/>
    <mergeCell ref="JD537:JD538"/>
    <mergeCell ref="JE537:JE538"/>
    <mergeCell ref="JR537:JR538"/>
    <mergeCell ref="JT537:JT538"/>
    <mergeCell ref="JV537:JV538"/>
    <mergeCell ref="JX537:JX538"/>
    <mergeCell ref="JZ537:JZ538"/>
    <mergeCell ref="JN532:JN533"/>
    <mergeCell ref="JN535:JN536"/>
    <mergeCell ref="JN537:JN538"/>
    <mergeCell ref="JG537:JG538"/>
    <mergeCell ref="JH537:JH538"/>
    <mergeCell ref="IM552:IM553"/>
    <mergeCell ref="IP540:IP541"/>
    <mergeCell ref="IQ540:IQ541"/>
    <mergeCell ref="IU540:IU541"/>
    <mergeCell ref="IW540:IW541"/>
    <mergeCell ref="IZ540:IZ541"/>
    <mergeCell ref="JC540:JC541"/>
    <mergeCell ref="JD540:JD541"/>
    <mergeCell ref="JE540:JE541"/>
    <mergeCell ref="JR540:JR541"/>
    <mergeCell ref="JT540:JT541"/>
    <mergeCell ref="JV540:JV541"/>
    <mergeCell ref="JX540:JX541"/>
    <mergeCell ref="JZ540:JZ541"/>
    <mergeCell ref="JR550:JR551"/>
    <mergeCell ref="JT550:JT551"/>
    <mergeCell ref="JV550:JV551"/>
    <mergeCell ref="JX550:JX551"/>
    <mergeCell ref="JZ550:JZ551"/>
    <mergeCell ref="JR552:JR553"/>
    <mergeCell ref="JT552:JT553"/>
    <mergeCell ref="JV552:JV553"/>
    <mergeCell ref="JX552:JX553"/>
    <mergeCell ref="JZ552:JZ553"/>
    <mergeCell ref="IM550:IM551"/>
    <mergeCell ref="IN550:IN553"/>
    <mergeCell ref="IN540:IN543"/>
    <mergeCell ref="IS545:IS546"/>
    <mergeCell ref="IT545:IT546"/>
    <mergeCell ref="IV545:IV546"/>
    <mergeCell ref="IX545:IX546"/>
    <mergeCell ref="IR547:IR548"/>
    <mergeCell ref="IS547:IS548"/>
    <mergeCell ref="IT547:IT548"/>
    <mergeCell ref="IV547:IV548"/>
    <mergeCell ref="IX547:IX548"/>
    <mergeCell ref="IR550:IR551"/>
    <mergeCell ref="IS550:IS551"/>
    <mergeCell ref="IT550:IT551"/>
    <mergeCell ref="IV550:IV551"/>
    <mergeCell ref="IX550:IX551"/>
    <mergeCell ref="IR552:IR553"/>
    <mergeCell ref="IS552:IS553"/>
    <mergeCell ref="JE527:JE528"/>
    <mergeCell ref="JR527:JR528"/>
    <mergeCell ref="JT527:JT528"/>
    <mergeCell ref="JV527:JV528"/>
    <mergeCell ref="JX527:JX528"/>
    <mergeCell ref="JZ527:JZ528"/>
    <mergeCell ref="IY520:IY521"/>
    <mergeCell ref="JA520:JA521"/>
    <mergeCell ref="IY522:IY523"/>
    <mergeCell ref="JA522:JA523"/>
    <mergeCell ref="IY525:IY526"/>
    <mergeCell ref="JJ540:JJ541"/>
    <mergeCell ref="FP530:FP531"/>
    <mergeCell ref="IP530:IP531"/>
    <mergeCell ref="IQ530:IQ531"/>
    <mergeCell ref="IU530:IU531"/>
    <mergeCell ref="IW530:IW531"/>
    <mergeCell ref="IZ530:IZ531"/>
    <mergeCell ref="JC530:JC531"/>
    <mergeCell ref="JD530:JD531"/>
    <mergeCell ref="JE530:JE531"/>
    <mergeCell ref="JR530:JR531"/>
    <mergeCell ref="JT530:JT531"/>
    <mergeCell ref="JV530:JV531"/>
    <mergeCell ref="JX530:JX531"/>
    <mergeCell ref="JZ530:JZ531"/>
    <mergeCell ref="HG531:HG532"/>
    <mergeCell ref="FP532:FP533"/>
    <mergeCell ref="IP532:IP533"/>
    <mergeCell ref="IQ532:IQ533"/>
    <mergeCell ref="IU532:IU533"/>
    <mergeCell ref="IW532:IW533"/>
    <mergeCell ref="IZ532:IZ533"/>
    <mergeCell ref="JC532:JC533"/>
    <mergeCell ref="JD532:JD533"/>
    <mergeCell ref="JE532:JE533"/>
    <mergeCell ref="JR532:JR533"/>
    <mergeCell ref="JT532:JT533"/>
    <mergeCell ref="JV532:JV533"/>
    <mergeCell ref="JX532:JX533"/>
    <mergeCell ref="JZ532:JZ533"/>
    <mergeCell ref="FP535:FP536"/>
    <mergeCell ref="IP535:IP536"/>
    <mergeCell ref="IQ535:IQ536"/>
    <mergeCell ref="IU535:IU536"/>
    <mergeCell ref="IW535:IW536"/>
    <mergeCell ref="IZ535:IZ536"/>
    <mergeCell ref="JC535:JC536"/>
    <mergeCell ref="JD535:JD536"/>
    <mergeCell ref="JE535:JE536"/>
    <mergeCell ref="JR535:JR536"/>
    <mergeCell ref="JT535:JT536"/>
    <mergeCell ref="JV535:JV536"/>
    <mergeCell ref="JX535:JX536"/>
    <mergeCell ref="JZ535:JZ536"/>
    <mergeCell ref="HG536:HG537"/>
    <mergeCell ref="FP537:FP538"/>
    <mergeCell ref="HG541:HG542"/>
    <mergeCell ref="FP542:FP543"/>
    <mergeCell ref="IP542:IP543"/>
    <mergeCell ref="IQ542:IQ543"/>
    <mergeCell ref="IU542:IU543"/>
    <mergeCell ref="IW542:IW543"/>
    <mergeCell ref="IZ542:IZ543"/>
    <mergeCell ref="JE517:JE518"/>
    <mergeCell ref="JR517:JR518"/>
    <mergeCell ref="JT517:JT518"/>
    <mergeCell ref="JV517:JV518"/>
    <mergeCell ref="JX517:JX518"/>
    <mergeCell ref="JZ517:JZ518"/>
    <mergeCell ref="IY517:IY518"/>
    <mergeCell ref="JA517:JA518"/>
    <mergeCell ref="JN517:JN518"/>
    <mergeCell ref="JG515:JG516"/>
    <mergeCell ref="JH515:JH516"/>
    <mergeCell ref="JJ537:JJ538"/>
    <mergeCell ref="FP520:FP521"/>
    <mergeCell ref="IP520:IP521"/>
    <mergeCell ref="IQ520:IQ521"/>
    <mergeCell ref="IU520:IU521"/>
    <mergeCell ref="IW520:IW521"/>
    <mergeCell ref="IZ520:IZ521"/>
    <mergeCell ref="JC520:JC521"/>
    <mergeCell ref="JD520:JD521"/>
    <mergeCell ref="JE520:JE521"/>
    <mergeCell ref="JR520:JR521"/>
    <mergeCell ref="JT520:JT521"/>
    <mergeCell ref="JV520:JV521"/>
    <mergeCell ref="JX520:JX521"/>
    <mergeCell ref="JZ520:JZ521"/>
    <mergeCell ref="HG521:HG522"/>
    <mergeCell ref="FP522:FP523"/>
    <mergeCell ref="IP522:IP523"/>
    <mergeCell ref="IQ522:IQ523"/>
    <mergeCell ref="IU522:IU523"/>
    <mergeCell ref="IW522:IW523"/>
    <mergeCell ref="IZ522:IZ523"/>
    <mergeCell ref="JC522:JC523"/>
    <mergeCell ref="JD522:JD523"/>
    <mergeCell ref="JE522:JE523"/>
    <mergeCell ref="JR522:JR523"/>
    <mergeCell ref="JT522:JT523"/>
    <mergeCell ref="JV522:JV523"/>
    <mergeCell ref="JX522:JX523"/>
    <mergeCell ref="JZ522:JZ523"/>
    <mergeCell ref="FP525:FP526"/>
    <mergeCell ref="IP525:IP526"/>
    <mergeCell ref="IQ525:IQ526"/>
    <mergeCell ref="IU525:IU526"/>
    <mergeCell ref="IW525:IW526"/>
    <mergeCell ref="IZ525:IZ526"/>
    <mergeCell ref="JC525:JC526"/>
    <mergeCell ref="JD525:JD526"/>
    <mergeCell ref="JE525:JE526"/>
    <mergeCell ref="JR525:JR526"/>
    <mergeCell ref="JT525:JT526"/>
    <mergeCell ref="JV525:JV526"/>
    <mergeCell ref="JX525:JX526"/>
    <mergeCell ref="JZ525:JZ526"/>
    <mergeCell ref="HG526:HG527"/>
    <mergeCell ref="FP527:FP528"/>
    <mergeCell ref="IP527:IP528"/>
    <mergeCell ref="IQ527:IQ528"/>
    <mergeCell ref="IU527:IU528"/>
    <mergeCell ref="IW527:IW528"/>
    <mergeCell ref="IZ527:IZ528"/>
    <mergeCell ref="JC527:JC528"/>
    <mergeCell ref="JD527:JD528"/>
    <mergeCell ref="FX515:FX516"/>
    <mergeCell ref="JR507:JR508"/>
    <mergeCell ref="JT507:JT508"/>
    <mergeCell ref="JV507:JV508"/>
    <mergeCell ref="JX507:JX508"/>
    <mergeCell ref="JZ507:JZ508"/>
    <mergeCell ref="JN505:JN506"/>
    <mergeCell ref="HY501:HY502"/>
    <mergeCell ref="HZ501:HZ502"/>
    <mergeCell ref="ID501:ID502"/>
    <mergeCell ref="HX506:HX507"/>
    <mergeCell ref="IG507:IG508"/>
    <mergeCell ref="JA525:JA526"/>
    <mergeCell ref="FP510:FP511"/>
    <mergeCell ref="IP510:IP511"/>
    <mergeCell ref="IQ510:IQ511"/>
    <mergeCell ref="IU510:IU511"/>
    <mergeCell ref="IW510:IW511"/>
    <mergeCell ref="IZ510:IZ511"/>
    <mergeCell ref="JC510:JC511"/>
    <mergeCell ref="JD510:JD511"/>
    <mergeCell ref="JE510:JE511"/>
    <mergeCell ref="JR510:JR511"/>
    <mergeCell ref="JT510:JT511"/>
    <mergeCell ref="JV510:JV511"/>
    <mergeCell ref="JX510:JX511"/>
    <mergeCell ref="JZ510:JZ511"/>
    <mergeCell ref="HG511:HG512"/>
    <mergeCell ref="FP512:FP513"/>
    <mergeCell ref="IP512:IP513"/>
    <mergeCell ref="IQ512:IQ513"/>
    <mergeCell ref="IU512:IU513"/>
    <mergeCell ref="IW512:IW513"/>
    <mergeCell ref="IZ512:IZ513"/>
    <mergeCell ref="JC512:JC513"/>
    <mergeCell ref="JD512:JD513"/>
    <mergeCell ref="JE512:JE513"/>
    <mergeCell ref="JR512:JR513"/>
    <mergeCell ref="JT512:JT513"/>
    <mergeCell ref="JV512:JV513"/>
    <mergeCell ref="JX512:JX513"/>
    <mergeCell ref="JZ512:JZ513"/>
    <mergeCell ref="FP515:FP516"/>
    <mergeCell ref="IP515:IP516"/>
    <mergeCell ref="IQ515:IQ516"/>
    <mergeCell ref="IU515:IU516"/>
    <mergeCell ref="IW515:IW516"/>
    <mergeCell ref="IZ515:IZ516"/>
    <mergeCell ref="JC515:JC516"/>
    <mergeCell ref="JD515:JD516"/>
    <mergeCell ref="JE515:JE516"/>
    <mergeCell ref="JR515:JR516"/>
    <mergeCell ref="JT515:JT516"/>
    <mergeCell ref="JV515:JV516"/>
    <mergeCell ref="JX515:JX516"/>
    <mergeCell ref="JZ515:JZ516"/>
    <mergeCell ref="HG516:HG517"/>
    <mergeCell ref="IP517:IP518"/>
    <mergeCell ref="IQ517:IQ518"/>
    <mergeCell ref="IU517:IU518"/>
    <mergeCell ref="IW517:IW518"/>
    <mergeCell ref="IZ517:IZ518"/>
    <mergeCell ref="JC517:JC518"/>
    <mergeCell ref="JD517:JD518"/>
    <mergeCell ref="IP500:IP501"/>
    <mergeCell ref="IQ500:IQ501"/>
    <mergeCell ref="IU500:IU501"/>
    <mergeCell ref="IW500:IW501"/>
    <mergeCell ref="IZ500:IZ501"/>
    <mergeCell ref="JC500:JC501"/>
    <mergeCell ref="JD500:JD501"/>
    <mergeCell ref="JE500:JE501"/>
    <mergeCell ref="JR500:JR501"/>
    <mergeCell ref="JT500:JT501"/>
    <mergeCell ref="JV500:JV501"/>
    <mergeCell ref="JX500:JX501"/>
    <mergeCell ref="JZ500:JZ501"/>
    <mergeCell ref="HG501:HG502"/>
    <mergeCell ref="FP502:FP503"/>
    <mergeCell ref="IP502:IP503"/>
    <mergeCell ref="IQ502:IQ503"/>
    <mergeCell ref="IU502:IU503"/>
    <mergeCell ref="IW502:IW503"/>
    <mergeCell ref="IZ502:IZ503"/>
    <mergeCell ref="JC502:JC503"/>
    <mergeCell ref="JD502:JD503"/>
    <mergeCell ref="JE502:JE503"/>
    <mergeCell ref="JR502:JR503"/>
    <mergeCell ref="JT502:JT503"/>
    <mergeCell ref="JV502:JV503"/>
    <mergeCell ref="JX502:JX503"/>
    <mergeCell ref="JZ502:JZ503"/>
    <mergeCell ref="FP505:FP506"/>
    <mergeCell ref="IP505:IP506"/>
    <mergeCell ref="IQ505:IQ506"/>
    <mergeCell ref="IU505:IU506"/>
    <mergeCell ref="IW505:IW506"/>
    <mergeCell ref="IZ505:IZ506"/>
    <mergeCell ref="JC505:JC506"/>
    <mergeCell ref="JD505:JD506"/>
    <mergeCell ref="JE505:JE506"/>
    <mergeCell ref="JR505:JR506"/>
    <mergeCell ref="JT505:JT506"/>
    <mergeCell ref="JV505:JV506"/>
    <mergeCell ref="JX505:JX506"/>
    <mergeCell ref="JZ505:JZ506"/>
    <mergeCell ref="IK502:IK503"/>
    <mergeCell ref="IM502:IM503"/>
    <mergeCell ref="IR505:IR506"/>
    <mergeCell ref="IS505:IS506"/>
    <mergeCell ref="IT505:IT506"/>
    <mergeCell ref="IV505:IV506"/>
    <mergeCell ref="IX505:IX506"/>
    <mergeCell ref="GP506:GP507"/>
    <mergeCell ref="FP507:FP508"/>
    <mergeCell ref="FY507:FY508"/>
    <mergeCell ref="IR507:IR508"/>
    <mergeCell ref="IS507:IS508"/>
    <mergeCell ref="IT507:IT508"/>
    <mergeCell ref="IV507:IV508"/>
    <mergeCell ref="IX507:IX508"/>
    <mergeCell ref="IU507:IU508"/>
    <mergeCell ref="IW507:IW508"/>
    <mergeCell ref="IZ507:IZ508"/>
    <mergeCell ref="JC507:JC508"/>
    <mergeCell ref="JD507:JD508"/>
    <mergeCell ref="JE507:JE508"/>
    <mergeCell ref="JJ507:JJ508"/>
    <mergeCell ref="JD490:JD491"/>
    <mergeCell ref="JE490:JE491"/>
    <mergeCell ref="JR490:JR491"/>
    <mergeCell ref="JT490:JT491"/>
    <mergeCell ref="JV490:JV491"/>
    <mergeCell ref="JX490:JX491"/>
    <mergeCell ref="JZ490:JZ491"/>
    <mergeCell ref="HG491:HG492"/>
    <mergeCell ref="FP492:FP493"/>
    <mergeCell ref="IP492:IP493"/>
    <mergeCell ref="IQ492:IQ493"/>
    <mergeCell ref="IU492:IU493"/>
    <mergeCell ref="IW492:IW493"/>
    <mergeCell ref="IZ492:IZ493"/>
    <mergeCell ref="JC492:JC493"/>
    <mergeCell ref="JD492:JD493"/>
    <mergeCell ref="JE492:JE493"/>
    <mergeCell ref="JR492:JR493"/>
    <mergeCell ref="JT492:JT493"/>
    <mergeCell ref="JV492:JV493"/>
    <mergeCell ref="JX492:JX493"/>
    <mergeCell ref="JZ492:JZ493"/>
    <mergeCell ref="FP495:FP496"/>
    <mergeCell ref="IP495:IP496"/>
    <mergeCell ref="IQ495:IQ496"/>
    <mergeCell ref="IU495:IU496"/>
    <mergeCell ref="IW495:IW496"/>
    <mergeCell ref="IZ495:IZ496"/>
    <mergeCell ref="JC495:JC496"/>
    <mergeCell ref="JD495:JD496"/>
    <mergeCell ref="JE495:JE496"/>
    <mergeCell ref="JR495:JR496"/>
    <mergeCell ref="JT495:JT496"/>
    <mergeCell ref="JV495:JV496"/>
    <mergeCell ref="JX495:JX496"/>
    <mergeCell ref="JZ495:JZ496"/>
    <mergeCell ref="HG496:HG497"/>
    <mergeCell ref="FP497:FP498"/>
    <mergeCell ref="IP497:IP498"/>
    <mergeCell ref="IQ497:IQ498"/>
    <mergeCell ref="IU497:IU498"/>
    <mergeCell ref="IW497:IW498"/>
    <mergeCell ref="IZ497:IZ498"/>
    <mergeCell ref="JC497:JC498"/>
    <mergeCell ref="JD497:JD498"/>
    <mergeCell ref="JE497:JE498"/>
    <mergeCell ref="JR497:JR498"/>
    <mergeCell ref="JT497:JT498"/>
    <mergeCell ref="JV497:JV498"/>
    <mergeCell ref="JX497:JX498"/>
    <mergeCell ref="JZ497:JZ498"/>
    <mergeCell ref="FQ490:FQ491"/>
    <mergeCell ref="IG497:IG498"/>
    <mergeCell ref="IK497:IK498"/>
    <mergeCell ref="IM497:IM498"/>
    <mergeCell ref="GD495:GD498"/>
    <mergeCell ref="GE495:GE498"/>
    <mergeCell ref="IZ490:IZ491"/>
    <mergeCell ref="FS490:FS491"/>
    <mergeCell ref="HZ496:HZ497"/>
    <mergeCell ref="FT490:FT491"/>
    <mergeCell ref="GP496:GP497"/>
    <mergeCell ref="JC490:JC491"/>
    <mergeCell ref="GF495:GF498"/>
    <mergeCell ref="JR485:JR486"/>
    <mergeCell ref="JT485:JT486"/>
    <mergeCell ref="JV485:JV486"/>
    <mergeCell ref="JX485:JX486"/>
    <mergeCell ref="JZ485:JZ486"/>
    <mergeCell ref="HG486:HG487"/>
    <mergeCell ref="FP487:FP488"/>
    <mergeCell ref="IP487:IP488"/>
    <mergeCell ref="IQ487:IQ488"/>
    <mergeCell ref="IU487:IU488"/>
    <mergeCell ref="IW487:IW488"/>
    <mergeCell ref="IZ487:IZ488"/>
    <mergeCell ref="JC487:JC488"/>
    <mergeCell ref="JD487:JD488"/>
    <mergeCell ref="JE487:JE488"/>
    <mergeCell ref="JR487:JR488"/>
    <mergeCell ref="JT487:JT488"/>
    <mergeCell ref="JV487:JV488"/>
    <mergeCell ref="JX487:JX488"/>
    <mergeCell ref="JZ487:JZ488"/>
    <mergeCell ref="HH478:HH479"/>
    <mergeCell ref="IB477:IB479"/>
    <mergeCell ref="HM478:HM479"/>
    <mergeCell ref="HN478:HN479"/>
    <mergeCell ref="HO478:HO479"/>
    <mergeCell ref="HP478:HP479"/>
    <mergeCell ref="JH477:JH478"/>
    <mergeCell ref="JJ477:JJ478"/>
    <mergeCell ref="JH485:JH486"/>
    <mergeCell ref="JJ485:JJ486"/>
    <mergeCell ref="JG487:JG488"/>
    <mergeCell ref="JC477:JC478"/>
    <mergeCell ref="JH487:JH488"/>
    <mergeCell ref="JG479:JG480"/>
    <mergeCell ref="JH479:JH480"/>
    <mergeCell ref="JJ479:JJ480"/>
    <mergeCell ref="JG485:JG486"/>
    <mergeCell ref="IG487:IG488"/>
    <mergeCell ref="ID478:ID479"/>
    <mergeCell ref="GA477:GA480"/>
    <mergeCell ref="GB477:GB480"/>
    <mergeCell ref="IC477:IC478"/>
    <mergeCell ref="IC479:IC480"/>
    <mergeCell ref="HS478:HS479"/>
    <mergeCell ref="GD477:GD480"/>
    <mergeCell ref="GE477:GE480"/>
    <mergeCell ref="GG477:GG480"/>
    <mergeCell ref="GH477:GH480"/>
    <mergeCell ref="GK477:GK480"/>
    <mergeCell ref="FY477:FY478"/>
    <mergeCell ref="HN486:HN487"/>
    <mergeCell ref="FV479:FV480"/>
    <mergeCell ref="FW479:FW480"/>
    <mergeCell ref="FT477:FT478"/>
    <mergeCell ref="FU477:FU478"/>
    <mergeCell ref="JT469:JT470"/>
    <mergeCell ref="JV469:JV470"/>
    <mergeCell ref="JX469:JX470"/>
    <mergeCell ref="JZ469:JZ470"/>
    <mergeCell ref="JZ474:JZ475"/>
    <mergeCell ref="IL472:IL475"/>
    <mergeCell ref="IM472:IM473"/>
    <mergeCell ref="ID473:ID474"/>
    <mergeCell ref="IK474:IK475"/>
    <mergeCell ref="IG474:IG475"/>
    <mergeCell ref="HO473:HO474"/>
    <mergeCell ref="HT473:HT474"/>
    <mergeCell ref="HU473:HU474"/>
    <mergeCell ref="HV473:HV474"/>
    <mergeCell ref="JD477:JD478"/>
    <mergeCell ref="JE477:JE478"/>
    <mergeCell ref="IP472:IP473"/>
    <mergeCell ref="JR477:JR478"/>
    <mergeCell ref="JT477:JT478"/>
    <mergeCell ref="JV477:JV478"/>
    <mergeCell ref="JX477:JX478"/>
    <mergeCell ref="JZ477:JZ478"/>
    <mergeCell ref="HG478:HG479"/>
    <mergeCell ref="FP479:FP480"/>
    <mergeCell ref="IP479:IP480"/>
    <mergeCell ref="IQ479:IQ480"/>
    <mergeCell ref="IU479:IU480"/>
    <mergeCell ref="IW479:IW480"/>
    <mergeCell ref="IZ479:IZ480"/>
    <mergeCell ref="JC479:JC480"/>
    <mergeCell ref="JD479:JD480"/>
    <mergeCell ref="JE479:JE480"/>
    <mergeCell ref="JR479:JR480"/>
    <mergeCell ref="JT479:JT480"/>
    <mergeCell ref="JV479:JV480"/>
    <mergeCell ref="JX479:JX480"/>
    <mergeCell ref="JZ479:JZ480"/>
    <mergeCell ref="JZ472:JZ473"/>
    <mergeCell ref="HG473:HG474"/>
    <mergeCell ref="FP474:FP475"/>
    <mergeCell ref="JR474:JR475"/>
    <mergeCell ref="JT474:JT475"/>
    <mergeCell ref="JV474:JV475"/>
    <mergeCell ref="JX474:JX475"/>
    <mergeCell ref="HQ473:HQ474"/>
    <mergeCell ref="IN472:IN475"/>
    <mergeCell ref="IM474:IM475"/>
    <mergeCell ref="GF467:GF470"/>
    <mergeCell ref="FP467:FP468"/>
    <mergeCell ref="IN467:IN470"/>
    <mergeCell ref="GM468:GM469"/>
    <mergeCell ref="GN468:GN469"/>
    <mergeCell ref="GP468:GP469"/>
    <mergeCell ref="GQ468:GQ469"/>
    <mergeCell ref="IF472:IF475"/>
    <mergeCell ref="IG472:IG473"/>
    <mergeCell ref="IH472:IH475"/>
    <mergeCell ref="IK472:IK473"/>
    <mergeCell ref="GD472:GD475"/>
    <mergeCell ref="GE472:GE475"/>
    <mergeCell ref="GF472:GF475"/>
    <mergeCell ref="GG472:GG475"/>
    <mergeCell ref="GM473:GM474"/>
    <mergeCell ref="GN473:GN474"/>
    <mergeCell ref="JJ467:JJ468"/>
    <mergeCell ref="JG477:JG478"/>
    <mergeCell ref="HO486:HO487"/>
    <mergeCell ref="HP486:HP487"/>
    <mergeCell ref="HQ486:HQ487"/>
    <mergeCell ref="HR486:HR487"/>
    <mergeCell ref="HS486:HS487"/>
    <mergeCell ref="HT486:HT487"/>
    <mergeCell ref="HU486:HU487"/>
    <mergeCell ref="HV486:HV487"/>
    <mergeCell ref="HW486:HW487"/>
    <mergeCell ref="HX486:HX487"/>
    <mergeCell ref="HY486:HY487"/>
    <mergeCell ref="HI478:HI479"/>
    <mergeCell ref="HJ478:HJ479"/>
    <mergeCell ref="HK478:HK479"/>
    <mergeCell ref="HL478:HL479"/>
    <mergeCell ref="HT478:HT479"/>
    <mergeCell ref="HU478:HU479"/>
    <mergeCell ref="HV478:HV479"/>
    <mergeCell ref="HW478:HW479"/>
    <mergeCell ref="HX478:HX479"/>
    <mergeCell ref="HY478:HY479"/>
    <mergeCell ref="HZ478:HZ479"/>
    <mergeCell ref="HR478:HR479"/>
    <mergeCell ref="HH468:HH469"/>
    <mergeCell ref="HI468:HI469"/>
    <mergeCell ref="IC487:IC488"/>
    <mergeCell ref="IZ469:IZ470"/>
    <mergeCell ref="JC469:JC470"/>
    <mergeCell ref="JD469:JD470"/>
    <mergeCell ref="JE469:JE470"/>
    <mergeCell ref="IP485:IP486"/>
    <mergeCell ref="IQ485:IQ486"/>
    <mergeCell ref="IU485:IU486"/>
    <mergeCell ref="IW485:IW486"/>
    <mergeCell ref="IZ485:IZ486"/>
    <mergeCell ref="JC485:JC486"/>
    <mergeCell ref="JD485:JD486"/>
    <mergeCell ref="JE485:JE486"/>
    <mergeCell ref="IP474:IP475"/>
    <mergeCell ref="IQ474:IQ475"/>
    <mergeCell ref="IU474:IU475"/>
    <mergeCell ref="IW474:IW475"/>
    <mergeCell ref="IZ474:IZ475"/>
    <mergeCell ref="JC474:JC475"/>
    <mergeCell ref="JD474:JD475"/>
    <mergeCell ref="JE474:JE475"/>
    <mergeCell ref="JG469:JG470"/>
    <mergeCell ref="JH469:JH470"/>
    <mergeCell ref="JJ469:JJ470"/>
    <mergeCell ref="JG472:JG473"/>
    <mergeCell ref="JH472:JH473"/>
    <mergeCell ref="JJ472:JJ473"/>
    <mergeCell ref="JG474:JG475"/>
    <mergeCell ref="JH474:JH475"/>
    <mergeCell ref="JJ474:JJ475"/>
    <mergeCell ref="HX473:HX474"/>
    <mergeCell ref="HY473:HY474"/>
    <mergeCell ref="HZ473:HZ474"/>
    <mergeCell ref="HH473:HH474"/>
    <mergeCell ref="HI473:HI474"/>
    <mergeCell ref="IZ467:IZ468"/>
    <mergeCell ref="JC467:JC468"/>
    <mergeCell ref="JD467:JD468"/>
    <mergeCell ref="JE467:JE468"/>
    <mergeCell ref="JR467:JR468"/>
    <mergeCell ref="JT467:JT468"/>
    <mergeCell ref="JV467:JV468"/>
    <mergeCell ref="JX467:JX468"/>
    <mergeCell ref="JZ467:JZ468"/>
    <mergeCell ref="HG468:HG469"/>
    <mergeCell ref="JR469:JR470"/>
    <mergeCell ref="HW473:HW474"/>
    <mergeCell ref="JC457:JC458"/>
    <mergeCell ref="JD457:JD458"/>
    <mergeCell ref="JE457:JE458"/>
    <mergeCell ref="JR457:JR458"/>
    <mergeCell ref="JT457:JT458"/>
    <mergeCell ref="JV457:JV458"/>
    <mergeCell ref="JX457:JX458"/>
    <mergeCell ref="JZ457:JZ458"/>
    <mergeCell ref="HG458:HG459"/>
    <mergeCell ref="FP459:FP460"/>
    <mergeCell ref="IP459:IP460"/>
    <mergeCell ref="IQ459:IQ460"/>
    <mergeCell ref="IU459:IU460"/>
    <mergeCell ref="IW459:IW460"/>
    <mergeCell ref="IZ459:IZ460"/>
    <mergeCell ref="JC459:JC460"/>
    <mergeCell ref="JD459:JD460"/>
    <mergeCell ref="JE459:JE460"/>
    <mergeCell ref="JR459:JR460"/>
    <mergeCell ref="JT459:JT460"/>
    <mergeCell ref="JV459:JV460"/>
    <mergeCell ref="JX459:JX460"/>
    <mergeCell ref="JZ459:JZ460"/>
    <mergeCell ref="FP462:FP463"/>
    <mergeCell ref="IP462:IP463"/>
    <mergeCell ref="IQ462:IQ463"/>
    <mergeCell ref="IU462:IU463"/>
    <mergeCell ref="IW462:IW463"/>
    <mergeCell ref="IZ462:IZ463"/>
    <mergeCell ref="JC462:JC463"/>
    <mergeCell ref="JD462:JD463"/>
    <mergeCell ref="JE462:JE463"/>
    <mergeCell ref="JR462:JR463"/>
    <mergeCell ref="JT462:JT463"/>
    <mergeCell ref="JV462:JV463"/>
    <mergeCell ref="JX462:JX463"/>
    <mergeCell ref="JZ462:JZ463"/>
    <mergeCell ref="HG463:HG464"/>
    <mergeCell ref="FP464:FP465"/>
    <mergeCell ref="IP464:IP465"/>
    <mergeCell ref="IQ464:IQ465"/>
    <mergeCell ref="IU464:IU465"/>
    <mergeCell ref="IW464:IW465"/>
    <mergeCell ref="IZ464:IZ465"/>
    <mergeCell ref="JC464:JC465"/>
    <mergeCell ref="JD464:JD465"/>
    <mergeCell ref="JH464:JH465"/>
    <mergeCell ref="JJ464:JJ465"/>
    <mergeCell ref="JE464:JE465"/>
    <mergeCell ref="JR464:JR465"/>
    <mergeCell ref="JG467:JG468"/>
    <mergeCell ref="JH467:JH468"/>
    <mergeCell ref="JT464:JT465"/>
    <mergeCell ref="JV464:JV465"/>
    <mergeCell ref="JX464:JX465"/>
    <mergeCell ref="JZ464:JZ465"/>
    <mergeCell ref="IQ472:IQ473"/>
    <mergeCell ref="IU472:IU473"/>
    <mergeCell ref="IW472:IW473"/>
    <mergeCell ref="IZ472:IZ473"/>
    <mergeCell ref="JC472:JC473"/>
    <mergeCell ref="JD472:JD473"/>
    <mergeCell ref="JE472:JE473"/>
    <mergeCell ref="JR472:JR473"/>
    <mergeCell ref="JT472:JT473"/>
    <mergeCell ref="JV472:JV473"/>
    <mergeCell ref="JX472:JX473"/>
    <mergeCell ref="JG464:JG465"/>
    <mergeCell ref="IP447:IP448"/>
    <mergeCell ref="IQ447:IQ448"/>
    <mergeCell ref="IU447:IU448"/>
    <mergeCell ref="IW447:IW448"/>
    <mergeCell ref="IZ447:IZ448"/>
    <mergeCell ref="JC447:JC448"/>
    <mergeCell ref="JD447:JD448"/>
    <mergeCell ref="JE447:JE448"/>
    <mergeCell ref="JR447:JR448"/>
    <mergeCell ref="JT447:JT448"/>
    <mergeCell ref="JV447:JV448"/>
    <mergeCell ref="JX447:JX448"/>
    <mergeCell ref="JZ447:JZ448"/>
    <mergeCell ref="HG448:HG449"/>
    <mergeCell ref="FP449:FP450"/>
    <mergeCell ref="IP449:IP450"/>
    <mergeCell ref="IQ449:IQ450"/>
    <mergeCell ref="IU449:IU450"/>
    <mergeCell ref="IW449:IW450"/>
    <mergeCell ref="IZ449:IZ450"/>
    <mergeCell ref="JC449:JC450"/>
    <mergeCell ref="JD449:JD450"/>
    <mergeCell ref="JE449:JE450"/>
    <mergeCell ref="JR449:JR450"/>
    <mergeCell ref="JT449:JT450"/>
    <mergeCell ref="JV449:JV450"/>
    <mergeCell ref="JX449:JX450"/>
    <mergeCell ref="JZ449:JZ450"/>
    <mergeCell ref="FP452:FP453"/>
    <mergeCell ref="IP452:IP453"/>
    <mergeCell ref="IQ452:IQ453"/>
    <mergeCell ref="IU452:IU453"/>
    <mergeCell ref="IW452:IW453"/>
    <mergeCell ref="IZ452:IZ453"/>
    <mergeCell ref="JC452:JC453"/>
    <mergeCell ref="JD452:JD453"/>
    <mergeCell ref="JE452:JE453"/>
    <mergeCell ref="JR452:JR453"/>
    <mergeCell ref="JT452:JT453"/>
    <mergeCell ref="JV452:JV453"/>
    <mergeCell ref="JX452:JX453"/>
    <mergeCell ref="JZ452:JZ453"/>
    <mergeCell ref="HG453:HG454"/>
    <mergeCell ref="FP454:FP455"/>
    <mergeCell ref="IP454:IP455"/>
    <mergeCell ref="IQ454:IQ455"/>
    <mergeCell ref="IZ454:IZ455"/>
    <mergeCell ref="JC454:JC455"/>
    <mergeCell ref="JD454:JD455"/>
    <mergeCell ref="JE454:JE455"/>
    <mergeCell ref="JR454:JR455"/>
    <mergeCell ref="JT454:JT455"/>
    <mergeCell ref="JV454:JV455"/>
    <mergeCell ref="JX454:JX455"/>
    <mergeCell ref="JZ454:JZ455"/>
    <mergeCell ref="HM448:HM449"/>
    <mergeCell ref="HN448:HN449"/>
    <mergeCell ref="HO448:HO449"/>
    <mergeCell ref="HP448:HP449"/>
    <mergeCell ref="HQ448:HQ449"/>
    <mergeCell ref="HR448:HR449"/>
    <mergeCell ref="IP437:IP438"/>
    <mergeCell ref="IQ437:IQ438"/>
    <mergeCell ref="IU437:IU438"/>
    <mergeCell ref="IW437:IW438"/>
    <mergeCell ref="IZ437:IZ438"/>
    <mergeCell ref="JC437:JC438"/>
    <mergeCell ref="JD437:JD438"/>
    <mergeCell ref="JE437:JE438"/>
    <mergeCell ref="JR437:JR438"/>
    <mergeCell ref="JT437:JT438"/>
    <mergeCell ref="JV437:JV438"/>
    <mergeCell ref="JX437:JX438"/>
    <mergeCell ref="JZ437:JZ438"/>
    <mergeCell ref="HG438:HG439"/>
    <mergeCell ref="FP439:FP440"/>
    <mergeCell ref="IP439:IP440"/>
    <mergeCell ref="IQ439:IQ440"/>
    <mergeCell ref="IU439:IU440"/>
    <mergeCell ref="IW439:IW440"/>
    <mergeCell ref="IZ439:IZ440"/>
    <mergeCell ref="JC439:JC440"/>
    <mergeCell ref="JD439:JD440"/>
    <mergeCell ref="JE439:JE440"/>
    <mergeCell ref="JR439:JR440"/>
    <mergeCell ref="JT439:JT440"/>
    <mergeCell ref="JV439:JV440"/>
    <mergeCell ref="JX439:JX440"/>
    <mergeCell ref="JZ439:JZ440"/>
    <mergeCell ref="FP442:FP443"/>
    <mergeCell ref="IP442:IP443"/>
    <mergeCell ref="IQ442:IQ443"/>
    <mergeCell ref="IU442:IU443"/>
    <mergeCell ref="IW442:IW443"/>
    <mergeCell ref="IZ442:IZ443"/>
    <mergeCell ref="JC442:JC443"/>
    <mergeCell ref="JD442:JD443"/>
    <mergeCell ref="JE442:JE443"/>
    <mergeCell ref="JR442:JR443"/>
    <mergeCell ref="JT442:JT443"/>
    <mergeCell ref="JV442:JV443"/>
    <mergeCell ref="JX442:JX443"/>
    <mergeCell ref="JZ442:JZ443"/>
    <mergeCell ref="HG443:HG444"/>
    <mergeCell ref="FP444:FP445"/>
    <mergeCell ref="IP444:IP445"/>
    <mergeCell ref="IQ444:IQ445"/>
    <mergeCell ref="IU444:IU445"/>
    <mergeCell ref="IW444:IW445"/>
    <mergeCell ref="IZ444:IZ445"/>
    <mergeCell ref="JC444:JC445"/>
    <mergeCell ref="JD444:JD445"/>
    <mergeCell ref="JE444:JE445"/>
    <mergeCell ref="JR444:JR445"/>
    <mergeCell ref="JT444:JT445"/>
    <mergeCell ref="JV444:JV445"/>
    <mergeCell ref="JX444:JX445"/>
    <mergeCell ref="JZ444:JZ445"/>
    <mergeCell ref="IY437:IY438"/>
    <mergeCell ref="JA442:JA443"/>
    <mergeCell ref="IY444:IY445"/>
    <mergeCell ref="JA444:JA445"/>
    <mergeCell ref="IM442:IM443"/>
    <mergeCell ref="IN442:IN445"/>
    <mergeCell ref="IC444:IC445"/>
    <mergeCell ref="IQ427:IQ428"/>
    <mergeCell ref="IU427:IU428"/>
    <mergeCell ref="IW427:IW428"/>
    <mergeCell ref="IZ427:IZ428"/>
    <mergeCell ref="JC427:JC428"/>
    <mergeCell ref="JD427:JD428"/>
    <mergeCell ref="JE427:JE428"/>
    <mergeCell ref="JR427:JR428"/>
    <mergeCell ref="JT427:JT428"/>
    <mergeCell ref="JV427:JV428"/>
    <mergeCell ref="JX427:JX428"/>
    <mergeCell ref="JZ427:JZ428"/>
    <mergeCell ref="HG428:HG429"/>
    <mergeCell ref="FP429:FP430"/>
    <mergeCell ref="IP429:IP430"/>
    <mergeCell ref="IQ429:IQ430"/>
    <mergeCell ref="IU429:IU430"/>
    <mergeCell ref="IW429:IW430"/>
    <mergeCell ref="IZ429:IZ430"/>
    <mergeCell ref="JC429:JC430"/>
    <mergeCell ref="JD429:JD430"/>
    <mergeCell ref="JE429:JE430"/>
    <mergeCell ref="JR429:JR430"/>
    <mergeCell ref="JT429:JT430"/>
    <mergeCell ref="JV429:JV430"/>
    <mergeCell ref="JX429:JX430"/>
    <mergeCell ref="JZ429:JZ430"/>
    <mergeCell ref="FP432:FP433"/>
    <mergeCell ref="IP432:IP433"/>
    <mergeCell ref="IQ432:IQ433"/>
    <mergeCell ref="IU432:IU433"/>
    <mergeCell ref="IW432:IW433"/>
    <mergeCell ref="IZ432:IZ433"/>
    <mergeCell ref="JC432:JC433"/>
    <mergeCell ref="JD432:JD433"/>
    <mergeCell ref="JE432:JE433"/>
    <mergeCell ref="JR432:JR433"/>
    <mergeCell ref="JT432:JT433"/>
    <mergeCell ref="JV432:JV433"/>
    <mergeCell ref="JX432:JX433"/>
    <mergeCell ref="JZ432:JZ433"/>
    <mergeCell ref="HG433:HG434"/>
    <mergeCell ref="FP434:FP435"/>
    <mergeCell ref="IP434:IP435"/>
    <mergeCell ref="IQ434:IQ435"/>
    <mergeCell ref="IU434:IU435"/>
    <mergeCell ref="IW434:IW435"/>
    <mergeCell ref="IZ434:IZ435"/>
    <mergeCell ref="JC434:JC435"/>
    <mergeCell ref="JD434:JD435"/>
    <mergeCell ref="JE434:JE435"/>
    <mergeCell ref="JR434:JR435"/>
    <mergeCell ref="JT434:JT435"/>
    <mergeCell ref="JV434:JV435"/>
    <mergeCell ref="JX434:JX435"/>
    <mergeCell ref="JZ434:JZ435"/>
    <mergeCell ref="IY429:IY430"/>
    <mergeCell ref="GD427:GD430"/>
    <mergeCell ref="GE427:GE430"/>
    <mergeCell ref="GF427:GF430"/>
    <mergeCell ref="GG427:GG430"/>
    <mergeCell ref="GH427:GH430"/>
    <mergeCell ref="GK427:GK430"/>
    <mergeCell ref="IR427:IR428"/>
    <mergeCell ref="IU417:IU418"/>
    <mergeCell ref="IW417:IW418"/>
    <mergeCell ref="IZ417:IZ418"/>
    <mergeCell ref="JC417:JC418"/>
    <mergeCell ref="JD417:JD418"/>
    <mergeCell ref="JE417:JE418"/>
    <mergeCell ref="JR417:JR418"/>
    <mergeCell ref="JT417:JT418"/>
    <mergeCell ref="JV417:JV418"/>
    <mergeCell ref="JX417:JX418"/>
    <mergeCell ref="JZ417:JZ418"/>
    <mergeCell ref="HG418:HG419"/>
    <mergeCell ref="FP419:FP420"/>
    <mergeCell ref="IP419:IP420"/>
    <mergeCell ref="IQ419:IQ420"/>
    <mergeCell ref="IU419:IU420"/>
    <mergeCell ref="IW419:IW420"/>
    <mergeCell ref="IZ419:IZ420"/>
    <mergeCell ref="JC419:JC420"/>
    <mergeCell ref="JD419:JD420"/>
    <mergeCell ref="JE419:JE420"/>
    <mergeCell ref="JR419:JR420"/>
    <mergeCell ref="JT419:JT420"/>
    <mergeCell ref="JV419:JV420"/>
    <mergeCell ref="JX419:JX420"/>
    <mergeCell ref="JZ419:JZ420"/>
    <mergeCell ref="FP422:FP423"/>
    <mergeCell ref="IP422:IP423"/>
    <mergeCell ref="IQ422:IQ423"/>
    <mergeCell ref="IU422:IU423"/>
    <mergeCell ref="IW422:IW423"/>
    <mergeCell ref="IZ422:IZ423"/>
    <mergeCell ref="JC422:JC423"/>
    <mergeCell ref="JD422:JD423"/>
    <mergeCell ref="JE422:JE423"/>
    <mergeCell ref="JR422:JR423"/>
    <mergeCell ref="JT422:JT423"/>
    <mergeCell ref="JV422:JV423"/>
    <mergeCell ref="JX422:JX423"/>
    <mergeCell ref="JZ422:JZ423"/>
    <mergeCell ref="HG423:HG424"/>
    <mergeCell ref="FP424:FP425"/>
    <mergeCell ref="IP424:IP425"/>
    <mergeCell ref="IQ424:IQ425"/>
    <mergeCell ref="IU424:IU425"/>
    <mergeCell ref="IW424:IW425"/>
    <mergeCell ref="IZ424:IZ425"/>
    <mergeCell ref="JC424:JC425"/>
    <mergeCell ref="JD424:JD425"/>
    <mergeCell ref="JE424:JE425"/>
    <mergeCell ref="JR424:JR425"/>
    <mergeCell ref="JT424:JT425"/>
    <mergeCell ref="JV424:JV425"/>
    <mergeCell ref="JX424:JX425"/>
    <mergeCell ref="JZ424:JZ425"/>
    <mergeCell ref="JG424:JG425"/>
    <mergeCell ref="IN422:IN425"/>
    <mergeCell ref="IB422:IB424"/>
    <mergeCell ref="IC422:IC423"/>
    <mergeCell ref="IK424:IK425"/>
    <mergeCell ref="IP417:IP418"/>
    <mergeCell ref="IQ417:IQ418"/>
    <mergeCell ref="IM424:IM425"/>
    <mergeCell ref="IP407:IP408"/>
    <mergeCell ref="IQ407:IQ408"/>
    <mergeCell ref="IU407:IU408"/>
    <mergeCell ref="IW407:IW408"/>
    <mergeCell ref="IZ407:IZ408"/>
    <mergeCell ref="JC407:JC408"/>
    <mergeCell ref="JD407:JD408"/>
    <mergeCell ref="JE407:JE408"/>
    <mergeCell ref="JR407:JR408"/>
    <mergeCell ref="JT407:JT408"/>
    <mergeCell ref="JV407:JV408"/>
    <mergeCell ref="JX407:JX408"/>
    <mergeCell ref="JZ407:JZ408"/>
    <mergeCell ref="HG408:HG409"/>
    <mergeCell ref="FP409:FP410"/>
    <mergeCell ref="IP409:IP410"/>
    <mergeCell ref="IQ409:IQ410"/>
    <mergeCell ref="IU409:IU410"/>
    <mergeCell ref="IW409:IW410"/>
    <mergeCell ref="IZ409:IZ410"/>
    <mergeCell ref="JC409:JC410"/>
    <mergeCell ref="JD409:JD410"/>
    <mergeCell ref="JE409:JE410"/>
    <mergeCell ref="JR409:JR410"/>
    <mergeCell ref="JT409:JT410"/>
    <mergeCell ref="JV409:JV410"/>
    <mergeCell ref="JX409:JX410"/>
    <mergeCell ref="JZ409:JZ410"/>
    <mergeCell ref="FP412:FP413"/>
    <mergeCell ref="IP412:IP413"/>
    <mergeCell ref="IQ412:IQ413"/>
    <mergeCell ref="IU412:IU413"/>
    <mergeCell ref="IW412:IW413"/>
    <mergeCell ref="IZ412:IZ413"/>
    <mergeCell ref="JC412:JC413"/>
    <mergeCell ref="JD412:JD413"/>
    <mergeCell ref="JE412:JE413"/>
    <mergeCell ref="JR412:JR413"/>
    <mergeCell ref="JT412:JT413"/>
    <mergeCell ref="JV412:JV413"/>
    <mergeCell ref="JX412:JX413"/>
    <mergeCell ref="JZ412:JZ413"/>
    <mergeCell ref="HG413:HG414"/>
    <mergeCell ref="FP414:FP415"/>
    <mergeCell ref="IP414:IP415"/>
    <mergeCell ref="IQ414:IQ415"/>
    <mergeCell ref="IU414:IU415"/>
    <mergeCell ref="IW414:IW415"/>
    <mergeCell ref="IZ414:IZ415"/>
    <mergeCell ref="JC414:JC415"/>
    <mergeCell ref="JD414:JD415"/>
    <mergeCell ref="JE414:JE415"/>
    <mergeCell ref="JR414:JR415"/>
    <mergeCell ref="JT414:JT415"/>
    <mergeCell ref="JV414:JV415"/>
    <mergeCell ref="JX414:JX415"/>
    <mergeCell ref="JZ414:JZ415"/>
    <mergeCell ref="IF412:IF415"/>
    <mergeCell ref="IG412:IG413"/>
    <mergeCell ref="IG414:IG415"/>
    <mergeCell ref="IK414:IK415"/>
    <mergeCell ref="IM414:IM415"/>
    <mergeCell ref="HX408:HX409"/>
    <mergeCell ref="HY408:HY409"/>
    <mergeCell ref="JC82:JC83"/>
    <mergeCell ref="JD82:JD83"/>
    <mergeCell ref="JE82:JE83"/>
    <mergeCell ref="JX82:JX83"/>
    <mergeCell ref="JZ82:JZ83"/>
    <mergeCell ref="HG83:HG84"/>
    <mergeCell ref="IU84:IU85"/>
    <mergeCell ref="JC84:JC85"/>
    <mergeCell ref="JD84:JD85"/>
    <mergeCell ref="JE84:JE85"/>
    <mergeCell ref="JX84:JX85"/>
    <mergeCell ref="JZ84:JZ85"/>
    <mergeCell ref="IU87:IU88"/>
    <mergeCell ref="JC87:JC88"/>
    <mergeCell ref="JD87:JD88"/>
    <mergeCell ref="JE87:JE88"/>
    <mergeCell ref="JX87:JX88"/>
    <mergeCell ref="JZ87:JZ88"/>
    <mergeCell ref="HG88:HG89"/>
    <mergeCell ref="IU89:IU90"/>
    <mergeCell ref="JC89:JC90"/>
    <mergeCell ref="JD89:JD90"/>
    <mergeCell ref="JE89:JE90"/>
    <mergeCell ref="JX89:JX90"/>
    <mergeCell ref="JZ89:JZ90"/>
    <mergeCell ref="IU95:IU96"/>
    <mergeCell ref="JC95:JC96"/>
    <mergeCell ref="JD95:JD96"/>
    <mergeCell ref="JE95:JE96"/>
    <mergeCell ref="JX95:JX96"/>
    <mergeCell ref="JZ95:JZ96"/>
    <mergeCell ref="HG96:HG97"/>
    <mergeCell ref="IU97:IU98"/>
    <mergeCell ref="JC97:JC98"/>
    <mergeCell ref="JD97:JD98"/>
    <mergeCell ref="JE97:JE98"/>
    <mergeCell ref="JX97:JX98"/>
    <mergeCell ref="JZ97:JZ98"/>
    <mergeCell ref="IY82:IY83"/>
    <mergeCell ref="JA82:JA83"/>
    <mergeCell ref="IY84:IY85"/>
    <mergeCell ref="JA84:JA85"/>
    <mergeCell ref="IY87:IY88"/>
    <mergeCell ref="JA87:JA88"/>
    <mergeCell ref="IY89:IY90"/>
    <mergeCell ref="JA89:JA90"/>
    <mergeCell ref="IY95:IY96"/>
    <mergeCell ref="JA95:JA96"/>
    <mergeCell ref="IY97:IY98"/>
    <mergeCell ref="JA97:JA98"/>
    <mergeCell ref="JR82:JR83"/>
    <mergeCell ref="JT82:JT83"/>
    <mergeCell ref="JR84:JR85"/>
    <mergeCell ref="JT84:JT85"/>
    <mergeCell ref="JR87:JR88"/>
    <mergeCell ref="JT87:JT88"/>
    <mergeCell ref="JR89:JR90"/>
    <mergeCell ref="JT89:JT90"/>
    <mergeCell ref="JR95:JR96"/>
    <mergeCell ref="JT95:JT96"/>
    <mergeCell ref="JR97:JR98"/>
    <mergeCell ref="JT97:JT98"/>
    <mergeCell ref="JV82:JV83"/>
    <mergeCell ref="HW53:HW54"/>
    <mergeCell ref="HX53:HX54"/>
    <mergeCell ref="HY53:HY54"/>
    <mergeCell ref="HZ53:HZ54"/>
    <mergeCell ref="ID53:ID54"/>
    <mergeCell ref="HM53:HM54"/>
    <mergeCell ref="HN53:HN54"/>
    <mergeCell ref="HO53:HO54"/>
    <mergeCell ref="HP53:HP54"/>
    <mergeCell ref="HQ53:HQ54"/>
    <mergeCell ref="HR53:HR54"/>
    <mergeCell ref="JV84:JV85"/>
    <mergeCell ref="JX67:JX68"/>
    <mergeCell ref="JZ67:JZ68"/>
    <mergeCell ref="HG68:HG69"/>
    <mergeCell ref="IU69:IU70"/>
    <mergeCell ref="JC69:JC70"/>
    <mergeCell ref="JD69:JD70"/>
    <mergeCell ref="JE69:JE70"/>
    <mergeCell ref="JX69:JX70"/>
    <mergeCell ref="JZ69:JZ70"/>
    <mergeCell ref="IU72:IU73"/>
    <mergeCell ref="JC72:JC73"/>
    <mergeCell ref="JD72:JD73"/>
    <mergeCell ref="JE72:JE73"/>
    <mergeCell ref="JX72:JX73"/>
    <mergeCell ref="JZ72:JZ73"/>
    <mergeCell ref="HG73:HG74"/>
    <mergeCell ref="IU74:IU75"/>
    <mergeCell ref="JC74:JC75"/>
    <mergeCell ref="JD74:JD75"/>
    <mergeCell ref="JE74:JE75"/>
    <mergeCell ref="JX74:JX75"/>
    <mergeCell ref="JZ74:JZ75"/>
    <mergeCell ref="IU77:IU78"/>
    <mergeCell ref="JC77:JC78"/>
    <mergeCell ref="JD77:JD78"/>
    <mergeCell ref="JE77:JE78"/>
    <mergeCell ref="JX77:JX78"/>
    <mergeCell ref="JZ77:JZ78"/>
    <mergeCell ref="HG78:HG79"/>
    <mergeCell ref="IU79:IU80"/>
    <mergeCell ref="JC79:JC80"/>
    <mergeCell ref="JD79:JD80"/>
    <mergeCell ref="JE79:JE80"/>
    <mergeCell ref="JX79:JX80"/>
    <mergeCell ref="JZ79:JZ80"/>
    <mergeCell ref="JA74:JA75"/>
    <mergeCell ref="IY77:IY78"/>
    <mergeCell ref="JA77:JA78"/>
    <mergeCell ref="IY79:IY80"/>
    <mergeCell ref="JA79:JA80"/>
    <mergeCell ref="JT74:JT75"/>
    <mergeCell ref="JV74:JV75"/>
    <mergeCell ref="JV77:JV78"/>
    <mergeCell ref="JV79:JV80"/>
    <mergeCell ref="JN74:JN75"/>
    <mergeCell ref="JN77:JN78"/>
    <mergeCell ref="JN79:JN80"/>
    <mergeCell ref="JG72:JG73"/>
    <mergeCell ref="JH72:JH73"/>
    <mergeCell ref="JJ72:JJ73"/>
    <mergeCell ref="JG74:JG75"/>
    <mergeCell ref="JH74:JH75"/>
    <mergeCell ref="JX52:JX53"/>
    <mergeCell ref="JZ52:JZ53"/>
    <mergeCell ref="IU54:IU55"/>
    <mergeCell ref="JC54:JC55"/>
    <mergeCell ref="JD54:JD55"/>
    <mergeCell ref="JE54:JE55"/>
    <mergeCell ref="JX54:JX55"/>
    <mergeCell ref="JZ54:JZ55"/>
    <mergeCell ref="IU57:IU58"/>
    <mergeCell ref="JC57:JC58"/>
    <mergeCell ref="JD57:JD58"/>
    <mergeCell ref="JE57:JE58"/>
    <mergeCell ref="JX57:JX58"/>
    <mergeCell ref="JZ57:JZ58"/>
    <mergeCell ref="IU59:IU60"/>
    <mergeCell ref="JC59:JC60"/>
    <mergeCell ref="JD59:JD60"/>
    <mergeCell ref="JE59:JE60"/>
    <mergeCell ref="JX59:JX60"/>
    <mergeCell ref="JZ59:JZ60"/>
    <mergeCell ref="IU62:IU63"/>
    <mergeCell ref="JC62:JC63"/>
    <mergeCell ref="JD62:JD63"/>
    <mergeCell ref="JE62:JE63"/>
    <mergeCell ref="JX62:JX63"/>
    <mergeCell ref="JZ62:JZ63"/>
    <mergeCell ref="IU64:IU65"/>
    <mergeCell ref="JC64:JC65"/>
    <mergeCell ref="JD64:JD65"/>
    <mergeCell ref="JE64:JE65"/>
    <mergeCell ref="JX64:JX65"/>
    <mergeCell ref="JZ64:JZ65"/>
    <mergeCell ref="JG62:JG63"/>
    <mergeCell ref="JH62:JH63"/>
    <mergeCell ref="JJ62:JJ63"/>
    <mergeCell ref="JG64:JG65"/>
    <mergeCell ref="JH64:JH65"/>
    <mergeCell ref="JJ64:JJ65"/>
    <mergeCell ref="IX52:IX53"/>
    <mergeCell ref="IX54:IX55"/>
    <mergeCell ref="IX57:IX58"/>
    <mergeCell ref="IX59:IX60"/>
    <mergeCell ref="JR57:JR58"/>
    <mergeCell ref="JR59:JR60"/>
    <mergeCell ref="JR52:JR53"/>
    <mergeCell ref="JR54:JR55"/>
    <mergeCell ref="JC47:JC48"/>
    <mergeCell ref="JD47:JD48"/>
    <mergeCell ref="JC49:JC50"/>
    <mergeCell ref="JD49:JD50"/>
    <mergeCell ref="JE47:JE48"/>
    <mergeCell ref="JE49:JE50"/>
    <mergeCell ref="IU16:IU18"/>
    <mergeCell ref="IU32:IU34"/>
    <mergeCell ref="IT32:IT34"/>
    <mergeCell ref="IV32:IV34"/>
    <mergeCell ref="IX32:IX34"/>
    <mergeCell ref="IY32:IY34"/>
    <mergeCell ref="IV28:IX28"/>
    <mergeCell ref="IY28:JA28"/>
    <mergeCell ref="JA32:JA34"/>
    <mergeCell ref="IU47:IU48"/>
    <mergeCell ref="IU49:IU50"/>
    <mergeCell ref="FP49:FP50"/>
    <mergeCell ref="FP52:FP53"/>
    <mergeCell ref="FP54:FP55"/>
    <mergeCell ref="HG58:HG59"/>
    <mergeCell ref="IU67:IU68"/>
    <mergeCell ref="IQ47:IQ48"/>
    <mergeCell ref="IQ49:IQ50"/>
    <mergeCell ref="IW47:IW48"/>
    <mergeCell ref="IW49:IW50"/>
    <mergeCell ref="IU52:IU53"/>
    <mergeCell ref="IR52:IR53"/>
    <mergeCell ref="IS52:IS53"/>
    <mergeCell ref="IT52:IT53"/>
    <mergeCell ref="IV52:IV53"/>
    <mergeCell ref="IR54:IR55"/>
    <mergeCell ref="IS54:IS55"/>
    <mergeCell ref="IT54:IT55"/>
    <mergeCell ref="IV54:IV55"/>
    <mergeCell ref="IV57:IV58"/>
    <mergeCell ref="IV59:IV60"/>
    <mergeCell ref="IL47:IL50"/>
    <mergeCell ref="FP47:FP48"/>
    <mergeCell ref="FX47:FX48"/>
    <mergeCell ref="IG54:IG55"/>
    <mergeCell ref="GG67:GG70"/>
    <mergeCell ref="GN63:GN64"/>
    <mergeCell ref="GP63:GP64"/>
    <mergeCell ref="GQ63:GQ64"/>
    <mergeCell ref="HH63:HH64"/>
    <mergeCell ref="JC52:JC53"/>
    <mergeCell ref="JD52:JD53"/>
    <mergeCell ref="JE52:JE53"/>
    <mergeCell ref="JC67:JC68"/>
    <mergeCell ref="JD67:JD68"/>
    <mergeCell ref="JE67:JE68"/>
    <mergeCell ref="IM47:IM48"/>
    <mergeCell ref="IM49:IM50"/>
    <mergeCell ref="GE47:GE50"/>
    <mergeCell ref="GF47:GF50"/>
    <mergeCell ref="IF57:IF60"/>
    <mergeCell ref="IG57:IG58"/>
    <mergeCell ref="IH57:IH60"/>
    <mergeCell ref="HR48:HR49"/>
    <mergeCell ref="GC57:GC60"/>
    <mergeCell ref="HT53:HT54"/>
    <mergeCell ref="HU53:HU54"/>
    <mergeCell ref="HV53:HV54"/>
    <mergeCell ref="IY734:IY735"/>
    <mergeCell ref="JA734:JA735"/>
    <mergeCell ref="IY736:IY737"/>
    <mergeCell ref="JA736:JA737"/>
    <mergeCell ref="IY739:IY740"/>
    <mergeCell ref="JA739:JA740"/>
    <mergeCell ref="IY741:IY742"/>
    <mergeCell ref="JA741:JA742"/>
    <mergeCell ref="IY563:IY564"/>
    <mergeCell ref="JA563:JA564"/>
    <mergeCell ref="IY565:IY566"/>
    <mergeCell ref="JA565:JA566"/>
    <mergeCell ref="IY568:IY569"/>
    <mergeCell ref="JA568:JA569"/>
    <mergeCell ref="IY570:IY571"/>
    <mergeCell ref="JA570:JA571"/>
    <mergeCell ref="IY573:IY574"/>
    <mergeCell ref="JA573:JA574"/>
    <mergeCell ref="IY575:IY576"/>
    <mergeCell ref="JA575:JA576"/>
    <mergeCell ref="IY578:IY579"/>
    <mergeCell ref="JA578:JA579"/>
    <mergeCell ref="IY580:IY581"/>
    <mergeCell ref="JA580:JA581"/>
    <mergeCell ref="IY583:IY584"/>
    <mergeCell ref="JA583:JA584"/>
    <mergeCell ref="IY585:IY586"/>
    <mergeCell ref="JA585:JA586"/>
    <mergeCell ref="IY588:IY589"/>
    <mergeCell ref="JA588:JA589"/>
    <mergeCell ref="IY590:IY591"/>
    <mergeCell ref="JA590:JA591"/>
    <mergeCell ref="IY593:IY594"/>
    <mergeCell ref="JA593:JA594"/>
    <mergeCell ref="IY595:IY596"/>
    <mergeCell ref="JA595:JA596"/>
    <mergeCell ref="IY598:IY599"/>
    <mergeCell ref="JA598:JA599"/>
    <mergeCell ref="IY605:IY606"/>
    <mergeCell ref="JA605:JA606"/>
    <mergeCell ref="IY608:IY609"/>
    <mergeCell ref="JA608:JA609"/>
    <mergeCell ref="IY610:IY611"/>
    <mergeCell ref="JA610:JA611"/>
    <mergeCell ref="IY613:IY614"/>
    <mergeCell ref="JA613:JA614"/>
    <mergeCell ref="IY615:IY616"/>
    <mergeCell ref="JA615:JA616"/>
    <mergeCell ref="IY618:IY619"/>
    <mergeCell ref="JA618:JA619"/>
    <mergeCell ref="IY620:IY621"/>
    <mergeCell ref="JA620:JA621"/>
    <mergeCell ref="IY623:IY624"/>
    <mergeCell ref="JA623:JA624"/>
    <mergeCell ref="IY625:IY626"/>
    <mergeCell ref="JA625:JA626"/>
    <mergeCell ref="IY628:IY629"/>
    <mergeCell ref="JA628:JA629"/>
    <mergeCell ref="IY630:IY631"/>
    <mergeCell ref="JA630:JA631"/>
    <mergeCell ref="IY633:IY634"/>
    <mergeCell ref="JA633:JA634"/>
    <mergeCell ref="IY635:IY636"/>
    <mergeCell ref="JA635:JA636"/>
    <mergeCell ref="IY641:IY642"/>
    <mergeCell ref="JA641:JA642"/>
    <mergeCell ref="IY643:IY644"/>
    <mergeCell ref="JA643:JA644"/>
    <mergeCell ref="IY646:IY647"/>
    <mergeCell ref="JA646:JA647"/>
    <mergeCell ref="IY648:IY649"/>
    <mergeCell ref="JA648:JA649"/>
    <mergeCell ref="IY751:IY752"/>
    <mergeCell ref="JA751:JA752"/>
    <mergeCell ref="IY754:IY755"/>
    <mergeCell ref="JA754:JA755"/>
    <mergeCell ref="IY756:IY757"/>
    <mergeCell ref="JA756:JA757"/>
    <mergeCell ref="IY759:IY760"/>
    <mergeCell ref="JA759:JA760"/>
    <mergeCell ref="IY761:IY762"/>
    <mergeCell ref="JA761:JA762"/>
    <mergeCell ref="IY764:IY765"/>
    <mergeCell ref="JA764:JA765"/>
    <mergeCell ref="IY766:IY767"/>
    <mergeCell ref="JA766:JA767"/>
    <mergeCell ref="IY769:IY770"/>
    <mergeCell ref="JA769:JA770"/>
    <mergeCell ref="JA729:JA730"/>
    <mergeCell ref="IY731:IY732"/>
    <mergeCell ref="JA731:JA732"/>
    <mergeCell ref="IY688:IY689"/>
    <mergeCell ref="JA688:JA689"/>
    <mergeCell ref="IY691:IY692"/>
    <mergeCell ref="JA691:JA692"/>
    <mergeCell ref="IY693:IY694"/>
    <mergeCell ref="JA693:JA694"/>
    <mergeCell ref="IY696:IY697"/>
    <mergeCell ref="JA696:JA697"/>
    <mergeCell ref="IY698:IY699"/>
    <mergeCell ref="JA698:JA699"/>
    <mergeCell ref="IY701:IY702"/>
    <mergeCell ref="JA701:JA702"/>
    <mergeCell ref="IY703:IY704"/>
    <mergeCell ref="JA703:JA704"/>
    <mergeCell ref="IY706:IY707"/>
    <mergeCell ref="JA706:JA707"/>
    <mergeCell ref="IY708:IY709"/>
    <mergeCell ref="JA708:JA709"/>
    <mergeCell ref="IY711:IY712"/>
    <mergeCell ref="JA711:JA712"/>
    <mergeCell ref="IY713:IY714"/>
    <mergeCell ref="JA713:JA714"/>
    <mergeCell ref="IY719:IY720"/>
    <mergeCell ref="JA719:JA720"/>
    <mergeCell ref="IY721:IY722"/>
    <mergeCell ref="JA721:JA722"/>
    <mergeCell ref="IY724:IY725"/>
    <mergeCell ref="JA724:JA725"/>
    <mergeCell ref="IY726:IY727"/>
    <mergeCell ref="JA726:JA727"/>
    <mergeCell ref="IY729:IY730"/>
    <mergeCell ref="IY744:IY745"/>
    <mergeCell ref="JA744:JA745"/>
    <mergeCell ref="IY746:IY747"/>
    <mergeCell ref="JA746:JA747"/>
    <mergeCell ref="IY749:IY750"/>
    <mergeCell ref="JA749:JA750"/>
    <mergeCell ref="IZ691:IZ692"/>
    <mergeCell ref="IZ744:IZ745"/>
    <mergeCell ref="IZ754:IZ755"/>
    <mergeCell ref="IY776:IY777"/>
    <mergeCell ref="JA776:JA777"/>
    <mergeCell ref="IY779:IY780"/>
    <mergeCell ref="JA779:JA780"/>
    <mergeCell ref="IY781:IY782"/>
    <mergeCell ref="JA781:JA782"/>
    <mergeCell ref="IY784:IY785"/>
    <mergeCell ref="JA784:JA785"/>
    <mergeCell ref="IY786:IY787"/>
    <mergeCell ref="JA786:JA787"/>
    <mergeCell ref="IY789:IY790"/>
    <mergeCell ref="JA789:JA790"/>
    <mergeCell ref="IY791:IY792"/>
    <mergeCell ref="JA791:JA792"/>
    <mergeCell ref="IQ52:IQ53"/>
    <mergeCell ref="IW52:IW53"/>
    <mergeCell ref="IZ52:IZ53"/>
    <mergeCell ref="IQ54:IQ55"/>
    <mergeCell ref="IW54:IW55"/>
    <mergeCell ref="IZ54:IZ55"/>
    <mergeCell ref="IQ57:IQ58"/>
    <mergeCell ref="IW57:IW58"/>
    <mergeCell ref="IZ57:IZ58"/>
    <mergeCell ref="IQ59:IQ60"/>
    <mergeCell ref="IW59:IW60"/>
    <mergeCell ref="IZ59:IZ60"/>
    <mergeCell ref="IY771:IY772"/>
    <mergeCell ref="IY651:IY652"/>
    <mergeCell ref="JA651:JA652"/>
    <mergeCell ref="IY653:IY654"/>
    <mergeCell ref="JA653:JA654"/>
    <mergeCell ref="IY656:IY657"/>
    <mergeCell ref="JA656:JA657"/>
    <mergeCell ref="IY658:IY659"/>
    <mergeCell ref="JA658:JA659"/>
    <mergeCell ref="IY661:IY662"/>
    <mergeCell ref="JA661:JA662"/>
    <mergeCell ref="IY663:IY664"/>
    <mergeCell ref="JA663:JA664"/>
    <mergeCell ref="IY666:IY667"/>
    <mergeCell ref="JA666:JA667"/>
    <mergeCell ref="IY668:IY669"/>
    <mergeCell ref="JA668:JA669"/>
    <mergeCell ref="IY671:IY672"/>
    <mergeCell ref="JA671:JA672"/>
    <mergeCell ref="IY673:IY674"/>
    <mergeCell ref="JA673:JA674"/>
    <mergeCell ref="IY676:IY677"/>
    <mergeCell ref="JA676:JA677"/>
    <mergeCell ref="IY678:IY679"/>
    <mergeCell ref="JA678:JA679"/>
    <mergeCell ref="IY681:IY682"/>
    <mergeCell ref="JA681:JA682"/>
    <mergeCell ref="IY683:IY684"/>
    <mergeCell ref="JA683:JA684"/>
    <mergeCell ref="IY686:IY687"/>
    <mergeCell ref="JA686:JA687"/>
    <mergeCell ref="JA771:JA772"/>
    <mergeCell ref="IY774:IY775"/>
    <mergeCell ref="JA774:JA775"/>
    <mergeCell ref="IY600:IY601"/>
    <mergeCell ref="IY527:IY528"/>
    <mergeCell ref="JA527:JA528"/>
    <mergeCell ref="IY530:IY531"/>
    <mergeCell ref="JA530:JA531"/>
    <mergeCell ref="IY532:IY533"/>
    <mergeCell ref="JA532:JA533"/>
    <mergeCell ref="IY535:IY536"/>
    <mergeCell ref="JA535:JA536"/>
    <mergeCell ref="IY537:IY538"/>
    <mergeCell ref="JA537:JA538"/>
    <mergeCell ref="IY540:IY541"/>
    <mergeCell ref="JA540:JA541"/>
    <mergeCell ref="IY542:IY543"/>
    <mergeCell ref="JA542:JA543"/>
    <mergeCell ref="IY545:IY546"/>
    <mergeCell ref="JA545:JA546"/>
    <mergeCell ref="IY547:IY548"/>
    <mergeCell ref="JA547:JA548"/>
    <mergeCell ref="IY550:IY551"/>
    <mergeCell ref="JA550:JA551"/>
    <mergeCell ref="IY552:IY553"/>
    <mergeCell ref="JA552:JA553"/>
    <mergeCell ref="IY555:IY556"/>
    <mergeCell ref="JA555:JA556"/>
    <mergeCell ref="IY557:IY558"/>
    <mergeCell ref="JA557:JA558"/>
    <mergeCell ref="IY472:IY473"/>
    <mergeCell ref="JA472:JA473"/>
    <mergeCell ref="IY474:IY475"/>
    <mergeCell ref="JA474:JA475"/>
    <mergeCell ref="IY477:IY478"/>
    <mergeCell ref="JA477:JA478"/>
    <mergeCell ref="IY479:IY480"/>
    <mergeCell ref="JA479:JA480"/>
    <mergeCell ref="IY485:IY486"/>
    <mergeCell ref="JA485:JA486"/>
    <mergeCell ref="IY487:IY488"/>
    <mergeCell ref="JA487:JA488"/>
    <mergeCell ref="IY490:IY491"/>
    <mergeCell ref="JA490:JA491"/>
    <mergeCell ref="IY492:IY493"/>
    <mergeCell ref="JA492:JA493"/>
    <mergeCell ref="IY495:IY496"/>
    <mergeCell ref="JA495:JA496"/>
    <mergeCell ref="IY497:IY498"/>
    <mergeCell ref="JA497:JA498"/>
    <mergeCell ref="IY500:IY501"/>
    <mergeCell ref="JA500:JA501"/>
    <mergeCell ref="IY502:IY503"/>
    <mergeCell ref="JA502:JA503"/>
    <mergeCell ref="IY505:IY506"/>
    <mergeCell ref="JA505:JA506"/>
    <mergeCell ref="IY507:IY508"/>
    <mergeCell ref="JA507:JA508"/>
    <mergeCell ref="IY510:IY511"/>
    <mergeCell ref="JA510:JA511"/>
    <mergeCell ref="IY512:IY513"/>
    <mergeCell ref="JA512:JA513"/>
    <mergeCell ref="IY515:IY516"/>
    <mergeCell ref="JA515:JA516"/>
    <mergeCell ref="IZ477:IZ478"/>
    <mergeCell ref="IZ555:IZ556"/>
    <mergeCell ref="IY447:IY448"/>
    <mergeCell ref="JA447:JA448"/>
    <mergeCell ref="IY449:IY450"/>
    <mergeCell ref="JA449:JA450"/>
    <mergeCell ref="IY452:IY453"/>
    <mergeCell ref="JA452:JA453"/>
    <mergeCell ref="IY454:IY455"/>
    <mergeCell ref="JA454:JA455"/>
    <mergeCell ref="IY457:IY458"/>
    <mergeCell ref="JA457:JA458"/>
    <mergeCell ref="IY459:IY460"/>
    <mergeCell ref="JA459:JA460"/>
    <mergeCell ref="IY462:IY463"/>
    <mergeCell ref="JA462:JA463"/>
    <mergeCell ref="IY464:IY465"/>
    <mergeCell ref="JA464:JA465"/>
    <mergeCell ref="IY467:IY468"/>
    <mergeCell ref="JA467:JA468"/>
    <mergeCell ref="IY469:IY470"/>
    <mergeCell ref="JA469:JA470"/>
    <mergeCell ref="IY384:IY385"/>
    <mergeCell ref="JA384:JA385"/>
    <mergeCell ref="IY386:IY387"/>
    <mergeCell ref="JA386:JA387"/>
    <mergeCell ref="IY389:IY390"/>
    <mergeCell ref="JA389:JA390"/>
    <mergeCell ref="IY391:IY392"/>
    <mergeCell ref="JA391:JA392"/>
    <mergeCell ref="IY394:IY395"/>
    <mergeCell ref="JA394:JA395"/>
    <mergeCell ref="IY396:IY397"/>
    <mergeCell ref="JA396:JA397"/>
    <mergeCell ref="IY399:IY400"/>
    <mergeCell ref="JA399:JA400"/>
    <mergeCell ref="IY401:IY402"/>
    <mergeCell ref="JA401:JA402"/>
    <mergeCell ref="IY407:IY408"/>
    <mergeCell ref="JA407:JA408"/>
    <mergeCell ref="IY409:IY410"/>
    <mergeCell ref="JA409:JA410"/>
    <mergeCell ref="IY412:IY413"/>
    <mergeCell ref="JA412:JA413"/>
    <mergeCell ref="IY414:IY415"/>
    <mergeCell ref="JA414:JA415"/>
    <mergeCell ref="IY417:IY418"/>
    <mergeCell ref="JA417:JA418"/>
    <mergeCell ref="IY419:IY420"/>
    <mergeCell ref="JA419:JA420"/>
    <mergeCell ref="IY422:IY423"/>
    <mergeCell ref="JA422:JA423"/>
    <mergeCell ref="IY424:IY425"/>
    <mergeCell ref="JA424:JA425"/>
    <mergeCell ref="IY427:IY428"/>
    <mergeCell ref="JA427:JA428"/>
    <mergeCell ref="JA429:JA430"/>
    <mergeCell ref="IY432:IY433"/>
    <mergeCell ref="JA432:JA433"/>
    <mergeCell ref="IY434:IY435"/>
    <mergeCell ref="JA434:JA435"/>
    <mergeCell ref="JA437:JA438"/>
    <mergeCell ref="IY439:IY440"/>
    <mergeCell ref="JA439:JA440"/>
    <mergeCell ref="IY442:IY443"/>
    <mergeCell ref="IZ457:IZ458"/>
    <mergeCell ref="IY341:IY342"/>
    <mergeCell ref="JA341:JA342"/>
    <mergeCell ref="IY344:IY345"/>
    <mergeCell ref="JA344:JA345"/>
    <mergeCell ref="IY346:IY347"/>
    <mergeCell ref="JA346:JA347"/>
    <mergeCell ref="IY349:IY350"/>
    <mergeCell ref="JA349:JA350"/>
    <mergeCell ref="IY351:IY352"/>
    <mergeCell ref="JA351:JA352"/>
    <mergeCell ref="IY354:IY355"/>
    <mergeCell ref="JA354:JA355"/>
    <mergeCell ref="IY356:IY357"/>
    <mergeCell ref="JA356:JA357"/>
    <mergeCell ref="IY359:IY360"/>
    <mergeCell ref="JA359:JA360"/>
    <mergeCell ref="IY361:IY362"/>
    <mergeCell ref="JA361:JA362"/>
    <mergeCell ref="IY364:IY365"/>
    <mergeCell ref="JA364:JA365"/>
    <mergeCell ref="IY366:IY367"/>
    <mergeCell ref="JA366:JA367"/>
    <mergeCell ref="IY369:IY370"/>
    <mergeCell ref="JA369:JA370"/>
    <mergeCell ref="IY371:IY372"/>
    <mergeCell ref="JA371:JA372"/>
    <mergeCell ref="IY374:IY375"/>
    <mergeCell ref="JA374:JA375"/>
    <mergeCell ref="IY376:IY377"/>
    <mergeCell ref="JA376:JA377"/>
    <mergeCell ref="IY379:IY380"/>
    <mergeCell ref="JA379:JA380"/>
    <mergeCell ref="IY381:IY382"/>
    <mergeCell ref="JA381:JA382"/>
    <mergeCell ref="IZ349:IZ350"/>
    <mergeCell ref="IY296:IY297"/>
    <mergeCell ref="JA296:JA297"/>
    <mergeCell ref="IY298:IY299"/>
    <mergeCell ref="JA298:JA299"/>
    <mergeCell ref="IY301:IY302"/>
    <mergeCell ref="JA301:JA302"/>
    <mergeCell ref="IY303:IY304"/>
    <mergeCell ref="JA303:JA304"/>
    <mergeCell ref="IY306:IY307"/>
    <mergeCell ref="JA306:JA307"/>
    <mergeCell ref="IY308:IY309"/>
    <mergeCell ref="JA308:JA309"/>
    <mergeCell ref="IY311:IY312"/>
    <mergeCell ref="JA311:JA312"/>
    <mergeCell ref="IY313:IY314"/>
    <mergeCell ref="JA313:JA314"/>
    <mergeCell ref="IY316:IY317"/>
    <mergeCell ref="JA316:JA317"/>
    <mergeCell ref="IY318:IY319"/>
    <mergeCell ref="JA318:JA319"/>
    <mergeCell ref="IY321:IY322"/>
    <mergeCell ref="JA321:JA322"/>
    <mergeCell ref="IY323:IY324"/>
    <mergeCell ref="JA323:JA324"/>
    <mergeCell ref="IY329:IY330"/>
    <mergeCell ref="JA329:JA330"/>
    <mergeCell ref="IY331:IY332"/>
    <mergeCell ref="JA331:JA332"/>
    <mergeCell ref="IY334:IY335"/>
    <mergeCell ref="JA334:JA335"/>
    <mergeCell ref="IY336:IY337"/>
    <mergeCell ref="JA336:JA337"/>
    <mergeCell ref="IY339:IY340"/>
    <mergeCell ref="JA339:JA340"/>
    <mergeCell ref="IZ306:IZ307"/>
    <mergeCell ref="IZ316:IZ317"/>
    <mergeCell ref="IZ329:IZ330"/>
    <mergeCell ref="IY253:IY254"/>
    <mergeCell ref="JA253:JA254"/>
    <mergeCell ref="IY256:IY257"/>
    <mergeCell ref="JA256:JA257"/>
    <mergeCell ref="IY258:IY259"/>
    <mergeCell ref="JA258:JA259"/>
    <mergeCell ref="IY261:IY262"/>
    <mergeCell ref="JA261:JA262"/>
    <mergeCell ref="IY263:IY264"/>
    <mergeCell ref="JA263:JA264"/>
    <mergeCell ref="IY266:IY267"/>
    <mergeCell ref="JA266:JA267"/>
    <mergeCell ref="IY268:IY269"/>
    <mergeCell ref="JA268:JA269"/>
    <mergeCell ref="IY271:IY272"/>
    <mergeCell ref="JA271:JA272"/>
    <mergeCell ref="IY273:IY274"/>
    <mergeCell ref="JA273:JA274"/>
    <mergeCell ref="IY276:IY277"/>
    <mergeCell ref="JA276:JA277"/>
    <mergeCell ref="IY278:IY279"/>
    <mergeCell ref="JA278:JA279"/>
    <mergeCell ref="IY281:IY282"/>
    <mergeCell ref="JA281:JA282"/>
    <mergeCell ref="IY283:IY284"/>
    <mergeCell ref="JA283:JA284"/>
    <mergeCell ref="IY286:IY287"/>
    <mergeCell ref="JA286:JA287"/>
    <mergeCell ref="IY288:IY289"/>
    <mergeCell ref="JA288:JA289"/>
    <mergeCell ref="IY291:IY292"/>
    <mergeCell ref="JA291:JA292"/>
    <mergeCell ref="IY293:IY294"/>
    <mergeCell ref="JA293:JA294"/>
    <mergeCell ref="IZ256:IZ257"/>
    <mergeCell ref="IZ266:IZ267"/>
    <mergeCell ref="IZ286:IZ287"/>
    <mergeCell ref="IY208:IY209"/>
    <mergeCell ref="JA208:JA209"/>
    <mergeCell ref="IY210:IY211"/>
    <mergeCell ref="JA210:JA211"/>
    <mergeCell ref="IY213:IY214"/>
    <mergeCell ref="JA213:JA214"/>
    <mergeCell ref="IY215:IY216"/>
    <mergeCell ref="JA215:JA216"/>
    <mergeCell ref="IY218:IY219"/>
    <mergeCell ref="JA218:JA219"/>
    <mergeCell ref="IY220:IY221"/>
    <mergeCell ref="JA220:JA221"/>
    <mergeCell ref="IY223:IY224"/>
    <mergeCell ref="JA223:JA224"/>
    <mergeCell ref="IY225:IY226"/>
    <mergeCell ref="JA225:JA226"/>
    <mergeCell ref="IY228:IY229"/>
    <mergeCell ref="JA228:JA229"/>
    <mergeCell ref="IY230:IY231"/>
    <mergeCell ref="JA230:JA231"/>
    <mergeCell ref="IY233:IY234"/>
    <mergeCell ref="JA233:JA234"/>
    <mergeCell ref="IY235:IY236"/>
    <mergeCell ref="JA235:JA236"/>
    <mergeCell ref="IY238:IY239"/>
    <mergeCell ref="JA238:JA239"/>
    <mergeCell ref="IY240:IY241"/>
    <mergeCell ref="JA240:JA241"/>
    <mergeCell ref="IY243:IY244"/>
    <mergeCell ref="JA243:JA244"/>
    <mergeCell ref="IY245:IY246"/>
    <mergeCell ref="JA245:JA246"/>
    <mergeCell ref="IY251:IY252"/>
    <mergeCell ref="JA251:JA252"/>
    <mergeCell ref="IZ223:IZ224"/>
    <mergeCell ref="IZ213:IZ214"/>
    <mergeCell ref="IZ233:IZ234"/>
    <mergeCell ref="IZ243:IZ244"/>
    <mergeCell ref="IY162:IY163"/>
    <mergeCell ref="JA162:JA163"/>
    <mergeCell ref="IY165:IY166"/>
    <mergeCell ref="JA165:JA166"/>
    <mergeCell ref="IY167:IY168"/>
    <mergeCell ref="JA167:JA168"/>
    <mergeCell ref="IY173:IY174"/>
    <mergeCell ref="JA173:JA174"/>
    <mergeCell ref="IY175:IY176"/>
    <mergeCell ref="JA175:JA176"/>
    <mergeCell ref="IY178:IY179"/>
    <mergeCell ref="JA178:JA179"/>
    <mergeCell ref="IY180:IY181"/>
    <mergeCell ref="JA180:JA181"/>
    <mergeCell ref="IY183:IY184"/>
    <mergeCell ref="JA183:JA184"/>
    <mergeCell ref="IY185:IY186"/>
    <mergeCell ref="JA185:JA186"/>
    <mergeCell ref="IY188:IY189"/>
    <mergeCell ref="JA188:JA189"/>
    <mergeCell ref="IY190:IY191"/>
    <mergeCell ref="JA190:JA191"/>
    <mergeCell ref="IY193:IY194"/>
    <mergeCell ref="JA193:JA194"/>
    <mergeCell ref="IY195:IY196"/>
    <mergeCell ref="JA195:JA196"/>
    <mergeCell ref="IY198:IY199"/>
    <mergeCell ref="JA198:JA199"/>
    <mergeCell ref="IY200:IY201"/>
    <mergeCell ref="JA200:JA201"/>
    <mergeCell ref="IY203:IY204"/>
    <mergeCell ref="JA203:JA204"/>
    <mergeCell ref="IY205:IY206"/>
    <mergeCell ref="JA205:JA206"/>
    <mergeCell ref="IZ173:IZ174"/>
    <mergeCell ref="IZ183:IZ184"/>
    <mergeCell ref="IY120:IY121"/>
    <mergeCell ref="JA120:JA121"/>
    <mergeCell ref="IY122:IY123"/>
    <mergeCell ref="JA122:JA123"/>
    <mergeCell ref="IY125:IY126"/>
    <mergeCell ref="JA125:JA126"/>
    <mergeCell ref="IY127:IY128"/>
    <mergeCell ref="JA127:JA128"/>
    <mergeCell ref="IY130:IY131"/>
    <mergeCell ref="JA130:JA131"/>
    <mergeCell ref="IY132:IY133"/>
    <mergeCell ref="JA132:JA133"/>
    <mergeCell ref="IY135:IY136"/>
    <mergeCell ref="JA135:JA136"/>
    <mergeCell ref="IY137:IY138"/>
    <mergeCell ref="JA137:JA138"/>
    <mergeCell ref="IY140:IY141"/>
    <mergeCell ref="JA140:JA141"/>
    <mergeCell ref="IY142:IY143"/>
    <mergeCell ref="JA142:JA143"/>
    <mergeCell ref="IY145:IY146"/>
    <mergeCell ref="JA145:JA146"/>
    <mergeCell ref="IY147:IY148"/>
    <mergeCell ref="JA147:JA148"/>
    <mergeCell ref="IY150:IY151"/>
    <mergeCell ref="JA150:JA151"/>
    <mergeCell ref="IY152:IY153"/>
    <mergeCell ref="JA152:JA153"/>
    <mergeCell ref="IY155:IY156"/>
    <mergeCell ref="JA155:JA156"/>
    <mergeCell ref="IY157:IY158"/>
    <mergeCell ref="JA157:JA158"/>
    <mergeCell ref="IY160:IY161"/>
    <mergeCell ref="JA160:JA161"/>
    <mergeCell ref="IZ140:IZ141"/>
    <mergeCell ref="IZ150:IZ151"/>
    <mergeCell ref="IY100:IY101"/>
    <mergeCell ref="JA100:JA101"/>
    <mergeCell ref="IY102:IY103"/>
    <mergeCell ref="JA102:JA103"/>
    <mergeCell ref="IY105:IY106"/>
    <mergeCell ref="JA105:JA106"/>
    <mergeCell ref="IY107:IY108"/>
    <mergeCell ref="JA107:JA108"/>
    <mergeCell ref="IY110:IY111"/>
    <mergeCell ref="JA110:JA111"/>
    <mergeCell ref="IY112:IY113"/>
    <mergeCell ref="JA112:JA113"/>
    <mergeCell ref="IY115:IY116"/>
    <mergeCell ref="JA115:JA116"/>
    <mergeCell ref="IY117:IY118"/>
    <mergeCell ref="JA117:JA118"/>
    <mergeCell ref="IZ89:IZ90"/>
    <mergeCell ref="IZ95:IZ96"/>
    <mergeCell ref="IZ97:IZ98"/>
    <mergeCell ref="IV14:IX14"/>
    <mergeCell ref="IT16:IT18"/>
    <mergeCell ref="IW16:IW18"/>
    <mergeCell ref="IX16:IX20"/>
    <mergeCell ref="IY14:JA14"/>
    <mergeCell ref="IZ16:IZ18"/>
    <mergeCell ref="JA16:JA20"/>
    <mergeCell ref="IY47:IY48"/>
    <mergeCell ref="IZ47:IZ48"/>
    <mergeCell ref="JA47:JA48"/>
    <mergeCell ref="IY49:IY50"/>
    <mergeCell ref="IZ49:IZ50"/>
    <mergeCell ref="JA49:JA50"/>
    <mergeCell ref="IY52:IY53"/>
    <mergeCell ref="JA52:JA53"/>
    <mergeCell ref="IY54:IY55"/>
    <mergeCell ref="JA54:JA55"/>
    <mergeCell ref="IY57:IY58"/>
    <mergeCell ref="JA57:JA58"/>
    <mergeCell ref="IY59:IY60"/>
    <mergeCell ref="JA59:JA60"/>
    <mergeCell ref="IY62:IY63"/>
    <mergeCell ref="JA62:JA63"/>
    <mergeCell ref="IY64:IY65"/>
    <mergeCell ref="JA64:JA65"/>
    <mergeCell ref="IY67:IY68"/>
    <mergeCell ref="JA67:JA68"/>
    <mergeCell ref="IX49:IX50"/>
    <mergeCell ref="IX74:IX75"/>
    <mergeCell ref="IZ82:IZ83"/>
    <mergeCell ref="IZ84:IZ85"/>
    <mergeCell ref="IZ87:IZ88"/>
    <mergeCell ref="IV77:IV78"/>
    <mergeCell ref="IX77:IX78"/>
    <mergeCell ref="IX72:IX73"/>
    <mergeCell ref="IX100:IX101"/>
    <mergeCell ref="IX97:IX98"/>
    <mergeCell ref="IV62:IV63"/>
    <mergeCell ref="IX62:IX63"/>
    <mergeCell ref="IY74:IY75"/>
    <mergeCell ref="IX82:IX83"/>
    <mergeCell ref="IW82:IW83"/>
    <mergeCell ref="IW84:IW85"/>
    <mergeCell ref="IW87:IW88"/>
    <mergeCell ref="IX79:IX80"/>
    <mergeCell ref="JV4:JV6"/>
    <mergeCell ref="JT72:JT73"/>
    <mergeCell ref="JT4:JT6"/>
    <mergeCell ref="IR64:IR65"/>
    <mergeCell ref="IS64:IS65"/>
    <mergeCell ref="IT64:IT65"/>
    <mergeCell ref="IV64:IV65"/>
    <mergeCell ref="IX64:IX65"/>
    <mergeCell ref="IR67:IR68"/>
    <mergeCell ref="IS67:IS68"/>
    <mergeCell ref="IT67:IT68"/>
    <mergeCell ref="IV67:IV68"/>
    <mergeCell ref="IX67:IX68"/>
    <mergeCell ref="IR69:IR70"/>
    <mergeCell ref="IS69:IS70"/>
    <mergeCell ref="IT69:IT70"/>
    <mergeCell ref="IV69:IV70"/>
    <mergeCell ref="IX69:IX70"/>
    <mergeCell ref="IY69:IY70"/>
    <mergeCell ref="JA69:JA70"/>
    <mergeCell ref="IY72:IY73"/>
    <mergeCell ref="JA72:JA73"/>
    <mergeCell ref="JN47:JN48"/>
    <mergeCell ref="JN49:JN50"/>
    <mergeCell ref="JN52:JN53"/>
    <mergeCell ref="JN54:JN55"/>
    <mergeCell ref="JN57:JN58"/>
    <mergeCell ref="JN59:JN60"/>
    <mergeCell ref="JN62:JN63"/>
    <mergeCell ref="JN64:JN65"/>
    <mergeCell ref="JN67:JN68"/>
    <mergeCell ref="JN69:JN70"/>
    <mergeCell ref="JG47:JG48"/>
    <mergeCell ref="IR47:IR48"/>
    <mergeCell ref="IS47:IS48"/>
    <mergeCell ref="IT47:IT48"/>
    <mergeCell ref="IV47:IV48"/>
    <mergeCell ref="JT67:JT68"/>
    <mergeCell ref="JT69:JT70"/>
    <mergeCell ref="JT62:JT63"/>
    <mergeCell ref="JT64:JT65"/>
    <mergeCell ref="JT57:JT58"/>
    <mergeCell ref="JT59:JT60"/>
    <mergeCell ref="JT52:JT53"/>
    <mergeCell ref="JT54:JT55"/>
    <mergeCell ref="JT47:JT48"/>
    <mergeCell ref="JT49:JT50"/>
    <mergeCell ref="JV47:JV48"/>
    <mergeCell ref="JV49:JV50"/>
    <mergeCell ref="JV52:JV53"/>
    <mergeCell ref="JV54:JV55"/>
    <mergeCell ref="JV57:JV58"/>
    <mergeCell ref="JV59:JV60"/>
    <mergeCell ref="JV62:JV63"/>
    <mergeCell ref="JV64:JV65"/>
    <mergeCell ref="JV67:JV68"/>
    <mergeCell ref="JV69:JV70"/>
    <mergeCell ref="JV72:JV73"/>
    <mergeCell ref="JN72:JN73"/>
    <mergeCell ref="JH67:JH68"/>
    <mergeCell ref="JJ67:JJ68"/>
    <mergeCell ref="JG69:JG70"/>
    <mergeCell ref="JH69:JH70"/>
    <mergeCell ref="JJ69:JJ70"/>
    <mergeCell ref="JV87:JV88"/>
    <mergeCell ref="JV89:JV90"/>
    <mergeCell ref="JV95:JV96"/>
    <mergeCell ref="JV97:JV98"/>
    <mergeCell ref="JT77:JT78"/>
    <mergeCell ref="JT79:JT80"/>
    <mergeCell ref="JR67:JR68"/>
    <mergeCell ref="JR69:JR70"/>
    <mergeCell ref="JR72:JR73"/>
    <mergeCell ref="JR74:JR75"/>
    <mergeCell ref="JR79:JR80"/>
    <mergeCell ref="JP774:JP775"/>
    <mergeCell ref="JP776:JP777"/>
    <mergeCell ref="JP779:JP780"/>
    <mergeCell ref="JP781:JP782"/>
    <mergeCell ref="JP784:JP785"/>
    <mergeCell ref="JP786:JP787"/>
    <mergeCell ref="JP789:JP790"/>
    <mergeCell ref="JP791:JP792"/>
    <mergeCell ref="JP746:JP747"/>
    <mergeCell ref="JP749:JP750"/>
    <mergeCell ref="JP751:JP752"/>
    <mergeCell ref="JP754:JP755"/>
    <mergeCell ref="JP756:JP757"/>
    <mergeCell ref="JP759:JP760"/>
    <mergeCell ref="JP761:JP762"/>
    <mergeCell ref="JP764:JP765"/>
    <mergeCell ref="JP766:JP767"/>
    <mergeCell ref="JP769:JP770"/>
    <mergeCell ref="JP771:JP772"/>
    <mergeCell ref="JP719:JP720"/>
    <mergeCell ref="JP721:JP722"/>
    <mergeCell ref="JP724:JP725"/>
    <mergeCell ref="JP726:JP727"/>
    <mergeCell ref="JP729:JP730"/>
    <mergeCell ref="JP731:JP732"/>
    <mergeCell ref="JP734:JP735"/>
    <mergeCell ref="JP736:JP737"/>
    <mergeCell ref="JP739:JP740"/>
    <mergeCell ref="JP741:JP742"/>
    <mergeCell ref="JP744:JP745"/>
    <mergeCell ref="JP688:JP689"/>
    <mergeCell ref="JP691:JP692"/>
    <mergeCell ref="JP693:JP694"/>
    <mergeCell ref="JP696:JP697"/>
    <mergeCell ref="JP698:JP699"/>
    <mergeCell ref="JP701:JP702"/>
    <mergeCell ref="JP703:JP704"/>
    <mergeCell ref="JP706:JP707"/>
    <mergeCell ref="JP708:JP709"/>
    <mergeCell ref="JP711:JP712"/>
    <mergeCell ref="JP713:JP714"/>
    <mergeCell ref="JP661:JP662"/>
    <mergeCell ref="JP663:JP664"/>
    <mergeCell ref="JP666:JP667"/>
    <mergeCell ref="JP668:JP669"/>
    <mergeCell ref="JP671:JP672"/>
    <mergeCell ref="JP673:JP674"/>
    <mergeCell ref="JP676:JP677"/>
    <mergeCell ref="JP678:JP679"/>
    <mergeCell ref="JP681:JP682"/>
    <mergeCell ref="JP683:JP684"/>
    <mergeCell ref="JP686:JP687"/>
    <mergeCell ref="JP630:JP631"/>
    <mergeCell ref="JP633:JP634"/>
    <mergeCell ref="JP635:JP636"/>
    <mergeCell ref="JP641:JP642"/>
    <mergeCell ref="JP643:JP644"/>
    <mergeCell ref="JP646:JP647"/>
    <mergeCell ref="JP648:JP649"/>
    <mergeCell ref="JP651:JP652"/>
    <mergeCell ref="JP653:JP654"/>
    <mergeCell ref="JP656:JP657"/>
    <mergeCell ref="JP658:JP659"/>
    <mergeCell ref="JP603:JP604"/>
    <mergeCell ref="JP605:JP606"/>
    <mergeCell ref="JP608:JP609"/>
    <mergeCell ref="JP610:JP611"/>
    <mergeCell ref="JP613:JP614"/>
    <mergeCell ref="JP615:JP616"/>
    <mergeCell ref="JP618:JP619"/>
    <mergeCell ref="JP620:JP621"/>
    <mergeCell ref="JP623:JP624"/>
    <mergeCell ref="JP625:JP626"/>
    <mergeCell ref="JP628:JP629"/>
    <mergeCell ref="JP575:JP576"/>
    <mergeCell ref="JP578:JP579"/>
    <mergeCell ref="JP580:JP581"/>
    <mergeCell ref="JP583:JP584"/>
    <mergeCell ref="JP585:JP586"/>
    <mergeCell ref="JP588:JP589"/>
    <mergeCell ref="JP590:JP591"/>
    <mergeCell ref="JP593:JP594"/>
    <mergeCell ref="JP595:JP596"/>
    <mergeCell ref="JP598:JP599"/>
    <mergeCell ref="JP600:JP601"/>
    <mergeCell ref="JP545:JP546"/>
    <mergeCell ref="JP547:JP548"/>
    <mergeCell ref="JP550:JP551"/>
    <mergeCell ref="JP552:JP553"/>
    <mergeCell ref="JP555:JP556"/>
    <mergeCell ref="JP557:JP558"/>
    <mergeCell ref="JP563:JP564"/>
    <mergeCell ref="JP565:JP566"/>
    <mergeCell ref="JP568:JP569"/>
    <mergeCell ref="JP570:JP571"/>
    <mergeCell ref="JP573:JP574"/>
    <mergeCell ref="JP525:JP526"/>
    <mergeCell ref="JP527:JP528"/>
    <mergeCell ref="JP530:JP531"/>
    <mergeCell ref="JP532:JP533"/>
    <mergeCell ref="JP535:JP536"/>
    <mergeCell ref="JP537:JP538"/>
    <mergeCell ref="JP540:JP541"/>
    <mergeCell ref="JP542:JP543"/>
    <mergeCell ref="JP490:JP491"/>
    <mergeCell ref="JP492:JP493"/>
    <mergeCell ref="JP495:JP496"/>
    <mergeCell ref="JP497:JP498"/>
    <mergeCell ref="JP500:JP501"/>
    <mergeCell ref="JP502:JP503"/>
    <mergeCell ref="JP505:JP506"/>
    <mergeCell ref="JP507:JP508"/>
    <mergeCell ref="JP510:JP511"/>
    <mergeCell ref="JP512:JP513"/>
    <mergeCell ref="JP515:JP516"/>
    <mergeCell ref="JP459:JP460"/>
    <mergeCell ref="JP462:JP463"/>
    <mergeCell ref="JP464:JP465"/>
    <mergeCell ref="JP467:JP468"/>
    <mergeCell ref="JP469:JP470"/>
    <mergeCell ref="JP472:JP473"/>
    <mergeCell ref="JP474:JP475"/>
    <mergeCell ref="JP477:JP478"/>
    <mergeCell ref="JP479:JP480"/>
    <mergeCell ref="JP485:JP486"/>
    <mergeCell ref="JP487:JP488"/>
    <mergeCell ref="JP432:JP433"/>
    <mergeCell ref="JP434:JP435"/>
    <mergeCell ref="JP437:JP438"/>
    <mergeCell ref="JP439:JP440"/>
    <mergeCell ref="JP442:JP443"/>
    <mergeCell ref="JP444:JP445"/>
    <mergeCell ref="JP447:JP448"/>
    <mergeCell ref="JP449:JP450"/>
    <mergeCell ref="JP452:JP453"/>
    <mergeCell ref="JP454:JP455"/>
    <mergeCell ref="JP457:JP458"/>
    <mergeCell ref="JP517:JP518"/>
    <mergeCell ref="JP520:JP521"/>
    <mergeCell ref="JP522:JP523"/>
    <mergeCell ref="JP401:JP402"/>
    <mergeCell ref="JP407:JP408"/>
    <mergeCell ref="JP409:JP410"/>
    <mergeCell ref="JP412:JP413"/>
    <mergeCell ref="JP414:JP415"/>
    <mergeCell ref="JP417:JP418"/>
    <mergeCell ref="JP419:JP420"/>
    <mergeCell ref="JP422:JP423"/>
    <mergeCell ref="JP424:JP425"/>
    <mergeCell ref="JP427:JP428"/>
    <mergeCell ref="JP429:JP430"/>
    <mergeCell ref="JP374:JP375"/>
    <mergeCell ref="JP376:JP377"/>
    <mergeCell ref="JP379:JP380"/>
    <mergeCell ref="JP381:JP382"/>
    <mergeCell ref="JP384:JP385"/>
    <mergeCell ref="JP386:JP387"/>
    <mergeCell ref="JP389:JP390"/>
    <mergeCell ref="JP391:JP392"/>
    <mergeCell ref="JP394:JP395"/>
    <mergeCell ref="JP396:JP397"/>
    <mergeCell ref="JP399:JP400"/>
    <mergeCell ref="JP346:JP347"/>
    <mergeCell ref="JP349:JP350"/>
    <mergeCell ref="JP351:JP352"/>
    <mergeCell ref="JP354:JP355"/>
    <mergeCell ref="JP356:JP357"/>
    <mergeCell ref="JP359:JP360"/>
    <mergeCell ref="JP361:JP362"/>
    <mergeCell ref="JP364:JP365"/>
    <mergeCell ref="JP366:JP367"/>
    <mergeCell ref="JP369:JP370"/>
    <mergeCell ref="JP371:JP372"/>
    <mergeCell ref="JP316:JP317"/>
    <mergeCell ref="JP318:JP319"/>
    <mergeCell ref="JP321:JP322"/>
    <mergeCell ref="JP323:JP324"/>
    <mergeCell ref="JP329:JP330"/>
    <mergeCell ref="JP331:JP332"/>
    <mergeCell ref="JP334:JP335"/>
    <mergeCell ref="JP336:JP337"/>
    <mergeCell ref="JP339:JP340"/>
    <mergeCell ref="JP341:JP342"/>
    <mergeCell ref="JP344:JP345"/>
    <mergeCell ref="JP288:JP289"/>
    <mergeCell ref="JP291:JP292"/>
    <mergeCell ref="JP293:JP294"/>
    <mergeCell ref="JP296:JP297"/>
    <mergeCell ref="JP298:JP299"/>
    <mergeCell ref="JP301:JP302"/>
    <mergeCell ref="JP303:JP304"/>
    <mergeCell ref="JP306:JP307"/>
    <mergeCell ref="JP308:JP309"/>
    <mergeCell ref="JP311:JP312"/>
    <mergeCell ref="JP313:JP314"/>
    <mergeCell ref="JP261:JP262"/>
    <mergeCell ref="JP263:JP264"/>
    <mergeCell ref="JP266:JP267"/>
    <mergeCell ref="JP268:JP269"/>
    <mergeCell ref="JP271:JP272"/>
    <mergeCell ref="JP273:JP274"/>
    <mergeCell ref="JP276:JP277"/>
    <mergeCell ref="JP278:JP279"/>
    <mergeCell ref="JP281:JP282"/>
    <mergeCell ref="JP283:JP284"/>
    <mergeCell ref="JP286:JP287"/>
    <mergeCell ref="JP230:JP231"/>
    <mergeCell ref="JP233:JP234"/>
    <mergeCell ref="JP235:JP236"/>
    <mergeCell ref="JP238:JP239"/>
    <mergeCell ref="JP240:JP241"/>
    <mergeCell ref="JP243:JP244"/>
    <mergeCell ref="JP245:JP246"/>
    <mergeCell ref="JP251:JP252"/>
    <mergeCell ref="JP253:JP254"/>
    <mergeCell ref="JP256:JP257"/>
    <mergeCell ref="JP258:JP259"/>
    <mergeCell ref="JP203:JP204"/>
    <mergeCell ref="JP205:JP206"/>
    <mergeCell ref="JP208:JP209"/>
    <mergeCell ref="JP210:JP211"/>
    <mergeCell ref="JP213:JP214"/>
    <mergeCell ref="JP215:JP216"/>
    <mergeCell ref="JP218:JP219"/>
    <mergeCell ref="JP220:JP221"/>
    <mergeCell ref="JP223:JP224"/>
    <mergeCell ref="JP225:JP226"/>
    <mergeCell ref="JP228:JP229"/>
    <mergeCell ref="JP175:JP176"/>
    <mergeCell ref="JP178:JP179"/>
    <mergeCell ref="JP180:JP181"/>
    <mergeCell ref="JP183:JP184"/>
    <mergeCell ref="JP185:JP186"/>
    <mergeCell ref="JP188:JP189"/>
    <mergeCell ref="JP190:JP191"/>
    <mergeCell ref="JP193:JP194"/>
    <mergeCell ref="JP195:JP196"/>
    <mergeCell ref="JP198:JP199"/>
    <mergeCell ref="JP200:JP201"/>
    <mergeCell ref="JP147:JP148"/>
    <mergeCell ref="JP150:JP151"/>
    <mergeCell ref="JP152:JP153"/>
    <mergeCell ref="JP155:JP156"/>
    <mergeCell ref="JP157:JP158"/>
    <mergeCell ref="JP160:JP161"/>
    <mergeCell ref="JP162:JP163"/>
    <mergeCell ref="JP165:JP166"/>
    <mergeCell ref="JP167:JP168"/>
    <mergeCell ref="JP173:JP174"/>
    <mergeCell ref="JP117:JP118"/>
    <mergeCell ref="JP120:JP121"/>
    <mergeCell ref="JP122:JP123"/>
    <mergeCell ref="JP125:JP126"/>
    <mergeCell ref="JP127:JP128"/>
    <mergeCell ref="JP130:JP131"/>
    <mergeCell ref="JP132:JP133"/>
    <mergeCell ref="JP135:JP136"/>
    <mergeCell ref="JP137:JP138"/>
    <mergeCell ref="JP140:JP141"/>
    <mergeCell ref="JP142:JP143"/>
    <mergeCell ref="JP84:JP85"/>
    <mergeCell ref="JP87:JP88"/>
    <mergeCell ref="JP89:JP90"/>
    <mergeCell ref="JP95:JP96"/>
    <mergeCell ref="JP97:JP98"/>
    <mergeCell ref="JP100:JP101"/>
    <mergeCell ref="JP102:JP103"/>
    <mergeCell ref="JP105:JP106"/>
    <mergeCell ref="JP107:JP108"/>
    <mergeCell ref="JP110:JP111"/>
    <mergeCell ref="JP112:JP113"/>
    <mergeCell ref="JP115:JP116"/>
    <mergeCell ref="JN789:JN790"/>
    <mergeCell ref="JN791:JN792"/>
    <mergeCell ref="JP47:JP48"/>
    <mergeCell ref="JP49:JP50"/>
    <mergeCell ref="JP52:JP53"/>
    <mergeCell ref="JP54:JP55"/>
    <mergeCell ref="JP57:JP58"/>
    <mergeCell ref="JP59:JP60"/>
    <mergeCell ref="JP62:JP63"/>
    <mergeCell ref="JP64:JP65"/>
    <mergeCell ref="JP67:JP68"/>
    <mergeCell ref="JP69:JP70"/>
    <mergeCell ref="JP72:JP73"/>
    <mergeCell ref="JP74:JP75"/>
    <mergeCell ref="JP77:JP78"/>
    <mergeCell ref="JP79:JP80"/>
    <mergeCell ref="JP82:JP83"/>
    <mergeCell ref="JN761:JN762"/>
    <mergeCell ref="JN764:JN765"/>
    <mergeCell ref="JN766:JN767"/>
    <mergeCell ref="JN769:JN770"/>
    <mergeCell ref="JN771:JN772"/>
    <mergeCell ref="JN774:JN775"/>
    <mergeCell ref="JN776:JN777"/>
    <mergeCell ref="JN779:JN780"/>
    <mergeCell ref="JN781:JN782"/>
    <mergeCell ref="JN784:JN785"/>
    <mergeCell ref="JN786:JN787"/>
    <mergeCell ref="JN734:JN735"/>
    <mergeCell ref="JN736:JN737"/>
    <mergeCell ref="JN739:JN740"/>
    <mergeCell ref="JN741:JN742"/>
    <mergeCell ref="JN744:JN745"/>
    <mergeCell ref="JN746:JN747"/>
    <mergeCell ref="JN749:JN750"/>
    <mergeCell ref="JN751:JN752"/>
    <mergeCell ref="JN754:JN755"/>
    <mergeCell ref="JN756:JN757"/>
    <mergeCell ref="JN759:JN760"/>
    <mergeCell ref="JN703:JN704"/>
    <mergeCell ref="JN706:JN707"/>
    <mergeCell ref="JN708:JN709"/>
    <mergeCell ref="JN711:JN712"/>
    <mergeCell ref="JN713:JN714"/>
    <mergeCell ref="JN719:JN720"/>
    <mergeCell ref="JN721:JN722"/>
    <mergeCell ref="JN724:JN725"/>
    <mergeCell ref="JN726:JN727"/>
    <mergeCell ref="JN729:JN730"/>
    <mergeCell ref="JN731:JN732"/>
    <mergeCell ref="JN676:JN677"/>
    <mergeCell ref="JN678:JN679"/>
    <mergeCell ref="JN681:JN682"/>
    <mergeCell ref="JN683:JN684"/>
    <mergeCell ref="JN686:JN687"/>
    <mergeCell ref="JN688:JN689"/>
    <mergeCell ref="JN691:JN692"/>
    <mergeCell ref="JN693:JN694"/>
    <mergeCell ref="JN696:JN697"/>
    <mergeCell ref="JN698:JN699"/>
    <mergeCell ref="JP145:JP146"/>
    <mergeCell ref="JN701:JN702"/>
    <mergeCell ref="JN648:JN649"/>
    <mergeCell ref="JN651:JN652"/>
    <mergeCell ref="JN656:JN657"/>
    <mergeCell ref="JN658:JN659"/>
    <mergeCell ref="JN661:JN662"/>
    <mergeCell ref="JN663:JN664"/>
    <mergeCell ref="JN666:JN667"/>
    <mergeCell ref="JN668:JN669"/>
    <mergeCell ref="JN671:JN672"/>
    <mergeCell ref="JN673:JN674"/>
    <mergeCell ref="JN618:JN619"/>
    <mergeCell ref="JN620:JN621"/>
    <mergeCell ref="JN623:JN624"/>
    <mergeCell ref="JN625:JN626"/>
    <mergeCell ref="JN628:JN629"/>
    <mergeCell ref="JN630:JN631"/>
    <mergeCell ref="JN633:JN634"/>
    <mergeCell ref="JN635:JN636"/>
    <mergeCell ref="JN641:JN642"/>
    <mergeCell ref="JN643:JN644"/>
    <mergeCell ref="JN646:JN647"/>
    <mergeCell ref="JN590:JN591"/>
    <mergeCell ref="JN593:JN594"/>
    <mergeCell ref="JN595:JN596"/>
    <mergeCell ref="JN598:JN599"/>
    <mergeCell ref="JN600:JN601"/>
    <mergeCell ref="JN603:JN604"/>
    <mergeCell ref="JN605:JN606"/>
    <mergeCell ref="JN608:JN609"/>
    <mergeCell ref="JN610:JN611"/>
    <mergeCell ref="JN613:JN614"/>
    <mergeCell ref="JN615:JN616"/>
    <mergeCell ref="JN563:JN564"/>
    <mergeCell ref="JN565:JN566"/>
    <mergeCell ref="JN568:JN569"/>
    <mergeCell ref="JN570:JN571"/>
    <mergeCell ref="JN573:JN574"/>
    <mergeCell ref="JN575:JN576"/>
    <mergeCell ref="JN578:JN579"/>
    <mergeCell ref="JN580:JN581"/>
    <mergeCell ref="JN583:JN584"/>
    <mergeCell ref="JN585:JN586"/>
    <mergeCell ref="JN588:JN589"/>
    <mergeCell ref="JN653:JN654"/>
    <mergeCell ref="JN520:JN521"/>
    <mergeCell ref="JN522:JN523"/>
    <mergeCell ref="JN525:JN526"/>
    <mergeCell ref="JN527:JN528"/>
    <mergeCell ref="JN530:JN531"/>
    <mergeCell ref="JN474:JN475"/>
    <mergeCell ref="JN477:JN478"/>
    <mergeCell ref="JN479:JN480"/>
    <mergeCell ref="JN485:JN486"/>
    <mergeCell ref="JN487:JN488"/>
    <mergeCell ref="JN490:JN491"/>
    <mergeCell ref="JN492:JN493"/>
    <mergeCell ref="JN495:JN496"/>
    <mergeCell ref="JN497:JN498"/>
    <mergeCell ref="JN500:JN501"/>
    <mergeCell ref="JN502:JN503"/>
    <mergeCell ref="JN447:JN448"/>
    <mergeCell ref="JN449:JN450"/>
    <mergeCell ref="JN452:JN453"/>
    <mergeCell ref="JN454:JN455"/>
    <mergeCell ref="JN457:JN458"/>
    <mergeCell ref="JN459:JN460"/>
    <mergeCell ref="JN462:JN463"/>
    <mergeCell ref="JN464:JN465"/>
    <mergeCell ref="JN467:JN468"/>
    <mergeCell ref="JN469:JN470"/>
    <mergeCell ref="JN472:JN473"/>
    <mergeCell ref="JN419:JN420"/>
    <mergeCell ref="JN422:JN423"/>
    <mergeCell ref="JN424:JN425"/>
    <mergeCell ref="JN427:JN428"/>
    <mergeCell ref="JN429:JN430"/>
    <mergeCell ref="JN432:JN433"/>
    <mergeCell ref="JN434:JN435"/>
    <mergeCell ref="JN437:JN438"/>
    <mergeCell ref="JN439:JN440"/>
    <mergeCell ref="JN442:JN443"/>
    <mergeCell ref="JN444:JN445"/>
    <mergeCell ref="JN507:JN508"/>
    <mergeCell ref="JN510:JN511"/>
    <mergeCell ref="JN512:JN513"/>
    <mergeCell ref="JN515:JN516"/>
    <mergeCell ref="JN389:JN390"/>
    <mergeCell ref="JN391:JN392"/>
    <mergeCell ref="JN394:JN395"/>
    <mergeCell ref="JN396:JN397"/>
    <mergeCell ref="JN399:JN400"/>
    <mergeCell ref="JN401:JN402"/>
    <mergeCell ref="JN407:JN408"/>
    <mergeCell ref="JN409:JN410"/>
    <mergeCell ref="JN412:JN413"/>
    <mergeCell ref="JN414:JN415"/>
    <mergeCell ref="JN417:JN418"/>
    <mergeCell ref="JN361:JN362"/>
    <mergeCell ref="JN364:JN365"/>
    <mergeCell ref="JN366:JN367"/>
    <mergeCell ref="JN369:JN370"/>
    <mergeCell ref="JN371:JN372"/>
    <mergeCell ref="JN374:JN375"/>
    <mergeCell ref="JN376:JN377"/>
    <mergeCell ref="JN379:JN380"/>
    <mergeCell ref="JN381:JN382"/>
    <mergeCell ref="JN384:JN385"/>
    <mergeCell ref="JN386:JN387"/>
    <mergeCell ref="JN334:JN335"/>
    <mergeCell ref="JN336:JN337"/>
    <mergeCell ref="JN339:JN340"/>
    <mergeCell ref="JN341:JN342"/>
    <mergeCell ref="JN344:JN345"/>
    <mergeCell ref="JN346:JN347"/>
    <mergeCell ref="JN349:JN350"/>
    <mergeCell ref="JN351:JN352"/>
    <mergeCell ref="JN354:JN355"/>
    <mergeCell ref="JN356:JN357"/>
    <mergeCell ref="JN359:JN360"/>
    <mergeCell ref="JN303:JN304"/>
    <mergeCell ref="JN306:JN307"/>
    <mergeCell ref="JN308:JN309"/>
    <mergeCell ref="JN311:JN312"/>
    <mergeCell ref="JN313:JN314"/>
    <mergeCell ref="JN316:JN317"/>
    <mergeCell ref="JN318:JN319"/>
    <mergeCell ref="JN321:JN322"/>
    <mergeCell ref="JN323:JN324"/>
    <mergeCell ref="JN329:JN330"/>
    <mergeCell ref="JN331:JN332"/>
    <mergeCell ref="JN188:JN189"/>
    <mergeCell ref="JN132:JN133"/>
    <mergeCell ref="JN135:JN136"/>
    <mergeCell ref="JN137:JN138"/>
    <mergeCell ref="JN140:JN141"/>
    <mergeCell ref="JN142:JN143"/>
    <mergeCell ref="JN145:JN146"/>
    <mergeCell ref="JN147:JN148"/>
    <mergeCell ref="JN150:JN151"/>
    <mergeCell ref="JN152:JN153"/>
    <mergeCell ref="JN155:JN156"/>
    <mergeCell ref="JN157:JN158"/>
    <mergeCell ref="JN276:JN277"/>
    <mergeCell ref="JN278:JN279"/>
    <mergeCell ref="JN281:JN282"/>
    <mergeCell ref="JN283:JN284"/>
    <mergeCell ref="JN286:JN287"/>
    <mergeCell ref="JN288:JN289"/>
    <mergeCell ref="JN291:JN292"/>
    <mergeCell ref="JN293:JN294"/>
    <mergeCell ref="JN296:JN297"/>
    <mergeCell ref="JN298:JN299"/>
    <mergeCell ref="JN301:JN302"/>
    <mergeCell ref="JN245:JN246"/>
    <mergeCell ref="JN251:JN252"/>
    <mergeCell ref="JN253:JN254"/>
    <mergeCell ref="JN256:JN257"/>
    <mergeCell ref="JN258:JN259"/>
    <mergeCell ref="JN261:JN262"/>
    <mergeCell ref="JN263:JN264"/>
    <mergeCell ref="JN266:JN267"/>
    <mergeCell ref="JN268:JN269"/>
    <mergeCell ref="JN271:JN272"/>
    <mergeCell ref="JN273:JN274"/>
    <mergeCell ref="JN218:JN219"/>
    <mergeCell ref="JN220:JN221"/>
    <mergeCell ref="JN223:JN224"/>
    <mergeCell ref="JN225:JN226"/>
    <mergeCell ref="JN228:JN229"/>
    <mergeCell ref="JN230:JN231"/>
    <mergeCell ref="JN233:JN234"/>
    <mergeCell ref="JN235:JN236"/>
    <mergeCell ref="JN238:JN239"/>
    <mergeCell ref="JN240:JN241"/>
    <mergeCell ref="JN243:JN244"/>
    <mergeCell ref="JN105:JN106"/>
    <mergeCell ref="JN107:JN108"/>
    <mergeCell ref="JN110:JN111"/>
    <mergeCell ref="JN112:JN113"/>
    <mergeCell ref="JN115:JN116"/>
    <mergeCell ref="JN117:JN118"/>
    <mergeCell ref="JN120:JN121"/>
    <mergeCell ref="JN122:JN123"/>
    <mergeCell ref="JN125:JN126"/>
    <mergeCell ref="JN127:JN128"/>
    <mergeCell ref="JN130:JN131"/>
    <mergeCell ref="JN82:JN83"/>
    <mergeCell ref="JN84:JN85"/>
    <mergeCell ref="JN87:JN88"/>
    <mergeCell ref="JN89:JN90"/>
    <mergeCell ref="JN95:JN96"/>
    <mergeCell ref="JN97:JN98"/>
    <mergeCell ref="JN100:JN101"/>
    <mergeCell ref="JN102:JN103"/>
    <mergeCell ref="JG721:JG722"/>
    <mergeCell ref="JH721:JH722"/>
    <mergeCell ref="JG618:JG619"/>
    <mergeCell ref="JH618:JH619"/>
    <mergeCell ref="JJ618:JJ619"/>
    <mergeCell ref="JG620:JG621"/>
    <mergeCell ref="JH620:JH621"/>
    <mergeCell ref="JJ620:JJ621"/>
    <mergeCell ref="JN190:JN191"/>
    <mergeCell ref="JN193:JN194"/>
    <mergeCell ref="JN195:JN196"/>
    <mergeCell ref="JN198:JN199"/>
    <mergeCell ref="JN200:JN201"/>
    <mergeCell ref="JN203:JN204"/>
    <mergeCell ref="JN205:JN206"/>
    <mergeCell ref="JN208:JN209"/>
    <mergeCell ref="JN210:JN211"/>
    <mergeCell ref="JN213:JN214"/>
    <mergeCell ref="JN215:JN216"/>
    <mergeCell ref="JN160:JN161"/>
    <mergeCell ref="JN162:JN163"/>
    <mergeCell ref="JN165:JN166"/>
    <mergeCell ref="JN167:JN168"/>
    <mergeCell ref="JN173:JN174"/>
    <mergeCell ref="JN175:JN176"/>
    <mergeCell ref="JN178:JN179"/>
    <mergeCell ref="JN180:JN181"/>
    <mergeCell ref="JN183:JN184"/>
    <mergeCell ref="JN185:JN186"/>
    <mergeCell ref="JJ625:JJ626"/>
    <mergeCell ref="JG628:JG629"/>
    <mergeCell ref="JH628:JH629"/>
    <mergeCell ref="JJ628:JJ629"/>
    <mergeCell ref="JG630:JG631"/>
    <mergeCell ref="JH630:JH631"/>
    <mergeCell ref="JJ630:JJ631"/>
    <mergeCell ref="JG633:JG634"/>
    <mergeCell ref="JH633:JH634"/>
    <mergeCell ref="JJ633:JJ634"/>
    <mergeCell ref="JG635:JG636"/>
    <mergeCell ref="JH635:JH636"/>
    <mergeCell ref="JJ635:JJ636"/>
    <mergeCell ref="JG641:JG642"/>
    <mergeCell ref="JH641:JH642"/>
    <mergeCell ref="JJ641:JJ642"/>
    <mergeCell ref="JG789:JG790"/>
    <mergeCell ref="JH789:JH790"/>
    <mergeCell ref="JJ789:JJ790"/>
    <mergeCell ref="JG791:JG792"/>
    <mergeCell ref="JH791:JH792"/>
    <mergeCell ref="JJ791:JJ792"/>
    <mergeCell ref="JG749:JG750"/>
    <mergeCell ref="JH749:JH750"/>
    <mergeCell ref="JJ749:JJ750"/>
    <mergeCell ref="JG751:JG752"/>
    <mergeCell ref="JH751:JH752"/>
    <mergeCell ref="JJ751:JJ752"/>
    <mergeCell ref="JG754:JG755"/>
    <mergeCell ref="JH754:JH755"/>
    <mergeCell ref="JJ754:JJ755"/>
    <mergeCell ref="JG756:JG757"/>
    <mergeCell ref="JH756:JH757"/>
    <mergeCell ref="JJ756:JJ757"/>
    <mergeCell ref="JG759:JG760"/>
    <mergeCell ref="JH759:JH760"/>
    <mergeCell ref="JJ759:JJ760"/>
    <mergeCell ref="JG761:JG762"/>
    <mergeCell ref="JH761:JH762"/>
    <mergeCell ref="JJ761:JJ762"/>
    <mergeCell ref="JG764:JG765"/>
    <mergeCell ref="JH764:JH765"/>
    <mergeCell ref="JJ764:JJ765"/>
    <mergeCell ref="JG766:JG767"/>
    <mergeCell ref="JH766:JH767"/>
    <mergeCell ref="JJ766:JJ767"/>
    <mergeCell ref="JG769:JG770"/>
    <mergeCell ref="JH769:JH770"/>
    <mergeCell ref="JJ769:JJ770"/>
    <mergeCell ref="JG771:JG772"/>
    <mergeCell ref="JH771:JH772"/>
    <mergeCell ref="JJ771:JJ772"/>
    <mergeCell ref="JG774:JG775"/>
    <mergeCell ref="JH774:JH775"/>
    <mergeCell ref="JJ774:JJ775"/>
    <mergeCell ref="JG781:JG782"/>
    <mergeCell ref="JH781:JH782"/>
    <mergeCell ref="JJ781:JJ782"/>
    <mergeCell ref="JG779:JG780"/>
    <mergeCell ref="JH779:JH780"/>
    <mergeCell ref="JJ779:JJ780"/>
    <mergeCell ref="JG776:JG777"/>
    <mergeCell ref="JH776:JH777"/>
    <mergeCell ref="JJ776:JJ777"/>
    <mergeCell ref="JG784:JG785"/>
    <mergeCell ref="JH784:JH785"/>
    <mergeCell ref="JJ784:JJ785"/>
    <mergeCell ref="JG786:JG787"/>
    <mergeCell ref="JH786:JH787"/>
    <mergeCell ref="JJ786:JJ787"/>
    <mergeCell ref="JG746:JG747"/>
    <mergeCell ref="JH746:JH747"/>
    <mergeCell ref="JJ746:JJ747"/>
    <mergeCell ref="JG691:JG692"/>
    <mergeCell ref="JH691:JH692"/>
    <mergeCell ref="JJ691:JJ692"/>
    <mergeCell ref="JG693:JG694"/>
    <mergeCell ref="JH693:JH694"/>
    <mergeCell ref="JJ693:JJ694"/>
    <mergeCell ref="JG696:JG697"/>
    <mergeCell ref="JH696:JH697"/>
    <mergeCell ref="JG724:JG725"/>
    <mergeCell ref="JH724:JH725"/>
    <mergeCell ref="JJ724:JJ725"/>
    <mergeCell ref="JG726:JG727"/>
    <mergeCell ref="JH726:JH727"/>
    <mergeCell ref="JJ726:JJ727"/>
    <mergeCell ref="JG729:JG730"/>
    <mergeCell ref="JH729:JH730"/>
    <mergeCell ref="JJ729:JJ730"/>
    <mergeCell ref="JJ696:JJ697"/>
    <mergeCell ref="JG698:JG699"/>
    <mergeCell ref="JH703:JH704"/>
    <mergeCell ref="JJ703:JJ704"/>
    <mergeCell ref="JH731:JH732"/>
    <mergeCell ref="JJ731:JJ732"/>
    <mergeCell ref="JG734:JG735"/>
    <mergeCell ref="JH734:JH735"/>
    <mergeCell ref="JJ734:JJ735"/>
    <mergeCell ref="JG736:JG737"/>
    <mergeCell ref="JH736:JH737"/>
    <mergeCell ref="JJ736:JJ737"/>
    <mergeCell ref="JG739:JG740"/>
    <mergeCell ref="JH739:JH740"/>
    <mergeCell ref="JJ739:JJ740"/>
    <mergeCell ref="JG713:JG714"/>
    <mergeCell ref="JJ721:JJ722"/>
    <mergeCell ref="JJ713:JJ714"/>
    <mergeCell ref="JG719:JG720"/>
    <mergeCell ref="JH719:JH720"/>
    <mergeCell ref="JJ719:JJ720"/>
    <mergeCell ref="JH713:JH714"/>
    <mergeCell ref="JG731:JG732"/>
    <mergeCell ref="JG703:JG704"/>
    <mergeCell ref="JH698:JH699"/>
    <mergeCell ref="JJ698:JJ699"/>
    <mergeCell ref="JG701:JG702"/>
    <mergeCell ref="JH701:JH702"/>
    <mergeCell ref="JJ701:JJ702"/>
    <mergeCell ref="JG706:JG707"/>
    <mergeCell ref="JH706:JH707"/>
    <mergeCell ref="JJ706:JJ707"/>
    <mergeCell ref="JG708:JG709"/>
    <mergeCell ref="JH708:JH709"/>
    <mergeCell ref="JJ708:JJ709"/>
    <mergeCell ref="JG711:JG712"/>
    <mergeCell ref="JH711:JH712"/>
    <mergeCell ref="JJ711:JJ712"/>
    <mergeCell ref="JG741:JG742"/>
    <mergeCell ref="JH741:JH742"/>
    <mergeCell ref="JJ741:JJ742"/>
    <mergeCell ref="JG744:JG745"/>
    <mergeCell ref="JH744:JH745"/>
    <mergeCell ref="JJ744:JJ745"/>
    <mergeCell ref="JG688:JG689"/>
    <mergeCell ref="JH688:JH689"/>
    <mergeCell ref="JJ688:JJ689"/>
    <mergeCell ref="JG673:JG674"/>
    <mergeCell ref="JH673:JH674"/>
    <mergeCell ref="JJ673:JJ674"/>
    <mergeCell ref="JG676:JG677"/>
    <mergeCell ref="JH676:JH677"/>
    <mergeCell ref="JJ676:JJ677"/>
    <mergeCell ref="JG678:JG679"/>
    <mergeCell ref="JH678:JH679"/>
    <mergeCell ref="JJ678:JJ679"/>
    <mergeCell ref="JG681:JG682"/>
    <mergeCell ref="JH681:JH682"/>
    <mergeCell ref="JJ681:JJ682"/>
    <mergeCell ref="JG683:JG684"/>
    <mergeCell ref="JH683:JH684"/>
    <mergeCell ref="JJ683:JJ684"/>
    <mergeCell ref="JG686:JG687"/>
    <mergeCell ref="JH686:JH687"/>
    <mergeCell ref="JJ686:JJ687"/>
    <mergeCell ref="JH668:JH669"/>
    <mergeCell ref="JJ668:JJ669"/>
    <mergeCell ref="JG623:JG624"/>
    <mergeCell ref="JH623:JH624"/>
    <mergeCell ref="JJ623:JJ624"/>
    <mergeCell ref="JG625:JG626"/>
    <mergeCell ref="JH651:JH652"/>
    <mergeCell ref="JJ651:JJ652"/>
    <mergeCell ref="JG666:JG667"/>
    <mergeCell ref="JG668:JG669"/>
    <mergeCell ref="JG671:JG672"/>
    <mergeCell ref="JH671:JH672"/>
    <mergeCell ref="JJ671:JJ672"/>
    <mergeCell ref="JH666:JH667"/>
    <mergeCell ref="JJ666:JJ667"/>
    <mergeCell ref="JJ658:JJ659"/>
    <mergeCell ref="JG661:JG662"/>
    <mergeCell ref="JH661:JH662"/>
    <mergeCell ref="JJ661:JJ662"/>
    <mergeCell ref="JG663:JG664"/>
    <mergeCell ref="JH625:JH626"/>
    <mergeCell ref="JG643:JG644"/>
    <mergeCell ref="JH643:JH644"/>
    <mergeCell ref="JJ643:JJ644"/>
    <mergeCell ref="JG646:JG647"/>
    <mergeCell ref="JH646:JH647"/>
    <mergeCell ref="JJ646:JJ647"/>
    <mergeCell ref="JG648:JG649"/>
    <mergeCell ref="JH648:JH649"/>
    <mergeCell ref="JJ648:JJ649"/>
    <mergeCell ref="JG651:JG652"/>
    <mergeCell ref="JG653:JG654"/>
    <mergeCell ref="JH653:JH654"/>
    <mergeCell ref="JJ653:JJ654"/>
    <mergeCell ref="JG656:JG657"/>
    <mergeCell ref="JH656:JH657"/>
    <mergeCell ref="JH663:JH664"/>
    <mergeCell ref="JJ663:JJ664"/>
    <mergeCell ref="JJ656:JJ657"/>
    <mergeCell ref="JG658:JG659"/>
    <mergeCell ref="JH658:JH659"/>
    <mergeCell ref="JJ608:JJ609"/>
    <mergeCell ref="JG610:JG611"/>
    <mergeCell ref="JH610:JH611"/>
    <mergeCell ref="JJ610:JJ611"/>
    <mergeCell ref="JH613:JH614"/>
    <mergeCell ref="JJ613:JJ614"/>
    <mergeCell ref="JG615:JG616"/>
    <mergeCell ref="JH615:JH616"/>
    <mergeCell ref="JJ615:JJ616"/>
    <mergeCell ref="JG613:JG614"/>
    <mergeCell ref="JG532:JG533"/>
    <mergeCell ref="JH532:JH533"/>
    <mergeCell ref="JJ532:JJ533"/>
    <mergeCell ref="JG535:JG536"/>
    <mergeCell ref="JH535:JH536"/>
    <mergeCell ref="JJ535:JJ536"/>
    <mergeCell ref="JG578:JG579"/>
    <mergeCell ref="JH578:JH579"/>
    <mergeCell ref="JJ578:JJ579"/>
    <mergeCell ref="JG580:JG581"/>
    <mergeCell ref="JH580:JH581"/>
    <mergeCell ref="JJ580:JJ581"/>
    <mergeCell ref="JG565:JG566"/>
    <mergeCell ref="JH565:JH566"/>
    <mergeCell ref="JJ565:JJ566"/>
    <mergeCell ref="JG557:JG558"/>
    <mergeCell ref="JH557:JH558"/>
    <mergeCell ref="JJ557:JJ558"/>
    <mergeCell ref="JG563:JG564"/>
    <mergeCell ref="JH563:JH564"/>
    <mergeCell ref="JJ563:JJ564"/>
    <mergeCell ref="JG542:JG543"/>
    <mergeCell ref="JH542:JH543"/>
    <mergeCell ref="JJ542:JJ543"/>
    <mergeCell ref="JG545:JG546"/>
    <mergeCell ref="JH545:JH546"/>
    <mergeCell ref="JJ545:JJ546"/>
    <mergeCell ref="JG547:JG548"/>
    <mergeCell ref="JH547:JH548"/>
    <mergeCell ref="JJ547:JJ548"/>
    <mergeCell ref="JG550:JG551"/>
    <mergeCell ref="JH550:JH551"/>
    <mergeCell ref="JJ550:JJ551"/>
    <mergeCell ref="JG552:JG553"/>
    <mergeCell ref="JH552:JH553"/>
    <mergeCell ref="JJ552:JJ553"/>
    <mergeCell ref="JG555:JG556"/>
    <mergeCell ref="JH555:JH556"/>
    <mergeCell ref="JJ555:JJ556"/>
    <mergeCell ref="JJ570:JJ571"/>
    <mergeCell ref="JG568:JG569"/>
    <mergeCell ref="JH568:JH569"/>
    <mergeCell ref="JJ568:JJ569"/>
    <mergeCell ref="JG570:JG571"/>
    <mergeCell ref="JH573:JH574"/>
    <mergeCell ref="JJ573:JJ574"/>
    <mergeCell ref="JG573:JG574"/>
    <mergeCell ref="JG575:JG576"/>
    <mergeCell ref="JH575:JH576"/>
    <mergeCell ref="JJ575:JJ576"/>
    <mergeCell ref="JH608:JH609"/>
    <mergeCell ref="JG608:JG609"/>
    <mergeCell ref="JH520:JH521"/>
    <mergeCell ref="JJ520:JJ521"/>
    <mergeCell ref="JG522:JG523"/>
    <mergeCell ref="JH522:JH523"/>
    <mergeCell ref="JJ522:JJ523"/>
    <mergeCell ref="JG525:JG526"/>
    <mergeCell ref="JH525:JH526"/>
    <mergeCell ref="JJ525:JJ526"/>
    <mergeCell ref="JG527:JG528"/>
    <mergeCell ref="JH527:JH528"/>
    <mergeCell ref="JJ527:JJ528"/>
    <mergeCell ref="JG530:JG531"/>
    <mergeCell ref="JH530:JH531"/>
    <mergeCell ref="JJ530:JJ531"/>
    <mergeCell ref="JH490:JH491"/>
    <mergeCell ref="JJ490:JJ491"/>
    <mergeCell ref="JG492:JG493"/>
    <mergeCell ref="JH492:JH493"/>
    <mergeCell ref="JJ492:JJ493"/>
    <mergeCell ref="JG495:JG496"/>
    <mergeCell ref="JH495:JH496"/>
    <mergeCell ref="JJ495:JJ496"/>
    <mergeCell ref="JG497:JG498"/>
    <mergeCell ref="JH497:JH498"/>
    <mergeCell ref="JJ497:JJ498"/>
    <mergeCell ref="JG500:JG501"/>
    <mergeCell ref="JH500:JH501"/>
    <mergeCell ref="JJ500:JJ501"/>
    <mergeCell ref="JG502:JG503"/>
    <mergeCell ref="JH502:JH503"/>
    <mergeCell ref="JJ502:JJ503"/>
    <mergeCell ref="JG505:JG506"/>
    <mergeCell ref="JH505:JH506"/>
    <mergeCell ref="JJ505:JJ506"/>
    <mergeCell ref="JG510:JG511"/>
    <mergeCell ref="JH510:JH511"/>
    <mergeCell ref="JJ510:JJ511"/>
    <mergeCell ref="JG512:JG513"/>
    <mergeCell ref="JH512:JH513"/>
    <mergeCell ref="JJ512:JJ513"/>
    <mergeCell ref="JG490:JG491"/>
    <mergeCell ref="JJ515:JJ516"/>
    <mergeCell ref="JG507:JG508"/>
    <mergeCell ref="JH507:JH508"/>
    <mergeCell ref="JG517:JG518"/>
    <mergeCell ref="JH517:JH518"/>
    <mergeCell ref="JJ517:JJ518"/>
    <mergeCell ref="JG520:JG521"/>
    <mergeCell ref="JH454:JH455"/>
    <mergeCell ref="JH417:JH418"/>
    <mergeCell ref="JJ417:JJ418"/>
    <mergeCell ref="JG419:JG420"/>
    <mergeCell ref="JH419:JH420"/>
    <mergeCell ref="JJ419:JJ420"/>
    <mergeCell ref="JG422:JG423"/>
    <mergeCell ref="JH422:JH423"/>
    <mergeCell ref="JJ422:JJ423"/>
    <mergeCell ref="JG401:JG402"/>
    <mergeCell ref="JH401:JH402"/>
    <mergeCell ref="JJ401:JJ402"/>
    <mergeCell ref="JG407:JG408"/>
    <mergeCell ref="JH407:JH408"/>
    <mergeCell ref="JJ407:JJ408"/>
    <mergeCell ref="JH462:JH463"/>
    <mergeCell ref="JJ454:JJ455"/>
    <mergeCell ref="JH424:JH425"/>
    <mergeCell ref="JJ424:JJ425"/>
    <mergeCell ref="JG427:JG428"/>
    <mergeCell ref="JH427:JH428"/>
    <mergeCell ref="JJ427:JJ428"/>
    <mergeCell ref="JG429:JG430"/>
    <mergeCell ref="JH429:JH430"/>
    <mergeCell ref="JJ429:JJ430"/>
    <mergeCell ref="JG432:JG433"/>
    <mergeCell ref="JH432:JH433"/>
    <mergeCell ref="JJ432:JJ433"/>
    <mergeCell ref="JG434:JG435"/>
    <mergeCell ref="JG459:JG460"/>
    <mergeCell ref="JH459:JH460"/>
    <mergeCell ref="JJ459:JJ460"/>
    <mergeCell ref="JJ462:JJ463"/>
    <mergeCell ref="JG462:JG463"/>
    <mergeCell ref="JG409:JG410"/>
    <mergeCell ref="JH409:JH410"/>
    <mergeCell ref="JJ409:JJ410"/>
    <mergeCell ref="JG412:JG413"/>
    <mergeCell ref="JH412:JH413"/>
    <mergeCell ref="JJ412:JJ413"/>
    <mergeCell ref="JG414:JG415"/>
    <mergeCell ref="JH414:JH415"/>
    <mergeCell ref="JJ414:JJ415"/>
    <mergeCell ref="JG417:JG418"/>
    <mergeCell ref="JG371:JG372"/>
    <mergeCell ref="JH371:JH372"/>
    <mergeCell ref="JJ371:JJ372"/>
    <mergeCell ref="JG374:JG375"/>
    <mergeCell ref="JH374:JH375"/>
    <mergeCell ref="JJ374:JJ375"/>
    <mergeCell ref="JG376:JG377"/>
    <mergeCell ref="JH376:JH377"/>
    <mergeCell ref="JJ376:JJ377"/>
    <mergeCell ref="JG379:JG380"/>
    <mergeCell ref="JH379:JH380"/>
    <mergeCell ref="JJ379:JJ380"/>
    <mergeCell ref="JG381:JG382"/>
    <mergeCell ref="JH381:JH382"/>
    <mergeCell ref="JJ381:JJ382"/>
    <mergeCell ref="JJ487:JJ488"/>
    <mergeCell ref="JG384:JG385"/>
    <mergeCell ref="JH384:JH385"/>
    <mergeCell ref="JJ384:JJ385"/>
    <mergeCell ref="JG386:JG387"/>
    <mergeCell ref="JH386:JH387"/>
    <mergeCell ref="JJ386:JJ387"/>
    <mergeCell ref="JG389:JG390"/>
    <mergeCell ref="JH389:JH390"/>
    <mergeCell ref="JJ389:JJ390"/>
    <mergeCell ref="JG391:JG392"/>
    <mergeCell ref="JH391:JH392"/>
    <mergeCell ref="JJ391:JJ392"/>
    <mergeCell ref="JG457:JG458"/>
    <mergeCell ref="JH457:JH458"/>
    <mergeCell ref="JJ457:JJ458"/>
    <mergeCell ref="JH434:JH435"/>
    <mergeCell ref="JJ434:JJ435"/>
    <mergeCell ref="JG437:JG438"/>
    <mergeCell ref="JH437:JH438"/>
    <mergeCell ref="JJ437:JJ438"/>
    <mergeCell ref="JG439:JG440"/>
    <mergeCell ref="JH439:JH440"/>
    <mergeCell ref="JJ439:JJ440"/>
    <mergeCell ref="JG442:JG443"/>
    <mergeCell ref="JH442:JH443"/>
    <mergeCell ref="JJ442:JJ443"/>
    <mergeCell ref="JG444:JG445"/>
    <mergeCell ref="JH444:JH445"/>
    <mergeCell ref="JJ444:JJ445"/>
    <mergeCell ref="JG447:JG448"/>
    <mergeCell ref="JH447:JH448"/>
    <mergeCell ref="JJ447:JJ448"/>
    <mergeCell ref="JG449:JG450"/>
    <mergeCell ref="JH449:JH450"/>
    <mergeCell ref="JJ449:JJ450"/>
    <mergeCell ref="JG452:JG453"/>
    <mergeCell ref="JH452:JH453"/>
    <mergeCell ref="JJ452:JJ453"/>
    <mergeCell ref="JG394:JG395"/>
    <mergeCell ref="JH394:JH395"/>
    <mergeCell ref="JJ394:JJ395"/>
    <mergeCell ref="JG396:JG397"/>
    <mergeCell ref="JH396:JH397"/>
    <mergeCell ref="JJ396:JJ397"/>
    <mergeCell ref="JG399:JG400"/>
    <mergeCell ref="JH399:JH400"/>
    <mergeCell ref="JJ399:JJ400"/>
    <mergeCell ref="JG454:JG455"/>
    <mergeCell ref="JG361:JG362"/>
    <mergeCell ref="JH361:JH362"/>
    <mergeCell ref="JJ361:JJ362"/>
    <mergeCell ref="JG364:JG365"/>
    <mergeCell ref="JH364:JH365"/>
    <mergeCell ref="JJ364:JJ365"/>
    <mergeCell ref="JG366:JG367"/>
    <mergeCell ref="JH366:JH367"/>
    <mergeCell ref="JJ366:JJ367"/>
    <mergeCell ref="JG369:JG370"/>
    <mergeCell ref="JH369:JH370"/>
    <mergeCell ref="JJ369:JJ370"/>
    <mergeCell ref="JG344:JG345"/>
    <mergeCell ref="JH344:JH345"/>
    <mergeCell ref="JJ344:JJ345"/>
    <mergeCell ref="JG346:JG347"/>
    <mergeCell ref="JH346:JH347"/>
    <mergeCell ref="JJ346:JJ347"/>
    <mergeCell ref="JG349:JG350"/>
    <mergeCell ref="JH349:JH350"/>
    <mergeCell ref="JJ349:JJ350"/>
    <mergeCell ref="JG351:JG352"/>
    <mergeCell ref="JH351:JH352"/>
    <mergeCell ref="JJ351:JJ352"/>
    <mergeCell ref="JG354:JG355"/>
    <mergeCell ref="JH354:JH355"/>
    <mergeCell ref="JJ354:JJ355"/>
    <mergeCell ref="JG356:JG357"/>
    <mergeCell ref="JH356:JH357"/>
    <mergeCell ref="JJ356:JJ357"/>
    <mergeCell ref="JG359:JG360"/>
    <mergeCell ref="JH359:JH360"/>
    <mergeCell ref="JJ359:JJ360"/>
    <mergeCell ref="JH318:JH319"/>
    <mergeCell ref="JJ318:JJ319"/>
    <mergeCell ref="JG321:JG322"/>
    <mergeCell ref="JH321:JH322"/>
    <mergeCell ref="JJ321:JJ322"/>
    <mergeCell ref="JG323:JG324"/>
    <mergeCell ref="JH323:JH324"/>
    <mergeCell ref="JJ323:JJ324"/>
    <mergeCell ref="JG329:JG330"/>
    <mergeCell ref="JH329:JH330"/>
    <mergeCell ref="JJ329:JJ330"/>
    <mergeCell ref="JG331:JG332"/>
    <mergeCell ref="JH331:JH332"/>
    <mergeCell ref="JJ331:JJ332"/>
    <mergeCell ref="JG334:JG335"/>
    <mergeCell ref="JH334:JH335"/>
    <mergeCell ref="JJ334:JJ335"/>
    <mergeCell ref="JG339:JG340"/>
    <mergeCell ref="JH339:JH340"/>
    <mergeCell ref="JJ339:JJ340"/>
    <mergeCell ref="JG311:JG312"/>
    <mergeCell ref="JH311:JH312"/>
    <mergeCell ref="JJ311:JJ312"/>
    <mergeCell ref="JG313:JG314"/>
    <mergeCell ref="JH313:JH314"/>
    <mergeCell ref="JJ313:JJ314"/>
    <mergeCell ref="JG316:JG317"/>
    <mergeCell ref="JH316:JH317"/>
    <mergeCell ref="JJ316:JJ317"/>
    <mergeCell ref="JG318:JG319"/>
    <mergeCell ref="JG341:JG342"/>
    <mergeCell ref="JH341:JH342"/>
    <mergeCell ref="JJ341:JJ342"/>
    <mergeCell ref="JH298:JH299"/>
    <mergeCell ref="JJ298:JJ299"/>
    <mergeCell ref="JG301:JG302"/>
    <mergeCell ref="JH301:JH302"/>
    <mergeCell ref="JJ301:JJ302"/>
    <mergeCell ref="JG303:JG304"/>
    <mergeCell ref="JH303:JH304"/>
    <mergeCell ref="JJ303:JJ304"/>
    <mergeCell ref="JG306:JG307"/>
    <mergeCell ref="JH306:JH307"/>
    <mergeCell ref="JJ306:JJ307"/>
    <mergeCell ref="JG283:JG284"/>
    <mergeCell ref="JH283:JH284"/>
    <mergeCell ref="JJ283:JJ284"/>
    <mergeCell ref="JG286:JG287"/>
    <mergeCell ref="JH286:JH287"/>
    <mergeCell ref="JJ286:JJ287"/>
    <mergeCell ref="JG288:JG289"/>
    <mergeCell ref="JH288:JH289"/>
    <mergeCell ref="JJ288:JJ289"/>
    <mergeCell ref="JG291:JG292"/>
    <mergeCell ref="JH291:JH292"/>
    <mergeCell ref="JJ291:JJ292"/>
    <mergeCell ref="JG293:JG294"/>
    <mergeCell ref="JH293:JH294"/>
    <mergeCell ref="JJ293:JJ294"/>
    <mergeCell ref="JG296:JG297"/>
    <mergeCell ref="JH296:JH297"/>
    <mergeCell ref="JJ296:JJ297"/>
    <mergeCell ref="JG298:JG299"/>
    <mergeCell ref="JG308:JG309"/>
    <mergeCell ref="JH308:JH309"/>
    <mergeCell ref="JJ308:JJ309"/>
    <mergeCell ref="JG263:JG264"/>
    <mergeCell ref="JH263:JH264"/>
    <mergeCell ref="JJ263:JJ264"/>
    <mergeCell ref="JG266:JG267"/>
    <mergeCell ref="JH266:JH267"/>
    <mergeCell ref="JJ266:JJ267"/>
    <mergeCell ref="JG268:JG269"/>
    <mergeCell ref="JH268:JH269"/>
    <mergeCell ref="JJ268:JJ269"/>
    <mergeCell ref="JG271:JG272"/>
    <mergeCell ref="JH271:JH272"/>
    <mergeCell ref="JJ271:JJ272"/>
    <mergeCell ref="JG273:JG274"/>
    <mergeCell ref="JH273:JH274"/>
    <mergeCell ref="JJ273:JJ274"/>
    <mergeCell ref="JG276:JG277"/>
    <mergeCell ref="JH276:JH277"/>
    <mergeCell ref="JJ276:JJ277"/>
    <mergeCell ref="JH278:JH279"/>
    <mergeCell ref="JJ278:JJ279"/>
    <mergeCell ref="JG253:JG254"/>
    <mergeCell ref="JH253:JH254"/>
    <mergeCell ref="JJ253:JJ254"/>
    <mergeCell ref="JG256:JG257"/>
    <mergeCell ref="JH256:JH257"/>
    <mergeCell ref="JJ256:JJ257"/>
    <mergeCell ref="JG258:JG259"/>
    <mergeCell ref="JH258:JH259"/>
    <mergeCell ref="JJ258:JJ259"/>
    <mergeCell ref="JG261:JG262"/>
    <mergeCell ref="JH261:JH262"/>
    <mergeCell ref="JJ261:JJ262"/>
    <mergeCell ref="JG281:JG282"/>
    <mergeCell ref="JH281:JH282"/>
    <mergeCell ref="JJ281:JJ282"/>
    <mergeCell ref="JH238:JH239"/>
    <mergeCell ref="JJ238:JJ239"/>
    <mergeCell ref="JG240:JG241"/>
    <mergeCell ref="JH240:JH241"/>
    <mergeCell ref="JJ240:JJ241"/>
    <mergeCell ref="JG243:JG244"/>
    <mergeCell ref="JH243:JH244"/>
    <mergeCell ref="JJ243:JJ244"/>
    <mergeCell ref="JG245:JG246"/>
    <mergeCell ref="JH245:JH246"/>
    <mergeCell ref="JJ245:JJ246"/>
    <mergeCell ref="JG251:JG252"/>
    <mergeCell ref="JH251:JH252"/>
    <mergeCell ref="JJ251:JJ252"/>
    <mergeCell ref="JG223:JG224"/>
    <mergeCell ref="JH223:JH224"/>
    <mergeCell ref="JJ223:JJ224"/>
    <mergeCell ref="JG225:JG226"/>
    <mergeCell ref="JH225:JH226"/>
    <mergeCell ref="JJ225:JJ226"/>
    <mergeCell ref="JG228:JG229"/>
    <mergeCell ref="JH228:JH229"/>
    <mergeCell ref="JJ228:JJ229"/>
    <mergeCell ref="JG230:JG231"/>
    <mergeCell ref="JH230:JH231"/>
    <mergeCell ref="JJ230:JJ231"/>
    <mergeCell ref="JG233:JG234"/>
    <mergeCell ref="JH233:JH234"/>
    <mergeCell ref="JJ233:JJ234"/>
    <mergeCell ref="JG235:JG236"/>
    <mergeCell ref="JH235:JH236"/>
    <mergeCell ref="JJ235:JJ236"/>
    <mergeCell ref="JG238:JG239"/>
    <mergeCell ref="JG185:JG186"/>
    <mergeCell ref="JH185:JH186"/>
    <mergeCell ref="JJ185:JJ186"/>
    <mergeCell ref="JG188:JG189"/>
    <mergeCell ref="JH188:JH189"/>
    <mergeCell ref="JJ188:JJ189"/>
    <mergeCell ref="JG190:JG191"/>
    <mergeCell ref="JH190:JH191"/>
    <mergeCell ref="JJ190:JJ191"/>
    <mergeCell ref="JG193:JG194"/>
    <mergeCell ref="JH193:JH194"/>
    <mergeCell ref="JJ193:JJ194"/>
    <mergeCell ref="JG205:JG206"/>
    <mergeCell ref="JH205:JH206"/>
    <mergeCell ref="JJ205:JJ206"/>
    <mergeCell ref="JG208:JG209"/>
    <mergeCell ref="JH208:JH209"/>
    <mergeCell ref="JJ208:JJ209"/>
    <mergeCell ref="JG210:JG211"/>
    <mergeCell ref="JH210:JH211"/>
    <mergeCell ref="JJ210:JJ211"/>
    <mergeCell ref="JG213:JG214"/>
    <mergeCell ref="JH213:JH214"/>
    <mergeCell ref="JJ213:JJ214"/>
    <mergeCell ref="JG215:JG216"/>
    <mergeCell ref="JH215:JH216"/>
    <mergeCell ref="JJ215:JJ216"/>
    <mergeCell ref="JG218:JG219"/>
    <mergeCell ref="JH218:JH219"/>
    <mergeCell ref="JJ218:JJ219"/>
    <mergeCell ref="JG220:JG221"/>
    <mergeCell ref="JH220:JH221"/>
    <mergeCell ref="JJ220:JJ221"/>
    <mergeCell ref="JG195:JG196"/>
    <mergeCell ref="JH195:JH196"/>
    <mergeCell ref="JJ195:JJ196"/>
    <mergeCell ref="JG198:JG199"/>
    <mergeCell ref="JH198:JH199"/>
    <mergeCell ref="JJ198:JJ199"/>
    <mergeCell ref="JG200:JG201"/>
    <mergeCell ref="JH200:JH201"/>
    <mergeCell ref="JJ200:JJ201"/>
    <mergeCell ref="JG203:JG204"/>
    <mergeCell ref="JH203:JH204"/>
    <mergeCell ref="JJ203:JJ204"/>
    <mergeCell ref="JJ135:JJ136"/>
    <mergeCell ref="JG137:JG138"/>
    <mergeCell ref="JH137:JH138"/>
    <mergeCell ref="JJ137:JJ138"/>
    <mergeCell ref="JG140:JG141"/>
    <mergeCell ref="JH140:JH141"/>
    <mergeCell ref="JJ140:JJ141"/>
    <mergeCell ref="JG142:JG143"/>
    <mergeCell ref="JH142:JH143"/>
    <mergeCell ref="JJ142:JJ143"/>
    <mergeCell ref="JG145:JG146"/>
    <mergeCell ref="JH145:JH146"/>
    <mergeCell ref="JJ145:JJ146"/>
    <mergeCell ref="JG147:JG148"/>
    <mergeCell ref="JH147:JH148"/>
    <mergeCell ref="JJ147:JJ148"/>
    <mergeCell ref="JG150:JG151"/>
    <mergeCell ref="JH150:JH151"/>
    <mergeCell ref="JJ150:JJ151"/>
    <mergeCell ref="JG152:JG153"/>
    <mergeCell ref="JH152:JH153"/>
    <mergeCell ref="JJ152:JJ153"/>
    <mergeCell ref="JG155:JG156"/>
    <mergeCell ref="JH155:JH156"/>
    <mergeCell ref="JJ155:JJ156"/>
    <mergeCell ref="JG157:JG158"/>
    <mergeCell ref="JH157:JH158"/>
    <mergeCell ref="JJ157:JJ158"/>
    <mergeCell ref="JG160:JG161"/>
    <mergeCell ref="JH160:JH161"/>
    <mergeCell ref="JJ160:JJ161"/>
    <mergeCell ref="JG165:JG166"/>
    <mergeCell ref="JH165:JH166"/>
    <mergeCell ref="JJ165:JJ166"/>
    <mergeCell ref="JG167:JG168"/>
    <mergeCell ref="JH167:JH168"/>
    <mergeCell ref="JJ167:JJ168"/>
    <mergeCell ref="JG173:JG174"/>
    <mergeCell ref="JH173:JH174"/>
    <mergeCell ref="JJ173:JJ174"/>
    <mergeCell ref="JG175:JG176"/>
    <mergeCell ref="JH175:JH176"/>
    <mergeCell ref="JJ175:JJ176"/>
    <mergeCell ref="JG178:JG179"/>
    <mergeCell ref="JH178:JH179"/>
    <mergeCell ref="JJ178:JJ179"/>
    <mergeCell ref="JG180:JG181"/>
    <mergeCell ref="JH180:JH181"/>
    <mergeCell ref="JJ180:JJ181"/>
    <mergeCell ref="JG183:JG184"/>
    <mergeCell ref="JH183:JH184"/>
    <mergeCell ref="JJ183:JJ184"/>
    <mergeCell ref="JG132:JG133"/>
    <mergeCell ref="JG162:JG163"/>
    <mergeCell ref="JH162:JH163"/>
    <mergeCell ref="JJ162:JJ163"/>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589:F589"/>
    <mergeCell ref="G589:L589"/>
    <mergeCell ref="P589:Q589"/>
    <mergeCell ref="S583:S584"/>
    <mergeCell ref="U583:AA583"/>
    <mergeCell ref="P581:R581"/>
    <mergeCell ref="AW578:AW581"/>
    <mergeCell ref="E559:AW559"/>
    <mergeCell ref="U590:AE590"/>
    <mergeCell ref="AN575:AN576"/>
    <mergeCell ref="AO575:AO576"/>
    <mergeCell ref="U531:AD531"/>
    <mergeCell ref="E556:F556"/>
    <mergeCell ref="AV490:AV493"/>
    <mergeCell ref="E552:F552"/>
    <mergeCell ref="G552:L552"/>
    <mergeCell ref="P552:Q552"/>
    <mergeCell ref="S552:S553"/>
    <mergeCell ref="AG552:AL552"/>
    <mergeCell ref="AM552:AM553"/>
    <mergeCell ref="AN552:AN553"/>
    <mergeCell ref="AO552:AO553"/>
    <mergeCell ref="S557:S558"/>
    <mergeCell ref="AG557:AL557"/>
    <mergeCell ref="S555:S556"/>
    <mergeCell ref="U565:AE565"/>
    <mergeCell ref="U570:AE570"/>
    <mergeCell ref="U575:AE575"/>
    <mergeCell ref="U580:AE580"/>
    <mergeCell ref="U585:AE585"/>
    <mergeCell ref="E582:AW582"/>
    <mergeCell ref="AG555:AL555"/>
    <mergeCell ref="AM555:AM556"/>
    <mergeCell ref="AG553:AL553"/>
    <mergeCell ref="AG556:AK556"/>
    <mergeCell ref="E549:AW549"/>
    <mergeCell ref="AG546:AK546"/>
    <mergeCell ref="S542:S543"/>
    <mergeCell ref="AG542:AL542"/>
    <mergeCell ref="AM542:AM543"/>
    <mergeCell ref="P546:Q546"/>
    <mergeCell ref="P547:Q547"/>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AR561:AS561"/>
    <mergeCell ref="AT561:AW561"/>
    <mergeCell ref="AU562:AW562"/>
    <mergeCell ref="E554:AW554"/>
    <mergeCell ref="P609:Q609"/>
    <mergeCell ref="U604:AD604"/>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U579:AD579"/>
    <mergeCell ref="AN515:AN516"/>
    <mergeCell ref="E517:F517"/>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E768:AW768"/>
    <mergeCell ref="E753:AW753"/>
    <mergeCell ref="E741:F741"/>
    <mergeCell ref="G741:L741"/>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AO666:AO667"/>
    <mergeCell ref="E674:F674"/>
    <mergeCell ref="AO731:AO732"/>
    <mergeCell ref="E715:AW715"/>
    <mergeCell ref="E712:F712"/>
    <mergeCell ref="G712:L712"/>
    <mergeCell ref="P712:Q712"/>
    <mergeCell ref="P668:Q668"/>
    <mergeCell ref="S668:S669"/>
    <mergeCell ref="U674:AA674"/>
    <mergeCell ref="AG674:AL674"/>
    <mergeCell ref="G720:L720"/>
    <mergeCell ref="P720:Q720"/>
    <mergeCell ref="G704:L704"/>
    <mergeCell ref="P704:R704"/>
    <mergeCell ref="U704:AA704"/>
    <mergeCell ref="AG704:AL704"/>
    <mergeCell ref="E702:F702"/>
    <mergeCell ref="G702:L702"/>
    <mergeCell ref="P702:Q702"/>
    <mergeCell ref="E695:AW695"/>
    <mergeCell ref="P682:Q682"/>
    <mergeCell ref="E683:F683"/>
    <mergeCell ref="G683:L683"/>
    <mergeCell ref="P683:Q683"/>
    <mergeCell ref="S683:S684"/>
    <mergeCell ref="AG683:AL683"/>
    <mergeCell ref="AM683:AM684"/>
    <mergeCell ref="AG730:AK730"/>
    <mergeCell ref="AG735:AK735"/>
    <mergeCell ref="AG740:AK740"/>
    <mergeCell ref="AG745:AK745"/>
    <mergeCell ref="AN666:AN667"/>
    <mergeCell ref="E687:F687"/>
    <mergeCell ref="AG750:AK750"/>
    <mergeCell ref="E752:F752"/>
    <mergeCell ref="E757:F757"/>
    <mergeCell ref="G757:L757"/>
    <mergeCell ref="G756:L756"/>
    <mergeCell ref="P756:Q756"/>
    <mergeCell ref="AW656:AW659"/>
    <mergeCell ref="E650:AW650"/>
    <mergeCell ref="E637:AW637"/>
    <mergeCell ref="AR661:AT664"/>
    <mergeCell ref="AW661:AW664"/>
    <mergeCell ref="AG668:AL668"/>
    <mergeCell ref="AM668:AM669"/>
    <mergeCell ref="G664:L664"/>
    <mergeCell ref="S648:S649"/>
    <mergeCell ref="S641:S642"/>
    <mergeCell ref="U641:AA641"/>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U629:AD629"/>
    <mergeCell ref="U634:AD634"/>
    <mergeCell ref="U642:AD642"/>
    <mergeCell ref="U647:AD647"/>
    <mergeCell ref="AM646:AM647"/>
    <mergeCell ref="AN646:AN647"/>
    <mergeCell ref="AO646:AO647"/>
    <mergeCell ref="AP646:AQ649"/>
    <mergeCell ref="AR646:AT649"/>
    <mergeCell ref="AU646:AU649"/>
    <mergeCell ref="E656:F656"/>
    <mergeCell ref="G656:R656"/>
    <mergeCell ref="S656:S657"/>
    <mergeCell ref="U656:AA656"/>
    <mergeCell ref="AG656:AL656"/>
    <mergeCell ref="AM656:AM657"/>
    <mergeCell ref="AN656:AN657"/>
    <mergeCell ref="AO656:AO657"/>
    <mergeCell ref="AP656:AQ659"/>
    <mergeCell ref="AO661:AO662"/>
    <mergeCell ref="AP661:AQ664"/>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U609:AD609"/>
    <mergeCell ref="U614:AD614"/>
    <mergeCell ref="U630:AE630"/>
    <mergeCell ref="E665:AW665"/>
    <mergeCell ref="E661:F661"/>
    <mergeCell ref="G661:R661"/>
    <mergeCell ref="AR656:AT659"/>
    <mergeCell ref="AU656:AU659"/>
    <mergeCell ref="AV656:AV659"/>
    <mergeCell ref="G609:L609"/>
    <mergeCell ref="U644:AA644"/>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E587:AW587"/>
    <mergeCell ref="E436:AW436"/>
    <mergeCell ref="E430:F430"/>
    <mergeCell ref="G430:L430"/>
    <mergeCell ref="P430:R430"/>
    <mergeCell ref="E395:F395"/>
    <mergeCell ref="G395:L395"/>
    <mergeCell ref="P395:Q395"/>
    <mergeCell ref="S510:S511"/>
    <mergeCell ref="U510:AA510"/>
    <mergeCell ref="AG510:AL510"/>
    <mergeCell ref="E578:F578"/>
    <mergeCell ref="E575:F575"/>
    <mergeCell ref="U401:AE401"/>
    <mergeCell ref="U409:AE409"/>
    <mergeCell ref="U414:AE414"/>
    <mergeCell ref="U419:AE419"/>
    <mergeCell ref="U424:AE424"/>
    <mergeCell ref="P654:R654"/>
    <mergeCell ref="U654:AA654"/>
    <mergeCell ref="U662:AD662"/>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E388:AW388"/>
    <mergeCell ref="AN386:AN387"/>
    <mergeCell ref="E415:F415"/>
    <mergeCell ref="E360:F360"/>
    <mergeCell ref="G360:L360"/>
    <mergeCell ref="P360:Q360"/>
    <mergeCell ref="E338:AW338"/>
    <mergeCell ref="E325:AW325"/>
    <mergeCell ref="AN517:AN518"/>
    <mergeCell ref="AO517:AO518"/>
    <mergeCell ref="E465:F465"/>
    <mergeCell ref="G465:L465"/>
    <mergeCell ref="P465:R465"/>
    <mergeCell ref="U465:AA465"/>
    <mergeCell ref="AG465:AL465"/>
    <mergeCell ref="G510:R510"/>
    <mergeCell ref="AU406:AW406"/>
    <mergeCell ref="AN414:AN415"/>
    <mergeCell ref="U415:AA415"/>
    <mergeCell ref="AP417:AQ420"/>
    <mergeCell ref="AR417:AT420"/>
    <mergeCell ref="AU417:AU420"/>
    <mergeCell ref="AV417:AV420"/>
    <mergeCell ref="AW417:AW420"/>
    <mergeCell ref="AP406:AQ406"/>
    <mergeCell ref="AR406:AT406"/>
    <mergeCell ref="E539:AW539"/>
    <mergeCell ref="G523:L523"/>
    <mergeCell ref="P523:R523"/>
    <mergeCell ref="U523:AA523"/>
    <mergeCell ref="E524:AW524"/>
    <mergeCell ref="E518:F518"/>
    <mergeCell ref="AP484:AQ484"/>
    <mergeCell ref="G555:R555"/>
    <mergeCell ref="AR555:AT558"/>
    <mergeCell ref="AU555:AU558"/>
    <mergeCell ref="AV555:AV558"/>
    <mergeCell ref="AW555:AW558"/>
    <mergeCell ref="E538:F538"/>
    <mergeCell ref="G538:L538"/>
    <mergeCell ref="P538:R538"/>
    <mergeCell ref="U538:AA538"/>
    <mergeCell ref="AG538:AL538"/>
    <mergeCell ref="E579:F579"/>
    <mergeCell ref="AO563:AO564"/>
    <mergeCell ref="AP563:AQ566"/>
    <mergeCell ref="AR563:AT566"/>
    <mergeCell ref="AU563:AU566"/>
    <mergeCell ref="AV563:AV566"/>
    <mergeCell ref="AW563:AW566"/>
    <mergeCell ref="G517:L517"/>
    <mergeCell ref="P517:Q517"/>
    <mergeCell ref="U502:AE502"/>
    <mergeCell ref="U552:AE552"/>
    <mergeCell ref="AG548:AL548"/>
    <mergeCell ref="E512:F512"/>
    <mergeCell ref="G512:L512"/>
    <mergeCell ref="E564:F564"/>
    <mergeCell ref="G564:L564"/>
    <mergeCell ref="P564:Q564"/>
    <mergeCell ref="P553:R553"/>
    <mergeCell ref="U553:AA553"/>
    <mergeCell ref="G546:L546"/>
    <mergeCell ref="E547:F547"/>
    <mergeCell ref="G547:L547"/>
    <mergeCell ref="S547:S548"/>
    <mergeCell ref="E521:F521"/>
    <mergeCell ref="G521:L521"/>
    <mergeCell ref="P521:Q521"/>
    <mergeCell ref="AO515:AO516"/>
    <mergeCell ref="AP515:AQ518"/>
    <mergeCell ref="AR515:AT518"/>
    <mergeCell ref="AU515:AU518"/>
    <mergeCell ref="AV515:AV518"/>
    <mergeCell ref="AW515:AW518"/>
    <mergeCell ref="P503:R503"/>
    <mergeCell ref="U503:AA503"/>
    <mergeCell ref="AG503:AL503"/>
    <mergeCell ref="E504:AW504"/>
    <mergeCell ref="G457:R457"/>
    <mergeCell ref="AG269:AL269"/>
    <mergeCell ref="AG366:AL366"/>
    <mergeCell ref="AM366:AM367"/>
    <mergeCell ref="AG312:AK312"/>
    <mergeCell ref="AR483:AS483"/>
    <mergeCell ref="AP483:AQ483"/>
    <mergeCell ref="E478:F478"/>
    <mergeCell ref="G478:L478"/>
    <mergeCell ref="P478:Q478"/>
    <mergeCell ref="P497:Q497"/>
    <mergeCell ref="S497:S498"/>
    <mergeCell ref="AG497:AL497"/>
    <mergeCell ref="AM497:AM498"/>
    <mergeCell ref="P496:Q496"/>
    <mergeCell ref="E497:F497"/>
    <mergeCell ref="G497:L497"/>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AO414:AO415"/>
    <mergeCell ref="AG395:AK395"/>
    <mergeCell ref="AG400:AK400"/>
    <mergeCell ref="U361:AE361"/>
    <mergeCell ref="S273:S274"/>
    <mergeCell ref="U396:AE396"/>
    <mergeCell ref="AP296:AQ299"/>
    <mergeCell ref="AR296:AT299"/>
    <mergeCell ref="AU296:AU299"/>
    <mergeCell ref="AV296:AV299"/>
    <mergeCell ref="AW296:AW299"/>
    <mergeCell ref="E455:F455"/>
    <mergeCell ref="G455:L455"/>
    <mergeCell ref="P455:R455"/>
    <mergeCell ref="U455:AA455"/>
    <mergeCell ref="AG455:AL455"/>
    <mergeCell ref="U453:AD453"/>
    <mergeCell ref="E443:F443"/>
    <mergeCell ref="P445:R445"/>
    <mergeCell ref="E488:F488"/>
    <mergeCell ref="P488:R488"/>
    <mergeCell ref="E471:AW471"/>
    <mergeCell ref="E476:AW476"/>
    <mergeCell ref="AM268:AM269"/>
    <mergeCell ref="G480:L480"/>
    <mergeCell ref="G488:L488"/>
    <mergeCell ref="U392:AA392"/>
    <mergeCell ref="G267:L267"/>
    <mergeCell ref="P267:Q267"/>
    <mergeCell ref="S258:S259"/>
    <mergeCell ref="AG258:AL258"/>
    <mergeCell ref="AM258:AM259"/>
    <mergeCell ref="AN258:AN259"/>
    <mergeCell ref="AO258:AO259"/>
    <mergeCell ref="E391:F391"/>
    <mergeCell ref="G391:L391"/>
    <mergeCell ref="S381:S382"/>
    <mergeCell ref="E386:F386"/>
    <mergeCell ref="G386:L386"/>
    <mergeCell ref="E385:F385"/>
    <mergeCell ref="G385:L385"/>
    <mergeCell ref="P385:Q385"/>
    <mergeCell ref="E362:F362"/>
    <mergeCell ref="G362:L362"/>
    <mergeCell ref="P362:R362"/>
    <mergeCell ref="U362:AA362"/>
    <mergeCell ref="AG362:AL362"/>
    <mergeCell ref="U330:AD330"/>
    <mergeCell ref="P331:Q331"/>
    <mergeCell ref="S331:S332"/>
    <mergeCell ref="U366:AE366"/>
    <mergeCell ref="U371:AE371"/>
    <mergeCell ref="U376:AE376"/>
    <mergeCell ref="U381:AE381"/>
    <mergeCell ref="U386:AE386"/>
    <mergeCell ref="U391:AE391"/>
    <mergeCell ref="U318:AE318"/>
    <mergeCell ref="AG317:AK317"/>
    <mergeCell ref="AG322:AK322"/>
    <mergeCell ref="E324:F324"/>
    <mergeCell ref="G324:L324"/>
    <mergeCell ref="U317:AD317"/>
    <mergeCell ref="S296:S297"/>
    <mergeCell ref="U296:AA296"/>
    <mergeCell ref="AG296:AL296"/>
    <mergeCell ref="AM296:AM297"/>
    <mergeCell ref="AN296:AN297"/>
    <mergeCell ref="AO296:AO297"/>
    <mergeCell ref="E292:F292"/>
    <mergeCell ref="G292:L292"/>
    <mergeCell ref="E294:F294"/>
    <mergeCell ref="G294:L294"/>
    <mergeCell ref="E290:AW290"/>
    <mergeCell ref="P299:R299"/>
    <mergeCell ref="U299:AA299"/>
    <mergeCell ref="AG299:AL299"/>
    <mergeCell ref="G296:R296"/>
    <mergeCell ref="U292:AD292"/>
    <mergeCell ref="U297:AD297"/>
    <mergeCell ref="AN263:AN264"/>
    <mergeCell ref="AO263:AO264"/>
    <mergeCell ref="E368:AW368"/>
    <mergeCell ref="AN331:AN332"/>
    <mergeCell ref="AO331:AO332"/>
    <mergeCell ref="E264:F264"/>
    <mergeCell ref="G264:L264"/>
    <mergeCell ref="E269:F269"/>
    <mergeCell ref="P264:R264"/>
    <mergeCell ref="G269:L269"/>
    <mergeCell ref="P269:R269"/>
    <mergeCell ref="U269:AA269"/>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U313:AE313"/>
    <mergeCell ref="AM356:AM357"/>
    <mergeCell ref="AN356:AN357"/>
    <mergeCell ref="U340:AD340"/>
    <mergeCell ref="AG341:AL341"/>
    <mergeCell ref="AM341:AM342"/>
    <mergeCell ref="P274:R274"/>
    <mergeCell ref="U274:AA274"/>
    <mergeCell ref="AG274:AL274"/>
    <mergeCell ref="S341:S342"/>
    <mergeCell ref="AN341:AN342"/>
    <mergeCell ref="AO341:AO342"/>
    <mergeCell ref="AG340:AK340"/>
    <mergeCell ref="AP327:AQ327"/>
    <mergeCell ref="AR327:AS327"/>
    <mergeCell ref="E275:AW275"/>
    <mergeCell ref="E270:AW270"/>
    <mergeCell ref="E300:AW300"/>
    <mergeCell ref="P268:Q268"/>
    <mergeCell ref="U323:AE323"/>
    <mergeCell ref="P324:R324"/>
    <mergeCell ref="U324:AA324"/>
    <mergeCell ref="AG324:AL324"/>
    <mergeCell ref="U322:AD322"/>
    <mergeCell ref="AG323:AL323"/>
    <mergeCell ref="AM323:AM324"/>
    <mergeCell ref="AN323:AN324"/>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E254:F254"/>
    <mergeCell ref="AP250:AQ250"/>
    <mergeCell ref="G254:L254"/>
    <mergeCell ref="AR250:AT250"/>
    <mergeCell ref="P244:Q244"/>
    <mergeCell ref="U245:AE245"/>
    <mergeCell ref="E245:F245"/>
    <mergeCell ref="G246:L246"/>
    <mergeCell ref="P246:R246"/>
    <mergeCell ref="G231:L231"/>
    <mergeCell ref="P219:Q219"/>
    <mergeCell ref="E224:F224"/>
    <mergeCell ref="E204:F204"/>
    <mergeCell ref="G204:L204"/>
    <mergeCell ref="E211:F211"/>
    <mergeCell ref="P254:R254"/>
    <mergeCell ref="U254:AA254"/>
    <mergeCell ref="AG254:AL254"/>
    <mergeCell ref="E242:AW242"/>
    <mergeCell ref="AM215:AM216"/>
    <mergeCell ref="AN215:AN216"/>
    <mergeCell ref="P236:R236"/>
    <mergeCell ref="U236:AA236"/>
    <mergeCell ref="AG236:AL236"/>
    <mergeCell ref="E194:F194"/>
    <mergeCell ref="E96:F96"/>
    <mergeCell ref="G96:L96"/>
    <mergeCell ref="P96:Q96"/>
    <mergeCell ref="E97:F97"/>
    <mergeCell ref="G97:L97"/>
    <mergeCell ref="P97:Q97"/>
    <mergeCell ref="E134:AW134"/>
    <mergeCell ref="E153:F153"/>
    <mergeCell ref="G153:L153"/>
    <mergeCell ref="P153:R153"/>
    <mergeCell ref="U153:AA153"/>
    <mergeCell ref="E141:F141"/>
    <mergeCell ref="G141:L141"/>
    <mergeCell ref="P141:Q141"/>
    <mergeCell ref="G132:L132"/>
    <mergeCell ref="AN105:AN106"/>
    <mergeCell ref="AO105:AO106"/>
    <mergeCell ref="AR160:AT163"/>
    <mergeCell ref="AU160:AU163"/>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E146:F146"/>
    <mergeCell ref="G146:L146"/>
    <mergeCell ref="E110:F110"/>
    <mergeCell ref="G105:R105"/>
    <mergeCell ref="S105:S106"/>
    <mergeCell ref="U105:AA105"/>
    <mergeCell ref="AG105:AL105"/>
    <mergeCell ref="E125:F125"/>
    <mergeCell ref="G125:R125"/>
    <mergeCell ref="U96:AD96"/>
    <mergeCell ref="E108:F108"/>
    <mergeCell ref="AR95:AT98"/>
    <mergeCell ref="E111:F111"/>
    <mergeCell ref="G111:L111"/>
    <mergeCell ref="AG123:AL123"/>
    <mergeCell ref="E144:AW144"/>
    <mergeCell ref="E100:F100"/>
    <mergeCell ref="G100:R100"/>
    <mergeCell ref="S100:S101"/>
    <mergeCell ref="AM100:AM101"/>
    <mergeCell ref="AG107:AL107"/>
    <mergeCell ref="AM107:AM108"/>
    <mergeCell ref="G101:L101"/>
    <mergeCell ref="P101:Q101"/>
    <mergeCell ref="U156:AD156"/>
    <mergeCell ref="AN157:AN158"/>
    <mergeCell ref="AO157:AO158"/>
    <mergeCell ref="HO244:HO245"/>
    <mergeCell ref="G245:L245"/>
    <mergeCell ref="P245:Q245"/>
    <mergeCell ref="S245:S246"/>
    <mergeCell ref="AG245:AL245"/>
    <mergeCell ref="AM245:AM246"/>
    <mergeCell ref="AN245:AN246"/>
    <mergeCell ref="AO245:AO246"/>
    <mergeCell ref="CR245:CR246"/>
    <mergeCell ref="CS245:CS246"/>
    <mergeCell ref="FU205:FU206"/>
    <mergeCell ref="FV205:FV206"/>
    <mergeCell ref="HR199:HR200"/>
    <mergeCell ref="HS199:HS200"/>
    <mergeCell ref="HT199:HT200"/>
    <mergeCell ref="HU199:HU200"/>
    <mergeCell ref="HV199:HV200"/>
    <mergeCell ref="HW199:HW200"/>
    <mergeCell ref="HX199:HX200"/>
    <mergeCell ref="HY199:HY200"/>
    <mergeCell ref="FL203:FL204"/>
    <mergeCell ref="FM203:FM204"/>
    <mergeCell ref="FN203:FN204"/>
    <mergeCell ref="FO203:FO204"/>
    <mergeCell ref="AU95:AU98"/>
    <mergeCell ref="AV95:AV98"/>
    <mergeCell ref="AW95:AW98"/>
    <mergeCell ref="FH198:FH201"/>
    <mergeCell ref="FL198:FL199"/>
    <mergeCell ref="FM198:FM199"/>
    <mergeCell ref="FN198:FN199"/>
    <mergeCell ref="FO198:FO199"/>
    <mergeCell ref="FQ198:FQ199"/>
    <mergeCell ref="FS198:FS199"/>
    <mergeCell ref="FT198:FT199"/>
    <mergeCell ref="FU198:FU199"/>
    <mergeCell ref="FV198:FV199"/>
    <mergeCell ref="FW198:FW199"/>
    <mergeCell ref="FX198:FX199"/>
    <mergeCell ref="GA198:GA201"/>
    <mergeCell ref="HU239:HU240"/>
    <mergeCell ref="HV239:HV240"/>
    <mergeCell ref="HW239:HW240"/>
    <mergeCell ref="HX239:HX240"/>
    <mergeCell ref="HY239:HY240"/>
    <mergeCell ref="HO224:HO225"/>
    <mergeCell ref="HP224:HP225"/>
    <mergeCell ref="HQ224:HQ225"/>
    <mergeCell ref="HR224:HR225"/>
    <mergeCell ref="AG146:AK146"/>
    <mergeCell ref="AG151:AK151"/>
    <mergeCell ref="G110:R110"/>
    <mergeCell ref="S110:S111"/>
    <mergeCell ref="U110:AA110"/>
    <mergeCell ref="AP105:AQ108"/>
    <mergeCell ref="AR105:AT108"/>
    <mergeCell ref="GN244:GN245"/>
    <mergeCell ref="AP172:AQ172"/>
    <mergeCell ref="AR172:AT172"/>
    <mergeCell ref="AO240:AO241"/>
    <mergeCell ref="E232:AW232"/>
    <mergeCell ref="HH244:HH245"/>
    <mergeCell ref="EY245:EY246"/>
    <mergeCell ref="EZ245:EZ246"/>
    <mergeCell ref="IH223:IH226"/>
    <mergeCell ref="IK223:IK224"/>
    <mergeCell ref="IL223:IL226"/>
    <mergeCell ref="IM223:IM224"/>
    <mergeCell ref="HJ224:HJ225"/>
    <mergeCell ref="HK224:HK225"/>
    <mergeCell ref="HL224:HL225"/>
    <mergeCell ref="AV203:AV206"/>
    <mergeCell ref="AW203:AW206"/>
    <mergeCell ref="P204:Q204"/>
    <mergeCell ref="E175:F175"/>
    <mergeCell ref="G175:L175"/>
    <mergeCell ref="P175:Q175"/>
    <mergeCell ref="S175:S176"/>
    <mergeCell ref="AG175:AL175"/>
    <mergeCell ref="AM175:AM176"/>
    <mergeCell ref="AN175:AN176"/>
    <mergeCell ref="AO175:AO176"/>
    <mergeCell ref="HY229:HY230"/>
    <mergeCell ref="HY224:HY225"/>
    <mergeCell ref="CR240:CR241"/>
    <mergeCell ref="CU228:CU229"/>
    <mergeCell ref="CV228:CV229"/>
    <mergeCell ref="CW228:CW229"/>
    <mergeCell ref="CX228:CX229"/>
    <mergeCell ref="CR228:CR229"/>
    <mergeCell ref="CS228:CS229"/>
    <mergeCell ref="AY223:AY226"/>
    <mergeCell ref="G219:L219"/>
    <mergeCell ref="E241:F241"/>
    <mergeCell ref="G241:L241"/>
    <mergeCell ref="G158:L158"/>
    <mergeCell ref="P158:R158"/>
    <mergeCell ref="FQ235:FQ236"/>
    <mergeCell ref="FS235:FS236"/>
    <mergeCell ref="EH233:EH236"/>
    <mergeCell ref="EI233:EI236"/>
    <mergeCell ref="EJ233:EJ236"/>
    <mergeCell ref="EK233:EK236"/>
    <mergeCell ref="FT235:FT236"/>
    <mergeCell ref="HM239:HM240"/>
    <mergeCell ref="HN239:HN240"/>
    <mergeCell ref="HO239:HO240"/>
    <mergeCell ref="HP239:HP240"/>
    <mergeCell ref="HQ239:HQ240"/>
    <mergeCell ref="HR239:HR240"/>
    <mergeCell ref="IL233:IL236"/>
    <mergeCell ref="IM233:IM234"/>
    <mergeCell ref="IM235:IM236"/>
    <mergeCell ref="FX233:FX234"/>
    <mergeCell ref="FA235:FA236"/>
    <mergeCell ref="FB235:FB236"/>
    <mergeCell ref="IF233:IF236"/>
    <mergeCell ref="IG233:IG234"/>
    <mergeCell ref="IH233:IH236"/>
    <mergeCell ref="IK233:IK234"/>
    <mergeCell ref="FM233:FM234"/>
    <mergeCell ref="FN233:FN234"/>
    <mergeCell ref="FO233:FO234"/>
    <mergeCell ref="GM239:GM240"/>
    <mergeCell ref="GN239:GN240"/>
    <mergeCell ref="GP239:GP240"/>
    <mergeCell ref="GQ239:GQ240"/>
    <mergeCell ref="HH239:HH240"/>
    <mergeCell ref="IR57:IR58"/>
    <mergeCell ref="IS57:IS58"/>
    <mergeCell ref="IT57:IT58"/>
    <mergeCell ref="IR59:IR60"/>
    <mergeCell ref="IS59:IS60"/>
    <mergeCell ref="IT59:IT60"/>
    <mergeCell ref="FN205:FN206"/>
    <mergeCell ref="FO205:FO206"/>
    <mergeCell ref="FQ205:FQ206"/>
    <mergeCell ref="FS205:FS206"/>
    <mergeCell ref="FT205:FT206"/>
    <mergeCell ref="HU252:HU253"/>
    <mergeCell ref="HV252:HV253"/>
    <mergeCell ref="HW252:HW253"/>
    <mergeCell ref="HX252:HX253"/>
    <mergeCell ref="ID252:ID253"/>
    <mergeCell ref="IP62:IP63"/>
    <mergeCell ref="IP64:IP65"/>
    <mergeCell ref="IP67:IP68"/>
    <mergeCell ref="IP69:IP70"/>
    <mergeCell ref="IP72:IP73"/>
    <mergeCell ref="IP74:IP75"/>
    <mergeCell ref="IP77:IP78"/>
    <mergeCell ref="IP79:IP80"/>
    <mergeCell ref="IP82:IP83"/>
    <mergeCell ref="IP84:IP85"/>
    <mergeCell ref="IP87:IP88"/>
    <mergeCell ref="IP89:IP90"/>
    <mergeCell ref="IP95:IP96"/>
    <mergeCell ref="IP97:IP98"/>
    <mergeCell ref="HQ244:HQ245"/>
    <mergeCell ref="HR244:HR245"/>
    <mergeCell ref="HS244:HS245"/>
    <mergeCell ref="HT244:HT245"/>
    <mergeCell ref="HU244:HU245"/>
    <mergeCell ref="HV244:HV245"/>
    <mergeCell ref="HW244:HW245"/>
    <mergeCell ref="HX244:HX245"/>
    <mergeCell ref="HY244:HY245"/>
    <mergeCell ref="IC245:IC246"/>
    <mergeCell ref="IC230:IC231"/>
    <mergeCell ref="IG230:IG231"/>
    <mergeCell ref="IK230:IK231"/>
    <mergeCell ref="HS229:HS230"/>
    <mergeCell ref="HT229:HT230"/>
    <mergeCell ref="HU229:HU230"/>
    <mergeCell ref="IK243:IK244"/>
    <mergeCell ref="IL243:IL246"/>
    <mergeCell ref="IN213:IN216"/>
    <mergeCell ref="IC215:IC216"/>
    <mergeCell ref="IG245:IG246"/>
    <mergeCell ref="HM244:HM245"/>
    <mergeCell ref="HN244:HN245"/>
    <mergeCell ref="HT239:HT240"/>
    <mergeCell ref="HW214:HW215"/>
    <mergeCell ref="HX214:HX215"/>
    <mergeCell ref="IB218:IB220"/>
    <mergeCell ref="IC218:IC219"/>
    <mergeCell ref="IC220:IC221"/>
    <mergeCell ref="HV219:HV220"/>
    <mergeCell ref="HY214:HY215"/>
    <mergeCell ref="HZ209:HZ210"/>
    <mergeCell ref="ID209:ID210"/>
    <mergeCell ref="IK205:IK206"/>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G236:L236"/>
    <mergeCell ref="E234:F234"/>
    <mergeCell ref="G234:L234"/>
    <mergeCell ref="E235:F235"/>
    <mergeCell ref="G235:L235"/>
    <mergeCell ref="CP233:CP236"/>
    <mergeCell ref="CQ233:CQ236"/>
    <mergeCell ref="CW230:CW231"/>
    <mergeCell ref="CX230:CX231"/>
    <mergeCell ref="P235:Q235"/>
    <mergeCell ref="S235:S236"/>
    <mergeCell ref="AG235:AL235"/>
    <mergeCell ref="AU250:AW250"/>
    <mergeCell ref="CX213:CX214"/>
    <mergeCell ref="AG239:AK239"/>
    <mergeCell ref="AG244:AK244"/>
    <mergeCell ref="AG246:AL246"/>
    <mergeCell ref="U246:AA246"/>
    <mergeCell ref="G244:L244"/>
    <mergeCell ref="DA251:DA254"/>
    <mergeCell ref="IG791:IG792"/>
    <mergeCell ref="IK791:IK792"/>
    <mergeCell ref="IM791:IM792"/>
    <mergeCell ref="E792:F792"/>
    <mergeCell ref="G792:L792"/>
    <mergeCell ref="P792:R792"/>
    <mergeCell ref="U792:AA792"/>
    <mergeCell ref="AG792:AL792"/>
    <mergeCell ref="E793:AW793"/>
    <mergeCell ref="IF789:IF792"/>
    <mergeCell ref="IG789:IG790"/>
    <mergeCell ref="IH789:IH792"/>
    <mergeCell ref="IK789:IK790"/>
    <mergeCell ref="IL789:IL792"/>
    <mergeCell ref="IM789:IM790"/>
    <mergeCell ref="IN789:IN792"/>
    <mergeCell ref="GM790:GM791"/>
    <mergeCell ref="GN790:GN791"/>
    <mergeCell ref="GP790:GP791"/>
    <mergeCell ref="GQ790:GQ791"/>
    <mergeCell ref="HH790:HH791"/>
    <mergeCell ref="HI790:HI791"/>
    <mergeCell ref="HJ790:HJ791"/>
    <mergeCell ref="HK790:HK791"/>
    <mergeCell ref="HL790:HL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D790:ID791"/>
    <mergeCell ref="FS789:FS790"/>
    <mergeCell ref="FT789:FT790"/>
    <mergeCell ref="FU789:FU790"/>
    <mergeCell ref="FY789:FY790"/>
    <mergeCell ref="AN791:AN792"/>
    <mergeCell ref="AO791:AO792"/>
    <mergeCell ref="CU791:CU792"/>
    <mergeCell ref="CV791:CV792"/>
    <mergeCell ref="CW791:CW792"/>
    <mergeCell ref="CX791:CX792"/>
    <mergeCell ref="CY791:CY792"/>
    <mergeCell ref="CZ791:CZ792"/>
    <mergeCell ref="DF791:DF792"/>
    <mergeCell ref="DG791:DG792"/>
    <mergeCell ref="FU791:FU792"/>
    <mergeCell ref="FV791:FV792"/>
    <mergeCell ref="FW791:FW792"/>
    <mergeCell ref="FX791:FX792"/>
    <mergeCell ref="IC791:IC792"/>
    <mergeCell ref="FV789:FV790"/>
    <mergeCell ref="FW789:FW790"/>
    <mergeCell ref="FX789:FX790"/>
    <mergeCell ref="CU251:CU252"/>
    <mergeCell ref="GA789:GA792"/>
    <mergeCell ref="GB789:GB792"/>
    <mergeCell ref="GD789:GD792"/>
    <mergeCell ref="GE789:GE792"/>
    <mergeCell ref="GF789:GF792"/>
    <mergeCell ref="GG789:GG792"/>
    <mergeCell ref="GH789:GH792"/>
    <mergeCell ref="GK789:GK792"/>
    <mergeCell ref="IB789:IB791"/>
    <mergeCell ref="IC789:IC790"/>
    <mergeCell ref="FL791:FL792"/>
    <mergeCell ref="FM791:FM792"/>
    <mergeCell ref="FN791:FN792"/>
    <mergeCell ref="FH789:FH792"/>
    <mergeCell ref="FL789:FL790"/>
    <mergeCell ref="FM789:FM790"/>
    <mergeCell ref="FN789:FN790"/>
    <mergeCell ref="DH791:DH792"/>
    <mergeCell ref="DI791:DI792"/>
    <mergeCell ref="DJ791:DJ792"/>
    <mergeCell ref="DN791:DN792"/>
    <mergeCell ref="DR791:DR792"/>
    <mergeCell ref="DT791:DT792"/>
    <mergeCell ref="DY791:DY792"/>
    <mergeCell ref="EX791:EX792"/>
    <mergeCell ref="EY791:EY792"/>
    <mergeCell ref="EZ791:EZ792"/>
    <mergeCell ref="FA791:FA792"/>
    <mergeCell ref="FB791:FB792"/>
    <mergeCell ref="FE791:FE792"/>
    <mergeCell ref="EX789:EX790"/>
    <mergeCell ref="EY789:EY790"/>
    <mergeCell ref="EZ789:EZ790"/>
    <mergeCell ref="FA789:FA790"/>
    <mergeCell ref="FB789:FB790"/>
    <mergeCell ref="FC789:FC792"/>
    <mergeCell ref="FE789:FE790"/>
    <mergeCell ref="FG789:FG792"/>
    <mergeCell ref="DY789:DY790"/>
    <mergeCell ref="DZ789:DZ792"/>
    <mergeCell ref="EA789:EA792"/>
    <mergeCell ref="EC789:EC792"/>
    <mergeCell ref="ED789:ED792"/>
    <mergeCell ref="FO789:FO790"/>
    <mergeCell ref="FQ789:FQ790"/>
    <mergeCell ref="FS791:FS792"/>
    <mergeCell ref="FO791:FO792"/>
    <mergeCell ref="FQ791:FQ792"/>
    <mergeCell ref="FP789:FP790"/>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U791:AE791"/>
    <mergeCell ref="AG790:AK790"/>
    <mergeCell ref="IG786:IG787"/>
    <mergeCell ref="IK786:IK787"/>
    <mergeCell ref="IM786:IM787"/>
    <mergeCell ref="E787:F787"/>
    <mergeCell ref="G787:L787"/>
    <mergeCell ref="P787:R787"/>
    <mergeCell ref="U787:AA787"/>
    <mergeCell ref="AG787:AL787"/>
    <mergeCell ref="E788:AW788"/>
    <mergeCell ref="DH789:DH790"/>
    <mergeCell ref="DI789:DI790"/>
    <mergeCell ref="DJ789:DJ790"/>
    <mergeCell ref="DK789:DK792"/>
    <mergeCell ref="DM789:DM790"/>
    <mergeCell ref="DO789:DO792"/>
    <mergeCell ref="DQ789:DQ792"/>
    <mergeCell ref="DR789:DR790"/>
    <mergeCell ref="DS789:DS792"/>
    <mergeCell ref="DT789:DT790"/>
    <mergeCell ref="DU789:DU792"/>
    <mergeCell ref="DV789:DV792"/>
    <mergeCell ref="DX789:DX792"/>
    <mergeCell ref="GD784:GD787"/>
    <mergeCell ref="GE784:GE787"/>
    <mergeCell ref="GF784:GF787"/>
    <mergeCell ref="GG784:GG787"/>
    <mergeCell ref="GH784:GH787"/>
    <mergeCell ref="EF789:EF792"/>
    <mergeCell ref="EG789:EG792"/>
    <mergeCell ref="EH789:EH792"/>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V789:EV792"/>
    <mergeCell ref="GA784:GA787"/>
    <mergeCell ref="GB784:GB787"/>
    <mergeCell ref="GC784:GC787"/>
    <mergeCell ref="EX786:EX787"/>
    <mergeCell ref="EY786:EY787"/>
    <mergeCell ref="EZ786:EZ787"/>
    <mergeCell ref="FA786:FA787"/>
    <mergeCell ref="FB786:FB787"/>
    <mergeCell ref="FE786:FE787"/>
    <mergeCell ref="FL786:FL787"/>
    <mergeCell ref="FM786:FM787"/>
    <mergeCell ref="FN786:FN787"/>
    <mergeCell ref="FO786:FO787"/>
    <mergeCell ref="FQ786:FQ787"/>
    <mergeCell ref="FS786:FS787"/>
    <mergeCell ref="FT786:FT787"/>
    <mergeCell ref="FT791:FT792"/>
    <mergeCell ref="GK784:GK787"/>
    <mergeCell ref="IB784:IB786"/>
    <mergeCell ref="IC784:IC785"/>
    <mergeCell ref="GC789:GC792"/>
    <mergeCell ref="HX785:HX786"/>
    <mergeCell ref="HY785:HY786"/>
    <mergeCell ref="HZ785:HZ786"/>
    <mergeCell ref="ID785:ID786"/>
    <mergeCell ref="E786:F786"/>
    <mergeCell ref="G786:L786"/>
    <mergeCell ref="P786:Q786"/>
    <mergeCell ref="S786:S787"/>
    <mergeCell ref="AG786:AL786"/>
    <mergeCell ref="AM786:AM787"/>
    <mergeCell ref="AN786:AN787"/>
    <mergeCell ref="AO786:AO787"/>
    <mergeCell ref="CR786:CR787"/>
    <mergeCell ref="CS786:CS787"/>
    <mergeCell ref="EC784:EC787"/>
    <mergeCell ref="ED784:ED787"/>
    <mergeCell ref="EF784:EF787"/>
    <mergeCell ref="EG784:EG787"/>
    <mergeCell ref="EH784:EH787"/>
    <mergeCell ref="EI784:EI787"/>
    <mergeCell ref="EJ784:EJ787"/>
    <mergeCell ref="EK784:EK787"/>
    <mergeCell ref="DF786:DF787"/>
    <mergeCell ref="DG786:DG787"/>
    <mergeCell ref="DH786:DH787"/>
    <mergeCell ref="DI786:DI787"/>
    <mergeCell ref="DJ786:DJ787"/>
    <mergeCell ref="DN786:DN787"/>
    <mergeCell ref="DR786:DR787"/>
    <mergeCell ref="DT786:DT787"/>
    <mergeCell ref="EX784:EX785"/>
    <mergeCell ref="EY784:EY785"/>
    <mergeCell ref="EZ784:EZ785"/>
    <mergeCell ref="FA784:FA785"/>
    <mergeCell ref="IC786:IC787"/>
    <mergeCell ref="U786:AE786"/>
    <mergeCell ref="DR784:DR785"/>
    <mergeCell ref="DS784:DS787"/>
    <mergeCell ref="DT784:DT785"/>
    <mergeCell ref="DU784:DU787"/>
    <mergeCell ref="DV784:DV787"/>
    <mergeCell ref="DX784:DX787"/>
    <mergeCell ref="DY784:DY785"/>
    <mergeCell ref="DZ784:DZ787"/>
    <mergeCell ref="EA784:EA787"/>
    <mergeCell ref="DY786:DY787"/>
    <mergeCell ref="FB784:FB785"/>
    <mergeCell ref="FC784:FC787"/>
    <mergeCell ref="FE784:FE785"/>
    <mergeCell ref="FG784:FG787"/>
    <mergeCell ref="FH784:FH787"/>
    <mergeCell ref="FL784:FL785"/>
    <mergeCell ref="FM784:FM785"/>
    <mergeCell ref="FN784:FN785"/>
    <mergeCell ref="FO784:FO785"/>
    <mergeCell ref="FQ784:FQ785"/>
    <mergeCell ref="FS784:FS785"/>
    <mergeCell ref="FT784:FT785"/>
    <mergeCell ref="AG785:AK785"/>
    <mergeCell ref="HV785:HV786"/>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U786:FU787"/>
    <mergeCell ref="FV786:FV787"/>
    <mergeCell ref="FW786:FW787"/>
    <mergeCell ref="FX786:FX787"/>
    <mergeCell ref="CU786:CU787"/>
    <mergeCell ref="CV786:CV787"/>
    <mergeCell ref="CW786:CW787"/>
    <mergeCell ref="CX786:CX787"/>
    <mergeCell ref="CY786:CY787"/>
    <mergeCell ref="CZ786:CZ787"/>
    <mergeCell ref="EL784:EL787"/>
    <mergeCell ref="EM784:EM787"/>
    <mergeCell ref="EN784:EN787"/>
    <mergeCell ref="EO784:EO787"/>
    <mergeCell ref="EP784:EP787"/>
    <mergeCell ref="EQ784:EQ787"/>
    <mergeCell ref="ER784:ER787"/>
    <mergeCell ref="ES784:ES787"/>
    <mergeCell ref="ET784:ET787"/>
    <mergeCell ref="EV784:EV787"/>
    <mergeCell ref="U785:AD785"/>
    <mergeCell ref="DC784:DC787"/>
    <mergeCell ref="DD784:DD787"/>
    <mergeCell ref="DF784:DF785"/>
    <mergeCell ref="DG784:DG785"/>
    <mergeCell ref="DH784:DH785"/>
    <mergeCell ref="DI784:DI785"/>
    <mergeCell ref="DJ784:DJ785"/>
    <mergeCell ref="DK784:DK787"/>
    <mergeCell ref="DM784:DM785"/>
    <mergeCell ref="DO784:DO787"/>
    <mergeCell ref="E785:F785"/>
    <mergeCell ref="G785:L785"/>
    <mergeCell ref="P785:Q785"/>
    <mergeCell ref="DQ784:DQ787"/>
    <mergeCell ref="GE779:GE782"/>
    <mergeCell ref="GF779:GF782"/>
    <mergeCell ref="GG779:GG782"/>
    <mergeCell ref="GH779:GH782"/>
    <mergeCell ref="GK779:GK782"/>
    <mergeCell ref="IB779:IB781"/>
    <mergeCell ref="IC779:IC780"/>
    <mergeCell ref="IF779:IF782"/>
    <mergeCell ref="IG779:IG780"/>
    <mergeCell ref="IH779:IH782"/>
    <mergeCell ref="IK779:IK780"/>
    <mergeCell ref="IL779:IL782"/>
    <mergeCell ref="IM779:IM780"/>
    <mergeCell ref="FB779:FB780"/>
    <mergeCell ref="FC779:FC782"/>
    <mergeCell ref="FE779:FE780"/>
    <mergeCell ref="FG779:FG782"/>
    <mergeCell ref="FH779:FH782"/>
    <mergeCell ref="FL779:FL780"/>
    <mergeCell ref="FM779:FM780"/>
    <mergeCell ref="FN779:FN780"/>
    <mergeCell ref="FO779:FO780"/>
    <mergeCell ref="FQ779:FQ780"/>
    <mergeCell ref="FS779:FS780"/>
    <mergeCell ref="FT779:FT780"/>
    <mergeCell ref="FU779:FU780"/>
    <mergeCell ref="FV779:FV780"/>
    <mergeCell ref="FU781:FU782"/>
    <mergeCell ref="FV781:FV782"/>
    <mergeCell ref="FW781:FW782"/>
    <mergeCell ref="FX781:FX782"/>
    <mergeCell ref="IC781:IC782"/>
    <mergeCell ref="HL780:HL781"/>
    <mergeCell ref="HM780:HM781"/>
    <mergeCell ref="FT781:FT782"/>
    <mergeCell ref="GD779:GD782"/>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CW781:CW782"/>
    <mergeCell ref="E782:F782"/>
    <mergeCell ref="G782:L782"/>
    <mergeCell ref="CX781:CX782"/>
    <mergeCell ref="AG780:AK780"/>
    <mergeCell ref="E780:F780"/>
    <mergeCell ref="G780:L780"/>
    <mergeCell ref="P780:Q780"/>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C774:EC777"/>
    <mergeCell ref="FQ774:FQ775"/>
    <mergeCell ref="FS774:FS775"/>
    <mergeCell ref="E781:F781"/>
    <mergeCell ref="G781:L781"/>
    <mergeCell ref="P781:Q781"/>
    <mergeCell ref="G777:L777"/>
    <mergeCell ref="EI774:EI777"/>
    <mergeCell ref="EJ774:EJ777"/>
    <mergeCell ref="EK774:EK777"/>
    <mergeCell ref="EL774:EL777"/>
    <mergeCell ref="EM774:EM777"/>
    <mergeCell ref="EN774:EN777"/>
    <mergeCell ref="EO774:EO777"/>
    <mergeCell ref="EP774:EP777"/>
    <mergeCell ref="EQ774:EQ777"/>
    <mergeCell ref="FM776:FM777"/>
    <mergeCell ref="FN776:FN777"/>
    <mergeCell ref="U776:AE776"/>
    <mergeCell ref="U781:AE781"/>
    <mergeCell ref="EF779:EF782"/>
    <mergeCell ref="CY781:CY782"/>
    <mergeCell ref="U780:AD780"/>
    <mergeCell ref="E775:F775"/>
    <mergeCell ref="G775:L775"/>
    <mergeCell ref="P775:Q775"/>
    <mergeCell ref="S781:S782"/>
    <mergeCell ref="EI779:EI782"/>
    <mergeCell ref="EJ779:EJ782"/>
    <mergeCell ref="EK779:EK782"/>
    <mergeCell ref="EL779:EL782"/>
    <mergeCell ref="EM779:EM782"/>
    <mergeCell ref="EN779:EN782"/>
    <mergeCell ref="ES779:ES782"/>
    <mergeCell ref="ET779:ET782"/>
    <mergeCell ref="EV779:EV782"/>
    <mergeCell ref="EX779:EX780"/>
    <mergeCell ref="CZ781:CZ782"/>
    <mergeCell ref="DF781:DF782"/>
    <mergeCell ref="DG781:DG782"/>
    <mergeCell ref="DH781:DH782"/>
    <mergeCell ref="DI781:DI782"/>
    <mergeCell ref="FN781:FN782"/>
    <mergeCell ref="FO781:FO782"/>
    <mergeCell ref="FQ781:FQ782"/>
    <mergeCell ref="FS781:FS782"/>
    <mergeCell ref="DX774:DX777"/>
    <mergeCell ref="DY774:DY775"/>
    <mergeCell ref="DZ774:DZ777"/>
    <mergeCell ref="EA774:EA777"/>
    <mergeCell ref="FX774:FX775"/>
    <mergeCell ref="FW774:FW775"/>
    <mergeCell ref="DH779:DH780"/>
    <mergeCell ref="DI779:DI780"/>
    <mergeCell ref="DJ779:DJ780"/>
    <mergeCell ref="DK779:DK782"/>
    <mergeCell ref="DM779:DM780"/>
    <mergeCell ref="DO779:DO782"/>
    <mergeCell ref="DQ779:DQ782"/>
    <mergeCell ref="DR779:DR780"/>
    <mergeCell ref="DS779:DS782"/>
    <mergeCell ref="FT774:FT775"/>
    <mergeCell ref="FU774:FU775"/>
    <mergeCell ref="EF774:EF777"/>
    <mergeCell ref="EG774:EG777"/>
    <mergeCell ref="DT779:DT780"/>
    <mergeCell ref="DU779:DU782"/>
    <mergeCell ref="DV779:DV782"/>
    <mergeCell ref="DT776:DT777"/>
    <mergeCell ref="DY776:DY777"/>
    <mergeCell ref="EX776:EX777"/>
    <mergeCell ref="EY776:EY777"/>
    <mergeCell ref="EZ776:EZ777"/>
    <mergeCell ref="FA776:FA777"/>
    <mergeCell ref="FB776:FB777"/>
    <mergeCell ref="FE776:FE777"/>
    <mergeCell ref="FL776:FL777"/>
    <mergeCell ref="DX779:DX782"/>
    <mergeCell ref="DY779:DY780"/>
    <mergeCell ref="DZ779:DZ782"/>
    <mergeCell ref="EA779:EA782"/>
    <mergeCell ref="EC779:EC782"/>
    <mergeCell ref="ED779:ED782"/>
    <mergeCell ref="EG779:EG782"/>
    <mergeCell ref="EH779:EH782"/>
    <mergeCell ref="EY779:EY780"/>
    <mergeCell ref="EZ779:EZ780"/>
    <mergeCell ref="EO779:EO782"/>
    <mergeCell ref="EP779:EP782"/>
    <mergeCell ref="EQ779:EQ782"/>
    <mergeCell ref="ER779:ER782"/>
    <mergeCell ref="E776:F776"/>
    <mergeCell ref="G776:L776"/>
    <mergeCell ref="P776:Q776"/>
    <mergeCell ref="S776:S777"/>
    <mergeCell ref="AG776:AL776"/>
    <mergeCell ref="AM776:AM777"/>
    <mergeCell ref="ED774:ED777"/>
    <mergeCell ref="EH774:EH777"/>
    <mergeCell ref="DQ774:DQ777"/>
    <mergeCell ref="DR774:DR775"/>
    <mergeCell ref="DS774:DS777"/>
    <mergeCell ref="DT774:DT775"/>
    <mergeCell ref="DU774:DU777"/>
    <mergeCell ref="DV774:DV777"/>
    <mergeCell ref="DI774:DI775"/>
    <mergeCell ref="FV774:FV775"/>
    <mergeCell ref="FV776:FV777"/>
    <mergeCell ref="FW776:FW777"/>
    <mergeCell ref="FX776:FX777"/>
    <mergeCell ref="DJ774:DJ775"/>
    <mergeCell ref="DK774:DK777"/>
    <mergeCell ref="DM774:DM775"/>
    <mergeCell ref="FO776:FO777"/>
    <mergeCell ref="FQ776:FQ777"/>
    <mergeCell ref="FS776:FS777"/>
    <mergeCell ref="FT776:FT777"/>
    <mergeCell ref="FU776:FU777"/>
    <mergeCell ref="AG775:AK775"/>
    <mergeCell ref="FP774:FP775"/>
    <mergeCell ref="IG776:IG777"/>
    <mergeCell ref="IC776:IC777"/>
    <mergeCell ref="FY776:FY777"/>
    <mergeCell ref="FW779:FW780"/>
    <mergeCell ref="FX779:FX780"/>
    <mergeCell ref="HN780:HN781"/>
    <mergeCell ref="HO780:HO781"/>
    <mergeCell ref="HP780:HP781"/>
    <mergeCell ref="HQ780:HQ781"/>
    <mergeCell ref="HR780:HR781"/>
    <mergeCell ref="HS780:HS781"/>
    <mergeCell ref="HT780:HT781"/>
    <mergeCell ref="HU780:HU781"/>
    <mergeCell ref="HV780:HV781"/>
    <mergeCell ref="HW780:HW781"/>
    <mergeCell ref="HX780:HX781"/>
    <mergeCell ref="HY780:HY781"/>
    <mergeCell ref="HZ780:HZ781"/>
    <mergeCell ref="ID780:ID781"/>
    <mergeCell ref="FA779:FA780"/>
    <mergeCell ref="E777:F777"/>
    <mergeCell ref="U775:AD775"/>
    <mergeCell ref="DJ781:DJ782"/>
    <mergeCell ref="DN781:DN782"/>
    <mergeCell ref="DR781:DR782"/>
    <mergeCell ref="DT781:DT782"/>
    <mergeCell ref="DY781:DY782"/>
    <mergeCell ref="EX781:EX782"/>
    <mergeCell ref="EY781:EY782"/>
    <mergeCell ref="EZ781:EZ782"/>
    <mergeCell ref="FA781:FA782"/>
    <mergeCell ref="FB781:FB782"/>
    <mergeCell ref="FE781:FE782"/>
    <mergeCell ref="FL781:FL782"/>
    <mergeCell ref="FM781:FM782"/>
    <mergeCell ref="B769:B772"/>
    <mergeCell ref="C769:D772"/>
    <mergeCell ref="E769:F769"/>
    <mergeCell ref="ER774:ER777"/>
    <mergeCell ref="ES774:ES777"/>
    <mergeCell ref="ET774:ET777"/>
    <mergeCell ref="EV774:EV777"/>
    <mergeCell ref="EX774:EX775"/>
    <mergeCell ref="EY774:EY775"/>
    <mergeCell ref="EZ774:EZ775"/>
    <mergeCell ref="FA774:FA775"/>
    <mergeCell ref="FB774:FB775"/>
    <mergeCell ref="FC774:FC777"/>
    <mergeCell ref="FE774:FE775"/>
    <mergeCell ref="FG774:FG777"/>
    <mergeCell ref="FH774:FH777"/>
    <mergeCell ref="FL774:FL775"/>
    <mergeCell ref="FM774:FM775"/>
    <mergeCell ref="FN774:FN775"/>
    <mergeCell ref="FO774:FO775"/>
    <mergeCell ref="DY771:DY772"/>
    <mergeCell ref="EX771:EX772"/>
    <mergeCell ref="EY771:EY772"/>
    <mergeCell ref="EZ771:EZ772"/>
    <mergeCell ref="FA771:FA772"/>
    <mergeCell ref="FB771:FB772"/>
    <mergeCell ref="EG769:EG772"/>
    <mergeCell ref="EH769:EH772"/>
    <mergeCell ref="EI769:EI772"/>
    <mergeCell ref="EJ769:EJ772"/>
    <mergeCell ref="EK769:EK772"/>
    <mergeCell ref="EL769:EL772"/>
    <mergeCell ref="EM769:EM772"/>
    <mergeCell ref="EN769:EN772"/>
    <mergeCell ref="EO769:EO772"/>
    <mergeCell ref="FE771:FE772"/>
    <mergeCell ref="FL771:FL772"/>
    <mergeCell ref="FM771:FM772"/>
    <mergeCell ref="FN771:FN772"/>
    <mergeCell ref="FO771:FO772"/>
    <mergeCell ref="ED769:ED772"/>
    <mergeCell ref="EF769:EF772"/>
    <mergeCell ref="CW776:CW777"/>
    <mergeCell ref="CX776:CX777"/>
    <mergeCell ref="CY776:CY777"/>
    <mergeCell ref="CZ776:CZ777"/>
    <mergeCell ref="DF776:DF777"/>
    <mergeCell ref="DG776:DG777"/>
    <mergeCell ref="DH776:DH777"/>
    <mergeCell ref="DI776:DI777"/>
    <mergeCell ref="DJ776:DJ777"/>
    <mergeCell ref="DN776:DN777"/>
    <mergeCell ref="DR776:DR777"/>
    <mergeCell ref="DD769:DD772"/>
    <mergeCell ref="DF769:DF770"/>
    <mergeCell ref="DG769:DG770"/>
    <mergeCell ref="DH769:DH770"/>
    <mergeCell ref="DI769:DI770"/>
    <mergeCell ref="DJ769:DJ770"/>
    <mergeCell ref="DK769:DK772"/>
    <mergeCell ref="DM769:DM770"/>
    <mergeCell ref="DO769:DO772"/>
    <mergeCell ref="DQ769:DQ772"/>
    <mergeCell ref="DR769:DR770"/>
    <mergeCell ref="EL764:EL767"/>
    <mergeCell ref="EM764:EM767"/>
    <mergeCell ref="EN764:EN767"/>
    <mergeCell ref="EO764:EO767"/>
    <mergeCell ref="EP764:EP767"/>
    <mergeCell ref="EQ764:EQ767"/>
    <mergeCell ref="EX769:EX770"/>
    <mergeCell ref="EY769:EY770"/>
    <mergeCell ref="EZ769:EZ770"/>
    <mergeCell ref="FA769:FA770"/>
    <mergeCell ref="FB769:FB770"/>
    <mergeCell ref="IB769:IB771"/>
    <mergeCell ref="IC769:IC770"/>
    <mergeCell ref="FO766:FO767"/>
    <mergeCell ref="FQ766:FQ767"/>
    <mergeCell ref="FS766:FS767"/>
    <mergeCell ref="ES769:ES772"/>
    <mergeCell ref="ET769:ET772"/>
    <mergeCell ref="EV769:EV772"/>
    <mergeCell ref="FT766:FT767"/>
    <mergeCell ref="FU766:FU767"/>
    <mergeCell ref="FV766:FV767"/>
    <mergeCell ref="IM771:IM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O774:DO777"/>
    <mergeCell ref="DS769:DS772"/>
    <mergeCell ref="DT769:DT770"/>
    <mergeCell ref="DU769:DU772"/>
    <mergeCell ref="DV769:DV772"/>
    <mergeCell ref="DX769:DX772"/>
    <mergeCell ref="DY769:DY770"/>
    <mergeCell ref="DZ769:DZ772"/>
    <mergeCell ref="EA769:EA772"/>
    <mergeCell ref="EC769:EC772"/>
    <mergeCell ref="FW769:FW770"/>
    <mergeCell ref="FX769:FX770"/>
    <mergeCell ref="FM769:FM770"/>
    <mergeCell ref="FN769:FN770"/>
    <mergeCell ref="FO769:FO770"/>
    <mergeCell ref="G771:L771"/>
    <mergeCell ref="P771:Q771"/>
    <mergeCell ref="S771:S772"/>
    <mergeCell ref="AG771:AL771"/>
    <mergeCell ref="AM771:AM772"/>
    <mergeCell ref="AN771:AN772"/>
    <mergeCell ref="AO771:AO772"/>
    <mergeCell ref="DT771:DT772"/>
    <mergeCell ref="AY769:AY772"/>
    <mergeCell ref="AZ769:AZ772"/>
    <mergeCell ref="CP769:CP772"/>
    <mergeCell ref="CQ769:CQ772"/>
    <mergeCell ref="CR769:CR770"/>
    <mergeCell ref="CS769:CS770"/>
    <mergeCell ref="E770:F770"/>
    <mergeCell ref="G770:L770"/>
    <mergeCell ref="CR771:CR772"/>
    <mergeCell ref="CS771:CS772"/>
    <mergeCell ref="E771:F771"/>
    <mergeCell ref="FQ769:FQ770"/>
    <mergeCell ref="FS769:FS770"/>
    <mergeCell ref="FT769:FT770"/>
    <mergeCell ref="EP769:EP772"/>
    <mergeCell ref="EQ769:EQ772"/>
    <mergeCell ref="DF771:DF772"/>
    <mergeCell ref="DG771:DG772"/>
    <mergeCell ref="DH771:DH772"/>
    <mergeCell ref="U771:AE771"/>
    <mergeCell ref="AG770:AK770"/>
    <mergeCell ref="P770:Q770"/>
    <mergeCell ref="U770:AD770"/>
    <mergeCell ref="HM765:HM766"/>
    <mergeCell ref="HN765:HN766"/>
    <mergeCell ref="HO765:HO766"/>
    <mergeCell ref="HP765:HP766"/>
    <mergeCell ref="HQ765:HQ766"/>
    <mergeCell ref="HR765:HR766"/>
    <mergeCell ref="HS765:HS766"/>
    <mergeCell ref="HT765:HT766"/>
    <mergeCell ref="HU765:HU766"/>
    <mergeCell ref="HV765:HV766"/>
    <mergeCell ref="HW765:HW766"/>
    <mergeCell ref="HX765:HX766"/>
    <mergeCell ref="HY765:HY766"/>
    <mergeCell ref="GP770:GP771"/>
    <mergeCell ref="IG771:IG772"/>
    <mergeCell ref="GQ770:GQ771"/>
    <mergeCell ref="FH764:FH767"/>
    <mergeCell ref="IC771:IC772"/>
    <mergeCell ref="HL770:HL771"/>
    <mergeCell ref="HM770:HM771"/>
    <mergeCell ref="GA769:GA772"/>
    <mergeCell ref="GB769:GB772"/>
    <mergeCell ref="GC769:GC772"/>
    <mergeCell ref="GD769:GD772"/>
    <mergeCell ref="GE769:GE772"/>
    <mergeCell ref="GF769:GF772"/>
    <mergeCell ref="GG769:GG772"/>
    <mergeCell ref="GH769:GH772"/>
    <mergeCell ref="GK769:GK772"/>
    <mergeCell ref="HH770:HH771"/>
    <mergeCell ref="HI770:HI771"/>
    <mergeCell ref="HJ770:HJ771"/>
    <mergeCell ref="FT764:FT765"/>
    <mergeCell ref="FU764:FU765"/>
    <mergeCell ref="FX771:FX772"/>
    <mergeCell ref="FQ771:FQ772"/>
    <mergeCell ref="FS771:FS772"/>
    <mergeCell ref="FT771:FT772"/>
    <mergeCell ref="FU771:FU772"/>
    <mergeCell ref="FV771:FV772"/>
    <mergeCell ref="FW771:FW772"/>
    <mergeCell ref="FL764:FL765"/>
    <mergeCell ref="FM764:FM765"/>
    <mergeCell ref="IG766:IG767"/>
    <mergeCell ref="FN764:FN765"/>
    <mergeCell ref="FO764:FO765"/>
    <mergeCell ref="FY764:FY765"/>
    <mergeCell ref="FX766:FX767"/>
    <mergeCell ref="IC766:IC767"/>
    <mergeCell ref="FV764:FV765"/>
    <mergeCell ref="FW764:FW765"/>
    <mergeCell ref="FX764:FX765"/>
    <mergeCell ref="GA764:GA767"/>
    <mergeCell ref="GB764:GB767"/>
    <mergeCell ref="GC764:GC767"/>
    <mergeCell ref="GD764:GD767"/>
    <mergeCell ref="GE764:GE767"/>
    <mergeCell ref="GF764:GF767"/>
    <mergeCell ref="GG764:GG767"/>
    <mergeCell ref="GH764:GH767"/>
    <mergeCell ref="GM770:GM771"/>
    <mergeCell ref="GN770:GN771"/>
    <mergeCell ref="FQ764:FQ765"/>
    <mergeCell ref="FS764:FS765"/>
    <mergeCell ref="DV764:DV767"/>
    <mergeCell ref="DX764:DX767"/>
    <mergeCell ref="DY764:DY765"/>
    <mergeCell ref="DZ764:DZ767"/>
    <mergeCell ref="EA764:EA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R769:ER772"/>
    <mergeCell ref="DY766:DY767"/>
    <mergeCell ref="DI766:DI767"/>
    <mergeCell ref="DJ766:DJ767"/>
    <mergeCell ref="DH766:DH767"/>
    <mergeCell ref="DN766:DN767"/>
    <mergeCell ref="GM765:GM766"/>
    <mergeCell ref="GN765:GN766"/>
    <mergeCell ref="GP765:GP766"/>
    <mergeCell ref="GQ765:GQ766"/>
    <mergeCell ref="HH765:HH766"/>
    <mergeCell ref="HI765:HI766"/>
    <mergeCell ref="HJ765:HJ766"/>
    <mergeCell ref="FC769:FC772"/>
    <mergeCell ref="FE769:FE770"/>
    <mergeCell ref="FG769:FG772"/>
    <mergeCell ref="FH769:FH772"/>
    <mergeCell ref="FL769:FL770"/>
    <mergeCell ref="DI771:DI772"/>
    <mergeCell ref="DJ771:DJ772"/>
    <mergeCell ref="DN771:DN772"/>
    <mergeCell ref="DR771:DR772"/>
    <mergeCell ref="FU769:FU770"/>
    <mergeCell ref="FV769:FV770"/>
    <mergeCell ref="ET764:ET767"/>
    <mergeCell ref="EV764:EV767"/>
    <mergeCell ref="EX764:EX765"/>
    <mergeCell ref="EY764:EY765"/>
    <mergeCell ref="EZ764:EZ765"/>
    <mergeCell ref="FA764:FA765"/>
    <mergeCell ref="FB764:FB765"/>
    <mergeCell ref="DR766:DR767"/>
    <mergeCell ref="DT766:DT767"/>
    <mergeCell ref="ER764:ER767"/>
    <mergeCell ref="ES764:ES767"/>
    <mergeCell ref="EC764:EC767"/>
    <mergeCell ref="ED764:ED767"/>
    <mergeCell ref="DR764:DR765"/>
    <mergeCell ref="DS764:DS767"/>
    <mergeCell ref="DT764:DT765"/>
    <mergeCell ref="DU764:DU767"/>
    <mergeCell ref="FC764:FC767"/>
    <mergeCell ref="FE764:FE765"/>
    <mergeCell ref="FG764:FG767"/>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EI764:EI767"/>
    <mergeCell ref="EJ764:EJ767"/>
    <mergeCell ref="EK764:EK767"/>
    <mergeCell ref="EI759:EI762"/>
    <mergeCell ref="EJ759:EJ762"/>
    <mergeCell ref="EK759:EK762"/>
    <mergeCell ref="DF761:DF762"/>
    <mergeCell ref="DG761:DG762"/>
    <mergeCell ref="DH761:DH762"/>
    <mergeCell ref="DI761:DI762"/>
    <mergeCell ref="DJ761:DJ762"/>
    <mergeCell ref="DN761:DN762"/>
    <mergeCell ref="DR761:DR762"/>
    <mergeCell ref="DT761:DT762"/>
    <mergeCell ref="DY761:DY762"/>
    <mergeCell ref="EN759:EN762"/>
    <mergeCell ref="E758:AW758"/>
    <mergeCell ref="DC759:DC762"/>
    <mergeCell ref="HQ755:HQ756"/>
    <mergeCell ref="HZ755:HZ756"/>
    <mergeCell ref="ID755:ID756"/>
    <mergeCell ref="FO761:FO762"/>
    <mergeCell ref="FQ761:FQ762"/>
    <mergeCell ref="FS761:FS762"/>
    <mergeCell ref="FT761:FT762"/>
    <mergeCell ref="FU761:FU762"/>
    <mergeCell ref="FV761:FV762"/>
    <mergeCell ref="FW761:FW762"/>
    <mergeCell ref="FX761:FX762"/>
    <mergeCell ref="FH759:FH762"/>
    <mergeCell ref="FL759:FL760"/>
    <mergeCell ref="FM759:FM760"/>
    <mergeCell ref="FN759:FN760"/>
    <mergeCell ref="FO759:FO760"/>
    <mergeCell ref="DR759:DR760"/>
    <mergeCell ref="DS759:DS762"/>
    <mergeCell ref="DT759:DT760"/>
    <mergeCell ref="DU759:DU762"/>
    <mergeCell ref="DV759:DV762"/>
    <mergeCell ref="DX759:DX762"/>
    <mergeCell ref="DY759:DY760"/>
    <mergeCell ref="DZ759:DZ762"/>
    <mergeCell ref="EA759:EA762"/>
    <mergeCell ref="EC759:EC762"/>
    <mergeCell ref="ED759:ED762"/>
    <mergeCell ref="EF759:EF762"/>
    <mergeCell ref="EG759:EG762"/>
    <mergeCell ref="EH759:EH762"/>
    <mergeCell ref="EO759:EO762"/>
    <mergeCell ref="EP759:EP762"/>
    <mergeCell ref="EQ759:EQ762"/>
    <mergeCell ref="ER759:ER762"/>
    <mergeCell ref="ES759:ES762"/>
    <mergeCell ref="ET759:ET762"/>
    <mergeCell ref="EV759:EV762"/>
    <mergeCell ref="EX759:EX760"/>
    <mergeCell ref="EY759:EY760"/>
    <mergeCell ref="EZ759:EZ760"/>
    <mergeCell ref="FA759:FA760"/>
    <mergeCell ref="FB759:FB760"/>
    <mergeCell ref="FC759:FC762"/>
    <mergeCell ref="FE759:FE760"/>
    <mergeCell ref="FG759:FG762"/>
    <mergeCell ref="EL759:EL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EX766:EX767"/>
    <mergeCell ref="EY766:EY767"/>
    <mergeCell ref="EZ766:EZ767"/>
    <mergeCell ref="FA766:FA767"/>
    <mergeCell ref="FB766:FB767"/>
    <mergeCell ref="FE766:FE767"/>
    <mergeCell ref="FL766:FL767"/>
    <mergeCell ref="FM766:FM767"/>
    <mergeCell ref="FN766:FN767"/>
    <mergeCell ref="FW766:FW767"/>
    <mergeCell ref="IK761:IK762"/>
    <mergeCell ref="FV756:FV757"/>
    <mergeCell ref="CX756:CX757"/>
    <mergeCell ref="G761:L761"/>
    <mergeCell ref="P761:Q761"/>
    <mergeCell ref="S761:S762"/>
    <mergeCell ref="AG761:AL761"/>
    <mergeCell ref="EZ756:EZ757"/>
    <mergeCell ref="DH764:DH765"/>
    <mergeCell ref="DI764:DI765"/>
    <mergeCell ref="DJ764:DJ765"/>
    <mergeCell ref="DK764:DK767"/>
    <mergeCell ref="DM764:DM765"/>
    <mergeCell ref="DO764:DO767"/>
    <mergeCell ref="DQ764:DQ767"/>
    <mergeCell ref="GD759:GD762"/>
    <mergeCell ref="GE759:GE762"/>
    <mergeCell ref="IF764:IF767"/>
    <mergeCell ref="IG764:IG765"/>
    <mergeCell ref="HS760:HS761"/>
    <mergeCell ref="HT760:HT761"/>
    <mergeCell ref="HU760:HU761"/>
    <mergeCell ref="HV760:HV761"/>
    <mergeCell ref="HW760:HW761"/>
    <mergeCell ref="HX760:HX761"/>
    <mergeCell ref="HY760:HY761"/>
    <mergeCell ref="HZ760:HZ761"/>
    <mergeCell ref="ID760:ID761"/>
    <mergeCell ref="IC761:IC762"/>
    <mergeCell ref="IG761:IG762"/>
    <mergeCell ref="EF764:EF767"/>
    <mergeCell ref="EG764:EG767"/>
    <mergeCell ref="EH764:EH767"/>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DF759:DF760"/>
    <mergeCell ref="DG759:DG760"/>
    <mergeCell ref="DH759:DH760"/>
    <mergeCell ref="DI759:DI760"/>
    <mergeCell ref="DJ759:DJ760"/>
    <mergeCell ref="DK759:DK762"/>
    <mergeCell ref="DM759:DM760"/>
    <mergeCell ref="DO759:DO762"/>
    <mergeCell ref="DQ759:DQ762"/>
    <mergeCell ref="IG756:IG757"/>
    <mergeCell ref="IK756:IK757"/>
    <mergeCell ref="DF756:DF757"/>
    <mergeCell ref="DG756:DG757"/>
    <mergeCell ref="DH756:DH757"/>
    <mergeCell ref="DI756:DI757"/>
    <mergeCell ref="DJ756:DJ757"/>
    <mergeCell ref="DN756:DN757"/>
    <mergeCell ref="DR756:DR757"/>
    <mergeCell ref="DT756:DT757"/>
    <mergeCell ref="DY756:DY757"/>
    <mergeCell ref="EX756:EX757"/>
    <mergeCell ref="EY756:EY757"/>
    <mergeCell ref="IF754:IF757"/>
    <mergeCell ref="IG754:IG755"/>
    <mergeCell ref="GA759:GA762"/>
    <mergeCell ref="FB754:FB755"/>
    <mergeCell ref="FC754:FC757"/>
    <mergeCell ref="FE754:FE755"/>
    <mergeCell ref="FG754:FG757"/>
    <mergeCell ref="FH754:FH757"/>
    <mergeCell ref="GF754:GF757"/>
    <mergeCell ref="GG754:GG757"/>
    <mergeCell ref="EI754:EI757"/>
    <mergeCell ref="EJ754:EJ757"/>
    <mergeCell ref="EK754:EK757"/>
    <mergeCell ref="EL754:EL757"/>
    <mergeCell ref="EM754:EM757"/>
    <mergeCell ref="EN754:EN757"/>
    <mergeCell ref="EO754:EO757"/>
    <mergeCell ref="EP754:EP757"/>
    <mergeCell ref="EQ754:EQ757"/>
    <mergeCell ref="ER754:ER757"/>
    <mergeCell ref="ES754:ES757"/>
    <mergeCell ref="EG754:EG757"/>
    <mergeCell ref="EH754:EH757"/>
    <mergeCell ref="EM759:EM762"/>
    <mergeCell ref="FN761:FN762"/>
    <mergeCell ref="FQ759:FQ760"/>
    <mergeCell ref="FS759:FS760"/>
    <mergeCell ref="FT759:FT760"/>
    <mergeCell ref="FU759:FU760"/>
    <mergeCell ref="FV759:FV760"/>
    <mergeCell ref="FW759:FW760"/>
    <mergeCell ref="FX759:FX760"/>
    <mergeCell ref="EX761:EX762"/>
    <mergeCell ref="EY761:EY762"/>
    <mergeCell ref="EZ761:EZ762"/>
    <mergeCell ref="FA761:FA762"/>
    <mergeCell ref="FB761:FB762"/>
    <mergeCell ref="FE761:FE762"/>
    <mergeCell ref="FL761:FL762"/>
    <mergeCell ref="FM761:FM762"/>
    <mergeCell ref="GP760:GP761"/>
    <mergeCell ref="GQ760:GQ761"/>
    <mergeCell ref="HH755:HH756"/>
    <mergeCell ref="HI755:HI756"/>
    <mergeCell ref="HJ755:HJ756"/>
    <mergeCell ref="HK755:HK756"/>
    <mergeCell ref="FE749:FE750"/>
    <mergeCell ref="FG749:FG752"/>
    <mergeCell ref="FH749:FH752"/>
    <mergeCell ref="FL749:FL750"/>
    <mergeCell ref="FM749:FM750"/>
    <mergeCell ref="FN749:FN750"/>
    <mergeCell ref="IB749:IB751"/>
    <mergeCell ref="IC749:IC750"/>
    <mergeCell ref="CX751:CX752"/>
    <mergeCell ref="CY751:CY752"/>
    <mergeCell ref="CZ751:CZ752"/>
    <mergeCell ref="DF751:DF752"/>
    <mergeCell ref="DG751:DG752"/>
    <mergeCell ref="DH751:DH752"/>
    <mergeCell ref="FX751:FX752"/>
    <mergeCell ref="EX749:EX750"/>
    <mergeCell ref="HL755:HL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C756:IC757"/>
    <mergeCell ref="ET754:ET757"/>
    <mergeCell ref="EV754:EV757"/>
    <mergeCell ref="EX754:EX755"/>
    <mergeCell ref="EY754:EY755"/>
    <mergeCell ref="EZ754:EZ755"/>
    <mergeCell ref="FA754:FA755"/>
    <mergeCell ref="FA756:FA757"/>
    <mergeCell ref="HR755:HR756"/>
    <mergeCell ref="HS755:HS756"/>
    <mergeCell ref="HT755:HT756"/>
    <mergeCell ref="HU755:HU756"/>
    <mergeCell ref="HV755:HV756"/>
    <mergeCell ref="HW755:HW756"/>
    <mergeCell ref="HX755:HX756"/>
    <mergeCell ref="HY755:HY756"/>
    <mergeCell ref="FQ754:FQ755"/>
    <mergeCell ref="FS754:FS755"/>
    <mergeCell ref="FT754:FT755"/>
    <mergeCell ref="FU754:FU755"/>
    <mergeCell ref="FV754:FV755"/>
    <mergeCell ref="FP754:FP755"/>
    <mergeCell ref="FW754:FW755"/>
    <mergeCell ref="FX754:FX755"/>
    <mergeCell ref="DI754:DI755"/>
    <mergeCell ref="DJ754:DJ755"/>
    <mergeCell ref="DK754:DK757"/>
    <mergeCell ref="DM754:DM755"/>
    <mergeCell ref="DO754:DO757"/>
    <mergeCell ref="DQ754:DQ757"/>
    <mergeCell ref="DR754:DR755"/>
    <mergeCell ref="DS754:DS757"/>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AG757:AL757"/>
    <mergeCell ref="GA754:GA757"/>
    <mergeCell ref="FB756:FB757"/>
    <mergeCell ref="FE756:FE757"/>
    <mergeCell ref="FL756:FL757"/>
    <mergeCell ref="FM756:FM757"/>
    <mergeCell ref="FN756:FN757"/>
    <mergeCell ref="FO756:FO757"/>
    <mergeCell ref="FQ756:FQ757"/>
    <mergeCell ref="FS756:FS757"/>
    <mergeCell ref="FT756:FT757"/>
    <mergeCell ref="FU756:FU757"/>
    <mergeCell ref="GM755:GM756"/>
    <mergeCell ref="GN755:GN756"/>
    <mergeCell ref="GP755:GP756"/>
    <mergeCell ref="GQ755:GQ756"/>
    <mergeCell ref="DT754:DT755"/>
    <mergeCell ref="DU754:DU757"/>
    <mergeCell ref="DV754:DV757"/>
    <mergeCell ref="DX754:DX757"/>
    <mergeCell ref="DY754:DY755"/>
    <mergeCell ref="DZ754:DZ757"/>
    <mergeCell ref="EA754:EA757"/>
    <mergeCell ref="EC754:EC757"/>
    <mergeCell ref="ED754:ED757"/>
    <mergeCell ref="EF754:EF757"/>
    <mergeCell ref="FL754:FL755"/>
    <mergeCell ref="FM754:FM755"/>
    <mergeCell ref="FN754:FN755"/>
    <mergeCell ref="FO754:FO755"/>
    <mergeCell ref="FW756:FW757"/>
    <mergeCell ref="FX756:FX757"/>
    <mergeCell ref="FY754:FY755"/>
    <mergeCell ref="S756:S757"/>
    <mergeCell ref="AG755:AK755"/>
    <mergeCell ref="IH749:IH752"/>
    <mergeCell ref="IK749:IK750"/>
    <mergeCell ref="GA749:GA752"/>
    <mergeCell ref="EX751:EX752"/>
    <mergeCell ref="EY751:EY752"/>
    <mergeCell ref="EZ751:EZ752"/>
    <mergeCell ref="FA751:FA752"/>
    <mergeCell ref="FB751:FB752"/>
    <mergeCell ref="FE751:FE752"/>
    <mergeCell ref="FL751:FL752"/>
    <mergeCell ref="FM751:FM752"/>
    <mergeCell ref="FN751:FN752"/>
    <mergeCell ref="FO751:FO752"/>
    <mergeCell ref="DI751:DI752"/>
    <mergeCell ref="DJ751:DJ752"/>
    <mergeCell ref="EY749:EY750"/>
    <mergeCell ref="FV749:FV750"/>
    <mergeCell ref="FY751:FY752"/>
    <mergeCell ref="GB749:GB752"/>
    <mergeCell ref="GC749:GC752"/>
    <mergeCell ref="EZ749:EZ750"/>
    <mergeCell ref="CX746:CX747"/>
    <mergeCell ref="CY746:CY747"/>
    <mergeCell ref="DG746:DG747"/>
    <mergeCell ref="DH746:DH747"/>
    <mergeCell ref="DI746:DI747"/>
    <mergeCell ref="IF749:IF752"/>
    <mergeCell ref="DI749:DI750"/>
    <mergeCell ref="DJ749:DJ750"/>
    <mergeCell ref="DK749:DK752"/>
    <mergeCell ref="DM749:DM750"/>
    <mergeCell ref="DO749:DO752"/>
    <mergeCell ref="DQ749:DQ752"/>
    <mergeCell ref="DR749:DR750"/>
    <mergeCell ref="DS749:DS752"/>
    <mergeCell ref="DT749:DT750"/>
    <mergeCell ref="DU749:DU752"/>
    <mergeCell ref="DV749:DV752"/>
    <mergeCell ref="DX749:DX752"/>
    <mergeCell ref="DY749:DY750"/>
    <mergeCell ref="DZ749:DZ752"/>
    <mergeCell ref="EA749:EA752"/>
    <mergeCell ref="EC749:EC752"/>
    <mergeCell ref="ED749:ED752"/>
    <mergeCell ref="EH749:EH752"/>
    <mergeCell ref="EI749:EI752"/>
    <mergeCell ref="EJ749:EJ752"/>
    <mergeCell ref="EK749:EK752"/>
    <mergeCell ref="EL749:EL752"/>
    <mergeCell ref="EM749:EM752"/>
    <mergeCell ref="EN749:EN752"/>
    <mergeCell ref="EO749:EO752"/>
    <mergeCell ref="EP749:EP752"/>
    <mergeCell ref="EQ749:EQ752"/>
    <mergeCell ref="ER749:ER752"/>
    <mergeCell ref="ES749:ES752"/>
    <mergeCell ref="ET749:ET752"/>
    <mergeCell ref="EV749:EV752"/>
    <mergeCell ref="FA749:FA750"/>
    <mergeCell ref="FB749:FB750"/>
    <mergeCell ref="FC749:FC752"/>
    <mergeCell ref="FQ749:FQ750"/>
    <mergeCell ref="DH749:DH750"/>
    <mergeCell ref="FO749:FO750"/>
    <mergeCell ref="FQ751:FQ752"/>
    <mergeCell ref="FS751:FS752"/>
    <mergeCell ref="FT751:FT752"/>
    <mergeCell ref="FU751:FU752"/>
    <mergeCell ref="FV751:FV752"/>
    <mergeCell ref="FW751:FW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DY751:DY752"/>
    <mergeCell ref="E751:F751"/>
    <mergeCell ref="G751:L751"/>
    <mergeCell ref="P751:Q751"/>
    <mergeCell ref="S751:S752"/>
    <mergeCell ref="AG751:AL751"/>
    <mergeCell ref="AM751:AM752"/>
    <mergeCell ref="AN751:AN752"/>
    <mergeCell ref="AO751:AO752"/>
    <mergeCell ref="CR751:CR752"/>
    <mergeCell ref="CS751:CS752"/>
    <mergeCell ref="G752:L752"/>
    <mergeCell ref="DD744:DD747"/>
    <mergeCell ref="DQ744:DQ747"/>
    <mergeCell ref="DR744:DR745"/>
    <mergeCell ref="DS744:DS747"/>
    <mergeCell ref="DT744:DT745"/>
    <mergeCell ref="DU744:DU747"/>
    <mergeCell ref="DV744:DV747"/>
    <mergeCell ref="DX744:DX747"/>
    <mergeCell ref="DY744:DY745"/>
    <mergeCell ref="DZ744:DZ747"/>
    <mergeCell ref="CZ746:CZ747"/>
    <mergeCell ref="EG744:EG747"/>
    <mergeCell ref="FW744:FW745"/>
    <mergeCell ref="FX744:FX745"/>
    <mergeCell ref="HY745:HY746"/>
    <mergeCell ref="HZ745:HZ746"/>
    <mergeCell ref="ID745:ID746"/>
    <mergeCell ref="HR745:HR746"/>
    <mergeCell ref="HS745:HS746"/>
    <mergeCell ref="HT745:HT746"/>
    <mergeCell ref="HU745:HU746"/>
    <mergeCell ref="HV745:HV746"/>
    <mergeCell ref="HW745:HW746"/>
    <mergeCell ref="FX746:FX747"/>
    <mergeCell ref="FS746:FS747"/>
    <mergeCell ref="FT746:FT747"/>
    <mergeCell ref="FU746:FU747"/>
    <mergeCell ref="FV746:FV747"/>
    <mergeCell ref="FW746:FW747"/>
    <mergeCell ref="ED744:ED747"/>
    <mergeCell ref="DJ746:DJ747"/>
    <mergeCell ref="DN746:DN747"/>
    <mergeCell ref="DR746:DR747"/>
    <mergeCell ref="DT746:DT747"/>
    <mergeCell ref="EA744:EA747"/>
    <mergeCell ref="EC744:EC747"/>
    <mergeCell ref="DY746:DY747"/>
    <mergeCell ref="FL746:FL747"/>
    <mergeCell ref="FM746:FM747"/>
    <mergeCell ref="FN746:FN747"/>
    <mergeCell ref="FO746:FO747"/>
    <mergeCell ref="FQ746:FQ747"/>
    <mergeCell ref="GC744:GC747"/>
    <mergeCell ref="ET744:ET747"/>
    <mergeCell ref="DF746:DF747"/>
    <mergeCell ref="EJ744:EJ747"/>
    <mergeCell ref="EK744:EK747"/>
    <mergeCell ref="EL744:EL747"/>
    <mergeCell ref="EM744:EM747"/>
    <mergeCell ref="EN744:EN747"/>
    <mergeCell ref="EO744:EO747"/>
    <mergeCell ref="EP744:EP747"/>
    <mergeCell ref="DO744:DO747"/>
    <mergeCell ref="FS749:FS750"/>
    <mergeCell ref="FT749:FT750"/>
    <mergeCell ref="FU749:FU750"/>
    <mergeCell ref="EF749:EF752"/>
    <mergeCell ref="EG749:EG752"/>
    <mergeCell ref="FX749:FX750"/>
    <mergeCell ref="DN751:DN752"/>
    <mergeCell ref="DR751:DR752"/>
    <mergeCell ref="DT751:DT752"/>
    <mergeCell ref="FW749:FW750"/>
    <mergeCell ref="IC751:IC752"/>
    <mergeCell ref="DG749:DG750"/>
    <mergeCell ref="HS735:HS736"/>
    <mergeCell ref="HT735:HT736"/>
    <mergeCell ref="HU735:HU736"/>
    <mergeCell ref="HV735:HV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Q744:EQ747"/>
    <mergeCell ref="ER744:ER747"/>
    <mergeCell ref="ES744:ES747"/>
    <mergeCell ref="CX744:CX745"/>
    <mergeCell ref="CY744:CY745"/>
    <mergeCell ref="CZ744:CZ745"/>
    <mergeCell ref="CX741:CX742"/>
    <mergeCell ref="CY741:CY742"/>
    <mergeCell ref="DF744:DF745"/>
    <mergeCell ref="DG744:DG745"/>
    <mergeCell ref="DH744:DH745"/>
    <mergeCell ref="DI744:DI745"/>
    <mergeCell ref="DJ744:DJ745"/>
    <mergeCell ref="DK744:DK747"/>
    <mergeCell ref="IG739:IG740"/>
    <mergeCell ref="IH739:IH742"/>
    <mergeCell ref="IK739:IK740"/>
    <mergeCell ref="IL739:IL742"/>
    <mergeCell ref="IM739:IM740"/>
    <mergeCell ref="GM740:GM741"/>
    <mergeCell ref="GN740:GN741"/>
    <mergeCell ref="GP740:GP741"/>
    <mergeCell ref="GQ740:GQ741"/>
    <mergeCell ref="HH740:HH741"/>
    <mergeCell ref="HI740:HI741"/>
    <mergeCell ref="HJ740:HJ741"/>
    <mergeCell ref="HK740:HK741"/>
    <mergeCell ref="HL740:HL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D740:ID741"/>
    <mergeCell ref="IC739:IC740"/>
    <mergeCell ref="GK744:GK747"/>
    <mergeCell ref="IB744:IB746"/>
    <mergeCell ref="IC744:IC745"/>
    <mergeCell ref="IC746:IC747"/>
    <mergeCell ref="HX745:HX746"/>
    <mergeCell ref="IF744:IF747"/>
    <mergeCell ref="IG744:IG745"/>
    <mergeCell ref="IC741:IC742"/>
    <mergeCell ref="IB739:IB741"/>
    <mergeCell ref="IF739:IF742"/>
    <mergeCell ref="HJ745:HJ746"/>
    <mergeCell ref="HK745:HK746"/>
    <mergeCell ref="HL745:HL746"/>
    <mergeCell ref="HM745:HM746"/>
    <mergeCell ref="HN745:HN746"/>
    <mergeCell ref="HO745:HO746"/>
    <mergeCell ref="HP745:HP746"/>
    <mergeCell ref="HQ745:HQ746"/>
    <mergeCell ref="IK746:IK747"/>
    <mergeCell ref="IM746:IM747"/>
    <mergeCell ref="IG746:IG747"/>
    <mergeCell ref="HI745:HI746"/>
    <mergeCell ref="DM744:DM745"/>
    <mergeCell ref="DS734:DS737"/>
    <mergeCell ref="DT734:DT735"/>
    <mergeCell ref="DU734:DU737"/>
    <mergeCell ref="FU741:FU742"/>
    <mergeCell ref="FV741:FV742"/>
    <mergeCell ref="FW741:FW742"/>
    <mergeCell ref="FV739:FV740"/>
    <mergeCell ref="FY739:FY740"/>
    <mergeCell ref="EH744:EH747"/>
    <mergeCell ref="EI744:EI747"/>
    <mergeCell ref="EV744:EV747"/>
    <mergeCell ref="EX744:EX745"/>
    <mergeCell ref="EY744:EY745"/>
    <mergeCell ref="EZ744:EZ745"/>
    <mergeCell ref="FA744:FA745"/>
    <mergeCell ref="FB744:FB745"/>
    <mergeCell ref="FC744:FC747"/>
    <mergeCell ref="FE744:FE745"/>
    <mergeCell ref="FG744:FG747"/>
    <mergeCell ref="FH744:FH747"/>
    <mergeCell ref="EF744:EF747"/>
    <mergeCell ref="EX746:EX747"/>
    <mergeCell ref="EY746:EY747"/>
    <mergeCell ref="EZ746:EZ747"/>
    <mergeCell ref="FA746:FA747"/>
    <mergeCell ref="FB746:FB747"/>
    <mergeCell ref="FE746:FE747"/>
    <mergeCell ref="FP744:FP745"/>
    <mergeCell ref="FU744:FU745"/>
    <mergeCell ref="FV744:FV745"/>
    <mergeCell ref="FL744:FL745"/>
    <mergeCell ref="FM744:FM745"/>
    <mergeCell ref="FN744:FN745"/>
    <mergeCell ref="FO744:FO745"/>
    <mergeCell ref="FQ744:FQ745"/>
    <mergeCell ref="FS744:FS745"/>
    <mergeCell ref="FT744:FT745"/>
    <mergeCell ref="EZ739:EZ740"/>
    <mergeCell ref="FA739:FA740"/>
    <mergeCell ref="FB739:FB740"/>
    <mergeCell ref="FC739:FC742"/>
    <mergeCell ref="FY744:FY745"/>
    <mergeCell ref="ET739:ET742"/>
    <mergeCell ref="EV739:EV742"/>
    <mergeCell ref="EX739:EX740"/>
    <mergeCell ref="HP735:HP736"/>
    <mergeCell ref="HQ735:HQ736"/>
    <mergeCell ref="HR735:HR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Q739:FQ740"/>
    <mergeCell ref="FS739:FS740"/>
    <mergeCell ref="FG734:FG737"/>
    <mergeCell ref="FH734:FH737"/>
    <mergeCell ref="FL734:FL735"/>
    <mergeCell ref="FM734:FM735"/>
    <mergeCell ref="FN734:FN735"/>
    <mergeCell ref="FO734:FO735"/>
    <mergeCell ref="FQ734:FQ735"/>
    <mergeCell ref="DM739:DM740"/>
    <mergeCell ref="DO739:DO742"/>
    <mergeCell ref="DQ739:DQ742"/>
    <mergeCell ref="DR739:DR740"/>
    <mergeCell ref="DS739:DS742"/>
    <mergeCell ref="DT739:DT740"/>
    <mergeCell ref="DG739:DG740"/>
    <mergeCell ref="DH739:DH740"/>
    <mergeCell ref="DI739:DI740"/>
    <mergeCell ref="DJ739:DJ740"/>
    <mergeCell ref="DK739:DK742"/>
    <mergeCell ref="EC739:EC742"/>
    <mergeCell ref="ED739:ED742"/>
    <mergeCell ref="EC734:EC737"/>
    <mergeCell ref="ED734:ED737"/>
    <mergeCell ref="EF734:EF737"/>
    <mergeCell ref="EG734:EG737"/>
    <mergeCell ref="DV739:DV742"/>
    <mergeCell ref="DX739:DX742"/>
    <mergeCell ref="DY739:DY740"/>
    <mergeCell ref="DY741:DY742"/>
    <mergeCell ref="EX741:EX742"/>
    <mergeCell ref="EY741:EY742"/>
    <mergeCell ref="EZ741:EZ742"/>
    <mergeCell ref="FA741:FA742"/>
    <mergeCell ref="FB741:FB742"/>
    <mergeCell ref="FE741:FE742"/>
    <mergeCell ref="DZ739:DZ742"/>
    <mergeCell ref="EA739:EA742"/>
    <mergeCell ref="CV736:CV737"/>
    <mergeCell ref="CW736:CW737"/>
    <mergeCell ref="CX736:CX737"/>
    <mergeCell ref="CY736:CY737"/>
    <mergeCell ref="DF736:DF737"/>
    <mergeCell ref="DG736:DG737"/>
    <mergeCell ref="DQ734:DQ737"/>
    <mergeCell ref="DR734:DR735"/>
    <mergeCell ref="IC736:IC737"/>
    <mergeCell ref="FS734:FS735"/>
    <mergeCell ref="FT734:FT735"/>
    <mergeCell ref="FU734:FU735"/>
    <mergeCell ref="FV734:FV735"/>
    <mergeCell ref="FP734:FP735"/>
    <mergeCell ref="DV734:DV737"/>
    <mergeCell ref="DX734:DX737"/>
    <mergeCell ref="DY734:DY735"/>
    <mergeCell ref="FL736:FL737"/>
    <mergeCell ref="FM736:FM737"/>
    <mergeCell ref="HK735:HK736"/>
    <mergeCell ref="HL735:HL736"/>
    <mergeCell ref="HM735:HM736"/>
    <mergeCell ref="HN735:HN736"/>
    <mergeCell ref="HO735:HO736"/>
    <mergeCell ref="FT739:FT740"/>
    <mergeCell ref="FU739:FU740"/>
    <mergeCell ref="FX736:FX737"/>
    <mergeCell ref="GA739:GA742"/>
    <mergeCell ref="GB739:GB742"/>
    <mergeCell ref="GC739:GC742"/>
    <mergeCell ref="GD739:GD742"/>
    <mergeCell ref="GE739:GE742"/>
    <mergeCell ref="GF739:GF742"/>
    <mergeCell ref="GG739:GG742"/>
    <mergeCell ref="GH739:GH742"/>
    <mergeCell ref="GK739:GK742"/>
    <mergeCell ref="FV736:FV737"/>
    <mergeCell ref="FW736:FW737"/>
    <mergeCell ref="FN736:FN737"/>
    <mergeCell ref="FO736:FO737"/>
    <mergeCell ref="FQ736:FQ737"/>
    <mergeCell ref="FS736:FS737"/>
    <mergeCell ref="EA734:EA737"/>
    <mergeCell ref="DY736:DY737"/>
    <mergeCell ref="EQ739:EQ742"/>
    <mergeCell ref="ER739:ER742"/>
    <mergeCell ref="ES739:ES742"/>
    <mergeCell ref="FL741:FL742"/>
    <mergeCell ref="FM741:FM742"/>
    <mergeCell ref="FN741:FN742"/>
    <mergeCell ref="FO741:FO742"/>
    <mergeCell ref="EP734:EP737"/>
    <mergeCell ref="EY739:EY740"/>
    <mergeCell ref="FX741:FX742"/>
    <mergeCell ref="EF739:EF742"/>
    <mergeCell ref="EG739:EG742"/>
    <mergeCell ref="EH739:EH742"/>
    <mergeCell ref="EI739:EI742"/>
    <mergeCell ref="EJ739:EJ742"/>
    <mergeCell ref="EK739:EK742"/>
    <mergeCell ref="EL739:EL742"/>
    <mergeCell ref="EM739:EM742"/>
    <mergeCell ref="EN739:EN742"/>
    <mergeCell ref="EO739:EO742"/>
    <mergeCell ref="EP739:EP742"/>
    <mergeCell ref="FW739:FW740"/>
    <mergeCell ref="FQ741:FQ742"/>
    <mergeCell ref="FS741:FS742"/>
    <mergeCell ref="FT741:FT742"/>
    <mergeCell ref="GH734:GH737"/>
    <mergeCell ref="GK734:GK737"/>
    <mergeCell ref="IB734:IB736"/>
    <mergeCell ref="AO741:AO742"/>
    <mergeCell ref="AY734:AY737"/>
    <mergeCell ref="AZ734:AZ737"/>
    <mergeCell ref="FQ729:FQ730"/>
    <mergeCell ref="EX731:EX732"/>
    <mergeCell ref="GF729:GF732"/>
    <mergeCell ref="GG729:GG732"/>
    <mergeCell ref="EY731:EY732"/>
    <mergeCell ref="EZ731:EZ732"/>
    <mergeCell ref="FA731:FA732"/>
    <mergeCell ref="FB731:FB732"/>
    <mergeCell ref="FE731:FE732"/>
    <mergeCell ref="FL731:FL732"/>
    <mergeCell ref="FM731:FM732"/>
    <mergeCell ref="FN731:FN732"/>
    <mergeCell ref="FO731:FO732"/>
    <mergeCell ref="FQ731:FQ732"/>
    <mergeCell ref="FE739:FE740"/>
    <mergeCell ref="FG739:FG742"/>
    <mergeCell ref="FH739:FH742"/>
    <mergeCell ref="FL739:FL740"/>
    <mergeCell ref="FM739:FM740"/>
    <mergeCell ref="FN739:FN740"/>
    <mergeCell ref="FO739:FO740"/>
    <mergeCell ref="CU736:CU737"/>
    <mergeCell ref="EI734:EI737"/>
    <mergeCell ref="EJ734:EJ737"/>
    <mergeCell ref="EK734:EK737"/>
    <mergeCell ref="EL734:EL737"/>
    <mergeCell ref="EM734:EM737"/>
    <mergeCell ref="EN734:EN737"/>
    <mergeCell ref="EO734:EO737"/>
    <mergeCell ref="EH734:EH737"/>
    <mergeCell ref="CV734:CV735"/>
    <mergeCell ref="CW734:CW735"/>
    <mergeCell ref="CZ736:CZ737"/>
    <mergeCell ref="DU739:DU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N741:DN742"/>
    <mergeCell ref="DR741:DR742"/>
    <mergeCell ref="DT741:DT742"/>
    <mergeCell ref="DH736:DH737"/>
    <mergeCell ref="DI736:DI737"/>
    <mergeCell ref="DJ736:DJ737"/>
    <mergeCell ref="DN736:DN737"/>
    <mergeCell ref="DR736:DR737"/>
    <mergeCell ref="DT736:DT737"/>
    <mergeCell ref="FX739:FX740"/>
    <mergeCell ref="DN731:DN732"/>
    <mergeCell ref="DR731:DR732"/>
    <mergeCell ref="IC734:IC735"/>
    <mergeCell ref="IF734:IF737"/>
    <mergeCell ref="EQ734:EQ737"/>
    <mergeCell ref="ER734:ER737"/>
    <mergeCell ref="ES734:ES737"/>
    <mergeCell ref="ET734:ET737"/>
    <mergeCell ref="FW734:FW735"/>
    <mergeCell ref="FX734:FX735"/>
    <mergeCell ref="GM735:GM736"/>
    <mergeCell ref="IG729:IG730"/>
    <mergeCell ref="HW735:HW736"/>
    <mergeCell ref="HX735:HX736"/>
    <mergeCell ref="HY735:HY736"/>
    <mergeCell ref="HZ735:HZ736"/>
    <mergeCell ref="ID735:ID736"/>
    <mergeCell ref="EX736:EX737"/>
    <mergeCell ref="EY736:EY737"/>
    <mergeCell ref="EZ736:EZ737"/>
    <mergeCell ref="FA736:FA737"/>
    <mergeCell ref="FB736:FB737"/>
    <mergeCell ref="FE736:FE737"/>
    <mergeCell ref="GN735:GN736"/>
    <mergeCell ref="GP735:GP736"/>
    <mergeCell ref="GQ735:GQ736"/>
    <mergeCell ref="HH735:HH736"/>
    <mergeCell ref="HI735:HI736"/>
    <mergeCell ref="HJ735:HJ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DT731:DT732"/>
    <mergeCell ref="DY731:DY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O734:DO737"/>
    <mergeCell ref="DZ734:DZ737"/>
    <mergeCell ref="EH729:EH732"/>
    <mergeCell ref="FN729:FN730"/>
    <mergeCell ref="FO729:FO730"/>
    <mergeCell ref="FS731:FS732"/>
    <mergeCell ref="FT731:FT732"/>
    <mergeCell ref="FU731:FU732"/>
    <mergeCell ref="FS729:FS730"/>
    <mergeCell ref="FT736:FT737"/>
    <mergeCell ref="FU736:FU737"/>
    <mergeCell ref="IG731:IG732"/>
    <mergeCell ref="IG734:IG735"/>
    <mergeCell ref="EV734:EV737"/>
    <mergeCell ref="EX734:EX735"/>
    <mergeCell ref="EY734:EY735"/>
    <mergeCell ref="EZ734:EZ735"/>
    <mergeCell ref="FA734:FA735"/>
    <mergeCell ref="FB734:FB735"/>
    <mergeCell ref="FC734:FC737"/>
    <mergeCell ref="FE734:FE735"/>
    <mergeCell ref="IC729:IC730"/>
    <mergeCell ref="IF729:IF732"/>
    <mergeCell ref="EM729:EM732"/>
    <mergeCell ref="EN729:EN732"/>
    <mergeCell ref="EO729:EO732"/>
    <mergeCell ref="EP729:EP732"/>
    <mergeCell ref="ES729:ES732"/>
    <mergeCell ref="ET729:ET732"/>
    <mergeCell ref="EV729:EV732"/>
    <mergeCell ref="EX729:EX730"/>
    <mergeCell ref="EY729:EY730"/>
    <mergeCell ref="FB729:FB730"/>
    <mergeCell ref="FC729:FC732"/>
    <mergeCell ref="FE729:FE730"/>
    <mergeCell ref="FG729:FG732"/>
    <mergeCell ref="FH729:FH732"/>
    <mergeCell ref="FL729:FL730"/>
    <mergeCell ref="FM729:FM730"/>
    <mergeCell ref="FX731:FX732"/>
    <mergeCell ref="IC731:IC732"/>
    <mergeCell ref="GD734:GD737"/>
    <mergeCell ref="GE734:GE737"/>
    <mergeCell ref="HH730:HH731"/>
    <mergeCell ref="HI730:HI731"/>
    <mergeCell ref="HJ730:HJ731"/>
    <mergeCell ref="HK730:HK731"/>
    <mergeCell ref="HL730:HL731"/>
    <mergeCell ref="HM730:HM731"/>
    <mergeCell ref="HN730:HN731"/>
    <mergeCell ref="HO730:HO731"/>
    <mergeCell ref="HP730:HP731"/>
    <mergeCell ref="HQ730:HQ731"/>
    <mergeCell ref="HR730:HR731"/>
    <mergeCell ref="HS730:HS731"/>
    <mergeCell ref="HT730:HT731"/>
    <mergeCell ref="HU730:HU731"/>
    <mergeCell ref="HV730:HV731"/>
    <mergeCell ref="HW730:HW731"/>
    <mergeCell ref="HX730:HX731"/>
    <mergeCell ref="HY730:HY731"/>
    <mergeCell ref="HZ730:HZ731"/>
    <mergeCell ref="ID730:ID731"/>
    <mergeCell ref="E731:F731"/>
    <mergeCell ref="G731:L731"/>
    <mergeCell ref="P731:Q731"/>
    <mergeCell ref="S731:S732"/>
    <mergeCell ref="EG729:EG732"/>
    <mergeCell ref="CR731:CR732"/>
    <mergeCell ref="CS731:CS732"/>
    <mergeCell ref="CU731:CU732"/>
    <mergeCell ref="FV731:FV732"/>
    <mergeCell ref="FW731:FW732"/>
    <mergeCell ref="E732:F732"/>
    <mergeCell ref="G732:L732"/>
    <mergeCell ref="P732:R732"/>
    <mergeCell ref="U732:AA732"/>
    <mergeCell ref="AG732:AL732"/>
    <mergeCell ref="DG729:DG730"/>
    <mergeCell ref="DH729:DH730"/>
    <mergeCell ref="DI729:DI730"/>
    <mergeCell ref="DJ729:DJ730"/>
    <mergeCell ref="DK729:DK732"/>
    <mergeCell ref="DM729:DM730"/>
    <mergeCell ref="DO729:DO732"/>
    <mergeCell ref="DQ729:DQ732"/>
    <mergeCell ref="FT729:FT730"/>
    <mergeCell ref="FU729:FU730"/>
    <mergeCell ref="FV729:FV730"/>
    <mergeCell ref="FW729:FW730"/>
    <mergeCell ref="EZ729:EZ730"/>
    <mergeCell ref="FA729:FA730"/>
    <mergeCell ref="EI729:EI732"/>
    <mergeCell ref="EJ729:EJ732"/>
    <mergeCell ref="EK729:EK732"/>
    <mergeCell ref="EL729:EL732"/>
    <mergeCell ref="EQ729:EQ732"/>
    <mergeCell ref="ER729:ER732"/>
    <mergeCell ref="DZ729:DZ732"/>
    <mergeCell ref="EA729:EA732"/>
    <mergeCell ref="CV731:CV732"/>
    <mergeCell ref="CW731:CW732"/>
    <mergeCell ref="CX731:CX732"/>
    <mergeCell ref="CY731:CY732"/>
    <mergeCell ref="CZ731:CZ732"/>
    <mergeCell ref="DF731:DF732"/>
    <mergeCell ref="DG731:DG732"/>
    <mergeCell ref="AG731:AL731"/>
    <mergeCell ref="AM731:AM732"/>
    <mergeCell ref="AN731:AN732"/>
    <mergeCell ref="EC729:EC732"/>
    <mergeCell ref="ED729:ED732"/>
    <mergeCell ref="EF729:EF732"/>
    <mergeCell ref="DJ726:DJ727"/>
    <mergeCell ref="CR724:CR725"/>
    <mergeCell ref="CS724:CS725"/>
    <mergeCell ref="CU724:CU725"/>
    <mergeCell ref="DR729:DR730"/>
    <mergeCell ref="DS729:DS732"/>
    <mergeCell ref="DT729:DT730"/>
    <mergeCell ref="DU729:DU732"/>
    <mergeCell ref="DV729:DV732"/>
    <mergeCell ref="DX729:DX732"/>
    <mergeCell ref="DY729:DY730"/>
    <mergeCell ref="FU726:FU727"/>
    <mergeCell ref="FX729:FX730"/>
    <mergeCell ref="GA729:GA732"/>
    <mergeCell ref="GB729:GB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O724:DO727"/>
    <mergeCell ref="DQ724:DQ727"/>
    <mergeCell ref="CR726:CR727"/>
    <mergeCell ref="CS726:CS727"/>
    <mergeCell ref="CU726:CU727"/>
    <mergeCell ref="CV726:CV727"/>
    <mergeCell ref="CW726:CW727"/>
    <mergeCell ref="DY724:DY725"/>
    <mergeCell ref="EA724:EA727"/>
    <mergeCell ref="EC724:EC727"/>
    <mergeCell ref="ED724:ED727"/>
    <mergeCell ref="EF724:EF727"/>
    <mergeCell ref="EG724:EG727"/>
    <mergeCell ref="EH724:EH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V724:EV727"/>
    <mergeCell ref="EX724:EX725"/>
    <mergeCell ref="EY724:EY725"/>
    <mergeCell ref="EZ724:EZ725"/>
    <mergeCell ref="FA724:FA725"/>
    <mergeCell ref="FB724:FB725"/>
    <mergeCell ref="FC724:FC727"/>
    <mergeCell ref="DZ724:DZ727"/>
    <mergeCell ref="CX726:CX727"/>
    <mergeCell ref="CY726:CY727"/>
    <mergeCell ref="DN726:DN727"/>
    <mergeCell ref="DR726:DR727"/>
    <mergeCell ref="DT726:DT727"/>
    <mergeCell ref="DY726:DY727"/>
    <mergeCell ref="DG726:DG727"/>
    <mergeCell ref="DH726:DH727"/>
    <mergeCell ref="DI726:DI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E720:F720"/>
    <mergeCell ref="EX721:EX722"/>
    <mergeCell ref="EY721:EY722"/>
    <mergeCell ref="EZ721:EZ722"/>
    <mergeCell ref="FA721:FA722"/>
    <mergeCell ref="FB721:FB722"/>
    <mergeCell ref="FE721:FE722"/>
    <mergeCell ref="FL721:FL722"/>
    <mergeCell ref="FM721:FM722"/>
    <mergeCell ref="FN721:FN722"/>
    <mergeCell ref="FO721:FO722"/>
    <mergeCell ref="FQ721:FQ722"/>
    <mergeCell ref="FS721:FS722"/>
    <mergeCell ref="FT721:FT722"/>
    <mergeCell ref="FU721:FU722"/>
    <mergeCell ref="FV721:FV722"/>
    <mergeCell ref="FW721:FW722"/>
    <mergeCell ref="FX721:FX722"/>
    <mergeCell ref="ES719:ES722"/>
    <mergeCell ref="ET719:ET722"/>
    <mergeCell ref="EV719:EV722"/>
    <mergeCell ref="EX719:EX720"/>
    <mergeCell ref="EY719:EY720"/>
    <mergeCell ref="ER719:ER722"/>
    <mergeCell ref="EA719:EA722"/>
    <mergeCell ref="EC719:EC722"/>
    <mergeCell ref="CZ724:CZ725"/>
    <mergeCell ref="DA724:DA727"/>
    <mergeCell ref="DB724:DB727"/>
    <mergeCell ref="DC724:DC727"/>
    <mergeCell ref="DD724:DD727"/>
    <mergeCell ref="DF724:DF725"/>
    <mergeCell ref="DG724:DG725"/>
    <mergeCell ref="DH724:DH725"/>
    <mergeCell ref="DI724:DI725"/>
    <mergeCell ref="DJ724:DJ725"/>
    <mergeCell ref="DR724:DR725"/>
    <mergeCell ref="DS724:DS727"/>
    <mergeCell ref="DT724:DT725"/>
    <mergeCell ref="DU724:DU727"/>
    <mergeCell ref="DV724:DV727"/>
    <mergeCell ref="DX724:DX727"/>
    <mergeCell ref="FS724:FS725"/>
    <mergeCell ref="FT724:FT725"/>
    <mergeCell ref="EX726:EX727"/>
    <mergeCell ref="EY726:EY727"/>
    <mergeCell ref="EZ726:EZ727"/>
    <mergeCell ref="FA726:FA727"/>
    <mergeCell ref="FB726:FB727"/>
    <mergeCell ref="FE726:FE727"/>
    <mergeCell ref="FL726:FL727"/>
    <mergeCell ref="FM726:FM727"/>
    <mergeCell ref="FN726:FN727"/>
    <mergeCell ref="FO726:FO727"/>
    <mergeCell ref="FQ726:FQ727"/>
    <mergeCell ref="FS726:FS727"/>
    <mergeCell ref="FT726:FT727"/>
    <mergeCell ref="FV726:FV727"/>
    <mergeCell ref="FW719:FW720"/>
    <mergeCell ref="FX719:FX720"/>
    <mergeCell ref="GC719:GC722"/>
    <mergeCell ref="GD719:GD722"/>
    <mergeCell ref="GE719:GE722"/>
    <mergeCell ref="GF719:GF722"/>
    <mergeCell ref="GG719:GG722"/>
    <mergeCell ref="FO724:FO725"/>
    <mergeCell ref="FQ724:FQ725"/>
    <mergeCell ref="FU724:FU725"/>
    <mergeCell ref="FV724:FV725"/>
    <mergeCell ref="FW724:FW725"/>
    <mergeCell ref="FX724:FX725"/>
    <mergeCell ref="FE724:FE725"/>
    <mergeCell ref="FG724:FG727"/>
    <mergeCell ref="FH724:FH727"/>
    <mergeCell ref="FL724:FL725"/>
    <mergeCell ref="FM724:FM725"/>
    <mergeCell ref="FN724:FN725"/>
    <mergeCell ref="GA724:GA727"/>
    <mergeCell ref="FW726:FW727"/>
    <mergeCell ref="FX726:FX727"/>
    <mergeCell ref="FY726:FY727"/>
    <mergeCell ref="EZ719:EZ720"/>
    <mergeCell ref="FA719:FA720"/>
    <mergeCell ref="FB719:FB720"/>
    <mergeCell ref="FC719:FC722"/>
    <mergeCell ref="FE719:FE720"/>
    <mergeCell ref="FG719:FG722"/>
    <mergeCell ref="FH719:FH722"/>
    <mergeCell ref="FL719:FL720"/>
    <mergeCell ref="FM719:FM720"/>
    <mergeCell ref="FN719:FN720"/>
    <mergeCell ref="FO719:FO720"/>
    <mergeCell ref="FQ719:FQ720"/>
    <mergeCell ref="FS719:FS720"/>
    <mergeCell ref="FT719:FT720"/>
    <mergeCell ref="FU719:FU720"/>
    <mergeCell ref="FV719:FV720"/>
    <mergeCell ref="FP724:FP725"/>
    <mergeCell ref="GB724:GB727"/>
    <mergeCell ref="GC724:GC727"/>
    <mergeCell ref="GD724:GD727"/>
    <mergeCell ref="GE724:GE727"/>
    <mergeCell ref="FY721:FY722"/>
    <mergeCell ref="GP720:GP721"/>
    <mergeCell ref="GQ720:GQ721"/>
    <mergeCell ref="HH720:HH721"/>
    <mergeCell ref="HI720:HI721"/>
    <mergeCell ref="HJ720:HJ721"/>
    <mergeCell ref="HK720:HK721"/>
    <mergeCell ref="HL720:HL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D720:ID721"/>
    <mergeCell ref="E721:F721"/>
    <mergeCell ref="G721:L721"/>
    <mergeCell ref="P721:Q721"/>
    <mergeCell ref="S721:S722"/>
    <mergeCell ref="AG721:AL721"/>
    <mergeCell ref="AM721:AM722"/>
    <mergeCell ref="AN721:AN722"/>
    <mergeCell ref="AO721:AO722"/>
    <mergeCell ref="EG719:EG722"/>
    <mergeCell ref="EH719:EH722"/>
    <mergeCell ref="EI719:EI722"/>
    <mergeCell ref="EJ719:EJ722"/>
    <mergeCell ref="EK719:EK722"/>
    <mergeCell ref="EL719:EL722"/>
    <mergeCell ref="EM719:EM722"/>
    <mergeCell ref="EN719:EN722"/>
    <mergeCell ref="EO719:EO722"/>
    <mergeCell ref="EP719:EP722"/>
    <mergeCell ref="EQ719:EQ722"/>
    <mergeCell ref="IC719:IC720"/>
    <mergeCell ref="ED719:ED722"/>
    <mergeCell ref="EF719:EF722"/>
    <mergeCell ref="AG722:AL722"/>
    <mergeCell ref="GK719:GK722"/>
    <mergeCell ref="IB719:IB721"/>
    <mergeCell ref="GH719:GH722"/>
    <mergeCell ref="CV721:CV722"/>
    <mergeCell ref="CW721:CW722"/>
    <mergeCell ref="CX721:CX722"/>
    <mergeCell ref="CY721:CY722"/>
    <mergeCell ref="CZ721:CZ722"/>
    <mergeCell ref="DF721:DF722"/>
    <mergeCell ref="DG721:DG722"/>
    <mergeCell ref="DH721:DH722"/>
    <mergeCell ref="DI721:DI722"/>
    <mergeCell ref="DJ721:DJ722"/>
    <mergeCell ref="DN721:DN722"/>
    <mergeCell ref="CR719:CR720"/>
    <mergeCell ref="CS719:CS720"/>
    <mergeCell ref="CU719:CU720"/>
    <mergeCell ref="GA719:GA722"/>
    <mergeCell ref="GB719:GB722"/>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C711:EC714"/>
    <mergeCell ref="DN713:DN714"/>
    <mergeCell ref="DR713:DR714"/>
    <mergeCell ref="DT713:DT714"/>
    <mergeCell ref="DY713:DY714"/>
    <mergeCell ref="EX713:EX714"/>
    <mergeCell ref="EY713:EY714"/>
    <mergeCell ref="EZ713:EZ714"/>
    <mergeCell ref="FA713:FA714"/>
    <mergeCell ref="FB713:FB714"/>
    <mergeCell ref="FE713:FE714"/>
    <mergeCell ref="FL713:FL714"/>
    <mergeCell ref="FM713:FM714"/>
    <mergeCell ref="FN713:FN714"/>
    <mergeCell ref="FO713:FO714"/>
    <mergeCell ref="FQ713:FQ714"/>
    <mergeCell ref="FS713:FS714"/>
    <mergeCell ref="CW713:CW714"/>
    <mergeCell ref="CX713:CX714"/>
    <mergeCell ref="CY713:CY714"/>
    <mergeCell ref="CZ713:CZ714"/>
    <mergeCell ref="DG719:DG720"/>
    <mergeCell ref="DH719:DH720"/>
    <mergeCell ref="DI719:DI720"/>
    <mergeCell ref="DJ719:DJ720"/>
    <mergeCell ref="DK719:DK722"/>
    <mergeCell ref="DM719:DM720"/>
    <mergeCell ref="DO719:DO722"/>
    <mergeCell ref="DQ719:DQ722"/>
    <mergeCell ref="DR719:DR720"/>
    <mergeCell ref="DS719:DS722"/>
    <mergeCell ref="DT719:DT720"/>
    <mergeCell ref="DU719:DU722"/>
    <mergeCell ref="DV719:DV722"/>
    <mergeCell ref="DX719:DX722"/>
    <mergeCell ref="DY719:DY720"/>
    <mergeCell ref="DZ719:DZ722"/>
    <mergeCell ref="EH711:EH714"/>
    <mergeCell ref="EI711:EI714"/>
    <mergeCell ref="DF713:DF714"/>
    <mergeCell ref="DG713:DG714"/>
    <mergeCell ref="DH713:DH714"/>
    <mergeCell ref="DI713:DI714"/>
    <mergeCell ref="DJ713:DJ714"/>
    <mergeCell ref="DQ717:DR717"/>
    <mergeCell ref="DX717:DY717"/>
    <mergeCell ref="DQ718:DR718"/>
    <mergeCell ref="DX718:DY718"/>
    <mergeCell ref="DR721:DR722"/>
    <mergeCell ref="DT721:DT722"/>
    <mergeCell ref="DY721:DY722"/>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AG712:AK712"/>
    <mergeCell ref="E713:F713"/>
    <mergeCell ref="G713:L713"/>
    <mergeCell ref="P713:Q713"/>
    <mergeCell ref="U712:AD712"/>
    <mergeCell ref="U713:AE713"/>
    <mergeCell ref="E714:F714"/>
    <mergeCell ref="G714:L714"/>
    <mergeCell ref="P714:R714"/>
    <mergeCell ref="U714:AA714"/>
    <mergeCell ref="AG714:AL714"/>
    <mergeCell ref="EY706:EY707"/>
    <mergeCell ref="EZ706:EZ707"/>
    <mergeCell ref="FA706:FA707"/>
    <mergeCell ref="FB706:FB707"/>
    <mergeCell ref="FC706:FC709"/>
    <mergeCell ref="FE706:FE707"/>
    <mergeCell ref="FG706:FG709"/>
    <mergeCell ref="DC711:DC714"/>
    <mergeCell ref="DD711:DD714"/>
    <mergeCell ref="DF711:DF712"/>
    <mergeCell ref="DG711:DG712"/>
    <mergeCell ref="DH711:DH712"/>
    <mergeCell ref="DI711:DI712"/>
    <mergeCell ref="DJ711:DJ712"/>
    <mergeCell ref="DK711:DK714"/>
    <mergeCell ref="DM711:DM712"/>
    <mergeCell ref="DO711:DO714"/>
    <mergeCell ref="DQ711:DQ714"/>
    <mergeCell ref="DR711:DR712"/>
    <mergeCell ref="DS711:DS714"/>
    <mergeCell ref="DT711:DT712"/>
    <mergeCell ref="DU711:DU714"/>
    <mergeCell ref="DV711:DV714"/>
    <mergeCell ref="DX711:DX714"/>
    <mergeCell ref="DY711:DY712"/>
    <mergeCell ref="DZ711:DZ714"/>
    <mergeCell ref="EA711:EA714"/>
    <mergeCell ref="EF711:EF714"/>
    <mergeCell ref="EG711:EG714"/>
    <mergeCell ref="EJ711:EJ714"/>
    <mergeCell ref="EK711:EK714"/>
    <mergeCell ref="EO711:EO714"/>
    <mergeCell ref="EP711:EP714"/>
    <mergeCell ref="FE711:FE712"/>
    <mergeCell ref="FG711:FG714"/>
    <mergeCell ref="FH706:FH709"/>
    <mergeCell ref="FL706:FL707"/>
    <mergeCell ref="FM706:FM707"/>
    <mergeCell ref="FN706:FN707"/>
    <mergeCell ref="FO706:FO707"/>
    <mergeCell ref="FQ706:FQ707"/>
    <mergeCell ref="FS706:FS707"/>
    <mergeCell ref="FT706:FT707"/>
    <mergeCell ref="FU706:FU707"/>
    <mergeCell ref="FV706:FV707"/>
    <mergeCell ref="FW706:FW707"/>
    <mergeCell ref="DH708:DH709"/>
    <mergeCell ref="DI708:DI709"/>
    <mergeCell ref="DJ708:DJ709"/>
    <mergeCell ref="DG708:DG709"/>
    <mergeCell ref="CS708:CS709"/>
    <mergeCell ref="CU708:CU709"/>
    <mergeCell ref="CV708:CV709"/>
    <mergeCell ref="DN708:DN709"/>
    <mergeCell ref="DR708:DR709"/>
    <mergeCell ref="DT708:DT709"/>
    <mergeCell ref="DY708:DY709"/>
    <mergeCell ref="E708:F708"/>
    <mergeCell ref="G708:L708"/>
    <mergeCell ref="P708:Q708"/>
    <mergeCell ref="S708:S709"/>
    <mergeCell ref="AG708:AL708"/>
    <mergeCell ref="EZ708:EZ709"/>
    <mergeCell ref="FA708:FA709"/>
    <mergeCell ref="FB708:FB709"/>
    <mergeCell ref="FE708:FE709"/>
    <mergeCell ref="FL708:FL709"/>
    <mergeCell ref="FM708:FM709"/>
    <mergeCell ref="FN708:FN709"/>
    <mergeCell ref="FO708:FO709"/>
    <mergeCell ref="FQ708:FQ709"/>
    <mergeCell ref="AY706:AY709"/>
    <mergeCell ref="CZ706:CZ707"/>
    <mergeCell ref="DA706:DA709"/>
    <mergeCell ref="DB706:DB709"/>
    <mergeCell ref="CY708:CY709"/>
    <mergeCell ref="CZ708:CZ709"/>
    <mergeCell ref="FS708:FS709"/>
    <mergeCell ref="FT708:FT709"/>
    <mergeCell ref="FU708:FU709"/>
    <mergeCell ref="FV708:FV709"/>
    <mergeCell ref="FW708:FW709"/>
    <mergeCell ref="G707:L707"/>
    <mergeCell ref="P707:Q707"/>
    <mergeCell ref="E709:F709"/>
    <mergeCell ref="G709:L709"/>
    <mergeCell ref="P709:R709"/>
    <mergeCell ref="U709:AA709"/>
    <mergeCell ref="AG709:AL709"/>
    <mergeCell ref="EM706:EM709"/>
    <mergeCell ref="EN706:EN709"/>
    <mergeCell ref="EO706:EO709"/>
    <mergeCell ref="EP706:EP709"/>
    <mergeCell ref="EQ706:EQ709"/>
    <mergeCell ref="ER706:ER709"/>
    <mergeCell ref="ES706:ES709"/>
    <mergeCell ref="ET706:ET709"/>
    <mergeCell ref="EV706:EV709"/>
    <mergeCell ref="EX706:EX707"/>
    <mergeCell ref="FV711:FV712"/>
    <mergeCell ref="FW711:FW712"/>
    <mergeCell ref="FX711:FX712"/>
    <mergeCell ref="EL711:EL714"/>
    <mergeCell ref="EM711:EM714"/>
    <mergeCell ref="EN711:EN714"/>
    <mergeCell ref="IF711:IF714"/>
    <mergeCell ref="IG711:IG712"/>
    <mergeCell ref="EQ711:EQ714"/>
    <mergeCell ref="ER711:ER714"/>
    <mergeCell ref="ES711:ES714"/>
    <mergeCell ref="ET711:ET714"/>
    <mergeCell ref="EV711:EV714"/>
    <mergeCell ref="EX711:EX712"/>
    <mergeCell ref="EY711:EY712"/>
    <mergeCell ref="EZ711:EZ712"/>
    <mergeCell ref="FA711:FA712"/>
    <mergeCell ref="FB711:FB712"/>
    <mergeCell ref="FC711:FC714"/>
    <mergeCell ref="FM711:FM712"/>
    <mergeCell ref="FN711:FN712"/>
    <mergeCell ref="FO711:FO712"/>
    <mergeCell ref="FQ711:FQ712"/>
    <mergeCell ref="FS711:FS712"/>
    <mergeCell ref="GE711:GE714"/>
    <mergeCell ref="GF711:GF714"/>
    <mergeCell ref="GG711:GG714"/>
    <mergeCell ref="GH711:GH714"/>
    <mergeCell ref="GA711:GA714"/>
    <mergeCell ref="GB711:GB714"/>
    <mergeCell ref="ED711:ED714"/>
    <mergeCell ref="FT711:FT712"/>
    <mergeCell ref="FU711:FU712"/>
    <mergeCell ref="GM712:GM713"/>
    <mergeCell ref="GN712:GN713"/>
    <mergeCell ref="GP712:GP713"/>
    <mergeCell ref="GQ712:GQ713"/>
    <mergeCell ref="HH712:HH713"/>
    <mergeCell ref="HI712:HI713"/>
    <mergeCell ref="HM712:HM713"/>
    <mergeCell ref="HN712:HN713"/>
    <mergeCell ref="HO712:HO713"/>
    <mergeCell ref="HP712:HP713"/>
    <mergeCell ref="HQ712:HQ713"/>
    <mergeCell ref="FT713:FT714"/>
    <mergeCell ref="FU713:FU714"/>
    <mergeCell ref="FV713:FV714"/>
    <mergeCell ref="FW713:FW714"/>
    <mergeCell ref="FX713:FX714"/>
    <mergeCell ref="IC713:IC714"/>
    <mergeCell ref="GC711:GC714"/>
    <mergeCell ref="GD711:GD714"/>
    <mergeCell ref="FY711:FY712"/>
    <mergeCell ref="GK711:GK714"/>
    <mergeCell ref="IB711:IB713"/>
    <mergeCell ref="FH711:FH714"/>
    <mergeCell ref="FL711:FL712"/>
    <mergeCell ref="FP711:FP712"/>
    <mergeCell ref="FY713:FY714"/>
    <mergeCell ref="HJ712:HJ713"/>
    <mergeCell ref="HK712:HK713"/>
    <mergeCell ref="HL712:HL713"/>
    <mergeCell ref="B701:B704"/>
    <mergeCell ref="C701:D704"/>
    <mergeCell ref="E701:F701"/>
    <mergeCell ref="G701:R701"/>
    <mergeCell ref="S701:S702"/>
    <mergeCell ref="U701:AA701"/>
    <mergeCell ref="AG701:AL701"/>
    <mergeCell ref="AM701:AM702"/>
    <mergeCell ref="FT701:FT702"/>
    <mergeCell ref="FU701:FU702"/>
    <mergeCell ref="FV701:FV702"/>
    <mergeCell ref="FU703:FU704"/>
    <mergeCell ref="FV703:FV704"/>
    <mergeCell ref="FW703:FW704"/>
    <mergeCell ref="FX703:FX704"/>
    <mergeCell ref="DC706:DC709"/>
    <mergeCell ref="DD706:DD709"/>
    <mergeCell ref="DF706:DF707"/>
    <mergeCell ref="DG706:DG707"/>
    <mergeCell ref="DH706:DH707"/>
    <mergeCell ref="DI706:DI707"/>
    <mergeCell ref="DJ706:DJ707"/>
    <mergeCell ref="DK706:DK709"/>
    <mergeCell ref="DM706:DM707"/>
    <mergeCell ref="DO706:DO709"/>
    <mergeCell ref="DQ706:DQ709"/>
    <mergeCell ref="DR706:DR707"/>
    <mergeCell ref="DS706:DS709"/>
    <mergeCell ref="DT706:DT707"/>
    <mergeCell ref="DU706:DU709"/>
    <mergeCell ref="DV706:DV709"/>
    <mergeCell ref="DX706:DX709"/>
    <mergeCell ref="DY706:DY707"/>
    <mergeCell ref="DZ706:DZ709"/>
    <mergeCell ref="EA706:EA709"/>
    <mergeCell ref="EC706:EC709"/>
    <mergeCell ref="ED706:ED709"/>
    <mergeCell ref="EF706:EF709"/>
    <mergeCell ref="EG706:EG709"/>
    <mergeCell ref="EH706:EH709"/>
    <mergeCell ref="EI706:EI709"/>
    <mergeCell ref="EJ706:EJ709"/>
    <mergeCell ref="EK706:EK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G701:FG704"/>
    <mergeCell ref="FH701:FH704"/>
    <mergeCell ref="FL701:FL702"/>
    <mergeCell ref="FM701:FM702"/>
    <mergeCell ref="FS703:FS704"/>
    <mergeCell ref="FT703:FT704"/>
    <mergeCell ref="G706:R706"/>
    <mergeCell ref="FX708:FX709"/>
    <mergeCell ref="EL706:EL709"/>
    <mergeCell ref="IC708:IC709"/>
    <mergeCell ref="AZ701:AZ704"/>
    <mergeCell ref="CP701:CP704"/>
    <mergeCell ref="CQ701:CQ704"/>
    <mergeCell ref="DH703:DH704"/>
    <mergeCell ref="IC703:IC704"/>
    <mergeCell ref="DF701:DF702"/>
    <mergeCell ref="DG701:DG702"/>
    <mergeCell ref="DH701:DH702"/>
    <mergeCell ref="DI701:DI702"/>
    <mergeCell ref="DJ701:DJ702"/>
    <mergeCell ref="DK701:DK704"/>
    <mergeCell ref="DM701:DM702"/>
    <mergeCell ref="DO701:DO704"/>
    <mergeCell ref="DQ701:DQ704"/>
    <mergeCell ref="EG701:EG704"/>
    <mergeCell ref="EH701:EH704"/>
    <mergeCell ref="DI703:DI704"/>
    <mergeCell ref="DJ703:DJ704"/>
    <mergeCell ref="DN703:DN704"/>
    <mergeCell ref="GB706:GB709"/>
    <mergeCell ref="GC706:GC709"/>
    <mergeCell ref="EX708:EX709"/>
    <mergeCell ref="EY708:EY709"/>
    <mergeCell ref="FX706:FX707"/>
    <mergeCell ref="GA706:GA709"/>
    <mergeCell ref="GD706:GD709"/>
    <mergeCell ref="HR707:HR708"/>
    <mergeCell ref="HS707:HS708"/>
    <mergeCell ref="HT707:HT708"/>
    <mergeCell ref="HU707:HU708"/>
    <mergeCell ref="HV707:HV708"/>
    <mergeCell ref="HW707:HW708"/>
    <mergeCell ref="HX707:HX708"/>
    <mergeCell ref="HY707:HY708"/>
    <mergeCell ref="HZ707:HZ708"/>
    <mergeCell ref="AZ706:AZ709"/>
    <mergeCell ref="CP706:CP709"/>
    <mergeCell ref="CQ706:CQ709"/>
    <mergeCell ref="CR706:CR707"/>
    <mergeCell ref="CS706:CS707"/>
    <mergeCell ref="CU706:CU707"/>
    <mergeCell ref="CV706:CV707"/>
    <mergeCell ref="CW706:CW707"/>
    <mergeCell ref="CX706:CX707"/>
    <mergeCell ref="CY706:CY707"/>
    <mergeCell ref="FY703:FY704"/>
    <mergeCell ref="GE706:GE709"/>
    <mergeCell ref="GF706:GF709"/>
    <mergeCell ref="GG706:GG709"/>
    <mergeCell ref="GH706:GH709"/>
    <mergeCell ref="GK706:GK709"/>
    <mergeCell ref="GM707:GM708"/>
    <mergeCell ref="GN707:GN708"/>
    <mergeCell ref="GP707:GP708"/>
    <mergeCell ref="GQ707:GQ708"/>
    <mergeCell ref="HH707:HH708"/>
    <mergeCell ref="HK707:HK708"/>
    <mergeCell ref="HL707:HL708"/>
    <mergeCell ref="HM707:HM708"/>
    <mergeCell ref="HN707:HN708"/>
    <mergeCell ref="HO707:HO708"/>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GM702:GM703"/>
    <mergeCell ref="GN702:GN703"/>
    <mergeCell ref="GP702:GP703"/>
    <mergeCell ref="GQ702:GQ703"/>
    <mergeCell ref="HH702:HH703"/>
    <mergeCell ref="HI702:HI703"/>
    <mergeCell ref="HJ702:HJ703"/>
    <mergeCell ref="HK702:HK703"/>
    <mergeCell ref="HL702:HL703"/>
    <mergeCell ref="HM702:HM703"/>
    <mergeCell ref="HN702:HN703"/>
    <mergeCell ref="HO702:HO703"/>
    <mergeCell ref="HP702:HP703"/>
    <mergeCell ref="HQ702:HQ703"/>
    <mergeCell ref="HR702:HR703"/>
    <mergeCell ref="HS702:HS703"/>
    <mergeCell ref="HT702:HT703"/>
    <mergeCell ref="HU702:HU703"/>
    <mergeCell ref="HV702:HV703"/>
    <mergeCell ref="HW702:HW703"/>
    <mergeCell ref="HX702:HX703"/>
    <mergeCell ref="HY702:HY703"/>
    <mergeCell ref="HZ702:HZ703"/>
    <mergeCell ref="ID702:ID703"/>
    <mergeCell ref="E703:F703"/>
    <mergeCell ref="G703:L703"/>
    <mergeCell ref="P703:Q703"/>
    <mergeCell ref="S703:S704"/>
    <mergeCell ref="EI701:EI704"/>
    <mergeCell ref="EJ701:EJ704"/>
    <mergeCell ref="EK701:EK704"/>
    <mergeCell ref="EL701:EL704"/>
    <mergeCell ref="EM701:EM704"/>
    <mergeCell ref="EN701:EN704"/>
    <mergeCell ref="GA701:GA704"/>
    <mergeCell ref="GB701:GB704"/>
    <mergeCell ref="GC701:GC704"/>
    <mergeCell ref="GD701:GD704"/>
    <mergeCell ref="GE701:GE704"/>
    <mergeCell ref="FQ703:FQ704"/>
    <mergeCell ref="AW701:AW704"/>
    <mergeCell ref="AY701:AY704"/>
    <mergeCell ref="GH701:GH704"/>
    <mergeCell ref="GK701:GK704"/>
    <mergeCell ref="IB701:IB703"/>
    <mergeCell ref="IC701:IC702"/>
    <mergeCell ref="FP701:FP702"/>
    <mergeCell ref="AG702:AK702"/>
    <mergeCell ref="EO701:EO704"/>
    <mergeCell ref="EP701:EP704"/>
    <mergeCell ref="EQ701:EQ704"/>
    <mergeCell ref="ER701:ER704"/>
    <mergeCell ref="ES701:ES704"/>
    <mergeCell ref="ET701:ET704"/>
    <mergeCell ref="EV701:EV704"/>
    <mergeCell ref="EX701:EX702"/>
    <mergeCell ref="EY701:EY702"/>
    <mergeCell ref="EZ701:EZ702"/>
    <mergeCell ref="FA701:FA702"/>
    <mergeCell ref="GF701:GF704"/>
    <mergeCell ref="GG701:GG704"/>
    <mergeCell ref="CX703:CX704"/>
    <mergeCell ref="EF696:EF699"/>
    <mergeCell ref="EG696:EG699"/>
    <mergeCell ref="DH698:DH699"/>
    <mergeCell ref="DI698:DI699"/>
    <mergeCell ref="DJ698:DJ699"/>
    <mergeCell ref="DN698:DN699"/>
    <mergeCell ref="FT698:FT699"/>
    <mergeCell ref="FY698:FY699"/>
    <mergeCell ref="CY701:CY702"/>
    <mergeCell ref="CZ701:CZ702"/>
    <mergeCell ref="DC701:DC704"/>
    <mergeCell ref="DD701:DD704"/>
    <mergeCell ref="FN701:FN702"/>
    <mergeCell ref="FO701:FO702"/>
    <mergeCell ref="FQ701:FQ702"/>
    <mergeCell ref="FS701:FS702"/>
    <mergeCell ref="DR701:DR702"/>
    <mergeCell ref="DS701:DS704"/>
    <mergeCell ref="DT701:DT702"/>
    <mergeCell ref="DU701:DU704"/>
    <mergeCell ref="DV701:DV704"/>
    <mergeCell ref="DX701:DX704"/>
    <mergeCell ref="DY701:DY702"/>
    <mergeCell ref="DZ701:DZ704"/>
    <mergeCell ref="EA701:EA704"/>
    <mergeCell ref="EC701:EC704"/>
    <mergeCell ref="ED701:ED704"/>
    <mergeCell ref="EF701:EF704"/>
    <mergeCell ref="CZ703:CZ704"/>
    <mergeCell ref="DF703:DF704"/>
    <mergeCell ref="DG703:DG704"/>
    <mergeCell ref="DR703:DR704"/>
    <mergeCell ref="DT703:DT704"/>
    <mergeCell ref="DY703:DY704"/>
    <mergeCell ref="EX703:EX704"/>
    <mergeCell ref="EY703:EY704"/>
    <mergeCell ref="EZ703:EZ704"/>
    <mergeCell ref="FA703:FA704"/>
    <mergeCell ref="FB703:FB704"/>
    <mergeCell ref="FE703:FE704"/>
    <mergeCell ref="FL703:FL704"/>
    <mergeCell ref="FM703:FM704"/>
    <mergeCell ref="FN703:FN704"/>
    <mergeCell ref="FO703:FO704"/>
    <mergeCell ref="FW701:FW702"/>
    <mergeCell ref="FX701:FX702"/>
    <mergeCell ref="FX696:FX697"/>
    <mergeCell ref="FS698:FS699"/>
    <mergeCell ref="ED696:ED699"/>
    <mergeCell ref="EH696:EH699"/>
    <mergeCell ref="EI696:EI699"/>
    <mergeCell ref="EJ696:EJ699"/>
    <mergeCell ref="EK696:EK699"/>
    <mergeCell ref="EL696:EL699"/>
    <mergeCell ref="EM696:EM699"/>
    <mergeCell ref="EN696:EN699"/>
    <mergeCell ref="EO696:EO699"/>
    <mergeCell ref="EP696:EP699"/>
    <mergeCell ref="EQ696:EQ699"/>
    <mergeCell ref="FY701:FY702"/>
    <mergeCell ref="FB701:FB702"/>
    <mergeCell ref="FC701:FC704"/>
    <mergeCell ref="FE701:FE702"/>
    <mergeCell ref="FV696:FV697"/>
    <mergeCell ref="ER696:ER699"/>
    <mergeCell ref="ES696:ES699"/>
    <mergeCell ref="ET696:ET699"/>
    <mergeCell ref="EV696:EV699"/>
    <mergeCell ref="EX696:EX697"/>
    <mergeCell ref="EY696:EY697"/>
    <mergeCell ref="EZ696:EZ697"/>
    <mergeCell ref="FA696:FA697"/>
    <mergeCell ref="FB696:FB697"/>
    <mergeCell ref="FC696:FC699"/>
    <mergeCell ref="FE696:FE697"/>
    <mergeCell ref="FG696:FG699"/>
    <mergeCell ref="FH696:FH699"/>
    <mergeCell ref="FL696:FL697"/>
    <mergeCell ref="FM696:FM697"/>
    <mergeCell ref="FN696:FN697"/>
    <mergeCell ref="FO696:FO697"/>
    <mergeCell ref="GM697:GM698"/>
    <mergeCell ref="GN697:GN698"/>
    <mergeCell ref="GP697:GP698"/>
    <mergeCell ref="GQ697:GQ698"/>
    <mergeCell ref="HH697:HH698"/>
    <mergeCell ref="HI697:HI698"/>
    <mergeCell ref="HJ697:HJ698"/>
    <mergeCell ref="HK697:HK698"/>
    <mergeCell ref="HL697:HL698"/>
    <mergeCell ref="HM697:HM698"/>
    <mergeCell ref="HN697:HN698"/>
    <mergeCell ref="HO697:HO698"/>
    <mergeCell ref="HP697:HP698"/>
    <mergeCell ref="HQ697:HQ698"/>
    <mergeCell ref="EX698:EX699"/>
    <mergeCell ref="EY698:EY699"/>
    <mergeCell ref="EZ698:EZ699"/>
    <mergeCell ref="FA698:FA699"/>
    <mergeCell ref="FB698:FB699"/>
    <mergeCell ref="FQ698:FQ699"/>
    <mergeCell ref="FU698:FU699"/>
    <mergeCell ref="FV698:FV699"/>
    <mergeCell ref="FW698:FW699"/>
    <mergeCell ref="FX698:FX699"/>
    <mergeCell ref="FQ696:FQ697"/>
    <mergeCell ref="FS696:FS697"/>
    <mergeCell ref="FT696:FT697"/>
    <mergeCell ref="FU696:FU697"/>
    <mergeCell ref="GC696:GC699"/>
    <mergeCell ref="GD696:GD699"/>
    <mergeCell ref="GE696:GE699"/>
    <mergeCell ref="GK696:GK699"/>
    <mergeCell ref="DH696:DH697"/>
    <mergeCell ref="DI696:DI697"/>
    <mergeCell ref="DJ696:DJ697"/>
    <mergeCell ref="DK696:DK699"/>
    <mergeCell ref="DM696:DM697"/>
    <mergeCell ref="DO696:DO699"/>
    <mergeCell ref="DQ696:DQ699"/>
    <mergeCell ref="DR696:DR697"/>
    <mergeCell ref="DS696:DS699"/>
    <mergeCell ref="DT696:DT697"/>
    <mergeCell ref="DU696:DU699"/>
    <mergeCell ref="DV696:DV699"/>
    <mergeCell ref="EP691:EP694"/>
    <mergeCell ref="EQ691:EQ694"/>
    <mergeCell ref="ER691:ER694"/>
    <mergeCell ref="ES691:ES694"/>
    <mergeCell ref="ET691:ET694"/>
    <mergeCell ref="EV691:EV694"/>
    <mergeCell ref="FQ691:FQ692"/>
    <mergeCell ref="FS691:FS692"/>
    <mergeCell ref="DF693:DF694"/>
    <mergeCell ref="DG693:DG694"/>
    <mergeCell ref="DH693:DH694"/>
    <mergeCell ref="DI693:DI694"/>
    <mergeCell ref="DJ693:DJ694"/>
    <mergeCell ref="DN693:DN694"/>
    <mergeCell ref="DR693:DR694"/>
    <mergeCell ref="DT693:DT694"/>
    <mergeCell ref="E697:F697"/>
    <mergeCell ref="G697:L697"/>
    <mergeCell ref="P697:Q697"/>
    <mergeCell ref="G699:L699"/>
    <mergeCell ref="P699:R699"/>
    <mergeCell ref="U699:AA699"/>
    <mergeCell ref="AG699:AL699"/>
    <mergeCell ref="DX696:DX699"/>
    <mergeCell ref="DY696:DY697"/>
    <mergeCell ref="DZ696:DZ699"/>
    <mergeCell ref="EA696:EA699"/>
    <mergeCell ref="DR698:DR699"/>
    <mergeCell ref="DT698:DT699"/>
    <mergeCell ref="DY698:DY699"/>
    <mergeCell ref="FE698:FE699"/>
    <mergeCell ref="FL698:FL699"/>
    <mergeCell ref="FM698:FM699"/>
    <mergeCell ref="FN698:FN699"/>
    <mergeCell ref="FO698:FO699"/>
    <mergeCell ref="EC696:EC699"/>
    <mergeCell ref="DD691:DD694"/>
    <mergeCell ref="DF691:DF692"/>
    <mergeCell ref="DG691:DG692"/>
    <mergeCell ref="DH691:DH692"/>
    <mergeCell ref="DI691:DI692"/>
    <mergeCell ref="DJ691:DJ692"/>
    <mergeCell ref="DK691:DK694"/>
    <mergeCell ref="DM691:DM692"/>
    <mergeCell ref="DO691:DO694"/>
    <mergeCell ref="DQ691:DQ694"/>
    <mergeCell ref="DR691:DR692"/>
    <mergeCell ref="DS691:DS694"/>
    <mergeCell ref="DT691:DT692"/>
    <mergeCell ref="DU691:DU694"/>
    <mergeCell ref="DV691:DV694"/>
    <mergeCell ref="DX691:DX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Y691:DY692"/>
    <mergeCell ref="DZ691:DZ694"/>
    <mergeCell ref="EA691:EA694"/>
    <mergeCell ref="EC691:EC694"/>
    <mergeCell ref="FW691:FW692"/>
    <mergeCell ref="FX691:FX692"/>
    <mergeCell ref="IH691:IH694"/>
    <mergeCell ref="IK691:IK692"/>
    <mergeCell ref="IL691:IL694"/>
    <mergeCell ref="IM691:IM692"/>
    <mergeCell ref="GM692:GM693"/>
    <mergeCell ref="GN692:GN693"/>
    <mergeCell ref="EX691:EX692"/>
    <mergeCell ref="EY691:EY692"/>
    <mergeCell ref="EZ691:EZ692"/>
    <mergeCell ref="FA691:FA692"/>
    <mergeCell ref="FB691:FB692"/>
    <mergeCell ref="FC691:FC694"/>
    <mergeCell ref="FE691:FE692"/>
    <mergeCell ref="FG691:FG694"/>
    <mergeCell ref="FH691:FH694"/>
    <mergeCell ref="FL691:FL692"/>
    <mergeCell ref="IB691:IB693"/>
    <mergeCell ref="IC691:IC692"/>
    <mergeCell ref="DY693:DY694"/>
    <mergeCell ref="EX693:EX694"/>
    <mergeCell ref="EY693:EY694"/>
    <mergeCell ref="EZ693:EZ694"/>
    <mergeCell ref="FA693:FA694"/>
    <mergeCell ref="FB693:FB694"/>
    <mergeCell ref="EG691:EG694"/>
    <mergeCell ref="EH691:EH694"/>
    <mergeCell ref="EI691:EI694"/>
    <mergeCell ref="EJ691:EJ694"/>
    <mergeCell ref="EK691:EK694"/>
    <mergeCell ref="EL691:EL694"/>
    <mergeCell ref="EM691:EM694"/>
    <mergeCell ref="EN691:EN694"/>
    <mergeCell ref="EO691:EO694"/>
    <mergeCell ref="FE693:FE694"/>
    <mergeCell ref="FL693:FL694"/>
    <mergeCell ref="FM693:FM694"/>
    <mergeCell ref="FN693:FN694"/>
    <mergeCell ref="FO693:FO694"/>
    <mergeCell ref="ED691:ED694"/>
    <mergeCell ref="EF691:EF694"/>
    <mergeCell ref="FM691:FM692"/>
    <mergeCell ref="IC693:IC694"/>
    <mergeCell ref="FX693:FX694"/>
    <mergeCell ref="FQ693:FQ694"/>
    <mergeCell ref="FS693:FS694"/>
    <mergeCell ref="FT693:FT694"/>
    <mergeCell ref="FU693:FU694"/>
    <mergeCell ref="FV693:FV694"/>
    <mergeCell ref="FW693:FW694"/>
    <mergeCell ref="FU691:FU692"/>
    <mergeCell ref="FV691:FV692"/>
    <mergeCell ref="FV686:FV687"/>
    <mergeCell ref="FW686:FW687"/>
    <mergeCell ref="FX686:FX687"/>
    <mergeCell ref="GA686:GA689"/>
    <mergeCell ref="GB686:GB689"/>
    <mergeCell ref="GC686:GC689"/>
    <mergeCell ref="GD686:GD689"/>
    <mergeCell ref="GE686:GE689"/>
    <mergeCell ref="GF686:GF689"/>
    <mergeCell ref="GG686:GG689"/>
    <mergeCell ref="GH686:GH689"/>
    <mergeCell ref="FO688:FO689"/>
    <mergeCell ref="FQ688:FQ689"/>
    <mergeCell ref="FS688:FS689"/>
    <mergeCell ref="FN691:FN692"/>
    <mergeCell ref="FO691:FO692"/>
    <mergeCell ref="IK693:IK694"/>
    <mergeCell ref="IM693:IM694"/>
    <mergeCell ref="GA691:GA694"/>
    <mergeCell ref="FT691:FT692"/>
    <mergeCell ref="GB691:GB694"/>
    <mergeCell ref="GC691:GC694"/>
    <mergeCell ref="GD691:GD694"/>
    <mergeCell ref="GE691:GE694"/>
    <mergeCell ref="GF691:GF694"/>
    <mergeCell ref="GG691:GG694"/>
    <mergeCell ref="GH691:GH694"/>
    <mergeCell ref="GK691:GK694"/>
    <mergeCell ref="HH692:HH693"/>
    <mergeCell ref="HI692:HI693"/>
    <mergeCell ref="HJ692:HJ693"/>
    <mergeCell ref="IF686:IF689"/>
    <mergeCell ref="IG686:IG687"/>
    <mergeCell ref="GP692:GP693"/>
    <mergeCell ref="IG693:IG694"/>
    <mergeCell ref="FP691:FP692"/>
    <mergeCell ref="HX692:HX693"/>
    <mergeCell ref="HY692:HY693"/>
    <mergeCell ref="HZ692:HZ693"/>
    <mergeCell ref="ID692:ID693"/>
    <mergeCell ref="ID687:ID688"/>
    <mergeCell ref="GK686:GK689"/>
    <mergeCell ref="IB686:IB688"/>
    <mergeCell ref="IC686:IC687"/>
    <mergeCell ref="IF691:IF694"/>
    <mergeCell ref="IG691:IG692"/>
    <mergeCell ref="HZ687:HZ688"/>
    <mergeCell ref="HK692:HK693"/>
    <mergeCell ref="HL692:HL693"/>
    <mergeCell ref="HM692:HM693"/>
    <mergeCell ref="GQ692:GQ693"/>
    <mergeCell ref="HW682:HW683"/>
    <mergeCell ref="HX682:HX683"/>
    <mergeCell ref="HY682:HY683"/>
    <mergeCell ref="HZ682:HZ683"/>
    <mergeCell ref="ID682:ID683"/>
    <mergeCell ref="IC683:IC684"/>
    <mergeCell ref="IG683:IG684"/>
    <mergeCell ref="EN681:EN684"/>
    <mergeCell ref="IK688:IK689"/>
    <mergeCell ref="FT688:FT689"/>
    <mergeCell ref="FU688:FU689"/>
    <mergeCell ref="FV688:FV689"/>
    <mergeCell ref="FW688:FW689"/>
    <mergeCell ref="ET686:ET689"/>
    <mergeCell ref="GM687:GM688"/>
    <mergeCell ref="GN687:GN688"/>
    <mergeCell ref="GP687:GP688"/>
    <mergeCell ref="GQ687:GQ688"/>
    <mergeCell ref="HH687:HH688"/>
    <mergeCell ref="HI687:HI688"/>
    <mergeCell ref="HJ687:HJ688"/>
    <mergeCell ref="HK687:HK688"/>
    <mergeCell ref="HL687:HL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FT683:FT684"/>
    <mergeCell ref="FU683:FU684"/>
    <mergeCell ref="FV683:FV684"/>
    <mergeCell ref="FW683:FW684"/>
    <mergeCell ref="FX683:FX684"/>
    <mergeCell ref="IK683:IK684"/>
    <mergeCell ref="FH686:FH689"/>
    <mergeCell ref="EO686:EO689"/>
    <mergeCell ref="EP686:EP689"/>
    <mergeCell ref="EQ686:EQ689"/>
    <mergeCell ref="ER686:ER689"/>
    <mergeCell ref="ES686:ES689"/>
    <mergeCell ref="FS683:FS684"/>
    <mergeCell ref="GA681:GA684"/>
    <mergeCell ref="GB681:GB684"/>
    <mergeCell ref="GC681:GC684"/>
    <mergeCell ref="EX683:EX684"/>
    <mergeCell ref="EY683:EY684"/>
    <mergeCell ref="EZ683:EZ684"/>
    <mergeCell ref="FA683:FA684"/>
    <mergeCell ref="FB683:FB684"/>
    <mergeCell ref="FE683:FE684"/>
    <mergeCell ref="FL683:FL684"/>
    <mergeCell ref="FM683:FM684"/>
    <mergeCell ref="FN683:FN684"/>
    <mergeCell ref="FO683:FO684"/>
    <mergeCell ref="FQ683:FQ684"/>
    <mergeCell ref="FL681:FL682"/>
    <mergeCell ref="CU688:CU689"/>
    <mergeCell ref="CV688:CV689"/>
    <mergeCell ref="CW688:CW689"/>
    <mergeCell ref="CX688:CX689"/>
    <mergeCell ref="CY688:CY689"/>
    <mergeCell ref="CZ688:CZ689"/>
    <mergeCell ref="DF688:DF689"/>
    <mergeCell ref="EC686:EC689"/>
    <mergeCell ref="ED686:ED689"/>
    <mergeCell ref="DR686:DR687"/>
    <mergeCell ref="DS686:DS689"/>
    <mergeCell ref="DT686:DT687"/>
    <mergeCell ref="DU686:DU689"/>
    <mergeCell ref="DV686:DV689"/>
    <mergeCell ref="DX686:DX689"/>
    <mergeCell ref="DY686:DY687"/>
    <mergeCell ref="DZ686:DZ689"/>
    <mergeCell ref="EA686:EA689"/>
    <mergeCell ref="DM686:DM687"/>
    <mergeCell ref="DO686:DO689"/>
    <mergeCell ref="DQ686:DQ689"/>
    <mergeCell ref="FY686:FY687"/>
    <mergeCell ref="FC686:FC689"/>
    <mergeCell ref="FE686:FE687"/>
    <mergeCell ref="FG686:FG689"/>
    <mergeCell ref="FQ686:FQ687"/>
    <mergeCell ref="FS686:FS687"/>
    <mergeCell ref="DG688:DG689"/>
    <mergeCell ref="DH688:DH689"/>
    <mergeCell ref="DI688:DI689"/>
    <mergeCell ref="DJ688:DJ689"/>
    <mergeCell ref="DN688:DN689"/>
    <mergeCell ref="DR688:DR689"/>
    <mergeCell ref="DT688:DT689"/>
    <mergeCell ref="DY688:DY689"/>
    <mergeCell ref="EX688:EX689"/>
    <mergeCell ref="EY688:EY689"/>
    <mergeCell ref="EZ688:EZ689"/>
    <mergeCell ref="FA688:FA689"/>
    <mergeCell ref="FB688:FB689"/>
    <mergeCell ref="FE688:FE689"/>
    <mergeCell ref="FL688:FL689"/>
    <mergeCell ref="FM688:FM689"/>
    <mergeCell ref="FN688:FN689"/>
    <mergeCell ref="DD686:DD689"/>
    <mergeCell ref="DF686:DF687"/>
    <mergeCell ref="DG686:DG687"/>
    <mergeCell ref="DH686:DH687"/>
    <mergeCell ref="DI686:DI687"/>
    <mergeCell ref="DJ686:DJ687"/>
    <mergeCell ref="DK686:DK689"/>
    <mergeCell ref="FT686:FT687"/>
    <mergeCell ref="FU686:FU687"/>
    <mergeCell ref="EV686:EV689"/>
    <mergeCell ref="EX686:EX687"/>
    <mergeCell ref="EY686:EY687"/>
    <mergeCell ref="EZ686:EZ687"/>
    <mergeCell ref="FA686:FA687"/>
    <mergeCell ref="FB686:FB687"/>
    <mergeCell ref="FL686:FL687"/>
    <mergeCell ref="FM686:FM687"/>
    <mergeCell ref="FN686:FN687"/>
    <mergeCell ref="FO686:FO687"/>
    <mergeCell ref="FX688:FX689"/>
    <mergeCell ref="CQ681:CQ684"/>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CS688:CS689"/>
    <mergeCell ref="EF686:EF689"/>
    <mergeCell ref="EG686:EG689"/>
    <mergeCell ref="EH686:EH689"/>
    <mergeCell ref="EI686:EI689"/>
    <mergeCell ref="EJ686:EJ689"/>
    <mergeCell ref="EK686:EK689"/>
    <mergeCell ref="DC681:DC684"/>
    <mergeCell ref="DD681:DD684"/>
    <mergeCell ref="DF681:DF682"/>
    <mergeCell ref="DG681:DG682"/>
    <mergeCell ref="DH681:DH682"/>
    <mergeCell ref="DI681:DI682"/>
    <mergeCell ref="EL686:EL689"/>
    <mergeCell ref="EM686:EM689"/>
    <mergeCell ref="EN686:EN689"/>
    <mergeCell ref="P689:R689"/>
    <mergeCell ref="U689:AA689"/>
    <mergeCell ref="AG689:AL689"/>
    <mergeCell ref="DJ681:DJ682"/>
    <mergeCell ref="DK681:DK684"/>
    <mergeCell ref="DM681:DM682"/>
    <mergeCell ref="DO681:DO684"/>
    <mergeCell ref="DQ681:DQ684"/>
    <mergeCell ref="DR681:DR682"/>
    <mergeCell ref="DS681:DS684"/>
    <mergeCell ref="DT681:DT682"/>
    <mergeCell ref="DU681:DU684"/>
    <mergeCell ref="DV681:DV684"/>
    <mergeCell ref="DX681:DX684"/>
    <mergeCell ref="DY681:DY682"/>
    <mergeCell ref="DZ681:DZ684"/>
    <mergeCell ref="EA681:EA684"/>
    <mergeCell ref="EC681:EC684"/>
    <mergeCell ref="ED681:ED684"/>
    <mergeCell ref="EF681:EF684"/>
    <mergeCell ref="EG681:EG684"/>
    <mergeCell ref="EH681:EH684"/>
    <mergeCell ref="EI681:EI684"/>
    <mergeCell ref="EJ681:EJ684"/>
    <mergeCell ref="EK681:EK684"/>
    <mergeCell ref="DF683:DF684"/>
    <mergeCell ref="DG683:DG684"/>
    <mergeCell ref="DH683:DH684"/>
    <mergeCell ref="DI683:DI684"/>
    <mergeCell ref="DJ683:DJ684"/>
    <mergeCell ref="DN683:DN684"/>
    <mergeCell ref="E685:AW685"/>
    <mergeCell ref="DT683:DT684"/>
    <mergeCell ref="DY683:DY684"/>
    <mergeCell ref="FM681:FM682"/>
    <mergeCell ref="FN681:FN682"/>
    <mergeCell ref="FO681:FO682"/>
    <mergeCell ref="FQ681:FQ682"/>
    <mergeCell ref="FS681:FS682"/>
    <mergeCell ref="FT681:FT682"/>
    <mergeCell ref="FU681:FU682"/>
    <mergeCell ref="FV681:FV682"/>
    <mergeCell ref="FW681:FW682"/>
    <mergeCell ref="FX681:FX682"/>
    <mergeCell ref="HU682:HU683"/>
    <mergeCell ref="HV682:HV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R683:DR684"/>
    <mergeCell ref="B681:B684"/>
    <mergeCell ref="C681:D684"/>
    <mergeCell ref="E681:F681"/>
    <mergeCell ref="G681:R681"/>
    <mergeCell ref="S681:S682"/>
    <mergeCell ref="U681:AA681"/>
    <mergeCell ref="AG681:AL681"/>
    <mergeCell ref="AM681:AM682"/>
    <mergeCell ref="AN681:AN682"/>
    <mergeCell ref="AO681:AO682"/>
    <mergeCell ref="AP681:AQ684"/>
    <mergeCell ref="AR681:AT684"/>
    <mergeCell ref="AU681:AU684"/>
    <mergeCell ref="AV681:AV684"/>
    <mergeCell ref="AW681:AW684"/>
    <mergeCell ref="AY681:AY684"/>
    <mergeCell ref="AZ681:AZ684"/>
    <mergeCell ref="CP681:CP684"/>
    <mergeCell ref="S688:S689"/>
    <mergeCell ref="IG678:IG679"/>
    <mergeCell ref="IK678:IK679"/>
    <mergeCell ref="IM678:IM679"/>
    <mergeCell ref="GA676:GA679"/>
    <mergeCell ref="GB676:GB679"/>
    <mergeCell ref="GC676:GC679"/>
    <mergeCell ref="GD676:GD679"/>
    <mergeCell ref="GE676:GE679"/>
    <mergeCell ref="GF676:GF679"/>
    <mergeCell ref="GG676:GG679"/>
    <mergeCell ref="GH676:GH679"/>
    <mergeCell ref="GK676:GK679"/>
    <mergeCell ref="IB676:IB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F676:IF679"/>
    <mergeCell ref="IG676:IG677"/>
    <mergeCell ref="IH676:IH679"/>
    <mergeCell ref="IK676:IK677"/>
    <mergeCell ref="IL676:IL679"/>
    <mergeCell ref="IM676:IM677"/>
    <mergeCell ref="FB676:FB677"/>
    <mergeCell ref="FC676:FC679"/>
    <mergeCell ref="FE676:FE677"/>
    <mergeCell ref="FG676:FG679"/>
    <mergeCell ref="FH676:FH679"/>
    <mergeCell ref="FL676:FL677"/>
    <mergeCell ref="FM676:FM677"/>
    <mergeCell ref="FN676:FN677"/>
    <mergeCell ref="FO676:FO677"/>
    <mergeCell ref="FQ676:FQ677"/>
    <mergeCell ref="FS676:FS677"/>
    <mergeCell ref="FT676:FT677"/>
    <mergeCell ref="FU676:FU677"/>
    <mergeCell ref="FV676:FV677"/>
    <mergeCell ref="EL681:EL684"/>
    <mergeCell ref="EM681:EM684"/>
    <mergeCell ref="EO681:EO684"/>
    <mergeCell ref="EP681:EP684"/>
    <mergeCell ref="EQ681:EQ684"/>
    <mergeCell ref="ER681:ER684"/>
    <mergeCell ref="ES681:ES684"/>
    <mergeCell ref="ET681:ET684"/>
    <mergeCell ref="EV681:EV684"/>
    <mergeCell ref="EX681:EX682"/>
    <mergeCell ref="EY681:EY682"/>
    <mergeCell ref="EZ681:EZ682"/>
    <mergeCell ref="FA681:FA682"/>
    <mergeCell ref="FB681:FB682"/>
    <mergeCell ref="FC681:FC684"/>
    <mergeCell ref="FE681:FE682"/>
    <mergeCell ref="FG681:FG684"/>
    <mergeCell ref="FH681:FH684"/>
    <mergeCell ref="ID677:ID678"/>
    <mergeCell ref="E678:F678"/>
    <mergeCell ref="G678:L678"/>
    <mergeCell ref="P678:Q678"/>
    <mergeCell ref="S678:S679"/>
    <mergeCell ref="EG676:EG679"/>
    <mergeCell ref="EH676:EH679"/>
    <mergeCell ref="EI676:EI679"/>
    <mergeCell ref="EJ676:EJ679"/>
    <mergeCell ref="EK676:EK679"/>
    <mergeCell ref="EL676:EL679"/>
    <mergeCell ref="EM676:EM679"/>
    <mergeCell ref="EN676:EN679"/>
    <mergeCell ref="EO676:EO679"/>
    <mergeCell ref="EP676:EP679"/>
    <mergeCell ref="EQ676:EQ679"/>
    <mergeCell ref="ER676:ER679"/>
    <mergeCell ref="ES676:ES679"/>
    <mergeCell ref="ET676:ET679"/>
    <mergeCell ref="EV676:EV679"/>
    <mergeCell ref="EX676:EX677"/>
    <mergeCell ref="EY676:EY677"/>
    <mergeCell ref="EZ676:EZ677"/>
    <mergeCell ref="FA676:FA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O676:DO679"/>
    <mergeCell ref="DQ676:DQ679"/>
    <mergeCell ref="DR676:DR677"/>
    <mergeCell ref="DS676:DS679"/>
    <mergeCell ref="DT676:DT677"/>
    <mergeCell ref="CY678:CY679"/>
    <mergeCell ref="CZ678:CZ679"/>
    <mergeCell ref="DF678:DF679"/>
    <mergeCell ref="DG678:DG679"/>
    <mergeCell ref="DI678:DI679"/>
    <mergeCell ref="DJ678:DJ679"/>
    <mergeCell ref="DN678:DN679"/>
    <mergeCell ref="DR678:DR679"/>
    <mergeCell ref="DT678:DT679"/>
    <mergeCell ref="DY678:DY679"/>
    <mergeCell ref="EX678:EX679"/>
    <mergeCell ref="EY678:EY679"/>
    <mergeCell ref="EZ678:EZ679"/>
    <mergeCell ref="FA678:FA679"/>
    <mergeCell ref="FB678:FB679"/>
    <mergeCell ref="FE678:FE679"/>
    <mergeCell ref="FL678:FL679"/>
    <mergeCell ref="FM678:FM679"/>
    <mergeCell ref="FN678:FN679"/>
    <mergeCell ref="FO678:FO679"/>
    <mergeCell ref="FQ678:FQ679"/>
    <mergeCell ref="FS678:FS679"/>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CU673:CU674"/>
    <mergeCell ref="CV673:CV674"/>
    <mergeCell ref="DH678:DH679"/>
    <mergeCell ref="IL671:IL674"/>
    <mergeCell ref="IM671:IM672"/>
    <mergeCell ref="IN671:IN674"/>
    <mergeCell ref="E672:F672"/>
    <mergeCell ref="G672:L672"/>
    <mergeCell ref="P672:Q672"/>
    <mergeCell ref="GM672:GM673"/>
    <mergeCell ref="GN672:GN673"/>
    <mergeCell ref="GP672:GP673"/>
    <mergeCell ref="GQ672:GQ673"/>
    <mergeCell ref="HH672:HH673"/>
    <mergeCell ref="HI672:HI673"/>
    <mergeCell ref="HJ672:HJ673"/>
    <mergeCell ref="HK672:HK673"/>
    <mergeCell ref="HL672:HL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D672:ID673"/>
    <mergeCell ref="E673:F673"/>
    <mergeCell ref="G673:L673"/>
    <mergeCell ref="P673:Q673"/>
    <mergeCell ref="S673:S674"/>
    <mergeCell ref="CW673:CW674"/>
    <mergeCell ref="CX673:CX674"/>
    <mergeCell ref="CY673:CY674"/>
    <mergeCell ref="CZ673:CZ674"/>
    <mergeCell ref="DF673:DF674"/>
    <mergeCell ref="DG673:DG674"/>
    <mergeCell ref="DH673:DH674"/>
    <mergeCell ref="GN677:GN678"/>
    <mergeCell ref="FP671:FP672"/>
    <mergeCell ref="DT673:DT674"/>
    <mergeCell ref="DY673:DY674"/>
    <mergeCell ref="EX673:EX674"/>
    <mergeCell ref="FE673:FE674"/>
    <mergeCell ref="HM677:HM678"/>
    <mergeCell ref="HN677:HN678"/>
    <mergeCell ref="HO677:HO678"/>
    <mergeCell ref="HP677:HP678"/>
    <mergeCell ref="HQ677:HQ678"/>
    <mergeCell ref="HR677:HR678"/>
    <mergeCell ref="HS677:HS678"/>
    <mergeCell ref="HT677:HT678"/>
    <mergeCell ref="HU677:HU678"/>
    <mergeCell ref="HV677:HV678"/>
    <mergeCell ref="HW677:HW678"/>
    <mergeCell ref="HX677:HX678"/>
    <mergeCell ref="HY677:HY678"/>
    <mergeCell ref="HZ677:HZ678"/>
    <mergeCell ref="FT678:FT679"/>
    <mergeCell ref="FU678:FU679"/>
    <mergeCell ref="FV678:FV679"/>
    <mergeCell ref="FW678:FW679"/>
    <mergeCell ref="FX678:FX679"/>
    <mergeCell ref="IC678:IC679"/>
    <mergeCell ref="FY673:FY674"/>
    <mergeCell ref="FX673:FX674"/>
    <mergeCell ref="IC673:IC674"/>
    <mergeCell ref="FW676:FW677"/>
    <mergeCell ref="FX676:FX677"/>
    <mergeCell ref="EL671:EL674"/>
    <mergeCell ref="EM671:EM674"/>
    <mergeCell ref="EN671:EN674"/>
    <mergeCell ref="EO671:EO674"/>
    <mergeCell ref="EP671:EP674"/>
    <mergeCell ref="EQ671:EQ674"/>
    <mergeCell ref="DV676:DV679"/>
    <mergeCell ref="DX676:DX679"/>
    <mergeCell ref="DY676:DY677"/>
    <mergeCell ref="DZ676:DZ679"/>
    <mergeCell ref="EA676:EA679"/>
    <mergeCell ref="EC676:EC679"/>
    <mergeCell ref="ED676:ED679"/>
    <mergeCell ref="EF676:EF679"/>
    <mergeCell ref="IC676:IC677"/>
    <mergeCell ref="FV673:FV674"/>
    <mergeCell ref="FW673:FW674"/>
    <mergeCell ref="FU671:FU672"/>
    <mergeCell ref="FX671:FX672"/>
    <mergeCell ref="DU676:DU679"/>
    <mergeCell ref="GP677:GP678"/>
    <mergeCell ref="GQ677:GQ678"/>
    <mergeCell ref="HH677:HH678"/>
    <mergeCell ref="GE671:GE674"/>
    <mergeCell ref="HI677:HI678"/>
    <mergeCell ref="HJ677:HJ678"/>
    <mergeCell ref="HK677:HK678"/>
    <mergeCell ref="HL677:HL678"/>
    <mergeCell ref="EF671:EF674"/>
    <mergeCell ref="EG671:EG674"/>
    <mergeCell ref="FG671:FG674"/>
    <mergeCell ref="IB671:IB673"/>
    <mergeCell ref="IC671:IC672"/>
    <mergeCell ref="FM673:FM674"/>
    <mergeCell ref="FN673:FN674"/>
    <mergeCell ref="EZ671:EZ672"/>
    <mergeCell ref="FA671:FA672"/>
    <mergeCell ref="FB671:FB672"/>
    <mergeCell ref="FC671:FC674"/>
    <mergeCell ref="FE671:FE672"/>
    <mergeCell ref="DU671:DU674"/>
    <mergeCell ref="DV671:DV674"/>
    <mergeCell ref="DX671:DX674"/>
    <mergeCell ref="DY671:DY672"/>
    <mergeCell ref="EC671:EC674"/>
    <mergeCell ref="ED671:ED674"/>
    <mergeCell ref="FH671:FH674"/>
    <mergeCell ref="ER671:ER674"/>
    <mergeCell ref="ES671:ES674"/>
    <mergeCell ref="ET671:ET674"/>
    <mergeCell ref="EV671:EV674"/>
    <mergeCell ref="EX671:EX672"/>
    <mergeCell ref="EY671:EY672"/>
    <mergeCell ref="DJ671:DJ672"/>
    <mergeCell ref="DK671:DK674"/>
    <mergeCell ref="IM668:IM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K671:IK672"/>
    <mergeCell ref="DI671:DI672"/>
    <mergeCell ref="E668:F668"/>
    <mergeCell ref="CR673:CR674"/>
    <mergeCell ref="CS673:CS674"/>
    <mergeCell ref="IM673:IM674"/>
    <mergeCell ref="IF666:IF669"/>
    <mergeCell ref="DI673:DI674"/>
    <mergeCell ref="DJ673:DJ674"/>
    <mergeCell ref="DN673:DN674"/>
    <mergeCell ref="DR673:DR674"/>
    <mergeCell ref="FX666:FX667"/>
    <mergeCell ref="DR671:DR672"/>
    <mergeCell ref="DS671:DS674"/>
    <mergeCell ref="DT671:DT672"/>
    <mergeCell ref="EY673:EY674"/>
    <mergeCell ref="EZ673:EZ674"/>
    <mergeCell ref="FA673:FA674"/>
    <mergeCell ref="FB673:FB674"/>
    <mergeCell ref="DZ671:DZ674"/>
    <mergeCell ref="FL673:FL674"/>
    <mergeCell ref="IH671:IH674"/>
    <mergeCell ref="IF671:IF674"/>
    <mergeCell ref="IG671:IG672"/>
    <mergeCell ref="IC668:IC669"/>
    <mergeCell ref="GA666:GA669"/>
    <mergeCell ref="GB666:GB669"/>
    <mergeCell ref="GC666:GC669"/>
    <mergeCell ref="GA671:GA674"/>
    <mergeCell ref="GB671:GB674"/>
    <mergeCell ref="GC671:GC674"/>
    <mergeCell ref="GD671:GD674"/>
    <mergeCell ref="GG671:GG674"/>
    <mergeCell ref="GH671:GH674"/>
    <mergeCell ref="GK671:GK674"/>
    <mergeCell ref="IG668:IG669"/>
    <mergeCell ref="IB666:IB668"/>
    <mergeCell ref="IC666:IC667"/>
    <mergeCell ref="B666:B669"/>
    <mergeCell ref="C666:D669"/>
    <mergeCell ref="AN668:AN669"/>
    <mergeCell ref="AO668:AO669"/>
    <mergeCell ref="DM671:DM672"/>
    <mergeCell ref="DO671:DO674"/>
    <mergeCell ref="DQ671:DQ674"/>
    <mergeCell ref="CR668:CR669"/>
    <mergeCell ref="CS668:CS669"/>
    <mergeCell ref="CU668:CU669"/>
    <mergeCell ref="CV668:CV669"/>
    <mergeCell ref="CW668:CW669"/>
    <mergeCell ref="ED666:ED669"/>
    <mergeCell ref="EF666:EF669"/>
    <mergeCell ref="CX668:CX669"/>
    <mergeCell ref="CY668:CY669"/>
    <mergeCell ref="CZ668:CZ669"/>
    <mergeCell ref="DF668:DF669"/>
    <mergeCell ref="DG668:DG669"/>
    <mergeCell ref="DH668:DH669"/>
    <mergeCell ref="DI668:DI669"/>
    <mergeCell ref="DJ668:DJ669"/>
    <mergeCell ref="DN668:DN669"/>
    <mergeCell ref="DR668:DR669"/>
    <mergeCell ref="DT668:DT669"/>
    <mergeCell ref="EA666:EA669"/>
    <mergeCell ref="EC666:EC669"/>
    <mergeCell ref="FU666:FU667"/>
    <mergeCell ref="FV666:FV667"/>
    <mergeCell ref="CX666:CX667"/>
    <mergeCell ref="CY666:CY667"/>
    <mergeCell ref="CZ666:CZ667"/>
    <mergeCell ref="DA666:DA669"/>
    <mergeCell ref="DB666:DB669"/>
    <mergeCell ref="DC666:DC669"/>
    <mergeCell ref="DD666:DD669"/>
    <mergeCell ref="DF666:DF667"/>
    <mergeCell ref="DG666:DG667"/>
    <mergeCell ref="DH666:DH667"/>
    <mergeCell ref="EH666:EH669"/>
    <mergeCell ref="EI666:EI669"/>
    <mergeCell ref="EJ666:EJ669"/>
    <mergeCell ref="EK666:EK669"/>
    <mergeCell ref="EL666:EL669"/>
    <mergeCell ref="FO666:FO667"/>
    <mergeCell ref="CU666:CU667"/>
    <mergeCell ref="FM668:FM669"/>
    <mergeCell ref="FO673:FO674"/>
    <mergeCell ref="FQ673:FQ674"/>
    <mergeCell ref="FS673:FS674"/>
    <mergeCell ref="FT673:FT674"/>
    <mergeCell ref="GH666:GH669"/>
    <mergeCell ref="FV671:FV672"/>
    <mergeCell ref="FW671:FW672"/>
    <mergeCell ref="DU666:DU669"/>
    <mergeCell ref="DV666:DV669"/>
    <mergeCell ref="DX666:DX669"/>
    <mergeCell ref="DY666:DY667"/>
    <mergeCell ref="DZ666:DZ669"/>
    <mergeCell ref="EM666:EM669"/>
    <mergeCell ref="EN666:EN669"/>
    <mergeCell ref="EO666:EO669"/>
    <mergeCell ref="EP666:EP669"/>
    <mergeCell ref="EQ666:EQ669"/>
    <mergeCell ref="ER666:ER669"/>
    <mergeCell ref="ES666:ES669"/>
    <mergeCell ref="ET666:ET669"/>
    <mergeCell ref="EV666:EV669"/>
    <mergeCell ref="EX666:EX667"/>
    <mergeCell ref="EY666:EY667"/>
    <mergeCell ref="EZ666:EZ667"/>
    <mergeCell ref="FA666:FA667"/>
    <mergeCell ref="FB666:FB667"/>
    <mergeCell ref="FC666:FC669"/>
    <mergeCell ref="FE666:FE667"/>
    <mergeCell ref="FG666:FG669"/>
    <mergeCell ref="FH666:FH669"/>
    <mergeCell ref="FL666:FL667"/>
    <mergeCell ref="FM666:FM667"/>
    <mergeCell ref="FN666:FN667"/>
    <mergeCell ref="FS668:FS669"/>
    <mergeCell ref="FT668:FT669"/>
    <mergeCell ref="FU668:FU669"/>
    <mergeCell ref="FU673:FU674"/>
    <mergeCell ref="EH671:EH674"/>
    <mergeCell ref="EI671:EI674"/>
    <mergeCell ref="EJ671:EJ674"/>
    <mergeCell ref="EK671:EK674"/>
    <mergeCell ref="EA671:EA674"/>
    <mergeCell ref="FW666:FW667"/>
    <mergeCell ref="FQ666:FQ667"/>
    <mergeCell ref="FS666:FS667"/>
    <mergeCell ref="EX668:EX669"/>
    <mergeCell ref="FX668:FX669"/>
    <mergeCell ref="EG666:EG669"/>
    <mergeCell ref="FL671:FL672"/>
    <mergeCell ref="FN668:FN669"/>
    <mergeCell ref="FO668:FO669"/>
    <mergeCell ref="FQ668:FQ669"/>
    <mergeCell ref="FA668:FA669"/>
    <mergeCell ref="FB668:FB669"/>
    <mergeCell ref="FE668:FE669"/>
    <mergeCell ref="FV668:FV669"/>
    <mergeCell ref="FL668:FL669"/>
    <mergeCell ref="FW668:FW669"/>
    <mergeCell ref="FT666:FT667"/>
    <mergeCell ref="DR666:DR667"/>
    <mergeCell ref="DS666:DS669"/>
    <mergeCell ref="AY666:AY669"/>
    <mergeCell ref="AZ666:AZ669"/>
    <mergeCell ref="CP666:CP669"/>
    <mergeCell ref="DK661:DK664"/>
    <mergeCell ref="FE663:FE664"/>
    <mergeCell ref="FL663:FL664"/>
    <mergeCell ref="FM663:FM664"/>
    <mergeCell ref="FN663:FN664"/>
    <mergeCell ref="CQ666:CQ669"/>
    <mergeCell ref="CR666:CR667"/>
    <mergeCell ref="DY668:DY669"/>
    <mergeCell ref="DI666:DI667"/>
    <mergeCell ref="CS666:CS667"/>
    <mergeCell ref="CV666:CV667"/>
    <mergeCell ref="CW666:CW667"/>
    <mergeCell ref="FA661:FA662"/>
    <mergeCell ref="FB661:FB662"/>
    <mergeCell ref="FC661:FC664"/>
    <mergeCell ref="FE661:FE662"/>
    <mergeCell ref="FG661:FG664"/>
    <mergeCell ref="EZ663:EZ664"/>
    <mergeCell ref="FA663:FA664"/>
    <mergeCell ref="FB663:FB664"/>
    <mergeCell ref="B661:B664"/>
    <mergeCell ref="C661:D664"/>
    <mergeCell ref="U667:AD667"/>
    <mergeCell ref="E662:F662"/>
    <mergeCell ref="G662:L662"/>
    <mergeCell ref="P662:Q662"/>
    <mergeCell ref="EY668:EY669"/>
    <mergeCell ref="EZ668:EZ669"/>
    <mergeCell ref="S666:S667"/>
    <mergeCell ref="U666:AA666"/>
    <mergeCell ref="AG666:AL666"/>
    <mergeCell ref="AM666:AM667"/>
    <mergeCell ref="CV661:CV662"/>
    <mergeCell ref="CW661:CW662"/>
    <mergeCell ref="CX661:CX662"/>
    <mergeCell ref="CY661:CY662"/>
    <mergeCell ref="EQ661:EQ664"/>
    <mergeCell ref="DK666:DK669"/>
    <mergeCell ref="DJ666:DJ667"/>
    <mergeCell ref="EJ661:EJ664"/>
    <mergeCell ref="EK661:EK664"/>
    <mergeCell ref="EF661:EF664"/>
    <mergeCell ref="EG661:EG664"/>
    <mergeCell ref="EH661:EH664"/>
    <mergeCell ref="EI661:EI664"/>
    <mergeCell ref="EX663:EX664"/>
    <mergeCell ref="EY663:EY664"/>
    <mergeCell ref="IC661:IC662"/>
    <mergeCell ref="ET661:ET664"/>
    <mergeCell ref="EV661:EV664"/>
    <mergeCell ref="FP661:FP662"/>
    <mergeCell ref="FQ663:FQ664"/>
    <mergeCell ref="CZ661:CZ662"/>
    <mergeCell ref="DA661:DA664"/>
    <mergeCell ref="DB661:DB664"/>
    <mergeCell ref="CX663:CX664"/>
    <mergeCell ref="CY663:CY664"/>
    <mergeCell ref="CZ663:CZ664"/>
    <mergeCell ref="DN663:DN664"/>
    <mergeCell ref="DR663:DR664"/>
    <mergeCell ref="FX663:FX664"/>
    <mergeCell ref="FM671:FM672"/>
    <mergeCell ref="FN671:FN672"/>
    <mergeCell ref="FO671:FO672"/>
    <mergeCell ref="FQ671:FQ672"/>
    <mergeCell ref="FS671:FS672"/>
    <mergeCell ref="FT671:FT672"/>
    <mergeCell ref="E660:AW660"/>
    <mergeCell ref="EL661:EL664"/>
    <mergeCell ref="FT661:FT662"/>
    <mergeCell ref="FU661:FU662"/>
    <mergeCell ref="DS661:DS664"/>
    <mergeCell ref="DT661:DT662"/>
    <mergeCell ref="DU661:DU664"/>
    <mergeCell ref="DV661:DV664"/>
    <mergeCell ref="DX661:DX664"/>
    <mergeCell ref="DY661:DY662"/>
    <mergeCell ref="DZ661:DZ664"/>
    <mergeCell ref="EA661:EA664"/>
    <mergeCell ref="FY661:FY662"/>
    <mergeCell ref="GN662:GN663"/>
    <mergeCell ref="GP662:GP663"/>
    <mergeCell ref="GQ662:GQ663"/>
    <mergeCell ref="E663:F663"/>
    <mergeCell ref="G663:L663"/>
    <mergeCell ref="P663:Q663"/>
    <mergeCell ref="S663:S664"/>
    <mergeCell ref="AG663:AL663"/>
    <mergeCell ref="AM663:AM664"/>
    <mergeCell ref="AN663:AN664"/>
    <mergeCell ref="AO663:AO664"/>
    <mergeCell ref="CR663:CR664"/>
    <mergeCell ref="CS663:CS664"/>
    <mergeCell ref="DT663:DT664"/>
    <mergeCell ref="DY663:DY664"/>
    <mergeCell ref="DT666:DT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O666:DO669"/>
    <mergeCell ref="DQ666:DQ669"/>
    <mergeCell ref="FV661:FV662"/>
    <mergeCell ref="FW661:FW662"/>
    <mergeCell ref="FX661:FX662"/>
    <mergeCell ref="GA661:GA664"/>
    <mergeCell ref="GB661:GB664"/>
    <mergeCell ref="GC661:GC664"/>
    <mergeCell ref="CU663:CU664"/>
    <mergeCell ref="CV663:CV664"/>
    <mergeCell ref="CW663:CW664"/>
    <mergeCell ref="GG661:GG664"/>
    <mergeCell ref="EM661:EM664"/>
    <mergeCell ref="EN661:EN664"/>
    <mergeCell ref="EO661:EO664"/>
    <mergeCell ref="EP661:EP664"/>
    <mergeCell ref="ER661:ER664"/>
    <mergeCell ref="ES661:ES664"/>
    <mergeCell ref="EC661:EC664"/>
    <mergeCell ref="FU663:FU664"/>
    <mergeCell ref="FV663:FV664"/>
    <mergeCell ref="FW663:FW664"/>
    <mergeCell ref="AY661:AY664"/>
    <mergeCell ref="AZ661:AZ664"/>
    <mergeCell ref="CP661:CP664"/>
    <mergeCell ref="CQ661:CQ664"/>
    <mergeCell ref="CR661:CR662"/>
    <mergeCell ref="CS661:CS662"/>
    <mergeCell ref="EX661:EX662"/>
    <mergeCell ref="EY661:EY662"/>
    <mergeCell ref="EZ661:EZ662"/>
    <mergeCell ref="CU661:CU662"/>
    <mergeCell ref="FO663:FO664"/>
    <mergeCell ref="ED661:ED664"/>
    <mergeCell ref="IB661:IB663"/>
    <mergeCell ref="FS663:FS664"/>
    <mergeCell ref="FT663:FT664"/>
    <mergeCell ref="ET656:ET659"/>
    <mergeCell ref="EV656:EV659"/>
    <mergeCell ref="DS656:DS659"/>
    <mergeCell ref="DT656:DT657"/>
    <mergeCell ref="DU656:DU659"/>
    <mergeCell ref="DV656:DV659"/>
    <mergeCell ref="DX656:DX659"/>
    <mergeCell ref="DY656:DY657"/>
    <mergeCell ref="DZ656:DZ659"/>
    <mergeCell ref="FU656:FU657"/>
    <mergeCell ref="FV656:FV657"/>
    <mergeCell ref="GA656:GA659"/>
    <mergeCell ref="GB656:GB659"/>
    <mergeCell ref="B656:B659"/>
    <mergeCell ref="C656:D659"/>
    <mergeCell ref="FV658:FV659"/>
    <mergeCell ref="FW658:FW659"/>
    <mergeCell ref="FS658:FS659"/>
    <mergeCell ref="FT658:FT659"/>
    <mergeCell ref="FU658:FU659"/>
    <mergeCell ref="FQ653:FQ654"/>
    <mergeCell ref="FU653:FU654"/>
    <mergeCell ref="FS651:FS652"/>
    <mergeCell ref="ES651:ES654"/>
    <mergeCell ref="ET651:ET654"/>
    <mergeCell ref="EV651:EV654"/>
    <mergeCell ref="DR651:DR652"/>
    <mergeCell ref="E653:F653"/>
    <mergeCell ref="G653:L653"/>
    <mergeCell ref="P653:Q653"/>
    <mergeCell ref="S653:S654"/>
    <mergeCell ref="U652:AD652"/>
    <mergeCell ref="IL661:IL664"/>
    <mergeCell ref="EC656:EC659"/>
    <mergeCell ref="FX658:FX659"/>
    <mergeCell ref="ED656:ED659"/>
    <mergeCell ref="EF656:EF659"/>
    <mergeCell ref="EG656:EG659"/>
    <mergeCell ref="EH656:EH659"/>
    <mergeCell ref="EI656:EI659"/>
    <mergeCell ref="EJ656:EJ659"/>
    <mergeCell ref="EK656:EK659"/>
    <mergeCell ref="EL656:EL659"/>
    <mergeCell ref="EM656:EM659"/>
    <mergeCell ref="EN656:EN659"/>
    <mergeCell ref="EO656:EO659"/>
    <mergeCell ref="EP656:EP659"/>
    <mergeCell ref="IC658:IC659"/>
    <mergeCell ref="IG658:IG659"/>
    <mergeCell ref="IK658:IK659"/>
    <mergeCell ref="FH661:FH664"/>
    <mergeCell ref="FL661:FL662"/>
    <mergeCell ref="FM661:FM662"/>
    <mergeCell ref="FN661:FN662"/>
    <mergeCell ref="FO661:FO662"/>
    <mergeCell ref="FQ661:FQ662"/>
    <mergeCell ref="FS661:FS662"/>
    <mergeCell ref="DM661:DM662"/>
    <mergeCell ref="DO661:DO664"/>
    <mergeCell ref="DQ661:DQ664"/>
    <mergeCell ref="DR661:DR662"/>
    <mergeCell ref="P659:R659"/>
    <mergeCell ref="U659:AA659"/>
    <mergeCell ref="AG659:AL659"/>
    <mergeCell ref="DY658:DY659"/>
    <mergeCell ref="CX656:CX657"/>
    <mergeCell ref="CY656:CY657"/>
    <mergeCell ref="CZ656:CZ657"/>
    <mergeCell ref="DA656:DA659"/>
    <mergeCell ref="DB656:DB659"/>
    <mergeCell ref="DC656:DC659"/>
    <mergeCell ref="DD656:DD659"/>
    <mergeCell ref="DF656:DF657"/>
    <mergeCell ref="DG656:DG657"/>
    <mergeCell ref="FS653:FS654"/>
    <mergeCell ref="FT653:FT654"/>
    <mergeCell ref="EX656:EX657"/>
    <mergeCell ref="EY656:EY657"/>
    <mergeCell ref="EZ656:EZ657"/>
    <mergeCell ref="FA656:FA657"/>
    <mergeCell ref="FB656:FB657"/>
    <mergeCell ref="FC656:FC659"/>
    <mergeCell ref="FE656:FE657"/>
    <mergeCell ref="DF648:DF649"/>
    <mergeCell ref="DG648:DG649"/>
    <mergeCell ref="DH648:DH649"/>
    <mergeCell ref="EO646:EO649"/>
    <mergeCell ref="EP646:EP649"/>
    <mergeCell ref="FV651:FV652"/>
    <mergeCell ref="FW651:FW652"/>
    <mergeCell ref="EH651:EH654"/>
    <mergeCell ref="DU651:DU654"/>
    <mergeCell ref="EX648:EX649"/>
    <mergeCell ref="EY648:EY649"/>
    <mergeCell ref="EZ648:EZ649"/>
    <mergeCell ref="FA648:FA649"/>
    <mergeCell ref="FB648:FB649"/>
    <mergeCell ref="DI648:DI649"/>
    <mergeCell ref="DJ648:DJ649"/>
    <mergeCell ref="DZ651:DZ654"/>
    <mergeCell ref="EA651:EA654"/>
    <mergeCell ref="CX651:CX652"/>
    <mergeCell ref="CY651:CY652"/>
    <mergeCell ref="CZ651:CZ652"/>
    <mergeCell ref="DA651:DA654"/>
    <mergeCell ref="DB651:DB654"/>
    <mergeCell ref="DC651:DC654"/>
    <mergeCell ref="DA646:DA649"/>
    <mergeCell ref="DB646:DB649"/>
    <mergeCell ref="DC646:DC649"/>
    <mergeCell ref="EA656:EA659"/>
    <mergeCell ref="DI656:DI657"/>
    <mergeCell ref="DJ656:DJ657"/>
    <mergeCell ref="DK656:DK659"/>
    <mergeCell ref="DM656:DM657"/>
    <mergeCell ref="DO656:DO659"/>
    <mergeCell ref="FG656:FG659"/>
    <mergeCell ref="FH656:FH659"/>
    <mergeCell ref="FL656:FL657"/>
    <mergeCell ref="FM656:FM657"/>
    <mergeCell ref="FN656:FN657"/>
    <mergeCell ref="FO656:FO657"/>
    <mergeCell ref="FQ656:FQ657"/>
    <mergeCell ref="EQ656:EQ659"/>
    <mergeCell ref="ER656:ER659"/>
    <mergeCell ref="ES656:ES659"/>
    <mergeCell ref="DO646:DO649"/>
    <mergeCell ref="DQ646:DQ649"/>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M653:FM654"/>
    <mergeCell ref="FN653:FN654"/>
    <mergeCell ref="FO653:FO654"/>
    <mergeCell ref="HJ657:HJ658"/>
    <mergeCell ref="HK657:HK658"/>
    <mergeCell ref="HL657:HL658"/>
    <mergeCell ref="HM657:HM658"/>
    <mergeCell ref="HN657:HN658"/>
    <mergeCell ref="HO657:HO658"/>
    <mergeCell ref="HP657:HP658"/>
    <mergeCell ref="HQ657:HQ658"/>
    <mergeCell ref="HR657:HR658"/>
    <mergeCell ref="E658:F658"/>
    <mergeCell ref="G658:L658"/>
    <mergeCell ref="P658:Q658"/>
    <mergeCell ref="S658:S659"/>
    <mergeCell ref="AG658:AL658"/>
    <mergeCell ref="AM658:AM659"/>
    <mergeCell ref="AN658:AN659"/>
    <mergeCell ref="AO658:AO659"/>
    <mergeCell ref="CR658:CR659"/>
    <mergeCell ref="CS658:CS659"/>
    <mergeCell ref="CU658:CU659"/>
    <mergeCell ref="FS656:FS657"/>
    <mergeCell ref="FT656:FT657"/>
    <mergeCell ref="EX658:EX659"/>
    <mergeCell ref="EY658:EY659"/>
    <mergeCell ref="EZ658:EZ659"/>
    <mergeCell ref="FA658:FA659"/>
    <mergeCell ref="FB658:FB659"/>
    <mergeCell ref="FE658:FE659"/>
    <mergeCell ref="FL658:FL659"/>
    <mergeCell ref="FM658:FM659"/>
    <mergeCell ref="DQ656:DQ659"/>
    <mergeCell ref="DR656:DR657"/>
    <mergeCell ref="GC656:GC659"/>
    <mergeCell ref="CX658:CX659"/>
    <mergeCell ref="CY658:CY659"/>
    <mergeCell ref="CZ658:CZ659"/>
    <mergeCell ref="DF658:DF659"/>
    <mergeCell ref="DG658:DG659"/>
    <mergeCell ref="DH658:DH659"/>
    <mergeCell ref="DI658:DI659"/>
    <mergeCell ref="DJ658:DJ659"/>
    <mergeCell ref="DN658:DN659"/>
    <mergeCell ref="DR658:DR659"/>
    <mergeCell ref="DT658:DT659"/>
    <mergeCell ref="FN658:FN659"/>
    <mergeCell ref="FO658:FO659"/>
    <mergeCell ref="FQ658:FQ659"/>
    <mergeCell ref="CW658:CW659"/>
    <mergeCell ref="DH656:DH657"/>
    <mergeCell ref="FU646:FU647"/>
    <mergeCell ref="FV646:FV647"/>
    <mergeCell ref="FW646:FW647"/>
    <mergeCell ref="FX646:FX647"/>
    <mergeCell ref="FE646:FE647"/>
    <mergeCell ref="FG646:FG649"/>
    <mergeCell ref="FH646:FH649"/>
    <mergeCell ref="FL646:FL647"/>
    <mergeCell ref="FM646:FM647"/>
    <mergeCell ref="FN646:FN647"/>
    <mergeCell ref="GA646:GA649"/>
    <mergeCell ref="FW648:FW649"/>
    <mergeCell ref="HU647:HU648"/>
    <mergeCell ref="HV647:HV648"/>
    <mergeCell ref="DD651:DD654"/>
    <mergeCell ref="DF651:DF652"/>
    <mergeCell ref="EI651:EI654"/>
    <mergeCell ref="EJ651:EJ654"/>
    <mergeCell ref="FT648:FT649"/>
    <mergeCell ref="FV653:FV654"/>
    <mergeCell ref="EK651:EK654"/>
    <mergeCell ref="EL651:EL654"/>
    <mergeCell ref="EM651:EM654"/>
    <mergeCell ref="EN651:EN654"/>
    <mergeCell ref="DF653:DF654"/>
    <mergeCell ref="DG653:DG654"/>
    <mergeCell ref="DH653:DH654"/>
    <mergeCell ref="DI653:DI654"/>
    <mergeCell ref="DJ653:DJ654"/>
    <mergeCell ref="DN653:DN654"/>
    <mergeCell ref="DR653:DR654"/>
    <mergeCell ref="DT653:DT654"/>
    <mergeCell ref="DY653:DY654"/>
    <mergeCell ref="FX653:FX654"/>
    <mergeCell ref="FX648:FX649"/>
    <mergeCell ref="FY648:FY649"/>
    <mergeCell ref="EZ651:EZ652"/>
    <mergeCell ref="FA651:FA652"/>
    <mergeCell ref="FB651:FB652"/>
    <mergeCell ref="FC651:FC654"/>
    <mergeCell ref="FE651:FE652"/>
    <mergeCell ref="FG651:FG654"/>
    <mergeCell ref="FH651:FH654"/>
    <mergeCell ref="FL651:FL652"/>
    <mergeCell ref="FM651:FM652"/>
    <mergeCell ref="FN651:FN652"/>
    <mergeCell ref="FO651:FO652"/>
    <mergeCell ref="FQ651:FQ652"/>
    <mergeCell ref="EX653:EX654"/>
    <mergeCell ref="EY653:EY654"/>
    <mergeCell ref="EZ653:EZ654"/>
    <mergeCell ref="FA653:FA654"/>
    <mergeCell ref="FB653:FB654"/>
    <mergeCell ref="FE653:FE654"/>
    <mergeCell ref="FP651:FP652"/>
    <mergeCell ref="FW653:FW654"/>
    <mergeCell ref="FT651:FT652"/>
    <mergeCell ref="FU651:FU652"/>
    <mergeCell ref="FL653:FL654"/>
    <mergeCell ref="EX651:EX652"/>
    <mergeCell ref="EY651:EY652"/>
    <mergeCell ref="CZ648:CZ649"/>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C653:IC654"/>
    <mergeCell ref="DG651:DG652"/>
    <mergeCell ref="DH651:DH652"/>
    <mergeCell ref="DI651:DI652"/>
    <mergeCell ref="DJ651:DJ652"/>
    <mergeCell ref="DK651:DK654"/>
    <mergeCell ref="DM651:DM652"/>
    <mergeCell ref="DV651:DV654"/>
    <mergeCell ref="DX651:DX654"/>
    <mergeCell ref="DY651:DY652"/>
    <mergeCell ref="FU648:FU649"/>
    <mergeCell ref="FX651:FX652"/>
    <mergeCell ref="GA651:GA654"/>
    <mergeCell ref="GB651:GB654"/>
    <mergeCell ref="GC651:GC654"/>
    <mergeCell ref="GD651:GD654"/>
    <mergeCell ref="GE651:GE654"/>
    <mergeCell ref="DO651:DO654"/>
    <mergeCell ref="DQ651:DQ654"/>
    <mergeCell ref="DN648:DN649"/>
    <mergeCell ref="EC651:EC654"/>
    <mergeCell ref="ED651:ED654"/>
    <mergeCell ref="EF651:EF654"/>
    <mergeCell ref="GN652:GN653"/>
    <mergeCell ref="GP652:GP653"/>
    <mergeCell ref="GQ652:GQ653"/>
    <mergeCell ref="HH652:HH653"/>
    <mergeCell ref="HI652:HI653"/>
    <mergeCell ref="EG651:EG654"/>
    <mergeCell ref="DY648:DY649"/>
    <mergeCell ref="FV648:FV649"/>
    <mergeCell ref="DS651:DS654"/>
    <mergeCell ref="DT651:DT652"/>
    <mergeCell ref="EO651:EO654"/>
    <mergeCell ref="EP651:EP654"/>
    <mergeCell ref="EQ651:EQ654"/>
    <mergeCell ref="ER651:ER654"/>
    <mergeCell ref="HW647:HW648"/>
    <mergeCell ref="HX647:HX648"/>
    <mergeCell ref="HY647:HY648"/>
    <mergeCell ref="HZ647:HZ648"/>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E654:F654"/>
    <mergeCell ref="G654:L654"/>
    <mergeCell ref="AP639:AQ639"/>
    <mergeCell ref="AR639:AS639"/>
    <mergeCell ref="AT639:AW639"/>
    <mergeCell ref="AU640:AW640"/>
    <mergeCell ref="E642:F642"/>
    <mergeCell ref="G642:L642"/>
    <mergeCell ref="P642:Q642"/>
    <mergeCell ref="U643:AE643"/>
    <mergeCell ref="U648:AE648"/>
    <mergeCell ref="AV646:AV649"/>
    <mergeCell ref="AW646:AW649"/>
    <mergeCell ref="ID642:ID643"/>
    <mergeCell ref="E643:F643"/>
    <mergeCell ref="G643:L643"/>
    <mergeCell ref="P643:Q643"/>
    <mergeCell ref="S643:S644"/>
    <mergeCell ref="AG643:AL643"/>
    <mergeCell ref="AM643:AM644"/>
    <mergeCell ref="AN643:AN644"/>
    <mergeCell ref="AO643:AO644"/>
    <mergeCell ref="GG641:GG644"/>
    <mergeCell ref="GH641:GH644"/>
    <mergeCell ref="GK641:GK644"/>
    <mergeCell ref="FE641:FE642"/>
    <mergeCell ref="FG641:FG644"/>
    <mergeCell ref="FH641:FH644"/>
    <mergeCell ref="FL641:FL642"/>
    <mergeCell ref="FM641:FM642"/>
    <mergeCell ref="FN641:FN642"/>
    <mergeCell ref="FO641:FO642"/>
    <mergeCell ref="FQ641:FQ642"/>
    <mergeCell ref="FS641:FS642"/>
    <mergeCell ref="FT641:FT642"/>
    <mergeCell ref="ED641:ED644"/>
    <mergeCell ref="EF641:EF644"/>
    <mergeCell ref="FU641:FU642"/>
    <mergeCell ref="FV641:FV642"/>
    <mergeCell ref="CV643:CV644"/>
    <mergeCell ref="GE641:GE644"/>
    <mergeCell ref="GF641:GF644"/>
    <mergeCell ref="DJ643:DJ644"/>
    <mergeCell ref="DN643:DN644"/>
    <mergeCell ref="DR643:DR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D646:ED649"/>
    <mergeCell ref="EF646:EF649"/>
    <mergeCell ref="EG646:EG649"/>
    <mergeCell ref="EH646:EH649"/>
    <mergeCell ref="EI646:EI649"/>
    <mergeCell ref="CW643:CW644"/>
    <mergeCell ref="CX643:CX644"/>
    <mergeCell ref="CX641:CX642"/>
    <mergeCell ref="CY641:CY642"/>
    <mergeCell ref="CZ641:CZ642"/>
    <mergeCell ref="DA641:DA644"/>
    <mergeCell ref="DB641:DB644"/>
    <mergeCell ref="DC641:DC644"/>
    <mergeCell ref="CR648:CR649"/>
    <mergeCell ref="CS648:CS649"/>
    <mergeCell ref="CU648:CU649"/>
    <mergeCell ref="CV648:CV649"/>
    <mergeCell ref="CW648:CW649"/>
    <mergeCell ref="DY646:DY647"/>
    <mergeCell ref="EC646:EC649"/>
    <mergeCell ref="DD646:DD649"/>
    <mergeCell ref="DF646:DF647"/>
    <mergeCell ref="DG646:DG647"/>
    <mergeCell ref="DH646:DH647"/>
    <mergeCell ref="DI646:DI647"/>
    <mergeCell ref="DR646:DR647"/>
    <mergeCell ref="DS646:DS649"/>
    <mergeCell ref="DT646:DT647"/>
    <mergeCell ref="DU646:DU649"/>
    <mergeCell ref="DV646:DV649"/>
    <mergeCell ref="DX646:DX649"/>
    <mergeCell ref="FS646:FS647"/>
    <mergeCell ref="FT646:FT647"/>
    <mergeCell ref="GB646:GB649"/>
    <mergeCell ref="GC646:GC649"/>
    <mergeCell ref="GD646:GD649"/>
    <mergeCell ref="GE646:GE649"/>
    <mergeCell ref="FE648:FE649"/>
    <mergeCell ref="FL648:FL649"/>
    <mergeCell ref="FM648:FM649"/>
    <mergeCell ref="FN648:FN649"/>
    <mergeCell ref="EQ646:EQ649"/>
    <mergeCell ref="ER646:ER649"/>
    <mergeCell ref="ES646:ES649"/>
    <mergeCell ref="ET646:ET649"/>
    <mergeCell ref="EV646:EV649"/>
    <mergeCell ref="DI643:DI644"/>
    <mergeCell ref="FO646:FO647"/>
    <mergeCell ref="FQ646:FQ647"/>
    <mergeCell ref="DR648:DR649"/>
    <mergeCell ref="DT648:DT649"/>
    <mergeCell ref="EJ646:EJ649"/>
    <mergeCell ref="EK646:EK649"/>
    <mergeCell ref="EL646:EL649"/>
    <mergeCell ref="EM646:EM649"/>
    <mergeCell ref="EN646:EN649"/>
    <mergeCell ref="DJ646:DJ647"/>
    <mergeCell ref="DK646:DK649"/>
    <mergeCell ref="DM646:DM647"/>
    <mergeCell ref="FN643:FN644"/>
    <mergeCell ref="FO643:FO644"/>
    <mergeCell ref="FQ643:FQ644"/>
    <mergeCell ref="FS643:FS644"/>
    <mergeCell ref="FT643:FT644"/>
    <mergeCell ref="FU643:FU644"/>
    <mergeCell ref="FV643:FV644"/>
    <mergeCell ref="FW643:FW644"/>
    <mergeCell ref="FX643:FX644"/>
    <mergeCell ref="EY641:EY642"/>
    <mergeCell ref="EZ641:EZ642"/>
    <mergeCell ref="FA641:FA642"/>
    <mergeCell ref="FB641:FB642"/>
    <mergeCell ref="EX646:EX647"/>
    <mergeCell ref="EY646:EY647"/>
    <mergeCell ref="EZ646:EZ647"/>
    <mergeCell ref="FA646:FA647"/>
    <mergeCell ref="FB646:FB647"/>
    <mergeCell ref="DT643:DT644"/>
    <mergeCell ref="DY643:DY644"/>
    <mergeCell ref="CY643:CY644"/>
    <mergeCell ref="CZ643:CZ644"/>
    <mergeCell ref="DF643:DF644"/>
    <mergeCell ref="DG643:DG644"/>
    <mergeCell ref="DH643:DH644"/>
    <mergeCell ref="FC646:FC649"/>
    <mergeCell ref="DZ646:DZ649"/>
    <mergeCell ref="FO648:FO649"/>
    <mergeCell ref="FQ648:FQ649"/>
    <mergeCell ref="FS648:FS649"/>
    <mergeCell ref="EA646:EA649"/>
    <mergeCell ref="DI641:DI642"/>
    <mergeCell ref="DJ641:DJ642"/>
    <mergeCell ref="DK641:DK644"/>
    <mergeCell ref="IK643:IK644"/>
    <mergeCell ref="IM643:IM644"/>
    <mergeCell ref="CS643:CS644"/>
    <mergeCell ref="CU643:CU644"/>
    <mergeCell ref="EG641:EG644"/>
    <mergeCell ref="EH641:EH644"/>
    <mergeCell ref="EI641:EI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V641:EV644"/>
    <mergeCell ref="EX641:EX642"/>
    <mergeCell ref="FE643:FE644"/>
    <mergeCell ref="FL643:FL644"/>
    <mergeCell ref="FM643:FM644"/>
    <mergeCell ref="GM642:GM643"/>
    <mergeCell ref="GN642:GN643"/>
    <mergeCell ref="GP642:GP643"/>
    <mergeCell ref="GQ642:GQ643"/>
    <mergeCell ref="HH642:HH643"/>
    <mergeCell ref="HI642:HI643"/>
    <mergeCell ref="HJ642:HJ643"/>
    <mergeCell ref="HK642:HK643"/>
    <mergeCell ref="HL642:HL643"/>
    <mergeCell ref="HM642:HM643"/>
    <mergeCell ref="HN642:HN643"/>
    <mergeCell ref="HZ642:HZ643"/>
    <mergeCell ref="IB641:IB643"/>
    <mergeCell ref="IC641:IC642"/>
    <mergeCell ref="IM641:IM642"/>
    <mergeCell ref="DD641:DD644"/>
    <mergeCell ref="DF641:DF642"/>
    <mergeCell ref="DG641:DG642"/>
    <mergeCell ref="DH641:DH642"/>
    <mergeCell ref="HU642:HU643"/>
    <mergeCell ref="HV642:HV643"/>
    <mergeCell ref="HW642:HW643"/>
    <mergeCell ref="HX642:HX643"/>
    <mergeCell ref="HY642:HY643"/>
    <mergeCell ref="DM641:DM642"/>
    <mergeCell ref="DO641:DO644"/>
    <mergeCell ref="DQ641:DQ644"/>
    <mergeCell ref="DR641:DR642"/>
    <mergeCell ref="EA641:EA644"/>
    <mergeCell ref="EC641:EC644"/>
    <mergeCell ref="FP641:FP642"/>
    <mergeCell ref="FC641:FC644"/>
    <mergeCell ref="FW641:FW642"/>
    <mergeCell ref="FX641:FX642"/>
    <mergeCell ref="GA641:GA644"/>
    <mergeCell ref="EX643:EX644"/>
    <mergeCell ref="EY643:EY644"/>
    <mergeCell ref="EZ643:EZ644"/>
    <mergeCell ref="IB633:IB635"/>
    <mergeCell ref="DR633:DR634"/>
    <mergeCell ref="DS633:DS636"/>
    <mergeCell ref="DT633:DT634"/>
    <mergeCell ref="DU633:DU636"/>
    <mergeCell ref="DV633:DV636"/>
    <mergeCell ref="DX633:DX636"/>
    <mergeCell ref="DY633:DY634"/>
    <mergeCell ref="DZ633:DZ636"/>
    <mergeCell ref="EA633:EA636"/>
    <mergeCell ref="FV633:FV634"/>
    <mergeCell ref="FW633:FW634"/>
    <mergeCell ref="DS641:DS644"/>
    <mergeCell ref="DT641:DT642"/>
    <mergeCell ref="DU641:DU644"/>
    <mergeCell ref="DV641:DV644"/>
    <mergeCell ref="DX641:DX644"/>
    <mergeCell ref="DY641:DY642"/>
    <mergeCell ref="DZ641:DZ644"/>
    <mergeCell ref="FX633:FX634"/>
    <mergeCell ref="GA633:GA636"/>
    <mergeCell ref="EZ635:EZ636"/>
    <mergeCell ref="FA635:FA636"/>
    <mergeCell ref="FB635:FB636"/>
    <mergeCell ref="FE635:FE636"/>
    <mergeCell ref="GB633:GB636"/>
    <mergeCell ref="FO635:FO636"/>
    <mergeCell ref="FQ635:FQ636"/>
    <mergeCell ref="FS635:FS636"/>
    <mergeCell ref="FT635:FT636"/>
    <mergeCell ref="FU635:FU636"/>
    <mergeCell ref="FV635:FV636"/>
    <mergeCell ref="EI633:EI636"/>
    <mergeCell ref="DX639:DY639"/>
    <mergeCell ref="DQ640:DR640"/>
    <mergeCell ref="DX640:DY640"/>
    <mergeCell ref="FA643:FA644"/>
    <mergeCell ref="FB643:FB644"/>
    <mergeCell ref="GB641:GB644"/>
    <mergeCell ref="GC641:GC644"/>
    <mergeCell ref="GD641:GD644"/>
    <mergeCell ref="HP642:HP643"/>
    <mergeCell ref="HQ642:HQ643"/>
    <mergeCell ref="HR642:HR643"/>
    <mergeCell ref="HS642:HS643"/>
    <mergeCell ref="HT642:HT643"/>
    <mergeCell ref="IC635:IC636"/>
    <mergeCell ref="EF633:EF636"/>
    <mergeCell ref="EG633:EG636"/>
    <mergeCell ref="EH633:EH636"/>
    <mergeCell ref="EZ633:EZ634"/>
    <mergeCell ref="FA633:FA634"/>
    <mergeCell ref="FB633:FB634"/>
    <mergeCell ref="FC633:FC636"/>
    <mergeCell ref="FE633:FE634"/>
    <mergeCell ref="FG633:FG636"/>
    <mergeCell ref="FH633:FH636"/>
    <mergeCell ref="FL633:FL634"/>
    <mergeCell ref="GF633:GF636"/>
    <mergeCell ref="GG633:GG636"/>
    <mergeCell ref="ED633:ED636"/>
    <mergeCell ref="FT633:FT634"/>
    <mergeCell ref="FU633:FU634"/>
    <mergeCell ref="GC633:GC636"/>
    <mergeCell ref="GD633:GD636"/>
    <mergeCell ref="FP633:FP634"/>
    <mergeCell ref="IN633:IN636"/>
    <mergeCell ref="E634:F634"/>
    <mergeCell ref="G634:L634"/>
    <mergeCell ref="P634:Q634"/>
    <mergeCell ref="GM634:GM635"/>
    <mergeCell ref="GN634:GN635"/>
    <mergeCell ref="GP634:GP635"/>
    <mergeCell ref="GQ634:GQ635"/>
    <mergeCell ref="HH634:HH635"/>
    <mergeCell ref="HI634:HI635"/>
    <mergeCell ref="HJ634:HJ635"/>
    <mergeCell ref="HK634:HK635"/>
    <mergeCell ref="HL634:HL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D634:ID635"/>
    <mergeCell ref="E635:F635"/>
    <mergeCell ref="G635:L635"/>
    <mergeCell ref="P635:Q635"/>
    <mergeCell ref="EC633:EC636"/>
    <mergeCell ref="DN635:DN636"/>
    <mergeCell ref="DR635:DR636"/>
    <mergeCell ref="DT635:DT636"/>
    <mergeCell ref="DY635:DY636"/>
    <mergeCell ref="EX635:EX636"/>
    <mergeCell ref="EY635:EY636"/>
    <mergeCell ref="FX635:FX636"/>
    <mergeCell ref="IF633:IF636"/>
    <mergeCell ref="IM635:IM636"/>
    <mergeCell ref="DF635:DF636"/>
    <mergeCell ref="DG635:DG636"/>
    <mergeCell ref="DH635:DH636"/>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U636:AA636"/>
    <mergeCell ref="AG636:AL636"/>
    <mergeCell ref="IM633:IM634"/>
    <mergeCell ref="E636:F636"/>
    <mergeCell ref="U635:AE635"/>
    <mergeCell ref="IM630:IM631"/>
    <mergeCell ref="E631:F631"/>
    <mergeCell ref="G631:L631"/>
    <mergeCell ref="P631:R631"/>
    <mergeCell ref="U631:AA631"/>
    <mergeCell ref="AG631:AL631"/>
    <mergeCell ref="EM628:EM631"/>
    <mergeCell ref="EN628:EN631"/>
    <mergeCell ref="EO628:EO631"/>
    <mergeCell ref="EP628:EP631"/>
    <mergeCell ref="EQ628:EQ631"/>
    <mergeCell ref="ER628:ER631"/>
    <mergeCell ref="ES628:ES631"/>
    <mergeCell ref="ET628:ET631"/>
    <mergeCell ref="EV628:EV631"/>
    <mergeCell ref="EX628:EX629"/>
    <mergeCell ref="EY628:EY629"/>
    <mergeCell ref="EZ628:EZ629"/>
    <mergeCell ref="FA628:FA629"/>
    <mergeCell ref="FB628:FB629"/>
    <mergeCell ref="FC628:FC631"/>
    <mergeCell ref="FE628:FE629"/>
    <mergeCell ref="FG628:FG631"/>
    <mergeCell ref="FH628:FH631"/>
    <mergeCell ref="FL628:FL629"/>
    <mergeCell ref="FM628:FM629"/>
    <mergeCell ref="FN628:FN629"/>
    <mergeCell ref="FO628:FO629"/>
    <mergeCell ref="FQ628:FQ629"/>
    <mergeCell ref="FS628:FS629"/>
    <mergeCell ref="FT628:FT629"/>
    <mergeCell ref="FU628:FU629"/>
    <mergeCell ref="FV628:FV629"/>
    <mergeCell ref="FW628:FW629"/>
    <mergeCell ref="FX628:FX629"/>
    <mergeCell ref="GA628:GA631"/>
    <mergeCell ref="GD628:GD631"/>
    <mergeCell ref="DI630:DI631"/>
    <mergeCell ref="DJ630:DJ631"/>
    <mergeCell ref="DN630:DN631"/>
    <mergeCell ref="DR630:DR631"/>
    <mergeCell ref="DT630:DT631"/>
    <mergeCell ref="DY630:DY631"/>
    <mergeCell ref="HR629:HR630"/>
    <mergeCell ref="HS629:HS630"/>
    <mergeCell ref="HT629:HT630"/>
    <mergeCell ref="HU629:HU630"/>
    <mergeCell ref="HV629:HV630"/>
    <mergeCell ref="HW629:HW630"/>
    <mergeCell ref="HX629:HX630"/>
    <mergeCell ref="HY629:HY630"/>
    <mergeCell ref="HZ629:HZ630"/>
    <mergeCell ref="ID629:ID630"/>
    <mergeCell ref="E630:F630"/>
    <mergeCell ref="G630:L630"/>
    <mergeCell ref="P630:Q630"/>
    <mergeCell ref="S630:S631"/>
    <mergeCell ref="AG630:AL630"/>
    <mergeCell ref="IG633:IG634"/>
    <mergeCell ref="IH633:IH636"/>
    <mergeCell ref="IK633:IK634"/>
    <mergeCell ref="IL633:IL636"/>
    <mergeCell ref="DH630:DH631"/>
    <mergeCell ref="AM630:AM631"/>
    <mergeCell ref="AN630:AN631"/>
    <mergeCell ref="AO630:AO631"/>
    <mergeCell ref="CR630:CR631"/>
    <mergeCell ref="CS630:CS631"/>
    <mergeCell ref="CU630:CU631"/>
    <mergeCell ref="CV630:CV631"/>
    <mergeCell ref="CW630:CW631"/>
    <mergeCell ref="CX630:CX631"/>
    <mergeCell ref="IC630:IC631"/>
    <mergeCell ref="IG630:IG631"/>
    <mergeCell ref="IK630:IK631"/>
    <mergeCell ref="DC633:DC636"/>
    <mergeCell ref="DD633:DD636"/>
    <mergeCell ref="DF633:DF634"/>
    <mergeCell ref="DG633:DG634"/>
    <mergeCell ref="DH633:DH634"/>
    <mergeCell ref="DI633:DI634"/>
    <mergeCell ref="DJ633:DJ634"/>
    <mergeCell ref="DK633:DK636"/>
    <mergeCell ref="DM633:DM634"/>
    <mergeCell ref="DO633:DO636"/>
    <mergeCell ref="DQ633:DQ636"/>
    <mergeCell ref="FW635:FW636"/>
    <mergeCell ref="EJ633:EJ636"/>
    <mergeCell ref="EK633:EK636"/>
    <mergeCell ref="EL633:EL636"/>
    <mergeCell ref="EM633:EM636"/>
    <mergeCell ref="EN633:EN636"/>
    <mergeCell ref="EO633:EO636"/>
    <mergeCell ref="EP633:EP636"/>
    <mergeCell ref="EQ633:EQ636"/>
    <mergeCell ref="ER633:ER636"/>
    <mergeCell ref="ES633:ES636"/>
    <mergeCell ref="ET633:ET636"/>
    <mergeCell ref="EV633:EV636"/>
    <mergeCell ref="EX633:EX634"/>
    <mergeCell ref="EY633:EY634"/>
    <mergeCell ref="CW635:CW636"/>
    <mergeCell ref="CX635:CX636"/>
    <mergeCell ref="CY635:CY636"/>
    <mergeCell ref="CZ635:CZ636"/>
    <mergeCell ref="FM633:FM634"/>
    <mergeCell ref="FN633:FN634"/>
    <mergeCell ref="FO633:FO634"/>
    <mergeCell ref="FQ633:FQ634"/>
    <mergeCell ref="FS633:FS634"/>
    <mergeCell ref="FY633:FY634"/>
    <mergeCell ref="GE633:GE636"/>
    <mergeCell ref="GH633:GH636"/>
    <mergeCell ref="GK633:GK636"/>
    <mergeCell ref="FL635:FL636"/>
    <mergeCell ref="FM635:FM636"/>
    <mergeCell ref="FN635:FN636"/>
    <mergeCell ref="IG635:IG636"/>
    <mergeCell ref="IK635:IK636"/>
    <mergeCell ref="GB628:GB631"/>
    <mergeCell ref="GC628:GC631"/>
    <mergeCell ref="EX630:EX631"/>
    <mergeCell ref="EY630:EY631"/>
    <mergeCell ref="EZ630:EZ631"/>
    <mergeCell ref="FA630:FA631"/>
    <mergeCell ref="FB630:FB631"/>
    <mergeCell ref="FE630:FE631"/>
    <mergeCell ref="FL630:FL631"/>
    <mergeCell ref="FM630:FM631"/>
    <mergeCell ref="FN630:FN631"/>
    <mergeCell ref="FO630:FO631"/>
    <mergeCell ref="FQ630:FQ631"/>
    <mergeCell ref="FS630:FS631"/>
    <mergeCell ref="FT630:FT631"/>
    <mergeCell ref="FU630:FU631"/>
    <mergeCell ref="FV630:FV631"/>
    <mergeCell ref="FW630:FW631"/>
    <mergeCell ref="FX630:FX631"/>
    <mergeCell ref="EL628:EL631"/>
    <mergeCell ref="B623:B626"/>
    <mergeCell ref="C623:D626"/>
    <mergeCell ref="E623:F623"/>
    <mergeCell ref="G623:R623"/>
    <mergeCell ref="S623:S624"/>
    <mergeCell ref="U623:AA623"/>
    <mergeCell ref="AG623:AL623"/>
    <mergeCell ref="FS623:FS624"/>
    <mergeCell ref="FT623:FT624"/>
    <mergeCell ref="FU623:FU624"/>
    <mergeCell ref="FV623:FV624"/>
    <mergeCell ref="FU625:FU626"/>
    <mergeCell ref="FV625:FV626"/>
    <mergeCell ref="FW625:FW626"/>
    <mergeCell ref="DC628:DC631"/>
    <mergeCell ref="DD628:DD631"/>
    <mergeCell ref="DF628:DF629"/>
    <mergeCell ref="DG628:DG629"/>
    <mergeCell ref="DH628:DH629"/>
    <mergeCell ref="DI628:DI629"/>
    <mergeCell ref="DJ628:DJ629"/>
    <mergeCell ref="DK628:DK631"/>
    <mergeCell ref="DM628:DM629"/>
    <mergeCell ref="DO628:DO631"/>
    <mergeCell ref="DQ628:DQ631"/>
    <mergeCell ref="DR628:DR629"/>
    <mergeCell ref="DS628:DS631"/>
    <mergeCell ref="DT628:DT629"/>
    <mergeCell ref="DU628:DU631"/>
    <mergeCell ref="DV628:DV631"/>
    <mergeCell ref="DX628:DX631"/>
    <mergeCell ref="DY628:DY629"/>
    <mergeCell ref="DZ628:DZ631"/>
    <mergeCell ref="EA628:EA631"/>
    <mergeCell ref="EC628:EC631"/>
    <mergeCell ref="ED628:ED631"/>
    <mergeCell ref="EF628:EF631"/>
    <mergeCell ref="EG628:EG631"/>
    <mergeCell ref="EH628:EH631"/>
    <mergeCell ref="EI628:EI631"/>
    <mergeCell ref="EJ628:EJ631"/>
    <mergeCell ref="EK628:EK631"/>
    <mergeCell ref="DF630:DF631"/>
    <mergeCell ref="DG630:DG631"/>
    <mergeCell ref="E627:AW627"/>
    <mergeCell ref="B628:B631"/>
    <mergeCell ref="C628:D631"/>
    <mergeCell ref="E628:F628"/>
    <mergeCell ref="G628:R628"/>
    <mergeCell ref="S628:S629"/>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N623:IN626"/>
    <mergeCell ref="E624:F624"/>
    <mergeCell ref="G624:L624"/>
    <mergeCell ref="P624:Q624"/>
    <mergeCell ref="GM624:GM625"/>
    <mergeCell ref="GN624:GN625"/>
    <mergeCell ref="GP624:GP625"/>
    <mergeCell ref="GQ624:GQ625"/>
    <mergeCell ref="HH624:HH625"/>
    <mergeCell ref="HI624:HI625"/>
    <mergeCell ref="HJ624:HJ625"/>
    <mergeCell ref="HK624:HK625"/>
    <mergeCell ref="HL624:HL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D624:ID625"/>
    <mergeCell ref="E625:F625"/>
    <mergeCell ref="G625:L625"/>
    <mergeCell ref="P625:Q625"/>
    <mergeCell ref="S625:S626"/>
    <mergeCell ref="EI623:EI626"/>
    <mergeCell ref="EJ623:EJ626"/>
    <mergeCell ref="EK623:EK626"/>
    <mergeCell ref="IG625:IG626"/>
    <mergeCell ref="IK625:IK626"/>
    <mergeCell ref="IM625:IM626"/>
    <mergeCell ref="GA623:GA626"/>
    <mergeCell ref="GB623:GB626"/>
    <mergeCell ref="GC623:GC626"/>
    <mergeCell ref="GD623:GD626"/>
    <mergeCell ref="GE623:GE626"/>
    <mergeCell ref="GF623:GF626"/>
    <mergeCell ref="DG625:DG626"/>
    <mergeCell ref="DH625:DH626"/>
    <mergeCell ref="DI625:DI626"/>
    <mergeCell ref="DJ625:DJ626"/>
    <mergeCell ref="DN625:DN626"/>
    <mergeCell ref="CY623:CY624"/>
    <mergeCell ref="CZ623:CZ624"/>
    <mergeCell ref="DA623:DA626"/>
    <mergeCell ref="DB623:DB626"/>
    <mergeCell ref="DC623:DC626"/>
    <mergeCell ref="DD623:DD626"/>
    <mergeCell ref="FN623:FN624"/>
    <mergeCell ref="FO623:FO624"/>
    <mergeCell ref="FQ623:FQ624"/>
    <mergeCell ref="GG623:GG626"/>
    <mergeCell ref="GH623:GH626"/>
    <mergeCell ref="GK623:GK626"/>
    <mergeCell ref="IB623:IB625"/>
    <mergeCell ref="IC623:IC624"/>
    <mergeCell ref="IF623:IF626"/>
    <mergeCell ref="IC625:IC626"/>
    <mergeCell ref="IG623:IG624"/>
    <mergeCell ref="IH623:IH626"/>
    <mergeCell ref="IK623:IK624"/>
    <mergeCell ref="IL623:IL626"/>
    <mergeCell ref="IM623:IM624"/>
    <mergeCell ref="DF623:DF624"/>
    <mergeCell ref="DG623:DG624"/>
    <mergeCell ref="DH623:DH624"/>
    <mergeCell ref="DI623:DI624"/>
    <mergeCell ref="DJ623:DJ624"/>
    <mergeCell ref="DK623:DK626"/>
    <mergeCell ref="DM623:DM624"/>
    <mergeCell ref="DO623:DO626"/>
    <mergeCell ref="DQ623:DQ626"/>
    <mergeCell ref="EG623:EG626"/>
    <mergeCell ref="EH623:EH626"/>
    <mergeCell ref="CY625:CY626"/>
    <mergeCell ref="EZ623:EZ624"/>
    <mergeCell ref="FA623:FA624"/>
    <mergeCell ref="FW623:FW624"/>
    <mergeCell ref="FX623:FX624"/>
    <mergeCell ref="DY625:DY626"/>
    <mergeCell ref="EX625:EX626"/>
    <mergeCell ref="EY625:EY626"/>
    <mergeCell ref="EZ625:EZ626"/>
    <mergeCell ref="FA625:FA626"/>
    <mergeCell ref="FB625:FB626"/>
    <mergeCell ref="FE625:FE626"/>
    <mergeCell ref="FL625:FL626"/>
    <mergeCell ref="FM625:FM626"/>
    <mergeCell ref="FN625:FN626"/>
    <mergeCell ref="FO625:FO626"/>
    <mergeCell ref="FQ625:FQ626"/>
    <mergeCell ref="FS625:FS626"/>
    <mergeCell ref="FT625:FT626"/>
    <mergeCell ref="AM625:AM626"/>
    <mergeCell ref="AN625:AN626"/>
    <mergeCell ref="AO625:AO626"/>
    <mergeCell ref="CR625:CR626"/>
    <mergeCell ref="CS625:CS626"/>
    <mergeCell ref="CU625:CU626"/>
    <mergeCell ref="CV625:CV626"/>
    <mergeCell ref="CW625:CW626"/>
    <mergeCell ref="CX625:CX626"/>
    <mergeCell ref="FP623:FP624"/>
    <mergeCell ref="FX625:FX626"/>
    <mergeCell ref="FB623:FB624"/>
    <mergeCell ref="FC623:FC626"/>
    <mergeCell ref="FE623:FE624"/>
    <mergeCell ref="FG623:FG626"/>
    <mergeCell ref="FH623:FH626"/>
    <mergeCell ref="FL623:FL624"/>
    <mergeCell ref="FM623:FM624"/>
    <mergeCell ref="EL623:EL626"/>
    <mergeCell ref="EM623:EM626"/>
    <mergeCell ref="EN623:EN626"/>
    <mergeCell ref="EO623:EO626"/>
    <mergeCell ref="EP623:EP626"/>
    <mergeCell ref="EQ623:EQ626"/>
    <mergeCell ref="ER623:ER626"/>
    <mergeCell ref="ES623:ES626"/>
    <mergeCell ref="ET623:ET626"/>
    <mergeCell ref="EV623:EV626"/>
    <mergeCell ref="DR623:DR624"/>
    <mergeCell ref="DS623:DS626"/>
    <mergeCell ref="DT623:DT624"/>
    <mergeCell ref="DU623:DU626"/>
    <mergeCell ref="DV623:DV626"/>
    <mergeCell ref="DX623:DX626"/>
    <mergeCell ref="DY623:DY624"/>
    <mergeCell ref="DZ623:DZ626"/>
    <mergeCell ref="EA623:EA626"/>
    <mergeCell ref="EC623:EC626"/>
    <mergeCell ref="ED623:ED626"/>
    <mergeCell ref="EF623:EF626"/>
    <mergeCell ref="CZ625:CZ626"/>
    <mergeCell ref="DF625:DF626"/>
    <mergeCell ref="DR625:DR626"/>
    <mergeCell ref="DT625:DT626"/>
    <mergeCell ref="EX623:EX624"/>
    <mergeCell ref="EY623:EY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CX623:CX624"/>
    <mergeCell ref="IM620:IM621"/>
    <mergeCell ref="IC620:IC621"/>
    <mergeCell ref="FU620:FU621"/>
    <mergeCell ref="FV620:FV621"/>
    <mergeCell ref="FW620:FW621"/>
    <mergeCell ref="FX620:FX621"/>
    <mergeCell ref="DH620:DH621"/>
    <mergeCell ref="DI620:DI621"/>
    <mergeCell ref="DJ620:DJ621"/>
    <mergeCell ref="DN620:DN621"/>
    <mergeCell ref="FT620:FT621"/>
    <mergeCell ref="FY620:FY621"/>
    <mergeCell ref="G621:L621"/>
    <mergeCell ref="P621:R621"/>
    <mergeCell ref="U621:AA621"/>
    <mergeCell ref="AG621:AL621"/>
    <mergeCell ref="FX618:FX619"/>
    <mergeCell ref="GA618:GA621"/>
    <mergeCell ref="GB618:GB621"/>
    <mergeCell ref="GC618:GC621"/>
    <mergeCell ref="GD618:GD621"/>
    <mergeCell ref="GE618:GE621"/>
    <mergeCell ref="GF618:GF621"/>
    <mergeCell ref="GG618:GG621"/>
    <mergeCell ref="GH618:GH621"/>
    <mergeCell ref="GK618:GK621"/>
    <mergeCell ref="IB618:IB620"/>
    <mergeCell ref="IC618:IC619"/>
    <mergeCell ref="IF618:IF621"/>
    <mergeCell ref="IG618:IG619"/>
    <mergeCell ref="IH618:IH621"/>
    <mergeCell ref="IK618:IK619"/>
    <mergeCell ref="IL618:IL621"/>
    <mergeCell ref="IM618:IM619"/>
    <mergeCell ref="HH619:HH620"/>
    <mergeCell ref="HI619:HI620"/>
    <mergeCell ref="HJ619:HJ620"/>
    <mergeCell ref="HK619:HK620"/>
    <mergeCell ref="HL619:HL620"/>
    <mergeCell ref="HM619:HM620"/>
    <mergeCell ref="HN619:HN620"/>
    <mergeCell ref="HO619:HO620"/>
    <mergeCell ref="HP619:HP620"/>
    <mergeCell ref="HQ619:HQ620"/>
    <mergeCell ref="HR619:HR620"/>
    <mergeCell ref="HG619:HG620"/>
    <mergeCell ref="FP620:FP621"/>
    <mergeCell ref="EC618:EC621"/>
    <mergeCell ref="FQ618:FQ619"/>
    <mergeCell ref="FS618:FS619"/>
    <mergeCell ref="FT618:FT619"/>
    <mergeCell ref="FU618:FU619"/>
    <mergeCell ref="EF618:EF621"/>
    <mergeCell ref="EG618:EG621"/>
    <mergeCell ref="ER618:ER621"/>
    <mergeCell ref="ES618:ES621"/>
    <mergeCell ref="ET618:ET621"/>
    <mergeCell ref="EV618:EV621"/>
    <mergeCell ref="EX618:EX619"/>
    <mergeCell ref="EY618:EY619"/>
    <mergeCell ref="EZ618:EZ619"/>
    <mergeCell ref="FA618:FA619"/>
    <mergeCell ref="FB618:FB619"/>
    <mergeCell ref="FC618:FC621"/>
    <mergeCell ref="EX615:EX616"/>
    <mergeCell ref="EY615:EY616"/>
    <mergeCell ref="EZ615:EZ616"/>
    <mergeCell ref="FA615:FA616"/>
    <mergeCell ref="FB615:FB616"/>
    <mergeCell ref="EG613:EG616"/>
    <mergeCell ref="EH613:EH616"/>
    <mergeCell ref="EI613:EI616"/>
    <mergeCell ref="EJ613:EJ616"/>
    <mergeCell ref="EK613:EK616"/>
    <mergeCell ref="EL613:EL616"/>
    <mergeCell ref="EM613:EM616"/>
    <mergeCell ref="EN613:EN616"/>
    <mergeCell ref="EO613:EO616"/>
    <mergeCell ref="FE615:FE616"/>
    <mergeCell ref="FL615:FL616"/>
    <mergeCell ref="FM615:FM616"/>
    <mergeCell ref="FN615:FN616"/>
    <mergeCell ref="FO615:FO616"/>
    <mergeCell ref="ED613:ED616"/>
    <mergeCell ref="EF613:EF616"/>
    <mergeCell ref="FM613:FM614"/>
    <mergeCell ref="FN613:FN614"/>
    <mergeCell ref="FO613:FO614"/>
    <mergeCell ref="FV618:FV619"/>
    <mergeCell ref="FW618:FW619"/>
    <mergeCell ref="DX618:DX621"/>
    <mergeCell ref="DY618:DY619"/>
    <mergeCell ref="DZ618:DZ621"/>
    <mergeCell ref="EA618:EA621"/>
    <mergeCell ref="DR620:DR621"/>
    <mergeCell ref="DT620:DT621"/>
    <mergeCell ref="DY620:DY621"/>
    <mergeCell ref="EX620:EX621"/>
    <mergeCell ref="EY620:EY621"/>
    <mergeCell ref="EZ620:EZ621"/>
    <mergeCell ref="FA620:FA621"/>
    <mergeCell ref="FB620:FB621"/>
    <mergeCell ref="FE620:FE621"/>
    <mergeCell ref="FL620:FL621"/>
    <mergeCell ref="FM620:FM621"/>
    <mergeCell ref="FN620:FN621"/>
    <mergeCell ref="FO620:FO621"/>
    <mergeCell ref="FQ620:FQ621"/>
    <mergeCell ref="FS620:FS621"/>
    <mergeCell ref="FP613:FP614"/>
    <mergeCell ref="FE618:FE619"/>
    <mergeCell ref="FG618:FG621"/>
    <mergeCell ref="FH618:FH621"/>
    <mergeCell ref="FL618:FL619"/>
    <mergeCell ref="FM618:FM619"/>
    <mergeCell ref="FN618:FN619"/>
    <mergeCell ref="FO618:FO619"/>
    <mergeCell ref="IK615:IK616"/>
    <mergeCell ref="IM615:IM616"/>
    <mergeCell ref="E616:F616"/>
    <mergeCell ref="G616:L616"/>
    <mergeCell ref="P616:R616"/>
    <mergeCell ref="U616:AA616"/>
    <mergeCell ref="AG616:AL616"/>
    <mergeCell ref="E617:AW617"/>
    <mergeCell ref="DH618:DH619"/>
    <mergeCell ref="DI618:DI619"/>
    <mergeCell ref="DJ618:DJ619"/>
    <mergeCell ref="DK618:DK621"/>
    <mergeCell ref="DM618:DM619"/>
    <mergeCell ref="DO618:DO621"/>
    <mergeCell ref="DQ618:DQ621"/>
    <mergeCell ref="DR618:DR619"/>
    <mergeCell ref="DS618:DS621"/>
    <mergeCell ref="DT618:DT619"/>
    <mergeCell ref="DU618:DU621"/>
    <mergeCell ref="DV618:DV621"/>
    <mergeCell ref="EP613:EP616"/>
    <mergeCell ref="EQ613:EQ616"/>
    <mergeCell ref="ER613:ER616"/>
    <mergeCell ref="ES613:ES616"/>
    <mergeCell ref="ET613:ET616"/>
    <mergeCell ref="EV613:EV616"/>
    <mergeCell ref="FQ613:FQ614"/>
    <mergeCell ref="FS613:FS614"/>
    <mergeCell ref="FT613:FT614"/>
    <mergeCell ref="DF615:DF616"/>
    <mergeCell ref="DG615:DG616"/>
    <mergeCell ref="DH615:DH616"/>
    <mergeCell ref="DI615:DI616"/>
    <mergeCell ref="DJ615:DJ616"/>
    <mergeCell ref="DN615:DN616"/>
    <mergeCell ref="DR615:DR616"/>
    <mergeCell ref="DT615:DT616"/>
    <mergeCell ref="HS619:HS620"/>
    <mergeCell ref="HT619:HT620"/>
    <mergeCell ref="HU619:HU620"/>
    <mergeCell ref="HV619:HV620"/>
    <mergeCell ref="HW619:HW620"/>
    <mergeCell ref="HX619:HX620"/>
    <mergeCell ref="HY619:HY620"/>
    <mergeCell ref="HZ619:HZ620"/>
    <mergeCell ref="ID619:ID620"/>
    <mergeCell ref="E620:F620"/>
    <mergeCell ref="G620:L620"/>
    <mergeCell ref="P620:Q620"/>
    <mergeCell ref="S620:S621"/>
    <mergeCell ref="AG620:AL620"/>
    <mergeCell ref="AM620:AM621"/>
    <mergeCell ref="ED618:ED621"/>
    <mergeCell ref="EH618:EH621"/>
    <mergeCell ref="EI618:EI621"/>
    <mergeCell ref="EJ618:EJ621"/>
    <mergeCell ref="EK618:EK621"/>
    <mergeCell ref="EL618:EL621"/>
    <mergeCell ref="EM618:EM621"/>
    <mergeCell ref="EN618:EN621"/>
    <mergeCell ref="EO618:EO621"/>
    <mergeCell ref="EP618:EP621"/>
    <mergeCell ref="EQ618:EQ621"/>
    <mergeCell ref="DY615:DY616"/>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U619:AD619"/>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AW613:AW616"/>
    <mergeCell ref="G613:R613"/>
    <mergeCell ref="S613:S614"/>
    <mergeCell ref="U613:AA613"/>
    <mergeCell ref="AG613:AL613"/>
    <mergeCell ref="AM613:AM614"/>
    <mergeCell ref="IM610:IM611"/>
    <mergeCell ref="IG610:IG611"/>
    <mergeCell ref="FX610:FX611"/>
    <mergeCell ref="IC610:IC611"/>
    <mergeCell ref="FV608:FV609"/>
    <mergeCell ref="FW608:FW609"/>
    <mergeCell ref="FX608:FX609"/>
    <mergeCell ref="GA608:GA611"/>
    <mergeCell ref="GB608:GB611"/>
    <mergeCell ref="GC608:GC611"/>
    <mergeCell ref="GD608:GD611"/>
    <mergeCell ref="GE608:GE611"/>
    <mergeCell ref="GF608:GF611"/>
    <mergeCell ref="GG608:GG611"/>
    <mergeCell ref="GH608:GH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O613:DO616"/>
    <mergeCell ref="DQ613:DQ616"/>
    <mergeCell ref="DR613:DR614"/>
    <mergeCell ref="DS613:DS616"/>
    <mergeCell ref="DT613:DT614"/>
    <mergeCell ref="DU613:DU616"/>
    <mergeCell ref="DV613:DV616"/>
    <mergeCell ref="DX613:DX616"/>
    <mergeCell ref="DY613:DY614"/>
    <mergeCell ref="DZ613:DZ616"/>
    <mergeCell ref="EA613:EA616"/>
    <mergeCell ref="EC613:EC616"/>
    <mergeCell ref="FW613:FW614"/>
    <mergeCell ref="FX613:FX614"/>
    <mergeCell ref="IH613:IH616"/>
    <mergeCell ref="IK613:IK614"/>
    <mergeCell ref="IL613:IL616"/>
    <mergeCell ref="IM613:IM614"/>
    <mergeCell ref="GM614:GM615"/>
    <mergeCell ref="GN614:GN615"/>
    <mergeCell ref="EX613:EX614"/>
    <mergeCell ref="EY613:EY614"/>
    <mergeCell ref="EZ613:EZ614"/>
    <mergeCell ref="FA613:FA614"/>
    <mergeCell ref="FB613:FB614"/>
    <mergeCell ref="FC613:FC616"/>
    <mergeCell ref="FE613:FE614"/>
    <mergeCell ref="FG613:FG616"/>
    <mergeCell ref="FH613:FH616"/>
    <mergeCell ref="FL613:FL614"/>
    <mergeCell ref="IB613:IB615"/>
    <mergeCell ref="IC613:IC614"/>
    <mergeCell ref="FO610:FO611"/>
    <mergeCell ref="FQ610:FQ611"/>
    <mergeCell ref="FS610:FS611"/>
    <mergeCell ref="HH609:HH610"/>
    <mergeCell ref="HI609:HI610"/>
    <mergeCell ref="HJ609:HJ610"/>
    <mergeCell ref="HK609:HK610"/>
    <mergeCell ref="HL609:HL610"/>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GP614:GP615"/>
    <mergeCell ref="IG615:IG616"/>
    <mergeCell ref="GQ614:GQ615"/>
    <mergeCell ref="FH608:FH611"/>
    <mergeCell ref="IC615:IC616"/>
    <mergeCell ref="GA613:GA616"/>
    <mergeCell ref="GB613:GB616"/>
    <mergeCell ref="GC613:GC616"/>
    <mergeCell ref="GD613:GD616"/>
    <mergeCell ref="GE613:GE616"/>
    <mergeCell ref="GF613:GF616"/>
    <mergeCell ref="GG613:GG616"/>
    <mergeCell ref="GH613:GH616"/>
    <mergeCell ref="GK613:GK616"/>
    <mergeCell ref="HH614:HH615"/>
    <mergeCell ref="HI614:HI615"/>
    <mergeCell ref="HJ614:HJ615"/>
    <mergeCell ref="FT608:FT609"/>
    <mergeCell ref="FU608:FU609"/>
    <mergeCell ref="FX615:FX616"/>
    <mergeCell ref="FQ615:FQ616"/>
    <mergeCell ref="FS615:FS616"/>
    <mergeCell ref="FT615:FT616"/>
    <mergeCell ref="FU615:FU616"/>
    <mergeCell ref="FV615:FV616"/>
    <mergeCell ref="FW615:FW616"/>
    <mergeCell ref="FL608:FL609"/>
    <mergeCell ref="FM608:FM609"/>
    <mergeCell ref="FN608:FN609"/>
    <mergeCell ref="FO608:FO609"/>
    <mergeCell ref="FP608:FP609"/>
    <mergeCell ref="DB608:DB611"/>
    <mergeCell ref="DC608:DC611"/>
    <mergeCell ref="DD608:DD611"/>
    <mergeCell ref="DF608:DF609"/>
    <mergeCell ref="DG608:DG609"/>
    <mergeCell ref="DH608:DH609"/>
    <mergeCell ref="DI608:DI609"/>
    <mergeCell ref="DJ608:DJ609"/>
    <mergeCell ref="DK608:DK611"/>
    <mergeCell ref="DM608:DM609"/>
    <mergeCell ref="DO608:DO611"/>
    <mergeCell ref="DQ608:DQ611"/>
    <mergeCell ref="IF608:IF611"/>
    <mergeCell ref="IG608:IG609"/>
    <mergeCell ref="HS604:HS605"/>
    <mergeCell ref="HT604:HT605"/>
    <mergeCell ref="HU604:HU605"/>
    <mergeCell ref="HV604:HV605"/>
    <mergeCell ref="HW604:HW605"/>
    <mergeCell ref="HX604:HX605"/>
    <mergeCell ref="HY604:HY605"/>
    <mergeCell ref="HZ604:HZ605"/>
    <mergeCell ref="ID604:ID605"/>
    <mergeCell ref="IC605:IC606"/>
    <mergeCell ref="IG605:IG606"/>
    <mergeCell ref="EN603:EN606"/>
    <mergeCell ref="EY605:EY606"/>
    <mergeCell ref="EZ605:EZ606"/>
    <mergeCell ref="FA605:FA606"/>
    <mergeCell ref="FB605:FB606"/>
    <mergeCell ref="FE605:FE606"/>
    <mergeCell ref="FL605:FL606"/>
    <mergeCell ref="FM605:FM606"/>
    <mergeCell ref="FN605:FN606"/>
    <mergeCell ref="FO605:FO606"/>
    <mergeCell ref="FQ605:FQ606"/>
    <mergeCell ref="FS605:FS606"/>
    <mergeCell ref="FT605:FT606"/>
    <mergeCell ref="FU605:FU606"/>
    <mergeCell ref="FV605:FV606"/>
    <mergeCell ref="FW605:FW606"/>
    <mergeCell ref="FX605:FX606"/>
    <mergeCell ref="DX603:DX606"/>
    <mergeCell ref="DY603:DY604"/>
    <mergeCell ref="DZ603:DZ606"/>
    <mergeCell ref="EA603:EA606"/>
    <mergeCell ref="EC603:EC606"/>
    <mergeCell ref="ED603:ED606"/>
    <mergeCell ref="EF603:EF606"/>
    <mergeCell ref="EI608:EI611"/>
    <mergeCell ref="EJ608:EJ611"/>
    <mergeCell ref="EK608:EK611"/>
    <mergeCell ref="EL608:EL611"/>
    <mergeCell ref="EM608:EM611"/>
    <mergeCell ref="EN608:EN611"/>
    <mergeCell ref="EO608:EO611"/>
    <mergeCell ref="EP608:EP611"/>
    <mergeCell ref="EQ608:EQ611"/>
    <mergeCell ref="ER608:ER611"/>
    <mergeCell ref="ES608:ES611"/>
    <mergeCell ref="EI603:EI606"/>
    <mergeCell ref="EJ603:EJ606"/>
    <mergeCell ref="EK603:EK606"/>
    <mergeCell ref="DY605:DY606"/>
    <mergeCell ref="DS608:DS611"/>
    <mergeCell ref="DT608:DT609"/>
    <mergeCell ref="DU608:DU611"/>
    <mergeCell ref="DV608:DV611"/>
    <mergeCell ref="DX608:DX611"/>
    <mergeCell ref="DY608:DY609"/>
    <mergeCell ref="DZ608:DZ611"/>
    <mergeCell ref="EA608:EA611"/>
    <mergeCell ref="FY608:FY609"/>
    <mergeCell ref="FU613:FU614"/>
    <mergeCell ref="FV613:FV614"/>
    <mergeCell ref="FC608:FC611"/>
    <mergeCell ref="FE608:FE609"/>
    <mergeCell ref="FG608:FG611"/>
    <mergeCell ref="FQ608:FQ609"/>
    <mergeCell ref="FS608:FS609"/>
    <mergeCell ref="DG610:DG611"/>
    <mergeCell ref="DH610:DH611"/>
    <mergeCell ref="DI610:DI611"/>
    <mergeCell ref="DJ610:DJ611"/>
    <mergeCell ref="DN610:DN611"/>
    <mergeCell ref="DR610:DR611"/>
    <mergeCell ref="DT610:DT611"/>
    <mergeCell ref="DY610:DY611"/>
    <mergeCell ref="EX610:EX611"/>
    <mergeCell ref="EY610:EY611"/>
    <mergeCell ref="EZ610:EZ611"/>
    <mergeCell ref="FA610:FA611"/>
    <mergeCell ref="FB610:FB611"/>
    <mergeCell ref="FE610:FE611"/>
    <mergeCell ref="FL610:FL611"/>
    <mergeCell ref="FM610:FM611"/>
    <mergeCell ref="FN610:FN611"/>
    <mergeCell ref="FT610:FT611"/>
    <mergeCell ref="FU610:FU611"/>
    <mergeCell ref="FV610:FV611"/>
    <mergeCell ref="FW610:FW611"/>
    <mergeCell ref="ET608:ET611"/>
    <mergeCell ref="EV608:EV611"/>
    <mergeCell ref="EX608:EX609"/>
    <mergeCell ref="EY608:EY609"/>
    <mergeCell ref="EZ608:EZ609"/>
    <mergeCell ref="FA608:FA609"/>
    <mergeCell ref="FB608:FB609"/>
    <mergeCell ref="DQ603:DQ606"/>
    <mergeCell ref="DR603:DR604"/>
    <mergeCell ref="DS603:DS606"/>
    <mergeCell ref="DT603:DT604"/>
    <mergeCell ref="DU603:DU606"/>
    <mergeCell ref="DV603:DV606"/>
    <mergeCell ref="CR610:CR611"/>
    <mergeCell ref="CS610:CS611"/>
    <mergeCell ref="EF608:EF611"/>
    <mergeCell ref="EG608:EG611"/>
    <mergeCell ref="EH608:EH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G603:EG606"/>
    <mergeCell ref="EH603:EH606"/>
    <mergeCell ref="DF605:DF606"/>
    <mergeCell ref="DG605:DG606"/>
    <mergeCell ref="DH605:DH606"/>
    <mergeCell ref="DI605:DI606"/>
    <mergeCell ref="DJ605:DJ606"/>
    <mergeCell ref="DN605:DN606"/>
    <mergeCell ref="DR605:DR606"/>
    <mergeCell ref="DT605:DT606"/>
    <mergeCell ref="CU610:CU611"/>
    <mergeCell ref="CV610:CV611"/>
    <mergeCell ref="CW610:CW611"/>
    <mergeCell ref="CX610:CX611"/>
    <mergeCell ref="CY610:CY611"/>
    <mergeCell ref="CZ610:CZ611"/>
    <mergeCell ref="DF610:DF611"/>
    <mergeCell ref="EC608:EC611"/>
    <mergeCell ref="ED608:ED611"/>
    <mergeCell ref="DR608:DR609"/>
    <mergeCell ref="IK605:IK606"/>
    <mergeCell ref="IM605:IM606"/>
    <mergeCell ref="GD603:GD606"/>
    <mergeCell ref="GE603:GE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O603:DO606"/>
    <mergeCell ref="FN598:FN599"/>
    <mergeCell ref="FO598:FO599"/>
    <mergeCell ref="FQ598:FQ599"/>
    <mergeCell ref="FS598:FS599"/>
    <mergeCell ref="FT598:FT599"/>
    <mergeCell ref="FU598:FU599"/>
    <mergeCell ref="FV598:FV599"/>
    <mergeCell ref="EL603:EL606"/>
    <mergeCell ref="EM603:EM606"/>
    <mergeCell ref="EO603:EO606"/>
    <mergeCell ref="EP603:EP606"/>
    <mergeCell ref="EQ603:EQ606"/>
    <mergeCell ref="ER603:ER606"/>
    <mergeCell ref="ES603:ES606"/>
    <mergeCell ref="ET603:ET606"/>
    <mergeCell ref="EV603:EV606"/>
    <mergeCell ref="EX603:EX604"/>
    <mergeCell ref="EY603:EY604"/>
    <mergeCell ref="EZ603:EZ604"/>
    <mergeCell ref="FA603:FA604"/>
    <mergeCell ref="FB603:FB604"/>
    <mergeCell ref="FC603:FC606"/>
    <mergeCell ref="FE603:FE604"/>
    <mergeCell ref="FG603:FG606"/>
    <mergeCell ref="FH603:FH606"/>
    <mergeCell ref="FL603:FL604"/>
    <mergeCell ref="FM603:FM604"/>
    <mergeCell ref="FN603:FN604"/>
    <mergeCell ref="FO603:FO604"/>
    <mergeCell ref="FQ603:FQ604"/>
    <mergeCell ref="FS603:FS604"/>
    <mergeCell ref="FT603:FT604"/>
    <mergeCell ref="FU603:FU604"/>
    <mergeCell ref="FV603:FV604"/>
    <mergeCell ref="FP600:FP601"/>
    <mergeCell ref="FW603:FW604"/>
    <mergeCell ref="FX603:FX604"/>
    <mergeCell ref="GA603:GA606"/>
    <mergeCell ref="GB603:GB606"/>
    <mergeCell ref="GC603:GC606"/>
    <mergeCell ref="GM599:GM600"/>
    <mergeCell ref="GN599:GN600"/>
    <mergeCell ref="GP599:GP600"/>
    <mergeCell ref="GQ599:GQ600"/>
    <mergeCell ref="EX605:EX606"/>
    <mergeCell ref="HI599:HI600"/>
    <mergeCell ref="HJ599:HJ600"/>
    <mergeCell ref="HK599:HK600"/>
    <mergeCell ref="HL599:HL600"/>
    <mergeCell ref="HM599:HM600"/>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D599:ID600"/>
    <mergeCell ref="E600:F600"/>
    <mergeCell ref="G600:L600"/>
    <mergeCell ref="P600:Q600"/>
    <mergeCell ref="S600:S601"/>
    <mergeCell ref="EG598:EG601"/>
    <mergeCell ref="EH598:EH601"/>
    <mergeCell ref="EI598:EI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V598:EV601"/>
    <mergeCell ref="EX598:EX599"/>
    <mergeCell ref="EY598:EY599"/>
    <mergeCell ref="EZ598:EZ599"/>
    <mergeCell ref="FA598:FA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DM598:DM599"/>
    <mergeCell ref="DO598:DO601"/>
    <mergeCell ref="DQ598:DQ601"/>
    <mergeCell ref="DR598:DR599"/>
    <mergeCell ref="DS598:DS601"/>
    <mergeCell ref="DT598:DT599"/>
    <mergeCell ref="DU598:DU601"/>
    <mergeCell ref="CY600:CY601"/>
    <mergeCell ref="CZ600:CZ601"/>
    <mergeCell ref="GB598:GB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U600:AE600"/>
    <mergeCell ref="DF600:DF601"/>
    <mergeCell ref="FB598:FB599"/>
    <mergeCell ref="FC598:FC601"/>
    <mergeCell ref="FE598:FE599"/>
    <mergeCell ref="FG598:FG601"/>
    <mergeCell ref="FH598:FH601"/>
    <mergeCell ref="FL598:FL599"/>
    <mergeCell ref="FM598:FM599"/>
    <mergeCell ref="HP594:HP595"/>
    <mergeCell ref="HQ594:HQ595"/>
    <mergeCell ref="HR594:HR595"/>
    <mergeCell ref="HS594:HS595"/>
    <mergeCell ref="HT594:HT595"/>
    <mergeCell ref="HU594:HU595"/>
    <mergeCell ref="HV594:HV595"/>
    <mergeCell ref="HW594:HW595"/>
    <mergeCell ref="HX594:HX595"/>
    <mergeCell ref="HY594:HY595"/>
    <mergeCell ref="HZ594:HZ595"/>
    <mergeCell ref="ID594:ID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N595:DN596"/>
    <mergeCell ref="DR595:DR596"/>
    <mergeCell ref="DT595:DT596"/>
    <mergeCell ref="DY595:DY596"/>
    <mergeCell ref="EX595:EX596"/>
    <mergeCell ref="EY595:EY596"/>
    <mergeCell ref="EZ595:EZ596"/>
    <mergeCell ref="FA595:FA596"/>
    <mergeCell ref="FB595:FB596"/>
    <mergeCell ref="FE595:FE596"/>
    <mergeCell ref="FL595:FL596"/>
    <mergeCell ref="FM595:FM596"/>
    <mergeCell ref="FN595:FN596"/>
    <mergeCell ref="FO595:FO596"/>
    <mergeCell ref="FQ595:FQ596"/>
    <mergeCell ref="FS595:FS596"/>
    <mergeCell ref="U596:AA596"/>
    <mergeCell ref="AG596:AL596"/>
    <mergeCell ref="ER593:ER596"/>
    <mergeCell ref="ES593:ES596"/>
    <mergeCell ref="ET593:ET596"/>
    <mergeCell ref="EV593:EV596"/>
    <mergeCell ref="EX593:EX594"/>
    <mergeCell ref="U595:AE595"/>
    <mergeCell ref="HM594:HM595"/>
    <mergeCell ref="HN594:HN595"/>
    <mergeCell ref="HH599:HH600"/>
    <mergeCell ref="CR595:CR596"/>
    <mergeCell ref="CS595:CS596"/>
    <mergeCell ref="E594:F594"/>
    <mergeCell ref="FN590:FN591"/>
    <mergeCell ref="GG588:GG591"/>
    <mergeCell ref="GH588:GH591"/>
    <mergeCell ref="GK588:GK591"/>
    <mergeCell ref="IB588:IB590"/>
    <mergeCell ref="IC588:IC589"/>
    <mergeCell ref="EX590:EX591"/>
    <mergeCell ref="EY590:EY591"/>
    <mergeCell ref="DG600:DG601"/>
    <mergeCell ref="DH600:DH601"/>
    <mergeCell ref="DI600:DI601"/>
    <mergeCell ref="DJ600:DJ601"/>
    <mergeCell ref="DN600:DN601"/>
    <mergeCell ref="DR600:DR601"/>
    <mergeCell ref="DT600:DT601"/>
    <mergeCell ref="DY600:DY601"/>
    <mergeCell ref="EX600:EX601"/>
    <mergeCell ref="EY600:EY601"/>
    <mergeCell ref="EZ600:EZ601"/>
    <mergeCell ref="FA600:FA601"/>
    <mergeCell ref="FB600:FB601"/>
    <mergeCell ref="FE600:FE601"/>
    <mergeCell ref="FL600:FL601"/>
    <mergeCell ref="FM600:FM601"/>
    <mergeCell ref="FN600:FN601"/>
    <mergeCell ref="FO600:FO601"/>
    <mergeCell ref="FQ600:FQ601"/>
    <mergeCell ref="FS600:FS601"/>
    <mergeCell ref="FT600:FT601"/>
    <mergeCell ref="FU600:FU601"/>
    <mergeCell ref="FV600:FV601"/>
    <mergeCell ref="FW600:FW601"/>
    <mergeCell ref="FX600:FX601"/>
    <mergeCell ref="IC600:IC601"/>
    <mergeCell ref="FY595:FY596"/>
    <mergeCell ref="FX595:FX596"/>
    <mergeCell ref="IC595:IC596"/>
    <mergeCell ref="FW598:FW599"/>
    <mergeCell ref="FX598:FX599"/>
    <mergeCell ref="EL593:EL596"/>
    <mergeCell ref="EM593:EM596"/>
    <mergeCell ref="EN593:EN596"/>
    <mergeCell ref="EO593:EO596"/>
    <mergeCell ref="EP593:EP596"/>
    <mergeCell ref="EQ593:EQ596"/>
    <mergeCell ref="DV598:DV601"/>
    <mergeCell ref="DX598:DX601"/>
    <mergeCell ref="DY598:DY599"/>
    <mergeCell ref="DZ598:DZ601"/>
    <mergeCell ref="EA598:EA601"/>
    <mergeCell ref="EC598:EC601"/>
    <mergeCell ref="ED598:ED601"/>
    <mergeCell ref="EF598:EF601"/>
    <mergeCell ref="IC598:IC599"/>
    <mergeCell ref="FT595:FT596"/>
    <mergeCell ref="FU595:FU596"/>
    <mergeCell ref="FV595:FV596"/>
    <mergeCell ref="FW595:FW596"/>
    <mergeCell ref="IB598:IB600"/>
    <mergeCell ref="EZ590:EZ591"/>
    <mergeCell ref="FQ588:FQ589"/>
    <mergeCell ref="FS588:FS589"/>
    <mergeCell ref="FT588:FT589"/>
    <mergeCell ref="IC590:IC591"/>
    <mergeCell ref="GA588:GA591"/>
    <mergeCell ref="GB588:GB591"/>
    <mergeCell ref="IK593:IK594"/>
    <mergeCell ref="DI593:DI594"/>
    <mergeCell ref="DJ593:DJ594"/>
    <mergeCell ref="DK593:DK596"/>
    <mergeCell ref="DM593:DM594"/>
    <mergeCell ref="DO593:DO596"/>
    <mergeCell ref="DQ593:DQ596"/>
    <mergeCell ref="DR593:DR594"/>
    <mergeCell ref="DS593:DS596"/>
    <mergeCell ref="DT593:DT594"/>
    <mergeCell ref="DU593:DU596"/>
    <mergeCell ref="DV593:DV596"/>
    <mergeCell ref="DX593:DX596"/>
    <mergeCell ref="DY593:DY594"/>
    <mergeCell ref="DZ593:DZ596"/>
    <mergeCell ref="EA593:EA596"/>
    <mergeCell ref="EC593:EC596"/>
    <mergeCell ref="ED593:ED596"/>
    <mergeCell ref="EH593:EH596"/>
    <mergeCell ref="EI593:EI596"/>
    <mergeCell ref="EJ593:EJ596"/>
    <mergeCell ref="EK593:EK596"/>
    <mergeCell ref="FV593:FV594"/>
    <mergeCell ref="FW593:FW594"/>
    <mergeCell ref="EX588:EX589"/>
    <mergeCell ref="EY588:EY589"/>
    <mergeCell ref="EZ588:EZ589"/>
    <mergeCell ref="FA588:FA589"/>
    <mergeCell ref="FB588:FB589"/>
    <mergeCell ref="FC588:FC591"/>
    <mergeCell ref="FE588:FE589"/>
    <mergeCell ref="FG588:FG591"/>
    <mergeCell ref="FH588:FH591"/>
    <mergeCell ref="FL588:FL589"/>
    <mergeCell ref="FM588:FM589"/>
    <mergeCell ref="FN588:FN589"/>
    <mergeCell ref="DZ588:DZ591"/>
    <mergeCell ref="EH588:EH591"/>
    <mergeCell ref="EI588:EI591"/>
    <mergeCell ref="EK588:EK591"/>
    <mergeCell ref="EL588:EL591"/>
    <mergeCell ref="EM588:EM591"/>
    <mergeCell ref="FX590:FX591"/>
    <mergeCell ref="IK590:IK591"/>
    <mergeCell ref="FO590:FO591"/>
    <mergeCell ref="FQ590:FQ591"/>
    <mergeCell ref="FS590:FS591"/>
    <mergeCell ref="FX588:FX589"/>
    <mergeCell ref="FW590:FW591"/>
    <mergeCell ref="GC588:GC591"/>
    <mergeCell ref="GD588:GD591"/>
    <mergeCell ref="DX588:DX591"/>
    <mergeCell ref="DY588:DY589"/>
    <mergeCell ref="EY593:EY594"/>
    <mergeCell ref="DK588:DK591"/>
    <mergeCell ref="DM588:DM589"/>
    <mergeCell ref="DO588:DO591"/>
    <mergeCell ref="DU588:DU591"/>
    <mergeCell ref="DV588:DV591"/>
    <mergeCell ref="CY590:CY591"/>
    <mergeCell ref="IM595:IM596"/>
    <mergeCell ref="IF588:IF591"/>
    <mergeCell ref="IG588:IG589"/>
    <mergeCell ref="FW588:FW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EZ593:EZ594"/>
    <mergeCell ref="FA593:FA594"/>
    <mergeCell ref="FB593:FB594"/>
    <mergeCell ref="FC593:FC596"/>
    <mergeCell ref="FE593:FE594"/>
    <mergeCell ref="FG593:FG596"/>
    <mergeCell ref="FH593:FH596"/>
    <mergeCell ref="IG590:IG591"/>
    <mergeCell ref="EG588:EG591"/>
    <mergeCell ref="FL593:FL594"/>
    <mergeCell ref="FM593:FM594"/>
    <mergeCell ref="FN593:FN594"/>
    <mergeCell ref="FO593:FO594"/>
    <mergeCell ref="FQ593:FQ594"/>
    <mergeCell ref="FS593:FS594"/>
    <mergeCell ref="FT593:FT594"/>
    <mergeCell ref="FU593:FU594"/>
    <mergeCell ref="EF593:EF596"/>
    <mergeCell ref="EG593:EG596"/>
    <mergeCell ref="FX593:FX594"/>
    <mergeCell ref="GA593:GA596"/>
    <mergeCell ref="GB593:GB596"/>
    <mergeCell ref="GC593:GC596"/>
    <mergeCell ref="GD593:GD596"/>
    <mergeCell ref="GE593:GE596"/>
    <mergeCell ref="GF593:GF596"/>
    <mergeCell ref="GG593:GG596"/>
    <mergeCell ref="GH593:GH596"/>
    <mergeCell ref="GK593:GK596"/>
    <mergeCell ref="IB593:IB595"/>
    <mergeCell ref="IC593:IC594"/>
    <mergeCell ref="FA590:FA591"/>
    <mergeCell ref="FB590:FB591"/>
    <mergeCell ref="FE590:FE591"/>
    <mergeCell ref="FL590:FL591"/>
    <mergeCell ref="FO588:FO589"/>
    <mergeCell ref="IF593:IF596"/>
    <mergeCell ref="EN588:EN591"/>
    <mergeCell ref="EO588:EO591"/>
    <mergeCell ref="GM594:GM595"/>
    <mergeCell ref="GN594:GN595"/>
    <mergeCell ref="GP594:GP595"/>
    <mergeCell ref="GQ594:GQ595"/>
    <mergeCell ref="ET588:ET591"/>
    <mergeCell ref="EV588:EV591"/>
    <mergeCell ref="DY590:DY591"/>
    <mergeCell ref="CR588:CR589"/>
    <mergeCell ref="CS588:CS589"/>
    <mergeCell ref="CU588:CU589"/>
    <mergeCell ref="CV588:CV589"/>
    <mergeCell ref="CW588:CW589"/>
    <mergeCell ref="EC583:EC586"/>
    <mergeCell ref="ED583:ED586"/>
    <mergeCell ref="IM590:IM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HZ589:HZ590"/>
    <mergeCell ref="ES583:ES586"/>
    <mergeCell ref="G584:L584"/>
    <mergeCell ref="P584:Q584"/>
    <mergeCell ref="GM584:GM585"/>
    <mergeCell ref="GN584:GN585"/>
    <mergeCell ref="EH583:EH586"/>
    <mergeCell ref="EJ588:EJ591"/>
    <mergeCell ref="E584:F584"/>
    <mergeCell ref="DQ588:DQ591"/>
    <mergeCell ref="DR588:DR589"/>
    <mergeCell ref="DS588:DS591"/>
    <mergeCell ref="DT588:DT589"/>
    <mergeCell ref="DY583:DY584"/>
    <mergeCell ref="CZ580:CZ581"/>
    <mergeCell ref="DF580:DF581"/>
    <mergeCell ref="DG580:DG581"/>
    <mergeCell ref="DH580:DH581"/>
    <mergeCell ref="DI580:DI581"/>
    <mergeCell ref="ID579:ID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N590:DN591"/>
    <mergeCell ref="DR590:DR591"/>
    <mergeCell ref="DT590:DT591"/>
    <mergeCell ref="EA588:EA591"/>
    <mergeCell ref="EC588:EC591"/>
    <mergeCell ref="FU588:FU589"/>
    <mergeCell ref="FV588:FV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N585:FN586"/>
    <mergeCell ref="FO585:FO586"/>
    <mergeCell ref="CR585:CR586"/>
    <mergeCell ref="CS585:CS586"/>
    <mergeCell ref="DR585:DR586"/>
    <mergeCell ref="DT585:DT586"/>
    <mergeCell ref="DY585:DY586"/>
    <mergeCell ref="EX585:EX586"/>
    <mergeCell ref="EY585:EY586"/>
    <mergeCell ref="EZ585:EZ586"/>
    <mergeCell ref="FA585:FA586"/>
    <mergeCell ref="FB585:FB586"/>
    <mergeCell ref="EF583:EF586"/>
    <mergeCell ref="EG583:EG586"/>
    <mergeCell ref="FM590:FM591"/>
    <mergeCell ref="FT590:FT591"/>
    <mergeCell ref="FU590:FU591"/>
    <mergeCell ref="FV590:FV591"/>
    <mergeCell ref="EP588:EP591"/>
    <mergeCell ref="EQ588:EQ591"/>
    <mergeCell ref="ER588:ER591"/>
    <mergeCell ref="ES588:ES591"/>
    <mergeCell ref="CU578:CU579"/>
    <mergeCell ref="CV578:CV579"/>
    <mergeCell ref="CW578:CW579"/>
    <mergeCell ref="HR579:HR580"/>
    <mergeCell ref="HN584:HN585"/>
    <mergeCell ref="HO584:HO585"/>
    <mergeCell ref="HP584:HP585"/>
    <mergeCell ref="HQ584:HQ585"/>
    <mergeCell ref="HR584:HR585"/>
    <mergeCell ref="HS584:HS585"/>
    <mergeCell ref="HT584:HT585"/>
    <mergeCell ref="HU584:HU585"/>
    <mergeCell ref="HV584:HV585"/>
    <mergeCell ref="HW584:HW585"/>
    <mergeCell ref="HX584:HX585"/>
    <mergeCell ref="HY584:HY585"/>
    <mergeCell ref="HZ584:HZ585"/>
    <mergeCell ref="ID584:ID585"/>
    <mergeCell ref="E585:F585"/>
    <mergeCell ref="G585:L585"/>
    <mergeCell ref="P585:Q585"/>
    <mergeCell ref="S585:S586"/>
    <mergeCell ref="IC585:IC586"/>
    <mergeCell ref="FV583:FV584"/>
    <mergeCell ref="FW583:FW584"/>
    <mergeCell ref="FX583:FX584"/>
    <mergeCell ref="GA583:GA586"/>
    <mergeCell ref="GB583:GB586"/>
    <mergeCell ref="EI583:EI586"/>
    <mergeCell ref="EJ583:EJ586"/>
    <mergeCell ref="EK583:EK586"/>
    <mergeCell ref="DI583:DI584"/>
    <mergeCell ref="FT583:FT584"/>
    <mergeCell ref="FU583:FU584"/>
    <mergeCell ref="CU585:CU586"/>
    <mergeCell ref="CQ583:CQ586"/>
    <mergeCell ref="FE585:FE586"/>
    <mergeCell ref="FL585:FL586"/>
    <mergeCell ref="FM585:FM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L583:EL586"/>
    <mergeCell ref="EM583:EM586"/>
    <mergeCell ref="EN583:EN586"/>
    <mergeCell ref="EO583:EO586"/>
    <mergeCell ref="FX585:FX586"/>
    <mergeCell ref="FP583:FP584"/>
    <mergeCell ref="GP584:GP585"/>
    <mergeCell ref="HH584:HH585"/>
    <mergeCell ref="HI584:HI585"/>
    <mergeCell ref="HJ584:HJ585"/>
    <mergeCell ref="CX578:CX579"/>
    <mergeCell ref="CY578:CY579"/>
    <mergeCell ref="U581:AA581"/>
    <mergeCell ref="AG581:AL581"/>
    <mergeCell ref="DZ583:DZ586"/>
    <mergeCell ref="EA583:EA586"/>
    <mergeCell ref="B583:B586"/>
    <mergeCell ref="DJ588:DJ589"/>
    <mergeCell ref="IH578:IH581"/>
    <mergeCell ref="IK578:IK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B583:IB585"/>
    <mergeCell ref="IC583:IC584"/>
    <mergeCell ref="ET583:ET586"/>
    <mergeCell ref="CQ588:CQ591"/>
    <mergeCell ref="AG589:AK589"/>
    <mergeCell ref="CR590:CR591"/>
    <mergeCell ref="CS590:CS591"/>
    <mergeCell ref="CU590:CU591"/>
    <mergeCell ref="CV590:CV591"/>
    <mergeCell ref="CW590:CW591"/>
    <mergeCell ref="ED588:ED591"/>
    <mergeCell ref="EF588:EF591"/>
    <mergeCell ref="CX590:CX591"/>
    <mergeCell ref="DO583:DO586"/>
    <mergeCell ref="DQ583:DQ586"/>
    <mergeCell ref="DR583:DR584"/>
    <mergeCell ref="EQ583:EQ586"/>
    <mergeCell ref="ER583:ER586"/>
    <mergeCell ref="FQ585:FQ586"/>
    <mergeCell ref="FS585:FS586"/>
    <mergeCell ref="FT585:FT586"/>
    <mergeCell ref="GP579:GP580"/>
    <mergeCell ref="GQ579:GQ580"/>
    <mergeCell ref="HH579:HH580"/>
    <mergeCell ref="HI579:HI580"/>
    <mergeCell ref="DO578:DO581"/>
    <mergeCell ref="FU585:FU586"/>
    <mergeCell ref="FV585:FV586"/>
    <mergeCell ref="FW585:FW586"/>
    <mergeCell ref="GM579:GM580"/>
    <mergeCell ref="GN579:GN580"/>
    <mergeCell ref="AY578:AY581"/>
    <mergeCell ref="AZ578:AZ581"/>
    <mergeCell ref="CP578:CP581"/>
    <mergeCell ref="CQ578:CQ581"/>
    <mergeCell ref="CR578:CR579"/>
    <mergeCell ref="CS578:CS579"/>
    <mergeCell ref="DN585:DN586"/>
    <mergeCell ref="CV585:CV586"/>
    <mergeCell ref="CW585:CW586"/>
    <mergeCell ref="GH578:GH581"/>
    <mergeCell ref="IM578:IM579"/>
    <mergeCell ref="B578:B581"/>
    <mergeCell ref="C578:D581"/>
    <mergeCell ref="FV580:FV581"/>
    <mergeCell ref="FW580:FW581"/>
    <mergeCell ref="IF583:IF586"/>
    <mergeCell ref="IG583:IG584"/>
    <mergeCell ref="IH583:IH586"/>
    <mergeCell ref="IK583:IK584"/>
    <mergeCell ref="IL583:IL586"/>
    <mergeCell ref="IM583:IM584"/>
    <mergeCell ref="EC578:EC581"/>
    <mergeCell ref="FX580:FX581"/>
    <mergeCell ref="ED578:ED581"/>
    <mergeCell ref="EF578:EF581"/>
    <mergeCell ref="EG578:EG581"/>
    <mergeCell ref="EH578:EH581"/>
    <mergeCell ref="EI578:EI581"/>
    <mergeCell ref="EJ578:EJ581"/>
    <mergeCell ref="EK578:EK581"/>
    <mergeCell ref="EL578:EL581"/>
    <mergeCell ref="EM578:EM581"/>
    <mergeCell ref="EN578:EN581"/>
    <mergeCell ref="EO578:EO581"/>
    <mergeCell ref="EP578:EP581"/>
    <mergeCell ref="IC580:IC581"/>
    <mergeCell ref="IG580:IG581"/>
    <mergeCell ref="IK580:IK581"/>
    <mergeCell ref="FH583:FH586"/>
    <mergeCell ref="FL583:FL584"/>
    <mergeCell ref="FM583:FM584"/>
    <mergeCell ref="FN583:FN584"/>
    <mergeCell ref="FO583:FO584"/>
    <mergeCell ref="FQ583:FQ584"/>
    <mergeCell ref="FS583:FS584"/>
    <mergeCell ref="DM583:DM584"/>
    <mergeCell ref="E581:F581"/>
    <mergeCell ref="G581:L581"/>
    <mergeCell ref="CV580:CV581"/>
    <mergeCell ref="CW580:CW581"/>
    <mergeCell ref="CX580:CX581"/>
    <mergeCell ref="CY580:CY581"/>
    <mergeCell ref="HX579:HX580"/>
    <mergeCell ref="HY579:HY580"/>
    <mergeCell ref="HZ579:HZ580"/>
    <mergeCell ref="DJ583:DJ584"/>
    <mergeCell ref="DK583:DK586"/>
    <mergeCell ref="EA578:EA581"/>
    <mergeCell ref="DJ580:DJ581"/>
    <mergeCell ref="DN580:DN581"/>
    <mergeCell ref="DR580:DR581"/>
    <mergeCell ref="DT580:DT581"/>
    <mergeCell ref="DY580:DY581"/>
    <mergeCell ref="DJ578:DJ579"/>
    <mergeCell ref="DK578:DK581"/>
    <mergeCell ref="DS583:DS586"/>
    <mergeCell ref="DT583:DT584"/>
    <mergeCell ref="DU583:DU586"/>
    <mergeCell ref="DV583:DV586"/>
    <mergeCell ref="DX583:DX586"/>
    <mergeCell ref="HU579:HU580"/>
    <mergeCell ref="HV579:HV580"/>
    <mergeCell ref="GP574:GP575"/>
    <mergeCell ref="GQ574:GQ575"/>
    <mergeCell ref="HH574:HH575"/>
    <mergeCell ref="HI574:HI575"/>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FY583:FY584"/>
    <mergeCell ref="HL579:HL580"/>
    <mergeCell ref="HM579:HM580"/>
    <mergeCell ref="HN579:HN580"/>
    <mergeCell ref="HO579:HO580"/>
    <mergeCell ref="HP579:HP580"/>
    <mergeCell ref="HQ579:HQ580"/>
    <mergeCell ref="G580:L580"/>
    <mergeCell ref="P580:Q580"/>
    <mergeCell ref="S580:S581"/>
    <mergeCell ref="AG580:AL580"/>
    <mergeCell ref="AM580:AM581"/>
    <mergeCell ref="AN580:AN581"/>
    <mergeCell ref="AO580:AO581"/>
    <mergeCell ref="CR580:CR581"/>
    <mergeCell ref="CS580:CS581"/>
    <mergeCell ref="CU580:CU581"/>
    <mergeCell ref="GC583:GC586"/>
    <mergeCell ref="GD583:GD586"/>
    <mergeCell ref="GE583:GE586"/>
    <mergeCell ref="GF583:GF586"/>
    <mergeCell ref="GG583:GG586"/>
    <mergeCell ref="GH583:GH586"/>
    <mergeCell ref="GK583:GK586"/>
    <mergeCell ref="EV583:EV586"/>
    <mergeCell ref="EX583:EX584"/>
    <mergeCell ref="EY583:EY584"/>
    <mergeCell ref="EZ583:EZ584"/>
    <mergeCell ref="FA583:FA584"/>
    <mergeCell ref="FB583:FB584"/>
    <mergeCell ref="FC583:FC586"/>
    <mergeCell ref="FE583:FE584"/>
    <mergeCell ref="FG583:FG586"/>
    <mergeCell ref="G579:L579"/>
    <mergeCell ref="P579:Q579"/>
    <mergeCell ref="AG584:AK584"/>
    <mergeCell ref="CX585:CX586"/>
    <mergeCell ref="CY585:CY586"/>
    <mergeCell ref="CZ585:CZ586"/>
    <mergeCell ref="DM578:DM579"/>
    <mergeCell ref="EP583:EP586"/>
    <mergeCell ref="DF585:DF586"/>
    <mergeCell ref="DG585:DG586"/>
    <mergeCell ref="DH585:DH586"/>
    <mergeCell ref="DI585:DI586"/>
    <mergeCell ref="DJ585:DJ586"/>
    <mergeCell ref="HW579:HW580"/>
    <mergeCell ref="HS579:HS580"/>
    <mergeCell ref="ID574:ID575"/>
    <mergeCell ref="FO573:FO574"/>
    <mergeCell ref="FQ573:FQ574"/>
    <mergeCell ref="EX575:EX576"/>
    <mergeCell ref="EY575:EY576"/>
    <mergeCell ref="EZ575:EZ576"/>
    <mergeCell ref="HT579:HT580"/>
    <mergeCell ref="HL574:HL575"/>
    <mergeCell ref="HM574:HM575"/>
    <mergeCell ref="HN574:HN575"/>
    <mergeCell ref="HO574:HO575"/>
    <mergeCell ref="HP574:HP575"/>
    <mergeCell ref="HQ574:HQ575"/>
    <mergeCell ref="HR574:HR575"/>
    <mergeCell ref="HS574:HS575"/>
    <mergeCell ref="HT574:HT575"/>
    <mergeCell ref="HU574:HU575"/>
    <mergeCell ref="GF573:GF576"/>
    <mergeCell ref="G575:L575"/>
    <mergeCell ref="P575:Q575"/>
    <mergeCell ref="S575:S576"/>
    <mergeCell ref="CR575:CR576"/>
    <mergeCell ref="CS575:CS576"/>
    <mergeCell ref="CU575:CU576"/>
    <mergeCell ref="FA575:FA576"/>
    <mergeCell ref="FB575:FB576"/>
    <mergeCell ref="FE575:FE576"/>
    <mergeCell ref="FL575:FL576"/>
    <mergeCell ref="FM575:FM576"/>
    <mergeCell ref="FN575:FN576"/>
    <mergeCell ref="FO575:FO576"/>
    <mergeCell ref="FQ575:FQ576"/>
    <mergeCell ref="HJ579:HJ580"/>
    <mergeCell ref="HK579:HK580"/>
    <mergeCell ref="FS575:FS576"/>
    <mergeCell ref="FT575:FT576"/>
    <mergeCell ref="EJ573:EJ576"/>
    <mergeCell ref="EN573:EN576"/>
    <mergeCell ref="EO573:EO576"/>
    <mergeCell ref="EP573:EP576"/>
    <mergeCell ref="ES573:ES576"/>
    <mergeCell ref="ET573:ET576"/>
    <mergeCell ref="EV573:EV576"/>
    <mergeCell ref="EX573:EX574"/>
    <mergeCell ref="EY573:EY574"/>
    <mergeCell ref="DQ578:DQ581"/>
    <mergeCell ref="DR578:DR579"/>
    <mergeCell ref="DS578:DS581"/>
    <mergeCell ref="DT578:DT579"/>
    <mergeCell ref="DU578:DU581"/>
    <mergeCell ref="DV578:DV581"/>
    <mergeCell ref="DX578:DX581"/>
    <mergeCell ref="DY578:DY579"/>
    <mergeCell ref="DZ578:DZ581"/>
    <mergeCell ref="FU578:FU579"/>
    <mergeCell ref="FV578:FV579"/>
    <mergeCell ref="GA578:GA581"/>
    <mergeCell ref="GB578:GB581"/>
    <mergeCell ref="GC578:GC581"/>
    <mergeCell ref="GN574:GN575"/>
    <mergeCell ref="EQ578:EQ581"/>
    <mergeCell ref="ER578:ER581"/>
    <mergeCell ref="ES578:ES581"/>
    <mergeCell ref="ET578:ET581"/>
    <mergeCell ref="EV578:EV581"/>
    <mergeCell ref="EX578:EX579"/>
    <mergeCell ref="EY578:EY579"/>
    <mergeCell ref="EZ578:EZ579"/>
    <mergeCell ref="FA578:FA579"/>
    <mergeCell ref="FB578:FB579"/>
    <mergeCell ref="FC578:FC581"/>
    <mergeCell ref="FE578:FE579"/>
    <mergeCell ref="FG578:FG581"/>
    <mergeCell ref="FH578:FH581"/>
    <mergeCell ref="FL578:FL579"/>
    <mergeCell ref="FM578:FM579"/>
    <mergeCell ref="FN578:FN579"/>
    <mergeCell ref="FO578:FO579"/>
    <mergeCell ref="FQ578:FQ579"/>
    <mergeCell ref="FW578:FW579"/>
    <mergeCell ref="FX578:FX579"/>
    <mergeCell ref="FN580:FN581"/>
    <mergeCell ref="FO580:FO581"/>
    <mergeCell ref="FQ580:FQ581"/>
    <mergeCell ref="FS580:FS581"/>
    <mergeCell ref="FT580:FT581"/>
    <mergeCell ref="FU580:FU581"/>
    <mergeCell ref="FS578:FS579"/>
    <mergeCell ref="FT578:FT579"/>
    <mergeCell ref="EX580:EX581"/>
    <mergeCell ref="EY580:EY581"/>
    <mergeCell ref="EZ580:EZ581"/>
    <mergeCell ref="FA580:FA581"/>
    <mergeCell ref="FB580:FB581"/>
    <mergeCell ref="FE580:FE581"/>
    <mergeCell ref="FL580:FL581"/>
    <mergeCell ref="FM580:FM581"/>
    <mergeCell ref="FU575:FU576"/>
    <mergeCell ref="FS573:FS574"/>
    <mergeCell ref="FX575:FX576"/>
    <mergeCell ref="IC575:IC576"/>
    <mergeCell ref="DG573:DG574"/>
    <mergeCell ref="DH573:DH574"/>
    <mergeCell ref="DI573:DI574"/>
    <mergeCell ref="DJ573:DJ574"/>
    <mergeCell ref="DK573:DK576"/>
    <mergeCell ref="DM573:DM574"/>
    <mergeCell ref="DO573:DO576"/>
    <mergeCell ref="DQ573:DQ576"/>
    <mergeCell ref="DN570:DN571"/>
    <mergeCell ref="DR570:DR571"/>
    <mergeCell ref="DT570:DT571"/>
    <mergeCell ref="EC573:EC576"/>
    <mergeCell ref="ED573:ED576"/>
    <mergeCell ref="EF573:EF576"/>
    <mergeCell ref="EG573:EG576"/>
    <mergeCell ref="DV573:DV576"/>
    <mergeCell ref="DX573:DX576"/>
    <mergeCell ref="DY573:DY574"/>
    <mergeCell ref="FU570:FU571"/>
    <mergeCell ref="FX573:FX574"/>
    <mergeCell ref="GA573:GA576"/>
    <mergeCell ref="GB573:GB576"/>
    <mergeCell ref="GC573:GC576"/>
    <mergeCell ref="GD573:GD576"/>
    <mergeCell ref="GE573:GE576"/>
    <mergeCell ref="FN570:FN571"/>
    <mergeCell ref="FO570:FO571"/>
    <mergeCell ref="FQ570:FQ571"/>
    <mergeCell ref="EZ573:EZ574"/>
    <mergeCell ref="FA573:FA574"/>
    <mergeCell ref="FB573:FB574"/>
    <mergeCell ref="FC573:FC576"/>
    <mergeCell ref="FE573:FE574"/>
    <mergeCell ref="FG573:FG576"/>
    <mergeCell ref="FH573:FH576"/>
    <mergeCell ref="FL573:FL574"/>
    <mergeCell ref="FM573:FM574"/>
    <mergeCell ref="FN573:FN574"/>
    <mergeCell ref="EK573:EK576"/>
    <mergeCell ref="EL573:EL576"/>
    <mergeCell ref="EM573:EM576"/>
    <mergeCell ref="FV575:FV576"/>
    <mergeCell ref="FW575:FW576"/>
    <mergeCell ref="HV574:HV575"/>
    <mergeCell ref="HW574:HW575"/>
    <mergeCell ref="HX574:HX575"/>
    <mergeCell ref="HY574:HY575"/>
    <mergeCell ref="HZ574:HZ575"/>
    <mergeCell ref="EQ573:EQ576"/>
    <mergeCell ref="ER573:ER576"/>
    <mergeCell ref="HJ574:HJ575"/>
    <mergeCell ref="HK574:HK575"/>
    <mergeCell ref="DR573:DR574"/>
    <mergeCell ref="FP573:FP574"/>
    <mergeCell ref="DI570:DI571"/>
    <mergeCell ref="DJ570:DJ571"/>
    <mergeCell ref="DZ573:DZ576"/>
    <mergeCell ref="EA573:EA576"/>
    <mergeCell ref="DG575:DG576"/>
    <mergeCell ref="FS570:FS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DH575:DH576"/>
    <mergeCell ref="DI575:DI576"/>
    <mergeCell ref="DJ575:DJ576"/>
    <mergeCell ref="DN575:DN576"/>
    <mergeCell ref="DR575:DR576"/>
    <mergeCell ref="DT575:DT576"/>
    <mergeCell ref="DY575:DY576"/>
    <mergeCell ref="DA568:DA571"/>
    <mergeCell ref="DB568:DB571"/>
    <mergeCell ref="DC568:DC571"/>
    <mergeCell ref="DD568:DD571"/>
    <mergeCell ref="DF568:DF569"/>
    <mergeCell ref="DG568:DG569"/>
    <mergeCell ref="DH568:DH569"/>
    <mergeCell ref="DS573:DS576"/>
    <mergeCell ref="DT573:DT574"/>
    <mergeCell ref="DU573:DU576"/>
    <mergeCell ref="FT573:FT574"/>
    <mergeCell ref="FU573:FU574"/>
    <mergeCell ref="FV573:FV574"/>
    <mergeCell ref="FW573:FW574"/>
    <mergeCell ref="EH573:EH576"/>
    <mergeCell ref="EI573:EI576"/>
    <mergeCell ref="GD568:GD571"/>
    <mergeCell ref="GE568:GE571"/>
    <mergeCell ref="CR570:CR571"/>
    <mergeCell ref="CS570:CS571"/>
    <mergeCell ref="CU570:CU571"/>
    <mergeCell ref="CV570:CV571"/>
    <mergeCell ref="CW570:CW571"/>
    <mergeCell ref="DY568:DY569"/>
    <mergeCell ref="EA568:EA571"/>
    <mergeCell ref="EC568:EC571"/>
    <mergeCell ref="ED568:ED571"/>
    <mergeCell ref="EF568:EF571"/>
    <mergeCell ref="EG568:EG571"/>
    <mergeCell ref="EH568:EH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V568:EV571"/>
    <mergeCell ref="EX568:EX569"/>
    <mergeCell ref="EY568:EY569"/>
    <mergeCell ref="EZ568:EZ569"/>
    <mergeCell ref="FA568:FA569"/>
    <mergeCell ref="FB568:FB569"/>
    <mergeCell ref="FC568:FC571"/>
    <mergeCell ref="DZ568:DZ571"/>
    <mergeCell ref="CX570:CX571"/>
    <mergeCell ref="CY570:CY571"/>
    <mergeCell ref="EX570:EX571"/>
    <mergeCell ref="EY570:EY571"/>
    <mergeCell ref="EZ570:EZ571"/>
    <mergeCell ref="FA570:FA571"/>
    <mergeCell ref="FB570:FB571"/>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FX568:FX569"/>
    <mergeCell ref="FE568:FE569"/>
    <mergeCell ref="FG568:FG571"/>
    <mergeCell ref="FH568:FH571"/>
    <mergeCell ref="FL568:FL569"/>
    <mergeCell ref="FM568:FM569"/>
    <mergeCell ref="FN568:FN569"/>
    <mergeCell ref="GA568:GA571"/>
    <mergeCell ref="FW570:FW571"/>
    <mergeCell ref="FX570:FX571"/>
    <mergeCell ref="FY570:FY571"/>
    <mergeCell ref="IC570:IC571"/>
    <mergeCell ref="DI568:DI569"/>
    <mergeCell ref="DJ568:DJ569"/>
    <mergeCell ref="DK568:DK571"/>
    <mergeCell ref="DM568:DM569"/>
    <mergeCell ref="DO568:DO571"/>
    <mergeCell ref="DQ568:DQ571"/>
    <mergeCell ref="DR568:DR569"/>
    <mergeCell ref="DS568:DS571"/>
    <mergeCell ref="DT568:DT569"/>
    <mergeCell ref="DU568:DU571"/>
    <mergeCell ref="DV568:DV571"/>
    <mergeCell ref="DX568:DX571"/>
    <mergeCell ref="FS568:FS569"/>
    <mergeCell ref="FT568:FT569"/>
    <mergeCell ref="GB568:GB571"/>
    <mergeCell ref="GC568:GC571"/>
    <mergeCell ref="FE570:FE571"/>
    <mergeCell ref="FL570:FL571"/>
    <mergeCell ref="FM570:FM571"/>
    <mergeCell ref="DY570:DY571"/>
    <mergeCell ref="FP568:FP569"/>
    <mergeCell ref="FO568:FO569"/>
    <mergeCell ref="FQ568:FQ569"/>
    <mergeCell ref="FU568:FU569"/>
    <mergeCell ref="FV568:FV569"/>
    <mergeCell ref="FW568:FW569"/>
    <mergeCell ref="HY564:HY565"/>
    <mergeCell ref="HZ564:HZ565"/>
    <mergeCell ref="ID564:ID565"/>
    <mergeCell ref="E565:F565"/>
    <mergeCell ref="G565:L565"/>
    <mergeCell ref="P565:Q565"/>
    <mergeCell ref="S565:S566"/>
    <mergeCell ref="AG565:AL565"/>
    <mergeCell ref="AM565:AM566"/>
    <mergeCell ref="AN565:AN566"/>
    <mergeCell ref="AO565:AO566"/>
    <mergeCell ref="CR565:CR566"/>
    <mergeCell ref="CS565:CS566"/>
    <mergeCell ref="AG564:AK564"/>
    <mergeCell ref="FU563:FU564"/>
    <mergeCell ref="FV563:FV564"/>
    <mergeCell ref="CV565:CV566"/>
    <mergeCell ref="EI563:EI566"/>
    <mergeCell ref="EJ563:EJ566"/>
    <mergeCell ref="EK563:EK566"/>
    <mergeCell ref="EL563:EL566"/>
    <mergeCell ref="EM563:EM566"/>
    <mergeCell ref="EN563:EN566"/>
    <mergeCell ref="EO563:EO566"/>
    <mergeCell ref="EP563:EP566"/>
    <mergeCell ref="EQ563:EQ566"/>
    <mergeCell ref="ER563:ER566"/>
    <mergeCell ref="ES563:ES566"/>
    <mergeCell ref="ET563:ET566"/>
    <mergeCell ref="EV563:EV566"/>
    <mergeCell ref="EX563:EX564"/>
    <mergeCell ref="FE563:FE564"/>
    <mergeCell ref="FG563:FG566"/>
    <mergeCell ref="FH563:FH566"/>
    <mergeCell ref="FL563:FL564"/>
    <mergeCell ref="FM563:FM564"/>
    <mergeCell ref="FN563:FN564"/>
    <mergeCell ref="FO563:FO564"/>
    <mergeCell ref="FQ563:FQ564"/>
    <mergeCell ref="FS563:FS564"/>
    <mergeCell ref="FX563:FX564"/>
    <mergeCell ref="GA563:GA566"/>
    <mergeCell ref="GB563:GB566"/>
    <mergeCell ref="GC563:GC566"/>
    <mergeCell ref="GD563:GD566"/>
    <mergeCell ref="GE563:GE566"/>
    <mergeCell ref="GF563:GF566"/>
    <mergeCell ref="GG563:GG566"/>
    <mergeCell ref="GH563:GH566"/>
    <mergeCell ref="GK563:GK566"/>
    <mergeCell ref="IB563:IB565"/>
    <mergeCell ref="FW563:FW564"/>
    <mergeCell ref="CX565:CX566"/>
    <mergeCell ref="CY565:CY566"/>
    <mergeCell ref="CZ565:CZ566"/>
    <mergeCell ref="DF565:DF566"/>
    <mergeCell ref="DG565:DG566"/>
    <mergeCell ref="DH565:DH566"/>
    <mergeCell ref="DI565:DI566"/>
    <mergeCell ref="DJ565:DJ566"/>
    <mergeCell ref="DN565:DN566"/>
    <mergeCell ref="DR565:DR566"/>
    <mergeCell ref="DT565:DT566"/>
    <mergeCell ref="DY565:DY566"/>
    <mergeCell ref="B563:B566"/>
    <mergeCell ref="C563:D566"/>
    <mergeCell ref="E563:F563"/>
    <mergeCell ref="G563:R563"/>
    <mergeCell ref="S563:S564"/>
    <mergeCell ref="U563:AA563"/>
    <mergeCell ref="AG563:AL563"/>
    <mergeCell ref="AM563:AM564"/>
    <mergeCell ref="AN563:AN564"/>
    <mergeCell ref="EG563:EG566"/>
    <mergeCell ref="EH563:EH566"/>
    <mergeCell ref="CY557:CY558"/>
    <mergeCell ref="CZ557:CZ558"/>
    <mergeCell ref="U557:AE557"/>
    <mergeCell ref="B555:B558"/>
    <mergeCell ref="C555:D558"/>
    <mergeCell ref="AN555:AN556"/>
    <mergeCell ref="AO555:AO556"/>
    <mergeCell ref="AP555:AQ558"/>
    <mergeCell ref="IM563:IM564"/>
    <mergeCell ref="DF557:DF558"/>
    <mergeCell ref="DG557:DG558"/>
    <mergeCell ref="DH557:DH558"/>
    <mergeCell ref="DI557:DI558"/>
    <mergeCell ref="E558:F558"/>
    <mergeCell ref="G558:L558"/>
    <mergeCell ref="FT555:FT556"/>
    <mergeCell ref="FU555:FU556"/>
    <mergeCell ref="GC555:GC558"/>
    <mergeCell ref="GD555:GD558"/>
    <mergeCell ref="FU557:FU558"/>
    <mergeCell ref="FV557:FV558"/>
    <mergeCell ref="FW557:FW558"/>
    <mergeCell ref="FX557:FX558"/>
    <mergeCell ref="IC557:IC558"/>
    <mergeCell ref="EF555:EF558"/>
    <mergeCell ref="EG555:EG558"/>
    <mergeCell ref="EH555:E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V555:EV558"/>
    <mergeCell ref="EX555:EX556"/>
    <mergeCell ref="FV555:FV556"/>
    <mergeCell ref="AY555:AY558"/>
    <mergeCell ref="AZ555:AZ558"/>
    <mergeCell ref="DQ561:DR561"/>
    <mergeCell ref="EY563:EY564"/>
    <mergeCell ref="EZ563:EZ564"/>
    <mergeCell ref="FA563:FA564"/>
    <mergeCell ref="FB563:FB564"/>
    <mergeCell ref="FC563:FC566"/>
    <mergeCell ref="DJ563:DJ564"/>
    <mergeCell ref="DK563:DK566"/>
    <mergeCell ref="DM563:DM564"/>
    <mergeCell ref="DC563:DC566"/>
    <mergeCell ref="DD563:DD566"/>
    <mergeCell ref="DF563:DF564"/>
    <mergeCell ref="DG563:DG564"/>
    <mergeCell ref="DH563:DH564"/>
    <mergeCell ref="DI563:DI564"/>
    <mergeCell ref="FT565:FT566"/>
    <mergeCell ref="FU565:FU566"/>
    <mergeCell ref="FV565:FV566"/>
    <mergeCell ref="FW565:FW566"/>
    <mergeCell ref="FX565:FX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DX562:DY562"/>
    <mergeCell ref="GA555:GA558"/>
    <mergeCell ref="GB555:GB558"/>
    <mergeCell ref="FH555:FH558"/>
    <mergeCell ref="FL555:FL556"/>
    <mergeCell ref="FM555:FM556"/>
    <mergeCell ref="DF555:DF556"/>
    <mergeCell ref="DG555:DG556"/>
    <mergeCell ref="DH555:DH556"/>
    <mergeCell ref="DI555:DI556"/>
    <mergeCell ref="FN555:FN556"/>
    <mergeCell ref="FO555:FO556"/>
    <mergeCell ref="DC555:DC558"/>
    <mergeCell ref="DD555:DD558"/>
    <mergeCell ref="EX565:EX566"/>
    <mergeCell ref="DA563:DA566"/>
    <mergeCell ref="DB563:DB566"/>
    <mergeCell ref="FS565:FS566"/>
    <mergeCell ref="FN557:FN558"/>
    <mergeCell ref="FO557:FO558"/>
    <mergeCell ref="FQ557:FQ558"/>
    <mergeCell ref="FS557:FS558"/>
    <mergeCell ref="FT557:FT558"/>
    <mergeCell ref="FT563:FT564"/>
    <mergeCell ref="EY565:EY566"/>
    <mergeCell ref="EZ565:EZ566"/>
    <mergeCell ref="FA565:FA566"/>
    <mergeCell ref="FB565:FB566"/>
    <mergeCell ref="FE565:FE566"/>
    <mergeCell ref="FL565:FL566"/>
    <mergeCell ref="FM565:FM566"/>
    <mergeCell ref="FN565:FN566"/>
    <mergeCell ref="FO565:FO566"/>
    <mergeCell ref="FN550:FN551"/>
    <mergeCell ref="FO550:FO551"/>
    <mergeCell ref="FQ550:FQ551"/>
    <mergeCell ref="FS550:FS551"/>
    <mergeCell ref="FT550:FT551"/>
    <mergeCell ref="FU550:FU551"/>
    <mergeCell ref="FV550:FV551"/>
    <mergeCell ref="ED555:ED558"/>
    <mergeCell ref="FP555:FP556"/>
    <mergeCell ref="FP552:FP553"/>
    <mergeCell ref="EZ557:EZ558"/>
    <mergeCell ref="FA557:FA558"/>
    <mergeCell ref="FB557:FB558"/>
    <mergeCell ref="FE557:FE558"/>
    <mergeCell ref="FL557:FL558"/>
    <mergeCell ref="FM557:FM558"/>
    <mergeCell ref="EY555:EY556"/>
    <mergeCell ref="EZ555:EZ556"/>
    <mergeCell ref="FA555:FA556"/>
    <mergeCell ref="FW555:FW556"/>
    <mergeCell ref="FX555:FX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FQ565:FQ566"/>
    <mergeCell ref="FP557:FP558"/>
    <mergeCell ref="FP565:FP566"/>
    <mergeCell ref="EF563:EF566"/>
    <mergeCell ref="DO563:DO566"/>
    <mergeCell ref="DQ563:DQ566"/>
    <mergeCell ref="DR563:DR564"/>
    <mergeCell ref="DS563:DS566"/>
    <mergeCell ref="DT563:DT564"/>
    <mergeCell ref="DU563:DU566"/>
    <mergeCell ref="DV563:DV566"/>
    <mergeCell ref="DX563:DX566"/>
    <mergeCell ref="DY563:DY564"/>
    <mergeCell ref="DZ563:DZ566"/>
    <mergeCell ref="EA563:EA566"/>
    <mergeCell ref="EC563:EC566"/>
    <mergeCell ref="ED563:ED566"/>
    <mergeCell ref="CW565:CW566"/>
    <mergeCell ref="DV555:DV558"/>
    <mergeCell ref="FP550:FP551"/>
    <mergeCell ref="EA550:EA553"/>
    <mergeCell ref="EC550:EC553"/>
    <mergeCell ref="ED550:ED553"/>
    <mergeCell ref="EF550:EF553"/>
    <mergeCell ref="EG550:EG553"/>
    <mergeCell ref="EH550:EH553"/>
    <mergeCell ref="EI550:EI553"/>
    <mergeCell ref="EJ550:EJ553"/>
    <mergeCell ref="EK550:EK553"/>
    <mergeCell ref="DF552:DF553"/>
    <mergeCell ref="DG552:DG553"/>
    <mergeCell ref="DH552:DH553"/>
    <mergeCell ref="DI552:DI553"/>
    <mergeCell ref="DJ552:DJ553"/>
    <mergeCell ref="DN552:DN553"/>
    <mergeCell ref="DR552:DR553"/>
    <mergeCell ref="DT552:DT553"/>
    <mergeCell ref="FB552:FB553"/>
    <mergeCell ref="FL552:FL553"/>
    <mergeCell ref="EL550:EL553"/>
    <mergeCell ref="DV550:DV553"/>
    <mergeCell ref="FE552:FE553"/>
    <mergeCell ref="EO550:EO553"/>
    <mergeCell ref="EP550:EP553"/>
    <mergeCell ref="EQ550:EQ553"/>
    <mergeCell ref="ER550:ER553"/>
    <mergeCell ref="ES550:ES553"/>
    <mergeCell ref="ET550:ET553"/>
    <mergeCell ref="EV550:EV553"/>
    <mergeCell ref="EX550:EX551"/>
    <mergeCell ref="EY550:EY551"/>
    <mergeCell ref="EZ550:EZ551"/>
    <mergeCell ref="FA550:FA551"/>
    <mergeCell ref="DX550:DX553"/>
    <mergeCell ref="DY550:DY551"/>
    <mergeCell ref="DZ550:DZ553"/>
    <mergeCell ref="FB555:FB556"/>
    <mergeCell ref="FC555:FC558"/>
    <mergeCell ref="FE555:FE556"/>
    <mergeCell ref="FG555:FG558"/>
    <mergeCell ref="U555:AA555"/>
    <mergeCell ref="DQ555:DQ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FC550:FC553"/>
    <mergeCell ref="FE550:FE551"/>
    <mergeCell ref="FG550:FG553"/>
    <mergeCell ref="FH550:FH553"/>
    <mergeCell ref="FL550:FL551"/>
    <mergeCell ref="DR550:DR551"/>
    <mergeCell ref="EC555:EC558"/>
    <mergeCell ref="DN557:DN558"/>
    <mergeCell ref="DR557:DR558"/>
    <mergeCell ref="DT557:DT558"/>
    <mergeCell ref="DY557:DY558"/>
    <mergeCell ref="EX557:EX558"/>
    <mergeCell ref="EY557:EY558"/>
    <mergeCell ref="FM552:FM553"/>
    <mergeCell ref="FN552:FN553"/>
    <mergeCell ref="FO552:FO553"/>
    <mergeCell ref="DX555:DX558"/>
    <mergeCell ref="DY555:DY556"/>
    <mergeCell ref="DZ555:DZ558"/>
    <mergeCell ref="DS550:DS553"/>
    <mergeCell ref="DT550:DT551"/>
    <mergeCell ref="DU550:DU553"/>
    <mergeCell ref="DJ555:DJ556"/>
    <mergeCell ref="DK555:DK558"/>
    <mergeCell ref="DM555:DM556"/>
    <mergeCell ref="DO555:DO558"/>
    <mergeCell ref="DJ557:DJ558"/>
    <mergeCell ref="FM545:FM546"/>
    <mergeCell ref="FN545:FN546"/>
    <mergeCell ref="FO545:FO546"/>
    <mergeCell ref="FQ545:FQ546"/>
    <mergeCell ref="FS545:FS546"/>
    <mergeCell ref="FT545:FT546"/>
    <mergeCell ref="FU545:FU546"/>
    <mergeCell ref="FV545:FV546"/>
    <mergeCell ref="FU547:FU548"/>
    <mergeCell ref="FV547:FV548"/>
    <mergeCell ref="FW547:FW548"/>
    <mergeCell ref="FX547:FX548"/>
    <mergeCell ref="IC547:IC548"/>
    <mergeCell ref="GB550:GB553"/>
    <mergeCell ref="GC550:GC553"/>
    <mergeCell ref="EX552:EX553"/>
    <mergeCell ref="EY552:EY553"/>
    <mergeCell ref="EZ552:EZ553"/>
    <mergeCell ref="EY547:EY548"/>
    <mergeCell ref="DX545:DX548"/>
    <mergeCell ref="DY545:DY546"/>
    <mergeCell ref="DZ545:DZ548"/>
    <mergeCell ref="EA545:EA548"/>
    <mergeCell ref="EC545:EC548"/>
    <mergeCell ref="ED545:ED548"/>
    <mergeCell ref="EF545:EF548"/>
    <mergeCell ref="IC545:IC546"/>
    <mergeCell ref="EG545:EG548"/>
    <mergeCell ref="EH545:EH548"/>
    <mergeCell ref="EZ547:EZ548"/>
    <mergeCell ref="FW545:FW546"/>
    <mergeCell ref="FX545:FX546"/>
    <mergeCell ref="HO556:HO557"/>
    <mergeCell ref="HP556:HP557"/>
    <mergeCell ref="HQ556:HQ557"/>
    <mergeCell ref="HR556:HR557"/>
    <mergeCell ref="DR555:DR556"/>
    <mergeCell ref="DS555:DS558"/>
    <mergeCell ref="DT555:DT556"/>
    <mergeCell ref="DU555:DU558"/>
    <mergeCell ref="FQ552:FQ553"/>
    <mergeCell ref="FS552:FS553"/>
    <mergeCell ref="FT552:FT553"/>
    <mergeCell ref="FU552:FU553"/>
    <mergeCell ref="FV552:FV553"/>
    <mergeCell ref="EA555:EA558"/>
    <mergeCell ref="FX550:FX551"/>
    <mergeCell ref="GA550:GA553"/>
    <mergeCell ref="GD550:GD553"/>
    <mergeCell ref="FB550:FB551"/>
    <mergeCell ref="FM550:FM551"/>
    <mergeCell ref="CZ547:CZ548"/>
    <mergeCell ref="DF547:DF548"/>
    <mergeCell ref="DG547:DG548"/>
    <mergeCell ref="DH547:DH548"/>
    <mergeCell ref="DI547:DI548"/>
    <mergeCell ref="DJ547:DJ548"/>
    <mergeCell ref="DN547:DN548"/>
    <mergeCell ref="DR547:DR548"/>
    <mergeCell ref="DT547:DT548"/>
    <mergeCell ref="DY547:DY548"/>
    <mergeCell ref="EX545:EX546"/>
    <mergeCell ref="EY545:EY546"/>
    <mergeCell ref="EZ545:EZ546"/>
    <mergeCell ref="FA545:FA546"/>
    <mergeCell ref="EX547:EX548"/>
    <mergeCell ref="DY552:DY553"/>
    <mergeCell ref="E553:F553"/>
    <mergeCell ref="G553:L553"/>
    <mergeCell ref="FA547:FA548"/>
    <mergeCell ref="FB547:FB548"/>
    <mergeCell ref="FE547:FE548"/>
    <mergeCell ref="FL547:FL548"/>
    <mergeCell ref="FM547:FM548"/>
    <mergeCell ref="FN547:FN548"/>
    <mergeCell ref="EM550:EM553"/>
    <mergeCell ref="EN550:EN553"/>
    <mergeCell ref="GF545:GF548"/>
    <mergeCell ref="FA552:FA553"/>
    <mergeCell ref="HR551:HR552"/>
    <mergeCell ref="IB550:IB552"/>
    <mergeCell ref="FO547:FO548"/>
    <mergeCell ref="FS547:FS548"/>
    <mergeCell ref="FT547:FT548"/>
    <mergeCell ref="GH545:GH548"/>
    <mergeCell ref="GK545:GK548"/>
    <mergeCell ref="IB545:IB547"/>
    <mergeCell ref="CY547:CY548"/>
    <mergeCell ref="CX547:CX548"/>
    <mergeCell ref="U547:AE547"/>
    <mergeCell ref="EI545:EI548"/>
    <mergeCell ref="EJ545:EJ548"/>
    <mergeCell ref="EK545:EK548"/>
    <mergeCell ref="EL545:EL548"/>
    <mergeCell ref="EM545:EM548"/>
    <mergeCell ref="EN545:EN548"/>
    <mergeCell ref="EO545:EO548"/>
    <mergeCell ref="EP545:EP548"/>
    <mergeCell ref="EQ545:EQ548"/>
    <mergeCell ref="ER545:ER548"/>
    <mergeCell ref="ES545:ES548"/>
    <mergeCell ref="ET545:ET548"/>
    <mergeCell ref="EV545:EV548"/>
    <mergeCell ref="DC550:DC553"/>
    <mergeCell ref="DD550:DD553"/>
    <mergeCell ref="DF550:DF551"/>
    <mergeCell ref="DG550:DG551"/>
    <mergeCell ref="DH550:DH551"/>
    <mergeCell ref="DI550:DI551"/>
    <mergeCell ref="DJ550:DJ551"/>
    <mergeCell ref="DK550:DK553"/>
    <mergeCell ref="DM550:DM551"/>
    <mergeCell ref="DO550:DO553"/>
    <mergeCell ref="DQ550:DQ553"/>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AG551:AK551"/>
    <mergeCell ref="B545:B548"/>
    <mergeCell ref="E546:F546"/>
    <mergeCell ref="FY547:FY548"/>
    <mergeCell ref="FY550:FY551"/>
    <mergeCell ref="FY552:FY553"/>
    <mergeCell ref="GE550:GE553"/>
    <mergeCell ref="GF550:GF553"/>
    <mergeCell ref="GG550:GG553"/>
    <mergeCell ref="GH550:GH553"/>
    <mergeCell ref="GK550:GK553"/>
    <mergeCell ref="FB545:FB546"/>
    <mergeCell ref="FC545:FC548"/>
    <mergeCell ref="FE545:FE546"/>
    <mergeCell ref="FG545:FG548"/>
    <mergeCell ref="FH545:FH548"/>
    <mergeCell ref="FL545:FL546"/>
    <mergeCell ref="DT540:DT541"/>
    <mergeCell ref="DU540:DU543"/>
    <mergeCell ref="DV540:DV543"/>
    <mergeCell ref="FP540:FP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L540:FL541"/>
    <mergeCell ref="FM540:FM541"/>
    <mergeCell ref="FN540:FN541"/>
    <mergeCell ref="FO540:FO541"/>
    <mergeCell ref="E542:F542"/>
    <mergeCell ref="G542:L542"/>
    <mergeCell ref="P542:Q542"/>
    <mergeCell ref="EL540:EL543"/>
    <mergeCell ref="EM540:EM543"/>
    <mergeCell ref="EN540:EN543"/>
    <mergeCell ref="EO540:EO543"/>
    <mergeCell ref="EP540:EP543"/>
    <mergeCell ref="EQ540:EQ543"/>
    <mergeCell ref="FU542:FU543"/>
    <mergeCell ref="FV542:FV543"/>
    <mergeCell ref="FW542:FW543"/>
    <mergeCell ref="FX542:FX543"/>
    <mergeCell ref="DR545:DR546"/>
    <mergeCell ref="DS545:DS548"/>
    <mergeCell ref="DT545:DT546"/>
    <mergeCell ref="DU545:DU548"/>
    <mergeCell ref="DV545:DV548"/>
    <mergeCell ref="GA540:GA543"/>
    <mergeCell ref="E544:AW544"/>
    <mergeCell ref="CU542:CU543"/>
    <mergeCell ref="CV542:CV543"/>
    <mergeCell ref="CY545:CY546"/>
    <mergeCell ref="CZ545:CZ546"/>
    <mergeCell ref="DA545:DA548"/>
    <mergeCell ref="DB545:DB548"/>
    <mergeCell ref="DC545:DC548"/>
    <mergeCell ref="DD545:DD548"/>
    <mergeCell ref="FU540:FU541"/>
    <mergeCell ref="EF540:EF543"/>
    <mergeCell ref="EG540:EG543"/>
    <mergeCell ref="DF545:DF546"/>
    <mergeCell ref="DG545:DG546"/>
    <mergeCell ref="DH545:DH546"/>
    <mergeCell ref="DI545:DI546"/>
    <mergeCell ref="DJ545:DJ546"/>
    <mergeCell ref="DK545:DK548"/>
    <mergeCell ref="DM545:DM546"/>
    <mergeCell ref="DO545:DO548"/>
    <mergeCell ref="DQ545:DQ548"/>
    <mergeCell ref="ES540:ES543"/>
    <mergeCell ref="ET540:ET543"/>
    <mergeCell ref="CW542:CW543"/>
    <mergeCell ref="FB542:FB543"/>
    <mergeCell ref="FE542:FE543"/>
    <mergeCell ref="FL542:FL543"/>
    <mergeCell ref="FM542:FM543"/>
    <mergeCell ref="FN542:FN543"/>
    <mergeCell ref="FO542:FO543"/>
    <mergeCell ref="FQ542:FQ543"/>
    <mergeCell ref="FS542:FS543"/>
    <mergeCell ref="ER540:ER543"/>
    <mergeCell ref="EC540:EC543"/>
    <mergeCell ref="FY545:FY546"/>
    <mergeCell ref="DX540:DX543"/>
    <mergeCell ref="DY540:DY541"/>
    <mergeCell ref="DZ540:DZ543"/>
    <mergeCell ref="EA540:EA543"/>
    <mergeCell ref="DH540:DH541"/>
    <mergeCell ref="DI540:DI541"/>
    <mergeCell ref="DJ540:DJ541"/>
    <mergeCell ref="DK540:DK543"/>
    <mergeCell ref="DM540:DM541"/>
    <mergeCell ref="DO540:DO543"/>
    <mergeCell ref="DQ540:DQ543"/>
    <mergeCell ref="DR540:DR541"/>
    <mergeCell ref="DS540:DS543"/>
    <mergeCell ref="IK537:IK538"/>
    <mergeCell ref="IM537:IM538"/>
    <mergeCell ref="IM540:IM541"/>
    <mergeCell ref="GM541:GM542"/>
    <mergeCell ref="GN541:GN542"/>
    <mergeCell ref="GP541:GP542"/>
    <mergeCell ref="GQ541:GQ542"/>
    <mergeCell ref="HH541:HH542"/>
    <mergeCell ref="HI541:HI542"/>
    <mergeCell ref="HJ541:HJ542"/>
    <mergeCell ref="HK541:HK542"/>
    <mergeCell ref="HL541:HL542"/>
    <mergeCell ref="HM541:HM542"/>
    <mergeCell ref="HN541:HN542"/>
    <mergeCell ref="HO541:HO542"/>
    <mergeCell ref="HP541:HP542"/>
    <mergeCell ref="HQ541:HQ542"/>
    <mergeCell ref="HR541:HR542"/>
    <mergeCell ref="IK535:IK536"/>
    <mergeCell ref="IL535:IL538"/>
    <mergeCell ref="IM535:IM536"/>
    <mergeCell ref="GM536:GM537"/>
    <mergeCell ref="GN536:GN537"/>
    <mergeCell ref="IB535:IB537"/>
    <mergeCell ref="IC535:IC536"/>
    <mergeCell ref="FU535:FU536"/>
    <mergeCell ref="FV535:FV536"/>
    <mergeCell ref="FQ540:FQ541"/>
    <mergeCell ref="EP535:EP538"/>
    <mergeCell ref="EQ535:EQ538"/>
    <mergeCell ref="ER535:ER538"/>
    <mergeCell ref="ES535:ES538"/>
    <mergeCell ref="ET535:ET538"/>
    <mergeCell ref="EV535:EV538"/>
    <mergeCell ref="FQ535:FQ536"/>
    <mergeCell ref="FS535:FS536"/>
    <mergeCell ref="FT535:FT536"/>
    <mergeCell ref="FY542:FY543"/>
    <mergeCell ref="FX540:FX541"/>
    <mergeCell ref="HW541:HW542"/>
    <mergeCell ref="HX541:HX542"/>
    <mergeCell ref="HY541:HY542"/>
    <mergeCell ref="HZ541:HZ542"/>
    <mergeCell ref="IG542:IG543"/>
    <mergeCell ref="IK542:IK543"/>
    <mergeCell ref="HS541:HS542"/>
    <mergeCell ref="HT541:HT542"/>
    <mergeCell ref="HU541:HU542"/>
    <mergeCell ref="HV541:HV542"/>
    <mergeCell ref="IH535:IH538"/>
    <mergeCell ref="FV540:FV541"/>
    <mergeCell ref="DF537:DF538"/>
    <mergeCell ref="DG537:DG538"/>
    <mergeCell ref="DH537:DH538"/>
    <mergeCell ref="DI537:DI538"/>
    <mergeCell ref="DJ537:DJ538"/>
    <mergeCell ref="DN537:DN538"/>
    <mergeCell ref="DR537:DR538"/>
    <mergeCell ref="DT537:DT538"/>
    <mergeCell ref="E541:F541"/>
    <mergeCell ref="G541:L541"/>
    <mergeCell ref="P541:Q541"/>
    <mergeCell ref="EX535:EX536"/>
    <mergeCell ref="EY535:EY536"/>
    <mergeCell ref="EZ535:EZ536"/>
    <mergeCell ref="FA535:FA536"/>
    <mergeCell ref="FB535:FB536"/>
    <mergeCell ref="FC535:FC538"/>
    <mergeCell ref="FE535:FE536"/>
    <mergeCell ref="FG535:FG538"/>
    <mergeCell ref="FH535:FH538"/>
    <mergeCell ref="FL535:FL536"/>
    <mergeCell ref="AN542:AN543"/>
    <mergeCell ref="AO542:AO543"/>
    <mergeCell ref="CR542:CR543"/>
    <mergeCell ref="CS542:CS543"/>
    <mergeCell ref="FS540:FS541"/>
    <mergeCell ref="FT540:FT541"/>
    <mergeCell ref="E543:F543"/>
    <mergeCell ref="U542:AE542"/>
    <mergeCell ref="EV540:EV543"/>
    <mergeCell ref="EX540:EX541"/>
    <mergeCell ref="EY540:EY541"/>
    <mergeCell ref="EZ540:EZ541"/>
    <mergeCell ref="FA540:FA541"/>
    <mergeCell ref="FB540:FB541"/>
    <mergeCell ref="FC540:FC543"/>
    <mergeCell ref="FE540:FE541"/>
    <mergeCell ref="FG540:FG543"/>
    <mergeCell ref="FH540:FH543"/>
    <mergeCell ref="U536:AD536"/>
    <mergeCell ref="U541:AD541"/>
    <mergeCell ref="DH542:DH543"/>
    <mergeCell ref="DI542:DI543"/>
    <mergeCell ref="DJ542:DJ543"/>
    <mergeCell ref="DN542:DN543"/>
    <mergeCell ref="DR542:DR543"/>
    <mergeCell ref="DT542:DT543"/>
    <mergeCell ref="DY542:DY543"/>
    <mergeCell ref="EX542:EX543"/>
    <mergeCell ref="EY542:EY543"/>
    <mergeCell ref="EZ542:EZ543"/>
    <mergeCell ref="FA542:FA543"/>
    <mergeCell ref="FT542:FT543"/>
    <mergeCell ref="FO537:FO538"/>
    <mergeCell ref="ED535:ED538"/>
    <mergeCell ref="EF535:EF538"/>
    <mergeCell ref="FM535:FM536"/>
    <mergeCell ref="FN535:FN536"/>
    <mergeCell ref="FO535:FO536"/>
    <mergeCell ref="ED540:ED543"/>
    <mergeCell ref="EH540:EH543"/>
    <mergeCell ref="EI540:EI543"/>
    <mergeCell ref="EJ540:EJ543"/>
    <mergeCell ref="EK540:EK54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FO532:FO533"/>
    <mergeCell ref="FQ532:FQ533"/>
    <mergeCell ref="FS532:FS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C530:FC533"/>
    <mergeCell ref="FE530:FE531"/>
    <mergeCell ref="FG530:FG533"/>
    <mergeCell ref="FQ530:FQ531"/>
    <mergeCell ref="FS530:FS531"/>
    <mergeCell ref="DG532:DG533"/>
    <mergeCell ref="DH532:DH533"/>
    <mergeCell ref="DI532:DI533"/>
    <mergeCell ref="DJ532:DJ533"/>
    <mergeCell ref="DN532:DN533"/>
    <mergeCell ref="DR532:DR533"/>
    <mergeCell ref="DT532:DT533"/>
    <mergeCell ref="DY532:DY533"/>
    <mergeCell ref="EX532:EX533"/>
    <mergeCell ref="EY532:EY533"/>
    <mergeCell ref="EZ532:EZ533"/>
    <mergeCell ref="FA532:FA533"/>
    <mergeCell ref="FV530:FV531"/>
    <mergeCell ref="FW530:FW531"/>
    <mergeCell ref="FX530:FX531"/>
    <mergeCell ref="GA530:GA533"/>
    <mergeCell ref="GB530:GB533"/>
    <mergeCell ref="GC530:GC533"/>
    <mergeCell ref="GD530:GD533"/>
    <mergeCell ref="GE530:GE533"/>
    <mergeCell ref="GF530:GF533"/>
    <mergeCell ref="GG530:GG533"/>
    <mergeCell ref="GH530:GH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O535:DO538"/>
    <mergeCell ref="DQ535:DQ538"/>
    <mergeCell ref="DR535:DR536"/>
    <mergeCell ref="DS535:DS538"/>
    <mergeCell ref="DT535:DT536"/>
    <mergeCell ref="DU535:DU538"/>
    <mergeCell ref="DV535:DV538"/>
    <mergeCell ref="DX535:DX538"/>
    <mergeCell ref="DY535:DY536"/>
    <mergeCell ref="DZ535:DZ538"/>
    <mergeCell ref="EA535:EA538"/>
    <mergeCell ref="EC535:EC538"/>
    <mergeCell ref="FW535:FW536"/>
    <mergeCell ref="FX535:FX536"/>
    <mergeCell ref="S537:S538"/>
    <mergeCell ref="AG537:AL537"/>
    <mergeCell ref="AM537:AM538"/>
    <mergeCell ref="AN537:AN538"/>
    <mergeCell ref="AO537:AO538"/>
    <mergeCell ref="AG536:AK536"/>
    <mergeCell ref="DY537:DY538"/>
    <mergeCell ref="EX537:EX538"/>
    <mergeCell ref="EY537:EY538"/>
    <mergeCell ref="EZ537:EZ538"/>
    <mergeCell ref="FA537:FA538"/>
    <mergeCell ref="FB537:FB538"/>
    <mergeCell ref="EG535:EG538"/>
    <mergeCell ref="EH535:EH538"/>
    <mergeCell ref="EI535:EI538"/>
    <mergeCell ref="EJ535:EJ538"/>
    <mergeCell ref="EK535:EK538"/>
    <mergeCell ref="EL535:EL538"/>
    <mergeCell ref="EM535:EM538"/>
    <mergeCell ref="EN535:EN538"/>
    <mergeCell ref="EO535:EO538"/>
    <mergeCell ref="FE537:FE538"/>
    <mergeCell ref="FL537:FL538"/>
    <mergeCell ref="FM537:FM538"/>
    <mergeCell ref="FN537:FN538"/>
    <mergeCell ref="FU532:FU533"/>
    <mergeCell ref="FV532:FV533"/>
    <mergeCell ref="FW532:FW533"/>
    <mergeCell ref="ET530:ET533"/>
    <mergeCell ref="GM531:GM532"/>
    <mergeCell ref="GN531:GN532"/>
    <mergeCell ref="GP531:GP532"/>
    <mergeCell ref="GQ531:GQ532"/>
    <mergeCell ref="HH531:HH532"/>
    <mergeCell ref="HI531:HI532"/>
    <mergeCell ref="HJ531:HJ532"/>
    <mergeCell ref="HK531:HK532"/>
    <mergeCell ref="HL531:HL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GP536:GP537"/>
    <mergeCell ref="IG537:IG538"/>
    <mergeCell ref="GQ536:GQ537"/>
    <mergeCell ref="FH530:FH533"/>
    <mergeCell ref="IC537:IC538"/>
    <mergeCell ref="GA535:GA538"/>
    <mergeCell ref="GB535:GB538"/>
    <mergeCell ref="GC535:GC538"/>
    <mergeCell ref="GD535:GD538"/>
    <mergeCell ref="GE535:GE538"/>
    <mergeCell ref="GF535:GF538"/>
    <mergeCell ref="GG535:GG538"/>
    <mergeCell ref="GH535:GH538"/>
    <mergeCell ref="GK535:GK538"/>
    <mergeCell ref="HH536:HH537"/>
    <mergeCell ref="HI536:HI537"/>
    <mergeCell ref="HJ536:HJ537"/>
    <mergeCell ref="FT530:FT531"/>
    <mergeCell ref="FU530:FU531"/>
    <mergeCell ref="FX537:FX538"/>
    <mergeCell ref="EV530:EV533"/>
    <mergeCell ref="EX530:EX531"/>
    <mergeCell ref="EY530:EY531"/>
    <mergeCell ref="EZ530:EZ531"/>
    <mergeCell ref="FQ537:FQ538"/>
    <mergeCell ref="FS537:FS538"/>
    <mergeCell ref="FT537:FT538"/>
    <mergeCell ref="FU537:FU538"/>
    <mergeCell ref="FV537:FV538"/>
    <mergeCell ref="FA530:FA531"/>
    <mergeCell ref="FB530:FB531"/>
    <mergeCell ref="FW537:FW538"/>
    <mergeCell ref="FL530:FL531"/>
    <mergeCell ref="FM530:FM531"/>
    <mergeCell ref="FN530:FN531"/>
    <mergeCell ref="FO530:FO531"/>
    <mergeCell ref="IG532:IG533"/>
    <mergeCell ref="FX532:FX533"/>
    <mergeCell ref="FB532:FB533"/>
    <mergeCell ref="FE532:FE533"/>
    <mergeCell ref="FL532:FL533"/>
    <mergeCell ref="FM532:FM533"/>
    <mergeCell ref="FN532:FN533"/>
    <mergeCell ref="E532:F532"/>
    <mergeCell ref="G532:L532"/>
    <mergeCell ref="P532:Q532"/>
    <mergeCell ref="S532:S533"/>
    <mergeCell ref="AG532:AL532"/>
    <mergeCell ref="AM532:AM533"/>
    <mergeCell ref="AN532:AN533"/>
    <mergeCell ref="AO532:AO533"/>
    <mergeCell ref="CR532:CR533"/>
    <mergeCell ref="CS532:CS533"/>
    <mergeCell ref="EF530:EF533"/>
    <mergeCell ref="EG530:EG533"/>
    <mergeCell ref="EH530:EH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CU532:CU533"/>
    <mergeCell ref="CV532:CV533"/>
    <mergeCell ref="CW532:CW533"/>
    <mergeCell ref="CX532:CX533"/>
    <mergeCell ref="CY532:CY533"/>
    <mergeCell ref="CZ532:CZ533"/>
    <mergeCell ref="DF532:DF533"/>
    <mergeCell ref="EC530:EC533"/>
    <mergeCell ref="ED530:ED533"/>
    <mergeCell ref="DR530:DR531"/>
    <mergeCell ref="DS530:DS533"/>
    <mergeCell ref="DT530:DT531"/>
    <mergeCell ref="DU530:DU533"/>
    <mergeCell ref="DV530:DV533"/>
    <mergeCell ref="DX530:DX533"/>
    <mergeCell ref="FT532:FT533"/>
    <mergeCell ref="DY530:DY531"/>
    <mergeCell ref="DZ530:DZ533"/>
    <mergeCell ref="EA530:EA533"/>
    <mergeCell ref="E531:F531"/>
    <mergeCell ref="G531:L531"/>
    <mergeCell ref="P531:Q531"/>
    <mergeCell ref="IK527:IK528"/>
    <mergeCell ref="IM527:IM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O530:DO533"/>
    <mergeCell ref="DQ530:DQ533"/>
    <mergeCell ref="GD525:GD528"/>
    <mergeCell ref="GE525:GE528"/>
    <mergeCell ref="IF530:IF533"/>
    <mergeCell ref="IG530:IG531"/>
    <mergeCell ref="HS526:HS527"/>
    <mergeCell ref="HT526:HT527"/>
    <mergeCell ref="HU526:HU527"/>
    <mergeCell ref="HV526:HV527"/>
    <mergeCell ref="HW526:HW527"/>
    <mergeCell ref="EN525:EN528"/>
    <mergeCell ref="EY525:EY526"/>
    <mergeCell ref="EZ525:EZ526"/>
    <mergeCell ref="FA525:FA526"/>
    <mergeCell ref="FB525:FB526"/>
    <mergeCell ref="FC525:FC528"/>
    <mergeCell ref="FE525:FE526"/>
    <mergeCell ref="FG525:FG528"/>
    <mergeCell ref="FH525:FH528"/>
    <mergeCell ref="FL525:FL526"/>
    <mergeCell ref="FM525:FM526"/>
    <mergeCell ref="FN525:FN526"/>
    <mergeCell ref="FO525:FO526"/>
    <mergeCell ref="FQ525:FQ526"/>
    <mergeCell ref="FS525:FS526"/>
    <mergeCell ref="FT525:FT526"/>
    <mergeCell ref="FU525:FU526"/>
    <mergeCell ref="FV525:FV526"/>
    <mergeCell ref="FW525:FW526"/>
    <mergeCell ref="FX525:FX526"/>
    <mergeCell ref="GA525:GA528"/>
    <mergeCell ref="GB525:GB528"/>
    <mergeCell ref="GC525:GC528"/>
    <mergeCell ref="EX527:EX528"/>
    <mergeCell ref="EY527:EY528"/>
    <mergeCell ref="EZ527:EZ528"/>
    <mergeCell ref="FA527:FA528"/>
    <mergeCell ref="FB527:FB528"/>
    <mergeCell ref="FE527:FE528"/>
    <mergeCell ref="FL527:FL528"/>
    <mergeCell ref="FM527:FM528"/>
    <mergeCell ref="FN527:FN528"/>
    <mergeCell ref="FO527:FO528"/>
    <mergeCell ref="FQ527:FQ528"/>
    <mergeCell ref="FS527:FS528"/>
    <mergeCell ref="FT527:FT528"/>
    <mergeCell ref="FU527:FU528"/>
    <mergeCell ref="FV527:FV528"/>
    <mergeCell ref="FW527:FW528"/>
    <mergeCell ref="FX527:FX528"/>
    <mergeCell ref="EX525:EX526"/>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S525:DS528"/>
    <mergeCell ref="DT525:DT526"/>
    <mergeCell ref="DU525:DU528"/>
    <mergeCell ref="DV525:DV528"/>
    <mergeCell ref="DX525:DX528"/>
    <mergeCell ref="DY525:DY526"/>
    <mergeCell ref="DZ525:DZ528"/>
    <mergeCell ref="EA525:EA528"/>
    <mergeCell ref="EC525:EC528"/>
    <mergeCell ref="ED525:ED528"/>
    <mergeCell ref="EF525:EF528"/>
    <mergeCell ref="EG525:EG528"/>
    <mergeCell ref="EH525:EH528"/>
    <mergeCell ref="EI525:EI528"/>
    <mergeCell ref="EJ525:EJ528"/>
    <mergeCell ref="EK525:EK528"/>
    <mergeCell ref="DF527:DF528"/>
    <mergeCell ref="DG527:DG528"/>
    <mergeCell ref="DH527:DH528"/>
    <mergeCell ref="DI527:DI528"/>
    <mergeCell ref="DJ527:DJ528"/>
    <mergeCell ref="DN527:DN528"/>
    <mergeCell ref="DR527:DR528"/>
    <mergeCell ref="DT527:DT528"/>
    <mergeCell ref="DY527:DY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DO525:DO528"/>
    <mergeCell ref="DQ525:DQ528"/>
    <mergeCell ref="DR525:DR526"/>
    <mergeCell ref="EQ520:EQ523"/>
    <mergeCell ref="ER520:ER523"/>
    <mergeCell ref="ES520:ES523"/>
    <mergeCell ref="ET520:ET523"/>
    <mergeCell ref="EV520:EV523"/>
    <mergeCell ref="EX520:EX521"/>
    <mergeCell ref="EY520:EY521"/>
    <mergeCell ref="EZ520:EZ521"/>
    <mergeCell ref="FA520:FA521"/>
    <mergeCell ref="IG522:IG523"/>
    <mergeCell ref="IK522:IK523"/>
    <mergeCell ref="IM522:IM523"/>
    <mergeCell ref="GA520:GA523"/>
    <mergeCell ref="GB520:GB523"/>
    <mergeCell ref="GC520:GC523"/>
    <mergeCell ref="GD520:GD523"/>
    <mergeCell ref="GE520:GE523"/>
    <mergeCell ref="GF520:GF523"/>
    <mergeCell ref="GG520:GG523"/>
    <mergeCell ref="GH520:GH523"/>
    <mergeCell ref="GK520:GK523"/>
    <mergeCell ref="IB520:IB522"/>
    <mergeCell ref="IC520:IC521"/>
    <mergeCell ref="IF520:IF523"/>
    <mergeCell ref="IG520:IG521"/>
    <mergeCell ref="IH520:IH523"/>
    <mergeCell ref="IK520:IK521"/>
    <mergeCell ref="IL520:IL523"/>
    <mergeCell ref="IM520:IM521"/>
    <mergeCell ref="FB520:FB521"/>
    <mergeCell ref="FC520:FC523"/>
    <mergeCell ref="FE520:FE521"/>
    <mergeCell ref="FG520:FG523"/>
    <mergeCell ref="FH520:FH523"/>
    <mergeCell ref="FL520:FL521"/>
    <mergeCell ref="FM520:FM521"/>
    <mergeCell ref="FN520:FN521"/>
    <mergeCell ref="FO520:FO521"/>
    <mergeCell ref="FQ520:FQ521"/>
    <mergeCell ref="FS520:FS521"/>
    <mergeCell ref="FT520:FT521"/>
    <mergeCell ref="FU520:FU521"/>
    <mergeCell ref="FV520:FV521"/>
    <mergeCell ref="FU522:FU523"/>
    <mergeCell ref="FV522:FV523"/>
    <mergeCell ref="FW522:FW523"/>
    <mergeCell ref="FX522:FX523"/>
    <mergeCell ref="IC522:IC523"/>
    <mergeCell ref="EO525:EO528"/>
    <mergeCell ref="EP525:EP528"/>
    <mergeCell ref="EQ525:EQ528"/>
    <mergeCell ref="ER525:ER528"/>
    <mergeCell ref="ES525:ES528"/>
    <mergeCell ref="ET525:ET528"/>
    <mergeCell ref="EV525:EV528"/>
    <mergeCell ref="DR520:DR521"/>
    <mergeCell ref="DT520:DT521"/>
    <mergeCell ref="DU520:DU523"/>
    <mergeCell ref="EL525:EL528"/>
    <mergeCell ref="EM525:EM528"/>
    <mergeCell ref="HX526:HX527"/>
    <mergeCell ref="GM521:GM522"/>
    <mergeCell ref="GN521:GN522"/>
    <mergeCell ref="GP521:GP522"/>
    <mergeCell ref="GQ521:GQ522"/>
    <mergeCell ref="HH521:HH522"/>
    <mergeCell ref="HI521:HI522"/>
    <mergeCell ref="HJ521:HJ522"/>
    <mergeCell ref="HK521:HK522"/>
    <mergeCell ref="HL521:HL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D521:ID522"/>
    <mergeCell ref="E522:F522"/>
    <mergeCell ref="G522:L522"/>
    <mergeCell ref="P522:Q522"/>
    <mergeCell ref="S522:S523"/>
    <mergeCell ref="EI520:EI523"/>
    <mergeCell ref="EJ520:EJ523"/>
    <mergeCell ref="EK520:EK523"/>
    <mergeCell ref="DS520:DS523"/>
    <mergeCell ref="CX522:CX523"/>
    <mergeCell ref="AG521:AK521"/>
    <mergeCell ref="CY520:CY521"/>
    <mergeCell ref="ED520:ED523"/>
    <mergeCell ref="EF520:EF523"/>
    <mergeCell ref="DT522:DT523"/>
    <mergeCell ref="DY522:DY523"/>
    <mergeCell ref="EX522:EX523"/>
    <mergeCell ref="EY522:EY523"/>
    <mergeCell ref="EZ522:EZ523"/>
    <mergeCell ref="FA522:FA523"/>
    <mergeCell ref="DM520:DM521"/>
    <mergeCell ref="DO520:DO523"/>
    <mergeCell ref="DQ520:DQ523"/>
    <mergeCell ref="FY520:FY521"/>
    <mergeCell ref="AG522:AL522"/>
    <mergeCell ref="AM522:AM523"/>
    <mergeCell ref="E523:F523"/>
    <mergeCell ref="FB515:FB516"/>
    <mergeCell ref="FC515:FC518"/>
    <mergeCell ref="FE515:FE516"/>
    <mergeCell ref="FG515:FG518"/>
    <mergeCell ref="FH515:FH518"/>
    <mergeCell ref="FL515:FL516"/>
    <mergeCell ref="FM515:FM516"/>
    <mergeCell ref="FQ522:FQ523"/>
    <mergeCell ref="FS522:FS523"/>
    <mergeCell ref="FT522:FT523"/>
    <mergeCell ref="DX515:DX518"/>
    <mergeCell ref="DY515:DY516"/>
    <mergeCell ref="DZ515:DZ518"/>
    <mergeCell ref="EA515:EA518"/>
    <mergeCell ref="FW520:FW521"/>
    <mergeCell ref="FX520:FX521"/>
    <mergeCell ref="FB522:FB523"/>
    <mergeCell ref="FE522:FE523"/>
    <mergeCell ref="FL522:FL523"/>
    <mergeCell ref="EL520:EL523"/>
    <mergeCell ref="EM520:EM523"/>
    <mergeCell ref="EN520:EN523"/>
    <mergeCell ref="EO520:EO523"/>
    <mergeCell ref="EP520:EP523"/>
    <mergeCell ref="EG520:EG523"/>
    <mergeCell ref="EH520:EH523"/>
    <mergeCell ref="FU517:FU518"/>
    <mergeCell ref="FV517:FV518"/>
    <mergeCell ref="FW517:FW518"/>
    <mergeCell ref="CS517:CS518"/>
    <mergeCell ref="EC515:EC518"/>
    <mergeCell ref="FQ515:FQ516"/>
    <mergeCell ref="FS515:FS516"/>
    <mergeCell ref="FT515:FT516"/>
    <mergeCell ref="FU515:FU516"/>
    <mergeCell ref="FM522:FM523"/>
    <mergeCell ref="FN522:FN523"/>
    <mergeCell ref="FO522:FO523"/>
    <mergeCell ref="CZ522:CZ523"/>
    <mergeCell ref="DF522:DF523"/>
    <mergeCell ref="DG522:DG523"/>
    <mergeCell ref="DH522:DH523"/>
    <mergeCell ref="DF520:DF521"/>
    <mergeCell ref="DG520:DG521"/>
    <mergeCell ref="DH520:DH521"/>
    <mergeCell ref="DI520:DI521"/>
    <mergeCell ref="DI522:DI523"/>
    <mergeCell ref="DJ522:DJ523"/>
    <mergeCell ref="DN522:DN523"/>
    <mergeCell ref="DR522:DR523"/>
    <mergeCell ref="CZ520:CZ521"/>
    <mergeCell ref="DA520:DA523"/>
    <mergeCell ref="DB520:DB523"/>
    <mergeCell ref="DC520:DC523"/>
    <mergeCell ref="DD520:DD523"/>
    <mergeCell ref="DJ520:DJ521"/>
    <mergeCell ref="DK520:DK523"/>
    <mergeCell ref="FP517:FP518"/>
    <mergeCell ref="DV520:DV523"/>
    <mergeCell ref="DX520:DX523"/>
    <mergeCell ref="DY520:DY521"/>
    <mergeCell ref="DZ520:DZ523"/>
    <mergeCell ref="EA520:EA523"/>
    <mergeCell ref="EC520:EC523"/>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CR517:CR518"/>
    <mergeCell ref="CY522:CY523"/>
    <mergeCell ref="ER515:ER518"/>
    <mergeCell ref="EI515:EI518"/>
    <mergeCell ref="EJ515:EJ518"/>
    <mergeCell ref="EK515:EK518"/>
    <mergeCell ref="ES515:ES518"/>
    <mergeCell ref="ET515:ET518"/>
    <mergeCell ref="EV515:EV518"/>
    <mergeCell ref="EX515:EX516"/>
    <mergeCell ref="EY515:EY516"/>
    <mergeCell ref="EZ515:EZ516"/>
    <mergeCell ref="FA515:FA516"/>
    <mergeCell ref="B515:B518"/>
    <mergeCell ref="C515:D518"/>
    <mergeCell ref="IF515:IF518"/>
    <mergeCell ref="IG515:IG516"/>
    <mergeCell ref="IH515:IH518"/>
    <mergeCell ref="E516:F516"/>
    <mergeCell ref="G516:L516"/>
    <mergeCell ref="P516:Q516"/>
    <mergeCell ref="GM516:GM517"/>
    <mergeCell ref="GN516:GN517"/>
    <mergeCell ref="GP516:GP517"/>
    <mergeCell ref="GQ516:GQ517"/>
    <mergeCell ref="HH516:HH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HW516:HW517"/>
    <mergeCell ref="HX516:HX517"/>
    <mergeCell ref="HY516:HY517"/>
    <mergeCell ref="HZ516:HZ517"/>
    <mergeCell ref="EL515:EL518"/>
    <mergeCell ref="EM515:EM518"/>
    <mergeCell ref="EN515:EN518"/>
    <mergeCell ref="EO515:EO518"/>
    <mergeCell ref="EP515:EP518"/>
    <mergeCell ref="EQ515:EQ518"/>
    <mergeCell ref="DJ517:DJ518"/>
    <mergeCell ref="DN517:DN518"/>
    <mergeCell ref="DR517:DR518"/>
    <mergeCell ref="DT517:DT518"/>
    <mergeCell ref="DY517:DY518"/>
    <mergeCell ref="EX517:EX518"/>
    <mergeCell ref="EY517:EY518"/>
    <mergeCell ref="EZ517:EZ518"/>
    <mergeCell ref="FA517:FA518"/>
    <mergeCell ref="FB517:FB518"/>
    <mergeCell ref="S517:S518"/>
    <mergeCell ref="AG517:AL517"/>
    <mergeCell ref="AM517:AM518"/>
    <mergeCell ref="ED515:ED518"/>
    <mergeCell ref="EH515:EH518"/>
    <mergeCell ref="FE517:FE518"/>
    <mergeCell ref="FL517:FL518"/>
    <mergeCell ref="FM517:FM518"/>
    <mergeCell ref="FN517:FN518"/>
    <mergeCell ref="FO515:FO516"/>
    <mergeCell ref="IK512:IK513"/>
    <mergeCell ref="IM512:IM513"/>
    <mergeCell ref="DH515:DH516"/>
    <mergeCell ref="DI515:DI516"/>
    <mergeCell ref="DJ515:DJ516"/>
    <mergeCell ref="DK515:DK518"/>
    <mergeCell ref="DM515:DM516"/>
    <mergeCell ref="DO515:DO518"/>
    <mergeCell ref="DQ515:DQ518"/>
    <mergeCell ref="DR515:DR516"/>
    <mergeCell ref="DS515:DS518"/>
    <mergeCell ref="DT515:DT516"/>
    <mergeCell ref="DU515:DU518"/>
    <mergeCell ref="DV515:DV518"/>
    <mergeCell ref="EP510:EP513"/>
    <mergeCell ref="EQ510:EQ513"/>
    <mergeCell ref="ER510:ER513"/>
    <mergeCell ref="ES510:ES513"/>
    <mergeCell ref="ET510:ET513"/>
    <mergeCell ref="EV510:EV513"/>
    <mergeCell ref="FQ510:FQ511"/>
    <mergeCell ref="FS510:FS511"/>
    <mergeCell ref="FT510:FT511"/>
    <mergeCell ref="DF512:DF513"/>
    <mergeCell ref="DG512:DG513"/>
    <mergeCell ref="DH512:DH513"/>
    <mergeCell ref="DI512:DI513"/>
    <mergeCell ref="DJ512:DJ513"/>
    <mergeCell ref="FY517:FY518"/>
    <mergeCell ref="HM516:HM517"/>
    <mergeCell ref="HN516:HN517"/>
    <mergeCell ref="GA515:GA518"/>
    <mergeCell ref="GB515:GB518"/>
    <mergeCell ref="GC515:GC518"/>
    <mergeCell ref="GD515:GD518"/>
    <mergeCell ref="GE515:GE518"/>
    <mergeCell ref="GF515:GF518"/>
    <mergeCell ref="IL510:IL513"/>
    <mergeCell ref="IM510:IM511"/>
    <mergeCell ref="ID516:ID517"/>
    <mergeCell ref="HO516:HO517"/>
    <mergeCell ref="HP516:HP517"/>
    <mergeCell ref="HQ516:HQ517"/>
    <mergeCell ref="HR516:HR517"/>
    <mergeCell ref="HS516:HS517"/>
    <mergeCell ref="HT516:HT517"/>
    <mergeCell ref="HU516:HU517"/>
    <mergeCell ref="HV516:HV517"/>
    <mergeCell ref="GG515:GG518"/>
    <mergeCell ref="GH515:GH518"/>
    <mergeCell ref="GK515:GK518"/>
    <mergeCell ref="IB515:IB517"/>
    <mergeCell ref="EF515:EF518"/>
    <mergeCell ref="EG515:EG518"/>
    <mergeCell ref="IC517:IC518"/>
    <mergeCell ref="FO517:FO518"/>
    <mergeCell ref="FQ517:FQ518"/>
    <mergeCell ref="FS517:FS518"/>
    <mergeCell ref="FT517:FT518"/>
    <mergeCell ref="FX517:FX518"/>
    <mergeCell ref="FN515:FN516"/>
    <mergeCell ref="FV515:FV516"/>
    <mergeCell ref="FW515:FW516"/>
    <mergeCell ref="CW510:CW511"/>
    <mergeCell ref="GP511:GP512"/>
    <mergeCell ref="FC505:FC508"/>
    <mergeCell ref="FE505:FE506"/>
    <mergeCell ref="FG505:FG508"/>
    <mergeCell ref="ED510:ED513"/>
    <mergeCell ref="EF510:EF513"/>
    <mergeCell ref="FM510:FM511"/>
    <mergeCell ref="FN510:FN511"/>
    <mergeCell ref="FO510:FO511"/>
    <mergeCell ref="EZ507:EZ508"/>
    <mergeCell ref="FA507:FA508"/>
    <mergeCell ref="FB505:FB506"/>
    <mergeCell ref="FW510:FW511"/>
    <mergeCell ref="FX510:FX511"/>
    <mergeCell ref="FB512:FB513"/>
    <mergeCell ref="FE512:FE513"/>
    <mergeCell ref="FL512:FL513"/>
    <mergeCell ref="FM512:FM513"/>
    <mergeCell ref="FY505:FY506"/>
    <mergeCell ref="GQ506:GQ507"/>
    <mergeCell ref="HH506:HH507"/>
    <mergeCell ref="HI506:HI507"/>
    <mergeCell ref="HJ506:HJ507"/>
    <mergeCell ref="CR512:CR513"/>
    <mergeCell ref="CS512:CS513"/>
    <mergeCell ref="CU512:CU513"/>
    <mergeCell ref="CV512:CV513"/>
    <mergeCell ref="CW512:CW513"/>
    <mergeCell ref="CX512:CX513"/>
    <mergeCell ref="CY512:CY513"/>
    <mergeCell ref="CZ512:CZ513"/>
    <mergeCell ref="FW507:FW508"/>
    <mergeCell ref="FN512:FN513"/>
    <mergeCell ref="FO512:FO513"/>
    <mergeCell ref="GM506:GM507"/>
    <mergeCell ref="GN506:GN507"/>
    <mergeCell ref="FX507:FX508"/>
    <mergeCell ref="FU507:FU508"/>
    <mergeCell ref="EO505:EO508"/>
    <mergeCell ref="EP505:EP508"/>
    <mergeCell ref="EQ505:EQ508"/>
    <mergeCell ref="ER505:ER508"/>
    <mergeCell ref="ES505:ES508"/>
    <mergeCell ref="ET505:ET508"/>
    <mergeCell ref="FH510:FH513"/>
    <mergeCell ref="FL510:FL511"/>
    <mergeCell ref="FO507:FO508"/>
    <mergeCell ref="DY507:DY508"/>
    <mergeCell ref="EX507:EX508"/>
    <mergeCell ref="EY507:EY508"/>
    <mergeCell ref="FV507:FV508"/>
    <mergeCell ref="DD510:DD513"/>
    <mergeCell ref="DF510:DF511"/>
    <mergeCell ref="DG510:DG511"/>
    <mergeCell ref="DH510:DH511"/>
    <mergeCell ref="DI510:DI511"/>
    <mergeCell ref="DJ510:DJ511"/>
    <mergeCell ref="DK510:DK513"/>
    <mergeCell ref="DM510:DM511"/>
    <mergeCell ref="DO510:DO513"/>
    <mergeCell ref="DQ510:DQ513"/>
    <mergeCell ref="DR510:DR511"/>
    <mergeCell ref="DS510:DS513"/>
    <mergeCell ref="IM517:IM518"/>
    <mergeCell ref="DH517:DH518"/>
    <mergeCell ref="DI517:DI518"/>
    <mergeCell ref="HO506:HO507"/>
    <mergeCell ref="HP506:HP507"/>
    <mergeCell ref="HQ506:HQ507"/>
    <mergeCell ref="HR506:HR507"/>
    <mergeCell ref="HS506:HS507"/>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DY510:DY511"/>
    <mergeCell ref="DZ510:DZ513"/>
    <mergeCell ref="EA510:EA513"/>
    <mergeCell ref="EC510:EC513"/>
    <mergeCell ref="FA512:FA513"/>
    <mergeCell ref="EG510:EG513"/>
    <mergeCell ref="EH510:EH513"/>
    <mergeCell ref="EI510:EI513"/>
    <mergeCell ref="EJ510:EJ513"/>
    <mergeCell ref="EK510:EK513"/>
    <mergeCell ref="EL510:EL513"/>
    <mergeCell ref="EM510:EM513"/>
    <mergeCell ref="EN510:EN513"/>
    <mergeCell ref="EO510:EO513"/>
    <mergeCell ref="HK506:HK507"/>
    <mergeCell ref="HL506:HL507"/>
    <mergeCell ref="FB507:FB508"/>
    <mergeCell ref="FE507:FE508"/>
    <mergeCell ref="FL507:FL508"/>
    <mergeCell ref="FM507:FM508"/>
    <mergeCell ref="FN507:FN508"/>
    <mergeCell ref="EX510:EX511"/>
    <mergeCell ref="EY510:EY511"/>
    <mergeCell ref="EZ510:EZ511"/>
    <mergeCell ref="FA510:FA511"/>
    <mergeCell ref="FB510:FB511"/>
    <mergeCell ref="FC510:FC513"/>
    <mergeCell ref="FE510:FE511"/>
    <mergeCell ref="DY512:DY513"/>
    <mergeCell ref="EX512:EX513"/>
    <mergeCell ref="EY512:EY513"/>
    <mergeCell ref="EZ512:EZ513"/>
    <mergeCell ref="FG510:FG513"/>
    <mergeCell ref="HM506:HM507"/>
    <mergeCell ref="HN506:HN507"/>
    <mergeCell ref="FU510:FU511"/>
    <mergeCell ref="FV510:FV511"/>
    <mergeCell ref="FS505:FS506"/>
    <mergeCell ref="DN512:DN513"/>
    <mergeCell ref="DR512:DR513"/>
    <mergeCell ref="DT512:DT513"/>
    <mergeCell ref="DG507:DG508"/>
    <mergeCell ref="DH507:DH508"/>
    <mergeCell ref="DI507:DI508"/>
    <mergeCell ref="DJ507:DJ508"/>
    <mergeCell ref="DN507:DN508"/>
    <mergeCell ref="DR507:DR508"/>
    <mergeCell ref="DT507:DT508"/>
    <mergeCell ref="EF505:EF508"/>
    <mergeCell ref="EG505:EG508"/>
    <mergeCell ref="EH505:EH508"/>
    <mergeCell ref="EI505:EI508"/>
    <mergeCell ref="EJ505:EJ508"/>
    <mergeCell ref="EK505:EK508"/>
    <mergeCell ref="EL505:EL508"/>
    <mergeCell ref="EM505:EM508"/>
    <mergeCell ref="EN505:EN508"/>
    <mergeCell ref="IG512:IG513"/>
    <mergeCell ref="GQ511:GQ512"/>
    <mergeCell ref="FH505:FH508"/>
    <mergeCell ref="IC512:IC513"/>
    <mergeCell ref="GA510:GA513"/>
    <mergeCell ref="GB510:GB513"/>
    <mergeCell ref="GC510:GC513"/>
    <mergeCell ref="GD510:GD513"/>
    <mergeCell ref="GE510:GE513"/>
    <mergeCell ref="GF510:GF513"/>
    <mergeCell ref="GG510:GG513"/>
    <mergeCell ref="GH510:GH513"/>
    <mergeCell ref="GK510:GK513"/>
    <mergeCell ref="HH511:HH512"/>
    <mergeCell ref="HI511:HI512"/>
    <mergeCell ref="HJ511:HJ512"/>
    <mergeCell ref="FT505:FT506"/>
    <mergeCell ref="FU505:FU506"/>
    <mergeCell ref="FX512:FX513"/>
    <mergeCell ref="FV505:FV506"/>
    <mergeCell ref="FW505:FW506"/>
    <mergeCell ref="FX505:FX506"/>
    <mergeCell ref="GA505:GA508"/>
    <mergeCell ref="GB505:GB508"/>
    <mergeCell ref="GC505:GC508"/>
    <mergeCell ref="GD505:GD508"/>
    <mergeCell ref="GE505:GE508"/>
    <mergeCell ref="GF505:GF508"/>
    <mergeCell ref="GG505:GG508"/>
    <mergeCell ref="GH505:GH508"/>
    <mergeCell ref="GM511:GM512"/>
    <mergeCell ref="GN511:GN512"/>
    <mergeCell ref="IB510:IB512"/>
    <mergeCell ref="IC510:IC511"/>
    <mergeCell ref="FQ512:FQ513"/>
    <mergeCell ref="FS512:FS513"/>
    <mergeCell ref="FU512:FU513"/>
    <mergeCell ref="FV512:FV513"/>
    <mergeCell ref="FW512:FW513"/>
    <mergeCell ref="FL505:FL506"/>
    <mergeCell ref="FM505:FM506"/>
    <mergeCell ref="DT510:DT511"/>
    <mergeCell ref="EV505:EV508"/>
    <mergeCell ref="EX505:EX506"/>
    <mergeCell ref="EY505:EY506"/>
    <mergeCell ref="FT512:FT513"/>
    <mergeCell ref="DX510:DX513"/>
    <mergeCell ref="FY510:FY511"/>
    <mergeCell ref="C505:D508"/>
    <mergeCell ref="E505:F505"/>
    <mergeCell ref="G505:R505"/>
    <mergeCell ref="S505:S506"/>
    <mergeCell ref="U505:AA505"/>
    <mergeCell ref="AG505:AL505"/>
    <mergeCell ref="AM505:AM506"/>
    <mergeCell ref="AN505:AN506"/>
    <mergeCell ref="AO505:AO506"/>
    <mergeCell ref="AP505:AQ508"/>
    <mergeCell ref="AR505:AT508"/>
    <mergeCell ref="AU505:AU508"/>
    <mergeCell ref="AV505:AV508"/>
    <mergeCell ref="AW505:AW508"/>
    <mergeCell ref="AY505:AY508"/>
    <mergeCell ref="AZ505:AZ508"/>
    <mergeCell ref="CP505:CP508"/>
    <mergeCell ref="CQ505:CQ508"/>
    <mergeCell ref="CR505:CR506"/>
    <mergeCell ref="CS505:CS506"/>
    <mergeCell ref="CU505:CU506"/>
    <mergeCell ref="CV505:CV506"/>
    <mergeCell ref="CW505:CW506"/>
    <mergeCell ref="CX505:CX506"/>
    <mergeCell ref="CY505:CY506"/>
    <mergeCell ref="CZ505:CZ506"/>
    <mergeCell ref="DA505:DA508"/>
    <mergeCell ref="CU502:CU503"/>
    <mergeCell ref="E507:F507"/>
    <mergeCell ref="G507:L507"/>
    <mergeCell ref="P507:Q507"/>
    <mergeCell ref="S507:S508"/>
    <mergeCell ref="AG507:AL507"/>
    <mergeCell ref="AM507:AM508"/>
    <mergeCell ref="AN507:AN508"/>
    <mergeCell ref="AO507:AO508"/>
    <mergeCell ref="E506:F506"/>
    <mergeCell ref="G506:L506"/>
    <mergeCell ref="P506:Q506"/>
    <mergeCell ref="E503:F503"/>
    <mergeCell ref="DD505:DD508"/>
    <mergeCell ref="DF505:DF506"/>
    <mergeCell ref="DG505:DG506"/>
    <mergeCell ref="DH505:DH506"/>
    <mergeCell ref="DI505:DI506"/>
    <mergeCell ref="DJ505:DJ506"/>
    <mergeCell ref="DK505:DK508"/>
    <mergeCell ref="DM505:DM506"/>
    <mergeCell ref="DO505:DO508"/>
    <mergeCell ref="DQ505:DQ508"/>
    <mergeCell ref="GD500:GD503"/>
    <mergeCell ref="GE500:GE503"/>
    <mergeCell ref="IF505:IF508"/>
    <mergeCell ref="B500:B503"/>
    <mergeCell ref="C500:D503"/>
    <mergeCell ref="E500:F500"/>
    <mergeCell ref="G500:R500"/>
    <mergeCell ref="S500:S501"/>
    <mergeCell ref="HY506:HY507"/>
    <mergeCell ref="FS502:FS503"/>
    <mergeCell ref="HX501:HX502"/>
    <mergeCell ref="FS507:FS508"/>
    <mergeCell ref="HV506:HV507"/>
    <mergeCell ref="HW506:HW507"/>
    <mergeCell ref="FW500:FW501"/>
    <mergeCell ref="AG506:AK506"/>
    <mergeCell ref="HG506:HG507"/>
    <mergeCell ref="DU510:DU513"/>
    <mergeCell ref="IG505:IG506"/>
    <mergeCell ref="IG502:IG503"/>
    <mergeCell ref="DV510:DV513"/>
    <mergeCell ref="DG500:DG501"/>
    <mergeCell ref="DH500:DH501"/>
    <mergeCell ref="DI500:DI501"/>
    <mergeCell ref="DJ500:DJ501"/>
    <mergeCell ref="DK500:DK503"/>
    <mergeCell ref="DM500:DM501"/>
    <mergeCell ref="DO500:DO503"/>
    <mergeCell ref="DQ500:DQ503"/>
    <mergeCell ref="DR500:DR501"/>
    <mergeCell ref="CX500:CX501"/>
    <mergeCell ref="CY500:CY501"/>
    <mergeCell ref="CZ500:CZ501"/>
    <mergeCell ref="DA500:DA503"/>
    <mergeCell ref="DB500:DB503"/>
    <mergeCell ref="DC500:DC503"/>
    <mergeCell ref="DD500:DD503"/>
    <mergeCell ref="DZ500:DZ503"/>
    <mergeCell ref="EA500:EA503"/>
    <mergeCell ref="EC500:EC503"/>
    <mergeCell ref="DF507:DF508"/>
    <mergeCell ref="EC505:EC508"/>
    <mergeCell ref="ED505:ED508"/>
    <mergeCell ref="DR505:DR506"/>
    <mergeCell ref="DS505:DS508"/>
    <mergeCell ref="DT505:DT506"/>
    <mergeCell ref="DU505:DU508"/>
    <mergeCell ref="DV505:DV508"/>
    <mergeCell ref="DX505:DX508"/>
    <mergeCell ref="DY505:DY506"/>
    <mergeCell ref="DZ505:DZ508"/>
    <mergeCell ref="EA505:EA508"/>
    <mergeCell ref="G503:L503"/>
    <mergeCell ref="B505:B508"/>
    <mergeCell ref="CX510:CX511"/>
    <mergeCell ref="CY510:CY511"/>
    <mergeCell ref="CZ510:CZ511"/>
    <mergeCell ref="DA510:DA513"/>
    <mergeCell ref="DB510:DB513"/>
    <mergeCell ref="DC510:DC513"/>
    <mergeCell ref="FQ500:FQ501"/>
    <mergeCell ref="FS500:FS501"/>
    <mergeCell ref="FT500:FT501"/>
    <mergeCell ref="EX500:EX501"/>
    <mergeCell ref="EY500:EY501"/>
    <mergeCell ref="EZ500:EZ501"/>
    <mergeCell ref="FE500:FE501"/>
    <mergeCell ref="FG500:FG503"/>
    <mergeCell ref="GB500:GB503"/>
    <mergeCell ref="GC500:GC503"/>
    <mergeCell ref="CX507:CX508"/>
    <mergeCell ref="CY507:CY508"/>
    <mergeCell ref="CZ507:CZ508"/>
    <mergeCell ref="HT506:HT507"/>
    <mergeCell ref="HU506:HU507"/>
    <mergeCell ref="DS500:DS503"/>
    <mergeCell ref="FT507:FT508"/>
    <mergeCell ref="FN505:FN506"/>
    <mergeCell ref="FO505:FO506"/>
    <mergeCell ref="FQ505:FQ506"/>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A505:FA506"/>
    <mergeCell ref="EX502:EX503"/>
    <mergeCell ref="EY502:EY503"/>
    <mergeCell ref="DT500:DT501"/>
    <mergeCell ref="DU500:DU503"/>
    <mergeCell ref="DV500:DV503"/>
    <mergeCell ref="DX500:DX503"/>
    <mergeCell ref="DY500:DY501"/>
    <mergeCell ref="FL500:FL501"/>
    <mergeCell ref="FM500:FM501"/>
    <mergeCell ref="E501:F501"/>
    <mergeCell ref="G501:L501"/>
    <mergeCell ref="P501:Q501"/>
    <mergeCell ref="FQ507:FQ508"/>
    <mergeCell ref="P502:Q502"/>
    <mergeCell ref="AG502:AL502"/>
    <mergeCell ref="CX502:CX503"/>
    <mergeCell ref="CY502:CY503"/>
    <mergeCell ref="CZ502:CZ503"/>
    <mergeCell ref="DF500:DF501"/>
    <mergeCell ref="AO502:AO503"/>
    <mergeCell ref="CR502:CR503"/>
    <mergeCell ref="CS502:CS503"/>
    <mergeCell ref="DB505:DB508"/>
    <mergeCell ref="GK495:GK498"/>
    <mergeCell ref="FM497:FM498"/>
    <mergeCell ref="EP500:EP503"/>
    <mergeCell ref="EQ500:EQ503"/>
    <mergeCell ref="ER500:ER503"/>
    <mergeCell ref="ES500:ES503"/>
    <mergeCell ref="ET500:ET503"/>
    <mergeCell ref="EV500:EV503"/>
    <mergeCell ref="FU500:FU501"/>
    <mergeCell ref="FV500:FV501"/>
    <mergeCell ref="FX500:FX501"/>
    <mergeCell ref="GN496:GN497"/>
    <mergeCell ref="FN497:FN498"/>
    <mergeCell ref="AM500:AM501"/>
    <mergeCell ref="AN500:AN501"/>
    <mergeCell ref="AO500:AO501"/>
    <mergeCell ref="AP500:AQ503"/>
    <mergeCell ref="AR500:AT503"/>
    <mergeCell ref="AU500:AU503"/>
    <mergeCell ref="AV500:AV503"/>
    <mergeCell ref="AW500:AW503"/>
    <mergeCell ref="FA500:FA501"/>
    <mergeCell ref="FB500:FB501"/>
    <mergeCell ref="FC500:FC503"/>
    <mergeCell ref="FH500:FH503"/>
    <mergeCell ref="GA500:GA503"/>
    <mergeCell ref="DF502:DF503"/>
    <mergeCell ref="FP500:FP501"/>
    <mergeCell ref="GA495:GA498"/>
    <mergeCell ref="GB495:GB498"/>
    <mergeCell ref="GC495:GC498"/>
    <mergeCell ref="EZ505:EZ506"/>
    <mergeCell ref="AY500:AY503"/>
    <mergeCell ref="AZ500:AZ503"/>
    <mergeCell ref="CP500:CP503"/>
    <mergeCell ref="CQ500:CQ503"/>
    <mergeCell ref="CR500:CR501"/>
    <mergeCell ref="CS500:CS501"/>
    <mergeCell ref="CU500:CU501"/>
    <mergeCell ref="CV500:CV501"/>
    <mergeCell ref="CW500:CW501"/>
    <mergeCell ref="DG502:DG503"/>
    <mergeCell ref="FB495:FB496"/>
    <mergeCell ref="FC495:FC498"/>
    <mergeCell ref="FE495:FE496"/>
    <mergeCell ref="FG495:FG498"/>
    <mergeCell ref="FH495:FH498"/>
    <mergeCell ref="FL495:FL496"/>
    <mergeCell ref="FM495:FM496"/>
    <mergeCell ref="FN495:FN496"/>
    <mergeCell ref="FT502:FT503"/>
    <mergeCell ref="EK500:EK503"/>
    <mergeCell ref="FN500:FN501"/>
    <mergeCell ref="FO500:FO501"/>
    <mergeCell ref="FU495:FU496"/>
    <mergeCell ref="FV495:FV496"/>
    <mergeCell ref="ES495:ES498"/>
    <mergeCell ref="EV495:EV498"/>
    <mergeCell ref="EX495:EX496"/>
    <mergeCell ref="EY495:EY496"/>
    <mergeCell ref="EZ495:EZ496"/>
    <mergeCell ref="FA495:FA496"/>
    <mergeCell ref="CX497:CX498"/>
    <mergeCell ref="DN502:DN503"/>
    <mergeCell ref="DH495:DH496"/>
    <mergeCell ref="DC505:DC508"/>
    <mergeCell ref="HJ496:HJ497"/>
    <mergeCell ref="HK496:HK497"/>
    <mergeCell ref="HL496:HL497"/>
    <mergeCell ref="HM496:HM497"/>
    <mergeCell ref="FX497:FX498"/>
    <mergeCell ref="FW495:FW496"/>
    <mergeCell ref="FX495:FX496"/>
    <mergeCell ref="HR496:HR497"/>
    <mergeCell ref="HS496:HS497"/>
    <mergeCell ref="HT496:HT497"/>
    <mergeCell ref="HU496:HU497"/>
    <mergeCell ref="HV496:HV497"/>
    <mergeCell ref="HW496:HW497"/>
    <mergeCell ref="HX496:HX497"/>
    <mergeCell ref="FY495:FY496"/>
    <mergeCell ref="CV502:CV503"/>
    <mergeCell ref="CW502:CW503"/>
    <mergeCell ref="E502:F502"/>
    <mergeCell ref="G502:L502"/>
    <mergeCell ref="HH496:HH497"/>
    <mergeCell ref="HI496:HI497"/>
    <mergeCell ref="FS497:FS498"/>
    <mergeCell ref="FT497:FT498"/>
    <mergeCell ref="FU497:FU498"/>
    <mergeCell ref="FV497:FV498"/>
    <mergeCell ref="FW497:FW498"/>
    <mergeCell ref="AN497:AN498"/>
    <mergeCell ref="AO497:AO498"/>
    <mergeCell ref="CR497:CR498"/>
    <mergeCell ref="CS497:CS498"/>
    <mergeCell ref="CU497:CU498"/>
    <mergeCell ref="CV497:CV498"/>
    <mergeCell ref="CW497:CW498"/>
    <mergeCell ref="EI495:EI498"/>
    <mergeCell ref="EJ495:EJ498"/>
    <mergeCell ref="EK495:EK498"/>
    <mergeCell ref="EL495:EL498"/>
    <mergeCell ref="EM495:EM498"/>
    <mergeCell ref="EN495:EN498"/>
    <mergeCell ref="EO495:EO498"/>
    <mergeCell ref="EP495:EP498"/>
    <mergeCell ref="EQ495:EQ498"/>
    <mergeCell ref="ER495:ER498"/>
    <mergeCell ref="DX495:DX498"/>
    <mergeCell ref="ET495:ET498"/>
    <mergeCell ref="DZ495:DZ498"/>
    <mergeCell ref="EA495:EA498"/>
    <mergeCell ref="EC495:EC498"/>
    <mergeCell ref="ED495:ED498"/>
    <mergeCell ref="EF495:EF498"/>
    <mergeCell ref="EZ497:EZ498"/>
    <mergeCell ref="FA497:FA498"/>
    <mergeCell ref="FB497:FB498"/>
    <mergeCell ref="FE497:FE498"/>
    <mergeCell ref="DY495:DY496"/>
    <mergeCell ref="DU495:DU498"/>
    <mergeCell ref="DV495:DV498"/>
    <mergeCell ref="DJ502:DJ503"/>
    <mergeCell ref="AM502:AM503"/>
    <mergeCell ref="EN500:EN503"/>
    <mergeCell ref="EO500:EO503"/>
    <mergeCell ref="AN502:AN503"/>
    <mergeCell ref="DS495:DS498"/>
    <mergeCell ref="DT495:DT496"/>
    <mergeCell ref="HY496:HY497"/>
    <mergeCell ref="ID496:ID497"/>
    <mergeCell ref="IC497:IC498"/>
    <mergeCell ref="HN496:HN497"/>
    <mergeCell ref="HO496:HO497"/>
    <mergeCell ref="HP496:HP497"/>
    <mergeCell ref="HQ496:HQ497"/>
    <mergeCell ref="FP490:FP491"/>
    <mergeCell ref="EZ490:EZ491"/>
    <mergeCell ref="EZ492:EZ493"/>
    <mergeCell ref="FA492:FA493"/>
    <mergeCell ref="EO490:EO493"/>
    <mergeCell ref="EP490:EP493"/>
    <mergeCell ref="EQ490:EQ493"/>
    <mergeCell ref="ER490:ER493"/>
    <mergeCell ref="ES490:ES493"/>
    <mergeCell ref="DY492:DY493"/>
    <mergeCell ref="EX492:EX493"/>
    <mergeCell ref="EY492:EY493"/>
    <mergeCell ref="FU502:FU503"/>
    <mergeCell ref="FV502:FV503"/>
    <mergeCell ref="FW502:FW503"/>
    <mergeCell ref="FX502:FX503"/>
    <mergeCell ref="DH502:DH503"/>
    <mergeCell ref="DI502:DI503"/>
    <mergeCell ref="FU490:FU491"/>
    <mergeCell ref="FV490:FV491"/>
    <mergeCell ref="DR502:DR503"/>
    <mergeCell ref="DT502:DT503"/>
    <mergeCell ref="DY502:DY503"/>
    <mergeCell ref="EL500:EL503"/>
    <mergeCell ref="EM500:EM503"/>
    <mergeCell ref="ED500:ED503"/>
    <mergeCell ref="EF500:EF503"/>
    <mergeCell ref="EG500:EG503"/>
    <mergeCell ref="EH500:EH503"/>
    <mergeCell ref="EI500:EI503"/>
    <mergeCell ref="EJ500:EJ503"/>
    <mergeCell ref="EZ502:EZ503"/>
    <mergeCell ref="FA502:FA503"/>
    <mergeCell ref="FB502:FB503"/>
    <mergeCell ref="FE502:FE503"/>
    <mergeCell ref="FL502:FL503"/>
    <mergeCell ref="FM502:FM503"/>
    <mergeCell ref="FN502:FN503"/>
    <mergeCell ref="FO502:FO503"/>
    <mergeCell ref="FQ502:FQ503"/>
    <mergeCell ref="FO497:FO498"/>
    <mergeCell ref="DR497:DR498"/>
    <mergeCell ref="DT497:DT498"/>
    <mergeCell ref="DY497:DY498"/>
    <mergeCell ref="FQ497:FQ498"/>
    <mergeCell ref="DH497:DH498"/>
    <mergeCell ref="DI497:DI498"/>
    <mergeCell ref="DJ497:DJ498"/>
    <mergeCell ref="DN497:DN498"/>
    <mergeCell ref="DK495:DK498"/>
    <mergeCell ref="DM495:DM496"/>
    <mergeCell ref="EX497:EX498"/>
    <mergeCell ref="EY497:EY498"/>
    <mergeCell ref="FO495:FO496"/>
    <mergeCell ref="FQ495:FQ496"/>
    <mergeCell ref="FS495:FS496"/>
    <mergeCell ref="FT495:FT496"/>
    <mergeCell ref="B490:B493"/>
    <mergeCell ref="C490:D493"/>
    <mergeCell ref="S490:S491"/>
    <mergeCell ref="IM490:IM491"/>
    <mergeCell ref="IN490:IN493"/>
    <mergeCell ref="E491:F491"/>
    <mergeCell ref="G491:L491"/>
    <mergeCell ref="P491:Q491"/>
    <mergeCell ref="GM491:GM492"/>
    <mergeCell ref="GN491:GN492"/>
    <mergeCell ref="GP491:GP492"/>
    <mergeCell ref="GQ491:GQ492"/>
    <mergeCell ref="HH491:HH492"/>
    <mergeCell ref="HI491:HI492"/>
    <mergeCell ref="HJ491:HJ492"/>
    <mergeCell ref="HK491:HK492"/>
    <mergeCell ref="HL491:HL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D491:ID492"/>
    <mergeCell ref="E492:F492"/>
    <mergeCell ref="G492:L492"/>
    <mergeCell ref="P492:Q492"/>
    <mergeCell ref="S492:S493"/>
    <mergeCell ref="AG492:AL492"/>
    <mergeCell ref="AM492:AM493"/>
    <mergeCell ref="FU492:FU493"/>
    <mergeCell ref="FV492:FV493"/>
    <mergeCell ref="FW492:FW493"/>
    <mergeCell ref="FX492:FX493"/>
    <mergeCell ref="IC492:IC493"/>
    <mergeCell ref="IG492:IG493"/>
    <mergeCell ref="IK492:IK493"/>
    <mergeCell ref="DM490:DM491"/>
    <mergeCell ref="AN492:AN493"/>
    <mergeCell ref="CX492:CX493"/>
    <mergeCell ref="IM492:IM493"/>
    <mergeCell ref="U493:AA493"/>
    <mergeCell ref="AG493:AL493"/>
    <mergeCell ref="EN490:EN493"/>
    <mergeCell ref="DR492:DR493"/>
    <mergeCell ref="DT492:DT493"/>
    <mergeCell ref="E490:F490"/>
    <mergeCell ref="DY490:DY491"/>
    <mergeCell ref="DZ490:DZ493"/>
    <mergeCell ref="AW490:AW493"/>
    <mergeCell ref="AP490:AQ493"/>
    <mergeCell ref="CZ492:CZ493"/>
    <mergeCell ref="DF492:DF493"/>
    <mergeCell ref="DG492:DG493"/>
    <mergeCell ref="DH492:DH493"/>
    <mergeCell ref="DI492:DI493"/>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N492:FN493"/>
    <mergeCell ref="E496:F496"/>
    <mergeCell ref="G496:L496"/>
    <mergeCell ref="DO490:DO493"/>
    <mergeCell ref="DQ490:DQ493"/>
    <mergeCell ref="DR490:DR491"/>
    <mergeCell ref="EG495:EG498"/>
    <mergeCell ref="EH495:EH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S490:DS493"/>
    <mergeCell ref="CZ490:CZ491"/>
    <mergeCell ref="CZ497:CZ498"/>
    <mergeCell ref="FL497:FL498"/>
    <mergeCell ref="DO495:DO498"/>
    <mergeCell ref="DQ495:DQ498"/>
    <mergeCell ref="DR495:DR496"/>
    <mergeCell ref="CY497:CY498"/>
    <mergeCell ref="DJ492:DJ493"/>
    <mergeCell ref="DN492:DN493"/>
    <mergeCell ref="E494:AW494"/>
    <mergeCell ref="AR490:AT493"/>
    <mergeCell ref="AU490:AU493"/>
    <mergeCell ref="EA490:EA493"/>
    <mergeCell ref="EC490:EC493"/>
    <mergeCell ref="ED490:ED493"/>
    <mergeCell ref="EF490:EF493"/>
    <mergeCell ref="EG490:EG493"/>
    <mergeCell ref="EH490:EH493"/>
    <mergeCell ref="EI490:EI493"/>
    <mergeCell ref="EJ490:EJ493"/>
    <mergeCell ref="EK490:EK493"/>
    <mergeCell ref="EL490:EL493"/>
    <mergeCell ref="EM490:EM493"/>
    <mergeCell ref="FA490:FA491"/>
    <mergeCell ref="FB490:FB491"/>
    <mergeCell ref="FC490:FC493"/>
    <mergeCell ref="FG490:FG493"/>
    <mergeCell ref="FH490:FH493"/>
    <mergeCell ref="FL490:FL491"/>
    <mergeCell ref="FM490:FM491"/>
    <mergeCell ref="FN490:FN491"/>
    <mergeCell ref="FO490:FO491"/>
    <mergeCell ref="GG490:GG493"/>
    <mergeCell ref="GH490:GH493"/>
    <mergeCell ref="GK490:GK493"/>
    <mergeCell ref="ET490:ET493"/>
    <mergeCell ref="EV490:EV493"/>
    <mergeCell ref="EY487:EY488"/>
    <mergeCell ref="EZ487:EZ488"/>
    <mergeCell ref="FA487:FA488"/>
    <mergeCell ref="FB487:FB488"/>
    <mergeCell ref="FE487:FE488"/>
    <mergeCell ref="FL487:FL488"/>
    <mergeCell ref="FP485:FP486"/>
    <mergeCell ref="ER485:ER488"/>
    <mergeCell ref="ES485:ES488"/>
    <mergeCell ref="ET485:ET488"/>
    <mergeCell ref="EC485:EC488"/>
    <mergeCell ref="ED485:ED488"/>
    <mergeCell ref="EF485:EF488"/>
    <mergeCell ref="EG485:EG488"/>
    <mergeCell ref="EH485:EH488"/>
    <mergeCell ref="EI485:EI488"/>
    <mergeCell ref="EJ485:EJ488"/>
    <mergeCell ref="EK485:EK488"/>
    <mergeCell ref="EL485:EL488"/>
    <mergeCell ref="EM485:EM488"/>
    <mergeCell ref="EN485:EN488"/>
    <mergeCell ref="FM485:FM486"/>
    <mergeCell ref="FN485:FN486"/>
    <mergeCell ref="FO485:FO486"/>
    <mergeCell ref="FQ485:FQ486"/>
    <mergeCell ref="FS485:FS486"/>
    <mergeCell ref="FT485:FT486"/>
    <mergeCell ref="EX487:EX488"/>
    <mergeCell ref="CA878:CA879"/>
    <mergeCell ref="CB878:CB879"/>
    <mergeCell ref="CC878:CC879"/>
    <mergeCell ref="DD495:DD498"/>
    <mergeCell ref="DF495:DF496"/>
    <mergeCell ref="DG495:DG496"/>
    <mergeCell ref="DF497:DF498"/>
    <mergeCell ref="DG497:DG498"/>
    <mergeCell ref="DM485:DM486"/>
    <mergeCell ref="DO485:DO488"/>
    <mergeCell ref="DA490:DA493"/>
    <mergeCell ref="DB490:DB493"/>
    <mergeCell ref="DC490:DC493"/>
    <mergeCell ref="DD490:DD493"/>
    <mergeCell ref="DT490:DT491"/>
    <mergeCell ref="DU490:DU493"/>
    <mergeCell ref="DV490:DV493"/>
    <mergeCell ref="DX490:DX493"/>
    <mergeCell ref="DD485:DD488"/>
    <mergeCell ref="GD490:GD493"/>
    <mergeCell ref="GE490:GE493"/>
    <mergeCell ref="GF490:GF493"/>
    <mergeCell ref="FO492:FO493"/>
    <mergeCell ref="FQ492:FQ493"/>
    <mergeCell ref="FS492:FS493"/>
    <mergeCell ref="FT492:FT493"/>
    <mergeCell ref="FW490:FW491"/>
    <mergeCell ref="FX490:FX491"/>
    <mergeCell ref="GA490:GA493"/>
    <mergeCell ref="GB490:GB493"/>
    <mergeCell ref="GC490:GC493"/>
    <mergeCell ref="DF490:DF491"/>
    <mergeCell ref="DG490:DG491"/>
    <mergeCell ref="DH490:DH491"/>
    <mergeCell ref="DI490:DI491"/>
    <mergeCell ref="EX490:EX491"/>
    <mergeCell ref="EY490:EY491"/>
    <mergeCell ref="DF485:DF486"/>
    <mergeCell ref="FB492:FB493"/>
    <mergeCell ref="FE492:FE493"/>
    <mergeCell ref="FL492:FL493"/>
    <mergeCell ref="FM492:FM493"/>
    <mergeCell ref="DT485:DT486"/>
    <mergeCell ref="DU485:DU488"/>
    <mergeCell ref="DV485:DV488"/>
    <mergeCell ref="DX485:DX488"/>
    <mergeCell ref="DY485:DY486"/>
    <mergeCell ref="FT487:FT488"/>
    <mergeCell ref="FY490:FY491"/>
    <mergeCell ref="FE490:FE491"/>
    <mergeCell ref="FU485:FU486"/>
    <mergeCell ref="FV485:FV486"/>
    <mergeCell ref="FW485:FW486"/>
    <mergeCell ref="FX485:FX486"/>
    <mergeCell ref="GA485:GA488"/>
    <mergeCell ref="GB485:GB488"/>
    <mergeCell ref="GC485:GC488"/>
    <mergeCell ref="GD485:GD488"/>
    <mergeCell ref="FU487:FU488"/>
    <mergeCell ref="FV487:FV488"/>
    <mergeCell ref="FW487:FW488"/>
    <mergeCell ref="FX487:FX488"/>
    <mergeCell ref="FM487:FM488"/>
    <mergeCell ref="CD878:CD879"/>
    <mergeCell ref="CF878:CF879"/>
    <mergeCell ref="CG878:CG879"/>
    <mergeCell ref="CH878:CH879"/>
    <mergeCell ref="CJ878:CJ879"/>
    <mergeCell ref="DQ639:DR639"/>
    <mergeCell ref="DJ479:DJ480"/>
    <mergeCell ref="DQ483:DR483"/>
    <mergeCell ref="U477:AA477"/>
    <mergeCell ref="AG477:AL477"/>
    <mergeCell ref="DK477:DK480"/>
    <mergeCell ref="DQ562:DR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BO878:BO879"/>
    <mergeCell ref="BP878:BP879"/>
    <mergeCell ref="BQ878:BQ879"/>
    <mergeCell ref="BR878:BR879"/>
    <mergeCell ref="BS878:BS879"/>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N487:DN488"/>
    <mergeCell ref="DR487:DR488"/>
    <mergeCell ref="DQ485:DQ488"/>
    <mergeCell ref="DR485:DR486"/>
    <mergeCell ref="DH485:DH486"/>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DO477:DO480"/>
    <mergeCell ref="DQ477:DQ480"/>
    <mergeCell ref="DR477:DR478"/>
    <mergeCell ref="CR479:CR480"/>
    <mergeCell ref="E477:F477"/>
    <mergeCell ref="G477:R477"/>
    <mergeCell ref="AO477:AO478"/>
    <mergeCell ref="AP477:AQ480"/>
    <mergeCell ref="AR477:AT480"/>
    <mergeCell ref="AU477:AU480"/>
    <mergeCell ref="AV477:AV480"/>
    <mergeCell ref="AW477:AW480"/>
    <mergeCell ref="AY477:AY480"/>
    <mergeCell ref="AZ477:AZ480"/>
    <mergeCell ref="CP477:CP480"/>
    <mergeCell ref="DK485:DK488"/>
    <mergeCell ref="E480:F480"/>
    <mergeCell ref="CP485:CP488"/>
    <mergeCell ref="CQ485:CQ488"/>
    <mergeCell ref="CR485:CR486"/>
    <mergeCell ref="CS485:CS486"/>
    <mergeCell ref="CU485:CU486"/>
    <mergeCell ref="CV485:CV486"/>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DI485:DI486"/>
    <mergeCell ref="DJ485:DJ486"/>
    <mergeCell ref="U478:AD478"/>
    <mergeCell ref="U486:AD486"/>
    <mergeCell ref="DX483:DY483"/>
    <mergeCell ref="DQ484:DR484"/>
    <mergeCell ref="DX484:DY484"/>
    <mergeCell ref="AT483:AW483"/>
    <mergeCell ref="AU484:AW484"/>
    <mergeCell ref="AG478:AK478"/>
    <mergeCell ref="CR487:CR488"/>
    <mergeCell ref="AR484:AT484"/>
    <mergeCell ref="FN487:FN488"/>
    <mergeCell ref="FO487:FO488"/>
    <mergeCell ref="FQ487:FQ488"/>
    <mergeCell ref="FS487:FS488"/>
    <mergeCell ref="DS485:DS488"/>
    <mergeCell ref="EV485:EV488"/>
    <mergeCell ref="EX485:EX486"/>
    <mergeCell ref="EY485:EY486"/>
    <mergeCell ref="EZ485:EZ486"/>
    <mergeCell ref="FA485:FA486"/>
    <mergeCell ref="FB485:FB486"/>
    <mergeCell ref="FC485:FC488"/>
    <mergeCell ref="FE485:FE486"/>
    <mergeCell ref="CV477:CV478"/>
    <mergeCell ref="CW477:CW478"/>
    <mergeCell ref="CX477:CX478"/>
    <mergeCell ref="CY477:CY478"/>
    <mergeCell ref="CZ477:CZ478"/>
    <mergeCell ref="DA477:DA480"/>
    <mergeCell ref="DB477:DB480"/>
    <mergeCell ref="DC477:DC480"/>
    <mergeCell ref="DD477:DD480"/>
    <mergeCell ref="CS479:CS480"/>
    <mergeCell ref="CU479:CU480"/>
    <mergeCell ref="EL477:EL480"/>
    <mergeCell ref="EM477:EM480"/>
    <mergeCell ref="EN477:EN480"/>
    <mergeCell ref="EP477:EP480"/>
    <mergeCell ref="EQ477:EQ480"/>
    <mergeCell ref="ER477:ER480"/>
    <mergeCell ref="ES477:ES480"/>
    <mergeCell ref="FP477:FP478"/>
    <mergeCell ref="AG486:AK486"/>
    <mergeCell ref="AY485:AY488"/>
    <mergeCell ref="AZ485:AZ488"/>
    <mergeCell ref="EC477:EC480"/>
    <mergeCell ref="ED477:ED480"/>
    <mergeCell ref="EF477:EF480"/>
    <mergeCell ref="EG477:EG480"/>
    <mergeCell ref="EO485:EO488"/>
    <mergeCell ref="EP485:EP488"/>
    <mergeCell ref="EQ485:EQ488"/>
    <mergeCell ref="DZ485:DZ488"/>
    <mergeCell ref="EA485:EA488"/>
    <mergeCell ref="DT487:DT488"/>
    <mergeCell ref="DY487:DY488"/>
    <mergeCell ref="CV487:CV488"/>
    <mergeCell ref="FL479:FL480"/>
    <mergeCell ref="FO477:FO478"/>
    <mergeCell ref="FQ477:FQ478"/>
    <mergeCell ref="FS477:FS478"/>
    <mergeCell ref="IC474:IC475"/>
    <mergeCell ref="GF477:GF480"/>
    <mergeCell ref="DN479:DN480"/>
    <mergeCell ref="DR479:DR480"/>
    <mergeCell ref="DT479:DT480"/>
    <mergeCell ref="DY479:DY480"/>
    <mergeCell ref="GM478:GM479"/>
    <mergeCell ref="IB472:IB474"/>
    <mergeCell ref="IC472:IC473"/>
    <mergeCell ref="GN478:GN479"/>
    <mergeCell ref="GP478:GP479"/>
    <mergeCell ref="GQ478:GQ479"/>
    <mergeCell ref="CW474:CW475"/>
    <mergeCell ref="CX474:CX475"/>
    <mergeCell ref="CY474:CY475"/>
    <mergeCell ref="FX479:FX480"/>
    <mergeCell ref="HR473:HR474"/>
    <mergeCell ref="HS473:HS474"/>
    <mergeCell ref="FG485:FG488"/>
    <mergeCell ref="FH485:FH488"/>
    <mergeCell ref="FL485:FL486"/>
    <mergeCell ref="HM486:HM487"/>
    <mergeCell ref="HP473:HP474"/>
    <mergeCell ref="DG477:DG478"/>
    <mergeCell ref="DH477:DH478"/>
    <mergeCell ref="DI477:DI478"/>
    <mergeCell ref="DJ477:DJ478"/>
    <mergeCell ref="CZ479:CZ480"/>
    <mergeCell ref="DF479:DF480"/>
    <mergeCell ref="DG479:DG480"/>
    <mergeCell ref="DH479:DH480"/>
    <mergeCell ref="DI479:DI480"/>
    <mergeCell ref="FN474:FN475"/>
    <mergeCell ref="FO474:FO475"/>
    <mergeCell ref="FQ474:FQ475"/>
    <mergeCell ref="FS474:FS475"/>
    <mergeCell ref="FT474:FT475"/>
    <mergeCell ref="EQ472:EQ475"/>
    <mergeCell ref="ER472:ER475"/>
    <mergeCell ref="ES472:ES475"/>
    <mergeCell ref="ET472:ET475"/>
    <mergeCell ref="EV472:EV475"/>
    <mergeCell ref="EX472:EX473"/>
    <mergeCell ref="FV477:FV478"/>
    <mergeCell ref="FW477:FW478"/>
    <mergeCell ref="GC477:GC480"/>
    <mergeCell ref="CW487:CW488"/>
    <mergeCell ref="CX487:CX488"/>
    <mergeCell ref="CY487:CY488"/>
    <mergeCell ref="CZ487:CZ488"/>
    <mergeCell ref="ET477:ET480"/>
    <mergeCell ref="EV477:EV480"/>
    <mergeCell ref="EX477:EX478"/>
    <mergeCell ref="DG485:DG486"/>
    <mergeCell ref="EF472:EF475"/>
    <mergeCell ref="EG472:EG475"/>
    <mergeCell ref="EH472:EH475"/>
    <mergeCell ref="EI472:EI475"/>
    <mergeCell ref="EH477:EH480"/>
    <mergeCell ref="EI477:EI480"/>
    <mergeCell ref="DS477:DS480"/>
    <mergeCell ref="DT477:DT478"/>
    <mergeCell ref="DU477:DU480"/>
    <mergeCell ref="FP472:FP473"/>
    <mergeCell ref="DX472:DX475"/>
    <mergeCell ref="DY472:DY473"/>
    <mergeCell ref="EJ472:EJ475"/>
    <mergeCell ref="EK472:EK475"/>
    <mergeCell ref="EL472:EL475"/>
    <mergeCell ref="EY477:EY478"/>
    <mergeCell ref="EZ477:EZ478"/>
    <mergeCell ref="EX479:EX480"/>
    <mergeCell ref="EY479:EY480"/>
    <mergeCell ref="EZ479:EZ480"/>
    <mergeCell ref="EY472:EY473"/>
    <mergeCell ref="EZ472:EZ473"/>
    <mergeCell ref="EX474:EX475"/>
    <mergeCell ref="EY474:EY475"/>
    <mergeCell ref="EZ474:EZ475"/>
    <mergeCell ref="S477:S478"/>
    <mergeCell ref="DV477:DV480"/>
    <mergeCell ref="DX477:DX480"/>
    <mergeCell ref="DY477:DY478"/>
    <mergeCell ref="DZ477:DZ480"/>
    <mergeCell ref="EA477:EA480"/>
    <mergeCell ref="EJ477:EJ480"/>
    <mergeCell ref="EK477:EK480"/>
    <mergeCell ref="EO477:EO480"/>
    <mergeCell ref="FA477:FA478"/>
    <mergeCell ref="FB477:FB478"/>
    <mergeCell ref="FC477:FC480"/>
    <mergeCell ref="FE477:FE478"/>
    <mergeCell ref="FG477:FG480"/>
    <mergeCell ref="FH477:FH480"/>
    <mergeCell ref="FL477:FL478"/>
    <mergeCell ref="FM477:FM478"/>
    <mergeCell ref="FN477:FN478"/>
    <mergeCell ref="HL473:HL474"/>
    <mergeCell ref="HM473:HM474"/>
    <mergeCell ref="HN473:HN474"/>
    <mergeCell ref="FC472:FC475"/>
    <mergeCell ref="FE472:FE473"/>
    <mergeCell ref="FG472:FG475"/>
    <mergeCell ref="FH472:FH475"/>
    <mergeCell ref="FL472:FL473"/>
    <mergeCell ref="FM472:FM473"/>
    <mergeCell ref="FN472:FN473"/>
    <mergeCell ref="FO472:FO473"/>
    <mergeCell ref="FQ472:FQ473"/>
    <mergeCell ref="FS472:FS473"/>
    <mergeCell ref="FT472:FT473"/>
    <mergeCell ref="FU472:FU473"/>
    <mergeCell ref="FV472:FV473"/>
    <mergeCell ref="FW472:FW473"/>
    <mergeCell ref="FX472:FX473"/>
    <mergeCell ref="GA472:GA475"/>
    <mergeCell ref="GB472:GB475"/>
    <mergeCell ref="FU474:FU475"/>
    <mergeCell ref="FV474:FV475"/>
    <mergeCell ref="FW474:FW475"/>
    <mergeCell ref="FX474:FX475"/>
    <mergeCell ref="FA472:FA473"/>
    <mergeCell ref="FB472:FB473"/>
    <mergeCell ref="FA474:FA475"/>
    <mergeCell ref="FM479:FM480"/>
    <mergeCell ref="FN479:FN480"/>
    <mergeCell ref="FO479:FO480"/>
    <mergeCell ref="FQ479:FQ480"/>
    <mergeCell ref="FS479:FS480"/>
    <mergeCell ref="FT479:FT480"/>
    <mergeCell ref="FU479:FU480"/>
    <mergeCell ref="GC472:GC475"/>
    <mergeCell ref="FB474:FB475"/>
    <mergeCell ref="FE474:FE475"/>
    <mergeCell ref="FL474:FL475"/>
    <mergeCell ref="FM474:FM475"/>
    <mergeCell ref="FX477:FX478"/>
    <mergeCell ref="FA479:FA480"/>
    <mergeCell ref="FB479:FB480"/>
    <mergeCell ref="FE479:FE480"/>
    <mergeCell ref="DY469:DY470"/>
    <mergeCell ref="HJ468:HJ469"/>
    <mergeCell ref="HK468:HK469"/>
    <mergeCell ref="HL468:HL469"/>
    <mergeCell ref="HM468:HM469"/>
    <mergeCell ref="HN468:HN469"/>
    <mergeCell ref="FE467:FE468"/>
    <mergeCell ref="FG467:FG470"/>
    <mergeCell ref="FH467:FH470"/>
    <mergeCell ref="FL467:FL468"/>
    <mergeCell ref="FM467:FM468"/>
    <mergeCell ref="FN467:FN468"/>
    <mergeCell ref="FO467:FO468"/>
    <mergeCell ref="FQ467:FQ468"/>
    <mergeCell ref="FS467:FS468"/>
    <mergeCell ref="FT467:FT468"/>
    <mergeCell ref="EX469:EX470"/>
    <mergeCell ref="EY469:EY470"/>
    <mergeCell ref="EZ469:EZ470"/>
    <mergeCell ref="FA469:FA470"/>
    <mergeCell ref="FB469:FB470"/>
    <mergeCell ref="FE469:FE470"/>
    <mergeCell ref="FL469:FL470"/>
    <mergeCell ref="FM469:FM470"/>
    <mergeCell ref="FN469:FN470"/>
    <mergeCell ref="FO469:FO470"/>
    <mergeCell ref="FQ469:FQ470"/>
    <mergeCell ref="FS469:FS470"/>
    <mergeCell ref="FT469:FT470"/>
    <mergeCell ref="EV467:EV470"/>
    <mergeCell ref="GP473:GP474"/>
    <mergeCell ref="GQ473:GQ474"/>
    <mergeCell ref="DG469:DG470"/>
    <mergeCell ref="DH469:DH470"/>
    <mergeCell ref="DI469:DI470"/>
    <mergeCell ref="DJ469:DJ470"/>
    <mergeCell ref="FP469:FP470"/>
    <mergeCell ref="FU469:FU470"/>
    <mergeCell ref="FV469:FV470"/>
    <mergeCell ref="FW469:FW470"/>
    <mergeCell ref="FX469:FX470"/>
    <mergeCell ref="FC467:FC470"/>
    <mergeCell ref="HK473:HK474"/>
    <mergeCell ref="DN474:DN475"/>
    <mergeCell ref="DT474:DT475"/>
    <mergeCell ref="DY474:DY475"/>
    <mergeCell ref="DZ472:DZ475"/>
    <mergeCell ref="EA472:EA475"/>
    <mergeCell ref="EC472:EC475"/>
    <mergeCell ref="ED472:ED475"/>
    <mergeCell ref="DO472:DO475"/>
    <mergeCell ref="DQ472:DQ475"/>
    <mergeCell ref="DR472:DR473"/>
    <mergeCell ref="DR474:DR475"/>
    <mergeCell ref="DT472:DT473"/>
    <mergeCell ref="DU472:DU475"/>
    <mergeCell ref="DV472:DV475"/>
    <mergeCell ref="DS472:DS475"/>
    <mergeCell ref="GK472:GK475"/>
    <mergeCell ref="HJ473:HJ474"/>
    <mergeCell ref="EM472:EM475"/>
    <mergeCell ref="EN472:EN475"/>
    <mergeCell ref="EO472:EO475"/>
    <mergeCell ref="EP472:EP475"/>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3:Q473"/>
    <mergeCell ref="HO468:HO469"/>
    <mergeCell ref="HP468:HP469"/>
    <mergeCell ref="HQ468:HQ469"/>
    <mergeCell ref="HR468:HR469"/>
    <mergeCell ref="HS468:HS469"/>
    <mergeCell ref="HT468:HT469"/>
    <mergeCell ref="HU468:HU469"/>
    <mergeCell ref="HV468:HV469"/>
    <mergeCell ref="HW468:HW469"/>
    <mergeCell ref="HX468:HX469"/>
    <mergeCell ref="HY468:HY469"/>
    <mergeCell ref="DF467:DF468"/>
    <mergeCell ref="DF469:DF470"/>
    <mergeCell ref="FU467:FU468"/>
    <mergeCell ref="FV467:FV468"/>
    <mergeCell ref="FW467:FW468"/>
    <mergeCell ref="FX467:FX468"/>
    <mergeCell ref="GA467:GA470"/>
    <mergeCell ref="GB467:GB470"/>
    <mergeCell ref="GC467:GC470"/>
    <mergeCell ref="GD467:GD470"/>
    <mergeCell ref="GE467:GE470"/>
    <mergeCell ref="EC467:EC470"/>
    <mergeCell ref="ED467:ED470"/>
    <mergeCell ref="EF467:EF470"/>
    <mergeCell ref="EG467:EG470"/>
    <mergeCell ref="EH467:EH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DG467:DG468"/>
    <mergeCell ref="DH467:DH468"/>
    <mergeCell ref="DI467:DI468"/>
    <mergeCell ref="DJ467:DJ468"/>
    <mergeCell ref="DK467:DK470"/>
    <mergeCell ref="DM467:DM468"/>
    <mergeCell ref="DO467:DO470"/>
    <mergeCell ref="DQ467:DQ470"/>
    <mergeCell ref="DR467:DR468"/>
    <mergeCell ref="DS467:DS470"/>
    <mergeCell ref="DT467:DT468"/>
    <mergeCell ref="DU467:DU470"/>
    <mergeCell ref="DV467:DV470"/>
    <mergeCell ref="DX467:DX470"/>
    <mergeCell ref="DY467:DY468"/>
    <mergeCell ref="DZ467:DZ470"/>
    <mergeCell ref="EA467:EA470"/>
    <mergeCell ref="DN469:DN470"/>
    <mergeCell ref="DR469:DR470"/>
    <mergeCell ref="DT469:DT470"/>
    <mergeCell ref="EX467:EX468"/>
    <mergeCell ref="EY467:EY468"/>
    <mergeCell ref="EZ467:EZ468"/>
    <mergeCell ref="FA467:FA468"/>
    <mergeCell ref="FB467:FB468"/>
    <mergeCell ref="FE462:FE463"/>
    <mergeCell ref="FG462:FG465"/>
    <mergeCell ref="FH462:FH465"/>
    <mergeCell ref="FL462:FL463"/>
    <mergeCell ref="FM462:FM463"/>
    <mergeCell ref="FN462:FN463"/>
    <mergeCell ref="FO462:FO463"/>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CU467:CU468"/>
    <mergeCell ref="CV467:CV468"/>
    <mergeCell ref="CW467:CW468"/>
    <mergeCell ref="CX467:CX468"/>
    <mergeCell ref="CY467:CY468"/>
    <mergeCell ref="CZ467:CZ468"/>
    <mergeCell ref="DA467:DA470"/>
    <mergeCell ref="DB467:DB470"/>
    <mergeCell ref="DC467:DC470"/>
    <mergeCell ref="DD467:DD470"/>
    <mergeCell ref="DR464:DR465"/>
    <mergeCell ref="DT464:DT465"/>
    <mergeCell ref="DY464:DY465"/>
    <mergeCell ref="E463:F463"/>
    <mergeCell ref="G463:L463"/>
    <mergeCell ref="P463:Q463"/>
    <mergeCell ref="GM463:GM464"/>
    <mergeCell ref="GN463:GN464"/>
    <mergeCell ref="GP463:GP464"/>
    <mergeCell ref="GQ463:GQ464"/>
    <mergeCell ref="HH463:HH464"/>
    <mergeCell ref="HI463:HI464"/>
    <mergeCell ref="HJ463:HJ464"/>
    <mergeCell ref="HK463:HK464"/>
    <mergeCell ref="HL463:HL464"/>
    <mergeCell ref="HM463:HM464"/>
    <mergeCell ref="HN463:HN464"/>
    <mergeCell ref="HO463:HO464"/>
    <mergeCell ref="HP463:HP464"/>
    <mergeCell ref="HQ463:HQ464"/>
    <mergeCell ref="HR463:HR464"/>
    <mergeCell ref="HS463:HS464"/>
    <mergeCell ref="E464:F464"/>
    <mergeCell ref="G464:L464"/>
    <mergeCell ref="GA462:GA465"/>
    <mergeCell ref="GB462:GB465"/>
    <mergeCell ref="GC462:GC465"/>
    <mergeCell ref="GD462:GD465"/>
    <mergeCell ref="GE462:GE465"/>
    <mergeCell ref="GF462:GF465"/>
    <mergeCell ref="GG462:GG465"/>
    <mergeCell ref="GH462:GH465"/>
    <mergeCell ref="GK462:GK465"/>
    <mergeCell ref="FQ462:FQ463"/>
    <mergeCell ref="FS462:FS463"/>
    <mergeCell ref="FT462:FT463"/>
    <mergeCell ref="FU462:FU463"/>
    <mergeCell ref="FV462:FV463"/>
    <mergeCell ref="FW462:FW463"/>
    <mergeCell ref="FX462:FX463"/>
    <mergeCell ref="FA464:FA465"/>
    <mergeCell ref="FB464:FB465"/>
    <mergeCell ref="FE464:FE465"/>
    <mergeCell ref="FL464:FL465"/>
    <mergeCell ref="FM464:FM465"/>
    <mergeCell ref="FN464:FN465"/>
    <mergeCell ref="FO464:FO465"/>
    <mergeCell ref="FQ464:FQ465"/>
    <mergeCell ref="FS464:FS465"/>
    <mergeCell ref="FT464:FT465"/>
    <mergeCell ref="FU464:FU465"/>
    <mergeCell ref="FV464:FV465"/>
    <mergeCell ref="FW464:FW465"/>
    <mergeCell ref="CU464:CU465"/>
    <mergeCell ref="DM462:DM463"/>
    <mergeCell ref="DO462:DO465"/>
    <mergeCell ref="DQ462:DQ465"/>
    <mergeCell ref="EY464:EY465"/>
    <mergeCell ref="EZ464:EZ465"/>
    <mergeCell ref="DR462:DR463"/>
    <mergeCell ref="DS462:DS465"/>
    <mergeCell ref="DT462:DT463"/>
    <mergeCell ref="DU462:DU465"/>
    <mergeCell ref="DV462:DV465"/>
    <mergeCell ref="DX462:DX465"/>
    <mergeCell ref="DK462:DK465"/>
    <mergeCell ref="DY462:DY463"/>
    <mergeCell ref="DZ462:DZ465"/>
    <mergeCell ref="EA462:EA465"/>
    <mergeCell ref="EC462:EC465"/>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N459:DN460"/>
    <mergeCell ref="DR459:DR460"/>
    <mergeCell ref="DT459:DT460"/>
    <mergeCell ref="DY459:DY460"/>
    <mergeCell ref="EX459:EX460"/>
    <mergeCell ref="EY459:EY460"/>
    <mergeCell ref="EZ459:EZ460"/>
    <mergeCell ref="FA459:FA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N464:DN465"/>
    <mergeCell ref="DG464:DG465"/>
    <mergeCell ref="DH464:DH465"/>
    <mergeCell ref="DI464:DI465"/>
    <mergeCell ref="DJ464:DJ465"/>
    <mergeCell ref="CR464:CR465"/>
    <mergeCell ref="CS464:CS465"/>
    <mergeCell ref="FB457:FB458"/>
    <mergeCell ref="DO457:DO460"/>
    <mergeCell ref="DQ457:DQ460"/>
    <mergeCell ref="DR457:DR458"/>
    <mergeCell ref="DS457:DS460"/>
    <mergeCell ref="DT457:DT458"/>
    <mergeCell ref="DU457:DU460"/>
    <mergeCell ref="DV457:DV460"/>
    <mergeCell ref="DX457:DX460"/>
    <mergeCell ref="DY457:DY458"/>
    <mergeCell ref="DZ457:DZ460"/>
    <mergeCell ref="EA457:EA460"/>
    <mergeCell ref="EC457:EC460"/>
    <mergeCell ref="ED457:ED460"/>
    <mergeCell ref="EF457:EF460"/>
    <mergeCell ref="EG457:EG460"/>
    <mergeCell ref="EH457:EH460"/>
    <mergeCell ref="EI457:EI460"/>
    <mergeCell ref="E460:F460"/>
    <mergeCell ref="G460:L460"/>
    <mergeCell ref="P460:R460"/>
    <mergeCell ref="U460:AA460"/>
    <mergeCell ref="AG460:AL460"/>
    <mergeCell ref="E461:AW461"/>
    <mergeCell ref="CV464:CV465"/>
    <mergeCell ref="CW464:CW465"/>
    <mergeCell ref="CX464:CX465"/>
    <mergeCell ref="CY464:CY465"/>
    <mergeCell ref="DB457:DB460"/>
    <mergeCell ref="DC457:DC460"/>
    <mergeCell ref="DD457:DD460"/>
    <mergeCell ref="DF457:DF458"/>
    <mergeCell ref="DG457:DG458"/>
    <mergeCell ref="DH457:DH458"/>
    <mergeCell ref="DI457:DI458"/>
    <mergeCell ref="DJ457:DJ458"/>
    <mergeCell ref="CZ459:CZ460"/>
    <mergeCell ref="DF459:DF460"/>
    <mergeCell ref="DG459:DG460"/>
    <mergeCell ref="DH459:DH460"/>
    <mergeCell ref="DI459:DI460"/>
    <mergeCell ref="DJ459:DJ460"/>
    <mergeCell ref="U458:AD458"/>
    <mergeCell ref="CR462:CR463"/>
    <mergeCell ref="EH462:EH465"/>
    <mergeCell ref="EI462:EI465"/>
    <mergeCell ref="EJ462:EJ465"/>
    <mergeCell ref="FA462:FA463"/>
    <mergeCell ref="FB462:FB463"/>
    <mergeCell ref="EK462:EK465"/>
    <mergeCell ref="EL462:EL465"/>
    <mergeCell ref="EM462:EM465"/>
    <mergeCell ref="EN462:EN465"/>
    <mergeCell ref="EO462:EO465"/>
    <mergeCell ref="EP462:EP465"/>
    <mergeCell ref="EQ462:EQ465"/>
    <mergeCell ref="ER462:ER465"/>
    <mergeCell ref="ES462:ES465"/>
    <mergeCell ref="ET462:ET465"/>
    <mergeCell ref="EV462:EV465"/>
    <mergeCell ref="EX462:EX463"/>
    <mergeCell ref="EY462:EY463"/>
    <mergeCell ref="EZ462:EZ463"/>
    <mergeCell ref="EX464:EX465"/>
    <mergeCell ref="ED462:ED465"/>
    <mergeCell ref="EF462:EF465"/>
    <mergeCell ref="EG462:EG465"/>
    <mergeCell ref="GF457:GF460"/>
    <mergeCell ref="GG457:GG460"/>
    <mergeCell ref="DK457:DK460"/>
    <mergeCell ref="DM457:DM458"/>
    <mergeCell ref="FY464:FY465"/>
    <mergeCell ref="FC462:FC465"/>
    <mergeCell ref="FX464:FX465"/>
    <mergeCell ref="EX454:EX455"/>
    <mergeCell ref="EY454:EY455"/>
    <mergeCell ref="EZ454:EZ455"/>
    <mergeCell ref="FA454:FA455"/>
    <mergeCell ref="FB454:FB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E459:FE460"/>
    <mergeCell ref="FL459:FL460"/>
    <mergeCell ref="FM459:FM460"/>
    <mergeCell ref="EQ457:EQ460"/>
    <mergeCell ref="ER457:ER460"/>
    <mergeCell ref="ES457:ES460"/>
    <mergeCell ref="CW459:CW460"/>
    <mergeCell ref="CX459:CX460"/>
    <mergeCell ref="CY459:CY460"/>
    <mergeCell ref="CP457:CP460"/>
    <mergeCell ref="CU457:CU458"/>
    <mergeCell ref="CV457:CV458"/>
    <mergeCell ref="CW457:CW458"/>
    <mergeCell ref="CX457:CX458"/>
    <mergeCell ref="CY457:CY458"/>
    <mergeCell ref="CZ457:CZ458"/>
    <mergeCell ref="DA457:DA460"/>
    <mergeCell ref="FB459:FB460"/>
    <mergeCell ref="FP457:FP458"/>
    <mergeCell ref="FB452:FB453"/>
    <mergeCell ref="FC452:FC455"/>
    <mergeCell ref="FE452:FE453"/>
    <mergeCell ref="FG452:FG455"/>
    <mergeCell ref="FH452:FH455"/>
    <mergeCell ref="HP453:HP454"/>
    <mergeCell ref="HQ453:HQ454"/>
    <mergeCell ref="HR453:HR454"/>
    <mergeCell ref="HS453:HS454"/>
    <mergeCell ref="HT453:HT454"/>
    <mergeCell ref="HU453:HU454"/>
    <mergeCell ref="HV453:HV454"/>
    <mergeCell ref="HW453:HW454"/>
    <mergeCell ref="HX453:HX454"/>
    <mergeCell ref="HY453:HY454"/>
    <mergeCell ref="FU452:FU453"/>
    <mergeCell ref="FV452:FV453"/>
    <mergeCell ref="FW452:FW453"/>
    <mergeCell ref="FX452:FX453"/>
    <mergeCell ref="GA452:GA455"/>
    <mergeCell ref="GB452:GB455"/>
    <mergeCell ref="GC452:GC455"/>
    <mergeCell ref="GD452:GD455"/>
    <mergeCell ref="GE452:GE455"/>
    <mergeCell ref="GF452:GF455"/>
    <mergeCell ref="GG452:GG455"/>
    <mergeCell ref="GH452:GH455"/>
    <mergeCell ref="GK452:GK455"/>
    <mergeCell ref="FU454:FU455"/>
    <mergeCell ref="FV454:FV455"/>
    <mergeCell ref="FW454:FW455"/>
    <mergeCell ref="FX454:FX455"/>
    <mergeCell ref="FY452:FY453"/>
    <mergeCell ref="GN453:GN454"/>
    <mergeCell ref="FY454:FY455"/>
    <mergeCell ref="FM452:FM453"/>
    <mergeCell ref="FN452:FN453"/>
    <mergeCell ref="FO452:FO453"/>
    <mergeCell ref="FQ452:FQ453"/>
    <mergeCell ref="FS452:FS453"/>
    <mergeCell ref="FT452:FT453"/>
    <mergeCell ref="FN459:FN460"/>
    <mergeCell ref="FO459:FO460"/>
    <mergeCell ref="FQ459:FQ460"/>
    <mergeCell ref="FS459:FS460"/>
    <mergeCell ref="FT459:FT460"/>
    <mergeCell ref="HO458:HO459"/>
    <mergeCell ref="HP458:HP459"/>
    <mergeCell ref="GH457:GH460"/>
    <mergeCell ref="GK457:GK460"/>
    <mergeCell ref="DR454:DR455"/>
    <mergeCell ref="DT454:DT455"/>
    <mergeCell ref="DY454:DY455"/>
    <mergeCell ref="CW452:CW453"/>
    <mergeCell ref="CX452:CX453"/>
    <mergeCell ref="CY452:CY453"/>
    <mergeCell ref="CZ452:CZ453"/>
    <mergeCell ref="DA452:DA455"/>
    <mergeCell ref="DB452:DB455"/>
    <mergeCell ref="DC452:DC455"/>
    <mergeCell ref="DD452:DD455"/>
    <mergeCell ref="DF452:DF453"/>
    <mergeCell ref="EV452:EV455"/>
    <mergeCell ref="E458:F458"/>
    <mergeCell ref="G458:L458"/>
    <mergeCell ref="P458:Q458"/>
    <mergeCell ref="GM458:GM459"/>
    <mergeCell ref="GN458:GN459"/>
    <mergeCell ref="GP458:GP459"/>
    <mergeCell ref="GQ458:GQ459"/>
    <mergeCell ref="HH458:HH459"/>
    <mergeCell ref="HI458:HI459"/>
    <mergeCell ref="HJ458:HJ459"/>
    <mergeCell ref="HK458:HK459"/>
    <mergeCell ref="HL458:HL459"/>
    <mergeCell ref="HM458:HM459"/>
    <mergeCell ref="HN458:HN459"/>
    <mergeCell ref="FC457:FC460"/>
    <mergeCell ref="FE457:FE458"/>
    <mergeCell ref="FG457:FG460"/>
    <mergeCell ref="FH457:FH460"/>
    <mergeCell ref="FL457:FL458"/>
    <mergeCell ref="FM457:FM458"/>
    <mergeCell ref="FN457:FN458"/>
    <mergeCell ref="FO457:FO458"/>
    <mergeCell ref="FQ457:FQ458"/>
    <mergeCell ref="FS457:FS458"/>
    <mergeCell ref="FT457:FT458"/>
    <mergeCell ref="FU457:FU458"/>
    <mergeCell ref="FV457:FV458"/>
    <mergeCell ref="FW457:FW458"/>
    <mergeCell ref="FX457:FX458"/>
    <mergeCell ref="GA457:GA460"/>
    <mergeCell ref="GB457:GB460"/>
    <mergeCell ref="FU459:FU460"/>
    <mergeCell ref="FV459:FV460"/>
    <mergeCell ref="FW459:FW460"/>
    <mergeCell ref="FX459:FX460"/>
    <mergeCell ref="EJ457:EJ460"/>
    <mergeCell ref="EK457:EK460"/>
    <mergeCell ref="EL457:EL460"/>
    <mergeCell ref="EM457:EM460"/>
    <mergeCell ref="EN457:EN460"/>
    <mergeCell ref="EO457:EO460"/>
    <mergeCell ref="EP457:EP460"/>
    <mergeCell ref="ET457:ET460"/>
    <mergeCell ref="EV457:EV460"/>
    <mergeCell ref="EX457:EX458"/>
    <mergeCell ref="EY457:EY458"/>
    <mergeCell ref="EZ457:EZ458"/>
    <mergeCell ref="FA457:FA458"/>
    <mergeCell ref="E457:F457"/>
    <mergeCell ref="AY457:AY460"/>
    <mergeCell ref="AZ457:AZ460"/>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GP453:GP454"/>
    <mergeCell ref="GQ453:GQ454"/>
    <mergeCell ref="HH453:HH454"/>
    <mergeCell ref="HI453:HI454"/>
    <mergeCell ref="CW454:CW455"/>
    <mergeCell ref="CX454:CX455"/>
    <mergeCell ref="CY454:CY455"/>
    <mergeCell ref="CZ454:CZ455"/>
    <mergeCell ref="FE454:FE455"/>
    <mergeCell ref="FL454:FL455"/>
    <mergeCell ref="FM454:FM455"/>
    <mergeCell ref="FN454:FN455"/>
    <mergeCell ref="FO454:FO455"/>
    <mergeCell ref="FQ454:FQ455"/>
    <mergeCell ref="FS454:FS455"/>
    <mergeCell ref="FT454:FT455"/>
    <mergeCell ref="EC452:EC455"/>
    <mergeCell ref="ED452:ED455"/>
    <mergeCell ref="EF452:EF455"/>
    <mergeCell ref="EG452:EG455"/>
    <mergeCell ref="EH452:EH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DG452:DG453"/>
    <mergeCell ref="DH452:DH453"/>
    <mergeCell ref="DI452:DI453"/>
    <mergeCell ref="DJ452:DJ453"/>
    <mergeCell ref="DK452:DK455"/>
    <mergeCell ref="DM452:DM453"/>
    <mergeCell ref="DO452:DO455"/>
    <mergeCell ref="DQ452:DQ455"/>
    <mergeCell ref="DR452:DR453"/>
    <mergeCell ref="DT452:DT453"/>
    <mergeCell ref="DU452:DU455"/>
    <mergeCell ref="DV452:DV455"/>
    <mergeCell ref="DX452:DX455"/>
    <mergeCell ref="DY452:DY453"/>
    <mergeCell ref="DZ452:DZ455"/>
    <mergeCell ref="EA452:EA455"/>
    <mergeCell ref="DN454:DN455"/>
    <mergeCell ref="CP447:CP450"/>
    <mergeCell ref="CQ447:CQ450"/>
    <mergeCell ref="AG448:AK448"/>
    <mergeCell ref="FP447:FP448"/>
    <mergeCell ref="HS448:HS449"/>
    <mergeCell ref="HT448:HT449"/>
    <mergeCell ref="HU448:HU449"/>
    <mergeCell ref="CY447:CY448"/>
    <mergeCell ref="CZ447:CZ448"/>
    <mergeCell ref="DA447:DA450"/>
    <mergeCell ref="DB447:DB450"/>
    <mergeCell ref="DC447:DC450"/>
    <mergeCell ref="DD447:DD450"/>
    <mergeCell ref="EX452:EX453"/>
    <mergeCell ref="EY452:EY453"/>
    <mergeCell ref="EZ452:EZ453"/>
    <mergeCell ref="FA452:FA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FL452:FL453"/>
    <mergeCell ref="CR449:CR450"/>
    <mergeCell ref="CS449:CS450"/>
    <mergeCell ref="EJ442:EJ445"/>
    <mergeCell ref="EK442:EK445"/>
    <mergeCell ref="EX442:EX443"/>
    <mergeCell ref="EY442:EY443"/>
    <mergeCell ref="GM448:GM449"/>
    <mergeCell ref="GN448:GN449"/>
    <mergeCell ref="GP448:GP449"/>
    <mergeCell ref="GQ448:GQ449"/>
    <mergeCell ref="HH448:HH449"/>
    <mergeCell ref="HI448:HI449"/>
    <mergeCell ref="HJ448:HJ449"/>
    <mergeCell ref="HK448:HK449"/>
    <mergeCell ref="HL448:HL449"/>
    <mergeCell ref="HU443:HU444"/>
    <mergeCell ref="HV443:HV444"/>
    <mergeCell ref="HW443:HW444"/>
    <mergeCell ref="HX443:HX444"/>
    <mergeCell ref="HY443:HY444"/>
    <mergeCell ref="EQ442:EQ445"/>
    <mergeCell ref="HZ448:HZ449"/>
    <mergeCell ref="ID448:ID449"/>
    <mergeCell ref="E449:F449"/>
    <mergeCell ref="G449:L449"/>
    <mergeCell ref="GA447:GA450"/>
    <mergeCell ref="GB447:GB450"/>
    <mergeCell ref="GC447:GC450"/>
    <mergeCell ref="GD447:GD450"/>
    <mergeCell ref="GE447:GE450"/>
    <mergeCell ref="GF447:GF450"/>
    <mergeCell ref="GG447:GG450"/>
    <mergeCell ref="GH447:GH450"/>
    <mergeCell ref="GK447:GK450"/>
    <mergeCell ref="IB447:IB449"/>
    <mergeCell ref="IC447:IC448"/>
    <mergeCell ref="IC449:IC450"/>
    <mergeCell ref="FA447:FA448"/>
    <mergeCell ref="FB447:FB448"/>
    <mergeCell ref="FC447:FC450"/>
    <mergeCell ref="FE447:FE448"/>
    <mergeCell ref="FG447:FG450"/>
    <mergeCell ref="FH447:FH450"/>
    <mergeCell ref="FL447:FL448"/>
    <mergeCell ref="FM447:FM448"/>
    <mergeCell ref="FN447:FN448"/>
    <mergeCell ref="FO447:FO448"/>
    <mergeCell ref="FQ447:FQ448"/>
    <mergeCell ref="FS447:FS448"/>
    <mergeCell ref="FT447:FT448"/>
    <mergeCell ref="FU447:FU448"/>
    <mergeCell ref="FV447:FV448"/>
    <mergeCell ref="FW447:FW448"/>
    <mergeCell ref="FX447:FX448"/>
    <mergeCell ref="FA449:FA450"/>
    <mergeCell ref="FB449:FB450"/>
    <mergeCell ref="FE449:FE450"/>
    <mergeCell ref="EZ442:EZ443"/>
    <mergeCell ref="FA442:FA443"/>
    <mergeCell ref="DJ447:DJ448"/>
    <mergeCell ref="CZ449:CZ450"/>
    <mergeCell ref="DF449:DF450"/>
    <mergeCell ref="DG449:DG450"/>
    <mergeCell ref="DH449:DH450"/>
    <mergeCell ref="DS452:DS455"/>
    <mergeCell ref="FL449:FL450"/>
    <mergeCell ref="FM449:FM450"/>
    <mergeCell ref="FN449:FN450"/>
    <mergeCell ref="FO449:FO450"/>
    <mergeCell ref="FQ449:FQ450"/>
    <mergeCell ref="FS449:FS450"/>
    <mergeCell ref="E447:F447"/>
    <mergeCell ref="G447:R447"/>
    <mergeCell ref="S447:S448"/>
    <mergeCell ref="FT449:FT450"/>
    <mergeCell ref="FU449:FU450"/>
    <mergeCell ref="FV449:FV450"/>
    <mergeCell ref="FW449:FW450"/>
    <mergeCell ref="FX449:FX450"/>
    <mergeCell ref="EH447:EH450"/>
    <mergeCell ref="EI447:EI450"/>
    <mergeCell ref="EJ447:EJ450"/>
    <mergeCell ref="EK447:EK450"/>
    <mergeCell ref="EL447:EL450"/>
    <mergeCell ref="EM447:EM450"/>
    <mergeCell ref="EN447:EN450"/>
    <mergeCell ref="EO447:EO450"/>
    <mergeCell ref="EP447:EP450"/>
    <mergeCell ref="EQ447:EQ450"/>
    <mergeCell ref="ER447:ER450"/>
    <mergeCell ref="ES447:ES450"/>
    <mergeCell ref="ET447:ET450"/>
    <mergeCell ref="EV447:EV450"/>
    <mergeCell ref="EX447:EX448"/>
    <mergeCell ref="EY447:EY448"/>
    <mergeCell ref="EZ447:EZ448"/>
    <mergeCell ref="EX449:EX450"/>
    <mergeCell ref="EY449:EY450"/>
    <mergeCell ref="EZ449:EZ450"/>
    <mergeCell ref="DK447:DK450"/>
    <mergeCell ref="DM447:DM448"/>
    <mergeCell ref="DO447:DO450"/>
    <mergeCell ref="DQ447:DQ450"/>
    <mergeCell ref="DR447:DR448"/>
    <mergeCell ref="DS447:DS450"/>
    <mergeCell ref="DT447:DT448"/>
    <mergeCell ref="DU447:DU450"/>
    <mergeCell ref="DV447:DV450"/>
    <mergeCell ref="DX447:DX450"/>
    <mergeCell ref="DY447:DY448"/>
    <mergeCell ref="DZ447:DZ450"/>
    <mergeCell ref="EA447:EA450"/>
    <mergeCell ref="EC447:EC450"/>
    <mergeCell ref="ED447:ED450"/>
    <mergeCell ref="EF447:EF450"/>
    <mergeCell ref="EG447:EG450"/>
    <mergeCell ref="DN449:DN450"/>
    <mergeCell ref="DR449:DR450"/>
    <mergeCell ref="DT449:DT450"/>
    <mergeCell ref="DY449:DY450"/>
    <mergeCell ref="AW447:AW450"/>
    <mergeCell ref="CV447:CV448"/>
    <mergeCell ref="CW447:CW448"/>
    <mergeCell ref="CX447:CX448"/>
    <mergeCell ref="DF447:DF448"/>
    <mergeCell ref="DG447:DG448"/>
    <mergeCell ref="DH447:DH448"/>
    <mergeCell ref="DI447:DI448"/>
    <mergeCell ref="DI449:DI450"/>
    <mergeCell ref="DJ449:DJ450"/>
    <mergeCell ref="CV449:CV450"/>
    <mergeCell ref="CW449:CW450"/>
    <mergeCell ref="CX449:CX450"/>
    <mergeCell ref="CY449:CY450"/>
    <mergeCell ref="CZ444:CZ445"/>
    <mergeCell ref="DF444:DF445"/>
    <mergeCell ref="DG444:DG445"/>
    <mergeCell ref="DH444:DH445"/>
    <mergeCell ref="DI444:DI445"/>
    <mergeCell ref="DJ444:DJ445"/>
    <mergeCell ref="EL442:EL445"/>
    <mergeCell ref="EM442:EM445"/>
    <mergeCell ref="EN442:EN445"/>
    <mergeCell ref="EO442:EO445"/>
    <mergeCell ref="EP442:EP445"/>
    <mergeCell ref="EJ437:EJ440"/>
    <mergeCell ref="EK437:EK440"/>
    <mergeCell ref="EL437:EL440"/>
    <mergeCell ref="EM437:EM440"/>
    <mergeCell ref="EN437:EN440"/>
    <mergeCell ref="DS437:DS440"/>
    <mergeCell ref="DT437:DT438"/>
    <mergeCell ref="DU437:DU440"/>
    <mergeCell ref="DV437:DV440"/>
    <mergeCell ref="DX437:DX440"/>
    <mergeCell ref="DO437:DO440"/>
    <mergeCell ref="DQ437:DQ440"/>
    <mergeCell ref="CV442:CV443"/>
    <mergeCell ref="CW442:CW443"/>
    <mergeCell ref="CX442:CX443"/>
    <mergeCell ref="CY442:CY443"/>
    <mergeCell ref="CZ442:CZ443"/>
    <mergeCell ref="DA442:DA445"/>
    <mergeCell ref="DB442:DB445"/>
    <mergeCell ref="DC442:DC445"/>
    <mergeCell ref="DD442:DD445"/>
    <mergeCell ref="DF442:DF443"/>
    <mergeCell ref="DG442:DG443"/>
    <mergeCell ref="DH442:DH443"/>
    <mergeCell ref="DR444:DR445"/>
    <mergeCell ref="ED437:ED440"/>
    <mergeCell ref="EF437:EF440"/>
    <mergeCell ref="EG437:EG440"/>
    <mergeCell ref="EH437:EH440"/>
    <mergeCell ref="DT444:DT445"/>
    <mergeCell ref="DY444:DY445"/>
    <mergeCell ref="DI437:DI438"/>
    <mergeCell ref="DJ437:DJ438"/>
    <mergeCell ref="DK437:DK440"/>
    <mergeCell ref="DM437:DM438"/>
    <mergeCell ref="DB437:DB440"/>
    <mergeCell ref="DC437:DC440"/>
    <mergeCell ref="DD437:DD440"/>
    <mergeCell ref="DF437:DF438"/>
    <mergeCell ref="DF439:DF440"/>
    <mergeCell ref="DG439:DG440"/>
    <mergeCell ref="DH439:DH440"/>
    <mergeCell ref="DN439:DN440"/>
    <mergeCell ref="DR439:DR440"/>
    <mergeCell ref="DT439:DT440"/>
    <mergeCell ref="DY439:DY440"/>
    <mergeCell ref="CX439:CX440"/>
    <mergeCell ref="ET442:ET445"/>
    <mergeCell ref="EV442:EV445"/>
    <mergeCell ref="EI437:EI440"/>
    <mergeCell ref="AY437:AY440"/>
    <mergeCell ref="AZ437:AZ440"/>
    <mergeCell ref="U440:AA440"/>
    <mergeCell ref="AG440:AL440"/>
    <mergeCell ref="HV448:HV449"/>
    <mergeCell ref="HW448:HW449"/>
    <mergeCell ref="HX448:HX449"/>
    <mergeCell ref="HY448:HY449"/>
    <mergeCell ref="FB442:FB443"/>
    <mergeCell ref="GC442:GC445"/>
    <mergeCell ref="GD442:GD445"/>
    <mergeCell ref="GE442:GE445"/>
    <mergeCell ref="GF442:GF445"/>
    <mergeCell ref="GG442:GG445"/>
    <mergeCell ref="EI442:EI445"/>
    <mergeCell ref="DI442:DI443"/>
    <mergeCell ref="DJ442:DJ443"/>
    <mergeCell ref="DK442:DK445"/>
    <mergeCell ref="DM442:DM443"/>
    <mergeCell ref="FN444:FN445"/>
    <mergeCell ref="FO444:FO445"/>
    <mergeCell ref="EX444:EX445"/>
    <mergeCell ref="EY444:EY445"/>
    <mergeCell ref="EZ444:EZ445"/>
    <mergeCell ref="FA444:FA445"/>
    <mergeCell ref="FB444:FB445"/>
    <mergeCell ref="FE444:FE445"/>
    <mergeCell ref="FL444:FL445"/>
    <mergeCell ref="FM444:FM445"/>
    <mergeCell ref="DO442:DO445"/>
    <mergeCell ref="DQ442:DQ445"/>
    <mergeCell ref="DR442:DR443"/>
    <mergeCell ref="AG444:AL444"/>
    <mergeCell ref="AM444:AM445"/>
    <mergeCell ref="AN444:AN445"/>
    <mergeCell ref="AO444:AO445"/>
    <mergeCell ref="CR444:CR445"/>
    <mergeCell ref="CS444:CS445"/>
    <mergeCell ref="CU444:CU445"/>
    <mergeCell ref="CV444:CV445"/>
    <mergeCell ref="CW444:CW445"/>
    <mergeCell ref="CX444:CX445"/>
    <mergeCell ref="CY444:CY445"/>
    <mergeCell ref="DS442:DS445"/>
    <mergeCell ref="DT442:DT443"/>
    <mergeCell ref="DU442:DU445"/>
    <mergeCell ref="DV442:DV445"/>
    <mergeCell ref="DX442:DX445"/>
    <mergeCell ref="DY442:DY443"/>
    <mergeCell ref="DZ442:DZ445"/>
    <mergeCell ref="EA442:EA445"/>
    <mergeCell ref="EC442:EC445"/>
    <mergeCell ref="ED442:ED445"/>
    <mergeCell ref="EF442:EF445"/>
    <mergeCell ref="EG442:EG445"/>
    <mergeCell ref="EH442:EH445"/>
    <mergeCell ref="AG443:AK443"/>
    <mergeCell ref="ER442:ER445"/>
    <mergeCell ref="ES442:ES445"/>
    <mergeCell ref="DG437:DG438"/>
    <mergeCell ref="DH437:DH438"/>
    <mergeCell ref="CY439:CY440"/>
    <mergeCell ref="CZ439:CZ440"/>
    <mergeCell ref="E441:AW441"/>
    <mergeCell ref="DY437:DY438"/>
    <mergeCell ref="DZ437:DZ440"/>
    <mergeCell ref="EA437:EA440"/>
    <mergeCell ref="E438:F438"/>
    <mergeCell ref="G438:L438"/>
    <mergeCell ref="P438:Q438"/>
    <mergeCell ref="EV437:EV440"/>
    <mergeCell ref="EX437:EX438"/>
    <mergeCell ref="EY437:EY438"/>
    <mergeCell ref="EZ437:EZ438"/>
    <mergeCell ref="FA437:FA438"/>
    <mergeCell ref="FB437:FB438"/>
    <mergeCell ref="FC437:FC440"/>
    <mergeCell ref="FE437:FE438"/>
    <mergeCell ref="FG437:FG440"/>
    <mergeCell ref="FH437:FH440"/>
    <mergeCell ref="FL437:FL438"/>
    <mergeCell ref="CW439:CW440"/>
    <mergeCell ref="FM437:FM438"/>
    <mergeCell ref="FN437:FN438"/>
    <mergeCell ref="FO437:FO438"/>
    <mergeCell ref="EC437:EC440"/>
    <mergeCell ref="CS437:CS438"/>
    <mergeCell ref="CU437:CU438"/>
    <mergeCell ref="CV437:CV438"/>
    <mergeCell ref="CW437:CW438"/>
    <mergeCell ref="CX437:CX438"/>
    <mergeCell ref="CY437:CY438"/>
    <mergeCell ref="CZ437:CZ438"/>
    <mergeCell ref="DA437:DA440"/>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E445:F445"/>
    <mergeCell ref="G445:L445"/>
    <mergeCell ref="CP437:CP440"/>
    <mergeCell ref="CQ437:CQ440"/>
    <mergeCell ref="CR437:CR438"/>
    <mergeCell ref="CU442:CU443"/>
    <mergeCell ref="AG438:AK438"/>
    <mergeCell ref="U445:AA445"/>
    <mergeCell ref="AG445:AL445"/>
    <mergeCell ref="U439:AE439"/>
    <mergeCell ref="S437:S438"/>
    <mergeCell ref="U437:AA437"/>
    <mergeCell ref="AG437:AL437"/>
    <mergeCell ref="AM437:AM438"/>
    <mergeCell ref="AN437:AN438"/>
    <mergeCell ref="AO437:AO438"/>
    <mergeCell ref="AP437:AQ440"/>
    <mergeCell ref="AR437:AT440"/>
    <mergeCell ref="AU437:AU440"/>
    <mergeCell ref="AV437:AV440"/>
    <mergeCell ref="AW437:AW440"/>
    <mergeCell ref="E439:F439"/>
    <mergeCell ref="G439:L439"/>
    <mergeCell ref="P439:Q439"/>
    <mergeCell ref="S439:S440"/>
    <mergeCell ref="U438:AD438"/>
    <mergeCell ref="U443:AD443"/>
    <mergeCell ref="E440:F440"/>
    <mergeCell ref="G440:L440"/>
    <mergeCell ref="P440:R440"/>
    <mergeCell ref="DJ432:DJ433"/>
    <mergeCell ref="CZ434:CZ435"/>
    <mergeCell ref="DF434:DF435"/>
    <mergeCell ref="DG434:DG435"/>
    <mergeCell ref="DH434:DH435"/>
    <mergeCell ref="DI434:DI435"/>
    <mergeCell ref="DJ434:DJ435"/>
    <mergeCell ref="CR434:CR435"/>
    <mergeCell ref="CS434:CS435"/>
    <mergeCell ref="IG444:IG445"/>
    <mergeCell ref="GM443:GM444"/>
    <mergeCell ref="GN443:GN444"/>
    <mergeCell ref="GP443:GP444"/>
    <mergeCell ref="GQ443:GQ444"/>
    <mergeCell ref="HH443:HH444"/>
    <mergeCell ref="HI443:HI444"/>
    <mergeCell ref="HJ443:HJ444"/>
    <mergeCell ref="HK443:HK444"/>
    <mergeCell ref="HL443:HL444"/>
    <mergeCell ref="HM443:HM444"/>
    <mergeCell ref="HN443:HN444"/>
    <mergeCell ref="FC442:FC445"/>
    <mergeCell ref="FE442:FE443"/>
    <mergeCell ref="FG442:FG445"/>
    <mergeCell ref="FH442:FH445"/>
    <mergeCell ref="FL442:FL443"/>
    <mergeCell ref="FM442:FM443"/>
    <mergeCell ref="FN442:FN443"/>
    <mergeCell ref="FO442:FO443"/>
    <mergeCell ref="FQ442:FQ443"/>
    <mergeCell ref="FS442:FS443"/>
    <mergeCell ref="FT442:FT443"/>
    <mergeCell ref="FU442:FU443"/>
    <mergeCell ref="FV442:FV443"/>
    <mergeCell ref="FW442:FW443"/>
    <mergeCell ref="FX442:FX443"/>
    <mergeCell ref="GA442:GA445"/>
    <mergeCell ref="GB442:GB445"/>
    <mergeCell ref="FU444:FU445"/>
    <mergeCell ref="FV444:FV445"/>
    <mergeCell ref="FW444:FW445"/>
    <mergeCell ref="FQ444:FQ445"/>
    <mergeCell ref="FS444:FS445"/>
    <mergeCell ref="FT444:FT445"/>
    <mergeCell ref="DN444:DN445"/>
    <mergeCell ref="DR437:DR438"/>
    <mergeCell ref="FO434:FO435"/>
    <mergeCell ref="FQ434:FQ435"/>
    <mergeCell ref="GB432:GB435"/>
    <mergeCell ref="GC432:GC435"/>
    <mergeCell ref="GD432:GD435"/>
    <mergeCell ref="GE432:GE435"/>
    <mergeCell ref="GF432:GF435"/>
    <mergeCell ref="GG432:GG435"/>
    <mergeCell ref="GH432:GH435"/>
    <mergeCell ref="GK432:GK435"/>
    <mergeCell ref="IB432:IB434"/>
    <mergeCell ref="IC432:IC433"/>
    <mergeCell ref="IF432:IF435"/>
    <mergeCell ref="FX439:FX440"/>
    <mergeCell ref="FY439:FY440"/>
    <mergeCell ref="FP437:FP438"/>
    <mergeCell ref="DI439:DI440"/>
    <mergeCell ref="DJ439:DJ440"/>
    <mergeCell ref="FQ437:FQ438"/>
    <mergeCell ref="FS437:FS438"/>
    <mergeCell ref="FT437:FT438"/>
    <mergeCell ref="EX439:EX440"/>
    <mergeCell ref="EY439:EY440"/>
    <mergeCell ref="EZ439:EZ440"/>
    <mergeCell ref="FA439:FA440"/>
    <mergeCell ref="FB439:FB440"/>
    <mergeCell ref="FE439:FE440"/>
    <mergeCell ref="FL439:FL440"/>
    <mergeCell ref="FM439:FM440"/>
    <mergeCell ref="HQ433:HQ434"/>
    <mergeCell ref="HR433:HR434"/>
    <mergeCell ref="HS433:HS434"/>
    <mergeCell ref="HT433:HT434"/>
    <mergeCell ref="HU433:HU434"/>
    <mergeCell ref="HV433:HV434"/>
    <mergeCell ref="HW433:HW434"/>
    <mergeCell ref="HX433:HX434"/>
    <mergeCell ref="HY433:HY434"/>
    <mergeCell ref="HZ433:HZ434"/>
    <mergeCell ref="ID433:ID434"/>
    <mergeCell ref="GA432:GA435"/>
    <mergeCell ref="GN438:GN439"/>
    <mergeCell ref="GP438:GP439"/>
    <mergeCell ref="HU438:HU439"/>
    <mergeCell ref="HV438:HV439"/>
    <mergeCell ref="HW438:HW439"/>
    <mergeCell ref="HX438:HX439"/>
    <mergeCell ref="HY438:HY439"/>
    <mergeCell ref="FU437:FU438"/>
    <mergeCell ref="FV437:FV438"/>
    <mergeCell ref="FW437:FW438"/>
    <mergeCell ref="FX437:FX438"/>
    <mergeCell ref="GA437:GA440"/>
    <mergeCell ref="GB437:GB440"/>
    <mergeCell ref="GC437:GC440"/>
    <mergeCell ref="GD437:GD440"/>
    <mergeCell ref="GE437:GE440"/>
    <mergeCell ref="GF437:GF440"/>
    <mergeCell ref="GG437:GG440"/>
    <mergeCell ref="GH437:GH440"/>
    <mergeCell ref="GK437:GK440"/>
    <mergeCell ref="FU439:FU440"/>
    <mergeCell ref="FV439:FV440"/>
    <mergeCell ref="FW439:FW440"/>
    <mergeCell ref="HQ438:HQ439"/>
    <mergeCell ref="HR438:HR439"/>
    <mergeCell ref="HS438:HS439"/>
    <mergeCell ref="DX432:DX435"/>
    <mergeCell ref="FN439:FN440"/>
    <mergeCell ref="FO439:FO440"/>
    <mergeCell ref="FX444:FX445"/>
    <mergeCell ref="DK432:DK435"/>
    <mergeCell ref="DY432:DY433"/>
    <mergeCell ref="DZ432:DZ435"/>
    <mergeCell ref="EA432:EA435"/>
    <mergeCell ref="EC432:EC435"/>
    <mergeCell ref="ED432:ED435"/>
    <mergeCell ref="B437:B440"/>
    <mergeCell ref="C437:D440"/>
    <mergeCell ref="E437:F437"/>
    <mergeCell ref="G437:R437"/>
    <mergeCell ref="FX434:FX435"/>
    <mergeCell ref="EH432:EH435"/>
    <mergeCell ref="EI432:EI435"/>
    <mergeCell ref="EJ432:EJ435"/>
    <mergeCell ref="EK432:EK435"/>
    <mergeCell ref="EL432:EL435"/>
    <mergeCell ref="EM432:EM435"/>
    <mergeCell ref="EN432:EN435"/>
    <mergeCell ref="EO432:EO435"/>
    <mergeCell ref="EP432:EP435"/>
    <mergeCell ref="EQ432:EQ435"/>
    <mergeCell ref="ER432:ER435"/>
    <mergeCell ref="ES432:ES435"/>
    <mergeCell ref="ET432:ET435"/>
    <mergeCell ref="EV432:EV435"/>
    <mergeCell ref="EX432:EX433"/>
    <mergeCell ref="EY432:EY433"/>
    <mergeCell ref="EZ432:EZ433"/>
    <mergeCell ref="EX434:EX435"/>
    <mergeCell ref="EY434:EY435"/>
    <mergeCell ref="EZ434:EZ435"/>
    <mergeCell ref="DM432:DM433"/>
    <mergeCell ref="DO432:DO435"/>
    <mergeCell ref="DQ432:DQ435"/>
    <mergeCell ref="E435:F435"/>
    <mergeCell ref="G435:L435"/>
    <mergeCell ref="P435:R435"/>
    <mergeCell ref="U435:AA435"/>
    <mergeCell ref="AG435:AL435"/>
    <mergeCell ref="U433:AD433"/>
    <mergeCell ref="EF432:EF435"/>
    <mergeCell ref="EG432:EG435"/>
    <mergeCell ref="DN434:DN435"/>
    <mergeCell ref="DR434:DR435"/>
    <mergeCell ref="DT434:DT435"/>
    <mergeCell ref="DY434:DY435"/>
    <mergeCell ref="CR432:CR433"/>
    <mergeCell ref="CS432:CS433"/>
    <mergeCell ref="CU432:CU433"/>
    <mergeCell ref="CV432:CV433"/>
    <mergeCell ref="CW432:CW433"/>
    <mergeCell ref="CX432:CX433"/>
    <mergeCell ref="CY432:CY433"/>
    <mergeCell ref="CZ432:CZ433"/>
    <mergeCell ref="DA432:DA435"/>
    <mergeCell ref="FQ439:FQ440"/>
    <mergeCell ref="FS439:FS440"/>
    <mergeCell ref="FT439:FT440"/>
    <mergeCell ref="FM434:FM435"/>
    <mergeCell ref="FN434:FN435"/>
    <mergeCell ref="DH432:DH433"/>
    <mergeCell ref="DI432:DI433"/>
    <mergeCell ref="FA432:FA433"/>
    <mergeCell ref="FL427:FL428"/>
    <mergeCell ref="FM427:FM428"/>
    <mergeCell ref="HM438:HM439"/>
    <mergeCell ref="HN438:HN439"/>
    <mergeCell ref="HO438:HO439"/>
    <mergeCell ref="HP438:HP439"/>
    <mergeCell ref="EO437:EO440"/>
    <mergeCell ref="EP437:EP440"/>
    <mergeCell ref="EQ437:EQ440"/>
    <mergeCell ref="ER437:ER440"/>
    <mergeCell ref="ES437:ES440"/>
    <mergeCell ref="ET437:ET440"/>
    <mergeCell ref="FB432:FB433"/>
    <mergeCell ref="FC432:FC435"/>
    <mergeCell ref="FE432:FE433"/>
    <mergeCell ref="HM433:HM434"/>
    <mergeCell ref="HN433:HN434"/>
    <mergeCell ref="HO433:HO434"/>
    <mergeCell ref="HP433:HP434"/>
    <mergeCell ref="IC439:IC440"/>
    <mergeCell ref="IG439:IG440"/>
    <mergeCell ref="FG432:FG435"/>
    <mergeCell ref="FH432:FH435"/>
    <mergeCell ref="FL432:FL433"/>
    <mergeCell ref="FM432:FM433"/>
    <mergeCell ref="FN432:FN433"/>
    <mergeCell ref="FO432:FO433"/>
    <mergeCell ref="FQ432:FQ433"/>
    <mergeCell ref="FS432:FS433"/>
    <mergeCell ref="FT432:FT433"/>
    <mergeCell ref="FU432:FU433"/>
    <mergeCell ref="FV432:FV433"/>
    <mergeCell ref="FW432:FW433"/>
    <mergeCell ref="FX432:FX433"/>
    <mergeCell ref="FA434:FA435"/>
    <mergeCell ref="IB437:IB439"/>
    <mergeCell ref="IC437:IC438"/>
    <mergeCell ref="IF437:IF440"/>
    <mergeCell ref="IG437:IG438"/>
    <mergeCell ref="HZ438:HZ439"/>
    <mergeCell ref="ID438:ID439"/>
    <mergeCell ref="GQ438:GQ439"/>
    <mergeCell ref="HH438:HH439"/>
    <mergeCell ref="HI438:HI439"/>
    <mergeCell ref="HJ438:HJ439"/>
    <mergeCell ref="HK438:HK439"/>
    <mergeCell ref="HL438:HL439"/>
    <mergeCell ref="HT438:HT439"/>
    <mergeCell ref="FS434:FS435"/>
    <mergeCell ref="FT434:FT435"/>
    <mergeCell ref="FU434:FU435"/>
    <mergeCell ref="FV434:FV435"/>
    <mergeCell ref="FW434:FW435"/>
    <mergeCell ref="FB434:FB435"/>
    <mergeCell ref="FE434:FE435"/>
    <mergeCell ref="FL434:FL435"/>
    <mergeCell ref="DR432:DR433"/>
    <mergeCell ref="DS432:DS435"/>
    <mergeCell ref="DT432:DT433"/>
    <mergeCell ref="DU432:DU435"/>
    <mergeCell ref="DV432:DV435"/>
    <mergeCell ref="DF432:DF433"/>
    <mergeCell ref="DG432:DG433"/>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N429:DN430"/>
    <mergeCell ref="DR429:DR430"/>
    <mergeCell ref="DT429:DT430"/>
    <mergeCell ref="DY429:DY430"/>
    <mergeCell ref="EX429:EX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O427:DO430"/>
    <mergeCell ref="DQ427:DQ430"/>
    <mergeCell ref="E428:F428"/>
    <mergeCell ref="DR427:DR428"/>
    <mergeCell ref="DS427:DS430"/>
    <mergeCell ref="DT427:DT428"/>
    <mergeCell ref="DU427:DU430"/>
    <mergeCell ref="DV427:DV430"/>
    <mergeCell ref="DX427:DX430"/>
    <mergeCell ref="GC427:GC430"/>
    <mergeCell ref="FP427:FP428"/>
    <mergeCell ref="U434:AE434"/>
    <mergeCell ref="IN427:IN430"/>
    <mergeCell ref="EA427:EA430"/>
    <mergeCell ref="EC427:EC430"/>
    <mergeCell ref="ED427:ED430"/>
    <mergeCell ref="EF427:EF430"/>
    <mergeCell ref="EG427:EG430"/>
    <mergeCell ref="EH427:EH430"/>
    <mergeCell ref="EI427:EI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C429:IC430"/>
    <mergeCell ref="FY427:FY428"/>
    <mergeCell ref="EY429:EY430"/>
    <mergeCell ref="EZ429:EZ430"/>
    <mergeCell ref="FA429:FA430"/>
    <mergeCell ref="FB429:FB430"/>
    <mergeCell ref="FE429:FE430"/>
    <mergeCell ref="FL429:FL430"/>
    <mergeCell ref="FM429:FM430"/>
    <mergeCell ref="FN429:FN430"/>
    <mergeCell ref="FO429:FO430"/>
    <mergeCell ref="FQ429:FQ430"/>
    <mergeCell ref="FS429:FS430"/>
    <mergeCell ref="FT429:FT430"/>
    <mergeCell ref="HO428:HO429"/>
    <mergeCell ref="HP428:HP429"/>
    <mergeCell ref="HQ428:HQ429"/>
    <mergeCell ref="HR428:HR429"/>
    <mergeCell ref="HS428:HS429"/>
    <mergeCell ref="HT428:HT429"/>
    <mergeCell ref="HU428:HU429"/>
    <mergeCell ref="HV428:HV429"/>
    <mergeCell ref="HW428:HW429"/>
    <mergeCell ref="HX428:HX429"/>
    <mergeCell ref="FC427:FC430"/>
    <mergeCell ref="FE427:FE428"/>
    <mergeCell ref="FG427:FG430"/>
    <mergeCell ref="DB432:DB435"/>
    <mergeCell ref="DC432:DC435"/>
    <mergeCell ref="DD432:DD435"/>
    <mergeCell ref="IG427:IG428"/>
    <mergeCell ref="IH427:IH430"/>
    <mergeCell ref="IK427:IK428"/>
    <mergeCell ref="IL427:IL430"/>
    <mergeCell ref="IM427:IM428"/>
    <mergeCell ref="IH422:IH425"/>
    <mergeCell ref="IK422:IK423"/>
    <mergeCell ref="IL422:IL425"/>
    <mergeCell ref="IM422:IM423"/>
    <mergeCell ref="FM422:FM423"/>
    <mergeCell ref="FN422:FN423"/>
    <mergeCell ref="FO422:FO423"/>
    <mergeCell ref="FQ422:FQ423"/>
    <mergeCell ref="FS422:FS423"/>
    <mergeCell ref="FT422:FT423"/>
    <mergeCell ref="EX424:EX425"/>
    <mergeCell ref="EY424:EY425"/>
    <mergeCell ref="EZ424:EZ425"/>
    <mergeCell ref="FA424:FA425"/>
    <mergeCell ref="IB427:IB429"/>
    <mergeCell ref="IC427:IC428"/>
    <mergeCell ref="GQ428:GQ429"/>
    <mergeCell ref="HH428:HH429"/>
    <mergeCell ref="HI428:HI429"/>
    <mergeCell ref="FB424:FB425"/>
    <mergeCell ref="FE424:FE425"/>
    <mergeCell ref="FL424:FL425"/>
    <mergeCell ref="FM424:FM425"/>
    <mergeCell ref="FN424:FN425"/>
    <mergeCell ref="FO424:FO425"/>
    <mergeCell ref="IF422:IF425"/>
    <mergeCell ref="IG422:IG423"/>
    <mergeCell ref="HZ423:HZ424"/>
    <mergeCell ref="ID423:ID424"/>
    <mergeCell ref="FU424:FU425"/>
    <mergeCell ref="FV424:FV425"/>
    <mergeCell ref="FW424:FW425"/>
    <mergeCell ref="FX424:FX425"/>
    <mergeCell ref="IC424:IC425"/>
    <mergeCell ref="IG424:IG425"/>
    <mergeCell ref="FL422:FL423"/>
    <mergeCell ref="HW423:HW424"/>
    <mergeCell ref="HX423:HX424"/>
    <mergeCell ref="HY423:HY424"/>
    <mergeCell ref="FW422:FW423"/>
    <mergeCell ref="FX422:FX423"/>
    <mergeCell ref="GA422:GA425"/>
    <mergeCell ref="GB422:GB425"/>
    <mergeCell ref="GC422:GC425"/>
    <mergeCell ref="GD422:GD425"/>
    <mergeCell ref="GE422:GE425"/>
    <mergeCell ref="GF422:GF425"/>
    <mergeCell ref="GG422:GG425"/>
    <mergeCell ref="GH422:GH425"/>
    <mergeCell ref="GK422:GK425"/>
    <mergeCell ref="GM423:GM424"/>
    <mergeCell ref="GN423:GN424"/>
    <mergeCell ref="GP423:GP424"/>
    <mergeCell ref="GQ423:GQ424"/>
    <mergeCell ref="HH423:HH424"/>
    <mergeCell ref="HI423:HI424"/>
    <mergeCell ref="HJ423:HJ424"/>
    <mergeCell ref="HK423:HK424"/>
    <mergeCell ref="FN427:FN428"/>
    <mergeCell ref="FH427:FH430"/>
    <mergeCell ref="EV422:EV425"/>
    <mergeCell ref="EX422:EX423"/>
    <mergeCell ref="EY422:EY423"/>
    <mergeCell ref="EZ422:EZ423"/>
    <mergeCell ref="FA422:FA423"/>
    <mergeCell ref="FB422:FB423"/>
    <mergeCell ref="FC422:FC425"/>
    <mergeCell ref="FE422:FE423"/>
    <mergeCell ref="FG422:FG425"/>
    <mergeCell ref="FH422:FH425"/>
    <mergeCell ref="EM422:EM425"/>
    <mergeCell ref="EQ422:EQ425"/>
    <mergeCell ref="ER422:ER425"/>
    <mergeCell ref="ES422:ES425"/>
    <mergeCell ref="ET422:ET425"/>
    <mergeCell ref="DG422:DG423"/>
    <mergeCell ref="DH422:DH423"/>
    <mergeCell ref="DI422:DI423"/>
    <mergeCell ref="DJ422:DJ423"/>
    <mergeCell ref="DK422:DK425"/>
    <mergeCell ref="DM422:DM423"/>
    <mergeCell ref="DO422:DO425"/>
    <mergeCell ref="DQ422:DQ425"/>
    <mergeCell ref="DR422:DR423"/>
    <mergeCell ref="DS422:DS425"/>
    <mergeCell ref="DT422:DT423"/>
    <mergeCell ref="DU422:DU425"/>
    <mergeCell ref="DV422:DV425"/>
    <mergeCell ref="DX422:DX425"/>
    <mergeCell ref="DY422:DY423"/>
    <mergeCell ref="DZ422:DZ425"/>
    <mergeCell ref="IF427:IF430"/>
    <mergeCell ref="FO427:FO428"/>
    <mergeCell ref="FQ427:FQ428"/>
    <mergeCell ref="FS427:FS428"/>
    <mergeCell ref="FT427:FT428"/>
    <mergeCell ref="FU427:FU428"/>
    <mergeCell ref="FV427:FV428"/>
    <mergeCell ref="FW427:FW428"/>
    <mergeCell ref="FX427:FX428"/>
    <mergeCell ref="GA427:GA430"/>
    <mergeCell ref="GB427:GB430"/>
    <mergeCell ref="FU429:FU430"/>
    <mergeCell ref="FV429:FV430"/>
    <mergeCell ref="FW429:FW430"/>
    <mergeCell ref="FX429:FX430"/>
    <mergeCell ref="EJ427:EJ430"/>
    <mergeCell ref="EK427:EK430"/>
    <mergeCell ref="EL427:EL430"/>
    <mergeCell ref="EM427:EM430"/>
    <mergeCell ref="EN427:EN430"/>
    <mergeCell ref="EO427:EO430"/>
    <mergeCell ref="EP427:EP430"/>
    <mergeCell ref="EQ427:EQ430"/>
    <mergeCell ref="ER427:ER430"/>
    <mergeCell ref="ES427:ES430"/>
    <mergeCell ref="ET427:ET430"/>
    <mergeCell ref="EV427:EV430"/>
    <mergeCell ref="EX427:EX428"/>
    <mergeCell ref="EY427:EY428"/>
    <mergeCell ref="EZ427:EZ428"/>
    <mergeCell ref="FA427:FA428"/>
    <mergeCell ref="FB427:FB428"/>
    <mergeCell ref="DC422:DC425"/>
    <mergeCell ref="DD422:DD425"/>
    <mergeCell ref="DF422:DF423"/>
    <mergeCell ref="CR424:CR425"/>
    <mergeCell ref="EC422:EC425"/>
    <mergeCell ref="ED422:ED425"/>
    <mergeCell ref="EF422:EF425"/>
    <mergeCell ref="EG422:EG425"/>
    <mergeCell ref="EH422:EH425"/>
    <mergeCell ref="EI422:EI425"/>
    <mergeCell ref="EJ422:EJ425"/>
    <mergeCell ref="EK422:EK425"/>
    <mergeCell ref="EL422:EL425"/>
    <mergeCell ref="EN422:EN425"/>
    <mergeCell ref="EO422:EO425"/>
    <mergeCell ref="CY424:CY425"/>
    <mergeCell ref="CZ424:CZ425"/>
    <mergeCell ref="DF424:DF425"/>
    <mergeCell ref="DH424:DH425"/>
    <mergeCell ref="DI424:DI425"/>
    <mergeCell ref="DJ424:DJ425"/>
    <mergeCell ref="DN424:DN425"/>
    <mergeCell ref="DR424:DR425"/>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DY427:DY428"/>
    <mergeCell ref="DZ427:DZ430"/>
    <mergeCell ref="U429:AE429"/>
    <mergeCell ref="EP422:EP425"/>
    <mergeCell ref="CS424:CS425"/>
    <mergeCell ref="CU424:CU425"/>
    <mergeCell ref="CV424:CV425"/>
    <mergeCell ref="CW424:CW425"/>
    <mergeCell ref="CX424:CX425"/>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N419:DN420"/>
    <mergeCell ref="DR419:DR420"/>
    <mergeCell ref="B417:B420"/>
    <mergeCell ref="C417:D420"/>
    <mergeCell ref="E423:F423"/>
    <mergeCell ref="G423:L423"/>
    <mergeCell ref="DF417:DF418"/>
    <mergeCell ref="DG417:DG418"/>
    <mergeCell ref="AG423:AK423"/>
    <mergeCell ref="EA422:EA425"/>
    <mergeCell ref="DG424:DG425"/>
    <mergeCell ref="DT424:DT425"/>
    <mergeCell ref="DY424:DY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HM423:HM424"/>
    <mergeCell ref="HN423:HN424"/>
    <mergeCell ref="HO423:HO424"/>
    <mergeCell ref="HP423:HP424"/>
    <mergeCell ref="HQ423:HQ424"/>
    <mergeCell ref="HR423:HR424"/>
    <mergeCell ref="HS423:HS424"/>
    <mergeCell ref="HT423:HT424"/>
    <mergeCell ref="HU423:HU424"/>
    <mergeCell ref="HV423:HV424"/>
    <mergeCell ref="FQ424:FQ425"/>
    <mergeCell ref="FS424:FS425"/>
    <mergeCell ref="FT424:FT425"/>
    <mergeCell ref="HX418:HX419"/>
    <mergeCell ref="HY418:HY419"/>
    <mergeCell ref="HZ418:HZ419"/>
    <mergeCell ref="ID418:ID419"/>
    <mergeCell ref="IC419:IC420"/>
    <mergeCell ref="FQ417:FQ418"/>
    <mergeCell ref="FS417:FS418"/>
    <mergeCell ref="FT417:FT418"/>
    <mergeCell ref="FU417:FU418"/>
    <mergeCell ref="HR418:HR419"/>
    <mergeCell ref="HS418:HS419"/>
    <mergeCell ref="HT418:HT419"/>
    <mergeCell ref="HU418:HU419"/>
    <mergeCell ref="HV418:HV419"/>
    <mergeCell ref="FQ419:FQ420"/>
    <mergeCell ref="FS419:FS420"/>
    <mergeCell ref="FT419:FT420"/>
    <mergeCell ref="FU419:FU420"/>
    <mergeCell ref="FU422:FU423"/>
    <mergeCell ref="FV422:FV423"/>
    <mergeCell ref="HL423:HL424"/>
    <mergeCell ref="IK419:IK420"/>
    <mergeCell ref="IM419:IM420"/>
    <mergeCell ref="FV417:FV418"/>
    <mergeCell ref="FW417:FW418"/>
    <mergeCell ref="FX417:FX418"/>
    <mergeCell ref="GA417:GA420"/>
    <mergeCell ref="GB417:GB420"/>
    <mergeCell ref="GC417:GC420"/>
    <mergeCell ref="GD417:GD420"/>
    <mergeCell ref="GE417:GE420"/>
    <mergeCell ref="GF417:GF420"/>
    <mergeCell ref="GG417:GG420"/>
    <mergeCell ref="GH417:GH420"/>
    <mergeCell ref="GK417:GK420"/>
    <mergeCell ref="IB417:IB419"/>
    <mergeCell ref="IC417:IC418"/>
    <mergeCell ref="IF417:IF420"/>
    <mergeCell ref="IG417:IG418"/>
    <mergeCell ref="IH417:IH420"/>
    <mergeCell ref="FV419:FV420"/>
    <mergeCell ref="FW419:FW420"/>
    <mergeCell ref="FX419:FX420"/>
    <mergeCell ref="HN418:HN419"/>
    <mergeCell ref="HO418:HO419"/>
    <mergeCell ref="HP418:HP419"/>
    <mergeCell ref="HI418:HI419"/>
    <mergeCell ref="HJ418:HJ419"/>
    <mergeCell ref="HK418:HK419"/>
    <mergeCell ref="HL418:HL419"/>
    <mergeCell ref="HM418:HM419"/>
    <mergeCell ref="HH418:HH419"/>
    <mergeCell ref="FA419:FA420"/>
    <mergeCell ref="FB419:FB420"/>
    <mergeCell ref="FC417:FC420"/>
    <mergeCell ref="FE417:FE418"/>
    <mergeCell ref="FG417:FG420"/>
    <mergeCell ref="FH417:FH420"/>
    <mergeCell ref="FL417:FL418"/>
    <mergeCell ref="FM417:FM418"/>
    <mergeCell ref="FN417:FN418"/>
    <mergeCell ref="FO417:FO418"/>
    <mergeCell ref="FE419:FE420"/>
    <mergeCell ref="FL419:FL420"/>
    <mergeCell ref="FM419:FM420"/>
    <mergeCell ref="FP417:FP418"/>
    <mergeCell ref="FN419:FN420"/>
    <mergeCell ref="FO419:FO420"/>
    <mergeCell ref="IG419:IG420"/>
    <mergeCell ref="DG414:DG415"/>
    <mergeCell ref="DH414:DH415"/>
    <mergeCell ref="DI414:DI415"/>
    <mergeCell ref="DJ414:DJ415"/>
    <mergeCell ref="DN414:DN415"/>
    <mergeCell ref="DR414:DR415"/>
    <mergeCell ref="DT414:DT415"/>
    <mergeCell ref="DY414:DY415"/>
    <mergeCell ref="ET412:ET415"/>
    <mergeCell ref="DG412:DG413"/>
    <mergeCell ref="DH412:DH413"/>
    <mergeCell ref="DI412:DI413"/>
    <mergeCell ref="DJ412:DJ413"/>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DX417:DX420"/>
    <mergeCell ref="DY417:DY418"/>
    <mergeCell ref="DZ417:DZ420"/>
    <mergeCell ref="EA417:EA420"/>
    <mergeCell ref="EC417:EC420"/>
    <mergeCell ref="AG420:AL420"/>
    <mergeCell ref="S417:S418"/>
    <mergeCell ref="E418:F418"/>
    <mergeCell ref="G418:L418"/>
    <mergeCell ref="P418:Q418"/>
    <mergeCell ref="AM417:AM418"/>
    <mergeCell ref="AN417:AN418"/>
    <mergeCell ref="AG417:AL417"/>
    <mergeCell ref="E417:F417"/>
    <mergeCell ref="G417:R417"/>
    <mergeCell ref="EJ417:EJ420"/>
    <mergeCell ref="EK417:EK420"/>
    <mergeCell ref="EL417:EL420"/>
    <mergeCell ref="EM417:EM420"/>
    <mergeCell ref="EN417:EN420"/>
    <mergeCell ref="DT419:DT420"/>
    <mergeCell ref="DY419:DY420"/>
    <mergeCell ref="EX414:EX415"/>
    <mergeCell ref="EY414:EY415"/>
    <mergeCell ref="EZ414:EZ415"/>
    <mergeCell ref="DK407:DK410"/>
    <mergeCell ref="DM407:DM408"/>
    <mergeCell ref="DO407:DO410"/>
    <mergeCell ref="EQ407:EQ410"/>
    <mergeCell ref="ET407:ET410"/>
    <mergeCell ref="EC412:EC415"/>
    <mergeCell ref="ED412:ED415"/>
    <mergeCell ref="DM417:DM418"/>
    <mergeCell ref="DO417:DO420"/>
    <mergeCell ref="DQ417:DQ420"/>
    <mergeCell ref="DR417:DR418"/>
    <mergeCell ref="DS417:DS420"/>
    <mergeCell ref="DT417:DT418"/>
    <mergeCell ref="DU417:DU420"/>
    <mergeCell ref="DV417:DV420"/>
    <mergeCell ref="EX417:EX418"/>
    <mergeCell ref="EY417:EY418"/>
    <mergeCell ref="EZ417:EZ418"/>
    <mergeCell ref="EX419:EX420"/>
    <mergeCell ref="EY419:EY420"/>
    <mergeCell ref="EZ419:EZ420"/>
    <mergeCell ref="FE414:FE415"/>
    <mergeCell ref="FL414:FL415"/>
    <mergeCell ref="AG408:AK408"/>
    <mergeCell ref="AG413:AK413"/>
    <mergeCell ref="EO417:EO420"/>
    <mergeCell ref="EP417:EP420"/>
    <mergeCell ref="EQ417:EQ420"/>
    <mergeCell ref="ER417:ER420"/>
    <mergeCell ref="ES417:ES420"/>
    <mergeCell ref="ET417:ET420"/>
    <mergeCell ref="EV417:EV420"/>
    <mergeCell ref="DH417:DH418"/>
    <mergeCell ref="DI417:DI418"/>
    <mergeCell ref="DJ417:DJ418"/>
    <mergeCell ref="DK417:DK420"/>
    <mergeCell ref="FA417:FA418"/>
    <mergeCell ref="FB417:FB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Q412:EQ415"/>
    <mergeCell ref="ED417:ED420"/>
    <mergeCell ref="EF417:EF420"/>
    <mergeCell ref="EG417:EG420"/>
    <mergeCell ref="EH417:EH420"/>
    <mergeCell ref="EI417:EI420"/>
    <mergeCell ref="DX412:DX415"/>
    <mergeCell ref="FU414:FU415"/>
    <mergeCell ref="FV414:FV415"/>
    <mergeCell ref="FW414:FW415"/>
    <mergeCell ref="FX414:FX415"/>
    <mergeCell ref="EF412:EF415"/>
    <mergeCell ref="EG412:EG415"/>
    <mergeCell ref="EH412:EH415"/>
    <mergeCell ref="EI412:EI415"/>
    <mergeCell ref="EJ412:EJ415"/>
    <mergeCell ref="EK412:EK415"/>
    <mergeCell ref="EL412:EL415"/>
    <mergeCell ref="EM412:EM415"/>
    <mergeCell ref="ER412:ER415"/>
    <mergeCell ref="ES412:ES415"/>
    <mergeCell ref="FO412:FO413"/>
    <mergeCell ref="EN412:EN415"/>
    <mergeCell ref="EO412:EO415"/>
    <mergeCell ref="DY409:DY410"/>
    <mergeCell ref="DG409:DG410"/>
    <mergeCell ref="DH409:DH410"/>
    <mergeCell ref="DI409:DI410"/>
    <mergeCell ref="DJ409:DJ410"/>
    <mergeCell ref="DK412:DK415"/>
    <mergeCell ref="DM412:DM413"/>
    <mergeCell ref="DO412:DO415"/>
    <mergeCell ref="DQ412:DQ415"/>
    <mergeCell ref="DR412:DR413"/>
    <mergeCell ref="DS412:DS415"/>
    <mergeCell ref="DT412:DT413"/>
    <mergeCell ref="DU412:DU415"/>
    <mergeCell ref="DV412:DV415"/>
    <mergeCell ref="EP412:EP415"/>
    <mergeCell ref="AY412:AY415"/>
    <mergeCell ref="AZ412:AZ415"/>
    <mergeCell ref="CP412:CP415"/>
    <mergeCell ref="CQ412:CQ415"/>
    <mergeCell ref="CR412:CR413"/>
    <mergeCell ref="CS412:CS413"/>
    <mergeCell ref="CU412:CU413"/>
    <mergeCell ref="CV412:CV413"/>
    <mergeCell ref="ER407:ER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S407:ES410"/>
    <mergeCell ref="DF414:DF415"/>
    <mergeCell ref="FN407:FN408"/>
    <mergeCell ref="FO407:FO408"/>
    <mergeCell ref="FQ407:FQ408"/>
    <mergeCell ref="FS407:FS408"/>
    <mergeCell ref="HZ408:HZ409"/>
    <mergeCell ref="ID408:ID409"/>
    <mergeCell ref="GC412:GC415"/>
    <mergeCell ref="GD412:GD415"/>
    <mergeCell ref="GE412:GE415"/>
    <mergeCell ref="GF412:GF415"/>
    <mergeCell ref="GG412:GG415"/>
    <mergeCell ref="GH412:GH415"/>
    <mergeCell ref="GK412:GK415"/>
    <mergeCell ref="IB412:IB414"/>
    <mergeCell ref="IC412:IC413"/>
    <mergeCell ref="IC414:IC415"/>
    <mergeCell ref="EV412:EV415"/>
    <mergeCell ref="EX412:EX413"/>
    <mergeCell ref="EY412:EY413"/>
    <mergeCell ref="EZ412:EZ413"/>
    <mergeCell ref="FA412:FA413"/>
    <mergeCell ref="FB412:FB413"/>
    <mergeCell ref="FC412:FC415"/>
    <mergeCell ref="FE412:FE413"/>
    <mergeCell ref="FG412:FG415"/>
    <mergeCell ref="FH412:FH415"/>
    <mergeCell ref="FL412:FL413"/>
    <mergeCell ref="FM412:FM413"/>
    <mergeCell ref="FN412:FN413"/>
    <mergeCell ref="FM414:FM415"/>
    <mergeCell ref="FN414:FN415"/>
    <mergeCell ref="FO414:FO415"/>
    <mergeCell ref="FQ414:FQ415"/>
    <mergeCell ref="FS414:FS415"/>
    <mergeCell ref="FT414:FT415"/>
    <mergeCell ref="HJ408:HJ409"/>
    <mergeCell ref="FA407:FA408"/>
    <mergeCell ref="HK408:HK409"/>
    <mergeCell ref="HL408:HL409"/>
    <mergeCell ref="HU408:HU409"/>
    <mergeCell ref="HV408:HV409"/>
    <mergeCell ref="HW408:HW409"/>
    <mergeCell ref="GP408:GP409"/>
    <mergeCell ref="GQ408:GQ409"/>
    <mergeCell ref="HH408:HH409"/>
    <mergeCell ref="GA407:GA410"/>
    <mergeCell ref="FQ412:FQ413"/>
    <mergeCell ref="FS412:FS413"/>
    <mergeCell ref="GM408:GM409"/>
    <mergeCell ref="GN408:GN409"/>
    <mergeCell ref="EV407:EV410"/>
    <mergeCell ref="EX407:EX408"/>
    <mergeCell ref="FU412:FU413"/>
    <mergeCell ref="FV412:FV413"/>
    <mergeCell ref="FW412:FW413"/>
    <mergeCell ref="FX412:FX413"/>
    <mergeCell ref="GA412:GA415"/>
    <mergeCell ref="GB412:GB415"/>
    <mergeCell ref="FT412:FT413"/>
    <mergeCell ref="FA414:FA415"/>
    <mergeCell ref="FB414:FB415"/>
    <mergeCell ref="FB407:FB408"/>
    <mergeCell ref="FC407:FC410"/>
    <mergeCell ref="FE407:FE408"/>
    <mergeCell ref="FG407:FG410"/>
    <mergeCell ref="FH407:FH410"/>
    <mergeCell ref="FL407:FL408"/>
    <mergeCell ref="FM407:FM408"/>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H407:EH410"/>
    <mergeCell ref="EI407:EI410"/>
    <mergeCell ref="EJ407:EJ410"/>
    <mergeCell ref="EK407:EK410"/>
    <mergeCell ref="EL407:EL410"/>
    <mergeCell ref="EM407:EM410"/>
    <mergeCell ref="EN407:EN410"/>
    <mergeCell ref="EO407:EO410"/>
    <mergeCell ref="EP407:EP410"/>
    <mergeCell ref="DQ407:DQ410"/>
    <mergeCell ref="DR407:DR408"/>
    <mergeCell ref="DS407:DS410"/>
    <mergeCell ref="DT407:DT408"/>
    <mergeCell ref="DU407:DU410"/>
    <mergeCell ref="DV407:DV410"/>
    <mergeCell ref="DX407:DX410"/>
    <mergeCell ref="DY407:DY408"/>
    <mergeCell ref="DZ407:DZ410"/>
    <mergeCell ref="EA407:EA410"/>
    <mergeCell ref="EC407:EC410"/>
    <mergeCell ref="ED407:ED410"/>
    <mergeCell ref="EF407:EF410"/>
    <mergeCell ref="EG407:EG410"/>
    <mergeCell ref="DN409:DN410"/>
    <mergeCell ref="DR409:DR410"/>
    <mergeCell ref="DT409:DT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DY412:DY413"/>
    <mergeCell ref="DZ412:DZ415"/>
    <mergeCell ref="EA412:EA415"/>
    <mergeCell ref="HZ400:HZ401"/>
    <mergeCell ref="ID400:ID401"/>
    <mergeCell ref="IB399:IB401"/>
    <mergeCell ref="IC399:IC400"/>
    <mergeCell ref="E401:F401"/>
    <mergeCell ref="G401:L401"/>
    <mergeCell ref="EJ399:EJ402"/>
    <mergeCell ref="EK399:EK402"/>
    <mergeCell ref="EL399:EL402"/>
    <mergeCell ref="EM399:EM402"/>
    <mergeCell ref="EN399:EN402"/>
    <mergeCell ref="EO399:EO402"/>
    <mergeCell ref="EP399:EP402"/>
    <mergeCell ref="EQ399:EQ402"/>
    <mergeCell ref="ER399:ER402"/>
    <mergeCell ref="ES399:ES402"/>
    <mergeCell ref="ET399:ET402"/>
    <mergeCell ref="EV399:EV402"/>
    <mergeCell ref="EX399:EX400"/>
    <mergeCell ref="DK399:DK402"/>
    <mergeCell ref="DM399:DM400"/>
    <mergeCell ref="CZ401:CZ402"/>
    <mergeCell ref="DF401:DF402"/>
    <mergeCell ref="DG401:DG402"/>
    <mergeCell ref="DH401:DH402"/>
    <mergeCell ref="DI401:DI402"/>
    <mergeCell ref="DJ401:DJ402"/>
    <mergeCell ref="DS399:DS402"/>
    <mergeCell ref="DT399:DT400"/>
    <mergeCell ref="DU399:DU402"/>
    <mergeCell ref="GN400:GN401"/>
    <mergeCell ref="GP400:GP401"/>
    <mergeCell ref="FE401:FE402"/>
    <mergeCell ref="FL401:FL402"/>
    <mergeCell ref="FT401:FT402"/>
    <mergeCell ref="HO400:HO401"/>
    <mergeCell ref="HP400:HP401"/>
    <mergeCell ref="HQ400:HQ401"/>
    <mergeCell ref="HR400:HR401"/>
    <mergeCell ref="HS400:HS401"/>
    <mergeCell ref="HT400:HT401"/>
    <mergeCell ref="HU400:HU401"/>
    <mergeCell ref="HV400:HV401"/>
    <mergeCell ref="HW400:HW401"/>
    <mergeCell ref="HH400:HH401"/>
    <mergeCell ref="HI400:HI401"/>
    <mergeCell ref="HJ400:HJ401"/>
    <mergeCell ref="CU401:CU402"/>
    <mergeCell ref="CV401:CV402"/>
    <mergeCell ref="CW401:CW402"/>
    <mergeCell ref="CX401:CX402"/>
    <mergeCell ref="CY401:CY402"/>
    <mergeCell ref="DV399:DV402"/>
    <mergeCell ref="DX399:DX402"/>
    <mergeCell ref="IC401:IC402"/>
    <mergeCell ref="CU399:CU400"/>
    <mergeCell ref="DO399:DO402"/>
    <mergeCell ref="DQ399:DQ402"/>
    <mergeCell ref="DR399:DR400"/>
    <mergeCell ref="AM401:AM402"/>
    <mergeCell ref="AN401:AN402"/>
    <mergeCell ref="AO401:AO402"/>
    <mergeCell ref="CR401:CR402"/>
    <mergeCell ref="CS401:CS402"/>
    <mergeCell ref="FT407:FT408"/>
    <mergeCell ref="FU407:FU408"/>
    <mergeCell ref="FV407:FV408"/>
    <mergeCell ref="FW407:FW408"/>
    <mergeCell ref="FX407:FX408"/>
    <mergeCell ref="FA409:FA410"/>
    <mergeCell ref="FB409:FB410"/>
    <mergeCell ref="FE409:FE410"/>
    <mergeCell ref="FL409:FL410"/>
    <mergeCell ref="FM409:FM410"/>
    <mergeCell ref="FN409:FN410"/>
    <mergeCell ref="FO409:FO410"/>
    <mergeCell ref="FQ409:FQ410"/>
    <mergeCell ref="FS409:FS410"/>
    <mergeCell ref="FT409:FT410"/>
    <mergeCell ref="FU409:FU410"/>
    <mergeCell ref="FV409:FV410"/>
    <mergeCell ref="FW409:FW410"/>
    <mergeCell ref="FX409:FX410"/>
    <mergeCell ref="CV399:CV400"/>
    <mergeCell ref="CW399:CW400"/>
    <mergeCell ref="CX399:CX400"/>
    <mergeCell ref="CY399:CY400"/>
    <mergeCell ref="CZ399:CZ400"/>
    <mergeCell ref="DA399:DA402"/>
    <mergeCell ref="DB399:DB402"/>
    <mergeCell ref="HM408:HM409"/>
    <mergeCell ref="DC399:DC402"/>
    <mergeCell ref="DD399:DD402"/>
    <mergeCell ref="DF399:DF400"/>
    <mergeCell ref="DG399:DG400"/>
    <mergeCell ref="DH399:DH400"/>
    <mergeCell ref="DI399:DI400"/>
    <mergeCell ref="DJ399:DJ400"/>
    <mergeCell ref="DX405:DY405"/>
    <mergeCell ref="DQ406:DR406"/>
    <mergeCell ref="DX406:DY406"/>
    <mergeCell ref="FP407:FP408"/>
    <mergeCell ref="EY407:EY408"/>
    <mergeCell ref="EZ407:EZ408"/>
    <mergeCell ref="EX409:EX410"/>
    <mergeCell ref="EY409:EY410"/>
    <mergeCell ref="EZ409:EZ410"/>
    <mergeCell ref="HN408:HN409"/>
    <mergeCell ref="HO408:HO409"/>
    <mergeCell ref="HP408:HP409"/>
    <mergeCell ref="HQ408:HQ409"/>
    <mergeCell ref="HR408:HR409"/>
    <mergeCell ref="HS408:HS409"/>
    <mergeCell ref="HT408:HT409"/>
    <mergeCell ref="FA401:FA402"/>
    <mergeCell ref="FB401:FB402"/>
    <mergeCell ref="DQ405:DR405"/>
    <mergeCell ref="HK400:HK401"/>
    <mergeCell ref="HL400:HL401"/>
    <mergeCell ref="HM400:HM401"/>
    <mergeCell ref="HN400:HN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N401:DN402"/>
    <mergeCell ref="DR401:DR402"/>
    <mergeCell ref="DT401:DT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IK396:IK397"/>
    <mergeCell ref="GB394:GB397"/>
    <mergeCell ref="GC394:GC397"/>
    <mergeCell ref="GD394:GD397"/>
    <mergeCell ref="GE394:GE397"/>
    <mergeCell ref="GF394:GF397"/>
    <mergeCell ref="GG394:GG397"/>
    <mergeCell ref="GH394:GH397"/>
    <mergeCell ref="GK394:GK397"/>
    <mergeCell ref="FU396:FU397"/>
    <mergeCell ref="FV396:FV397"/>
    <mergeCell ref="FW396:FW397"/>
    <mergeCell ref="FX396:FX397"/>
    <mergeCell ref="EV394:EV397"/>
    <mergeCell ref="EX394:EX395"/>
    <mergeCell ref="EY394:EY395"/>
    <mergeCell ref="EZ394:EZ395"/>
    <mergeCell ref="FA394:FA395"/>
    <mergeCell ref="FB394:FB395"/>
    <mergeCell ref="FC394:FC397"/>
    <mergeCell ref="DY399:DY400"/>
    <mergeCell ref="DZ399:DZ402"/>
    <mergeCell ref="EA399:EA402"/>
    <mergeCell ref="EC399:EC402"/>
    <mergeCell ref="ED399:ED402"/>
    <mergeCell ref="EF399:EF402"/>
    <mergeCell ref="EG399:EG402"/>
    <mergeCell ref="EH399:EH402"/>
    <mergeCell ref="EI399:EI402"/>
    <mergeCell ref="IK401:IK402"/>
    <mergeCell ref="IG401:IG402"/>
    <mergeCell ref="GQ400:GQ401"/>
    <mergeCell ref="FM394:FM395"/>
    <mergeCell ref="FN394:FN395"/>
    <mergeCell ref="FO394:FO395"/>
    <mergeCell ref="FQ394:FQ395"/>
    <mergeCell ref="FS394:FS395"/>
    <mergeCell ref="FT394:FT395"/>
    <mergeCell ref="EX396:EX397"/>
    <mergeCell ref="EY396:EY397"/>
    <mergeCell ref="EZ396:EZ397"/>
    <mergeCell ref="FA396:FA397"/>
    <mergeCell ref="FB396:FB397"/>
    <mergeCell ref="FE396:FE397"/>
    <mergeCell ref="FL396:FL397"/>
    <mergeCell ref="FM396:FM397"/>
    <mergeCell ref="FN396:FN397"/>
    <mergeCell ref="FO396:FO397"/>
    <mergeCell ref="FQ396:FQ397"/>
    <mergeCell ref="FM401:FM402"/>
    <mergeCell ref="FN401:FN402"/>
    <mergeCell ref="FO401:FO402"/>
    <mergeCell ref="FU394:FU395"/>
    <mergeCell ref="FV394:FV395"/>
    <mergeCell ref="FW394:FW395"/>
    <mergeCell ref="FX394:FX395"/>
    <mergeCell ref="GA394:GA397"/>
    <mergeCell ref="HX400:HX401"/>
    <mergeCell ref="HY400:HY401"/>
    <mergeCell ref="FE394:FE395"/>
    <mergeCell ref="FG394:FG397"/>
    <mergeCell ref="FH394:FH397"/>
    <mergeCell ref="FL394:FL395"/>
    <mergeCell ref="EF394:EF397"/>
    <mergeCell ref="EK394:EK397"/>
    <mergeCell ref="EL394:EL397"/>
    <mergeCell ref="EM394:EM397"/>
    <mergeCell ref="EN394:EN397"/>
    <mergeCell ref="EO394:EO397"/>
    <mergeCell ref="EP394:EP397"/>
    <mergeCell ref="EQ394:EQ397"/>
    <mergeCell ref="ER394:ER397"/>
    <mergeCell ref="ES394:ES397"/>
    <mergeCell ref="ET394:ET397"/>
    <mergeCell ref="DG394:DG395"/>
    <mergeCell ref="DH394:DH395"/>
    <mergeCell ref="DI394:DI395"/>
    <mergeCell ref="DJ394:DJ395"/>
    <mergeCell ref="DK394:DK397"/>
    <mergeCell ref="DM394:DM395"/>
    <mergeCell ref="DO394:DO397"/>
    <mergeCell ref="DQ394:DQ397"/>
    <mergeCell ref="DN396:DN397"/>
    <mergeCell ref="GC399:GC402"/>
    <mergeCell ref="GD399:GD402"/>
    <mergeCell ref="GE399:GE402"/>
    <mergeCell ref="GF399:GF402"/>
    <mergeCell ref="GG399:GG402"/>
    <mergeCell ref="GH399:GH402"/>
    <mergeCell ref="GK399:GK402"/>
    <mergeCell ref="DY401:DY402"/>
    <mergeCell ref="EX401:EX402"/>
    <mergeCell ref="EY401:EY402"/>
    <mergeCell ref="EZ401:EZ402"/>
    <mergeCell ref="EY399:EY400"/>
    <mergeCell ref="EZ399:EZ400"/>
    <mergeCell ref="FA399:FA400"/>
    <mergeCell ref="FB399:FB400"/>
    <mergeCell ref="FC399:FC402"/>
    <mergeCell ref="FE399:FE400"/>
    <mergeCell ref="FG399:FG402"/>
    <mergeCell ref="FH399:FH402"/>
    <mergeCell ref="FL399:FL400"/>
    <mergeCell ref="FM399:FM400"/>
    <mergeCell ref="FN399:FN400"/>
    <mergeCell ref="FO399:FO400"/>
    <mergeCell ref="FQ399:FQ400"/>
    <mergeCell ref="FS399:FS400"/>
    <mergeCell ref="FT399:FT400"/>
    <mergeCell ref="FU399:FU400"/>
    <mergeCell ref="FV399:FV400"/>
    <mergeCell ref="FW399:FW400"/>
    <mergeCell ref="FX399:FX400"/>
    <mergeCell ref="GA399:GA402"/>
    <mergeCell ref="GB399:GB402"/>
    <mergeCell ref="FU401:FU402"/>
    <mergeCell ref="FV401:FV402"/>
    <mergeCell ref="FW401:FW402"/>
    <mergeCell ref="FX401:FX402"/>
    <mergeCell ref="FQ401:FQ402"/>
    <mergeCell ref="FS401:FS402"/>
    <mergeCell ref="FP399:FP400"/>
    <mergeCell ref="FY401:FY402"/>
    <mergeCell ref="IM396:IM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FY399:FY400"/>
    <mergeCell ref="E400:F400"/>
    <mergeCell ref="G400:L400"/>
    <mergeCell ref="P400:Q400"/>
    <mergeCell ref="GM400:GM401"/>
    <mergeCell ref="FS396:FS397"/>
    <mergeCell ref="FT396:FT397"/>
    <mergeCell ref="EC394:EC397"/>
    <mergeCell ref="ED394:ED397"/>
    <mergeCell ref="GM395:GM396"/>
    <mergeCell ref="GN395:GN396"/>
    <mergeCell ref="GP395:GP396"/>
    <mergeCell ref="GQ395:GQ396"/>
    <mergeCell ref="HH395:HH396"/>
    <mergeCell ref="HI395:HI396"/>
    <mergeCell ref="HJ395:HJ396"/>
    <mergeCell ref="HK395:HK396"/>
    <mergeCell ref="HL395:HL396"/>
    <mergeCell ref="HM395:HM396"/>
    <mergeCell ref="HN395:HN396"/>
    <mergeCell ref="HO395:HO396"/>
    <mergeCell ref="HP395:HP396"/>
    <mergeCell ref="HQ395:HQ396"/>
    <mergeCell ref="HY395:HY396"/>
    <mergeCell ref="EG394:EG397"/>
    <mergeCell ref="EH394:EH397"/>
    <mergeCell ref="CP394:CP397"/>
    <mergeCell ref="FG389:FG392"/>
    <mergeCell ref="FH389:FH392"/>
    <mergeCell ref="DR394:DR395"/>
    <mergeCell ref="DS394:DS397"/>
    <mergeCell ref="DT394:DT395"/>
    <mergeCell ref="DU394:DU397"/>
    <mergeCell ref="DV394:DV397"/>
    <mergeCell ref="DX394:DX397"/>
    <mergeCell ref="DY394:DY395"/>
    <mergeCell ref="DZ394:DZ397"/>
    <mergeCell ref="EA394:EA397"/>
    <mergeCell ref="DR396:DR397"/>
    <mergeCell ref="DT396:DT397"/>
    <mergeCell ref="DY396:DY397"/>
    <mergeCell ref="EX391:EX392"/>
    <mergeCell ref="EY391:EY392"/>
    <mergeCell ref="EZ391:EZ392"/>
    <mergeCell ref="DF389:DF390"/>
    <mergeCell ref="DG389:DG390"/>
    <mergeCell ref="DH389:DH390"/>
    <mergeCell ref="DI389:DI390"/>
    <mergeCell ref="DJ389:DJ390"/>
    <mergeCell ref="FL389:FL390"/>
    <mergeCell ref="FM389:FM390"/>
    <mergeCell ref="FN389:FN390"/>
    <mergeCell ref="FO389:FO390"/>
    <mergeCell ref="FM391:FM392"/>
    <mergeCell ref="FN391:FN392"/>
    <mergeCell ref="FO391:FO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DX389:DX392"/>
    <mergeCell ref="DY389:DY390"/>
    <mergeCell ref="DZ389:DZ392"/>
    <mergeCell ref="EA389:EA392"/>
    <mergeCell ref="EC389:EC392"/>
    <mergeCell ref="ED389:ED392"/>
    <mergeCell ref="EF389:EF392"/>
    <mergeCell ref="EG389:EG392"/>
    <mergeCell ref="DN391:DN392"/>
    <mergeCell ref="DR391:DR392"/>
    <mergeCell ref="DT391:DT392"/>
    <mergeCell ref="DY391:DY392"/>
    <mergeCell ref="CR389:CR390"/>
    <mergeCell ref="CS389:CS390"/>
    <mergeCell ref="CU389:CU390"/>
    <mergeCell ref="CV389:CV390"/>
    <mergeCell ref="CW389:CW390"/>
    <mergeCell ref="EI394:EI397"/>
    <mergeCell ref="EJ394:EJ397"/>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DA389:DA392"/>
    <mergeCell ref="DB389:DB392"/>
    <mergeCell ref="DC389:DC392"/>
    <mergeCell ref="DD389:DD392"/>
    <mergeCell ref="FU389:FU390"/>
    <mergeCell ref="FV389:FV390"/>
    <mergeCell ref="FW389:FW390"/>
    <mergeCell ref="FX389:FX390"/>
    <mergeCell ref="FA391:FA392"/>
    <mergeCell ref="FB391:FB392"/>
    <mergeCell ref="FE391:FE392"/>
    <mergeCell ref="FL391:FL392"/>
    <mergeCell ref="FQ389:FQ390"/>
    <mergeCell ref="FQ391:FQ392"/>
    <mergeCell ref="FS391:FS392"/>
    <mergeCell ref="FT391:FT392"/>
    <mergeCell ref="FU391:FU392"/>
    <mergeCell ref="FV391:FV392"/>
    <mergeCell ref="AY389:AY392"/>
    <mergeCell ref="AZ389:AZ392"/>
    <mergeCell ref="CP389:CP392"/>
    <mergeCell ref="FW391:FW392"/>
    <mergeCell ref="FX391:FX392"/>
    <mergeCell ref="CQ389:CQ392"/>
    <mergeCell ref="CX389:CX390"/>
    <mergeCell ref="CY389:CY390"/>
    <mergeCell ref="CZ389:CZ390"/>
    <mergeCell ref="EH389:EH392"/>
    <mergeCell ref="EI389:EI392"/>
    <mergeCell ref="EJ389:EJ392"/>
    <mergeCell ref="EK389:EK392"/>
    <mergeCell ref="EL389:EL392"/>
    <mergeCell ref="EM389:EM392"/>
    <mergeCell ref="EN389:EN392"/>
    <mergeCell ref="EO389:EO392"/>
    <mergeCell ref="EP389:EP392"/>
    <mergeCell ref="EQ389:EQ392"/>
    <mergeCell ref="ER389:ER392"/>
    <mergeCell ref="ES389:ES392"/>
    <mergeCell ref="ET389:ET392"/>
    <mergeCell ref="EV389:EV392"/>
    <mergeCell ref="EX389:EX390"/>
    <mergeCell ref="DK389:DK392"/>
    <mergeCell ref="DM389:DM390"/>
    <mergeCell ref="DO389:DO392"/>
    <mergeCell ref="DQ389:DQ392"/>
    <mergeCell ref="FT389:FT390"/>
    <mergeCell ref="IC386:IC387"/>
    <mergeCell ref="IG386:IG387"/>
    <mergeCell ref="IK386:IK387"/>
    <mergeCell ref="IM386:IM387"/>
    <mergeCell ref="FL386:FL387"/>
    <mergeCell ref="FM386:FM387"/>
    <mergeCell ref="FN386:FN387"/>
    <mergeCell ref="FO386:FO387"/>
    <mergeCell ref="FQ386:FQ387"/>
    <mergeCell ref="DN386:DN387"/>
    <mergeCell ref="DR386:DR387"/>
    <mergeCell ref="DT386:DT387"/>
    <mergeCell ref="DY386:DY387"/>
    <mergeCell ref="EX386:EX387"/>
    <mergeCell ref="EQ384:EQ387"/>
    <mergeCell ref="ER384:ER387"/>
    <mergeCell ref="HO385:HO386"/>
    <mergeCell ref="HP385:HP386"/>
    <mergeCell ref="HQ385:HQ386"/>
    <mergeCell ref="HR385:HR386"/>
    <mergeCell ref="HS385:HS386"/>
    <mergeCell ref="HT385:HT386"/>
    <mergeCell ref="GM385:GM386"/>
    <mergeCell ref="GH389:GH392"/>
    <mergeCell ref="GK389:GK392"/>
    <mergeCell ref="IB389:IB391"/>
    <mergeCell ref="IC389:IC390"/>
    <mergeCell ref="IC391:IC392"/>
    <mergeCell ref="FA389:FA390"/>
    <mergeCell ref="FB389:FB390"/>
    <mergeCell ref="FC389:FC392"/>
    <mergeCell ref="FE389:FE390"/>
    <mergeCell ref="HV390:HV391"/>
    <mergeCell ref="HW390:HW391"/>
    <mergeCell ref="HX390:HX391"/>
    <mergeCell ref="HY390:HY391"/>
    <mergeCell ref="HZ390:HZ391"/>
    <mergeCell ref="ID390:ID391"/>
    <mergeCell ref="EY386:EY387"/>
    <mergeCell ref="EZ386:EZ387"/>
    <mergeCell ref="FA386:FA387"/>
    <mergeCell ref="FB386:FB387"/>
    <mergeCell ref="FE386:FE387"/>
    <mergeCell ref="EV384:EV387"/>
    <mergeCell ref="EX384:EX385"/>
    <mergeCell ref="EY384:EY385"/>
    <mergeCell ref="EZ384:EZ385"/>
    <mergeCell ref="FA384:FA385"/>
    <mergeCell ref="FB384:FB385"/>
    <mergeCell ref="HG385:HG386"/>
    <mergeCell ref="FP386:FP387"/>
    <mergeCell ref="IC384:IC385"/>
    <mergeCell ref="ES384:ES387"/>
    <mergeCell ref="ET384:ET387"/>
    <mergeCell ref="IB384:IB386"/>
    <mergeCell ref="FS389:FS390"/>
    <mergeCell ref="DO384:DO387"/>
    <mergeCell ref="FW386:FW387"/>
    <mergeCell ref="FX386:FX387"/>
    <mergeCell ref="EJ384:EJ387"/>
    <mergeCell ref="GA389:GA392"/>
    <mergeCell ref="GB389:GB392"/>
    <mergeCell ref="GC389:GC392"/>
    <mergeCell ref="GD389:GD392"/>
    <mergeCell ref="IK379:IK380"/>
    <mergeCell ref="IL379:IL382"/>
    <mergeCell ref="IM379:IM380"/>
    <mergeCell ref="HU380:HU381"/>
    <mergeCell ref="HV380:HV381"/>
    <mergeCell ref="HW380:HW381"/>
    <mergeCell ref="HX380:HX381"/>
    <mergeCell ref="HY380:HY381"/>
    <mergeCell ref="FX381:FX382"/>
    <mergeCell ref="FE381:FE382"/>
    <mergeCell ref="FL381:FL382"/>
    <mergeCell ref="FM381:FM382"/>
    <mergeCell ref="FN381:FN382"/>
    <mergeCell ref="FO381:FO382"/>
    <mergeCell ref="FQ381:FQ382"/>
    <mergeCell ref="FS381:FS382"/>
    <mergeCell ref="FT381:FT382"/>
    <mergeCell ref="EX379:EX380"/>
    <mergeCell ref="IF379:IF382"/>
    <mergeCell ref="IG379:IG380"/>
    <mergeCell ref="HZ380:HZ381"/>
    <mergeCell ref="ID380:ID381"/>
    <mergeCell ref="IC381:IC382"/>
    <mergeCell ref="IG381:IG382"/>
    <mergeCell ref="IK381:IK382"/>
    <mergeCell ref="IM381:IM382"/>
    <mergeCell ref="HU385:HU386"/>
    <mergeCell ref="IH379:IH382"/>
    <mergeCell ref="HV385:HV386"/>
    <mergeCell ref="HW385:HW386"/>
    <mergeCell ref="HX385:HX386"/>
    <mergeCell ref="HY385:HY386"/>
    <mergeCell ref="HZ385:HZ386"/>
    <mergeCell ref="ID385:ID386"/>
    <mergeCell ref="HL380:HL381"/>
    <mergeCell ref="GN385:GN386"/>
    <mergeCell ref="GP385:GP386"/>
    <mergeCell ref="GQ385:GQ386"/>
    <mergeCell ref="HH385:HH386"/>
    <mergeCell ref="HI385:HI386"/>
    <mergeCell ref="HJ385:HJ386"/>
    <mergeCell ref="HK385:HK386"/>
    <mergeCell ref="HL385:HL386"/>
    <mergeCell ref="HM385:HM386"/>
    <mergeCell ref="HN385:HN386"/>
    <mergeCell ref="FC384:FC387"/>
    <mergeCell ref="FE384:FE385"/>
    <mergeCell ref="FG384:FG387"/>
    <mergeCell ref="FH384:FH387"/>
    <mergeCell ref="FL384:FL385"/>
    <mergeCell ref="FM384:FM385"/>
    <mergeCell ref="FN384:FN385"/>
    <mergeCell ref="FO384:FO385"/>
    <mergeCell ref="FQ384:FQ385"/>
    <mergeCell ref="FS384:FS385"/>
    <mergeCell ref="FT384:FT385"/>
    <mergeCell ref="FU384:FU385"/>
    <mergeCell ref="FV384:FV385"/>
    <mergeCell ref="FW384:FW385"/>
    <mergeCell ref="FX384:FX385"/>
    <mergeCell ref="GA384:GA387"/>
    <mergeCell ref="GB384:GB387"/>
    <mergeCell ref="FU386:FU387"/>
    <mergeCell ref="FV386:FV387"/>
    <mergeCell ref="GE389:GE392"/>
    <mergeCell ref="GF389:GF392"/>
    <mergeCell ref="GG389:GG392"/>
    <mergeCell ref="HS380:HS381"/>
    <mergeCell ref="HT380:HT381"/>
    <mergeCell ref="HK380:HK381"/>
    <mergeCell ref="DR389:DR390"/>
    <mergeCell ref="DS389:DS392"/>
    <mergeCell ref="DT389:DT390"/>
    <mergeCell ref="DU389:DU392"/>
    <mergeCell ref="DV389:DV392"/>
    <mergeCell ref="FM379:FM380"/>
    <mergeCell ref="FN379:FN380"/>
    <mergeCell ref="FO379:FO380"/>
    <mergeCell ref="FQ379:FQ380"/>
    <mergeCell ref="FS379:FS380"/>
    <mergeCell ref="FT379:FT380"/>
    <mergeCell ref="EX381:EX382"/>
    <mergeCell ref="EY381:EY382"/>
    <mergeCell ref="EZ381:EZ382"/>
    <mergeCell ref="FA381:FA382"/>
    <mergeCell ref="FB381:FB382"/>
    <mergeCell ref="DU379:DU382"/>
    <mergeCell ref="EV379:EV382"/>
    <mergeCell ref="FU379:FU380"/>
    <mergeCell ref="FV379:FV380"/>
    <mergeCell ref="FW379:FW380"/>
    <mergeCell ref="FX379:FX380"/>
    <mergeCell ref="GA379:GA382"/>
    <mergeCell ref="GB379:GB382"/>
    <mergeCell ref="GC379:GC382"/>
    <mergeCell ref="GD379:GD382"/>
    <mergeCell ref="GE379:GE382"/>
    <mergeCell ref="FU381:FU382"/>
    <mergeCell ref="FV381:FV382"/>
    <mergeCell ref="FW381:FW382"/>
    <mergeCell ref="EY389:EY390"/>
    <mergeCell ref="EZ389:EZ390"/>
    <mergeCell ref="GF384:GF387"/>
    <mergeCell ref="GG384:GG387"/>
    <mergeCell ref="GH384:GH387"/>
    <mergeCell ref="GK384:GK387"/>
    <mergeCell ref="GF379:GF382"/>
    <mergeCell ref="GG379:GG382"/>
    <mergeCell ref="GH379:GH382"/>
    <mergeCell ref="GK379:GK382"/>
    <mergeCell ref="HS390:HS391"/>
    <mergeCell ref="HT390:HT391"/>
    <mergeCell ref="FL379:FL380"/>
    <mergeCell ref="EA384:EA387"/>
    <mergeCell ref="EC384:EC387"/>
    <mergeCell ref="ED384:ED387"/>
    <mergeCell ref="EF384:EF387"/>
    <mergeCell ref="EG384:EG387"/>
    <mergeCell ref="EH384:EH387"/>
    <mergeCell ref="EI384:EI387"/>
    <mergeCell ref="GC384:GC387"/>
    <mergeCell ref="GD384:GD387"/>
    <mergeCell ref="GE384:GE387"/>
    <mergeCell ref="FY386:FY387"/>
    <mergeCell ref="DX379:DX382"/>
    <mergeCell ref="EK384:EK387"/>
    <mergeCell ref="EL384:EL387"/>
    <mergeCell ref="EM384:EM387"/>
    <mergeCell ref="EC379:EC382"/>
    <mergeCell ref="ED379:ED382"/>
    <mergeCell ref="EF379:EF382"/>
    <mergeCell ref="EG379:EG382"/>
    <mergeCell ref="EH379:EH382"/>
    <mergeCell ref="EI379:EI382"/>
    <mergeCell ref="EJ379:EJ382"/>
    <mergeCell ref="EK379:EK382"/>
    <mergeCell ref="EL379:EL382"/>
    <mergeCell ref="EM379:EM382"/>
    <mergeCell ref="EN379:EN382"/>
    <mergeCell ref="EO379:EO382"/>
    <mergeCell ref="EP379:EP382"/>
    <mergeCell ref="EQ379:EQ382"/>
    <mergeCell ref="ER379:ER382"/>
    <mergeCell ref="FS386:FS387"/>
    <mergeCell ref="FT386:FT387"/>
    <mergeCell ref="CW386:CW387"/>
    <mergeCell ref="CX386:CX387"/>
    <mergeCell ref="CY386:CY387"/>
    <mergeCell ref="ES379:ES382"/>
    <mergeCell ref="ET379:ET382"/>
    <mergeCell ref="DG379:DG380"/>
    <mergeCell ref="DH379:DH380"/>
    <mergeCell ref="DI379:DI380"/>
    <mergeCell ref="DJ379:DJ380"/>
    <mergeCell ref="DK379:DK382"/>
    <mergeCell ref="DM379:DM380"/>
    <mergeCell ref="DO379:DO382"/>
    <mergeCell ref="DQ379:DQ382"/>
    <mergeCell ref="DY379:DY380"/>
    <mergeCell ref="DZ379:DZ382"/>
    <mergeCell ref="FP379:FP380"/>
    <mergeCell ref="CW384:CW385"/>
    <mergeCell ref="CX384:CX385"/>
    <mergeCell ref="DK384:DK387"/>
    <mergeCell ref="DM384:DM385"/>
    <mergeCell ref="CZ386:CZ387"/>
    <mergeCell ref="DF386:DF387"/>
    <mergeCell ref="FH379:FH382"/>
    <mergeCell ref="CY384:CY385"/>
    <mergeCell ref="CZ384:CZ385"/>
    <mergeCell ref="DA384:DA387"/>
    <mergeCell ref="DB384:DB387"/>
    <mergeCell ref="DC384:DC387"/>
    <mergeCell ref="DD384:DD387"/>
    <mergeCell ref="DF384:DF385"/>
    <mergeCell ref="DG384:DG385"/>
    <mergeCell ref="DH384:DH385"/>
    <mergeCell ref="DI384:DI385"/>
    <mergeCell ref="DJ384:DJ385"/>
    <mergeCell ref="DG386:DG387"/>
    <mergeCell ref="DH386:DH387"/>
    <mergeCell ref="DI386:DI387"/>
    <mergeCell ref="DJ386:DJ387"/>
    <mergeCell ref="EY379:EY380"/>
    <mergeCell ref="EZ379:EZ380"/>
    <mergeCell ref="FA379:FA380"/>
    <mergeCell ref="DF381:DF382"/>
    <mergeCell ref="FB379:FB380"/>
    <mergeCell ref="FC379:FC382"/>
    <mergeCell ref="FE379:FE380"/>
    <mergeCell ref="FG379:FG382"/>
    <mergeCell ref="S379:S380"/>
    <mergeCell ref="U379:AA379"/>
    <mergeCell ref="AG379:AL379"/>
    <mergeCell ref="AM379:AM380"/>
    <mergeCell ref="AN379:AN380"/>
    <mergeCell ref="CR386:CR387"/>
    <mergeCell ref="E383:AW383"/>
    <mergeCell ref="E381:F381"/>
    <mergeCell ref="G381:L381"/>
    <mergeCell ref="P381:Q381"/>
    <mergeCell ref="CS386:CS387"/>
    <mergeCell ref="CU386:CU387"/>
    <mergeCell ref="CV386:CV387"/>
    <mergeCell ref="DA374:DA377"/>
    <mergeCell ref="DB374:DB377"/>
    <mergeCell ref="DC374:DC377"/>
    <mergeCell ref="DD374:DD377"/>
    <mergeCell ref="AG375:AK375"/>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Z381:CZ382"/>
    <mergeCell ref="EO374:EO377"/>
    <mergeCell ref="EP374:EP377"/>
    <mergeCell ref="B374:B377"/>
    <mergeCell ref="C374:D377"/>
    <mergeCell ref="P376:Q376"/>
    <mergeCell ref="S376:S377"/>
    <mergeCell ref="AG376:AL376"/>
    <mergeCell ref="AM376:AM377"/>
    <mergeCell ref="AN376:AN377"/>
    <mergeCell ref="AO376:AO377"/>
    <mergeCell ref="E375:F375"/>
    <mergeCell ref="G375:L375"/>
    <mergeCell ref="P375:Q375"/>
    <mergeCell ref="EI374:EI377"/>
    <mergeCell ref="EJ374:EJ377"/>
    <mergeCell ref="EK374:EK377"/>
    <mergeCell ref="DJ376:DJ377"/>
    <mergeCell ref="CV376:CV377"/>
    <mergeCell ref="CW376:CW377"/>
    <mergeCell ref="CX376:CX377"/>
    <mergeCell ref="CY376:CY377"/>
    <mergeCell ref="DN381:DN382"/>
    <mergeCell ref="DR381:DR382"/>
    <mergeCell ref="DT381:DT382"/>
    <mergeCell ref="DY381:DY382"/>
    <mergeCell ref="EO384:EO387"/>
    <mergeCell ref="EP384:EP387"/>
    <mergeCell ref="DR379:DR380"/>
    <mergeCell ref="DS379:DS382"/>
    <mergeCell ref="DT379:DT380"/>
    <mergeCell ref="DV379:DV382"/>
    <mergeCell ref="CU384:CU385"/>
    <mergeCell ref="CV384:CV385"/>
    <mergeCell ref="DA379:DA382"/>
    <mergeCell ref="DB379:DB382"/>
    <mergeCell ref="DC379:DC382"/>
    <mergeCell ref="DD379:DD382"/>
    <mergeCell ref="DF379:DF380"/>
    <mergeCell ref="DV384:DV387"/>
    <mergeCell ref="DX384:DX387"/>
    <mergeCell ref="DY384:DY385"/>
    <mergeCell ref="DZ384:DZ387"/>
    <mergeCell ref="CW381:CW382"/>
    <mergeCell ref="CX381:CX382"/>
    <mergeCell ref="CY381:CY382"/>
    <mergeCell ref="EN384:EN387"/>
    <mergeCell ref="CQ379:CQ382"/>
    <mergeCell ref="CR379:CR380"/>
    <mergeCell ref="CS379:CS380"/>
    <mergeCell ref="CU379:CU380"/>
    <mergeCell ref="CV379:CV380"/>
    <mergeCell ref="E380:F380"/>
    <mergeCell ref="G380:L380"/>
    <mergeCell ref="P380:Q380"/>
    <mergeCell ref="AG382:AL382"/>
    <mergeCell ref="B379:B382"/>
    <mergeCell ref="C379:D382"/>
    <mergeCell ref="E379:F379"/>
    <mergeCell ref="DQ384:DQ387"/>
    <mergeCell ref="DR384:DR385"/>
    <mergeCell ref="DS384:DS387"/>
    <mergeCell ref="DT384:DT385"/>
    <mergeCell ref="DU384:DU387"/>
    <mergeCell ref="G379:R379"/>
    <mergeCell ref="EQ374:EQ377"/>
    <mergeCell ref="ER374:ER377"/>
    <mergeCell ref="ES374:ES377"/>
    <mergeCell ref="ET374:ET377"/>
    <mergeCell ref="EV374:EV377"/>
    <mergeCell ref="EX374:EX375"/>
    <mergeCell ref="EY374:EY375"/>
    <mergeCell ref="EZ374:EZ375"/>
    <mergeCell ref="EX376:EX377"/>
    <mergeCell ref="EY376:EY377"/>
    <mergeCell ref="GM375:GM376"/>
    <mergeCell ref="GN375:GN376"/>
    <mergeCell ref="GP375:GP376"/>
    <mergeCell ref="GM380:GM381"/>
    <mergeCell ref="CW379:CW380"/>
    <mergeCell ref="CX379:CX380"/>
    <mergeCell ref="CY379:CY380"/>
    <mergeCell ref="CZ379:CZ380"/>
    <mergeCell ref="FQ374:FQ375"/>
    <mergeCell ref="FS374:FS375"/>
    <mergeCell ref="FT374:FT375"/>
    <mergeCell ref="FU374:FU375"/>
    <mergeCell ref="FV374:FV375"/>
    <mergeCell ref="FW374:FW375"/>
    <mergeCell ref="FX376:FX377"/>
    <mergeCell ref="AV374:AV377"/>
    <mergeCell ref="AW374:AW377"/>
    <mergeCell ref="AY374:AY377"/>
    <mergeCell ref="AZ374:AZ377"/>
    <mergeCell ref="CP374:CP377"/>
    <mergeCell ref="CQ374:CQ377"/>
    <mergeCell ref="EA379:EA382"/>
    <mergeCell ref="FX374:FX375"/>
    <mergeCell ref="FA376:FA377"/>
    <mergeCell ref="FB376:FB377"/>
    <mergeCell ref="FE376:FE377"/>
    <mergeCell ref="FL376:FL377"/>
    <mergeCell ref="FM376:FM377"/>
    <mergeCell ref="FN376:FN377"/>
    <mergeCell ref="FO376:FO377"/>
    <mergeCell ref="FQ376:FQ377"/>
    <mergeCell ref="FS376:FS377"/>
    <mergeCell ref="GK374:GK377"/>
    <mergeCell ref="FA374:FA375"/>
    <mergeCell ref="FB374:FB375"/>
    <mergeCell ref="FC374:FC377"/>
    <mergeCell ref="FE374:FE375"/>
    <mergeCell ref="FG374:FG377"/>
    <mergeCell ref="EL374:EL377"/>
    <mergeCell ref="EM374:EM377"/>
    <mergeCell ref="EN374:EN377"/>
    <mergeCell ref="FT376:FT377"/>
    <mergeCell ref="FU376:FU377"/>
    <mergeCell ref="DG381:DG382"/>
    <mergeCell ref="DH381:DH382"/>
    <mergeCell ref="DI381:DI382"/>
    <mergeCell ref="DJ381:DJ382"/>
    <mergeCell ref="CR376:CR377"/>
    <mergeCell ref="CS376:CS377"/>
    <mergeCell ref="CU376:CU377"/>
    <mergeCell ref="CR374:CR375"/>
    <mergeCell ref="CS374:CS375"/>
    <mergeCell ref="CU374:CU375"/>
    <mergeCell ref="EH374:EH377"/>
    <mergeCell ref="E373:AW373"/>
    <mergeCell ref="E374:F374"/>
    <mergeCell ref="G374:R374"/>
    <mergeCell ref="S374:S375"/>
    <mergeCell ref="U374:AA374"/>
    <mergeCell ref="AG374:AL374"/>
    <mergeCell ref="AM374:AM375"/>
    <mergeCell ref="AN374:AN375"/>
    <mergeCell ref="AO374:AO375"/>
    <mergeCell ref="AP374:AQ377"/>
    <mergeCell ref="AR374:AT377"/>
    <mergeCell ref="AU374:AU377"/>
    <mergeCell ref="E376:F376"/>
    <mergeCell ref="G376:L376"/>
    <mergeCell ref="E377:F377"/>
    <mergeCell ref="G377:L377"/>
    <mergeCell ref="CV374:CV375"/>
    <mergeCell ref="CW374:CW375"/>
    <mergeCell ref="DU374:DU377"/>
    <mergeCell ref="DV374:DV377"/>
    <mergeCell ref="DX374:DX377"/>
    <mergeCell ref="DY374:DY375"/>
    <mergeCell ref="DF374:DF375"/>
    <mergeCell ref="DG374:DG375"/>
    <mergeCell ref="DH374:DH375"/>
    <mergeCell ref="DI374:DI375"/>
    <mergeCell ref="DJ374:DJ375"/>
    <mergeCell ref="DF376:DF377"/>
    <mergeCell ref="DG376:DG377"/>
    <mergeCell ref="DH376:DH377"/>
    <mergeCell ref="DI376:DI377"/>
    <mergeCell ref="DK374:DK377"/>
    <mergeCell ref="P377:R377"/>
    <mergeCell ref="U377:AA377"/>
    <mergeCell ref="AG377:AL377"/>
    <mergeCell ref="CZ376:CZ377"/>
    <mergeCell ref="CX374:CX375"/>
    <mergeCell ref="CY374:CY375"/>
    <mergeCell ref="FV376:FV377"/>
    <mergeCell ref="FW376:FW377"/>
    <mergeCell ref="E371:F371"/>
    <mergeCell ref="G371:L371"/>
    <mergeCell ref="EZ376:EZ377"/>
    <mergeCell ref="DM374:DM375"/>
    <mergeCell ref="DO374:DO377"/>
    <mergeCell ref="DQ374:DQ377"/>
    <mergeCell ref="DR374:DR375"/>
    <mergeCell ref="DS374:DS377"/>
    <mergeCell ref="DT374:DT375"/>
    <mergeCell ref="DZ374:DZ377"/>
    <mergeCell ref="EA374:EA377"/>
    <mergeCell ref="EC374:EC377"/>
    <mergeCell ref="ED374:ED377"/>
    <mergeCell ref="EF374:EF377"/>
    <mergeCell ref="EG374:EG377"/>
    <mergeCell ref="DN376:DN377"/>
    <mergeCell ref="DR376:DR377"/>
    <mergeCell ref="DT376:DT377"/>
    <mergeCell ref="DY376:DY377"/>
    <mergeCell ref="FH374:FH377"/>
    <mergeCell ref="FL374:FL375"/>
    <mergeCell ref="FM374:FM375"/>
    <mergeCell ref="FN374:FN375"/>
    <mergeCell ref="FO374:FO375"/>
    <mergeCell ref="FC369:FC372"/>
    <mergeCell ref="FE369:FE370"/>
    <mergeCell ref="FG369:FG372"/>
    <mergeCell ref="FH369:FH372"/>
    <mergeCell ref="FL369:FL370"/>
    <mergeCell ref="FM369:FM370"/>
    <mergeCell ref="FN369:FN370"/>
    <mergeCell ref="FO369:FO370"/>
    <mergeCell ref="FQ369:FQ370"/>
    <mergeCell ref="FS369:FS370"/>
    <mergeCell ref="FT369:FT370"/>
    <mergeCell ref="FU369:FU370"/>
    <mergeCell ref="FV369:FV370"/>
    <mergeCell ref="FW369:FW370"/>
    <mergeCell ref="FU371:FU372"/>
    <mergeCell ref="FV371:FV372"/>
    <mergeCell ref="FW371:FW372"/>
    <mergeCell ref="EJ369:EJ372"/>
    <mergeCell ref="EF369:EF372"/>
    <mergeCell ref="EG369:EG372"/>
    <mergeCell ref="EH369:EH372"/>
    <mergeCell ref="EI369:EI372"/>
    <mergeCell ref="EN369:EN372"/>
    <mergeCell ref="EO369:EO372"/>
    <mergeCell ref="EP369:EP372"/>
    <mergeCell ref="ES369:ES372"/>
    <mergeCell ref="FM371:FM372"/>
    <mergeCell ref="FN371:FN372"/>
    <mergeCell ref="FO371:FO372"/>
    <mergeCell ref="EZ369:EZ370"/>
    <mergeCell ref="FB369:FB370"/>
    <mergeCell ref="EK369:EK372"/>
    <mergeCell ref="EL369:EL372"/>
    <mergeCell ref="EM369:EM372"/>
    <mergeCell ref="EQ369:EQ372"/>
    <mergeCell ref="ER369:ER372"/>
    <mergeCell ref="DO369:DO372"/>
    <mergeCell ref="CZ374:CZ375"/>
    <mergeCell ref="IF369:IF372"/>
    <mergeCell ref="DY369:DY370"/>
    <mergeCell ref="DZ369:DZ372"/>
    <mergeCell ref="GC369:GC372"/>
    <mergeCell ref="GD369:GD372"/>
    <mergeCell ref="GE369:GE372"/>
    <mergeCell ref="GF369:GF372"/>
    <mergeCell ref="IB369:IB371"/>
    <mergeCell ref="IC369:IC370"/>
    <mergeCell ref="DS369:DS372"/>
    <mergeCell ref="DT369:DT370"/>
    <mergeCell ref="DU369:DU372"/>
    <mergeCell ref="DV369:DV372"/>
    <mergeCell ref="DX369:DX372"/>
    <mergeCell ref="IC371:IC372"/>
    <mergeCell ref="EA369:EA372"/>
    <mergeCell ref="EC369:EC372"/>
    <mergeCell ref="ED369:ED372"/>
    <mergeCell ref="U372:AA372"/>
    <mergeCell ref="AG372:AL372"/>
    <mergeCell ref="HU370:HU371"/>
    <mergeCell ref="HV370:HV371"/>
    <mergeCell ref="HW370:HW371"/>
    <mergeCell ref="HX370:HX371"/>
    <mergeCell ref="HY370:HY371"/>
    <mergeCell ref="HZ370:HZ371"/>
    <mergeCell ref="ID370:ID371"/>
    <mergeCell ref="GK369:GK372"/>
    <mergeCell ref="DN371:DN372"/>
    <mergeCell ref="DR371:DR372"/>
    <mergeCell ref="DT371:DT372"/>
    <mergeCell ref="DY371:DY372"/>
    <mergeCell ref="EX371:EX372"/>
    <mergeCell ref="EY371:EY372"/>
    <mergeCell ref="EZ371:EZ372"/>
    <mergeCell ref="FA371:FA372"/>
    <mergeCell ref="FB371:FB372"/>
    <mergeCell ref="FE371:FE372"/>
    <mergeCell ref="FL371:FL372"/>
    <mergeCell ref="FQ371:FQ372"/>
    <mergeCell ref="FS371:FS372"/>
    <mergeCell ref="FP369:FP370"/>
    <mergeCell ref="EX369:EX370"/>
    <mergeCell ref="EY369:EY370"/>
    <mergeCell ref="DQ369:DQ372"/>
    <mergeCell ref="DR369:DR370"/>
    <mergeCell ref="FT371:FT372"/>
    <mergeCell ref="HO370:HO371"/>
    <mergeCell ref="HP370:HP371"/>
    <mergeCell ref="HQ370:HQ371"/>
    <mergeCell ref="ET369:ET372"/>
    <mergeCell ref="EV369:EV372"/>
    <mergeCell ref="HR370:HR371"/>
    <mergeCell ref="HS370:HS371"/>
    <mergeCell ref="HT370:HT371"/>
    <mergeCell ref="FX369:FX370"/>
    <mergeCell ref="GB369:GB372"/>
    <mergeCell ref="FX371:FX372"/>
    <mergeCell ref="FA369:FA370"/>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R369:CR370"/>
    <mergeCell ref="CS369:CS370"/>
    <mergeCell ref="DJ369:DJ370"/>
    <mergeCell ref="DK369:DK372"/>
    <mergeCell ref="DM369:DM370"/>
    <mergeCell ref="CZ371:CZ372"/>
    <mergeCell ref="DF371:DF372"/>
    <mergeCell ref="DG371:DG372"/>
    <mergeCell ref="DH371:DH372"/>
    <mergeCell ref="DI371:DI372"/>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G372:L372"/>
    <mergeCell ref="P372:R372"/>
    <mergeCell ref="S371:S372"/>
    <mergeCell ref="DA364:DA367"/>
    <mergeCell ref="DB364:DB367"/>
    <mergeCell ref="DC364:DC367"/>
    <mergeCell ref="DD364:DD367"/>
    <mergeCell ref="DF364:DF365"/>
    <mergeCell ref="DF366:DF367"/>
    <mergeCell ref="DG366:DG367"/>
    <mergeCell ref="FU364:FU365"/>
    <mergeCell ref="FV364:FV365"/>
    <mergeCell ref="FW364:FW365"/>
    <mergeCell ref="FX364:FX365"/>
    <mergeCell ref="GA364:GA367"/>
    <mergeCell ref="GB364:GB367"/>
    <mergeCell ref="GC364:GC367"/>
    <mergeCell ref="GD364:GD367"/>
    <mergeCell ref="GE364:GE367"/>
    <mergeCell ref="GF364:GF367"/>
    <mergeCell ref="GG364:GG367"/>
    <mergeCell ref="GH364:GH367"/>
    <mergeCell ref="GK364:GK367"/>
    <mergeCell ref="EC364:EC367"/>
    <mergeCell ref="ED364:ED367"/>
    <mergeCell ref="EF364:EF367"/>
    <mergeCell ref="EG364:EG367"/>
    <mergeCell ref="EH364:EH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DG364:DG365"/>
    <mergeCell ref="DH364:DH365"/>
    <mergeCell ref="DI364:DI365"/>
    <mergeCell ref="DJ364:DJ365"/>
    <mergeCell ref="DK364:DK367"/>
    <mergeCell ref="DM364:DM365"/>
    <mergeCell ref="DO364:DO367"/>
    <mergeCell ref="DQ364:DQ367"/>
    <mergeCell ref="DR364:DR365"/>
    <mergeCell ref="DS364:DS367"/>
    <mergeCell ref="DT364:DT365"/>
    <mergeCell ref="DU364:DU367"/>
    <mergeCell ref="DV364:DV367"/>
    <mergeCell ref="DX364:DX367"/>
    <mergeCell ref="DY364:DY365"/>
    <mergeCell ref="DZ364:DZ367"/>
    <mergeCell ref="EA364:EA367"/>
    <mergeCell ref="DN366:DN367"/>
    <mergeCell ref="DR366:DR367"/>
    <mergeCell ref="DT366:DT367"/>
    <mergeCell ref="DY366:DY367"/>
    <mergeCell ref="DH366:DH367"/>
    <mergeCell ref="DI366:DI367"/>
    <mergeCell ref="DJ366:DJ367"/>
    <mergeCell ref="FU366:FU367"/>
    <mergeCell ref="FV366:FV367"/>
    <mergeCell ref="FW366:FW367"/>
    <mergeCell ref="FX366:FX367"/>
    <mergeCell ref="IC366:IC367"/>
    <mergeCell ref="IG366:IG367"/>
    <mergeCell ref="EV364:EV367"/>
    <mergeCell ref="EX364:EX365"/>
    <mergeCell ref="EY364:EY365"/>
    <mergeCell ref="EZ364:EZ365"/>
    <mergeCell ref="FA364:FA365"/>
    <mergeCell ref="FB364:FB365"/>
    <mergeCell ref="FC364:FC367"/>
    <mergeCell ref="FE364:FE365"/>
    <mergeCell ref="FG364:FG367"/>
    <mergeCell ref="FH364:FH367"/>
    <mergeCell ref="FL364:FL365"/>
    <mergeCell ref="FM364:FM365"/>
    <mergeCell ref="FN364:FN365"/>
    <mergeCell ref="FO364:FO365"/>
    <mergeCell ref="FQ364:FQ365"/>
    <mergeCell ref="FS364:FS365"/>
    <mergeCell ref="FT364:FT365"/>
    <mergeCell ref="EX366:EX367"/>
    <mergeCell ref="EY366:EY367"/>
    <mergeCell ref="EZ366:EZ367"/>
    <mergeCell ref="FA366:FA367"/>
    <mergeCell ref="FB366:FB367"/>
    <mergeCell ref="FE366:FE367"/>
    <mergeCell ref="FL366:FL367"/>
    <mergeCell ref="FM366:FM367"/>
    <mergeCell ref="FN366:FN367"/>
    <mergeCell ref="FO366:FO367"/>
    <mergeCell ref="FQ366:FQ367"/>
    <mergeCell ref="FS366:FS367"/>
    <mergeCell ref="FT366:FT367"/>
    <mergeCell ref="FY364:FY365"/>
    <mergeCell ref="IF364:IF367"/>
    <mergeCell ref="IG364:IG365"/>
    <mergeCell ref="HZ365:HZ366"/>
    <mergeCell ref="ID365:ID366"/>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IC361:IC362"/>
    <mergeCell ref="FA359:FA360"/>
    <mergeCell ref="FB359:FB360"/>
    <mergeCell ref="FC359:FC362"/>
    <mergeCell ref="FE359:FE360"/>
    <mergeCell ref="FG359:FG362"/>
    <mergeCell ref="FH359:FH362"/>
    <mergeCell ref="FL359:FL360"/>
    <mergeCell ref="FM359:FM360"/>
    <mergeCell ref="IC356:IC357"/>
    <mergeCell ref="IG356:IG357"/>
    <mergeCell ref="IK356:IK357"/>
    <mergeCell ref="EL359:EL362"/>
    <mergeCell ref="EM359:EM362"/>
    <mergeCell ref="EN359:EN362"/>
    <mergeCell ref="EO359:EO362"/>
    <mergeCell ref="EP359:EP362"/>
    <mergeCell ref="EQ359:EQ362"/>
    <mergeCell ref="ER359:ER362"/>
    <mergeCell ref="ES359:ES362"/>
    <mergeCell ref="ET359:ET362"/>
    <mergeCell ref="EV359:EV362"/>
    <mergeCell ref="EX359:EX360"/>
    <mergeCell ref="EY359:EY360"/>
    <mergeCell ref="EZ359:EZ360"/>
    <mergeCell ref="EX361:EX362"/>
    <mergeCell ref="EY361:EY362"/>
    <mergeCell ref="EZ361:EZ362"/>
    <mergeCell ref="HS360:HS361"/>
    <mergeCell ref="HT360:HT361"/>
    <mergeCell ref="HU360:HU361"/>
    <mergeCell ref="HV360:HV361"/>
    <mergeCell ref="HW360:HW361"/>
    <mergeCell ref="HX360:HX361"/>
    <mergeCell ref="HY360:HY361"/>
    <mergeCell ref="HZ360:HZ361"/>
    <mergeCell ref="ID360:ID361"/>
    <mergeCell ref="FS356:FS357"/>
    <mergeCell ref="FT356:FT357"/>
    <mergeCell ref="HO355:HO356"/>
    <mergeCell ref="HQ355:HQ356"/>
    <mergeCell ref="HR355:HR356"/>
    <mergeCell ref="HS355:HS356"/>
    <mergeCell ref="HT355:HT356"/>
    <mergeCell ref="HU355:HU356"/>
    <mergeCell ref="HV355:HV356"/>
    <mergeCell ref="HW355:HW356"/>
    <mergeCell ref="HX355:HX356"/>
    <mergeCell ref="HY355:HY356"/>
    <mergeCell ref="HZ355:HZ356"/>
    <mergeCell ref="EQ354:EQ357"/>
    <mergeCell ref="ER354:ER357"/>
    <mergeCell ref="ES354:ES357"/>
    <mergeCell ref="HN355:HN356"/>
    <mergeCell ref="FC354:FC357"/>
    <mergeCell ref="FE354:FE355"/>
    <mergeCell ref="GA359:GA362"/>
    <mergeCell ref="GB359:GB362"/>
    <mergeCell ref="GC359:GC362"/>
    <mergeCell ref="GD359:GD362"/>
    <mergeCell ref="GE359:GE362"/>
    <mergeCell ref="GF359:GF362"/>
    <mergeCell ref="GG359:GG362"/>
    <mergeCell ref="GH359:GH362"/>
    <mergeCell ref="DR359:DR360"/>
    <mergeCell ref="DS359:DS362"/>
    <mergeCell ref="DT359:DT360"/>
    <mergeCell ref="DU359:DU362"/>
    <mergeCell ref="DV359:DV362"/>
    <mergeCell ref="DX359:DX362"/>
    <mergeCell ref="DK359:DK362"/>
    <mergeCell ref="DY359:DY360"/>
    <mergeCell ref="DZ359:DZ362"/>
    <mergeCell ref="EA359:EA362"/>
    <mergeCell ref="EC359:EC362"/>
    <mergeCell ref="ED359:ED362"/>
    <mergeCell ref="EF359:EF362"/>
    <mergeCell ref="EG359:EG362"/>
    <mergeCell ref="DN361:DN362"/>
    <mergeCell ref="DR361:DR362"/>
    <mergeCell ref="DT361:DT362"/>
    <mergeCell ref="DY361:DY362"/>
    <mergeCell ref="GM360:GM361"/>
    <mergeCell ref="GN360:GN361"/>
    <mergeCell ref="GP360:GP361"/>
    <mergeCell ref="GQ360:GQ361"/>
    <mergeCell ref="HH360:HH361"/>
    <mergeCell ref="HI360:HI361"/>
    <mergeCell ref="HJ360:HJ361"/>
    <mergeCell ref="HK360:HK361"/>
    <mergeCell ref="HL360:HL361"/>
    <mergeCell ref="HM360:HM361"/>
    <mergeCell ref="HN360:HN361"/>
    <mergeCell ref="HO360:HO361"/>
    <mergeCell ref="HP360:HP361"/>
    <mergeCell ref="HQ360:HQ361"/>
    <mergeCell ref="HR360:HR361"/>
    <mergeCell ref="DM359:DM360"/>
    <mergeCell ref="DO359:DO362"/>
    <mergeCell ref="DQ359:DQ362"/>
    <mergeCell ref="FO361:FO362"/>
    <mergeCell ref="FQ361:FQ362"/>
    <mergeCell ref="FS361:FS362"/>
    <mergeCell ref="FT361:FT362"/>
    <mergeCell ref="FU361:FU362"/>
    <mergeCell ref="FV361:FV362"/>
    <mergeCell ref="FW361:FW362"/>
    <mergeCell ref="FX361:FX362"/>
    <mergeCell ref="EH359:EH362"/>
    <mergeCell ref="EI359:EI362"/>
    <mergeCell ref="EJ359:EJ362"/>
    <mergeCell ref="EK359:EK362"/>
    <mergeCell ref="GK359:GK362"/>
    <mergeCell ref="FN359:FN360"/>
    <mergeCell ref="FO359:FO360"/>
    <mergeCell ref="FQ359:FQ360"/>
    <mergeCell ref="FS359:FS360"/>
    <mergeCell ref="FT359:FT360"/>
    <mergeCell ref="FU359:FU360"/>
    <mergeCell ref="FV359:FV360"/>
    <mergeCell ref="FW359:FW360"/>
    <mergeCell ref="FX359:FX360"/>
    <mergeCell ref="FA361:FA362"/>
    <mergeCell ref="FB361:FB362"/>
    <mergeCell ref="FE361:FE362"/>
    <mergeCell ref="FL361:FL362"/>
    <mergeCell ref="FM361:FM362"/>
    <mergeCell ref="FN361:FN362"/>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CS356:CS357"/>
    <mergeCell ref="CU356:CU357"/>
    <mergeCell ref="CV356:CV357"/>
    <mergeCell ref="CW356:CW357"/>
    <mergeCell ref="CX356:CX357"/>
    <mergeCell ref="CY356:CY357"/>
    <mergeCell ref="DK354:DK357"/>
    <mergeCell ref="DM354:DM355"/>
    <mergeCell ref="CZ356:CZ357"/>
    <mergeCell ref="DF356:DF357"/>
    <mergeCell ref="DG356:DG357"/>
    <mergeCell ref="DH356:DH357"/>
    <mergeCell ref="DI356:DI357"/>
    <mergeCell ref="DJ356:DJ357"/>
    <mergeCell ref="DA349:DA352"/>
    <mergeCell ref="IM356:IM357"/>
    <mergeCell ref="E357:F357"/>
    <mergeCell ref="G357:L357"/>
    <mergeCell ref="P357:R357"/>
    <mergeCell ref="U357:AA357"/>
    <mergeCell ref="AG357:AL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N356:DN357"/>
    <mergeCell ref="DR356:DR357"/>
    <mergeCell ref="DT356:DT357"/>
    <mergeCell ref="DY356:DY357"/>
    <mergeCell ref="EX356:EX357"/>
    <mergeCell ref="EY356:EY357"/>
    <mergeCell ref="EZ356:EZ357"/>
    <mergeCell ref="FA356:FA357"/>
    <mergeCell ref="FB356:FB357"/>
    <mergeCell ref="FE356:FE357"/>
    <mergeCell ref="FL356:FL357"/>
    <mergeCell ref="FM356:FM357"/>
    <mergeCell ref="FN356:FN357"/>
    <mergeCell ref="FO356:FO357"/>
    <mergeCell ref="FQ356:FQ357"/>
    <mergeCell ref="P356:Q356"/>
    <mergeCell ref="S356:S357"/>
    <mergeCell ref="AG356:AL356"/>
    <mergeCell ref="CR356:CR357"/>
    <mergeCell ref="GM355:GM356"/>
    <mergeCell ref="GN355:GN356"/>
    <mergeCell ref="GP355:GP356"/>
    <mergeCell ref="GQ355:GQ356"/>
    <mergeCell ref="HH355:HH356"/>
    <mergeCell ref="HI355:HI356"/>
    <mergeCell ref="HJ355:HJ356"/>
    <mergeCell ref="HK355:HK356"/>
    <mergeCell ref="HL355:HL356"/>
    <mergeCell ref="HM355:HM356"/>
    <mergeCell ref="FG354:FG357"/>
    <mergeCell ref="FH354:FH357"/>
    <mergeCell ref="FL354:FL355"/>
    <mergeCell ref="FM354:FM355"/>
    <mergeCell ref="FN354:FN355"/>
    <mergeCell ref="FO354:FO355"/>
    <mergeCell ref="FQ354:FQ355"/>
    <mergeCell ref="FS354:FS355"/>
    <mergeCell ref="FT354:FT355"/>
    <mergeCell ref="FU354:FU355"/>
    <mergeCell ref="FV354:FV355"/>
    <mergeCell ref="FW354:FW355"/>
    <mergeCell ref="FX354:FX355"/>
    <mergeCell ref="GA354:GA357"/>
    <mergeCell ref="GB354:GB357"/>
    <mergeCell ref="FU356:FU357"/>
    <mergeCell ref="FV356:FV357"/>
    <mergeCell ref="FW356:FW357"/>
    <mergeCell ref="FX356:FX357"/>
    <mergeCell ref="EJ354:EJ357"/>
    <mergeCell ref="EK354:EK357"/>
    <mergeCell ref="EL354:EL357"/>
    <mergeCell ref="EM354:EM357"/>
    <mergeCell ref="EN354:EN357"/>
    <mergeCell ref="EO354:EO357"/>
    <mergeCell ref="EP354:EP357"/>
    <mergeCell ref="ET354:ET357"/>
    <mergeCell ref="EV354:EV357"/>
    <mergeCell ref="EX354:EX355"/>
    <mergeCell ref="EY354:EY355"/>
    <mergeCell ref="EZ354:EZ355"/>
    <mergeCell ref="FA354:FA355"/>
    <mergeCell ref="FB354:FB355"/>
    <mergeCell ref="EA354:EA357"/>
    <mergeCell ref="EC354:EC357"/>
    <mergeCell ref="ED354:ED357"/>
    <mergeCell ref="EF354:EF357"/>
    <mergeCell ref="EG354:EG357"/>
    <mergeCell ref="EH354:EH357"/>
    <mergeCell ref="EI354:EI357"/>
    <mergeCell ref="CU354:CU355"/>
    <mergeCell ref="EX351:EX352"/>
    <mergeCell ref="EY351:EY352"/>
    <mergeCell ref="EZ351:EZ352"/>
    <mergeCell ref="FA351:FA352"/>
    <mergeCell ref="FB351:FB352"/>
    <mergeCell ref="FP349:FP350"/>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AG351:AL351"/>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V349:EV352"/>
    <mergeCell ref="EX349:EX350"/>
    <mergeCell ref="EY349:EY350"/>
    <mergeCell ref="EZ349:EZ350"/>
    <mergeCell ref="FA349:FA350"/>
    <mergeCell ref="FB349:FB350"/>
    <mergeCell ref="FC349:FC352"/>
    <mergeCell ref="CY351:CY352"/>
    <mergeCell ref="DO354:DO357"/>
    <mergeCell ref="DQ354:DQ357"/>
    <mergeCell ref="DR354:DR355"/>
    <mergeCell ref="DS354:DS357"/>
    <mergeCell ref="DT354:DT355"/>
    <mergeCell ref="DU354:DU357"/>
    <mergeCell ref="DV354:DV357"/>
    <mergeCell ref="DX354:DX357"/>
    <mergeCell ref="DY354:DY355"/>
    <mergeCell ref="DZ354:DZ357"/>
    <mergeCell ref="HR350:HR351"/>
    <mergeCell ref="HS350:HS351"/>
    <mergeCell ref="HT350:HT351"/>
    <mergeCell ref="HU350:HU351"/>
    <mergeCell ref="HV350:HV351"/>
    <mergeCell ref="HW350:HW351"/>
    <mergeCell ref="HX350:HX351"/>
    <mergeCell ref="HY350:HY351"/>
    <mergeCell ref="FU349:FU350"/>
    <mergeCell ref="FV349:FV350"/>
    <mergeCell ref="FW349:FW350"/>
    <mergeCell ref="FX349:FX350"/>
    <mergeCell ref="GA349:GA352"/>
    <mergeCell ref="GB349:GB352"/>
    <mergeCell ref="GC349:GC352"/>
    <mergeCell ref="GD349:GD352"/>
    <mergeCell ref="GE349:GE352"/>
    <mergeCell ref="GF349:GF352"/>
    <mergeCell ref="GG349:GG352"/>
    <mergeCell ref="GH349:GH352"/>
    <mergeCell ref="GK349:GK352"/>
    <mergeCell ref="FU351:FU352"/>
    <mergeCell ref="FV351:FV352"/>
    <mergeCell ref="FW351:FW352"/>
    <mergeCell ref="FX351:FX352"/>
    <mergeCell ref="GP350:GP351"/>
    <mergeCell ref="GQ350:GQ351"/>
    <mergeCell ref="HH350:HH351"/>
    <mergeCell ref="HI350:HI351"/>
    <mergeCell ref="HJ350:HJ351"/>
    <mergeCell ref="FQ349:FQ350"/>
    <mergeCell ref="FS349:FS350"/>
    <mergeCell ref="FT349:FT350"/>
    <mergeCell ref="FE351:FE352"/>
    <mergeCell ref="FL351:FL352"/>
    <mergeCell ref="FM351:FM352"/>
    <mergeCell ref="FN351:FN352"/>
    <mergeCell ref="FO351:FO352"/>
    <mergeCell ref="FQ351:FQ352"/>
    <mergeCell ref="FS351:FS352"/>
    <mergeCell ref="FT351:FT352"/>
    <mergeCell ref="EC349:EC352"/>
    <mergeCell ref="ED349:ED352"/>
    <mergeCell ref="EF349:EF352"/>
    <mergeCell ref="EG349:EG352"/>
    <mergeCell ref="EH349:EH352"/>
    <mergeCell ref="FE349:FE350"/>
    <mergeCell ref="FG349:FG352"/>
    <mergeCell ref="FH349:FH352"/>
    <mergeCell ref="FL349:FL350"/>
    <mergeCell ref="FM349:FM350"/>
    <mergeCell ref="FN349:FN350"/>
    <mergeCell ref="CW351:CW352"/>
    <mergeCell ref="CX351:CX352"/>
    <mergeCell ref="CZ351:CZ352"/>
    <mergeCell ref="CW349:CW350"/>
    <mergeCell ref="CX349:CX350"/>
    <mergeCell ref="CY349:CY350"/>
    <mergeCell ref="CZ349:CZ350"/>
    <mergeCell ref="DF351:DF352"/>
    <mergeCell ref="U345:AD345"/>
    <mergeCell ref="AG345:AK345"/>
    <mergeCell ref="AG350:AK350"/>
    <mergeCell ref="EP349:EP352"/>
    <mergeCell ref="EQ349:EQ352"/>
    <mergeCell ref="ER349:ER352"/>
    <mergeCell ref="ES349:ES352"/>
    <mergeCell ref="ET349:ET352"/>
    <mergeCell ref="DG349:DG350"/>
    <mergeCell ref="DH349:DH350"/>
    <mergeCell ref="DI349:DI350"/>
    <mergeCell ref="DJ349:DJ350"/>
    <mergeCell ref="DK349:DK352"/>
    <mergeCell ref="DM349:DM350"/>
    <mergeCell ref="DO349:DO352"/>
    <mergeCell ref="DQ349:DQ352"/>
    <mergeCell ref="DR349:DR350"/>
    <mergeCell ref="DS349:DS352"/>
    <mergeCell ref="DT349:DT350"/>
    <mergeCell ref="DU349:DU352"/>
    <mergeCell ref="DV349:DV352"/>
    <mergeCell ref="DX349:DX352"/>
    <mergeCell ref="DY349:DY350"/>
    <mergeCell ref="DZ349:DZ352"/>
    <mergeCell ref="EA349:EA352"/>
    <mergeCell ref="DN351:DN352"/>
    <mergeCell ref="DR351:DR352"/>
    <mergeCell ref="DT351:DT352"/>
    <mergeCell ref="DY351:DY352"/>
    <mergeCell ref="EI349:EI352"/>
    <mergeCell ref="EJ349:EJ352"/>
    <mergeCell ref="EK349:EK352"/>
    <mergeCell ref="EL349:EL352"/>
    <mergeCell ref="EM349:EM352"/>
    <mergeCell ref="EN349:EN352"/>
    <mergeCell ref="EO349:EO352"/>
    <mergeCell ref="E348:AW348"/>
    <mergeCell ref="DG351:DG352"/>
    <mergeCell ref="DH351:DH352"/>
    <mergeCell ref="DI351:DI352"/>
    <mergeCell ref="DJ351:DJ352"/>
    <mergeCell ref="DO344:DO347"/>
    <mergeCell ref="DQ344:DQ347"/>
    <mergeCell ref="DR344:DR345"/>
    <mergeCell ref="DS344:DS347"/>
    <mergeCell ref="DT344:DT345"/>
    <mergeCell ref="DU344:DU347"/>
    <mergeCell ref="DV344:DV347"/>
    <mergeCell ref="DX344:DX347"/>
    <mergeCell ref="DY344:DY345"/>
    <mergeCell ref="DZ344:DZ347"/>
    <mergeCell ref="EA344:EA347"/>
    <mergeCell ref="EC344:EC347"/>
    <mergeCell ref="ED344:ED347"/>
    <mergeCell ref="EF344:EF347"/>
    <mergeCell ref="EG344:EG347"/>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E345:F345"/>
    <mergeCell ref="G345:L345"/>
    <mergeCell ref="P345:Q345"/>
    <mergeCell ref="CR344:CR345"/>
    <mergeCell ref="CS344:CS345"/>
    <mergeCell ref="CU344:CU345"/>
    <mergeCell ref="CV344:CV345"/>
    <mergeCell ref="CW344:CW345"/>
    <mergeCell ref="CX344:CX345"/>
    <mergeCell ref="CY344:CY345"/>
    <mergeCell ref="CZ344:CZ345"/>
    <mergeCell ref="DA344:DA347"/>
    <mergeCell ref="DB344:DB347"/>
    <mergeCell ref="DC344:DC347"/>
    <mergeCell ref="DD344:DD347"/>
    <mergeCell ref="DF344:DF345"/>
    <mergeCell ref="DG344:DG345"/>
    <mergeCell ref="DH344:DH345"/>
    <mergeCell ref="FA346:FA347"/>
    <mergeCell ref="FB346:FB347"/>
    <mergeCell ref="FE346:FE347"/>
    <mergeCell ref="EH344:EH347"/>
    <mergeCell ref="EI344:EI347"/>
    <mergeCell ref="EJ344:EJ347"/>
    <mergeCell ref="EK344:EK347"/>
    <mergeCell ref="EL344:EL347"/>
    <mergeCell ref="EM344:EM347"/>
    <mergeCell ref="EN344:EN347"/>
    <mergeCell ref="EO344:EO347"/>
    <mergeCell ref="EP344:EP347"/>
    <mergeCell ref="DI344:DI345"/>
    <mergeCell ref="EZ344:EZ345"/>
    <mergeCell ref="EX346:EX347"/>
    <mergeCell ref="EY346:EY347"/>
    <mergeCell ref="EZ346:EZ347"/>
    <mergeCell ref="DM344:DM345"/>
    <mergeCell ref="ER344:ER347"/>
    <mergeCell ref="ES344:ES347"/>
    <mergeCell ref="ET344:ET347"/>
    <mergeCell ref="EV344:EV347"/>
    <mergeCell ref="EX344:EX345"/>
    <mergeCell ref="EY344:EY345"/>
    <mergeCell ref="CV346:CV347"/>
    <mergeCell ref="CW346:CW347"/>
    <mergeCell ref="CX346:CX347"/>
    <mergeCell ref="CY346:CY347"/>
    <mergeCell ref="IG344:IG345"/>
    <mergeCell ref="IH344:IH347"/>
    <mergeCell ref="IK344:IK345"/>
    <mergeCell ref="IL344:IL347"/>
    <mergeCell ref="IM344:IM345"/>
    <mergeCell ref="IC346:IC347"/>
    <mergeCell ref="IG346:IG347"/>
    <mergeCell ref="IK346:IK347"/>
    <mergeCell ref="IM346:IM347"/>
    <mergeCell ref="FA344:FA345"/>
    <mergeCell ref="FB344:FB345"/>
    <mergeCell ref="FC344:FC347"/>
    <mergeCell ref="FE344:FE345"/>
    <mergeCell ref="FG344:FG347"/>
    <mergeCell ref="FH344:FH347"/>
    <mergeCell ref="FL344:FL345"/>
    <mergeCell ref="FM344:FM345"/>
    <mergeCell ref="FN344:FN345"/>
    <mergeCell ref="FO344:FO345"/>
    <mergeCell ref="FQ344:FQ345"/>
    <mergeCell ref="FS344:FS345"/>
    <mergeCell ref="FT344:FT345"/>
    <mergeCell ref="CZ341:CZ342"/>
    <mergeCell ref="DF341:DF342"/>
    <mergeCell ref="DG341:DG342"/>
    <mergeCell ref="DH341:DH342"/>
    <mergeCell ref="DI341:DI342"/>
    <mergeCell ref="DJ341:DJ342"/>
    <mergeCell ref="DN341:DN342"/>
    <mergeCell ref="DR341:DR342"/>
    <mergeCell ref="DT341:DT342"/>
    <mergeCell ref="DY341:DY342"/>
    <mergeCell ref="FU341:FU342"/>
    <mergeCell ref="DQ339:DQ342"/>
    <mergeCell ref="DR339:DR340"/>
    <mergeCell ref="FP339:FP340"/>
    <mergeCell ref="HX345:HX346"/>
    <mergeCell ref="HY345:HY346"/>
    <mergeCell ref="HZ345:HZ346"/>
    <mergeCell ref="ID345:ID346"/>
    <mergeCell ref="IB344:IB346"/>
    <mergeCell ref="IC344:IC345"/>
    <mergeCell ref="FW346:FW347"/>
    <mergeCell ref="FX346:FX347"/>
    <mergeCell ref="GM345:GM346"/>
    <mergeCell ref="GN345:GN346"/>
    <mergeCell ref="CZ346:CZ347"/>
    <mergeCell ref="DF346:DF347"/>
    <mergeCell ref="DG346:DG347"/>
    <mergeCell ref="DH346:DH347"/>
    <mergeCell ref="DI346:DI347"/>
    <mergeCell ref="DJ346:DJ347"/>
    <mergeCell ref="DK344:DK347"/>
    <mergeCell ref="IF344:IF347"/>
    <mergeCell ref="EQ344:EQ347"/>
    <mergeCell ref="FU344:FU345"/>
    <mergeCell ref="FO349:FO350"/>
    <mergeCell ref="DB349:DB352"/>
    <mergeCell ref="DC349:DC352"/>
    <mergeCell ref="DD349:DD352"/>
    <mergeCell ref="DF349:DF350"/>
    <mergeCell ref="E347:F347"/>
    <mergeCell ref="G347:L347"/>
    <mergeCell ref="HV340:HV341"/>
    <mergeCell ref="HW340:HW341"/>
    <mergeCell ref="HI345:HI346"/>
    <mergeCell ref="HJ345:HJ346"/>
    <mergeCell ref="HK345:HK346"/>
    <mergeCell ref="HL345:HL346"/>
    <mergeCell ref="HM345:HM346"/>
    <mergeCell ref="HN345:HN346"/>
    <mergeCell ref="HO345:HO346"/>
    <mergeCell ref="HP345:HP346"/>
    <mergeCell ref="HQ345:HQ346"/>
    <mergeCell ref="HR345:HR346"/>
    <mergeCell ref="HS345:HS346"/>
    <mergeCell ref="HT345:HT346"/>
    <mergeCell ref="HU345:HU346"/>
    <mergeCell ref="HV345:HV346"/>
    <mergeCell ref="HW345:HW346"/>
    <mergeCell ref="GD339:GD342"/>
    <mergeCell ref="GE339:GE342"/>
    <mergeCell ref="GF339:GF342"/>
    <mergeCell ref="GG339:GG342"/>
    <mergeCell ref="E346:F346"/>
    <mergeCell ref="G346:L346"/>
    <mergeCell ref="GA344:GA347"/>
    <mergeCell ref="GB344:GB347"/>
    <mergeCell ref="GC344:GC347"/>
    <mergeCell ref="GD344:GD347"/>
    <mergeCell ref="GE344:GE347"/>
    <mergeCell ref="GF344:GF347"/>
    <mergeCell ref="GG344:GG347"/>
    <mergeCell ref="GH344:GH347"/>
    <mergeCell ref="GK344:GK347"/>
    <mergeCell ref="FW344:FW345"/>
    <mergeCell ref="FX344:FX345"/>
    <mergeCell ref="FL346:FL347"/>
    <mergeCell ref="FM346:FM347"/>
    <mergeCell ref="FN346:FN347"/>
    <mergeCell ref="FO346:FO347"/>
    <mergeCell ref="FQ346:FQ347"/>
    <mergeCell ref="FS346:FS347"/>
    <mergeCell ref="FT346:FT347"/>
    <mergeCell ref="FU346:FU347"/>
    <mergeCell ref="FV346:FV347"/>
    <mergeCell ref="DN346:DN347"/>
    <mergeCell ref="DR346:DR347"/>
    <mergeCell ref="DT346:DT347"/>
    <mergeCell ref="DY346:DY347"/>
    <mergeCell ref="FL341:FL342"/>
    <mergeCell ref="FM341:FM342"/>
    <mergeCell ref="DO339:DO342"/>
    <mergeCell ref="DJ344:DJ345"/>
    <mergeCell ref="FV344:FV345"/>
    <mergeCell ref="FN341:FN342"/>
    <mergeCell ref="FO341:FO342"/>
    <mergeCell ref="FE339:FE340"/>
    <mergeCell ref="FH339:FH342"/>
    <mergeCell ref="FL339:FL340"/>
    <mergeCell ref="ED334:ED337"/>
    <mergeCell ref="EF334:EF337"/>
    <mergeCell ref="EG334:EG337"/>
    <mergeCell ref="EQ334:EQ337"/>
    <mergeCell ref="ER334:ER337"/>
    <mergeCell ref="ES334:ES337"/>
    <mergeCell ref="ET334:ET337"/>
    <mergeCell ref="IC339:IC340"/>
    <mergeCell ref="DS339:DS342"/>
    <mergeCell ref="DT339:DT340"/>
    <mergeCell ref="DU339:DU342"/>
    <mergeCell ref="DV339:DV342"/>
    <mergeCell ref="EO339:EO342"/>
    <mergeCell ref="EP339:EP342"/>
    <mergeCell ref="EQ339:EQ342"/>
    <mergeCell ref="ER339:ER342"/>
    <mergeCell ref="ES339:ES342"/>
    <mergeCell ref="EX341:EX342"/>
    <mergeCell ref="FY341:FY342"/>
    <mergeCell ref="ET339:ET342"/>
    <mergeCell ref="DY334:DY335"/>
    <mergeCell ref="FX341:FX342"/>
    <mergeCell ref="FC339:FC342"/>
    <mergeCell ref="FG339:FG342"/>
    <mergeCell ref="FV341:FV342"/>
    <mergeCell ref="FS341:FS342"/>
    <mergeCell ref="FT341:FT342"/>
    <mergeCell ref="HN335:HN336"/>
    <mergeCell ref="FY336:FY337"/>
    <mergeCell ref="GA334:GA337"/>
    <mergeCell ref="GB334:GB337"/>
    <mergeCell ref="GC334:GC337"/>
    <mergeCell ref="GD334:GD337"/>
    <mergeCell ref="GE334:GE337"/>
    <mergeCell ref="GF334:GF337"/>
    <mergeCell ref="GG334:GG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O336:FO337"/>
    <mergeCell ref="FQ336:FQ337"/>
    <mergeCell ref="FS336:FS337"/>
    <mergeCell ref="FT336:FT337"/>
    <mergeCell ref="FU336:FU337"/>
    <mergeCell ref="FV336:FV337"/>
    <mergeCell ref="FW336:FW337"/>
    <mergeCell ref="FX336:FX337"/>
    <mergeCell ref="EV334:EV337"/>
    <mergeCell ref="DX339:DX342"/>
    <mergeCell ref="DY339:DY340"/>
    <mergeCell ref="DZ339:DZ342"/>
    <mergeCell ref="EA339:EA342"/>
    <mergeCell ref="EC339:EC342"/>
    <mergeCell ref="ED339:ED342"/>
    <mergeCell ref="EF339:EF342"/>
    <mergeCell ref="EG339:EG342"/>
    <mergeCell ref="EH339:EH342"/>
    <mergeCell ref="EI339:EI342"/>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EH334:EH337"/>
    <mergeCell ref="EI334:EI337"/>
    <mergeCell ref="EJ334:EJ337"/>
    <mergeCell ref="EC334:EC337"/>
    <mergeCell ref="FU334:FU335"/>
    <mergeCell ref="FV334:FV335"/>
    <mergeCell ref="FW334:FW335"/>
    <mergeCell ref="FX334:FX335"/>
    <mergeCell ref="B334:B337"/>
    <mergeCell ref="C334:D337"/>
    <mergeCell ref="E334:F334"/>
    <mergeCell ref="G334:R334"/>
    <mergeCell ref="S334:S335"/>
    <mergeCell ref="U334:AA334"/>
    <mergeCell ref="AR334:AT337"/>
    <mergeCell ref="AY339:AY342"/>
    <mergeCell ref="AZ339:AZ342"/>
    <mergeCell ref="CP339:CP342"/>
    <mergeCell ref="CQ339:CQ342"/>
    <mergeCell ref="CR339:CR340"/>
    <mergeCell ref="CS339:CS340"/>
    <mergeCell ref="CU341:CU342"/>
    <mergeCell ref="CV341:CV342"/>
    <mergeCell ref="CW341:CW342"/>
    <mergeCell ref="CX341:CX342"/>
    <mergeCell ref="CY341:CY342"/>
    <mergeCell ref="E340:F340"/>
    <mergeCell ref="G340:L340"/>
    <mergeCell ref="P340:Q340"/>
    <mergeCell ref="CR341:CR342"/>
    <mergeCell ref="EY341:EY342"/>
    <mergeCell ref="EZ341:EZ342"/>
    <mergeCell ref="FA341:FA342"/>
    <mergeCell ref="FB341:FB342"/>
    <mergeCell ref="FE341:FE342"/>
    <mergeCell ref="CS341:CS342"/>
    <mergeCell ref="DT334:DT335"/>
    <mergeCell ref="DU334:DU337"/>
    <mergeCell ref="DV334:DV337"/>
    <mergeCell ref="DX334:DX337"/>
    <mergeCell ref="HJ340:HJ341"/>
    <mergeCell ref="FQ341:FQ342"/>
    <mergeCell ref="FU339:FU340"/>
    <mergeCell ref="FV339:FV340"/>
    <mergeCell ref="FW339:FW340"/>
    <mergeCell ref="FQ339:FQ340"/>
    <mergeCell ref="FO339:FO340"/>
    <mergeCell ref="FB336:FB337"/>
    <mergeCell ref="FE336:FE337"/>
    <mergeCell ref="EJ339:EJ342"/>
    <mergeCell ref="EK339:EK342"/>
    <mergeCell ref="EL339:EL342"/>
    <mergeCell ref="EM339:EM342"/>
    <mergeCell ref="EN339:EN342"/>
    <mergeCell ref="DT336:DT337"/>
    <mergeCell ref="DY336:DY337"/>
    <mergeCell ref="EO334:EO337"/>
    <mergeCell ref="EP334:EP337"/>
    <mergeCell ref="EK334:EK337"/>
    <mergeCell ref="EL334:EL337"/>
    <mergeCell ref="EM334:EM337"/>
    <mergeCell ref="EN334:EN337"/>
    <mergeCell ref="FE334:FE335"/>
    <mergeCell ref="FG334:FG337"/>
    <mergeCell ref="FH334:FH337"/>
    <mergeCell ref="FL334:FL335"/>
    <mergeCell ref="FM334:FM335"/>
    <mergeCell ref="FN334:FN335"/>
    <mergeCell ref="FO334:FO335"/>
    <mergeCell ref="FQ334:FQ335"/>
    <mergeCell ref="FS334:FS335"/>
    <mergeCell ref="FT334:FT335"/>
    <mergeCell ref="EX336:EX337"/>
    <mergeCell ref="EY336:EY337"/>
    <mergeCell ref="EZ336:EZ337"/>
    <mergeCell ref="FA336:FA337"/>
    <mergeCell ref="DZ334:DZ337"/>
    <mergeCell ref="EA334:EA337"/>
    <mergeCell ref="DX327:DY327"/>
    <mergeCell ref="DQ328:DR328"/>
    <mergeCell ref="DX328:DY328"/>
    <mergeCell ref="FA329:FA330"/>
    <mergeCell ref="FB329:FB330"/>
    <mergeCell ref="FC329:FC332"/>
    <mergeCell ref="CW331:CW332"/>
    <mergeCell ref="CX331:CX332"/>
    <mergeCell ref="CY331:CY332"/>
    <mergeCell ref="EH329:EH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P335:Q335"/>
    <mergeCell ref="E337:F337"/>
    <mergeCell ref="G337:L337"/>
    <mergeCell ref="P337:R337"/>
    <mergeCell ref="DG336:DG337"/>
    <mergeCell ref="EX334:EX335"/>
    <mergeCell ref="EY334:EY335"/>
    <mergeCell ref="EZ334:EZ335"/>
    <mergeCell ref="FA334:FA335"/>
    <mergeCell ref="FB334:FB335"/>
    <mergeCell ref="FC334:FC337"/>
    <mergeCell ref="CU336:CU337"/>
    <mergeCell ref="CR336:CR337"/>
    <mergeCell ref="CS336:CS337"/>
    <mergeCell ref="DH336:DH337"/>
    <mergeCell ref="DI336:DI337"/>
    <mergeCell ref="DG334:DG335"/>
    <mergeCell ref="DH334:DH335"/>
    <mergeCell ref="DI334:DI335"/>
    <mergeCell ref="DJ334:DJ335"/>
    <mergeCell ref="DK334:DK337"/>
    <mergeCell ref="DM334:DM335"/>
    <mergeCell ref="DO334:DO337"/>
    <mergeCell ref="DQ334:DQ337"/>
    <mergeCell ref="DR334:DR335"/>
    <mergeCell ref="DS334:DS337"/>
    <mergeCell ref="AG334:AL334"/>
    <mergeCell ref="AM334:AM335"/>
    <mergeCell ref="AN334:AN335"/>
    <mergeCell ref="AO334:AO335"/>
    <mergeCell ref="AP334:AQ337"/>
    <mergeCell ref="IK329:IK330"/>
    <mergeCell ref="IM329:IM330"/>
    <mergeCell ref="IC331:IC332"/>
    <mergeCell ref="IG331:IG332"/>
    <mergeCell ref="IK331:IK332"/>
    <mergeCell ref="IM331:IM332"/>
    <mergeCell ref="E332:F332"/>
    <mergeCell ref="FP329:FP330"/>
    <mergeCell ref="EY339:EY340"/>
    <mergeCell ref="EZ339:EZ340"/>
    <mergeCell ref="FA339:FA340"/>
    <mergeCell ref="EM329:EM332"/>
    <mergeCell ref="EN329:EN332"/>
    <mergeCell ref="EO329:EO332"/>
    <mergeCell ref="EP329:EP332"/>
    <mergeCell ref="EQ329:EQ332"/>
    <mergeCell ref="ER329:ER332"/>
    <mergeCell ref="ES329:ES332"/>
    <mergeCell ref="ET329:ET332"/>
    <mergeCell ref="EV329:EV332"/>
    <mergeCell ref="EX329:EX330"/>
    <mergeCell ref="EY329:EY330"/>
    <mergeCell ref="EZ329:EZ330"/>
    <mergeCell ref="EX331:EX332"/>
    <mergeCell ref="EY331:EY332"/>
    <mergeCell ref="EZ331:EZ332"/>
    <mergeCell ref="AP328:AQ328"/>
    <mergeCell ref="AR328:AT328"/>
    <mergeCell ref="AY334:AY337"/>
    <mergeCell ref="AZ334:AZ337"/>
    <mergeCell ref="CP334:CP337"/>
    <mergeCell ref="CQ334:CQ337"/>
    <mergeCell ref="CR334:CR335"/>
    <mergeCell ref="CS334:CS335"/>
    <mergeCell ref="HR340:HR341"/>
    <mergeCell ref="HS340:HS341"/>
    <mergeCell ref="HT340:HT341"/>
    <mergeCell ref="HU340:HU341"/>
    <mergeCell ref="FW341:FW342"/>
    <mergeCell ref="EV339:EV342"/>
    <mergeCell ref="EX339:EX340"/>
    <mergeCell ref="IG341:IG342"/>
    <mergeCell ref="IB334:IB336"/>
    <mergeCell ref="IC334:IC335"/>
    <mergeCell ref="IF334:IF337"/>
    <mergeCell ref="HK340:HK341"/>
    <mergeCell ref="HL340:HL341"/>
    <mergeCell ref="HM340:HM341"/>
    <mergeCell ref="HN340:HN341"/>
    <mergeCell ref="IC341:IC342"/>
    <mergeCell ref="FM339:FM340"/>
    <mergeCell ref="FN339:FN340"/>
    <mergeCell ref="FS339:FS340"/>
    <mergeCell ref="FT339:FT340"/>
    <mergeCell ref="GH339:GH342"/>
    <mergeCell ref="GK339:GK342"/>
    <mergeCell ref="IB339:IB341"/>
    <mergeCell ref="FB339:FB340"/>
    <mergeCell ref="FX339:FX340"/>
    <mergeCell ref="GA339:GA342"/>
    <mergeCell ref="GB339:GB342"/>
    <mergeCell ref="FL336:FL337"/>
    <mergeCell ref="FM336:FM337"/>
    <mergeCell ref="FN336:FN337"/>
    <mergeCell ref="FU331:FU332"/>
    <mergeCell ref="FV331:FV332"/>
    <mergeCell ref="FW331:FW332"/>
    <mergeCell ref="FX331:FX332"/>
    <mergeCell ref="FE329:FE330"/>
    <mergeCell ref="FG329:FG332"/>
    <mergeCell ref="FH329:FH332"/>
    <mergeCell ref="FL329:FL330"/>
    <mergeCell ref="DJ336:DJ337"/>
    <mergeCell ref="DN336:DN337"/>
    <mergeCell ref="DR336:DR337"/>
    <mergeCell ref="CU334:CU335"/>
    <mergeCell ref="CV334:CV335"/>
    <mergeCell ref="CW334:CW335"/>
    <mergeCell ref="CX334:CX335"/>
    <mergeCell ref="CY334:CY335"/>
    <mergeCell ref="CZ334:CZ335"/>
    <mergeCell ref="DA334:DA337"/>
    <mergeCell ref="DB334:DB337"/>
    <mergeCell ref="DC334:DC337"/>
    <mergeCell ref="IN329:IN332"/>
    <mergeCell ref="E330:F330"/>
    <mergeCell ref="G330:L330"/>
    <mergeCell ref="P330:Q330"/>
    <mergeCell ref="GM330:GM331"/>
    <mergeCell ref="GN330:GN331"/>
    <mergeCell ref="GP330:GP331"/>
    <mergeCell ref="GQ330:GQ331"/>
    <mergeCell ref="HH330:HH331"/>
    <mergeCell ref="HI330:HI331"/>
    <mergeCell ref="HJ330:HJ331"/>
    <mergeCell ref="HK330:HK331"/>
    <mergeCell ref="HL330:HL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D330:ID331"/>
    <mergeCell ref="E331:F331"/>
    <mergeCell ref="G331:L331"/>
    <mergeCell ref="GA329:GA332"/>
    <mergeCell ref="GB329:GB332"/>
    <mergeCell ref="GC329:GC332"/>
    <mergeCell ref="GD329:GD332"/>
    <mergeCell ref="GE329:GE332"/>
    <mergeCell ref="GF329:GF332"/>
    <mergeCell ref="GG329:GG332"/>
    <mergeCell ref="GH329:GH332"/>
    <mergeCell ref="GK329:GK332"/>
    <mergeCell ref="IB329:IB331"/>
    <mergeCell ref="IC329:IC330"/>
    <mergeCell ref="IF329:IF332"/>
    <mergeCell ref="IG329:IG330"/>
    <mergeCell ref="IH329:IH332"/>
    <mergeCell ref="DK321:DK324"/>
    <mergeCell ref="DM321:DM322"/>
    <mergeCell ref="CZ323:CZ324"/>
    <mergeCell ref="DF323:DF324"/>
    <mergeCell ref="DG323:DG324"/>
    <mergeCell ref="DH323:DH324"/>
    <mergeCell ref="DI323:DI324"/>
    <mergeCell ref="DJ323:DJ324"/>
    <mergeCell ref="HO322:HO323"/>
    <mergeCell ref="HP322:HP323"/>
    <mergeCell ref="HQ322:HQ323"/>
    <mergeCell ref="HR322:HR323"/>
    <mergeCell ref="HS322:HS323"/>
    <mergeCell ref="HT322:HT323"/>
    <mergeCell ref="HU322:HU323"/>
    <mergeCell ref="HV322:HV323"/>
    <mergeCell ref="HW322:HW323"/>
    <mergeCell ref="HX322:HX323"/>
    <mergeCell ref="HY322:HY323"/>
    <mergeCell ref="HZ322:HZ323"/>
    <mergeCell ref="EQ321:EQ324"/>
    <mergeCell ref="ER321:ER324"/>
    <mergeCell ref="ES321:ES324"/>
    <mergeCell ref="ED329:ED332"/>
    <mergeCell ref="EF329:EF332"/>
    <mergeCell ref="EG329:EG332"/>
    <mergeCell ref="DM329:DM330"/>
    <mergeCell ref="DO329:DO332"/>
    <mergeCell ref="DQ329:DQ332"/>
    <mergeCell ref="DR329:DR330"/>
    <mergeCell ref="DS329:DS332"/>
    <mergeCell ref="DT329:DT330"/>
    <mergeCell ref="DU329:DU332"/>
    <mergeCell ref="DV329:DV332"/>
    <mergeCell ref="DX329:DX332"/>
    <mergeCell ref="DK329:DK332"/>
    <mergeCell ref="DY329:DY330"/>
    <mergeCell ref="DZ329:DZ332"/>
    <mergeCell ref="EA329:EA332"/>
    <mergeCell ref="EC329:EC332"/>
    <mergeCell ref="DN331:DN332"/>
    <mergeCell ref="DR331:DR332"/>
    <mergeCell ref="DT331:DT332"/>
    <mergeCell ref="DY331:DY332"/>
    <mergeCell ref="FM329:FM330"/>
    <mergeCell ref="FN329:FN330"/>
    <mergeCell ref="FO329:FO330"/>
    <mergeCell ref="FQ329:FQ330"/>
    <mergeCell ref="FS329:FS330"/>
    <mergeCell ref="FT329:FT330"/>
    <mergeCell ref="FU329:FU330"/>
    <mergeCell ref="FV329:FV330"/>
    <mergeCell ref="FW329:FW330"/>
    <mergeCell ref="FX329:FX330"/>
    <mergeCell ref="FA331:FA332"/>
    <mergeCell ref="FB331:FB332"/>
    <mergeCell ref="FE331:FE332"/>
    <mergeCell ref="FL331:FL332"/>
    <mergeCell ref="FM331:FM332"/>
    <mergeCell ref="FN331:FN332"/>
    <mergeCell ref="FO331:FO332"/>
    <mergeCell ref="FQ331:FQ332"/>
    <mergeCell ref="FS331:FS332"/>
    <mergeCell ref="FT331:FT332"/>
    <mergeCell ref="AO323:AO324"/>
    <mergeCell ref="CR323:CR324"/>
    <mergeCell ref="CS323:CS324"/>
    <mergeCell ref="CU323:CU324"/>
    <mergeCell ref="CV323:CV324"/>
    <mergeCell ref="CW323:CW324"/>
    <mergeCell ref="CX323:CX324"/>
    <mergeCell ref="CY323:CY324"/>
    <mergeCell ref="EA321:EA324"/>
    <mergeCell ref="EC321:EC324"/>
    <mergeCell ref="ED321:ED324"/>
    <mergeCell ref="EF321:EF324"/>
    <mergeCell ref="EG321:EG324"/>
    <mergeCell ref="EH321:EH324"/>
    <mergeCell ref="EI321:EI324"/>
    <mergeCell ref="CU321:CU322"/>
    <mergeCell ref="CV321:CV322"/>
    <mergeCell ref="CW321:CW322"/>
    <mergeCell ref="CX321:CX322"/>
    <mergeCell ref="CY321:CY322"/>
    <mergeCell ref="CZ321:CZ322"/>
    <mergeCell ref="DA321:DA324"/>
    <mergeCell ref="DB321:DB324"/>
    <mergeCell ref="EI329:EI332"/>
    <mergeCell ref="EJ329:EJ332"/>
    <mergeCell ref="EK329:EK332"/>
    <mergeCell ref="EL329:EL332"/>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EJ321:EJ324"/>
    <mergeCell ref="EK321:EK324"/>
    <mergeCell ref="EL321:EL324"/>
    <mergeCell ref="DC321:DC324"/>
    <mergeCell ref="DD321:DD324"/>
    <mergeCell ref="DF321:DF322"/>
    <mergeCell ref="DG321:DG322"/>
    <mergeCell ref="DH321:DH322"/>
    <mergeCell ref="DI321:DI322"/>
    <mergeCell ref="DJ321:DJ322"/>
    <mergeCell ref="HN322:HN323"/>
    <mergeCell ref="FC321:FC324"/>
    <mergeCell ref="FE321:FE322"/>
    <mergeCell ref="FG321:FG324"/>
    <mergeCell ref="FH321:FH324"/>
    <mergeCell ref="FL321:FL322"/>
    <mergeCell ref="FM321:FM322"/>
    <mergeCell ref="FN321:FN322"/>
    <mergeCell ref="FO321:FO322"/>
    <mergeCell ref="FQ321:FQ322"/>
    <mergeCell ref="FS321:FS322"/>
    <mergeCell ref="FT321:FT322"/>
    <mergeCell ref="FU321:FU322"/>
    <mergeCell ref="FV321:FV322"/>
    <mergeCell ref="FW321:FW322"/>
    <mergeCell ref="FX321:FX322"/>
    <mergeCell ref="GA321:GA324"/>
    <mergeCell ref="GB321:GB324"/>
    <mergeCell ref="FU323:FU324"/>
    <mergeCell ref="FV323:FV324"/>
    <mergeCell ref="FW323:FW324"/>
    <mergeCell ref="FX323:FX324"/>
    <mergeCell ref="FO323:FO324"/>
    <mergeCell ref="FQ323:FQ324"/>
    <mergeCell ref="FS323:FS324"/>
    <mergeCell ref="FT323:FT324"/>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N323:DN324"/>
    <mergeCell ref="DR323:DR324"/>
    <mergeCell ref="DT323:DT324"/>
    <mergeCell ref="DY323:DY324"/>
    <mergeCell ref="EX323:EX324"/>
    <mergeCell ref="EY323:EY324"/>
    <mergeCell ref="EZ323:EZ324"/>
    <mergeCell ref="FA323:FA324"/>
    <mergeCell ref="B321:B324"/>
    <mergeCell ref="EX321:EX322"/>
    <mergeCell ref="EY321:EY322"/>
    <mergeCell ref="DR321:DR322"/>
    <mergeCell ref="DS321:DS324"/>
    <mergeCell ref="DT321:DT322"/>
    <mergeCell ref="DU321:DU324"/>
    <mergeCell ref="DY321:DY322"/>
    <mergeCell ref="DZ321:DZ324"/>
    <mergeCell ref="P323:Q323"/>
    <mergeCell ref="S323:S324"/>
    <mergeCell ref="EV321:EV324"/>
    <mergeCell ref="FB321:FB322"/>
    <mergeCell ref="FB323:FB324"/>
    <mergeCell ref="FE323:FE324"/>
    <mergeCell ref="FL323:FL324"/>
    <mergeCell ref="EM321:EM324"/>
    <mergeCell ref="EN321:EN324"/>
    <mergeCell ref="EO321:EO324"/>
    <mergeCell ref="FW316:FW317"/>
    <mergeCell ref="FX316:FX317"/>
    <mergeCell ref="GA316:GA319"/>
    <mergeCell ref="GB316:GB319"/>
    <mergeCell ref="GC316:GC319"/>
    <mergeCell ref="GD316:GD319"/>
    <mergeCell ref="GE316:GE319"/>
    <mergeCell ref="GF316:GF319"/>
    <mergeCell ref="GG316:GG319"/>
    <mergeCell ref="GH316:GH319"/>
    <mergeCell ref="GK316:GK319"/>
    <mergeCell ref="FU318:FU319"/>
    <mergeCell ref="FV318:FV319"/>
    <mergeCell ref="FW318:FW319"/>
    <mergeCell ref="FX318:FX319"/>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CU316:CU317"/>
    <mergeCell ref="CV316:CV317"/>
    <mergeCell ref="E317:F317"/>
    <mergeCell ref="FM323:FM324"/>
    <mergeCell ref="FN323:FN324"/>
    <mergeCell ref="EZ321:EZ322"/>
    <mergeCell ref="FA321:FA322"/>
    <mergeCell ref="DO321:DO324"/>
    <mergeCell ref="DQ321:DQ324"/>
    <mergeCell ref="DV321:DV324"/>
    <mergeCell ref="DX321:DX324"/>
    <mergeCell ref="FM318:FM319"/>
    <mergeCell ref="FN318:FN319"/>
    <mergeCell ref="FO318:FO319"/>
    <mergeCell ref="FQ318:FQ319"/>
    <mergeCell ref="FS318:FS319"/>
    <mergeCell ref="FT318:FT319"/>
    <mergeCell ref="EC316:EC319"/>
    <mergeCell ref="ED316:ED319"/>
    <mergeCell ref="EF316:EF319"/>
    <mergeCell ref="EG316:EG319"/>
    <mergeCell ref="EH316:EH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DG316:DG317"/>
    <mergeCell ref="DH316:DH317"/>
    <mergeCell ref="DI316:DI317"/>
    <mergeCell ref="DJ316:DJ317"/>
    <mergeCell ref="DK316:DK319"/>
    <mergeCell ref="DM316:DM317"/>
    <mergeCell ref="DO316:DO319"/>
    <mergeCell ref="DQ316:DQ319"/>
    <mergeCell ref="DR316:DR317"/>
    <mergeCell ref="DS316:DS319"/>
    <mergeCell ref="DT316:DT317"/>
    <mergeCell ref="DU316:DU319"/>
    <mergeCell ref="DV316:DV319"/>
    <mergeCell ref="DX316:DX319"/>
    <mergeCell ref="DY316:DY317"/>
    <mergeCell ref="DZ316:DZ319"/>
    <mergeCell ref="EA316:EA319"/>
    <mergeCell ref="DN318:DN319"/>
    <mergeCell ref="DR318:DR319"/>
    <mergeCell ref="DG318:DG319"/>
    <mergeCell ref="DH318:DH319"/>
    <mergeCell ref="DI318:DI319"/>
    <mergeCell ref="DJ318:DJ319"/>
    <mergeCell ref="FP316:FP317"/>
    <mergeCell ref="FM316:FM317"/>
    <mergeCell ref="FN316:FN317"/>
    <mergeCell ref="FO316:FO317"/>
    <mergeCell ref="FQ316:FQ317"/>
    <mergeCell ref="FS316:FS317"/>
    <mergeCell ref="FT316:FT317"/>
    <mergeCell ref="EX318:EX319"/>
    <mergeCell ref="EY318:EY319"/>
    <mergeCell ref="EZ318:EZ319"/>
    <mergeCell ref="EP321:EP324"/>
    <mergeCell ref="ET321:ET324"/>
    <mergeCell ref="FA318:FA319"/>
    <mergeCell ref="FB318:FB319"/>
    <mergeCell ref="DF318:DF319"/>
    <mergeCell ref="EV316:EV319"/>
    <mergeCell ref="EX316:EX317"/>
    <mergeCell ref="EY316:EY317"/>
    <mergeCell ref="EZ316:EZ317"/>
    <mergeCell ref="FA316:FA317"/>
    <mergeCell ref="FB316:FB317"/>
    <mergeCell ref="FC316:FC319"/>
    <mergeCell ref="FE316:FE317"/>
    <mergeCell ref="FG316:FG319"/>
    <mergeCell ref="FH316:FH319"/>
    <mergeCell ref="FL316:FL317"/>
    <mergeCell ref="E319:F319"/>
    <mergeCell ref="G319:L319"/>
    <mergeCell ref="P319:R319"/>
    <mergeCell ref="U319:AA319"/>
    <mergeCell ref="AG319:AL319"/>
    <mergeCell ref="CW318:CW319"/>
    <mergeCell ref="CX318:CX319"/>
    <mergeCell ref="CY318:CY319"/>
    <mergeCell ref="CZ318:CZ319"/>
    <mergeCell ref="FE318:FE319"/>
    <mergeCell ref="FL318:FL319"/>
    <mergeCell ref="DT311:DT312"/>
    <mergeCell ref="DU311:DU314"/>
    <mergeCell ref="DV311:DV314"/>
    <mergeCell ref="DX311:DX314"/>
    <mergeCell ref="DY311:DY312"/>
    <mergeCell ref="DZ311:DZ314"/>
    <mergeCell ref="EA311:EA314"/>
    <mergeCell ref="EC311:EC314"/>
    <mergeCell ref="ED311:ED314"/>
    <mergeCell ref="EF311:EF314"/>
    <mergeCell ref="EG311:EG314"/>
    <mergeCell ref="DN313:DN314"/>
    <mergeCell ref="DR313:DR314"/>
    <mergeCell ref="DT318:DT319"/>
    <mergeCell ref="DY318:DY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P311:EP314"/>
    <mergeCell ref="EQ311:EQ314"/>
    <mergeCell ref="ER311:ER314"/>
    <mergeCell ref="ES311:ES314"/>
    <mergeCell ref="ET311:ET314"/>
    <mergeCell ref="EV311:EV314"/>
    <mergeCell ref="EX311:EX312"/>
    <mergeCell ref="EY311:EY312"/>
    <mergeCell ref="EZ311:EZ312"/>
    <mergeCell ref="EX313:EX314"/>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G317:L317"/>
    <mergeCell ref="P317:Q317"/>
    <mergeCell ref="FO308:FO309"/>
    <mergeCell ref="FQ308:FQ309"/>
    <mergeCell ref="FS308:FS309"/>
    <mergeCell ref="FT308:FT309"/>
    <mergeCell ref="ID312:ID313"/>
    <mergeCell ref="E313:F313"/>
    <mergeCell ref="G313:L313"/>
    <mergeCell ref="GA311:GA314"/>
    <mergeCell ref="GB311:GB314"/>
    <mergeCell ref="GC311:GC314"/>
    <mergeCell ref="GD311:GD314"/>
    <mergeCell ref="GE311:GE314"/>
    <mergeCell ref="GF311:GF314"/>
    <mergeCell ref="GG311:GG314"/>
    <mergeCell ref="GH311:GH314"/>
    <mergeCell ref="GK311:GK314"/>
    <mergeCell ref="IB311:IB313"/>
    <mergeCell ref="IC311:IC312"/>
    <mergeCell ref="IC313:IC314"/>
    <mergeCell ref="FA311:FA312"/>
    <mergeCell ref="FB311:FB312"/>
    <mergeCell ref="FC311:FC314"/>
    <mergeCell ref="FE311:FE312"/>
    <mergeCell ref="FG311:FG314"/>
    <mergeCell ref="FH311:FH314"/>
    <mergeCell ref="FL311:FL312"/>
    <mergeCell ref="FM311:FM312"/>
    <mergeCell ref="FN311:FN312"/>
    <mergeCell ref="FO311:FO312"/>
    <mergeCell ref="FQ311:FQ312"/>
    <mergeCell ref="FS311:FS312"/>
    <mergeCell ref="FT311:FT312"/>
    <mergeCell ref="FU311:FU312"/>
    <mergeCell ref="FV311:FV312"/>
    <mergeCell ref="FW311:FW312"/>
    <mergeCell ref="FX311:FX312"/>
    <mergeCell ref="FA313:FA314"/>
    <mergeCell ref="FB313:FB314"/>
    <mergeCell ref="FE313:FE314"/>
    <mergeCell ref="FL313:FL314"/>
    <mergeCell ref="FM313:FM314"/>
    <mergeCell ref="FN313:FN314"/>
    <mergeCell ref="FO313:FO314"/>
    <mergeCell ref="FQ313:FQ314"/>
    <mergeCell ref="FS313:FS314"/>
    <mergeCell ref="FT313:FT314"/>
    <mergeCell ref="FU313:FU314"/>
    <mergeCell ref="FV313:FV314"/>
    <mergeCell ref="FW313:FW314"/>
    <mergeCell ref="FX313:FX314"/>
    <mergeCell ref="EH311:EH314"/>
    <mergeCell ref="EI311:EI314"/>
    <mergeCell ref="U312:AD312"/>
    <mergeCell ref="DR311:DR312"/>
    <mergeCell ref="DS311:DS314"/>
    <mergeCell ref="DK311:DK314"/>
    <mergeCell ref="DM311:DM312"/>
    <mergeCell ref="DO311:DO314"/>
    <mergeCell ref="DQ311:DQ314"/>
    <mergeCell ref="AY311:AY314"/>
    <mergeCell ref="EY313:EY314"/>
    <mergeCell ref="EZ313:EZ314"/>
    <mergeCell ref="CP311:CP314"/>
    <mergeCell ref="CQ311:CQ314"/>
    <mergeCell ref="CV311:CV312"/>
    <mergeCell ref="CW311:CW312"/>
    <mergeCell ref="CX311:CX312"/>
    <mergeCell ref="CY311:CY312"/>
    <mergeCell ref="CZ311:CZ312"/>
    <mergeCell ref="DA311:DA314"/>
    <mergeCell ref="DB311:DB314"/>
    <mergeCell ref="DC311:DC314"/>
    <mergeCell ref="DD311:DD314"/>
    <mergeCell ref="DF311:DF312"/>
    <mergeCell ref="DG311:DG312"/>
    <mergeCell ref="DH311:DH312"/>
    <mergeCell ref="DI311:DI312"/>
    <mergeCell ref="DJ311:DJ312"/>
    <mergeCell ref="CZ313:CZ314"/>
    <mergeCell ref="DF313:DF314"/>
    <mergeCell ref="DG313:DG314"/>
    <mergeCell ref="DH313:DH314"/>
    <mergeCell ref="DI313:DI314"/>
    <mergeCell ref="DJ313:DJ314"/>
    <mergeCell ref="CV313:CV314"/>
    <mergeCell ref="CW313:CW314"/>
    <mergeCell ref="CX313:CX314"/>
    <mergeCell ref="CY313:CY314"/>
    <mergeCell ref="DF308:DF309"/>
    <mergeCell ref="DG308:DG309"/>
    <mergeCell ref="DH308:DH309"/>
    <mergeCell ref="DI308:DI309"/>
    <mergeCell ref="FM308:FM309"/>
    <mergeCell ref="CV308:CV309"/>
    <mergeCell ref="DS306:DS309"/>
    <mergeCell ref="DT306:DT307"/>
    <mergeCell ref="DU306:DU309"/>
    <mergeCell ref="DV306:DV309"/>
    <mergeCell ref="DX306:DX309"/>
    <mergeCell ref="DY306:DY307"/>
    <mergeCell ref="EV306:EV309"/>
    <mergeCell ref="EZ306:EZ307"/>
    <mergeCell ref="EY306:EY307"/>
    <mergeCell ref="EN311:EN314"/>
    <mergeCell ref="EO311:EO314"/>
    <mergeCell ref="FA306:FA307"/>
    <mergeCell ref="FB306:FB307"/>
    <mergeCell ref="DJ308:DJ309"/>
    <mergeCell ref="EN306:EN309"/>
    <mergeCell ref="EL311:EL314"/>
    <mergeCell ref="EM311:EM314"/>
    <mergeCell ref="DT313:DT314"/>
    <mergeCell ref="DY313:DY314"/>
    <mergeCell ref="EJ311:EJ314"/>
    <mergeCell ref="EK311:EK314"/>
    <mergeCell ref="FP306:FP307"/>
    <mergeCell ref="HY302:HY303"/>
    <mergeCell ref="IC301:IC302"/>
    <mergeCell ref="IF301:IF304"/>
    <mergeCell ref="CR303:CR304"/>
    <mergeCell ref="CS303:CS304"/>
    <mergeCell ref="AG302:AK302"/>
    <mergeCell ref="EZ303:EZ304"/>
    <mergeCell ref="FW308:FW309"/>
    <mergeCell ref="FX308:FX309"/>
    <mergeCell ref="EJ306:EJ309"/>
    <mergeCell ref="EK306:EK309"/>
    <mergeCell ref="EL306:EL309"/>
    <mergeCell ref="EM306:EM309"/>
    <mergeCell ref="GC301:GC304"/>
    <mergeCell ref="GD301:GD304"/>
    <mergeCell ref="GE301:GE304"/>
    <mergeCell ref="FU301:FU302"/>
    <mergeCell ref="FV301:FV302"/>
    <mergeCell ref="FW301:FW302"/>
    <mergeCell ref="FX301:FX302"/>
    <mergeCell ref="GA301:GA304"/>
    <mergeCell ref="ID307:ID308"/>
    <mergeCell ref="IF306:IF309"/>
    <mergeCell ref="DY308:DY309"/>
    <mergeCell ref="EX308:EX309"/>
    <mergeCell ref="EY308:EY309"/>
    <mergeCell ref="EZ308:EZ309"/>
    <mergeCell ref="FA308:FA309"/>
    <mergeCell ref="FB308:FB309"/>
    <mergeCell ref="FE308:FE309"/>
    <mergeCell ref="FL308:FL309"/>
    <mergeCell ref="EX306:EX307"/>
    <mergeCell ref="EO306:EO309"/>
    <mergeCell ref="EP306:EP309"/>
    <mergeCell ref="EQ306:EQ309"/>
    <mergeCell ref="ER306:ER309"/>
    <mergeCell ref="ES306:ES309"/>
    <mergeCell ref="GP307:GP308"/>
    <mergeCell ref="GQ307:GQ308"/>
    <mergeCell ref="DZ306:DZ309"/>
    <mergeCell ref="EA306:EA309"/>
    <mergeCell ref="FC306:FC309"/>
    <mergeCell ref="FE306:FE307"/>
    <mergeCell ref="FG306:FG309"/>
    <mergeCell ref="FH306:FH309"/>
    <mergeCell ref="FL306:FL307"/>
    <mergeCell ref="FM306:FM307"/>
    <mergeCell ref="FN306:FN307"/>
    <mergeCell ref="FO306:FO307"/>
    <mergeCell ref="FQ306:FQ307"/>
    <mergeCell ref="FS306:FS307"/>
    <mergeCell ref="FT306:FT307"/>
    <mergeCell ref="FU306:FU307"/>
    <mergeCell ref="FV306:FV307"/>
    <mergeCell ref="DN308:DN309"/>
    <mergeCell ref="FW306:FW307"/>
    <mergeCell ref="FX306:FX307"/>
    <mergeCell ref="DO306:DO309"/>
    <mergeCell ref="DQ306:DQ309"/>
    <mergeCell ref="DR306:DR307"/>
    <mergeCell ref="FU308:FU309"/>
    <mergeCell ref="FV308:FV309"/>
    <mergeCell ref="FN308:FN30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EO301:EO304"/>
    <mergeCell ref="EP301:EP304"/>
    <mergeCell ref="EQ301:EQ304"/>
    <mergeCell ref="ER301:ER304"/>
    <mergeCell ref="ES301:ES304"/>
    <mergeCell ref="ET301:ET304"/>
    <mergeCell ref="DG301:DG302"/>
    <mergeCell ref="DH301:DH302"/>
    <mergeCell ref="DI301:DI302"/>
    <mergeCell ref="DJ301:DJ302"/>
    <mergeCell ref="DK301:DK304"/>
    <mergeCell ref="DM301:DM302"/>
    <mergeCell ref="E308:F308"/>
    <mergeCell ref="G308:L308"/>
    <mergeCell ref="P308:Q308"/>
    <mergeCell ref="S308:S309"/>
    <mergeCell ref="E304:F304"/>
    <mergeCell ref="G304:L304"/>
    <mergeCell ref="P304:R304"/>
    <mergeCell ref="U304:AA304"/>
    <mergeCell ref="AG304:AL304"/>
    <mergeCell ref="U307:AD307"/>
    <mergeCell ref="E307:F307"/>
    <mergeCell ref="G307:L307"/>
    <mergeCell ref="ET306:ET309"/>
    <mergeCell ref="EC306:EC309"/>
    <mergeCell ref="ED306:ED309"/>
    <mergeCell ref="EF306:EF309"/>
    <mergeCell ref="EG306:EG309"/>
    <mergeCell ref="EH306:EH309"/>
    <mergeCell ref="EI306:EI309"/>
    <mergeCell ref="CU306:CU307"/>
    <mergeCell ref="CV306:CV307"/>
    <mergeCell ref="E302:F302"/>
    <mergeCell ref="G302:L302"/>
    <mergeCell ref="P302:Q302"/>
    <mergeCell ref="U303:AE303"/>
    <mergeCell ref="CU308:CU309"/>
    <mergeCell ref="DR308:DR309"/>
    <mergeCell ref="DT308:DT309"/>
    <mergeCell ref="B301:B304"/>
    <mergeCell ref="C301:D304"/>
    <mergeCell ref="E301:F301"/>
    <mergeCell ref="G301:R301"/>
    <mergeCell ref="S301:S302"/>
    <mergeCell ref="U301:AA301"/>
    <mergeCell ref="AG301:AL301"/>
    <mergeCell ref="AM301:AM302"/>
    <mergeCell ref="AN301:AN302"/>
    <mergeCell ref="AO301:AO302"/>
    <mergeCell ref="AP301:AQ304"/>
    <mergeCell ref="AR301:AT304"/>
    <mergeCell ref="AU301:AU304"/>
    <mergeCell ref="AV301:AV304"/>
    <mergeCell ref="AW301:AW304"/>
    <mergeCell ref="E303:F303"/>
    <mergeCell ref="G303:L303"/>
    <mergeCell ref="P303:Q303"/>
    <mergeCell ref="S303:S304"/>
    <mergeCell ref="FA303:FA304"/>
    <mergeCell ref="FB303:FB304"/>
    <mergeCell ref="CW308:CW309"/>
    <mergeCell ref="CX308:CX309"/>
    <mergeCell ref="CY308:CY309"/>
    <mergeCell ref="EC301:EC304"/>
    <mergeCell ref="ED301:ED304"/>
    <mergeCell ref="EF301:EF304"/>
    <mergeCell ref="EG301:EG304"/>
    <mergeCell ref="EH301:EH304"/>
    <mergeCell ref="EI301:EI304"/>
    <mergeCell ref="EJ301:EJ304"/>
    <mergeCell ref="EK301:EK304"/>
    <mergeCell ref="EL301:EL304"/>
    <mergeCell ref="EM301:EM304"/>
    <mergeCell ref="EN301:EN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DJ306:DJ307"/>
    <mergeCell ref="DK306:DK309"/>
    <mergeCell ref="DM306:DM307"/>
    <mergeCell ref="CZ308:CZ309"/>
    <mergeCell ref="AG307:AK307"/>
    <mergeCell ref="AO308:AO309"/>
    <mergeCell ref="CR308:CR309"/>
    <mergeCell ref="CS308:CS309"/>
    <mergeCell ref="E309:F309"/>
    <mergeCell ref="G309:L309"/>
    <mergeCell ref="P309:R309"/>
    <mergeCell ref="U309:AA309"/>
    <mergeCell ref="FH296:FH299"/>
    <mergeCell ref="FL296:FL297"/>
    <mergeCell ref="FM296:FM297"/>
    <mergeCell ref="FN296:FN297"/>
    <mergeCell ref="IG301:IG302"/>
    <mergeCell ref="IM303:IM304"/>
    <mergeCell ref="CU303:CU304"/>
    <mergeCell ref="CV303:CV304"/>
    <mergeCell ref="CW303:CW304"/>
    <mergeCell ref="CX303:CX304"/>
    <mergeCell ref="CY303:CY304"/>
    <mergeCell ref="CZ303:CZ304"/>
    <mergeCell ref="IH301:IH304"/>
    <mergeCell ref="IK301:IK302"/>
    <mergeCell ref="IL301:IL304"/>
    <mergeCell ref="IM301:IM302"/>
    <mergeCell ref="FM301:FM302"/>
    <mergeCell ref="FN301:FN302"/>
    <mergeCell ref="FO301:FO302"/>
    <mergeCell ref="FQ301:FQ302"/>
    <mergeCell ref="FS301:FS302"/>
    <mergeCell ref="FT301:FT302"/>
    <mergeCell ref="EX303:EX304"/>
    <mergeCell ref="EY303:EY304"/>
    <mergeCell ref="DO301:DO304"/>
    <mergeCell ref="DQ301:DQ304"/>
    <mergeCell ref="DR301:DR302"/>
    <mergeCell ref="DS301:DS304"/>
    <mergeCell ref="DT301:DT302"/>
    <mergeCell ref="DU301:DU304"/>
    <mergeCell ref="DV301:DV304"/>
    <mergeCell ref="DX301:DX304"/>
    <mergeCell ref="DY301:DY302"/>
    <mergeCell ref="DZ301:DZ304"/>
    <mergeCell ref="EA301:EA304"/>
    <mergeCell ref="FE303:FE304"/>
    <mergeCell ref="FL303:FL304"/>
    <mergeCell ref="FM303:FM304"/>
    <mergeCell ref="FN303:FN304"/>
    <mergeCell ref="FO303:FO304"/>
    <mergeCell ref="IG303:IG304"/>
    <mergeCell ref="EV301:EV304"/>
    <mergeCell ref="EX301:EX302"/>
    <mergeCell ref="EY301:EY302"/>
    <mergeCell ref="EZ301:EZ302"/>
    <mergeCell ref="FA301:FA302"/>
    <mergeCell ref="FB301:FB302"/>
    <mergeCell ref="FC301:FC304"/>
    <mergeCell ref="FE301:FE302"/>
    <mergeCell ref="FG301:FG304"/>
    <mergeCell ref="FH301:FH304"/>
    <mergeCell ref="FL301:FL302"/>
    <mergeCell ref="HO302:HO303"/>
    <mergeCell ref="HP302:HP303"/>
    <mergeCell ref="HQ302:HQ303"/>
    <mergeCell ref="HR302:HR303"/>
    <mergeCell ref="HS302:HS303"/>
    <mergeCell ref="HT302:HT303"/>
    <mergeCell ref="HU302:HU303"/>
    <mergeCell ref="HV302:HV303"/>
    <mergeCell ref="HW302:HW303"/>
    <mergeCell ref="HX302:HX303"/>
    <mergeCell ref="EQ296:EQ299"/>
    <mergeCell ref="ES296:ES299"/>
    <mergeCell ref="ET296:ET299"/>
    <mergeCell ref="DR298:DR299"/>
    <mergeCell ref="DT298:DT299"/>
    <mergeCell ref="DY298:DY299"/>
    <mergeCell ref="FU298:FU299"/>
    <mergeCell ref="FV298:FV299"/>
    <mergeCell ref="FW298:FW299"/>
    <mergeCell ref="FX298:FX299"/>
    <mergeCell ref="FQ303:FQ304"/>
    <mergeCell ref="FS303:FS304"/>
    <mergeCell ref="FT303:FT304"/>
    <mergeCell ref="EV296:EV299"/>
    <mergeCell ref="EX296:EX297"/>
    <mergeCell ref="EY296:EY297"/>
    <mergeCell ref="EZ296:EZ297"/>
    <mergeCell ref="EX298:EX299"/>
    <mergeCell ref="EY298:EY299"/>
    <mergeCell ref="EZ298:EZ299"/>
    <mergeCell ref="B306:B309"/>
    <mergeCell ref="IC296:IC297"/>
    <mergeCell ref="IF296:IF299"/>
    <mergeCell ref="IG296:IG297"/>
    <mergeCell ref="IH296:IH299"/>
    <mergeCell ref="IK296:IK297"/>
    <mergeCell ref="IL296:IL299"/>
    <mergeCell ref="IM296:IM297"/>
    <mergeCell ref="IC298:IC299"/>
    <mergeCell ref="IG298:IG299"/>
    <mergeCell ref="IK298:IK299"/>
    <mergeCell ref="IM298:IM299"/>
    <mergeCell ref="FA296:FA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N303:DN304"/>
    <mergeCell ref="DR303:DR304"/>
    <mergeCell ref="DT303:DT304"/>
    <mergeCell ref="DY303:DY304"/>
    <mergeCell ref="IK303:IK304"/>
    <mergeCell ref="B296:B299"/>
    <mergeCell ref="C296:D299"/>
    <mergeCell ref="E296:F296"/>
    <mergeCell ref="DR296:DR297"/>
    <mergeCell ref="FG296:FG299"/>
    <mergeCell ref="DT296:DT297"/>
    <mergeCell ref="DU296:DU299"/>
    <mergeCell ref="DV296:DV299"/>
    <mergeCell ref="DX296:DX299"/>
    <mergeCell ref="P298:Q298"/>
    <mergeCell ref="S298:S299"/>
    <mergeCell ref="AG298:AL298"/>
    <mergeCell ref="AM298:AM299"/>
    <mergeCell ref="AN298:AN299"/>
    <mergeCell ref="AO298:AO299"/>
    <mergeCell ref="E297:F297"/>
    <mergeCell ref="G297:L297"/>
    <mergeCell ref="P297:Q297"/>
    <mergeCell ref="E298:F298"/>
    <mergeCell ref="G298:L298"/>
    <mergeCell ref="DK296:DK299"/>
    <mergeCell ref="DY296:DY297"/>
    <mergeCell ref="DG298:DG299"/>
    <mergeCell ref="DH298:DH299"/>
    <mergeCell ref="DI298:DI299"/>
    <mergeCell ref="DJ298:DJ299"/>
    <mergeCell ref="CR298:CR299"/>
    <mergeCell ref="CS298:CS299"/>
    <mergeCell ref="CU298:CU299"/>
    <mergeCell ref="CV298:CV299"/>
    <mergeCell ref="CW298:CW299"/>
    <mergeCell ref="HZ302:HZ303"/>
    <mergeCell ref="ID302:ID303"/>
    <mergeCell ref="FU303:FU304"/>
    <mergeCell ref="FV303:FV304"/>
    <mergeCell ref="FW303:FW304"/>
    <mergeCell ref="FX303:FX304"/>
    <mergeCell ref="IC303:IC304"/>
    <mergeCell ref="DZ296:DZ299"/>
    <mergeCell ref="EA296:EA299"/>
    <mergeCell ref="EC296:EC299"/>
    <mergeCell ref="ED296:ED299"/>
    <mergeCell ref="EF296:EF299"/>
    <mergeCell ref="EG296:EG299"/>
    <mergeCell ref="DN298:DN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H296:EH299"/>
    <mergeCell ref="EI296:EI299"/>
    <mergeCell ref="EJ296:EJ299"/>
    <mergeCell ref="EK296:EK299"/>
    <mergeCell ref="EL296:EL299"/>
    <mergeCell ref="EM296:EM299"/>
    <mergeCell ref="EN296:EN299"/>
    <mergeCell ref="EO296:EO299"/>
    <mergeCell ref="EP296:EP299"/>
    <mergeCell ref="CX298:CX299"/>
    <mergeCell ref="ER296:ER299"/>
    <mergeCell ref="CY298:CY299"/>
    <mergeCell ref="E295:AW295"/>
    <mergeCell ref="IH291:IH294"/>
    <mergeCell ref="FA293:FA294"/>
    <mergeCell ref="AM293:AM294"/>
    <mergeCell ref="AN293:AN294"/>
    <mergeCell ref="AO293:AO294"/>
    <mergeCell ref="CR293:CR294"/>
    <mergeCell ref="CS293:CS294"/>
    <mergeCell ref="CU293:CU294"/>
    <mergeCell ref="CV293:CV294"/>
    <mergeCell ref="CW293:CW294"/>
    <mergeCell ref="CX293:CX294"/>
    <mergeCell ref="CY293:CY294"/>
    <mergeCell ref="GP292:GP293"/>
    <mergeCell ref="GQ292:GQ293"/>
    <mergeCell ref="FO296:FO297"/>
    <mergeCell ref="FQ296:FQ297"/>
    <mergeCell ref="FS296:FS297"/>
    <mergeCell ref="FT296:FT297"/>
    <mergeCell ref="FU296:FU297"/>
    <mergeCell ref="FV296:FV297"/>
    <mergeCell ref="FW296:FW297"/>
    <mergeCell ref="FX296:FX297"/>
    <mergeCell ref="FA298:FA299"/>
    <mergeCell ref="FB298:FB299"/>
    <mergeCell ref="FE298:FE299"/>
    <mergeCell ref="FL298:FL299"/>
    <mergeCell ref="FM298:FM299"/>
    <mergeCell ref="FN298:FN299"/>
    <mergeCell ref="FO298:FO299"/>
    <mergeCell ref="FQ298:FQ299"/>
    <mergeCell ref="FS298:FS299"/>
    <mergeCell ref="FT298:FT299"/>
    <mergeCell ref="GD291:GD294"/>
    <mergeCell ref="FB293:FB294"/>
    <mergeCell ref="FE293:FE294"/>
    <mergeCell ref="FL293:FL294"/>
    <mergeCell ref="FM293:FM294"/>
    <mergeCell ref="FN293:FN294"/>
    <mergeCell ref="FO293:FO294"/>
    <mergeCell ref="FQ293:FQ294"/>
    <mergeCell ref="FS293:FS294"/>
    <mergeCell ref="FT293:FT294"/>
    <mergeCell ref="AY296:AY299"/>
    <mergeCell ref="AZ296:AZ299"/>
    <mergeCell ref="CP296:CP299"/>
    <mergeCell ref="CQ296:CQ299"/>
    <mergeCell ref="FB296:FB297"/>
    <mergeCell ref="FC296:FC299"/>
    <mergeCell ref="FE296:FE297"/>
    <mergeCell ref="E299:F299"/>
    <mergeCell ref="G299:L299"/>
    <mergeCell ref="CR296:CR297"/>
    <mergeCell ref="CS296:CS297"/>
    <mergeCell ref="CU296:CU297"/>
    <mergeCell ref="CV296:CV297"/>
    <mergeCell ref="CW296:CW297"/>
    <mergeCell ref="CX296:CX297"/>
    <mergeCell ref="AG297:AK297"/>
    <mergeCell ref="DM296:DM297"/>
    <mergeCell ref="DO296:DO299"/>
    <mergeCell ref="DQ296:DQ299"/>
    <mergeCell ref="DS296:DS299"/>
    <mergeCell ref="GM292:GM293"/>
    <mergeCell ref="EA291:EA294"/>
    <mergeCell ref="EC291:EC294"/>
    <mergeCell ref="ED291:ED294"/>
    <mergeCell ref="EF291:EF294"/>
    <mergeCell ref="EG291:EG294"/>
    <mergeCell ref="EH291:EH294"/>
    <mergeCell ref="EI291:EI294"/>
    <mergeCell ref="CU291:CU292"/>
    <mergeCell ref="CV291:CV292"/>
    <mergeCell ref="CW291:CW292"/>
    <mergeCell ref="CX291:CX292"/>
    <mergeCell ref="CY291:CY292"/>
    <mergeCell ref="CZ291:CZ292"/>
    <mergeCell ref="DA291:DA294"/>
    <mergeCell ref="DB291:DB294"/>
    <mergeCell ref="DC291:DC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IC293:IC294"/>
    <mergeCell ref="IG293:IG294"/>
    <mergeCell ref="IK293:IK294"/>
    <mergeCell ref="EY293:EY294"/>
    <mergeCell ref="EZ293:EZ294"/>
    <mergeCell ref="HO292:HO293"/>
    <mergeCell ref="HP292:HP293"/>
    <mergeCell ref="HQ292:HQ293"/>
    <mergeCell ref="HR292:HR293"/>
    <mergeCell ref="HS292:HS293"/>
    <mergeCell ref="HT292:HT293"/>
    <mergeCell ref="HU292:HU293"/>
    <mergeCell ref="HV292:HV293"/>
    <mergeCell ref="HW292:HW293"/>
    <mergeCell ref="HX292:HX293"/>
    <mergeCell ref="HY292:HY293"/>
    <mergeCell ref="HZ292:HZ293"/>
    <mergeCell ref="ID292:ID293"/>
    <mergeCell ref="DR293:DR294"/>
    <mergeCell ref="DT293:DT294"/>
    <mergeCell ref="DY293:DY294"/>
    <mergeCell ref="EX293:EX294"/>
    <mergeCell ref="GC291:GC294"/>
    <mergeCell ref="EP291:EP294"/>
    <mergeCell ref="EQ291:EQ294"/>
    <mergeCell ref="ER291:ER294"/>
    <mergeCell ref="ES291:ES294"/>
    <mergeCell ref="EV291:EV294"/>
    <mergeCell ref="EX291:EX292"/>
    <mergeCell ref="FC291:FC294"/>
    <mergeCell ref="FE291:FE292"/>
    <mergeCell ref="FG291:FG294"/>
    <mergeCell ref="FH291:FH294"/>
    <mergeCell ref="FL291:FL292"/>
    <mergeCell ref="E293:F293"/>
    <mergeCell ref="G293:L293"/>
    <mergeCell ref="ET291:ET294"/>
    <mergeCell ref="EY291:EY292"/>
    <mergeCell ref="EZ291:EZ292"/>
    <mergeCell ref="FA291:FA292"/>
    <mergeCell ref="FB291:FB292"/>
    <mergeCell ref="DO291:DO294"/>
    <mergeCell ref="DQ291:DQ294"/>
    <mergeCell ref="DR291:DR292"/>
    <mergeCell ref="DS291:DS294"/>
    <mergeCell ref="DT291:DT292"/>
    <mergeCell ref="DU291:DU294"/>
    <mergeCell ref="DV291:DV294"/>
    <mergeCell ref="DX291:DX294"/>
    <mergeCell ref="DY291:DY292"/>
    <mergeCell ref="DZ291:DZ294"/>
    <mergeCell ref="P293:Q293"/>
    <mergeCell ref="S293:S294"/>
    <mergeCell ref="AG293:AL293"/>
    <mergeCell ref="DF288:DF289"/>
    <mergeCell ref="P294:R294"/>
    <mergeCell ref="U294:AA294"/>
    <mergeCell ref="AG294:AL294"/>
    <mergeCell ref="P292:Q292"/>
    <mergeCell ref="ED286:ED289"/>
    <mergeCell ref="EF286:EF289"/>
    <mergeCell ref="EG286:EG289"/>
    <mergeCell ref="EH286:EH289"/>
    <mergeCell ref="EI286:EI289"/>
    <mergeCell ref="EV286:EV289"/>
    <mergeCell ref="EZ286:EZ287"/>
    <mergeCell ref="FA286:FA287"/>
    <mergeCell ref="FB286:FB287"/>
    <mergeCell ref="EJ291:EJ294"/>
    <mergeCell ref="EK291:EK294"/>
    <mergeCell ref="EL291:EL294"/>
    <mergeCell ref="EM291:EM294"/>
    <mergeCell ref="EN291:EN294"/>
    <mergeCell ref="EO291:EO294"/>
    <mergeCell ref="AG292:AK292"/>
    <mergeCell ref="DN293:DN294"/>
    <mergeCell ref="FB288:FB289"/>
    <mergeCell ref="CZ288:CZ289"/>
    <mergeCell ref="DG288:DG289"/>
    <mergeCell ref="DH288:DH289"/>
    <mergeCell ref="DI288:DI289"/>
    <mergeCell ref="DJ288:DJ289"/>
    <mergeCell ref="EJ286:EJ289"/>
    <mergeCell ref="EK286:EK289"/>
    <mergeCell ref="EL286:EL289"/>
    <mergeCell ref="EM286:EM289"/>
    <mergeCell ref="EN286:EN289"/>
    <mergeCell ref="EO286:EO289"/>
    <mergeCell ref="EP286:EP289"/>
    <mergeCell ref="EQ286:EQ289"/>
    <mergeCell ref="ER286:ER289"/>
    <mergeCell ref="ES286:ES289"/>
    <mergeCell ref="EA286:EA289"/>
    <mergeCell ref="EC286:EC289"/>
    <mergeCell ref="ET286:ET289"/>
    <mergeCell ref="DT286:DT287"/>
    <mergeCell ref="DU286:DU289"/>
    <mergeCell ref="DV286:DV289"/>
    <mergeCell ref="FM291:FM292"/>
    <mergeCell ref="FN291:FN292"/>
    <mergeCell ref="FO291:FO292"/>
    <mergeCell ref="FQ291:FQ292"/>
    <mergeCell ref="FS291:FS292"/>
    <mergeCell ref="FT291:FT292"/>
    <mergeCell ref="FU291:FU292"/>
    <mergeCell ref="FV291:FV292"/>
    <mergeCell ref="FW291:FW292"/>
    <mergeCell ref="FX291:FX292"/>
    <mergeCell ref="GA291:GA294"/>
    <mergeCell ref="GB291:GB294"/>
    <mergeCell ref="FU293:FU294"/>
    <mergeCell ref="FV293:FV294"/>
    <mergeCell ref="FW293:FW294"/>
    <mergeCell ref="FX293:FX294"/>
    <mergeCell ref="GE291:GE294"/>
    <mergeCell ref="GF291:GF294"/>
    <mergeCell ref="GG291:GG294"/>
    <mergeCell ref="GH291:GH294"/>
    <mergeCell ref="GK291:GK294"/>
    <mergeCell ref="IB291:IB293"/>
    <mergeCell ref="IC291:IC292"/>
    <mergeCell ref="IF291:IF294"/>
    <mergeCell ref="IG291:IG292"/>
    <mergeCell ref="EY288:EY289"/>
    <mergeCell ref="EZ288:EZ289"/>
    <mergeCell ref="FA288:FA289"/>
    <mergeCell ref="GN292:GN293"/>
    <mergeCell ref="IF286:IF289"/>
    <mergeCell ref="IG286:IG287"/>
    <mergeCell ref="HZ287:HZ288"/>
    <mergeCell ref="ID287:ID288"/>
    <mergeCell ref="IC286:IC287"/>
    <mergeCell ref="FX288:FX289"/>
    <mergeCell ref="IC288:IC289"/>
    <mergeCell ref="IG288:IG289"/>
    <mergeCell ref="EY286:EY287"/>
    <mergeCell ref="FC286:FC289"/>
    <mergeCell ref="FE286:FE287"/>
    <mergeCell ref="GM287:GM288"/>
    <mergeCell ref="GN287:GN288"/>
    <mergeCell ref="FG286:FG289"/>
    <mergeCell ref="FH286:FH289"/>
    <mergeCell ref="FL286:FL287"/>
    <mergeCell ref="FP286:FP287"/>
    <mergeCell ref="FU288:FU289"/>
    <mergeCell ref="FV288:FV289"/>
    <mergeCell ref="FN288:FN289"/>
    <mergeCell ref="FW288:FW289"/>
    <mergeCell ref="FO288:FO289"/>
    <mergeCell ref="FQ288:FQ289"/>
    <mergeCell ref="FS288:FS289"/>
    <mergeCell ref="FT288:FT289"/>
    <mergeCell ref="FM286:FM287"/>
    <mergeCell ref="FN286:FN287"/>
    <mergeCell ref="FO286:FO287"/>
    <mergeCell ref="FQ286:FQ287"/>
    <mergeCell ref="FS286:FS287"/>
    <mergeCell ref="FT286:FT287"/>
    <mergeCell ref="HN292:HN293"/>
    <mergeCell ref="FU286:FU287"/>
    <mergeCell ref="FV286:FV287"/>
    <mergeCell ref="B291:B294"/>
    <mergeCell ref="C291:D294"/>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DZ286:DZ289"/>
    <mergeCell ref="DN288:DN289"/>
    <mergeCell ref="DR288:DR289"/>
    <mergeCell ref="DT288:DT289"/>
    <mergeCell ref="B286:B289"/>
    <mergeCell ref="C286:D289"/>
    <mergeCell ref="AN286:AN287"/>
    <mergeCell ref="E287:F287"/>
    <mergeCell ref="G287:L287"/>
    <mergeCell ref="P287:Q287"/>
    <mergeCell ref="DX286:DX289"/>
    <mergeCell ref="DY286:DY287"/>
    <mergeCell ref="AO286:AO287"/>
    <mergeCell ref="AP286:AQ289"/>
    <mergeCell ref="AR286:AT289"/>
    <mergeCell ref="AU286:AU289"/>
    <mergeCell ref="AV286:AV289"/>
    <mergeCell ref="AW286:AW289"/>
    <mergeCell ref="E288:F288"/>
    <mergeCell ref="G288:L288"/>
    <mergeCell ref="P288:Q288"/>
    <mergeCell ref="S288:S289"/>
    <mergeCell ref="DG286:DG287"/>
    <mergeCell ref="DH286:DH287"/>
    <mergeCell ref="DI286:DI287"/>
    <mergeCell ref="DJ286:DJ287"/>
    <mergeCell ref="DK286:DK289"/>
    <mergeCell ref="DM286:DM287"/>
    <mergeCell ref="DO286:DO289"/>
    <mergeCell ref="DQ286:DQ289"/>
    <mergeCell ref="DR286:DR287"/>
    <mergeCell ref="DS286:DS289"/>
    <mergeCell ref="EX286:EX287"/>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AG287:AK287"/>
    <mergeCell ref="U282:AD282"/>
    <mergeCell ref="U287:AD287"/>
    <mergeCell ref="G289:L289"/>
    <mergeCell ref="P289:R289"/>
    <mergeCell ref="U289:AA289"/>
    <mergeCell ref="AG289:AL289"/>
    <mergeCell ref="ET281:ET284"/>
    <mergeCell ref="EV281:EV284"/>
    <mergeCell ref="EX281:EX282"/>
    <mergeCell ref="EY281:EY282"/>
    <mergeCell ref="EZ281:EZ282"/>
    <mergeCell ref="EX283:EX284"/>
    <mergeCell ref="EY283:EY284"/>
    <mergeCell ref="EZ283:EZ284"/>
    <mergeCell ref="EX288:EX289"/>
    <mergeCell ref="FT281:FT282"/>
    <mergeCell ref="FU281:FU282"/>
    <mergeCell ref="FV281:FV282"/>
    <mergeCell ref="CR281:CR282"/>
    <mergeCell ref="DQ281:DQ284"/>
    <mergeCell ref="DR281:DR282"/>
    <mergeCell ref="DY281:DY282"/>
    <mergeCell ref="DZ281:DZ284"/>
    <mergeCell ref="EA281:EA284"/>
    <mergeCell ref="EC281:EC284"/>
    <mergeCell ref="ED281:ED284"/>
    <mergeCell ref="EF281:EF284"/>
    <mergeCell ref="EG281:EG284"/>
    <mergeCell ref="DN283:DN284"/>
    <mergeCell ref="DR283:DR284"/>
    <mergeCell ref="DT283:DT284"/>
    <mergeCell ref="DY283:DY284"/>
    <mergeCell ref="CS281:CS282"/>
    <mergeCell ref="CU281:CU282"/>
    <mergeCell ref="CV281:CV282"/>
    <mergeCell ref="CW281:CW282"/>
    <mergeCell ref="CZ283:CZ284"/>
    <mergeCell ref="DF283:DF284"/>
    <mergeCell ref="DG283:DG284"/>
    <mergeCell ref="DH283:DH284"/>
    <mergeCell ref="FS283:FS284"/>
    <mergeCell ref="FT283:FT284"/>
    <mergeCell ref="FU283:FU284"/>
    <mergeCell ref="FV283:FV284"/>
    <mergeCell ref="FW283:FW284"/>
    <mergeCell ref="FX283:FX284"/>
    <mergeCell ref="EH281:EH284"/>
    <mergeCell ref="EI281:EI284"/>
    <mergeCell ref="EJ281:EJ284"/>
    <mergeCell ref="EK281:EK284"/>
    <mergeCell ref="EL281:EL284"/>
    <mergeCell ref="EM281:EM284"/>
    <mergeCell ref="EN281:EN284"/>
    <mergeCell ref="EO281:EO284"/>
    <mergeCell ref="EP281:EP284"/>
    <mergeCell ref="EQ281:EQ284"/>
    <mergeCell ref="ER281:ER284"/>
    <mergeCell ref="ES281:ES284"/>
    <mergeCell ref="FW281:FW282"/>
    <mergeCell ref="DO281:DO284"/>
    <mergeCell ref="FY283:FY284"/>
    <mergeCell ref="IF276:IF279"/>
    <mergeCell ref="GD276:GD279"/>
    <mergeCell ref="HP282:HP283"/>
    <mergeCell ref="HQ282:HQ283"/>
    <mergeCell ref="CX276:CX277"/>
    <mergeCell ref="CY276:CY277"/>
    <mergeCell ref="CZ276:CZ277"/>
    <mergeCell ref="DD276:DD279"/>
    <mergeCell ref="DF276:DF277"/>
    <mergeCell ref="DG276:DG277"/>
    <mergeCell ref="DK276:DK279"/>
    <mergeCell ref="DM276:DM277"/>
    <mergeCell ref="CZ278:CZ279"/>
    <mergeCell ref="FA281:FA282"/>
    <mergeCell ref="FB281:FB282"/>
    <mergeCell ref="FC281:FC284"/>
    <mergeCell ref="DI278:DI279"/>
    <mergeCell ref="DJ278:DJ279"/>
    <mergeCell ref="DT276:DT277"/>
    <mergeCell ref="HZ282:HZ283"/>
    <mergeCell ref="FE281:FE282"/>
    <mergeCell ref="FG281:FG284"/>
    <mergeCell ref="FH281:FH284"/>
    <mergeCell ref="FL281:FL282"/>
    <mergeCell ref="FM281:FM282"/>
    <mergeCell ref="FN281:FN282"/>
    <mergeCell ref="FO281:FO282"/>
    <mergeCell ref="FQ281:FQ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E288:FE289"/>
    <mergeCell ref="FL288:FL289"/>
    <mergeCell ref="FM288:FM289"/>
    <mergeCell ref="DY288:DY289"/>
    <mergeCell ref="FA283:FA284"/>
    <mergeCell ref="FB283:FB284"/>
    <mergeCell ref="FE283:FE284"/>
    <mergeCell ref="FL283:FL284"/>
    <mergeCell ref="FM283:FM284"/>
    <mergeCell ref="FN283:FN284"/>
    <mergeCell ref="FO283:FO284"/>
    <mergeCell ref="FQ283:FQ284"/>
    <mergeCell ref="DS281:DS284"/>
    <mergeCell ref="DT281:DT282"/>
    <mergeCell ref="DU281:DU284"/>
    <mergeCell ref="IG278:IG279"/>
    <mergeCell ref="DZ276:DZ279"/>
    <mergeCell ref="EA276:EA279"/>
    <mergeCell ref="EC276:EC279"/>
    <mergeCell ref="ED276:ED279"/>
    <mergeCell ref="EF276:EF279"/>
    <mergeCell ref="EG276:EG279"/>
    <mergeCell ref="EH276:EH279"/>
    <mergeCell ref="EI276:EI279"/>
    <mergeCell ref="FS278:FS279"/>
    <mergeCell ref="FT278:FT279"/>
    <mergeCell ref="HO277:HO278"/>
    <mergeCell ref="HP277:HP278"/>
    <mergeCell ref="HQ277:HQ278"/>
    <mergeCell ref="HR277:HR278"/>
    <mergeCell ref="HS277:HS278"/>
    <mergeCell ref="HT277:HT278"/>
    <mergeCell ref="HU277:HU278"/>
    <mergeCell ref="HV277:HV278"/>
    <mergeCell ref="HW277:HW278"/>
    <mergeCell ref="HX277:HX278"/>
    <mergeCell ref="HY277:HY278"/>
    <mergeCell ref="ET276:ET279"/>
    <mergeCell ref="EV276:EV279"/>
    <mergeCell ref="EX276:EX277"/>
    <mergeCell ref="EY276:EY277"/>
    <mergeCell ref="EZ276:EZ277"/>
    <mergeCell ref="FA276:FA277"/>
    <mergeCell ref="FB276:FB277"/>
    <mergeCell ref="DO276:DO279"/>
    <mergeCell ref="DQ276:DQ279"/>
    <mergeCell ref="DR276:DR277"/>
    <mergeCell ref="GC276:GC279"/>
    <mergeCell ref="FP276:FP277"/>
    <mergeCell ref="DS276:DS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Y281:AY284"/>
    <mergeCell ref="AZ281:AZ284"/>
    <mergeCell ref="CP281:CP284"/>
    <mergeCell ref="CQ281:CQ284"/>
    <mergeCell ref="DN278:DN279"/>
    <mergeCell ref="DR278:DR279"/>
    <mergeCell ref="DT278:DT279"/>
    <mergeCell ref="DY278:DY279"/>
    <mergeCell ref="EX278:EX279"/>
    <mergeCell ref="EY278:EY279"/>
    <mergeCell ref="EZ278:EZ279"/>
    <mergeCell ref="FA278:FA279"/>
    <mergeCell ref="FB278:FB279"/>
    <mergeCell ref="FE278:FE279"/>
    <mergeCell ref="FS281:FS282"/>
    <mergeCell ref="FM278:FM279"/>
    <mergeCell ref="FN278:FN279"/>
    <mergeCell ref="FO278:FO279"/>
    <mergeCell ref="FQ278:FQ279"/>
    <mergeCell ref="CX281:CX282"/>
    <mergeCell ref="CY281:CY282"/>
    <mergeCell ref="CZ281:CZ282"/>
    <mergeCell ref="S278:S279"/>
    <mergeCell ref="DK281:DK284"/>
    <mergeCell ref="DM281:DM282"/>
    <mergeCell ref="DA281:DA284"/>
    <mergeCell ref="DB281:DB284"/>
    <mergeCell ref="DC281:DC284"/>
    <mergeCell ref="CW278:CW279"/>
    <mergeCell ref="CX278:CX279"/>
    <mergeCell ref="DV276:DV279"/>
    <mergeCell ref="DD281:DD284"/>
    <mergeCell ref="DF281:DF282"/>
    <mergeCell ref="DG281:DG282"/>
    <mergeCell ref="DX276:DX279"/>
    <mergeCell ref="DY276:DY277"/>
    <mergeCell ref="CY278:CY279"/>
    <mergeCell ref="DH281:DH282"/>
    <mergeCell ref="DI281:DI282"/>
    <mergeCell ref="DJ281:DJ282"/>
    <mergeCell ref="DU276:DU279"/>
    <mergeCell ref="DI283:DI284"/>
    <mergeCell ref="DJ283:DJ284"/>
    <mergeCell ref="CV283:CV284"/>
    <mergeCell ref="CW283:CW284"/>
    <mergeCell ref="CX283:CX284"/>
    <mergeCell ref="CY283:CY284"/>
    <mergeCell ref="FL278:FL279"/>
    <mergeCell ref="DV281:DV284"/>
    <mergeCell ref="DX281:DX284"/>
    <mergeCell ref="E277:F277"/>
    <mergeCell ref="G277:L277"/>
    <mergeCell ref="P277:Q277"/>
    <mergeCell ref="GM277:GM278"/>
    <mergeCell ref="GN277:GN278"/>
    <mergeCell ref="GP277:GP278"/>
    <mergeCell ref="GQ277:GQ278"/>
    <mergeCell ref="HH277:HH278"/>
    <mergeCell ref="HI277:HI278"/>
    <mergeCell ref="HJ277:HJ278"/>
    <mergeCell ref="HK277:HK278"/>
    <mergeCell ref="HL277:HL278"/>
    <mergeCell ref="HM277:HM278"/>
    <mergeCell ref="HN277:HN278"/>
    <mergeCell ref="FC276:FC279"/>
    <mergeCell ref="FE276:FE277"/>
    <mergeCell ref="FG276:FG279"/>
    <mergeCell ref="FH276:FH279"/>
    <mergeCell ref="FL276:FL277"/>
    <mergeCell ref="FM276:FM277"/>
    <mergeCell ref="FN276:FN277"/>
    <mergeCell ref="FO276:FO277"/>
    <mergeCell ref="FQ276:FQ277"/>
    <mergeCell ref="FS276:FS277"/>
    <mergeCell ref="FT276:FT277"/>
    <mergeCell ref="FU276:FU277"/>
    <mergeCell ref="FV276:FV277"/>
    <mergeCell ref="FW276:FW277"/>
    <mergeCell ref="FX276:FX277"/>
    <mergeCell ref="GA276:GA279"/>
    <mergeCell ref="GB276:GB279"/>
    <mergeCell ref="FU278:FU279"/>
    <mergeCell ref="FV278:FV279"/>
    <mergeCell ref="FW278:FW279"/>
    <mergeCell ref="FX278:FX279"/>
    <mergeCell ref="EJ276:EJ279"/>
    <mergeCell ref="EK276:EK279"/>
    <mergeCell ref="EL276:EL279"/>
    <mergeCell ref="EM276:EM279"/>
    <mergeCell ref="EN276:EN279"/>
    <mergeCell ref="EO276:EO279"/>
    <mergeCell ref="EP276:EP279"/>
    <mergeCell ref="EQ276:EQ279"/>
    <mergeCell ref="ER276:ER279"/>
    <mergeCell ref="ES276:ES279"/>
    <mergeCell ref="CU276:CU277"/>
    <mergeCell ref="CV276:CV277"/>
    <mergeCell ref="CW276:CW277"/>
    <mergeCell ref="DA276:DA279"/>
    <mergeCell ref="DB276:DB279"/>
    <mergeCell ref="DC276:DC279"/>
    <mergeCell ref="DH276:DH277"/>
    <mergeCell ref="DI276:DI277"/>
    <mergeCell ref="DJ276:DJ277"/>
    <mergeCell ref="DF278:DF279"/>
    <mergeCell ref="DG278:DG279"/>
    <mergeCell ref="DH278:DH279"/>
    <mergeCell ref="E279:F279"/>
    <mergeCell ref="G279:L279"/>
    <mergeCell ref="P279:R279"/>
    <mergeCell ref="U279:AA279"/>
    <mergeCell ref="AG279:AL279"/>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AG273:AL273"/>
    <mergeCell ref="AM273:AM274"/>
    <mergeCell ref="AN273:AN274"/>
    <mergeCell ref="AO273:AO274"/>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U277:AD277"/>
    <mergeCell ref="E274:F274"/>
    <mergeCell ref="G274:L274"/>
    <mergeCell ref="U273:AE273"/>
    <mergeCell ref="E278:F278"/>
    <mergeCell ref="G278:L278"/>
    <mergeCell ref="P278:Q278"/>
    <mergeCell ref="CW273:CW274"/>
    <mergeCell ref="CX273:CX274"/>
    <mergeCell ref="CY273:CY274"/>
    <mergeCell ref="CZ273:CZ274"/>
    <mergeCell ref="E271:F271"/>
    <mergeCell ref="EP271:EP274"/>
    <mergeCell ref="EQ271:EQ274"/>
    <mergeCell ref="ER271:ER274"/>
    <mergeCell ref="ES271:ES274"/>
    <mergeCell ref="ET271:ET274"/>
    <mergeCell ref="FE271:FE272"/>
    <mergeCell ref="FG271:FG274"/>
    <mergeCell ref="FH271:FH274"/>
    <mergeCell ref="FL271:FL272"/>
    <mergeCell ref="EK266:EK269"/>
    <mergeCell ref="EL266:EL269"/>
    <mergeCell ref="EM266:EM269"/>
    <mergeCell ref="EH266:EH269"/>
    <mergeCell ref="EI266:EI269"/>
    <mergeCell ref="EJ266:EJ269"/>
    <mergeCell ref="DG271:DG272"/>
    <mergeCell ref="DH271:DH272"/>
    <mergeCell ref="DI271:DI272"/>
    <mergeCell ref="DJ271:DJ272"/>
    <mergeCell ref="DK271:DK274"/>
    <mergeCell ref="DM271:DM272"/>
    <mergeCell ref="DO271:DO274"/>
    <mergeCell ref="DQ271:DQ274"/>
    <mergeCell ref="DR271:DR272"/>
    <mergeCell ref="DS271:DS274"/>
    <mergeCell ref="DT271:DT272"/>
    <mergeCell ref="DU271:DU274"/>
    <mergeCell ref="DV271:DV274"/>
    <mergeCell ref="DX271:DX274"/>
    <mergeCell ref="DY271:DY272"/>
    <mergeCell ref="DZ271:DZ274"/>
    <mergeCell ref="EA271:EA274"/>
    <mergeCell ref="EK271:EK274"/>
    <mergeCell ref="EL271:EL274"/>
    <mergeCell ref="EM271:EM274"/>
    <mergeCell ref="EN271:EN274"/>
    <mergeCell ref="EO271:EO274"/>
    <mergeCell ref="DQ266:DQ269"/>
    <mergeCell ref="DR266:DR267"/>
    <mergeCell ref="DS266:DS269"/>
    <mergeCell ref="DT266:DT267"/>
    <mergeCell ref="DU266:DU269"/>
    <mergeCell ref="DV266:DV269"/>
    <mergeCell ref="DX266:DX269"/>
    <mergeCell ref="AG272:AK272"/>
    <mergeCell ref="U267:AD267"/>
    <mergeCell ref="AY271:AY274"/>
    <mergeCell ref="AZ271:AZ274"/>
    <mergeCell ref="CP271:CP274"/>
    <mergeCell ref="CQ271:CQ274"/>
    <mergeCell ref="CR271:CR272"/>
    <mergeCell ref="CS271:CS272"/>
    <mergeCell ref="CU271:CU272"/>
    <mergeCell ref="CV271:CV272"/>
    <mergeCell ref="CW271:CW272"/>
    <mergeCell ref="CX271:CX272"/>
    <mergeCell ref="AN268:AN269"/>
    <mergeCell ref="AO268:AO269"/>
    <mergeCell ref="E267:F267"/>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N273:DN274"/>
    <mergeCell ref="DR273:DR274"/>
    <mergeCell ref="DT273:DT274"/>
    <mergeCell ref="DY273:DY274"/>
    <mergeCell ref="IH271:IH274"/>
    <mergeCell ref="IK271:IK272"/>
    <mergeCell ref="IL271:IL274"/>
    <mergeCell ref="FM271:FM272"/>
    <mergeCell ref="FN271:FN272"/>
    <mergeCell ref="FO271:FO272"/>
    <mergeCell ref="FQ271:FQ272"/>
    <mergeCell ref="FS271:FS272"/>
    <mergeCell ref="FT271:FT272"/>
    <mergeCell ref="EX273:EX274"/>
    <mergeCell ref="EY273:EY274"/>
    <mergeCell ref="EZ273:EZ274"/>
    <mergeCell ref="FA273:FA274"/>
    <mergeCell ref="FB273:FB274"/>
    <mergeCell ref="FE273:FE274"/>
    <mergeCell ref="FL273:FL274"/>
    <mergeCell ref="FM273:FM274"/>
    <mergeCell ref="FN273:FN274"/>
    <mergeCell ref="FO273:FO274"/>
    <mergeCell ref="FQ273:FQ274"/>
    <mergeCell ref="FS273:FS274"/>
    <mergeCell ref="FT273:FT274"/>
    <mergeCell ref="EC271:EC274"/>
    <mergeCell ref="ED271:ED274"/>
    <mergeCell ref="EF271:EF274"/>
    <mergeCell ref="EG271:EG274"/>
    <mergeCell ref="EH271:EH274"/>
    <mergeCell ref="EI271:EI274"/>
    <mergeCell ref="EJ271:EJ274"/>
    <mergeCell ref="EV271:EV274"/>
    <mergeCell ref="EX271:EX272"/>
    <mergeCell ref="EY271:EY272"/>
    <mergeCell ref="EZ271:EZ272"/>
    <mergeCell ref="FA271:FA272"/>
    <mergeCell ref="FB271:FB272"/>
    <mergeCell ref="FC271:FC274"/>
    <mergeCell ref="GM272:GM273"/>
    <mergeCell ref="GN272:GN273"/>
    <mergeCell ref="FU273:FU274"/>
    <mergeCell ref="FV273:FV274"/>
    <mergeCell ref="FW273:FW274"/>
    <mergeCell ref="FX273:FX274"/>
    <mergeCell ref="GA271:GA274"/>
    <mergeCell ref="GB271:GB274"/>
    <mergeCell ref="GC271:GC274"/>
    <mergeCell ref="GD271:GD274"/>
    <mergeCell ref="IG273:IG274"/>
    <mergeCell ref="IK273:IK274"/>
    <mergeCell ref="FA266:FA267"/>
    <mergeCell ref="GA266:GA269"/>
    <mergeCell ref="GC266:GC269"/>
    <mergeCell ref="GP272:GP273"/>
    <mergeCell ref="GQ272:GQ273"/>
    <mergeCell ref="HH272:HH273"/>
    <mergeCell ref="HI272:HI273"/>
    <mergeCell ref="HJ272:HJ273"/>
    <mergeCell ref="HK272:HK273"/>
    <mergeCell ref="HL272:HL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FU271:FU272"/>
    <mergeCell ref="FV271:FV272"/>
    <mergeCell ref="FW271:FW272"/>
    <mergeCell ref="FX271:FX272"/>
    <mergeCell ref="HZ267:HZ268"/>
    <mergeCell ref="ID267:ID268"/>
    <mergeCell ref="FP266:FP267"/>
    <mergeCell ref="GB266:GB269"/>
    <mergeCell ref="IB266:IB268"/>
    <mergeCell ref="IC266:IC267"/>
    <mergeCell ref="IC268:IC269"/>
    <mergeCell ref="FM266:FM267"/>
    <mergeCell ref="FN266:FN267"/>
    <mergeCell ref="FO266:FO267"/>
    <mergeCell ref="FQ266:FQ267"/>
    <mergeCell ref="FS266:FS267"/>
    <mergeCell ref="FT266:FT267"/>
    <mergeCell ref="FU266:FU267"/>
    <mergeCell ref="FV266:FV267"/>
    <mergeCell ref="FW266:FW267"/>
    <mergeCell ref="FX266:FX267"/>
    <mergeCell ref="FA268:FA269"/>
    <mergeCell ref="FB268:FB269"/>
    <mergeCell ref="FE268:FE269"/>
    <mergeCell ref="FL268:FL269"/>
    <mergeCell ref="FM268:FM269"/>
    <mergeCell ref="FN268:FN269"/>
    <mergeCell ref="FO268:FO269"/>
    <mergeCell ref="FQ268:FQ269"/>
    <mergeCell ref="FY271:FY272"/>
    <mergeCell ref="DN263:DN264"/>
    <mergeCell ref="DR263:DR264"/>
    <mergeCell ref="DT263:DT264"/>
    <mergeCell ref="DY263:DY264"/>
    <mergeCell ref="EX263:EX264"/>
    <mergeCell ref="EY263:EY264"/>
    <mergeCell ref="EZ263:EZ264"/>
    <mergeCell ref="FS268:FS269"/>
    <mergeCell ref="FT268:FT269"/>
    <mergeCell ref="FU268:FU269"/>
    <mergeCell ref="FV268:FV269"/>
    <mergeCell ref="GM267:GM268"/>
    <mergeCell ref="GN267:GN268"/>
    <mergeCell ref="GP267:GP268"/>
    <mergeCell ref="FA263:FA264"/>
    <mergeCell ref="DB261:DB264"/>
    <mergeCell ref="GQ267:GQ268"/>
    <mergeCell ref="HH267:HH268"/>
    <mergeCell ref="EJ261:EJ264"/>
    <mergeCell ref="HI267:HI268"/>
    <mergeCell ref="HJ267:HJ268"/>
    <mergeCell ref="HK267:HK268"/>
    <mergeCell ref="HL267:HL268"/>
    <mergeCell ref="HM267:HM268"/>
    <mergeCell ref="HN267:HN268"/>
    <mergeCell ref="HO267:HO268"/>
    <mergeCell ref="HP267:HP268"/>
    <mergeCell ref="HQ267:HQ268"/>
    <mergeCell ref="HR267:HR268"/>
    <mergeCell ref="FW268:FW269"/>
    <mergeCell ref="FX268:FX269"/>
    <mergeCell ref="FB266:FB267"/>
    <mergeCell ref="FC266:FC269"/>
    <mergeCell ref="FE266:FE267"/>
    <mergeCell ref="EQ266:EQ269"/>
    <mergeCell ref="ER266:ER269"/>
    <mergeCell ref="ES266:ES269"/>
    <mergeCell ref="ET266:ET269"/>
    <mergeCell ref="EV266:EV269"/>
    <mergeCell ref="EX266:EX267"/>
    <mergeCell ref="EY266:EY267"/>
    <mergeCell ref="EZ266:EZ267"/>
    <mergeCell ref="EX268:EX269"/>
    <mergeCell ref="EY268:EY269"/>
    <mergeCell ref="EZ268:EZ269"/>
    <mergeCell ref="EV261:EV264"/>
    <mergeCell ref="EX261:EX262"/>
    <mergeCell ref="EY261:EY262"/>
    <mergeCell ref="EZ261:EZ262"/>
    <mergeCell ref="FA261:FA262"/>
    <mergeCell ref="FB261:FB262"/>
    <mergeCell ref="DO261:DO264"/>
    <mergeCell ref="DQ261:DQ264"/>
    <mergeCell ref="DR261:DR262"/>
    <mergeCell ref="DS261:DS264"/>
    <mergeCell ref="GD266:GD269"/>
    <mergeCell ref="GE266:GE269"/>
    <mergeCell ref="GF266:GF269"/>
    <mergeCell ref="GG266:GG269"/>
    <mergeCell ref="GH266:GH269"/>
    <mergeCell ref="GK266:GK269"/>
    <mergeCell ref="FG266:FG269"/>
    <mergeCell ref="FH266:FH269"/>
    <mergeCell ref="FL266:FL267"/>
    <mergeCell ref="EK261:EK264"/>
    <mergeCell ref="EL261:EL264"/>
    <mergeCell ref="EM261:EM264"/>
    <mergeCell ref="EN261:EN264"/>
    <mergeCell ref="EO261:EO264"/>
    <mergeCell ref="EP261:EP264"/>
    <mergeCell ref="EQ261:EQ264"/>
    <mergeCell ref="ER261:ER264"/>
    <mergeCell ref="ES261:ES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O266:EO269"/>
    <mergeCell ref="EP266:EP269"/>
    <mergeCell ref="E263:F263"/>
    <mergeCell ref="DM266:DM267"/>
    <mergeCell ref="DO266:DO269"/>
    <mergeCell ref="EN266:EN269"/>
    <mergeCell ref="DK266:DK269"/>
    <mergeCell ref="DY266:DY267"/>
    <mergeCell ref="DZ266:DZ269"/>
    <mergeCell ref="EA266:EA269"/>
    <mergeCell ref="EC266:EC269"/>
    <mergeCell ref="ED266:ED269"/>
    <mergeCell ref="EF266:EF269"/>
    <mergeCell ref="EG266:EG269"/>
    <mergeCell ref="DN268:DN269"/>
    <mergeCell ref="DR268:DR269"/>
    <mergeCell ref="DT268:DT269"/>
    <mergeCell ref="DY268:DY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S268:S269"/>
    <mergeCell ref="AG268:AL268"/>
    <mergeCell ref="IH256:IH259"/>
    <mergeCell ref="IK256:IK257"/>
    <mergeCell ref="IL256:IL259"/>
    <mergeCell ref="IM256:IM257"/>
    <mergeCell ref="FM256:FM257"/>
    <mergeCell ref="FN256:FN257"/>
    <mergeCell ref="FO256:FO257"/>
    <mergeCell ref="FQ256:FQ257"/>
    <mergeCell ref="FS256:FS257"/>
    <mergeCell ref="FT256:FT257"/>
    <mergeCell ref="EX258:EX259"/>
    <mergeCell ref="EY258:EY259"/>
    <mergeCell ref="EZ258:EZ259"/>
    <mergeCell ref="FA258:FA259"/>
    <mergeCell ref="FB258:FB259"/>
    <mergeCell ref="E262:F262"/>
    <mergeCell ref="G262:L262"/>
    <mergeCell ref="P262:Q262"/>
    <mergeCell ref="GM262:GM263"/>
    <mergeCell ref="GN262:GN263"/>
    <mergeCell ref="GP262:GP263"/>
    <mergeCell ref="GQ262:GQ263"/>
    <mergeCell ref="HH262:HH263"/>
    <mergeCell ref="HI262:HI263"/>
    <mergeCell ref="HJ262:HJ263"/>
    <mergeCell ref="HK262:HK263"/>
    <mergeCell ref="HL262:HL263"/>
    <mergeCell ref="HM262:HM263"/>
    <mergeCell ref="HN262:HN263"/>
    <mergeCell ref="FC261:FC264"/>
    <mergeCell ref="FE261:FE262"/>
    <mergeCell ref="FG261:FG264"/>
    <mergeCell ref="FH261:FH264"/>
    <mergeCell ref="FL261:FL262"/>
    <mergeCell ref="FM261:FM262"/>
    <mergeCell ref="FN261:FN262"/>
    <mergeCell ref="FO261:FO262"/>
    <mergeCell ref="FQ261:FQ262"/>
    <mergeCell ref="FS261:FS262"/>
    <mergeCell ref="FT261:FT262"/>
    <mergeCell ref="FU261:FU262"/>
    <mergeCell ref="FV261:FV262"/>
    <mergeCell ref="FW261:FW262"/>
    <mergeCell ref="FX261:FX262"/>
    <mergeCell ref="GA261:GA264"/>
    <mergeCell ref="GB261:GB264"/>
    <mergeCell ref="FL263:FL264"/>
    <mergeCell ref="FM263:FM264"/>
    <mergeCell ref="FN263:FN264"/>
    <mergeCell ref="FO263:FO264"/>
    <mergeCell ref="FQ263:FQ264"/>
    <mergeCell ref="FS263:FS264"/>
    <mergeCell ref="FT263:FT264"/>
    <mergeCell ref="HO262:HO263"/>
    <mergeCell ref="HP262:HP263"/>
    <mergeCell ref="HQ262:HQ263"/>
    <mergeCell ref="HR262:HR263"/>
    <mergeCell ref="FU263:FU264"/>
    <mergeCell ref="FV263:FV264"/>
    <mergeCell ref="FW263:FW264"/>
    <mergeCell ref="FX263:FX264"/>
    <mergeCell ref="FB263:FB264"/>
    <mergeCell ref="FE263:FE264"/>
    <mergeCell ref="ID262:ID263"/>
    <mergeCell ref="CY258:CY259"/>
    <mergeCell ref="CZ258:CZ259"/>
    <mergeCell ref="DI258:DI259"/>
    <mergeCell ref="DJ258:DJ259"/>
    <mergeCell ref="G263:L263"/>
    <mergeCell ref="EV256:EV259"/>
    <mergeCell ref="EX256:EX257"/>
    <mergeCell ref="EY256:EY257"/>
    <mergeCell ref="EZ256:EZ257"/>
    <mergeCell ref="FA256:FA257"/>
    <mergeCell ref="FB256:FB257"/>
    <mergeCell ref="FC256:FC259"/>
    <mergeCell ref="FE256:FE257"/>
    <mergeCell ref="FG256:FG259"/>
    <mergeCell ref="FH256:FH259"/>
    <mergeCell ref="FL256:FL257"/>
    <mergeCell ref="E259:F259"/>
    <mergeCell ref="G259:L259"/>
    <mergeCell ref="P259:R259"/>
    <mergeCell ref="U259:AA259"/>
    <mergeCell ref="AG259:AL259"/>
    <mergeCell ref="CU258:CU259"/>
    <mergeCell ref="CV258:CV259"/>
    <mergeCell ref="CW258:CW259"/>
    <mergeCell ref="CX258:CX259"/>
    <mergeCell ref="FE258:FE259"/>
    <mergeCell ref="FL258:FL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T261:ET264"/>
    <mergeCell ref="DT261:DT262"/>
    <mergeCell ref="DU261:DU264"/>
    <mergeCell ref="DV261:DV264"/>
    <mergeCell ref="DX261:DX264"/>
    <mergeCell ref="DY261:DY262"/>
    <mergeCell ref="DZ261:DZ264"/>
    <mergeCell ref="P263:Q263"/>
    <mergeCell ref="S263:S264"/>
    <mergeCell ref="AG263:AL263"/>
    <mergeCell ref="AM263:AM264"/>
    <mergeCell ref="CR263:CR264"/>
    <mergeCell ref="CS263:CS264"/>
    <mergeCell ref="CU263:CU264"/>
    <mergeCell ref="CV263:CV264"/>
    <mergeCell ref="CW263:CW264"/>
    <mergeCell ref="CX263:CX264"/>
    <mergeCell ref="CY263:CY264"/>
    <mergeCell ref="EA261:EA264"/>
    <mergeCell ref="EC261:EC264"/>
    <mergeCell ref="ED261:ED264"/>
    <mergeCell ref="EF261:EF264"/>
    <mergeCell ref="EG261:EG264"/>
    <mergeCell ref="EH261:EH264"/>
    <mergeCell ref="EI261:EI264"/>
    <mergeCell ref="FM258:FM259"/>
    <mergeCell ref="FN258:FN259"/>
    <mergeCell ref="FO258:FO259"/>
    <mergeCell ref="FQ258:FQ259"/>
    <mergeCell ref="FS258:FS259"/>
    <mergeCell ref="FT258:FT259"/>
    <mergeCell ref="EC256:EC259"/>
    <mergeCell ref="ED256:ED259"/>
    <mergeCell ref="EF256:EF259"/>
    <mergeCell ref="EG256:EG259"/>
    <mergeCell ref="EH256:EH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DG256:DG257"/>
    <mergeCell ref="DH256:DH257"/>
    <mergeCell ref="DI256:DI257"/>
    <mergeCell ref="DJ256:DJ257"/>
    <mergeCell ref="DK256:DK259"/>
    <mergeCell ref="DM256:DM257"/>
    <mergeCell ref="DO256:DO259"/>
    <mergeCell ref="DQ256:DQ259"/>
    <mergeCell ref="DR256:DR257"/>
    <mergeCell ref="DS256:DS259"/>
    <mergeCell ref="DT256:DT257"/>
    <mergeCell ref="DU256:DU259"/>
    <mergeCell ref="DV256:DV259"/>
    <mergeCell ref="DX256:DX259"/>
    <mergeCell ref="DY256:DY257"/>
    <mergeCell ref="DZ256:DZ259"/>
    <mergeCell ref="EA256:EA259"/>
    <mergeCell ref="DG258:DG259"/>
    <mergeCell ref="DH258:DH259"/>
    <mergeCell ref="DN258:DN259"/>
    <mergeCell ref="DR258:DR259"/>
    <mergeCell ref="DT258:DT259"/>
    <mergeCell ref="DY258:DY259"/>
    <mergeCell ref="FP256:FP257"/>
    <mergeCell ref="HN257:HN258"/>
    <mergeCell ref="HO257:HO258"/>
    <mergeCell ref="HP257:HP258"/>
    <mergeCell ref="HQ257:HQ258"/>
    <mergeCell ref="HR257:HR258"/>
    <mergeCell ref="HS257:HS258"/>
    <mergeCell ref="HT257:HT258"/>
    <mergeCell ref="HU257:HU258"/>
    <mergeCell ref="HV257:HV258"/>
    <mergeCell ref="HW257:HW258"/>
    <mergeCell ref="HX257:HX258"/>
    <mergeCell ref="HY257:HY258"/>
    <mergeCell ref="FU256:FU257"/>
    <mergeCell ref="FV256:FV257"/>
    <mergeCell ref="FW256:FW257"/>
    <mergeCell ref="FX256:FX257"/>
    <mergeCell ref="GA256:GA259"/>
    <mergeCell ref="GB256:GB259"/>
    <mergeCell ref="GC256:GC259"/>
    <mergeCell ref="GD256:GD259"/>
    <mergeCell ref="GE256:GE259"/>
    <mergeCell ref="GF256:GF259"/>
    <mergeCell ref="GG256:GG259"/>
    <mergeCell ref="GH256:GH259"/>
    <mergeCell ref="GK256:GK259"/>
    <mergeCell ref="FU258:FU259"/>
    <mergeCell ref="FV258:FV259"/>
    <mergeCell ref="FW258:FW259"/>
    <mergeCell ref="FX258:FX259"/>
    <mergeCell ref="GM257:GM258"/>
    <mergeCell ref="GN257:GN258"/>
    <mergeCell ref="GP257:GP258"/>
    <mergeCell ref="GQ257:GQ258"/>
    <mergeCell ref="HH257:HH258"/>
    <mergeCell ref="HI257:HI258"/>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DB251:DB254"/>
    <mergeCell ref="GH251:GH254"/>
    <mergeCell ref="GK251:GK254"/>
    <mergeCell ref="IB251:IB253"/>
    <mergeCell ref="IC251:IC252"/>
    <mergeCell ref="IC253:IC254"/>
    <mergeCell ref="FA251:FA252"/>
    <mergeCell ref="FB251:FB252"/>
    <mergeCell ref="FC251:FC254"/>
    <mergeCell ref="FE251:FE252"/>
    <mergeCell ref="FG251:FG254"/>
    <mergeCell ref="FH251:FH254"/>
    <mergeCell ref="FL251:FL252"/>
    <mergeCell ref="FM251:FM252"/>
    <mergeCell ref="FN251:FN252"/>
    <mergeCell ref="FO251:FO252"/>
    <mergeCell ref="FQ251:FQ252"/>
    <mergeCell ref="FS251:FS252"/>
    <mergeCell ref="FT251:FT252"/>
    <mergeCell ref="FU251:FU252"/>
    <mergeCell ref="FV251:FV252"/>
    <mergeCell ref="FW251:FW252"/>
    <mergeCell ref="FX251:FX252"/>
    <mergeCell ref="FA253:FA254"/>
    <mergeCell ref="FB253:FB254"/>
    <mergeCell ref="FE253:FE254"/>
    <mergeCell ref="FL253:FL254"/>
    <mergeCell ref="FM253:FM254"/>
    <mergeCell ref="FN253:FN254"/>
    <mergeCell ref="FO253:FO254"/>
    <mergeCell ref="FQ253:FQ254"/>
    <mergeCell ref="FS253:FS254"/>
    <mergeCell ref="FT253:FT254"/>
    <mergeCell ref="FU253:FU254"/>
    <mergeCell ref="FV253:FV254"/>
    <mergeCell ref="FW253:FW254"/>
    <mergeCell ref="FX253:FX254"/>
    <mergeCell ref="HY252:HY253"/>
    <mergeCell ref="HZ252:HZ253"/>
    <mergeCell ref="HM252:HM253"/>
    <mergeCell ref="HN252:HN253"/>
    <mergeCell ref="HO252:HO253"/>
    <mergeCell ref="HP252:HP253"/>
    <mergeCell ref="HQ252:HQ253"/>
    <mergeCell ref="HI252:HI253"/>
    <mergeCell ref="HJ252:HJ253"/>
    <mergeCell ref="HK252:HK253"/>
    <mergeCell ref="HL252:HL253"/>
    <mergeCell ref="GF251:GF254"/>
    <mergeCell ref="GG251:GG254"/>
    <mergeCell ref="HS252:HS253"/>
    <mergeCell ref="HR252:HR253"/>
    <mergeCell ref="GB251:GB254"/>
    <mergeCell ref="GC251:GC254"/>
    <mergeCell ref="GD251:GD254"/>
    <mergeCell ref="GE251:GE254"/>
    <mergeCell ref="GA251:GA254"/>
    <mergeCell ref="GM252:GM253"/>
    <mergeCell ref="GN252:GN253"/>
    <mergeCell ref="GP252:GP253"/>
    <mergeCell ref="GQ252:GQ253"/>
    <mergeCell ref="HH252:HH253"/>
    <mergeCell ref="FY251:FY252"/>
    <mergeCell ref="DF251:DF252"/>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H251:EH254"/>
    <mergeCell ref="EI251:EI254"/>
    <mergeCell ref="DQ243:DQ246"/>
    <mergeCell ref="DR243:DR244"/>
    <mergeCell ref="CU245:CU246"/>
    <mergeCell ref="CV245:CV246"/>
    <mergeCell ref="CW245:CW246"/>
    <mergeCell ref="CX245:CX246"/>
    <mergeCell ref="CY245:CY246"/>
    <mergeCell ref="ED251:ED254"/>
    <mergeCell ref="EF251:EF254"/>
    <mergeCell ref="EG251:EG254"/>
    <mergeCell ref="DN253:DN254"/>
    <mergeCell ref="DR253:DR254"/>
    <mergeCell ref="DT253:DT254"/>
    <mergeCell ref="DY253:DY254"/>
    <mergeCell ref="DO243:DO246"/>
    <mergeCell ref="CV251:CV252"/>
    <mergeCell ref="DY245:DY246"/>
    <mergeCell ref="DR245:DR246"/>
    <mergeCell ref="CZ251:CZ252"/>
    <mergeCell ref="DT245:DT246"/>
    <mergeCell ref="DT243:DT244"/>
    <mergeCell ref="DU243:DU246"/>
    <mergeCell ref="DV243:DV246"/>
    <mergeCell ref="DX243:DX246"/>
    <mergeCell ref="DY243:DY244"/>
    <mergeCell ref="DZ243:DZ246"/>
    <mergeCell ref="EA243:EA246"/>
    <mergeCell ref="EF243:EF246"/>
    <mergeCell ref="EG243:EG246"/>
    <mergeCell ref="EH243:EH246"/>
    <mergeCell ref="EI243:EI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C251:EC254"/>
    <mergeCell ref="DK251:DK254"/>
    <mergeCell ref="DM251:DM252"/>
    <mergeCell ref="DO251:DO254"/>
    <mergeCell ref="FY243:FY244"/>
    <mergeCell ref="EN243:EN246"/>
    <mergeCell ref="DG251:DG252"/>
    <mergeCell ref="DH251:DH252"/>
    <mergeCell ref="DI251:DI252"/>
    <mergeCell ref="DJ251:DJ252"/>
    <mergeCell ref="EJ251:EJ254"/>
    <mergeCell ref="EK251:EK254"/>
    <mergeCell ref="EL251:EL254"/>
    <mergeCell ref="EM251:EM254"/>
    <mergeCell ref="EN251:EN254"/>
    <mergeCell ref="EO251:EO254"/>
    <mergeCell ref="EP251:EP254"/>
    <mergeCell ref="EQ251:EQ254"/>
    <mergeCell ref="ER251:ER254"/>
    <mergeCell ref="ES251:ES254"/>
    <mergeCell ref="ET251:ET254"/>
    <mergeCell ref="EV251:EV254"/>
    <mergeCell ref="EX251:EX252"/>
    <mergeCell ref="EY251:EY252"/>
    <mergeCell ref="EZ251:EZ252"/>
    <mergeCell ref="EX253:EX254"/>
    <mergeCell ref="EY253:EY254"/>
    <mergeCell ref="EZ253:EZ254"/>
    <mergeCell ref="DQ251:DQ254"/>
    <mergeCell ref="DR251:DR252"/>
    <mergeCell ref="DS251:DS254"/>
    <mergeCell ref="DT251:DT252"/>
    <mergeCell ref="DU251:DU254"/>
    <mergeCell ref="DV251:DV254"/>
    <mergeCell ref="DX251:DX254"/>
    <mergeCell ref="DY251:DY252"/>
    <mergeCell ref="DZ251:DZ254"/>
    <mergeCell ref="EA251:EA254"/>
    <mergeCell ref="DQ249:DR249"/>
    <mergeCell ref="DX249:DY249"/>
    <mergeCell ref="DQ250:DR250"/>
    <mergeCell ref="DX250:DY250"/>
    <mergeCell ref="FX243:FX244"/>
    <mergeCell ref="EJ243:EJ246"/>
    <mergeCell ref="EK243:EK246"/>
    <mergeCell ref="EL243:EL246"/>
    <mergeCell ref="EM243:EM246"/>
    <mergeCell ref="EX243:EX244"/>
    <mergeCell ref="EY243:EY244"/>
    <mergeCell ref="EZ243:EZ244"/>
    <mergeCell ref="FA243:FA244"/>
    <mergeCell ref="FB243:FB244"/>
    <mergeCell ref="EC243:EC246"/>
    <mergeCell ref="ED243:ED246"/>
    <mergeCell ref="FA245:FA246"/>
    <mergeCell ref="FB245:FB246"/>
    <mergeCell ref="EX245:EX246"/>
    <mergeCell ref="FV245:FV246"/>
    <mergeCell ref="FW245:FW246"/>
    <mergeCell ref="GG243:GG246"/>
    <mergeCell ref="GH243:GH246"/>
    <mergeCell ref="GC243:GC246"/>
    <mergeCell ref="GD243:GD246"/>
    <mergeCell ref="GE243:GE246"/>
    <mergeCell ref="FM243:FM244"/>
    <mergeCell ref="GB243:GB246"/>
    <mergeCell ref="FT245:FT246"/>
    <mergeCell ref="ER243:ER246"/>
    <mergeCell ref="FU245:FU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S238:DS241"/>
    <mergeCell ref="DT238:DT239"/>
    <mergeCell ref="DU238:DU241"/>
    <mergeCell ref="DV238:DV241"/>
    <mergeCell ref="DX238:DX241"/>
    <mergeCell ref="DY238:DY239"/>
    <mergeCell ref="DZ238:DZ241"/>
    <mergeCell ref="EA238:EA241"/>
    <mergeCell ref="DH243:DH244"/>
    <mergeCell ref="DI243:DI244"/>
    <mergeCell ref="DJ243:DJ244"/>
    <mergeCell ref="DK243:DK246"/>
    <mergeCell ref="DM243:DM244"/>
    <mergeCell ref="CZ245:CZ246"/>
    <mergeCell ref="DN240:DN241"/>
    <mergeCell ref="DR240:DR241"/>
    <mergeCell ref="CX238:CX239"/>
    <mergeCell ref="CW240:CW241"/>
    <mergeCell ref="CX240:CX241"/>
    <mergeCell ref="CZ240:CZ241"/>
    <mergeCell ref="DG238:DG239"/>
    <mergeCell ref="DH238:DH239"/>
    <mergeCell ref="DN245:DN246"/>
    <mergeCell ref="FN243:FN244"/>
    <mergeCell ref="FO243:FO244"/>
    <mergeCell ref="ES243:ES246"/>
    <mergeCell ref="ET243:ET246"/>
    <mergeCell ref="EV243:EV246"/>
    <mergeCell ref="FP243:FP244"/>
    <mergeCell ref="FT243:FT244"/>
    <mergeCell ref="FU243:FU244"/>
    <mergeCell ref="FV243:FV244"/>
    <mergeCell ref="FW243:FW244"/>
    <mergeCell ref="CV243:CV244"/>
    <mergeCell ref="CW243:CW244"/>
    <mergeCell ref="CX243:CX244"/>
    <mergeCell ref="CY243:CY244"/>
    <mergeCell ref="FX245:FX246"/>
    <mergeCell ref="EP243:EP246"/>
    <mergeCell ref="EQ243:EQ246"/>
    <mergeCell ref="FE245:FE246"/>
    <mergeCell ref="DO238:DO241"/>
    <mergeCell ref="CY238:CY239"/>
    <mergeCell ref="B233:B236"/>
    <mergeCell ref="C233:D236"/>
    <mergeCell ref="E233:F233"/>
    <mergeCell ref="G233:R233"/>
    <mergeCell ref="S233:S234"/>
    <mergeCell ref="CU238:CU239"/>
    <mergeCell ref="CV238:CV239"/>
    <mergeCell ref="CW238:CW239"/>
    <mergeCell ref="EO243:EO246"/>
    <mergeCell ref="FC238:FC241"/>
    <mergeCell ref="FE238:FE239"/>
    <mergeCell ref="FG238:FG241"/>
    <mergeCell ref="FH238:FH241"/>
    <mergeCell ref="FA240:FA241"/>
    <mergeCell ref="FB240:FB241"/>
    <mergeCell ref="FE240:FE241"/>
    <mergeCell ref="FL240:FL241"/>
    <mergeCell ref="FM240:FM241"/>
    <mergeCell ref="FN240:FN241"/>
    <mergeCell ref="FO240:FO241"/>
    <mergeCell ref="FQ240:FQ241"/>
    <mergeCell ref="FS240:FS241"/>
    <mergeCell ref="FL238:FL239"/>
    <mergeCell ref="EV238:EV241"/>
    <mergeCell ref="EX238:EX239"/>
    <mergeCell ref="EY238:EY239"/>
    <mergeCell ref="EZ238:EZ239"/>
    <mergeCell ref="CY240:CY241"/>
    <mergeCell ref="EC238:EC241"/>
    <mergeCell ref="ED238:ED241"/>
    <mergeCell ref="EF238:EF241"/>
    <mergeCell ref="EG238:EG241"/>
    <mergeCell ref="FC233:FC236"/>
    <mergeCell ref="FE233:FE234"/>
    <mergeCell ref="EX240:EX241"/>
    <mergeCell ref="EY240:EY241"/>
    <mergeCell ref="EZ240:EZ241"/>
    <mergeCell ref="DB238:DB241"/>
    <mergeCell ref="DC238:DC241"/>
    <mergeCell ref="DD238:DD241"/>
    <mergeCell ref="DF238:DF239"/>
    <mergeCell ref="CU240:CU241"/>
    <mergeCell ref="CV240:CV241"/>
    <mergeCell ref="FS245:FS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T240:DT241"/>
    <mergeCell ref="DY240:DY241"/>
    <mergeCell ref="DF240:DF241"/>
    <mergeCell ref="DG240:DG241"/>
    <mergeCell ref="DH240:DH241"/>
    <mergeCell ref="DI240:DI241"/>
    <mergeCell ref="DJ240:DJ241"/>
    <mergeCell ref="DS243:DS246"/>
    <mergeCell ref="DQ238:DQ241"/>
    <mergeCell ref="DR238:DR239"/>
    <mergeCell ref="AY238:AY241"/>
    <mergeCell ref="AZ238:AZ241"/>
    <mergeCell ref="CP238:CP241"/>
    <mergeCell ref="CQ238:CQ241"/>
    <mergeCell ref="CR238:CR239"/>
    <mergeCell ref="CS238:CS239"/>
    <mergeCell ref="E244:F244"/>
    <mergeCell ref="FC243:FC246"/>
    <mergeCell ref="FE243:FE244"/>
    <mergeCell ref="FG243:FG246"/>
    <mergeCell ref="FH243:FH246"/>
    <mergeCell ref="FL243:FL244"/>
    <mergeCell ref="CS240:CS241"/>
    <mergeCell ref="DI238:DI239"/>
    <mergeCell ref="DJ238:DJ239"/>
    <mergeCell ref="DK238:DK241"/>
    <mergeCell ref="DM238:DM239"/>
    <mergeCell ref="FT240:FT241"/>
    <mergeCell ref="EH238:EH241"/>
    <mergeCell ref="EI238:EI241"/>
    <mergeCell ref="EJ238:EJ241"/>
    <mergeCell ref="EK238:EK241"/>
    <mergeCell ref="EL238:EL241"/>
    <mergeCell ref="EM238:EM241"/>
    <mergeCell ref="EN238:EN241"/>
    <mergeCell ref="EO238:EO241"/>
    <mergeCell ref="EP238:EP241"/>
    <mergeCell ref="EQ238:EQ241"/>
    <mergeCell ref="ER238:ER241"/>
    <mergeCell ref="ES238:ES241"/>
    <mergeCell ref="FQ243:FQ244"/>
    <mergeCell ref="FS243:FS244"/>
    <mergeCell ref="CZ238:CZ239"/>
    <mergeCell ref="DA238:DA241"/>
    <mergeCell ref="FA238:FA239"/>
    <mergeCell ref="FB238:FB239"/>
    <mergeCell ref="FL245:FL246"/>
    <mergeCell ref="FM245:FM246"/>
    <mergeCell ref="FN245:FN246"/>
    <mergeCell ref="FO245:FO246"/>
    <mergeCell ref="FQ245:FQ246"/>
    <mergeCell ref="ET238:ET241"/>
    <mergeCell ref="IK240:IK241"/>
    <mergeCell ref="FE235:FE236"/>
    <mergeCell ref="FU238:FU239"/>
    <mergeCell ref="FV238:FV239"/>
    <mergeCell ref="FW238:FW239"/>
    <mergeCell ref="GK233:GK236"/>
    <mergeCell ref="FP233:FP234"/>
    <mergeCell ref="FN235:FN236"/>
    <mergeCell ref="FO235:FO236"/>
    <mergeCell ref="HQ229:HQ230"/>
    <mergeCell ref="HR229:HR230"/>
    <mergeCell ref="FX235:FX236"/>
    <mergeCell ref="IC233:IC234"/>
    <mergeCell ref="HZ229:HZ230"/>
    <mergeCell ref="ID229:ID230"/>
    <mergeCell ref="IG228:IG229"/>
    <mergeCell ref="GM229:GM230"/>
    <mergeCell ref="GN229:GN230"/>
    <mergeCell ref="GP229:GP230"/>
    <mergeCell ref="GQ229:GQ230"/>
    <mergeCell ref="IH228:IH231"/>
    <mergeCell ref="IK228:IK229"/>
    <mergeCell ref="IH238:IH241"/>
    <mergeCell ref="IK238:IK239"/>
    <mergeCell ref="FM238:FM239"/>
    <mergeCell ref="FN238:FN239"/>
    <mergeCell ref="FO238:FO239"/>
    <mergeCell ref="FQ238:FQ239"/>
    <mergeCell ref="FS238:FS239"/>
    <mergeCell ref="FT238:FT239"/>
    <mergeCell ref="FL230:FL231"/>
    <mergeCell ref="FM230:FM231"/>
    <mergeCell ref="FN230:FN231"/>
    <mergeCell ref="FO230:FO231"/>
    <mergeCell ref="FQ230:FQ231"/>
    <mergeCell ref="FS230:FS231"/>
    <mergeCell ref="FT230:FT231"/>
    <mergeCell ref="HV229:HV230"/>
    <mergeCell ref="HW229:HW230"/>
    <mergeCell ref="HX229:HX230"/>
    <mergeCell ref="HK229:HK230"/>
    <mergeCell ref="HL229:HL230"/>
    <mergeCell ref="HM229:HM230"/>
    <mergeCell ref="HN229:HN230"/>
    <mergeCell ref="FV228:FV229"/>
    <mergeCell ref="FW228:FW229"/>
    <mergeCell ref="FX228:FX229"/>
    <mergeCell ref="GA228:GA231"/>
    <mergeCell ref="GB228:GB231"/>
    <mergeCell ref="FU230:FU231"/>
    <mergeCell ref="FV230:FV231"/>
    <mergeCell ref="FW230:FW231"/>
    <mergeCell ref="FX230:FX231"/>
    <mergeCell ref="IC228:IC229"/>
    <mergeCell ref="IF228:IF231"/>
    <mergeCell ref="FY235:FY236"/>
    <mergeCell ref="FX238:FX239"/>
    <mergeCell ref="GA238:GA241"/>
    <mergeCell ref="HS239:HS240"/>
    <mergeCell ref="HZ239:HZ240"/>
    <mergeCell ref="ID239:ID240"/>
    <mergeCell ref="IC240:IC241"/>
    <mergeCell ref="ES233:ES236"/>
    <mergeCell ref="ET233:ET236"/>
    <mergeCell ref="EV233:EV236"/>
    <mergeCell ref="EX233:EX234"/>
    <mergeCell ref="EY233:EY234"/>
    <mergeCell ref="EZ233:EZ234"/>
    <mergeCell ref="EX235:EX236"/>
    <mergeCell ref="EY235:EY236"/>
    <mergeCell ref="EZ235:EZ236"/>
    <mergeCell ref="FL235:FL236"/>
    <mergeCell ref="FM235:FM236"/>
    <mergeCell ref="FB233:FB234"/>
    <mergeCell ref="FU233:FU234"/>
    <mergeCell ref="FV233:FV234"/>
    <mergeCell ref="FW233:FW234"/>
    <mergeCell ref="HK239:HK240"/>
    <mergeCell ref="HL239:HL240"/>
    <mergeCell ref="FU235:FU236"/>
    <mergeCell ref="FV235:FV236"/>
    <mergeCell ref="FW235:FW236"/>
    <mergeCell ref="FQ233:FQ234"/>
    <mergeCell ref="FS233:FS234"/>
    <mergeCell ref="FT233:FT234"/>
    <mergeCell ref="ET228:ET231"/>
    <mergeCell ref="EV228:EV231"/>
    <mergeCell ref="FA228:FA229"/>
    <mergeCell ref="FB228:FB229"/>
    <mergeCell ref="HO229:HO230"/>
    <mergeCell ref="HP229:HP230"/>
    <mergeCell ref="HJ229:HJ230"/>
    <mergeCell ref="EZ230:EZ231"/>
    <mergeCell ref="HI239:HI240"/>
    <mergeCell ref="HJ239:HJ240"/>
    <mergeCell ref="FU240:FU241"/>
    <mergeCell ref="FV240:FV241"/>
    <mergeCell ref="FW240:FW241"/>
    <mergeCell ref="FX240:FX241"/>
    <mergeCell ref="FU228:FU229"/>
    <mergeCell ref="FA233:FA234"/>
    <mergeCell ref="FO228:FO229"/>
    <mergeCell ref="FQ228:FQ229"/>
    <mergeCell ref="FS228:FS229"/>
    <mergeCell ref="FT228:FT229"/>
    <mergeCell ref="CZ235:CZ236"/>
    <mergeCell ref="DF235:DF236"/>
    <mergeCell ref="DG235:DG236"/>
    <mergeCell ref="CQ228:CQ231"/>
    <mergeCell ref="DV228:DV231"/>
    <mergeCell ref="DX228:DX231"/>
    <mergeCell ref="DY228:DY229"/>
    <mergeCell ref="DT230:DT231"/>
    <mergeCell ref="DY230:DY231"/>
    <mergeCell ref="EX230:EX231"/>
    <mergeCell ref="EY230:EY231"/>
    <mergeCell ref="FG233:FG236"/>
    <mergeCell ref="FH233:FH236"/>
    <mergeCell ref="FL233:FL234"/>
    <mergeCell ref="DY233:DY234"/>
    <mergeCell ref="DZ233:DZ236"/>
    <mergeCell ref="EA233:EA236"/>
    <mergeCell ref="EC233:EC236"/>
    <mergeCell ref="ED233:ED236"/>
    <mergeCell ref="EF233:EF236"/>
    <mergeCell ref="EG233:EG236"/>
    <mergeCell ref="DT235:DT236"/>
    <mergeCell ref="DY235:DY236"/>
    <mergeCell ref="DC233:DC236"/>
    <mergeCell ref="EO233:EO236"/>
    <mergeCell ref="EP233:EP236"/>
    <mergeCell ref="EQ233:EQ236"/>
    <mergeCell ref="ER233:ER236"/>
    <mergeCell ref="DM233:DM234"/>
    <mergeCell ref="DO233:DO236"/>
    <mergeCell ref="DQ233:DQ236"/>
    <mergeCell ref="DR233:DR234"/>
    <mergeCell ref="EL233:EL236"/>
    <mergeCell ref="EM233:EM236"/>
    <mergeCell ref="EI228:EI231"/>
    <mergeCell ref="EN228:EN231"/>
    <mergeCell ref="EO228:EO231"/>
    <mergeCell ref="EP228:EP231"/>
    <mergeCell ref="ES228:ES231"/>
    <mergeCell ref="DS233:DS236"/>
    <mergeCell ref="DT233:DT234"/>
    <mergeCell ref="DU233:DU236"/>
    <mergeCell ref="DV233:DV236"/>
    <mergeCell ref="DX233:DX236"/>
    <mergeCell ref="DK233:DK236"/>
    <mergeCell ref="DN235:DN236"/>
    <mergeCell ref="DR235:DR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DJ233:DJ234"/>
    <mergeCell ref="CV235:CV236"/>
    <mergeCell ref="CW235:CW236"/>
    <mergeCell ref="CX235:CX236"/>
    <mergeCell ref="CY235:CY236"/>
    <mergeCell ref="U235:AE235"/>
    <mergeCell ref="CY230:CY231"/>
    <mergeCell ref="S230:S231"/>
    <mergeCell ref="EN233:EN236"/>
    <mergeCell ref="DS228:DS231"/>
    <mergeCell ref="DT228:DT229"/>
    <mergeCell ref="DU228:DU231"/>
    <mergeCell ref="EA228:EA231"/>
    <mergeCell ref="EC228:EC231"/>
    <mergeCell ref="DK228:DK231"/>
    <mergeCell ref="DM228:DM229"/>
    <mergeCell ref="DH230:DH231"/>
    <mergeCell ref="DI230:DI231"/>
    <mergeCell ref="DJ230:DJ231"/>
    <mergeCell ref="FQ225:FQ226"/>
    <mergeCell ref="FS225:FS226"/>
    <mergeCell ref="FT225:FT226"/>
    <mergeCell ref="EC223:EC226"/>
    <mergeCell ref="ED223:ED226"/>
    <mergeCell ref="EF223:EF226"/>
    <mergeCell ref="EQ228:EQ231"/>
    <mergeCell ref="EM228:EM231"/>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R230:DR231"/>
    <mergeCell ref="AP228:AQ231"/>
    <mergeCell ref="AR228:AT231"/>
    <mergeCell ref="AU228:AU231"/>
    <mergeCell ref="AV228:AV231"/>
    <mergeCell ref="AW228:AW231"/>
    <mergeCell ref="AY228:AY231"/>
    <mergeCell ref="AZ228:AZ231"/>
    <mergeCell ref="CP228:CP231"/>
    <mergeCell ref="FC228:FC231"/>
    <mergeCell ref="FE228:FE229"/>
    <mergeCell ref="FG228:FG231"/>
    <mergeCell ref="FH228:FH231"/>
    <mergeCell ref="FL228:FL229"/>
    <mergeCell ref="FM228:FM229"/>
    <mergeCell ref="FN228:FN229"/>
    <mergeCell ref="DO228:DO231"/>
    <mergeCell ref="DQ228:DQ231"/>
    <mergeCell ref="DR228:DR229"/>
    <mergeCell ref="EX228:EX229"/>
    <mergeCell ref="EY228:EY229"/>
    <mergeCell ref="DQ223:DQ226"/>
    <mergeCell ref="DR223:DR224"/>
    <mergeCell ref="DS223:DS226"/>
    <mergeCell ref="DT225:DT226"/>
    <mergeCell ref="DZ228:DZ231"/>
    <mergeCell ref="ED228:ED231"/>
    <mergeCell ref="EF228:EF231"/>
    <mergeCell ref="EG228:EG231"/>
    <mergeCell ref="FA230:FA231"/>
    <mergeCell ref="FB230:FB231"/>
    <mergeCell ref="FE230:FE231"/>
    <mergeCell ref="EO223:EO226"/>
    <mergeCell ref="EP223:EP226"/>
    <mergeCell ref="EQ223:EQ226"/>
    <mergeCell ref="ER223:ER226"/>
    <mergeCell ref="DY225:DY226"/>
    <mergeCell ref="DT223:DT224"/>
    <mergeCell ref="DU223:DU226"/>
    <mergeCell ref="DV223:DV226"/>
    <mergeCell ref="DX223:DX226"/>
    <mergeCell ref="EZ228:EZ229"/>
    <mergeCell ref="DO223:DO226"/>
    <mergeCell ref="DR225:DR226"/>
    <mergeCell ref="EA223:EA226"/>
    <mergeCell ref="DN225:DN226"/>
    <mergeCell ref="DN230:DN231"/>
    <mergeCell ref="DM223:DM224"/>
    <mergeCell ref="GM224:GM225"/>
    <mergeCell ref="EJ228:EJ231"/>
    <mergeCell ref="EK228:EK231"/>
    <mergeCell ref="EL228:EL231"/>
    <mergeCell ref="ER228:ER231"/>
    <mergeCell ref="HU224:HU225"/>
    <mergeCell ref="HV224:HV225"/>
    <mergeCell ref="HW224:HW225"/>
    <mergeCell ref="GN224:GN225"/>
    <mergeCell ref="GP224:GP225"/>
    <mergeCell ref="GQ224:GQ225"/>
    <mergeCell ref="HH224:HH225"/>
    <mergeCell ref="HI224:HI225"/>
    <mergeCell ref="FU223:FU224"/>
    <mergeCell ref="FV223:FV224"/>
    <mergeCell ref="FW223:FW224"/>
    <mergeCell ref="FX223:FX224"/>
    <mergeCell ref="EG223:EG226"/>
    <mergeCell ref="EH223:EH226"/>
    <mergeCell ref="EI223:EI226"/>
    <mergeCell ref="EJ223:EJ226"/>
    <mergeCell ref="EK223:EK226"/>
    <mergeCell ref="FS223:FS224"/>
    <mergeCell ref="FT223:FT224"/>
    <mergeCell ref="EX225:EX226"/>
    <mergeCell ref="EY225:EY226"/>
    <mergeCell ref="EZ225:EZ226"/>
    <mergeCell ref="FA225:FA226"/>
    <mergeCell ref="FB225:FB226"/>
    <mergeCell ref="HM224:HM225"/>
    <mergeCell ref="HN224:HN225"/>
    <mergeCell ref="GK223:GK226"/>
    <mergeCell ref="FU225:FU226"/>
    <mergeCell ref="FV225:FV226"/>
    <mergeCell ref="FP223:FP224"/>
    <mergeCell ref="FM223:FM224"/>
    <mergeCell ref="FN223:FN224"/>
    <mergeCell ref="ES223:ES226"/>
    <mergeCell ref="ET223:ET226"/>
    <mergeCell ref="HS224:HS225"/>
    <mergeCell ref="GA223:GA226"/>
    <mergeCell ref="GB223:GB226"/>
    <mergeCell ref="EL223:EL226"/>
    <mergeCell ref="EM223:EM226"/>
    <mergeCell ref="GC223:GC226"/>
    <mergeCell ref="GD223:GD226"/>
    <mergeCell ref="FW225:FW226"/>
    <mergeCell ref="FX225:FX226"/>
    <mergeCell ref="EX223:EX224"/>
    <mergeCell ref="EY223:EY224"/>
    <mergeCell ref="EZ223:EZ224"/>
    <mergeCell ref="FA223:FA224"/>
    <mergeCell ref="FB223:FB224"/>
    <mergeCell ref="FC223:FC226"/>
    <mergeCell ref="FO223:FO224"/>
    <mergeCell ref="FQ223:FQ224"/>
    <mergeCell ref="FL225:FL226"/>
    <mergeCell ref="FM225:FM226"/>
    <mergeCell ref="FE223:FE224"/>
    <mergeCell ref="FE225:FE226"/>
    <mergeCell ref="GE223:GE226"/>
    <mergeCell ref="GF223:GF226"/>
    <mergeCell ref="GG223:GG226"/>
    <mergeCell ref="GH223:GH226"/>
    <mergeCell ref="EV223:EV226"/>
    <mergeCell ref="FN225:FN226"/>
    <mergeCell ref="FO225:FO226"/>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E220:F220"/>
    <mergeCell ref="G220:L220"/>
    <mergeCell ref="AW218:AW221"/>
    <mergeCell ref="CR225:CR226"/>
    <mergeCell ref="CS225:CS226"/>
    <mergeCell ref="CU225:CU226"/>
    <mergeCell ref="CV225:CV226"/>
    <mergeCell ref="E226:F226"/>
    <mergeCell ref="G226:L226"/>
    <mergeCell ref="P226:R226"/>
    <mergeCell ref="U226:AA226"/>
    <mergeCell ref="AG226:AL226"/>
    <mergeCell ref="E219:F219"/>
    <mergeCell ref="E221:F221"/>
    <mergeCell ref="E231:F231"/>
    <mergeCell ref="AG224:AK224"/>
    <mergeCell ref="AY218:AY221"/>
    <mergeCell ref="AZ218:AZ221"/>
    <mergeCell ref="CP218:CP221"/>
    <mergeCell ref="CQ218:CQ221"/>
    <mergeCell ref="CY228:CY229"/>
    <mergeCell ref="CZ230:CZ231"/>
    <mergeCell ref="DR220:DR221"/>
    <mergeCell ref="EN223:EN226"/>
    <mergeCell ref="G218:R218"/>
    <mergeCell ref="S218:S219"/>
    <mergeCell ref="U218:AA218"/>
    <mergeCell ref="AG218:AL218"/>
    <mergeCell ref="AM218:AM219"/>
    <mergeCell ref="AN218:AN219"/>
    <mergeCell ref="AO218:AO219"/>
    <mergeCell ref="AP218:AQ221"/>
    <mergeCell ref="AR218:AT221"/>
    <mergeCell ref="AU218:AU221"/>
    <mergeCell ref="AV218:AV221"/>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CS218:CS219"/>
    <mergeCell ref="G221:L221"/>
    <mergeCell ref="P221:R221"/>
    <mergeCell ref="U221:AA221"/>
    <mergeCell ref="AO230:AO231"/>
    <mergeCell ref="DY223:DY224"/>
    <mergeCell ref="DZ223:DZ226"/>
    <mergeCell ref="CV223:CV224"/>
    <mergeCell ref="E222:AW222"/>
    <mergeCell ref="CZ225:CZ226"/>
    <mergeCell ref="DI218:DI219"/>
    <mergeCell ref="DJ218:DJ219"/>
    <mergeCell ref="DG220:DG221"/>
    <mergeCell ref="DH220:DH221"/>
    <mergeCell ref="DF225:DF226"/>
    <mergeCell ref="DH225:DH226"/>
    <mergeCell ref="DI225:DI226"/>
    <mergeCell ref="DJ225:DJ226"/>
    <mergeCell ref="AZ223:AZ226"/>
    <mergeCell ref="CP223:CP226"/>
    <mergeCell ref="CQ223:CQ226"/>
    <mergeCell ref="CR223:CR224"/>
    <mergeCell ref="DJ223:DJ224"/>
    <mergeCell ref="CX223:CX224"/>
    <mergeCell ref="CY223:CY224"/>
    <mergeCell ref="CZ223:CZ224"/>
    <mergeCell ref="AN225:AN226"/>
    <mergeCell ref="AO225:AO226"/>
    <mergeCell ref="DA223:DA226"/>
    <mergeCell ref="DB223:DB226"/>
    <mergeCell ref="DK223:DK226"/>
    <mergeCell ref="EH228:EH231"/>
    <mergeCell ref="DC223:DC226"/>
    <mergeCell ref="DD223:DD226"/>
    <mergeCell ref="DF223:DF224"/>
    <mergeCell ref="DK218:DK221"/>
    <mergeCell ref="HM219:HM220"/>
    <mergeCell ref="HN219:HN220"/>
    <mergeCell ref="HU219:HU220"/>
    <mergeCell ref="FB220:FB221"/>
    <mergeCell ref="FE220:FE221"/>
    <mergeCell ref="FL220:FL221"/>
    <mergeCell ref="CW223:CW224"/>
    <mergeCell ref="AG221:AL221"/>
    <mergeCell ref="DH218:DH219"/>
    <mergeCell ref="G224:L224"/>
    <mergeCell ref="P224:Q224"/>
    <mergeCell ref="U225:AE225"/>
    <mergeCell ref="CZ218:CZ219"/>
    <mergeCell ref="DA218:DA221"/>
    <mergeCell ref="DB218:DB221"/>
    <mergeCell ref="DC218:DC221"/>
    <mergeCell ref="DD218:DD221"/>
    <mergeCell ref="DF218:DF219"/>
    <mergeCell ref="CZ220:CZ221"/>
    <mergeCell ref="DF220:DF221"/>
    <mergeCell ref="HY219:HY220"/>
    <mergeCell ref="HZ219:HZ220"/>
    <mergeCell ref="ID219:ID220"/>
    <mergeCell ref="EV218:EV221"/>
    <mergeCell ref="FM220:FM221"/>
    <mergeCell ref="FN220:FN221"/>
    <mergeCell ref="FO220:FO221"/>
    <mergeCell ref="FQ220:FQ221"/>
    <mergeCell ref="FS220:FS221"/>
    <mergeCell ref="DM218:DM219"/>
    <mergeCell ref="DO218:DO221"/>
    <mergeCell ref="DQ218:DQ221"/>
    <mergeCell ref="DR218:DR219"/>
    <mergeCell ref="DS218:DS221"/>
    <mergeCell ref="DT218:DT219"/>
    <mergeCell ref="DU218:DU221"/>
    <mergeCell ref="DV218:DV221"/>
    <mergeCell ref="CS223:CS224"/>
    <mergeCell ref="CU223:CU224"/>
    <mergeCell ref="DI220:DI221"/>
    <mergeCell ref="DG223:DG224"/>
    <mergeCell ref="DG225:DG226"/>
    <mergeCell ref="DH223:DH224"/>
    <mergeCell ref="DI223:DI224"/>
    <mergeCell ref="HX224:HX225"/>
    <mergeCell ref="FG223:FG226"/>
    <mergeCell ref="FH223:FH226"/>
    <mergeCell ref="FL223:FL224"/>
    <mergeCell ref="GK218:GK221"/>
    <mergeCell ref="FU218:FU219"/>
    <mergeCell ref="FV218:FV219"/>
    <mergeCell ref="FW218:FW219"/>
    <mergeCell ref="FQ218:FQ219"/>
    <mergeCell ref="FS218:FS219"/>
    <mergeCell ref="FT218:FT219"/>
    <mergeCell ref="FA220:FA221"/>
    <mergeCell ref="FW220:FW221"/>
    <mergeCell ref="CW225:CW226"/>
    <mergeCell ref="CX225:CX226"/>
    <mergeCell ref="CY225:CY226"/>
    <mergeCell ref="CV220:CV221"/>
    <mergeCell ref="CW220:CW221"/>
    <mergeCell ref="HT224:HT225"/>
    <mergeCell ref="EL218:EL221"/>
    <mergeCell ref="EM218:EM221"/>
    <mergeCell ref="EN218:EN221"/>
    <mergeCell ref="EO218:EO221"/>
    <mergeCell ref="EP218:EP221"/>
    <mergeCell ref="FN218:FN219"/>
    <mergeCell ref="FO218:FO219"/>
    <mergeCell ref="CW215:CW216"/>
    <mergeCell ref="CX215:CX216"/>
    <mergeCell ref="CY215:CY216"/>
    <mergeCell ref="CZ215:CZ216"/>
    <mergeCell ref="DJ220:DJ221"/>
    <mergeCell ref="AG216:AL216"/>
    <mergeCell ref="E217:AW217"/>
    <mergeCell ref="E216:F216"/>
    <mergeCell ref="DY220:DY221"/>
    <mergeCell ref="HZ214:HZ215"/>
    <mergeCell ref="ID214:ID215"/>
    <mergeCell ref="ED213:ED216"/>
    <mergeCell ref="EF213:EF216"/>
    <mergeCell ref="EG213:EG216"/>
    <mergeCell ref="FM218:FM219"/>
    <mergeCell ref="HJ214:HJ215"/>
    <mergeCell ref="HK214:HK215"/>
    <mergeCell ref="HL214:HL215"/>
    <mergeCell ref="HM214:HM215"/>
    <mergeCell ref="HN214:HN215"/>
    <mergeCell ref="HO214:HO215"/>
    <mergeCell ref="FE213:FE214"/>
    <mergeCell ref="FG213:FG216"/>
    <mergeCell ref="FH213:FH216"/>
    <mergeCell ref="FL213:FL214"/>
    <mergeCell ref="FM213:FM214"/>
    <mergeCell ref="FN213:FN214"/>
    <mergeCell ref="FO213:FO214"/>
    <mergeCell ref="FQ213:FQ214"/>
    <mergeCell ref="FS213:FS214"/>
    <mergeCell ref="FT213:FT214"/>
    <mergeCell ref="FU213:FU214"/>
    <mergeCell ref="FV213:FV214"/>
    <mergeCell ref="FW213:FW214"/>
    <mergeCell ref="EZ220:EZ221"/>
    <mergeCell ref="GM219:GM220"/>
    <mergeCell ref="GN219:GN220"/>
    <mergeCell ref="GF218:GF221"/>
    <mergeCell ref="GG218:GG221"/>
    <mergeCell ref="GH218:GH221"/>
    <mergeCell ref="DN220:DN221"/>
    <mergeCell ref="CU218:CU219"/>
    <mergeCell ref="CV218:CV219"/>
    <mergeCell ref="CW218:CW219"/>
    <mergeCell ref="CX218:CX219"/>
    <mergeCell ref="CY218:CY219"/>
    <mergeCell ref="DQ213:DQ216"/>
    <mergeCell ref="DR213:DR214"/>
    <mergeCell ref="DS213:DS216"/>
    <mergeCell ref="CX220:CX221"/>
    <mergeCell ref="CY220:CY221"/>
    <mergeCell ref="DG218:DG219"/>
    <mergeCell ref="DA213:DA216"/>
    <mergeCell ref="DC213:DC216"/>
    <mergeCell ref="DF213:DF214"/>
    <mergeCell ref="DG213:DG214"/>
    <mergeCell ref="DH213:DH214"/>
    <mergeCell ref="FX208:FX209"/>
    <mergeCell ref="GA208:GA211"/>
    <mergeCell ref="GB208:GB211"/>
    <mergeCell ref="DH210:DH211"/>
    <mergeCell ref="DR215:DR216"/>
    <mergeCell ref="DY208:DY209"/>
    <mergeCell ref="DZ208:DZ211"/>
    <mergeCell ref="GE213:GE216"/>
    <mergeCell ref="GA218:GA221"/>
    <mergeCell ref="FB213:FB214"/>
    <mergeCell ref="FC213:FC216"/>
    <mergeCell ref="EX215:EX216"/>
    <mergeCell ref="EJ213:EJ216"/>
    <mergeCell ref="GM214:GM215"/>
    <mergeCell ref="GN214:GN215"/>
    <mergeCell ref="GQ214:GQ215"/>
    <mergeCell ref="HH214:HH215"/>
    <mergeCell ref="HI214:HI215"/>
    <mergeCell ref="GP219:GP220"/>
    <mergeCell ref="GE218:GE221"/>
    <mergeCell ref="GB218:GB221"/>
    <mergeCell ref="GC218:GC221"/>
    <mergeCell ref="DX218:DX221"/>
    <mergeCell ref="DY218:DY219"/>
    <mergeCell ref="DZ218:DZ221"/>
    <mergeCell ref="EA218:EA221"/>
    <mergeCell ref="EC218:EC221"/>
    <mergeCell ref="ED218:ED221"/>
    <mergeCell ref="EY215:EY216"/>
    <mergeCell ref="EZ215:EZ216"/>
    <mergeCell ref="FA215:FA216"/>
    <mergeCell ref="FB215:FB216"/>
    <mergeCell ref="GD213:GD216"/>
    <mergeCell ref="EF218:EF221"/>
    <mergeCell ref="EG218:EG221"/>
    <mergeCell ref="DT220:DT221"/>
    <mergeCell ref="FU220:FU221"/>
    <mergeCell ref="FV220:FV221"/>
    <mergeCell ref="EY218:EY219"/>
    <mergeCell ref="EZ218:EZ219"/>
    <mergeCell ref="EX220:EX221"/>
    <mergeCell ref="EY220:EY221"/>
    <mergeCell ref="FX220:FX221"/>
    <mergeCell ref="FY218:FY219"/>
    <mergeCell ref="FT220:FT221"/>
    <mergeCell ref="FX218:FX219"/>
    <mergeCell ref="EQ218:EQ221"/>
    <mergeCell ref="ER218:ER221"/>
    <mergeCell ref="ES218:ES221"/>
    <mergeCell ref="ET218:ET221"/>
    <mergeCell ref="FA218:FA219"/>
    <mergeCell ref="FB218:FB219"/>
    <mergeCell ref="FC218:FC221"/>
    <mergeCell ref="FE218:FE219"/>
    <mergeCell ref="FG218:FG221"/>
    <mergeCell ref="FH218:FH221"/>
    <mergeCell ref="FL218:FL219"/>
    <mergeCell ref="EQ213:EQ216"/>
    <mergeCell ref="ER213:ER216"/>
    <mergeCell ref="EX218:EX219"/>
    <mergeCell ref="EH218:EH221"/>
    <mergeCell ref="EI218:EI221"/>
    <mergeCell ref="EJ218:EJ221"/>
    <mergeCell ref="EK218:EK221"/>
    <mergeCell ref="FE215:FE216"/>
    <mergeCell ref="FL215:FL216"/>
    <mergeCell ref="FM215:FM216"/>
    <mergeCell ref="FN215:FN216"/>
    <mergeCell ref="FO215:FO216"/>
    <mergeCell ref="EH213:EH216"/>
    <mergeCell ref="DK213:DK216"/>
    <mergeCell ref="DM213:DM214"/>
    <mergeCell ref="DO213:DO216"/>
    <mergeCell ref="DF215:DF216"/>
    <mergeCell ref="DG215:DG216"/>
    <mergeCell ref="DH215:DH216"/>
    <mergeCell ref="DI215:DI216"/>
    <mergeCell ref="DJ215:DJ216"/>
    <mergeCell ref="DN215:DN216"/>
    <mergeCell ref="EI213:EI216"/>
    <mergeCell ref="DY215:DY216"/>
    <mergeCell ref="FQ215:FQ216"/>
    <mergeCell ref="FS215:FS216"/>
    <mergeCell ref="FT215:FT216"/>
    <mergeCell ref="FU215:FU216"/>
    <mergeCell ref="FV215:FV216"/>
    <mergeCell ref="FW215:FW216"/>
    <mergeCell ref="FX215:FX216"/>
    <mergeCell ref="EK213:EK216"/>
    <mergeCell ref="EL213:EL216"/>
    <mergeCell ref="EM213:EM216"/>
    <mergeCell ref="EN213:EN216"/>
    <mergeCell ref="EO213:EO216"/>
    <mergeCell ref="EP213:EP216"/>
    <mergeCell ref="DI213:DI214"/>
    <mergeCell ref="DJ213:DJ214"/>
    <mergeCell ref="ES213:ES216"/>
    <mergeCell ref="ET213:ET216"/>
    <mergeCell ref="EV213:EV216"/>
    <mergeCell ref="EX213:EX214"/>
    <mergeCell ref="EY213:EY214"/>
    <mergeCell ref="DT215:DT216"/>
    <mergeCell ref="EZ213:EZ214"/>
    <mergeCell ref="FA213:FA214"/>
    <mergeCell ref="FP213:FP214"/>
    <mergeCell ref="GP214:GP215"/>
    <mergeCell ref="EK208:EK211"/>
    <mergeCell ref="EL208:EL211"/>
    <mergeCell ref="EM208:EM211"/>
    <mergeCell ref="EN208:EN211"/>
    <mergeCell ref="EO208:EO211"/>
    <mergeCell ref="E209:F209"/>
    <mergeCell ref="G209:L209"/>
    <mergeCell ref="DF208:DF209"/>
    <mergeCell ref="ES208:ES211"/>
    <mergeCell ref="ET208:ET211"/>
    <mergeCell ref="EV208:EV211"/>
    <mergeCell ref="P210:Q210"/>
    <mergeCell ref="G210:L210"/>
    <mergeCell ref="DB208:DB211"/>
    <mergeCell ref="DC208:DC211"/>
    <mergeCell ref="DD208:DD211"/>
    <mergeCell ref="DI208:DI209"/>
    <mergeCell ref="DJ208:DJ209"/>
    <mergeCell ref="DK208:DK211"/>
    <mergeCell ref="DM208:DM209"/>
    <mergeCell ref="DO208:DO211"/>
    <mergeCell ref="FW210:FW211"/>
    <mergeCell ref="FX210:FX211"/>
    <mergeCell ref="DV208:DV211"/>
    <mergeCell ref="DX208:DX211"/>
    <mergeCell ref="DN210:DN211"/>
    <mergeCell ref="DR210:DR211"/>
    <mergeCell ref="DT210:DT211"/>
    <mergeCell ref="DY210:DY211"/>
    <mergeCell ref="DB213:DB216"/>
    <mergeCell ref="DD213:DD216"/>
    <mergeCell ref="CZ213:CZ214"/>
    <mergeCell ref="FA210:FA211"/>
    <mergeCell ref="FB210:FB211"/>
    <mergeCell ref="FE210:FE211"/>
    <mergeCell ref="FL210:FL211"/>
    <mergeCell ref="FM210:FM211"/>
    <mergeCell ref="FN210:FN211"/>
    <mergeCell ref="FO210:FO211"/>
    <mergeCell ref="FQ210:FQ211"/>
    <mergeCell ref="FS210:FS211"/>
    <mergeCell ref="FT210:FT211"/>
    <mergeCell ref="FU210:FU211"/>
    <mergeCell ref="FV210:FV211"/>
    <mergeCell ref="EF208:EF211"/>
    <mergeCell ref="EG208:EG211"/>
    <mergeCell ref="CY208:CY209"/>
    <mergeCell ref="CZ208:CZ209"/>
    <mergeCell ref="FW208:FW209"/>
    <mergeCell ref="DT208:DT209"/>
    <mergeCell ref="DU208:DU211"/>
    <mergeCell ref="DT213:DT214"/>
    <mergeCell ref="DU213:DU216"/>
    <mergeCell ref="DV213:DV216"/>
    <mergeCell ref="DX213:DX216"/>
    <mergeCell ref="DY213:DY214"/>
    <mergeCell ref="DZ213:DZ216"/>
    <mergeCell ref="EA213:EA216"/>
    <mergeCell ref="EC213:EC216"/>
    <mergeCell ref="FX213:FX214"/>
    <mergeCell ref="GA213:GA216"/>
    <mergeCell ref="GB213:GB216"/>
    <mergeCell ref="GC213:GC216"/>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CQ208:CQ211"/>
    <mergeCell ref="CP208:CP211"/>
    <mergeCell ref="IL203:IL206"/>
    <mergeCell ref="HQ209:HQ210"/>
    <mergeCell ref="HR209:HR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M205:IM206"/>
    <mergeCell ref="FA203:FA204"/>
    <mergeCell ref="FB203:FB204"/>
    <mergeCell ref="FC203:FC206"/>
    <mergeCell ref="FE203:FE204"/>
    <mergeCell ref="FW205:FW206"/>
    <mergeCell ref="FX205:FX206"/>
    <mergeCell ref="EY203:EY204"/>
    <mergeCell ref="EZ203:EZ204"/>
    <mergeCell ref="EX205:EX206"/>
    <mergeCell ref="EY205:EY206"/>
    <mergeCell ref="EZ205:EZ206"/>
    <mergeCell ref="EY208:EY209"/>
    <mergeCell ref="EZ208:EZ209"/>
    <mergeCell ref="FA208:FA209"/>
    <mergeCell ref="FB208:FB209"/>
    <mergeCell ref="FC208:FC211"/>
    <mergeCell ref="FE208:FE209"/>
    <mergeCell ref="FG208:FG211"/>
    <mergeCell ref="FH208:FH211"/>
    <mergeCell ref="FL208:FL209"/>
    <mergeCell ref="FM208:FM209"/>
    <mergeCell ref="FN208:FN209"/>
    <mergeCell ref="FO208:FO209"/>
    <mergeCell ref="FQ208:FQ209"/>
    <mergeCell ref="FS208:FS209"/>
    <mergeCell ref="FT208:FT209"/>
    <mergeCell ref="FU208:FU209"/>
    <mergeCell ref="FV208:FV209"/>
    <mergeCell ref="EY210:EY211"/>
    <mergeCell ref="EZ210:EZ211"/>
    <mergeCell ref="EX208:EX209"/>
    <mergeCell ref="EX210:EX211"/>
    <mergeCell ref="HJ209:HJ210"/>
    <mergeCell ref="HK209:HK210"/>
    <mergeCell ref="HL209:HL210"/>
    <mergeCell ref="HM209:HM210"/>
    <mergeCell ref="HN209:HN210"/>
    <mergeCell ref="HO209:HO210"/>
    <mergeCell ref="HP209:HP210"/>
    <mergeCell ref="HS209:HS210"/>
    <mergeCell ref="IC210:IC211"/>
    <mergeCell ref="GQ209:GQ210"/>
    <mergeCell ref="GQ204:GQ205"/>
    <mergeCell ref="HH204:HH205"/>
    <mergeCell ref="HI204:HI205"/>
    <mergeCell ref="HJ204:HJ205"/>
    <mergeCell ref="HK204:HK205"/>
    <mergeCell ref="HL204:HL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D204:ID205"/>
    <mergeCell ref="IB203:IB205"/>
    <mergeCell ref="IC203:IC204"/>
    <mergeCell ref="HH209:HH210"/>
    <mergeCell ref="HI209:HI210"/>
    <mergeCell ref="GG208:GG211"/>
    <mergeCell ref="GH208:GH211"/>
    <mergeCell ref="GK208:GK211"/>
    <mergeCell ref="GD208:GD211"/>
    <mergeCell ref="GE208:GE211"/>
    <mergeCell ref="GP209:GP210"/>
    <mergeCell ref="GM209:GM210"/>
    <mergeCell ref="GE203:GE206"/>
    <mergeCell ref="FY205:FY206"/>
    <mergeCell ref="GM204:GM205"/>
    <mergeCell ref="GN204:GN205"/>
    <mergeCell ref="GP204:GP205"/>
    <mergeCell ref="GA203:GA206"/>
    <mergeCell ref="GB203:GB206"/>
    <mergeCell ref="GF203:GF206"/>
    <mergeCell ref="GG203:GG206"/>
    <mergeCell ref="GH203:GH206"/>
    <mergeCell ref="GK203:GK206"/>
    <mergeCell ref="GN209:GN210"/>
    <mergeCell ref="HT209:HT210"/>
    <mergeCell ref="HU209:HU210"/>
    <mergeCell ref="GC208:GC211"/>
    <mergeCell ref="CR208:CR209"/>
    <mergeCell ref="CS208:CS209"/>
    <mergeCell ref="CU208:CU209"/>
    <mergeCell ref="CV208:CV209"/>
    <mergeCell ref="CW208:CW209"/>
    <mergeCell ref="CX208:CX209"/>
    <mergeCell ref="B203:B206"/>
    <mergeCell ref="C203:D206"/>
    <mergeCell ref="EH203:EH206"/>
    <mergeCell ref="EI203:EI206"/>
    <mergeCell ref="EJ203:EJ206"/>
    <mergeCell ref="EK203:EK206"/>
    <mergeCell ref="EL203:EL206"/>
    <mergeCell ref="EM203:EM206"/>
    <mergeCell ref="EN203:EN206"/>
    <mergeCell ref="EO203:EO206"/>
    <mergeCell ref="EP203:EP206"/>
    <mergeCell ref="EQ203:EQ206"/>
    <mergeCell ref="ER203:ER206"/>
    <mergeCell ref="ES203:ES206"/>
    <mergeCell ref="ET203:ET206"/>
    <mergeCell ref="EV203:EV206"/>
    <mergeCell ref="EX203:EX204"/>
    <mergeCell ref="FG203:FG206"/>
    <mergeCell ref="FH203:FH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DJ205:DJ206"/>
    <mergeCell ref="CR205:CR206"/>
    <mergeCell ref="CS205:CS206"/>
    <mergeCell ref="CU205:CU206"/>
    <mergeCell ref="CV205:CV206"/>
    <mergeCell ref="CW205:CW206"/>
    <mergeCell ref="CX205:CX206"/>
    <mergeCell ref="CY205:CY206"/>
    <mergeCell ref="P206:R206"/>
    <mergeCell ref="U206:AA206"/>
    <mergeCell ref="AG206:AL206"/>
    <mergeCell ref="U203:AA203"/>
    <mergeCell ref="AG203:AL203"/>
    <mergeCell ref="AM203:AM204"/>
    <mergeCell ref="DA208:DA211"/>
    <mergeCell ref="HK199:HK200"/>
    <mergeCell ref="HL199:HL200"/>
    <mergeCell ref="HM199:HM200"/>
    <mergeCell ref="HN199:HN200"/>
    <mergeCell ref="HO199:HO200"/>
    <mergeCell ref="FE198:FE199"/>
    <mergeCell ref="FG198:FG201"/>
    <mergeCell ref="DH208:DH209"/>
    <mergeCell ref="DG210:DG211"/>
    <mergeCell ref="AY203:AY206"/>
    <mergeCell ref="AZ203:AZ206"/>
    <mergeCell ref="AV208:AV211"/>
    <mergeCell ref="AW208:AW211"/>
    <mergeCell ref="E210:F210"/>
    <mergeCell ref="DJ210:DJ211"/>
    <mergeCell ref="EP208:EP211"/>
    <mergeCell ref="EQ208:EQ211"/>
    <mergeCell ref="FL205:FL206"/>
    <mergeCell ref="FM205:FM206"/>
    <mergeCell ref="ER208:ER211"/>
    <mergeCell ref="FA205:FA206"/>
    <mergeCell ref="FB205:FB206"/>
    <mergeCell ref="FE205:FE206"/>
    <mergeCell ref="S208:S209"/>
    <mergeCell ref="U208:AA208"/>
    <mergeCell ref="AG208:AL208"/>
    <mergeCell ref="AM208:AM209"/>
    <mergeCell ref="AN208:AN209"/>
    <mergeCell ref="AO208:AO209"/>
    <mergeCell ref="AP208:AQ211"/>
    <mergeCell ref="AR208:AT211"/>
    <mergeCell ref="AU208:AU211"/>
    <mergeCell ref="EA208:EA211"/>
    <mergeCell ref="EC208:EC211"/>
    <mergeCell ref="ED208:ED211"/>
    <mergeCell ref="E207:AW207"/>
    <mergeCell ref="P205:Q205"/>
    <mergeCell ref="S205:S206"/>
    <mergeCell ref="AG205:AL205"/>
    <mergeCell ref="AM205:AM206"/>
    <mergeCell ref="AN205:AN206"/>
    <mergeCell ref="AO205:AO206"/>
    <mergeCell ref="DH205:DH206"/>
    <mergeCell ref="DI205:DI206"/>
    <mergeCell ref="DQ208:DQ211"/>
    <mergeCell ref="DR208:DR209"/>
    <mergeCell ref="DS208:DS211"/>
    <mergeCell ref="CW210:CW211"/>
    <mergeCell ref="CX210:CX211"/>
    <mergeCell ref="CY210:CY211"/>
    <mergeCell ref="CZ210:CZ211"/>
    <mergeCell ref="DF210:DF211"/>
    <mergeCell ref="DR205:DR206"/>
    <mergeCell ref="DT205:DT206"/>
    <mergeCell ref="DY205:DY206"/>
    <mergeCell ref="EI208:EI211"/>
    <mergeCell ref="EJ208:EJ211"/>
    <mergeCell ref="DF205:DF206"/>
    <mergeCell ref="DG205:DG206"/>
    <mergeCell ref="CV200:CV201"/>
    <mergeCell ref="CW200:CW201"/>
    <mergeCell ref="CX200:CX201"/>
    <mergeCell ref="CY200:CY201"/>
    <mergeCell ref="CZ200:CZ201"/>
    <mergeCell ref="DK203:DK206"/>
    <mergeCell ref="DM203:DM204"/>
    <mergeCell ref="DO203:DO206"/>
    <mergeCell ref="DQ203:DQ206"/>
    <mergeCell ref="DR203:DR204"/>
    <mergeCell ref="DS203:DS206"/>
    <mergeCell ref="DT203:DT204"/>
    <mergeCell ref="DU203:DU206"/>
    <mergeCell ref="DV203:DV206"/>
    <mergeCell ref="DX203:DX206"/>
    <mergeCell ref="DY203:DY204"/>
    <mergeCell ref="DZ203:DZ206"/>
    <mergeCell ref="EA203:EA206"/>
    <mergeCell ref="EC203:EC206"/>
    <mergeCell ref="ED203:ED206"/>
    <mergeCell ref="EF203:EF206"/>
    <mergeCell ref="EG203:EG206"/>
    <mergeCell ref="DN205:DN206"/>
    <mergeCell ref="DI210:DI211"/>
    <mergeCell ref="DG208:DG209"/>
    <mergeCell ref="EH208:EH211"/>
    <mergeCell ref="DD198:DD201"/>
    <mergeCell ref="DF198:DF199"/>
    <mergeCell ref="DG198:DG199"/>
    <mergeCell ref="DH198:DH199"/>
    <mergeCell ref="DI198:DI199"/>
    <mergeCell ref="DJ198:DJ199"/>
    <mergeCell ref="DK198:DK201"/>
    <mergeCell ref="DM198:DM199"/>
    <mergeCell ref="DO198:DO201"/>
    <mergeCell ref="DF200:DF201"/>
    <mergeCell ref="DG200:DG201"/>
    <mergeCell ref="DH200:DH201"/>
    <mergeCell ref="DI200:DI201"/>
    <mergeCell ref="DJ200:DJ201"/>
    <mergeCell ref="DN200:DN201"/>
    <mergeCell ref="EC198:EC201"/>
    <mergeCell ref="ED198:ED201"/>
    <mergeCell ref="EF198:EF201"/>
    <mergeCell ref="EG198:EG201"/>
    <mergeCell ref="EH198:EH201"/>
    <mergeCell ref="EI198:EI201"/>
    <mergeCell ref="EJ198:EJ201"/>
    <mergeCell ref="FP203:FP204"/>
    <mergeCell ref="DQ198:DQ201"/>
    <mergeCell ref="DR198:DR199"/>
    <mergeCell ref="DS198:DS201"/>
    <mergeCell ref="DT198:DT199"/>
    <mergeCell ref="DU198:DU201"/>
    <mergeCell ref="DV198:DV201"/>
    <mergeCell ref="DX198:DX201"/>
    <mergeCell ref="DY198:DY199"/>
    <mergeCell ref="DZ198:DZ201"/>
    <mergeCell ref="EA198:EA201"/>
    <mergeCell ref="FE200:FE201"/>
    <mergeCell ref="FL200:FL201"/>
    <mergeCell ref="FM200:FM201"/>
    <mergeCell ref="FS203:FS204"/>
    <mergeCell ref="FT203:FT204"/>
    <mergeCell ref="FU203:FU204"/>
    <mergeCell ref="FV203:FV204"/>
    <mergeCell ref="FW203:FW204"/>
    <mergeCell ref="FX203:FX204"/>
    <mergeCell ref="EN193:EN196"/>
    <mergeCell ref="EO193:EO196"/>
    <mergeCell ref="EP193:EP196"/>
    <mergeCell ref="EQ193:EQ196"/>
    <mergeCell ref="EZ193:EZ194"/>
    <mergeCell ref="FA193:FA194"/>
    <mergeCell ref="FB193:FB194"/>
    <mergeCell ref="FC193:FC196"/>
    <mergeCell ref="FE193:FE194"/>
    <mergeCell ref="FG193:FG196"/>
    <mergeCell ref="FH193:FH196"/>
    <mergeCell ref="FL193:FL194"/>
    <mergeCell ref="FM193:FM194"/>
    <mergeCell ref="FO193:FO194"/>
    <mergeCell ref="FQ193:FQ194"/>
    <mergeCell ref="DZ193:DZ196"/>
    <mergeCell ref="FQ203:FQ204"/>
    <mergeCell ref="DR200:DR201"/>
    <mergeCell ref="DT200:DT201"/>
    <mergeCell ref="DY200:DY201"/>
    <mergeCell ref="EK198:EK201"/>
    <mergeCell ref="EL198:EL201"/>
    <mergeCell ref="EM198:EM201"/>
    <mergeCell ref="EN198:EN201"/>
    <mergeCell ref="EO198:EO201"/>
    <mergeCell ref="EP198:EP201"/>
    <mergeCell ref="EQ198:EQ201"/>
    <mergeCell ref="ER198:ER201"/>
    <mergeCell ref="ES198:ES201"/>
    <mergeCell ref="ET198:ET201"/>
    <mergeCell ref="EV198:EV201"/>
    <mergeCell ref="EX198:EX199"/>
    <mergeCell ref="EY198:EY199"/>
    <mergeCell ref="EZ198:EZ199"/>
    <mergeCell ref="FA198:FA199"/>
    <mergeCell ref="FB198:FB199"/>
    <mergeCell ref="FC198:FC201"/>
    <mergeCell ref="EX200:EX201"/>
    <mergeCell ref="EY200:EY201"/>
    <mergeCell ref="EZ200:EZ201"/>
    <mergeCell ref="FA200:FA201"/>
    <mergeCell ref="FB200:FB201"/>
    <mergeCell ref="FN193:FN194"/>
    <mergeCell ref="FB195:FB196"/>
    <mergeCell ref="GM199:GM200"/>
    <mergeCell ref="GN199:GN200"/>
    <mergeCell ref="CV195:CV196"/>
    <mergeCell ref="CW195:CW196"/>
    <mergeCell ref="FE195:FE196"/>
    <mergeCell ref="FL195:FL196"/>
    <mergeCell ref="FM195:FM196"/>
    <mergeCell ref="FN195:FN196"/>
    <mergeCell ref="ER193:ER196"/>
    <mergeCell ref="ES193:ES196"/>
    <mergeCell ref="ET193:ET196"/>
    <mergeCell ref="EV193:EV196"/>
    <mergeCell ref="EX193:EX194"/>
    <mergeCell ref="EX195:EX196"/>
    <mergeCell ref="EA193:EA196"/>
    <mergeCell ref="CZ195:CZ196"/>
    <mergeCell ref="DF195:DF196"/>
    <mergeCell ref="DG195:DG196"/>
    <mergeCell ref="DH195:DH196"/>
    <mergeCell ref="DI195:DI196"/>
    <mergeCell ref="DN195:DN196"/>
    <mergeCell ref="DR195:DR196"/>
    <mergeCell ref="DT195:DT196"/>
    <mergeCell ref="DY195:DY196"/>
    <mergeCell ref="GC198:GC201"/>
    <mergeCell ref="CV198:CV199"/>
    <mergeCell ref="CW198:CW199"/>
    <mergeCell ref="CX198:CX199"/>
    <mergeCell ref="CY198:CY199"/>
    <mergeCell ref="CZ198:CZ199"/>
    <mergeCell ref="DA198:DA201"/>
    <mergeCell ref="DB198:DB201"/>
    <mergeCell ref="DC198:DC201"/>
    <mergeCell ref="GB198:GB201"/>
    <mergeCell ref="FN200:FN201"/>
    <mergeCell ref="FO200:FO201"/>
    <mergeCell ref="FQ200:FQ201"/>
    <mergeCell ref="FS200:FS201"/>
    <mergeCell ref="FT200:FT201"/>
    <mergeCell ref="FU200:FU201"/>
    <mergeCell ref="FV200:FV201"/>
    <mergeCell ref="FW200:FW201"/>
    <mergeCell ref="FX200:FX201"/>
    <mergeCell ref="FA195:FA196"/>
    <mergeCell ref="FP193:FP194"/>
    <mergeCell ref="FO195:FO196"/>
    <mergeCell ref="FQ195:FQ196"/>
    <mergeCell ref="FS195:FS196"/>
    <mergeCell ref="FT195:FT196"/>
    <mergeCell ref="FU195:FU196"/>
    <mergeCell ref="FV195:FV196"/>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DA193:DA196"/>
    <mergeCell ref="DB193:DB196"/>
    <mergeCell ref="EY195:EY196"/>
    <mergeCell ref="EZ195:EZ196"/>
    <mergeCell ref="EC193:EC196"/>
    <mergeCell ref="ED193:ED196"/>
    <mergeCell ref="EY193:EY194"/>
    <mergeCell ref="EF193:EF196"/>
    <mergeCell ref="EG193:EG196"/>
    <mergeCell ref="EH193:EH196"/>
    <mergeCell ref="EI193:EI196"/>
    <mergeCell ref="EJ193:EJ196"/>
    <mergeCell ref="EK193:EK196"/>
    <mergeCell ref="EL193:EL196"/>
    <mergeCell ref="EM193:EM196"/>
    <mergeCell ref="DH193:DH194"/>
    <mergeCell ref="CX195:CX196"/>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P200:Q200"/>
    <mergeCell ref="S200:S201"/>
    <mergeCell ref="AG200:AL200"/>
    <mergeCell ref="AM200:AM201"/>
    <mergeCell ref="AN200:AN201"/>
    <mergeCell ref="AO200:AO201"/>
    <mergeCell ref="CR200:CR201"/>
    <mergeCell ref="CS200:CS201"/>
    <mergeCell ref="CU200:CU201"/>
    <mergeCell ref="CP193:CP196"/>
    <mergeCell ref="CQ193:CQ196"/>
    <mergeCell ref="CR193:CR194"/>
    <mergeCell ref="CS193:CS194"/>
    <mergeCell ref="CU193:CU194"/>
    <mergeCell ref="FS188:FS189"/>
    <mergeCell ref="ET188:ET191"/>
    <mergeCell ref="FA190:FA191"/>
    <mergeCell ref="FB190:FB191"/>
    <mergeCell ref="FE190:FE191"/>
    <mergeCell ref="FL190:FL191"/>
    <mergeCell ref="FM190:FM191"/>
    <mergeCell ref="FN190:FN191"/>
    <mergeCell ref="FO190:FO191"/>
    <mergeCell ref="CV193:CV194"/>
    <mergeCell ref="CW193:CW194"/>
    <mergeCell ref="CX193:CX194"/>
    <mergeCell ref="CY193:CY194"/>
    <mergeCell ref="CZ193:CZ194"/>
    <mergeCell ref="CY195:CY196"/>
    <mergeCell ref="FT188:FT189"/>
    <mergeCell ref="FU188:FU189"/>
    <mergeCell ref="FV188:FV189"/>
    <mergeCell ref="FW188:FW189"/>
    <mergeCell ref="FX188:FX189"/>
    <mergeCell ref="GC193:GC196"/>
    <mergeCell ref="GD193:GD196"/>
    <mergeCell ref="GE193:GE196"/>
    <mergeCell ref="GF193:GF196"/>
    <mergeCell ref="GG193:GG196"/>
    <mergeCell ref="GH193:GH196"/>
    <mergeCell ref="GK193:GK196"/>
    <mergeCell ref="IB193:IB195"/>
    <mergeCell ref="IC193:IC194"/>
    <mergeCell ref="FW195:FW196"/>
    <mergeCell ref="FX195:FX196"/>
    <mergeCell ref="IC195:IC196"/>
    <mergeCell ref="FY193:FY194"/>
    <mergeCell ref="GM194:GM195"/>
    <mergeCell ref="GN194:GN195"/>
    <mergeCell ref="GP194:GP195"/>
    <mergeCell ref="GQ194:GQ195"/>
    <mergeCell ref="HH194:HH195"/>
    <mergeCell ref="HL194:HL195"/>
    <mergeCell ref="HM194:HM195"/>
    <mergeCell ref="HN194:HN195"/>
    <mergeCell ref="HO194:HO195"/>
    <mergeCell ref="HP194:HP195"/>
    <mergeCell ref="FS193:FS194"/>
    <mergeCell ref="FT193:FT194"/>
    <mergeCell ref="FU193:FU194"/>
    <mergeCell ref="FV193:FV194"/>
    <mergeCell ref="IK190:IK191"/>
    <mergeCell ref="HP189:HP190"/>
    <mergeCell ref="HQ189:HQ190"/>
    <mergeCell ref="HR189:HR190"/>
    <mergeCell ref="HS189:HS190"/>
    <mergeCell ref="HT189:HT190"/>
    <mergeCell ref="HU189:HU190"/>
    <mergeCell ref="HV189:HV190"/>
    <mergeCell ref="HW189:HW190"/>
    <mergeCell ref="HX189:HX190"/>
    <mergeCell ref="HY189:HY190"/>
    <mergeCell ref="IM190:IM191"/>
    <mergeCell ref="FA188:FA189"/>
    <mergeCell ref="FB188:FB189"/>
    <mergeCell ref="FC188:FC191"/>
    <mergeCell ref="FE188:FE189"/>
    <mergeCell ref="FG188:FG191"/>
    <mergeCell ref="FH188:FH191"/>
    <mergeCell ref="DT193:DT194"/>
    <mergeCell ref="DU193:DU196"/>
    <mergeCell ref="DV193:DV196"/>
    <mergeCell ref="DX193:DX196"/>
    <mergeCell ref="DY193:DY194"/>
    <mergeCell ref="GM189:GM190"/>
    <mergeCell ref="GN189:GN190"/>
    <mergeCell ref="GP189:GP190"/>
    <mergeCell ref="GQ189:GQ190"/>
    <mergeCell ref="HH189:HH190"/>
    <mergeCell ref="HI189:HI190"/>
    <mergeCell ref="HJ189:HJ190"/>
    <mergeCell ref="HK189:HK190"/>
    <mergeCell ref="HL189:HL190"/>
    <mergeCell ref="HM189:HM190"/>
    <mergeCell ref="HN189:HN190"/>
    <mergeCell ref="HO189:HO190"/>
    <mergeCell ref="HZ189:HZ190"/>
    <mergeCell ref="ID189:ID190"/>
    <mergeCell ref="GA188:GA191"/>
    <mergeCell ref="GB188:GB191"/>
    <mergeCell ref="GC188:GC191"/>
    <mergeCell ref="GD188:GD191"/>
    <mergeCell ref="GE188:GE191"/>
    <mergeCell ref="GF188:GF191"/>
    <mergeCell ref="GG188:GG191"/>
    <mergeCell ref="GH188:GH191"/>
    <mergeCell ref="HQ194:HQ195"/>
    <mergeCell ref="HR194:HR195"/>
    <mergeCell ref="HS194:HS195"/>
    <mergeCell ref="HT194:HT195"/>
    <mergeCell ref="HU194:HU195"/>
    <mergeCell ref="HV194:HV195"/>
    <mergeCell ref="HW194:HW195"/>
    <mergeCell ref="HX194:HX195"/>
    <mergeCell ref="HY194:HY195"/>
    <mergeCell ref="HZ194:HZ195"/>
    <mergeCell ref="ID194:ID195"/>
    <mergeCell ref="FW193:FW194"/>
    <mergeCell ref="FX193:FX194"/>
    <mergeCell ref="DT190:DT191"/>
    <mergeCell ref="GK188:GK191"/>
    <mergeCell ref="FT190:FT191"/>
    <mergeCell ref="FU190:FU191"/>
    <mergeCell ref="FV190:FV191"/>
    <mergeCell ref="FW190:FW191"/>
    <mergeCell ref="FX190:FX191"/>
    <mergeCell ref="EH188:EH191"/>
    <mergeCell ref="EI188:EI191"/>
    <mergeCell ref="EJ188:EJ191"/>
    <mergeCell ref="IB188:IB190"/>
    <mergeCell ref="IC188:IC189"/>
    <mergeCell ref="IC190:IC191"/>
    <mergeCell ref="FL188:FL189"/>
    <mergeCell ref="FM188:FM189"/>
    <mergeCell ref="FN188:FN189"/>
    <mergeCell ref="ES188:ES191"/>
    <mergeCell ref="FM185:FM186"/>
    <mergeCell ref="FN185:FN186"/>
    <mergeCell ref="FO185:FO186"/>
    <mergeCell ref="FQ185:FQ186"/>
    <mergeCell ref="FS185:FS186"/>
    <mergeCell ref="FT185:FT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O193:DO196"/>
    <mergeCell ref="DQ193:DQ196"/>
    <mergeCell ref="DR193:DR194"/>
    <mergeCell ref="DS193:DS196"/>
    <mergeCell ref="E190:F190"/>
    <mergeCell ref="G190:L190"/>
    <mergeCell ref="DS188:DS191"/>
    <mergeCell ref="DC193:DC196"/>
    <mergeCell ref="DD193:DD196"/>
    <mergeCell ref="DF193:DF194"/>
    <mergeCell ref="DG193:DG194"/>
    <mergeCell ref="DA188:DA191"/>
    <mergeCell ref="DB188:DB191"/>
    <mergeCell ref="DC188:DC191"/>
    <mergeCell ref="DD188:DD191"/>
    <mergeCell ref="DF188:DF189"/>
    <mergeCell ref="DG188:DG189"/>
    <mergeCell ref="DH188:DH189"/>
    <mergeCell ref="DI188:DI189"/>
    <mergeCell ref="DJ195:DJ196"/>
    <mergeCell ref="DK188:DK191"/>
    <mergeCell ref="DM188:DM189"/>
    <mergeCell ref="DO188:DO191"/>
    <mergeCell ref="DQ188:DQ191"/>
    <mergeCell ref="DR188:DR189"/>
    <mergeCell ref="FO188:FO189"/>
    <mergeCell ref="FQ188:FQ189"/>
    <mergeCell ref="DJ188:DJ189"/>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V188:EV191"/>
    <mergeCell ref="EX188:EX189"/>
    <mergeCell ref="EY188:EY189"/>
    <mergeCell ref="EZ188:EZ189"/>
    <mergeCell ref="EX190:EX191"/>
    <mergeCell ref="EY190:EY191"/>
    <mergeCell ref="EZ190:EZ191"/>
    <mergeCell ref="DZ188:DZ191"/>
    <mergeCell ref="EA188:EA191"/>
    <mergeCell ref="EC188:EC191"/>
    <mergeCell ref="ED188:ED191"/>
    <mergeCell ref="EF188:EF191"/>
    <mergeCell ref="EG188:EG191"/>
    <mergeCell ref="DN190:DN191"/>
    <mergeCell ref="DR190:DR191"/>
    <mergeCell ref="EK188:EK191"/>
    <mergeCell ref="EL188:EL191"/>
    <mergeCell ref="EM188:EM191"/>
    <mergeCell ref="EN188:EN191"/>
    <mergeCell ref="EO188:EO191"/>
    <mergeCell ref="EP188:EP191"/>
    <mergeCell ref="EQ188:EQ191"/>
    <mergeCell ref="ER188:ER191"/>
    <mergeCell ref="ED183:ED186"/>
    <mergeCell ref="EF183:EF186"/>
    <mergeCell ref="DF178:DF179"/>
    <mergeCell ref="DG178:DG179"/>
    <mergeCell ref="DH178:DH179"/>
    <mergeCell ref="DT188:DT189"/>
    <mergeCell ref="DU188:DU191"/>
    <mergeCell ref="DV188:DV191"/>
    <mergeCell ref="DX188:DX191"/>
    <mergeCell ref="DY188:DY189"/>
    <mergeCell ref="CZ190:CZ191"/>
    <mergeCell ref="DF190:DF191"/>
    <mergeCell ref="DG190:DG191"/>
    <mergeCell ref="DH190:DH191"/>
    <mergeCell ref="HK184:HK185"/>
    <mergeCell ref="HL184:HL185"/>
    <mergeCell ref="HM184:HM185"/>
    <mergeCell ref="HN184:HN185"/>
    <mergeCell ref="HO184:HO185"/>
    <mergeCell ref="FE183:FE184"/>
    <mergeCell ref="FG183:FG186"/>
    <mergeCell ref="FH183:FH186"/>
    <mergeCell ref="FL183:FL184"/>
    <mergeCell ref="FM183:FM184"/>
    <mergeCell ref="FN183:FN184"/>
    <mergeCell ref="CR188:CR189"/>
    <mergeCell ref="CS188:CS189"/>
    <mergeCell ref="CU188:CU189"/>
    <mergeCell ref="CV188:CV189"/>
    <mergeCell ref="CW188:CW189"/>
    <mergeCell ref="CX188:CX189"/>
    <mergeCell ref="CY188:CY189"/>
    <mergeCell ref="CZ188:CZ189"/>
    <mergeCell ref="FO183:FO184"/>
    <mergeCell ref="FQ183:FQ184"/>
    <mergeCell ref="FS183:FS184"/>
    <mergeCell ref="FT183:FT184"/>
    <mergeCell ref="FU183:FU184"/>
    <mergeCell ref="EV183:EV186"/>
    <mergeCell ref="EX183:EX184"/>
    <mergeCell ref="EY183:EY184"/>
    <mergeCell ref="EZ183:EZ184"/>
    <mergeCell ref="FA183:FA184"/>
    <mergeCell ref="FB183:FB184"/>
    <mergeCell ref="FC183:FC186"/>
    <mergeCell ref="GP184:GP185"/>
    <mergeCell ref="GQ184:GQ185"/>
    <mergeCell ref="DI183:DI184"/>
    <mergeCell ref="DJ183:DJ184"/>
    <mergeCell ref="DK183:DK186"/>
    <mergeCell ref="DM183:DM184"/>
    <mergeCell ref="DO183:DO186"/>
    <mergeCell ref="DF185:DF186"/>
    <mergeCell ref="DG185:DG186"/>
    <mergeCell ref="DH185:DH186"/>
    <mergeCell ref="FV183:FV184"/>
    <mergeCell ref="FW183:FW184"/>
    <mergeCell ref="FX183:FX184"/>
    <mergeCell ref="GA183:GA186"/>
    <mergeCell ref="GB183:GB186"/>
    <mergeCell ref="GC183:GC186"/>
    <mergeCell ref="FE185:FE186"/>
    <mergeCell ref="FL185:FL186"/>
    <mergeCell ref="DY190:DY191"/>
    <mergeCell ref="CV183:CV184"/>
    <mergeCell ref="CW183:CW184"/>
    <mergeCell ref="CX183:CX184"/>
    <mergeCell ref="CY183:CY184"/>
    <mergeCell ref="CZ183:CZ184"/>
    <mergeCell ref="FU185:FU186"/>
    <mergeCell ref="FV185:FV186"/>
    <mergeCell ref="FW185:FW186"/>
    <mergeCell ref="FX185:FX186"/>
    <mergeCell ref="EK183:EK186"/>
    <mergeCell ref="EL183:EL186"/>
    <mergeCell ref="EM183:EM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G183:EG186"/>
    <mergeCell ref="EH183:EH186"/>
    <mergeCell ref="EI183:EI186"/>
    <mergeCell ref="EJ183:EJ186"/>
    <mergeCell ref="DR185:DR186"/>
    <mergeCell ref="DT185:DT186"/>
    <mergeCell ref="DY185:DY186"/>
    <mergeCell ref="FL178:FL179"/>
    <mergeCell ref="FM178:FM179"/>
    <mergeCell ref="FN178:FN179"/>
    <mergeCell ref="FO178:FO179"/>
    <mergeCell ref="FA180:FA181"/>
    <mergeCell ref="FB180:FB181"/>
    <mergeCell ref="FE180:FE181"/>
    <mergeCell ref="FL180:FL181"/>
    <mergeCell ref="FM180:FM181"/>
    <mergeCell ref="FS180:FS181"/>
    <mergeCell ref="EF178:EF181"/>
    <mergeCell ref="EG178:EG181"/>
    <mergeCell ref="EH178:EH181"/>
    <mergeCell ref="EI178:EI181"/>
    <mergeCell ref="EJ178:EJ181"/>
    <mergeCell ref="EK178:EK181"/>
    <mergeCell ref="EL178:EL181"/>
    <mergeCell ref="EM178:EM181"/>
    <mergeCell ref="EX185:EX186"/>
    <mergeCell ref="EY185:EY186"/>
    <mergeCell ref="EZ185:EZ186"/>
    <mergeCell ref="FA185:FA186"/>
    <mergeCell ref="FB185:FB186"/>
    <mergeCell ref="DQ183:DQ186"/>
    <mergeCell ref="DR183:DR184"/>
    <mergeCell ref="DS183:DS186"/>
    <mergeCell ref="DT183:DT184"/>
    <mergeCell ref="DU183:DU186"/>
    <mergeCell ref="DV183:DV186"/>
    <mergeCell ref="DX183:DX186"/>
    <mergeCell ref="DY183:DY184"/>
    <mergeCell ref="DZ183:DZ186"/>
    <mergeCell ref="EA183:EA186"/>
    <mergeCell ref="EC183:EC186"/>
    <mergeCell ref="FQ178:FQ179"/>
    <mergeCell ref="FS178:FS179"/>
    <mergeCell ref="FT178:FT179"/>
    <mergeCell ref="FU178:FU179"/>
    <mergeCell ref="FV178:FV179"/>
    <mergeCell ref="EY180:EY181"/>
    <mergeCell ref="EZ180:EZ181"/>
    <mergeCell ref="G186:L186"/>
    <mergeCell ref="P186:R186"/>
    <mergeCell ref="CU180:CU181"/>
    <mergeCell ref="CV180:CV181"/>
    <mergeCell ref="CW180:CW181"/>
    <mergeCell ref="IM180:IM181"/>
    <mergeCell ref="GA178:GA181"/>
    <mergeCell ref="GB178:GB181"/>
    <mergeCell ref="GC178:GC181"/>
    <mergeCell ref="FN180:FN181"/>
    <mergeCell ref="FO180:FO181"/>
    <mergeCell ref="FQ180:FQ181"/>
    <mergeCell ref="IC178:IC179"/>
    <mergeCell ref="FW180:FW181"/>
    <mergeCell ref="FX180:FX181"/>
    <mergeCell ref="IC180:IC181"/>
    <mergeCell ref="EY178:EY179"/>
    <mergeCell ref="EZ178:EZ179"/>
    <mergeCell ref="FA178:FA179"/>
    <mergeCell ref="FB178:FB179"/>
    <mergeCell ref="FC178:FC181"/>
    <mergeCell ref="FE178:FE179"/>
    <mergeCell ref="FG178:FG181"/>
    <mergeCell ref="FH178:FH181"/>
    <mergeCell ref="FV180:FV181"/>
    <mergeCell ref="FT180:FT181"/>
    <mergeCell ref="FU180:FU181"/>
    <mergeCell ref="GM184:GM185"/>
    <mergeCell ref="GN184:GN185"/>
    <mergeCell ref="HH184:HH185"/>
    <mergeCell ref="HI184:HI185"/>
    <mergeCell ref="HJ184:HJ185"/>
    <mergeCell ref="CR180:CR181"/>
    <mergeCell ref="CS180:CS181"/>
    <mergeCell ref="DA183:DA186"/>
    <mergeCell ref="DB183:DB186"/>
    <mergeCell ref="DC183:DC186"/>
    <mergeCell ref="DD183:DD186"/>
    <mergeCell ref="DF183:DF184"/>
    <mergeCell ref="EN178:EN181"/>
    <mergeCell ref="EO178:EO181"/>
    <mergeCell ref="DN185:DN186"/>
    <mergeCell ref="EN183:EN186"/>
    <mergeCell ref="EO183:EO186"/>
    <mergeCell ref="EP183:EP186"/>
    <mergeCell ref="EQ183:EQ186"/>
    <mergeCell ref="ER183:ER186"/>
    <mergeCell ref="ES183:ES186"/>
    <mergeCell ref="ET183:ET186"/>
    <mergeCell ref="DG183:DG184"/>
    <mergeCell ref="DH183:DH184"/>
    <mergeCell ref="FY183:FY184"/>
    <mergeCell ref="FP183:FP184"/>
    <mergeCell ref="CV178:CV179"/>
    <mergeCell ref="CW178:CW179"/>
    <mergeCell ref="CX178:CX179"/>
    <mergeCell ref="CY178:CY179"/>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S178:DS181"/>
    <mergeCell ref="DT178:DT179"/>
    <mergeCell ref="DU178:DU181"/>
    <mergeCell ref="DV178:DV181"/>
    <mergeCell ref="DX178:DX181"/>
    <mergeCell ref="DY178:DY179"/>
    <mergeCell ref="DZ178:DZ181"/>
    <mergeCell ref="EA178:EA181"/>
    <mergeCell ref="EC178:EC181"/>
    <mergeCell ref="ED178:ED181"/>
    <mergeCell ref="DI180:DI181"/>
    <mergeCell ref="DJ180:DJ181"/>
    <mergeCell ref="DN180:DN181"/>
    <mergeCell ref="DR180:DR181"/>
    <mergeCell ref="DT180:DT181"/>
    <mergeCell ref="DY180:DY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HK179:HK180"/>
    <mergeCell ref="HL179:HL180"/>
    <mergeCell ref="HM179:HM180"/>
    <mergeCell ref="HN179:HN180"/>
    <mergeCell ref="HO179:HO180"/>
    <mergeCell ref="HP179:HP180"/>
    <mergeCell ref="HQ179:HQ180"/>
    <mergeCell ref="HR179:HR180"/>
    <mergeCell ref="HS179:HS180"/>
    <mergeCell ref="HT179:HT180"/>
    <mergeCell ref="HU179:HU180"/>
    <mergeCell ref="HV179:HV180"/>
    <mergeCell ref="HW179:HW180"/>
    <mergeCell ref="HX179:HX180"/>
    <mergeCell ref="HY179:HY180"/>
    <mergeCell ref="HZ179:HZ180"/>
    <mergeCell ref="ID179:ID180"/>
    <mergeCell ref="FW178:FW179"/>
    <mergeCell ref="FX178:FX179"/>
    <mergeCell ref="GD178:GD181"/>
    <mergeCell ref="GE178:GE181"/>
    <mergeCell ref="GF178:GF181"/>
    <mergeCell ref="GG178:GG181"/>
    <mergeCell ref="GH178:GH181"/>
    <mergeCell ref="GK178:GK181"/>
    <mergeCell ref="IB178:IB180"/>
    <mergeCell ref="FS173:FS174"/>
    <mergeCell ref="FT173:FT174"/>
    <mergeCell ref="FU173:FU174"/>
    <mergeCell ref="FV173:FV174"/>
    <mergeCell ref="FW173:FW174"/>
    <mergeCell ref="FX173:FX174"/>
    <mergeCell ref="GA173:GA176"/>
    <mergeCell ref="GB173:GB176"/>
    <mergeCell ref="GC173:GC176"/>
    <mergeCell ref="HK174:HK175"/>
    <mergeCell ref="HL174:HL175"/>
    <mergeCell ref="HM174:HM175"/>
    <mergeCell ref="HN174:HN175"/>
    <mergeCell ref="HO174:HO175"/>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Q171:DR171"/>
    <mergeCell ref="DX171:DY171"/>
    <mergeCell ref="DQ172:DR172"/>
    <mergeCell ref="DX172:DY172"/>
    <mergeCell ref="DG173:DG174"/>
    <mergeCell ref="DH173:DH174"/>
    <mergeCell ref="DI173:DI174"/>
    <mergeCell ref="DJ173:DJ174"/>
    <mergeCell ref="DK173:DK176"/>
    <mergeCell ref="DM173:DM174"/>
    <mergeCell ref="DO173:DO176"/>
    <mergeCell ref="DF175:DF176"/>
    <mergeCell ref="DG175:DG176"/>
    <mergeCell ref="DH175:DH176"/>
    <mergeCell ref="DI175:DI176"/>
    <mergeCell ref="DJ175:DJ176"/>
    <mergeCell ref="DN175:DN176"/>
    <mergeCell ref="FC173:FC176"/>
    <mergeCell ref="DK165:DK168"/>
    <mergeCell ref="EI173:EI176"/>
    <mergeCell ref="EJ173:EJ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P171:AQ171"/>
    <mergeCell ref="CP173:CP176"/>
    <mergeCell ref="CQ173:CQ176"/>
    <mergeCell ref="CR173:CR174"/>
    <mergeCell ref="CS173:CS174"/>
    <mergeCell ref="CU173:CU174"/>
    <mergeCell ref="DQ165:DQ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P178:EP181"/>
    <mergeCell ref="EQ178:EQ181"/>
    <mergeCell ref="ER178:ER181"/>
    <mergeCell ref="ES178:ES181"/>
    <mergeCell ref="ET178:ET181"/>
    <mergeCell ref="EV178:EV181"/>
    <mergeCell ref="EX178:EX179"/>
    <mergeCell ref="EX180:EX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O178:DO181"/>
    <mergeCell ref="DQ178:DQ181"/>
    <mergeCell ref="DR178:DR179"/>
    <mergeCell ref="DM165:DM166"/>
    <mergeCell ref="DI167:DI168"/>
    <mergeCell ref="DJ167:DJ168"/>
    <mergeCell ref="E157:F157"/>
    <mergeCell ref="G157:L157"/>
    <mergeCell ref="P157:Q157"/>
    <mergeCell ref="S157:S158"/>
    <mergeCell ref="AG157:AL157"/>
    <mergeCell ref="AM157:AM158"/>
    <mergeCell ref="B165:B168"/>
    <mergeCell ref="B178:B181"/>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E163:F163"/>
    <mergeCell ref="G163:L163"/>
    <mergeCell ref="CP165:CP168"/>
    <mergeCell ref="CQ165:CQ168"/>
    <mergeCell ref="CR165:CR166"/>
    <mergeCell ref="CS165:CS166"/>
    <mergeCell ref="CU165:CU166"/>
    <mergeCell ref="CV165:CV166"/>
    <mergeCell ref="CW165:CW166"/>
    <mergeCell ref="CX165:CX166"/>
    <mergeCell ref="IC175:IC176"/>
    <mergeCell ref="GQ174:GQ175"/>
    <mergeCell ref="HH174:HH175"/>
    <mergeCell ref="HI174:HI175"/>
    <mergeCell ref="HJ174:HJ175"/>
    <mergeCell ref="GM174:GM175"/>
    <mergeCell ref="GN174:GN175"/>
    <mergeCell ref="GP174:GP175"/>
    <mergeCell ref="HS174:HS175"/>
    <mergeCell ref="HT174:HT175"/>
    <mergeCell ref="HU174:HU175"/>
    <mergeCell ref="HV174:HV175"/>
    <mergeCell ref="HW174:HW175"/>
    <mergeCell ref="HX174:HX175"/>
    <mergeCell ref="HY174:HY175"/>
    <mergeCell ref="HZ174:HZ175"/>
    <mergeCell ref="DT175:DT176"/>
    <mergeCell ref="DY175:DY176"/>
    <mergeCell ref="FS175:FS176"/>
    <mergeCell ref="FT175:FT176"/>
    <mergeCell ref="FU175:FU176"/>
    <mergeCell ref="FV175:FV176"/>
    <mergeCell ref="CR175:CR176"/>
    <mergeCell ref="CS175:CS176"/>
    <mergeCell ref="CU175:CU176"/>
    <mergeCell ref="CV175:CV176"/>
    <mergeCell ref="CW175:CW176"/>
    <mergeCell ref="CX175:CX176"/>
    <mergeCell ref="CY175:CY176"/>
    <mergeCell ref="CZ175:CZ176"/>
    <mergeCell ref="GD173:GD176"/>
    <mergeCell ref="GE173:GE176"/>
    <mergeCell ref="GF173:GF176"/>
    <mergeCell ref="GG173:GG176"/>
    <mergeCell ref="GH173:GH176"/>
    <mergeCell ref="GK173:GK176"/>
    <mergeCell ref="IB173:IB175"/>
    <mergeCell ref="IC173:IC174"/>
    <mergeCell ref="EX175:EX176"/>
    <mergeCell ref="EY175:EY176"/>
    <mergeCell ref="CV173:CV174"/>
    <mergeCell ref="CW173:CW174"/>
    <mergeCell ref="CX173:CX174"/>
    <mergeCell ref="CY173:CY174"/>
    <mergeCell ref="CZ173:CZ174"/>
    <mergeCell ref="DA173:DA176"/>
    <mergeCell ref="DB173:DB176"/>
    <mergeCell ref="DC173:DC176"/>
    <mergeCell ref="DD173:DD176"/>
    <mergeCell ref="DF173:DF174"/>
    <mergeCell ref="FW175:FW176"/>
    <mergeCell ref="FX175:FX176"/>
    <mergeCell ref="EK173:EK176"/>
    <mergeCell ref="EL173:EL176"/>
    <mergeCell ref="FA173:FA174"/>
    <mergeCell ref="FB173:FB174"/>
    <mergeCell ref="FO175:FO176"/>
    <mergeCell ref="FO173:FO174"/>
    <mergeCell ref="FQ175:FQ176"/>
    <mergeCell ref="FQ173:FQ174"/>
    <mergeCell ref="CR167:CR168"/>
    <mergeCell ref="CS167:CS168"/>
    <mergeCell ref="CU167:CU168"/>
    <mergeCell ref="CV167:CV168"/>
    <mergeCell ref="CW167:CW168"/>
    <mergeCell ref="CX167:CX168"/>
    <mergeCell ref="FE167:FE168"/>
    <mergeCell ref="FL167:FL168"/>
    <mergeCell ref="FM167:FM168"/>
    <mergeCell ref="FN167:FN168"/>
    <mergeCell ref="EY165:EY166"/>
    <mergeCell ref="EZ165:EZ166"/>
    <mergeCell ref="FA165:FA166"/>
    <mergeCell ref="FB165:FB166"/>
    <mergeCell ref="FC165:FC168"/>
    <mergeCell ref="FE165:FE166"/>
    <mergeCell ref="FG165:FG168"/>
    <mergeCell ref="FH165:FH168"/>
    <mergeCell ref="FL165:FL166"/>
    <mergeCell ref="FM165:FM166"/>
    <mergeCell ref="FN165:FN166"/>
    <mergeCell ref="EZ175:EZ176"/>
    <mergeCell ref="FA175:FA176"/>
    <mergeCell ref="FB175:FB176"/>
    <mergeCell ref="DQ173:DQ176"/>
    <mergeCell ref="DR173:DR174"/>
    <mergeCell ref="DS173:DS176"/>
    <mergeCell ref="DT173:DT174"/>
    <mergeCell ref="DU173:DU176"/>
    <mergeCell ref="EV173:EV176"/>
    <mergeCell ref="EZ173:EZ174"/>
    <mergeCell ref="EY173:EY174"/>
    <mergeCell ref="DR175:DR176"/>
    <mergeCell ref="CY165:CY166"/>
    <mergeCell ref="CZ165:CZ166"/>
    <mergeCell ref="DA165:DA168"/>
    <mergeCell ref="DB165:DB168"/>
    <mergeCell ref="DC165:DC168"/>
    <mergeCell ref="DD165:DD168"/>
    <mergeCell ref="DF165:DF166"/>
    <mergeCell ref="DG165:DG166"/>
    <mergeCell ref="DH165:DH166"/>
    <mergeCell ref="EQ173:EQ176"/>
    <mergeCell ref="ER173:ER176"/>
    <mergeCell ref="ES173:ES176"/>
    <mergeCell ref="ET173:ET176"/>
    <mergeCell ref="EM173:EM176"/>
    <mergeCell ref="EN173:EN176"/>
    <mergeCell ref="EO173:EO176"/>
    <mergeCell ref="EP173:EP176"/>
    <mergeCell ref="FE175:FE176"/>
    <mergeCell ref="FL175:FL176"/>
    <mergeCell ref="FM175:FM176"/>
    <mergeCell ref="FN175:FN176"/>
    <mergeCell ref="DV173:DV176"/>
    <mergeCell ref="DX173:DX176"/>
    <mergeCell ref="DY173:DY174"/>
    <mergeCell ref="DZ173:DZ176"/>
    <mergeCell ref="EA173:EA176"/>
    <mergeCell ref="EC173:EC176"/>
    <mergeCell ref="EG173:EG176"/>
    <mergeCell ref="EH173:EH176"/>
    <mergeCell ref="EX173:EX174"/>
    <mergeCell ref="FE173:FE174"/>
    <mergeCell ref="FG173:FG176"/>
    <mergeCell ref="FH173:FH176"/>
    <mergeCell ref="FL173:FL174"/>
    <mergeCell ref="FM173:FM174"/>
    <mergeCell ref="FN173:FN174"/>
    <mergeCell ref="DJ165:DJ166"/>
    <mergeCell ref="DI165:DI166"/>
    <mergeCell ref="FB167:FB168"/>
    <mergeCell ref="DX165:DX168"/>
    <mergeCell ref="CY167:CY168"/>
    <mergeCell ref="CZ167:CZ168"/>
    <mergeCell ref="DF167:DF168"/>
    <mergeCell ref="DG167:DG168"/>
    <mergeCell ref="DH167:DH168"/>
    <mergeCell ref="EX167:EX168"/>
    <mergeCell ref="DO165:DO168"/>
    <mergeCell ref="EY167:EY168"/>
    <mergeCell ref="EZ167:EZ168"/>
    <mergeCell ref="FA167:FA168"/>
    <mergeCell ref="ED173:ED176"/>
    <mergeCell ref="EF173:EF176"/>
    <mergeCell ref="DR165:DR166"/>
    <mergeCell ref="DS165:DS168"/>
    <mergeCell ref="DT165:DT166"/>
    <mergeCell ref="DU165:DU168"/>
    <mergeCell ref="DV165:DV168"/>
    <mergeCell ref="ET165:ET168"/>
    <mergeCell ref="EV165:EV168"/>
    <mergeCell ref="EX165:EX166"/>
    <mergeCell ref="HW166:HW167"/>
    <mergeCell ref="HX166:HX167"/>
    <mergeCell ref="HY166:HY167"/>
    <mergeCell ref="HZ166:HZ167"/>
    <mergeCell ref="ID166:ID167"/>
    <mergeCell ref="FW165:FW166"/>
    <mergeCell ref="FX165:FX166"/>
    <mergeCell ref="GA165:GA168"/>
    <mergeCell ref="GB165:GB168"/>
    <mergeCell ref="GC165:GC168"/>
    <mergeCell ref="GD165:GD168"/>
    <mergeCell ref="GE165:GE168"/>
    <mergeCell ref="GF165:GF168"/>
    <mergeCell ref="GG165:GG168"/>
    <mergeCell ref="GH165:GH168"/>
    <mergeCell ref="GK165:GK168"/>
    <mergeCell ref="IB165:IB167"/>
    <mergeCell ref="IC165:IC166"/>
    <mergeCell ref="FW167:FW168"/>
    <mergeCell ref="FX167:FX168"/>
    <mergeCell ref="IC167:IC168"/>
    <mergeCell ref="FY165:FY166"/>
    <mergeCell ref="IK162:IK163"/>
    <mergeCell ref="IM162:IM163"/>
    <mergeCell ref="FA160:FA161"/>
    <mergeCell ref="FB160:FB161"/>
    <mergeCell ref="FC160:FC163"/>
    <mergeCell ref="FE160:FE161"/>
    <mergeCell ref="FG160:FG163"/>
    <mergeCell ref="FH160:FH163"/>
    <mergeCell ref="FL160:FL161"/>
    <mergeCell ref="FM160:FM161"/>
    <mergeCell ref="FN160:FN161"/>
    <mergeCell ref="FO160:FO161"/>
    <mergeCell ref="FQ160:FQ161"/>
    <mergeCell ref="FS162:FS163"/>
    <mergeCell ref="FT162:FT163"/>
    <mergeCell ref="FU162:FU163"/>
    <mergeCell ref="FV162:FV163"/>
    <mergeCell ref="FW162:FW163"/>
    <mergeCell ref="FX162:FX163"/>
    <mergeCell ref="HV161:HV162"/>
    <mergeCell ref="HW161:HW162"/>
    <mergeCell ref="FO165:FO166"/>
    <mergeCell ref="GP166:GP167"/>
    <mergeCell ref="GQ166:GQ167"/>
    <mergeCell ref="HH166:HH167"/>
    <mergeCell ref="HI166:HI167"/>
    <mergeCell ref="HJ166:HJ167"/>
    <mergeCell ref="HK166:HK167"/>
    <mergeCell ref="HL166:HL167"/>
    <mergeCell ref="HM166:HM167"/>
    <mergeCell ref="HN166:HN167"/>
    <mergeCell ref="HO166:HO167"/>
    <mergeCell ref="HP166:HP167"/>
    <mergeCell ref="HQ166:HQ167"/>
    <mergeCell ref="FV165:FV166"/>
    <mergeCell ref="HM161:HM162"/>
    <mergeCell ref="FS165:FS166"/>
    <mergeCell ref="FO167:FO168"/>
    <mergeCell ref="FQ167:FQ168"/>
    <mergeCell ref="FS167:FS168"/>
    <mergeCell ref="FT167:FT168"/>
    <mergeCell ref="FU167:FU168"/>
    <mergeCell ref="FV167:FV168"/>
    <mergeCell ref="EF165:EF168"/>
    <mergeCell ref="DY165:DY166"/>
    <mergeCell ref="DZ165:DZ168"/>
    <mergeCell ref="EA165:EA168"/>
    <mergeCell ref="EC165:EC168"/>
    <mergeCell ref="ED165:ED168"/>
    <mergeCell ref="DN167:DN168"/>
    <mergeCell ref="DR167:DR168"/>
    <mergeCell ref="DT167:DT168"/>
    <mergeCell ref="DY167:DY168"/>
    <mergeCell ref="IM165:IM166"/>
    <mergeCell ref="FQ165:FQ166"/>
    <mergeCell ref="EG165:EG168"/>
    <mergeCell ref="EH165:EH168"/>
    <mergeCell ref="EI165:EI168"/>
    <mergeCell ref="EJ165:EJ168"/>
    <mergeCell ref="EK165:EK168"/>
    <mergeCell ref="EL165:EL168"/>
    <mergeCell ref="EM165:EM168"/>
    <mergeCell ref="EN165:EN168"/>
    <mergeCell ref="EO165:EO168"/>
    <mergeCell ref="EP165:EP168"/>
    <mergeCell ref="EQ165:EQ168"/>
    <mergeCell ref="ER165:ER168"/>
    <mergeCell ref="ES165:ES168"/>
    <mergeCell ref="HX161:HX162"/>
    <mergeCell ref="HY161:HY162"/>
    <mergeCell ref="HZ161:HZ162"/>
    <mergeCell ref="ID161:ID162"/>
    <mergeCell ref="GA160:GA163"/>
    <mergeCell ref="GB160:GB163"/>
    <mergeCell ref="GC160:GC163"/>
    <mergeCell ref="GD160:GD163"/>
    <mergeCell ref="GE160:GE163"/>
    <mergeCell ref="GF160:GF163"/>
    <mergeCell ref="GG160:GG163"/>
    <mergeCell ref="GH160:GH163"/>
    <mergeCell ref="GK160:GK163"/>
    <mergeCell ref="IB160:IB162"/>
    <mergeCell ref="IC160:IC161"/>
    <mergeCell ref="IC162:IC163"/>
    <mergeCell ref="FS160:FS161"/>
    <mergeCell ref="FT160:FT161"/>
    <mergeCell ref="FU160:FU161"/>
    <mergeCell ref="FV160:FV161"/>
    <mergeCell ref="FW160:FW161"/>
    <mergeCell ref="FX160:FX161"/>
    <mergeCell ref="FA162:FA163"/>
    <mergeCell ref="FB162:FB163"/>
    <mergeCell ref="FE162:FE163"/>
    <mergeCell ref="FL162:FL163"/>
    <mergeCell ref="FM162:FM163"/>
    <mergeCell ref="FN162:FN163"/>
    <mergeCell ref="FO162:FO163"/>
    <mergeCell ref="FQ162:FQ163"/>
    <mergeCell ref="HR166:HR167"/>
    <mergeCell ref="FT165:FT166"/>
    <mergeCell ref="FU165:FU166"/>
    <mergeCell ref="EN160:EN163"/>
    <mergeCell ref="GQ161:GQ162"/>
    <mergeCell ref="HH161:HH162"/>
    <mergeCell ref="HI161:HI162"/>
    <mergeCell ref="HJ161:HJ162"/>
    <mergeCell ref="DI162:DI163"/>
    <mergeCell ref="DJ162:DJ163"/>
    <mergeCell ref="EY162:EY163"/>
    <mergeCell ref="EZ162:EZ163"/>
    <mergeCell ref="DX160:DX163"/>
    <mergeCell ref="DY160:DY161"/>
    <mergeCell ref="DZ160:DZ163"/>
    <mergeCell ref="EA160:EA163"/>
    <mergeCell ref="CS160:CS161"/>
    <mergeCell ref="CU160:CU161"/>
    <mergeCell ref="CV160:CV161"/>
    <mergeCell ref="EQ160:EQ163"/>
    <mergeCell ref="ER160:ER163"/>
    <mergeCell ref="ES160:ES163"/>
    <mergeCell ref="ET160:ET163"/>
    <mergeCell ref="EV160:EV163"/>
    <mergeCell ref="EX160:EX161"/>
    <mergeCell ref="EY160:EY161"/>
    <mergeCell ref="EZ160:EZ161"/>
    <mergeCell ref="EX162:EX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HK161:HK162"/>
    <mergeCell ref="HL161:HL162"/>
    <mergeCell ref="CV162:CV163"/>
    <mergeCell ref="CW162:CW163"/>
    <mergeCell ref="CW160:CW161"/>
    <mergeCell ref="CX160:CX161"/>
    <mergeCell ref="GP161:GP162"/>
    <mergeCell ref="DO160:DO163"/>
    <mergeCell ref="DQ160:DQ163"/>
    <mergeCell ref="DR160:DR161"/>
    <mergeCell ref="DS160:DS163"/>
    <mergeCell ref="DT160:DT161"/>
    <mergeCell ref="DU160:DU163"/>
    <mergeCell ref="DV160:DV163"/>
    <mergeCell ref="EO160:EO163"/>
    <mergeCell ref="EP160:EP163"/>
    <mergeCell ref="EH160:EH163"/>
    <mergeCell ref="FP160:FP161"/>
    <mergeCell ref="GN161:GN162"/>
    <mergeCell ref="EC160:EC163"/>
    <mergeCell ref="ED160:ED163"/>
    <mergeCell ref="EF160:EF163"/>
    <mergeCell ref="EG160:EG163"/>
    <mergeCell ref="DN162:DN163"/>
    <mergeCell ref="DR162:DR163"/>
    <mergeCell ref="DT162:DT163"/>
    <mergeCell ref="DY162:DY163"/>
    <mergeCell ref="DK160:DK163"/>
    <mergeCell ref="DM160:DM161"/>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CP155:CP158"/>
    <mergeCell ref="CQ155:CQ158"/>
    <mergeCell ref="CR155:CR156"/>
    <mergeCell ref="CS155:CS156"/>
    <mergeCell ref="CU155:CU156"/>
    <mergeCell ref="CV150:CV151"/>
    <mergeCell ref="CR157:CR158"/>
    <mergeCell ref="HQ161:HQ162"/>
    <mergeCell ref="HR161:HR162"/>
    <mergeCell ref="HS161:HS162"/>
    <mergeCell ref="HT161:HT162"/>
    <mergeCell ref="FU155:FU156"/>
    <mergeCell ref="FV155:FV156"/>
    <mergeCell ref="FW155:FW156"/>
    <mergeCell ref="FX155:FX156"/>
    <mergeCell ref="GA155:GA158"/>
    <mergeCell ref="GB155:GB158"/>
    <mergeCell ref="GC155:GC158"/>
    <mergeCell ref="FE157:FE158"/>
    <mergeCell ref="FL157:FL158"/>
    <mergeCell ref="CS157:CS158"/>
    <mergeCell ref="CU157:CU158"/>
    <mergeCell ref="DF157:DF158"/>
    <mergeCell ref="DG157:DG158"/>
    <mergeCell ref="DH157:DH158"/>
    <mergeCell ref="DI157:DI158"/>
    <mergeCell ref="CV155:CV156"/>
    <mergeCell ref="DR157:DR158"/>
    <mergeCell ref="DT157:DT158"/>
    <mergeCell ref="DY157:DY158"/>
    <mergeCell ref="FV157:FV158"/>
    <mergeCell ref="FW157:FW158"/>
    <mergeCell ref="FX157:FX158"/>
    <mergeCell ref="CV157:CV158"/>
    <mergeCell ref="DA155:DA158"/>
    <mergeCell ref="DB155:DB158"/>
    <mergeCell ref="DC155:DC158"/>
    <mergeCell ref="DD155:DD158"/>
    <mergeCell ref="HP156:HP157"/>
    <mergeCell ref="HQ156:HQ157"/>
    <mergeCell ref="FM157:FM158"/>
    <mergeCell ref="FN157:FN158"/>
    <mergeCell ref="FO157:FO158"/>
    <mergeCell ref="FQ157:FQ158"/>
    <mergeCell ref="FS157:FS158"/>
    <mergeCell ref="FT157:FT158"/>
    <mergeCell ref="HN161:HN162"/>
    <mergeCell ref="HO161:HO162"/>
    <mergeCell ref="IL155:IL158"/>
    <mergeCell ref="EZ150:EZ151"/>
    <mergeCell ref="FY152:FY153"/>
    <mergeCell ref="FA155:FA156"/>
    <mergeCell ref="FB155:FB156"/>
    <mergeCell ref="FC155:FC158"/>
    <mergeCell ref="EX157:EX158"/>
    <mergeCell ref="EY157:EY158"/>
    <mergeCell ref="EZ157:EZ158"/>
    <mergeCell ref="EY155:EY156"/>
    <mergeCell ref="DY155:DY156"/>
    <mergeCell ref="DZ155:DZ158"/>
    <mergeCell ref="EA155:EA158"/>
    <mergeCell ref="EC155:EC158"/>
    <mergeCell ref="ED155:ED158"/>
    <mergeCell ref="FV150:FV151"/>
    <mergeCell ref="EY152:EY153"/>
    <mergeCell ref="EZ152:EZ153"/>
    <mergeCell ref="FA152:FA153"/>
    <mergeCell ref="FB152:FB153"/>
    <mergeCell ref="FE152:FE153"/>
    <mergeCell ref="FL152:FL153"/>
    <mergeCell ref="FN150:FN151"/>
    <mergeCell ref="FO150:FO151"/>
    <mergeCell ref="FQ150:FQ151"/>
    <mergeCell ref="FS150:FS151"/>
    <mergeCell ref="FT150:FT151"/>
    <mergeCell ref="EH155:EH158"/>
    <mergeCell ref="EI155:EI158"/>
    <mergeCell ref="HP161:HP162"/>
    <mergeCell ref="EI160:EI163"/>
    <mergeCell ref="EJ160:EJ163"/>
    <mergeCell ref="EK160:EK163"/>
    <mergeCell ref="EL160:EL163"/>
    <mergeCell ref="EM160:EM163"/>
    <mergeCell ref="DF155:DF156"/>
    <mergeCell ref="DG155:DG156"/>
    <mergeCell ref="DH155:DH156"/>
    <mergeCell ref="DI155:DI156"/>
    <mergeCell ref="DJ155:DJ156"/>
    <mergeCell ref="DK155:DK158"/>
    <mergeCell ref="CW157:CW158"/>
    <mergeCell ref="CX157:CX158"/>
    <mergeCell ref="CY157:CY158"/>
    <mergeCell ref="CZ157:CZ158"/>
    <mergeCell ref="CW155:CW156"/>
    <mergeCell ref="CX155:CX156"/>
    <mergeCell ref="CY155:CY156"/>
    <mergeCell ref="DJ157:DJ158"/>
    <mergeCell ref="DN157:DN158"/>
    <mergeCell ref="EJ155:EJ158"/>
    <mergeCell ref="GM156:GM157"/>
    <mergeCell ref="GN156:GN157"/>
    <mergeCell ref="GP156:GP157"/>
    <mergeCell ref="GQ156:GQ157"/>
    <mergeCell ref="HH156:HH157"/>
    <mergeCell ref="HI156:HI157"/>
    <mergeCell ref="HJ156:HJ157"/>
    <mergeCell ref="HK156:HK157"/>
    <mergeCell ref="HL156:HL157"/>
    <mergeCell ref="HM156:HM157"/>
    <mergeCell ref="HN156:HN157"/>
    <mergeCell ref="HO156:HO157"/>
    <mergeCell ref="FE155:FE156"/>
    <mergeCell ref="FG155:FG158"/>
    <mergeCell ref="FH155:FH158"/>
    <mergeCell ref="FL155:FL156"/>
    <mergeCell ref="FM155:FM156"/>
    <mergeCell ref="FN155:FN156"/>
    <mergeCell ref="FU157:FU158"/>
    <mergeCell ref="FA157:FA158"/>
    <mergeCell ref="FB157:FB158"/>
    <mergeCell ref="DQ155:DQ158"/>
    <mergeCell ref="DR155:DR156"/>
    <mergeCell ref="DS155:DS158"/>
    <mergeCell ref="DT155:DT156"/>
    <mergeCell ref="DU155:DU158"/>
    <mergeCell ref="DV155:DV158"/>
    <mergeCell ref="DX155:DX158"/>
    <mergeCell ref="CW150:CW151"/>
    <mergeCell ref="DZ150:DZ153"/>
    <mergeCell ref="EJ150:EJ153"/>
    <mergeCell ref="CX150:CX151"/>
    <mergeCell ref="CY150:CY151"/>
    <mergeCell ref="CZ150:CZ151"/>
    <mergeCell ref="IG157:IG158"/>
    <mergeCell ref="HW156:HW157"/>
    <mergeCell ref="HX156:HX157"/>
    <mergeCell ref="HY156:HY157"/>
    <mergeCell ref="HR156:HR157"/>
    <mergeCell ref="DM155:DM156"/>
    <mergeCell ref="DO155:DO158"/>
    <mergeCell ref="ID156:ID157"/>
    <mergeCell ref="IC157:IC158"/>
    <mergeCell ref="GK150:GK153"/>
    <mergeCell ref="FM145:FM146"/>
    <mergeCell ref="FN145:FN146"/>
    <mergeCell ref="FO145:FO146"/>
    <mergeCell ref="FQ145:FQ146"/>
    <mergeCell ref="FS145:FS146"/>
    <mergeCell ref="FT145:FT146"/>
    <mergeCell ref="FU145:FU146"/>
    <mergeCell ref="FV145:FV146"/>
    <mergeCell ref="FW145:FW146"/>
    <mergeCell ref="EF145:EF148"/>
    <mergeCell ref="EG145:EG148"/>
    <mergeCell ref="FP150:FP151"/>
    <mergeCell ref="FG145:FG148"/>
    <mergeCell ref="FH145:FH148"/>
    <mergeCell ref="ET150:ET153"/>
    <mergeCell ref="EV150:EV153"/>
    <mergeCell ref="FW150:FW151"/>
    <mergeCell ref="FX150:FX151"/>
    <mergeCell ref="FL145:FL146"/>
    <mergeCell ref="FY145:FY146"/>
    <mergeCell ref="FO155:FO156"/>
    <mergeCell ref="FQ155:FQ156"/>
    <mergeCell ref="FS155:FS156"/>
    <mergeCell ref="FT155:FT156"/>
    <mergeCell ref="ER150:ER153"/>
    <mergeCell ref="ES150:ES153"/>
    <mergeCell ref="EX155:EX156"/>
    <mergeCell ref="EK155:EK158"/>
    <mergeCell ref="GD155:GD158"/>
    <mergeCell ref="GE155:GE158"/>
    <mergeCell ref="EZ155:EZ156"/>
    <mergeCell ref="EF155:EF158"/>
    <mergeCell ref="EG155:EG158"/>
    <mergeCell ref="EL155:EL158"/>
    <mergeCell ref="EM155:EM158"/>
    <mergeCell ref="EN155:EN158"/>
    <mergeCell ref="EO155:EO158"/>
    <mergeCell ref="EP155:EP158"/>
    <mergeCell ref="EQ155:EQ158"/>
    <mergeCell ref="ER155:ER158"/>
    <mergeCell ref="ES155:ES158"/>
    <mergeCell ref="ET155:ET158"/>
    <mergeCell ref="EV155:EV158"/>
    <mergeCell ref="EK150:EK153"/>
    <mergeCell ref="EL150:EL153"/>
    <mergeCell ref="EM150:EM153"/>
    <mergeCell ref="EN150:EN153"/>
    <mergeCell ref="DZ145:DZ148"/>
    <mergeCell ref="IK147:IK148"/>
    <mergeCell ref="IM147:IM148"/>
    <mergeCell ref="FA145:FA146"/>
    <mergeCell ref="FB145:FB146"/>
    <mergeCell ref="FC145:FC148"/>
    <mergeCell ref="FE145:FE146"/>
    <mergeCell ref="HX146:HX147"/>
    <mergeCell ref="HY146:HY147"/>
    <mergeCell ref="HZ146:HZ147"/>
    <mergeCell ref="ID146:ID147"/>
    <mergeCell ref="IM152:IM153"/>
    <mergeCell ref="IB145:IB147"/>
    <mergeCell ref="IC145:IC146"/>
    <mergeCell ref="IC147:IC148"/>
    <mergeCell ref="FN147:FN148"/>
    <mergeCell ref="FO147:FO148"/>
    <mergeCell ref="FQ147:FQ148"/>
    <mergeCell ref="FS147:FS148"/>
    <mergeCell ref="FT147:FT148"/>
    <mergeCell ref="FU147:FU148"/>
    <mergeCell ref="FV147:FV148"/>
    <mergeCell ref="FW147:FW148"/>
    <mergeCell ref="FX147:FX148"/>
    <mergeCell ref="HO146:HO147"/>
    <mergeCell ref="EH145:EH148"/>
    <mergeCell ref="EI145:EI148"/>
    <mergeCell ref="EJ145:EJ148"/>
    <mergeCell ref="EK145:EK148"/>
    <mergeCell ref="EL145:EL148"/>
    <mergeCell ref="EM145:EM148"/>
    <mergeCell ref="EN145:EN148"/>
    <mergeCell ref="EO145:EO148"/>
    <mergeCell ref="EP145:EP148"/>
    <mergeCell ref="GM151:GM152"/>
    <mergeCell ref="GN151:GN152"/>
    <mergeCell ref="GM146:GM147"/>
    <mergeCell ref="GN146:GN147"/>
    <mergeCell ref="GP146:GP147"/>
    <mergeCell ref="GQ146:GQ147"/>
    <mergeCell ref="HH146:HH147"/>
    <mergeCell ref="HI146:HI147"/>
    <mergeCell ref="HJ146:HJ147"/>
    <mergeCell ref="HS146:HS147"/>
    <mergeCell ref="GP151:GP152"/>
    <mergeCell ref="HV151:HV152"/>
    <mergeCell ref="HW151:HW152"/>
    <mergeCell ref="HX151:HX152"/>
    <mergeCell ref="HY151:HY152"/>
    <mergeCell ref="HZ151:HZ152"/>
    <mergeCell ref="ID151:ID152"/>
    <mergeCell ref="HO151:HO152"/>
    <mergeCell ref="HP151:HP152"/>
    <mergeCell ref="HQ151:HQ152"/>
    <mergeCell ref="HR151:HR152"/>
    <mergeCell ref="HS151:HS152"/>
    <mergeCell ref="HT151:HT152"/>
    <mergeCell ref="HU151:HU152"/>
    <mergeCell ref="GE145:GE148"/>
    <mergeCell ref="GF145:GF148"/>
    <mergeCell ref="GG145:GG148"/>
    <mergeCell ref="GH145:GH148"/>
    <mergeCell ref="GK145:GK148"/>
    <mergeCell ref="GD150:GD153"/>
    <mergeCell ref="GE150:GE153"/>
    <mergeCell ref="CY152:CY153"/>
    <mergeCell ref="EX150:EX151"/>
    <mergeCell ref="EX152:EX153"/>
    <mergeCell ref="EA150:EA153"/>
    <mergeCell ref="EC150:EC153"/>
    <mergeCell ref="ED150:ED153"/>
    <mergeCell ref="DN152:DN153"/>
    <mergeCell ref="FO152:FO153"/>
    <mergeCell ref="FQ152:FQ153"/>
    <mergeCell ref="FS152:FS153"/>
    <mergeCell ref="FT152:FT153"/>
    <mergeCell ref="FU152:FU153"/>
    <mergeCell ref="FV152:FV153"/>
    <mergeCell ref="EF150:EF153"/>
    <mergeCell ref="EG150:EG153"/>
    <mergeCell ref="EH150:EH153"/>
    <mergeCell ref="EI150:EI153"/>
    <mergeCell ref="EQ145:EQ148"/>
    <mergeCell ref="ER145:ER148"/>
    <mergeCell ref="EO150:EO153"/>
    <mergeCell ref="EP150:EP153"/>
    <mergeCell ref="EQ150:EQ153"/>
    <mergeCell ref="DX145:DX148"/>
    <mergeCell ref="DA150:DA153"/>
    <mergeCell ref="DT147:DT148"/>
    <mergeCell ref="DY145:DY146"/>
    <mergeCell ref="EK140:EK143"/>
    <mergeCell ref="EL140:EL143"/>
    <mergeCell ref="EM140:EM143"/>
    <mergeCell ref="EN140:EN143"/>
    <mergeCell ref="EO140:EO143"/>
    <mergeCell ref="DF145:DF146"/>
    <mergeCell ref="DG145:DG146"/>
    <mergeCell ref="DI145:DI146"/>
    <mergeCell ref="DJ145:DJ146"/>
    <mergeCell ref="HK146:HK147"/>
    <mergeCell ref="HL146:HL147"/>
    <mergeCell ref="HM146:HM147"/>
    <mergeCell ref="HN146:HN147"/>
    <mergeCell ref="HP146:HP147"/>
    <mergeCell ref="HQ146:HQ147"/>
    <mergeCell ref="HR146:HR147"/>
    <mergeCell ref="DR152:DR153"/>
    <mergeCell ref="DT152:DT153"/>
    <mergeCell ref="DY152:DY153"/>
    <mergeCell ref="DF150:DF151"/>
    <mergeCell ref="DG150:DG151"/>
    <mergeCell ref="DH150:DH151"/>
    <mergeCell ref="DG152:DG153"/>
    <mergeCell ref="DH152:DH153"/>
    <mergeCell ref="DI152:DI153"/>
    <mergeCell ref="DJ152:DJ153"/>
    <mergeCell ref="CZ147:CZ148"/>
    <mergeCell ref="DF147:DF148"/>
    <mergeCell ref="DG147:DG148"/>
    <mergeCell ref="DH147:DH148"/>
    <mergeCell ref="DI147:DI148"/>
    <mergeCell ref="DJ147:DJ148"/>
    <mergeCell ref="ET145:ET148"/>
    <mergeCell ref="EV145:EV148"/>
    <mergeCell ref="DF152:DF153"/>
    <mergeCell ref="EC145:EC148"/>
    <mergeCell ref="ED145:ED148"/>
    <mergeCell ref="DT150:DT151"/>
    <mergeCell ref="DU150:DU153"/>
    <mergeCell ref="DV150:DV153"/>
    <mergeCell ref="DX150:DX153"/>
    <mergeCell ref="DY150:DY151"/>
    <mergeCell ref="DH145:DH146"/>
    <mergeCell ref="FX145:FX146"/>
    <mergeCell ref="FA150:FA151"/>
    <mergeCell ref="EY150:EY151"/>
    <mergeCell ref="FG150:FG153"/>
    <mergeCell ref="FH150:FH153"/>
    <mergeCell ref="FL150:FL151"/>
    <mergeCell ref="FM150:FM151"/>
    <mergeCell ref="FU150:FU151"/>
    <mergeCell ref="FM152:FM153"/>
    <mergeCell ref="FN152:FN153"/>
    <mergeCell ref="FB147:FB148"/>
    <mergeCell ref="FE147:FE148"/>
    <mergeCell ref="FL147:FL148"/>
    <mergeCell ref="FM147:FM148"/>
    <mergeCell ref="DS150:DS153"/>
    <mergeCell ref="FW152:FW153"/>
    <mergeCell ref="FX152:FX153"/>
    <mergeCell ref="FB150:FB151"/>
    <mergeCell ref="FC150:FC153"/>
    <mergeCell ref="FE150:FE151"/>
    <mergeCell ref="ES145:ES148"/>
    <mergeCell ref="EA145:EA148"/>
    <mergeCell ref="GF150:GF153"/>
    <mergeCell ref="GG150:GG153"/>
    <mergeCell ref="GH150:GH153"/>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O150:DO153"/>
    <mergeCell ref="DQ150:DQ153"/>
    <mergeCell ref="DR150:DR151"/>
    <mergeCell ref="E147:F147"/>
    <mergeCell ref="G147:L147"/>
    <mergeCell ref="B145:B148"/>
    <mergeCell ref="C145:D148"/>
    <mergeCell ref="S145:S146"/>
    <mergeCell ref="U145:AA145"/>
    <mergeCell ref="AG145:AL145"/>
    <mergeCell ref="DN147:DN148"/>
    <mergeCell ref="DB150:DB153"/>
    <mergeCell ref="DC150:DC153"/>
    <mergeCell ref="DD150:DD153"/>
    <mergeCell ref="DR147:DR148"/>
    <mergeCell ref="CP150:CP153"/>
    <mergeCell ref="CZ152:CZ153"/>
    <mergeCell ref="CP145:CP148"/>
    <mergeCell ref="CQ145:CQ148"/>
    <mergeCell ref="CR145:CR146"/>
    <mergeCell ref="AY150:AY153"/>
    <mergeCell ref="AZ150:AZ153"/>
    <mergeCell ref="AM145:AM146"/>
    <mergeCell ref="AN145:AN146"/>
    <mergeCell ref="CS145:CS146"/>
    <mergeCell ref="CR152:CR153"/>
    <mergeCell ref="CS152:CS153"/>
    <mergeCell ref="CU152:CU153"/>
    <mergeCell ref="CV152:CV153"/>
    <mergeCell ref="CW152:CW153"/>
    <mergeCell ref="CX152:CX153"/>
    <mergeCell ref="CQ150:CQ153"/>
    <mergeCell ref="CR150:CR151"/>
    <mergeCell ref="CS150:CS151"/>
    <mergeCell ref="CU150:CU151"/>
    <mergeCell ref="CV140:CV141"/>
    <mergeCell ref="CW140:CW141"/>
    <mergeCell ref="CZ140:CZ141"/>
    <mergeCell ref="DA140:DA143"/>
    <mergeCell ref="FH140:FH143"/>
    <mergeCell ref="FL140:FL141"/>
    <mergeCell ref="FM140:FM141"/>
    <mergeCell ref="FO140:FO141"/>
    <mergeCell ref="FQ140:FQ141"/>
    <mergeCell ref="FS140:FS141"/>
    <mergeCell ref="FT140:FT141"/>
    <mergeCell ref="FU140:FU141"/>
    <mergeCell ref="FV140:FV141"/>
    <mergeCell ref="FW140:FW141"/>
    <mergeCell ref="FX140:FX141"/>
    <mergeCell ref="GA140:GA143"/>
    <mergeCell ref="FY140:FY141"/>
    <mergeCell ref="EY142:EY143"/>
    <mergeCell ref="EZ142:EZ143"/>
    <mergeCell ref="FA142:FA143"/>
    <mergeCell ref="DR140:DR141"/>
    <mergeCell ref="CW142:CW143"/>
    <mergeCell ref="CX142:CX143"/>
    <mergeCell ref="CY142:CY143"/>
    <mergeCell ref="CZ142:CZ143"/>
    <mergeCell ref="FE140:FE141"/>
    <mergeCell ref="FG140:FG143"/>
    <mergeCell ref="DY147:DY148"/>
    <mergeCell ref="DY142:DY143"/>
    <mergeCell ref="EX145:EX146"/>
    <mergeCell ref="EY145:EY146"/>
    <mergeCell ref="DB140:DB143"/>
    <mergeCell ref="DC140:DC143"/>
    <mergeCell ref="DD140:DD143"/>
    <mergeCell ref="DF140:DF141"/>
    <mergeCell ref="DG140:DG141"/>
    <mergeCell ref="DH140:DH141"/>
    <mergeCell ref="DI140:DI141"/>
    <mergeCell ref="DJ140:DJ141"/>
    <mergeCell ref="DK140:DK143"/>
    <mergeCell ref="DM140:DM141"/>
    <mergeCell ref="DO140:DO143"/>
    <mergeCell ref="DF142:DF143"/>
    <mergeCell ref="DG142:DG143"/>
    <mergeCell ref="DH142:DH143"/>
    <mergeCell ref="DI142:DI143"/>
    <mergeCell ref="DJ142:DJ143"/>
    <mergeCell ref="DN142:DN143"/>
    <mergeCell ref="CX140:CX141"/>
    <mergeCell ref="CY140:CY141"/>
    <mergeCell ref="EZ145:EZ146"/>
    <mergeCell ref="EX147:EX148"/>
    <mergeCell ref="EY147:EY148"/>
    <mergeCell ref="EZ147:EZ148"/>
    <mergeCell ref="FA147:FA148"/>
    <mergeCell ref="DK145:DK148"/>
    <mergeCell ref="DM145:DM146"/>
    <mergeCell ref="DO145:DO148"/>
    <mergeCell ref="DQ145:DQ148"/>
    <mergeCell ref="DR145:DR146"/>
    <mergeCell ref="DS145:DS148"/>
    <mergeCell ref="DT145:DT146"/>
    <mergeCell ref="DU145:DU148"/>
    <mergeCell ref="DV145:DV148"/>
    <mergeCell ref="CR135:CR136"/>
    <mergeCell ref="CS135:CS136"/>
    <mergeCell ref="CU135:CU136"/>
    <mergeCell ref="CV135:CV136"/>
    <mergeCell ref="CW135:CW136"/>
    <mergeCell ref="CX135:CX136"/>
    <mergeCell ref="CY135:CY136"/>
    <mergeCell ref="CZ135:CZ136"/>
    <mergeCell ref="AY135:AY138"/>
    <mergeCell ref="P138:R138"/>
    <mergeCell ref="U138:AA138"/>
    <mergeCell ref="EV135:EV138"/>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HQ141:HQ142"/>
    <mergeCell ref="HR141:HR142"/>
    <mergeCell ref="GB140:GB143"/>
    <mergeCell ref="GC140:GC143"/>
    <mergeCell ref="FE142:FE143"/>
    <mergeCell ref="FL142:FL143"/>
    <mergeCell ref="FM142:FM143"/>
    <mergeCell ref="FN142:FN143"/>
    <mergeCell ref="FO142:FO143"/>
    <mergeCell ref="FQ142:FQ143"/>
    <mergeCell ref="FS142:FS143"/>
    <mergeCell ref="GM141:GM142"/>
    <mergeCell ref="GN141:GN142"/>
    <mergeCell ref="E143:F143"/>
    <mergeCell ref="G143:L143"/>
    <mergeCell ref="P143:R143"/>
    <mergeCell ref="U143:AA143"/>
    <mergeCell ref="AG143:AL143"/>
    <mergeCell ref="DS140:DS143"/>
    <mergeCell ref="DT140:DT141"/>
    <mergeCell ref="DU140:DU143"/>
    <mergeCell ref="DV140:DV143"/>
    <mergeCell ref="DX140:DX143"/>
    <mergeCell ref="DY140:DY141"/>
    <mergeCell ref="DZ140:DZ143"/>
    <mergeCell ref="EA140:EA143"/>
    <mergeCell ref="EC140:EC143"/>
    <mergeCell ref="ED140:ED143"/>
    <mergeCell ref="EF140:EF143"/>
    <mergeCell ref="EG140:EG143"/>
    <mergeCell ref="EH140:EH143"/>
    <mergeCell ref="EI140:EI143"/>
    <mergeCell ref="EJ140:EJ143"/>
    <mergeCell ref="DF137:DF138"/>
    <mergeCell ref="DH137:DH138"/>
    <mergeCell ref="DI137:DI138"/>
    <mergeCell ref="DT135:DT136"/>
    <mergeCell ref="DU135:DU138"/>
    <mergeCell ref="DV135:DV138"/>
    <mergeCell ref="DX135:DX138"/>
    <mergeCell ref="FA135:FA136"/>
    <mergeCell ref="FB135:FB136"/>
    <mergeCell ref="FC135:FC138"/>
    <mergeCell ref="FE135:FE136"/>
    <mergeCell ref="FG135:FG138"/>
    <mergeCell ref="FH135:FH138"/>
    <mergeCell ref="DG135:DG136"/>
    <mergeCell ref="DH135:DH136"/>
    <mergeCell ref="DG137:DG138"/>
    <mergeCell ref="DI135:DI136"/>
    <mergeCell ref="DJ135:DJ136"/>
    <mergeCell ref="DK135:DK138"/>
    <mergeCell ref="DM135:DM136"/>
    <mergeCell ref="DO135:DO138"/>
    <mergeCell ref="DQ135:DQ138"/>
    <mergeCell ref="DR135:DR136"/>
    <mergeCell ref="DS135:DS138"/>
    <mergeCell ref="FN140:FN141"/>
    <mergeCell ref="EP140:EP143"/>
    <mergeCell ref="EQ140:EQ143"/>
    <mergeCell ref="ER140:ER143"/>
    <mergeCell ref="ES140:ES143"/>
    <mergeCell ref="ET140:ET143"/>
    <mergeCell ref="EV140:EV143"/>
    <mergeCell ref="EX140:EX141"/>
    <mergeCell ref="EY140:EY141"/>
    <mergeCell ref="EZ140:EZ141"/>
    <mergeCell ref="FA140:FA141"/>
    <mergeCell ref="FB140:FB141"/>
    <mergeCell ref="FC140:FC143"/>
    <mergeCell ref="EX142:EX143"/>
    <mergeCell ref="FB142:FB143"/>
    <mergeCell ref="DQ140:DQ143"/>
    <mergeCell ref="EY137:EY138"/>
    <mergeCell ref="DZ135:DZ138"/>
    <mergeCell ref="FN135:FN136"/>
    <mergeCell ref="DJ137:DJ138"/>
    <mergeCell ref="DR142:DR143"/>
    <mergeCell ref="DT142:DT143"/>
    <mergeCell ref="EM135:EM138"/>
    <mergeCell ref="EN135:EN138"/>
    <mergeCell ref="EO135:EO138"/>
    <mergeCell ref="EP135:EP138"/>
    <mergeCell ref="EQ135:EQ138"/>
    <mergeCell ref="ER135:ER138"/>
    <mergeCell ref="ES135:ES138"/>
    <mergeCell ref="ET135:ET138"/>
    <mergeCell ref="EY135:EY136"/>
    <mergeCell ref="EZ135:EZ136"/>
    <mergeCell ref="EA135:EA138"/>
    <mergeCell ref="EC135:EC138"/>
    <mergeCell ref="ED135:ED138"/>
    <mergeCell ref="DN137:DN138"/>
    <mergeCell ref="DR137:DR138"/>
    <mergeCell ref="DT137:DT138"/>
    <mergeCell ref="DY137:DY138"/>
    <mergeCell ref="EF135:EF138"/>
    <mergeCell ref="B135:B138"/>
    <mergeCell ref="C135:D138"/>
    <mergeCell ref="U136:AD136"/>
    <mergeCell ref="GP141:GP142"/>
    <mergeCell ref="IM132:IM133"/>
    <mergeCell ref="HW131:HW132"/>
    <mergeCell ref="HX131:HX132"/>
    <mergeCell ref="HY131:HY132"/>
    <mergeCell ref="HZ131:HZ132"/>
    <mergeCell ref="ID131:ID132"/>
    <mergeCell ref="IF135:IF138"/>
    <mergeCell ref="IG135:IG136"/>
    <mergeCell ref="IH135:IH138"/>
    <mergeCell ref="IK135:IK136"/>
    <mergeCell ref="FW137:FW138"/>
    <mergeCell ref="FX137:FX138"/>
    <mergeCell ref="IC137:IC138"/>
    <mergeCell ref="IG137:IG138"/>
    <mergeCell ref="IK137:IK138"/>
    <mergeCell ref="FL135:FL136"/>
    <mergeCell ref="FM135:FM136"/>
    <mergeCell ref="FO135:FO136"/>
    <mergeCell ref="FQ135:FQ136"/>
    <mergeCell ref="HQ131:HQ132"/>
    <mergeCell ref="HR131:HR132"/>
    <mergeCell ref="HS131:HS132"/>
    <mergeCell ref="HT131:HT132"/>
    <mergeCell ref="HU131:HU132"/>
    <mergeCell ref="HO131:HO132"/>
    <mergeCell ref="GA130:GA133"/>
    <mergeCell ref="FU130:FU131"/>
    <mergeCell ref="FV130:FV131"/>
    <mergeCell ref="FW130:FW131"/>
    <mergeCell ref="FX130:FX131"/>
    <mergeCell ref="GM136:GM137"/>
    <mergeCell ref="ID136:ID137"/>
    <mergeCell ref="FW135:FW136"/>
    <mergeCell ref="FX135:FX136"/>
    <mergeCell ref="GA135:GA138"/>
    <mergeCell ref="GB135:GB138"/>
    <mergeCell ref="GC135:GC138"/>
    <mergeCell ref="IB135:IB137"/>
    <mergeCell ref="IC135:IC136"/>
    <mergeCell ref="HI136:HI137"/>
    <mergeCell ref="HJ136:HJ137"/>
    <mergeCell ref="HK136:HK137"/>
    <mergeCell ref="HL136:HL137"/>
    <mergeCell ref="HM136:HM137"/>
    <mergeCell ref="HN136:HN137"/>
    <mergeCell ref="AG136:AK136"/>
    <mergeCell ref="B140:B143"/>
    <mergeCell ref="C140:D143"/>
    <mergeCell ref="E140:F140"/>
    <mergeCell ref="G140:R140"/>
    <mergeCell ref="S140:S141"/>
    <mergeCell ref="U140:AA140"/>
    <mergeCell ref="AG140:AL140"/>
    <mergeCell ref="AM140:AM141"/>
    <mergeCell ref="AN140:AN141"/>
    <mergeCell ref="AO140:AO141"/>
    <mergeCell ref="AP140:AQ143"/>
    <mergeCell ref="AR140:AT143"/>
    <mergeCell ref="AU140:AU143"/>
    <mergeCell ref="AV140:AV143"/>
    <mergeCell ref="HU126:HU127"/>
    <mergeCell ref="EN125:EN128"/>
    <mergeCell ref="EO125:EO128"/>
    <mergeCell ref="EP125:EP128"/>
    <mergeCell ref="EQ125:EQ128"/>
    <mergeCell ref="ER125:ER128"/>
    <mergeCell ref="ES125:ES128"/>
    <mergeCell ref="ET125:ET128"/>
    <mergeCell ref="HH126:HH127"/>
    <mergeCell ref="FM125:FM126"/>
    <mergeCell ref="FN125:FN126"/>
    <mergeCell ref="FQ125:FQ126"/>
    <mergeCell ref="HY126:HY127"/>
    <mergeCell ref="HL126:HL127"/>
    <mergeCell ref="HM126:HM127"/>
    <mergeCell ref="HN126:HN127"/>
    <mergeCell ref="FW127:FW128"/>
    <mergeCell ref="FX127:FX128"/>
    <mergeCell ref="FE125:FE126"/>
    <mergeCell ref="HT126:HT127"/>
    <mergeCell ref="DF135:DF136"/>
    <mergeCell ref="CX137:CX138"/>
    <mergeCell ref="CY137:CY138"/>
    <mergeCell ref="CZ137:CZ138"/>
    <mergeCell ref="AG138:AL138"/>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CV137:CV138"/>
    <mergeCell ref="DC135:DC138"/>
    <mergeCell ref="DD135:DD138"/>
    <mergeCell ref="AM142:AM143"/>
    <mergeCell ref="AN142:AN143"/>
    <mergeCell ref="AO142:AO143"/>
    <mergeCell ref="U141:AD141"/>
    <mergeCell ref="U137:AE137"/>
    <mergeCell ref="U142:AE142"/>
    <mergeCell ref="AG141:AK141"/>
    <mergeCell ref="EZ137:EZ138"/>
    <mergeCell ref="FA137:FA138"/>
    <mergeCell ref="FB137:FB138"/>
    <mergeCell ref="FE137:FE138"/>
    <mergeCell ref="GK135:GK138"/>
    <mergeCell ref="FS135:FS136"/>
    <mergeCell ref="FG130:FG133"/>
    <mergeCell ref="FH130:FH133"/>
    <mergeCell ref="FE132:FE133"/>
    <mergeCell ref="GN136:GN137"/>
    <mergeCell ref="GP136:GP137"/>
    <mergeCell ref="GQ136:GQ137"/>
    <mergeCell ref="HH136:HH137"/>
    <mergeCell ref="HO136:HO137"/>
    <mergeCell ref="HP136:HP137"/>
    <mergeCell ref="HQ136:HQ137"/>
    <mergeCell ref="HR136:HR137"/>
    <mergeCell ref="HS136:HS137"/>
    <mergeCell ref="HT136:HT137"/>
    <mergeCell ref="HU136:HU137"/>
    <mergeCell ref="HV136:HV137"/>
    <mergeCell ref="HW136:HW137"/>
    <mergeCell ref="HX136:HX137"/>
    <mergeCell ref="HY136:HY137"/>
    <mergeCell ref="HZ136:HZ137"/>
    <mergeCell ref="HH141:HH142"/>
    <mergeCell ref="HI141:HI142"/>
    <mergeCell ref="HJ141:HJ142"/>
    <mergeCell ref="HK141:HK142"/>
    <mergeCell ref="FT135:FT136"/>
    <mergeCell ref="FU135:FU136"/>
    <mergeCell ref="FL137:FL138"/>
    <mergeCell ref="FM137:FM138"/>
    <mergeCell ref="FN137:FN138"/>
    <mergeCell ref="FL132:FL133"/>
    <mergeCell ref="FM132:FM133"/>
    <mergeCell ref="HU141:HU142"/>
    <mergeCell ref="FP140:FP141"/>
    <mergeCell ref="HW141:HW142"/>
    <mergeCell ref="HX141:HX142"/>
    <mergeCell ref="HY141:HY142"/>
    <mergeCell ref="GQ141:GQ142"/>
    <mergeCell ref="HV141:HV142"/>
    <mergeCell ref="HT141:HT142"/>
    <mergeCell ref="HO141:HO142"/>
    <mergeCell ref="IL135:IL138"/>
    <mergeCell ref="IM135:IM136"/>
    <mergeCell ref="FO137:FO138"/>
    <mergeCell ref="FQ137:FQ138"/>
    <mergeCell ref="FS137:FS138"/>
    <mergeCell ref="FT137:FT138"/>
    <mergeCell ref="FU137:FU138"/>
    <mergeCell ref="FV137:FV138"/>
    <mergeCell ref="GD135:GD138"/>
    <mergeCell ref="GE135:GE138"/>
    <mergeCell ref="GF135:GF138"/>
    <mergeCell ref="GG135:GG138"/>
    <mergeCell ref="GH135:GH138"/>
    <mergeCell ref="FT142:FT143"/>
    <mergeCell ref="FU142:FU143"/>
    <mergeCell ref="FV142:FV143"/>
    <mergeCell ref="FW142:FW143"/>
    <mergeCell ref="FX142:FX143"/>
    <mergeCell ref="HK131:HK132"/>
    <mergeCell ref="IB130:IB132"/>
    <mergeCell ref="IC130:IC131"/>
    <mergeCell ref="IC132:IC133"/>
    <mergeCell ref="FL130:FL131"/>
    <mergeCell ref="FM130:FM131"/>
    <mergeCell ref="FN130:FN131"/>
    <mergeCell ref="FO130:FO131"/>
    <mergeCell ref="FQ130:FQ131"/>
    <mergeCell ref="FS130:FS131"/>
    <mergeCell ref="FT130:FT131"/>
    <mergeCell ref="EI120:EI123"/>
    <mergeCell ref="EJ120:EJ123"/>
    <mergeCell ref="EK120:EK123"/>
    <mergeCell ref="EL120:EL123"/>
    <mergeCell ref="EN120:EN123"/>
    <mergeCell ref="EO120:EO123"/>
    <mergeCell ref="EP120:EP123"/>
    <mergeCell ref="EQ120:EQ123"/>
    <mergeCell ref="ER120:ER123"/>
    <mergeCell ref="ES120:ES123"/>
    <mergeCell ref="ET120:ET123"/>
    <mergeCell ref="EV120:EV123"/>
    <mergeCell ref="EX120:EX121"/>
    <mergeCell ref="EX122:EX123"/>
    <mergeCell ref="EZ127:EZ128"/>
    <mergeCell ref="EN130:EN133"/>
    <mergeCell ref="EO130:EO133"/>
    <mergeCell ref="FW125:FW126"/>
    <mergeCell ref="EV125:EV128"/>
    <mergeCell ref="IK132:IK133"/>
    <mergeCell ref="EX135:EX136"/>
    <mergeCell ref="EX137:EX138"/>
    <mergeCell ref="IB120:IB122"/>
    <mergeCell ref="IC120:IC121"/>
    <mergeCell ref="IF120:IF123"/>
    <mergeCell ref="IG120:IG121"/>
    <mergeCell ref="IH120:IH123"/>
    <mergeCell ref="IK120:IK121"/>
    <mergeCell ref="IC122:IC123"/>
    <mergeCell ref="IG122:IG123"/>
    <mergeCell ref="IK122:IK123"/>
    <mergeCell ref="FT122:FT123"/>
    <mergeCell ref="FU122:FU123"/>
    <mergeCell ref="FV122:FV123"/>
    <mergeCell ref="FU120:FU121"/>
    <mergeCell ref="EG135:EG138"/>
    <mergeCell ref="EH135:EH138"/>
    <mergeCell ref="EI135:EI138"/>
    <mergeCell ref="EJ135:EJ138"/>
    <mergeCell ref="EK135:EK138"/>
    <mergeCell ref="EL135:EL138"/>
    <mergeCell ref="HH131:HH132"/>
    <mergeCell ref="HI131:HI132"/>
    <mergeCell ref="HJ131:HJ132"/>
    <mergeCell ref="DY130:DY131"/>
    <mergeCell ref="HQ126:HQ127"/>
    <mergeCell ref="HR126:HR127"/>
    <mergeCell ref="FX125:FX126"/>
    <mergeCell ref="GA125:GA128"/>
    <mergeCell ref="GB125:GB128"/>
    <mergeCell ref="GC125:GC128"/>
    <mergeCell ref="FE127:FE128"/>
    <mergeCell ref="FL127:FL128"/>
    <mergeCell ref="HV126:HV127"/>
    <mergeCell ref="HP131:HP132"/>
    <mergeCell ref="HL131:HL132"/>
    <mergeCell ref="HM131:HM132"/>
    <mergeCell ref="HN131:HN132"/>
    <mergeCell ref="EY127:EY128"/>
    <mergeCell ref="GM131:GM132"/>
    <mergeCell ref="HV131:HV132"/>
    <mergeCell ref="DX125:DX128"/>
    <mergeCell ref="DY125:DY126"/>
    <mergeCell ref="DZ125:DZ128"/>
    <mergeCell ref="FO125:FO126"/>
    <mergeCell ref="HS126:HS127"/>
    <mergeCell ref="DT120:DT121"/>
    <mergeCell ref="DU120:DU123"/>
    <mergeCell ref="DY135:DY136"/>
    <mergeCell ref="DV120:DV123"/>
    <mergeCell ref="DX120:DX123"/>
    <mergeCell ref="DY120:DY121"/>
    <mergeCell ref="DZ120:DZ123"/>
    <mergeCell ref="EA120:EA123"/>
    <mergeCell ref="EC120:EC123"/>
    <mergeCell ref="ED120:ED123"/>
    <mergeCell ref="FA132:FA133"/>
    <mergeCell ref="FB132:FB133"/>
    <mergeCell ref="FA127:FA128"/>
    <mergeCell ref="EF120:EF123"/>
    <mergeCell ref="EG120:EG123"/>
    <mergeCell ref="EH120:EH123"/>
    <mergeCell ref="EM120:EM123"/>
    <mergeCell ref="GA120:GA123"/>
    <mergeCell ref="GB120:GB123"/>
    <mergeCell ref="GC120:GC123"/>
    <mergeCell ref="GD120:GD123"/>
    <mergeCell ref="GE120:GE123"/>
    <mergeCell ref="GF120:GF123"/>
    <mergeCell ref="GG120:GG123"/>
    <mergeCell ref="GH120:GH123"/>
    <mergeCell ref="GK120:GK123"/>
    <mergeCell ref="FW122:FW123"/>
    <mergeCell ref="FX122:FX123"/>
    <mergeCell ref="EY120:EY121"/>
    <mergeCell ref="EZ120:EZ121"/>
    <mergeCell ref="FA120:FA121"/>
    <mergeCell ref="FB120:FB121"/>
    <mergeCell ref="FS122:FS123"/>
    <mergeCell ref="FB127:FB128"/>
    <mergeCell ref="FL125:FL126"/>
    <mergeCell ref="FL120:FL121"/>
    <mergeCell ref="FM120:FM121"/>
    <mergeCell ref="FN132:FN133"/>
    <mergeCell ref="FO132:FO133"/>
    <mergeCell ref="FQ132:FQ133"/>
    <mergeCell ref="FS132:FS133"/>
    <mergeCell ref="FT132:FT133"/>
    <mergeCell ref="FU132:FU133"/>
    <mergeCell ref="FV132:FV133"/>
    <mergeCell ref="FW132:FW133"/>
    <mergeCell ref="FX132:FX133"/>
    <mergeCell ref="FS125:FS126"/>
    <mergeCell ref="FT125:FT126"/>
    <mergeCell ref="FU125:FU126"/>
    <mergeCell ref="FV125:FV126"/>
    <mergeCell ref="FA130:FA131"/>
    <mergeCell ref="FB130:FB131"/>
    <mergeCell ref="FC130:FC133"/>
    <mergeCell ref="FE130:FE131"/>
    <mergeCell ref="EH130:EH133"/>
    <mergeCell ref="EI130:EI133"/>
    <mergeCell ref="EJ130:EJ133"/>
    <mergeCell ref="EK130:EK133"/>
    <mergeCell ref="EL130:EL133"/>
    <mergeCell ref="EM130:EM133"/>
    <mergeCell ref="FB122:FB123"/>
    <mergeCell ref="FE122:FE123"/>
    <mergeCell ref="FL122:FL123"/>
    <mergeCell ref="FM122:FM123"/>
    <mergeCell ref="EJ125:EJ128"/>
    <mergeCell ref="FN122:FN123"/>
    <mergeCell ref="FO122:FO123"/>
    <mergeCell ref="FQ122:FQ123"/>
    <mergeCell ref="EL125:EL128"/>
    <mergeCell ref="EM125:EM128"/>
    <mergeCell ref="EY125:EY126"/>
    <mergeCell ref="FM127:FM128"/>
    <mergeCell ref="FN127:FN128"/>
    <mergeCell ref="FO127:FO128"/>
    <mergeCell ref="FQ127:FQ128"/>
    <mergeCell ref="FS127:FS128"/>
    <mergeCell ref="FT127:FT128"/>
    <mergeCell ref="FU127:FU128"/>
    <mergeCell ref="FV127:FV128"/>
    <mergeCell ref="FG125:FG128"/>
    <mergeCell ref="FH125:FH128"/>
    <mergeCell ref="EZ125:EZ126"/>
    <mergeCell ref="FA125:FA126"/>
    <mergeCell ref="FB125:FB126"/>
    <mergeCell ref="FC125:FC128"/>
    <mergeCell ref="EX127:EX128"/>
    <mergeCell ref="FV120:FV121"/>
    <mergeCell ref="FO120:FO121"/>
    <mergeCell ref="FE120:FE121"/>
    <mergeCell ref="FQ120:FQ121"/>
    <mergeCell ref="FS120:FS121"/>
    <mergeCell ref="FT120:FT121"/>
    <mergeCell ref="EY122:EY123"/>
    <mergeCell ref="EZ122:EZ123"/>
    <mergeCell ref="FP120:FP121"/>
    <mergeCell ref="FP130:FP131"/>
    <mergeCell ref="EA125:EA128"/>
    <mergeCell ref="EC125:EC128"/>
    <mergeCell ref="ED125:ED128"/>
    <mergeCell ref="EF125:EF128"/>
    <mergeCell ref="EG125:EG128"/>
    <mergeCell ref="EH125:EH128"/>
    <mergeCell ref="EI125:EI128"/>
    <mergeCell ref="DD125:DD128"/>
    <mergeCell ref="EY130:EY131"/>
    <mergeCell ref="EZ130:EZ131"/>
    <mergeCell ref="EX132:EX133"/>
    <mergeCell ref="EY132:EY133"/>
    <mergeCell ref="EQ130:EQ133"/>
    <mergeCell ref="ER130:ER133"/>
    <mergeCell ref="ES130:ES133"/>
    <mergeCell ref="EA130:EA133"/>
    <mergeCell ref="EC130:EC133"/>
    <mergeCell ref="DN132:DN133"/>
    <mergeCell ref="DF127:DF128"/>
    <mergeCell ref="DG127:DG128"/>
    <mergeCell ref="DH127:DH128"/>
    <mergeCell ref="DI127:DI128"/>
    <mergeCell ref="DJ127:DJ128"/>
    <mergeCell ref="DN127:DN128"/>
    <mergeCell ref="DF125:DF126"/>
    <mergeCell ref="DG125:DG126"/>
    <mergeCell ref="ET130:ET133"/>
    <mergeCell ref="EV130:EV133"/>
    <mergeCell ref="EX130:EX131"/>
    <mergeCell ref="EF130:EF133"/>
    <mergeCell ref="EG130:EG133"/>
    <mergeCell ref="DF130:DF131"/>
    <mergeCell ref="DG130:DG131"/>
    <mergeCell ref="DH130:DH131"/>
    <mergeCell ref="DI130:DI131"/>
    <mergeCell ref="DJ130:DJ131"/>
    <mergeCell ref="DF132:DF133"/>
    <mergeCell ref="DG132:DG133"/>
    <mergeCell ref="EX125:EX126"/>
    <mergeCell ref="EP130:EP133"/>
    <mergeCell ref="DR127:DR128"/>
    <mergeCell ref="DT127:DT128"/>
    <mergeCell ref="DY127:DY128"/>
    <mergeCell ref="ED130:ED133"/>
    <mergeCell ref="EZ132:EZ133"/>
    <mergeCell ref="EK125:EK128"/>
    <mergeCell ref="DI125:DI126"/>
    <mergeCell ref="DJ125:DJ126"/>
    <mergeCell ref="DK125:DK128"/>
    <mergeCell ref="DX130:DX133"/>
    <mergeCell ref="DZ130:DZ133"/>
    <mergeCell ref="DA125:DA128"/>
    <mergeCell ref="DH132:DH133"/>
    <mergeCell ref="DI132:DI133"/>
    <mergeCell ref="DJ132:DJ133"/>
    <mergeCell ref="DY132:DY133"/>
    <mergeCell ref="DK130:DK133"/>
    <mergeCell ref="DM130:DM131"/>
    <mergeCell ref="AN127:AN128"/>
    <mergeCell ref="AO127:AO128"/>
    <mergeCell ref="CR127:CR128"/>
    <mergeCell ref="CS127:CS128"/>
    <mergeCell ref="CU127:CU128"/>
    <mergeCell ref="CV127:CV128"/>
    <mergeCell ref="CW127:CW128"/>
    <mergeCell ref="CX127:CX128"/>
    <mergeCell ref="CY127:CY128"/>
    <mergeCell ref="E124:AW124"/>
    <mergeCell ref="CW122:CW123"/>
    <mergeCell ref="DR125:DR126"/>
    <mergeCell ref="DS125:DS128"/>
    <mergeCell ref="DT125:DT126"/>
    <mergeCell ref="DU125:DU128"/>
    <mergeCell ref="DV125:DV128"/>
    <mergeCell ref="S132:S133"/>
    <mergeCell ref="AG132:AL132"/>
    <mergeCell ref="AM132:AM133"/>
    <mergeCell ref="AN132:AN133"/>
    <mergeCell ref="U122:AE122"/>
    <mergeCell ref="U127:AE127"/>
    <mergeCell ref="U132:AE132"/>
    <mergeCell ref="DQ125:DQ128"/>
    <mergeCell ref="AG128:AL128"/>
    <mergeCell ref="E132:F132"/>
    <mergeCell ref="S127:S128"/>
    <mergeCell ref="AG127:AL127"/>
    <mergeCell ref="AM127:AM128"/>
    <mergeCell ref="CZ132:CZ133"/>
    <mergeCell ref="CW130:CW131"/>
    <mergeCell ref="AG131:AK131"/>
    <mergeCell ref="CV122:CV123"/>
    <mergeCell ref="DR132:DR133"/>
    <mergeCell ref="DT132:DT133"/>
    <mergeCell ref="DS120:DS123"/>
    <mergeCell ref="DO130:DO133"/>
    <mergeCell ref="DQ130:DQ133"/>
    <mergeCell ref="DR130:DR131"/>
    <mergeCell ref="DS130:DS133"/>
    <mergeCell ref="DT130:DT131"/>
    <mergeCell ref="DU130:DU133"/>
    <mergeCell ref="DV130:DV133"/>
    <mergeCell ref="DJ120:DJ121"/>
    <mergeCell ref="DK120:DK123"/>
    <mergeCell ref="DM120:DM121"/>
    <mergeCell ref="DO120:DO123"/>
    <mergeCell ref="DQ120:DQ123"/>
    <mergeCell ref="DR120:DR121"/>
    <mergeCell ref="DM125:DM126"/>
    <mergeCell ref="DO125:DO128"/>
    <mergeCell ref="DN122:DN123"/>
    <mergeCell ref="DR122:DR123"/>
    <mergeCell ref="DT122:DT123"/>
    <mergeCell ref="DY122:DY123"/>
    <mergeCell ref="DI122:DI123"/>
    <mergeCell ref="DJ122:DJ123"/>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U133:AA133"/>
    <mergeCell ref="CS130:CS131"/>
    <mergeCell ref="CU130:CU131"/>
    <mergeCell ref="CV130:CV131"/>
    <mergeCell ref="P132:Q132"/>
    <mergeCell ref="E126:F126"/>
    <mergeCell ref="G126:L126"/>
    <mergeCell ref="P128:R128"/>
    <mergeCell ref="U128:AA128"/>
    <mergeCell ref="P126:Q126"/>
    <mergeCell ref="U126:AD126"/>
    <mergeCell ref="U131:AD131"/>
    <mergeCell ref="AG125:AL125"/>
    <mergeCell ref="AM125:AM126"/>
    <mergeCell ref="AN125:AN126"/>
    <mergeCell ref="AO125:AO126"/>
    <mergeCell ref="AZ125:AZ128"/>
    <mergeCell ref="AP125:AQ128"/>
    <mergeCell ref="CZ125:CZ126"/>
    <mergeCell ref="HU121:HU122"/>
    <mergeCell ref="HV121:HV122"/>
    <mergeCell ref="HW121:HW122"/>
    <mergeCell ref="HX121:HX122"/>
    <mergeCell ref="FA122:FA123"/>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N120:AN121"/>
    <mergeCell ref="AO120:AO121"/>
    <mergeCell ref="AP120:AQ123"/>
    <mergeCell ref="AR120:AT123"/>
    <mergeCell ref="B120:B123"/>
    <mergeCell ref="C120:D123"/>
    <mergeCell ref="E120:F120"/>
    <mergeCell ref="E123:F123"/>
    <mergeCell ref="G123:L123"/>
    <mergeCell ref="DI120:DI121"/>
    <mergeCell ref="FC120:FC123"/>
    <mergeCell ref="FG120:FG123"/>
    <mergeCell ref="FH120:FH123"/>
    <mergeCell ref="S122:S123"/>
    <mergeCell ref="AG116:AK116"/>
    <mergeCell ref="AG121:AK121"/>
    <mergeCell ref="CS117:CS118"/>
    <mergeCell ref="CU117:CU118"/>
    <mergeCell ref="HQ116:HQ117"/>
    <mergeCell ref="HR116:HR117"/>
    <mergeCell ref="HS116:HS117"/>
    <mergeCell ref="HT116:HT117"/>
    <mergeCell ref="HU116:HU117"/>
    <mergeCell ref="HV116:HV117"/>
    <mergeCell ref="E117:F117"/>
    <mergeCell ref="G117:L117"/>
    <mergeCell ref="GA115:GA118"/>
    <mergeCell ref="GB115:GB118"/>
    <mergeCell ref="GC115:GC118"/>
    <mergeCell ref="GD115:GD118"/>
    <mergeCell ref="GE115:GE118"/>
    <mergeCell ref="GF115:GF118"/>
    <mergeCell ref="GG115:GG118"/>
    <mergeCell ref="GH115:GH118"/>
    <mergeCell ref="GK115:GK118"/>
    <mergeCell ref="E118:F118"/>
    <mergeCell ref="G118:L118"/>
    <mergeCell ref="P118:R118"/>
    <mergeCell ref="U118:AA118"/>
    <mergeCell ref="AG118:AL118"/>
    <mergeCell ref="FA115:FA116"/>
    <mergeCell ref="FB115:FB116"/>
    <mergeCell ref="FC115:FC118"/>
    <mergeCell ref="FE115:FE116"/>
    <mergeCell ref="FG115:FG118"/>
    <mergeCell ref="FH115:FH118"/>
    <mergeCell ref="DF115:DF116"/>
    <mergeCell ref="DG115:DG116"/>
    <mergeCell ref="DH115:DH116"/>
    <mergeCell ref="DI115:DI116"/>
    <mergeCell ref="DJ115:DJ116"/>
    <mergeCell ref="DI117:DI118"/>
    <mergeCell ref="DJ117:DJ118"/>
    <mergeCell ref="CR117:CR118"/>
    <mergeCell ref="CV117:CV118"/>
    <mergeCell ref="FA117:FA118"/>
    <mergeCell ref="EM115:EM118"/>
    <mergeCell ref="EN115:EN118"/>
    <mergeCell ref="EO115:EO118"/>
    <mergeCell ref="EP115:EP118"/>
    <mergeCell ref="EQ115:EQ118"/>
    <mergeCell ref="ER115:ER118"/>
    <mergeCell ref="ES115:ES118"/>
    <mergeCell ref="ET115:ET118"/>
    <mergeCell ref="EV115:EV118"/>
    <mergeCell ref="FL115:FL116"/>
    <mergeCell ref="EA115:EA118"/>
    <mergeCell ref="ED115:ED118"/>
    <mergeCell ref="HN116:HN117"/>
    <mergeCell ref="FB117:FB118"/>
    <mergeCell ref="EX117:EX118"/>
    <mergeCell ref="EY117:EY118"/>
    <mergeCell ref="FS117:FS118"/>
    <mergeCell ref="FT117:FT118"/>
    <mergeCell ref="FU117:FU118"/>
    <mergeCell ref="FV117:FV118"/>
    <mergeCell ref="FW117:FW118"/>
    <mergeCell ref="FX117:FX118"/>
    <mergeCell ref="EH115:EH118"/>
    <mergeCell ref="EI115:EI118"/>
    <mergeCell ref="EJ115:EJ118"/>
    <mergeCell ref="EK115:EK118"/>
    <mergeCell ref="EL115:EL118"/>
    <mergeCell ref="AO117:AO118"/>
    <mergeCell ref="HI116:HI117"/>
    <mergeCell ref="HJ116:HJ117"/>
    <mergeCell ref="HK116:HK117"/>
    <mergeCell ref="FY115:FY116"/>
    <mergeCell ref="FY112:FY113"/>
    <mergeCell ref="EV110:EV113"/>
    <mergeCell ref="DR110:DR111"/>
    <mergeCell ref="DS110:DS113"/>
    <mergeCell ref="FX115:FX116"/>
    <mergeCell ref="FN110:FN111"/>
    <mergeCell ref="FO110:FO111"/>
    <mergeCell ref="FQ110:FQ111"/>
    <mergeCell ref="FS110:FS111"/>
    <mergeCell ref="FT110:FT111"/>
    <mergeCell ref="FU110:FU111"/>
    <mergeCell ref="GA110:GA113"/>
    <mergeCell ref="DZ115:DZ118"/>
    <mergeCell ref="DR112:DR113"/>
    <mergeCell ref="DT112:DT113"/>
    <mergeCell ref="DY112:DY113"/>
    <mergeCell ref="FL112:FL113"/>
    <mergeCell ref="FM112:FM113"/>
    <mergeCell ref="EF110:EF113"/>
    <mergeCell ref="EH110:EH113"/>
    <mergeCell ref="EK110:EK113"/>
    <mergeCell ref="EL110:EL113"/>
    <mergeCell ref="EM110:EM113"/>
    <mergeCell ref="EP110:EP113"/>
    <mergeCell ref="EN110:EN113"/>
    <mergeCell ref="FA110:FA111"/>
    <mergeCell ref="FB110:FB111"/>
    <mergeCell ref="FC110:FC113"/>
    <mergeCell ref="FN112:FN113"/>
    <mergeCell ref="EI110:EI113"/>
    <mergeCell ref="EJ110:EJ113"/>
    <mergeCell ref="DR115:DR116"/>
    <mergeCell ref="DS115:DS118"/>
    <mergeCell ref="DT115:DT116"/>
    <mergeCell ref="DU115:DU118"/>
    <mergeCell ref="DV115:DV118"/>
    <mergeCell ref="DX115:DX118"/>
    <mergeCell ref="DY115:DY116"/>
    <mergeCell ref="EZ115:EZ116"/>
    <mergeCell ref="ET110:ET113"/>
    <mergeCell ref="EG110:EG113"/>
    <mergeCell ref="EA110:EA113"/>
    <mergeCell ref="DO110:DO113"/>
    <mergeCell ref="DF112:DF113"/>
    <mergeCell ref="DG112:DG113"/>
    <mergeCell ref="EO110:EO113"/>
    <mergeCell ref="FO117:FO118"/>
    <mergeCell ref="EZ117:EZ118"/>
    <mergeCell ref="FM115:FM116"/>
    <mergeCell ref="FN115:FN116"/>
    <mergeCell ref="GM116:GM117"/>
    <mergeCell ref="GN116:GN117"/>
    <mergeCell ref="GP116:GP117"/>
    <mergeCell ref="FO115:FO116"/>
    <mergeCell ref="FQ115:FQ116"/>
    <mergeCell ref="FS115:FS116"/>
    <mergeCell ref="FT115:FT116"/>
    <mergeCell ref="FU115:FU116"/>
    <mergeCell ref="FV115:FV116"/>
    <mergeCell ref="FW115:FW116"/>
    <mergeCell ref="FO112:FO113"/>
    <mergeCell ref="FQ112:FQ113"/>
    <mergeCell ref="FS112:FS113"/>
    <mergeCell ref="FT112:FT113"/>
    <mergeCell ref="FU112:FU113"/>
    <mergeCell ref="FV112:FV113"/>
    <mergeCell ref="FW112:FW113"/>
    <mergeCell ref="FX112:FX113"/>
    <mergeCell ref="EZ112:EZ113"/>
    <mergeCell ref="FA112:FA113"/>
    <mergeCell ref="FB112:FB113"/>
    <mergeCell ref="AP100:AQ103"/>
    <mergeCell ref="AR100:AT103"/>
    <mergeCell ref="AU100:AU103"/>
    <mergeCell ref="AV100:AV103"/>
    <mergeCell ref="AW100:AW103"/>
    <mergeCell ref="AY100:AY103"/>
    <mergeCell ref="AZ100:AZ103"/>
    <mergeCell ref="CP100:CP103"/>
    <mergeCell ref="DD100:DD103"/>
    <mergeCell ref="DF100:DF101"/>
    <mergeCell ref="GA105:GA108"/>
    <mergeCell ref="GP106:GP107"/>
    <mergeCell ref="GB105:GB108"/>
    <mergeCell ref="GC105:GC108"/>
    <mergeCell ref="GD105:GD108"/>
    <mergeCell ref="GE105:GE108"/>
    <mergeCell ref="GF105:GF108"/>
    <mergeCell ref="GG105:GG108"/>
    <mergeCell ref="GH105:GH108"/>
    <mergeCell ref="DA100:DA103"/>
    <mergeCell ref="DB100:DB103"/>
    <mergeCell ref="DC100:DC103"/>
    <mergeCell ref="DC115:DC118"/>
    <mergeCell ref="DD115:DD118"/>
    <mergeCell ref="DF117:DF118"/>
    <mergeCell ref="DG117:DG118"/>
    <mergeCell ref="DH117:DH118"/>
    <mergeCell ref="CS100:CS101"/>
    <mergeCell ref="CU100:CU101"/>
    <mergeCell ref="DH100:DH101"/>
    <mergeCell ref="DA105:DA108"/>
    <mergeCell ref="DA115:DA118"/>
    <mergeCell ref="DB115:DB118"/>
    <mergeCell ref="CR107:CR108"/>
    <mergeCell ref="CS107:CS108"/>
    <mergeCell ref="C105:D108"/>
    <mergeCell ref="E105:F105"/>
    <mergeCell ref="FY120:FY121"/>
    <mergeCell ref="FN120:FN121"/>
    <mergeCell ref="HL116:HL117"/>
    <mergeCell ref="HM116:HM117"/>
    <mergeCell ref="ES110:ES113"/>
    <mergeCell ref="DT110:DT111"/>
    <mergeCell ref="AM105:AM106"/>
    <mergeCell ref="EX115:EX116"/>
    <mergeCell ref="EY115:EY116"/>
    <mergeCell ref="EF115:EF118"/>
    <mergeCell ref="EG115:EG118"/>
    <mergeCell ref="DN117:DN118"/>
    <mergeCell ref="DR117:DR118"/>
    <mergeCell ref="DT117:DT118"/>
    <mergeCell ref="CW117:CW118"/>
    <mergeCell ref="CX117:CX118"/>
    <mergeCell ref="CY117:CY118"/>
    <mergeCell ref="CZ117:CZ118"/>
    <mergeCell ref="U112:AE112"/>
    <mergeCell ref="DJ110:DJ111"/>
    <mergeCell ref="DK110:DK113"/>
    <mergeCell ref="EQ110:EQ113"/>
    <mergeCell ref="DH110:DH111"/>
    <mergeCell ref="DI110:DI111"/>
    <mergeCell ref="DM110:DM111"/>
    <mergeCell ref="AZ115:AZ118"/>
    <mergeCell ref="CS115:CS116"/>
    <mergeCell ref="CU115:CU116"/>
    <mergeCell ref="CV115:CV116"/>
    <mergeCell ref="CW115:CW116"/>
    <mergeCell ref="U117:AE117"/>
    <mergeCell ref="DK115:DK118"/>
    <mergeCell ref="DM115:DM116"/>
    <mergeCell ref="AG117:AL117"/>
    <mergeCell ref="AM117:AM118"/>
    <mergeCell ref="AN117:AN118"/>
    <mergeCell ref="EG105:EG108"/>
    <mergeCell ref="EH105:EH108"/>
    <mergeCell ref="EI105:EI108"/>
    <mergeCell ref="EJ105:EJ108"/>
    <mergeCell ref="EK105:EK108"/>
    <mergeCell ref="EL105:EL108"/>
    <mergeCell ref="EM105:EM108"/>
    <mergeCell ref="EN105:EN108"/>
    <mergeCell ref="EO105:EO108"/>
    <mergeCell ref="DU110:DU113"/>
    <mergeCell ref="EC115:EC118"/>
    <mergeCell ref="DV110:DV113"/>
    <mergeCell ref="DX110:DX113"/>
    <mergeCell ref="DY110:DY111"/>
    <mergeCell ref="DZ110:DZ113"/>
    <mergeCell ref="DQ110:DQ113"/>
    <mergeCell ref="DO115:DO118"/>
    <mergeCell ref="DQ115:DQ118"/>
    <mergeCell ref="GK105:GK108"/>
    <mergeCell ref="E109:AW109"/>
    <mergeCell ref="DH105:DH106"/>
    <mergeCell ref="DI105:DI106"/>
    <mergeCell ref="DH107:DH108"/>
    <mergeCell ref="HK106:HK107"/>
    <mergeCell ref="HL106:HL107"/>
    <mergeCell ref="FX105:FX106"/>
    <mergeCell ref="U83:AD83"/>
    <mergeCell ref="GQ106:GQ107"/>
    <mergeCell ref="HH106:HH107"/>
    <mergeCell ref="HI106:HI107"/>
    <mergeCell ref="HJ106:HJ107"/>
    <mergeCell ref="CQ95:CQ98"/>
    <mergeCell ref="EC110:EC113"/>
    <mergeCell ref="ED110:ED113"/>
    <mergeCell ref="DH112:DH113"/>
    <mergeCell ref="DI112:DI113"/>
    <mergeCell ref="DJ112:DJ113"/>
    <mergeCell ref="DN112:DN113"/>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U107:AE107"/>
    <mergeCell ref="B100:B103"/>
    <mergeCell ref="C100:D103"/>
    <mergeCell ref="E106:F106"/>
    <mergeCell ref="G106:L106"/>
    <mergeCell ref="P106:Q106"/>
    <mergeCell ref="E107:F107"/>
    <mergeCell ref="B105:B108"/>
    <mergeCell ref="AM102:AM103"/>
    <mergeCell ref="DI107:DI108"/>
    <mergeCell ref="DI102:DI103"/>
    <mergeCell ref="IH110:IH113"/>
    <mergeCell ref="HQ111:HQ112"/>
    <mergeCell ref="HR111:HR112"/>
    <mergeCell ref="HS111:HS112"/>
    <mergeCell ref="HT111:HT112"/>
    <mergeCell ref="HU111:HU112"/>
    <mergeCell ref="HV111:HV112"/>
    <mergeCell ref="HW111:HW112"/>
    <mergeCell ref="HX111:HX112"/>
    <mergeCell ref="HY111:HY112"/>
    <mergeCell ref="HZ111:HZ112"/>
    <mergeCell ref="FY110:FY111"/>
    <mergeCell ref="HP111:HP112"/>
    <mergeCell ref="GM111:GM112"/>
    <mergeCell ref="GN111:GN112"/>
    <mergeCell ref="GP111:GP112"/>
    <mergeCell ref="GQ111:GQ112"/>
    <mergeCell ref="HH111:HH112"/>
    <mergeCell ref="HI111:HI112"/>
    <mergeCell ref="HJ111:HJ112"/>
    <mergeCell ref="HK111:HK112"/>
    <mergeCell ref="HL111:HL112"/>
    <mergeCell ref="HM111:HM112"/>
    <mergeCell ref="HN111:HN112"/>
    <mergeCell ref="HO111:HO112"/>
    <mergeCell ref="FE110:FE111"/>
    <mergeCell ref="FG110:FG113"/>
    <mergeCell ref="FH110:FH113"/>
    <mergeCell ref="FL110:FL111"/>
    <mergeCell ref="FM110:FM111"/>
    <mergeCell ref="GB110:GB113"/>
    <mergeCell ref="GC110:GC113"/>
    <mergeCell ref="FE112:FE113"/>
    <mergeCell ref="FQ100:FQ101"/>
    <mergeCell ref="FS100:FS101"/>
    <mergeCell ref="FT100:FT101"/>
    <mergeCell ref="FE102:FE103"/>
    <mergeCell ref="IC57:IC58"/>
    <mergeCell ref="IM62:IM63"/>
    <mergeCell ref="IB62:IB64"/>
    <mergeCell ref="IC62:IC63"/>
    <mergeCell ref="IH77:IH80"/>
    <mergeCell ref="ID78:ID79"/>
    <mergeCell ref="IK64:IK65"/>
    <mergeCell ref="IM64:IM65"/>
    <mergeCell ref="IH62:IH65"/>
    <mergeCell ref="FS79:FS80"/>
    <mergeCell ref="GK77:GK80"/>
    <mergeCell ref="HL73:HL74"/>
    <mergeCell ref="IB77:IB79"/>
    <mergeCell ref="GQ73:GQ74"/>
    <mergeCell ref="DG79:DG80"/>
    <mergeCell ref="DD77:DD80"/>
    <mergeCell ref="DF77:DF78"/>
    <mergeCell ref="DF79:DF80"/>
    <mergeCell ref="FW77:FW78"/>
    <mergeCell ref="FX77:FX78"/>
    <mergeCell ref="FL77:FL78"/>
    <mergeCell ref="DT79:DT80"/>
    <mergeCell ref="DY79:DY80"/>
    <mergeCell ref="FQ79:FQ80"/>
    <mergeCell ref="GE77:GE80"/>
    <mergeCell ref="FY77:FY78"/>
    <mergeCell ref="GF77:GF80"/>
    <mergeCell ref="GG77:GG80"/>
    <mergeCell ref="GH77:GH80"/>
    <mergeCell ref="EQ67:EQ70"/>
    <mergeCell ref="EC67:EC70"/>
    <mergeCell ref="ED67:ED70"/>
    <mergeCell ref="EX79:EX80"/>
    <mergeCell ref="EV77:EV80"/>
    <mergeCell ref="EX77:EX78"/>
    <mergeCell ref="EY77:EY78"/>
    <mergeCell ref="DX77:DX80"/>
    <mergeCell ref="DY77:DY78"/>
    <mergeCell ref="EI72:EI75"/>
    <mergeCell ref="EM72:EM75"/>
    <mergeCell ref="EN72:EN75"/>
    <mergeCell ref="FH72:FH75"/>
    <mergeCell ref="FP77:FP78"/>
    <mergeCell ref="FP79:FP80"/>
    <mergeCell ref="FM79:FM80"/>
    <mergeCell ref="FN79:FN80"/>
    <mergeCell ref="FT79:FT80"/>
    <mergeCell ref="FU79:FU80"/>
    <mergeCell ref="EC77:EC80"/>
    <mergeCell ref="ED77:ED80"/>
    <mergeCell ref="EF77:EF80"/>
    <mergeCell ref="EG77:EG80"/>
    <mergeCell ref="EN77:EN80"/>
    <mergeCell ref="ER77:ER80"/>
    <mergeCell ref="FM77:FM78"/>
    <mergeCell ref="EZ79:EZ80"/>
    <mergeCell ref="FA79:FA80"/>
    <mergeCell ref="HV68:HV69"/>
    <mergeCell ref="HW68:HW69"/>
    <mergeCell ref="IM72:IM73"/>
    <mergeCell ref="G85:L85"/>
    <mergeCell ref="G89:L89"/>
    <mergeCell ref="P89:Q89"/>
    <mergeCell ref="AU94:AW94"/>
    <mergeCell ref="IN47:IN50"/>
    <mergeCell ref="IL72:IL75"/>
    <mergeCell ref="IN72:IN75"/>
    <mergeCell ref="IK77:IK78"/>
    <mergeCell ref="IL77:IL80"/>
    <mergeCell ref="IM77:IM78"/>
    <mergeCell ref="IN77:IN80"/>
    <mergeCell ref="IK79:IK80"/>
    <mergeCell ref="IM79:IM80"/>
    <mergeCell ref="DJ105:DJ106"/>
    <mergeCell ref="DK105:DK108"/>
    <mergeCell ref="DM105:DM106"/>
    <mergeCell ref="DO105:DO108"/>
    <mergeCell ref="DQ105:DQ108"/>
    <mergeCell ref="DR105:DR106"/>
    <mergeCell ref="DS105:DS108"/>
    <mergeCell ref="DT105:DT106"/>
    <mergeCell ref="DU105:DU108"/>
    <mergeCell ref="DV105:DV108"/>
    <mergeCell ref="DX105:DX108"/>
    <mergeCell ref="DY105:DY106"/>
    <mergeCell ref="DZ105:DZ108"/>
    <mergeCell ref="EA105:EA108"/>
    <mergeCell ref="EC105:EC108"/>
    <mergeCell ref="ED105:ED108"/>
    <mergeCell ref="EF105:EF108"/>
    <mergeCell ref="DJ107:DJ108"/>
    <mergeCell ref="DN107:DN108"/>
    <mergeCell ref="DR107:DR108"/>
    <mergeCell ref="DT107:DT108"/>
    <mergeCell ref="DY107:DY108"/>
    <mergeCell ref="IF47:IF50"/>
    <mergeCell ref="IF72:IF75"/>
    <mergeCell ref="IF77:IF80"/>
    <mergeCell ref="IC77:IC78"/>
    <mergeCell ref="FV79:FV80"/>
    <mergeCell ref="FW79:FW80"/>
    <mergeCell ref="FX79:FX80"/>
    <mergeCell ref="EJ77:EJ80"/>
    <mergeCell ref="IK47:IK48"/>
    <mergeCell ref="IK49:IK50"/>
    <mergeCell ref="IK72:IK73"/>
    <mergeCell ref="IK74:IK75"/>
    <mergeCell ref="IK105:IK106"/>
    <mergeCell ref="EZ77:EZ78"/>
    <mergeCell ref="FL69:FL70"/>
    <mergeCell ref="DJ77:DJ78"/>
    <mergeCell ref="DU77:DU80"/>
    <mergeCell ref="IB105:IB107"/>
    <mergeCell ref="FB74:FB75"/>
    <mergeCell ref="FC72:FC75"/>
    <mergeCell ref="FO79:FO80"/>
    <mergeCell ref="GC100:GC103"/>
    <mergeCell ref="GA77:GA80"/>
    <mergeCell ref="GB77:GB80"/>
    <mergeCell ref="GC77:GC80"/>
    <mergeCell ref="GD100:GD103"/>
    <mergeCell ref="GE100:GE103"/>
    <mergeCell ref="GF100:GF103"/>
    <mergeCell ref="EO62:EO65"/>
    <mergeCell ref="FB79:FB80"/>
    <mergeCell ref="FE77:FE78"/>
    <mergeCell ref="FE79:FE80"/>
    <mergeCell ref="FA77:FA78"/>
    <mergeCell ref="FN77:FN78"/>
    <mergeCell ref="EF72:EF75"/>
    <mergeCell ref="EH67:EH70"/>
    <mergeCell ref="FA72:FA73"/>
    <mergeCell ref="B87:B90"/>
    <mergeCell ref="C87:D90"/>
    <mergeCell ref="AU87:AU90"/>
    <mergeCell ref="AV87:AV90"/>
    <mergeCell ref="AW87:AW90"/>
    <mergeCell ref="E89:F89"/>
    <mergeCell ref="U84:AE84"/>
    <mergeCell ref="EG72:EG75"/>
    <mergeCell ref="EH72:EH75"/>
    <mergeCell ref="DH79:DH80"/>
    <mergeCell ref="CX77:CX78"/>
    <mergeCell ref="CX79:CX80"/>
    <mergeCell ref="DC77:DC80"/>
    <mergeCell ref="CV79:CV80"/>
    <mergeCell ref="AG77:AL77"/>
    <mergeCell ref="AM77:AM78"/>
    <mergeCell ref="AN77:AN78"/>
    <mergeCell ref="AO77:AO78"/>
    <mergeCell ref="HL48:HL49"/>
    <mergeCell ref="EL52:EL55"/>
    <mergeCell ref="EM52:EM55"/>
    <mergeCell ref="EN52:EN55"/>
    <mergeCell ref="DY54:DY55"/>
    <mergeCell ref="EO52:EO55"/>
    <mergeCell ref="EM47:EM50"/>
    <mergeCell ref="DX47:DX50"/>
    <mergeCell ref="FY57:FY58"/>
    <mergeCell ref="FY59:FY6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U52:AA52"/>
    <mergeCell ref="U53:AD53"/>
    <mergeCell ref="P59:Q59"/>
    <mergeCell ref="E59:F59"/>
    <mergeCell ref="G59:L59"/>
    <mergeCell ref="HK58:HK59"/>
    <mergeCell ref="FN57:FN58"/>
    <mergeCell ref="FO57:FO58"/>
    <mergeCell ref="GC62:GC65"/>
    <mergeCell ref="DS62:DS65"/>
    <mergeCell ref="DG49:DG50"/>
    <mergeCell ref="DH49:DH50"/>
    <mergeCell ref="DG67:DG68"/>
    <mergeCell ref="GK62:GK65"/>
    <mergeCell ref="DI67:DI68"/>
    <mergeCell ref="HN48:HN49"/>
    <mergeCell ref="GK47:GK50"/>
    <mergeCell ref="DU57:DU60"/>
    <mergeCell ref="EX57:EX58"/>
    <mergeCell ref="EY57:EY58"/>
    <mergeCell ref="DV57:DV60"/>
    <mergeCell ref="DX57:DX60"/>
    <mergeCell ref="ER52:ER55"/>
    <mergeCell ref="ES52:ES55"/>
    <mergeCell ref="EX52:EX53"/>
    <mergeCell ref="EY67:EY68"/>
    <mergeCell ref="FT69:FT70"/>
    <mergeCell ref="FN67:FN68"/>
    <mergeCell ref="FO67:FO68"/>
    <mergeCell ref="EA47:EA50"/>
    <mergeCell ref="EC47:EC50"/>
    <mergeCell ref="FP62:FP63"/>
    <mergeCell ref="FP64:FP65"/>
    <mergeCell ref="FT64:FT65"/>
    <mergeCell ref="FB62:FB63"/>
    <mergeCell ref="FB59:FB60"/>
    <mergeCell ref="DJ69:DJ70"/>
    <mergeCell ref="ET72:ET75"/>
    <mergeCell ref="ER67:ER70"/>
    <mergeCell ref="DQ67:DQ70"/>
    <mergeCell ref="DR67:DR68"/>
    <mergeCell ref="DS67:DS70"/>
    <mergeCell ref="DY67:DY68"/>
    <mergeCell ref="DZ67:DZ70"/>
    <mergeCell ref="EI67:EI70"/>
    <mergeCell ref="EV72:EV75"/>
    <mergeCell ref="EK72:EK75"/>
    <mergeCell ref="EL72:EL75"/>
    <mergeCell ref="FO74:FO75"/>
    <mergeCell ref="DZ72:DZ75"/>
    <mergeCell ref="EA72:EA75"/>
    <mergeCell ref="EG67:EG70"/>
    <mergeCell ref="FE67:FE68"/>
    <mergeCell ref="FG67:FG70"/>
    <mergeCell ref="EA67:EA70"/>
    <mergeCell ref="HG48:HG49"/>
    <mergeCell ref="EY54:EY55"/>
    <mergeCell ref="EZ54:EZ55"/>
    <mergeCell ref="DT62:DT63"/>
    <mergeCell ref="DU62:DU65"/>
    <mergeCell ref="DV62:DV65"/>
    <mergeCell ref="DX62:DX65"/>
    <mergeCell ref="DY62:DY63"/>
    <mergeCell ref="DZ62:DZ65"/>
    <mergeCell ref="EA62:EA65"/>
    <mergeCell ref="DY64:DY65"/>
    <mergeCell ref="EC62:EC65"/>
    <mergeCell ref="ED62:ED65"/>
    <mergeCell ref="FQ67:FQ68"/>
    <mergeCell ref="HI58:HI59"/>
    <mergeCell ref="HJ58:HJ59"/>
    <mergeCell ref="EY49:EY50"/>
    <mergeCell ref="EZ47:EZ48"/>
    <mergeCell ref="DT59:DT60"/>
    <mergeCell ref="DY59:DY60"/>
    <mergeCell ref="EM57:EM60"/>
    <mergeCell ref="EN57:EN60"/>
    <mergeCell ref="EO57:EO60"/>
    <mergeCell ref="EP57:EP60"/>
    <mergeCell ref="EQ57:EQ60"/>
    <mergeCell ref="GN68:GN69"/>
    <mergeCell ref="GP68:GP69"/>
    <mergeCell ref="DT47:DT48"/>
    <mergeCell ref="GM48:GM49"/>
    <mergeCell ref="FO47:FO48"/>
    <mergeCell ref="FQ47:FQ48"/>
    <mergeCell ref="FY47:FY48"/>
    <mergeCell ref="FY49:FY50"/>
    <mergeCell ref="FL54:FL55"/>
    <mergeCell ref="FM52:FM53"/>
    <mergeCell ref="FT47:FT48"/>
    <mergeCell ref="FU47:FU48"/>
    <mergeCell ref="FV47:FV48"/>
    <mergeCell ref="FW47:FW48"/>
    <mergeCell ref="GD67:GD70"/>
    <mergeCell ref="GE67:GE70"/>
    <mergeCell ref="FE52:FE53"/>
    <mergeCell ref="GF52:GF55"/>
    <mergeCell ref="FP57:FP58"/>
    <mergeCell ref="FP59:FP60"/>
    <mergeCell ref="GB52:GB55"/>
    <mergeCell ref="FX57:FX58"/>
    <mergeCell ref="FN59:FN60"/>
    <mergeCell ref="FO59:FO60"/>
    <mergeCell ref="FQ59:FQ60"/>
    <mergeCell ref="FW64:FW65"/>
    <mergeCell ref="GD57:GD60"/>
    <mergeCell ref="FQ57:FQ58"/>
    <mergeCell ref="FA59:FA60"/>
    <mergeCell ref="EX62:EX63"/>
    <mergeCell ref="EY62:EY63"/>
    <mergeCell ref="FE59:FE60"/>
    <mergeCell ref="EQ62:EQ65"/>
    <mergeCell ref="ER62:ER65"/>
    <mergeCell ref="ES62:ES65"/>
    <mergeCell ref="EZ69:EZ70"/>
    <mergeCell ref="FA69:FA70"/>
    <mergeCell ref="FB69:FB70"/>
    <mergeCell ref="FE69:FE70"/>
    <mergeCell ref="HG63:HG64"/>
    <mergeCell ref="GH67:GH70"/>
    <mergeCell ref="AN49:AN50"/>
    <mergeCell ref="AO49:AO50"/>
    <mergeCell ref="CR49:CR50"/>
    <mergeCell ref="CS49:CS50"/>
    <mergeCell ref="CU49:CU50"/>
    <mergeCell ref="CV49:CV50"/>
    <mergeCell ref="CW49:CW50"/>
    <mergeCell ref="CX49:CX50"/>
    <mergeCell ref="CY49:CY50"/>
    <mergeCell ref="CZ49:CZ50"/>
    <mergeCell ref="DF49:DF50"/>
    <mergeCell ref="CP47:CP50"/>
    <mergeCell ref="EH47:EH50"/>
    <mergeCell ref="EI47:EI50"/>
    <mergeCell ref="EJ47:EJ50"/>
    <mergeCell ref="EX49:EX50"/>
    <mergeCell ref="E47:F47"/>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N49:DN50"/>
    <mergeCell ref="P50:R50"/>
    <mergeCell ref="B47:B50"/>
    <mergeCell ref="C47:D50"/>
    <mergeCell ref="B52:B55"/>
    <mergeCell ref="C52:D55"/>
    <mergeCell ref="IG47:IG48"/>
    <mergeCell ref="IH47:IH50"/>
    <mergeCell ref="E48:F48"/>
    <mergeCell ref="G48:L48"/>
    <mergeCell ref="P48:Q48"/>
    <mergeCell ref="GN48:GN49"/>
    <mergeCell ref="GP48:GP49"/>
    <mergeCell ref="GQ48:GQ49"/>
    <mergeCell ref="HH48:HH49"/>
    <mergeCell ref="HI48:HI49"/>
    <mergeCell ref="HJ48:HJ49"/>
    <mergeCell ref="HK48:HK49"/>
    <mergeCell ref="HM48:HM49"/>
    <mergeCell ref="HO48:HO49"/>
    <mergeCell ref="HP48:HP49"/>
    <mergeCell ref="HQ48:HQ49"/>
    <mergeCell ref="HS48:HS49"/>
    <mergeCell ref="HT48:HT49"/>
    <mergeCell ref="HU48:HU49"/>
    <mergeCell ref="HZ48:HZ49"/>
    <mergeCell ref="HV48:HV49"/>
    <mergeCell ref="HW48:HW49"/>
    <mergeCell ref="EZ49:EZ50"/>
    <mergeCell ref="FA49:FA50"/>
    <mergeCell ref="FB49:FB50"/>
    <mergeCell ref="FL49:FL50"/>
    <mergeCell ref="FM49:FM50"/>
    <mergeCell ref="FN49:FN50"/>
    <mergeCell ref="FO49:FO50"/>
    <mergeCell ref="FQ49:FQ50"/>
    <mergeCell ref="FS49:FS50"/>
    <mergeCell ref="FT49:FT50"/>
    <mergeCell ref="FU49:FU50"/>
    <mergeCell ref="AW47:AW50"/>
    <mergeCell ref="AZ47:AZ50"/>
    <mergeCell ref="G49:L49"/>
    <mergeCell ref="P49:Q49"/>
    <mergeCell ref="S49:S50"/>
    <mergeCell ref="GA47:GA50"/>
    <mergeCell ref="GB47:GB50"/>
    <mergeCell ref="GC47:GC50"/>
    <mergeCell ref="FA47:FA48"/>
    <mergeCell ref="FB47:FB48"/>
    <mergeCell ref="FC47:FC50"/>
    <mergeCell ref="EK47:EK50"/>
    <mergeCell ref="EL47:EL50"/>
    <mergeCell ref="ER47:ER50"/>
    <mergeCell ref="ES47:ES50"/>
    <mergeCell ref="ET47:ET50"/>
    <mergeCell ref="EV47:EV50"/>
    <mergeCell ref="EX47:EX48"/>
    <mergeCell ref="AY47:AY50"/>
    <mergeCell ref="ID48:ID49"/>
    <mergeCell ref="E49:F49"/>
    <mergeCell ref="IC49:IC50"/>
    <mergeCell ref="DR47:DR48"/>
    <mergeCell ref="DR49:DR50"/>
    <mergeCell ref="GD47:GD50"/>
    <mergeCell ref="GG47:GG50"/>
    <mergeCell ref="GH47:GH50"/>
    <mergeCell ref="AN82:AN83"/>
    <mergeCell ref="AO82:AO83"/>
    <mergeCell ref="AP82:AQ85"/>
    <mergeCell ref="AR82:AT85"/>
    <mergeCell ref="AU82:AU85"/>
    <mergeCell ref="P107:Q107"/>
    <mergeCell ref="S107:S108"/>
    <mergeCell ref="AN107:AN108"/>
    <mergeCell ref="AO107:AO108"/>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T49:DT50"/>
    <mergeCell ref="DA47:DA50"/>
    <mergeCell ref="DB47:DB50"/>
    <mergeCell ref="DR57:DR58"/>
    <mergeCell ref="GE52:GE55"/>
    <mergeCell ref="AZ120:AZ123"/>
    <mergeCell ref="CP120:CP123"/>
    <mergeCell ref="P112:Q112"/>
    <mergeCell ref="S112:S113"/>
    <mergeCell ref="P111:Q111"/>
    <mergeCell ref="U111:AD111"/>
    <mergeCell ref="FQ74:FQ75"/>
    <mergeCell ref="EI57:EI60"/>
    <mergeCell ref="EJ57:EJ60"/>
    <mergeCell ref="EL57:EL60"/>
    <mergeCell ref="FO64:FO65"/>
    <mergeCell ref="ER57:ER60"/>
    <mergeCell ref="ES57:ES60"/>
    <mergeCell ref="FG62:FG65"/>
    <mergeCell ref="FH62:FH65"/>
    <mergeCell ref="EM67:EM70"/>
    <mergeCell ref="EN67:EN70"/>
    <mergeCell ref="EO72:EO75"/>
    <mergeCell ref="EP72:EP75"/>
    <mergeCell ref="EQ72:EQ75"/>
    <mergeCell ref="ER72:ER75"/>
    <mergeCell ref="FA74:FA75"/>
    <mergeCell ref="DY72:DY73"/>
    <mergeCell ref="EJ72:EJ75"/>
    <mergeCell ref="GB57:GB60"/>
    <mergeCell ref="FS57:FS58"/>
    <mergeCell ref="FT57:FT58"/>
    <mergeCell ref="EL62:EL65"/>
    <mergeCell ref="EX64:EX65"/>
    <mergeCell ref="EY64:EY65"/>
    <mergeCell ref="EM62:EM65"/>
    <mergeCell ref="EL67:EL70"/>
    <mergeCell ref="EP62:EP65"/>
    <mergeCell ref="FQ77:FQ78"/>
    <mergeCell ref="FE72:FE73"/>
    <mergeCell ref="EY74:EY75"/>
    <mergeCell ref="EY69:EY70"/>
    <mergeCell ref="EX67:EX68"/>
    <mergeCell ref="CY95:CY96"/>
    <mergeCell ref="CZ95:CZ96"/>
    <mergeCell ref="DA95:DA98"/>
    <mergeCell ref="DB95:DB98"/>
    <mergeCell ref="G77:R77"/>
    <mergeCell ref="S77:S78"/>
    <mergeCell ref="U77:AA77"/>
    <mergeCell ref="U78:AD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IB47:IB49"/>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Y120:AY123"/>
    <mergeCell ref="E113:F113"/>
    <mergeCell ref="G113:L113"/>
    <mergeCell ref="P113:R113"/>
    <mergeCell ref="AY115:AY118"/>
    <mergeCell ref="AN87:AN88"/>
    <mergeCell ref="AO87:AO88"/>
    <mergeCell ref="AP87:AQ90"/>
    <mergeCell ref="AR87:AT90"/>
    <mergeCell ref="U82:AA82"/>
    <mergeCell ref="AG82:AL82"/>
    <mergeCell ref="AM82:AM83"/>
    <mergeCell ref="CW97:CW98"/>
    <mergeCell ref="CU95:CU96"/>
    <mergeCell ref="CV95:CV96"/>
    <mergeCell ref="CW95:CW96"/>
    <mergeCell ref="U79:AE79"/>
    <mergeCell ref="CY72:CY7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G122:L122"/>
    <mergeCell ref="P122:Q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AM95:AM96"/>
    <mergeCell ref="AN95:AN96"/>
    <mergeCell ref="AO95:AO96"/>
    <mergeCell ref="AP95:AQ98"/>
    <mergeCell ref="E84:F84"/>
    <mergeCell ref="G84:L84"/>
    <mergeCell ref="AN84:AN85"/>
    <mergeCell ref="AO84:AO85"/>
    <mergeCell ref="E91:AW91"/>
    <mergeCell ref="CX95:CX96"/>
    <mergeCell ref="AY72:AY75"/>
    <mergeCell ref="CP72:CP75"/>
    <mergeCell ref="DC72:DC75"/>
    <mergeCell ref="AO74:AO75"/>
    <mergeCell ref="E78:F78"/>
    <mergeCell ref="G78:L78"/>
    <mergeCell ref="P78:Q78"/>
    <mergeCell ref="AV82:AV85"/>
    <mergeCell ref="AW82:AW85"/>
    <mergeCell ref="AY82:AY85"/>
    <mergeCell ref="AZ82:AZ85"/>
    <mergeCell ref="CP82:CP85"/>
    <mergeCell ref="E72:F72"/>
    <mergeCell ref="AZ72:AZ75"/>
    <mergeCell ref="DJ72:DJ73"/>
    <mergeCell ref="DV72:DV75"/>
    <mergeCell ref="CS79:CS80"/>
    <mergeCell ref="DM77:DM78"/>
    <mergeCell ref="EM77:EM80"/>
    <mergeCell ref="EO77:EO80"/>
    <mergeCell ref="EP77:EP80"/>
    <mergeCell ref="EQ77:EQ80"/>
    <mergeCell ref="ES77:ES80"/>
    <mergeCell ref="ET77:ET80"/>
    <mergeCell ref="EY79:EY80"/>
    <mergeCell ref="DV95:DV98"/>
    <mergeCell ref="DX95:DX98"/>
    <mergeCell ref="DJ79:DJ80"/>
    <mergeCell ref="DN79:DN80"/>
    <mergeCell ref="DR79:DR80"/>
    <mergeCell ref="AZ87:AZ90"/>
    <mergeCell ref="CP87:CP90"/>
    <mergeCell ref="CP95:CP98"/>
    <mergeCell ref="S97:S98"/>
    <mergeCell ref="AG97:AL97"/>
    <mergeCell ref="AM97:AM98"/>
    <mergeCell ref="AN97:AN98"/>
    <mergeCell ref="CU97:CU98"/>
    <mergeCell ref="CV97:CV98"/>
    <mergeCell ref="DO72:DO75"/>
    <mergeCell ref="DQ72:DQ75"/>
    <mergeCell ref="DR72:DR73"/>
    <mergeCell ref="DS72:DS75"/>
    <mergeCell ref="DT72:DT73"/>
    <mergeCell ref="DU72:DU75"/>
    <mergeCell ref="CR97:CR98"/>
    <mergeCell ref="CS97:CS98"/>
    <mergeCell ref="CW89:CW90"/>
    <mergeCell ref="CY87:CY88"/>
    <mergeCell ref="CZ87:CZ88"/>
    <mergeCell ref="DA87:DA90"/>
    <mergeCell ref="DG95:DG96"/>
    <mergeCell ref="AZ95:AZ98"/>
    <mergeCell ref="E98:F98"/>
    <mergeCell ref="G98:L98"/>
    <mergeCell ref="P98:R98"/>
    <mergeCell ref="U98:AA98"/>
    <mergeCell ref="AG98:AL98"/>
    <mergeCell ref="AG83:AK83"/>
    <mergeCell ref="DI87:DI88"/>
    <mergeCell ref="CS89:CS90"/>
    <mergeCell ref="CR84:CR85"/>
    <mergeCell ref="CS82:CS83"/>
    <mergeCell ref="DB87:DB90"/>
    <mergeCell ref="CW107:CW108"/>
    <mergeCell ref="CX107:CX108"/>
    <mergeCell ref="P103:R103"/>
    <mergeCell ref="AN100:AN101"/>
    <mergeCell ref="AO100:AO101"/>
    <mergeCell ref="CX102:CX103"/>
    <mergeCell ref="CY102:CY103"/>
    <mergeCell ref="CZ102:CZ103"/>
    <mergeCell ref="DF102:DF103"/>
    <mergeCell ref="DG102:DG103"/>
    <mergeCell ref="DH102:DH103"/>
    <mergeCell ref="CV100:CV101"/>
    <mergeCell ref="CW100:CW101"/>
    <mergeCell ref="CX100:CX101"/>
    <mergeCell ref="CY100:CY101"/>
    <mergeCell ref="CZ100:CZ101"/>
    <mergeCell ref="G112:L112"/>
    <mergeCell ref="CY107:CY108"/>
    <mergeCell ref="CZ107:CZ108"/>
    <mergeCell ref="CQ105:CQ108"/>
    <mergeCell ref="AG108:AL108"/>
    <mergeCell ref="AG102:AL102"/>
    <mergeCell ref="AW105:AW108"/>
    <mergeCell ref="AY105:AY108"/>
    <mergeCell ref="AZ105:AZ108"/>
    <mergeCell ref="CP105:CP108"/>
    <mergeCell ref="AG112:AL112"/>
    <mergeCell ref="G108:L108"/>
    <mergeCell ref="P108:R108"/>
    <mergeCell ref="DF110:DF111"/>
    <mergeCell ref="DG110:DG111"/>
    <mergeCell ref="CQ100:CQ103"/>
    <mergeCell ref="CR100:CR101"/>
    <mergeCell ref="E104:AW104"/>
    <mergeCell ref="AM112:AM113"/>
    <mergeCell ref="AN112:AN113"/>
    <mergeCell ref="AO112:AO113"/>
    <mergeCell ref="E102:F102"/>
    <mergeCell ref="E101:F101"/>
    <mergeCell ref="DI100:DI101"/>
    <mergeCell ref="DZ100:DZ103"/>
    <mergeCell ref="FL102:FL103"/>
    <mergeCell ref="DJ102:DJ103"/>
    <mergeCell ref="DQ95:DQ98"/>
    <mergeCell ref="EL95:EL98"/>
    <mergeCell ref="EV100:EV103"/>
    <mergeCell ref="EX100:EX101"/>
    <mergeCell ref="EY100:EY101"/>
    <mergeCell ref="EP100:EP103"/>
    <mergeCell ref="EN100:EN103"/>
    <mergeCell ref="EO100:EO103"/>
    <mergeCell ref="DI95:DI96"/>
    <mergeCell ref="DJ95:DJ96"/>
    <mergeCell ref="DN97:DN98"/>
    <mergeCell ref="DR97:DR98"/>
    <mergeCell ref="DT97:DT98"/>
    <mergeCell ref="EZ95:EZ96"/>
    <mergeCell ref="FA95:FA96"/>
    <mergeCell ref="DT95:DT96"/>
    <mergeCell ref="EX102:EX103"/>
    <mergeCell ref="FN102:FN103"/>
    <mergeCell ref="FO102:FO103"/>
    <mergeCell ref="DK100:DK103"/>
    <mergeCell ref="DM100:DM101"/>
    <mergeCell ref="DO100:DO103"/>
    <mergeCell ref="DJ100:DJ101"/>
    <mergeCell ref="EJ100:EJ103"/>
    <mergeCell ref="FL100:FL101"/>
    <mergeCell ref="DQ100:DQ103"/>
    <mergeCell ref="DR100:DR101"/>
    <mergeCell ref="DS100:DS103"/>
    <mergeCell ref="DU100:DU103"/>
    <mergeCell ref="DV100:DV103"/>
    <mergeCell ref="DX100:DX103"/>
    <mergeCell ref="DY100:DY101"/>
    <mergeCell ref="DN102:DN103"/>
    <mergeCell ref="EQ100:EQ103"/>
    <mergeCell ref="FG100:FG103"/>
    <mergeCell ref="DU95:DU98"/>
    <mergeCell ref="DY102:DY103"/>
    <mergeCell ref="ET100:ET103"/>
    <mergeCell ref="FB100:FB101"/>
    <mergeCell ref="FC100:FC103"/>
    <mergeCell ref="FE100:FE101"/>
    <mergeCell ref="EK100:EK103"/>
    <mergeCell ref="EL100:EL103"/>
    <mergeCell ref="EM100:EM103"/>
    <mergeCell ref="EY102:EY103"/>
    <mergeCell ref="EZ102:EZ103"/>
    <mergeCell ref="FA102:FA103"/>
    <mergeCell ref="EH100:EH103"/>
    <mergeCell ref="EI100:EI103"/>
    <mergeCell ref="FH100:FH103"/>
    <mergeCell ref="FA100:FA101"/>
    <mergeCell ref="DO95:DO98"/>
    <mergeCell ref="DT100:DT101"/>
    <mergeCell ref="DI97:DI98"/>
    <mergeCell ref="DJ97:DJ98"/>
    <mergeCell ref="EX97:EX98"/>
    <mergeCell ref="DZ95:DZ98"/>
    <mergeCell ref="EA95:EA98"/>
    <mergeCell ref="EQ95:EQ98"/>
    <mergeCell ref="ER95:ER98"/>
    <mergeCell ref="IB8:IB14"/>
    <mergeCell ref="HY8:HY14"/>
    <mergeCell ref="HE8:HE14"/>
    <mergeCell ref="CR102:CR103"/>
    <mergeCell ref="W24:X24"/>
    <mergeCell ref="W26:X26"/>
    <mergeCell ref="W28:X28"/>
    <mergeCell ref="W30:X30"/>
    <mergeCell ref="W32:X32"/>
    <mergeCell ref="W34:X34"/>
    <mergeCell ref="EN47:EN50"/>
    <mergeCell ref="EO47:EO50"/>
    <mergeCell ref="EP47:EP50"/>
    <mergeCell ref="DZ57:DZ60"/>
    <mergeCell ref="EA57:EA60"/>
    <mergeCell ref="EC57:EC60"/>
    <mergeCell ref="ED57:ED60"/>
    <mergeCell ref="EF57:EF60"/>
    <mergeCell ref="AO59:AO60"/>
    <mergeCell ref="DF47:DF48"/>
    <mergeCell ref="DG47:DG48"/>
    <mergeCell ref="DH47:DH48"/>
    <mergeCell ref="DI47:DI48"/>
    <mergeCell ref="DJ47:DJ48"/>
    <mergeCell ref="AG49:AL49"/>
    <mergeCell ref="AG58:AK58"/>
    <mergeCell ref="U49:AE49"/>
    <mergeCell ref="U54:AE54"/>
    <mergeCell ref="U59:AE59"/>
    <mergeCell ref="U58:AD58"/>
    <mergeCell ref="EK57:EK60"/>
    <mergeCell ref="AW52:AW55"/>
    <mergeCell ref="AY52:AY55"/>
    <mergeCell ref="DS47:DS50"/>
    <mergeCell ref="DC52:DC55"/>
    <mergeCell ref="DD52:DD55"/>
    <mergeCell ref="DF52:DF53"/>
    <mergeCell ref="DQ44:DR44"/>
    <mergeCell ref="DQ45:DR45"/>
    <mergeCell ref="DQ47:DQ50"/>
    <mergeCell ref="T32:U32"/>
    <mergeCell ref="CS102:CS103"/>
    <mergeCell ref="CU102:CU103"/>
    <mergeCell ref="CV102:CV103"/>
    <mergeCell ref="CW102:CW103"/>
    <mergeCell ref="U103:AA103"/>
    <mergeCell ref="AG103:AL103"/>
    <mergeCell ref="DN64:DN65"/>
    <mergeCell ref="DR64:DR65"/>
    <mergeCell ref="FV49:FV50"/>
    <mergeCell ref="FW49:FW50"/>
    <mergeCell ref="FX49:FX50"/>
    <mergeCell ref="U48:AD48"/>
    <mergeCell ref="FE47:FE48"/>
    <mergeCell ref="CY52:CY53"/>
    <mergeCell ref="CZ52:CZ53"/>
    <mergeCell ref="AN54:AN55"/>
    <mergeCell ref="AO54:AO55"/>
    <mergeCell ref="DF54:DF55"/>
    <mergeCell ref="DH54:DH55"/>
    <mergeCell ref="DI57:DI58"/>
    <mergeCell ref="CY57:CY58"/>
    <mergeCell ref="HK68:HK69"/>
    <mergeCell ref="CR82:CR83"/>
    <mergeCell ref="CC2:CC4"/>
    <mergeCell ref="CQ52:CQ55"/>
    <mergeCell ref="CR52:CR53"/>
    <mergeCell ref="CS52:CS53"/>
    <mergeCell ref="CU52:CU53"/>
    <mergeCell ref="CV52:CV53"/>
    <mergeCell ref="DX94:DY94"/>
    <mergeCell ref="DG62:DG63"/>
    <mergeCell ref="DH67:DH68"/>
    <mergeCell ref="CP67:CP70"/>
    <mergeCell ref="CQ67:CQ70"/>
    <mergeCell ref="CR67:CR68"/>
    <mergeCell ref="DJ67:DJ68"/>
    <mergeCell ref="DK77:DK80"/>
    <mergeCell ref="DM67:DM68"/>
    <mergeCell ref="DK72:DK75"/>
    <mergeCell ref="DM72:DM73"/>
    <mergeCell ref="DI79:DI80"/>
    <mergeCell ref="DF74:DF75"/>
    <mergeCell ref="DG74:DG75"/>
    <mergeCell ref="CS84:CS85"/>
    <mergeCell ref="CV84:CV85"/>
    <mergeCell ref="DB77:DB80"/>
    <mergeCell ref="DQ52:DQ55"/>
    <mergeCell ref="DR52:DR53"/>
    <mergeCell ref="DS52:DS55"/>
    <mergeCell ref="EX74:EX75"/>
    <mergeCell ref="DR54:DR55"/>
    <mergeCell ref="DT54:DT55"/>
    <mergeCell ref="DU52:DU55"/>
    <mergeCell ref="DV52:DV55"/>
    <mergeCell ref="CR89:CR90"/>
    <mergeCell ref="EP67:EP70"/>
    <mergeCell ref="EO67:EO70"/>
    <mergeCell ref="EK67:EK70"/>
    <mergeCell ref="DG57:DG58"/>
    <mergeCell ref="DJ57:DJ58"/>
    <mergeCell ref="DT52:DT53"/>
    <mergeCell ref="DO47:DO50"/>
    <mergeCell ref="CR59:CR60"/>
    <mergeCell ref="CS59:CS60"/>
    <mergeCell ref="DA57:DA60"/>
    <mergeCell ref="DI59:DI60"/>
    <mergeCell ref="DH74:DH75"/>
    <mergeCell ref="DC87:DC90"/>
    <mergeCell ref="CZ89:CZ90"/>
    <mergeCell ref="DF89:DF90"/>
    <mergeCell ref="EA77:EA80"/>
    <mergeCell ref="EL77:EL80"/>
    <mergeCell ref="EH77:EH80"/>
    <mergeCell ref="EI77:EI80"/>
    <mergeCell ref="DZ77:DZ80"/>
    <mergeCell ref="EV62:EV65"/>
    <mergeCell ref="EN62:EN65"/>
    <mergeCell ref="EJ67:EJ70"/>
    <mergeCell ref="CZ57:CZ58"/>
    <mergeCell ref="DK57:DK60"/>
    <mergeCell ref="EH57:EH60"/>
    <mergeCell ref="EQ47:EQ50"/>
    <mergeCell ref="EV57:EV60"/>
    <mergeCell ref="ED47:ED50"/>
    <mergeCell ref="EF47:EF50"/>
    <mergeCell ref="DY49:DY50"/>
    <mergeCell ref="DY69:DY70"/>
    <mergeCell ref="FY79:FY80"/>
    <mergeCell ref="FN69:FN70"/>
    <mergeCell ref="FO69:FO70"/>
    <mergeCell ref="FQ69:FQ70"/>
    <mergeCell ref="FS67:FS68"/>
    <mergeCell ref="FT67:FT68"/>
    <mergeCell ref="FU69:FU70"/>
    <mergeCell ref="FV69:FV70"/>
    <mergeCell ref="FW69:FW70"/>
    <mergeCell ref="FW67:FW68"/>
    <mergeCell ref="FX67:FX68"/>
    <mergeCell ref="GC67:GC70"/>
    <mergeCell ref="FS77:FS78"/>
    <mergeCell ref="FT77:FT78"/>
    <mergeCell ref="FU77:FU78"/>
    <mergeCell ref="FV77:FV78"/>
    <mergeCell ref="GG72:GG75"/>
    <mergeCell ref="ES95:ES98"/>
    <mergeCell ref="ET95:ET98"/>
    <mergeCell ref="EV95:EV98"/>
    <mergeCell ref="ED100:ED103"/>
    <mergeCell ref="EF100:EF103"/>
    <mergeCell ref="EG100:EG103"/>
    <mergeCell ref="EQ82:EQ85"/>
    <mergeCell ref="FO77:FO78"/>
    <mergeCell ref="FH67:FH70"/>
    <mergeCell ref="FL67:FL68"/>
    <mergeCell ref="FM67:FM68"/>
    <mergeCell ref="FB67:FB68"/>
    <mergeCell ref="FM69:FM70"/>
    <mergeCell ref="FC67:FC70"/>
    <mergeCell ref="FV74:FV75"/>
    <mergeCell ref="FB77:FB78"/>
    <mergeCell ref="FL79:FL80"/>
    <mergeCell ref="FU74:FU75"/>
    <mergeCell ref="FV67:FV68"/>
    <mergeCell ref="GG100:GG103"/>
    <mergeCell ref="FW74:FW75"/>
    <mergeCell ref="FX74:FX75"/>
    <mergeCell ref="FU67:FU68"/>
    <mergeCell ref="FP67:FP68"/>
    <mergeCell ref="FP69:FP70"/>
    <mergeCell ref="GB72:GB75"/>
    <mergeCell ref="EK87:EK90"/>
    <mergeCell ref="EL87:EL90"/>
    <mergeCell ref="FT97:FT98"/>
    <mergeCell ref="EV87:EV90"/>
    <mergeCell ref="EX87:EX88"/>
    <mergeCell ref="EY87:EY88"/>
    <mergeCell ref="EZ87:EZ88"/>
    <mergeCell ref="FA87:FA88"/>
    <mergeCell ref="FB87:FB88"/>
    <mergeCell ref="FC87:FC90"/>
    <mergeCell ref="FE87:FE88"/>
    <mergeCell ref="GC95:GC98"/>
    <mergeCell ref="GD95:GD98"/>
    <mergeCell ref="FB97:FB98"/>
    <mergeCell ref="FE97:FE98"/>
    <mergeCell ref="EO95:EO98"/>
    <mergeCell ref="EX95:EX96"/>
    <mergeCell ref="EY95:EY96"/>
    <mergeCell ref="GD77:GD80"/>
    <mergeCell ref="FB102:FB103"/>
    <mergeCell ref="FV102:FV103"/>
    <mergeCell ref="GH100:GH103"/>
    <mergeCell ref="GK100:GK103"/>
    <mergeCell ref="T28:U30"/>
    <mergeCell ref="W20:X20"/>
    <mergeCell ref="W22:X22"/>
    <mergeCell ref="HT8:HT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M8:HM14"/>
    <mergeCell ref="HG8:HG14"/>
    <mergeCell ref="T34:U34"/>
    <mergeCell ref="CG2:CG4"/>
    <mergeCell ref="DN32:DN40"/>
    <mergeCell ref="DO32:DO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BT2:BT4"/>
    <mergeCell ref="HV8:HV14"/>
    <mergeCell ref="HX8:HX14"/>
    <mergeCell ref="HW8:HW14"/>
    <mergeCell ref="GP8:GP14"/>
    <mergeCell ref="GR8:GR14"/>
    <mergeCell ref="GS8:GS14"/>
    <mergeCell ref="GH44:GH45"/>
    <mergeCell ref="HS8:HS14"/>
    <mergeCell ref="HU8:HU14"/>
    <mergeCell ref="AR20:AW20"/>
    <mergeCell ref="AR22:AW22"/>
    <mergeCell ref="AR24:AW24"/>
    <mergeCell ref="GV8:GV14"/>
    <mergeCell ref="HR8:HR14"/>
    <mergeCell ref="A19:AZ19"/>
    <mergeCell ref="B24:B32"/>
    <mergeCell ref="HP8:HP14"/>
    <mergeCell ref="K20:L20"/>
    <mergeCell ref="K22:L22"/>
    <mergeCell ref="K24:L24"/>
    <mergeCell ref="K28:L28"/>
    <mergeCell ref="K30:L30"/>
    <mergeCell ref="K32:L32"/>
    <mergeCell ref="AU8:AW8"/>
    <mergeCell ref="AR30:AW30"/>
    <mergeCell ref="GT8:GT14"/>
    <mergeCell ref="AR14:AS14"/>
    <mergeCell ref="AR10:AS10"/>
    <mergeCell ref="HL8:HL14"/>
    <mergeCell ref="DQ18:DR18"/>
    <mergeCell ref="DX18:DY18"/>
    <mergeCell ref="DQ16:DR16"/>
    <mergeCell ref="HH8:HH14"/>
    <mergeCell ref="HC8:HC14"/>
    <mergeCell ref="HD8:HD14"/>
    <mergeCell ref="DM32:DM40"/>
    <mergeCell ref="AR28:AW28"/>
    <mergeCell ref="E20:F20"/>
    <mergeCell ref="AR32:AW32"/>
    <mergeCell ref="P43:Q43"/>
    <mergeCell ref="HO8:HO14"/>
    <mergeCell ref="HQ8:HQ14"/>
    <mergeCell ref="HJ8:HJ14"/>
    <mergeCell ref="HK8:HK14"/>
    <mergeCell ref="HF8:HF14"/>
    <mergeCell ref="GN8:GN14"/>
    <mergeCell ref="HN8:HN14"/>
    <mergeCell ref="P45:Q45"/>
    <mergeCell ref="GW8:GW14"/>
    <mergeCell ref="GX8:GX14"/>
    <mergeCell ref="GY8:GY14"/>
    <mergeCell ref="GH16:GH18"/>
    <mergeCell ref="DX16:DY16"/>
    <mergeCell ref="GU8:GU14"/>
    <mergeCell ref="AR45:AS45"/>
    <mergeCell ref="DX44:DY44"/>
    <mergeCell ref="DX45:DY45"/>
    <mergeCell ref="HI8:HI14"/>
    <mergeCell ref="GQ8:GQ14"/>
    <mergeCell ref="GO8:GO14"/>
    <mergeCell ref="GZ8:GZ14"/>
    <mergeCell ref="BZ2:BZ4"/>
    <mergeCell ref="HA8:HA14"/>
    <mergeCell ref="HB8:HB14"/>
    <mergeCell ref="E51:AW51"/>
    <mergeCell ref="E58:F58"/>
    <mergeCell ref="G58:L58"/>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R54:CR55"/>
    <mergeCell ref="AO57:AO58"/>
    <mergeCell ref="AP57:AQ60"/>
    <mergeCell ref="AR57:AT60"/>
    <mergeCell ref="AU57:AU60"/>
    <mergeCell ref="AV57:AV60"/>
    <mergeCell ref="AW57:AW60"/>
    <mergeCell ref="AZ57:AZ60"/>
    <mergeCell ref="CP57:CP60"/>
    <mergeCell ref="CY54:CY55"/>
    <mergeCell ref="CZ54:CZ55"/>
    <mergeCell ref="DC62:DC65"/>
    <mergeCell ref="CW62:CW63"/>
    <mergeCell ref="E50:F50"/>
    <mergeCell ref="G50:L50"/>
    <mergeCell ref="DG54:DG55"/>
    <mergeCell ref="DJ54:DJ55"/>
    <mergeCell ref="DN54:DN55"/>
    <mergeCell ref="DC47:DC50"/>
    <mergeCell ref="DY47:DY48"/>
    <mergeCell ref="DZ47:DZ50"/>
    <mergeCell ref="EX54:EX55"/>
    <mergeCell ref="EG47:EG50"/>
    <mergeCell ref="FY52:FY53"/>
    <mergeCell ref="FY54:FY55"/>
    <mergeCell ref="GC52:GC55"/>
    <mergeCell ref="CS47:CS48"/>
    <mergeCell ref="CU47:CU48"/>
    <mergeCell ref="CV47:CV48"/>
    <mergeCell ref="DU47:DU50"/>
    <mergeCell ref="DV47:DV50"/>
    <mergeCell ref="FG47:FG50"/>
    <mergeCell ref="FH47:FH50"/>
    <mergeCell ref="FL47:FL48"/>
    <mergeCell ref="FM47:FM48"/>
    <mergeCell ref="FN47:FN48"/>
    <mergeCell ref="FE49:FE50"/>
    <mergeCell ref="FS47:FS48"/>
    <mergeCell ref="EY47:EY48"/>
    <mergeCell ref="FN52:FN53"/>
    <mergeCell ref="DI54:DI55"/>
    <mergeCell ref="FC52:FC55"/>
    <mergeCell ref="DB52:DB55"/>
    <mergeCell ref="FG52:FG55"/>
    <mergeCell ref="FH52:FH55"/>
    <mergeCell ref="DH52:DH53"/>
    <mergeCell ref="DI52:DI53"/>
    <mergeCell ref="DJ52:DJ53"/>
    <mergeCell ref="DK52:DK55"/>
    <mergeCell ref="DM52:DM53"/>
    <mergeCell ref="DG52:DG53"/>
    <mergeCell ref="CY59:CY60"/>
    <mergeCell ref="CZ59:CZ60"/>
    <mergeCell ref="DJ59:DJ60"/>
    <mergeCell ref="FC57:FC60"/>
    <mergeCell ref="FE57:FE58"/>
    <mergeCell ref="FA57:FA58"/>
    <mergeCell ref="FB57:FB58"/>
    <mergeCell ref="ET57:ET60"/>
    <mergeCell ref="FA54:FA55"/>
    <mergeCell ref="FB54:FB55"/>
    <mergeCell ref="FE54:FE55"/>
    <mergeCell ref="EV52:EV55"/>
    <mergeCell ref="EP52:EP55"/>
    <mergeCell ref="EQ52:EQ55"/>
    <mergeCell ref="DS57:DS60"/>
    <mergeCell ref="DT57:DT58"/>
    <mergeCell ref="DY57:DY58"/>
    <mergeCell ref="ET52:ET55"/>
    <mergeCell ref="EZ59:EZ60"/>
    <mergeCell ref="AY57:AY60"/>
    <mergeCell ref="E56:AW56"/>
    <mergeCell ref="AM52:AM53"/>
    <mergeCell ref="IB57:IB59"/>
    <mergeCell ref="GD62:GD65"/>
    <mergeCell ref="GE62:GE65"/>
    <mergeCell ref="GF62:GF65"/>
    <mergeCell ref="GG62:GG65"/>
    <mergeCell ref="HM58:HM59"/>
    <mergeCell ref="HR58:HR59"/>
    <mergeCell ref="AO62:AO63"/>
    <mergeCell ref="S57:S58"/>
    <mergeCell ref="U57:AA57"/>
    <mergeCell ref="CS57:CS58"/>
    <mergeCell ref="DO57:DO60"/>
    <mergeCell ref="EG57:EG60"/>
    <mergeCell ref="DN59:DN60"/>
    <mergeCell ref="DR59:DR60"/>
    <mergeCell ref="DG64:DG65"/>
    <mergeCell ref="DJ62:DJ63"/>
    <mergeCell ref="DK62:DK65"/>
    <mergeCell ref="DM62:DM63"/>
    <mergeCell ref="DO62:DO65"/>
    <mergeCell ref="EF62:EF65"/>
    <mergeCell ref="EG62:EG65"/>
    <mergeCell ref="EH62:EH65"/>
    <mergeCell ref="EI62:EI65"/>
    <mergeCell ref="EJ62:EJ65"/>
    <mergeCell ref="EK62:EK65"/>
    <mergeCell ref="DT64:DT65"/>
    <mergeCell ref="AN64:AN65"/>
    <mergeCell ref="E53:F53"/>
    <mergeCell ref="G53:L53"/>
    <mergeCell ref="P53:Q53"/>
    <mergeCell ref="DD62:DD65"/>
    <mergeCell ref="DF62:DF63"/>
    <mergeCell ref="CZ62:CZ63"/>
    <mergeCell ref="DA62:DA65"/>
    <mergeCell ref="HW58:HW59"/>
    <mergeCell ref="HX58:HX59"/>
    <mergeCell ref="HS58:HS59"/>
    <mergeCell ref="HT58:HT59"/>
    <mergeCell ref="FU57:FU58"/>
    <mergeCell ref="FV57:FV58"/>
    <mergeCell ref="FW57:FW58"/>
    <mergeCell ref="CU57:CU58"/>
    <mergeCell ref="CV57:CV58"/>
    <mergeCell ref="GK57:GK60"/>
    <mergeCell ref="CS54:CS55"/>
    <mergeCell ref="HL58:HL59"/>
    <mergeCell ref="GE57:GE60"/>
    <mergeCell ref="DX52:DX55"/>
    <mergeCell ref="DY52:DY53"/>
    <mergeCell ref="DZ52:DZ55"/>
    <mergeCell ref="EA52:EA55"/>
    <mergeCell ref="HS53:HS54"/>
    <mergeCell ref="DF57:DF58"/>
    <mergeCell ref="HX48:HX49"/>
    <mergeCell ref="HY48:HY49"/>
    <mergeCell ref="B62:B65"/>
    <mergeCell ref="S59:S60"/>
    <mergeCell ref="B57:B60"/>
    <mergeCell ref="C57:D60"/>
    <mergeCell ref="E54:F54"/>
    <mergeCell ref="G54:L54"/>
    <mergeCell ref="P54:Q54"/>
    <mergeCell ref="S54:S55"/>
    <mergeCell ref="IC54:IC55"/>
    <mergeCell ref="DQ62:DQ65"/>
    <mergeCell ref="DR62:DR63"/>
    <mergeCell ref="FU62:FU63"/>
    <mergeCell ref="GM63:GM64"/>
    <mergeCell ref="FS64:FS65"/>
    <mergeCell ref="HN58:HN59"/>
    <mergeCell ref="HO58:HO59"/>
    <mergeCell ref="HP58:HP59"/>
    <mergeCell ref="HQ58:HQ59"/>
    <mergeCell ref="FX62:FX63"/>
    <mergeCell ref="FX54:FX55"/>
    <mergeCell ref="GH52:GH55"/>
    <mergeCell ref="GK52:GK55"/>
    <mergeCell ref="DA52:DA55"/>
    <mergeCell ref="AG54:AL54"/>
    <mergeCell ref="CU54:CU55"/>
    <mergeCell ref="CV54:CV55"/>
    <mergeCell ref="CW54:CW55"/>
    <mergeCell ref="CX54:CX55"/>
    <mergeCell ref="DO52:DO55"/>
    <mergeCell ref="GD52:GD55"/>
    <mergeCell ref="EC52:EC55"/>
    <mergeCell ref="ED52:ED55"/>
    <mergeCell ref="EF52:EF55"/>
    <mergeCell ref="EG52:EG55"/>
    <mergeCell ref="EH52:EH55"/>
    <mergeCell ref="EI52:EI55"/>
    <mergeCell ref="EJ52:EJ55"/>
    <mergeCell ref="EK52:EK55"/>
    <mergeCell ref="AG55:AL55"/>
    <mergeCell ref="EY52:EY53"/>
    <mergeCell ref="FA52:FA53"/>
    <mergeCell ref="FB52:FB53"/>
    <mergeCell ref="FY62:FY63"/>
    <mergeCell ref="FE64:FE65"/>
    <mergeCell ref="GF57:GF60"/>
    <mergeCell ref="FU64:FU65"/>
    <mergeCell ref="FV64:FV65"/>
    <mergeCell ref="ET62:ET65"/>
    <mergeCell ref="DF64:DF65"/>
    <mergeCell ref="GB62:GB65"/>
    <mergeCell ref="ID58:ID59"/>
    <mergeCell ref="GG57:GG60"/>
    <mergeCell ref="FA64:FA65"/>
    <mergeCell ref="FB64:FB65"/>
    <mergeCell ref="FN64:FN65"/>
    <mergeCell ref="CS62:CS63"/>
    <mergeCell ref="FL62:FL63"/>
    <mergeCell ref="FM62:FM63"/>
    <mergeCell ref="FN62:FN63"/>
    <mergeCell ref="FO62:FO63"/>
    <mergeCell ref="FQ62:FQ63"/>
    <mergeCell ref="FS62:FS63"/>
    <mergeCell ref="FT62:FT63"/>
    <mergeCell ref="EZ64:EZ65"/>
    <mergeCell ref="GH57:GH60"/>
    <mergeCell ref="FT59:FT60"/>
    <mergeCell ref="FU59:FU60"/>
    <mergeCell ref="GA52:GA55"/>
    <mergeCell ref="AG53:AK53"/>
    <mergeCell ref="E52:F52"/>
    <mergeCell ref="G52:R52"/>
    <mergeCell ref="S52:S53"/>
    <mergeCell ref="FO52:FO53"/>
    <mergeCell ref="FQ52:FQ53"/>
    <mergeCell ref="EZ52:EZ53"/>
    <mergeCell ref="FL52:FL53"/>
    <mergeCell ref="AG52:AL52"/>
    <mergeCell ref="DF59:DF60"/>
    <mergeCell ref="DG59:DG60"/>
    <mergeCell ref="DH59:DH60"/>
    <mergeCell ref="DQ57:DQ60"/>
    <mergeCell ref="GM53:GM54"/>
    <mergeCell ref="GN53:GN54"/>
    <mergeCell ref="GP53:GP54"/>
    <mergeCell ref="GQ53:GQ54"/>
    <mergeCell ref="HH53:HH54"/>
    <mergeCell ref="E55:F55"/>
    <mergeCell ref="G55:L55"/>
    <mergeCell ref="P55:R55"/>
    <mergeCell ref="HI53:HI54"/>
    <mergeCell ref="HJ53:HJ54"/>
    <mergeCell ref="HK53:HK54"/>
    <mergeCell ref="HL53:HL54"/>
    <mergeCell ref="AZ52:AZ55"/>
    <mergeCell ref="CP52:CP55"/>
    <mergeCell ref="FS52:FS53"/>
    <mergeCell ref="FT52:FT53"/>
    <mergeCell ref="FU52:FU53"/>
    <mergeCell ref="FV52:FV53"/>
    <mergeCell ref="FW52:FW53"/>
    <mergeCell ref="FX52:FX53"/>
    <mergeCell ref="AO52:AO53"/>
    <mergeCell ref="AP52:AQ55"/>
    <mergeCell ref="HG53:HG54"/>
    <mergeCell ref="GG52:GG55"/>
    <mergeCell ref="FM54:FM55"/>
    <mergeCell ref="FN54:FN55"/>
    <mergeCell ref="FO54:FO55"/>
    <mergeCell ref="FQ54:FQ55"/>
    <mergeCell ref="FS54:FS55"/>
    <mergeCell ref="FT54:FT55"/>
    <mergeCell ref="FU54:FU55"/>
    <mergeCell ref="FV54:FV55"/>
    <mergeCell ref="FW54:FW55"/>
    <mergeCell ref="FP72:FP73"/>
    <mergeCell ref="FP74:FP75"/>
    <mergeCell ref="FQ72:FQ73"/>
    <mergeCell ref="FC62:FC65"/>
    <mergeCell ref="EZ62:EZ63"/>
    <mergeCell ref="FA62:FA63"/>
    <mergeCell ref="FE62:FE63"/>
    <mergeCell ref="EZ57:EZ58"/>
    <mergeCell ref="ES67:ES70"/>
    <mergeCell ref="FX69:FX70"/>
    <mergeCell ref="FN74:FN75"/>
    <mergeCell ref="FN72:FN73"/>
    <mergeCell ref="FY72:FY73"/>
    <mergeCell ref="FY64:FY65"/>
    <mergeCell ref="EX72:EX73"/>
    <mergeCell ref="EY72:EY73"/>
    <mergeCell ref="EZ72:EZ73"/>
    <mergeCell ref="FL74:FL75"/>
    <mergeCell ref="EZ74:EZ75"/>
    <mergeCell ref="ET67:ET70"/>
    <mergeCell ref="EV67:EV70"/>
    <mergeCell ref="EZ67:EZ68"/>
    <mergeCell ref="FA67:FA68"/>
    <mergeCell ref="EX69:EX70"/>
    <mergeCell ref="FV59:FV60"/>
    <mergeCell ref="FW59:FW60"/>
    <mergeCell ref="FX59:FX60"/>
    <mergeCell ref="FW62:FW63"/>
    <mergeCell ref="FY67:FY68"/>
    <mergeCell ref="FY69:FY70"/>
    <mergeCell ref="FB72:FB73"/>
    <mergeCell ref="GA72:GA75"/>
    <mergeCell ref="FS74:FS75"/>
    <mergeCell ref="FS69:FS70"/>
    <mergeCell ref="FV62:FV63"/>
    <mergeCell ref="FQ64:FQ65"/>
    <mergeCell ref="FT74:FT75"/>
    <mergeCell ref="FY74:FY75"/>
    <mergeCell ref="GA62:GA65"/>
    <mergeCell ref="EX59:EX60"/>
    <mergeCell ref="EY59:EY60"/>
    <mergeCell ref="FG57:FG60"/>
    <mergeCell ref="FH57:FH60"/>
    <mergeCell ref="FL57:FL58"/>
    <mergeCell ref="FM57:FM58"/>
    <mergeCell ref="FL59:FL60"/>
    <mergeCell ref="FM59:FM60"/>
    <mergeCell ref="FS59:FS60"/>
    <mergeCell ref="GA57:GA60"/>
    <mergeCell ref="B67:B70"/>
    <mergeCell ref="CZ74:CZ75"/>
    <mergeCell ref="CW79:CW80"/>
    <mergeCell ref="CU77:CU78"/>
    <mergeCell ref="B77:B80"/>
    <mergeCell ref="C77:D80"/>
    <mergeCell ref="AP77:AQ80"/>
    <mergeCell ref="AR77:AT80"/>
    <mergeCell ref="AU77:AU80"/>
    <mergeCell ref="AV77:AV80"/>
    <mergeCell ref="AW77:AW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U72:AU75"/>
    <mergeCell ref="AO79:AO80"/>
    <mergeCell ref="AV72:AV75"/>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U72:AA72"/>
    <mergeCell ref="E69:F69"/>
    <mergeCell ref="E65:F65"/>
    <mergeCell ref="G65:L65"/>
    <mergeCell ref="P65:R65"/>
    <mergeCell ref="AP62:AQ65"/>
    <mergeCell ref="E66:AW66"/>
    <mergeCell ref="P63:Q63"/>
    <mergeCell ref="CU62:CU63"/>
    <mergeCell ref="CV62:CV63"/>
    <mergeCell ref="G67:R67"/>
    <mergeCell ref="E88:F88"/>
    <mergeCell ref="G88:L88"/>
    <mergeCell ref="P88:Q88"/>
    <mergeCell ref="CV82:CV83"/>
    <mergeCell ref="E83:F83"/>
    <mergeCell ref="G83:L83"/>
    <mergeCell ref="P83:Q83"/>
    <mergeCell ref="CX74:CX75"/>
    <mergeCell ref="CY74:CY75"/>
    <mergeCell ref="CX82:CX83"/>
    <mergeCell ref="FA84:FA85"/>
    <mergeCell ref="FN84:FN85"/>
    <mergeCell ref="FO84:FO85"/>
    <mergeCell ref="ER82:ER85"/>
    <mergeCell ref="ES82:ES85"/>
    <mergeCell ref="ET82:ET85"/>
    <mergeCell ref="EV82:EV85"/>
    <mergeCell ref="DR84:DR85"/>
    <mergeCell ref="DA82:DA85"/>
    <mergeCell ref="FG87:FG90"/>
    <mergeCell ref="FH87:FH90"/>
    <mergeCell ref="FL87:FL88"/>
    <mergeCell ref="FM87:FM88"/>
    <mergeCell ref="CX84:CX85"/>
    <mergeCell ref="DD87:DD90"/>
    <mergeCell ref="DF87:DF88"/>
    <mergeCell ref="CY84:CY85"/>
    <mergeCell ref="EX89:EX90"/>
    <mergeCell ref="EC87:EC90"/>
    <mergeCell ref="ED87:ED90"/>
    <mergeCell ref="CX89:CX90"/>
    <mergeCell ref="CY89:CY90"/>
    <mergeCell ref="CX87:CX88"/>
    <mergeCell ref="EM87:EM90"/>
    <mergeCell ref="DV87:DV90"/>
    <mergeCell ref="DX87:DX90"/>
    <mergeCell ref="DY87:DY88"/>
    <mergeCell ref="EL82:EL85"/>
    <mergeCell ref="ET87:ET90"/>
    <mergeCell ref="FO82:FO83"/>
    <mergeCell ref="DJ89:DJ90"/>
    <mergeCell ref="EM82:EM85"/>
    <mergeCell ref="EN82:EN85"/>
    <mergeCell ref="DM87:DM88"/>
    <mergeCell ref="CY82:CY83"/>
    <mergeCell ref="AN74:AN75"/>
    <mergeCell ref="E70:F70"/>
    <mergeCell ref="G70:L70"/>
    <mergeCell ref="E76:AW76"/>
    <mergeCell ref="G79:L79"/>
    <mergeCell ref="P79:Q79"/>
    <mergeCell ref="S79:S80"/>
    <mergeCell ref="DI69:DI70"/>
    <mergeCell ref="DG69:DG70"/>
    <mergeCell ref="DH69:DH70"/>
    <mergeCell ref="FO72:FO73"/>
    <mergeCell ref="EK77:EK80"/>
    <mergeCell ref="CW87:CW88"/>
    <mergeCell ref="S67:S68"/>
    <mergeCell ref="G74:L74"/>
    <mergeCell ref="P74:Q74"/>
    <mergeCell ref="AG74:AL74"/>
    <mergeCell ref="AM74:AM75"/>
    <mergeCell ref="AP72:AQ75"/>
    <mergeCell ref="AG72:AL72"/>
    <mergeCell ref="AM72:AM73"/>
    <mergeCell ref="AN72:AN73"/>
    <mergeCell ref="AO72:AO73"/>
    <mergeCell ref="CX67:CX68"/>
    <mergeCell ref="G69:L69"/>
    <mergeCell ref="P69:Q69"/>
    <mergeCell ref="S69:S70"/>
    <mergeCell ref="AG69:AL69"/>
    <mergeCell ref="DT69:DT70"/>
    <mergeCell ref="CQ87:CQ90"/>
    <mergeCell ref="CR87:CR88"/>
    <mergeCell ref="CS87:CS88"/>
    <mergeCell ref="AG88:AK88"/>
    <mergeCell ref="U89:AE89"/>
    <mergeCell ref="S89:S90"/>
    <mergeCell ref="CR95:CR96"/>
    <mergeCell ref="CS95:CS96"/>
    <mergeCell ref="AG89:AL89"/>
    <mergeCell ref="AM89:AM90"/>
    <mergeCell ref="CW84:CW85"/>
    <mergeCell ref="DO87:DO90"/>
    <mergeCell ref="ES72:ES75"/>
    <mergeCell ref="FG72:FG75"/>
    <mergeCell ref="FE74:FE75"/>
    <mergeCell ref="FL72:FL73"/>
    <mergeCell ref="FM72:FM73"/>
    <mergeCell ref="FM74:FM75"/>
    <mergeCell ref="CU79:CU80"/>
    <mergeCell ref="CV77:CV78"/>
    <mergeCell ref="CW77:CW78"/>
    <mergeCell ref="DJ87:DJ88"/>
    <mergeCell ref="DG84:DG85"/>
    <mergeCell ref="DH84:DH85"/>
    <mergeCell ref="DI84:DI85"/>
    <mergeCell ref="AP94:AQ94"/>
    <mergeCell ref="AR94:AT94"/>
    <mergeCell ref="FC77:FC80"/>
    <mergeCell ref="FG77:FG80"/>
    <mergeCell ref="FH77:FH80"/>
    <mergeCell ref="DV77:DV80"/>
    <mergeCell ref="DG89:DG90"/>
    <mergeCell ref="DH89:DH90"/>
    <mergeCell ref="DR87:DR88"/>
    <mergeCell ref="DR95:DR96"/>
    <mergeCell ref="DS95:DS98"/>
    <mergeCell ref="DH72:DH73"/>
    <mergeCell ref="DJ74:DJ75"/>
    <mergeCell ref="CW82:CW83"/>
    <mergeCell ref="DY82:DY83"/>
    <mergeCell ref="DZ82:DZ85"/>
    <mergeCell ref="EA82:EA85"/>
    <mergeCell ref="EZ84:EZ85"/>
    <mergeCell ref="CX97:CX98"/>
    <mergeCell ref="CY97:CY98"/>
    <mergeCell ref="EN87:EN90"/>
    <mergeCell ref="CU89:CU90"/>
    <mergeCell ref="CV89:CV90"/>
    <mergeCell ref="DG87:DG88"/>
    <mergeCell ref="DH87:DH88"/>
    <mergeCell ref="CU87:CU88"/>
    <mergeCell ref="CV87:CV88"/>
    <mergeCell ref="EP95:EP98"/>
    <mergeCell ref="DT82:DT83"/>
    <mergeCell ref="DU82:DU85"/>
    <mergeCell ref="FG82:FG85"/>
    <mergeCell ref="EY82:EY83"/>
    <mergeCell ref="DY89:DY90"/>
    <mergeCell ref="FA89:FA90"/>
    <mergeCell ref="FB89:FB90"/>
    <mergeCell ref="FE89:FE90"/>
    <mergeCell ref="FB84:FB85"/>
    <mergeCell ref="FE84:FE85"/>
    <mergeCell ref="EP82:EP85"/>
    <mergeCell ref="EC72:EC75"/>
    <mergeCell ref="ED72:ED75"/>
    <mergeCell ref="CY79:CY80"/>
    <mergeCell ref="DA77:DA80"/>
    <mergeCell ref="CZ77:CZ78"/>
    <mergeCell ref="DG77:DG78"/>
    <mergeCell ref="DH77:DH78"/>
    <mergeCell ref="DI77:DI78"/>
    <mergeCell ref="DV82:DV85"/>
    <mergeCell ref="EO82:EO85"/>
    <mergeCell ref="FN87:FN88"/>
    <mergeCell ref="FO87:FO88"/>
    <mergeCell ref="CU82:CU83"/>
    <mergeCell ref="FX89:FX90"/>
    <mergeCell ref="FW87:FW88"/>
    <mergeCell ref="GM83:GM84"/>
    <mergeCell ref="DC82:DC85"/>
    <mergeCell ref="DD82:DD85"/>
    <mergeCell ref="DF82:DF83"/>
    <mergeCell ref="DF84:DF85"/>
    <mergeCell ref="CZ82:CZ83"/>
    <mergeCell ref="CZ84:CZ85"/>
    <mergeCell ref="EI87:EI90"/>
    <mergeCell ref="EJ87:EJ90"/>
    <mergeCell ref="DO82:DO85"/>
    <mergeCell ref="DX82:DX85"/>
    <mergeCell ref="DQ82:DQ85"/>
    <mergeCell ref="DQ87:DQ90"/>
    <mergeCell ref="DR82:DR83"/>
    <mergeCell ref="DS87:DS90"/>
    <mergeCell ref="EF87:EF90"/>
    <mergeCell ref="EG87:EG90"/>
    <mergeCell ref="EH87:EH90"/>
    <mergeCell ref="DZ87:DZ90"/>
    <mergeCell ref="EA87:EA90"/>
    <mergeCell ref="GF95:GF98"/>
    <mergeCell ref="GG95:GG98"/>
    <mergeCell ref="GH95:GH98"/>
    <mergeCell ref="DX72:DX75"/>
    <mergeCell ref="DR74:DR75"/>
    <mergeCell ref="DT74:DT75"/>
    <mergeCell ref="DY74:DY75"/>
    <mergeCell ref="DN74:DN75"/>
    <mergeCell ref="DQ77:DQ80"/>
    <mergeCell ref="DR77:DR78"/>
    <mergeCell ref="DS77:DS80"/>
    <mergeCell ref="DT77:DT78"/>
    <mergeCell ref="DO77:DO80"/>
    <mergeCell ref="FL84:FL85"/>
    <mergeCell ref="FM84:FM85"/>
    <mergeCell ref="FQ84:FQ85"/>
    <mergeCell ref="FS84:FS85"/>
    <mergeCell ref="GA82:GA85"/>
    <mergeCell ref="GB82:GB85"/>
    <mergeCell ref="FY87:FY88"/>
    <mergeCell ref="EP87:EP90"/>
    <mergeCell ref="EQ87:EQ90"/>
    <mergeCell ref="ER87:ER90"/>
    <mergeCell ref="ES87:ES90"/>
    <mergeCell ref="FU82:FU83"/>
    <mergeCell ref="FV82:FV83"/>
    <mergeCell ref="GK87:GK90"/>
    <mergeCell ref="FC95:FC98"/>
    <mergeCell ref="FM97:FM98"/>
    <mergeCell ref="FY82:FY83"/>
    <mergeCell ref="GC82:GC85"/>
    <mergeCell ref="GD82:GD85"/>
    <mergeCell ref="GE82:GE85"/>
    <mergeCell ref="EK95:EK98"/>
    <mergeCell ref="FS87:FS88"/>
    <mergeCell ref="EO87:EO90"/>
    <mergeCell ref="EX82:EX83"/>
    <mergeCell ref="FT87:FT88"/>
    <mergeCell ref="GE95:GE98"/>
    <mergeCell ref="GG87:GG90"/>
    <mergeCell ref="GA87:GA90"/>
    <mergeCell ref="FU89:FU90"/>
    <mergeCell ref="FP82:FP83"/>
    <mergeCell ref="GC87:GC90"/>
    <mergeCell ref="GD87:GD90"/>
    <mergeCell ref="GE87:GE90"/>
    <mergeCell ref="EZ82:EZ83"/>
    <mergeCell ref="FL82:FL83"/>
    <mergeCell ref="FM82:FM83"/>
    <mergeCell ref="FN82:FN83"/>
    <mergeCell ref="FQ87:FQ88"/>
    <mergeCell ref="EN95:EN98"/>
    <mergeCell ref="FN95:FN96"/>
    <mergeCell ref="FO95:FO96"/>
    <mergeCell ref="FQ95:FQ96"/>
    <mergeCell ref="FS95:FS96"/>
    <mergeCell ref="EY97:EY98"/>
    <mergeCell ref="EZ97:EZ98"/>
    <mergeCell ref="FA97:FA98"/>
    <mergeCell ref="CZ97:CZ98"/>
    <mergeCell ref="DF97:DF98"/>
    <mergeCell ref="EZ89:EZ90"/>
    <mergeCell ref="FU95:FU96"/>
    <mergeCell ref="FV95:FV96"/>
    <mergeCell ref="DM95:DM96"/>
    <mergeCell ref="EH82:EH85"/>
    <mergeCell ref="EI82:EI85"/>
    <mergeCell ref="EJ82:EJ85"/>
    <mergeCell ref="EK82:EK85"/>
    <mergeCell ref="DG82:DG83"/>
    <mergeCell ref="DH82:DH83"/>
    <mergeCell ref="DI82:DI83"/>
    <mergeCell ref="DK87:DK90"/>
    <mergeCell ref="DJ82:DJ83"/>
    <mergeCell ref="FP84:FP85"/>
    <mergeCell ref="DS82:DS85"/>
    <mergeCell ref="FT95:FT96"/>
    <mergeCell ref="DH95:DH96"/>
    <mergeCell ref="DG97:DG98"/>
    <mergeCell ref="GB87:GB90"/>
    <mergeCell ref="FL95:FL96"/>
    <mergeCell ref="FT84:FT85"/>
    <mergeCell ref="FU84:FU85"/>
    <mergeCell ref="FV84:FV85"/>
    <mergeCell ref="FW84:FW85"/>
    <mergeCell ref="FX84:FX85"/>
    <mergeCell ref="EY84:EY85"/>
    <mergeCell ref="FA82:FA83"/>
    <mergeCell ref="FB82:FB83"/>
    <mergeCell ref="FC82:FC85"/>
    <mergeCell ref="FE82:FE83"/>
    <mergeCell ref="HO83:HO84"/>
    <mergeCell ref="DY97:DY98"/>
    <mergeCell ref="DH97:DH98"/>
    <mergeCell ref="DC95:DC98"/>
    <mergeCell ref="DD95:DD98"/>
    <mergeCell ref="DF95:DF96"/>
    <mergeCell ref="HN83:HN84"/>
    <mergeCell ref="GP88:GP89"/>
    <mergeCell ref="GQ88:GQ89"/>
    <mergeCell ref="HH88:HH89"/>
    <mergeCell ref="DT84:DT85"/>
    <mergeCell ref="DT87:DT88"/>
    <mergeCell ref="DU87:DU90"/>
    <mergeCell ref="FT82:FT83"/>
    <mergeCell ref="DJ84:DJ85"/>
    <mergeCell ref="DN84:DN85"/>
    <mergeCell ref="DK82:DK85"/>
    <mergeCell ref="DM82:DM83"/>
    <mergeCell ref="FN97:FN98"/>
    <mergeCell ref="DI89:DI90"/>
    <mergeCell ref="DK95:DK98"/>
    <mergeCell ref="DN89:DN90"/>
    <mergeCell ref="DR89:DR90"/>
    <mergeCell ref="DT89:DT90"/>
    <mergeCell ref="FY89:FY90"/>
    <mergeCell ref="FX82:FX83"/>
    <mergeCell ref="FQ82:FQ83"/>
    <mergeCell ref="FS82:FS83"/>
    <mergeCell ref="EC82:EC85"/>
    <mergeCell ref="ED82:ED85"/>
    <mergeCell ref="GN83:GN84"/>
    <mergeCell ref="GP83:GP84"/>
    <mergeCell ref="DY84:DY85"/>
    <mergeCell ref="EX84:EX85"/>
    <mergeCell ref="EF82:EF85"/>
    <mergeCell ref="EG82:EG85"/>
    <mergeCell ref="HW83:HW84"/>
    <mergeCell ref="HX83:HX84"/>
    <mergeCell ref="HY83:HY84"/>
    <mergeCell ref="HZ83:HZ84"/>
    <mergeCell ref="ID83:ID84"/>
    <mergeCell ref="FH82:FH85"/>
    <mergeCell ref="HL88:HL89"/>
    <mergeCell ref="GM88:GM89"/>
    <mergeCell ref="GN88:GN89"/>
    <mergeCell ref="HK88:HK89"/>
    <mergeCell ref="IB82:IB84"/>
    <mergeCell ref="HP88:HP89"/>
    <mergeCell ref="HQ88:HQ89"/>
    <mergeCell ref="HR88:HR89"/>
    <mergeCell ref="HS88:HS89"/>
    <mergeCell ref="HT88:HT89"/>
    <mergeCell ref="HU88:HU89"/>
    <mergeCell ref="IB87:IB89"/>
    <mergeCell ref="IC87:IC88"/>
    <mergeCell ref="HV88:HV89"/>
    <mergeCell ref="FV89:FV90"/>
    <mergeCell ref="HX63:HX64"/>
    <mergeCell ref="HY63:HY64"/>
    <mergeCell ref="IC64:IC65"/>
    <mergeCell ref="HT78:HT79"/>
    <mergeCell ref="HU78:HU79"/>
    <mergeCell ref="HZ78:HZ79"/>
    <mergeCell ref="HV78:HV79"/>
    <mergeCell ref="HW78:HW79"/>
    <mergeCell ref="HQ78:HQ79"/>
    <mergeCell ref="HS78:HS79"/>
    <mergeCell ref="GM78:GM79"/>
    <mergeCell ref="GD72:GD75"/>
    <mergeCell ref="IC74:IC75"/>
    <mergeCell ref="FL89:FL90"/>
    <mergeCell ref="FX64:FX65"/>
    <mergeCell ref="FL64:FL65"/>
    <mergeCell ref="FM64:FM65"/>
    <mergeCell ref="FS72:FS73"/>
    <mergeCell ref="FT72:FT73"/>
    <mergeCell ref="FU72:FU73"/>
    <mergeCell ref="FV72:FV73"/>
    <mergeCell ref="FW72:FW73"/>
    <mergeCell ref="FW82:FW83"/>
    <mergeCell ref="IC82:IC83"/>
    <mergeCell ref="GH87:GH90"/>
    <mergeCell ref="FU87:FU88"/>
    <mergeCell ref="FV87:FV88"/>
    <mergeCell ref="FP87:FP88"/>
    <mergeCell ref="FX87:FX88"/>
    <mergeCell ref="FT89:FT90"/>
    <mergeCell ref="FM89:FM90"/>
    <mergeCell ref="FN89:FN90"/>
    <mergeCell ref="FO89:FO90"/>
    <mergeCell ref="FQ89:FQ90"/>
    <mergeCell ref="EY89:EY90"/>
    <mergeCell ref="FS89:FS90"/>
    <mergeCell ref="FP89:FP90"/>
    <mergeCell ref="FY84:FY85"/>
    <mergeCell ref="FW89:FW90"/>
    <mergeCell ref="GC72:GC75"/>
    <mergeCell ref="IB67:IB69"/>
    <mergeCell ref="IC67:IC68"/>
    <mergeCell ref="IF67:IF70"/>
    <mergeCell ref="IG67:IG68"/>
    <mergeCell ref="HN88:HN89"/>
    <mergeCell ref="GF87:GF90"/>
    <mergeCell ref="GF67:GF70"/>
    <mergeCell ref="HO73:HO74"/>
    <mergeCell ref="HP73:HP74"/>
    <mergeCell ref="HQ73:HQ74"/>
    <mergeCell ref="HY73:HY74"/>
    <mergeCell ref="HX78:HX79"/>
    <mergeCell ref="HM63:HM64"/>
    <mergeCell ref="IC79:IC80"/>
    <mergeCell ref="GN78:GN79"/>
    <mergeCell ref="GP78:GP79"/>
    <mergeCell ref="HN63:HN64"/>
    <mergeCell ref="GQ78:GQ79"/>
    <mergeCell ref="HH78:HH79"/>
    <mergeCell ref="HI78:HI79"/>
    <mergeCell ref="HJ78:HJ79"/>
    <mergeCell ref="HK78:HK79"/>
    <mergeCell ref="HM78:HM79"/>
    <mergeCell ref="HO78:HO79"/>
    <mergeCell ref="HP78:HP79"/>
    <mergeCell ref="HO63:HO64"/>
    <mergeCell ref="ID68:ID69"/>
    <mergeCell ref="GF82:GF85"/>
    <mergeCell ref="GG82:GG85"/>
    <mergeCell ref="GF72:GF75"/>
    <mergeCell ref="GA67:GA70"/>
    <mergeCell ref="GB67:GB70"/>
    <mergeCell ref="HJ73:HJ74"/>
    <mergeCell ref="GQ83:GQ84"/>
    <mergeCell ref="HH83:HH84"/>
    <mergeCell ref="HI83:HI84"/>
    <mergeCell ref="HJ83:HJ84"/>
    <mergeCell ref="HK83:HK84"/>
    <mergeCell ref="HL83:HL84"/>
    <mergeCell ref="HM88:HM89"/>
    <mergeCell ref="HI88:HI89"/>
    <mergeCell ref="HJ88:HJ89"/>
    <mergeCell ref="HJ68:HJ69"/>
    <mergeCell ref="HZ88:HZ89"/>
    <mergeCell ref="HR63:HR64"/>
    <mergeCell ref="HW88:HW89"/>
    <mergeCell ref="HP83:HP84"/>
    <mergeCell ref="HQ83:HQ84"/>
    <mergeCell ref="HR83:HR84"/>
    <mergeCell ref="HS83:HS84"/>
    <mergeCell ref="HT83:HT84"/>
    <mergeCell ref="HU83:HU84"/>
    <mergeCell ref="GH72:GH75"/>
    <mergeCell ref="HV83:HV84"/>
    <mergeCell ref="HK63:HK64"/>
    <mergeCell ref="HL63:HL64"/>
    <mergeCell ref="GH82:GH85"/>
    <mergeCell ref="GK82:GK85"/>
    <mergeCell ref="GM73:GM74"/>
    <mergeCell ref="HI73:HI74"/>
    <mergeCell ref="HL78:HL79"/>
    <mergeCell ref="GH62:GH65"/>
    <mergeCell ref="HI63:HI64"/>
    <mergeCell ref="DQ93:DR93"/>
    <mergeCell ref="DX93:DY93"/>
    <mergeCell ref="DQ94:DR94"/>
    <mergeCell ref="FL97:FL98"/>
    <mergeCell ref="FP95:FP96"/>
    <mergeCell ref="FP97:FP98"/>
    <mergeCell ref="FY95:FY96"/>
    <mergeCell ref="FB95:FB96"/>
    <mergeCell ref="GM96:GM97"/>
    <mergeCell ref="GN96:GN97"/>
    <mergeCell ref="GP96:GP97"/>
    <mergeCell ref="GQ96:GQ97"/>
    <mergeCell ref="FE95:FE96"/>
    <mergeCell ref="IM97:IM98"/>
    <mergeCell ref="DY95:DY96"/>
    <mergeCell ref="IG95:IG96"/>
    <mergeCell ref="IH95:IH98"/>
    <mergeCell ref="IK95:IK96"/>
    <mergeCell ref="HQ101:HQ102"/>
    <mergeCell ref="HR101:HR102"/>
    <mergeCell ref="HS101:HS102"/>
    <mergeCell ref="HT101:HT102"/>
    <mergeCell ref="HU101:HU102"/>
    <mergeCell ref="HV101:HV102"/>
    <mergeCell ref="HW101:HW102"/>
    <mergeCell ref="HX101:HX102"/>
    <mergeCell ref="HY101:HY102"/>
    <mergeCell ref="HZ101:HZ102"/>
    <mergeCell ref="FO97:FO98"/>
    <mergeCell ref="FQ97:FQ98"/>
    <mergeCell ref="FS97:FS98"/>
    <mergeCell ref="HK101:HK102"/>
    <mergeCell ref="HL101:HL102"/>
    <mergeCell ref="HM101:HM102"/>
    <mergeCell ref="HN101:HN102"/>
    <mergeCell ref="HK96:HK97"/>
    <mergeCell ref="HL96:HL97"/>
    <mergeCell ref="HM96:HM97"/>
    <mergeCell ref="HN96:HN97"/>
    <mergeCell ref="FM95:FM96"/>
    <mergeCell ref="EM95:EM98"/>
    <mergeCell ref="IC102:IC103"/>
    <mergeCell ref="EA100:EA103"/>
    <mergeCell ref="EC100:EC103"/>
    <mergeCell ref="FU100:FU101"/>
    <mergeCell ref="FV100:FV101"/>
    <mergeCell ref="FW100:FW101"/>
    <mergeCell ref="FW95:FW96"/>
    <mergeCell ref="FX95:FX96"/>
    <mergeCell ref="FG95:FG98"/>
    <mergeCell ref="EC95:EC98"/>
    <mergeCell ref="ED95:ED98"/>
    <mergeCell ref="EF95:EF98"/>
    <mergeCell ref="EG95:EG98"/>
    <mergeCell ref="EH95:EH98"/>
    <mergeCell ref="EI95:EI98"/>
    <mergeCell ref="GK95:GK98"/>
    <mergeCell ref="ER100:ER103"/>
    <mergeCell ref="ES100:ES103"/>
    <mergeCell ref="DR102:DR103"/>
    <mergeCell ref="DT102:DT103"/>
    <mergeCell ref="FT102:FT103"/>
    <mergeCell ref="EZ100:EZ101"/>
    <mergeCell ref="EJ95:EJ98"/>
    <mergeCell ref="FY374:FY375"/>
    <mergeCell ref="IH100:IH103"/>
    <mergeCell ref="HR96:HR97"/>
    <mergeCell ref="HS96:HS97"/>
    <mergeCell ref="FY97:FY98"/>
    <mergeCell ref="ID96:ID97"/>
    <mergeCell ref="IM122:IM123"/>
    <mergeCell ref="HI126:HI127"/>
    <mergeCell ref="HJ126:HJ127"/>
    <mergeCell ref="HK126:HK127"/>
    <mergeCell ref="GM126:GM127"/>
    <mergeCell ref="HO126:HO127"/>
    <mergeCell ref="GG130:GG133"/>
    <mergeCell ref="GH130:GH133"/>
    <mergeCell ref="GK130:GK133"/>
    <mergeCell ref="GN131:GN132"/>
    <mergeCell ref="GP131:GP132"/>
    <mergeCell ref="GQ131:GQ132"/>
    <mergeCell ref="GN126:GN127"/>
    <mergeCell ref="GP126:GP127"/>
    <mergeCell ref="GQ126:GQ127"/>
    <mergeCell ref="FY127:FY128"/>
    <mergeCell ref="FU97:FU98"/>
    <mergeCell ref="FV97:FV98"/>
    <mergeCell ref="FW97:FW98"/>
    <mergeCell ref="FX97:FX98"/>
    <mergeCell ref="HH96:HH97"/>
    <mergeCell ref="FH95:FH98"/>
    <mergeCell ref="FY361:FY362"/>
    <mergeCell ref="FY105:FY106"/>
    <mergeCell ref="IC97:IC98"/>
    <mergeCell ref="GA95:GA98"/>
    <mergeCell ref="GB95:GB98"/>
    <mergeCell ref="IG105:IG106"/>
    <mergeCell ref="HW116:HW117"/>
    <mergeCell ref="HX116:HX117"/>
    <mergeCell ref="HY116:HY117"/>
    <mergeCell ref="HZ116:HZ117"/>
    <mergeCell ref="ID116:ID117"/>
    <mergeCell ref="IB115:IB117"/>
    <mergeCell ref="IC115:IC116"/>
    <mergeCell ref="IC117:IC118"/>
    <mergeCell ref="HW126:HW127"/>
    <mergeCell ref="FS102:FS103"/>
    <mergeCell ref="HJ101:HJ102"/>
    <mergeCell ref="IK100:IK101"/>
    <mergeCell ref="IM145:IM146"/>
    <mergeCell ref="IG147:IG148"/>
    <mergeCell ref="HP141:HP142"/>
    <mergeCell ref="IM160:IM161"/>
    <mergeCell ref="IG162:IG163"/>
    <mergeCell ref="GM161:GM162"/>
    <mergeCell ref="FX100:FX101"/>
    <mergeCell ref="GA100:GA103"/>
    <mergeCell ref="FH105:FH108"/>
    <mergeCell ref="FM102:FM103"/>
    <mergeCell ref="FM100:FM101"/>
    <mergeCell ref="FN100:FN101"/>
    <mergeCell ref="FO100:FO101"/>
    <mergeCell ref="FL107:FL108"/>
    <mergeCell ref="FM107:FM108"/>
    <mergeCell ref="FN107:FN108"/>
    <mergeCell ref="HI96:HI97"/>
    <mergeCell ref="HJ96:HJ97"/>
    <mergeCell ref="HR78:HR79"/>
    <mergeCell ref="HX73:HX74"/>
    <mergeCell ref="ID73:ID74"/>
    <mergeCell ref="HR68:HR69"/>
    <mergeCell ref="HS68:HS69"/>
    <mergeCell ref="HT68:HT69"/>
    <mergeCell ref="HU68:HU69"/>
    <mergeCell ref="HS73:HS74"/>
    <mergeCell ref="HT73:HT74"/>
    <mergeCell ref="HU73:HU74"/>
    <mergeCell ref="HZ73:HZ74"/>
    <mergeCell ref="HV73:HV74"/>
    <mergeCell ref="HW73:HW74"/>
    <mergeCell ref="GK67:GK70"/>
    <mergeCell ref="IC72:IC73"/>
    <mergeCell ref="HL68:HL69"/>
    <mergeCell ref="HI68:HI69"/>
    <mergeCell ref="GK72:GK75"/>
    <mergeCell ref="HK73:HK74"/>
    <mergeCell ref="HH73:HH74"/>
    <mergeCell ref="GN73:GN74"/>
    <mergeCell ref="GP73:GP74"/>
    <mergeCell ref="GM68:GM69"/>
    <mergeCell ref="HH68:HH69"/>
    <mergeCell ref="HM83:HM84"/>
    <mergeCell ref="HS63:HS64"/>
    <mergeCell ref="HT63:HT64"/>
    <mergeCell ref="HU63:HU64"/>
    <mergeCell ref="HV63:HV64"/>
    <mergeCell ref="HW63:HW64"/>
    <mergeCell ref="HX68:HX69"/>
    <mergeCell ref="HY68:HY69"/>
    <mergeCell ref="HZ68:HZ69"/>
    <mergeCell ref="HN78:HN79"/>
    <mergeCell ref="GQ68:GQ69"/>
    <mergeCell ref="HP63:HP64"/>
    <mergeCell ref="HQ63:HQ64"/>
    <mergeCell ref="IB72:IB74"/>
    <mergeCell ref="HM73:HM74"/>
    <mergeCell ref="HJ63:HJ64"/>
    <mergeCell ref="HZ63:HZ64"/>
    <mergeCell ref="IQ82:IQ83"/>
    <mergeCell ref="IQ84:IQ85"/>
    <mergeCell ref="IQ87:IQ88"/>
    <mergeCell ref="IR77:IR78"/>
    <mergeCell ref="IS77:IS78"/>
    <mergeCell ref="IT77:IT78"/>
    <mergeCell ref="IR87:IR88"/>
    <mergeCell ref="IS87:IS88"/>
    <mergeCell ref="IT87:IT88"/>
    <mergeCell ref="IV87:IV88"/>
    <mergeCell ref="IT79:IT80"/>
    <mergeCell ref="IV79:IV80"/>
    <mergeCell ref="IV84:IV85"/>
    <mergeCell ref="IP100:IP101"/>
    <mergeCell ref="IQ100:IQ101"/>
    <mergeCell ref="ID88:ID89"/>
    <mergeCell ref="IH82:IH85"/>
    <mergeCell ref="IK82:IK83"/>
    <mergeCell ref="IB100:IB102"/>
    <mergeCell ref="IC100:IC101"/>
    <mergeCell ref="IF100:IF103"/>
    <mergeCell ref="IL82:IL85"/>
    <mergeCell ref="IM82:IM83"/>
    <mergeCell ref="IC84:IC85"/>
    <mergeCell ref="IG84:IG85"/>
    <mergeCell ref="IK84:IK85"/>
    <mergeCell ref="IM84:IM85"/>
    <mergeCell ref="IK62:IK63"/>
    <mergeCell ref="IL62:IL65"/>
    <mergeCell ref="IL100:IL103"/>
    <mergeCell ref="IM100:IM101"/>
    <mergeCell ref="IL67:IL70"/>
    <mergeCell ref="IM67:IM68"/>
    <mergeCell ref="IN67:IN70"/>
    <mergeCell ref="IR102:IR103"/>
    <mergeCell ref="IS102:IS103"/>
    <mergeCell ref="IT102:IT103"/>
    <mergeCell ref="IV102:IV103"/>
    <mergeCell ref="IR82:IR83"/>
    <mergeCell ref="IS82:IS83"/>
    <mergeCell ref="IT82:IT83"/>
    <mergeCell ref="IV82:IV83"/>
    <mergeCell ref="IS72:IS73"/>
    <mergeCell ref="IT72:IT73"/>
    <mergeCell ref="IV72:IV73"/>
    <mergeCell ref="IM74:IM75"/>
    <mergeCell ref="ID63:ID64"/>
    <mergeCell ref="IN62:IN65"/>
    <mergeCell ref="IH67:IH70"/>
    <mergeCell ref="IK67:IK68"/>
    <mergeCell ref="IG74:IG75"/>
    <mergeCell ref="IG77:IG78"/>
    <mergeCell ref="IG79:IG80"/>
    <mergeCell ref="IG62:IG63"/>
    <mergeCell ref="IG82:IG83"/>
    <mergeCell ref="IG64:IG65"/>
    <mergeCell ref="IF82:IF85"/>
    <mergeCell ref="IU100:IU101"/>
    <mergeCell ref="IF62:IF65"/>
    <mergeCell ref="IX102:IX103"/>
    <mergeCell ref="ID101:ID102"/>
    <mergeCell ref="IC89:IC90"/>
    <mergeCell ref="IN100:IN103"/>
    <mergeCell ref="HT96:HT97"/>
    <mergeCell ref="HU96:HU97"/>
    <mergeCell ref="GM101:GM102"/>
    <mergeCell ref="GN101:GN102"/>
    <mergeCell ref="GP101:GP102"/>
    <mergeCell ref="GQ101:GQ102"/>
    <mergeCell ref="HH101:HH102"/>
    <mergeCell ref="HI101:HI102"/>
    <mergeCell ref="IG102:IG103"/>
    <mergeCell ref="IQ89:IQ90"/>
    <mergeCell ref="IW89:IW90"/>
    <mergeCell ref="IQ95:IQ96"/>
    <mergeCell ref="IW95:IW96"/>
    <mergeCell ref="IQ97:IQ98"/>
    <mergeCell ref="IW97:IW98"/>
    <mergeCell ref="IR89:IR90"/>
    <mergeCell ref="IS89:IS90"/>
    <mergeCell ref="IT89:IT90"/>
    <mergeCell ref="IV89:IV90"/>
    <mergeCell ref="IX89:IX90"/>
    <mergeCell ref="IR95:IR96"/>
    <mergeCell ref="IS95:IS96"/>
    <mergeCell ref="IT95:IT96"/>
    <mergeCell ref="IV95:IV96"/>
    <mergeCell ref="IX95:IX96"/>
    <mergeCell ref="IR97:IR98"/>
    <mergeCell ref="IS97:IS98"/>
    <mergeCell ref="IT97:IT98"/>
    <mergeCell ref="IV97:IV98"/>
    <mergeCell ref="IM95:IM96"/>
    <mergeCell ref="HO88:HO89"/>
    <mergeCell ref="IK102:IK103"/>
    <mergeCell ref="IM102:IM103"/>
    <mergeCell ref="HO101:HO102"/>
    <mergeCell ref="HP101:HP102"/>
    <mergeCell ref="IR100:IR101"/>
    <mergeCell ref="IS100:IS101"/>
    <mergeCell ref="IT100:IT101"/>
    <mergeCell ref="IV100:IV101"/>
    <mergeCell ref="IB95:IB97"/>
    <mergeCell ref="IC95:IC96"/>
    <mergeCell ref="IF95:IF98"/>
    <mergeCell ref="IK89:IK90"/>
    <mergeCell ref="IM89:IM90"/>
    <mergeCell ref="IN87:IN90"/>
    <mergeCell ref="IF87:IF90"/>
    <mergeCell ref="IG87:IG88"/>
    <mergeCell ref="IN95:IN98"/>
    <mergeCell ref="IG97:IG98"/>
    <mergeCell ref="IK97:IK98"/>
    <mergeCell ref="IH87:IH90"/>
    <mergeCell ref="IK87:IK88"/>
    <mergeCell ref="IL87:IL90"/>
    <mergeCell ref="IM87:IM88"/>
    <mergeCell ref="IG89:IG90"/>
    <mergeCell ref="HX88:HX89"/>
    <mergeCell ref="HY88:HY89"/>
    <mergeCell ref="HV96:HV97"/>
    <mergeCell ref="HW96:HW97"/>
    <mergeCell ref="HX96:HX97"/>
    <mergeCell ref="IX84:IX85"/>
    <mergeCell ref="HR73:HR74"/>
    <mergeCell ref="HN73:HN74"/>
    <mergeCell ref="IN82:IN85"/>
    <mergeCell ref="IU82:IU83"/>
    <mergeCell ref="HO96:HO97"/>
    <mergeCell ref="HP96:HP97"/>
    <mergeCell ref="HQ96:HQ97"/>
    <mergeCell ref="HZ96:HZ97"/>
    <mergeCell ref="IR84:IR85"/>
    <mergeCell ref="IS84:IS85"/>
    <mergeCell ref="IT84:IT85"/>
    <mergeCell ref="HY96:HY97"/>
    <mergeCell ref="IL95:IL98"/>
    <mergeCell ref="IR72:IR73"/>
    <mergeCell ref="IR112:IR113"/>
    <mergeCell ref="IS112:IS113"/>
    <mergeCell ref="IT112:IT113"/>
    <mergeCell ref="IV112:IV113"/>
    <mergeCell ref="IX112:IX113"/>
    <mergeCell ref="GD110:GD113"/>
    <mergeCell ref="GE110:GE113"/>
    <mergeCell ref="GF110:GF113"/>
    <mergeCell ref="GG110:GG113"/>
    <mergeCell ref="GH110:GH113"/>
    <mergeCell ref="GK110:GK113"/>
    <mergeCell ref="IB110:IB112"/>
    <mergeCell ref="IC110:IC111"/>
    <mergeCell ref="IF110:IF113"/>
    <mergeCell ref="IG110:IG111"/>
    <mergeCell ref="IM107:IM108"/>
    <mergeCell ref="ID111:ID112"/>
    <mergeCell ref="IM105:IM106"/>
    <mergeCell ref="IN105:IN108"/>
    <mergeCell ref="HM106:HM107"/>
    <mergeCell ref="HN106:HN107"/>
    <mergeCell ref="HO106:HO107"/>
    <mergeCell ref="HP106:HP107"/>
    <mergeCell ref="HQ106:HQ107"/>
    <mergeCell ref="HR106:HR107"/>
    <mergeCell ref="HS106:HS107"/>
    <mergeCell ref="HT106:HT107"/>
    <mergeCell ref="HU106:HU107"/>
    <mergeCell ref="HV106:HV107"/>
    <mergeCell ref="HW106:HW107"/>
    <mergeCell ref="HX106:HX107"/>
    <mergeCell ref="HY106:HY107"/>
    <mergeCell ref="HZ106:HZ107"/>
    <mergeCell ref="ID106:ID107"/>
    <mergeCell ref="GM106:GM107"/>
    <mergeCell ref="GN106:GN107"/>
    <mergeCell ref="IL105:IL108"/>
    <mergeCell ref="IC107:IC108"/>
    <mergeCell ref="IG107:IG108"/>
    <mergeCell ref="IK107:IK108"/>
    <mergeCell ref="IC105:IC106"/>
    <mergeCell ref="IF105:IF108"/>
    <mergeCell ref="IH105:IH108"/>
    <mergeCell ref="IR105:IR106"/>
    <mergeCell ref="IS105:IS106"/>
    <mergeCell ref="IT105:IT106"/>
    <mergeCell ref="IV105:IV106"/>
    <mergeCell ref="IX87:IX88"/>
    <mergeCell ref="GE72:GE75"/>
    <mergeCell ref="IS107:IS108"/>
    <mergeCell ref="IT107:IT108"/>
    <mergeCell ref="IV107:IV108"/>
    <mergeCell ref="IX107:IX108"/>
    <mergeCell ref="IK110:IK111"/>
    <mergeCell ref="IL110:IL113"/>
    <mergeCell ref="IM110:IM111"/>
    <mergeCell ref="IN110:IN113"/>
    <mergeCell ref="IR110:IR111"/>
    <mergeCell ref="IS110:IS111"/>
    <mergeCell ref="IT110:IT111"/>
    <mergeCell ref="IV110:IV111"/>
    <mergeCell ref="IX110:IX111"/>
    <mergeCell ref="IC112:IC113"/>
    <mergeCell ref="IG112:IG113"/>
    <mergeCell ref="IR120:IR121"/>
    <mergeCell ref="IS120:IS121"/>
    <mergeCell ref="IT120:IT121"/>
    <mergeCell ref="IV120:IV121"/>
    <mergeCell ref="IX120:IX121"/>
    <mergeCell ref="FY122:FY123"/>
    <mergeCell ref="IR122:IR123"/>
    <mergeCell ref="IS122:IS123"/>
    <mergeCell ref="IT122:IT123"/>
    <mergeCell ref="IV122:IV123"/>
    <mergeCell ref="IX122:IX123"/>
    <mergeCell ref="FY125:FY126"/>
    <mergeCell ref="IR125:IR126"/>
    <mergeCell ref="IS125:IS126"/>
    <mergeCell ref="IT125:IT126"/>
    <mergeCell ref="IV125:IV126"/>
    <mergeCell ref="IX125:IX126"/>
    <mergeCell ref="IN115:IN118"/>
    <mergeCell ref="IF115:IF118"/>
    <mergeCell ref="IG115:IG116"/>
    <mergeCell ref="IH115:IH118"/>
    <mergeCell ref="IK115:IK116"/>
    <mergeCell ref="IL115:IL118"/>
    <mergeCell ref="IM115:IM116"/>
    <mergeCell ref="IG117:IG118"/>
    <mergeCell ref="IK117:IK118"/>
    <mergeCell ref="IM117:IM118"/>
    <mergeCell ref="IL120:IL123"/>
    <mergeCell ref="IM120:IM121"/>
    <mergeCell ref="IN120:IN123"/>
    <mergeCell ref="GM121:GM122"/>
    <mergeCell ref="GN121:GN122"/>
    <mergeCell ref="GP121:GP122"/>
    <mergeCell ref="GQ121:GQ122"/>
    <mergeCell ref="HH121:HH122"/>
    <mergeCell ref="HI121:HI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GQ116:GQ117"/>
    <mergeCell ref="HH116:HH117"/>
    <mergeCell ref="IP120:IP121"/>
    <mergeCell ref="IR115:IR116"/>
    <mergeCell ref="IS115:IS116"/>
    <mergeCell ref="IT115:IT116"/>
    <mergeCell ref="IV115:IV116"/>
    <mergeCell ref="IX115:IX116"/>
    <mergeCell ref="HY121:HY122"/>
    <mergeCell ref="IQ120:IQ121"/>
    <mergeCell ref="IR130:IR131"/>
    <mergeCell ref="IS130:IS131"/>
    <mergeCell ref="IT130:IT131"/>
    <mergeCell ref="IV130:IV131"/>
    <mergeCell ref="IX130:IX131"/>
    <mergeCell ref="FY132:FY133"/>
    <mergeCell ref="IR132:IR133"/>
    <mergeCell ref="IS132:IS133"/>
    <mergeCell ref="IT132:IT133"/>
    <mergeCell ref="IV132:IV133"/>
    <mergeCell ref="IX132:IX133"/>
    <mergeCell ref="FY135:FY136"/>
    <mergeCell ref="IR135:IR136"/>
    <mergeCell ref="IS135:IS136"/>
    <mergeCell ref="IT135:IT136"/>
    <mergeCell ref="IV135:IV136"/>
    <mergeCell ref="IX135:IX136"/>
    <mergeCell ref="FY137:FY138"/>
    <mergeCell ref="IR137:IR138"/>
    <mergeCell ref="IS137:IS138"/>
    <mergeCell ref="IT137:IT138"/>
    <mergeCell ref="IV137:IV138"/>
    <mergeCell ref="IX137:IX138"/>
    <mergeCell ref="GD125:GD128"/>
    <mergeCell ref="GE125:GE128"/>
    <mergeCell ref="GF125:GF128"/>
    <mergeCell ref="GG125:GG128"/>
    <mergeCell ref="GH125:GH128"/>
    <mergeCell ref="GK125:GK128"/>
    <mergeCell ref="IB125:IB127"/>
    <mergeCell ref="IC125:IC126"/>
    <mergeCell ref="IF125:IF128"/>
    <mergeCell ref="IG125:IG126"/>
    <mergeCell ref="IH125:IH128"/>
    <mergeCell ref="IK125:IK126"/>
    <mergeCell ref="IL125:IL128"/>
    <mergeCell ref="IM125:IM126"/>
    <mergeCell ref="IN125:IN128"/>
    <mergeCell ref="IC127:IC128"/>
    <mergeCell ref="IG127:IG128"/>
    <mergeCell ref="IK127:IK128"/>
    <mergeCell ref="IM127:IM128"/>
    <mergeCell ref="HZ126:HZ127"/>
    <mergeCell ref="ID126:ID127"/>
    <mergeCell ref="IN130:IN133"/>
    <mergeCell ref="IF130:IF133"/>
    <mergeCell ref="IG130:IG131"/>
    <mergeCell ref="IH130:IH133"/>
    <mergeCell ref="IK130:IK131"/>
    <mergeCell ref="IL130:IL133"/>
    <mergeCell ref="IM130:IM131"/>
    <mergeCell ref="IG132:IG133"/>
    <mergeCell ref="GB130:GB133"/>
    <mergeCell ref="GD130:GD133"/>
    <mergeCell ref="GE130:GE133"/>
    <mergeCell ref="GF130:GF133"/>
    <mergeCell ref="IR145:IR146"/>
    <mergeCell ref="IS145:IS146"/>
    <mergeCell ref="IT145:IT146"/>
    <mergeCell ref="IV145:IV146"/>
    <mergeCell ref="IX145:IX146"/>
    <mergeCell ref="FY147:FY148"/>
    <mergeCell ref="IR147:IR148"/>
    <mergeCell ref="IS147:IS148"/>
    <mergeCell ref="IT147:IT148"/>
    <mergeCell ref="IV147:IV148"/>
    <mergeCell ref="IX147:IX148"/>
    <mergeCell ref="FY150:FY151"/>
    <mergeCell ref="IR150:IR151"/>
    <mergeCell ref="IS150:IS151"/>
    <mergeCell ref="IT150:IT151"/>
    <mergeCell ref="IV150:IV151"/>
    <mergeCell ref="IX150:IX151"/>
    <mergeCell ref="GD140:GD143"/>
    <mergeCell ref="GE140:GE143"/>
    <mergeCell ref="GF140:GF143"/>
    <mergeCell ref="GG140:GG143"/>
    <mergeCell ref="GH140:GH143"/>
    <mergeCell ref="GK140:GK143"/>
    <mergeCell ref="IB140:IB142"/>
    <mergeCell ref="IC140:IC141"/>
    <mergeCell ref="IF140:IF143"/>
    <mergeCell ref="IG140:IG141"/>
    <mergeCell ref="IH140:IH143"/>
    <mergeCell ref="IK140:IK141"/>
    <mergeCell ref="IL140:IL143"/>
    <mergeCell ref="IM140:IM141"/>
    <mergeCell ref="IN140:IN143"/>
    <mergeCell ref="IC142:IC143"/>
    <mergeCell ref="IG142:IG143"/>
    <mergeCell ref="IK142:IK143"/>
    <mergeCell ref="IM142:IM143"/>
    <mergeCell ref="HZ141:HZ142"/>
    <mergeCell ref="ID141:ID142"/>
    <mergeCell ref="IN145:IN148"/>
    <mergeCell ref="IF145:IF148"/>
    <mergeCell ref="IG145:IG146"/>
    <mergeCell ref="IH145:IH148"/>
    <mergeCell ref="IK145:IK146"/>
    <mergeCell ref="IL145:IL148"/>
    <mergeCell ref="IW140:IW141"/>
    <mergeCell ref="IP150:IP151"/>
    <mergeCell ref="IQ150:IQ151"/>
    <mergeCell ref="IU150:IU151"/>
    <mergeCell ref="IW150:IW151"/>
    <mergeCell ref="IB150:IB152"/>
    <mergeCell ref="IC150:IC151"/>
    <mergeCell ref="IC152:IC153"/>
    <mergeCell ref="HT146:HT147"/>
    <mergeCell ref="HU146:HU147"/>
    <mergeCell ref="HV146:HV147"/>
    <mergeCell ref="HW146:HW147"/>
    <mergeCell ref="GA145:GA148"/>
    <mergeCell ref="GB145:GB148"/>
    <mergeCell ref="GC145:GC148"/>
    <mergeCell ref="GD145:GD148"/>
    <mergeCell ref="HL141:HL142"/>
    <mergeCell ref="HM141:HM142"/>
    <mergeCell ref="HN141:HN142"/>
    <mergeCell ref="HS141:HS142"/>
    <mergeCell ref="IV152:IV153"/>
    <mergeCell ref="IX152:IX153"/>
    <mergeCell ref="FY155:FY156"/>
    <mergeCell ref="IR155:IR156"/>
    <mergeCell ref="IS155:IS156"/>
    <mergeCell ref="IT155:IT156"/>
    <mergeCell ref="IV155:IV156"/>
    <mergeCell ref="IX155:IX156"/>
    <mergeCell ref="FY157:FY158"/>
    <mergeCell ref="IR157:IR158"/>
    <mergeCell ref="IS157:IS158"/>
    <mergeCell ref="IT157:IT158"/>
    <mergeCell ref="IV157:IV158"/>
    <mergeCell ref="IX157:IX158"/>
    <mergeCell ref="FY160:FY161"/>
    <mergeCell ref="IR160:IR161"/>
    <mergeCell ref="IS160:IS161"/>
    <mergeCell ref="IT160:IT161"/>
    <mergeCell ref="IV160:IV161"/>
    <mergeCell ref="IX160:IX161"/>
    <mergeCell ref="FY162:FY163"/>
    <mergeCell ref="IR162:IR163"/>
    <mergeCell ref="IS162:IS163"/>
    <mergeCell ref="IT162:IT163"/>
    <mergeCell ref="IV162:IV163"/>
    <mergeCell ref="IX162:IX163"/>
    <mergeCell ref="IL150:IL153"/>
    <mergeCell ref="IM150:IM151"/>
    <mergeCell ref="IN150:IN153"/>
    <mergeCell ref="IF150:IF153"/>
    <mergeCell ref="IG150:IG151"/>
    <mergeCell ref="IH150:IH153"/>
    <mergeCell ref="IK150:IK151"/>
    <mergeCell ref="IG152:IG153"/>
    <mergeCell ref="IK152:IK153"/>
    <mergeCell ref="GF155:GF158"/>
    <mergeCell ref="GG155:GG158"/>
    <mergeCell ref="GH155:GH158"/>
    <mergeCell ref="GK155:GK158"/>
    <mergeCell ref="IB155:IB157"/>
    <mergeCell ref="IC155:IC156"/>
    <mergeCell ref="IF155:IF158"/>
    <mergeCell ref="IG155:IG156"/>
    <mergeCell ref="IH155:IH158"/>
    <mergeCell ref="IK155:IK156"/>
    <mergeCell ref="IK157:IK158"/>
    <mergeCell ref="IM157:IM158"/>
    <mergeCell ref="IN160:IN163"/>
    <mergeCell ref="IF160:IF163"/>
    <mergeCell ref="IG160:IG161"/>
    <mergeCell ref="IH160:IH163"/>
    <mergeCell ref="IK160:IK161"/>
    <mergeCell ref="IL160:IL163"/>
    <mergeCell ref="GA150:GA153"/>
    <mergeCell ref="GB150:GB153"/>
    <mergeCell ref="GC150:GC153"/>
    <mergeCell ref="IM155:IM156"/>
    <mergeCell ref="IN155:IN158"/>
    <mergeCell ref="HU161:HU162"/>
    <mergeCell ref="HS156:HS157"/>
    <mergeCell ref="HT156:HT157"/>
    <mergeCell ref="HU156:HU157"/>
    <mergeCell ref="HV156:HV157"/>
    <mergeCell ref="HZ156:HZ157"/>
    <mergeCell ref="IT142:IT143"/>
    <mergeCell ref="IV142:IV143"/>
    <mergeCell ref="IX142:IX143"/>
    <mergeCell ref="IV167:IV168"/>
    <mergeCell ref="IX167:IX168"/>
    <mergeCell ref="FY173:FY174"/>
    <mergeCell ref="IR173:IR174"/>
    <mergeCell ref="IS173:IS174"/>
    <mergeCell ref="IT173:IT174"/>
    <mergeCell ref="IV173:IV174"/>
    <mergeCell ref="IX173:IX174"/>
    <mergeCell ref="FY175:FY176"/>
    <mergeCell ref="IR175:IR176"/>
    <mergeCell ref="IS175:IS176"/>
    <mergeCell ref="IT175:IT176"/>
    <mergeCell ref="IV175:IV176"/>
    <mergeCell ref="IX175:IX176"/>
    <mergeCell ref="FY178:FY179"/>
    <mergeCell ref="IR178:IR179"/>
    <mergeCell ref="IS178:IS179"/>
    <mergeCell ref="IT178:IT179"/>
    <mergeCell ref="IV178:IV179"/>
    <mergeCell ref="IX178:IX179"/>
    <mergeCell ref="IG165:IG166"/>
    <mergeCell ref="IH165:IH168"/>
    <mergeCell ref="IK165:IK166"/>
    <mergeCell ref="IG175:IG176"/>
    <mergeCell ref="IK175:IK176"/>
    <mergeCell ref="IM175:IM176"/>
    <mergeCell ref="IF173:IF176"/>
    <mergeCell ref="IG173:IG174"/>
    <mergeCell ref="IH173:IH176"/>
    <mergeCell ref="IK173:IK174"/>
    <mergeCell ref="IL173:IL176"/>
    <mergeCell ref="IM173:IM174"/>
    <mergeCell ref="IN178:IN181"/>
    <mergeCell ref="IF178:IF181"/>
    <mergeCell ref="IG178:IG179"/>
    <mergeCell ref="IH178:IH181"/>
    <mergeCell ref="IK178:IK179"/>
    <mergeCell ref="IG180:IG181"/>
    <mergeCell ref="IK180:IK181"/>
    <mergeCell ref="FY180:FY181"/>
    <mergeCell ref="IR180:IR181"/>
    <mergeCell ref="IS180:IS181"/>
    <mergeCell ref="IT180:IT181"/>
    <mergeCell ref="IV180:IV181"/>
    <mergeCell ref="IX180:IX181"/>
    <mergeCell ref="IN173:IN176"/>
    <mergeCell ref="HP174:HP175"/>
    <mergeCell ref="HQ174:HQ175"/>
    <mergeCell ref="HR174:HR175"/>
    <mergeCell ref="IN165:IN168"/>
    <mergeCell ref="IF165:IF168"/>
    <mergeCell ref="IM167:IM168"/>
    <mergeCell ref="IP173:IP174"/>
    <mergeCell ref="IQ173:IQ174"/>
    <mergeCell ref="IU173:IU174"/>
    <mergeCell ref="IW173:IW174"/>
    <mergeCell ref="IK167:IK168"/>
    <mergeCell ref="IL165:IL168"/>
    <mergeCell ref="GM166:GM167"/>
    <mergeCell ref="GN166:GN167"/>
    <mergeCell ref="HS166:HS167"/>
    <mergeCell ref="HT166:HT167"/>
    <mergeCell ref="HU166:HU167"/>
    <mergeCell ref="HV166:HV167"/>
    <mergeCell ref="IQ193:IQ194"/>
    <mergeCell ref="IU193:IU194"/>
    <mergeCell ref="ID199:ID200"/>
    <mergeCell ref="HP199:HP200"/>
    <mergeCell ref="HQ199:HQ200"/>
    <mergeCell ref="HI199:HI200"/>
    <mergeCell ref="HJ199:HJ200"/>
    <mergeCell ref="IT185:IT186"/>
    <mergeCell ref="IV185:IV186"/>
    <mergeCell ref="IX185:IX186"/>
    <mergeCell ref="FY188:FY189"/>
    <mergeCell ref="IR188:IR189"/>
    <mergeCell ref="IS188:IS189"/>
    <mergeCell ref="IT188:IT189"/>
    <mergeCell ref="IV188:IV189"/>
    <mergeCell ref="IX188:IX189"/>
    <mergeCell ref="FY190:FY191"/>
    <mergeCell ref="IR190:IR191"/>
    <mergeCell ref="IS190:IS191"/>
    <mergeCell ref="IT190:IT191"/>
    <mergeCell ref="IV190:IV191"/>
    <mergeCell ref="IX190:IX191"/>
    <mergeCell ref="GD183:GD186"/>
    <mergeCell ref="GE183:GE186"/>
    <mergeCell ref="GF183:GF186"/>
    <mergeCell ref="GG183:GG186"/>
    <mergeCell ref="GH183:GH186"/>
    <mergeCell ref="GK183:GK186"/>
    <mergeCell ref="IB183:IB185"/>
    <mergeCell ref="IC183:IC184"/>
    <mergeCell ref="IF183:IF186"/>
    <mergeCell ref="IG183:IG184"/>
    <mergeCell ref="IH183:IH186"/>
    <mergeCell ref="IK183:IK184"/>
    <mergeCell ref="IL183:IL186"/>
    <mergeCell ref="IM183:IM184"/>
    <mergeCell ref="IN183:IN186"/>
    <mergeCell ref="IC185:IC186"/>
    <mergeCell ref="IG185:IG186"/>
    <mergeCell ref="IK185:IK186"/>
    <mergeCell ref="IM185:IM186"/>
    <mergeCell ref="HZ184:HZ185"/>
    <mergeCell ref="ID184:ID185"/>
    <mergeCell ref="IN188:IN191"/>
    <mergeCell ref="IF188:IF191"/>
    <mergeCell ref="IG188:IG189"/>
    <mergeCell ref="IH188:IH191"/>
    <mergeCell ref="IK188:IK189"/>
    <mergeCell ref="IL188:IL191"/>
    <mergeCell ref="IM188:IM189"/>
    <mergeCell ref="IG190:IG191"/>
    <mergeCell ref="HP184:HP185"/>
    <mergeCell ref="HQ184:HQ185"/>
    <mergeCell ref="HR184:HR185"/>
    <mergeCell ref="HS184:HS185"/>
    <mergeCell ref="HT184:HT185"/>
    <mergeCell ref="HU184:HU185"/>
    <mergeCell ref="HV184:HV185"/>
    <mergeCell ref="HW184:HW185"/>
    <mergeCell ref="HX184:HX185"/>
    <mergeCell ref="HY184:HY185"/>
    <mergeCell ref="IP183:IP184"/>
    <mergeCell ref="IQ183:IQ184"/>
    <mergeCell ref="IU183:IU184"/>
    <mergeCell ref="IN203:IN206"/>
    <mergeCell ref="IF203:IF206"/>
    <mergeCell ref="IM203:IM204"/>
    <mergeCell ref="IC205:IC206"/>
    <mergeCell ref="IG205:IG206"/>
    <mergeCell ref="IL213:IL216"/>
    <mergeCell ref="IP203:IP204"/>
    <mergeCell ref="IQ203:IQ204"/>
    <mergeCell ref="HV209:HV210"/>
    <mergeCell ref="HW209:HW210"/>
    <mergeCell ref="HX209:HX210"/>
    <mergeCell ref="IM210:IM211"/>
    <mergeCell ref="IT195:IT196"/>
    <mergeCell ref="IV195:IV196"/>
    <mergeCell ref="IX195:IX196"/>
    <mergeCell ref="FY198:FY199"/>
    <mergeCell ref="IR198:IR199"/>
    <mergeCell ref="IS198:IS199"/>
    <mergeCell ref="IT198:IT199"/>
    <mergeCell ref="IV198:IV199"/>
    <mergeCell ref="IX198:IX199"/>
    <mergeCell ref="FY200:FY201"/>
    <mergeCell ref="IR200:IR201"/>
    <mergeCell ref="IS200:IS201"/>
    <mergeCell ref="IT200:IT201"/>
    <mergeCell ref="IV200:IV201"/>
    <mergeCell ref="IX200:IX201"/>
    <mergeCell ref="FY203:FY204"/>
    <mergeCell ref="IR203:IR204"/>
    <mergeCell ref="IS203:IS204"/>
    <mergeCell ref="IT203:IT204"/>
    <mergeCell ref="IV203:IV204"/>
    <mergeCell ref="IX203:IX204"/>
    <mergeCell ref="IL193:IL196"/>
    <mergeCell ref="IM193:IM194"/>
    <mergeCell ref="IN193:IN196"/>
    <mergeCell ref="IF193:IF196"/>
    <mergeCell ref="IG193:IG194"/>
    <mergeCell ref="IH193:IH196"/>
    <mergeCell ref="IK193:IK194"/>
    <mergeCell ref="IG195:IG196"/>
    <mergeCell ref="IK195:IK196"/>
    <mergeCell ref="GD198:GD201"/>
    <mergeCell ref="GE198:GE201"/>
    <mergeCell ref="GF198:GF201"/>
    <mergeCell ref="GG198:GG201"/>
    <mergeCell ref="GH198:GH201"/>
    <mergeCell ref="GK198:GK201"/>
    <mergeCell ref="IB198:IB200"/>
    <mergeCell ref="IC198:IC199"/>
    <mergeCell ref="IF198:IF201"/>
    <mergeCell ref="IG198:IG199"/>
    <mergeCell ref="IH198:IH201"/>
    <mergeCell ref="IK198:IK199"/>
    <mergeCell ref="IL198:IL201"/>
    <mergeCell ref="IM198:IM199"/>
    <mergeCell ref="IN198:IN201"/>
    <mergeCell ref="IC200:IC201"/>
    <mergeCell ref="IG200:IG201"/>
    <mergeCell ref="IK200:IK201"/>
    <mergeCell ref="IM200:IM201"/>
    <mergeCell ref="HZ199:HZ200"/>
    <mergeCell ref="IM195:IM196"/>
    <mergeCell ref="HI194:HI195"/>
    <mergeCell ref="FY208:FY209"/>
    <mergeCell ref="IR208:IR209"/>
    <mergeCell ref="IS208:IS209"/>
    <mergeCell ref="IT208:IT209"/>
    <mergeCell ref="IV208:IV209"/>
    <mergeCell ref="IX208:IX209"/>
    <mergeCell ref="FY210:FY211"/>
    <mergeCell ref="IR210:IR211"/>
    <mergeCell ref="IS210:IS211"/>
    <mergeCell ref="IT210:IT211"/>
    <mergeCell ref="IV210:IV211"/>
    <mergeCell ref="IX210:IX211"/>
    <mergeCell ref="FY213:FY214"/>
    <mergeCell ref="IR213:IR214"/>
    <mergeCell ref="IS213:IS214"/>
    <mergeCell ref="IT213:IT214"/>
    <mergeCell ref="IV213:IV214"/>
    <mergeCell ref="IX213:IX214"/>
    <mergeCell ref="FY215:FY216"/>
    <mergeCell ref="IR215:IR216"/>
    <mergeCell ref="IS215:IS216"/>
    <mergeCell ref="IT215:IT216"/>
    <mergeCell ref="IV215:IV216"/>
    <mergeCell ref="IX215:IX216"/>
    <mergeCell ref="IL208:IL211"/>
    <mergeCell ref="IM208:IM209"/>
    <mergeCell ref="IN208:IN211"/>
    <mergeCell ref="IF208:IF211"/>
    <mergeCell ref="IG208:IG209"/>
    <mergeCell ref="IH208:IH211"/>
    <mergeCell ref="IK208:IK209"/>
    <mergeCell ref="IG210:IG211"/>
    <mergeCell ref="IK210:IK211"/>
    <mergeCell ref="GF213:GF216"/>
    <mergeCell ref="GG213:GG216"/>
    <mergeCell ref="GH213:GH216"/>
    <mergeCell ref="GK213:GK216"/>
    <mergeCell ref="IB213:IB215"/>
    <mergeCell ref="IC213:IC214"/>
    <mergeCell ref="IF213:IF216"/>
    <mergeCell ref="IG213:IG214"/>
    <mergeCell ref="IH213:IH216"/>
    <mergeCell ref="IK213:IK214"/>
    <mergeCell ref="IK215:IK216"/>
    <mergeCell ref="IM215:IM216"/>
    <mergeCell ref="HP214:HP215"/>
    <mergeCell ref="HQ214:HQ215"/>
    <mergeCell ref="HR214:HR215"/>
    <mergeCell ref="HS214:HS215"/>
    <mergeCell ref="HY209:HY210"/>
    <mergeCell ref="GF208:GF211"/>
    <mergeCell ref="IB208:IB210"/>
    <mergeCell ref="IC208:IC209"/>
    <mergeCell ref="IM213:IM214"/>
    <mergeCell ref="IG215:IG216"/>
    <mergeCell ref="HT214:HT215"/>
    <mergeCell ref="HU214:HU215"/>
    <mergeCell ref="HV214:HV215"/>
    <mergeCell ref="GP199:GP200"/>
    <mergeCell ref="GQ199:GQ200"/>
    <mergeCell ref="HH199:HH200"/>
    <mergeCell ref="IT223:IT224"/>
    <mergeCell ref="IV223:IV224"/>
    <mergeCell ref="IX223:IX224"/>
    <mergeCell ref="FY225:FY226"/>
    <mergeCell ref="IR225:IR226"/>
    <mergeCell ref="IS225:IS226"/>
    <mergeCell ref="IT225:IT226"/>
    <mergeCell ref="IV225:IV226"/>
    <mergeCell ref="IX225:IX226"/>
    <mergeCell ref="FY228:FY229"/>
    <mergeCell ref="IR228:IR229"/>
    <mergeCell ref="IS228:IS229"/>
    <mergeCell ref="IT228:IT229"/>
    <mergeCell ref="IV228:IV229"/>
    <mergeCell ref="IX228:IX229"/>
    <mergeCell ref="IN218:IN221"/>
    <mergeCell ref="IF218:IF221"/>
    <mergeCell ref="IG218:IG219"/>
    <mergeCell ref="IH218:IH221"/>
    <mergeCell ref="IK218:IK219"/>
    <mergeCell ref="IL218:IL221"/>
    <mergeCell ref="IM218:IM219"/>
    <mergeCell ref="IG220:IG221"/>
    <mergeCell ref="IK220:IK221"/>
    <mergeCell ref="IM220:IM221"/>
    <mergeCell ref="IN223:IN226"/>
    <mergeCell ref="IB223:IB225"/>
    <mergeCell ref="IC223:IC224"/>
    <mergeCell ref="IF223:IF226"/>
    <mergeCell ref="IG223:IG224"/>
    <mergeCell ref="HZ224:HZ225"/>
    <mergeCell ref="ID224:ID225"/>
    <mergeCell ref="IC225:IC226"/>
    <mergeCell ref="IG225:IG226"/>
    <mergeCell ref="IK225:IK226"/>
    <mergeCell ref="IM225:IM226"/>
    <mergeCell ref="GC228:GC231"/>
    <mergeCell ref="GD228:GD231"/>
    <mergeCell ref="GE228:GE231"/>
    <mergeCell ref="GF228:GF231"/>
    <mergeCell ref="GG228:GG231"/>
    <mergeCell ref="GH228:GH231"/>
    <mergeCell ref="GK228:GK231"/>
    <mergeCell ref="IB228:IB230"/>
    <mergeCell ref="FY230:FY231"/>
    <mergeCell ref="HW219:HW220"/>
    <mergeCell ref="HX219:HX220"/>
    <mergeCell ref="GQ219:GQ220"/>
    <mergeCell ref="HH219:HH220"/>
    <mergeCell ref="IP223:IP224"/>
    <mergeCell ref="IQ223:IQ224"/>
    <mergeCell ref="IU223:IU224"/>
    <mergeCell ref="IW223:IW224"/>
    <mergeCell ref="GD218:GD221"/>
    <mergeCell ref="HI219:HI220"/>
    <mergeCell ref="HJ219:HJ220"/>
    <mergeCell ref="HK219:HK220"/>
    <mergeCell ref="HL219:HL220"/>
    <mergeCell ref="HO219:HO220"/>
    <mergeCell ref="HP219:HP220"/>
    <mergeCell ref="HQ219:HQ220"/>
    <mergeCell ref="HR219:HR220"/>
    <mergeCell ref="HS219:HS220"/>
    <mergeCell ref="HT219:HT220"/>
    <mergeCell ref="IS238:IS239"/>
    <mergeCell ref="IT238:IT239"/>
    <mergeCell ref="IV238:IV239"/>
    <mergeCell ref="IX238:IX239"/>
    <mergeCell ref="FY240:FY241"/>
    <mergeCell ref="IR240:IR241"/>
    <mergeCell ref="IS240:IS241"/>
    <mergeCell ref="IT240:IT241"/>
    <mergeCell ref="IV240:IV241"/>
    <mergeCell ref="IX240:IX241"/>
    <mergeCell ref="IN233:IN236"/>
    <mergeCell ref="GM234:GM235"/>
    <mergeCell ref="GN234:GN235"/>
    <mergeCell ref="GP234:GP235"/>
    <mergeCell ref="GQ234:GQ235"/>
    <mergeCell ref="HH234:HH235"/>
    <mergeCell ref="HI234:HI235"/>
    <mergeCell ref="HJ234:HJ235"/>
    <mergeCell ref="HK234:HK235"/>
    <mergeCell ref="HL234:HL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D234:ID235"/>
    <mergeCell ref="GA233:GA236"/>
    <mergeCell ref="GB233:GB236"/>
    <mergeCell ref="GC233:GC236"/>
    <mergeCell ref="GD233:GD236"/>
    <mergeCell ref="GE233:GE236"/>
    <mergeCell ref="GB238:GB241"/>
    <mergeCell ref="GC238:GC241"/>
    <mergeCell ref="GD238:GD241"/>
    <mergeCell ref="GE238:GE241"/>
    <mergeCell ref="GF238:GF241"/>
    <mergeCell ref="GG238:GG241"/>
    <mergeCell ref="GH238:GH241"/>
    <mergeCell ref="GK238:GK241"/>
    <mergeCell ref="IL238:IL241"/>
    <mergeCell ref="IM238:IM239"/>
    <mergeCell ref="IP233:IP234"/>
    <mergeCell ref="IN238:IN241"/>
    <mergeCell ref="FY233:FY234"/>
    <mergeCell ref="GF233:GF236"/>
    <mergeCell ref="GG233:GG236"/>
    <mergeCell ref="GH233:GH236"/>
    <mergeCell ref="IQ233:IQ234"/>
    <mergeCell ref="IG240:IG241"/>
    <mergeCell ref="IC235:IC236"/>
    <mergeCell ref="IG235:IG236"/>
    <mergeCell ref="IB238:IB240"/>
    <mergeCell ref="IC238:IC239"/>
    <mergeCell ref="IF238:IF241"/>
    <mergeCell ref="IG238:IG239"/>
    <mergeCell ref="IS253:IS254"/>
    <mergeCell ref="IT253:IT254"/>
    <mergeCell ref="IV253:IV254"/>
    <mergeCell ref="IX253:IX254"/>
    <mergeCell ref="FY256:FY257"/>
    <mergeCell ref="IR256:IR257"/>
    <mergeCell ref="IS256:IS257"/>
    <mergeCell ref="IT256:IT257"/>
    <mergeCell ref="IV256:IV257"/>
    <mergeCell ref="IX256:IX257"/>
    <mergeCell ref="HZ244:HZ245"/>
    <mergeCell ref="ID244:ID245"/>
    <mergeCell ref="IN251:IN254"/>
    <mergeCell ref="IF251:IF254"/>
    <mergeCell ref="IG251:IG252"/>
    <mergeCell ref="IH251:IH254"/>
    <mergeCell ref="IK251:IK252"/>
    <mergeCell ref="IL251:IL254"/>
    <mergeCell ref="IM251:IM252"/>
    <mergeCell ref="IG253:IG254"/>
    <mergeCell ref="IK253:IK254"/>
    <mergeCell ref="IM253:IM254"/>
    <mergeCell ref="IN256:IN259"/>
    <mergeCell ref="IB256:IB258"/>
    <mergeCell ref="IC256:IC257"/>
    <mergeCell ref="IF256:IF259"/>
    <mergeCell ref="IG256:IG257"/>
    <mergeCell ref="HZ257:HZ258"/>
    <mergeCell ref="ID257:ID258"/>
    <mergeCell ref="IC258:IC259"/>
    <mergeCell ref="IG258:IG259"/>
    <mergeCell ref="IK258:IK259"/>
    <mergeCell ref="IM258:IM259"/>
    <mergeCell ref="FY258:FY259"/>
    <mergeCell ref="IR258:IR259"/>
    <mergeCell ref="IS258:IS259"/>
    <mergeCell ref="IT258:IT259"/>
    <mergeCell ref="IV258:IV259"/>
    <mergeCell ref="IX258:IX259"/>
    <mergeCell ref="HT252:HT253"/>
    <mergeCell ref="IK245:IK246"/>
    <mergeCell ref="IM245:IM246"/>
    <mergeCell ref="IF243:IF246"/>
    <mergeCell ref="IG243:IG244"/>
    <mergeCell ref="IH243:IH246"/>
    <mergeCell ref="IM243:IM244"/>
    <mergeCell ref="IN243:IN246"/>
    <mergeCell ref="GF243:GF246"/>
    <mergeCell ref="IB243:IB245"/>
    <mergeCell ref="IC243:IC244"/>
    <mergeCell ref="IP243:IP244"/>
    <mergeCell ref="HJ257:HJ258"/>
    <mergeCell ref="HP244:HP245"/>
    <mergeCell ref="HI244:HI245"/>
    <mergeCell ref="HJ244:HJ245"/>
    <mergeCell ref="HK244:HK245"/>
    <mergeCell ref="IQ243:IQ244"/>
    <mergeCell ref="HL244:HL245"/>
    <mergeCell ref="FY245:FY246"/>
    <mergeCell ref="GP244:GP245"/>
    <mergeCell ref="GQ244:GQ245"/>
    <mergeCell ref="GM244:GM245"/>
    <mergeCell ref="GA243:GA246"/>
    <mergeCell ref="GK243:GK246"/>
    <mergeCell ref="IX263:IX264"/>
    <mergeCell ref="FY266:FY267"/>
    <mergeCell ref="IR266:IR267"/>
    <mergeCell ref="IS266:IS267"/>
    <mergeCell ref="IT266:IT267"/>
    <mergeCell ref="IV266:IV267"/>
    <mergeCell ref="IX266:IX267"/>
    <mergeCell ref="FY268:FY269"/>
    <mergeCell ref="IR268:IR269"/>
    <mergeCell ref="IS268:IS269"/>
    <mergeCell ref="IT268:IT269"/>
    <mergeCell ref="IV268:IV269"/>
    <mergeCell ref="IX268:IX269"/>
    <mergeCell ref="GC261:GC264"/>
    <mergeCell ref="GD261:GD264"/>
    <mergeCell ref="GE261:GE264"/>
    <mergeCell ref="GF261:GF264"/>
    <mergeCell ref="GG261:GG264"/>
    <mergeCell ref="GH261:GH264"/>
    <mergeCell ref="GK261:GK264"/>
    <mergeCell ref="IB261:IB263"/>
    <mergeCell ref="IC261:IC262"/>
    <mergeCell ref="IF261:IF264"/>
    <mergeCell ref="IG261:IG262"/>
    <mergeCell ref="IH261:IH264"/>
    <mergeCell ref="IK261:IK262"/>
    <mergeCell ref="IL261:IL264"/>
    <mergeCell ref="IM261:IM262"/>
    <mergeCell ref="IN261:IN264"/>
    <mergeCell ref="IC263:IC264"/>
    <mergeCell ref="IG263:IG264"/>
    <mergeCell ref="IK263:IK264"/>
    <mergeCell ref="IM263:IM264"/>
    <mergeCell ref="IN266:IN269"/>
    <mergeCell ref="IF266:IF269"/>
    <mergeCell ref="IG266:IG267"/>
    <mergeCell ref="IH266:IH269"/>
    <mergeCell ref="IK266:IK267"/>
    <mergeCell ref="IL266:IL269"/>
    <mergeCell ref="IM266:IM267"/>
    <mergeCell ref="IG268:IG269"/>
    <mergeCell ref="IK268:IK269"/>
    <mergeCell ref="HS262:HS263"/>
    <mergeCell ref="HT262:HT263"/>
    <mergeCell ref="HU262:HU263"/>
    <mergeCell ref="HV262:HV263"/>
    <mergeCell ref="HW262:HW263"/>
    <mergeCell ref="HX262:HX263"/>
    <mergeCell ref="HY262:HY263"/>
    <mergeCell ref="HZ262:HZ263"/>
    <mergeCell ref="HS267:HS268"/>
    <mergeCell ref="HT267:HT268"/>
    <mergeCell ref="HU267:HU268"/>
    <mergeCell ref="HV267:HV268"/>
    <mergeCell ref="HW267:HW268"/>
    <mergeCell ref="HX267:HX268"/>
    <mergeCell ref="HY267:HY268"/>
    <mergeCell ref="IP266:IP267"/>
    <mergeCell ref="IQ266:IQ267"/>
    <mergeCell ref="IT273:IT274"/>
    <mergeCell ref="IV273:IV274"/>
    <mergeCell ref="IX273:IX274"/>
    <mergeCell ref="FY276:FY277"/>
    <mergeCell ref="IR276:IR277"/>
    <mergeCell ref="IS276:IS277"/>
    <mergeCell ref="IT276:IT277"/>
    <mergeCell ref="IV276:IV277"/>
    <mergeCell ref="IX276:IX277"/>
    <mergeCell ref="FY278:FY279"/>
    <mergeCell ref="IR278:IR279"/>
    <mergeCell ref="IS278:IS279"/>
    <mergeCell ref="IT278:IT279"/>
    <mergeCell ref="IV278:IV279"/>
    <mergeCell ref="IX278:IX279"/>
    <mergeCell ref="FY281:FY282"/>
    <mergeCell ref="IR281:IR282"/>
    <mergeCell ref="IS281:IS282"/>
    <mergeCell ref="IT281:IT282"/>
    <mergeCell ref="IV281:IV282"/>
    <mergeCell ref="IX281:IX282"/>
    <mergeCell ref="GE271:GE274"/>
    <mergeCell ref="GF271:GF274"/>
    <mergeCell ref="GG271:GG274"/>
    <mergeCell ref="GH271:GH274"/>
    <mergeCell ref="GK271:GK274"/>
    <mergeCell ref="IB271:IB273"/>
    <mergeCell ref="IC271:IC272"/>
    <mergeCell ref="IF271:IF274"/>
    <mergeCell ref="IG271:IG272"/>
    <mergeCell ref="HZ272:HZ273"/>
    <mergeCell ref="ID272:ID273"/>
    <mergeCell ref="IM271:IM272"/>
    <mergeCell ref="GE276:GE279"/>
    <mergeCell ref="GF276:GF279"/>
    <mergeCell ref="GG276:GG279"/>
    <mergeCell ref="GH276:GH279"/>
    <mergeCell ref="GK276:GK279"/>
    <mergeCell ref="IB276:IB278"/>
    <mergeCell ref="IC276:IC277"/>
    <mergeCell ref="HZ277:HZ278"/>
    <mergeCell ref="ID277:ID278"/>
    <mergeCell ref="IN281:IN284"/>
    <mergeCell ref="GM282:GM283"/>
    <mergeCell ref="HL282:HL283"/>
    <mergeCell ref="HM282:HM283"/>
    <mergeCell ref="IR283:IR284"/>
    <mergeCell ref="IM281:IM282"/>
    <mergeCell ref="IC283:IC284"/>
    <mergeCell ref="HN282:HN283"/>
    <mergeCell ref="HO282:HO283"/>
    <mergeCell ref="IM283:IM284"/>
    <mergeCell ref="HW282:HW283"/>
    <mergeCell ref="HX282:HX283"/>
    <mergeCell ref="HY282:HY283"/>
    <mergeCell ref="IK276:IK277"/>
    <mergeCell ref="IL276:IL279"/>
    <mergeCell ref="IM276:IM277"/>
    <mergeCell ref="IN276:IN279"/>
    <mergeCell ref="IK278:IK279"/>
    <mergeCell ref="IM278:IM279"/>
    <mergeCell ref="IG276:IG277"/>
    <mergeCell ref="IH276:IH279"/>
    <mergeCell ref="IC278:IC279"/>
    <mergeCell ref="IN301:IN304"/>
    <mergeCell ref="GM302:GM303"/>
    <mergeCell ref="GN302:GN303"/>
    <mergeCell ref="HO307:HO308"/>
    <mergeCell ref="ID282:ID283"/>
    <mergeCell ref="GA281:GA284"/>
    <mergeCell ref="GB281:GB284"/>
    <mergeCell ref="GC281:GC284"/>
    <mergeCell ref="GD281:GD284"/>
    <mergeCell ref="GE281:GE284"/>
    <mergeCell ref="GF281:GF284"/>
    <mergeCell ref="GG281:GG284"/>
    <mergeCell ref="GH281:GH284"/>
    <mergeCell ref="GK281:GK284"/>
    <mergeCell ref="IB281:IB283"/>
    <mergeCell ref="IC281:IC282"/>
    <mergeCell ref="IF281:IF284"/>
    <mergeCell ref="IG281:IG282"/>
    <mergeCell ref="IH281:IH284"/>
    <mergeCell ref="IK281:IK282"/>
    <mergeCell ref="IL281:IL284"/>
    <mergeCell ref="GN282:GN283"/>
    <mergeCell ref="GP282:GP283"/>
    <mergeCell ref="GQ282:GQ283"/>
    <mergeCell ref="HH282:HH283"/>
    <mergeCell ref="HI282:HI283"/>
    <mergeCell ref="HJ282:HJ283"/>
    <mergeCell ref="IG283:IG284"/>
    <mergeCell ref="IK283:IK284"/>
    <mergeCell ref="IN286:IN289"/>
    <mergeCell ref="IB286:IB288"/>
    <mergeCell ref="HV287:HV288"/>
    <mergeCell ref="HW287:HW288"/>
    <mergeCell ref="HX287:HX288"/>
    <mergeCell ref="HY287:HY288"/>
    <mergeCell ref="IK288:IK289"/>
    <mergeCell ref="IM288:IM289"/>
    <mergeCell ref="HK282:HK283"/>
    <mergeCell ref="HR282:HR283"/>
    <mergeCell ref="HS282:HS283"/>
    <mergeCell ref="HT282:HT283"/>
    <mergeCell ref="HU282:HU283"/>
    <mergeCell ref="HV282:HV283"/>
    <mergeCell ref="IN296:IN299"/>
    <mergeCell ref="HR287:HR288"/>
    <mergeCell ref="HS307:HS308"/>
    <mergeCell ref="HT307:HT308"/>
    <mergeCell ref="HU307:HU308"/>
    <mergeCell ref="GP297:GP298"/>
    <mergeCell ref="GQ297:GQ298"/>
    <mergeCell ref="HH297:HH298"/>
    <mergeCell ref="HI297:HI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U297:HU298"/>
    <mergeCell ref="IX286:IX287"/>
    <mergeCell ref="FY288:FY289"/>
    <mergeCell ref="IR288:IR289"/>
    <mergeCell ref="IS288:IS289"/>
    <mergeCell ref="IT288:IT289"/>
    <mergeCell ref="IV288:IV289"/>
    <mergeCell ref="IX288:IX289"/>
    <mergeCell ref="FY291:FY292"/>
    <mergeCell ref="IR291:IR292"/>
    <mergeCell ref="IS291:IS292"/>
    <mergeCell ref="IT291:IT292"/>
    <mergeCell ref="IV291:IV292"/>
    <mergeCell ref="IX291:IX292"/>
    <mergeCell ref="FY293:FY294"/>
    <mergeCell ref="IR293:IR294"/>
    <mergeCell ref="IS293:IS294"/>
    <mergeCell ref="IT293:IT294"/>
    <mergeCell ref="IV293:IV294"/>
    <mergeCell ref="IX293:IX294"/>
    <mergeCell ref="GA286:GA289"/>
    <mergeCell ref="GB286:GB289"/>
    <mergeCell ref="GC286:GC289"/>
    <mergeCell ref="GD286:GD289"/>
    <mergeCell ref="GE286:GE289"/>
    <mergeCell ref="GF286:GF289"/>
    <mergeCell ref="GG286:GG289"/>
    <mergeCell ref="GH286:GH289"/>
    <mergeCell ref="GK286:GK289"/>
    <mergeCell ref="GP287:GP288"/>
    <mergeCell ref="GQ287:GQ288"/>
    <mergeCell ref="HH287:HH288"/>
    <mergeCell ref="HI287:HI288"/>
    <mergeCell ref="HJ287:HJ288"/>
    <mergeCell ref="HK287:HK288"/>
    <mergeCell ref="HL287:HL288"/>
    <mergeCell ref="HM287:HM288"/>
    <mergeCell ref="HN287:HN288"/>
    <mergeCell ref="HO287:HO288"/>
    <mergeCell ref="HP287:HP288"/>
    <mergeCell ref="IH286:IH289"/>
    <mergeCell ref="IK286:IK287"/>
    <mergeCell ref="IL286:IL289"/>
    <mergeCell ref="IM286:IM287"/>
    <mergeCell ref="HH292:HH293"/>
    <mergeCell ref="HI292:HI293"/>
    <mergeCell ref="HJ292:HJ293"/>
    <mergeCell ref="HK292:HK293"/>
    <mergeCell ref="HL292:HL293"/>
    <mergeCell ref="HM292:HM293"/>
    <mergeCell ref="IP286:IP287"/>
    <mergeCell ref="IK291:IK292"/>
    <mergeCell ref="IL291:IL294"/>
    <mergeCell ref="IM291:IM292"/>
    <mergeCell ref="IN291:IN294"/>
    <mergeCell ref="IM293:IM294"/>
    <mergeCell ref="HV297:HV298"/>
    <mergeCell ref="HW297:HW298"/>
    <mergeCell ref="HX297:HX298"/>
    <mergeCell ref="HY297:HY298"/>
    <mergeCell ref="HZ297:HZ298"/>
    <mergeCell ref="ID297:ID298"/>
    <mergeCell ref="GA296:GA299"/>
    <mergeCell ref="GB296:GB299"/>
    <mergeCell ref="GC296:GC299"/>
    <mergeCell ref="GD296:GD299"/>
    <mergeCell ref="GE296:GE299"/>
    <mergeCell ref="GF296:GF299"/>
    <mergeCell ref="GG296:GG299"/>
    <mergeCell ref="GH296:GH299"/>
    <mergeCell ref="GK296:GK299"/>
    <mergeCell ref="IB296:IB298"/>
    <mergeCell ref="FY306:FY307"/>
    <mergeCell ref="HH307:HH308"/>
    <mergeCell ref="HI307:HI308"/>
    <mergeCell ref="HJ307:HJ308"/>
    <mergeCell ref="HK307:HK308"/>
    <mergeCell ref="HL307:HL308"/>
    <mergeCell ref="HM307:HM308"/>
    <mergeCell ref="HN307:HN308"/>
    <mergeCell ref="HW307:HW308"/>
    <mergeCell ref="HX307:HX308"/>
    <mergeCell ref="HY307:HY308"/>
    <mergeCell ref="GP302:GP303"/>
    <mergeCell ref="GQ302:GQ303"/>
    <mergeCell ref="HH302:HH303"/>
    <mergeCell ref="HI302:HI303"/>
    <mergeCell ref="HJ302:HJ303"/>
    <mergeCell ref="HK302:HK303"/>
    <mergeCell ref="HL302:HL303"/>
    <mergeCell ref="HM302:HM303"/>
    <mergeCell ref="HN302:HN303"/>
    <mergeCell ref="GC306:GC309"/>
    <mergeCell ref="GD306:GD309"/>
    <mergeCell ref="GE306:GE309"/>
    <mergeCell ref="GF306:GF309"/>
    <mergeCell ref="GG306:GG309"/>
    <mergeCell ref="GH306:GH309"/>
    <mergeCell ref="GK306:GK309"/>
    <mergeCell ref="IB306:IB308"/>
    <mergeCell ref="IC306:IC307"/>
    <mergeCell ref="HP307:HP308"/>
    <mergeCell ref="HQ307:HQ308"/>
    <mergeCell ref="HR307:HR308"/>
    <mergeCell ref="GM297:GM298"/>
    <mergeCell ref="GN297:GN298"/>
    <mergeCell ref="GA306:GA309"/>
    <mergeCell ref="GB306:GB309"/>
    <mergeCell ref="HV307:HV308"/>
    <mergeCell ref="GF301:GF304"/>
    <mergeCell ref="GG301:GG304"/>
    <mergeCell ref="GH301:GH304"/>
    <mergeCell ref="GK301:GK304"/>
    <mergeCell ref="IB301:IB303"/>
    <mergeCell ref="GB301:GB304"/>
    <mergeCell ref="IQ339:IQ340"/>
    <mergeCell ref="HM335:HM336"/>
    <mergeCell ref="IF339:IF342"/>
    <mergeCell ref="IG339:IG340"/>
    <mergeCell ref="IH339:IH342"/>
    <mergeCell ref="IK339:IK340"/>
    <mergeCell ref="IL339:IL342"/>
    <mergeCell ref="IM339:IM340"/>
    <mergeCell ref="IN339:IN342"/>
    <mergeCell ref="GM340:GM341"/>
    <mergeCell ref="GN340:GN341"/>
    <mergeCell ref="GP340:GP341"/>
    <mergeCell ref="GQ340:GQ341"/>
    <mergeCell ref="HH340:HH341"/>
    <mergeCell ref="HI340:HI341"/>
    <mergeCell ref="GC339:GC342"/>
    <mergeCell ref="ID340:ID341"/>
    <mergeCell ref="HO340:HO341"/>
    <mergeCell ref="HP340:HP341"/>
    <mergeCell ref="HQ340:HQ341"/>
    <mergeCell ref="IK341:IK342"/>
    <mergeCell ref="IM341:IM342"/>
    <mergeCell ref="HX340:HX341"/>
    <mergeCell ref="HY340:HY341"/>
    <mergeCell ref="HZ340:HZ341"/>
    <mergeCell ref="IQ306:IQ307"/>
    <mergeCell ref="IP316:IP317"/>
    <mergeCell ref="IQ316:IQ317"/>
    <mergeCell ref="IN311:IN314"/>
    <mergeCell ref="IF311:IF314"/>
    <mergeCell ref="IG311:IG312"/>
    <mergeCell ref="IH311:IH314"/>
    <mergeCell ref="IK311:IK312"/>
    <mergeCell ref="ID317:ID318"/>
    <mergeCell ref="IC318:IC319"/>
    <mergeCell ref="IG318:IG319"/>
    <mergeCell ref="ID335:ID336"/>
    <mergeCell ref="IC336:IC337"/>
    <mergeCell ref="IG336:IG337"/>
    <mergeCell ref="HV317:HV318"/>
    <mergeCell ref="HW317:HW318"/>
    <mergeCell ref="HX317:HX318"/>
    <mergeCell ref="HY317:HY318"/>
    <mergeCell ref="HM312:HM313"/>
    <mergeCell ref="HN312:HN313"/>
    <mergeCell ref="HO312:HO313"/>
    <mergeCell ref="HP312:HP313"/>
    <mergeCell ref="HQ312:HQ313"/>
    <mergeCell ref="HR312:HR313"/>
    <mergeCell ref="HS312:HS313"/>
    <mergeCell ref="HT312:HT313"/>
    <mergeCell ref="HU312:HU313"/>
    <mergeCell ref="HV312:HV313"/>
    <mergeCell ref="HW312:HW313"/>
    <mergeCell ref="IL311:IL314"/>
    <mergeCell ref="IM311:IM312"/>
    <mergeCell ref="IG313:IG314"/>
    <mergeCell ref="IK313:IK314"/>
    <mergeCell ref="IM313:IM314"/>
    <mergeCell ref="IN316:IN319"/>
    <mergeCell ref="IB316:IB318"/>
    <mergeCell ref="IC316:IC317"/>
    <mergeCell ref="HK312:HK313"/>
    <mergeCell ref="HL312:HL313"/>
    <mergeCell ref="FY329:FY330"/>
    <mergeCell ref="IM334:IM335"/>
    <mergeCell ref="GH334:GH337"/>
    <mergeCell ref="GK334:GK337"/>
    <mergeCell ref="IP329:IP330"/>
    <mergeCell ref="IQ329:IQ330"/>
    <mergeCell ref="IM308:IM309"/>
    <mergeCell ref="IC308:IC309"/>
    <mergeCell ref="FY308:FY309"/>
    <mergeCell ref="IG308:IG309"/>
    <mergeCell ref="IK308:IK309"/>
    <mergeCell ref="GM312:GM313"/>
    <mergeCell ref="GN312:GN313"/>
    <mergeCell ref="GP312:GP313"/>
    <mergeCell ref="GQ312:GQ313"/>
    <mergeCell ref="HH312:HH313"/>
    <mergeCell ref="HI312:HI313"/>
    <mergeCell ref="HJ312:HJ313"/>
    <mergeCell ref="IK306:IK307"/>
    <mergeCell ref="IL306:IL309"/>
    <mergeCell ref="IG306:IG307"/>
    <mergeCell ref="IH306:IH309"/>
    <mergeCell ref="IF316:IF319"/>
    <mergeCell ref="IV311:IV312"/>
    <mergeCell ref="IX311:IX312"/>
    <mergeCell ref="FY313:FY314"/>
    <mergeCell ref="IR313:IR314"/>
    <mergeCell ref="IS313:IS314"/>
    <mergeCell ref="IT313:IT314"/>
    <mergeCell ref="IV313:IV314"/>
    <mergeCell ref="IX313:IX314"/>
    <mergeCell ref="FY316:FY317"/>
    <mergeCell ref="IR316:IR317"/>
    <mergeCell ref="IS316:IS317"/>
    <mergeCell ref="IT316:IT317"/>
    <mergeCell ref="IV316:IV317"/>
    <mergeCell ref="IX316:IX317"/>
    <mergeCell ref="FY318:FY319"/>
    <mergeCell ref="IR318:IR319"/>
    <mergeCell ref="IS318:IS319"/>
    <mergeCell ref="IT318:IT319"/>
    <mergeCell ref="IV318:IV319"/>
    <mergeCell ref="IX318:IX319"/>
    <mergeCell ref="HX312:HX313"/>
    <mergeCell ref="HY312:HY313"/>
    <mergeCell ref="HZ312:HZ313"/>
    <mergeCell ref="GM317:GM318"/>
    <mergeCell ref="GN317:GN318"/>
    <mergeCell ref="GP317:GP318"/>
    <mergeCell ref="GQ317:GQ318"/>
    <mergeCell ref="HH317:HH318"/>
    <mergeCell ref="HI317:HI318"/>
    <mergeCell ref="HJ317:HJ318"/>
    <mergeCell ref="HK317:HK318"/>
    <mergeCell ref="HL317:HL318"/>
    <mergeCell ref="HM317:HM318"/>
    <mergeCell ref="HN317:HN318"/>
    <mergeCell ref="HO317:HO318"/>
    <mergeCell ref="HP317:HP318"/>
    <mergeCell ref="HQ317:HQ318"/>
    <mergeCell ref="HR317:HR318"/>
    <mergeCell ref="HS317:HS318"/>
    <mergeCell ref="HT317:HT318"/>
    <mergeCell ref="HU317:HU318"/>
    <mergeCell ref="IT331:IT332"/>
    <mergeCell ref="IV331:IV332"/>
    <mergeCell ref="IX331:IX332"/>
    <mergeCell ref="FY334:FY335"/>
    <mergeCell ref="IR334:IR335"/>
    <mergeCell ref="IS334:IS335"/>
    <mergeCell ref="IT334:IT335"/>
    <mergeCell ref="IV334:IV335"/>
    <mergeCell ref="IX334:IX335"/>
    <mergeCell ref="GC321:GC324"/>
    <mergeCell ref="GD321:GD324"/>
    <mergeCell ref="GE321:GE324"/>
    <mergeCell ref="GF321:GF324"/>
    <mergeCell ref="GG321:GG324"/>
    <mergeCell ref="GH321:GH324"/>
    <mergeCell ref="GK321:GK324"/>
    <mergeCell ref="IB321:IB323"/>
    <mergeCell ref="IC321:IC322"/>
    <mergeCell ref="IF321:IF324"/>
    <mergeCell ref="IG321:IG322"/>
    <mergeCell ref="IH321:IH324"/>
    <mergeCell ref="IK321:IK322"/>
    <mergeCell ref="IL321:IL324"/>
    <mergeCell ref="IM321:IM322"/>
    <mergeCell ref="IN321:IN324"/>
    <mergeCell ref="ID322:ID323"/>
    <mergeCell ref="IN334:IN337"/>
    <mergeCell ref="GM335:GM336"/>
    <mergeCell ref="GN335:GN336"/>
    <mergeCell ref="GP335:GP336"/>
    <mergeCell ref="GQ335:GQ336"/>
    <mergeCell ref="HH335:HH336"/>
    <mergeCell ref="HI335:HI336"/>
    <mergeCell ref="HJ335:HJ336"/>
    <mergeCell ref="HK335:HK336"/>
    <mergeCell ref="HL335:HL336"/>
    <mergeCell ref="FY323:FY324"/>
    <mergeCell ref="HS335:HS336"/>
    <mergeCell ref="HT335:HT336"/>
    <mergeCell ref="HU335:HU336"/>
    <mergeCell ref="HV335:HV336"/>
    <mergeCell ref="HW335:HW336"/>
    <mergeCell ref="HX335:HX336"/>
    <mergeCell ref="HY335:HY336"/>
    <mergeCell ref="IK336:IK337"/>
    <mergeCell ref="IM336:IM337"/>
    <mergeCell ref="IH334:IH337"/>
    <mergeCell ref="IK334:IK335"/>
    <mergeCell ref="IL334:IL337"/>
    <mergeCell ref="IT321:IT322"/>
    <mergeCell ref="IR329:IR330"/>
    <mergeCell ref="IS329:IS330"/>
    <mergeCell ref="IU329:IU330"/>
    <mergeCell ref="IW329:IW330"/>
    <mergeCell ref="GM322:GM323"/>
    <mergeCell ref="GN322:GN323"/>
    <mergeCell ref="GP322:GP323"/>
    <mergeCell ref="GQ322:GQ323"/>
    <mergeCell ref="HH322:HH323"/>
    <mergeCell ref="HI322:HI323"/>
    <mergeCell ref="HJ322:HJ323"/>
    <mergeCell ref="HK322:HK323"/>
    <mergeCell ref="HL322:HL323"/>
    <mergeCell ref="HM322:HM323"/>
    <mergeCell ref="IS311:IS312"/>
    <mergeCell ref="IT311:IT312"/>
    <mergeCell ref="IC323:IC324"/>
    <mergeCell ref="IG323:IG324"/>
    <mergeCell ref="IK323:IK324"/>
    <mergeCell ref="IM323:IM324"/>
    <mergeCell ref="IL329:IL332"/>
    <mergeCell ref="IG334:IG335"/>
    <mergeCell ref="HZ335:HZ336"/>
    <mergeCell ref="IX351:IX352"/>
    <mergeCell ref="FY354:FY355"/>
    <mergeCell ref="IR354:IR355"/>
    <mergeCell ref="IS354:IS355"/>
    <mergeCell ref="IT354:IT355"/>
    <mergeCell ref="IV354:IV355"/>
    <mergeCell ref="IX354:IX355"/>
    <mergeCell ref="FY356:FY357"/>
    <mergeCell ref="IR356:IR357"/>
    <mergeCell ref="IS356:IS357"/>
    <mergeCell ref="IT356:IT357"/>
    <mergeCell ref="IV356:IV357"/>
    <mergeCell ref="IX356:IX357"/>
    <mergeCell ref="FY359:FY360"/>
    <mergeCell ref="IR359:IR360"/>
    <mergeCell ref="IS359:IS360"/>
    <mergeCell ref="IT359:IT360"/>
    <mergeCell ref="IV359:IV360"/>
    <mergeCell ref="IX359:IX360"/>
    <mergeCell ref="IN349:IN352"/>
    <mergeCell ref="IB349:IB351"/>
    <mergeCell ref="IC349:IC350"/>
    <mergeCell ref="IF349:IF352"/>
    <mergeCell ref="IG349:IG350"/>
    <mergeCell ref="HZ350:HZ351"/>
    <mergeCell ref="ID350:ID351"/>
    <mergeCell ref="IC351:IC352"/>
    <mergeCell ref="IG351:IG352"/>
    <mergeCell ref="IK351:IK352"/>
    <mergeCell ref="IM351:IM352"/>
    <mergeCell ref="GC354:GC357"/>
    <mergeCell ref="GD354:GD357"/>
    <mergeCell ref="GE354:GE357"/>
    <mergeCell ref="GF354:GF357"/>
    <mergeCell ref="GG354:GG357"/>
    <mergeCell ref="GH354:GH357"/>
    <mergeCell ref="GK354:GK357"/>
    <mergeCell ref="IB354:IB356"/>
    <mergeCell ref="IM354:IM355"/>
    <mergeCell ref="IN354:IN357"/>
    <mergeCell ref="ID355:ID356"/>
    <mergeCell ref="GM350:GM351"/>
    <mergeCell ref="GN350:GN351"/>
    <mergeCell ref="FY349:FY350"/>
    <mergeCell ref="IH349:IH352"/>
    <mergeCell ref="IK349:IK350"/>
    <mergeCell ref="IL349:IL352"/>
    <mergeCell ref="IM349:IM350"/>
    <mergeCell ref="IP349:IP350"/>
    <mergeCell ref="IQ349:IQ350"/>
    <mergeCell ref="IU349:IU350"/>
    <mergeCell ref="IW349:IW350"/>
    <mergeCell ref="HK350:HK351"/>
    <mergeCell ref="HL350:HL351"/>
    <mergeCell ref="HM350:HM351"/>
    <mergeCell ref="HN350:HN351"/>
    <mergeCell ref="HO350:HO351"/>
    <mergeCell ref="HP350:HP351"/>
    <mergeCell ref="HQ350:HQ351"/>
    <mergeCell ref="HP355:HP356"/>
    <mergeCell ref="IB359:IB361"/>
    <mergeCell ref="IC359:IC360"/>
    <mergeCell ref="IR364:IR365"/>
    <mergeCell ref="IS364:IS365"/>
    <mergeCell ref="IT364:IT365"/>
    <mergeCell ref="IV364:IV365"/>
    <mergeCell ref="IX364:IX365"/>
    <mergeCell ref="FY366:FY367"/>
    <mergeCell ref="IR366:IR367"/>
    <mergeCell ref="IS366:IS367"/>
    <mergeCell ref="IT366:IT367"/>
    <mergeCell ref="IV366:IV367"/>
    <mergeCell ref="IX366:IX367"/>
    <mergeCell ref="FY369:FY370"/>
    <mergeCell ref="IR369:IR370"/>
    <mergeCell ref="IS369:IS370"/>
    <mergeCell ref="IT369:IT370"/>
    <mergeCell ref="IV369:IV370"/>
    <mergeCell ref="IX369:IX370"/>
    <mergeCell ref="FY371:FY372"/>
    <mergeCell ref="IR371:IR372"/>
    <mergeCell ref="IS371:IS372"/>
    <mergeCell ref="IT371:IT372"/>
    <mergeCell ref="IV371:IV372"/>
    <mergeCell ref="IX371:IX372"/>
    <mergeCell ref="IN364:IN367"/>
    <mergeCell ref="GM365:GM366"/>
    <mergeCell ref="GN365:GN366"/>
    <mergeCell ref="GP365:GP366"/>
    <mergeCell ref="GQ365:GQ366"/>
    <mergeCell ref="HH365:HH366"/>
    <mergeCell ref="HI365:HI366"/>
    <mergeCell ref="HJ365:HJ366"/>
    <mergeCell ref="HK365:HK366"/>
    <mergeCell ref="HL365:HL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IK366:IK367"/>
    <mergeCell ref="IM366:IM367"/>
    <mergeCell ref="IH364:IH367"/>
    <mergeCell ref="IK364:IK365"/>
    <mergeCell ref="IL364:IL367"/>
    <mergeCell ref="IM364:IM365"/>
    <mergeCell ref="IB364:IB366"/>
    <mergeCell ref="IG369:IG370"/>
    <mergeCell ref="GG369:GG372"/>
    <mergeCell ref="GH369:GH372"/>
    <mergeCell ref="IC364:IC365"/>
    <mergeCell ref="IG371:IG372"/>
    <mergeCell ref="IH369:IH372"/>
    <mergeCell ref="GA369:GA372"/>
    <mergeCell ref="HR395:HR396"/>
    <mergeCell ref="HS395:HS396"/>
    <mergeCell ref="HT395:HT396"/>
    <mergeCell ref="HU395:HU396"/>
    <mergeCell ref="HV395:HV396"/>
    <mergeCell ref="HW395:HW396"/>
    <mergeCell ref="HX395:HX396"/>
    <mergeCell ref="GM390:GM391"/>
    <mergeCell ref="GN390:GN391"/>
    <mergeCell ref="GP390:GP391"/>
    <mergeCell ref="GQ390:GQ391"/>
    <mergeCell ref="HH390:HH391"/>
    <mergeCell ref="IL359:IL362"/>
    <mergeCell ref="IM359:IM360"/>
    <mergeCell ref="IG361:IG362"/>
    <mergeCell ref="IK361:IK362"/>
    <mergeCell ref="IM361:IM362"/>
    <mergeCell ref="IN369:IN372"/>
    <mergeCell ref="GM370:GM371"/>
    <mergeCell ref="GN370:GN371"/>
    <mergeCell ref="GP370:GP371"/>
    <mergeCell ref="GQ370:GQ371"/>
    <mergeCell ref="HH370:HH371"/>
    <mergeCell ref="HI370:HI371"/>
    <mergeCell ref="HJ370:HJ371"/>
    <mergeCell ref="HK370:HK371"/>
    <mergeCell ref="HL370:HL371"/>
    <mergeCell ref="HM370:HM371"/>
    <mergeCell ref="HN370:HN371"/>
    <mergeCell ref="IK371:IK372"/>
    <mergeCell ref="IM371:IM372"/>
    <mergeCell ref="HS375:HS376"/>
    <mergeCell ref="HP375:HP376"/>
    <mergeCell ref="IN359:IN362"/>
    <mergeCell ref="IF359:IF362"/>
    <mergeCell ref="IG359:IG360"/>
    <mergeCell ref="IH359:IH362"/>
    <mergeCell ref="IK359:IK360"/>
    <mergeCell ref="HY375:HY376"/>
    <mergeCell ref="HZ375:HZ376"/>
    <mergeCell ref="IK369:IK370"/>
    <mergeCell ref="IL369:IL372"/>
    <mergeCell ref="IM369:IM370"/>
    <mergeCell ref="IB374:IB376"/>
    <mergeCell ref="GQ375:GQ376"/>
    <mergeCell ref="HH375:HH376"/>
    <mergeCell ref="HI375:HI376"/>
    <mergeCell ref="HJ375:HJ376"/>
    <mergeCell ref="HK375:HK376"/>
    <mergeCell ref="HJ380:HJ381"/>
    <mergeCell ref="HM380:HM381"/>
    <mergeCell ref="HN380:HN381"/>
    <mergeCell ref="HO380:HO381"/>
    <mergeCell ref="HP380:HP381"/>
    <mergeCell ref="HQ380:HQ381"/>
    <mergeCell ref="HR380:HR381"/>
    <mergeCell ref="HN390:HN391"/>
    <mergeCell ref="HO390:HO391"/>
    <mergeCell ref="HP390:HP391"/>
    <mergeCell ref="HQ390:HQ391"/>
    <mergeCell ref="HR390:HR391"/>
    <mergeCell ref="HU390:HU391"/>
    <mergeCell ref="FY376:FY377"/>
    <mergeCell ref="IR376:IR377"/>
    <mergeCell ref="IS376:IS377"/>
    <mergeCell ref="IT376:IT377"/>
    <mergeCell ref="IV376:IV377"/>
    <mergeCell ref="IX376:IX377"/>
    <mergeCell ref="FY379:FY380"/>
    <mergeCell ref="IR379:IR380"/>
    <mergeCell ref="IS379:IS380"/>
    <mergeCell ref="IT379:IT380"/>
    <mergeCell ref="IV379:IV380"/>
    <mergeCell ref="IX379:IX380"/>
    <mergeCell ref="FY381:FY382"/>
    <mergeCell ref="IR381:IR382"/>
    <mergeCell ref="IS381:IS382"/>
    <mergeCell ref="IT381:IT382"/>
    <mergeCell ref="IV381:IV382"/>
    <mergeCell ref="IX381:IX382"/>
    <mergeCell ref="FY384:FY385"/>
    <mergeCell ref="IR384:IR385"/>
    <mergeCell ref="IS384:IS385"/>
    <mergeCell ref="IT384:IT385"/>
    <mergeCell ref="IV384:IV385"/>
    <mergeCell ref="IX384:IX385"/>
    <mergeCell ref="IN374:IN377"/>
    <mergeCell ref="IF374:IF377"/>
    <mergeCell ref="IG374:IG375"/>
    <mergeCell ref="IH374:IH377"/>
    <mergeCell ref="IK374:IK375"/>
    <mergeCell ref="IL374:IL377"/>
    <mergeCell ref="IM374:IM375"/>
    <mergeCell ref="IG376:IG377"/>
    <mergeCell ref="IK376:IK377"/>
    <mergeCell ref="IM376:IM377"/>
    <mergeCell ref="IN379:IN382"/>
    <mergeCell ref="IB379:IB381"/>
    <mergeCell ref="IC379:IC380"/>
    <mergeCell ref="HT375:HT376"/>
    <mergeCell ref="HU375:HU376"/>
    <mergeCell ref="HV375:HV376"/>
    <mergeCell ref="HW375:HW376"/>
    <mergeCell ref="HQ375:HQ376"/>
    <mergeCell ref="HR375:HR376"/>
    <mergeCell ref="ID375:ID376"/>
    <mergeCell ref="GA374:GA377"/>
    <mergeCell ref="GB374:GB377"/>
    <mergeCell ref="GC374:GC377"/>
    <mergeCell ref="GD374:GD377"/>
    <mergeCell ref="GE374:GE377"/>
    <mergeCell ref="GF374:GF377"/>
    <mergeCell ref="GG374:GG377"/>
    <mergeCell ref="GH374:GH377"/>
    <mergeCell ref="IC374:IC375"/>
    <mergeCell ref="IC376:IC377"/>
    <mergeCell ref="GN380:GN381"/>
    <mergeCell ref="GP380:GP381"/>
    <mergeCell ref="GQ380:GQ381"/>
    <mergeCell ref="HH380:HH381"/>
    <mergeCell ref="HI380:HI381"/>
    <mergeCell ref="HL375:HL376"/>
    <mergeCell ref="HM375:HM376"/>
    <mergeCell ref="HN375:HN376"/>
    <mergeCell ref="HO375:HO376"/>
    <mergeCell ref="HX375:HX376"/>
    <mergeCell ref="IR386:IR387"/>
    <mergeCell ref="IS386:IS387"/>
    <mergeCell ref="IT386:IT387"/>
    <mergeCell ref="IV386:IV387"/>
    <mergeCell ref="IX386:IX387"/>
    <mergeCell ref="FY389:FY390"/>
    <mergeCell ref="IR389:IR390"/>
    <mergeCell ref="IS389:IS390"/>
    <mergeCell ref="IT389:IT390"/>
    <mergeCell ref="IV389:IV390"/>
    <mergeCell ref="IX389:IX390"/>
    <mergeCell ref="FY391:FY392"/>
    <mergeCell ref="IR391:IR392"/>
    <mergeCell ref="IS391:IS392"/>
    <mergeCell ref="IT391:IT392"/>
    <mergeCell ref="IV391:IV392"/>
    <mergeCell ref="IX391:IX392"/>
    <mergeCell ref="FY394:FY395"/>
    <mergeCell ref="IR394:IR395"/>
    <mergeCell ref="IS394:IS395"/>
    <mergeCell ref="IT394:IT395"/>
    <mergeCell ref="IV394:IV395"/>
    <mergeCell ref="IX394:IX395"/>
    <mergeCell ref="FY396:FY397"/>
    <mergeCell ref="IR396:IR397"/>
    <mergeCell ref="IS396:IS397"/>
    <mergeCell ref="IT396:IT397"/>
    <mergeCell ref="IV396:IV397"/>
    <mergeCell ref="IX396:IX397"/>
    <mergeCell ref="IH394:IH397"/>
    <mergeCell ref="IK394:IK395"/>
    <mergeCell ref="IL394:IL397"/>
    <mergeCell ref="IM394:IM395"/>
    <mergeCell ref="IN394:IN397"/>
    <mergeCell ref="IB394:IB396"/>
    <mergeCell ref="IC394:IC395"/>
    <mergeCell ref="IF394:IF397"/>
    <mergeCell ref="IG394:IG395"/>
    <mergeCell ref="HZ395:HZ396"/>
    <mergeCell ref="ID395:ID396"/>
    <mergeCell ref="IC396:IC397"/>
    <mergeCell ref="IG396:IG397"/>
    <mergeCell ref="IN389:IN392"/>
    <mergeCell ref="IF389:IF392"/>
    <mergeCell ref="IG389:IG390"/>
    <mergeCell ref="IH389:IH392"/>
    <mergeCell ref="IF384:IF387"/>
    <mergeCell ref="IG384:IG385"/>
    <mergeCell ref="IH384:IH387"/>
    <mergeCell ref="IK384:IK385"/>
    <mergeCell ref="IL384:IL387"/>
    <mergeCell ref="IM384:IM385"/>
    <mergeCell ref="IN384:IN387"/>
    <mergeCell ref="HI390:HI391"/>
    <mergeCell ref="HJ390:HJ391"/>
    <mergeCell ref="HK390:HK391"/>
    <mergeCell ref="HL390:HL391"/>
    <mergeCell ref="HM390:HM391"/>
    <mergeCell ref="IK389:IK390"/>
    <mergeCell ref="IL389:IL392"/>
    <mergeCell ref="IM389:IM390"/>
    <mergeCell ref="IG391:IG392"/>
    <mergeCell ref="IK391:IK392"/>
    <mergeCell ref="IM391:IM392"/>
    <mergeCell ref="IR401:IR402"/>
    <mergeCell ref="IS401:IS402"/>
    <mergeCell ref="IT401:IT402"/>
    <mergeCell ref="IV401:IV402"/>
    <mergeCell ref="IX401:IX402"/>
    <mergeCell ref="FY407:FY408"/>
    <mergeCell ref="IR407:IR408"/>
    <mergeCell ref="IS407:IS408"/>
    <mergeCell ref="IT407:IT408"/>
    <mergeCell ref="IV407:IV408"/>
    <mergeCell ref="IX407:IX408"/>
    <mergeCell ref="FY409:FY410"/>
    <mergeCell ref="IR409:IR410"/>
    <mergeCell ref="IS409:IS410"/>
    <mergeCell ref="IT409:IT410"/>
    <mergeCell ref="IV409:IV410"/>
    <mergeCell ref="IX409:IX410"/>
    <mergeCell ref="FY412:FY413"/>
    <mergeCell ref="IR412:IR413"/>
    <mergeCell ref="IS412:IS413"/>
    <mergeCell ref="IT412:IT413"/>
    <mergeCell ref="IV412:IV413"/>
    <mergeCell ref="IX412:IX413"/>
    <mergeCell ref="IK399:IK400"/>
    <mergeCell ref="IL399:IL402"/>
    <mergeCell ref="IM399:IM400"/>
    <mergeCell ref="IN399:IN402"/>
    <mergeCell ref="GB407:GB410"/>
    <mergeCell ref="GC407:GC410"/>
    <mergeCell ref="GD407:GD410"/>
    <mergeCell ref="GE407:GE410"/>
    <mergeCell ref="GF407:GF410"/>
    <mergeCell ref="GG407:GG410"/>
    <mergeCell ref="GH407:GH410"/>
    <mergeCell ref="GK407:GK410"/>
    <mergeCell ref="IB407:IB409"/>
    <mergeCell ref="IC407:IC408"/>
    <mergeCell ref="IF407:IF410"/>
    <mergeCell ref="IG407:IG408"/>
    <mergeCell ref="IH407:IH410"/>
    <mergeCell ref="IK407:IK408"/>
    <mergeCell ref="IL407:IL410"/>
    <mergeCell ref="IM407:IM408"/>
    <mergeCell ref="IC409:IC410"/>
    <mergeCell ref="IG409:IG410"/>
    <mergeCell ref="IK409:IK410"/>
    <mergeCell ref="IM409:IM410"/>
    <mergeCell ref="IN407:IN410"/>
    <mergeCell ref="IN412:IN415"/>
    <mergeCell ref="GM413:GM414"/>
    <mergeCell ref="GN413:GN414"/>
    <mergeCell ref="GP413:GP414"/>
    <mergeCell ref="FY414:FY415"/>
    <mergeCell ref="HI408:HI409"/>
    <mergeCell ref="IR399:IR400"/>
    <mergeCell ref="IS399:IS400"/>
    <mergeCell ref="IP399:IP400"/>
    <mergeCell ref="IT399:IT400"/>
    <mergeCell ref="IV399:IV400"/>
    <mergeCell ref="IM401:IM402"/>
    <mergeCell ref="IF399:IF402"/>
    <mergeCell ref="IG399:IG400"/>
    <mergeCell ref="IH399:IH402"/>
    <mergeCell ref="IR414:IR415"/>
    <mergeCell ref="IS414:IS415"/>
    <mergeCell ref="IT414:IT415"/>
    <mergeCell ref="IV414:IV415"/>
    <mergeCell ref="IX414:IX415"/>
    <mergeCell ref="FY417:FY418"/>
    <mergeCell ref="IR417:IR418"/>
    <mergeCell ref="IS417:IS418"/>
    <mergeCell ref="IT417:IT418"/>
    <mergeCell ref="IV417:IV418"/>
    <mergeCell ref="IX417:IX418"/>
    <mergeCell ref="FY419:FY420"/>
    <mergeCell ref="IR419:IR420"/>
    <mergeCell ref="IS419:IS420"/>
    <mergeCell ref="IT419:IT420"/>
    <mergeCell ref="IV419:IV420"/>
    <mergeCell ref="IX419:IX420"/>
    <mergeCell ref="FY422:FY423"/>
    <mergeCell ref="IR422:IR423"/>
    <mergeCell ref="IS422:IS423"/>
    <mergeCell ref="IT422:IT423"/>
    <mergeCell ref="IV422:IV423"/>
    <mergeCell ref="IX422:IX423"/>
    <mergeCell ref="FY424:FY425"/>
    <mergeCell ref="IR424:IR425"/>
    <mergeCell ref="IS424:IS425"/>
    <mergeCell ref="IT424:IT425"/>
    <mergeCell ref="IV424:IV425"/>
    <mergeCell ref="IX424:IX425"/>
    <mergeCell ref="GQ413:GQ414"/>
    <mergeCell ref="HH413:HH414"/>
    <mergeCell ref="HI413:HI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D413:ID414"/>
    <mergeCell ref="IK417:IK418"/>
    <mergeCell ref="IL417:IL420"/>
    <mergeCell ref="IM417:IM418"/>
    <mergeCell ref="IN417:IN420"/>
    <mergeCell ref="GM418:GM419"/>
    <mergeCell ref="GN418:GN419"/>
    <mergeCell ref="GP418:GP419"/>
    <mergeCell ref="GQ418:GQ419"/>
    <mergeCell ref="IH412:IH415"/>
    <mergeCell ref="IK412:IK413"/>
    <mergeCell ref="IL412:IL415"/>
    <mergeCell ref="IM412:IM413"/>
    <mergeCell ref="HQ418:HQ419"/>
    <mergeCell ref="HW418:HW419"/>
    <mergeCell ref="IS427:IS428"/>
    <mergeCell ref="IT427:IT428"/>
    <mergeCell ref="IV427:IV428"/>
    <mergeCell ref="IX427:IX428"/>
    <mergeCell ref="FY429:FY430"/>
    <mergeCell ref="IR429:IR430"/>
    <mergeCell ref="IS429:IS430"/>
    <mergeCell ref="IT429:IT430"/>
    <mergeCell ref="IV429:IV430"/>
    <mergeCell ref="IX429:IX430"/>
    <mergeCell ref="FY432:FY433"/>
    <mergeCell ref="IR432:IR433"/>
    <mergeCell ref="IS432:IS433"/>
    <mergeCell ref="IT432:IT433"/>
    <mergeCell ref="IV432:IV433"/>
    <mergeCell ref="IX432:IX433"/>
    <mergeCell ref="FY434:FY435"/>
    <mergeCell ref="IR434:IR435"/>
    <mergeCell ref="IS434:IS435"/>
    <mergeCell ref="IT434:IT435"/>
    <mergeCell ref="IV434:IV435"/>
    <mergeCell ref="IX434:IX435"/>
    <mergeCell ref="FY437:FY438"/>
    <mergeCell ref="IR437:IR438"/>
    <mergeCell ref="IS437:IS438"/>
    <mergeCell ref="IT437:IT438"/>
    <mergeCell ref="IV437:IV438"/>
    <mergeCell ref="IX437:IX438"/>
    <mergeCell ref="IG429:IG430"/>
    <mergeCell ref="IK429:IK430"/>
    <mergeCell ref="IM429:IM430"/>
    <mergeCell ref="IN432:IN435"/>
    <mergeCell ref="GM433:GM434"/>
    <mergeCell ref="GN433:GN434"/>
    <mergeCell ref="GP433:GP434"/>
    <mergeCell ref="GQ433:GQ434"/>
    <mergeCell ref="HH433:HH434"/>
    <mergeCell ref="HI433:HI434"/>
    <mergeCell ref="HJ433:HJ434"/>
    <mergeCell ref="HK433:HK434"/>
    <mergeCell ref="HL433:HL434"/>
    <mergeCell ref="IH437:IH440"/>
    <mergeCell ref="HJ428:HJ429"/>
    <mergeCell ref="HK428:HK429"/>
    <mergeCell ref="HL428:HL429"/>
    <mergeCell ref="HM428:HM429"/>
    <mergeCell ref="HN428:HN429"/>
    <mergeCell ref="HY428:HY429"/>
    <mergeCell ref="GM428:GM429"/>
    <mergeCell ref="GN428:GN429"/>
    <mergeCell ref="HZ428:HZ429"/>
    <mergeCell ref="ID428:ID429"/>
    <mergeCell ref="GP428:GP429"/>
    <mergeCell ref="IG432:IG433"/>
    <mergeCell ref="IH432:IH435"/>
    <mergeCell ref="IK432:IK433"/>
    <mergeCell ref="IL432:IL435"/>
    <mergeCell ref="IM432:IM433"/>
    <mergeCell ref="IC434:IC435"/>
    <mergeCell ref="IG434:IG435"/>
    <mergeCell ref="IK434:IK435"/>
    <mergeCell ref="IM434:IM435"/>
    <mergeCell ref="IP427:IP428"/>
    <mergeCell ref="IR439:IR440"/>
    <mergeCell ref="IS439:IS440"/>
    <mergeCell ref="IT439:IT440"/>
    <mergeCell ref="IV439:IV440"/>
    <mergeCell ref="IX439:IX440"/>
    <mergeCell ref="FY442:FY443"/>
    <mergeCell ref="IR442:IR443"/>
    <mergeCell ref="IS442:IS443"/>
    <mergeCell ref="IT442:IT443"/>
    <mergeCell ref="IV442:IV443"/>
    <mergeCell ref="IX442:IX443"/>
    <mergeCell ref="FY444:FY445"/>
    <mergeCell ref="IR444:IR445"/>
    <mergeCell ref="IS444:IS445"/>
    <mergeCell ref="IT444:IT445"/>
    <mergeCell ref="IV444:IV445"/>
    <mergeCell ref="IX444:IX445"/>
    <mergeCell ref="FY447:FY448"/>
    <mergeCell ref="IR447:IR448"/>
    <mergeCell ref="IS447:IS448"/>
    <mergeCell ref="IT447:IT448"/>
    <mergeCell ref="IV447:IV448"/>
    <mergeCell ref="IX447:IX448"/>
    <mergeCell ref="FY449:FY450"/>
    <mergeCell ref="IR449:IR450"/>
    <mergeCell ref="IS449:IS450"/>
    <mergeCell ref="IT449:IT450"/>
    <mergeCell ref="IV449:IV450"/>
    <mergeCell ref="IX449:IX450"/>
    <mergeCell ref="IN437:IN440"/>
    <mergeCell ref="GH442:GH445"/>
    <mergeCell ref="GK442:GK445"/>
    <mergeCell ref="IB442:IB444"/>
    <mergeCell ref="IC442:IC443"/>
    <mergeCell ref="HZ443:HZ444"/>
    <mergeCell ref="ID443:ID444"/>
    <mergeCell ref="IN447:IN450"/>
    <mergeCell ref="IF447:IF450"/>
    <mergeCell ref="IG447:IG448"/>
    <mergeCell ref="IH447:IH450"/>
    <mergeCell ref="IK447:IK448"/>
    <mergeCell ref="IL447:IL450"/>
    <mergeCell ref="IM447:IM448"/>
    <mergeCell ref="IG449:IG450"/>
    <mergeCell ref="IK449:IK450"/>
    <mergeCell ref="IM449:IM450"/>
    <mergeCell ref="IK439:IK440"/>
    <mergeCell ref="IM439:IM440"/>
    <mergeCell ref="IK437:IK438"/>
    <mergeCell ref="IL437:IL440"/>
    <mergeCell ref="IM437:IM438"/>
    <mergeCell ref="IM444:IM445"/>
    <mergeCell ref="HO443:HO444"/>
    <mergeCell ref="HP443:HP444"/>
    <mergeCell ref="HQ443:HQ444"/>
    <mergeCell ref="HR443:HR444"/>
    <mergeCell ref="HS443:HS444"/>
    <mergeCell ref="HT443:HT444"/>
    <mergeCell ref="GM438:GM439"/>
    <mergeCell ref="IF442:IF445"/>
    <mergeCell ref="IG442:IG443"/>
    <mergeCell ref="IH442:IH445"/>
    <mergeCell ref="IK442:IK443"/>
    <mergeCell ref="IL442:IL445"/>
    <mergeCell ref="IK444:IK445"/>
    <mergeCell ref="FY457:FY458"/>
    <mergeCell ref="IR457:IR458"/>
    <mergeCell ref="IS457:IS458"/>
    <mergeCell ref="IT457:IT458"/>
    <mergeCell ref="IV457:IV458"/>
    <mergeCell ref="IX457:IX458"/>
    <mergeCell ref="FY459:FY460"/>
    <mergeCell ref="IR459:IR460"/>
    <mergeCell ref="IS459:IS460"/>
    <mergeCell ref="IT459:IT460"/>
    <mergeCell ref="IV459:IV460"/>
    <mergeCell ref="IX459:IX460"/>
    <mergeCell ref="FY462:FY463"/>
    <mergeCell ref="IR462:IR463"/>
    <mergeCell ref="IS462:IS463"/>
    <mergeCell ref="IT462:IT463"/>
    <mergeCell ref="IV462:IV463"/>
    <mergeCell ref="IX462:IX463"/>
    <mergeCell ref="IN452:IN455"/>
    <mergeCell ref="IB452:IB454"/>
    <mergeCell ref="IC452:IC453"/>
    <mergeCell ref="IF452:IF455"/>
    <mergeCell ref="IG452:IG453"/>
    <mergeCell ref="HZ453:HZ454"/>
    <mergeCell ref="ID453:ID454"/>
    <mergeCell ref="IC454:IC455"/>
    <mergeCell ref="IG454:IG455"/>
    <mergeCell ref="IK454:IK455"/>
    <mergeCell ref="IM454:IM455"/>
    <mergeCell ref="GC457:GC460"/>
    <mergeCell ref="GD457:GD460"/>
    <mergeCell ref="GE457:GE460"/>
    <mergeCell ref="IM457:IM458"/>
    <mergeCell ref="IN457:IN460"/>
    <mergeCell ref="ID458:ID459"/>
    <mergeCell ref="IM462:IM463"/>
    <mergeCell ref="GM453:GM454"/>
    <mergeCell ref="HJ453:HJ454"/>
    <mergeCell ref="HK453:HK454"/>
    <mergeCell ref="HL453:HL454"/>
    <mergeCell ref="HM453:HM454"/>
    <mergeCell ref="HN453:HN454"/>
    <mergeCell ref="HO453:HO454"/>
    <mergeCell ref="HT458:HT459"/>
    <mergeCell ref="HU458:HU459"/>
    <mergeCell ref="HV458:HV459"/>
    <mergeCell ref="HW458:HW459"/>
    <mergeCell ref="HX458:HX459"/>
    <mergeCell ref="HY458:HY459"/>
    <mergeCell ref="HZ458:HZ459"/>
    <mergeCell ref="HX463:HX464"/>
    <mergeCell ref="HY463:HY464"/>
    <mergeCell ref="HZ463:HZ464"/>
    <mergeCell ref="ID463:ID464"/>
    <mergeCell ref="IB462:IB464"/>
    <mergeCell ref="IC462:IC463"/>
    <mergeCell ref="IP457:IP458"/>
    <mergeCell ref="IQ457:IQ458"/>
    <mergeCell ref="IH452:IH455"/>
    <mergeCell ref="IK452:IK453"/>
    <mergeCell ref="IH457:IH460"/>
    <mergeCell ref="IK457:IK458"/>
    <mergeCell ref="IL457:IL460"/>
    <mergeCell ref="IM452:IM453"/>
    <mergeCell ref="IK469:IK470"/>
    <mergeCell ref="IM469:IM470"/>
    <mergeCell ref="IH467:IH470"/>
    <mergeCell ref="IK467:IK468"/>
    <mergeCell ref="IL467:IL470"/>
    <mergeCell ref="IM467:IM468"/>
    <mergeCell ref="IS452:IS453"/>
    <mergeCell ref="IT452:IT453"/>
    <mergeCell ref="IV452:IV453"/>
    <mergeCell ref="IX452:IX453"/>
    <mergeCell ref="IU457:IU458"/>
    <mergeCell ref="IW457:IW458"/>
    <mergeCell ref="IP467:IP468"/>
    <mergeCell ref="IQ467:IQ468"/>
    <mergeCell ref="IU467:IU468"/>
    <mergeCell ref="IW467:IW468"/>
    <mergeCell ref="HR458:HR459"/>
    <mergeCell ref="HS458:HS459"/>
    <mergeCell ref="IL452:IL455"/>
    <mergeCell ref="HQ458:HQ459"/>
    <mergeCell ref="IK459:IK460"/>
    <mergeCell ref="IL462:IL465"/>
    <mergeCell ref="IG464:IG465"/>
    <mergeCell ref="IK464:IK465"/>
    <mergeCell ref="IM464:IM465"/>
    <mergeCell ref="IB467:IB469"/>
    <mergeCell ref="IC467:IC468"/>
    <mergeCell ref="IF467:IF470"/>
    <mergeCell ref="IG467:IG468"/>
    <mergeCell ref="HZ468:HZ469"/>
    <mergeCell ref="ID468:ID469"/>
    <mergeCell ref="IP469:IP470"/>
    <mergeCell ref="IQ469:IQ470"/>
    <mergeCell ref="IU469:IU470"/>
    <mergeCell ref="IW469:IW470"/>
    <mergeCell ref="IR454:IR455"/>
    <mergeCell ref="IS454:IS455"/>
    <mergeCell ref="IT454:IT455"/>
    <mergeCell ref="IV454:IV455"/>
    <mergeCell ref="IX454:IX455"/>
    <mergeCell ref="IC459:IC460"/>
    <mergeCell ref="IG459:IG460"/>
    <mergeCell ref="IB457:IB459"/>
    <mergeCell ref="IC457:IC458"/>
    <mergeCell ref="IF457:IF460"/>
    <mergeCell ref="IG457:IG458"/>
    <mergeCell ref="IC469:IC470"/>
    <mergeCell ref="IG469:IG470"/>
    <mergeCell ref="HT463:HT464"/>
    <mergeCell ref="HU463:HU464"/>
    <mergeCell ref="HV463:HV464"/>
    <mergeCell ref="HW463:HW464"/>
    <mergeCell ref="IM459:IM460"/>
    <mergeCell ref="IR464:IR465"/>
    <mergeCell ref="IS464:IS465"/>
    <mergeCell ref="IT464:IT465"/>
    <mergeCell ref="IV464:IV465"/>
    <mergeCell ref="IX464:IX465"/>
    <mergeCell ref="IR452:IR453"/>
    <mergeCell ref="IU454:IU455"/>
    <mergeCell ref="IW454:IW455"/>
    <mergeCell ref="IM495:IM496"/>
    <mergeCell ref="HQ478:HQ479"/>
    <mergeCell ref="IB495:IB497"/>
    <mergeCell ref="IC495:IC496"/>
    <mergeCell ref="IF495:IF498"/>
    <mergeCell ref="IG495:IG496"/>
    <mergeCell ref="IC464:IC465"/>
    <mergeCell ref="IN462:IN465"/>
    <mergeCell ref="IF462:IF465"/>
    <mergeCell ref="IG462:IG463"/>
    <mergeCell ref="IH462:IH465"/>
    <mergeCell ref="IK462:IK463"/>
    <mergeCell ref="GG467:GG470"/>
    <mergeCell ref="GH467:GH470"/>
    <mergeCell ref="GK467:GK470"/>
    <mergeCell ref="GH472:GH475"/>
    <mergeCell ref="IR477:IR478"/>
    <mergeCell ref="IS477:IS478"/>
    <mergeCell ref="IT477:IT478"/>
    <mergeCell ref="IV477:IV478"/>
    <mergeCell ref="IX477:IX478"/>
    <mergeCell ref="FY479:FY480"/>
    <mergeCell ref="IR479:IR480"/>
    <mergeCell ref="IS479:IS480"/>
    <mergeCell ref="IT479:IT480"/>
    <mergeCell ref="IV479:IV480"/>
    <mergeCell ref="IX479:IX480"/>
    <mergeCell ref="FY485:FY486"/>
    <mergeCell ref="IR485:IR486"/>
    <mergeCell ref="IS485:IS486"/>
    <mergeCell ref="IT485:IT486"/>
    <mergeCell ref="IV485:IV486"/>
    <mergeCell ref="IX485:IX486"/>
    <mergeCell ref="FY487:FY488"/>
    <mergeCell ref="IR487:IR488"/>
    <mergeCell ref="IS487:IS488"/>
    <mergeCell ref="IT487:IT488"/>
    <mergeCell ref="IV487:IV488"/>
    <mergeCell ref="IX487:IX488"/>
    <mergeCell ref="FY467:FY468"/>
    <mergeCell ref="IR467:IR468"/>
    <mergeCell ref="IS467:IS468"/>
    <mergeCell ref="IT467:IT468"/>
    <mergeCell ref="IV467:IV468"/>
    <mergeCell ref="IX467:IX468"/>
    <mergeCell ref="FY469:FY470"/>
    <mergeCell ref="IR469:IR470"/>
    <mergeCell ref="IS469:IS470"/>
    <mergeCell ref="IT469:IT470"/>
    <mergeCell ref="IV469:IV470"/>
    <mergeCell ref="IX469:IX470"/>
    <mergeCell ref="FY472:FY473"/>
    <mergeCell ref="IR472:IR473"/>
    <mergeCell ref="IS472:IS473"/>
    <mergeCell ref="IT472:IT473"/>
    <mergeCell ref="IV472:IV473"/>
    <mergeCell ref="IX472:IX473"/>
    <mergeCell ref="FY474:FY475"/>
    <mergeCell ref="IR474:IR475"/>
    <mergeCell ref="IS474:IS475"/>
    <mergeCell ref="IT474:IT475"/>
    <mergeCell ref="IV474:IV475"/>
    <mergeCell ref="IK495:IK496"/>
    <mergeCell ref="IX474:IX475"/>
    <mergeCell ref="IR490:IR491"/>
    <mergeCell ref="IS490:IS491"/>
    <mergeCell ref="IT490:IT491"/>
    <mergeCell ref="IV490:IV491"/>
    <mergeCell ref="IX490:IX491"/>
    <mergeCell ref="IN477:IN480"/>
    <mergeCell ref="IF477:IF480"/>
    <mergeCell ref="IG477:IG478"/>
    <mergeCell ref="IH477:IH480"/>
    <mergeCell ref="IK477:IK478"/>
    <mergeCell ref="IL477:IL480"/>
    <mergeCell ref="IM477:IM478"/>
    <mergeCell ref="IG479:IG480"/>
    <mergeCell ref="IK479:IK480"/>
    <mergeCell ref="IM479:IM480"/>
    <mergeCell ref="GE485:GE488"/>
    <mergeCell ref="GF485:GF488"/>
    <mergeCell ref="GG485:GG488"/>
    <mergeCell ref="GH485:GH488"/>
    <mergeCell ref="GK485:GK488"/>
    <mergeCell ref="IB485:IB487"/>
    <mergeCell ref="IC485:IC486"/>
    <mergeCell ref="IF485:IF488"/>
    <mergeCell ref="IG485:IG486"/>
    <mergeCell ref="HZ486:HZ487"/>
    <mergeCell ref="ID486:ID487"/>
    <mergeCell ref="IK487:IK488"/>
    <mergeCell ref="IM487:IM488"/>
    <mergeCell ref="IK490:IK491"/>
    <mergeCell ref="IL490:IL493"/>
    <mergeCell ref="FY492:FY493"/>
    <mergeCell ref="IR492:IR493"/>
    <mergeCell ref="IS492:IS493"/>
    <mergeCell ref="IT492:IT493"/>
    <mergeCell ref="IV492:IV493"/>
    <mergeCell ref="IB490:IB492"/>
    <mergeCell ref="IC490:IC491"/>
    <mergeCell ref="IF490:IF493"/>
    <mergeCell ref="IG490:IG491"/>
    <mergeCell ref="IH490:IH493"/>
    <mergeCell ref="IX492:IX493"/>
    <mergeCell ref="IP477:IP478"/>
    <mergeCell ref="IQ477:IQ478"/>
    <mergeCell ref="IU477:IU478"/>
    <mergeCell ref="IW477:IW478"/>
    <mergeCell ref="IP490:IP491"/>
    <mergeCell ref="IQ490:IQ491"/>
    <mergeCell ref="IU490:IU491"/>
    <mergeCell ref="IW490:IW491"/>
    <mergeCell ref="IH485:IH488"/>
    <mergeCell ref="IK485:IK486"/>
    <mergeCell ref="IL485:IL488"/>
    <mergeCell ref="IM485:IM486"/>
    <mergeCell ref="IN485:IN488"/>
    <mergeCell ref="GM486:GM487"/>
    <mergeCell ref="GN486:GN487"/>
    <mergeCell ref="GP486:GP487"/>
    <mergeCell ref="GQ486:GQ487"/>
    <mergeCell ref="HH486:HH487"/>
    <mergeCell ref="HI486:HI487"/>
    <mergeCell ref="HJ486:HJ487"/>
    <mergeCell ref="HK486:HK487"/>
    <mergeCell ref="HL486:HL487"/>
    <mergeCell ref="IR495:IR496"/>
    <mergeCell ref="IS495:IS496"/>
    <mergeCell ref="IT495:IT496"/>
    <mergeCell ref="IV495:IV496"/>
    <mergeCell ref="IX495:IX496"/>
    <mergeCell ref="FY497:FY498"/>
    <mergeCell ref="IR497:IR498"/>
    <mergeCell ref="IS497:IS498"/>
    <mergeCell ref="IT497:IT498"/>
    <mergeCell ref="IV497:IV498"/>
    <mergeCell ref="IX497:IX498"/>
    <mergeCell ref="FY500:FY501"/>
    <mergeCell ref="IR500:IR501"/>
    <mergeCell ref="IS500:IS501"/>
    <mergeCell ref="IT500:IT501"/>
    <mergeCell ref="IV500:IV501"/>
    <mergeCell ref="IX500:IX501"/>
    <mergeCell ref="FY502:FY503"/>
    <mergeCell ref="IR502:IR503"/>
    <mergeCell ref="IS502:IS503"/>
    <mergeCell ref="IT502:IT503"/>
    <mergeCell ref="IV502:IV503"/>
    <mergeCell ref="IX502:IX503"/>
    <mergeCell ref="IN495:IN498"/>
    <mergeCell ref="GF500:GF503"/>
    <mergeCell ref="GG500:GG503"/>
    <mergeCell ref="GH500:GH503"/>
    <mergeCell ref="GK500:GK503"/>
    <mergeCell ref="IB500:IB502"/>
    <mergeCell ref="IC500:IC501"/>
    <mergeCell ref="IF500:IF503"/>
    <mergeCell ref="IG500:IG501"/>
    <mergeCell ref="IH500:IH503"/>
    <mergeCell ref="IK500:IK501"/>
    <mergeCell ref="IL500:IL503"/>
    <mergeCell ref="IM500:IM501"/>
    <mergeCell ref="IN500:IN503"/>
    <mergeCell ref="GM501:GM502"/>
    <mergeCell ref="GN501:GN502"/>
    <mergeCell ref="GP501:GP502"/>
    <mergeCell ref="GQ501:GQ502"/>
    <mergeCell ref="HH501:HH502"/>
    <mergeCell ref="HI501:HI502"/>
    <mergeCell ref="HJ501:HJ502"/>
    <mergeCell ref="HK501:HK502"/>
    <mergeCell ref="HL501:HL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IC502:IC503"/>
    <mergeCell ref="GM496:GM497"/>
    <mergeCell ref="GQ496:GQ497"/>
    <mergeCell ref="GG495:GG498"/>
    <mergeCell ref="GH495:GH498"/>
    <mergeCell ref="IH495:IH498"/>
    <mergeCell ref="IL495:IL498"/>
    <mergeCell ref="IR510:IR511"/>
    <mergeCell ref="IS510:IS511"/>
    <mergeCell ref="IT510:IT511"/>
    <mergeCell ref="IV510:IV511"/>
    <mergeCell ref="IX510:IX511"/>
    <mergeCell ref="FY512:FY513"/>
    <mergeCell ref="IR512:IR513"/>
    <mergeCell ref="IS512:IS513"/>
    <mergeCell ref="IT512:IT513"/>
    <mergeCell ref="IV512:IV513"/>
    <mergeCell ref="IX512:IX513"/>
    <mergeCell ref="FY515:FY516"/>
    <mergeCell ref="IR515:IR516"/>
    <mergeCell ref="IS515:IS516"/>
    <mergeCell ref="IT515:IT516"/>
    <mergeCell ref="IV515:IV516"/>
    <mergeCell ref="IX515:IX516"/>
    <mergeCell ref="IH505:IH508"/>
    <mergeCell ref="IK505:IK506"/>
    <mergeCell ref="IL505:IL508"/>
    <mergeCell ref="IM505:IM506"/>
    <mergeCell ref="IN505:IN508"/>
    <mergeCell ref="IN510:IN513"/>
    <mergeCell ref="HN511:HN512"/>
    <mergeCell ref="HO511:HO512"/>
    <mergeCell ref="HP511:HP512"/>
    <mergeCell ref="HQ511:HQ512"/>
    <mergeCell ref="HR511:HR512"/>
    <mergeCell ref="HS511:HS512"/>
    <mergeCell ref="HT511:HT512"/>
    <mergeCell ref="HU511:HU512"/>
    <mergeCell ref="HV511:HV512"/>
    <mergeCell ref="HW511:HW512"/>
    <mergeCell ref="HX511:HX512"/>
    <mergeCell ref="HY511:HY512"/>
    <mergeCell ref="HZ511:HZ512"/>
    <mergeCell ref="ID511:ID512"/>
    <mergeCell ref="ID506:ID507"/>
    <mergeCell ref="GK505:GK508"/>
    <mergeCell ref="IB505:IB507"/>
    <mergeCell ref="IC505:IC506"/>
    <mergeCell ref="IF510:IF513"/>
    <mergeCell ref="IG510:IG511"/>
    <mergeCell ref="HZ506:HZ507"/>
    <mergeCell ref="HK511:HK512"/>
    <mergeCell ref="HL511:HL512"/>
    <mergeCell ref="HM511:HM512"/>
    <mergeCell ref="IK507:IK508"/>
    <mergeCell ref="IM507:IM508"/>
    <mergeCell ref="IC507:IC508"/>
    <mergeCell ref="IH510:IH513"/>
    <mergeCell ref="IK510:IK511"/>
    <mergeCell ref="IK515:IK516"/>
    <mergeCell ref="IL515:IL518"/>
    <mergeCell ref="IM515:IM516"/>
    <mergeCell ref="IC515:IC516"/>
    <mergeCell ref="IP507:IP508"/>
    <mergeCell ref="IQ507:IQ508"/>
    <mergeCell ref="IR517:IR518"/>
    <mergeCell ref="IS517:IS518"/>
    <mergeCell ref="IT517:IT518"/>
    <mergeCell ref="IV517:IV518"/>
    <mergeCell ref="IX517:IX518"/>
    <mergeCell ref="IR520:IR521"/>
    <mergeCell ref="IS520:IS521"/>
    <mergeCell ref="IT520:IT521"/>
    <mergeCell ref="IV520:IV521"/>
    <mergeCell ref="IX520:IX521"/>
    <mergeCell ref="FY522:FY523"/>
    <mergeCell ref="IR522:IR523"/>
    <mergeCell ref="IS522:IS523"/>
    <mergeCell ref="IT522:IT523"/>
    <mergeCell ref="IV522:IV523"/>
    <mergeCell ref="IX522:IX523"/>
    <mergeCell ref="FY525:FY526"/>
    <mergeCell ref="IR525:IR526"/>
    <mergeCell ref="IS525:IS526"/>
    <mergeCell ref="IT525:IT526"/>
    <mergeCell ref="IV525:IV526"/>
    <mergeCell ref="IX525:IX526"/>
    <mergeCell ref="FY527:FY528"/>
    <mergeCell ref="IR527:IR528"/>
    <mergeCell ref="IS527:IS528"/>
    <mergeCell ref="IT527:IT528"/>
    <mergeCell ref="IV527:IV528"/>
    <mergeCell ref="IX527:IX528"/>
    <mergeCell ref="IG517:IG518"/>
    <mergeCell ref="IK517:IK518"/>
    <mergeCell ref="GF525:GF528"/>
    <mergeCell ref="GG525:GG528"/>
    <mergeCell ref="GH525:GH528"/>
    <mergeCell ref="GK525:GK528"/>
    <mergeCell ref="IB525:IB527"/>
    <mergeCell ref="IC525:IC526"/>
    <mergeCell ref="IF525:IF528"/>
    <mergeCell ref="IG525:IG526"/>
    <mergeCell ref="IH525:IH528"/>
    <mergeCell ref="IK525:IK526"/>
    <mergeCell ref="IL525:IL528"/>
    <mergeCell ref="IM525:IM526"/>
    <mergeCell ref="IN525:IN528"/>
    <mergeCell ref="GM526:GM527"/>
    <mergeCell ref="GN526:GN527"/>
    <mergeCell ref="GP526:GP527"/>
    <mergeCell ref="GQ526:GQ527"/>
    <mergeCell ref="HH526:HH527"/>
    <mergeCell ref="HI526:HI527"/>
    <mergeCell ref="HJ526:HJ527"/>
    <mergeCell ref="HK526:HK527"/>
    <mergeCell ref="HL526:HL527"/>
    <mergeCell ref="HM526:HM527"/>
    <mergeCell ref="HN526:HN527"/>
    <mergeCell ref="HO526:HO527"/>
    <mergeCell ref="HP526:HP527"/>
    <mergeCell ref="HQ526:HQ527"/>
    <mergeCell ref="HR526:HR527"/>
    <mergeCell ref="IN515:IN518"/>
    <mergeCell ref="HI516:HI517"/>
    <mergeCell ref="HJ516:HJ517"/>
    <mergeCell ref="HK516:HK517"/>
    <mergeCell ref="HL516:HL517"/>
    <mergeCell ref="IN520:IN523"/>
    <mergeCell ref="ID526:ID527"/>
    <mergeCell ref="IC527:IC528"/>
    <mergeCell ref="IG527:IG528"/>
    <mergeCell ref="HY526:HY527"/>
    <mergeCell ref="HZ526:HZ527"/>
    <mergeCell ref="IR530:IR531"/>
    <mergeCell ref="IS530:IS531"/>
    <mergeCell ref="IT530:IT531"/>
    <mergeCell ref="IV530:IV531"/>
    <mergeCell ref="IX530:IX531"/>
    <mergeCell ref="FY532:FY533"/>
    <mergeCell ref="IR532:IR533"/>
    <mergeCell ref="IS532:IS533"/>
    <mergeCell ref="IT532:IT533"/>
    <mergeCell ref="IV532:IV533"/>
    <mergeCell ref="IX532:IX533"/>
    <mergeCell ref="FY535:FY536"/>
    <mergeCell ref="IR535:IR536"/>
    <mergeCell ref="IS535:IS536"/>
    <mergeCell ref="IT535:IT536"/>
    <mergeCell ref="IV535:IV536"/>
    <mergeCell ref="IX535:IX536"/>
    <mergeCell ref="FY537:FY538"/>
    <mergeCell ref="IR537:IR538"/>
    <mergeCell ref="IS537:IS538"/>
    <mergeCell ref="IT537:IT538"/>
    <mergeCell ref="IV537:IV538"/>
    <mergeCell ref="IX537:IX538"/>
    <mergeCell ref="FY540:FY541"/>
    <mergeCell ref="IR540:IR541"/>
    <mergeCell ref="IS540:IS541"/>
    <mergeCell ref="IT540:IT541"/>
    <mergeCell ref="IV540:IV541"/>
    <mergeCell ref="IX540:IX541"/>
    <mergeCell ref="IH530:IH533"/>
    <mergeCell ref="IK530:IK531"/>
    <mergeCell ref="IL530:IL533"/>
    <mergeCell ref="IM530:IM531"/>
    <mergeCell ref="IN530:IN533"/>
    <mergeCell ref="IN535:IN538"/>
    <mergeCell ref="HN536:HN537"/>
    <mergeCell ref="HO536:HO537"/>
    <mergeCell ref="HP536:HP537"/>
    <mergeCell ref="HQ536:HQ537"/>
    <mergeCell ref="HR536:HR537"/>
    <mergeCell ref="HS536:HS537"/>
    <mergeCell ref="HT536:HT537"/>
    <mergeCell ref="HU536:HU537"/>
    <mergeCell ref="HV536:HV537"/>
    <mergeCell ref="HW536:HW537"/>
    <mergeCell ref="HX536:HX537"/>
    <mergeCell ref="HY536:HY537"/>
    <mergeCell ref="HZ536:HZ537"/>
    <mergeCell ref="ID536:ID537"/>
    <mergeCell ref="ID531:ID532"/>
    <mergeCell ref="GK530:GK533"/>
    <mergeCell ref="IB530:IB532"/>
    <mergeCell ref="IC530:IC531"/>
    <mergeCell ref="IF535:IF538"/>
    <mergeCell ref="IG535:IG536"/>
    <mergeCell ref="HZ531:HZ532"/>
    <mergeCell ref="HK536:HK537"/>
    <mergeCell ref="HL536:HL537"/>
    <mergeCell ref="HM536:HM537"/>
    <mergeCell ref="FY530:FY531"/>
    <mergeCell ref="IK532:IK533"/>
    <mergeCell ref="IM532:IM533"/>
    <mergeCell ref="IC532:IC533"/>
    <mergeCell ref="IP537:IP538"/>
    <mergeCell ref="IN563:IN566"/>
    <mergeCell ref="IK565:IK566"/>
    <mergeCell ref="IM565:IM566"/>
    <mergeCell ref="IH563:IH566"/>
    <mergeCell ref="IK563:IK564"/>
    <mergeCell ref="IL563:IL566"/>
    <mergeCell ref="IF563:IF566"/>
    <mergeCell ref="GE555:GE558"/>
    <mergeCell ref="GF555:GF558"/>
    <mergeCell ref="GG555:GG558"/>
    <mergeCell ref="GH555:GH558"/>
    <mergeCell ref="GK555:GK558"/>
    <mergeCell ref="IB555:IB557"/>
    <mergeCell ref="HM556:HM557"/>
    <mergeCell ref="HW556:HW557"/>
    <mergeCell ref="HX556:HX557"/>
    <mergeCell ref="HG556:HG557"/>
    <mergeCell ref="IP547:IP548"/>
    <mergeCell ref="IQ547:IQ548"/>
    <mergeCell ref="IU547:IU548"/>
    <mergeCell ref="HV556:HV557"/>
    <mergeCell ref="IU550:IU551"/>
    <mergeCell ref="FY565:FY566"/>
    <mergeCell ref="IR565:IR566"/>
    <mergeCell ref="IS565:IS566"/>
    <mergeCell ref="IT565:IT566"/>
    <mergeCell ref="GE545:GE548"/>
    <mergeCell ref="IL550:IL553"/>
    <mergeCell ref="IK552:IK553"/>
    <mergeCell ref="IP550:IP551"/>
    <mergeCell ref="IQ550:IQ551"/>
    <mergeCell ref="HJ556:HJ557"/>
    <mergeCell ref="HK556:HK557"/>
    <mergeCell ref="HL556:HL557"/>
    <mergeCell ref="FY557:FY558"/>
    <mergeCell ref="HY556:HY557"/>
    <mergeCell ref="IC550:IC551"/>
    <mergeCell ref="IF550:IF553"/>
    <mergeCell ref="IG550:IG551"/>
    <mergeCell ref="GM564:GM565"/>
    <mergeCell ref="GN564:GN565"/>
    <mergeCell ref="GP564:GP565"/>
    <mergeCell ref="GQ564:GQ565"/>
    <mergeCell ref="HH564:HH565"/>
    <mergeCell ref="HI564:HI565"/>
    <mergeCell ref="HJ564:HJ565"/>
    <mergeCell ref="HK564:HK565"/>
    <mergeCell ref="HL564:HL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GM556:GM557"/>
    <mergeCell ref="GN556:GN557"/>
    <mergeCell ref="GP556:GP557"/>
    <mergeCell ref="GQ556:GQ557"/>
    <mergeCell ref="IX565:IX566"/>
    <mergeCell ref="FY568:FY569"/>
    <mergeCell ref="IR568:IR569"/>
    <mergeCell ref="IS568:IS569"/>
    <mergeCell ref="IT568:IT569"/>
    <mergeCell ref="IV568:IV569"/>
    <mergeCell ref="IX568:IX569"/>
    <mergeCell ref="IC555:IC556"/>
    <mergeCell ref="IC565:IC566"/>
    <mergeCell ref="IG565:IG566"/>
    <mergeCell ref="GF568:GF571"/>
    <mergeCell ref="GG568:GG571"/>
    <mergeCell ref="GH568:GH571"/>
    <mergeCell ref="GK568:GK571"/>
    <mergeCell ref="IB568:IB570"/>
    <mergeCell ref="IC568:IC569"/>
    <mergeCell ref="IF568:IF571"/>
    <mergeCell ref="IG568:IG569"/>
    <mergeCell ref="IH568:IH571"/>
    <mergeCell ref="IK568:IK569"/>
    <mergeCell ref="IL568:IL571"/>
    <mergeCell ref="IM568:IM569"/>
    <mergeCell ref="IN568:IN571"/>
    <mergeCell ref="GM569:GM570"/>
    <mergeCell ref="GN569:GN570"/>
    <mergeCell ref="GP569:GP570"/>
    <mergeCell ref="GQ569:GQ570"/>
    <mergeCell ref="HH569:HH570"/>
    <mergeCell ref="HI569:HI570"/>
    <mergeCell ref="HJ569:HJ570"/>
    <mergeCell ref="HK569:HK570"/>
    <mergeCell ref="HL569:HL570"/>
    <mergeCell ref="HM569:HM570"/>
    <mergeCell ref="HN569:HN570"/>
    <mergeCell ref="HO569:HO570"/>
    <mergeCell ref="HP569:HP570"/>
    <mergeCell ref="HQ569:HQ570"/>
    <mergeCell ref="IM557:IM558"/>
    <mergeCell ref="IN555:IN558"/>
    <mergeCell ref="HS556:HS557"/>
    <mergeCell ref="HT556:HT557"/>
    <mergeCell ref="HU556:HU557"/>
    <mergeCell ref="IR570:IR571"/>
    <mergeCell ref="IS570:IS571"/>
    <mergeCell ref="IT570:IT571"/>
    <mergeCell ref="IV570:IV571"/>
    <mergeCell ref="IX570:IX571"/>
    <mergeCell ref="HI556:HI557"/>
    <mergeCell ref="IP555:IP556"/>
    <mergeCell ref="IQ555:IQ556"/>
    <mergeCell ref="IU555:IU556"/>
    <mergeCell ref="IW555:IW556"/>
    <mergeCell ref="IP568:IP569"/>
    <mergeCell ref="IQ568:IQ569"/>
    <mergeCell ref="IU568:IU569"/>
    <mergeCell ref="IW568:IW569"/>
    <mergeCell ref="FY563:FY564"/>
    <mergeCell ref="IR563:IR564"/>
    <mergeCell ref="IS563:IS564"/>
    <mergeCell ref="IT563:IT564"/>
    <mergeCell ref="IV563:IV564"/>
    <mergeCell ref="FY555:FY556"/>
    <mergeCell ref="IV565:IV566"/>
    <mergeCell ref="HN556:HN557"/>
    <mergeCell ref="FY573:FY574"/>
    <mergeCell ref="IR573:IR574"/>
    <mergeCell ref="IS573:IS574"/>
    <mergeCell ref="IT573:IT574"/>
    <mergeCell ref="IV573:IV574"/>
    <mergeCell ref="IX573:IX574"/>
    <mergeCell ref="FY575:FY576"/>
    <mergeCell ref="IR575:IR576"/>
    <mergeCell ref="IS575:IS576"/>
    <mergeCell ref="IT575:IT576"/>
    <mergeCell ref="IV575:IV576"/>
    <mergeCell ref="IX575:IX576"/>
    <mergeCell ref="FY578:FY579"/>
    <mergeCell ref="IR578:IR579"/>
    <mergeCell ref="IS578:IS579"/>
    <mergeCell ref="IT578:IT579"/>
    <mergeCell ref="IV578:IV579"/>
    <mergeCell ref="IX578:IX579"/>
    <mergeCell ref="FY580:FY581"/>
    <mergeCell ref="IR580:IR581"/>
    <mergeCell ref="IS580:IS581"/>
    <mergeCell ref="IT580:IT581"/>
    <mergeCell ref="IV580:IV581"/>
    <mergeCell ref="IX580:IX581"/>
    <mergeCell ref="HR569:HR570"/>
    <mergeCell ref="HS569:HS570"/>
    <mergeCell ref="HT569:HT570"/>
    <mergeCell ref="HU569:HU570"/>
    <mergeCell ref="HV569:HV570"/>
    <mergeCell ref="HW569:HW570"/>
    <mergeCell ref="HX569:HX570"/>
    <mergeCell ref="HY569:HY570"/>
    <mergeCell ref="HZ569:HZ570"/>
    <mergeCell ref="ID569:ID570"/>
    <mergeCell ref="IK575:IK576"/>
    <mergeCell ref="IM575:IM576"/>
    <mergeCell ref="IN578:IN581"/>
    <mergeCell ref="IM580:IM581"/>
    <mergeCell ref="IG570:IG571"/>
    <mergeCell ref="IK570:IK571"/>
    <mergeCell ref="IM570:IM571"/>
    <mergeCell ref="GG573:GG576"/>
    <mergeCell ref="GH573:GH576"/>
    <mergeCell ref="GK573:GK576"/>
    <mergeCell ref="IB573:IB575"/>
    <mergeCell ref="IC573:IC574"/>
    <mergeCell ref="IF573:IF576"/>
    <mergeCell ref="IG573:IG574"/>
    <mergeCell ref="IH573:IH576"/>
    <mergeCell ref="IK573:IK574"/>
    <mergeCell ref="IL573:IL576"/>
    <mergeCell ref="IM573:IM574"/>
    <mergeCell ref="IN573:IN576"/>
    <mergeCell ref="GM574:GM575"/>
    <mergeCell ref="IG575:IG576"/>
    <mergeCell ref="GD578:GD581"/>
    <mergeCell ref="GE578:GE581"/>
    <mergeCell ref="GF578:GF581"/>
    <mergeCell ref="GG578:GG581"/>
    <mergeCell ref="GK578:GK581"/>
    <mergeCell ref="IB578:IB580"/>
    <mergeCell ref="IC578:IC579"/>
    <mergeCell ref="IF578:IF581"/>
    <mergeCell ref="IG578:IG579"/>
    <mergeCell ref="IR583:IR584"/>
    <mergeCell ref="IS583:IS584"/>
    <mergeCell ref="IT583:IT584"/>
    <mergeCell ref="IV583:IV584"/>
    <mergeCell ref="IX583:IX584"/>
    <mergeCell ref="FY585:FY586"/>
    <mergeCell ref="IR585:IR586"/>
    <mergeCell ref="IS585:IS586"/>
    <mergeCell ref="IT585:IT586"/>
    <mergeCell ref="IV585:IV586"/>
    <mergeCell ref="IX585:IX586"/>
    <mergeCell ref="FY588:FY589"/>
    <mergeCell ref="IR588:IR589"/>
    <mergeCell ref="IS588:IS589"/>
    <mergeCell ref="IT588:IT589"/>
    <mergeCell ref="IV588:IV589"/>
    <mergeCell ref="IX588:IX589"/>
    <mergeCell ref="FY590:FY591"/>
    <mergeCell ref="IR590:IR591"/>
    <mergeCell ref="IS590:IS591"/>
    <mergeCell ref="IT590:IT591"/>
    <mergeCell ref="IV590:IV591"/>
    <mergeCell ref="IX590:IX591"/>
    <mergeCell ref="FY593:FY594"/>
    <mergeCell ref="IR593:IR594"/>
    <mergeCell ref="IS593:IS594"/>
    <mergeCell ref="IT593:IT594"/>
    <mergeCell ref="IV593:IV594"/>
    <mergeCell ref="IX593:IX594"/>
    <mergeCell ref="IG585:IG586"/>
    <mergeCell ref="IK585:IK586"/>
    <mergeCell ref="IM585:IM586"/>
    <mergeCell ref="IH588:IH591"/>
    <mergeCell ref="IK588:IK589"/>
    <mergeCell ref="IL588:IL591"/>
    <mergeCell ref="IM588:IM589"/>
    <mergeCell ref="IN588:IN591"/>
    <mergeCell ref="GM589:GM590"/>
    <mergeCell ref="GN589:GN590"/>
    <mergeCell ref="GP589:GP590"/>
    <mergeCell ref="GQ589:GQ590"/>
    <mergeCell ref="HH589:HH590"/>
    <mergeCell ref="HI589:HI590"/>
    <mergeCell ref="HJ589:HJ590"/>
    <mergeCell ref="HK589:HK590"/>
    <mergeCell ref="HL589:HL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IN583:IN586"/>
    <mergeCell ref="ID589:ID590"/>
    <mergeCell ref="IG593:IG594"/>
    <mergeCell ref="GE588:GE591"/>
    <mergeCell ref="GF588:GF591"/>
    <mergeCell ref="IR595:IR596"/>
    <mergeCell ref="IS595:IS596"/>
    <mergeCell ref="IT595:IT596"/>
    <mergeCell ref="IV595:IV596"/>
    <mergeCell ref="IX595:IX596"/>
    <mergeCell ref="FY598:FY599"/>
    <mergeCell ref="IR598:IR599"/>
    <mergeCell ref="IS598:IS599"/>
    <mergeCell ref="IT598:IT599"/>
    <mergeCell ref="IV598:IV599"/>
    <mergeCell ref="IX598:IX599"/>
    <mergeCell ref="FY600:FY601"/>
    <mergeCell ref="IR600:IR601"/>
    <mergeCell ref="IS600:IS601"/>
    <mergeCell ref="IT600:IT601"/>
    <mergeCell ref="IV600:IV601"/>
    <mergeCell ref="IX600:IX601"/>
    <mergeCell ref="FY603:FY604"/>
    <mergeCell ref="IR603:IR604"/>
    <mergeCell ref="IS603:IS604"/>
    <mergeCell ref="IT603:IT604"/>
    <mergeCell ref="IV603:IV604"/>
    <mergeCell ref="IX603:IX604"/>
    <mergeCell ref="FY605:FY606"/>
    <mergeCell ref="IR605:IR606"/>
    <mergeCell ref="IS605:IS606"/>
    <mergeCell ref="IT605:IT606"/>
    <mergeCell ref="IV605:IV606"/>
    <mergeCell ref="IX605:IX606"/>
    <mergeCell ref="IG595:IG596"/>
    <mergeCell ref="IK595:IK596"/>
    <mergeCell ref="GF603:GF606"/>
    <mergeCell ref="GG603:GG606"/>
    <mergeCell ref="GH603:GH606"/>
    <mergeCell ref="GK603:GK606"/>
    <mergeCell ref="IB603:IB605"/>
    <mergeCell ref="IC603:IC604"/>
    <mergeCell ref="IF603:IF606"/>
    <mergeCell ref="IG603:IG604"/>
    <mergeCell ref="IH603:IH606"/>
    <mergeCell ref="IK603:IK604"/>
    <mergeCell ref="IL603:IL606"/>
    <mergeCell ref="IM603:IM604"/>
    <mergeCell ref="IN603:IN606"/>
    <mergeCell ref="GM604:GM605"/>
    <mergeCell ref="GN604:GN605"/>
    <mergeCell ref="GP604:GP605"/>
    <mergeCell ref="GQ604:GQ605"/>
    <mergeCell ref="HH604:HH605"/>
    <mergeCell ref="HI604:HI605"/>
    <mergeCell ref="HJ604:HJ605"/>
    <mergeCell ref="HK604:HK605"/>
    <mergeCell ref="HL604:HL605"/>
    <mergeCell ref="HM604:HM605"/>
    <mergeCell ref="HN604:HN605"/>
    <mergeCell ref="HO604:HO605"/>
    <mergeCell ref="HP604:HP605"/>
    <mergeCell ref="HQ604:HQ605"/>
    <mergeCell ref="HR604:HR605"/>
    <mergeCell ref="IL593:IL596"/>
    <mergeCell ref="IM593:IM594"/>
    <mergeCell ref="IN593:IN596"/>
    <mergeCell ref="IH593:IH596"/>
    <mergeCell ref="IN598:IN601"/>
    <mergeCell ref="IR608:IR609"/>
    <mergeCell ref="IS608:IS609"/>
    <mergeCell ref="IT608:IT609"/>
    <mergeCell ref="IV608:IV609"/>
    <mergeCell ref="IX608:IX609"/>
    <mergeCell ref="FY610:FY611"/>
    <mergeCell ref="IR610:IR611"/>
    <mergeCell ref="IS610:IS611"/>
    <mergeCell ref="IT610:IT611"/>
    <mergeCell ref="IV610:IV611"/>
    <mergeCell ref="IX610:IX611"/>
    <mergeCell ref="FY613:FY614"/>
    <mergeCell ref="IR613:IR614"/>
    <mergeCell ref="IS613:IS614"/>
    <mergeCell ref="IT613:IT614"/>
    <mergeCell ref="IV613:IV614"/>
    <mergeCell ref="IX613:IX614"/>
    <mergeCell ref="FY615:FY616"/>
    <mergeCell ref="IR615:IR616"/>
    <mergeCell ref="IS615:IS616"/>
    <mergeCell ref="IT615:IT616"/>
    <mergeCell ref="IV615:IV616"/>
    <mergeCell ref="IX615:IX616"/>
    <mergeCell ref="FY618:FY619"/>
    <mergeCell ref="IR618:IR619"/>
    <mergeCell ref="IS618:IS619"/>
    <mergeCell ref="IT618:IT619"/>
    <mergeCell ref="IV618:IV619"/>
    <mergeCell ref="IX618:IX619"/>
    <mergeCell ref="IH608:IH611"/>
    <mergeCell ref="IK608:IK609"/>
    <mergeCell ref="IL608:IL611"/>
    <mergeCell ref="IM608:IM609"/>
    <mergeCell ref="IN608:IN611"/>
    <mergeCell ref="IN613:IN616"/>
    <mergeCell ref="HN614:HN615"/>
    <mergeCell ref="HO614:HO615"/>
    <mergeCell ref="HP614:HP615"/>
    <mergeCell ref="HQ614:HQ615"/>
    <mergeCell ref="HR614:HR615"/>
    <mergeCell ref="HS614:HS615"/>
    <mergeCell ref="HT614:HT615"/>
    <mergeCell ref="HU614:HU615"/>
    <mergeCell ref="HV614:HV615"/>
    <mergeCell ref="HW614:HW615"/>
    <mergeCell ref="HX614:HX615"/>
    <mergeCell ref="HY614:HY615"/>
    <mergeCell ref="HZ614:HZ615"/>
    <mergeCell ref="ID614:ID615"/>
    <mergeCell ref="ID609:ID610"/>
    <mergeCell ref="GK608:GK611"/>
    <mergeCell ref="IB608:IB610"/>
    <mergeCell ref="IC608:IC609"/>
    <mergeCell ref="IF613:IF616"/>
    <mergeCell ref="IG613:IG614"/>
    <mergeCell ref="HZ609:HZ610"/>
    <mergeCell ref="HK614:HK615"/>
    <mergeCell ref="HL614:HL615"/>
    <mergeCell ref="HM614:HM615"/>
    <mergeCell ref="IK610:IK611"/>
    <mergeCell ref="GM609:GM610"/>
    <mergeCell ref="GN609:GN610"/>
    <mergeCell ref="GP609:GP610"/>
    <mergeCell ref="GQ609:GQ610"/>
    <mergeCell ref="IR620:IR621"/>
    <mergeCell ref="IS620:IS621"/>
    <mergeCell ref="IT620:IT621"/>
    <mergeCell ref="IV620:IV621"/>
    <mergeCell ref="IX620:IX621"/>
    <mergeCell ref="FY623:FY624"/>
    <mergeCell ref="IR623:IR624"/>
    <mergeCell ref="IS623:IS624"/>
    <mergeCell ref="IT623:IT624"/>
    <mergeCell ref="IV623:IV624"/>
    <mergeCell ref="IX623:IX624"/>
    <mergeCell ref="FY625:FY626"/>
    <mergeCell ref="IR625:IR626"/>
    <mergeCell ref="IS625:IS626"/>
    <mergeCell ref="IT625:IT626"/>
    <mergeCell ref="IV625:IV626"/>
    <mergeCell ref="IX625:IX626"/>
    <mergeCell ref="FY628:FY629"/>
    <mergeCell ref="IR628:IR629"/>
    <mergeCell ref="IS628:IS629"/>
    <mergeCell ref="IT628:IT629"/>
    <mergeCell ref="IV628:IV629"/>
    <mergeCell ref="IX628:IX629"/>
    <mergeCell ref="FY630:FY631"/>
    <mergeCell ref="IR630:IR631"/>
    <mergeCell ref="IS630:IS631"/>
    <mergeCell ref="IT630:IT631"/>
    <mergeCell ref="IV630:IV631"/>
    <mergeCell ref="IX630:IX631"/>
    <mergeCell ref="IG620:IG621"/>
    <mergeCell ref="IK620:IK621"/>
    <mergeCell ref="GE628:GE631"/>
    <mergeCell ref="GF628:GF631"/>
    <mergeCell ref="GG628:GG631"/>
    <mergeCell ref="GH628:GH631"/>
    <mergeCell ref="GK628:GK631"/>
    <mergeCell ref="IB628:IB630"/>
    <mergeCell ref="IC628:IC629"/>
    <mergeCell ref="IF628:IF631"/>
    <mergeCell ref="IG628:IG629"/>
    <mergeCell ref="IH628:IH631"/>
    <mergeCell ref="IK628:IK629"/>
    <mergeCell ref="IL628:IL631"/>
    <mergeCell ref="IM628:IM629"/>
    <mergeCell ref="IN628:IN631"/>
    <mergeCell ref="GM629:GM630"/>
    <mergeCell ref="GN629:GN630"/>
    <mergeCell ref="GP629:GP630"/>
    <mergeCell ref="GQ629:GQ630"/>
    <mergeCell ref="HH629:HH630"/>
    <mergeCell ref="HI629:HI630"/>
    <mergeCell ref="HJ629:HJ630"/>
    <mergeCell ref="HK629:HK630"/>
    <mergeCell ref="HL629:HL630"/>
    <mergeCell ref="HM629:HM630"/>
    <mergeCell ref="HN629:HN630"/>
    <mergeCell ref="HO629:HO630"/>
    <mergeCell ref="HP629:HP630"/>
    <mergeCell ref="HQ629:HQ630"/>
    <mergeCell ref="IN618:IN621"/>
    <mergeCell ref="GM619:GM620"/>
    <mergeCell ref="GN619:GN620"/>
    <mergeCell ref="GP619:GP620"/>
    <mergeCell ref="GQ619:GQ620"/>
    <mergeCell ref="IR633:IR634"/>
    <mergeCell ref="IS633:IS634"/>
    <mergeCell ref="IT633:IT634"/>
    <mergeCell ref="IV633:IV634"/>
    <mergeCell ref="IX633:IX634"/>
    <mergeCell ref="FY635:FY636"/>
    <mergeCell ref="IR635:IR636"/>
    <mergeCell ref="IS635:IS636"/>
    <mergeCell ref="IT635:IT636"/>
    <mergeCell ref="IV635:IV636"/>
    <mergeCell ref="IX635:IX636"/>
    <mergeCell ref="FY641:FY642"/>
    <mergeCell ref="IR641:IR642"/>
    <mergeCell ref="IS641:IS642"/>
    <mergeCell ref="IT641:IT642"/>
    <mergeCell ref="IV641:IV642"/>
    <mergeCell ref="IX641:IX642"/>
    <mergeCell ref="FY643:FY644"/>
    <mergeCell ref="IR643:IR644"/>
    <mergeCell ref="IS643:IS644"/>
    <mergeCell ref="IT643:IT644"/>
    <mergeCell ref="IV643:IV644"/>
    <mergeCell ref="IX643:IX644"/>
    <mergeCell ref="FY646:FY647"/>
    <mergeCell ref="IR646:IR647"/>
    <mergeCell ref="IS646:IS647"/>
    <mergeCell ref="IT646:IT647"/>
    <mergeCell ref="IV646:IV647"/>
    <mergeCell ref="IX646:IX647"/>
    <mergeCell ref="IC633:IC634"/>
    <mergeCell ref="IC643:IC644"/>
    <mergeCell ref="IG643:IG644"/>
    <mergeCell ref="GF646:GF649"/>
    <mergeCell ref="GG646:GG649"/>
    <mergeCell ref="GH646:GH649"/>
    <mergeCell ref="GK646:GK649"/>
    <mergeCell ref="IB646:IB648"/>
    <mergeCell ref="IC646:IC647"/>
    <mergeCell ref="IF646:IF649"/>
    <mergeCell ref="IG646:IG647"/>
    <mergeCell ref="IH646:IH649"/>
    <mergeCell ref="IK646:IK647"/>
    <mergeCell ref="IL646:IL649"/>
    <mergeCell ref="IM646:IM647"/>
    <mergeCell ref="IN646:IN649"/>
    <mergeCell ref="GM647:GM648"/>
    <mergeCell ref="GN647:GN648"/>
    <mergeCell ref="GP647:GP648"/>
    <mergeCell ref="GQ647:GQ648"/>
    <mergeCell ref="HH647:HH648"/>
    <mergeCell ref="HI647:HI648"/>
    <mergeCell ref="HJ647:HJ648"/>
    <mergeCell ref="HK647:HK648"/>
    <mergeCell ref="HL647:HL648"/>
    <mergeCell ref="HM647:HM648"/>
    <mergeCell ref="HN647:HN648"/>
    <mergeCell ref="HO647:HO648"/>
    <mergeCell ref="HP647:HP648"/>
    <mergeCell ref="HQ647:HQ648"/>
    <mergeCell ref="IN641:IN644"/>
    <mergeCell ref="IH641:IH644"/>
    <mergeCell ref="IK641:IK642"/>
    <mergeCell ref="IL641:IL644"/>
    <mergeCell ref="IG641:IG642"/>
    <mergeCell ref="ID647:ID648"/>
    <mergeCell ref="IK653:IK654"/>
    <mergeCell ref="IM653:IM654"/>
    <mergeCell ref="IN656:IN659"/>
    <mergeCell ref="IM658:IM659"/>
    <mergeCell ref="IG648:IG649"/>
    <mergeCell ref="IK648:IK649"/>
    <mergeCell ref="IM648:IM649"/>
    <mergeCell ref="GG651:GG654"/>
    <mergeCell ref="GH651:GH654"/>
    <mergeCell ref="GK651:GK654"/>
    <mergeCell ref="IB651:IB653"/>
    <mergeCell ref="IC651:IC652"/>
    <mergeCell ref="IF651:IF654"/>
    <mergeCell ref="IG651:IG652"/>
    <mergeCell ref="IH651:IH654"/>
    <mergeCell ref="IK651:IK652"/>
    <mergeCell ref="IL651:IL654"/>
    <mergeCell ref="IM651:IM652"/>
    <mergeCell ref="IN651:IN654"/>
    <mergeCell ref="GM652:GM653"/>
    <mergeCell ref="HW652:HW653"/>
    <mergeCell ref="HX652:HX653"/>
    <mergeCell ref="HY652:HY653"/>
    <mergeCell ref="HU657:HU658"/>
    <mergeCell ref="IH656:IH659"/>
    <mergeCell ref="IG653:IG654"/>
    <mergeCell ref="GG656:GG659"/>
    <mergeCell ref="GH656:GH659"/>
    <mergeCell ref="GK656:GK659"/>
    <mergeCell ref="IB656:IB658"/>
    <mergeCell ref="IC656:IC657"/>
    <mergeCell ref="IF656:IF659"/>
    <mergeCell ref="IG656:IG657"/>
    <mergeCell ref="HW657:HW658"/>
    <mergeCell ref="IC648:IC649"/>
    <mergeCell ref="HX657:HX658"/>
    <mergeCell ref="HY657:HY658"/>
    <mergeCell ref="HZ657:HZ658"/>
    <mergeCell ref="ID657:ID658"/>
    <mergeCell ref="HJ652:HJ653"/>
    <mergeCell ref="HK652:HK653"/>
    <mergeCell ref="HL652:HL653"/>
    <mergeCell ref="HM652:HM653"/>
    <mergeCell ref="IK656:IK657"/>
    <mergeCell ref="IL656:IL659"/>
    <mergeCell ref="IM656:IM657"/>
    <mergeCell ref="HZ652:HZ653"/>
    <mergeCell ref="ID652:ID653"/>
    <mergeCell ref="HV657:HV658"/>
    <mergeCell ref="HT657:HT658"/>
    <mergeCell ref="HR647:HR648"/>
    <mergeCell ref="HS647:HS648"/>
    <mergeCell ref="HT647:HT648"/>
    <mergeCell ref="HN652:HN653"/>
    <mergeCell ref="HO652:HO653"/>
    <mergeCell ref="HP652:HP653"/>
    <mergeCell ref="HQ652:HQ653"/>
    <mergeCell ref="HR652:HR653"/>
    <mergeCell ref="HS652:HS653"/>
    <mergeCell ref="HT652:HT653"/>
    <mergeCell ref="HU652:HU653"/>
    <mergeCell ref="HV652:HV653"/>
    <mergeCell ref="HS657:HS658"/>
    <mergeCell ref="IS653:IS654"/>
    <mergeCell ref="IT653:IT654"/>
    <mergeCell ref="IV653:IV654"/>
    <mergeCell ref="IX653:IX654"/>
    <mergeCell ref="FY656:FY657"/>
    <mergeCell ref="IR656:IR657"/>
    <mergeCell ref="IS656:IS657"/>
    <mergeCell ref="IT656:IT657"/>
    <mergeCell ref="IV656:IV657"/>
    <mergeCell ref="IX656:IX657"/>
    <mergeCell ref="FY658:FY659"/>
    <mergeCell ref="IR658:IR659"/>
    <mergeCell ref="IS658:IS659"/>
    <mergeCell ref="IT658:IT659"/>
    <mergeCell ref="IV658:IV659"/>
    <mergeCell ref="IX658:IX659"/>
    <mergeCell ref="GD656:GD659"/>
    <mergeCell ref="GE656:GE659"/>
    <mergeCell ref="GF656:GF659"/>
    <mergeCell ref="GF651:GF654"/>
    <mergeCell ref="GH661:GH664"/>
    <mergeCell ref="GK661:GK664"/>
    <mergeCell ref="GD661:GD664"/>
    <mergeCell ref="GE661:GE664"/>
    <mergeCell ref="GF661:GF664"/>
    <mergeCell ref="HH662:HH663"/>
    <mergeCell ref="HI662:HI663"/>
    <mergeCell ref="HJ662:HJ663"/>
    <mergeCell ref="HK662:HK663"/>
    <mergeCell ref="HL662:HL663"/>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D662:ID663"/>
    <mergeCell ref="IP651:IP652"/>
    <mergeCell ref="IQ651:IQ652"/>
    <mergeCell ref="IU651:IU652"/>
    <mergeCell ref="IW651:IW652"/>
    <mergeCell ref="IP661:IP662"/>
    <mergeCell ref="IQ661:IQ662"/>
    <mergeCell ref="IU661:IU662"/>
    <mergeCell ref="IW661:IW662"/>
    <mergeCell ref="IF661:IF664"/>
    <mergeCell ref="IG661:IG662"/>
    <mergeCell ref="IH661:IH664"/>
    <mergeCell ref="IK661:IK662"/>
    <mergeCell ref="GM657:GM658"/>
    <mergeCell ref="GN657:GN658"/>
    <mergeCell ref="GP657:GP658"/>
    <mergeCell ref="GQ657:GQ658"/>
    <mergeCell ref="HH657:HH658"/>
    <mergeCell ref="HI657:HI658"/>
    <mergeCell ref="IC663:IC664"/>
    <mergeCell ref="IV661:IV662"/>
    <mergeCell ref="IX661:IX662"/>
    <mergeCell ref="FY663:FY664"/>
    <mergeCell ref="IR663:IR664"/>
    <mergeCell ref="IS663:IS664"/>
    <mergeCell ref="IT663:IT664"/>
    <mergeCell ref="IV663:IV664"/>
    <mergeCell ref="IX663:IX664"/>
    <mergeCell ref="FY666:FY667"/>
    <mergeCell ref="IR666:IR667"/>
    <mergeCell ref="IS666:IS667"/>
    <mergeCell ref="IT666:IT667"/>
    <mergeCell ref="IV666:IV667"/>
    <mergeCell ref="IX666:IX667"/>
    <mergeCell ref="FY668:FY669"/>
    <mergeCell ref="IR668:IR669"/>
    <mergeCell ref="IS668:IS669"/>
    <mergeCell ref="IT668:IT669"/>
    <mergeCell ref="IV668:IV669"/>
    <mergeCell ref="IX668:IX669"/>
    <mergeCell ref="FY671:FY672"/>
    <mergeCell ref="IR671:IR672"/>
    <mergeCell ref="IS671:IS672"/>
    <mergeCell ref="IT671:IT672"/>
    <mergeCell ref="IV671:IV672"/>
    <mergeCell ref="IX671:IX672"/>
    <mergeCell ref="IG663:IG664"/>
    <mergeCell ref="IK663:IK664"/>
    <mergeCell ref="IM663:IM664"/>
    <mergeCell ref="IH666:IH669"/>
    <mergeCell ref="IK666:IK667"/>
    <mergeCell ref="IL666:IL669"/>
    <mergeCell ref="IM666:IM667"/>
    <mergeCell ref="IN666:IN669"/>
    <mergeCell ref="GM667:GM668"/>
    <mergeCell ref="GN667:GN668"/>
    <mergeCell ref="GP667:GP668"/>
    <mergeCell ref="GQ667:GQ668"/>
    <mergeCell ref="HH667:HH668"/>
    <mergeCell ref="HI667:HI668"/>
    <mergeCell ref="HJ667:HJ668"/>
    <mergeCell ref="HK667:HK668"/>
    <mergeCell ref="HL667:HL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GK666:GK669"/>
    <mergeCell ref="GM662:GM663"/>
    <mergeCell ref="GD666:GD669"/>
    <mergeCell ref="GE666:GE669"/>
    <mergeCell ref="GF666:GF669"/>
    <mergeCell ref="IG666:IG667"/>
    <mergeCell ref="IM661:IM662"/>
    <mergeCell ref="GG666:GG669"/>
    <mergeCell ref="IV673:IV674"/>
    <mergeCell ref="IX673:IX674"/>
    <mergeCell ref="FY676:FY677"/>
    <mergeCell ref="IR676:IR677"/>
    <mergeCell ref="IS676:IS677"/>
    <mergeCell ref="IT676:IT677"/>
    <mergeCell ref="IV676:IV677"/>
    <mergeCell ref="IX676:IX677"/>
    <mergeCell ref="FY678:FY679"/>
    <mergeCell ref="IR678:IR679"/>
    <mergeCell ref="IS678:IS679"/>
    <mergeCell ref="IT678:IT679"/>
    <mergeCell ref="IV678:IV679"/>
    <mergeCell ref="IX678:IX679"/>
    <mergeCell ref="FY681:FY682"/>
    <mergeCell ref="IR681:IR682"/>
    <mergeCell ref="IS681:IS682"/>
    <mergeCell ref="IT681:IT682"/>
    <mergeCell ref="IV681:IV682"/>
    <mergeCell ref="IX681:IX682"/>
    <mergeCell ref="FY683:FY684"/>
    <mergeCell ref="IR683:IR684"/>
    <mergeCell ref="IS683:IS684"/>
    <mergeCell ref="IT683:IT684"/>
    <mergeCell ref="IV683:IV684"/>
    <mergeCell ref="IX683:IX684"/>
    <mergeCell ref="IG673:IG674"/>
    <mergeCell ref="IK673:IK674"/>
    <mergeCell ref="GF681:GF684"/>
    <mergeCell ref="GG681:GG684"/>
    <mergeCell ref="GH681:GH684"/>
    <mergeCell ref="GK681:GK684"/>
    <mergeCell ref="IB681:IB683"/>
    <mergeCell ref="IC681:IC682"/>
    <mergeCell ref="IF681:IF684"/>
    <mergeCell ref="IG681:IG682"/>
    <mergeCell ref="IH681:IH684"/>
    <mergeCell ref="IK681:IK682"/>
    <mergeCell ref="IL681:IL684"/>
    <mergeCell ref="IM681:IM682"/>
    <mergeCell ref="IN681:IN684"/>
    <mergeCell ref="GM682:GM683"/>
    <mergeCell ref="GN682:GN683"/>
    <mergeCell ref="GP682:GP683"/>
    <mergeCell ref="GQ682:GQ683"/>
    <mergeCell ref="HH682:HH683"/>
    <mergeCell ref="HI682:HI683"/>
    <mergeCell ref="HJ682:HJ683"/>
    <mergeCell ref="HK682:HK683"/>
    <mergeCell ref="HL682:HL683"/>
    <mergeCell ref="HM682:HM683"/>
    <mergeCell ref="HN682:HN683"/>
    <mergeCell ref="HO682:HO683"/>
    <mergeCell ref="HP682:HP683"/>
    <mergeCell ref="HQ682:HQ683"/>
    <mergeCell ref="HR682:HR683"/>
    <mergeCell ref="IM683:IM684"/>
    <mergeCell ref="GD681:GD684"/>
    <mergeCell ref="GE681:GE684"/>
    <mergeCell ref="HS682:HS683"/>
    <mergeCell ref="HT682:HT683"/>
    <mergeCell ref="IN676:IN679"/>
    <mergeCell ref="GM677:GM678"/>
    <mergeCell ref="GF671:GF674"/>
    <mergeCell ref="IV686:IV687"/>
    <mergeCell ref="IX686:IX687"/>
    <mergeCell ref="FY688:FY689"/>
    <mergeCell ref="IR688:IR689"/>
    <mergeCell ref="IS688:IS689"/>
    <mergeCell ref="IT688:IT689"/>
    <mergeCell ref="IV688:IV689"/>
    <mergeCell ref="IX688:IX689"/>
    <mergeCell ref="FY691:FY692"/>
    <mergeCell ref="IR691:IR692"/>
    <mergeCell ref="IS691:IS692"/>
    <mergeCell ref="IT691:IT692"/>
    <mergeCell ref="IV691:IV692"/>
    <mergeCell ref="IX691:IX692"/>
    <mergeCell ref="FY693:FY694"/>
    <mergeCell ref="IR693:IR694"/>
    <mergeCell ref="IS693:IS694"/>
    <mergeCell ref="IT693:IT694"/>
    <mergeCell ref="IV693:IV694"/>
    <mergeCell ref="IX693:IX694"/>
    <mergeCell ref="FY696:FY697"/>
    <mergeCell ref="IR696:IR697"/>
    <mergeCell ref="IS696:IS697"/>
    <mergeCell ref="IT696:IT697"/>
    <mergeCell ref="IV696:IV697"/>
    <mergeCell ref="IX696:IX697"/>
    <mergeCell ref="IH686:IH689"/>
    <mergeCell ref="IK686:IK687"/>
    <mergeCell ref="IL686:IL689"/>
    <mergeCell ref="IM686:IM687"/>
    <mergeCell ref="IN686:IN689"/>
    <mergeCell ref="IN691:IN694"/>
    <mergeCell ref="HN692:HN693"/>
    <mergeCell ref="HO692:HO693"/>
    <mergeCell ref="HP692:HP693"/>
    <mergeCell ref="HQ692:HQ693"/>
    <mergeCell ref="HR692:HR693"/>
    <mergeCell ref="HS692:HS693"/>
    <mergeCell ref="HT692:HT693"/>
    <mergeCell ref="HU692:HU693"/>
    <mergeCell ref="HV692:HV693"/>
    <mergeCell ref="HW692:HW693"/>
    <mergeCell ref="IP691:IP692"/>
    <mergeCell ref="IQ691:IQ692"/>
    <mergeCell ref="IU691:IU692"/>
    <mergeCell ref="IW691:IW692"/>
    <mergeCell ref="GA696:GA699"/>
    <mergeCell ref="GB696:GB699"/>
    <mergeCell ref="HR697:HR698"/>
    <mergeCell ref="IM688:IM689"/>
    <mergeCell ref="IG688:IG689"/>
    <mergeCell ref="IC688:IC689"/>
    <mergeCell ref="IS686:IS687"/>
    <mergeCell ref="GH696:GH699"/>
    <mergeCell ref="IX701:IX702"/>
    <mergeCell ref="HS697:HS698"/>
    <mergeCell ref="HT697:HT698"/>
    <mergeCell ref="HU697:HU698"/>
    <mergeCell ref="HV697:HV698"/>
    <mergeCell ref="HW697:HW698"/>
    <mergeCell ref="HX697:HX698"/>
    <mergeCell ref="HY697:HY698"/>
    <mergeCell ref="IL701:IL704"/>
    <mergeCell ref="IM701:IM702"/>
    <mergeCell ref="IN701:IN704"/>
    <mergeCell ref="IG703:IG704"/>
    <mergeCell ref="IK703:IK704"/>
    <mergeCell ref="IM703:IM704"/>
    <mergeCell ref="IF701:IF704"/>
    <mergeCell ref="IS708:IS709"/>
    <mergeCell ref="IT708:IT709"/>
    <mergeCell ref="IV708:IV709"/>
    <mergeCell ref="IX708:IX709"/>
    <mergeCell ref="HR712:HR713"/>
    <mergeCell ref="HS712:HS713"/>
    <mergeCell ref="HT712:HT713"/>
    <mergeCell ref="HU712:HU713"/>
    <mergeCell ref="HV712:HV713"/>
    <mergeCell ref="HW712:HW713"/>
    <mergeCell ref="HX712:HX713"/>
    <mergeCell ref="HY712:HY713"/>
    <mergeCell ref="HZ712:HZ713"/>
    <mergeCell ref="ID712:ID713"/>
    <mergeCell ref="IG713:IG714"/>
    <mergeCell ref="IK713:IK714"/>
    <mergeCell ref="IM713:IM714"/>
    <mergeCell ref="IK721:IK722"/>
    <mergeCell ref="IB706:IB708"/>
    <mergeCell ref="IC706:IC707"/>
    <mergeCell ref="IF706:IF709"/>
    <mergeCell ref="IG706:IG707"/>
    <mergeCell ref="IH706:IH709"/>
    <mergeCell ref="IK706:IK707"/>
    <mergeCell ref="IL706:IL709"/>
    <mergeCell ref="IM706:IM707"/>
    <mergeCell ref="IN706:IN709"/>
    <mergeCell ref="IL711:IL714"/>
    <mergeCell ref="IM711:IM712"/>
    <mergeCell ref="IN711:IN714"/>
    <mergeCell ref="IP711:IP712"/>
    <mergeCell ref="IQ711:IQ712"/>
    <mergeCell ref="IU711:IU712"/>
    <mergeCell ref="IW711:IW712"/>
    <mergeCell ref="IU701:IU702"/>
    <mergeCell ref="IW701:IW702"/>
    <mergeCell ref="IR703:IR704"/>
    <mergeCell ref="IS703:IS704"/>
    <mergeCell ref="IT703:IT704"/>
    <mergeCell ref="IV703:IV704"/>
    <mergeCell ref="IX703:IX704"/>
    <mergeCell ref="IR706:IR707"/>
    <mergeCell ref="IS706:IS707"/>
    <mergeCell ref="IT706:IT707"/>
    <mergeCell ref="IV706:IV707"/>
    <mergeCell ref="IX706:IX707"/>
    <mergeCell ref="IR708:IR709"/>
    <mergeCell ref="IG698:IG699"/>
    <mergeCell ref="IK698:IK699"/>
    <mergeCell ref="IX711:IX712"/>
    <mergeCell ref="IR713:IR714"/>
    <mergeCell ref="IS713:IS714"/>
    <mergeCell ref="IT713:IT714"/>
    <mergeCell ref="IV713:IV714"/>
    <mergeCell ref="IX713:IX714"/>
    <mergeCell ref="IG708:IG709"/>
    <mergeCell ref="IK708:IK709"/>
    <mergeCell ref="IM708:IM709"/>
    <mergeCell ref="ID707:ID708"/>
    <mergeCell ref="IR721:IR722"/>
    <mergeCell ref="IS721:IS722"/>
    <mergeCell ref="IT721:IT722"/>
    <mergeCell ref="IV721:IV722"/>
    <mergeCell ref="IX721:IX722"/>
    <mergeCell ref="FY724:FY725"/>
    <mergeCell ref="IR724:IR725"/>
    <mergeCell ref="IS724:IS725"/>
    <mergeCell ref="IT724:IT725"/>
    <mergeCell ref="IV724:IV725"/>
    <mergeCell ref="IX724:IX725"/>
    <mergeCell ref="IC711:IC712"/>
    <mergeCell ref="IC721:IC722"/>
    <mergeCell ref="IG721:IG722"/>
    <mergeCell ref="GF724:GF727"/>
    <mergeCell ref="GG724:GG727"/>
    <mergeCell ref="GH724:GH727"/>
    <mergeCell ref="GK724:GK727"/>
    <mergeCell ref="IB724:IB726"/>
    <mergeCell ref="IC724:IC725"/>
    <mergeCell ref="IF724:IF727"/>
    <mergeCell ref="IG724:IG725"/>
    <mergeCell ref="IH724:IH727"/>
    <mergeCell ref="IK724:IK725"/>
    <mergeCell ref="IL724:IL727"/>
    <mergeCell ref="IM724:IM725"/>
    <mergeCell ref="IN724:IN727"/>
    <mergeCell ref="GM725:GM726"/>
    <mergeCell ref="GN725:GN726"/>
    <mergeCell ref="GP725:GP726"/>
    <mergeCell ref="GQ725:GQ726"/>
    <mergeCell ref="HH725:HH726"/>
    <mergeCell ref="HI725:HI726"/>
    <mergeCell ref="HJ725:HJ726"/>
    <mergeCell ref="HK725:HK726"/>
    <mergeCell ref="HL725:HL726"/>
    <mergeCell ref="HM725:HM726"/>
    <mergeCell ref="HN725:HN726"/>
    <mergeCell ref="HO725:HO726"/>
    <mergeCell ref="HP725:HP726"/>
    <mergeCell ref="HQ725:HQ726"/>
    <mergeCell ref="IH711:IH714"/>
    <mergeCell ref="IK711:IK712"/>
    <mergeCell ref="FY706:FY707"/>
    <mergeCell ref="FY708:FY709"/>
    <mergeCell ref="IG719:IG720"/>
    <mergeCell ref="IH719:IH722"/>
    <mergeCell ref="IK719:IK720"/>
    <mergeCell ref="IL719:IL722"/>
    <mergeCell ref="IM719:IM720"/>
    <mergeCell ref="IN719:IN722"/>
    <mergeCell ref="IF719:IF722"/>
    <mergeCell ref="GM720:GM721"/>
    <mergeCell ref="GN720:GN721"/>
    <mergeCell ref="IV731:IV732"/>
    <mergeCell ref="IX731:IX732"/>
    <mergeCell ref="FY734:FY735"/>
    <mergeCell ref="IR734:IR735"/>
    <mergeCell ref="IS734:IS735"/>
    <mergeCell ref="IT734:IT735"/>
    <mergeCell ref="IV734:IV735"/>
    <mergeCell ref="IX734:IX735"/>
    <mergeCell ref="FY736:FY737"/>
    <mergeCell ref="IR736:IR737"/>
    <mergeCell ref="IS736:IS737"/>
    <mergeCell ref="IT736:IT737"/>
    <mergeCell ref="IV736:IV737"/>
    <mergeCell ref="IX736:IX737"/>
    <mergeCell ref="HR725:HR726"/>
    <mergeCell ref="HS725:HS726"/>
    <mergeCell ref="HT725:HT726"/>
    <mergeCell ref="HU725:HU726"/>
    <mergeCell ref="HV725:HV726"/>
    <mergeCell ref="HW725:HW726"/>
    <mergeCell ref="HX725:HX726"/>
    <mergeCell ref="HY725:HY726"/>
    <mergeCell ref="HZ725:HZ726"/>
    <mergeCell ref="ID725:ID726"/>
    <mergeCell ref="IP724:IP725"/>
    <mergeCell ref="IQ724:IQ725"/>
    <mergeCell ref="IU724:IU725"/>
    <mergeCell ref="IW724:IW725"/>
    <mergeCell ref="IP734:IP735"/>
    <mergeCell ref="IQ734:IQ735"/>
    <mergeCell ref="IU734:IU735"/>
    <mergeCell ref="IW734:IW735"/>
    <mergeCell ref="IK731:IK732"/>
    <mergeCell ref="IM731:IM732"/>
    <mergeCell ref="GA734:GA737"/>
    <mergeCell ref="GB734:GB737"/>
    <mergeCell ref="GC734:GC737"/>
    <mergeCell ref="IH734:IH737"/>
    <mergeCell ref="IK734:IK735"/>
    <mergeCell ref="IL734:IL737"/>
    <mergeCell ref="IM734:IM735"/>
    <mergeCell ref="IN734:IN737"/>
    <mergeCell ref="IG736:IG737"/>
    <mergeCell ref="IK736:IK737"/>
    <mergeCell ref="IM736:IM737"/>
    <mergeCell ref="IC726:IC727"/>
    <mergeCell ref="IG726:IG727"/>
    <mergeCell ref="IK726:IK727"/>
    <mergeCell ref="IM726:IM727"/>
    <mergeCell ref="GC729:GC732"/>
    <mergeCell ref="GD729:GD732"/>
    <mergeCell ref="GE729:GE732"/>
    <mergeCell ref="GH729:GH732"/>
    <mergeCell ref="GK729:GK732"/>
    <mergeCell ref="IB729:IB731"/>
    <mergeCell ref="IK729:IK730"/>
    <mergeCell ref="IL729:IL732"/>
    <mergeCell ref="IM729:IM730"/>
    <mergeCell ref="IN729:IN732"/>
    <mergeCell ref="IH729:IH732"/>
    <mergeCell ref="GM730:GM731"/>
    <mergeCell ref="GN730:GN731"/>
    <mergeCell ref="GP730:GP731"/>
    <mergeCell ref="GQ730:GQ731"/>
    <mergeCell ref="IW744:IW745"/>
    <mergeCell ref="IP754:IP755"/>
    <mergeCell ref="IQ754:IQ755"/>
    <mergeCell ref="IU754:IU755"/>
    <mergeCell ref="IW754:IW755"/>
    <mergeCell ref="IR744:IR745"/>
    <mergeCell ref="IS744:IS745"/>
    <mergeCell ref="IT744:IT745"/>
    <mergeCell ref="IV744:IV745"/>
    <mergeCell ref="IX744:IX745"/>
    <mergeCell ref="IR746:IR747"/>
    <mergeCell ref="IS746:IS747"/>
    <mergeCell ref="IT746:IT747"/>
    <mergeCell ref="IV746:IV747"/>
    <mergeCell ref="IX746:IX747"/>
    <mergeCell ref="IR749:IR750"/>
    <mergeCell ref="IS749:IS750"/>
    <mergeCell ref="IT749:IT750"/>
    <mergeCell ref="IV749:IV750"/>
    <mergeCell ref="IX749:IX750"/>
    <mergeCell ref="IG741:IG742"/>
    <mergeCell ref="IK741:IK742"/>
    <mergeCell ref="IM741:IM742"/>
    <mergeCell ref="IH744:IH747"/>
    <mergeCell ref="IK744:IK745"/>
    <mergeCell ref="IL744:IL747"/>
    <mergeCell ref="IM744:IM745"/>
    <mergeCell ref="IN744:IN747"/>
    <mergeCell ref="GM745:GM746"/>
    <mergeCell ref="GN745:GN746"/>
    <mergeCell ref="GP745:GP746"/>
    <mergeCell ref="GD749:GD752"/>
    <mergeCell ref="GE749:GE752"/>
    <mergeCell ref="GF749:GF752"/>
    <mergeCell ref="GD744:GD747"/>
    <mergeCell ref="GE744:GE747"/>
    <mergeCell ref="GF744:GF747"/>
    <mergeCell ref="GG744:GG747"/>
    <mergeCell ref="GH744:GH747"/>
    <mergeCell ref="IL749:IL752"/>
    <mergeCell ref="IM749:IM750"/>
    <mergeCell ref="IN749:IN752"/>
    <mergeCell ref="GM750:GM751"/>
    <mergeCell ref="GN750:GN751"/>
    <mergeCell ref="GP750:GP751"/>
    <mergeCell ref="GQ750:GQ751"/>
    <mergeCell ref="HH750:HH751"/>
    <mergeCell ref="HI750:HI751"/>
    <mergeCell ref="HJ750:HJ751"/>
    <mergeCell ref="HK750:HK751"/>
    <mergeCell ref="HL750:HL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ID750:ID751"/>
    <mergeCell ref="IR754:IR755"/>
    <mergeCell ref="IS754:IS755"/>
    <mergeCell ref="IT754:IT755"/>
    <mergeCell ref="IV754:IV755"/>
    <mergeCell ref="IX754:IX755"/>
    <mergeCell ref="FY756:FY757"/>
    <mergeCell ref="IR756:IR757"/>
    <mergeCell ref="IS756:IS757"/>
    <mergeCell ref="IT756:IT757"/>
    <mergeCell ref="IV756:IV757"/>
    <mergeCell ref="IX756:IX757"/>
    <mergeCell ref="FY759:FY760"/>
    <mergeCell ref="IR759:IR760"/>
    <mergeCell ref="IS759:IS760"/>
    <mergeCell ref="IT759:IT760"/>
    <mergeCell ref="IV759:IV760"/>
    <mergeCell ref="IX759:IX760"/>
    <mergeCell ref="FY761:FY762"/>
    <mergeCell ref="IR761:IR762"/>
    <mergeCell ref="IS761:IS762"/>
    <mergeCell ref="IT761:IT762"/>
    <mergeCell ref="IV761:IV762"/>
    <mergeCell ref="IX761:IX762"/>
    <mergeCell ref="IG751:IG752"/>
    <mergeCell ref="IK751:IK752"/>
    <mergeCell ref="GF759:GF762"/>
    <mergeCell ref="GG759:GG762"/>
    <mergeCell ref="GH759:GH762"/>
    <mergeCell ref="GK759:GK762"/>
    <mergeCell ref="IB759:IB761"/>
    <mergeCell ref="IC759:IC760"/>
    <mergeCell ref="IF759:IF762"/>
    <mergeCell ref="IG759:IG760"/>
    <mergeCell ref="IH759:IH762"/>
    <mergeCell ref="IK759:IK760"/>
    <mergeCell ref="HH760:HH761"/>
    <mergeCell ref="HI760:HI761"/>
    <mergeCell ref="HJ760:HJ761"/>
    <mergeCell ref="HR760:HR761"/>
    <mergeCell ref="GG749:GG752"/>
    <mergeCell ref="GH749:GH752"/>
    <mergeCell ref="GK749:GK752"/>
    <mergeCell ref="GH754:GH757"/>
    <mergeCell ref="GB754:GB757"/>
    <mergeCell ref="IM761:IM762"/>
    <mergeCell ref="GK754:GK757"/>
    <mergeCell ref="IN754:IN757"/>
    <mergeCell ref="HM755:HM756"/>
    <mergeCell ref="HN755:HN756"/>
    <mergeCell ref="HO755:HO756"/>
    <mergeCell ref="HP755:HP756"/>
    <mergeCell ref="IB754:IB756"/>
    <mergeCell ref="IC754:IC755"/>
    <mergeCell ref="GC754:GC757"/>
    <mergeCell ref="IK754:IK755"/>
    <mergeCell ref="IL754:IL757"/>
    <mergeCell ref="IM754:IM755"/>
    <mergeCell ref="GC759:GC762"/>
    <mergeCell ref="GB759:GB762"/>
    <mergeCell ref="HY750:HY751"/>
    <mergeCell ref="HZ750:HZ751"/>
    <mergeCell ref="IM751:IM752"/>
    <mergeCell ref="IM756:IM757"/>
    <mergeCell ref="IG749:IG750"/>
    <mergeCell ref="FQ105:FQ106"/>
    <mergeCell ref="IV764:IV765"/>
    <mergeCell ref="IX764:IX765"/>
    <mergeCell ref="FY766:FY767"/>
    <mergeCell ref="IR766:IR767"/>
    <mergeCell ref="IS766:IS767"/>
    <mergeCell ref="IT766:IT767"/>
    <mergeCell ref="IV766:IV767"/>
    <mergeCell ref="IX766:IX767"/>
    <mergeCell ref="FY769:FY770"/>
    <mergeCell ref="IR769:IR770"/>
    <mergeCell ref="IS769:IS770"/>
    <mergeCell ref="IT769:IT770"/>
    <mergeCell ref="IV769:IV770"/>
    <mergeCell ref="IX769:IX770"/>
    <mergeCell ref="FY771:FY772"/>
    <mergeCell ref="IR771:IR772"/>
    <mergeCell ref="IS771:IS772"/>
    <mergeCell ref="IT771:IT772"/>
    <mergeCell ref="IV771:IV772"/>
    <mergeCell ref="IX771:IX772"/>
    <mergeCell ref="FY774:FY775"/>
    <mergeCell ref="IR774:IR775"/>
    <mergeCell ref="IS774:IS775"/>
    <mergeCell ref="IT774:IT775"/>
    <mergeCell ref="IV774:IV775"/>
    <mergeCell ref="IX774:IX775"/>
    <mergeCell ref="IH764:IH767"/>
    <mergeCell ref="IK764:IK765"/>
    <mergeCell ref="IL764:IL767"/>
    <mergeCell ref="IM764:IM765"/>
    <mergeCell ref="IN764:IN767"/>
    <mergeCell ref="IN769:IN772"/>
    <mergeCell ref="HN770:HN771"/>
    <mergeCell ref="HO770:HO771"/>
    <mergeCell ref="HP770:HP771"/>
    <mergeCell ref="HQ770:HQ771"/>
    <mergeCell ref="HR770:HR771"/>
    <mergeCell ref="IP774:IP775"/>
    <mergeCell ref="IQ774:IQ775"/>
    <mergeCell ref="IU774:IU775"/>
    <mergeCell ref="HS770:HS771"/>
    <mergeCell ref="HT770:HT771"/>
    <mergeCell ref="HU770:HU771"/>
    <mergeCell ref="HV770:HV771"/>
    <mergeCell ref="HW770:HW771"/>
    <mergeCell ref="HX770:HX771"/>
    <mergeCell ref="HY770:HY771"/>
    <mergeCell ref="HZ770:HZ771"/>
    <mergeCell ref="ID770:ID771"/>
    <mergeCell ref="ID765:ID766"/>
    <mergeCell ref="GK764:GK767"/>
    <mergeCell ref="IB764:IB766"/>
    <mergeCell ref="IC764:IC765"/>
    <mergeCell ref="IF769:IF772"/>
    <mergeCell ref="IG769:IG770"/>
    <mergeCell ref="HZ765:HZ766"/>
    <mergeCell ref="HK770:HK771"/>
    <mergeCell ref="IK766:IK767"/>
    <mergeCell ref="IM766:IM767"/>
    <mergeCell ref="IH769:IH772"/>
    <mergeCell ref="IK769:IK770"/>
    <mergeCell ref="IV751:IV752"/>
    <mergeCell ref="IX751:IX752"/>
    <mergeCell ref="GB774:GB777"/>
    <mergeCell ref="GC774:GC777"/>
    <mergeCell ref="GD774:GD777"/>
    <mergeCell ref="GE774:GE777"/>
    <mergeCell ref="GF774:GF777"/>
    <mergeCell ref="GG774:GG777"/>
    <mergeCell ref="GH774:GH777"/>
    <mergeCell ref="GK774:GK777"/>
    <mergeCell ref="IB774:IB776"/>
    <mergeCell ref="IC774:IC775"/>
    <mergeCell ref="IF774:IF777"/>
    <mergeCell ref="IG774:IG775"/>
    <mergeCell ref="IH774:IH777"/>
    <mergeCell ref="IT764:IT765"/>
    <mergeCell ref="HK765:HK766"/>
    <mergeCell ref="HL765:HL766"/>
    <mergeCell ref="IS741:IS742"/>
    <mergeCell ref="IT741:IT742"/>
    <mergeCell ref="IP744:IP745"/>
    <mergeCell ref="IQ744:IQ745"/>
    <mergeCell ref="GA744:GA747"/>
    <mergeCell ref="GB744:GB747"/>
    <mergeCell ref="FY729:FY730"/>
    <mergeCell ref="IR729:IR730"/>
    <mergeCell ref="IS729:IS730"/>
    <mergeCell ref="IT729:IT730"/>
    <mergeCell ref="FY731:FY732"/>
    <mergeCell ref="IR731:IR732"/>
    <mergeCell ref="IS731:IS732"/>
    <mergeCell ref="IT731:IT732"/>
    <mergeCell ref="IS701:IS702"/>
    <mergeCell ref="IT701:IT702"/>
    <mergeCell ref="IN696:IN699"/>
    <mergeCell ref="HZ697:HZ698"/>
    <mergeCell ref="ID697:ID698"/>
    <mergeCell ref="IM698:IM699"/>
    <mergeCell ref="IC698:IC699"/>
    <mergeCell ref="IB696:IB698"/>
    <mergeCell ref="IC696:IC697"/>
    <mergeCell ref="IF696:IF699"/>
    <mergeCell ref="IG696:IG697"/>
    <mergeCell ref="IH696:IH699"/>
    <mergeCell ref="IK696:IK697"/>
    <mergeCell ref="IL696:IL699"/>
    <mergeCell ref="IM696:IM697"/>
    <mergeCell ref="FY719:FY720"/>
    <mergeCell ref="IR719:IR720"/>
    <mergeCell ref="IS719:IS720"/>
    <mergeCell ref="IK771:IK772"/>
    <mergeCell ref="HP707:HP708"/>
    <mergeCell ref="HQ707:HQ708"/>
    <mergeCell ref="IL769:IL772"/>
    <mergeCell ref="IM769:IM770"/>
    <mergeCell ref="IM721:IM722"/>
    <mergeCell ref="IQ701:IQ702"/>
    <mergeCell ref="IP701:IP702"/>
    <mergeCell ref="IN739:IN742"/>
    <mergeCell ref="HK760:HK761"/>
    <mergeCell ref="HL760:HL761"/>
    <mergeCell ref="HM760:HM761"/>
    <mergeCell ref="HN760:HN761"/>
    <mergeCell ref="HO760:HO761"/>
    <mergeCell ref="HP760:HP761"/>
    <mergeCell ref="HQ760:HQ761"/>
    <mergeCell ref="FQ102:FQ103"/>
    <mergeCell ref="IT789:IT790"/>
    <mergeCell ref="IV789:IV790"/>
    <mergeCell ref="IX789:IX790"/>
    <mergeCell ref="FY791:FY792"/>
    <mergeCell ref="IR791:IR792"/>
    <mergeCell ref="IS791:IS792"/>
    <mergeCell ref="IT791:IT792"/>
    <mergeCell ref="IV791:IV792"/>
    <mergeCell ref="IX791:IX792"/>
    <mergeCell ref="IR776:IR777"/>
    <mergeCell ref="IS776:IS777"/>
    <mergeCell ref="IT776:IT777"/>
    <mergeCell ref="IV776:IV777"/>
    <mergeCell ref="IX776:IX777"/>
    <mergeCell ref="FY779:FY780"/>
    <mergeCell ref="IR779:IR780"/>
    <mergeCell ref="IS779:IS780"/>
    <mergeCell ref="IT779:IT780"/>
    <mergeCell ref="IV779:IV780"/>
    <mergeCell ref="IX779:IX780"/>
    <mergeCell ref="FY781:FY782"/>
    <mergeCell ref="IR781:IR782"/>
    <mergeCell ref="IS781:IS782"/>
    <mergeCell ref="IT781:IT782"/>
    <mergeCell ref="IV781:IV782"/>
    <mergeCell ref="IX781:IX782"/>
    <mergeCell ref="FY784:FY785"/>
    <mergeCell ref="IR784:IR785"/>
    <mergeCell ref="IS784:IS785"/>
    <mergeCell ref="IT784:IT785"/>
    <mergeCell ref="IV784:IV785"/>
    <mergeCell ref="IX784:IX785"/>
    <mergeCell ref="FY786:FY787"/>
    <mergeCell ref="IR786:IR787"/>
    <mergeCell ref="IS786:IS787"/>
    <mergeCell ref="IT786:IT787"/>
    <mergeCell ref="IV786:IV787"/>
    <mergeCell ref="IX786:IX787"/>
    <mergeCell ref="FY261:FY262"/>
    <mergeCell ref="FY296:FY297"/>
    <mergeCell ref="FY321:FY322"/>
    <mergeCell ref="IP213:IP214"/>
    <mergeCell ref="IQ213:IQ214"/>
    <mergeCell ref="IU213:IU214"/>
    <mergeCell ref="IW213:IW214"/>
    <mergeCell ref="IU233:IU234"/>
    <mergeCell ref="IW233:IW234"/>
    <mergeCell ref="IU243:IU244"/>
    <mergeCell ref="IW243:IW244"/>
    <mergeCell ref="IP256:IP257"/>
    <mergeCell ref="IQ256:IQ257"/>
    <mergeCell ref="IU256:IU257"/>
    <mergeCell ref="IW256:IW257"/>
    <mergeCell ref="IU266:IU267"/>
    <mergeCell ref="IW266:IW267"/>
    <mergeCell ref="IQ286:IQ287"/>
    <mergeCell ref="IU286:IU287"/>
    <mergeCell ref="IW286:IW287"/>
    <mergeCell ref="IU306:IU307"/>
    <mergeCell ref="IW306:IW307"/>
    <mergeCell ref="IU316:IU317"/>
    <mergeCell ref="IW316:IW317"/>
    <mergeCell ref="IU339:IU340"/>
    <mergeCell ref="FP100:FP101"/>
    <mergeCell ref="FP110:FP111"/>
    <mergeCell ref="FX107:FX108"/>
    <mergeCell ref="IN779:IN782"/>
    <mergeCell ref="GM780:GM781"/>
    <mergeCell ref="GN780:GN781"/>
    <mergeCell ref="GP780:GP781"/>
    <mergeCell ref="GQ780:GQ781"/>
    <mergeCell ref="HH780:HH781"/>
    <mergeCell ref="HI780:HI781"/>
    <mergeCell ref="HJ780:HJ781"/>
    <mergeCell ref="HK780:HK781"/>
    <mergeCell ref="GA774:GA777"/>
    <mergeCell ref="FU107:FU108"/>
    <mergeCell ref="FV107:FV108"/>
    <mergeCell ref="FW107:FW108"/>
    <mergeCell ref="CQ120:CQ123"/>
    <mergeCell ref="CR120:CR121"/>
    <mergeCell ref="CS120:CS121"/>
    <mergeCell ref="AY125:AY128"/>
    <mergeCell ref="CP125:CP128"/>
    <mergeCell ref="CQ125:CQ128"/>
    <mergeCell ref="CR125:CR126"/>
    <mergeCell ref="CS125:CS126"/>
    <mergeCell ref="CU125:CU126"/>
    <mergeCell ref="CR122:CR123"/>
    <mergeCell ref="CS122:CS123"/>
    <mergeCell ref="CU122:CU123"/>
    <mergeCell ref="CR142:CR143"/>
    <mergeCell ref="CS142:CS143"/>
    <mergeCell ref="CU142:CU143"/>
    <mergeCell ref="CV142:CV143"/>
    <mergeCell ref="AR125:AT128"/>
    <mergeCell ref="AU125:AU128"/>
    <mergeCell ref="AV125:AV128"/>
    <mergeCell ref="AW125:AW128"/>
    <mergeCell ref="AR135:AT138"/>
    <mergeCell ref="AU135:AU138"/>
    <mergeCell ref="AV135:AV138"/>
    <mergeCell ref="AW135:AW138"/>
    <mergeCell ref="DC125:DC12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FE117:FE118"/>
    <mergeCell ref="FL117:FL118"/>
    <mergeCell ref="FM117:FM118"/>
    <mergeCell ref="FN117:FN118"/>
    <mergeCell ref="FG105:FG108"/>
    <mergeCell ref="EZ105:EZ106"/>
    <mergeCell ref="FA105:FA106"/>
    <mergeCell ref="FB105:FB106"/>
    <mergeCell ref="EQ105:EQ108"/>
    <mergeCell ref="ER105:ER108"/>
    <mergeCell ref="ES105:ES108"/>
    <mergeCell ref="ET105:ET108"/>
    <mergeCell ref="EZ107:EZ108"/>
    <mergeCell ref="FA107:FA108"/>
    <mergeCell ref="FB107:FB108"/>
    <mergeCell ref="FE107:FE108"/>
    <mergeCell ref="FO107:FO108"/>
    <mergeCell ref="AZ490:AZ493"/>
    <mergeCell ref="P146:Q146"/>
    <mergeCell ref="E154:AW154"/>
    <mergeCell ref="E158:F158"/>
    <mergeCell ref="U158:AA158"/>
    <mergeCell ref="AG158:AL158"/>
    <mergeCell ref="E159:AW159"/>
    <mergeCell ref="E160:F160"/>
    <mergeCell ref="AV160:AV163"/>
    <mergeCell ref="AW160:AW163"/>
    <mergeCell ref="E168:F168"/>
    <mergeCell ref="G168:L168"/>
    <mergeCell ref="AM510:AM511"/>
    <mergeCell ref="E145:F145"/>
    <mergeCell ref="G145:R145"/>
    <mergeCell ref="AG156:AK156"/>
    <mergeCell ref="AG594:AK594"/>
    <mergeCell ref="AG262:AK262"/>
    <mergeCell ref="FS105:FS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L105:FL106"/>
    <mergeCell ref="CZ145:CZ146"/>
    <mergeCell ref="DA145:DA148"/>
    <mergeCell ref="DB145:DB148"/>
    <mergeCell ref="DC145:DC148"/>
    <mergeCell ref="DD145:DD148"/>
    <mergeCell ref="CX145:CX146"/>
    <mergeCell ref="AY165:AY168"/>
    <mergeCell ref="AZ165:AZ168"/>
    <mergeCell ref="FM105:FM106"/>
    <mergeCell ref="FN105:FN106"/>
    <mergeCell ref="FO105:FO106"/>
    <mergeCell ref="DX561:DY561"/>
    <mergeCell ref="EP105:EP108"/>
    <mergeCell ref="EV105:EV108"/>
    <mergeCell ref="EX105:EX106"/>
    <mergeCell ref="EX107:EX108"/>
    <mergeCell ref="EY107:EY108"/>
    <mergeCell ref="FC105:FC108"/>
    <mergeCell ref="FE105:FE106"/>
    <mergeCell ref="DY117:DY118"/>
    <mergeCell ref="EY105:EY106"/>
    <mergeCell ref="EX110:EX111"/>
    <mergeCell ref="EY110:EY111"/>
    <mergeCell ref="EZ110:EZ111"/>
    <mergeCell ref="EX112:EX113"/>
    <mergeCell ref="EY112:EY113"/>
    <mergeCell ref="ER110:ER113"/>
    <mergeCell ref="G428:L428"/>
    <mergeCell ref="P428:Q428"/>
    <mergeCell ref="G443:L443"/>
    <mergeCell ref="P443:Q443"/>
    <mergeCell ref="AZ145:AZ148"/>
    <mergeCell ref="AG152:AL152"/>
    <mergeCell ref="AM152:AM153"/>
    <mergeCell ref="AN152:AN153"/>
    <mergeCell ref="AO152:AO153"/>
    <mergeCell ref="AG153:AL153"/>
    <mergeCell ref="E156:F156"/>
    <mergeCell ref="G156:L156"/>
    <mergeCell ref="P156:Q156"/>
    <mergeCell ref="G160:R160"/>
    <mergeCell ref="U146:AD146"/>
    <mergeCell ref="U151:AD151"/>
    <mergeCell ref="AY178:AY181"/>
    <mergeCell ref="AZ178:AZ181"/>
    <mergeCell ref="AY193:AY196"/>
    <mergeCell ref="AZ193:AZ196"/>
    <mergeCell ref="AY208:AY211"/>
    <mergeCell ref="AZ208:AZ211"/>
    <mergeCell ref="E466:AW466"/>
    <mergeCell ref="AZ155:AZ158"/>
    <mergeCell ref="AZ173:AZ176"/>
    <mergeCell ref="AZ311:AZ314"/>
    <mergeCell ref="G361:L361"/>
    <mergeCell ref="AY394:AY397"/>
    <mergeCell ref="AZ394:AZ397"/>
    <mergeCell ref="U447:AA447"/>
    <mergeCell ref="AG447:AL447"/>
    <mergeCell ref="AM447:AM448"/>
    <mergeCell ref="AN447:AN448"/>
    <mergeCell ref="AY447:AY450"/>
    <mergeCell ref="AZ447:AZ450"/>
    <mergeCell ref="CR147:CR148"/>
    <mergeCell ref="CS147:CS148"/>
    <mergeCell ref="CU147:CU148"/>
    <mergeCell ref="CV147:CV148"/>
    <mergeCell ref="CW147:CW148"/>
    <mergeCell ref="CX147:CX148"/>
    <mergeCell ref="CY147:CY148"/>
    <mergeCell ref="CU145:CU146"/>
    <mergeCell ref="CV145:CV146"/>
    <mergeCell ref="CW145:CW146"/>
    <mergeCell ref="CY145:CY146"/>
    <mergeCell ref="AO145:AO146"/>
    <mergeCell ref="AP145:AQ148"/>
    <mergeCell ref="AR145:AT148"/>
    <mergeCell ref="AU145:AU148"/>
    <mergeCell ref="AV145:AV148"/>
    <mergeCell ref="AW145:AW148"/>
    <mergeCell ref="AY145:AY148"/>
    <mergeCell ref="E218:F218"/>
    <mergeCell ref="AG209:AK209"/>
    <mergeCell ref="CU107:CU108"/>
    <mergeCell ref="CV107:CV108"/>
    <mergeCell ref="S457:S458"/>
    <mergeCell ref="U457:AA457"/>
    <mergeCell ref="AG457:AL457"/>
    <mergeCell ref="AM457:AM458"/>
    <mergeCell ref="AN457:AN458"/>
    <mergeCell ref="AO457:AO458"/>
    <mergeCell ref="AP457:AQ460"/>
    <mergeCell ref="AR457:AT460"/>
    <mergeCell ref="AU457:AU460"/>
    <mergeCell ref="AV457:AV460"/>
    <mergeCell ref="AW457:AW460"/>
    <mergeCell ref="P230:Q230"/>
    <mergeCell ref="AG234:AK234"/>
    <mergeCell ref="U233:AA233"/>
    <mergeCell ref="AG233:AL233"/>
    <mergeCell ref="AM233:AM234"/>
    <mergeCell ref="AN233:AN234"/>
    <mergeCell ref="AO233:AO234"/>
    <mergeCell ref="AP233:AQ236"/>
    <mergeCell ref="AR233:AT236"/>
    <mergeCell ref="AU233:AU236"/>
    <mergeCell ref="AV233:AV236"/>
    <mergeCell ref="AW233:AW236"/>
    <mergeCell ref="AY233:AY236"/>
    <mergeCell ref="AZ233:AZ236"/>
    <mergeCell ref="AO379:AO380"/>
    <mergeCell ref="AP379:AQ382"/>
    <mergeCell ref="AR379:AT382"/>
    <mergeCell ref="E237:AW237"/>
    <mergeCell ref="P241:R241"/>
    <mergeCell ref="U241:AA241"/>
    <mergeCell ref="AG241:AL241"/>
    <mergeCell ref="E239:F239"/>
    <mergeCell ref="G239:L239"/>
    <mergeCell ref="P239:Q239"/>
    <mergeCell ref="E238:F238"/>
    <mergeCell ref="G238:R238"/>
    <mergeCell ref="U240:AE240"/>
    <mergeCell ref="E322:F322"/>
    <mergeCell ref="G322:L322"/>
    <mergeCell ref="P322:Q322"/>
    <mergeCell ref="E320:AW320"/>
    <mergeCell ref="P347:R347"/>
    <mergeCell ref="U347:AA347"/>
    <mergeCell ref="AG347:AL347"/>
    <mergeCell ref="E236:F236"/>
    <mergeCell ref="E361:F361"/>
    <mergeCell ref="AM235:AM236"/>
    <mergeCell ref="AN235:AN236"/>
    <mergeCell ref="AO235:AO236"/>
    <mergeCell ref="P234:Q234"/>
    <mergeCell ref="G286:R286"/>
    <mergeCell ref="S286:S287"/>
    <mergeCell ref="U286:AA286"/>
    <mergeCell ref="AG286:AL286"/>
    <mergeCell ref="AM286:AM287"/>
    <mergeCell ref="E392:F392"/>
    <mergeCell ref="G392:L392"/>
    <mergeCell ref="P392:R392"/>
    <mergeCell ref="U278:AE278"/>
    <mergeCell ref="G273:L273"/>
    <mergeCell ref="P273:Q273"/>
    <mergeCell ref="E289:F289"/>
    <mergeCell ref="E286:F286"/>
    <mergeCell ref="AG626:AL626"/>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161:AK161"/>
    <mergeCell ref="AG166:AK166"/>
    <mergeCell ref="AG174:AK174"/>
    <mergeCell ref="AG179:AK179"/>
    <mergeCell ref="AG184:AK184"/>
    <mergeCell ref="AG189:AK189"/>
    <mergeCell ref="AG194:AK194"/>
    <mergeCell ref="AG199:AK199"/>
    <mergeCell ref="S160:S161"/>
    <mergeCell ref="AN510:AN511"/>
    <mergeCell ref="AO510:AO511"/>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625:AL625"/>
    <mergeCell ref="AG418:AK418"/>
    <mergeCell ref="E205:F205"/>
    <mergeCell ref="G205:L205"/>
    <mergeCell ref="AN203:AN204"/>
    <mergeCell ref="AO203:AO204"/>
    <mergeCell ref="AP203:AQ206"/>
    <mergeCell ref="AR203:AT206"/>
    <mergeCell ref="AU203:AU206"/>
    <mergeCell ref="AG204:AK204"/>
    <mergeCell ref="AO215:AO216"/>
    <mergeCell ref="E609:F609"/>
    <mergeCell ref="E486:F486"/>
    <mergeCell ref="G486:L486"/>
    <mergeCell ref="P486:Q486"/>
    <mergeCell ref="AO487:AO488"/>
    <mergeCell ref="G490:R490"/>
    <mergeCell ref="U490:AA490"/>
    <mergeCell ref="AG490:AL490"/>
    <mergeCell ref="AM490:AM491"/>
    <mergeCell ref="AY490:AY493"/>
    <mergeCell ref="AU379:AU382"/>
    <mergeCell ref="AV379:AV382"/>
    <mergeCell ref="AW379:AW382"/>
    <mergeCell ref="P386:Q386"/>
    <mergeCell ref="P475:R475"/>
    <mergeCell ref="U475:AA475"/>
    <mergeCell ref="AG475:AL475"/>
    <mergeCell ref="E474:F474"/>
    <mergeCell ref="G474:L474"/>
    <mergeCell ref="P474:Q474"/>
    <mergeCell ref="S474:S475"/>
    <mergeCell ref="U473:AD473"/>
    <mergeCell ref="E473:F473"/>
    <mergeCell ref="G473:L473"/>
    <mergeCell ref="U521:AD521"/>
    <mergeCell ref="JH125:JH126"/>
    <mergeCell ref="JJ125:JJ126"/>
    <mergeCell ref="JG127:JG128"/>
    <mergeCell ref="JH127:JH128"/>
    <mergeCell ref="JJ127:JJ128"/>
    <mergeCell ref="JJ130:JJ131"/>
    <mergeCell ref="JG67:JG68"/>
    <mergeCell ref="JJ110:JJ111"/>
    <mergeCell ref="JG112:JG113"/>
    <mergeCell ref="JH112:JH113"/>
    <mergeCell ref="JJ112:JJ113"/>
    <mergeCell ref="AG609:AK609"/>
    <mergeCell ref="AP93:AQ93"/>
    <mergeCell ref="IS303:IS304"/>
    <mergeCell ref="IT303:IT304"/>
    <mergeCell ref="IV303:IV304"/>
    <mergeCell ref="IX303:IX304"/>
    <mergeCell ref="IR306:IR307"/>
    <mergeCell ref="IS306:IS307"/>
    <mergeCell ref="IT306:IT307"/>
    <mergeCell ref="IV306:IV307"/>
    <mergeCell ref="IX306:IX307"/>
    <mergeCell ref="IX283:IX284"/>
    <mergeCell ref="IR271:IR272"/>
    <mergeCell ref="IV261:IV262"/>
    <mergeCell ref="IX261:IX262"/>
    <mergeCell ref="IV243:IV244"/>
    <mergeCell ref="IX243:IX244"/>
    <mergeCell ref="IT230:IT231"/>
    <mergeCell ref="IV230:IV231"/>
    <mergeCell ref="IX230:IX231"/>
    <mergeCell ref="IX105:IX106"/>
    <mergeCell ref="IR107:IR108"/>
    <mergeCell ref="IQ160:IQ161"/>
    <mergeCell ref="JD193:JD194"/>
    <mergeCell ref="JE193:JE194"/>
    <mergeCell ref="IW203:IW204"/>
    <mergeCell ref="IZ203:IZ204"/>
    <mergeCell ref="JC203:JC204"/>
    <mergeCell ref="AG624:AK624"/>
    <mergeCell ref="AG629:AK629"/>
    <mergeCell ref="AG634:AK634"/>
    <mergeCell ref="AG642:AK642"/>
    <mergeCell ref="AG647:AK647"/>
    <mergeCell ref="AG652:AK652"/>
    <mergeCell ref="AG657:AK657"/>
    <mergeCell ref="AG662:AK662"/>
    <mergeCell ref="AG667:AK667"/>
    <mergeCell ref="AG672:AK672"/>
    <mergeCell ref="AG677:AK677"/>
    <mergeCell ref="AG682:AK682"/>
    <mergeCell ref="AG687:AK687"/>
    <mergeCell ref="AM610:AM611"/>
    <mergeCell ref="AN610:AN611"/>
    <mergeCell ref="AO610:AO611"/>
    <mergeCell ref="JG107:JG108"/>
    <mergeCell ref="JH107:JH108"/>
    <mergeCell ref="JJ107:JJ108"/>
    <mergeCell ref="JG110:JG111"/>
    <mergeCell ref="IP110:IP111"/>
    <mergeCell ref="IQ110:IQ111"/>
    <mergeCell ref="IU110:IU111"/>
    <mergeCell ref="IW110:IW111"/>
    <mergeCell ref="IZ110:IZ111"/>
    <mergeCell ref="JC110:JC111"/>
    <mergeCell ref="JD110:JD111"/>
    <mergeCell ref="JE110:JE111"/>
    <mergeCell ref="IP130:IP131"/>
    <mergeCell ref="IQ130:IQ131"/>
    <mergeCell ref="IU130:IU131"/>
    <mergeCell ref="IW130:IW131"/>
    <mergeCell ref="IZ130:IZ131"/>
    <mergeCell ref="JC130:JC131"/>
    <mergeCell ref="JD130:JD131"/>
    <mergeCell ref="JE130:JE131"/>
    <mergeCell ref="AG458:AK458"/>
    <mergeCell ref="AG463:AK463"/>
    <mergeCell ref="AG468:AK468"/>
    <mergeCell ref="AG473:AK473"/>
    <mergeCell ref="AG214:AK214"/>
    <mergeCell ref="AG219:AK219"/>
    <mergeCell ref="IR346:IR347"/>
    <mergeCell ref="IS346:IS347"/>
    <mergeCell ref="DQ327:DR327"/>
    <mergeCell ref="AG433:AK433"/>
    <mergeCell ref="IV346:IV347"/>
    <mergeCell ref="IX346:IX347"/>
    <mergeCell ref="IR323:IR324"/>
    <mergeCell ref="IS323:IS324"/>
    <mergeCell ref="IT323:IT324"/>
    <mergeCell ref="IV323:IV324"/>
    <mergeCell ref="IX323:IX324"/>
    <mergeCell ref="IV296:IV297"/>
    <mergeCell ref="IX296:IX297"/>
    <mergeCell ref="IR298:IR299"/>
    <mergeCell ref="IS298:IS299"/>
    <mergeCell ref="IT298:IT299"/>
    <mergeCell ref="IV298:IV299"/>
    <mergeCell ref="IX298:IX299"/>
    <mergeCell ref="IR301:IR302"/>
    <mergeCell ref="E227:AW227"/>
    <mergeCell ref="AU105:AU108"/>
    <mergeCell ref="IR303:IR304"/>
    <mergeCell ref="JH47:JH48"/>
    <mergeCell ref="JJ47:JJ48"/>
    <mergeCell ref="JJ49:JJ50"/>
    <mergeCell ref="JJ52:JJ53"/>
    <mergeCell ref="JJ54:JJ55"/>
    <mergeCell ref="JG57:JG58"/>
    <mergeCell ref="JH57:JH58"/>
    <mergeCell ref="JJ57:JJ58"/>
    <mergeCell ref="JG59:JG60"/>
    <mergeCell ref="JH59:JH60"/>
    <mergeCell ref="JJ59:JJ60"/>
    <mergeCell ref="JG115:JG116"/>
    <mergeCell ref="JH115:JH116"/>
    <mergeCell ref="JJ115:JJ116"/>
    <mergeCell ref="JG117:JG118"/>
    <mergeCell ref="JH117:JH118"/>
    <mergeCell ref="JJ117:JJ118"/>
    <mergeCell ref="JG120:JG121"/>
    <mergeCell ref="JH120:JH121"/>
    <mergeCell ref="JJ120:JJ121"/>
    <mergeCell ref="JG122:JG123"/>
    <mergeCell ref="JH122:JH123"/>
    <mergeCell ref="JJ122:JJ123"/>
    <mergeCell ref="JG82:JG83"/>
    <mergeCell ref="JH82:JH83"/>
    <mergeCell ref="JJ82:JJ83"/>
    <mergeCell ref="JG84:JG85"/>
    <mergeCell ref="JH84:JH85"/>
    <mergeCell ref="JJ84:JJ85"/>
    <mergeCell ref="JG87:JG88"/>
    <mergeCell ref="JH87:JH88"/>
    <mergeCell ref="JJ87:JJ88"/>
    <mergeCell ref="JG89:JG90"/>
    <mergeCell ref="JH89:JH90"/>
    <mergeCell ref="JJ89:JJ90"/>
    <mergeCell ref="JG95:JG96"/>
    <mergeCell ref="JH95:JH96"/>
    <mergeCell ref="JJ95:JJ96"/>
    <mergeCell ref="JG97:JG98"/>
    <mergeCell ref="JH97:JH98"/>
    <mergeCell ref="JJ97:JJ98"/>
    <mergeCell ref="JG100:JG101"/>
    <mergeCell ref="JH100:JH101"/>
    <mergeCell ref="JJ100:JJ101"/>
    <mergeCell ref="JJ74:JJ75"/>
    <mergeCell ref="JG77:JG78"/>
    <mergeCell ref="JH77:JH78"/>
    <mergeCell ref="JJ77:JJ78"/>
    <mergeCell ref="JG79:JG80"/>
    <mergeCell ref="JH79:JH80"/>
    <mergeCell ref="JJ79:JJ80"/>
    <mergeCell ref="IW100:IW101"/>
    <mergeCell ref="IZ100:IZ101"/>
    <mergeCell ref="JC100:JC101"/>
    <mergeCell ref="JD100:JD101"/>
    <mergeCell ref="JE100:JE101"/>
    <mergeCell ref="IU120:IU121"/>
    <mergeCell ref="IW120:IW121"/>
    <mergeCell ref="IZ120:IZ121"/>
    <mergeCell ref="JC120:JC121"/>
    <mergeCell ref="JD120:JD121"/>
    <mergeCell ref="JE120:JE121"/>
    <mergeCell ref="IT283:IT284"/>
    <mergeCell ref="IV283:IV284"/>
    <mergeCell ref="IR296:IR297"/>
    <mergeCell ref="IS296:IS297"/>
    <mergeCell ref="IT296:IT297"/>
    <mergeCell ref="IX308:IX309"/>
    <mergeCell ref="IV321:IV322"/>
    <mergeCell ref="IX321:IX322"/>
    <mergeCell ref="IX336:IX337"/>
    <mergeCell ref="JG336:JG337"/>
    <mergeCell ref="JH336:JH337"/>
    <mergeCell ref="JJ336:JJ337"/>
    <mergeCell ref="IT339:IT340"/>
    <mergeCell ref="IV339:IV340"/>
    <mergeCell ref="IX339:IX340"/>
    <mergeCell ref="IR361:IR362"/>
    <mergeCell ref="IS361:IS362"/>
    <mergeCell ref="IT361:IT362"/>
    <mergeCell ref="IV361:IV362"/>
    <mergeCell ref="IR341:IR342"/>
    <mergeCell ref="IS341:IS342"/>
    <mergeCell ref="IT341:IT342"/>
    <mergeCell ref="IV341:IV342"/>
    <mergeCell ref="IX341:IX342"/>
    <mergeCell ref="IR344:IR345"/>
    <mergeCell ref="IS344:IS345"/>
    <mergeCell ref="JC140:JC141"/>
    <mergeCell ref="JD140:JD141"/>
    <mergeCell ref="JE140:JE141"/>
    <mergeCell ref="JC150:JC151"/>
    <mergeCell ref="JD150:JD151"/>
    <mergeCell ref="JE150:JE151"/>
    <mergeCell ref="JC173:JC174"/>
    <mergeCell ref="IU160:IU161"/>
    <mergeCell ref="IW160:IW161"/>
    <mergeCell ref="IZ160:IZ161"/>
    <mergeCell ref="JC160:JC161"/>
    <mergeCell ref="JD160:JD161"/>
    <mergeCell ref="JE160:JE161"/>
    <mergeCell ref="JD173:JD174"/>
    <mergeCell ref="JE173:JE174"/>
    <mergeCell ref="JC183:JC184"/>
    <mergeCell ref="JD183:JD184"/>
    <mergeCell ref="JE183:JE184"/>
    <mergeCell ref="IW193:IW194"/>
    <mergeCell ref="IZ193:IZ194"/>
    <mergeCell ref="JC193:JC194"/>
    <mergeCell ref="IT346:IT347"/>
    <mergeCell ref="IR351:IR352"/>
    <mergeCell ref="IS351:IS352"/>
    <mergeCell ref="IT351:IT352"/>
    <mergeCell ref="IV351:IV352"/>
    <mergeCell ref="JE286:JE287"/>
    <mergeCell ref="JL82:JL83"/>
    <mergeCell ref="JL84:JL85"/>
    <mergeCell ref="JL87:JL88"/>
    <mergeCell ref="JL89:JL90"/>
    <mergeCell ref="JL95:JL96"/>
    <mergeCell ref="JL97:JL98"/>
    <mergeCell ref="JL100:JL101"/>
    <mergeCell ref="JL102:JL103"/>
    <mergeCell ref="JL105:JL106"/>
    <mergeCell ref="JL107:JL108"/>
    <mergeCell ref="JL110:JL111"/>
    <mergeCell ref="JL417:JL418"/>
    <mergeCell ref="JL419:JL420"/>
    <mergeCell ref="JL422:JL423"/>
    <mergeCell ref="JL424:JL425"/>
    <mergeCell ref="JL427:JL428"/>
    <mergeCell ref="JL429:JL430"/>
    <mergeCell ref="JL432:JL433"/>
    <mergeCell ref="JL434:JL435"/>
    <mergeCell ref="JL437:JL438"/>
    <mergeCell ref="JL439:JL440"/>
    <mergeCell ref="JL442:JL443"/>
    <mergeCell ref="JL444:JL445"/>
    <mergeCell ref="JL447:JL448"/>
    <mergeCell ref="JL449:JL450"/>
    <mergeCell ref="JG49:JG50"/>
    <mergeCell ref="JG52:JG53"/>
    <mergeCell ref="JG54:JG55"/>
    <mergeCell ref="JH49:JH50"/>
    <mergeCell ref="JH54:JH55"/>
    <mergeCell ref="JH52:JH53"/>
    <mergeCell ref="IS301:IS302"/>
    <mergeCell ref="IT301:IT302"/>
    <mergeCell ref="IV301:IV302"/>
    <mergeCell ref="IX301:IX302"/>
    <mergeCell ref="IT344:IT345"/>
    <mergeCell ref="IV344:IV345"/>
    <mergeCell ref="IX344:IX345"/>
    <mergeCell ref="JG102:JG103"/>
    <mergeCell ref="JH102:JH103"/>
    <mergeCell ref="JJ102:JJ103"/>
    <mergeCell ref="JG105:JG106"/>
    <mergeCell ref="JH105:JH106"/>
    <mergeCell ref="JJ105:JJ106"/>
    <mergeCell ref="IW77:IW78"/>
    <mergeCell ref="IZ77:IZ78"/>
    <mergeCell ref="IX399:IX400"/>
    <mergeCell ref="IS374:IS375"/>
    <mergeCell ref="IT374:IT375"/>
    <mergeCell ref="IV374:IV375"/>
    <mergeCell ref="IX374:IX375"/>
    <mergeCell ref="IX361:IX362"/>
    <mergeCell ref="IV329:IV330"/>
    <mergeCell ref="IX329:IX330"/>
    <mergeCell ref="IS245:IS246"/>
    <mergeCell ref="IT245:IT246"/>
    <mergeCell ref="IV245:IV246"/>
    <mergeCell ref="IX245:IX246"/>
    <mergeCell ref="IS233:IS234"/>
    <mergeCell ref="IT233:IT234"/>
    <mergeCell ref="IV233:IV234"/>
    <mergeCell ref="IX233:IX234"/>
    <mergeCell ref="IV193:IV194"/>
    <mergeCell ref="IX193:IX194"/>
    <mergeCell ref="JL316:JL317"/>
    <mergeCell ref="JL318:JL319"/>
    <mergeCell ref="JL321:JL322"/>
    <mergeCell ref="JL323:JL324"/>
    <mergeCell ref="JL329:JL330"/>
    <mergeCell ref="JL331:JL332"/>
    <mergeCell ref="JL334:JL335"/>
    <mergeCell ref="JL336:JL337"/>
    <mergeCell ref="JL339:JL340"/>
    <mergeCell ref="JL341:JL342"/>
    <mergeCell ref="JL344:JL345"/>
    <mergeCell ref="JL346:JL347"/>
    <mergeCell ref="JL349:JL350"/>
    <mergeCell ref="JL351:JL352"/>
    <mergeCell ref="JL354:JL355"/>
    <mergeCell ref="JL356:JL357"/>
    <mergeCell ref="JL359:JL360"/>
    <mergeCell ref="JL361:JL362"/>
    <mergeCell ref="JL364:JL365"/>
    <mergeCell ref="JL366:JL367"/>
    <mergeCell ref="JL369:JL370"/>
    <mergeCell ref="JL371:JL372"/>
    <mergeCell ref="JL374:JL375"/>
    <mergeCell ref="JL376:JL377"/>
    <mergeCell ref="JL379:JL380"/>
    <mergeCell ref="JL381:JL382"/>
    <mergeCell ref="JL384:JL385"/>
    <mergeCell ref="JL386:JL387"/>
    <mergeCell ref="JL452:JL453"/>
    <mergeCell ref="JL454:JL455"/>
    <mergeCell ref="JL457:JL458"/>
    <mergeCell ref="JL459:JL460"/>
    <mergeCell ref="JL462:JL463"/>
    <mergeCell ref="JL595:JL596"/>
    <mergeCell ref="JL598:JL599"/>
    <mergeCell ref="JL600:JL601"/>
    <mergeCell ref="JL603:JL604"/>
    <mergeCell ref="JL605:JL606"/>
    <mergeCell ref="JL608:JL609"/>
    <mergeCell ref="JL610:JL611"/>
    <mergeCell ref="JL613:JL614"/>
    <mergeCell ref="JL615:JL616"/>
    <mergeCell ref="JL618:JL619"/>
    <mergeCell ref="JL620:JL621"/>
    <mergeCell ref="JL623:JL624"/>
    <mergeCell ref="JL625:JL626"/>
    <mergeCell ref="JL628:JL629"/>
    <mergeCell ref="JL630:JL631"/>
    <mergeCell ref="JL633:JL634"/>
    <mergeCell ref="JL635:JL636"/>
    <mergeCell ref="JL641:JL642"/>
    <mergeCell ref="JL469:JL470"/>
    <mergeCell ref="JL472:JL473"/>
    <mergeCell ref="IA8:IA14"/>
    <mergeCell ref="HZ8:HZ14"/>
    <mergeCell ref="IC47:IC48"/>
    <mergeCell ref="IX47:IX48"/>
    <mergeCell ref="IR49:IR50"/>
    <mergeCell ref="IS49:IS50"/>
    <mergeCell ref="IS62:IS63"/>
    <mergeCell ref="IT62:IT63"/>
    <mergeCell ref="IP49:IP50"/>
    <mergeCell ref="IW32:IW34"/>
    <mergeCell ref="IZ32:IZ34"/>
    <mergeCell ref="JD203:JD204"/>
    <mergeCell ref="JE203:JE204"/>
    <mergeCell ref="JC213:JC214"/>
    <mergeCell ref="JD213:JD214"/>
    <mergeCell ref="JE213:JE214"/>
    <mergeCell ref="JC223:JC224"/>
    <mergeCell ref="JD223:JD224"/>
    <mergeCell ref="JE223:JE224"/>
    <mergeCell ref="JC233:JC234"/>
    <mergeCell ref="JD233:JD234"/>
    <mergeCell ref="JE233:JE234"/>
    <mergeCell ref="JC243:JC244"/>
    <mergeCell ref="JD243:JD244"/>
    <mergeCell ref="JE243:JE244"/>
    <mergeCell ref="JC256:JC257"/>
    <mergeCell ref="JD256:JD257"/>
    <mergeCell ref="JE256:JE257"/>
    <mergeCell ref="JC266:JC267"/>
    <mergeCell ref="JD266:JD267"/>
    <mergeCell ref="JE266:JE267"/>
    <mergeCell ref="JC286:JC287"/>
    <mergeCell ref="JD286:JD287"/>
    <mergeCell ref="JL464:JL465"/>
    <mergeCell ref="JL467:JL468"/>
    <mergeCell ref="JL112:JL113"/>
    <mergeCell ref="JL115:JL116"/>
    <mergeCell ref="JL117:JL118"/>
    <mergeCell ref="JL120:JL121"/>
    <mergeCell ref="JL303:JL304"/>
    <mergeCell ref="JL306:JL307"/>
    <mergeCell ref="JL308:JL309"/>
    <mergeCell ref="JL311:JL312"/>
    <mergeCell ref="JL313:JL314"/>
    <mergeCell ref="JL734:JL735"/>
    <mergeCell ref="JL736:JL737"/>
    <mergeCell ref="JL739:JL740"/>
    <mergeCell ref="JL741:JL742"/>
    <mergeCell ref="JL643:JL644"/>
    <mergeCell ref="JL646:JL647"/>
    <mergeCell ref="JL474:JL475"/>
    <mergeCell ref="JL477:JL478"/>
    <mergeCell ref="JL479:JL480"/>
    <mergeCell ref="JL485:JL486"/>
    <mergeCell ref="JL487:JL488"/>
    <mergeCell ref="JL490:JL491"/>
    <mergeCell ref="JL492:JL493"/>
    <mergeCell ref="JL495:JL496"/>
    <mergeCell ref="JL497:JL498"/>
    <mergeCell ref="JL500:JL501"/>
    <mergeCell ref="JL502:JL503"/>
    <mergeCell ref="JL505:JL506"/>
    <mergeCell ref="JL507:JL508"/>
    <mergeCell ref="JL520:JL521"/>
    <mergeCell ref="JL547:JL548"/>
    <mergeCell ref="JL550:JL551"/>
    <mergeCell ref="JL552:JL553"/>
    <mergeCell ref="JL555:JL556"/>
    <mergeCell ref="JL557:JL558"/>
    <mergeCell ref="JL389:JL390"/>
    <mergeCell ref="JL391:JL392"/>
    <mergeCell ref="JL394:JL395"/>
    <mergeCell ref="JL396:JL397"/>
    <mergeCell ref="JL399:JL400"/>
    <mergeCell ref="JL401:JL402"/>
    <mergeCell ref="JL407:JL408"/>
    <mergeCell ref="JL409:JL410"/>
    <mergeCell ref="JL412:JL413"/>
    <mergeCell ref="JL414:JL415"/>
    <mergeCell ref="JL510:JL511"/>
    <mergeCell ref="JL512:JL513"/>
    <mergeCell ref="JL515:JL516"/>
    <mergeCell ref="JL517:JL518"/>
    <mergeCell ref="JL522:JL523"/>
    <mergeCell ref="JL525:JL526"/>
    <mergeCell ref="JL527:JL528"/>
    <mergeCell ref="JL530:JL531"/>
    <mergeCell ref="JL532:JL533"/>
    <mergeCell ref="JL535:JL536"/>
    <mergeCell ref="JL537:JL538"/>
    <mergeCell ref="JL540:JL541"/>
    <mergeCell ref="JL542:JL543"/>
    <mergeCell ref="JL545:JL546"/>
    <mergeCell ref="JL648:JL649"/>
    <mergeCell ref="JL651:JL652"/>
    <mergeCell ref="JL653:JL654"/>
    <mergeCell ref="JL656:JL657"/>
    <mergeCell ref="JL568:JL569"/>
    <mergeCell ref="JL570:JL571"/>
    <mergeCell ref="JL573:JL574"/>
    <mergeCell ref="JL575:JL576"/>
    <mergeCell ref="JL578:JL579"/>
    <mergeCell ref="JL580:JL581"/>
    <mergeCell ref="JL583:JL584"/>
    <mergeCell ref="JL585:JL586"/>
    <mergeCell ref="JL588:JL589"/>
    <mergeCell ref="JL590:JL591"/>
    <mergeCell ref="JL593:JL594"/>
    <mergeCell ref="JR47:JR48"/>
    <mergeCell ref="JR49:JR50"/>
    <mergeCell ref="JR77:JR78"/>
    <mergeCell ref="JL47:JL48"/>
    <mergeCell ref="JL49:JL50"/>
    <mergeCell ref="JL52:JL53"/>
    <mergeCell ref="JL54:JL55"/>
    <mergeCell ref="JL57:JL58"/>
    <mergeCell ref="JL59:JL60"/>
    <mergeCell ref="JL62:JL63"/>
    <mergeCell ref="JL64:JL65"/>
    <mergeCell ref="JL67:JL68"/>
    <mergeCell ref="JL69:JL70"/>
    <mergeCell ref="JL72:JL73"/>
    <mergeCell ref="JL74:JL75"/>
    <mergeCell ref="JL77:JL78"/>
    <mergeCell ref="HY78:HY79"/>
    <mergeCell ref="IH72:IH75"/>
    <mergeCell ref="IG72:IG73"/>
    <mergeCell ref="IS74:IS75"/>
    <mergeCell ref="IT74:IT75"/>
    <mergeCell ref="IV74:IV75"/>
    <mergeCell ref="IQ79:IQ80"/>
    <mergeCell ref="IW79:IW80"/>
    <mergeCell ref="IZ79:IZ80"/>
    <mergeCell ref="JL79:JL80"/>
    <mergeCell ref="IK69:IK70"/>
    <mergeCell ref="IM69:IM70"/>
    <mergeCell ref="IG69:IG70"/>
    <mergeCell ref="IC69:IC70"/>
    <mergeCell ref="IR74:IR75"/>
    <mergeCell ref="IK57:IK58"/>
    <mergeCell ref="IN57:IN60"/>
    <mergeCell ref="IL57:IL60"/>
    <mergeCell ref="IK52:IK53"/>
    <mergeCell ref="IL52:IL55"/>
    <mergeCell ref="IM52:IM53"/>
    <mergeCell ref="IN52:IN55"/>
    <mergeCell ref="IK54:IK55"/>
    <mergeCell ref="IM54:IM55"/>
    <mergeCell ref="IM57:IM58"/>
    <mergeCell ref="IC59:IC60"/>
    <mergeCell ref="IG59:IG60"/>
    <mergeCell ref="IK59:IK60"/>
    <mergeCell ref="IM59:IM60"/>
    <mergeCell ref="IH52:IH55"/>
    <mergeCell ref="IT49:IT50"/>
    <mergeCell ref="IV49:IV50"/>
    <mergeCell ref="IR62:IR63"/>
    <mergeCell ref="IP52:IP53"/>
    <mergeCell ref="IP54:IP55"/>
    <mergeCell ref="IP57:IP58"/>
    <mergeCell ref="IP59:IP60"/>
    <mergeCell ref="IQ77:IQ78"/>
    <mergeCell ref="IP47:IP48"/>
    <mergeCell ref="IR79:IR80"/>
    <mergeCell ref="IS79:IS80"/>
    <mergeCell ref="IG49:IG50"/>
    <mergeCell ref="HY58:HY59"/>
    <mergeCell ref="HZ58:HZ59"/>
    <mergeCell ref="IB52:IB54"/>
    <mergeCell ref="IC52:IC53"/>
    <mergeCell ref="IF52:IF55"/>
    <mergeCell ref="IG52:IG53"/>
    <mergeCell ref="JX4:JX6"/>
    <mergeCell ref="JJ4:JJ6"/>
    <mergeCell ref="JL4:JL6"/>
    <mergeCell ref="JN4:JN6"/>
    <mergeCell ref="JP4:JP6"/>
    <mergeCell ref="JZ4:JZ6"/>
    <mergeCell ref="JX47:JX48"/>
    <mergeCell ref="JX49:JX50"/>
    <mergeCell ref="JZ47:JZ48"/>
    <mergeCell ref="JZ49:JZ50"/>
    <mergeCell ref="AH20:AM20"/>
    <mergeCell ref="AH22:AM22"/>
    <mergeCell ref="AH24:AM24"/>
    <mergeCell ref="IQ62:IQ63"/>
    <mergeCell ref="IW62:IW63"/>
    <mergeCell ref="IZ62:IZ63"/>
    <mergeCell ref="IQ64:IQ65"/>
    <mergeCell ref="IW64:IW65"/>
    <mergeCell ref="IZ64:IZ65"/>
    <mergeCell ref="IQ67:IQ68"/>
    <mergeCell ref="IW67:IW68"/>
    <mergeCell ref="IZ67:IZ68"/>
    <mergeCell ref="IQ69:IQ70"/>
    <mergeCell ref="IW69:IW70"/>
    <mergeCell ref="IZ69:IZ70"/>
    <mergeCell ref="IQ72:IQ73"/>
    <mergeCell ref="IW72:IW73"/>
    <mergeCell ref="IZ72:IZ73"/>
    <mergeCell ref="IQ74:IQ75"/>
    <mergeCell ref="IW74:IW75"/>
    <mergeCell ref="IZ74:IZ75"/>
    <mergeCell ref="HM68:HM69"/>
    <mergeCell ref="HN68:HN69"/>
    <mergeCell ref="HO68:HO69"/>
    <mergeCell ref="HP68:HP69"/>
    <mergeCell ref="HQ68:HQ69"/>
    <mergeCell ref="GM58:GM59"/>
    <mergeCell ref="GN58:GN59"/>
    <mergeCell ref="GP58:GP59"/>
    <mergeCell ref="GQ58:GQ59"/>
    <mergeCell ref="HH58:HH59"/>
    <mergeCell ref="HU58:HU59"/>
    <mergeCell ref="HV58:HV59"/>
    <mergeCell ref="DF69:DF70"/>
    <mergeCell ref="CU72:CU73"/>
    <mergeCell ref="CV72:CV73"/>
    <mergeCell ref="CW72:CW73"/>
    <mergeCell ref="CX72:CX73"/>
    <mergeCell ref="AW72:AW75"/>
    <mergeCell ref="EF67:EF70"/>
    <mergeCell ref="FX72:FX73"/>
    <mergeCell ref="DO67:DO70"/>
    <mergeCell ref="DH62:DH63"/>
    <mergeCell ref="DJ64:DJ65"/>
    <mergeCell ref="DK67:DK70"/>
    <mergeCell ref="DT67:DT68"/>
    <mergeCell ref="DU67:DU70"/>
    <mergeCell ref="DV67:DV70"/>
    <mergeCell ref="DX67:DX70"/>
    <mergeCell ref="DN69:DN70"/>
    <mergeCell ref="DR69:DR70"/>
    <mergeCell ref="JR4:JR6"/>
    <mergeCell ref="JR62:JR63"/>
    <mergeCell ref="JR64:JR65"/>
    <mergeCell ref="JR100:JR101"/>
    <mergeCell ref="JT100:JT101"/>
    <mergeCell ref="JV100:JV101"/>
    <mergeCell ref="JX100:JX101"/>
    <mergeCell ref="JZ100:JZ101"/>
    <mergeCell ref="HG101:HG102"/>
    <mergeCell ref="FP102:FP103"/>
    <mergeCell ref="IP102:IP103"/>
    <mergeCell ref="IQ102:IQ103"/>
    <mergeCell ref="IU102:IU103"/>
    <mergeCell ref="IW102:IW103"/>
    <mergeCell ref="IZ102:IZ103"/>
    <mergeCell ref="JC102:JC103"/>
    <mergeCell ref="JD102:JD103"/>
    <mergeCell ref="JE102:JE103"/>
    <mergeCell ref="JR102:JR103"/>
    <mergeCell ref="JT102:JT103"/>
    <mergeCell ref="JV102:JV103"/>
    <mergeCell ref="JX102:JX103"/>
    <mergeCell ref="JZ102:JZ103"/>
    <mergeCell ref="FP105:FP106"/>
    <mergeCell ref="IP105:IP106"/>
    <mergeCell ref="IQ105:IQ106"/>
    <mergeCell ref="IU105:IU106"/>
    <mergeCell ref="IW105:IW106"/>
    <mergeCell ref="IZ105:IZ106"/>
    <mergeCell ref="JC105:JC106"/>
    <mergeCell ref="JD105:JD106"/>
    <mergeCell ref="JE105:JE106"/>
    <mergeCell ref="JR105:JR106"/>
    <mergeCell ref="JT105:JT106"/>
    <mergeCell ref="JV105:JV106"/>
    <mergeCell ref="JX105:JX106"/>
    <mergeCell ref="JZ105:JZ106"/>
    <mergeCell ref="HG106:HG107"/>
    <mergeCell ref="FP107:FP108"/>
    <mergeCell ref="IP107:IP108"/>
    <mergeCell ref="IQ107:IQ108"/>
    <mergeCell ref="IU107:IU108"/>
    <mergeCell ref="IW107:IW108"/>
    <mergeCell ref="IZ107:IZ108"/>
    <mergeCell ref="JC107:JC108"/>
    <mergeCell ref="JD107:JD108"/>
    <mergeCell ref="JE107:JE108"/>
    <mergeCell ref="JR107:JR108"/>
    <mergeCell ref="JT107:JT108"/>
    <mergeCell ref="JV107:JV108"/>
    <mergeCell ref="JX107:JX108"/>
    <mergeCell ref="JZ107:JZ108"/>
    <mergeCell ref="FY100:FY101"/>
    <mergeCell ref="FY102:FY103"/>
    <mergeCell ref="GB100:GB103"/>
    <mergeCell ref="IG100:IG101"/>
    <mergeCell ref="FU102:FU103"/>
    <mergeCell ref="FY107:FY108"/>
    <mergeCell ref="FW102:FW103"/>
    <mergeCell ref="FX102:FX103"/>
    <mergeCell ref="FT105:FT106"/>
    <mergeCell ref="FU105:FU106"/>
    <mergeCell ref="FV105:FV106"/>
    <mergeCell ref="FW105:FW106"/>
    <mergeCell ref="FQ107:FQ108"/>
    <mergeCell ref="FS107:FS108"/>
    <mergeCell ref="FT107:FT108"/>
    <mergeCell ref="JR110:JR111"/>
    <mergeCell ref="JT110:JT111"/>
    <mergeCell ref="JV110:JV111"/>
    <mergeCell ref="JX110:JX111"/>
    <mergeCell ref="JZ110:JZ111"/>
    <mergeCell ref="HG111:HG112"/>
    <mergeCell ref="FP112:FP113"/>
    <mergeCell ref="IP112:IP113"/>
    <mergeCell ref="IQ112:IQ113"/>
    <mergeCell ref="IU112:IU113"/>
    <mergeCell ref="IW112:IW113"/>
    <mergeCell ref="IZ112:IZ113"/>
    <mergeCell ref="JC112:JC113"/>
    <mergeCell ref="JD112:JD113"/>
    <mergeCell ref="JE112:JE113"/>
    <mergeCell ref="JR112:JR113"/>
    <mergeCell ref="JT112:JT113"/>
    <mergeCell ref="JV112:JV113"/>
    <mergeCell ref="JX112:JX113"/>
    <mergeCell ref="JZ112:JZ113"/>
    <mergeCell ref="FP115:FP116"/>
    <mergeCell ref="IP115:IP116"/>
    <mergeCell ref="IQ115:IQ116"/>
    <mergeCell ref="IU115:IU116"/>
    <mergeCell ref="IW115:IW116"/>
    <mergeCell ref="IZ115:IZ116"/>
    <mergeCell ref="JC115:JC116"/>
    <mergeCell ref="JD115:JD116"/>
    <mergeCell ref="JE115:JE116"/>
    <mergeCell ref="JR115:JR116"/>
    <mergeCell ref="JT115:JT116"/>
    <mergeCell ref="JV115:JV116"/>
    <mergeCell ref="JX115:JX116"/>
    <mergeCell ref="JZ115:JZ116"/>
    <mergeCell ref="HG116:HG117"/>
    <mergeCell ref="FP117:FP118"/>
    <mergeCell ref="IP117:IP118"/>
    <mergeCell ref="IQ117:IQ118"/>
    <mergeCell ref="IU117:IU118"/>
    <mergeCell ref="IW117:IW118"/>
    <mergeCell ref="IZ117:IZ118"/>
    <mergeCell ref="JC117:JC118"/>
    <mergeCell ref="JD117:JD118"/>
    <mergeCell ref="JE117:JE118"/>
    <mergeCell ref="JR117:JR118"/>
    <mergeCell ref="JT117:JT118"/>
    <mergeCell ref="JV117:JV118"/>
    <mergeCell ref="JX117:JX118"/>
    <mergeCell ref="JZ117:JZ118"/>
    <mergeCell ref="FY117:FY118"/>
    <mergeCell ref="IR117:IR118"/>
    <mergeCell ref="IS117:IS118"/>
    <mergeCell ref="IT117:IT118"/>
    <mergeCell ref="IV117:IV118"/>
    <mergeCell ref="IX117:IX118"/>
    <mergeCell ref="JH110:JH111"/>
    <mergeCell ref="FV110:FV111"/>
    <mergeCell ref="FW110:FW111"/>
    <mergeCell ref="FX110:FX111"/>
    <mergeCell ref="IK112:IK113"/>
    <mergeCell ref="IM112:IM113"/>
    <mergeCell ref="FQ117:FQ118"/>
    <mergeCell ref="HO116:HO117"/>
    <mergeCell ref="HP116:HP117"/>
    <mergeCell ref="JR120:JR121"/>
    <mergeCell ref="JT120:JT121"/>
    <mergeCell ref="JV120:JV121"/>
    <mergeCell ref="JX120:JX121"/>
    <mergeCell ref="JZ120:JZ121"/>
    <mergeCell ref="HG121:HG122"/>
    <mergeCell ref="FP122:FP123"/>
    <mergeCell ref="IP122:IP123"/>
    <mergeCell ref="IQ122:IQ123"/>
    <mergeCell ref="IU122:IU123"/>
    <mergeCell ref="IW122:IW123"/>
    <mergeCell ref="IZ122:IZ123"/>
    <mergeCell ref="JC122:JC123"/>
    <mergeCell ref="JD122:JD123"/>
    <mergeCell ref="JE122:JE123"/>
    <mergeCell ref="JR122:JR123"/>
    <mergeCell ref="JT122:JT123"/>
    <mergeCell ref="JV122:JV123"/>
    <mergeCell ref="JX122:JX123"/>
    <mergeCell ref="JZ122:JZ123"/>
    <mergeCell ref="FP125:FP126"/>
    <mergeCell ref="IP125:IP126"/>
    <mergeCell ref="IQ125:IQ126"/>
    <mergeCell ref="IU125:IU126"/>
    <mergeCell ref="IW125:IW126"/>
    <mergeCell ref="IZ125:IZ126"/>
    <mergeCell ref="JC125:JC126"/>
    <mergeCell ref="JD125:JD126"/>
    <mergeCell ref="JE125:JE126"/>
    <mergeCell ref="JR125:JR126"/>
    <mergeCell ref="JT125:JT126"/>
    <mergeCell ref="JV125:JV126"/>
    <mergeCell ref="JX125:JX126"/>
    <mergeCell ref="JZ125:JZ126"/>
    <mergeCell ref="HG126:HG127"/>
    <mergeCell ref="FP127:FP128"/>
    <mergeCell ref="IP127:IP128"/>
    <mergeCell ref="IQ127:IQ128"/>
    <mergeCell ref="IU127:IU128"/>
    <mergeCell ref="IW127:IW128"/>
    <mergeCell ref="IZ127:IZ128"/>
    <mergeCell ref="JC127:JC128"/>
    <mergeCell ref="JD127:JD128"/>
    <mergeCell ref="JE127:JE128"/>
    <mergeCell ref="JR127:JR128"/>
    <mergeCell ref="JT127:JT128"/>
    <mergeCell ref="JV127:JV128"/>
    <mergeCell ref="JX127:JX128"/>
    <mergeCell ref="JZ127:JZ128"/>
    <mergeCell ref="JL122:JL123"/>
    <mergeCell ref="JL125:JL126"/>
    <mergeCell ref="JL127:JL128"/>
    <mergeCell ref="IR127:IR128"/>
    <mergeCell ref="IS127:IS128"/>
    <mergeCell ref="IT127:IT128"/>
    <mergeCell ref="IV127:IV128"/>
    <mergeCell ref="IX127:IX128"/>
    <mergeCell ref="JG125:JG126"/>
    <mergeCell ref="HP126:HP127"/>
    <mergeCell ref="HX126:HX127"/>
    <mergeCell ref="HZ121:HZ122"/>
    <mergeCell ref="ID121:ID122"/>
    <mergeCell ref="FW120:FW121"/>
    <mergeCell ref="FX120:FX121"/>
    <mergeCell ref="JR130:JR131"/>
    <mergeCell ref="JT130:JT131"/>
    <mergeCell ref="JV130:JV131"/>
    <mergeCell ref="JX130:JX131"/>
    <mergeCell ref="JZ130:JZ131"/>
    <mergeCell ref="HG131:HG132"/>
    <mergeCell ref="FP132:FP133"/>
    <mergeCell ref="IP132:IP133"/>
    <mergeCell ref="IQ132:IQ133"/>
    <mergeCell ref="IU132:IU133"/>
    <mergeCell ref="IW132:IW133"/>
    <mergeCell ref="IZ132:IZ133"/>
    <mergeCell ref="JC132:JC133"/>
    <mergeCell ref="JD132:JD133"/>
    <mergeCell ref="JE132:JE133"/>
    <mergeCell ref="JR132:JR133"/>
    <mergeCell ref="JT132:JT133"/>
    <mergeCell ref="JV132:JV133"/>
    <mergeCell ref="JX132:JX133"/>
    <mergeCell ref="JZ132:JZ133"/>
    <mergeCell ref="FP135:FP136"/>
    <mergeCell ref="IP135:IP136"/>
    <mergeCell ref="IQ135:IQ136"/>
    <mergeCell ref="IU135:IU136"/>
    <mergeCell ref="IW135:IW136"/>
    <mergeCell ref="IZ135:IZ136"/>
    <mergeCell ref="JC135:JC136"/>
    <mergeCell ref="JD135:JD136"/>
    <mergeCell ref="JE135:JE136"/>
    <mergeCell ref="JR135:JR136"/>
    <mergeCell ref="JT135:JT136"/>
    <mergeCell ref="JV135:JV136"/>
    <mergeCell ref="JX135:JX136"/>
    <mergeCell ref="JZ135:JZ136"/>
    <mergeCell ref="HG136:HG137"/>
    <mergeCell ref="FP137:FP138"/>
    <mergeCell ref="IP137:IP138"/>
    <mergeCell ref="IQ137:IQ138"/>
    <mergeCell ref="IU137:IU138"/>
    <mergeCell ref="IW137:IW138"/>
    <mergeCell ref="IZ137:IZ138"/>
    <mergeCell ref="JC137:JC138"/>
    <mergeCell ref="JD137:JD138"/>
    <mergeCell ref="JE137:JE138"/>
    <mergeCell ref="JR137:JR138"/>
    <mergeCell ref="JT137:JT138"/>
    <mergeCell ref="JV137:JV138"/>
    <mergeCell ref="JX137:JX138"/>
    <mergeCell ref="JZ137:JZ138"/>
    <mergeCell ref="JL132:JL133"/>
    <mergeCell ref="JL135:JL136"/>
    <mergeCell ref="JL137:JL138"/>
    <mergeCell ref="JL130:JL131"/>
    <mergeCell ref="JG130:JG131"/>
    <mergeCell ref="JH130:JH131"/>
    <mergeCell ref="FY130:FY131"/>
    <mergeCell ref="GC130:GC133"/>
    <mergeCell ref="IN135:IN138"/>
    <mergeCell ref="IM137:IM138"/>
    <mergeCell ref="FV135:FV136"/>
    <mergeCell ref="JH132:JH133"/>
    <mergeCell ref="JJ132:JJ133"/>
    <mergeCell ref="JG135:JG136"/>
    <mergeCell ref="JH135:JH136"/>
    <mergeCell ref="JR140:JR141"/>
    <mergeCell ref="JT140:JT141"/>
    <mergeCell ref="JV140:JV141"/>
    <mergeCell ref="JX140:JX141"/>
    <mergeCell ref="JZ140:JZ141"/>
    <mergeCell ref="HG141:HG142"/>
    <mergeCell ref="FP142:FP143"/>
    <mergeCell ref="IP142:IP143"/>
    <mergeCell ref="IQ142:IQ143"/>
    <mergeCell ref="IU142:IU143"/>
    <mergeCell ref="IW142:IW143"/>
    <mergeCell ref="IZ142:IZ143"/>
    <mergeCell ref="JC142:JC143"/>
    <mergeCell ref="JD142:JD143"/>
    <mergeCell ref="JE142:JE143"/>
    <mergeCell ref="JR142:JR143"/>
    <mergeCell ref="JT142:JT143"/>
    <mergeCell ref="JV142:JV143"/>
    <mergeCell ref="JX142:JX143"/>
    <mergeCell ref="JZ142:JZ143"/>
    <mergeCell ref="FP145:FP146"/>
    <mergeCell ref="IP145:IP146"/>
    <mergeCell ref="IQ145:IQ146"/>
    <mergeCell ref="IU145:IU146"/>
    <mergeCell ref="IW145:IW146"/>
    <mergeCell ref="IZ145:IZ146"/>
    <mergeCell ref="JC145:JC146"/>
    <mergeCell ref="JD145:JD146"/>
    <mergeCell ref="JE145:JE146"/>
    <mergeCell ref="JR145:JR146"/>
    <mergeCell ref="JT145:JT146"/>
    <mergeCell ref="JV145:JV146"/>
    <mergeCell ref="JX145:JX146"/>
    <mergeCell ref="JZ145:JZ146"/>
    <mergeCell ref="HG146:HG147"/>
    <mergeCell ref="FP147:FP148"/>
    <mergeCell ref="IP147:IP148"/>
    <mergeCell ref="IQ147:IQ148"/>
    <mergeCell ref="IU147:IU148"/>
    <mergeCell ref="IW147:IW148"/>
    <mergeCell ref="IZ147:IZ148"/>
    <mergeCell ref="JC147:JC148"/>
    <mergeCell ref="JD147:JD148"/>
    <mergeCell ref="JE147:JE148"/>
    <mergeCell ref="JR147:JR148"/>
    <mergeCell ref="JT147:JT148"/>
    <mergeCell ref="JV147:JV148"/>
    <mergeCell ref="JX147:JX148"/>
    <mergeCell ref="JZ147:JZ148"/>
    <mergeCell ref="JL140:JL141"/>
    <mergeCell ref="JL142:JL143"/>
    <mergeCell ref="JL145:JL146"/>
    <mergeCell ref="JL147:JL148"/>
    <mergeCell ref="IR140:IR141"/>
    <mergeCell ref="IS140:IS141"/>
    <mergeCell ref="IT140:IT141"/>
    <mergeCell ref="IV140:IV141"/>
    <mergeCell ref="IX140:IX141"/>
    <mergeCell ref="FY142:FY143"/>
    <mergeCell ref="IR142:IR143"/>
    <mergeCell ref="IS142:IS143"/>
    <mergeCell ref="IP140:IP141"/>
    <mergeCell ref="IQ140:IQ141"/>
    <mergeCell ref="IU140:IU141"/>
    <mergeCell ref="JR150:JR151"/>
    <mergeCell ref="JT150:JT151"/>
    <mergeCell ref="JV150:JV151"/>
    <mergeCell ref="JX150:JX151"/>
    <mergeCell ref="JZ150:JZ151"/>
    <mergeCell ref="HG151:HG152"/>
    <mergeCell ref="FP152:FP153"/>
    <mergeCell ref="IP152:IP153"/>
    <mergeCell ref="IQ152:IQ153"/>
    <mergeCell ref="IU152:IU153"/>
    <mergeCell ref="IW152:IW153"/>
    <mergeCell ref="IZ152:IZ153"/>
    <mergeCell ref="JC152:JC153"/>
    <mergeCell ref="JD152:JD153"/>
    <mergeCell ref="JE152:JE153"/>
    <mergeCell ref="JR152:JR153"/>
    <mergeCell ref="JT152:JT153"/>
    <mergeCell ref="JV152:JV153"/>
    <mergeCell ref="JX152:JX153"/>
    <mergeCell ref="JZ152:JZ153"/>
    <mergeCell ref="FP155:FP156"/>
    <mergeCell ref="IP155:IP156"/>
    <mergeCell ref="IQ155:IQ156"/>
    <mergeCell ref="IU155:IU156"/>
    <mergeCell ref="IW155:IW156"/>
    <mergeCell ref="IZ155:IZ156"/>
    <mergeCell ref="JC155:JC156"/>
    <mergeCell ref="JD155:JD156"/>
    <mergeCell ref="JE155:JE156"/>
    <mergeCell ref="JR155:JR156"/>
    <mergeCell ref="JT155:JT156"/>
    <mergeCell ref="JV155:JV156"/>
    <mergeCell ref="JX155:JX156"/>
    <mergeCell ref="JZ155:JZ156"/>
    <mergeCell ref="HG156:HG157"/>
    <mergeCell ref="FP157:FP158"/>
    <mergeCell ref="IP157:IP158"/>
    <mergeCell ref="IQ157:IQ158"/>
    <mergeCell ref="IU157:IU158"/>
    <mergeCell ref="IW157:IW158"/>
    <mergeCell ref="IZ157:IZ158"/>
    <mergeCell ref="JC157:JC158"/>
    <mergeCell ref="JD157:JD158"/>
    <mergeCell ref="JE157:JE158"/>
    <mergeCell ref="JR157:JR158"/>
    <mergeCell ref="JT157:JT158"/>
    <mergeCell ref="JV157:JV158"/>
    <mergeCell ref="JX157:JX158"/>
    <mergeCell ref="JZ157:JZ158"/>
    <mergeCell ref="JL150:JL151"/>
    <mergeCell ref="JL152:JL153"/>
    <mergeCell ref="JL155:JL156"/>
    <mergeCell ref="JL157:JL158"/>
    <mergeCell ref="IR152:IR153"/>
    <mergeCell ref="IS152:IS153"/>
    <mergeCell ref="IT152:IT153"/>
    <mergeCell ref="GQ151:GQ152"/>
    <mergeCell ref="HH151:HH152"/>
    <mergeCell ref="HI151:HI152"/>
    <mergeCell ref="HJ151:HJ152"/>
    <mergeCell ref="HK151:HK152"/>
    <mergeCell ref="HL151:HL152"/>
    <mergeCell ref="HM151:HM152"/>
    <mergeCell ref="HN151:HN152"/>
    <mergeCell ref="JR160:JR161"/>
    <mergeCell ref="JT160:JT161"/>
    <mergeCell ref="JV160:JV161"/>
    <mergeCell ref="JX160:JX161"/>
    <mergeCell ref="JZ160:JZ161"/>
    <mergeCell ref="HG161:HG162"/>
    <mergeCell ref="FP162:FP163"/>
    <mergeCell ref="IP162:IP163"/>
    <mergeCell ref="IQ162:IQ163"/>
    <mergeCell ref="IU162:IU163"/>
    <mergeCell ref="IW162:IW163"/>
    <mergeCell ref="IZ162:IZ163"/>
    <mergeCell ref="JC162:JC163"/>
    <mergeCell ref="JD162:JD163"/>
    <mergeCell ref="JE162:JE163"/>
    <mergeCell ref="JR162:JR163"/>
    <mergeCell ref="JT162:JT163"/>
    <mergeCell ref="JV162:JV163"/>
    <mergeCell ref="JX162:JX163"/>
    <mergeCell ref="JZ162:JZ163"/>
    <mergeCell ref="FP165:FP166"/>
    <mergeCell ref="IP165:IP166"/>
    <mergeCell ref="IQ165:IQ166"/>
    <mergeCell ref="IU165:IU166"/>
    <mergeCell ref="IW165:IW166"/>
    <mergeCell ref="IZ165:IZ166"/>
    <mergeCell ref="JC165:JC166"/>
    <mergeCell ref="JD165:JD166"/>
    <mergeCell ref="JE165:JE166"/>
    <mergeCell ref="JR165:JR166"/>
    <mergeCell ref="JT165:JT166"/>
    <mergeCell ref="JV165:JV166"/>
    <mergeCell ref="JX165:JX166"/>
    <mergeCell ref="JZ165:JZ166"/>
    <mergeCell ref="HG166:HG167"/>
    <mergeCell ref="FP167:FP168"/>
    <mergeCell ref="IP167:IP168"/>
    <mergeCell ref="IQ167:IQ168"/>
    <mergeCell ref="IU167:IU168"/>
    <mergeCell ref="IW167:IW168"/>
    <mergeCell ref="IZ167:IZ168"/>
    <mergeCell ref="JC167:JC168"/>
    <mergeCell ref="JD167:JD168"/>
    <mergeCell ref="JE167:JE168"/>
    <mergeCell ref="JR167:JR168"/>
    <mergeCell ref="JT167:JT168"/>
    <mergeCell ref="JV167:JV168"/>
    <mergeCell ref="JX167:JX168"/>
    <mergeCell ref="JZ167:JZ168"/>
    <mergeCell ref="JL160:JL161"/>
    <mergeCell ref="JL162:JL163"/>
    <mergeCell ref="JL165:JL166"/>
    <mergeCell ref="JL167:JL168"/>
    <mergeCell ref="IR165:IR166"/>
    <mergeCell ref="IS165:IS166"/>
    <mergeCell ref="IG167:IG168"/>
    <mergeCell ref="IT165:IT166"/>
    <mergeCell ref="IP160:IP161"/>
    <mergeCell ref="IV165:IV166"/>
    <mergeCell ref="IX165:IX166"/>
    <mergeCell ref="FY167:FY168"/>
    <mergeCell ref="IR167:IR168"/>
    <mergeCell ref="IS167:IS168"/>
    <mergeCell ref="IT167:IT168"/>
    <mergeCell ref="JR173:JR174"/>
    <mergeCell ref="JT173:JT174"/>
    <mergeCell ref="JV173:JV174"/>
    <mergeCell ref="JX173:JX174"/>
    <mergeCell ref="JZ173:JZ174"/>
    <mergeCell ref="HG174:HG175"/>
    <mergeCell ref="FP175:FP176"/>
    <mergeCell ref="IP175:IP176"/>
    <mergeCell ref="IQ175:IQ176"/>
    <mergeCell ref="IU175:IU176"/>
    <mergeCell ref="IW175:IW176"/>
    <mergeCell ref="IZ175:IZ176"/>
    <mergeCell ref="JC175:JC176"/>
    <mergeCell ref="JD175:JD176"/>
    <mergeCell ref="JE175:JE176"/>
    <mergeCell ref="JR175:JR176"/>
    <mergeCell ref="JT175:JT176"/>
    <mergeCell ref="JV175:JV176"/>
    <mergeCell ref="JX175:JX176"/>
    <mergeCell ref="JZ175:JZ176"/>
    <mergeCell ref="FP178:FP179"/>
    <mergeCell ref="IP178:IP179"/>
    <mergeCell ref="IQ178:IQ179"/>
    <mergeCell ref="IU178:IU179"/>
    <mergeCell ref="IW178:IW179"/>
    <mergeCell ref="IZ178:IZ179"/>
    <mergeCell ref="JC178:JC179"/>
    <mergeCell ref="JD178:JD179"/>
    <mergeCell ref="JE178:JE179"/>
    <mergeCell ref="JR178:JR179"/>
    <mergeCell ref="JT178:JT179"/>
    <mergeCell ref="JV178:JV179"/>
    <mergeCell ref="JX178:JX179"/>
    <mergeCell ref="JZ178:JZ179"/>
    <mergeCell ref="HG179:HG180"/>
    <mergeCell ref="FP180:FP181"/>
    <mergeCell ref="IP180:IP181"/>
    <mergeCell ref="IQ180:IQ181"/>
    <mergeCell ref="IU180:IU181"/>
    <mergeCell ref="IW180:IW181"/>
    <mergeCell ref="IZ180:IZ181"/>
    <mergeCell ref="JC180:JC181"/>
    <mergeCell ref="JD180:JD181"/>
    <mergeCell ref="JE180:JE181"/>
    <mergeCell ref="JR180:JR181"/>
    <mergeCell ref="JT180:JT181"/>
    <mergeCell ref="JV180:JV181"/>
    <mergeCell ref="JX180:JX181"/>
    <mergeCell ref="JZ180:JZ181"/>
    <mergeCell ref="JL173:JL174"/>
    <mergeCell ref="JL175:JL176"/>
    <mergeCell ref="JL178:JL179"/>
    <mergeCell ref="JL180:JL181"/>
    <mergeCell ref="ID174:ID175"/>
    <mergeCell ref="IL178:IL181"/>
    <mergeCell ref="IM178:IM179"/>
    <mergeCell ref="GM179:GM180"/>
    <mergeCell ref="GN179:GN180"/>
    <mergeCell ref="GP179:GP180"/>
    <mergeCell ref="GQ179:GQ180"/>
    <mergeCell ref="HH179:HH180"/>
    <mergeCell ref="FP173:FP174"/>
    <mergeCell ref="HI179:HI180"/>
    <mergeCell ref="HJ179:HJ180"/>
    <mergeCell ref="JR183:JR184"/>
    <mergeCell ref="JT183:JT184"/>
    <mergeCell ref="JV183:JV184"/>
    <mergeCell ref="JX183:JX184"/>
    <mergeCell ref="JZ183:JZ184"/>
    <mergeCell ref="HG184:HG185"/>
    <mergeCell ref="FP185:FP186"/>
    <mergeCell ref="IP185:IP186"/>
    <mergeCell ref="IQ185:IQ186"/>
    <mergeCell ref="IU185:IU186"/>
    <mergeCell ref="IW185:IW186"/>
    <mergeCell ref="IZ185:IZ186"/>
    <mergeCell ref="JC185:JC186"/>
    <mergeCell ref="JD185:JD186"/>
    <mergeCell ref="JE185:JE186"/>
    <mergeCell ref="JR185:JR186"/>
    <mergeCell ref="JT185:JT186"/>
    <mergeCell ref="JV185:JV186"/>
    <mergeCell ref="JX185:JX186"/>
    <mergeCell ref="JZ185:JZ186"/>
    <mergeCell ref="FP188:FP189"/>
    <mergeCell ref="IP188:IP189"/>
    <mergeCell ref="IQ188:IQ189"/>
    <mergeCell ref="IU188:IU189"/>
    <mergeCell ref="IW188:IW189"/>
    <mergeCell ref="IZ188:IZ189"/>
    <mergeCell ref="JC188:JC189"/>
    <mergeCell ref="JD188:JD189"/>
    <mergeCell ref="JE188:JE189"/>
    <mergeCell ref="JR188:JR189"/>
    <mergeCell ref="JT188:JT189"/>
    <mergeCell ref="JV188:JV189"/>
    <mergeCell ref="JX188:JX189"/>
    <mergeCell ref="JZ188:JZ189"/>
    <mergeCell ref="HG189:HG190"/>
    <mergeCell ref="FP190:FP191"/>
    <mergeCell ref="IP190:IP191"/>
    <mergeCell ref="IQ190:IQ191"/>
    <mergeCell ref="IU190:IU191"/>
    <mergeCell ref="IW190:IW191"/>
    <mergeCell ref="IZ190:IZ191"/>
    <mergeCell ref="JC190:JC191"/>
    <mergeCell ref="JD190:JD191"/>
    <mergeCell ref="JE190:JE191"/>
    <mergeCell ref="JR190:JR191"/>
    <mergeCell ref="JT190:JT191"/>
    <mergeCell ref="JV190:JV191"/>
    <mergeCell ref="JX190:JX191"/>
    <mergeCell ref="JZ190:JZ191"/>
    <mergeCell ref="JL183:JL184"/>
    <mergeCell ref="JL185:JL186"/>
    <mergeCell ref="JL188:JL189"/>
    <mergeCell ref="JL190:JL191"/>
    <mergeCell ref="IR183:IR184"/>
    <mergeCell ref="IS183:IS184"/>
    <mergeCell ref="IT183:IT184"/>
    <mergeCell ref="IV183:IV184"/>
    <mergeCell ref="IX183:IX184"/>
    <mergeCell ref="FY185:FY186"/>
    <mergeCell ref="IR185:IR186"/>
    <mergeCell ref="IS185:IS186"/>
    <mergeCell ref="IW183:IW184"/>
    <mergeCell ref="FQ190:FQ191"/>
    <mergeCell ref="FS190:FS191"/>
    <mergeCell ref="JR193:JR194"/>
    <mergeCell ref="JT193:JT194"/>
    <mergeCell ref="JV193:JV194"/>
    <mergeCell ref="JX193:JX194"/>
    <mergeCell ref="JZ193:JZ194"/>
    <mergeCell ref="HG194:HG195"/>
    <mergeCell ref="FP195:FP196"/>
    <mergeCell ref="IP195:IP196"/>
    <mergeCell ref="IQ195:IQ196"/>
    <mergeCell ref="IU195:IU196"/>
    <mergeCell ref="IW195:IW196"/>
    <mergeCell ref="IZ195:IZ196"/>
    <mergeCell ref="JC195:JC196"/>
    <mergeCell ref="JD195:JD196"/>
    <mergeCell ref="JE195:JE196"/>
    <mergeCell ref="JR195:JR196"/>
    <mergeCell ref="JT195:JT196"/>
    <mergeCell ref="JV195:JV196"/>
    <mergeCell ref="JX195:JX196"/>
    <mergeCell ref="JZ195:JZ196"/>
    <mergeCell ref="FP198:FP199"/>
    <mergeCell ref="IP198:IP199"/>
    <mergeCell ref="IQ198:IQ199"/>
    <mergeCell ref="IU198:IU199"/>
    <mergeCell ref="IW198:IW199"/>
    <mergeCell ref="IZ198:IZ199"/>
    <mergeCell ref="JC198:JC199"/>
    <mergeCell ref="JD198:JD199"/>
    <mergeCell ref="JE198:JE199"/>
    <mergeCell ref="JR198:JR199"/>
    <mergeCell ref="JT198:JT199"/>
    <mergeCell ref="JV198:JV199"/>
    <mergeCell ref="JX198:JX199"/>
    <mergeCell ref="JZ198:JZ199"/>
    <mergeCell ref="HG199:HG200"/>
    <mergeCell ref="FP200:FP201"/>
    <mergeCell ref="IP200:IP201"/>
    <mergeCell ref="IQ200:IQ201"/>
    <mergeCell ref="IU200:IU201"/>
    <mergeCell ref="IW200:IW201"/>
    <mergeCell ref="IZ200:IZ201"/>
    <mergeCell ref="JC200:JC201"/>
    <mergeCell ref="JD200:JD201"/>
    <mergeCell ref="JE200:JE201"/>
    <mergeCell ref="JR200:JR201"/>
    <mergeCell ref="JT200:JT201"/>
    <mergeCell ref="JV200:JV201"/>
    <mergeCell ref="JX200:JX201"/>
    <mergeCell ref="JZ200:JZ201"/>
    <mergeCell ref="JL193:JL194"/>
    <mergeCell ref="JL195:JL196"/>
    <mergeCell ref="JL198:JL199"/>
    <mergeCell ref="JL200:JL201"/>
    <mergeCell ref="IR193:IR194"/>
    <mergeCell ref="IS193:IS194"/>
    <mergeCell ref="IT193:IT194"/>
    <mergeCell ref="FY195:FY196"/>
    <mergeCell ref="IR195:IR196"/>
    <mergeCell ref="IS195:IS196"/>
    <mergeCell ref="HJ194:HJ195"/>
    <mergeCell ref="HK194:HK195"/>
    <mergeCell ref="GA193:GA196"/>
    <mergeCell ref="GB193:GB196"/>
    <mergeCell ref="IP193:IP194"/>
    <mergeCell ref="JR203:JR204"/>
    <mergeCell ref="JT203:JT204"/>
    <mergeCell ref="JV203:JV204"/>
    <mergeCell ref="JX203:JX204"/>
    <mergeCell ref="JZ203:JZ204"/>
    <mergeCell ref="HG204:HG205"/>
    <mergeCell ref="FP205:FP206"/>
    <mergeCell ref="IP205:IP206"/>
    <mergeCell ref="IQ205:IQ206"/>
    <mergeCell ref="IU205:IU206"/>
    <mergeCell ref="IW205:IW206"/>
    <mergeCell ref="IZ205:IZ206"/>
    <mergeCell ref="JC205:JC206"/>
    <mergeCell ref="JD205:JD206"/>
    <mergeCell ref="JE205:JE206"/>
    <mergeCell ref="JR205:JR206"/>
    <mergeCell ref="JT205:JT206"/>
    <mergeCell ref="JV205:JV206"/>
    <mergeCell ref="JX205:JX206"/>
    <mergeCell ref="JZ205:JZ206"/>
    <mergeCell ref="FP208:FP209"/>
    <mergeCell ref="IP208:IP209"/>
    <mergeCell ref="IQ208:IQ209"/>
    <mergeCell ref="IU208:IU209"/>
    <mergeCell ref="IW208:IW209"/>
    <mergeCell ref="IZ208:IZ209"/>
    <mergeCell ref="JC208:JC209"/>
    <mergeCell ref="JD208:JD209"/>
    <mergeCell ref="JE208:JE209"/>
    <mergeCell ref="JR208:JR209"/>
    <mergeCell ref="JT208:JT209"/>
    <mergeCell ref="JV208:JV209"/>
    <mergeCell ref="JX208:JX209"/>
    <mergeCell ref="JZ208:JZ209"/>
    <mergeCell ref="HG209:HG210"/>
    <mergeCell ref="FP210:FP211"/>
    <mergeCell ref="IP210:IP211"/>
    <mergeCell ref="IQ210:IQ211"/>
    <mergeCell ref="IU210:IU211"/>
    <mergeCell ref="IW210:IW211"/>
    <mergeCell ref="IZ210:IZ211"/>
    <mergeCell ref="JC210:JC211"/>
    <mergeCell ref="JD210:JD211"/>
    <mergeCell ref="JE210:JE211"/>
    <mergeCell ref="JR210:JR211"/>
    <mergeCell ref="JT210:JT211"/>
    <mergeCell ref="JV210:JV211"/>
    <mergeCell ref="JX210:JX211"/>
    <mergeCell ref="JZ210:JZ211"/>
    <mergeCell ref="JL203:JL204"/>
    <mergeCell ref="JL205:JL206"/>
    <mergeCell ref="JL208:JL209"/>
    <mergeCell ref="JL210:JL211"/>
    <mergeCell ref="IR205:IR206"/>
    <mergeCell ref="IS205:IS206"/>
    <mergeCell ref="IG203:IG204"/>
    <mergeCell ref="IU203:IU204"/>
    <mergeCell ref="IH203:IH206"/>
    <mergeCell ref="IK203:IK204"/>
    <mergeCell ref="IT205:IT206"/>
    <mergeCell ref="IV205:IV206"/>
    <mergeCell ref="IX205:IX206"/>
    <mergeCell ref="GC203:GC206"/>
    <mergeCell ref="GD203:GD206"/>
    <mergeCell ref="JR213:JR214"/>
    <mergeCell ref="JT213:JT214"/>
    <mergeCell ref="JV213:JV214"/>
    <mergeCell ref="JX213:JX214"/>
    <mergeCell ref="JZ213:JZ214"/>
    <mergeCell ref="HG214:HG215"/>
    <mergeCell ref="FP215:FP216"/>
    <mergeCell ref="IP215:IP216"/>
    <mergeCell ref="IQ215:IQ216"/>
    <mergeCell ref="IU215:IU216"/>
    <mergeCell ref="IW215:IW216"/>
    <mergeCell ref="IZ215:IZ216"/>
    <mergeCell ref="JC215:JC216"/>
    <mergeCell ref="JD215:JD216"/>
    <mergeCell ref="JE215:JE216"/>
    <mergeCell ref="JR215:JR216"/>
    <mergeCell ref="JT215:JT216"/>
    <mergeCell ref="JV215:JV216"/>
    <mergeCell ref="JX215:JX216"/>
    <mergeCell ref="JZ215:JZ216"/>
    <mergeCell ref="FP218:FP219"/>
    <mergeCell ref="IP218:IP219"/>
    <mergeCell ref="IQ218:IQ219"/>
    <mergeCell ref="IU218:IU219"/>
    <mergeCell ref="IW218:IW219"/>
    <mergeCell ref="IZ218:IZ219"/>
    <mergeCell ref="JC218:JC219"/>
    <mergeCell ref="JD218:JD219"/>
    <mergeCell ref="JE218:JE219"/>
    <mergeCell ref="JR218:JR219"/>
    <mergeCell ref="JT218:JT219"/>
    <mergeCell ref="JV218:JV219"/>
    <mergeCell ref="JX218:JX219"/>
    <mergeCell ref="JZ218:JZ219"/>
    <mergeCell ref="HG219:HG220"/>
    <mergeCell ref="FP220:FP221"/>
    <mergeCell ref="IP220:IP221"/>
    <mergeCell ref="IQ220:IQ221"/>
    <mergeCell ref="IU220:IU221"/>
    <mergeCell ref="IW220:IW221"/>
    <mergeCell ref="IZ220:IZ221"/>
    <mergeCell ref="JC220:JC221"/>
    <mergeCell ref="JD220:JD221"/>
    <mergeCell ref="JE220:JE221"/>
    <mergeCell ref="JR220:JR221"/>
    <mergeCell ref="JT220:JT221"/>
    <mergeCell ref="JV220:JV221"/>
    <mergeCell ref="JX220:JX221"/>
    <mergeCell ref="JZ220:JZ221"/>
    <mergeCell ref="JL215:JL216"/>
    <mergeCell ref="JL218:JL219"/>
    <mergeCell ref="JL220:JL221"/>
    <mergeCell ref="JL213:JL214"/>
    <mergeCell ref="IR218:IR219"/>
    <mergeCell ref="IS218:IS219"/>
    <mergeCell ref="IT218:IT219"/>
    <mergeCell ref="IV218:IV219"/>
    <mergeCell ref="IX218:IX219"/>
    <mergeCell ref="FY220:FY221"/>
    <mergeCell ref="IR220:IR221"/>
    <mergeCell ref="IS220:IS221"/>
    <mergeCell ref="IT220:IT221"/>
    <mergeCell ref="IV220:IV221"/>
    <mergeCell ref="IX220:IX221"/>
    <mergeCell ref="JR223:JR224"/>
    <mergeCell ref="JT223:JT224"/>
    <mergeCell ref="JV223:JV224"/>
    <mergeCell ref="JX223:JX224"/>
    <mergeCell ref="JZ223:JZ224"/>
    <mergeCell ref="HG224:HG225"/>
    <mergeCell ref="FP225:FP226"/>
    <mergeCell ref="IP225:IP226"/>
    <mergeCell ref="IQ225:IQ226"/>
    <mergeCell ref="IU225:IU226"/>
    <mergeCell ref="IW225:IW226"/>
    <mergeCell ref="IZ225:IZ226"/>
    <mergeCell ref="JC225:JC226"/>
    <mergeCell ref="JD225:JD226"/>
    <mergeCell ref="JE225:JE226"/>
    <mergeCell ref="JR225:JR226"/>
    <mergeCell ref="JT225:JT226"/>
    <mergeCell ref="JV225:JV226"/>
    <mergeCell ref="JX225:JX226"/>
    <mergeCell ref="JZ225:JZ226"/>
    <mergeCell ref="FP228:FP229"/>
    <mergeCell ref="IP228:IP229"/>
    <mergeCell ref="IQ228:IQ229"/>
    <mergeCell ref="IU228:IU229"/>
    <mergeCell ref="IW228:IW229"/>
    <mergeCell ref="IZ228:IZ229"/>
    <mergeCell ref="JC228:JC229"/>
    <mergeCell ref="JD228:JD229"/>
    <mergeCell ref="JE228:JE229"/>
    <mergeCell ref="JR228:JR229"/>
    <mergeCell ref="JT228:JT229"/>
    <mergeCell ref="JV228:JV229"/>
    <mergeCell ref="JX228:JX229"/>
    <mergeCell ref="JZ228:JZ229"/>
    <mergeCell ref="HG229:HG230"/>
    <mergeCell ref="FP230:FP231"/>
    <mergeCell ref="IP230:IP231"/>
    <mergeCell ref="IQ230:IQ231"/>
    <mergeCell ref="IU230:IU231"/>
    <mergeCell ref="IW230:IW231"/>
    <mergeCell ref="IZ230:IZ231"/>
    <mergeCell ref="JC230:JC231"/>
    <mergeCell ref="JD230:JD231"/>
    <mergeCell ref="JE230:JE231"/>
    <mergeCell ref="JR230:JR231"/>
    <mergeCell ref="JT230:JT231"/>
    <mergeCell ref="JV230:JV231"/>
    <mergeCell ref="JX230:JX231"/>
    <mergeCell ref="JZ230:JZ231"/>
    <mergeCell ref="JL223:JL224"/>
    <mergeCell ref="JL225:JL226"/>
    <mergeCell ref="JL228:JL229"/>
    <mergeCell ref="JL230:JL231"/>
    <mergeCell ref="IR230:IR231"/>
    <mergeCell ref="IS230:IS231"/>
    <mergeCell ref="IN228:IN231"/>
    <mergeCell ref="IL228:IL231"/>
    <mergeCell ref="IM228:IM229"/>
    <mergeCell ref="IM230:IM231"/>
    <mergeCell ref="HH229:HH230"/>
    <mergeCell ref="HI229:HI230"/>
    <mergeCell ref="FY223:FY224"/>
    <mergeCell ref="IR223:IR224"/>
    <mergeCell ref="IS223:IS224"/>
    <mergeCell ref="JR233:JR234"/>
    <mergeCell ref="JT233:JT234"/>
    <mergeCell ref="JV233:JV234"/>
    <mergeCell ref="JX233:JX234"/>
    <mergeCell ref="JZ233:JZ234"/>
    <mergeCell ref="HG234:HG235"/>
    <mergeCell ref="FP235:FP236"/>
    <mergeCell ref="IP235:IP236"/>
    <mergeCell ref="IQ235:IQ236"/>
    <mergeCell ref="IU235:IU236"/>
    <mergeCell ref="IW235:IW236"/>
    <mergeCell ref="IZ235:IZ236"/>
    <mergeCell ref="JC235:JC236"/>
    <mergeCell ref="JD235:JD236"/>
    <mergeCell ref="JE235:JE236"/>
    <mergeCell ref="JR235:JR236"/>
    <mergeCell ref="JT235:JT236"/>
    <mergeCell ref="JV235:JV236"/>
    <mergeCell ref="JX235:JX236"/>
    <mergeCell ref="JZ235:JZ236"/>
    <mergeCell ref="FP238:FP239"/>
    <mergeCell ref="IP238:IP239"/>
    <mergeCell ref="IQ238:IQ239"/>
    <mergeCell ref="IU238:IU239"/>
    <mergeCell ref="IW238:IW239"/>
    <mergeCell ref="IZ238:IZ239"/>
    <mergeCell ref="JC238:JC239"/>
    <mergeCell ref="JD238:JD239"/>
    <mergeCell ref="JE238:JE239"/>
    <mergeCell ref="JR238:JR239"/>
    <mergeCell ref="JT238:JT239"/>
    <mergeCell ref="JV238:JV239"/>
    <mergeCell ref="JX238:JX239"/>
    <mergeCell ref="JZ238:JZ239"/>
    <mergeCell ref="HG239:HG240"/>
    <mergeCell ref="FP240:FP241"/>
    <mergeCell ref="IP240:IP241"/>
    <mergeCell ref="IQ240:IQ241"/>
    <mergeCell ref="IU240:IU241"/>
    <mergeCell ref="IW240:IW241"/>
    <mergeCell ref="IZ240:IZ241"/>
    <mergeCell ref="JC240:JC241"/>
    <mergeCell ref="JD240:JD241"/>
    <mergeCell ref="JE240:JE241"/>
    <mergeCell ref="JR240:JR241"/>
    <mergeCell ref="JT240:JT241"/>
    <mergeCell ref="JV240:JV241"/>
    <mergeCell ref="JX240:JX241"/>
    <mergeCell ref="JZ240:JZ241"/>
    <mergeCell ref="JL233:JL234"/>
    <mergeCell ref="JL235:JL236"/>
    <mergeCell ref="JL238:JL239"/>
    <mergeCell ref="JL240:JL241"/>
    <mergeCell ref="IM240:IM241"/>
    <mergeCell ref="IB233:IB235"/>
    <mergeCell ref="IK235:IK236"/>
    <mergeCell ref="IR233:IR234"/>
    <mergeCell ref="IR235:IR236"/>
    <mergeCell ref="IS235:IS236"/>
    <mergeCell ref="IT235:IT236"/>
    <mergeCell ref="IV235:IV236"/>
    <mergeCell ref="IX235:IX236"/>
    <mergeCell ref="FY238:FY239"/>
    <mergeCell ref="IR238:IR239"/>
    <mergeCell ref="JR243:JR244"/>
    <mergeCell ref="JT243:JT244"/>
    <mergeCell ref="JV243:JV244"/>
    <mergeCell ref="JX243:JX244"/>
    <mergeCell ref="JZ243:JZ244"/>
    <mergeCell ref="HG244:HG245"/>
    <mergeCell ref="FP245:FP246"/>
    <mergeCell ref="IP245:IP246"/>
    <mergeCell ref="IQ245:IQ246"/>
    <mergeCell ref="IU245:IU246"/>
    <mergeCell ref="IW245:IW246"/>
    <mergeCell ref="IZ245:IZ246"/>
    <mergeCell ref="JC245:JC246"/>
    <mergeCell ref="JD245:JD246"/>
    <mergeCell ref="JE245:JE246"/>
    <mergeCell ref="JR245:JR246"/>
    <mergeCell ref="JT245:JT246"/>
    <mergeCell ref="JV245:JV246"/>
    <mergeCell ref="JX245:JX246"/>
    <mergeCell ref="JZ245:JZ246"/>
    <mergeCell ref="FP251:FP252"/>
    <mergeCell ref="IP251:IP252"/>
    <mergeCell ref="IQ251:IQ252"/>
    <mergeCell ref="IU251:IU252"/>
    <mergeCell ref="IW251:IW252"/>
    <mergeCell ref="IZ251:IZ252"/>
    <mergeCell ref="JC251:JC252"/>
    <mergeCell ref="JD251:JD252"/>
    <mergeCell ref="JE251:JE252"/>
    <mergeCell ref="JR251:JR252"/>
    <mergeCell ref="JT251:JT252"/>
    <mergeCell ref="JV251:JV252"/>
    <mergeCell ref="JX251:JX252"/>
    <mergeCell ref="JZ251:JZ252"/>
    <mergeCell ref="HG252:HG253"/>
    <mergeCell ref="FP253:FP254"/>
    <mergeCell ref="IP253:IP254"/>
    <mergeCell ref="IQ253:IQ254"/>
    <mergeCell ref="IU253:IU254"/>
    <mergeCell ref="IW253:IW254"/>
    <mergeCell ref="IZ253:IZ254"/>
    <mergeCell ref="JC253:JC254"/>
    <mergeCell ref="JD253:JD254"/>
    <mergeCell ref="JE253:JE254"/>
    <mergeCell ref="JR253:JR254"/>
    <mergeCell ref="JT253:JT254"/>
    <mergeCell ref="JV253:JV254"/>
    <mergeCell ref="JX253:JX254"/>
    <mergeCell ref="JZ253:JZ254"/>
    <mergeCell ref="JL243:JL244"/>
    <mergeCell ref="JL245:JL246"/>
    <mergeCell ref="JL251:JL252"/>
    <mergeCell ref="JL253:JL254"/>
    <mergeCell ref="IR243:IR244"/>
    <mergeCell ref="IS243:IS244"/>
    <mergeCell ref="IT243:IT244"/>
    <mergeCell ref="IR245:IR246"/>
    <mergeCell ref="IR251:IR252"/>
    <mergeCell ref="IS251:IS252"/>
    <mergeCell ref="IT251:IT252"/>
    <mergeCell ref="IV251:IV252"/>
    <mergeCell ref="IX251:IX252"/>
    <mergeCell ref="FY253:FY254"/>
    <mergeCell ref="IR253:IR254"/>
    <mergeCell ref="JR256:JR257"/>
    <mergeCell ref="JT256:JT257"/>
    <mergeCell ref="JV256:JV257"/>
    <mergeCell ref="JX256:JX257"/>
    <mergeCell ref="JZ256:JZ257"/>
    <mergeCell ref="HG257:HG258"/>
    <mergeCell ref="FP258:FP259"/>
    <mergeCell ref="IP258:IP259"/>
    <mergeCell ref="IQ258:IQ259"/>
    <mergeCell ref="IU258:IU259"/>
    <mergeCell ref="IW258:IW259"/>
    <mergeCell ref="IZ258:IZ259"/>
    <mergeCell ref="JC258:JC259"/>
    <mergeCell ref="JD258:JD259"/>
    <mergeCell ref="JE258:JE259"/>
    <mergeCell ref="JR258:JR259"/>
    <mergeCell ref="JT258:JT259"/>
    <mergeCell ref="JV258:JV259"/>
    <mergeCell ref="JX258:JX259"/>
    <mergeCell ref="JZ258:JZ259"/>
    <mergeCell ref="FP261:FP262"/>
    <mergeCell ref="IP261:IP262"/>
    <mergeCell ref="IQ261:IQ262"/>
    <mergeCell ref="IU261:IU262"/>
    <mergeCell ref="IW261:IW262"/>
    <mergeCell ref="IZ261:IZ262"/>
    <mergeCell ref="JC261:JC262"/>
    <mergeCell ref="JD261:JD262"/>
    <mergeCell ref="JE261:JE262"/>
    <mergeCell ref="JR261:JR262"/>
    <mergeCell ref="JT261:JT262"/>
    <mergeCell ref="JV261:JV262"/>
    <mergeCell ref="JX261:JX262"/>
    <mergeCell ref="JZ261:JZ262"/>
    <mergeCell ref="HG262:HG263"/>
    <mergeCell ref="FP263:FP264"/>
    <mergeCell ref="IP263:IP264"/>
    <mergeCell ref="IQ263:IQ264"/>
    <mergeCell ref="IU263:IU264"/>
    <mergeCell ref="IW263:IW264"/>
    <mergeCell ref="IZ263:IZ264"/>
    <mergeCell ref="JC263:JC264"/>
    <mergeCell ref="JD263:JD264"/>
    <mergeCell ref="JE263:JE264"/>
    <mergeCell ref="JR263:JR264"/>
    <mergeCell ref="JT263:JT264"/>
    <mergeCell ref="JV263:JV264"/>
    <mergeCell ref="JX263:JX264"/>
    <mergeCell ref="JZ263:JZ264"/>
    <mergeCell ref="JL256:JL257"/>
    <mergeCell ref="JL258:JL259"/>
    <mergeCell ref="JL261:JL262"/>
    <mergeCell ref="JL263:JL264"/>
    <mergeCell ref="IR261:IR262"/>
    <mergeCell ref="IS261:IS262"/>
    <mergeCell ref="IT261:IT262"/>
    <mergeCell ref="FY263:FY264"/>
    <mergeCell ref="IR263:IR264"/>
    <mergeCell ref="IS263:IS264"/>
    <mergeCell ref="IT263:IT264"/>
    <mergeCell ref="IV263:IV264"/>
    <mergeCell ref="HK257:HK258"/>
    <mergeCell ref="HL257:HL258"/>
    <mergeCell ref="HM257:HM258"/>
    <mergeCell ref="JR266:JR267"/>
    <mergeCell ref="JT266:JT267"/>
    <mergeCell ref="JV266:JV267"/>
    <mergeCell ref="JX266:JX267"/>
    <mergeCell ref="JZ266:JZ267"/>
    <mergeCell ref="HG267:HG268"/>
    <mergeCell ref="FP268:FP269"/>
    <mergeCell ref="IP268:IP269"/>
    <mergeCell ref="IQ268:IQ269"/>
    <mergeCell ref="IU268:IU269"/>
    <mergeCell ref="IW268:IW269"/>
    <mergeCell ref="IZ268:IZ269"/>
    <mergeCell ref="JC268:JC269"/>
    <mergeCell ref="JD268:JD269"/>
    <mergeCell ref="JE268:JE269"/>
    <mergeCell ref="JR268:JR269"/>
    <mergeCell ref="JT268:JT269"/>
    <mergeCell ref="JV268:JV269"/>
    <mergeCell ref="JX268:JX269"/>
    <mergeCell ref="JZ268:JZ269"/>
    <mergeCell ref="FP271:FP272"/>
    <mergeCell ref="IP271:IP272"/>
    <mergeCell ref="IQ271:IQ272"/>
    <mergeCell ref="IU271:IU272"/>
    <mergeCell ref="IW271:IW272"/>
    <mergeCell ref="IZ271:IZ272"/>
    <mergeCell ref="JC271:JC272"/>
    <mergeCell ref="JD271:JD272"/>
    <mergeCell ref="JE271:JE272"/>
    <mergeCell ref="JR271:JR272"/>
    <mergeCell ref="JT271:JT272"/>
    <mergeCell ref="JV271:JV272"/>
    <mergeCell ref="JX271:JX272"/>
    <mergeCell ref="JZ271:JZ272"/>
    <mergeCell ref="HG272:HG273"/>
    <mergeCell ref="FP273:FP274"/>
    <mergeCell ref="IP273:IP274"/>
    <mergeCell ref="IQ273:IQ274"/>
    <mergeCell ref="IU273:IU274"/>
    <mergeCell ref="IW273:IW274"/>
    <mergeCell ref="IZ273:IZ274"/>
    <mergeCell ref="JC273:JC274"/>
    <mergeCell ref="JD273:JD274"/>
    <mergeCell ref="JE273:JE274"/>
    <mergeCell ref="JR273:JR274"/>
    <mergeCell ref="JT273:JT274"/>
    <mergeCell ref="JV273:JV274"/>
    <mergeCell ref="JX273:JX274"/>
    <mergeCell ref="JZ273:JZ274"/>
    <mergeCell ref="JL266:JL267"/>
    <mergeCell ref="JL268:JL269"/>
    <mergeCell ref="JL271:JL272"/>
    <mergeCell ref="JL273:JL274"/>
    <mergeCell ref="IS271:IS272"/>
    <mergeCell ref="IN271:IN274"/>
    <mergeCell ref="IC273:IC274"/>
    <mergeCell ref="IM273:IM274"/>
    <mergeCell ref="IM268:IM269"/>
    <mergeCell ref="IT271:IT272"/>
    <mergeCell ref="IV271:IV272"/>
    <mergeCell ref="IX271:IX272"/>
    <mergeCell ref="FY273:FY274"/>
    <mergeCell ref="IR273:IR274"/>
    <mergeCell ref="IS273:IS274"/>
    <mergeCell ref="IP276:IP277"/>
    <mergeCell ref="IQ276:IQ277"/>
    <mergeCell ref="IU276:IU277"/>
    <mergeCell ref="IW276:IW277"/>
    <mergeCell ref="IZ276:IZ277"/>
    <mergeCell ref="JC276:JC277"/>
    <mergeCell ref="JD276:JD277"/>
    <mergeCell ref="JE276:JE277"/>
    <mergeCell ref="JR276:JR277"/>
    <mergeCell ref="JT276:JT277"/>
    <mergeCell ref="JV276:JV277"/>
    <mergeCell ref="JX276:JX277"/>
    <mergeCell ref="JZ276:JZ277"/>
    <mergeCell ref="HG277:HG278"/>
    <mergeCell ref="FP278:FP279"/>
    <mergeCell ref="IP278:IP279"/>
    <mergeCell ref="IQ278:IQ279"/>
    <mergeCell ref="IU278:IU279"/>
    <mergeCell ref="IW278:IW279"/>
    <mergeCell ref="IZ278:IZ279"/>
    <mergeCell ref="JC278:JC279"/>
    <mergeCell ref="JD278:JD279"/>
    <mergeCell ref="JE278:JE279"/>
    <mergeCell ref="JR278:JR279"/>
    <mergeCell ref="JT278:JT279"/>
    <mergeCell ref="JV278:JV279"/>
    <mergeCell ref="JX278:JX279"/>
    <mergeCell ref="JZ278:JZ279"/>
    <mergeCell ref="FP281:FP282"/>
    <mergeCell ref="IP281:IP282"/>
    <mergeCell ref="IQ281:IQ282"/>
    <mergeCell ref="IU281:IU282"/>
    <mergeCell ref="IW281:IW282"/>
    <mergeCell ref="IZ281:IZ282"/>
    <mergeCell ref="JC281:JC282"/>
    <mergeCell ref="JD281:JD282"/>
    <mergeCell ref="JE281:JE282"/>
    <mergeCell ref="JR281:JR282"/>
    <mergeCell ref="JT281:JT282"/>
    <mergeCell ref="JV281:JV282"/>
    <mergeCell ref="JX281:JX282"/>
    <mergeCell ref="JZ281:JZ282"/>
    <mergeCell ref="HG282:HG283"/>
    <mergeCell ref="FP283:FP284"/>
    <mergeCell ref="IP283:IP284"/>
    <mergeCell ref="IQ283:IQ284"/>
    <mergeCell ref="IU283:IU284"/>
    <mergeCell ref="IW283:IW284"/>
    <mergeCell ref="IZ283:IZ284"/>
    <mergeCell ref="JC283:JC284"/>
    <mergeCell ref="JD283:JD284"/>
    <mergeCell ref="JE283:JE284"/>
    <mergeCell ref="JR283:JR284"/>
    <mergeCell ref="JT283:JT284"/>
    <mergeCell ref="JV283:JV284"/>
    <mergeCell ref="JX283:JX284"/>
    <mergeCell ref="JZ283:JZ284"/>
    <mergeCell ref="JL276:JL277"/>
    <mergeCell ref="JL278:JL279"/>
    <mergeCell ref="JL281:JL282"/>
    <mergeCell ref="JL283:JL284"/>
    <mergeCell ref="FX281:FX282"/>
    <mergeCell ref="JG278:JG279"/>
    <mergeCell ref="IS283:IS284"/>
    <mergeCell ref="JR286:JR287"/>
    <mergeCell ref="JT286:JT287"/>
    <mergeCell ref="JV286:JV287"/>
    <mergeCell ref="JX286:JX287"/>
    <mergeCell ref="JZ286:JZ287"/>
    <mergeCell ref="HG287:HG288"/>
    <mergeCell ref="FP288:FP289"/>
    <mergeCell ref="IP288:IP289"/>
    <mergeCell ref="IQ288:IQ289"/>
    <mergeCell ref="IU288:IU289"/>
    <mergeCell ref="IW288:IW289"/>
    <mergeCell ref="IZ288:IZ289"/>
    <mergeCell ref="JC288:JC289"/>
    <mergeCell ref="JD288:JD289"/>
    <mergeCell ref="JE288:JE289"/>
    <mergeCell ref="JR288:JR289"/>
    <mergeCell ref="JT288:JT289"/>
    <mergeCell ref="JV288:JV289"/>
    <mergeCell ref="JX288:JX289"/>
    <mergeCell ref="JZ288:JZ289"/>
    <mergeCell ref="FP291:FP292"/>
    <mergeCell ref="IP291:IP292"/>
    <mergeCell ref="IQ291:IQ292"/>
    <mergeCell ref="IU291:IU292"/>
    <mergeCell ref="IW291:IW292"/>
    <mergeCell ref="IZ291:IZ292"/>
    <mergeCell ref="JC291:JC292"/>
    <mergeCell ref="JD291:JD292"/>
    <mergeCell ref="JE291:JE292"/>
    <mergeCell ref="JR291:JR292"/>
    <mergeCell ref="JT291:JT292"/>
    <mergeCell ref="JV291:JV292"/>
    <mergeCell ref="JX291:JX292"/>
    <mergeCell ref="JZ291:JZ292"/>
    <mergeCell ref="HG292:HG293"/>
    <mergeCell ref="FP293:FP294"/>
    <mergeCell ref="IP293:IP294"/>
    <mergeCell ref="IQ293:IQ294"/>
    <mergeCell ref="IU293:IU294"/>
    <mergeCell ref="IW293:IW294"/>
    <mergeCell ref="IZ293:IZ294"/>
    <mergeCell ref="JC293:JC294"/>
    <mergeCell ref="JD293:JD294"/>
    <mergeCell ref="JE293:JE294"/>
    <mergeCell ref="JR293:JR294"/>
    <mergeCell ref="JT293:JT294"/>
    <mergeCell ref="JV293:JV294"/>
    <mergeCell ref="JX293:JX294"/>
    <mergeCell ref="JZ293:JZ294"/>
    <mergeCell ref="JL286:JL287"/>
    <mergeCell ref="JL288:JL289"/>
    <mergeCell ref="JL291:JL292"/>
    <mergeCell ref="JL293:JL294"/>
    <mergeCell ref="HS287:HS288"/>
    <mergeCell ref="HT287:HT288"/>
    <mergeCell ref="HU287:HU288"/>
    <mergeCell ref="HQ287:HQ288"/>
    <mergeCell ref="FY286:FY287"/>
    <mergeCell ref="IR286:IR287"/>
    <mergeCell ref="IS286:IS287"/>
    <mergeCell ref="IT286:IT287"/>
    <mergeCell ref="FW286:FW287"/>
    <mergeCell ref="FX286:FX287"/>
    <mergeCell ref="IV286:IV287"/>
    <mergeCell ref="FP296:FP297"/>
    <mergeCell ref="IP296:IP297"/>
    <mergeCell ref="IQ296:IQ297"/>
    <mergeCell ref="IU296:IU297"/>
    <mergeCell ref="IW296:IW297"/>
    <mergeCell ref="IZ296:IZ297"/>
    <mergeCell ref="JC296:JC297"/>
    <mergeCell ref="JD296:JD297"/>
    <mergeCell ref="JE296:JE297"/>
    <mergeCell ref="JR296:JR297"/>
    <mergeCell ref="JT296:JT297"/>
    <mergeCell ref="JV296:JV297"/>
    <mergeCell ref="JX296:JX297"/>
    <mergeCell ref="JZ296:JZ297"/>
    <mergeCell ref="HG297:HG298"/>
    <mergeCell ref="FP298:FP299"/>
    <mergeCell ref="IP298:IP299"/>
    <mergeCell ref="IQ298:IQ299"/>
    <mergeCell ref="IU298:IU299"/>
    <mergeCell ref="IW298:IW299"/>
    <mergeCell ref="IZ298:IZ299"/>
    <mergeCell ref="JC298:JC299"/>
    <mergeCell ref="JD298:JD299"/>
    <mergeCell ref="JE298:JE299"/>
    <mergeCell ref="JR298:JR299"/>
    <mergeCell ref="JT298:JT299"/>
    <mergeCell ref="JV298:JV299"/>
    <mergeCell ref="JX298:JX299"/>
    <mergeCell ref="JZ298:JZ299"/>
    <mergeCell ref="FP301:FP302"/>
    <mergeCell ref="IP301:IP302"/>
    <mergeCell ref="IQ301:IQ302"/>
    <mergeCell ref="IU301:IU302"/>
    <mergeCell ref="IW301:IW302"/>
    <mergeCell ref="IZ301:IZ302"/>
    <mergeCell ref="JC301:JC302"/>
    <mergeCell ref="JD301:JD302"/>
    <mergeCell ref="JE301:JE302"/>
    <mergeCell ref="JR301:JR302"/>
    <mergeCell ref="JT301:JT302"/>
    <mergeCell ref="JV301:JV302"/>
    <mergeCell ref="JX301:JX302"/>
    <mergeCell ref="JZ301:JZ302"/>
    <mergeCell ref="HG302:HG303"/>
    <mergeCell ref="FP303:FP304"/>
    <mergeCell ref="IP303:IP304"/>
    <mergeCell ref="IQ303:IQ304"/>
    <mergeCell ref="IU303:IU304"/>
    <mergeCell ref="IW303:IW304"/>
    <mergeCell ref="IZ303:IZ304"/>
    <mergeCell ref="JC303:JC304"/>
    <mergeCell ref="JD303:JD304"/>
    <mergeCell ref="JE303:JE304"/>
    <mergeCell ref="JR303:JR304"/>
    <mergeCell ref="JT303:JT304"/>
    <mergeCell ref="JV303:JV304"/>
    <mergeCell ref="JX303:JX304"/>
    <mergeCell ref="JZ303:JZ304"/>
    <mergeCell ref="JL301:JL302"/>
    <mergeCell ref="JL296:JL297"/>
    <mergeCell ref="JL298:JL299"/>
    <mergeCell ref="FY298:FY299"/>
    <mergeCell ref="FY301:FY302"/>
    <mergeCell ref="FY303:FY304"/>
    <mergeCell ref="JC306:JC307"/>
    <mergeCell ref="JD306:JD307"/>
    <mergeCell ref="JE306:JE307"/>
    <mergeCell ref="JR306:JR307"/>
    <mergeCell ref="JT306:JT307"/>
    <mergeCell ref="JV306:JV307"/>
    <mergeCell ref="JX306:JX307"/>
    <mergeCell ref="JZ306:JZ307"/>
    <mergeCell ref="HG307:HG308"/>
    <mergeCell ref="FP308:FP309"/>
    <mergeCell ref="IP308:IP309"/>
    <mergeCell ref="IQ308:IQ309"/>
    <mergeCell ref="IU308:IU309"/>
    <mergeCell ref="IW308:IW309"/>
    <mergeCell ref="IZ308:IZ309"/>
    <mergeCell ref="JC308:JC309"/>
    <mergeCell ref="JD308:JD309"/>
    <mergeCell ref="JE308:JE309"/>
    <mergeCell ref="JR308:JR309"/>
    <mergeCell ref="JT308:JT309"/>
    <mergeCell ref="JV308:JV309"/>
    <mergeCell ref="JX308:JX309"/>
    <mergeCell ref="JZ308:JZ309"/>
    <mergeCell ref="FP311:FP312"/>
    <mergeCell ref="IP311:IP312"/>
    <mergeCell ref="IQ311:IQ312"/>
    <mergeCell ref="IU311:IU312"/>
    <mergeCell ref="IW311:IW312"/>
    <mergeCell ref="IZ311:IZ312"/>
    <mergeCell ref="JC311:JC312"/>
    <mergeCell ref="JD311:JD312"/>
    <mergeCell ref="JE311:JE312"/>
    <mergeCell ref="JR311:JR312"/>
    <mergeCell ref="JT311:JT312"/>
    <mergeCell ref="JV311:JV312"/>
    <mergeCell ref="JX311:JX312"/>
    <mergeCell ref="JZ311:JZ312"/>
    <mergeCell ref="HG312:HG313"/>
    <mergeCell ref="FP313:FP314"/>
    <mergeCell ref="IP313:IP314"/>
    <mergeCell ref="IQ313:IQ314"/>
    <mergeCell ref="IU313:IU314"/>
    <mergeCell ref="IW313:IW314"/>
    <mergeCell ref="IZ313:IZ314"/>
    <mergeCell ref="JC313:JC314"/>
    <mergeCell ref="JD313:JD314"/>
    <mergeCell ref="JE313:JE314"/>
    <mergeCell ref="JR313:JR314"/>
    <mergeCell ref="JT313:JT314"/>
    <mergeCell ref="JV313:JV314"/>
    <mergeCell ref="JX313:JX314"/>
    <mergeCell ref="JZ313:JZ314"/>
    <mergeCell ref="IR308:IR309"/>
    <mergeCell ref="IS308:IS309"/>
    <mergeCell ref="IT308:IT309"/>
    <mergeCell ref="IV308:IV309"/>
    <mergeCell ref="FY311:FY312"/>
    <mergeCell ref="IR311:IR312"/>
    <mergeCell ref="IP306:IP307"/>
    <mergeCell ref="HZ307:HZ308"/>
    <mergeCell ref="IM306:IM307"/>
    <mergeCell ref="IN306:IN309"/>
    <mergeCell ref="GM307:GM308"/>
    <mergeCell ref="GN307:GN308"/>
    <mergeCell ref="JC316:JC317"/>
    <mergeCell ref="JD316:JD317"/>
    <mergeCell ref="JE316:JE317"/>
    <mergeCell ref="JR316:JR317"/>
    <mergeCell ref="JT316:JT317"/>
    <mergeCell ref="JV316:JV317"/>
    <mergeCell ref="JX316:JX317"/>
    <mergeCell ref="JZ316:JZ317"/>
    <mergeCell ref="HG317:HG318"/>
    <mergeCell ref="FP318:FP319"/>
    <mergeCell ref="IP318:IP319"/>
    <mergeCell ref="IQ318:IQ319"/>
    <mergeCell ref="IU318:IU319"/>
    <mergeCell ref="IW318:IW319"/>
    <mergeCell ref="IZ318:IZ319"/>
    <mergeCell ref="JC318:JC319"/>
    <mergeCell ref="JD318:JD319"/>
    <mergeCell ref="JE318:JE319"/>
    <mergeCell ref="JR318:JR319"/>
    <mergeCell ref="JT318:JT319"/>
    <mergeCell ref="JV318:JV319"/>
    <mergeCell ref="JX318:JX319"/>
    <mergeCell ref="JZ318:JZ319"/>
    <mergeCell ref="FP321:FP322"/>
    <mergeCell ref="IP321:IP322"/>
    <mergeCell ref="IQ321:IQ322"/>
    <mergeCell ref="IU321:IU322"/>
    <mergeCell ref="IW321:IW322"/>
    <mergeCell ref="IZ321:IZ322"/>
    <mergeCell ref="JC321:JC322"/>
    <mergeCell ref="JD321:JD322"/>
    <mergeCell ref="JE321:JE322"/>
    <mergeCell ref="JR321:JR322"/>
    <mergeCell ref="JT321:JT322"/>
    <mergeCell ref="JV321:JV322"/>
    <mergeCell ref="JX321:JX322"/>
    <mergeCell ref="JZ321:JZ322"/>
    <mergeCell ref="HG322:HG323"/>
    <mergeCell ref="FP323:FP324"/>
    <mergeCell ref="IP323:IP324"/>
    <mergeCell ref="IQ323:IQ324"/>
    <mergeCell ref="IU323:IU324"/>
    <mergeCell ref="IW323:IW324"/>
    <mergeCell ref="IZ323:IZ324"/>
    <mergeCell ref="JC323:JC324"/>
    <mergeCell ref="JD323:JD324"/>
    <mergeCell ref="JE323:JE324"/>
    <mergeCell ref="JR323:JR324"/>
    <mergeCell ref="JT323:JT324"/>
    <mergeCell ref="JV323:JV324"/>
    <mergeCell ref="JX323:JX324"/>
    <mergeCell ref="JZ323:JZ324"/>
    <mergeCell ref="IR321:IR322"/>
    <mergeCell ref="IS321:IS322"/>
    <mergeCell ref="IH316:IH319"/>
    <mergeCell ref="IK316:IK317"/>
    <mergeCell ref="IL316:IL319"/>
    <mergeCell ref="FU316:FU317"/>
    <mergeCell ref="FV316:FV317"/>
    <mergeCell ref="IG316:IG317"/>
    <mergeCell ref="HZ317:HZ318"/>
    <mergeCell ref="IK318:IK319"/>
    <mergeCell ref="IM318:IM319"/>
    <mergeCell ref="IM316:IM317"/>
    <mergeCell ref="JC329:JC330"/>
    <mergeCell ref="JD329:JD330"/>
    <mergeCell ref="JE329:JE330"/>
    <mergeCell ref="JR329:JR330"/>
    <mergeCell ref="JT329:JT330"/>
    <mergeCell ref="JV329:JV330"/>
    <mergeCell ref="JX329:JX330"/>
    <mergeCell ref="JZ329:JZ330"/>
    <mergeCell ref="HG330:HG331"/>
    <mergeCell ref="FP331:FP332"/>
    <mergeCell ref="IP331:IP332"/>
    <mergeCell ref="IQ331:IQ332"/>
    <mergeCell ref="IU331:IU332"/>
    <mergeCell ref="IW331:IW332"/>
    <mergeCell ref="IZ331:IZ332"/>
    <mergeCell ref="JC331:JC332"/>
    <mergeCell ref="JD331:JD332"/>
    <mergeCell ref="JE331:JE332"/>
    <mergeCell ref="JR331:JR332"/>
    <mergeCell ref="JT331:JT332"/>
    <mergeCell ref="JV331:JV332"/>
    <mergeCell ref="JX331:JX332"/>
    <mergeCell ref="JZ331:JZ332"/>
    <mergeCell ref="FP334:FP335"/>
    <mergeCell ref="IP334:IP335"/>
    <mergeCell ref="IQ334:IQ335"/>
    <mergeCell ref="IU334:IU335"/>
    <mergeCell ref="IW334:IW335"/>
    <mergeCell ref="IZ334:IZ335"/>
    <mergeCell ref="JC334:JC335"/>
    <mergeCell ref="JD334:JD335"/>
    <mergeCell ref="JE334:JE335"/>
    <mergeCell ref="JR334:JR335"/>
    <mergeCell ref="JT334:JT335"/>
    <mergeCell ref="JV334:JV335"/>
    <mergeCell ref="JX334:JX335"/>
    <mergeCell ref="JZ334:JZ335"/>
    <mergeCell ref="HG335:HG336"/>
    <mergeCell ref="FP336:FP337"/>
    <mergeCell ref="IP336:IP337"/>
    <mergeCell ref="IQ336:IQ337"/>
    <mergeCell ref="IU336:IU337"/>
    <mergeCell ref="IW336:IW337"/>
    <mergeCell ref="IZ336:IZ337"/>
    <mergeCell ref="JC336:JC337"/>
    <mergeCell ref="JD336:JD337"/>
    <mergeCell ref="JE336:JE337"/>
    <mergeCell ref="JR336:JR337"/>
    <mergeCell ref="JT336:JT337"/>
    <mergeCell ref="JV336:JV337"/>
    <mergeCell ref="JX336:JX337"/>
    <mergeCell ref="JZ336:JZ337"/>
    <mergeCell ref="IT336:IT337"/>
    <mergeCell ref="IV336:IV337"/>
    <mergeCell ref="HO335:HO336"/>
    <mergeCell ref="HP335:HP336"/>
    <mergeCell ref="HQ335:HQ336"/>
    <mergeCell ref="HR335:HR336"/>
    <mergeCell ref="IR336:IR337"/>
    <mergeCell ref="IS336:IS337"/>
    <mergeCell ref="IT329:IT330"/>
    <mergeCell ref="FY331:FY332"/>
    <mergeCell ref="IR331:IR332"/>
    <mergeCell ref="IS331:IS332"/>
    <mergeCell ref="IW339:IW340"/>
    <mergeCell ref="IZ339:IZ340"/>
    <mergeCell ref="JC339:JC340"/>
    <mergeCell ref="JD339:JD340"/>
    <mergeCell ref="JE339:JE340"/>
    <mergeCell ref="JR339:JR340"/>
    <mergeCell ref="JT339:JT340"/>
    <mergeCell ref="JV339:JV340"/>
    <mergeCell ref="JX339:JX340"/>
    <mergeCell ref="JZ339:JZ340"/>
    <mergeCell ref="HG340:HG341"/>
    <mergeCell ref="FP341:FP342"/>
    <mergeCell ref="IP341:IP342"/>
    <mergeCell ref="IQ341:IQ342"/>
    <mergeCell ref="IU341:IU342"/>
    <mergeCell ref="IW341:IW342"/>
    <mergeCell ref="IZ341:IZ342"/>
    <mergeCell ref="JC341:JC342"/>
    <mergeCell ref="JD341:JD342"/>
    <mergeCell ref="JE341:JE342"/>
    <mergeCell ref="JR341:JR342"/>
    <mergeCell ref="JT341:JT342"/>
    <mergeCell ref="JV341:JV342"/>
    <mergeCell ref="JX341:JX342"/>
    <mergeCell ref="JZ341:JZ342"/>
    <mergeCell ref="FP344:FP345"/>
    <mergeCell ref="IP344:IP345"/>
    <mergeCell ref="IQ344:IQ345"/>
    <mergeCell ref="IU344:IU345"/>
    <mergeCell ref="IW344:IW345"/>
    <mergeCell ref="IZ344:IZ345"/>
    <mergeCell ref="JC344:JC345"/>
    <mergeCell ref="JD344:JD345"/>
    <mergeCell ref="JE344:JE345"/>
    <mergeCell ref="JR344:JR345"/>
    <mergeCell ref="JT344:JT345"/>
    <mergeCell ref="JV344:JV345"/>
    <mergeCell ref="JX344:JX345"/>
    <mergeCell ref="JZ344:JZ345"/>
    <mergeCell ref="HG345:HG346"/>
    <mergeCell ref="FP346:FP347"/>
    <mergeCell ref="IP346:IP347"/>
    <mergeCell ref="IQ346:IQ347"/>
    <mergeCell ref="IU346:IU347"/>
    <mergeCell ref="IW346:IW347"/>
    <mergeCell ref="IZ346:IZ347"/>
    <mergeCell ref="JC346:JC347"/>
    <mergeCell ref="JD346:JD347"/>
    <mergeCell ref="JE346:JE347"/>
    <mergeCell ref="JR346:JR347"/>
    <mergeCell ref="JT346:JT347"/>
    <mergeCell ref="JV346:JV347"/>
    <mergeCell ref="JX346:JX347"/>
    <mergeCell ref="JZ346:JZ347"/>
    <mergeCell ref="FY339:FY340"/>
    <mergeCell ref="IR339:IR340"/>
    <mergeCell ref="IS339:IS340"/>
    <mergeCell ref="FY344:FY345"/>
    <mergeCell ref="FY346:FY347"/>
    <mergeCell ref="IN344:IN347"/>
    <mergeCell ref="GP345:GP346"/>
    <mergeCell ref="GQ345:GQ346"/>
    <mergeCell ref="HH345:HH346"/>
    <mergeCell ref="IP339:IP340"/>
    <mergeCell ref="JC349:JC350"/>
    <mergeCell ref="JD349:JD350"/>
    <mergeCell ref="JE349:JE350"/>
    <mergeCell ref="JR349:JR350"/>
    <mergeCell ref="JT349:JT350"/>
    <mergeCell ref="JV349:JV350"/>
    <mergeCell ref="JX349:JX350"/>
    <mergeCell ref="JZ349:JZ350"/>
    <mergeCell ref="HG350:HG351"/>
    <mergeCell ref="FP351:FP352"/>
    <mergeCell ref="IP351:IP352"/>
    <mergeCell ref="IQ351:IQ352"/>
    <mergeCell ref="IU351:IU352"/>
    <mergeCell ref="IW351:IW352"/>
    <mergeCell ref="IZ351:IZ352"/>
    <mergeCell ref="JC351:JC352"/>
    <mergeCell ref="JD351:JD352"/>
    <mergeCell ref="JE351:JE352"/>
    <mergeCell ref="JR351:JR352"/>
    <mergeCell ref="JT351:JT352"/>
    <mergeCell ref="JV351:JV352"/>
    <mergeCell ref="JX351:JX352"/>
    <mergeCell ref="JZ351:JZ352"/>
    <mergeCell ref="FP354:FP355"/>
    <mergeCell ref="IP354:IP355"/>
    <mergeCell ref="IQ354:IQ355"/>
    <mergeCell ref="IU354:IU355"/>
    <mergeCell ref="IW354:IW355"/>
    <mergeCell ref="IZ354:IZ355"/>
    <mergeCell ref="JC354:JC355"/>
    <mergeCell ref="JD354:JD355"/>
    <mergeCell ref="JE354:JE355"/>
    <mergeCell ref="JR354:JR355"/>
    <mergeCell ref="JT354:JT355"/>
    <mergeCell ref="JV354:JV355"/>
    <mergeCell ref="JX354:JX355"/>
    <mergeCell ref="JZ354:JZ355"/>
    <mergeCell ref="HG355:HG356"/>
    <mergeCell ref="FP356:FP357"/>
    <mergeCell ref="IP356:IP357"/>
    <mergeCell ref="IQ356:IQ357"/>
    <mergeCell ref="IU356:IU357"/>
    <mergeCell ref="IW356:IW357"/>
    <mergeCell ref="IZ356:IZ357"/>
    <mergeCell ref="JC356:JC357"/>
    <mergeCell ref="JD356:JD357"/>
    <mergeCell ref="JE356:JE357"/>
    <mergeCell ref="JR356:JR357"/>
    <mergeCell ref="JT356:JT357"/>
    <mergeCell ref="JV356:JV357"/>
    <mergeCell ref="JX356:JX357"/>
    <mergeCell ref="JZ356:JZ357"/>
    <mergeCell ref="IR349:IR350"/>
    <mergeCell ref="IS349:IS350"/>
    <mergeCell ref="IT349:IT350"/>
    <mergeCell ref="IV349:IV350"/>
    <mergeCell ref="IX349:IX350"/>
    <mergeCell ref="FY351:FY352"/>
    <mergeCell ref="IC354:IC355"/>
    <mergeCell ref="IF354:IF357"/>
    <mergeCell ref="IG354:IG355"/>
    <mergeCell ref="IH354:IH357"/>
    <mergeCell ref="IK354:IK355"/>
    <mergeCell ref="IL354:IL357"/>
    <mergeCell ref="JR376:JR377"/>
    <mergeCell ref="JT376:JT377"/>
    <mergeCell ref="JV376:JV377"/>
    <mergeCell ref="JX376:JX377"/>
    <mergeCell ref="JZ376:JZ377"/>
    <mergeCell ref="FP359:FP360"/>
    <mergeCell ref="IP359:IP360"/>
    <mergeCell ref="IQ359:IQ360"/>
    <mergeCell ref="IU359:IU360"/>
    <mergeCell ref="IW359:IW360"/>
    <mergeCell ref="IZ359:IZ360"/>
    <mergeCell ref="JC359:JC360"/>
    <mergeCell ref="JD359:JD360"/>
    <mergeCell ref="JE359:JE360"/>
    <mergeCell ref="JR359:JR360"/>
    <mergeCell ref="JT359:JT360"/>
    <mergeCell ref="JV359:JV360"/>
    <mergeCell ref="JX359:JX360"/>
    <mergeCell ref="JZ359:JZ360"/>
    <mergeCell ref="HG360:HG361"/>
    <mergeCell ref="FP361:FP362"/>
    <mergeCell ref="IP361:IP362"/>
    <mergeCell ref="IQ361:IQ362"/>
    <mergeCell ref="IU361:IU362"/>
    <mergeCell ref="IW361:IW362"/>
    <mergeCell ref="IZ361:IZ362"/>
    <mergeCell ref="JC361:JC362"/>
    <mergeCell ref="JD361:JD362"/>
    <mergeCell ref="JE361:JE362"/>
    <mergeCell ref="JR361:JR362"/>
    <mergeCell ref="JT361:JT362"/>
    <mergeCell ref="JV361:JV362"/>
    <mergeCell ref="JX361:JX362"/>
    <mergeCell ref="JZ361:JZ362"/>
    <mergeCell ref="FP364:FP365"/>
    <mergeCell ref="IP364:IP365"/>
    <mergeCell ref="IQ364:IQ365"/>
    <mergeCell ref="IU364:IU365"/>
    <mergeCell ref="IW364:IW365"/>
    <mergeCell ref="IZ364:IZ365"/>
    <mergeCell ref="JC364:JC365"/>
    <mergeCell ref="JD364:JD365"/>
    <mergeCell ref="JE364:JE365"/>
    <mergeCell ref="JR364:JR365"/>
    <mergeCell ref="JT364:JT365"/>
    <mergeCell ref="JV364:JV365"/>
    <mergeCell ref="JX364:JX365"/>
    <mergeCell ref="JZ364:JZ365"/>
    <mergeCell ref="HG365:HG366"/>
    <mergeCell ref="FP366:FP367"/>
    <mergeCell ref="IP366:IP367"/>
    <mergeCell ref="IQ366:IQ367"/>
    <mergeCell ref="IU366:IU367"/>
    <mergeCell ref="IW366:IW367"/>
    <mergeCell ref="IZ366:IZ367"/>
    <mergeCell ref="JC366:JC367"/>
    <mergeCell ref="JD366:JD367"/>
    <mergeCell ref="JE366:JE367"/>
    <mergeCell ref="JR366:JR367"/>
    <mergeCell ref="JT366:JT367"/>
    <mergeCell ref="JV366:JV367"/>
    <mergeCell ref="JX366:JX367"/>
    <mergeCell ref="JZ366:JZ367"/>
    <mergeCell ref="IR374:IR375"/>
    <mergeCell ref="IQ386:IQ387"/>
    <mergeCell ref="IU386:IU387"/>
    <mergeCell ref="IW386:IW387"/>
    <mergeCell ref="IZ386:IZ387"/>
    <mergeCell ref="JC386:JC387"/>
    <mergeCell ref="JD386:JD387"/>
    <mergeCell ref="JE386:JE387"/>
    <mergeCell ref="JR386:JR387"/>
    <mergeCell ref="JT386:JT387"/>
    <mergeCell ref="JV386:JV387"/>
    <mergeCell ref="JX386:JX387"/>
    <mergeCell ref="JZ386:JZ387"/>
    <mergeCell ref="IP369:IP370"/>
    <mergeCell ref="IQ369:IQ370"/>
    <mergeCell ref="IU369:IU370"/>
    <mergeCell ref="IW369:IW370"/>
    <mergeCell ref="IZ369:IZ370"/>
    <mergeCell ref="JC369:JC370"/>
    <mergeCell ref="JD369:JD370"/>
    <mergeCell ref="JE369:JE370"/>
    <mergeCell ref="JR369:JR370"/>
    <mergeCell ref="JT369:JT370"/>
    <mergeCell ref="JV369:JV370"/>
    <mergeCell ref="JX369:JX370"/>
    <mergeCell ref="JZ369:JZ370"/>
    <mergeCell ref="HG370:HG371"/>
    <mergeCell ref="FP371:FP372"/>
    <mergeCell ref="IP371:IP372"/>
    <mergeCell ref="IQ371:IQ372"/>
    <mergeCell ref="IU371:IU372"/>
    <mergeCell ref="IW371:IW372"/>
    <mergeCell ref="IZ371:IZ372"/>
    <mergeCell ref="JC371:JC372"/>
    <mergeCell ref="JD371:JD372"/>
    <mergeCell ref="JE371:JE372"/>
    <mergeCell ref="JR371:JR372"/>
    <mergeCell ref="JT371:JT372"/>
    <mergeCell ref="JV371:JV372"/>
    <mergeCell ref="JX371:JX372"/>
    <mergeCell ref="JZ371:JZ372"/>
    <mergeCell ref="FP374:FP375"/>
    <mergeCell ref="IP374:IP375"/>
    <mergeCell ref="IQ374:IQ375"/>
    <mergeCell ref="IU374:IU375"/>
    <mergeCell ref="IW374:IW375"/>
    <mergeCell ref="IZ374:IZ375"/>
    <mergeCell ref="JC374:JC375"/>
    <mergeCell ref="JD374:JD375"/>
    <mergeCell ref="JE374:JE375"/>
    <mergeCell ref="JR374:JR375"/>
    <mergeCell ref="JT374:JT375"/>
    <mergeCell ref="JV374:JV375"/>
    <mergeCell ref="JX374:JX375"/>
    <mergeCell ref="JZ374:JZ375"/>
    <mergeCell ref="HG375:HG376"/>
    <mergeCell ref="FP376:FP377"/>
    <mergeCell ref="IP376:IP377"/>
    <mergeCell ref="IQ376:IQ377"/>
    <mergeCell ref="IU376:IU377"/>
    <mergeCell ref="IW376:IW377"/>
    <mergeCell ref="IZ376:IZ377"/>
    <mergeCell ref="JC376:JC377"/>
    <mergeCell ref="JD376:JD377"/>
    <mergeCell ref="JE376:JE377"/>
    <mergeCell ref="JE394:JE395"/>
    <mergeCell ref="JR394:JR395"/>
    <mergeCell ref="JT394:JT395"/>
    <mergeCell ref="JV394:JV395"/>
    <mergeCell ref="JX394:JX395"/>
    <mergeCell ref="JZ394:JZ395"/>
    <mergeCell ref="HG395:HG396"/>
    <mergeCell ref="FP396:FP397"/>
    <mergeCell ref="IP396:IP397"/>
    <mergeCell ref="IQ396:IQ397"/>
    <mergeCell ref="IU396:IU397"/>
    <mergeCell ref="IW396:IW397"/>
    <mergeCell ref="IZ396:IZ397"/>
    <mergeCell ref="JC396:JC397"/>
    <mergeCell ref="JD396:JD397"/>
    <mergeCell ref="JE396:JE397"/>
    <mergeCell ref="JR396:JR397"/>
    <mergeCell ref="JT396:JT397"/>
    <mergeCell ref="JV396:JV397"/>
    <mergeCell ref="JX396:JX397"/>
    <mergeCell ref="JZ396:JZ397"/>
    <mergeCell ref="IP379:IP380"/>
    <mergeCell ref="IQ379:IQ380"/>
    <mergeCell ref="IU379:IU380"/>
    <mergeCell ref="IW379:IW380"/>
    <mergeCell ref="IZ379:IZ380"/>
    <mergeCell ref="JC379:JC380"/>
    <mergeCell ref="JD379:JD380"/>
    <mergeCell ref="JE379:JE380"/>
    <mergeCell ref="JR379:JR380"/>
    <mergeCell ref="JT379:JT380"/>
    <mergeCell ref="JV379:JV380"/>
    <mergeCell ref="JX379:JX380"/>
    <mergeCell ref="JZ379:JZ380"/>
    <mergeCell ref="HG380:HG381"/>
    <mergeCell ref="FP381:FP382"/>
    <mergeCell ref="IP381:IP382"/>
    <mergeCell ref="IQ381:IQ382"/>
    <mergeCell ref="IU381:IU382"/>
    <mergeCell ref="IW381:IW382"/>
    <mergeCell ref="IZ381:IZ382"/>
    <mergeCell ref="JC381:JC382"/>
    <mergeCell ref="JD381:JD382"/>
    <mergeCell ref="JE381:JE382"/>
    <mergeCell ref="JR381:JR382"/>
    <mergeCell ref="JT381:JT382"/>
    <mergeCell ref="JV381:JV382"/>
    <mergeCell ref="JX381:JX382"/>
    <mergeCell ref="JZ381:JZ382"/>
    <mergeCell ref="FP384:FP385"/>
    <mergeCell ref="IP384:IP385"/>
    <mergeCell ref="IQ384:IQ385"/>
    <mergeCell ref="IU384:IU385"/>
    <mergeCell ref="IW384:IW385"/>
    <mergeCell ref="IZ384:IZ385"/>
    <mergeCell ref="JC384:JC385"/>
    <mergeCell ref="JD384:JD385"/>
    <mergeCell ref="JE384:JE385"/>
    <mergeCell ref="JR384:JR385"/>
    <mergeCell ref="JT384:JT385"/>
    <mergeCell ref="JV384:JV385"/>
    <mergeCell ref="JX384:JX385"/>
    <mergeCell ref="JZ384:JZ385"/>
    <mergeCell ref="IP386:IP387"/>
    <mergeCell ref="IQ399:IQ400"/>
    <mergeCell ref="IU399:IU400"/>
    <mergeCell ref="IW399:IW400"/>
    <mergeCell ref="IZ399:IZ400"/>
    <mergeCell ref="JC399:JC400"/>
    <mergeCell ref="JD399:JD400"/>
    <mergeCell ref="JE399:JE400"/>
    <mergeCell ref="JR399:JR400"/>
    <mergeCell ref="JT399:JT400"/>
    <mergeCell ref="JV399:JV400"/>
    <mergeCell ref="JX399:JX400"/>
    <mergeCell ref="JZ399:JZ400"/>
    <mergeCell ref="HG400:HG401"/>
    <mergeCell ref="FP401:FP402"/>
    <mergeCell ref="IP401:IP402"/>
    <mergeCell ref="IQ401:IQ402"/>
    <mergeCell ref="IU401:IU402"/>
    <mergeCell ref="IW401:IW402"/>
    <mergeCell ref="IZ401:IZ402"/>
    <mergeCell ref="JC401:JC402"/>
    <mergeCell ref="JD401:JD402"/>
    <mergeCell ref="JE401:JE402"/>
    <mergeCell ref="JR401:JR402"/>
    <mergeCell ref="JT401:JT402"/>
    <mergeCell ref="JV401:JV402"/>
    <mergeCell ref="JX401:JX402"/>
    <mergeCell ref="JZ401:JZ402"/>
    <mergeCell ref="FP389:FP390"/>
    <mergeCell ref="IP389:IP390"/>
    <mergeCell ref="IQ389:IQ390"/>
    <mergeCell ref="IU389:IU390"/>
    <mergeCell ref="IW389:IW390"/>
    <mergeCell ref="IZ389:IZ390"/>
    <mergeCell ref="JC389:JC390"/>
    <mergeCell ref="JD389:JD390"/>
    <mergeCell ref="JE389:JE390"/>
    <mergeCell ref="JR389:JR390"/>
    <mergeCell ref="JT389:JT390"/>
    <mergeCell ref="JV389:JV390"/>
    <mergeCell ref="JX389:JX390"/>
    <mergeCell ref="JZ389:JZ390"/>
    <mergeCell ref="HG390:HG391"/>
    <mergeCell ref="FP391:FP392"/>
    <mergeCell ref="IP391:IP392"/>
    <mergeCell ref="IQ391:IQ392"/>
    <mergeCell ref="IU391:IU392"/>
    <mergeCell ref="IW391:IW392"/>
    <mergeCell ref="IZ391:IZ392"/>
    <mergeCell ref="JC391:JC392"/>
    <mergeCell ref="JD391:JD392"/>
    <mergeCell ref="JE391:JE392"/>
    <mergeCell ref="JR391:JR392"/>
    <mergeCell ref="JT391:JT392"/>
    <mergeCell ref="JV391:JV392"/>
    <mergeCell ref="JX391:JX392"/>
    <mergeCell ref="JZ391:JZ392"/>
    <mergeCell ref="FP394:FP395"/>
    <mergeCell ref="IP394:IP395"/>
    <mergeCell ref="IQ394:IQ395"/>
    <mergeCell ref="IU394:IU395"/>
    <mergeCell ref="IW394:IW395"/>
    <mergeCell ref="IZ394:IZ395"/>
    <mergeCell ref="JC394:JC395"/>
    <mergeCell ref="JD394:JD395"/>
    <mergeCell ref="IP641:IP642"/>
    <mergeCell ref="IQ641:IQ642"/>
    <mergeCell ref="IU641:IU642"/>
    <mergeCell ref="IW641:IW642"/>
    <mergeCell ref="IZ641:IZ642"/>
    <mergeCell ref="JC641:JC642"/>
    <mergeCell ref="JD641:JD642"/>
    <mergeCell ref="JE641:JE642"/>
    <mergeCell ref="JR641:JR642"/>
    <mergeCell ref="JT641:JT642"/>
    <mergeCell ref="JV641:JV642"/>
    <mergeCell ref="JX641:JX642"/>
    <mergeCell ref="JZ641:JZ642"/>
    <mergeCell ref="HG642:HG643"/>
    <mergeCell ref="FP643:FP644"/>
    <mergeCell ref="IP643:IP644"/>
    <mergeCell ref="IQ643:IQ644"/>
    <mergeCell ref="IU643:IU644"/>
    <mergeCell ref="IW643:IW644"/>
    <mergeCell ref="IZ643:IZ644"/>
    <mergeCell ref="JC643:JC644"/>
    <mergeCell ref="JD643:JD644"/>
    <mergeCell ref="JE643:JE644"/>
    <mergeCell ref="JR643:JR644"/>
    <mergeCell ref="JT643:JT644"/>
    <mergeCell ref="JV643:JV644"/>
    <mergeCell ref="JX643:JX644"/>
    <mergeCell ref="JZ643:JZ644"/>
    <mergeCell ref="FP646:FP647"/>
    <mergeCell ref="IP646:IP647"/>
    <mergeCell ref="IQ646:IQ647"/>
    <mergeCell ref="IU646:IU647"/>
    <mergeCell ref="IW646:IW647"/>
    <mergeCell ref="IZ646:IZ647"/>
    <mergeCell ref="JC646:JC647"/>
    <mergeCell ref="JD646:JD647"/>
    <mergeCell ref="JE646:JE647"/>
    <mergeCell ref="JR646:JR647"/>
    <mergeCell ref="JT646:JT647"/>
    <mergeCell ref="JV646:JV647"/>
    <mergeCell ref="JX646:JX647"/>
    <mergeCell ref="JZ646:JZ647"/>
    <mergeCell ref="HG647:HG648"/>
    <mergeCell ref="FP648:FP649"/>
    <mergeCell ref="IP648:IP649"/>
    <mergeCell ref="IQ648:IQ649"/>
    <mergeCell ref="IU648:IU649"/>
    <mergeCell ref="IW648:IW649"/>
    <mergeCell ref="IZ648:IZ649"/>
    <mergeCell ref="JC648:JC649"/>
    <mergeCell ref="JD648:JD649"/>
    <mergeCell ref="JE648:JE649"/>
    <mergeCell ref="JR648:JR649"/>
    <mergeCell ref="JT648:JT649"/>
    <mergeCell ref="JV648:JV649"/>
    <mergeCell ref="JX648:JX649"/>
    <mergeCell ref="JZ648:JZ649"/>
    <mergeCell ref="IR648:IR649"/>
    <mergeCell ref="IS648:IS649"/>
    <mergeCell ref="IT648:IT649"/>
    <mergeCell ref="IV648:IV649"/>
    <mergeCell ref="IX648:IX649"/>
    <mergeCell ref="IF641:IF644"/>
    <mergeCell ref="HO642:HO643"/>
    <mergeCell ref="IZ651:IZ652"/>
    <mergeCell ref="JC651:JC652"/>
    <mergeCell ref="JD651:JD652"/>
    <mergeCell ref="JE651:JE652"/>
    <mergeCell ref="JR651:JR652"/>
    <mergeCell ref="JT651:JT652"/>
    <mergeCell ref="JV651:JV652"/>
    <mergeCell ref="JX651:JX652"/>
    <mergeCell ref="JZ651:JZ652"/>
    <mergeCell ref="HG652:HG653"/>
    <mergeCell ref="FP653:FP654"/>
    <mergeCell ref="IP653:IP654"/>
    <mergeCell ref="IQ653:IQ654"/>
    <mergeCell ref="IU653:IU654"/>
    <mergeCell ref="IW653:IW654"/>
    <mergeCell ref="IZ653:IZ654"/>
    <mergeCell ref="JC653:JC654"/>
    <mergeCell ref="JD653:JD654"/>
    <mergeCell ref="JE653:JE654"/>
    <mergeCell ref="JR653:JR654"/>
    <mergeCell ref="JT653:JT654"/>
    <mergeCell ref="JV653:JV654"/>
    <mergeCell ref="JX653:JX654"/>
    <mergeCell ref="JZ653:JZ654"/>
    <mergeCell ref="FP656:FP657"/>
    <mergeCell ref="IP656:IP657"/>
    <mergeCell ref="IQ656:IQ657"/>
    <mergeCell ref="IU656:IU657"/>
    <mergeCell ref="IW656:IW657"/>
    <mergeCell ref="IZ656:IZ657"/>
    <mergeCell ref="JC656:JC657"/>
    <mergeCell ref="JD656:JD657"/>
    <mergeCell ref="JE656:JE657"/>
    <mergeCell ref="JR656:JR657"/>
    <mergeCell ref="JT656:JT657"/>
    <mergeCell ref="JV656:JV657"/>
    <mergeCell ref="JX656:JX657"/>
    <mergeCell ref="JZ656:JZ657"/>
    <mergeCell ref="HG657:HG658"/>
    <mergeCell ref="FP658:FP659"/>
    <mergeCell ref="IP658:IP659"/>
    <mergeCell ref="IQ658:IQ659"/>
    <mergeCell ref="IU658:IU659"/>
    <mergeCell ref="IW658:IW659"/>
    <mergeCell ref="IZ658:IZ659"/>
    <mergeCell ref="JC658:JC659"/>
    <mergeCell ref="JD658:JD659"/>
    <mergeCell ref="JE658:JE659"/>
    <mergeCell ref="JR658:JR659"/>
    <mergeCell ref="JT658:JT659"/>
    <mergeCell ref="JV658:JV659"/>
    <mergeCell ref="JX658:JX659"/>
    <mergeCell ref="JZ658:JZ659"/>
    <mergeCell ref="FY651:FY652"/>
    <mergeCell ref="IR651:IR652"/>
    <mergeCell ref="IS651:IS652"/>
    <mergeCell ref="IT651:IT652"/>
    <mergeCell ref="IV651:IV652"/>
    <mergeCell ref="IX651:IX652"/>
    <mergeCell ref="FY653:FY654"/>
    <mergeCell ref="JL658:JL659"/>
    <mergeCell ref="FW656:FW657"/>
    <mergeCell ref="FX656:FX657"/>
    <mergeCell ref="IR653:IR654"/>
    <mergeCell ref="IZ661:IZ662"/>
    <mergeCell ref="JC661:JC662"/>
    <mergeCell ref="JD661:JD662"/>
    <mergeCell ref="JE661:JE662"/>
    <mergeCell ref="JR661:JR662"/>
    <mergeCell ref="JT661:JT662"/>
    <mergeCell ref="JV661:JV662"/>
    <mergeCell ref="JX661:JX662"/>
    <mergeCell ref="JZ661:JZ662"/>
    <mergeCell ref="HG662:HG663"/>
    <mergeCell ref="FP663:FP664"/>
    <mergeCell ref="IP663:IP664"/>
    <mergeCell ref="IQ663:IQ664"/>
    <mergeCell ref="IU663:IU664"/>
    <mergeCell ref="IW663:IW664"/>
    <mergeCell ref="IZ663:IZ664"/>
    <mergeCell ref="JC663:JC664"/>
    <mergeCell ref="JD663:JD664"/>
    <mergeCell ref="JE663:JE664"/>
    <mergeCell ref="JR663:JR664"/>
    <mergeCell ref="JT663:JT664"/>
    <mergeCell ref="JV663:JV664"/>
    <mergeCell ref="JX663:JX664"/>
    <mergeCell ref="JZ663:JZ664"/>
    <mergeCell ref="FP666:FP667"/>
    <mergeCell ref="IP666:IP667"/>
    <mergeCell ref="IQ666:IQ667"/>
    <mergeCell ref="IU666:IU667"/>
    <mergeCell ref="IW666:IW667"/>
    <mergeCell ref="IZ666:IZ667"/>
    <mergeCell ref="JC666:JC667"/>
    <mergeCell ref="JD666:JD667"/>
    <mergeCell ref="JE666:JE667"/>
    <mergeCell ref="JR666:JR667"/>
    <mergeCell ref="JT666:JT667"/>
    <mergeCell ref="JV666:JV667"/>
    <mergeCell ref="JX666:JX667"/>
    <mergeCell ref="JZ666:JZ667"/>
    <mergeCell ref="HG667:HG668"/>
    <mergeCell ref="FP668:FP669"/>
    <mergeCell ref="IP668:IP669"/>
    <mergeCell ref="IQ668:IQ669"/>
    <mergeCell ref="IU668:IU669"/>
    <mergeCell ref="IW668:IW669"/>
    <mergeCell ref="IZ668:IZ669"/>
    <mergeCell ref="JC668:JC669"/>
    <mergeCell ref="JD668:JD669"/>
    <mergeCell ref="JE668:JE669"/>
    <mergeCell ref="JR668:JR669"/>
    <mergeCell ref="JT668:JT669"/>
    <mergeCell ref="JV668:JV669"/>
    <mergeCell ref="JX668:JX669"/>
    <mergeCell ref="JZ668:JZ669"/>
    <mergeCell ref="JL661:JL662"/>
    <mergeCell ref="JL663:JL664"/>
    <mergeCell ref="JL666:JL667"/>
    <mergeCell ref="JL668:JL669"/>
    <mergeCell ref="IR661:IR662"/>
    <mergeCell ref="IS661:IS662"/>
    <mergeCell ref="IT661:IT662"/>
    <mergeCell ref="HZ667:HZ668"/>
    <mergeCell ref="ID667:ID668"/>
    <mergeCell ref="IK668:IK669"/>
    <mergeCell ref="IN661:IN664"/>
    <mergeCell ref="IP671:IP672"/>
    <mergeCell ref="IQ671:IQ672"/>
    <mergeCell ref="IU671:IU672"/>
    <mergeCell ref="IW671:IW672"/>
    <mergeCell ref="IZ671:IZ672"/>
    <mergeCell ref="JC671:JC672"/>
    <mergeCell ref="JD671:JD672"/>
    <mergeCell ref="JE671:JE672"/>
    <mergeCell ref="JR671:JR672"/>
    <mergeCell ref="JT671:JT672"/>
    <mergeCell ref="JV671:JV672"/>
    <mergeCell ref="JX671:JX672"/>
    <mergeCell ref="JZ671:JZ672"/>
    <mergeCell ref="HG672:HG673"/>
    <mergeCell ref="FP673:FP674"/>
    <mergeCell ref="IP673:IP674"/>
    <mergeCell ref="IQ673:IQ674"/>
    <mergeCell ref="IU673:IU674"/>
    <mergeCell ref="IW673:IW674"/>
    <mergeCell ref="IZ673:IZ674"/>
    <mergeCell ref="JC673:JC674"/>
    <mergeCell ref="JD673:JD674"/>
    <mergeCell ref="JE673:JE674"/>
    <mergeCell ref="JR673:JR674"/>
    <mergeCell ref="JT673:JT674"/>
    <mergeCell ref="JV673:JV674"/>
    <mergeCell ref="JX673:JX674"/>
    <mergeCell ref="JZ673:JZ674"/>
    <mergeCell ref="FP676:FP677"/>
    <mergeCell ref="IP676:IP677"/>
    <mergeCell ref="IQ676:IQ677"/>
    <mergeCell ref="IU676:IU677"/>
    <mergeCell ref="IW676:IW677"/>
    <mergeCell ref="IZ676:IZ677"/>
    <mergeCell ref="JC676:JC677"/>
    <mergeCell ref="JD676:JD677"/>
    <mergeCell ref="JE676:JE677"/>
    <mergeCell ref="JR676:JR677"/>
    <mergeCell ref="JT676:JT677"/>
    <mergeCell ref="JV676:JV677"/>
    <mergeCell ref="JX676:JX677"/>
    <mergeCell ref="JZ676:JZ677"/>
    <mergeCell ref="HG677:HG678"/>
    <mergeCell ref="FP678:FP679"/>
    <mergeCell ref="IP678:IP679"/>
    <mergeCell ref="IQ678:IQ679"/>
    <mergeCell ref="IU678:IU679"/>
    <mergeCell ref="IW678:IW679"/>
    <mergeCell ref="IZ678:IZ679"/>
    <mergeCell ref="JC678:JC679"/>
    <mergeCell ref="JD678:JD679"/>
    <mergeCell ref="JE678:JE679"/>
    <mergeCell ref="JR678:JR679"/>
    <mergeCell ref="JT678:JT679"/>
    <mergeCell ref="JV678:JV679"/>
    <mergeCell ref="JX678:JX679"/>
    <mergeCell ref="JZ678:JZ679"/>
    <mergeCell ref="JL671:JL672"/>
    <mergeCell ref="JL673:JL674"/>
    <mergeCell ref="JL676:JL677"/>
    <mergeCell ref="JL678:JL679"/>
    <mergeCell ref="IR673:IR674"/>
    <mergeCell ref="IS673:IS674"/>
    <mergeCell ref="IT673:IT674"/>
    <mergeCell ref="FP681:FP682"/>
    <mergeCell ref="IP681:IP682"/>
    <mergeCell ref="IQ681:IQ682"/>
    <mergeCell ref="IU681:IU682"/>
    <mergeCell ref="IW681:IW682"/>
    <mergeCell ref="IZ681:IZ682"/>
    <mergeCell ref="JC681:JC682"/>
    <mergeCell ref="JD681:JD682"/>
    <mergeCell ref="JE681:JE682"/>
    <mergeCell ref="JR681:JR682"/>
    <mergeCell ref="JT681:JT682"/>
    <mergeCell ref="JV681:JV682"/>
    <mergeCell ref="JX681:JX682"/>
    <mergeCell ref="JZ681:JZ682"/>
    <mergeCell ref="HG682:HG683"/>
    <mergeCell ref="FP683:FP684"/>
    <mergeCell ref="IP683:IP684"/>
    <mergeCell ref="IQ683:IQ684"/>
    <mergeCell ref="IU683:IU684"/>
    <mergeCell ref="IW683:IW684"/>
    <mergeCell ref="IZ683:IZ684"/>
    <mergeCell ref="JC683:JC684"/>
    <mergeCell ref="JD683:JD684"/>
    <mergeCell ref="JE683:JE684"/>
    <mergeCell ref="JR683:JR684"/>
    <mergeCell ref="JT683:JT684"/>
    <mergeCell ref="JV683:JV684"/>
    <mergeCell ref="JX683:JX684"/>
    <mergeCell ref="JZ683:JZ684"/>
    <mergeCell ref="FP686:FP687"/>
    <mergeCell ref="IP686:IP687"/>
    <mergeCell ref="IQ686:IQ687"/>
    <mergeCell ref="IU686:IU687"/>
    <mergeCell ref="IW686:IW687"/>
    <mergeCell ref="IZ686:IZ687"/>
    <mergeCell ref="JC686:JC687"/>
    <mergeCell ref="JD686:JD687"/>
    <mergeCell ref="JE686:JE687"/>
    <mergeCell ref="JR686:JR687"/>
    <mergeCell ref="JT686:JT687"/>
    <mergeCell ref="JV686:JV687"/>
    <mergeCell ref="JX686:JX687"/>
    <mergeCell ref="JZ686:JZ687"/>
    <mergeCell ref="HG687:HG688"/>
    <mergeCell ref="FP688:FP689"/>
    <mergeCell ref="IP688:IP689"/>
    <mergeCell ref="IQ688:IQ689"/>
    <mergeCell ref="IU688:IU689"/>
    <mergeCell ref="IW688:IW689"/>
    <mergeCell ref="IZ688:IZ689"/>
    <mergeCell ref="JC688:JC689"/>
    <mergeCell ref="JD688:JD689"/>
    <mergeCell ref="JE688:JE689"/>
    <mergeCell ref="JR688:JR689"/>
    <mergeCell ref="JT688:JT689"/>
    <mergeCell ref="JV688:JV689"/>
    <mergeCell ref="JX688:JX689"/>
    <mergeCell ref="JZ688:JZ689"/>
    <mergeCell ref="JL681:JL682"/>
    <mergeCell ref="JL683:JL684"/>
    <mergeCell ref="JL686:JL687"/>
    <mergeCell ref="JL688:JL689"/>
    <mergeCell ref="IR686:IR687"/>
    <mergeCell ref="IT686:IT687"/>
    <mergeCell ref="JC691:JC692"/>
    <mergeCell ref="JD691:JD692"/>
    <mergeCell ref="JE691:JE692"/>
    <mergeCell ref="JR691:JR692"/>
    <mergeCell ref="JT691:JT692"/>
    <mergeCell ref="JV691:JV692"/>
    <mergeCell ref="JX691:JX692"/>
    <mergeCell ref="JZ691:JZ692"/>
    <mergeCell ref="HG692:HG693"/>
    <mergeCell ref="FP693:FP694"/>
    <mergeCell ref="IP693:IP694"/>
    <mergeCell ref="IQ693:IQ694"/>
    <mergeCell ref="IU693:IU694"/>
    <mergeCell ref="IW693:IW694"/>
    <mergeCell ref="IZ693:IZ694"/>
    <mergeCell ref="JC693:JC694"/>
    <mergeCell ref="JD693:JD694"/>
    <mergeCell ref="JE693:JE694"/>
    <mergeCell ref="JR693:JR694"/>
    <mergeCell ref="JT693:JT694"/>
    <mergeCell ref="JV693:JV694"/>
    <mergeCell ref="JX693:JX694"/>
    <mergeCell ref="JZ693:JZ694"/>
    <mergeCell ref="FP696:FP697"/>
    <mergeCell ref="IP696:IP697"/>
    <mergeCell ref="IQ696:IQ697"/>
    <mergeCell ref="IU696:IU697"/>
    <mergeCell ref="IW696:IW697"/>
    <mergeCell ref="IZ696:IZ697"/>
    <mergeCell ref="JC696:JC697"/>
    <mergeCell ref="JD696:JD697"/>
    <mergeCell ref="JE696:JE697"/>
    <mergeCell ref="JR696:JR697"/>
    <mergeCell ref="JT696:JT697"/>
    <mergeCell ref="JV696:JV697"/>
    <mergeCell ref="JX696:JX697"/>
    <mergeCell ref="JZ696:JZ697"/>
    <mergeCell ref="HG697:HG698"/>
    <mergeCell ref="FP698:FP699"/>
    <mergeCell ref="IP698:IP699"/>
    <mergeCell ref="IQ698:IQ699"/>
    <mergeCell ref="IU698:IU699"/>
    <mergeCell ref="IW698:IW699"/>
    <mergeCell ref="IZ698:IZ699"/>
    <mergeCell ref="JC698:JC699"/>
    <mergeCell ref="JD698:JD699"/>
    <mergeCell ref="JE698:JE699"/>
    <mergeCell ref="JR698:JR699"/>
    <mergeCell ref="JT698:JT699"/>
    <mergeCell ref="JV698:JV699"/>
    <mergeCell ref="JX698:JX699"/>
    <mergeCell ref="JZ698:JZ699"/>
    <mergeCell ref="JL693:JL694"/>
    <mergeCell ref="JL696:JL697"/>
    <mergeCell ref="JL698:JL699"/>
    <mergeCell ref="JL691:JL692"/>
    <mergeCell ref="IR698:IR699"/>
    <mergeCell ref="IS698:IS699"/>
    <mergeCell ref="IT698:IT699"/>
    <mergeCell ref="IV698:IV699"/>
    <mergeCell ref="IX698:IX699"/>
    <mergeCell ref="GF696:GF699"/>
    <mergeCell ref="GG696:GG699"/>
    <mergeCell ref="FW696:FW697"/>
    <mergeCell ref="IZ701:IZ702"/>
    <mergeCell ref="JC701:JC702"/>
    <mergeCell ref="JD701:JD702"/>
    <mergeCell ref="JE701:JE702"/>
    <mergeCell ref="JR701:JR702"/>
    <mergeCell ref="JT701:JT702"/>
    <mergeCell ref="JV701:JV702"/>
    <mergeCell ref="JX701:JX702"/>
    <mergeCell ref="JZ701:JZ702"/>
    <mergeCell ref="HG702:HG703"/>
    <mergeCell ref="FP703:FP704"/>
    <mergeCell ref="IP703:IP704"/>
    <mergeCell ref="IQ703:IQ704"/>
    <mergeCell ref="IU703:IU704"/>
    <mergeCell ref="IW703:IW704"/>
    <mergeCell ref="IZ703:IZ704"/>
    <mergeCell ref="JC703:JC704"/>
    <mergeCell ref="JD703:JD704"/>
    <mergeCell ref="JE703:JE704"/>
    <mergeCell ref="JR703:JR704"/>
    <mergeCell ref="JT703:JT704"/>
    <mergeCell ref="JV703:JV704"/>
    <mergeCell ref="JX703:JX704"/>
    <mergeCell ref="JZ703:JZ704"/>
    <mergeCell ref="FP706:FP707"/>
    <mergeCell ref="IP706:IP707"/>
    <mergeCell ref="IQ706:IQ707"/>
    <mergeCell ref="IU706:IU707"/>
    <mergeCell ref="IW706:IW707"/>
    <mergeCell ref="IZ706:IZ707"/>
    <mergeCell ref="JC706:JC707"/>
    <mergeCell ref="JD706:JD707"/>
    <mergeCell ref="JE706:JE707"/>
    <mergeCell ref="JR706:JR707"/>
    <mergeCell ref="JT706:JT707"/>
    <mergeCell ref="JV706:JV707"/>
    <mergeCell ref="JX706:JX707"/>
    <mergeCell ref="JZ706:JZ707"/>
    <mergeCell ref="HG707:HG708"/>
    <mergeCell ref="FP708:FP709"/>
    <mergeCell ref="IP708:IP709"/>
    <mergeCell ref="IQ708:IQ709"/>
    <mergeCell ref="IU708:IU709"/>
    <mergeCell ref="IW708:IW709"/>
    <mergeCell ref="IZ708:IZ709"/>
    <mergeCell ref="JC708:JC709"/>
    <mergeCell ref="JD708:JD709"/>
    <mergeCell ref="JE708:JE709"/>
    <mergeCell ref="JR708:JR709"/>
    <mergeCell ref="JT708:JT709"/>
    <mergeCell ref="JV708:JV709"/>
    <mergeCell ref="JX708:JX709"/>
    <mergeCell ref="JZ708:JZ709"/>
    <mergeCell ref="JL701:JL702"/>
    <mergeCell ref="JL703:JL704"/>
    <mergeCell ref="JL706:JL707"/>
    <mergeCell ref="JL708:JL709"/>
    <mergeCell ref="IG701:IG702"/>
    <mergeCell ref="IH701:IH704"/>
    <mergeCell ref="IK701:IK702"/>
    <mergeCell ref="IR701:IR702"/>
    <mergeCell ref="IV701:IV702"/>
    <mergeCell ref="HI707:HI708"/>
    <mergeCell ref="HJ707:HJ708"/>
    <mergeCell ref="IZ711:IZ712"/>
    <mergeCell ref="JC711:JC712"/>
    <mergeCell ref="JD711:JD712"/>
    <mergeCell ref="JE711:JE712"/>
    <mergeCell ref="JR711:JR712"/>
    <mergeCell ref="JT711:JT712"/>
    <mergeCell ref="JV711:JV712"/>
    <mergeCell ref="JX711:JX712"/>
    <mergeCell ref="JZ711:JZ712"/>
    <mergeCell ref="HG712:HG713"/>
    <mergeCell ref="FP713:FP714"/>
    <mergeCell ref="IP713:IP714"/>
    <mergeCell ref="IQ713:IQ714"/>
    <mergeCell ref="IU713:IU714"/>
    <mergeCell ref="IW713:IW714"/>
    <mergeCell ref="IZ713:IZ714"/>
    <mergeCell ref="JC713:JC714"/>
    <mergeCell ref="JD713:JD714"/>
    <mergeCell ref="JE713:JE714"/>
    <mergeCell ref="JR713:JR714"/>
    <mergeCell ref="JT713:JT714"/>
    <mergeCell ref="JV713:JV714"/>
    <mergeCell ref="JX713:JX714"/>
    <mergeCell ref="JZ713:JZ714"/>
    <mergeCell ref="FP719:FP720"/>
    <mergeCell ref="IP719:IP720"/>
    <mergeCell ref="IQ719:IQ720"/>
    <mergeCell ref="IU719:IU720"/>
    <mergeCell ref="IW719:IW720"/>
    <mergeCell ref="IZ719:IZ720"/>
    <mergeCell ref="JC719:JC720"/>
    <mergeCell ref="JD719:JD720"/>
    <mergeCell ref="JE719:JE720"/>
    <mergeCell ref="JR719:JR720"/>
    <mergeCell ref="JT719:JT720"/>
    <mergeCell ref="JV719:JV720"/>
    <mergeCell ref="JX719:JX720"/>
    <mergeCell ref="JZ719:JZ720"/>
    <mergeCell ref="HG720:HG721"/>
    <mergeCell ref="FP721:FP722"/>
    <mergeCell ref="IP721:IP722"/>
    <mergeCell ref="IQ721:IQ722"/>
    <mergeCell ref="IU721:IU722"/>
    <mergeCell ref="IW721:IW722"/>
    <mergeCell ref="IZ721:IZ722"/>
    <mergeCell ref="JC721:JC722"/>
    <mergeCell ref="JD721:JD722"/>
    <mergeCell ref="JE721:JE722"/>
    <mergeCell ref="JR721:JR722"/>
    <mergeCell ref="JT721:JT722"/>
    <mergeCell ref="JV721:JV722"/>
    <mergeCell ref="JX721:JX722"/>
    <mergeCell ref="JZ721:JZ722"/>
    <mergeCell ref="JL711:JL712"/>
    <mergeCell ref="JL713:JL714"/>
    <mergeCell ref="JL719:JL720"/>
    <mergeCell ref="JL721:JL722"/>
    <mergeCell ref="IR711:IR712"/>
    <mergeCell ref="IS711:IS712"/>
    <mergeCell ref="IT711:IT712"/>
    <mergeCell ref="IT719:IT720"/>
    <mergeCell ref="IV719:IV720"/>
    <mergeCell ref="IX719:IX720"/>
    <mergeCell ref="IV711:IV712"/>
    <mergeCell ref="IZ724:IZ725"/>
    <mergeCell ref="JC724:JC725"/>
    <mergeCell ref="JD724:JD725"/>
    <mergeCell ref="JE724:JE725"/>
    <mergeCell ref="JR724:JR725"/>
    <mergeCell ref="JT724:JT725"/>
    <mergeCell ref="JV724:JV725"/>
    <mergeCell ref="JX724:JX725"/>
    <mergeCell ref="JZ724:JZ725"/>
    <mergeCell ref="HG725:HG726"/>
    <mergeCell ref="FP726:FP727"/>
    <mergeCell ref="IP726:IP727"/>
    <mergeCell ref="IQ726:IQ727"/>
    <mergeCell ref="IU726:IU727"/>
    <mergeCell ref="IW726:IW727"/>
    <mergeCell ref="IZ726:IZ727"/>
    <mergeCell ref="JC726:JC727"/>
    <mergeCell ref="JD726:JD727"/>
    <mergeCell ref="JE726:JE727"/>
    <mergeCell ref="JR726:JR727"/>
    <mergeCell ref="JT726:JT727"/>
    <mergeCell ref="JV726:JV727"/>
    <mergeCell ref="JX726:JX727"/>
    <mergeCell ref="JZ726:JZ727"/>
    <mergeCell ref="FP729:FP730"/>
    <mergeCell ref="IP729:IP730"/>
    <mergeCell ref="IQ729:IQ730"/>
    <mergeCell ref="IU729:IU730"/>
    <mergeCell ref="IW729:IW730"/>
    <mergeCell ref="IZ729:IZ730"/>
    <mergeCell ref="JC729:JC730"/>
    <mergeCell ref="JD729:JD730"/>
    <mergeCell ref="JE729:JE730"/>
    <mergeCell ref="JR729:JR730"/>
    <mergeCell ref="JT729:JT730"/>
    <mergeCell ref="JV729:JV730"/>
    <mergeCell ref="JX729:JX730"/>
    <mergeCell ref="JZ729:JZ730"/>
    <mergeCell ref="HG730:HG731"/>
    <mergeCell ref="FP731:FP732"/>
    <mergeCell ref="IP731:IP732"/>
    <mergeCell ref="IQ731:IQ732"/>
    <mergeCell ref="IU731:IU732"/>
    <mergeCell ref="IW731:IW732"/>
    <mergeCell ref="IZ731:IZ732"/>
    <mergeCell ref="JC731:JC732"/>
    <mergeCell ref="JD731:JD732"/>
    <mergeCell ref="JE731:JE732"/>
    <mergeCell ref="JR731:JR732"/>
    <mergeCell ref="JT731:JT732"/>
    <mergeCell ref="JV731:JV732"/>
    <mergeCell ref="JX731:JX732"/>
    <mergeCell ref="JZ731:JZ732"/>
    <mergeCell ref="JL724:JL725"/>
    <mergeCell ref="JL726:JL727"/>
    <mergeCell ref="JL729:JL730"/>
    <mergeCell ref="JL731:JL732"/>
    <mergeCell ref="IR726:IR727"/>
    <mergeCell ref="IS726:IS727"/>
    <mergeCell ref="IT726:IT727"/>
    <mergeCell ref="IV726:IV727"/>
    <mergeCell ref="IX726:IX727"/>
    <mergeCell ref="IV729:IV730"/>
    <mergeCell ref="IX729:IX730"/>
    <mergeCell ref="IZ734:IZ735"/>
    <mergeCell ref="JC734:JC735"/>
    <mergeCell ref="JD734:JD735"/>
    <mergeCell ref="JE734:JE735"/>
    <mergeCell ref="JR734:JR735"/>
    <mergeCell ref="JT734:JT735"/>
    <mergeCell ref="JV734:JV735"/>
    <mergeCell ref="JX734:JX735"/>
    <mergeCell ref="JZ734:JZ735"/>
    <mergeCell ref="HG735:HG736"/>
    <mergeCell ref="FP736:FP737"/>
    <mergeCell ref="IP736:IP737"/>
    <mergeCell ref="IQ736:IQ737"/>
    <mergeCell ref="IU736:IU737"/>
    <mergeCell ref="IW736:IW737"/>
    <mergeCell ref="IZ736:IZ737"/>
    <mergeCell ref="JC736:JC737"/>
    <mergeCell ref="JD736:JD737"/>
    <mergeCell ref="JE736:JE737"/>
    <mergeCell ref="JR736:JR737"/>
    <mergeCell ref="JT736:JT737"/>
    <mergeCell ref="JV736:JV737"/>
    <mergeCell ref="JX736:JX737"/>
    <mergeCell ref="JZ736:JZ737"/>
    <mergeCell ref="FP739:FP740"/>
    <mergeCell ref="IP739:IP740"/>
    <mergeCell ref="IQ739:IQ740"/>
    <mergeCell ref="IU739:IU740"/>
    <mergeCell ref="IW739:IW740"/>
    <mergeCell ref="IZ739:IZ740"/>
    <mergeCell ref="JC739:JC740"/>
    <mergeCell ref="JD739:JD740"/>
    <mergeCell ref="JE739:JE740"/>
    <mergeCell ref="JR739:JR740"/>
    <mergeCell ref="JT739:JT740"/>
    <mergeCell ref="JV739:JV740"/>
    <mergeCell ref="JX739:JX740"/>
    <mergeCell ref="JZ739:JZ740"/>
    <mergeCell ref="HG740:HG741"/>
    <mergeCell ref="FP741:FP742"/>
    <mergeCell ref="IP741:IP742"/>
    <mergeCell ref="IQ741:IQ742"/>
    <mergeCell ref="IU741:IU742"/>
    <mergeCell ref="IW741:IW742"/>
    <mergeCell ref="IZ741:IZ742"/>
    <mergeCell ref="JC741:JC742"/>
    <mergeCell ref="JD741:JD742"/>
    <mergeCell ref="JE741:JE742"/>
    <mergeCell ref="JR741:JR742"/>
    <mergeCell ref="JT741:JT742"/>
    <mergeCell ref="JV741:JV742"/>
    <mergeCell ref="JX741:JX742"/>
    <mergeCell ref="JZ741:JZ742"/>
    <mergeCell ref="IR739:IR740"/>
    <mergeCell ref="IS739:IS740"/>
    <mergeCell ref="IT739:IT740"/>
    <mergeCell ref="IV739:IV740"/>
    <mergeCell ref="IX739:IX740"/>
    <mergeCell ref="FY741:FY742"/>
    <mergeCell ref="IR741:IR742"/>
    <mergeCell ref="IV741:IV742"/>
    <mergeCell ref="IX741:IX742"/>
    <mergeCell ref="GF734:GF737"/>
    <mergeCell ref="GG734:GG737"/>
    <mergeCell ref="JC744:JC745"/>
    <mergeCell ref="JD744:JD745"/>
    <mergeCell ref="JE744:JE745"/>
    <mergeCell ref="JR744:JR745"/>
    <mergeCell ref="JT744:JT745"/>
    <mergeCell ref="JV744:JV745"/>
    <mergeCell ref="JX744:JX745"/>
    <mergeCell ref="JZ744:JZ745"/>
    <mergeCell ref="HG745:HG746"/>
    <mergeCell ref="FP746:FP747"/>
    <mergeCell ref="IP746:IP747"/>
    <mergeCell ref="IQ746:IQ747"/>
    <mergeCell ref="IU746:IU747"/>
    <mergeCell ref="IW746:IW747"/>
    <mergeCell ref="IZ746:IZ747"/>
    <mergeCell ref="JC746:JC747"/>
    <mergeCell ref="JD746:JD747"/>
    <mergeCell ref="JE746:JE747"/>
    <mergeCell ref="JR746:JR747"/>
    <mergeCell ref="JT746:JT747"/>
    <mergeCell ref="JV746:JV747"/>
    <mergeCell ref="JX746:JX747"/>
    <mergeCell ref="JZ746:JZ747"/>
    <mergeCell ref="FP749:FP750"/>
    <mergeCell ref="IP749:IP750"/>
    <mergeCell ref="IQ749:IQ750"/>
    <mergeCell ref="IU749:IU750"/>
    <mergeCell ref="IW749:IW750"/>
    <mergeCell ref="IZ749:IZ750"/>
    <mergeCell ref="JC749:JC750"/>
    <mergeCell ref="JD749:JD750"/>
    <mergeCell ref="JE749:JE750"/>
    <mergeCell ref="JR749:JR750"/>
    <mergeCell ref="JT749:JT750"/>
    <mergeCell ref="JV749:JV750"/>
    <mergeCell ref="JX749:JX750"/>
    <mergeCell ref="JZ749:JZ750"/>
    <mergeCell ref="HG750:HG751"/>
    <mergeCell ref="FP751:FP752"/>
    <mergeCell ref="IP751:IP752"/>
    <mergeCell ref="IQ751:IQ752"/>
    <mergeCell ref="IU751:IU752"/>
    <mergeCell ref="IW751:IW752"/>
    <mergeCell ref="IZ751:IZ752"/>
    <mergeCell ref="JC751:JC752"/>
    <mergeCell ref="JD751:JD752"/>
    <mergeCell ref="JE751:JE752"/>
    <mergeCell ref="JR751:JR752"/>
    <mergeCell ref="JT751:JT752"/>
    <mergeCell ref="JV751:JV752"/>
    <mergeCell ref="JX751:JX752"/>
    <mergeCell ref="JZ751:JZ752"/>
    <mergeCell ref="JL744:JL745"/>
    <mergeCell ref="JL746:JL747"/>
    <mergeCell ref="JL749:JL750"/>
    <mergeCell ref="JL751:JL752"/>
    <mergeCell ref="IR751:IR752"/>
    <mergeCell ref="IS751:IS752"/>
    <mergeCell ref="IT751:IT752"/>
    <mergeCell ref="FY746:FY747"/>
    <mergeCell ref="FY749:FY750"/>
    <mergeCell ref="GQ745:GQ746"/>
    <mergeCell ref="HH745:HH746"/>
    <mergeCell ref="IU744:IU745"/>
    <mergeCell ref="JC754:JC755"/>
    <mergeCell ref="JD754:JD755"/>
    <mergeCell ref="JE754:JE755"/>
    <mergeCell ref="JR754:JR755"/>
    <mergeCell ref="JT754:JT755"/>
    <mergeCell ref="JV754:JV755"/>
    <mergeCell ref="JX754:JX755"/>
    <mergeCell ref="JZ754:JZ755"/>
    <mergeCell ref="HG755:HG756"/>
    <mergeCell ref="FP756:FP757"/>
    <mergeCell ref="IP756:IP757"/>
    <mergeCell ref="IQ756:IQ757"/>
    <mergeCell ref="IU756:IU757"/>
    <mergeCell ref="IW756:IW757"/>
    <mergeCell ref="IZ756:IZ757"/>
    <mergeCell ref="JC756:JC757"/>
    <mergeCell ref="JD756:JD757"/>
    <mergeCell ref="JE756:JE757"/>
    <mergeCell ref="JR756:JR757"/>
    <mergeCell ref="JT756:JT757"/>
    <mergeCell ref="JV756:JV757"/>
    <mergeCell ref="JX756:JX757"/>
    <mergeCell ref="JZ756:JZ757"/>
    <mergeCell ref="FP759:FP760"/>
    <mergeCell ref="IP759:IP760"/>
    <mergeCell ref="IQ759:IQ760"/>
    <mergeCell ref="IU759:IU760"/>
    <mergeCell ref="IW759:IW760"/>
    <mergeCell ref="IZ759:IZ760"/>
    <mergeCell ref="JC759:JC760"/>
    <mergeCell ref="JD759:JD760"/>
    <mergeCell ref="JE759:JE760"/>
    <mergeCell ref="JR759:JR760"/>
    <mergeCell ref="JT759:JT760"/>
    <mergeCell ref="JV759:JV760"/>
    <mergeCell ref="JX759:JX760"/>
    <mergeCell ref="JZ759:JZ760"/>
    <mergeCell ref="HG760:HG761"/>
    <mergeCell ref="FP761:FP762"/>
    <mergeCell ref="IP761:IP762"/>
    <mergeCell ref="IQ761:IQ762"/>
    <mergeCell ref="IU761:IU762"/>
    <mergeCell ref="IW761:IW762"/>
    <mergeCell ref="IZ761:IZ762"/>
    <mergeCell ref="JC761:JC762"/>
    <mergeCell ref="JD761:JD762"/>
    <mergeCell ref="JE761:JE762"/>
    <mergeCell ref="JR761:JR762"/>
    <mergeCell ref="JT761:JT762"/>
    <mergeCell ref="JV761:JV762"/>
    <mergeCell ref="JX761:JX762"/>
    <mergeCell ref="JZ761:JZ762"/>
    <mergeCell ref="JL754:JL755"/>
    <mergeCell ref="JL756:JL757"/>
    <mergeCell ref="JL759:JL760"/>
    <mergeCell ref="JL761:JL762"/>
    <mergeCell ref="GD754:GD757"/>
    <mergeCell ref="GE754:GE757"/>
    <mergeCell ref="IH754:IH757"/>
    <mergeCell ref="IL759:IL762"/>
    <mergeCell ref="IM759:IM760"/>
    <mergeCell ref="IN759:IN762"/>
    <mergeCell ref="GM760:GM761"/>
    <mergeCell ref="GN760:GN761"/>
    <mergeCell ref="FP764:FP765"/>
    <mergeCell ref="IP764:IP765"/>
    <mergeCell ref="IQ764:IQ765"/>
    <mergeCell ref="IU764:IU765"/>
    <mergeCell ref="IW764:IW765"/>
    <mergeCell ref="IZ764:IZ765"/>
    <mergeCell ref="JC764:JC765"/>
    <mergeCell ref="JD764:JD765"/>
    <mergeCell ref="JE764:JE765"/>
    <mergeCell ref="JR764:JR765"/>
    <mergeCell ref="JT764:JT765"/>
    <mergeCell ref="JV764:JV765"/>
    <mergeCell ref="JX764:JX765"/>
    <mergeCell ref="JZ764:JZ765"/>
    <mergeCell ref="HG765:HG766"/>
    <mergeCell ref="FP766:FP767"/>
    <mergeCell ref="IP766:IP767"/>
    <mergeCell ref="IQ766:IQ767"/>
    <mergeCell ref="IU766:IU767"/>
    <mergeCell ref="IW766:IW767"/>
    <mergeCell ref="IZ766:IZ767"/>
    <mergeCell ref="JC766:JC767"/>
    <mergeCell ref="JD766:JD767"/>
    <mergeCell ref="JE766:JE767"/>
    <mergeCell ref="JR766:JR767"/>
    <mergeCell ref="JT766:JT767"/>
    <mergeCell ref="JV766:JV767"/>
    <mergeCell ref="JX766:JX767"/>
    <mergeCell ref="JZ766:JZ767"/>
    <mergeCell ref="FP769:FP770"/>
    <mergeCell ref="IP769:IP770"/>
    <mergeCell ref="IQ769:IQ770"/>
    <mergeCell ref="IU769:IU770"/>
    <mergeCell ref="IW769:IW770"/>
    <mergeCell ref="IZ769:IZ770"/>
    <mergeCell ref="JC769:JC770"/>
    <mergeCell ref="JD769:JD770"/>
    <mergeCell ref="JE769:JE770"/>
    <mergeCell ref="JR769:JR770"/>
    <mergeCell ref="JT769:JT770"/>
    <mergeCell ref="JV769:JV770"/>
    <mergeCell ref="JX769:JX770"/>
    <mergeCell ref="JZ769:JZ770"/>
    <mergeCell ref="HG770:HG771"/>
    <mergeCell ref="FP771:FP772"/>
    <mergeCell ref="IP771:IP772"/>
    <mergeCell ref="IQ771:IQ772"/>
    <mergeCell ref="IU771:IU772"/>
    <mergeCell ref="IW771:IW772"/>
    <mergeCell ref="IZ771:IZ772"/>
    <mergeCell ref="JC771:JC772"/>
    <mergeCell ref="JD771:JD772"/>
    <mergeCell ref="JE771:JE772"/>
    <mergeCell ref="JR771:JR772"/>
    <mergeCell ref="JT771:JT772"/>
    <mergeCell ref="JV771:JV772"/>
    <mergeCell ref="JX771:JX772"/>
    <mergeCell ref="JZ771:JZ772"/>
    <mergeCell ref="JL764:JL765"/>
    <mergeCell ref="JL766:JL767"/>
    <mergeCell ref="JL769:JL770"/>
    <mergeCell ref="JL771:JL772"/>
    <mergeCell ref="IR764:IR765"/>
    <mergeCell ref="IS764:IS765"/>
    <mergeCell ref="JC779:JC780"/>
    <mergeCell ref="JD779:JD780"/>
    <mergeCell ref="JE779:JE780"/>
    <mergeCell ref="JR779:JR780"/>
    <mergeCell ref="JT779:JT780"/>
    <mergeCell ref="JV779:JV780"/>
    <mergeCell ref="JX779:JX780"/>
    <mergeCell ref="JZ779:JZ780"/>
    <mergeCell ref="HG780:HG781"/>
    <mergeCell ref="FP781:FP782"/>
    <mergeCell ref="IP781:IP782"/>
    <mergeCell ref="IQ781:IQ782"/>
    <mergeCell ref="IU781:IU782"/>
    <mergeCell ref="IW781:IW782"/>
    <mergeCell ref="IZ781:IZ782"/>
    <mergeCell ref="JC781:JC782"/>
    <mergeCell ref="JD781:JD782"/>
    <mergeCell ref="JE781:JE782"/>
    <mergeCell ref="JR781:JR782"/>
    <mergeCell ref="JT781:JT782"/>
    <mergeCell ref="JV781:JV782"/>
    <mergeCell ref="JX781:JX782"/>
    <mergeCell ref="JZ781:JZ782"/>
    <mergeCell ref="JL774:JL775"/>
    <mergeCell ref="JL776:JL777"/>
    <mergeCell ref="JL779:JL780"/>
    <mergeCell ref="JL781:JL782"/>
    <mergeCell ref="IK774:IK775"/>
    <mergeCell ref="IL774:IL777"/>
    <mergeCell ref="IM774:IM775"/>
    <mergeCell ref="IN774:IN777"/>
    <mergeCell ref="IM776:IM777"/>
    <mergeCell ref="IK776:IK777"/>
    <mergeCell ref="GM775:GM776"/>
    <mergeCell ref="GN775:GN776"/>
    <mergeCell ref="GP775:GP776"/>
    <mergeCell ref="GQ775:GQ776"/>
    <mergeCell ref="HH775:HH776"/>
    <mergeCell ref="HI775:HI776"/>
    <mergeCell ref="HJ775:HJ776"/>
    <mergeCell ref="HK775:HK776"/>
    <mergeCell ref="HL775:HL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D775:ID776"/>
    <mergeCell ref="IG781:IG782"/>
    <mergeCell ref="IK781:IK782"/>
    <mergeCell ref="IM781:IM782"/>
    <mergeCell ref="GA779:GA782"/>
    <mergeCell ref="GB779:GB782"/>
    <mergeCell ref="GC779:GC782"/>
    <mergeCell ref="IZ779:IZ780"/>
    <mergeCell ref="IP789:IP790"/>
    <mergeCell ref="IQ789:IQ790"/>
    <mergeCell ref="IU789:IU790"/>
    <mergeCell ref="IW789:IW790"/>
    <mergeCell ref="IZ789:IZ790"/>
    <mergeCell ref="JC789:JC790"/>
    <mergeCell ref="JD789:JD790"/>
    <mergeCell ref="JE789:JE790"/>
    <mergeCell ref="JR789:JR790"/>
    <mergeCell ref="JT789:JT790"/>
    <mergeCell ref="JV789:JV790"/>
    <mergeCell ref="JX789:JX790"/>
    <mergeCell ref="JZ789:JZ790"/>
    <mergeCell ref="HG790:HG791"/>
    <mergeCell ref="FP791:FP792"/>
    <mergeCell ref="IP791:IP792"/>
    <mergeCell ref="IQ791:IQ792"/>
    <mergeCell ref="IU791:IU792"/>
    <mergeCell ref="IW791:IW792"/>
    <mergeCell ref="IZ791:IZ792"/>
    <mergeCell ref="JC791:JC792"/>
    <mergeCell ref="JD791:JD792"/>
    <mergeCell ref="JE791:JE792"/>
    <mergeCell ref="JR791:JR792"/>
    <mergeCell ref="JT791:JT792"/>
    <mergeCell ref="JV791:JV792"/>
    <mergeCell ref="JX791:JX792"/>
    <mergeCell ref="JZ791:JZ792"/>
    <mergeCell ref="JL786:JL787"/>
    <mergeCell ref="JL789:JL790"/>
    <mergeCell ref="JL791:JL792"/>
    <mergeCell ref="JL784:JL785"/>
    <mergeCell ref="IR789:IR790"/>
    <mergeCell ref="IS789:IS790"/>
    <mergeCell ref="FU784:FU785"/>
    <mergeCell ref="FV784:FV785"/>
    <mergeCell ref="FW784:FW785"/>
    <mergeCell ref="FX784:FX785"/>
    <mergeCell ref="IF784:IF787"/>
    <mergeCell ref="IG784:IG785"/>
    <mergeCell ref="IH784:IH787"/>
    <mergeCell ref="IK784:IK785"/>
    <mergeCell ref="IL784:IL787"/>
    <mergeCell ref="IM784:IM785"/>
    <mergeCell ref="IN784:IN787"/>
    <mergeCell ref="GM785:GM786"/>
    <mergeCell ref="GN785:GN786"/>
    <mergeCell ref="GP785:GP786"/>
    <mergeCell ref="GQ785:GQ786"/>
    <mergeCell ref="HH785:HH786"/>
    <mergeCell ref="HI785:HI786"/>
    <mergeCell ref="HJ785:HJ786"/>
    <mergeCell ref="HK785:HK786"/>
    <mergeCell ref="HL785:HL786"/>
    <mergeCell ref="HM785:HM786"/>
    <mergeCell ref="HN785:HN786"/>
    <mergeCell ref="HO785:HO786"/>
    <mergeCell ref="HP785:HP786"/>
    <mergeCell ref="HQ785:HQ786"/>
    <mergeCell ref="HR785:HR786"/>
    <mergeCell ref="HS785:HS786"/>
    <mergeCell ref="HT785:HT786"/>
    <mergeCell ref="HU785:HU786"/>
    <mergeCell ref="HW785:HW786"/>
    <mergeCell ref="K44:Q44"/>
    <mergeCell ref="E2:H2"/>
    <mergeCell ref="E4:H4"/>
    <mergeCell ref="E6:H6"/>
    <mergeCell ref="E8:H8"/>
    <mergeCell ref="FP784:FP785"/>
    <mergeCell ref="IP784:IP785"/>
    <mergeCell ref="IQ784:IQ785"/>
    <mergeCell ref="IU784:IU785"/>
    <mergeCell ref="IW784:IW785"/>
    <mergeCell ref="IZ784:IZ785"/>
    <mergeCell ref="JC784:JC785"/>
    <mergeCell ref="JD784:JD785"/>
    <mergeCell ref="JE784:JE785"/>
    <mergeCell ref="JR784:JR785"/>
    <mergeCell ref="JT784:JT785"/>
    <mergeCell ref="JV784:JV785"/>
    <mergeCell ref="JX784:JX785"/>
    <mergeCell ref="JZ784:JZ785"/>
    <mergeCell ref="HG785:HG786"/>
    <mergeCell ref="FP786:FP787"/>
    <mergeCell ref="IP786:IP787"/>
    <mergeCell ref="IQ786:IQ787"/>
    <mergeCell ref="IU786:IU787"/>
    <mergeCell ref="IW786:IW787"/>
    <mergeCell ref="IZ786:IZ787"/>
    <mergeCell ref="JC786:JC787"/>
    <mergeCell ref="JD786:JD787"/>
    <mergeCell ref="JE786:JE787"/>
    <mergeCell ref="JR786:JR787"/>
    <mergeCell ref="JT786:JT787"/>
    <mergeCell ref="JV786:JV787"/>
    <mergeCell ref="JX786:JX787"/>
    <mergeCell ref="JZ786:JZ787"/>
    <mergeCell ref="IW774:IW775"/>
    <mergeCell ref="IZ774:IZ775"/>
    <mergeCell ref="JC774:JC775"/>
    <mergeCell ref="JD774:JD775"/>
    <mergeCell ref="JE774:JE775"/>
    <mergeCell ref="JR774:JR775"/>
    <mergeCell ref="JT774:JT775"/>
    <mergeCell ref="JV774:JV775"/>
    <mergeCell ref="JX774:JX775"/>
    <mergeCell ref="JZ774:JZ775"/>
    <mergeCell ref="HG775:HG776"/>
    <mergeCell ref="FP776:FP777"/>
    <mergeCell ref="IP776:IP777"/>
    <mergeCell ref="IQ776:IQ777"/>
    <mergeCell ref="IU776:IU777"/>
    <mergeCell ref="IW776:IW777"/>
    <mergeCell ref="IZ776:IZ777"/>
    <mergeCell ref="JC776:JC777"/>
    <mergeCell ref="JD776:JD777"/>
    <mergeCell ref="JE776:JE777"/>
    <mergeCell ref="JR776:JR777"/>
    <mergeCell ref="JT776:JT777"/>
    <mergeCell ref="JV776:JV777"/>
    <mergeCell ref="JX776:JX777"/>
    <mergeCell ref="JZ776:JZ777"/>
    <mergeCell ref="FP779:FP780"/>
    <mergeCell ref="IP779:IP780"/>
    <mergeCell ref="IQ779:IQ780"/>
    <mergeCell ref="IU779:IU780"/>
    <mergeCell ref="IW779:IW780"/>
    <mergeCell ref="KB4:KB6"/>
    <mergeCell ref="KB47:KB48"/>
    <mergeCell ref="KB49:KB50"/>
    <mergeCell ref="KB52:KB53"/>
    <mergeCell ref="KB54:KB55"/>
    <mergeCell ref="KB57:KB58"/>
    <mergeCell ref="KB59:KB60"/>
    <mergeCell ref="KB62:KB63"/>
    <mergeCell ref="KB64:KB65"/>
    <mergeCell ref="KB67:KB68"/>
    <mergeCell ref="KB69:KB70"/>
    <mergeCell ref="KB72:KB73"/>
    <mergeCell ref="KB74:KB75"/>
    <mergeCell ref="KB77:KB78"/>
    <mergeCell ref="KB79:KB80"/>
    <mergeCell ref="KB82:KB83"/>
    <mergeCell ref="KB84:KB85"/>
    <mergeCell ref="KB87:KB88"/>
    <mergeCell ref="KB89:KB90"/>
    <mergeCell ref="KB95:KB96"/>
    <mergeCell ref="KB97:KB98"/>
    <mergeCell ref="KB100:KB101"/>
    <mergeCell ref="KB102:KB103"/>
    <mergeCell ref="KB105:KB106"/>
    <mergeCell ref="KB107:KB108"/>
    <mergeCell ref="KB110:KB111"/>
    <mergeCell ref="KB112:KB113"/>
    <mergeCell ref="KB115:KB116"/>
    <mergeCell ref="KB117:KB118"/>
    <mergeCell ref="KB120:KB121"/>
    <mergeCell ref="KB122:KB123"/>
    <mergeCell ref="KB125:KB126"/>
    <mergeCell ref="KB127:KB128"/>
    <mergeCell ref="KB130:KB131"/>
    <mergeCell ref="KB132:KB133"/>
    <mergeCell ref="KB135:KB136"/>
    <mergeCell ref="KB137:KB138"/>
    <mergeCell ref="KB140:KB141"/>
    <mergeCell ref="KB142:KB143"/>
    <mergeCell ref="KB145:KB146"/>
    <mergeCell ref="KB147:KB148"/>
    <mergeCell ref="KB150:KB151"/>
    <mergeCell ref="KB152:KB153"/>
    <mergeCell ref="KB155:KB156"/>
    <mergeCell ref="KB157:KB158"/>
    <mergeCell ref="KB160:KB161"/>
    <mergeCell ref="KB162:KB163"/>
    <mergeCell ref="KB165:KB166"/>
    <mergeCell ref="KB167:KB168"/>
    <mergeCell ref="KB173:KB174"/>
    <mergeCell ref="KB175:KB176"/>
    <mergeCell ref="KB178:KB179"/>
    <mergeCell ref="KB180:KB181"/>
    <mergeCell ref="KB183:KB184"/>
    <mergeCell ref="KB185:KB186"/>
    <mergeCell ref="KB188:KB189"/>
    <mergeCell ref="KB190:KB191"/>
    <mergeCell ref="KB193:KB194"/>
    <mergeCell ref="KB195:KB196"/>
    <mergeCell ref="KB198:KB199"/>
    <mergeCell ref="KB200:KB201"/>
    <mergeCell ref="KB203:KB204"/>
    <mergeCell ref="KB205:KB206"/>
    <mergeCell ref="KB208:KB209"/>
    <mergeCell ref="KB210:KB211"/>
    <mergeCell ref="KB213:KB214"/>
    <mergeCell ref="KB215:KB216"/>
    <mergeCell ref="KB218:KB219"/>
    <mergeCell ref="KB220:KB221"/>
    <mergeCell ref="KB223:KB224"/>
    <mergeCell ref="KB225:KB226"/>
    <mergeCell ref="KB228:KB229"/>
    <mergeCell ref="KB230:KB231"/>
    <mergeCell ref="KB233:KB234"/>
    <mergeCell ref="KB235:KB236"/>
    <mergeCell ref="KB238:KB239"/>
    <mergeCell ref="KB240:KB241"/>
    <mergeCell ref="KB243:KB244"/>
    <mergeCell ref="KB245:KB246"/>
    <mergeCell ref="KB251:KB252"/>
    <mergeCell ref="KB253:KB254"/>
    <mergeCell ref="KB256:KB257"/>
    <mergeCell ref="KB258:KB259"/>
    <mergeCell ref="KB261:KB262"/>
    <mergeCell ref="KB263:KB264"/>
    <mergeCell ref="KB266:KB267"/>
    <mergeCell ref="KB268:KB269"/>
    <mergeCell ref="KB271:KB272"/>
    <mergeCell ref="KB273:KB274"/>
    <mergeCell ref="KB276:KB277"/>
    <mergeCell ref="KB278:KB279"/>
    <mergeCell ref="KB281:KB282"/>
    <mergeCell ref="KB283:KB284"/>
    <mergeCell ref="KB286:KB287"/>
    <mergeCell ref="KB288:KB289"/>
    <mergeCell ref="KB291:KB292"/>
    <mergeCell ref="KB293:KB294"/>
    <mergeCell ref="KB296:KB297"/>
    <mergeCell ref="KB298:KB299"/>
    <mergeCell ref="KB301:KB302"/>
    <mergeCell ref="KB303:KB304"/>
    <mergeCell ref="KB306:KB307"/>
    <mergeCell ref="KB308:KB309"/>
    <mergeCell ref="KB311:KB312"/>
    <mergeCell ref="KB313:KB314"/>
    <mergeCell ref="KB316:KB317"/>
    <mergeCell ref="KB318:KB319"/>
    <mergeCell ref="KB321:KB322"/>
    <mergeCell ref="KB323:KB324"/>
    <mergeCell ref="KB329:KB330"/>
    <mergeCell ref="KB331:KB332"/>
    <mergeCell ref="KB334:KB335"/>
    <mergeCell ref="KB336:KB337"/>
    <mergeCell ref="KB339:KB340"/>
    <mergeCell ref="KB341:KB342"/>
    <mergeCell ref="KB344:KB345"/>
    <mergeCell ref="KB346:KB347"/>
    <mergeCell ref="KB349:KB350"/>
    <mergeCell ref="KB351:KB352"/>
    <mergeCell ref="KB354:KB355"/>
    <mergeCell ref="KB356:KB357"/>
    <mergeCell ref="KB359:KB360"/>
    <mergeCell ref="KB361:KB362"/>
    <mergeCell ref="KB364:KB365"/>
    <mergeCell ref="KB366:KB367"/>
    <mergeCell ref="KB369:KB370"/>
    <mergeCell ref="KB371:KB372"/>
    <mergeCell ref="KB374:KB375"/>
    <mergeCell ref="KB376:KB377"/>
    <mergeCell ref="KB379:KB380"/>
    <mergeCell ref="KB381:KB382"/>
    <mergeCell ref="KB384:KB385"/>
    <mergeCell ref="KB386:KB387"/>
    <mergeCell ref="KB389:KB390"/>
    <mergeCell ref="KB391:KB392"/>
    <mergeCell ref="KB394:KB395"/>
    <mergeCell ref="KB396:KB397"/>
    <mergeCell ref="KB399:KB400"/>
    <mergeCell ref="KB401:KB402"/>
    <mergeCell ref="KB407:KB408"/>
    <mergeCell ref="KB409:KB410"/>
    <mergeCell ref="KB412:KB413"/>
    <mergeCell ref="KB414:KB415"/>
    <mergeCell ref="KB417:KB418"/>
    <mergeCell ref="KB419:KB420"/>
    <mergeCell ref="KB422:KB423"/>
    <mergeCell ref="KB424:KB425"/>
    <mergeCell ref="KB427:KB428"/>
    <mergeCell ref="KB429:KB430"/>
    <mergeCell ref="KB432:KB433"/>
    <mergeCell ref="KB434:KB435"/>
    <mergeCell ref="KB437:KB438"/>
    <mergeCell ref="KB439:KB440"/>
    <mergeCell ref="KB442:KB443"/>
    <mergeCell ref="KB444:KB445"/>
    <mergeCell ref="KB447:KB448"/>
    <mergeCell ref="KB449:KB450"/>
    <mergeCell ref="KB452:KB453"/>
    <mergeCell ref="KB454:KB455"/>
    <mergeCell ref="KB457:KB458"/>
    <mergeCell ref="KB459:KB460"/>
    <mergeCell ref="KB462:KB463"/>
    <mergeCell ref="KB464:KB465"/>
    <mergeCell ref="KB467:KB468"/>
    <mergeCell ref="KB469:KB470"/>
    <mergeCell ref="KB472:KB473"/>
    <mergeCell ref="KB474:KB475"/>
    <mergeCell ref="KB477:KB478"/>
    <mergeCell ref="KB479:KB480"/>
    <mergeCell ref="KB485:KB486"/>
    <mergeCell ref="KB487:KB488"/>
    <mergeCell ref="KB490:KB491"/>
    <mergeCell ref="KB492:KB493"/>
    <mergeCell ref="KB495:KB496"/>
    <mergeCell ref="KB497:KB498"/>
    <mergeCell ref="KB500:KB501"/>
    <mergeCell ref="KB502:KB503"/>
    <mergeCell ref="KB505:KB506"/>
    <mergeCell ref="KB507:KB508"/>
    <mergeCell ref="KB510:KB511"/>
    <mergeCell ref="KB512:KB513"/>
    <mergeCell ref="KB515:KB516"/>
    <mergeCell ref="KB517:KB518"/>
    <mergeCell ref="KB520:KB521"/>
    <mergeCell ref="KB522:KB523"/>
    <mergeCell ref="KB525:KB526"/>
    <mergeCell ref="KB527:KB528"/>
    <mergeCell ref="KB530:KB531"/>
    <mergeCell ref="KB532:KB533"/>
    <mergeCell ref="KB535:KB536"/>
    <mergeCell ref="KB537:KB538"/>
    <mergeCell ref="KB540:KB541"/>
    <mergeCell ref="KB542:KB543"/>
    <mergeCell ref="KB545:KB546"/>
    <mergeCell ref="KB547:KB548"/>
    <mergeCell ref="KB550:KB551"/>
    <mergeCell ref="KB552:KB553"/>
    <mergeCell ref="KB555:KB556"/>
    <mergeCell ref="KB557:KB558"/>
    <mergeCell ref="KB563:KB564"/>
    <mergeCell ref="KB565:KB566"/>
    <mergeCell ref="KB568:KB569"/>
    <mergeCell ref="KB570:KB571"/>
    <mergeCell ref="KB573:KB574"/>
    <mergeCell ref="KB575:KB576"/>
    <mergeCell ref="KB578:KB579"/>
    <mergeCell ref="KB580:KB581"/>
    <mergeCell ref="KB583:KB584"/>
    <mergeCell ref="KB585:KB586"/>
    <mergeCell ref="KB588:KB589"/>
    <mergeCell ref="KB590:KB591"/>
    <mergeCell ref="KB593:KB594"/>
    <mergeCell ref="KB595:KB596"/>
    <mergeCell ref="KB598:KB599"/>
    <mergeCell ref="KB600:KB601"/>
    <mergeCell ref="KB603:KB604"/>
    <mergeCell ref="KB605:KB606"/>
    <mergeCell ref="KB608:KB609"/>
    <mergeCell ref="KB610:KB611"/>
    <mergeCell ref="KB613:KB614"/>
    <mergeCell ref="KB615:KB616"/>
    <mergeCell ref="KB618:KB619"/>
    <mergeCell ref="KB620:KB621"/>
    <mergeCell ref="KB623:KB624"/>
    <mergeCell ref="KB625:KB626"/>
    <mergeCell ref="KB628:KB629"/>
    <mergeCell ref="KB630:KB631"/>
    <mergeCell ref="KB633:KB634"/>
    <mergeCell ref="KB635:KB636"/>
    <mergeCell ref="KB641:KB642"/>
    <mergeCell ref="KB643:KB644"/>
    <mergeCell ref="KB731:KB732"/>
    <mergeCell ref="KB734:KB735"/>
    <mergeCell ref="KB736:KB737"/>
    <mergeCell ref="KB739:KB740"/>
    <mergeCell ref="KB741:KB742"/>
    <mergeCell ref="KB744:KB745"/>
    <mergeCell ref="KB746:KB747"/>
    <mergeCell ref="KB749:KB750"/>
    <mergeCell ref="KB751:KB752"/>
    <mergeCell ref="KB754:KB755"/>
    <mergeCell ref="KB756:KB757"/>
    <mergeCell ref="KB759:KB760"/>
    <mergeCell ref="KB761:KB762"/>
    <mergeCell ref="KB764:KB765"/>
    <mergeCell ref="KB766:KB767"/>
    <mergeCell ref="KB769:KB770"/>
    <mergeCell ref="KB771:KB772"/>
    <mergeCell ref="KB774:KB775"/>
    <mergeCell ref="KB776:KB777"/>
    <mergeCell ref="KB779:KB780"/>
    <mergeCell ref="KB781:KB782"/>
    <mergeCell ref="KB784:KB785"/>
    <mergeCell ref="KB786:KB787"/>
    <mergeCell ref="KB789:KB790"/>
    <mergeCell ref="KB791:KB792"/>
    <mergeCell ref="KB646:KB647"/>
    <mergeCell ref="KB648:KB649"/>
    <mergeCell ref="KB651:KB652"/>
    <mergeCell ref="KB653:KB654"/>
    <mergeCell ref="KB656:KB657"/>
    <mergeCell ref="KB658:KB659"/>
    <mergeCell ref="KB661:KB662"/>
    <mergeCell ref="KB663:KB664"/>
    <mergeCell ref="KB666:KB667"/>
    <mergeCell ref="KB668:KB669"/>
    <mergeCell ref="KB671:KB672"/>
    <mergeCell ref="KB673:KB674"/>
    <mergeCell ref="KB676:KB677"/>
    <mergeCell ref="KB678:KB679"/>
    <mergeCell ref="KB681:KB682"/>
    <mergeCell ref="KB683:KB684"/>
    <mergeCell ref="KB686:KB687"/>
    <mergeCell ref="KB688:KB689"/>
    <mergeCell ref="KB691:KB692"/>
    <mergeCell ref="KB693:KB694"/>
    <mergeCell ref="KB696:KB697"/>
    <mergeCell ref="KB698:KB699"/>
    <mergeCell ref="KB701:KB702"/>
    <mergeCell ref="KB703:KB704"/>
    <mergeCell ref="KB706:KB707"/>
    <mergeCell ref="KB708:KB709"/>
    <mergeCell ref="KB711:KB712"/>
    <mergeCell ref="KB713:KB714"/>
    <mergeCell ref="KB719:KB720"/>
    <mergeCell ref="KB721:KB722"/>
    <mergeCell ref="KB724:KB725"/>
    <mergeCell ref="KB726:KB727"/>
    <mergeCell ref="KB729:KB730"/>
  </mergeCells>
  <phoneticPr fontId="23" type="noConversion"/>
  <conditionalFormatting sqref="AA22 W22">
    <cfRule type="expression" dxfId="12731" priority="129355">
      <formula>#REF!="TRC LOW!"</formula>
    </cfRule>
  </conditionalFormatting>
  <conditionalFormatting sqref="CB9:CJ9 BI9:BT9 CB11:CJ11 BV9 BI8:CJ8 BV11 BI11:BT11 BI10:CJ10 BI12:CJ27 BI29:CJ40">
    <cfRule type="notContainsBlanks" dxfId="12730" priority="126641">
      <formula>LEN(TRIM(BI8))&gt;0</formula>
    </cfRule>
  </conditionalFormatting>
  <conditionalFormatting sqref="BU9 BU11">
    <cfRule type="notContainsBlanks" dxfId="12729" priority="126640">
      <formula>LEN(TRIM(BU9))&gt;0</formula>
    </cfRule>
  </conditionalFormatting>
  <conditionalFormatting sqref="CA9 CA11">
    <cfRule type="notContainsBlanks" dxfId="12728" priority="126635">
      <formula>LEN(TRIM(CA9))&gt;0</formula>
    </cfRule>
  </conditionalFormatting>
  <conditionalFormatting sqref="BW9 BW11">
    <cfRule type="notContainsBlanks" dxfId="12727" priority="126638">
      <formula>LEN(TRIM(BW9))&gt;0</formula>
    </cfRule>
  </conditionalFormatting>
  <conditionalFormatting sqref="BX9 BX11">
    <cfRule type="notContainsBlanks" dxfId="12726" priority="126637">
      <formula>LEN(TRIM(BX9))&gt;0</formula>
    </cfRule>
  </conditionalFormatting>
  <conditionalFormatting sqref="BY9:BZ9 BY11:BZ11">
    <cfRule type="notContainsBlanks" dxfId="12725" priority="126636">
      <formula>LEN(TRIM(BY9))&gt;0</formula>
    </cfRule>
  </conditionalFormatting>
  <conditionalFormatting sqref="AX26 AX28 AX30 AX32">
    <cfRule type="cellIs" dxfId="12724" priority="75594" operator="equal">
      <formula>"Missing"</formula>
    </cfRule>
  </conditionalFormatting>
  <conditionalFormatting sqref="T24:U26">
    <cfRule type="cellIs" dxfId="12723" priority="18687" operator="equal">
      <formula>"Rate Sch?"</formula>
    </cfRule>
    <cfRule type="containsText" dxfId="12722" priority="75593" operator="containsText" text="Space Error">
      <formula>NOT(ISERROR(SEARCH("Space Error",T24)))</formula>
    </cfRule>
  </conditionalFormatting>
  <conditionalFormatting sqref="P43:Q43 P45:Q45 K44">
    <cfRule type="expression" dxfId="12721" priority="73242">
      <formula>$C$43=0</formula>
    </cfRule>
  </conditionalFormatting>
  <conditionalFormatting sqref="E20:I27 E29:I29 E28:G28 I28 E31:I33 E30:G30 I30">
    <cfRule type="expression" dxfId="12720" priority="72373">
      <formula>$C$43&gt;=1</formula>
    </cfRule>
  </conditionalFormatting>
  <conditionalFormatting sqref="BI28:CJ28">
    <cfRule type="notContainsBlanks" dxfId="12719" priority="65204">
      <formula>LEN(TRIM(BI28))&gt;0</formula>
    </cfRule>
  </conditionalFormatting>
  <conditionalFormatting sqref="AA27">
    <cfRule type="expression" dxfId="12718" priority="18671">
      <formula>#REF!="TRC LOW!"</formula>
    </cfRule>
  </conditionalFormatting>
  <conditionalFormatting sqref="AB30">
    <cfRule type="expression" dxfId="12717" priority="18037">
      <formula>$AB$30&gt;0</formula>
    </cfRule>
  </conditionalFormatting>
  <conditionalFormatting sqref="AC30:AD30">
    <cfRule type="expression" dxfId="12716" priority="18036">
      <formula>$AD$30&gt;0</formula>
    </cfRule>
  </conditionalFormatting>
  <conditionalFormatting sqref="AF30:AG30 AF31 AF33:AF34">
    <cfRule type="expression" dxfId="12715" priority="18035">
      <formula>$AG$30&gt;0</formula>
    </cfRule>
  </conditionalFormatting>
  <conditionalFormatting sqref="W24">
    <cfRule type="expression" dxfId="12714" priority="18030">
      <formula>#REF!="TRC LOW!"</formula>
    </cfRule>
  </conditionalFormatting>
  <conditionalFormatting sqref="W26">
    <cfRule type="expression" dxfId="12713" priority="18029">
      <formula>#REF!="TRC LOW!"</formula>
    </cfRule>
  </conditionalFormatting>
  <conditionalFormatting sqref="W28">
    <cfRule type="expression" dxfId="12712" priority="18028">
      <formula>#REF!="TRC LOW!"</formula>
    </cfRule>
  </conditionalFormatting>
  <conditionalFormatting sqref="W30">
    <cfRule type="expression" dxfId="12711" priority="18027">
      <formula>#REF!="TRC LOW!"</formula>
    </cfRule>
  </conditionalFormatting>
  <conditionalFormatting sqref="W32">
    <cfRule type="expression" dxfId="12710" priority="18026">
      <formula>#REF!="TRC LOW!"</formula>
    </cfRule>
  </conditionalFormatting>
  <conditionalFormatting sqref="W34">
    <cfRule type="expression" dxfId="12709" priority="18025">
      <formula>#REF!="TRC LOW!"</formula>
    </cfRule>
  </conditionalFormatting>
  <conditionalFormatting sqref="I37:R37 L38:R38 K36:R36">
    <cfRule type="expression" dxfId="12708" priority="17807">
      <formula>$C$43=0</formula>
    </cfRule>
  </conditionalFormatting>
  <conditionalFormatting sqref="H804:R805">
    <cfRule type="expression" dxfId="12707" priority="17154">
      <formula>$C$43=0</formula>
    </cfRule>
  </conditionalFormatting>
  <conditionalFormatting sqref="AX48">
    <cfRule type="expression" dxfId="12706" priority="14825">
      <formula>$E48=""</formula>
    </cfRule>
  </conditionalFormatting>
  <conditionalFormatting sqref="AX47">
    <cfRule type="expression" dxfId="12705" priority="14824">
      <formula>$E47=""</formula>
    </cfRule>
  </conditionalFormatting>
  <conditionalFormatting sqref="AX49">
    <cfRule type="expression" dxfId="12704" priority="14823">
      <formula>#REF!=""</formula>
    </cfRule>
  </conditionalFormatting>
  <conditionalFormatting sqref="AX50">
    <cfRule type="expression" dxfId="12703" priority="14822">
      <formula>$E49=""</formula>
    </cfRule>
  </conditionalFormatting>
  <conditionalFormatting sqref="AY47:AZ50">
    <cfRule type="expression" dxfId="12702" priority="14821">
      <formula>$G47=""</formula>
    </cfRule>
  </conditionalFormatting>
  <conditionalFormatting sqref="G49">
    <cfRule type="expression" dxfId="12701" priority="14818" stopIfTrue="1">
      <formula>$G47=""</formula>
    </cfRule>
    <cfRule type="containsBlanks" dxfId="12700" priority="14819" stopIfTrue="1">
      <formula>LEN(TRIM(G49))=0</formula>
    </cfRule>
    <cfRule type="expression" dxfId="12699" priority="14820">
      <formula>OR($M49=0,$HH48=FALSE)</formula>
    </cfRule>
  </conditionalFormatting>
  <conditionalFormatting sqref="AO49">
    <cfRule type="expression" dxfId="12698" priority="14817" stopIfTrue="1">
      <formula>$G47=""</formula>
    </cfRule>
  </conditionalFormatting>
  <conditionalFormatting sqref="AU47:AU50">
    <cfRule type="expression" dxfId="12697" priority="14814" stopIfTrue="1">
      <formula>$C$43=2</formula>
    </cfRule>
    <cfRule type="cellIs" dxfId="12696" priority="14815" operator="equal">
      <formula>"Yes"</formula>
    </cfRule>
    <cfRule type="cellIs" dxfId="12695" priority="14816" operator="equal">
      <formula>"No"</formula>
    </cfRule>
  </conditionalFormatting>
  <conditionalFormatting sqref="AO47:AO48">
    <cfRule type="expression" dxfId="12694" priority="14813">
      <formula>$G47=""</formula>
    </cfRule>
  </conditionalFormatting>
  <conditionalFormatting sqref="AP47 AR47:AS50">
    <cfRule type="expression" dxfId="12693" priority="14812">
      <formula>$G47=""</formula>
    </cfRule>
  </conditionalFormatting>
  <conditionalFormatting sqref="AW47:AW50">
    <cfRule type="expression" dxfId="12692" priority="14811">
      <formula>$G47=""</formula>
    </cfRule>
  </conditionalFormatting>
  <conditionalFormatting sqref="G48:L48">
    <cfRule type="expression" dxfId="12691" priority="14809" stopIfTrue="1">
      <formula>$G47=""</formula>
    </cfRule>
    <cfRule type="containsBlanks" dxfId="12690" priority="14810">
      <formula>LEN(TRIM(G48))=0</formula>
    </cfRule>
  </conditionalFormatting>
  <conditionalFormatting sqref="R49">
    <cfRule type="expression" dxfId="12689" priority="14806">
      <formula>$N50="BAM"</formula>
    </cfRule>
    <cfRule type="expression" dxfId="12688" priority="14807" stopIfTrue="1">
      <formula>$G47=""</formula>
    </cfRule>
    <cfRule type="containsBlanks" dxfId="12687" priority="14808">
      <formula>LEN(TRIM(R49))=0</formula>
    </cfRule>
  </conditionalFormatting>
  <conditionalFormatting sqref="R49">
    <cfRule type="expression" dxfId="12686" priority="14805">
      <formula>$C$43=0</formula>
    </cfRule>
  </conditionalFormatting>
  <conditionalFormatting sqref="E50:F50">
    <cfRule type="expression" dxfId="12685" priority="14804">
      <formula>$CQ47="Exterior"</formula>
    </cfRule>
  </conditionalFormatting>
  <conditionalFormatting sqref="R48">
    <cfRule type="expression" dxfId="12684" priority="14801" stopIfTrue="1">
      <formula>$N50="BAM"</formula>
    </cfRule>
  </conditionalFormatting>
  <conditionalFormatting sqref="R48">
    <cfRule type="containsBlanks" dxfId="12683" priority="14802">
      <formula>LEN(TRIM(R48))=0</formula>
    </cfRule>
  </conditionalFormatting>
  <conditionalFormatting sqref="R48">
    <cfRule type="expression" dxfId="12682" priority="14800" stopIfTrue="1">
      <formula>$G47=""</formula>
    </cfRule>
    <cfRule type="expression" dxfId="12681" priority="14803">
      <formula>$HY48=FALSE</formula>
    </cfRule>
  </conditionalFormatting>
  <conditionalFormatting sqref="G50">
    <cfRule type="expression" dxfId="12680" priority="14794" stopIfTrue="1">
      <formula>$G47=""</formula>
    </cfRule>
  </conditionalFormatting>
  <conditionalFormatting sqref="G50">
    <cfRule type="expression" dxfId="12679" priority="14796" stopIfTrue="1">
      <formula>$CQ47="Exterior"</formula>
    </cfRule>
  </conditionalFormatting>
  <conditionalFormatting sqref="G50:L50">
    <cfRule type="expression" dxfId="12678" priority="14795" stopIfTrue="1">
      <formula>$N50="BAM"</formula>
    </cfRule>
    <cfRule type="containsBlanks" dxfId="12677" priority="14797" stopIfTrue="1">
      <formula>LEN(TRIM(G50))=0</formula>
    </cfRule>
    <cfRule type="expression" dxfId="12676" priority="14799">
      <formula>$HQ48=FALSE</formula>
    </cfRule>
  </conditionalFormatting>
  <conditionalFormatting sqref="G50:L50">
    <cfRule type="expression" dxfId="12675" priority="14798" stopIfTrue="1">
      <formula>$AG49=""</formula>
    </cfRule>
  </conditionalFormatting>
  <conditionalFormatting sqref="AP47:AT50 AW47:AW50 AY47:AZ50 AP52:AT55 AY52:AZ55 AP57:AT60 AY57:AZ60 AP62:AT65 AY62:AZ65 AP67:AT70 AY67:AZ70 AP72:AT75 AY72:AZ75 AP77:AT80 AY77:AZ80 AP82:AT85 AY82:AZ85 AP87:AT90 AY87:AZ90 AP95:AT98 AY95:AZ98 AP100:AT103 AY100:AZ103 AP105:AT108 AY105:AZ108 AP110:AT113 AY110:AZ113 AP115:AT118 AY115:AZ118 AP120:AT123 AY120:AZ123 AP125:AT128 AY125:AZ128 AP130:AT133 AY130:AZ133 AP135:AT138 AY135:AZ138 AP140:AT143 AY140:AZ143 AP145:AT148 AY145:AZ148 AP150:AT153 AY150:AZ153 AP155:AT158 AY155:AZ158 AP160:AT163 AY160:AZ163 AP165:AT168 AY165:AZ168 AP173:AT176 AY173:AZ176 AP178:AT181 AY178:AZ181 AP183:AT186 AY183:AZ186 AP188:AT191 AY188:AZ191 AP193:AT196 AY193:AZ196 AP198:AT201 AY198:AZ201 AP203:AT206 AY203:AZ206 AP208:AT211 AY208:AZ211 AP213:AT216 AY213:AZ216 AP218:AT221 AY218:AZ221 AP223:AT226 AY223:AZ226 AP228:AT231 AY228:AZ231 AP233:AT236 AY233:AZ236 AP238:AT241 AY238:AZ241 AP243:AT246 AY243:AZ246 AP251:AT254 AY251:AZ254 AP256:AT259 AY256:AZ259 AP261:AT264 AY261:AZ264 AP266:AT269 AY266:AZ269 AP271:AT274 AY271:AZ274 AP276:AT279 AY276:AZ279 AP281:AT284 AY281:AZ284 AP286:AT289 AY286:AZ289 AP291:AT294 AY291:AZ294 AP296:AT299 AY296:AZ299 AP301:AT304 AY301:AZ304 AP306:AT309 AY306:AZ309 AP311:AT314 AY311:AZ314 AP316:AT319 AY316:AZ319 AP321:AT324 AY321:AZ324 AP329:AT332 AY329:AZ332 AP334:AT337 AY334:AZ337 AP339:AT342 AY339:AZ342 AP344:AT347 AY344:AZ347 AP349:AT352 AY349:AZ352 AP354:AT357 AY354:AZ357 AP359:AT362 AY359:AZ362 AP364:AT367 AY364:AZ367 AP369:AT372 AY369:AZ372 AP374:AT377 AY374:AZ377 AP379:AT382 AY379:AZ382 AP384:AT387 AY384:AZ387 AP389:AT392 AY389:AZ392 AP394:AT397 AY394:AZ397 AP399:AT402 AY399:AZ402 AP407:AT410 AY407:AZ410 AP412:AT415 AY412:AZ415 AP417:AT420 AY417:AZ420 AP422:AT425 AY422:AZ425 AP427:AT430 AY427:AZ430 AP432:AT435 AY432:AZ435 AP437:AT440 AY437:AZ440 AP442:AT445 AY442:AZ445 AP447:AT450 AY447:AZ450 AP452:AT455 AY452:AZ455 AP457:AT460 AY457:AZ460 AP462:AT465 AY462:AZ465 AP467:AT470 AY467:AZ470 AP472:AT475 AY472:AZ475 AP477:AT480 AY477:AZ480 AP485:AT488 AY485:AZ488 AP490:AT493 AY490:AZ493 AP495:AT498 AY495:AZ498 AP500:AT503 AY500:AZ503 AP505:AT508 AY505:AZ508 AP510:AT513 AY510:AZ513 AP515:AT518 AY515:AZ518 AP520:AT523 AY520:AZ523 AP525:AT528 AY525:AZ528 AP530:AT533 AY530:AZ533 AP535:AT538 AY535:AZ538 AP540:AT543 AY540:AZ543 AP545:AT548 AY545:AZ548 AY550:AZ553 AP555:AT558 AY555:AZ558 AP563:AT566 AY563:AZ566 AP568:AT571 AY568:AZ571 AP573:AT576 AY573:AZ576 AP578:AT581 AY578:AZ581 AP583:AT586 AY583:AZ586 AP588:AT591 AY588:AZ591 AP593:AT596 AY593:AZ596 AP598:AT601 AY598:AZ601 AP603:AT606 AY603:AZ606 AP608:AT611 AY608:AZ611 AP613:AT616 AY613:AZ616 AP618:AT621 AY618:AZ621 AP623:AT626 AY623:AZ626 AP628:AT631 AY628:AZ631 AP633:AT636 AY633:AZ636 AP641:AT644 AY641:AZ644 AP646:AT649 AY646:AZ649 AP651:AT654 AY651:AZ654 AP656:AT659 AY656:AZ659 AP661:AT664 AY661:AZ664 AP666:AT669 AY666:AZ669 AP671:AT674 AY671:AZ674 AP676:AT679 AY676:AZ679 AP681:AT684 AY681:AZ684 AP686:AT689 AY686:AZ689 AP691:AT694 AY691:AZ694 AP696:AT699 AY696:AZ699 AP701:AT704 AY701:AZ704 AP706:AT709 AY706:AZ709 AP711:AT714 AY711:AZ714 AP719:AT722 AY719:AZ722 AP724:AT727 AY724:AZ727 AP729:AT732 AY729:AZ732 AP734:AT737 AY734:AZ737 AP739:AT742 AY739:AZ742 AP744:AT747 AY744:AZ747 AP749:AT752 AY749:AZ752 AP754:AT757 AY754:AZ757 AP759:AT762 AY759:AZ762 AP764:AT767 AY764:AZ767 AP769:AT772 AY769:AZ772 AP774:AT777 AY774:AZ777 AP779:AT782 AY779:AZ782 AP784:AT787 AY784:AZ787 AP789:AT792 AY789:AZ792 AW52:AW55 AW57:AW60 AW62:AW65 AW67:AW70 AW72:AW75 AW77:AW80 AW82:AW85 AW87:AW90 AW95:AW98 AW100:AW103 AW105:AW108 AW110:AW113 AW115:AW118 AW120:AW123 AW125:AW128 AW135:AW138 AW140:AW143 AW130:AW133 AW145:AW148 AW150:AW153 AW155:AW158 AW160:AW163 AW165:AW168 AW173:AW176 AW178:AW181 AW183:AW186 AW188:AW191 AW193:AW196 AW198:AW201 AW203:AW206 AW208:AW211 AW213:AW216 AW218:AW221 AW223:AW226 AW228:AW231 AW233:AW236 AW238:AW241 AW243:AW246 AW251:AW254 AW256:AW259 AW261:AW264 AW266:AW269 AW271:AW274 AW276:AW279 AW281:AW284 AW286:AW289 AW291:AW294 AW296:AW299 AW301:AW304 AW306:AW309 AW311:AW314 AW316:AW319 AW321:AW324 AW329:AW332 AW334:AW337 AW339:AW342 AW344:AW347 AW349:AW352 AW354:AW357 AW359:AW362 AW364:AW367 AW369:AW372 AW374:AW377 AW379:AW382 AW384:AW387 AW389:AW392 AW394:AW397 AW399:AW402 AW407:AW410 AW412:AW415 AW417:AW420 AW422:AW425 AW427:AW430 AW432:AW435 AW437:AW440 AW442:AW445 AW447:AW450 AW452:AW455 AW457:AW460 AW462:AW465 AW467:AW470 AW472:AW475 AW477:AW480 AW485:AW488 AW490:AW493 AW495:AW498 AW500:AW503 AW505:AW508 AW510:AW513 AW515:AW518 AW520:AW523 AW525:AW528 AW530:AW533 AW535:AW538 AW540:AW543 AW545:AW548 AW550:AW553 AW555:AW558 AP550:AT553 AW563:AW566 AW568:AW571 AW573:AW576 AW578:AW581 AW583:AW586 AW588:AW591 AW593:AW596 AW598:AW601 AW603:AW606 AW608:AW611 AW613:AW616 AW618:AW621 AW623:AW626 AW628:AW631 AW633:AW636 AW641:AW644 AW646:AW649 AW651:AW654 AW656:AW659 AW661:AW664 AW666:AW669 AW671:AW674 AW676:AW679 AW681:AW684 AW686:AW689 AW691:AW694 AW696:AW699 AW701:AW704 AW706:AW709 AW711:AW714 AW719:AW722 AW724:AW727 AW729:AW732 AW734:AW737 AW739:AW742 AW744:AW747 AW749:AW752 AW754:AW757 AW759:AW762 AW764:AW767 AW769:AW772 AW774:AW777 AW779:AW782 AW784:AW787 AW789:AW792">
    <cfRule type="expression" dxfId="12674" priority="14793">
      <formula>AND($C$43&lt;&gt;0,$CQ47="Interior")</formula>
    </cfRule>
  </conditionalFormatting>
  <conditionalFormatting sqref="G49:L49">
    <cfRule type="expression" dxfId="12673" priority="14792" stopIfTrue="1">
      <formula>$N50="BAM"</formula>
    </cfRule>
  </conditionalFormatting>
  <conditionalFormatting sqref="G47:R47">
    <cfRule type="containsBlanks" dxfId="12672" priority="14791">
      <formula>LEN(TRIM(G47))=0</formula>
    </cfRule>
  </conditionalFormatting>
  <conditionalFormatting sqref="AF49">
    <cfRule type="expression" dxfId="12671" priority="14781" stopIfTrue="1">
      <formula>$G47=""</formula>
    </cfRule>
    <cfRule type="expression" dxfId="12670" priority="14782" stopIfTrue="1">
      <formula>$N50="BAM"</formula>
    </cfRule>
    <cfRule type="expression" dxfId="12669" priority="14790">
      <formula>$AF$49&gt;$T$49</formula>
    </cfRule>
  </conditionalFormatting>
  <conditionalFormatting sqref="AB50:AE50">
    <cfRule type="expression" dxfId="12668" priority="14787" stopIfTrue="1">
      <formula>$G47=""</formula>
    </cfRule>
  </conditionalFormatting>
  <conditionalFormatting sqref="AB50">
    <cfRule type="expression" dxfId="12667" priority="14746" stopIfTrue="1">
      <formula>$N50="BAM"</formula>
    </cfRule>
    <cfRule type="expression" dxfId="12666" priority="14786" stopIfTrue="1">
      <formula>$AB50=""</formula>
    </cfRule>
  </conditionalFormatting>
  <conditionalFormatting sqref="T49:U49">
    <cfRule type="expression" dxfId="12665" priority="14754" stopIfTrue="1">
      <formula>$G47=""</formula>
    </cfRule>
  </conditionalFormatting>
  <conditionalFormatting sqref="T49:U49">
    <cfRule type="containsBlanks" dxfId="12664" priority="14784" stopIfTrue="1">
      <formula>LEN(TRIM(T49))=0</formula>
    </cfRule>
  </conditionalFormatting>
  <conditionalFormatting sqref="AC47:AE47">
    <cfRule type="expression" dxfId="12663" priority="14783">
      <formula>$G47=""</formula>
    </cfRule>
  </conditionalFormatting>
  <conditionalFormatting sqref="AF49 AG50">
    <cfRule type="containsBlanks" dxfId="12662" priority="14788" stopIfTrue="1">
      <formula>LEN(TRIM(AF49))=0</formula>
    </cfRule>
  </conditionalFormatting>
  <conditionalFormatting sqref="AF49">
    <cfRule type="expression" dxfId="12661" priority="14789">
      <formula>OR($HS48=FALSE,$HT48=FALSE)</formula>
    </cfRule>
  </conditionalFormatting>
  <conditionalFormatting sqref="AG50">
    <cfRule type="expression" dxfId="12660" priority="14747">
      <formula>$C$43&gt;0</formula>
    </cfRule>
  </conditionalFormatting>
  <conditionalFormatting sqref="AG50">
    <cfRule type="expression" dxfId="12659" priority="14780" stopIfTrue="1">
      <formula>$G47=""</formula>
    </cfRule>
  </conditionalFormatting>
  <conditionalFormatting sqref="U49">
    <cfRule type="expression" dxfId="12658" priority="14785">
      <formula>OR($HK48=FALSE,$HL48=FALSE)</formula>
    </cfRule>
  </conditionalFormatting>
  <conditionalFormatting sqref="T48:U48">
    <cfRule type="expression" dxfId="12657" priority="14775" stopIfTrue="1">
      <formula>$C$43&lt;&gt;0</formula>
    </cfRule>
    <cfRule type="containsBlanks" dxfId="12656" priority="14776" stopIfTrue="1">
      <formula>LEN(TRIM(T48))=0</formula>
    </cfRule>
  </conditionalFormatting>
  <conditionalFormatting sqref="T48:U48">
    <cfRule type="expression" dxfId="12655" priority="14774" stopIfTrue="1">
      <formula>$G47=""</formula>
    </cfRule>
  </conditionalFormatting>
  <conditionalFormatting sqref="U48">
    <cfRule type="expression" dxfId="12654" priority="14777">
      <formula>$HJ48=FALSE</formula>
    </cfRule>
  </conditionalFormatting>
  <conditionalFormatting sqref="AB50">
    <cfRule type="expression" dxfId="12653" priority="14773">
      <formula>AND($HZ48=FALSE,$GQ48=TRUE)</formula>
    </cfRule>
  </conditionalFormatting>
  <conditionalFormatting sqref="U50">
    <cfRule type="containsBlanks" dxfId="12652" priority="14772" stopIfTrue="1">
      <formula>LEN(TRIM(U50))=0</formula>
    </cfRule>
  </conditionalFormatting>
  <conditionalFormatting sqref="U50">
    <cfRule type="expression" dxfId="12651" priority="14771" stopIfTrue="1">
      <formula>$G47=""</formula>
    </cfRule>
  </conditionalFormatting>
  <conditionalFormatting sqref="AG49">
    <cfRule type="expression" dxfId="12650" priority="14765" stopIfTrue="1">
      <formula>$G47=""</formula>
    </cfRule>
  </conditionalFormatting>
  <conditionalFormatting sqref="AG49:AL49">
    <cfRule type="expression" dxfId="12649" priority="14766">
      <formula>$N50="BAM"</formula>
    </cfRule>
    <cfRule type="expression" dxfId="12648" priority="14770">
      <formula>OR($HU48=FALSE,$HQ48=FALSE)</formula>
    </cfRule>
  </conditionalFormatting>
  <conditionalFormatting sqref="AG49">
    <cfRule type="containsBlanks" dxfId="12647" priority="14767" stopIfTrue="1">
      <formula>LEN(TRIM(AG49))=0</formula>
    </cfRule>
    <cfRule type="expression" dxfId="12646" priority="14768">
      <formula>OR($HP48=FALSE,$HR48=FALSE)</formula>
    </cfRule>
    <cfRule type="expression" dxfId="12645" priority="14769">
      <formula>OR($DS47=7,$DS47=8,$DS47=9)</formula>
    </cfRule>
  </conditionalFormatting>
  <conditionalFormatting sqref="AG47:AL47">
    <cfRule type="expression" dxfId="12644" priority="14764">
      <formula>$C$43&lt;&gt;0</formula>
    </cfRule>
  </conditionalFormatting>
  <conditionalFormatting sqref="AF48">
    <cfRule type="containsBlanks" dxfId="12643" priority="14763">
      <formula>LEN(TRIM(AF48))=0</formula>
    </cfRule>
  </conditionalFormatting>
  <conditionalFormatting sqref="AF48">
    <cfRule type="expression" dxfId="12642" priority="14762" stopIfTrue="1">
      <formula>$G47=""</formula>
    </cfRule>
  </conditionalFormatting>
  <conditionalFormatting sqref="AG48">
    <cfRule type="containsBlanks" dxfId="12641" priority="14760">
      <formula>LEN(TRIM(AG48))=0</formula>
    </cfRule>
    <cfRule type="expression" dxfId="12640" priority="14761">
      <formula>$HO48=FALSE</formula>
    </cfRule>
  </conditionalFormatting>
  <conditionalFormatting sqref="AG48">
    <cfRule type="expression" dxfId="12639" priority="14759" stopIfTrue="1">
      <formula>$G47=""</formula>
    </cfRule>
  </conditionalFormatting>
  <conditionalFormatting sqref="AF48:AK48">
    <cfRule type="expression" dxfId="12638" priority="14758">
      <formula>$C$43&gt;0</formula>
    </cfRule>
  </conditionalFormatting>
  <conditionalFormatting sqref="AM47:AN48">
    <cfRule type="expression" dxfId="12637" priority="14757">
      <formula>$G47=""</formula>
    </cfRule>
  </conditionalFormatting>
  <conditionalFormatting sqref="AM49:AN49">
    <cfRule type="expression" dxfId="12636" priority="14756" stopIfTrue="1">
      <formula>$G47=""</formula>
    </cfRule>
  </conditionalFormatting>
  <conditionalFormatting sqref="T49">
    <cfRule type="expression" dxfId="12635" priority="14778" stopIfTrue="1">
      <formula>$N50="BAM"</formula>
    </cfRule>
  </conditionalFormatting>
  <conditionalFormatting sqref="U49:AE49">
    <cfRule type="expression" dxfId="12634" priority="14755" stopIfTrue="1">
      <formula>$N50="BAM"</formula>
    </cfRule>
  </conditionalFormatting>
  <conditionalFormatting sqref="U50:AA50 U55:AA55 U60:AA60 U65:AA65 U70:AA70 U75:AA75 U80:AA80 U85:AA85 U90:AA90 U98:AA98 U103:AA103 U108:AA108 U113:AA113 U118:AA118 U123:AA123 U133:AA133 U138:AA138 U143:AA143 U148:AA148 U153:AA153 U158:AA158 U163:AA163 U168:AA168 U176:AA176 U181:AA181 U186:AA186 U191:AA191 U196:AA196 U201:AA201 U206:AA206 U211:AA211 U216:AA216 U221:AA221 U226:AA226 U231:AA231 U236:AA236 U241:AA241 U246:AA246 U254:AA254 U259:AA259 U264:AA264 U269:AA269 U274:AA274 U279:AA279 U284:AA284 U289:AA289 U294:AA294 U299:AA299 U304:AA304 U309:AA309 U314:AA314 U319:AA319 U324:AA324 U332:AA332 U337:AA337 U342:AA342 U347:AA347 U352:AA352 U357:AA357 U362:AA362 U367:AA367 U372:AA372 U377:AA377 U382:AA382 U387:AA387 U392:AA392 U397:AA397 U402:AA402 U410:AA410 U415:AA415 U420:AA420 U425:AA425 U430:AA430 U435:AA435 U440:AA440 U445:AA445 U450:AA450 U455:AA455 U460:AA460 U465:AA465 U470:AA470 U475:AA475 U480:AA480 U488:AA488 U493:AA493 U498:AA498 U503:AA503 U508:AA508 U513:AA513 U518:AA518 U523:AA523 U528:AA528 U533:AA533 U538:AA538 U543:AA543 U548:AA548 U553:AA553 U558:AA558 U566:AA566 U571:AA571 U576:AA576 U581:AA581 U586:AA586 U591:AA591 U596:AA596 U601:AA601 U606:AA606 U611:AA611 U616:AA616 U621:AA621 U626:AA626 U631:AA631 U636:AA636 U644:AA644 U649:AA649 U654:AA654 U659:AA659 U664:AA664 U669:AA669 U674:AA674 U679:AA679 U684:AA684 U689:AA689 U694:AA694 U699:AA699 U704:AA704 U709:AA709 U714:AA714 U722:AA722 U727:AA727 U732:AA732 U737:AA737 U742:AA742 U747:AA747 U752:AA752 U757:AA757 U762:AA762 U767:AA767 U772:AA772 U777:AA777 U782:AA782 U787:AA787 U792:AA792 U128:AA128">
    <cfRule type="expression" dxfId="12633" priority="14752" stopIfTrue="1">
      <formula>$C$43&gt;0</formula>
    </cfRule>
    <cfRule type="expression" dxfId="12632" priority="14753" stopIfTrue="1">
      <formula>$N50="BAM"</formula>
    </cfRule>
  </conditionalFormatting>
  <conditionalFormatting sqref="AB47">
    <cfRule type="expression" dxfId="12631" priority="14748" stopIfTrue="1">
      <formula>$N50="BAM"</formula>
    </cfRule>
    <cfRule type="expression" dxfId="12630" priority="14750" stopIfTrue="1">
      <formula>$G47=""</formula>
    </cfRule>
    <cfRule type="expression" dxfId="12629" priority="14751" stopIfTrue="1">
      <formula>$AB47=""</formula>
    </cfRule>
  </conditionalFormatting>
  <conditionalFormatting sqref="AB47">
    <cfRule type="expression" dxfId="12628" priority="14749">
      <formula>AND($HZ48=FALSE,$GQ48=TRUE)</formula>
    </cfRule>
  </conditionalFormatting>
  <conditionalFormatting sqref="AG50:AL50">
    <cfRule type="expression" dxfId="12627" priority="14779" stopIfTrue="1">
      <formula>$N50="BAM"</formula>
    </cfRule>
  </conditionalFormatting>
  <conditionalFormatting sqref="AX53">
    <cfRule type="expression" dxfId="12626" priority="14745">
      <formula>$E53=""</formula>
    </cfRule>
  </conditionalFormatting>
  <conditionalFormatting sqref="AX52">
    <cfRule type="expression" dxfId="12625" priority="14744">
      <formula>$E52=""</formula>
    </cfRule>
  </conditionalFormatting>
  <conditionalFormatting sqref="AX54">
    <cfRule type="expression" dxfId="12624" priority="14743">
      <formula>#REF!=""</formula>
    </cfRule>
  </conditionalFormatting>
  <conditionalFormatting sqref="AX55">
    <cfRule type="expression" dxfId="12623" priority="14742">
      <formula>$E54=""</formula>
    </cfRule>
  </conditionalFormatting>
  <conditionalFormatting sqref="AY52:AZ55">
    <cfRule type="expression" dxfId="12622" priority="14741">
      <formula>$G52=""</formula>
    </cfRule>
  </conditionalFormatting>
  <conditionalFormatting sqref="G54">
    <cfRule type="expression" dxfId="12621" priority="14738" stopIfTrue="1">
      <formula>$G52=""</formula>
    </cfRule>
    <cfRule type="containsBlanks" dxfId="12620" priority="14739" stopIfTrue="1">
      <formula>LEN(TRIM(G54))=0</formula>
    </cfRule>
    <cfRule type="expression" dxfId="12619" priority="14740">
      <formula>OR($M54=0,$HH53=FALSE)</formula>
    </cfRule>
  </conditionalFormatting>
  <conditionalFormatting sqref="AO54">
    <cfRule type="expression" dxfId="12618" priority="14737" stopIfTrue="1">
      <formula>$G52=""</formula>
    </cfRule>
  </conditionalFormatting>
  <conditionalFormatting sqref="AU52:AU55">
    <cfRule type="expression" dxfId="12617" priority="14734" stopIfTrue="1">
      <formula>$C$43=2</formula>
    </cfRule>
    <cfRule type="cellIs" dxfId="12616" priority="14735" operator="equal">
      <formula>"Yes"</formula>
    </cfRule>
    <cfRule type="cellIs" dxfId="12615" priority="14736" operator="equal">
      <formula>"No"</formula>
    </cfRule>
  </conditionalFormatting>
  <conditionalFormatting sqref="AO52:AO53">
    <cfRule type="expression" dxfId="12614" priority="14733">
      <formula>$G52=""</formula>
    </cfRule>
  </conditionalFormatting>
  <conditionalFormatting sqref="AP52 AR52:AS55">
    <cfRule type="expression" dxfId="12613" priority="14732">
      <formula>$G52=""</formula>
    </cfRule>
  </conditionalFormatting>
  <conditionalFormatting sqref="AW52:AW55">
    <cfRule type="expression" dxfId="12612" priority="14731">
      <formula>$G52=""</formula>
    </cfRule>
  </conditionalFormatting>
  <conditionalFormatting sqref="G53:L53">
    <cfRule type="expression" dxfId="12611" priority="14729" stopIfTrue="1">
      <formula>$G52=""</formula>
    </cfRule>
    <cfRule type="containsBlanks" dxfId="12610" priority="14730">
      <formula>LEN(TRIM(G53))=0</formula>
    </cfRule>
  </conditionalFormatting>
  <conditionalFormatting sqref="R54">
    <cfRule type="expression" dxfId="12609" priority="14726">
      <formula>$N55="BAM"</formula>
    </cfRule>
    <cfRule type="expression" dxfId="12608" priority="14727" stopIfTrue="1">
      <formula>$G52=""</formula>
    </cfRule>
    <cfRule type="containsBlanks" dxfId="12607" priority="14728">
      <formula>LEN(TRIM(R54))=0</formula>
    </cfRule>
  </conditionalFormatting>
  <conditionalFormatting sqref="R54">
    <cfRule type="expression" dxfId="12606" priority="14725">
      <formula>$C$43=0</formula>
    </cfRule>
  </conditionalFormatting>
  <conditionalFormatting sqref="E55:F55">
    <cfRule type="expression" dxfId="12605" priority="14724">
      <formula>$CQ52="Exterior"</formula>
    </cfRule>
  </conditionalFormatting>
  <conditionalFormatting sqref="G55">
    <cfRule type="expression" dxfId="12604" priority="14714" stopIfTrue="1">
      <formula>$G52=""</formula>
    </cfRule>
  </conditionalFormatting>
  <conditionalFormatting sqref="G55">
    <cfRule type="expression" dxfId="12603" priority="14716" stopIfTrue="1">
      <formula>$CQ52="Exterior"</formula>
    </cfRule>
  </conditionalFormatting>
  <conditionalFormatting sqref="G55:L55">
    <cfRule type="expression" dxfId="12602" priority="14715" stopIfTrue="1">
      <formula>$N55="BAM"</formula>
    </cfRule>
    <cfRule type="containsBlanks" dxfId="12601" priority="14717" stopIfTrue="1">
      <formula>LEN(TRIM(G55))=0</formula>
    </cfRule>
    <cfRule type="expression" dxfId="12600" priority="14719">
      <formula>$HQ53=FALSE</formula>
    </cfRule>
  </conditionalFormatting>
  <conditionalFormatting sqref="G55:L55">
    <cfRule type="expression" dxfId="12599" priority="14718" stopIfTrue="1">
      <formula>$AG54=""</formula>
    </cfRule>
  </conditionalFormatting>
  <conditionalFormatting sqref="G54:L54">
    <cfRule type="expression" dxfId="12598" priority="14712" stopIfTrue="1">
      <formula>$N55="BAM"</formula>
    </cfRule>
  </conditionalFormatting>
  <conditionalFormatting sqref="G52:R52">
    <cfRule type="containsBlanks" dxfId="12597" priority="14711">
      <formula>LEN(TRIM(G52))=0</formula>
    </cfRule>
  </conditionalFormatting>
  <conditionalFormatting sqref="AF54">
    <cfRule type="expression" dxfId="12596" priority="14701" stopIfTrue="1">
      <formula>$G52=""</formula>
    </cfRule>
    <cfRule type="expression" dxfId="12595" priority="14702" stopIfTrue="1">
      <formula>$N55="BAM"</formula>
    </cfRule>
    <cfRule type="expression" dxfId="12594" priority="14710">
      <formula>$AF$49&gt;$T$49</formula>
    </cfRule>
  </conditionalFormatting>
  <conditionalFormatting sqref="AC55:AE55">
    <cfRule type="expression" dxfId="12593" priority="14707" stopIfTrue="1">
      <formula>$G52=""</formula>
    </cfRule>
  </conditionalFormatting>
  <conditionalFormatting sqref="T54:U54">
    <cfRule type="expression" dxfId="12592" priority="14674" stopIfTrue="1">
      <formula>$G52=""</formula>
    </cfRule>
  </conditionalFormatting>
  <conditionalFormatting sqref="T54:U54">
    <cfRule type="containsBlanks" dxfId="12591" priority="14704" stopIfTrue="1">
      <formula>LEN(TRIM(T54))=0</formula>
    </cfRule>
  </conditionalFormatting>
  <conditionalFormatting sqref="AC52:AE52">
    <cfRule type="expression" dxfId="12590" priority="14703">
      <formula>$G52=""</formula>
    </cfRule>
  </conditionalFormatting>
  <conditionalFormatting sqref="AF54 AG55">
    <cfRule type="containsBlanks" dxfId="12589" priority="14708" stopIfTrue="1">
      <formula>LEN(TRIM(AF54))=0</formula>
    </cfRule>
  </conditionalFormatting>
  <conditionalFormatting sqref="AF54">
    <cfRule type="expression" dxfId="12588" priority="14709">
      <formula>OR($HS53=FALSE,$HT53=FALSE)</formula>
    </cfRule>
  </conditionalFormatting>
  <conditionalFormatting sqref="AG55">
    <cfRule type="expression" dxfId="12587" priority="14667">
      <formula>$C$43&gt;0</formula>
    </cfRule>
  </conditionalFormatting>
  <conditionalFormatting sqref="AG55">
    <cfRule type="expression" dxfId="12586" priority="14700" stopIfTrue="1">
      <formula>$G52=""</formula>
    </cfRule>
  </conditionalFormatting>
  <conditionalFormatting sqref="U54">
    <cfRule type="expression" dxfId="12585" priority="14705">
      <formula>OR($HK53=FALSE,$HL53=FALSE)</formula>
    </cfRule>
  </conditionalFormatting>
  <conditionalFormatting sqref="T53:U53">
    <cfRule type="expression" dxfId="12584" priority="14695" stopIfTrue="1">
      <formula>$C$43&lt;&gt;0</formula>
    </cfRule>
    <cfRule type="containsBlanks" dxfId="12583" priority="14696" stopIfTrue="1">
      <formula>LEN(TRIM(T53))=0</formula>
    </cfRule>
  </conditionalFormatting>
  <conditionalFormatting sqref="T53:U53">
    <cfRule type="expression" dxfId="12582" priority="14694" stopIfTrue="1">
      <formula>$G52=""</formula>
    </cfRule>
  </conditionalFormatting>
  <conditionalFormatting sqref="U53">
    <cfRule type="expression" dxfId="12581" priority="14697">
      <formula>$HJ53=FALSE</formula>
    </cfRule>
  </conditionalFormatting>
  <conditionalFormatting sqref="AG54">
    <cfRule type="expression" dxfId="12580" priority="14685" stopIfTrue="1">
      <formula>$G52=""</formula>
    </cfRule>
  </conditionalFormatting>
  <conditionalFormatting sqref="AG54:AL54">
    <cfRule type="expression" dxfId="12579" priority="14686">
      <formula>$N55="BAM"</formula>
    </cfRule>
    <cfRule type="expression" dxfId="12578" priority="14690">
      <formula>OR($HU53=FALSE,$HQ53=FALSE)</formula>
    </cfRule>
  </conditionalFormatting>
  <conditionalFormatting sqref="AG54">
    <cfRule type="containsBlanks" dxfId="12577" priority="14687" stopIfTrue="1">
      <formula>LEN(TRIM(AG54))=0</formula>
    </cfRule>
    <cfRule type="expression" dxfId="12576" priority="14688">
      <formula>OR($HP53=FALSE,$HR53=FALSE)</formula>
    </cfRule>
    <cfRule type="expression" dxfId="12575" priority="14689">
      <formula>OR($DS52=7,$DS52=8,$DS52=9)</formula>
    </cfRule>
  </conditionalFormatting>
  <conditionalFormatting sqref="AG52:AL52">
    <cfRule type="expression" dxfId="12574" priority="14684">
      <formula>$C$43&lt;&gt;0</formula>
    </cfRule>
  </conditionalFormatting>
  <conditionalFormatting sqref="AF53">
    <cfRule type="containsBlanks" dxfId="12573" priority="14683">
      <formula>LEN(TRIM(AF53))=0</formula>
    </cfRule>
  </conditionalFormatting>
  <conditionalFormatting sqref="AF53">
    <cfRule type="expression" dxfId="12572" priority="14682" stopIfTrue="1">
      <formula>$G52=""</formula>
    </cfRule>
  </conditionalFormatting>
  <conditionalFormatting sqref="AG53">
    <cfRule type="containsBlanks" dxfId="12571" priority="14680">
      <formula>LEN(TRIM(AG53))=0</formula>
    </cfRule>
    <cfRule type="expression" dxfId="12570" priority="14681">
      <formula>$HO53=FALSE</formula>
    </cfRule>
  </conditionalFormatting>
  <conditionalFormatting sqref="AG53">
    <cfRule type="expression" dxfId="12569" priority="14679" stopIfTrue="1">
      <formula>$G52=""</formula>
    </cfRule>
  </conditionalFormatting>
  <conditionalFormatting sqref="AF53:AK53">
    <cfRule type="expression" dxfId="12568" priority="14678">
      <formula>$C$43&gt;0</formula>
    </cfRule>
  </conditionalFormatting>
  <conditionalFormatting sqref="AM52:AN53">
    <cfRule type="expression" dxfId="12567" priority="14677">
      <formula>$G52=""</formula>
    </cfRule>
  </conditionalFormatting>
  <conditionalFormatting sqref="AM54:AN54">
    <cfRule type="expression" dxfId="12566" priority="14676" stopIfTrue="1">
      <formula>$G52=""</formula>
    </cfRule>
  </conditionalFormatting>
  <conditionalFormatting sqref="T54">
    <cfRule type="expression" dxfId="12565" priority="14698" stopIfTrue="1">
      <formula>$N55="BAM"</formula>
    </cfRule>
  </conditionalFormatting>
  <conditionalFormatting sqref="U54:AE54">
    <cfRule type="expression" dxfId="12564" priority="14675" stopIfTrue="1">
      <formula>$N55="BAM"</formula>
    </cfRule>
  </conditionalFormatting>
  <conditionalFormatting sqref="AG55:AL55">
    <cfRule type="expression" dxfId="12563" priority="14699" stopIfTrue="1">
      <formula>$N55="BAM"</formula>
    </cfRule>
  </conditionalFormatting>
  <conditionalFormatting sqref="AX58">
    <cfRule type="expression" dxfId="12562" priority="14665">
      <formula>$E58=""</formula>
    </cfRule>
  </conditionalFormatting>
  <conditionalFormatting sqref="AX57">
    <cfRule type="expression" dxfId="12561" priority="14664">
      <formula>$E57=""</formula>
    </cfRule>
  </conditionalFormatting>
  <conditionalFormatting sqref="AX59">
    <cfRule type="expression" dxfId="12560" priority="14663">
      <formula>#REF!=""</formula>
    </cfRule>
  </conditionalFormatting>
  <conditionalFormatting sqref="AX60">
    <cfRule type="expression" dxfId="12559" priority="14662">
      <formula>$E59=""</formula>
    </cfRule>
  </conditionalFormatting>
  <conditionalFormatting sqref="AY57:AZ60">
    <cfRule type="expression" dxfId="12558" priority="14661">
      <formula>$G57=""</formula>
    </cfRule>
  </conditionalFormatting>
  <conditionalFormatting sqref="G59">
    <cfRule type="expression" dxfId="12557" priority="14658" stopIfTrue="1">
      <formula>$G57=""</formula>
    </cfRule>
    <cfRule type="containsBlanks" dxfId="12556" priority="14659" stopIfTrue="1">
      <formula>LEN(TRIM(G59))=0</formula>
    </cfRule>
    <cfRule type="expression" dxfId="12555" priority="14660">
      <formula>OR($M59=0,$HH58=FALSE)</formula>
    </cfRule>
  </conditionalFormatting>
  <conditionalFormatting sqref="AO59">
    <cfRule type="expression" dxfId="12554" priority="14657" stopIfTrue="1">
      <formula>$G57=""</formula>
    </cfRule>
  </conditionalFormatting>
  <conditionalFormatting sqref="AU57:AU60">
    <cfRule type="expression" dxfId="12553" priority="14654" stopIfTrue="1">
      <formula>$C$43=2</formula>
    </cfRule>
    <cfRule type="cellIs" dxfId="12552" priority="14655" operator="equal">
      <formula>"Yes"</formula>
    </cfRule>
    <cfRule type="cellIs" dxfId="12551" priority="14656" operator="equal">
      <formula>"No"</formula>
    </cfRule>
  </conditionalFormatting>
  <conditionalFormatting sqref="AO57:AO58">
    <cfRule type="expression" dxfId="12550" priority="14653">
      <formula>$G57=""</formula>
    </cfRule>
  </conditionalFormatting>
  <conditionalFormatting sqref="AP57 AR57:AS60">
    <cfRule type="expression" dxfId="12549" priority="14652">
      <formula>$G57=""</formula>
    </cfRule>
  </conditionalFormatting>
  <conditionalFormatting sqref="AW57:AW60">
    <cfRule type="expression" dxfId="12548" priority="14651">
      <formula>$G57=""</formula>
    </cfRule>
  </conditionalFormatting>
  <conditionalFormatting sqref="G58:L58">
    <cfRule type="expression" dxfId="12547" priority="14649" stopIfTrue="1">
      <formula>$G57=""</formula>
    </cfRule>
    <cfRule type="containsBlanks" dxfId="12546" priority="14650">
      <formula>LEN(TRIM(G58))=0</formula>
    </cfRule>
  </conditionalFormatting>
  <conditionalFormatting sqref="R59">
    <cfRule type="expression" dxfId="12545" priority="14646">
      <formula>$N60="BAM"</formula>
    </cfRule>
    <cfRule type="expression" dxfId="12544" priority="14647" stopIfTrue="1">
      <formula>$G57=""</formula>
    </cfRule>
    <cfRule type="containsBlanks" dxfId="12543" priority="14648">
      <formula>LEN(TRIM(R59))=0</formula>
    </cfRule>
  </conditionalFormatting>
  <conditionalFormatting sqref="R59">
    <cfRule type="expression" dxfId="12542" priority="14645">
      <formula>$C$43=0</formula>
    </cfRule>
  </conditionalFormatting>
  <conditionalFormatting sqref="E60:F60">
    <cfRule type="expression" dxfId="12541" priority="14644">
      <formula>$CQ57="Exterior"</formula>
    </cfRule>
  </conditionalFormatting>
  <conditionalFormatting sqref="G60">
    <cfRule type="expression" dxfId="12540" priority="14634" stopIfTrue="1">
      <formula>$G57=""</formula>
    </cfRule>
  </conditionalFormatting>
  <conditionalFormatting sqref="G60">
    <cfRule type="expression" dxfId="12539" priority="14636" stopIfTrue="1">
      <formula>$CQ57="Exterior"</formula>
    </cfRule>
  </conditionalFormatting>
  <conditionalFormatting sqref="G60:L60">
    <cfRule type="expression" dxfId="12538" priority="14635" stopIfTrue="1">
      <formula>$N60="BAM"</formula>
    </cfRule>
    <cfRule type="containsBlanks" dxfId="12537" priority="14637" stopIfTrue="1">
      <formula>LEN(TRIM(G60))=0</formula>
    </cfRule>
    <cfRule type="expression" dxfId="12536" priority="14639">
      <formula>$HQ58=FALSE</formula>
    </cfRule>
  </conditionalFormatting>
  <conditionalFormatting sqref="G60:L60">
    <cfRule type="expression" dxfId="12535" priority="14638" stopIfTrue="1">
      <formula>$AG59=""</formula>
    </cfRule>
  </conditionalFormatting>
  <conditionalFormatting sqref="G59:L59">
    <cfRule type="expression" dxfId="12534" priority="14632" stopIfTrue="1">
      <formula>$N60="BAM"</formula>
    </cfRule>
  </conditionalFormatting>
  <conditionalFormatting sqref="G57:R57">
    <cfRule type="containsBlanks" dxfId="12533" priority="14631">
      <formula>LEN(TRIM(G57))=0</formula>
    </cfRule>
  </conditionalFormatting>
  <conditionalFormatting sqref="AF59">
    <cfRule type="expression" dxfId="12532" priority="14621" stopIfTrue="1">
      <formula>$G57=""</formula>
    </cfRule>
    <cfRule type="expression" dxfId="12531" priority="14622" stopIfTrue="1">
      <formula>$N60="BAM"</formula>
    </cfRule>
    <cfRule type="expression" dxfId="12530" priority="14630">
      <formula>$AF$49&gt;$T$49</formula>
    </cfRule>
  </conditionalFormatting>
  <conditionalFormatting sqref="AC60:AE60">
    <cfRule type="expression" dxfId="12529" priority="14627" stopIfTrue="1">
      <formula>$G57=""</formula>
    </cfRule>
  </conditionalFormatting>
  <conditionalFormatting sqref="T59:U59">
    <cfRule type="expression" dxfId="12528" priority="14594" stopIfTrue="1">
      <formula>$G57=""</formula>
    </cfRule>
  </conditionalFormatting>
  <conditionalFormatting sqref="T59:U59">
    <cfRule type="containsBlanks" dxfId="12527" priority="14624" stopIfTrue="1">
      <formula>LEN(TRIM(T59))=0</formula>
    </cfRule>
  </conditionalFormatting>
  <conditionalFormatting sqref="AC57:AE57">
    <cfRule type="expression" dxfId="12526" priority="14623">
      <formula>$G57=""</formula>
    </cfRule>
  </conditionalFormatting>
  <conditionalFormatting sqref="AF59 AG60">
    <cfRule type="containsBlanks" dxfId="12525" priority="14628" stopIfTrue="1">
      <formula>LEN(TRIM(AF59))=0</formula>
    </cfRule>
  </conditionalFormatting>
  <conditionalFormatting sqref="AF59">
    <cfRule type="expression" dxfId="12524" priority="14629">
      <formula>OR($HS58=FALSE,$HT58=FALSE)</formula>
    </cfRule>
  </conditionalFormatting>
  <conditionalFormatting sqref="AG60">
    <cfRule type="expression" dxfId="12523" priority="14587">
      <formula>$C$43&gt;0</formula>
    </cfRule>
  </conditionalFormatting>
  <conditionalFormatting sqref="AG60">
    <cfRule type="expression" dxfId="12522" priority="14620" stopIfTrue="1">
      <formula>$G57=""</formula>
    </cfRule>
  </conditionalFormatting>
  <conditionalFormatting sqref="U59">
    <cfRule type="expression" dxfId="12521" priority="14625">
      <formula>OR($HK58=FALSE,$HL58=FALSE)</formula>
    </cfRule>
  </conditionalFormatting>
  <conditionalFormatting sqref="T58:U58">
    <cfRule type="expression" dxfId="12520" priority="14615" stopIfTrue="1">
      <formula>$C$43&lt;&gt;0</formula>
    </cfRule>
    <cfRule type="containsBlanks" dxfId="12519" priority="14616" stopIfTrue="1">
      <formula>LEN(TRIM(T58))=0</formula>
    </cfRule>
  </conditionalFormatting>
  <conditionalFormatting sqref="T58:U58">
    <cfRule type="expression" dxfId="12518" priority="14614" stopIfTrue="1">
      <formula>$G57=""</formula>
    </cfRule>
  </conditionalFormatting>
  <conditionalFormatting sqref="U58">
    <cfRule type="expression" dxfId="12517" priority="14617">
      <formula>$HJ58=FALSE</formula>
    </cfRule>
  </conditionalFormatting>
  <conditionalFormatting sqref="AG59">
    <cfRule type="expression" dxfId="12516" priority="14605" stopIfTrue="1">
      <formula>$G57=""</formula>
    </cfRule>
  </conditionalFormatting>
  <conditionalFormatting sqref="AG59:AL59">
    <cfRule type="expression" dxfId="12515" priority="14606">
      <formula>$N60="BAM"</formula>
    </cfRule>
    <cfRule type="expression" dxfId="12514" priority="14610">
      <formula>OR($HU58=FALSE,$HQ58=FALSE)</formula>
    </cfRule>
  </conditionalFormatting>
  <conditionalFormatting sqref="AG59">
    <cfRule type="containsBlanks" dxfId="12513" priority="14607" stopIfTrue="1">
      <formula>LEN(TRIM(AG59))=0</formula>
    </cfRule>
    <cfRule type="expression" dxfId="12512" priority="14608">
      <formula>OR($HP58=FALSE,$HR58=FALSE)</formula>
    </cfRule>
    <cfRule type="expression" dxfId="12511" priority="14609">
      <formula>OR($DS57=7,$DS57=8,$DS57=9)</formula>
    </cfRule>
  </conditionalFormatting>
  <conditionalFormatting sqref="AG57:AL57">
    <cfRule type="expression" dxfId="12510" priority="14604">
      <formula>$C$43&lt;&gt;0</formula>
    </cfRule>
  </conditionalFormatting>
  <conditionalFormatting sqref="AF58">
    <cfRule type="containsBlanks" dxfId="12509" priority="14603">
      <formula>LEN(TRIM(AF58))=0</formula>
    </cfRule>
  </conditionalFormatting>
  <conditionalFormatting sqref="AF58">
    <cfRule type="expression" dxfId="12508" priority="14602" stopIfTrue="1">
      <formula>$G57=""</formula>
    </cfRule>
  </conditionalFormatting>
  <conditionalFormatting sqref="AG58">
    <cfRule type="containsBlanks" dxfId="12507" priority="14600">
      <formula>LEN(TRIM(AG58))=0</formula>
    </cfRule>
    <cfRule type="expression" dxfId="12506" priority="14601">
      <formula>$HO58=FALSE</formula>
    </cfRule>
  </conditionalFormatting>
  <conditionalFormatting sqref="AG58">
    <cfRule type="expression" dxfId="12505" priority="14599" stopIfTrue="1">
      <formula>$G57=""</formula>
    </cfRule>
  </conditionalFormatting>
  <conditionalFormatting sqref="AF58:AK58">
    <cfRule type="expression" dxfId="12504" priority="14598">
      <formula>$C$43&gt;0</formula>
    </cfRule>
  </conditionalFormatting>
  <conditionalFormatting sqref="AM57:AN58">
    <cfRule type="expression" dxfId="12503" priority="14597">
      <formula>$G57=""</formula>
    </cfRule>
  </conditionalFormatting>
  <conditionalFormatting sqref="AM59:AN59">
    <cfRule type="expression" dxfId="12502" priority="14596" stopIfTrue="1">
      <formula>$G57=""</formula>
    </cfRule>
  </conditionalFormatting>
  <conditionalFormatting sqref="T59">
    <cfRule type="expression" dxfId="12501" priority="14618" stopIfTrue="1">
      <formula>$N60="BAM"</formula>
    </cfRule>
  </conditionalFormatting>
  <conditionalFormatting sqref="U59:AE59">
    <cfRule type="expression" dxfId="12500" priority="14595" stopIfTrue="1">
      <formula>$N60="BAM"</formula>
    </cfRule>
  </conditionalFormatting>
  <conditionalFormatting sqref="AG60:AL60">
    <cfRule type="expression" dxfId="12499" priority="14619" stopIfTrue="1">
      <formula>$N60="BAM"</formula>
    </cfRule>
  </conditionalFormatting>
  <conditionalFormatting sqref="AX63">
    <cfRule type="expression" dxfId="12498" priority="14585">
      <formula>$E63=""</formula>
    </cfRule>
  </conditionalFormatting>
  <conditionalFormatting sqref="AX62">
    <cfRule type="expression" dxfId="12497" priority="14584">
      <formula>$E62=""</formula>
    </cfRule>
  </conditionalFormatting>
  <conditionalFormatting sqref="AX64">
    <cfRule type="expression" dxfId="12496" priority="14583">
      <formula>#REF!=""</formula>
    </cfRule>
  </conditionalFormatting>
  <conditionalFormatting sqref="AX65">
    <cfRule type="expression" dxfId="12495" priority="14582">
      <formula>$E64=""</formula>
    </cfRule>
  </conditionalFormatting>
  <conditionalFormatting sqref="AY62:AZ65">
    <cfRule type="expression" dxfId="12494" priority="14581">
      <formula>$G62=""</formula>
    </cfRule>
  </conditionalFormatting>
  <conditionalFormatting sqref="G64">
    <cfRule type="expression" dxfId="12493" priority="14578" stopIfTrue="1">
      <formula>$G62=""</formula>
    </cfRule>
    <cfRule type="containsBlanks" dxfId="12492" priority="14579" stopIfTrue="1">
      <formula>LEN(TRIM(G64))=0</formula>
    </cfRule>
    <cfRule type="expression" dxfId="12491" priority="14580">
      <formula>OR($M64=0,$HH63=FALSE)</formula>
    </cfRule>
  </conditionalFormatting>
  <conditionalFormatting sqref="AO64">
    <cfRule type="expression" dxfId="12490" priority="14577" stopIfTrue="1">
      <formula>$G62=""</formula>
    </cfRule>
  </conditionalFormatting>
  <conditionalFormatting sqref="AU62:AU65">
    <cfRule type="expression" dxfId="12489" priority="14574" stopIfTrue="1">
      <formula>$C$43=2</formula>
    </cfRule>
    <cfRule type="cellIs" dxfId="12488" priority="14575" operator="equal">
      <formula>"Yes"</formula>
    </cfRule>
    <cfRule type="cellIs" dxfId="12487" priority="14576" operator="equal">
      <formula>"No"</formula>
    </cfRule>
  </conditionalFormatting>
  <conditionalFormatting sqref="AO62:AO63">
    <cfRule type="expression" dxfId="12486" priority="14573">
      <formula>$G62=""</formula>
    </cfRule>
  </conditionalFormatting>
  <conditionalFormatting sqref="AP62 AR62:AS65">
    <cfRule type="expression" dxfId="12485" priority="14572">
      <formula>$G62=""</formula>
    </cfRule>
  </conditionalFormatting>
  <conditionalFormatting sqref="AW62:AW65">
    <cfRule type="expression" dxfId="12484" priority="14571">
      <formula>$G62=""</formula>
    </cfRule>
  </conditionalFormatting>
  <conditionalFormatting sqref="G63:L63">
    <cfRule type="expression" dxfId="12483" priority="14569" stopIfTrue="1">
      <formula>$G62=""</formula>
    </cfRule>
    <cfRule type="containsBlanks" dxfId="12482" priority="14570">
      <formula>LEN(TRIM(G63))=0</formula>
    </cfRule>
  </conditionalFormatting>
  <conditionalFormatting sqref="R64">
    <cfRule type="expression" dxfId="12481" priority="14566">
      <formula>$N65="BAM"</formula>
    </cfRule>
    <cfRule type="expression" dxfId="12480" priority="14567" stopIfTrue="1">
      <formula>$G62=""</formula>
    </cfRule>
    <cfRule type="containsBlanks" dxfId="12479" priority="14568">
      <formula>LEN(TRIM(R64))=0</formula>
    </cfRule>
  </conditionalFormatting>
  <conditionalFormatting sqref="R64">
    <cfRule type="expression" dxfId="12478" priority="14565">
      <formula>$C$43=0</formula>
    </cfRule>
  </conditionalFormatting>
  <conditionalFormatting sqref="E65:F65">
    <cfRule type="expression" dxfId="12477" priority="14564">
      <formula>$CQ62="Exterior"</formula>
    </cfRule>
  </conditionalFormatting>
  <conditionalFormatting sqref="G65">
    <cfRule type="expression" dxfId="12476" priority="14554" stopIfTrue="1">
      <formula>$G62=""</formula>
    </cfRule>
  </conditionalFormatting>
  <conditionalFormatting sqref="G65">
    <cfRule type="expression" dxfId="12475" priority="14556" stopIfTrue="1">
      <formula>$CQ62="Exterior"</formula>
    </cfRule>
  </conditionalFormatting>
  <conditionalFormatting sqref="G65:L65">
    <cfRule type="expression" dxfId="12474" priority="14555" stopIfTrue="1">
      <formula>$N65="BAM"</formula>
    </cfRule>
    <cfRule type="containsBlanks" dxfId="12473" priority="14557" stopIfTrue="1">
      <formula>LEN(TRIM(G65))=0</formula>
    </cfRule>
    <cfRule type="expression" dxfId="12472" priority="14559">
      <formula>$HQ63=FALSE</formula>
    </cfRule>
  </conditionalFormatting>
  <conditionalFormatting sqref="G65:L65">
    <cfRule type="expression" dxfId="12471" priority="14558" stopIfTrue="1">
      <formula>$AG64=""</formula>
    </cfRule>
  </conditionalFormatting>
  <conditionalFormatting sqref="G64:L64">
    <cfRule type="expression" dxfId="12470" priority="14552" stopIfTrue="1">
      <formula>$N65="BAM"</formula>
    </cfRule>
  </conditionalFormatting>
  <conditionalFormatting sqref="G62:R62">
    <cfRule type="containsBlanks" dxfId="12469" priority="14551">
      <formula>LEN(TRIM(G62))=0</formula>
    </cfRule>
  </conditionalFormatting>
  <conditionalFormatting sqref="AF64">
    <cfRule type="expression" dxfId="12468" priority="14541" stopIfTrue="1">
      <formula>$G62=""</formula>
    </cfRule>
    <cfRule type="expression" dxfId="12467" priority="14542" stopIfTrue="1">
      <formula>$N65="BAM"</formula>
    </cfRule>
    <cfRule type="expression" dxfId="12466" priority="14550">
      <formula>$AF$49&gt;$T$49</formula>
    </cfRule>
  </conditionalFormatting>
  <conditionalFormatting sqref="AC65:AE65">
    <cfRule type="expression" dxfId="12465" priority="14547" stopIfTrue="1">
      <formula>$G62=""</formula>
    </cfRule>
  </conditionalFormatting>
  <conditionalFormatting sqref="T64:U64">
    <cfRule type="expression" dxfId="12464" priority="14514" stopIfTrue="1">
      <formula>$G62=""</formula>
    </cfRule>
  </conditionalFormatting>
  <conditionalFormatting sqref="T64:U64">
    <cfRule type="containsBlanks" dxfId="12463" priority="14544" stopIfTrue="1">
      <formula>LEN(TRIM(T64))=0</formula>
    </cfRule>
  </conditionalFormatting>
  <conditionalFormatting sqref="AC62:AE62">
    <cfRule type="expression" dxfId="12462" priority="14543">
      <formula>$G62=""</formula>
    </cfRule>
  </conditionalFormatting>
  <conditionalFormatting sqref="AF64 AG65">
    <cfRule type="containsBlanks" dxfId="12461" priority="14548" stopIfTrue="1">
      <formula>LEN(TRIM(AF64))=0</formula>
    </cfRule>
  </conditionalFormatting>
  <conditionalFormatting sqref="AF64">
    <cfRule type="expression" dxfId="12460" priority="14549">
      <formula>OR($HS63=FALSE,$HT63=FALSE)</formula>
    </cfRule>
  </conditionalFormatting>
  <conditionalFormatting sqref="AG65">
    <cfRule type="expression" dxfId="12459" priority="14507">
      <formula>$C$43&gt;0</formula>
    </cfRule>
  </conditionalFormatting>
  <conditionalFormatting sqref="AG65">
    <cfRule type="expression" dxfId="12458" priority="14540" stopIfTrue="1">
      <formula>$G62=""</formula>
    </cfRule>
  </conditionalFormatting>
  <conditionalFormatting sqref="U64">
    <cfRule type="expression" dxfId="12457" priority="14545">
      <formula>OR($HK63=FALSE,$HL63=FALSE)</formula>
    </cfRule>
  </conditionalFormatting>
  <conditionalFormatting sqref="T63:U63">
    <cfRule type="expression" dxfId="12456" priority="14535" stopIfTrue="1">
      <formula>$C$43&lt;&gt;0</formula>
    </cfRule>
    <cfRule type="containsBlanks" dxfId="12455" priority="14536" stopIfTrue="1">
      <formula>LEN(TRIM(T63))=0</formula>
    </cfRule>
  </conditionalFormatting>
  <conditionalFormatting sqref="T63:U63">
    <cfRule type="expression" dxfId="12454" priority="14534" stopIfTrue="1">
      <formula>$G62=""</formula>
    </cfRule>
  </conditionalFormatting>
  <conditionalFormatting sqref="U63">
    <cfRule type="expression" dxfId="12453" priority="14537">
      <formula>$HJ63=FALSE</formula>
    </cfRule>
  </conditionalFormatting>
  <conditionalFormatting sqref="AG64">
    <cfRule type="expression" dxfId="12452" priority="14525" stopIfTrue="1">
      <formula>$G62=""</formula>
    </cfRule>
  </conditionalFormatting>
  <conditionalFormatting sqref="AG64:AL64">
    <cfRule type="expression" dxfId="12451" priority="14526">
      <formula>$N65="BAM"</formula>
    </cfRule>
    <cfRule type="expression" dxfId="12450" priority="14530">
      <formula>OR($HU63=FALSE,$HQ63=FALSE)</formula>
    </cfRule>
  </conditionalFormatting>
  <conditionalFormatting sqref="AG64">
    <cfRule type="containsBlanks" dxfId="12449" priority="14527" stopIfTrue="1">
      <formula>LEN(TRIM(AG64))=0</formula>
    </cfRule>
    <cfRule type="expression" dxfId="12448" priority="14528">
      <formula>OR($HP63=FALSE,$HR63=FALSE)</formula>
    </cfRule>
    <cfRule type="expression" dxfId="12447" priority="14529">
      <formula>OR($DS62=7,$DS62=8,$DS62=9)</formula>
    </cfRule>
  </conditionalFormatting>
  <conditionalFormatting sqref="AG62:AL62">
    <cfRule type="expression" dxfId="12446" priority="14524">
      <formula>$C$43&lt;&gt;0</formula>
    </cfRule>
  </conditionalFormatting>
  <conditionalFormatting sqref="AF63">
    <cfRule type="containsBlanks" dxfId="12445" priority="14523">
      <formula>LEN(TRIM(AF63))=0</formula>
    </cfRule>
  </conditionalFormatting>
  <conditionalFormatting sqref="AF63">
    <cfRule type="expression" dxfId="12444" priority="14522" stopIfTrue="1">
      <formula>$G62=""</formula>
    </cfRule>
  </conditionalFormatting>
  <conditionalFormatting sqref="AG63">
    <cfRule type="containsBlanks" dxfId="12443" priority="14520">
      <formula>LEN(TRIM(AG63))=0</formula>
    </cfRule>
    <cfRule type="expression" dxfId="12442" priority="14521">
      <formula>$HO63=FALSE</formula>
    </cfRule>
  </conditionalFormatting>
  <conditionalFormatting sqref="AG63">
    <cfRule type="expression" dxfId="12441" priority="14519" stopIfTrue="1">
      <formula>$G62=""</formula>
    </cfRule>
  </conditionalFormatting>
  <conditionalFormatting sqref="AF63:AK63">
    <cfRule type="expression" dxfId="12440" priority="14518">
      <formula>$C$43&gt;0</formula>
    </cfRule>
  </conditionalFormatting>
  <conditionalFormatting sqref="AM62:AN63">
    <cfRule type="expression" dxfId="12439" priority="14517">
      <formula>$G62=""</formula>
    </cfRule>
  </conditionalFormatting>
  <conditionalFormatting sqref="AM64:AN64">
    <cfRule type="expression" dxfId="12438" priority="14516" stopIfTrue="1">
      <formula>$G62=""</formula>
    </cfRule>
  </conditionalFormatting>
  <conditionalFormatting sqref="T64">
    <cfRule type="expression" dxfId="12437" priority="14538" stopIfTrue="1">
      <formula>$N65="BAM"</formula>
    </cfRule>
  </conditionalFormatting>
  <conditionalFormatting sqref="U64:AE64">
    <cfRule type="expression" dxfId="12436" priority="14515" stopIfTrue="1">
      <formula>$N65="BAM"</formula>
    </cfRule>
  </conditionalFormatting>
  <conditionalFormatting sqref="AG65:AL65">
    <cfRule type="expression" dxfId="12435" priority="14539" stopIfTrue="1">
      <formula>$N65="BAM"</formula>
    </cfRule>
  </conditionalFormatting>
  <conditionalFormatting sqref="AX68">
    <cfRule type="expression" dxfId="12434" priority="14505">
      <formula>$E68=""</formula>
    </cfRule>
  </conditionalFormatting>
  <conditionalFormatting sqref="AX67">
    <cfRule type="expression" dxfId="12433" priority="14504">
      <formula>$E67=""</formula>
    </cfRule>
  </conditionalFormatting>
  <conditionalFormatting sqref="AX69">
    <cfRule type="expression" dxfId="12432" priority="14503">
      <formula>#REF!=""</formula>
    </cfRule>
  </conditionalFormatting>
  <conditionalFormatting sqref="AX70">
    <cfRule type="expression" dxfId="12431" priority="14502">
      <formula>$E69=""</formula>
    </cfRule>
  </conditionalFormatting>
  <conditionalFormatting sqref="AY67:AZ70">
    <cfRule type="expression" dxfId="12430" priority="14501">
      <formula>$G67=""</formula>
    </cfRule>
  </conditionalFormatting>
  <conditionalFormatting sqref="G69">
    <cfRule type="expression" dxfId="12429" priority="14498" stopIfTrue="1">
      <formula>$G67=""</formula>
    </cfRule>
    <cfRule type="containsBlanks" dxfId="12428" priority="14499" stopIfTrue="1">
      <formula>LEN(TRIM(G69))=0</formula>
    </cfRule>
    <cfRule type="expression" dxfId="12427" priority="14500">
      <formula>OR($M69=0,$HH68=FALSE)</formula>
    </cfRule>
  </conditionalFormatting>
  <conditionalFormatting sqref="AO69">
    <cfRule type="expression" dxfId="12426" priority="14497" stopIfTrue="1">
      <formula>$G67=""</formula>
    </cfRule>
  </conditionalFormatting>
  <conditionalFormatting sqref="AU67:AU70">
    <cfRule type="expression" dxfId="12425" priority="14494" stopIfTrue="1">
      <formula>$C$43=2</formula>
    </cfRule>
    <cfRule type="cellIs" dxfId="12424" priority="14495" operator="equal">
      <formula>"Yes"</formula>
    </cfRule>
    <cfRule type="cellIs" dxfId="12423" priority="14496" operator="equal">
      <formula>"No"</formula>
    </cfRule>
  </conditionalFormatting>
  <conditionalFormatting sqref="AO67:AO68">
    <cfRule type="expression" dxfId="12422" priority="14493">
      <formula>$G67=""</formula>
    </cfRule>
  </conditionalFormatting>
  <conditionalFormatting sqref="AP67 AR67:AS70">
    <cfRule type="expression" dxfId="12421" priority="14492">
      <formula>$G67=""</formula>
    </cfRule>
  </conditionalFormatting>
  <conditionalFormatting sqref="AW67:AW70">
    <cfRule type="expression" dxfId="12420" priority="14491">
      <formula>$G67=""</formula>
    </cfRule>
  </conditionalFormatting>
  <conditionalFormatting sqref="G68:L68">
    <cfRule type="expression" dxfId="12419" priority="14489" stopIfTrue="1">
      <formula>$G67=""</formula>
    </cfRule>
    <cfRule type="containsBlanks" dxfId="12418" priority="14490">
      <formula>LEN(TRIM(G68))=0</formula>
    </cfRule>
  </conditionalFormatting>
  <conditionalFormatting sqref="R69">
    <cfRule type="expression" dxfId="12417" priority="14486">
      <formula>$N70="BAM"</formula>
    </cfRule>
    <cfRule type="expression" dxfId="12416" priority="14487" stopIfTrue="1">
      <formula>$G67=""</formula>
    </cfRule>
    <cfRule type="containsBlanks" dxfId="12415" priority="14488">
      <formula>LEN(TRIM(R69))=0</formula>
    </cfRule>
  </conditionalFormatting>
  <conditionalFormatting sqref="R69">
    <cfRule type="expression" dxfId="12414" priority="14485">
      <formula>$C$43=0</formula>
    </cfRule>
  </conditionalFormatting>
  <conditionalFormatting sqref="E70:F70">
    <cfRule type="expression" dxfId="12413" priority="14484">
      <formula>$CQ67="Exterior"</formula>
    </cfRule>
  </conditionalFormatting>
  <conditionalFormatting sqref="G70">
    <cfRule type="expression" dxfId="12412" priority="14474" stopIfTrue="1">
      <formula>$G67=""</formula>
    </cfRule>
  </conditionalFormatting>
  <conditionalFormatting sqref="G70">
    <cfRule type="expression" dxfId="12411" priority="14476" stopIfTrue="1">
      <formula>$CQ67="Exterior"</formula>
    </cfRule>
  </conditionalFormatting>
  <conditionalFormatting sqref="G70:L70">
    <cfRule type="expression" dxfId="12410" priority="14475" stopIfTrue="1">
      <formula>$N70="BAM"</formula>
    </cfRule>
    <cfRule type="containsBlanks" dxfId="12409" priority="14477" stopIfTrue="1">
      <formula>LEN(TRIM(G70))=0</formula>
    </cfRule>
    <cfRule type="expression" dxfId="12408" priority="14479">
      <formula>$HQ68=FALSE</formula>
    </cfRule>
  </conditionalFormatting>
  <conditionalFormatting sqref="G70:L70">
    <cfRule type="expression" dxfId="12407" priority="14478" stopIfTrue="1">
      <formula>$AG69=""</formula>
    </cfRule>
  </conditionalFormatting>
  <conditionalFormatting sqref="G69:L69">
    <cfRule type="expression" dxfId="12406" priority="14472" stopIfTrue="1">
      <formula>$N70="BAM"</formula>
    </cfRule>
  </conditionalFormatting>
  <conditionalFormatting sqref="G67:R67">
    <cfRule type="containsBlanks" dxfId="12405" priority="14471">
      <formula>LEN(TRIM(G67))=0</formula>
    </cfRule>
  </conditionalFormatting>
  <conditionalFormatting sqref="AF69">
    <cfRule type="expression" dxfId="12404" priority="14461" stopIfTrue="1">
      <formula>$G67=""</formula>
    </cfRule>
    <cfRule type="expression" dxfId="12403" priority="14462" stopIfTrue="1">
      <formula>$N70="BAM"</formula>
    </cfRule>
    <cfRule type="expression" dxfId="12402" priority="14470">
      <formula>$AF$49&gt;$T$49</formula>
    </cfRule>
  </conditionalFormatting>
  <conditionalFormatting sqref="AC70:AE70">
    <cfRule type="expression" dxfId="12401" priority="14467" stopIfTrue="1">
      <formula>$G67=""</formula>
    </cfRule>
  </conditionalFormatting>
  <conditionalFormatting sqref="T69:U69">
    <cfRule type="expression" dxfId="12400" priority="14434" stopIfTrue="1">
      <formula>$G67=""</formula>
    </cfRule>
  </conditionalFormatting>
  <conditionalFormatting sqref="T69:U69">
    <cfRule type="containsBlanks" dxfId="12399" priority="14464" stopIfTrue="1">
      <formula>LEN(TRIM(T69))=0</formula>
    </cfRule>
  </conditionalFormatting>
  <conditionalFormatting sqref="AC67:AE67">
    <cfRule type="expression" dxfId="12398" priority="14463">
      <formula>$G67=""</formula>
    </cfRule>
  </conditionalFormatting>
  <conditionalFormatting sqref="AF69 AG70">
    <cfRule type="containsBlanks" dxfId="12397" priority="14468" stopIfTrue="1">
      <formula>LEN(TRIM(AF69))=0</formula>
    </cfRule>
  </conditionalFormatting>
  <conditionalFormatting sqref="AF69">
    <cfRule type="expression" dxfId="12396" priority="14469">
      <formula>OR($HS68=FALSE,$HT68=FALSE)</formula>
    </cfRule>
  </conditionalFormatting>
  <conditionalFormatting sqref="AG70">
    <cfRule type="expression" dxfId="12395" priority="14427">
      <formula>$C$43&gt;0</formula>
    </cfRule>
  </conditionalFormatting>
  <conditionalFormatting sqref="AG70">
    <cfRule type="expression" dxfId="12394" priority="14460" stopIfTrue="1">
      <formula>$G67=""</formula>
    </cfRule>
  </conditionalFormatting>
  <conditionalFormatting sqref="U69">
    <cfRule type="expression" dxfId="12393" priority="14465">
      <formula>OR($HK68=FALSE,$HL68=FALSE)</formula>
    </cfRule>
  </conditionalFormatting>
  <conditionalFormatting sqref="T68:U68">
    <cfRule type="expression" dxfId="12392" priority="14455" stopIfTrue="1">
      <formula>$C$43&lt;&gt;0</formula>
    </cfRule>
    <cfRule type="containsBlanks" dxfId="12391" priority="14456" stopIfTrue="1">
      <formula>LEN(TRIM(T68))=0</formula>
    </cfRule>
  </conditionalFormatting>
  <conditionalFormatting sqref="T68:U68">
    <cfRule type="expression" dxfId="12390" priority="14454" stopIfTrue="1">
      <formula>$G67=""</formula>
    </cfRule>
  </conditionalFormatting>
  <conditionalFormatting sqref="U68">
    <cfRule type="expression" dxfId="12389" priority="14457">
      <formula>$HJ68=FALSE</formula>
    </cfRule>
  </conditionalFormatting>
  <conditionalFormatting sqref="AG69">
    <cfRule type="expression" dxfId="12388" priority="14445" stopIfTrue="1">
      <formula>$G67=""</formula>
    </cfRule>
  </conditionalFormatting>
  <conditionalFormatting sqref="AG69:AL69">
    <cfRule type="expression" dxfId="12387" priority="14446">
      <formula>$N70="BAM"</formula>
    </cfRule>
    <cfRule type="expression" dxfId="12386" priority="14450">
      <formula>OR($HU68=FALSE,$HQ68=FALSE)</formula>
    </cfRule>
  </conditionalFormatting>
  <conditionalFormatting sqref="AG69">
    <cfRule type="containsBlanks" dxfId="12385" priority="14447" stopIfTrue="1">
      <formula>LEN(TRIM(AG69))=0</formula>
    </cfRule>
    <cfRule type="expression" dxfId="12384" priority="14448">
      <formula>OR($HP68=FALSE,$HR68=FALSE)</formula>
    </cfRule>
    <cfRule type="expression" dxfId="12383" priority="14449">
      <formula>OR($DS67=7,$DS67=8,$DS67=9)</formula>
    </cfRule>
  </conditionalFormatting>
  <conditionalFormatting sqref="AG67:AL67">
    <cfRule type="expression" dxfId="12382" priority="14444">
      <formula>$C$43&lt;&gt;0</formula>
    </cfRule>
  </conditionalFormatting>
  <conditionalFormatting sqref="AF68">
    <cfRule type="containsBlanks" dxfId="12381" priority="14443">
      <formula>LEN(TRIM(AF68))=0</formula>
    </cfRule>
  </conditionalFormatting>
  <conditionalFormatting sqref="AF68">
    <cfRule type="expression" dxfId="12380" priority="14442" stopIfTrue="1">
      <formula>$G67=""</formula>
    </cfRule>
  </conditionalFormatting>
  <conditionalFormatting sqref="AG68">
    <cfRule type="containsBlanks" dxfId="12379" priority="14440">
      <formula>LEN(TRIM(AG68))=0</formula>
    </cfRule>
    <cfRule type="expression" dxfId="12378" priority="14441">
      <formula>$HO68=FALSE</formula>
    </cfRule>
  </conditionalFormatting>
  <conditionalFormatting sqref="AG68">
    <cfRule type="expression" dxfId="12377" priority="14439" stopIfTrue="1">
      <formula>$G67=""</formula>
    </cfRule>
  </conditionalFormatting>
  <conditionalFormatting sqref="AF68:AK68">
    <cfRule type="expression" dxfId="12376" priority="14438">
      <formula>$C$43&gt;0</formula>
    </cfRule>
  </conditionalFormatting>
  <conditionalFormatting sqref="AM67:AN68">
    <cfRule type="expression" dxfId="12375" priority="14437">
      <formula>$G67=""</formula>
    </cfRule>
  </conditionalFormatting>
  <conditionalFormatting sqref="AM69:AN69">
    <cfRule type="expression" dxfId="12374" priority="14436" stopIfTrue="1">
      <formula>$G67=""</formula>
    </cfRule>
  </conditionalFormatting>
  <conditionalFormatting sqref="T69">
    <cfRule type="expression" dxfId="12373" priority="14458" stopIfTrue="1">
      <formula>$N70="BAM"</formula>
    </cfRule>
  </conditionalFormatting>
  <conditionalFormatting sqref="U69:AE69">
    <cfRule type="expression" dxfId="12372" priority="14435" stopIfTrue="1">
      <formula>$N70="BAM"</formula>
    </cfRule>
  </conditionalFormatting>
  <conditionalFormatting sqref="AG70:AL70">
    <cfRule type="expression" dxfId="12371" priority="14459" stopIfTrue="1">
      <formula>$N70="BAM"</formula>
    </cfRule>
  </conditionalFormatting>
  <conditionalFormatting sqref="AX73">
    <cfRule type="expression" dxfId="12370" priority="14425">
      <formula>$E73=""</formula>
    </cfRule>
  </conditionalFormatting>
  <conditionalFormatting sqref="AX72">
    <cfRule type="expression" dxfId="12369" priority="14424">
      <formula>$E72=""</formula>
    </cfRule>
  </conditionalFormatting>
  <conditionalFormatting sqref="AX74">
    <cfRule type="expression" dxfId="12368" priority="14423">
      <formula>#REF!=""</formula>
    </cfRule>
  </conditionalFormatting>
  <conditionalFormatting sqref="AX75">
    <cfRule type="expression" dxfId="12367" priority="14422">
      <formula>$E74=""</formula>
    </cfRule>
  </conditionalFormatting>
  <conditionalFormatting sqref="AY72:AZ75">
    <cfRule type="expression" dxfId="12366" priority="14421">
      <formula>$G72=""</formula>
    </cfRule>
  </conditionalFormatting>
  <conditionalFormatting sqref="G74">
    <cfRule type="expression" dxfId="12365" priority="14418" stopIfTrue="1">
      <formula>$G72=""</formula>
    </cfRule>
    <cfRule type="containsBlanks" dxfId="12364" priority="14419" stopIfTrue="1">
      <formula>LEN(TRIM(G74))=0</formula>
    </cfRule>
    <cfRule type="expression" dxfId="12363" priority="14420">
      <formula>OR($M74=0,$HH73=FALSE)</formula>
    </cfRule>
  </conditionalFormatting>
  <conditionalFormatting sqref="AO74">
    <cfRule type="expression" dxfId="12362" priority="14417" stopIfTrue="1">
      <formula>$G72=""</formula>
    </cfRule>
  </conditionalFormatting>
  <conditionalFormatting sqref="AU72:AU75">
    <cfRule type="expression" dxfId="12361" priority="14414" stopIfTrue="1">
      <formula>$C$43=2</formula>
    </cfRule>
    <cfRule type="cellIs" dxfId="12360" priority="14415" operator="equal">
      <formula>"Yes"</formula>
    </cfRule>
    <cfRule type="cellIs" dxfId="12359" priority="14416" operator="equal">
      <formula>"No"</formula>
    </cfRule>
  </conditionalFormatting>
  <conditionalFormatting sqref="AO72:AO73">
    <cfRule type="expression" dxfId="12358" priority="14413">
      <formula>$G72=""</formula>
    </cfRule>
  </conditionalFormatting>
  <conditionalFormatting sqref="AP72 AR72:AS75">
    <cfRule type="expression" dxfId="12357" priority="14412">
      <formula>$G72=""</formula>
    </cfRule>
  </conditionalFormatting>
  <conditionalFormatting sqref="AW72:AW75">
    <cfRule type="expression" dxfId="12356" priority="14411">
      <formula>$G72=""</formula>
    </cfRule>
  </conditionalFormatting>
  <conditionalFormatting sqref="G73:L73">
    <cfRule type="expression" dxfId="12355" priority="14409" stopIfTrue="1">
      <formula>$G72=""</formula>
    </cfRule>
    <cfRule type="containsBlanks" dxfId="12354" priority="14410">
      <formula>LEN(TRIM(G73))=0</formula>
    </cfRule>
  </conditionalFormatting>
  <conditionalFormatting sqref="R74">
    <cfRule type="expression" dxfId="12353" priority="14406">
      <formula>$N75="BAM"</formula>
    </cfRule>
    <cfRule type="expression" dxfId="12352" priority="14407" stopIfTrue="1">
      <formula>$G72=""</formula>
    </cfRule>
    <cfRule type="containsBlanks" dxfId="12351" priority="14408">
      <formula>LEN(TRIM(R74))=0</formula>
    </cfRule>
  </conditionalFormatting>
  <conditionalFormatting sqref="R74">
    <cfRule type="expression" dxfId="12350" priority="14405">
      <formula>$C$43=0</formula>
    </cfRule>
  </conditionalFormatting>
  <conditionalFormatting sqref="E75:F75">
    <cfRule type="expression" dxfId="12349" priority="14404">
      <formula>$CQ72="Exterior"</formula>
    </cfRule>
  </conditionalFormatting>
  <conditionalFormatting sqref="G75">
    <cfRule type="expression" dxfId="12348" priority="14394" stopIfTrue="1">
      <formula>$G72=""</formula>
    </cfRule>
  </conditionalFormatting>
  <conditionalFormatting sqref="G75">
    <cfRule type="expression" dxfId="12347" priority="14396" stopIfTrue="1">
      <formula>$CQ72="Exterior"</formula>
    </cfRule>
  </conditionalFormatting>
  <conditionalFormatting sqref="G75:L75">
    <cfRule type="expression" dxfId="12346" priority="14395" stopIfTrue="1">
      <formula>$N75="BAM"</formula>
    </cfRule>
    <cfRule type="containsBlanks" dxfId="12345" priority="14397" stopIfTrue="1">
      <formula>LEN(TRIM(G75))=0</formula>
    </cfRule>
    <cfRule type="expression" dxfId="12344" priority="14399">
      <formula>$HQ73=FALSE</formula>
    </cfRule>
  </conditionalFormatting>
  <conditionalFormatting sqref="G75:L75">
    <cfRule type="expression" dxfId="12343" priority="14398" stopIfTrue="1">
      <formula>$AG74=""</formula>
    </cfRule>
  </conditionalFormatting>
  <conditionalFormatting sqref="G74:L74">
    <cfRule type="expression" dxfId="12342" priority="14392" stopIfTrue="1">
      <formula>$N75="BAM"</formula>
    </cfRule>
  </conditionalFormatting>
  <conditionalFormatting sqref="G72:R72">
    <cfRule type="containsBlanks" dxfId="12341" priority="14391">
      <formula>LEN(TRIM(G72))=0</formula>
    </cfRule>
  </conditionalFormatting>
  <conditionalFormatting sqref="AF74">
    <cfRule type="expression" dxfId="12340" priority="14381" stopIfTrue="1">
      <formula>$G72=""</formula>
    </cfRule>
    <cfRule type="expression" dxfId="12339" priority="14382" stopIfTrue="1">
      <formula>$N75="BAM"</formula>
    </cfRule>
    <cfRule type="expression" dxfId="12338" priority="14390">
      <formula>$AF$49&gt;$T$49</formula>
    </cfRule>
  </conditionalFormatting>
  <conditionalFormatting sqref="AC75:AE75">
    <cfRule type="expression" dxfId="12337" priority="14387" stopIfTrue="1">
      <formula>$G72=""</formula>
    </cfRule>
  </conditionalFormatting>
  <conditionalFormatting sqref="T74:U74">
    <cfRule type="expression" dxfId="12336" priority="14354" stopIfTrue="1">
      <formula>$G72=""</formula>
    </cfRule>
  </conditionalFormatting>
  <conditionalFormatting sqref="T74:U74">
    <cfRule type="containsBlanks" dxfId="12335" priority="14384" stopIfTrue="1">
      <formula>LEN(TRIM(T74))=0</formula>
    </cfRule>
  </conditionalFormatting>
  <conditionalFormatting sqref="AC72:AE72">
    <cfRule type="expression" dxfId="12334" priority="14383">
      <formula>$G72=""</formula>
    </cfRule>
  </conditionalFormatting>
  <conditionalFormatting sqref="AF74 AG75">
    <cfRule type="containsBlanks" dxfId="12333" priority="14388" stopIfTrue="1">
      <formula>LEN(TRIM(AF74))=0</formula>
    </cfRule>
  </conditionalFormatting>
  <conditionalFormatting sqref="AF74">
    <cfRule type="expression" dxfId="12332" priority="14389">
      <formula>OR($HS73=FALSE,$HT73=FALSE)</formula>
    </cfRule>
  </conditionalFormatting>
  <conditionalFormatting sqref="AG75">
    <cfRule type="expression" dxfId="12331" priority="14347">
      <formula>$C$43&gt;0</formula>
    </cfRule>
  </conditionalFormatting>
  <conditionalFormatting sqref="AG75">
    <cfRule type="expression" dxfId="12330" priority="14380" stopIfTrue="1">
      <formula>$G72=""</formula>
    </cfRule>
  </conditionalFormatting>
  <conditionalFormatting sqref="U74">
    <cfRule type="expression" dxfId="12329" priority="14385">
      <formula>OR($HK73=FALSE,$HL73=FALSE)</formula>
    </cfRule>
  </conditionalFormatting>
  <conditionalFormatting sqref="T73:U73">
    <cfRule type="expression" dxfId="12328" priority="14375" stopIfTrue="1">
      <formula>$C$43&lt;&gt;0</formula>
    </cfRule>
    <cfRule type="containsBlanks" dxfId="12327" priority="14376" stopIfTrue="1">
      <formula>LEN(TRIM(T73))=0</formula>
    </cfRule>
  </conditionalFormatting>
  <conditionalFormatting sqref="T73:U73">
    <cfRule type="expression" dxfId="12326" priority="14374" stopIfTrue="1">
      <formula>$G72=""</formula>
    </cfRule>
  </conditionalFormatting>
  <conditionalFormatting sqref="U73">
    <cfRule type="expression" dxfId="12325" priority="14377">
      <formula>$HJ73=FALSE</formula>
    </cfRule>
  </conditionalFormatting>
  <conditionalFormatting sqref="AG74">
    <cfRule type="expression" dxfId="12324" priority="14365" stopIfTrue="1">
      <formula>$G72=""</formula>
    </cfRule>
  </conditionalFormatting>
  <conditionalFormatting sqref="AG74:AL74">
    <cfRule type="expression" dxfId="12323" priority="14366">
      <formula>$N75="BAM"</formula>
    </cfRule>
    <cfRule type="expression" dxfId="12322" priority="14370">
      <formula>OR($HU73=FALSE,$HQ73=FALSE)</formula>
    </cfRule>
  </conditionalFormatting>
  <conditionalFormatting sqref="AG74">
    <cfRule type="containsBlanks" dxfId="12321" priority="14367" stopIfTrue="1">
      <formula>LEN(TRIM(AG74))=0</formula>
    </cfRule>
    <cfRule type="expression" dxfId="12320" priority="14368">
      <formula>OR($HP73=FALSE,$HR73=FALSE)</formula>
    </cfRule>
    <cfRule type="expression" dxfId="12319" priority="14369">
      <formula>OR($DS72=7,$DS72=8,$DS72=9)</formula>
    </cfRule>
  </conditionalFormatting>
  <conditionalFormatting sqref="AG72:AL72">
    <cfRule type="expression" dxfId="12318" priority="14364">
      <formula>$C$43&lt;&gt;0</formula>
    </cfRule>
  </conditionalFormatting>
  <conditionalFormatting sqref="AF73">
    <cfRule type="containsBlanks" dxfId="12317" priority="14363">
      <formula>LEN(TRIM(AF73))=0</formula>
    </cfRule>
  </conditionalFormatting>
  <conditionalFormatting sqref="AF73">
    <cfRule type="expression" dxfId="12316" priority="14362" stopIfTrue="1">
      <formula>$G72=""</formula>
    </cfRule>
  </conditionalFormatting>
  <conditionalFormatting sqref="AG73">
    <cfRule type="containsBlanks" dxfId="12315" priority="14360">
      <formula>LEN(TRIM(AG73))=0</formula>
    </cfRule>
    <cfRule type="expression" dxfId="12314" priority="14361">
      <formula>$HO73=FALSE</formula>
    </cfRule>
  </conditionalFormatting>
  <conditionalFormatting sqref="AG73">
    <cfRule type="expression" dxfId="12313" priority="14359" stopIfTrue="1">
      <formula>$G72=""</formula>
    </cfRule>
  </conditionalFormatting>
  <conditionalFormatting sqref="AF73:AK73">
    <cfRule type="expression" dxfId="12312" priority="14358">
      <formula>$C$43&gt;0</formula>
    </cfRule>
  </conditionalFormatting>
  <conditionalFormatting sqref="AM72:AN73">
    <cfRule type="expression" dxfId="12311" priority="14357">
      <formula>$G72=""</formula>
    </cfRule>
  </conditionalFormatting>
  <conditionalFormatting sqref="AM74:AN74">
    <cfRule type="expression" dxfId="12310" priority="14356" stopIfTrue="1">
      <formula>$G72=""</formula>
    </cfRule>
  </conditionalFormatting>
  <conditionalFormatting sqref="T74">
    <cfRule type="expression" dxfId="12309" priority="14378" stopIfTrue="1">
      <formula>$N75="BAM"</formula>
    </cfRule>
  </conditionalFormatting>
  <conditionalFormatting sqref="U74:AE74">
    <cfRule type="expression" dxfId="12308" priority="14355" stopIfTrue="1">
      <formula>$N75="BAM"</formula>
    </cfRule>
  </conditionalFormatting>
  <conditionalFormatting sqref="AG75:AL75">
    <cfRule type="expression" dxfId="12307" priority="14379" stopIfTrue="1">
      <formula>$N75="BAM"</formula>
    </cfRule>
  </conditionalFormatting>
  <conditionalFormatting sqref="AX78">
    <cfRule type="expression" dxfId="12306" priority="14345">
      <formula>$E78=""</formula>
    </cfRule>
  </conditionalFormatting>
  <conditionalFormatting sqref="AX77">
    <cfRule type="expression" dxfId="12305" priority="14344">
      <formula>$E77=""</formula>
    </cfRule>
  </conditionalFormatting>
  <conditionalFormatting sqref="AX79">
    <cfRule type="expression" dxfId="12304" priority="14343">
      <formula>#REF!=""</formula>
    </cfRule>
  </conditionalFormatting>
  <conditionalFormatting sqref="AX80">
    <cfRule type="expression" dxfId="12303" priority="14342">
      <formula>$E79=""</formula>
    </cfRule>
  </conditionalFormatting>
  <conditionalFormatting sqref="AY77:AZ80">
    <cfRule type="expression" dxfId="12302" priority="14341">
      <formula>$G77=""</formula>
    </cfRule>
  </conditionalFormatting>
  <conditionalFormatting sqref="G79">
    <cfRule type="expression" dxfId="12301" priority="14338" stopIfTrue="1">
      <formula>$G77=""</formula>
    </cfRule>
    <cfRule type="containsBlanks" dxfId="12300" priority="14339" stopIfTrue="1">
      <formula>LEN(TRIM(G79))=0</formula>
    </cfRule>
    <cfRule type="expression" dxfId="12299" priority="14340">
      <formula>OR($M79=0,$HH78=FALSE)</formula>
    </cfRule>
  </conditionalFormatting>
  <conditionalFormatting sqref="AO79">
    <cfRule type="expression" dxfId="12298" priority="14337" stopIfTrue="1">
      <formula>$G77=""</formula>
    </cfRule>
  </conditionalFormatting>
  <conditionalFormatting sqref="AU77:AU80">
    <cfRule type="expression" dxfId="12297" priority="14334" stopIfTrue="1">
      <formula>$C$43=2</formula>
    </cfRule>
    <cfRule type="cellIs" dxfId="12296" priority="14335" operator="equal">
      <formula>"Yes"</formula>
    </cfRule>
    <cfRule type="cellIs" dxfId="12295" priority="14336" operator="equal">
      <formula>"No"</formula>
    </cfRule>
  </conditionalFormatting>
  <conditionalFormatting sqref="AO77:AO78">
    <cfRule type="expression" dxfId="12294" priority="14333">
      <formula>$G77=""</formula>
    </cfRule>
  </conditionalFormatting>
  <conditionalFormatting sqref="AP77 AR77:AS80">
    <cfRule type="expression" dxfId="12293" priority="14332">
      <formula>$G77=""</formula>
    </cfRule>
  </conditionalFormatting>
  <conditionalFormatting sqref="AW77:AW80">
    <cfRule type="expression" dxfId="12292" priority="14331">
      <formula>$G77=""</formula>
    </cfRule>
  </conditionalFormatting>
  <conditionalFormatting sqref="G78:L78">
    <cfRule type="expression" dxfId="12291" priority="14329" stopIfTrue="1">
      <formula>$G77=""</formula>
    </cfRule>
    <cfRule type="containsBlanks" dxfId="12290" priority="14330">
      <formula>LEN(TRIM(G78))=0</formula>
    </cfRule>
  </conditionalFormatting>
  <conditionalFormatting sqref="R79">
    <cfRule type="expression" dxfId="12289" priority="14326">
      <formula>$N80="BAM"</formula>
    </cfRule>
    <cfRule type="expression" dxfId="12288" priority="14327" stopIfTrue="1">
      <formula>$G77=""</formula>
    </cfRule>
    <cfRule type="containsBlanks" dxfId="12287" priority="14328">
      <formula>LEN(TRIM(R79))=0</formula>
    </cfRule>
  </conditionalFormatting>
  <conditionalFormatting sqref="R79">
    <cfRule type="expression" dxfId="12286" priority="14325">
      <formula>$C$43=0</formula>
    </cfRule>
  </conditionalFormatting>
  <conditionalFormatting sqref="E80:F80">
    <cfRule type="expression" dxfId="12285" priority="14324">
      <formula>$CQ77="Exterior"</formula>
    </cfRule>
  </conditionalFormatting>
  <conditionalFormatting sqref="G80">
    <cfRule type="expression" dxfId="12284" priority="14314" stopIfTrue="1">
      <formula>$G77=""</formula>
    </cfRule>
  </conditionalFormatting>
  <conditionalFormatting sqref="G80">
    <cfRule type="expression" dxfId="12283" priority="14316" stopIfTrue="1">
      <formula>$CQ77="Exterior"</formula>
    </cfRule>
  </conditionalFormatting>
  <conditionalFormatting sqref="G80:L80">
    <cfRule type="expression" dxfId="12282" priority="14315" stopIfTrue="1">
      <formula>$N80="BAM"</formula>
    </cfRule>
    <cfRule type="containsBlanks" dxfId="12281" priority="14317" stopIfTrue="1">
      <formula>LEN(TRIM(G80))=0</formula>
    </cfRule>
    <cfRule type="expression" dxfId="12280" priority="14319">
      <formula>$HQ78=FALSE</formula>
    </cfRule>
  </conditionalFormatting>
  <conditionalFormatting sqref="G80:L80">
    <cfRule type="expression" dxfId="12279" priority="14318" stopIfTrue="1">
      <formula>$AG79=""</formula>
    </cfRule>
  </conditionalFormatting>
  <conditionalFormatting sqref="G79:L79">
    <cfRule type="expression" dxfId="12278" priority="14312" stopIfTrue="1">
      <formula>$N80="BAM"</formula>
    </cfRule>
  </conditionalFormatting>
  <conditionalFormatting sqref="G77:R77">
    <cfRule type="containsBlanks" dxfId="12277" priority="14311">
      <formula>LEN(TRIM(G77))=0</formula>
    </cfRule>
  </conditionalFormatting>
  <conditionalFormatting sqref="AF79">
    <cfRule type="expression" dxfId="12276" priority="14301" stopIfTrue="1">
      <formula>$G77=""</formula>
    </cfRule>
    <cfRule type="expression" dxfId="12275" priority="14302" stopIfTrue="1">
      <formula>$N80="BAM"</formula>
    </cfRule>
    <cfRule type="expression" dxfId="12274" priority="14310">
      <formula>$AF$49&gt;$T$49</formula>
    </cfRule>
  </conditionalFormatting>
  <conditionalFormatting sqref="AC80:AE80">
    <cfRule type="expression" dxfId="12273" priority="14307" stopIfTrue="1">
      <formula>$G77=""</formula>
    </cfRule>
  </conditionalFormatting>
  <conditionalFormatting sqref="T79:U79">
    <cfRule type="expression" dxfId="12272" priority="14274" stopIfTrue="1">
      <formula>$G77=""</formula>
    </cfRule>
  </conditionalFormatting>
  <conditionalFormatting sqref="T79:U79">
    <cfRule type="containsBlanks" dxfId="12271" priority="14304" stopIfTrue="1">
      <formula>LEN(TRIM(T79))=0</formula>
    </cfRule>
  </conditionalFormatting>
  <conditionalFormatting sqref="AC77:AE77">
    <cfRule type="expression" dxfId="12270" priority="14303">
      <formula>$G77=""</formula>
    </cfRule>
  </conditionalFormatting>
  <conditionalFormatting sqref="AF79 AG80">
    <cfRule type="containsBlanks" dxfId="12269" priority="14308" stopIfTrue="1">
      <formula>LEN(TRIM(AF79))=0</formula>
    </cfRule>
  </conditionalFormatting>
  <conditionalFormatting sqref="AF79">
    <cfRule type="expression" dxfId="12268" priority="14309">
      <formula>OR($HS78=FALSE,$HT78=FALSE)</formula>
    </cfRule>
  </conditionalFormatting>
  <conditionalFormatting sqref="AG80">
    <cfRule type="expression" dxfId="12267" priority="14267">
      <formula>$C$43&gt;0</formula>
    </cfRule>
  </conditionalFormatting>
  <conditionalFormatting sqref="AG80">
    <cfRule type="expression" dxfId="12266" priority="14300" stopIfTrue="1">
      <formula>$G77=""</formula>
    </cfRule>
  </conditionalFormatting>
  <conditionalFormatting sqref="U79">
    <cfRule type="expression" dxfId="12265" priority="14305">
      <formula>OR($HK78=FALSE,$HL78=FALSE)</formula>
    </cfRule>
  </conditionalFormatting>
  <conditionalFormatting sqref="T78:U78">
    <cfRule type="expression" dxfId="12264" priority="14295" stopIfTrue="1">
      <formula>$C$43&lt;&gt;0</formula>
    </cfRule>
    <cfRule type="containsBlanks" dxfId="12263" priority="14296" stopIfTrue="1">
      <formula>LEN(TRIM(T78))=0</formula>
    </cfRule>
  </conditionalFormatting>
  <conditionalFormatting sqref="T78:U78">
    <cfRule type="expression" dxfId="12262" priority="14294" stopIfTrue="1">
      <formula>$G77=""</formula>
    </cfRule>
  </conditionalFormatting>
  <conditionalFormatting sqref="U78">
    <cfRule type="expression" dxfId="12261" priority="14297">
      <formula>$HJ78=FALSE</formula>
    </cfRule>
  </conditionalFormatting>
  <conditionalFormatting sqref="AG79">
    <cfRule type="expression" dxfId="12260" priority="14285" stopIfTrue="1">
      <formula>$G77=""</formula>
    </cfRule>
  </conditionalFormatting>
  <conditionalFormatting sqref="AG79:AL79">
    <cfRule type="expression" dxfId="12259" priority="14286">
      <formula>$N80="BAM"</formula>
    </cfRule>
    <cfRule type="expression" dxfId="12258" priority="14290">
      <formula>OR($HU78=FALSE,$HQ78=FALSE)</formula>
    </cfRule>
  </conditionalFormatting>
  <conditionalFormatting sqref="AG79">
    <cfRule type="containsBlanks" dxfId="12257" priority="14287" stopIfTrue="1">
      <formula>LEN(TRIM(AG79))=0</formula>
    </cfRule>
    <cfRule type="expression" dxfId="12256" priority="14288">
      <formula>OR($HP78=FALSE,$HR78=FALSE)</formula>
    </cfRule>
    <cfRule type="expression" dxfId="12255" priority="14289">
      <formula>OR($DS77=7,$DS77=8,$DS77=9)</formula>
    </cfRule>
  </conditionalFormatting>
  <conditionalFormatting sqref="AG77:AL77">
    <cfRule type="expression" dxfId="12254" priority="14284">
      <formula>$C$43&lt;&gt;0</formula>
    </cfRule>
  </conditionalFormatting>
  <conditionalFormatting sqref="AF78">
    <cfRule type="containsBlanks" dxfId="12253" priority="14283">
      <formula>LEN(TRIM(AF78))=0</formula>
    </cfRule>
  </conditionalFormatting>
  <conditionalFormatting sqref="AF78">
    <cfRule type="expression" dxfId="12252" priority="14282" stopIfTrue="1">
      <formula>$G77=""</formula>
    </cfRule>
  </conditionalFormatting>
  <conditionalFormatting sqref="AG78">
    <cfRule type="containsBlanks" dxfId="12251" priority="14280">
      <formula>LEN(TRIM(AG78))=0</formula>
    </cfRule>
    <cfRule type="expression" dxfId="12250" priority="14281">
      <formula>$HO78=FALSE</formula>
    </cfRule>
  </conditionalFormatting>
  <conditionalFormatting sqref="AG78">
    <cfRule type="expression" dxfId="12249" priority="14279" stopIfTrue="1">
      <formula>$G77=""</formula>
    </cfRule>
  </conditionalFormatting>
  <conditionalFormatting sqref="AF78:AK78">
    <cfRule type="expression" dxfId="12248" priority="14278">
      <formula>$C$43&gt;0</formula>
    </cfRule>
  </conditionalFormatting>
  <conditionalFormatting sqref="AM77:AN78">
    <cfRule type="expression" dxfId="12247" priority="14277">
      <formula>$G77=""</formula>
    </cfRule>
  </conditionalFormatting>
  <conditionalFormatting sqref="AM79:AN79">
    <cfRule type="expression" dxfId="12246" priority="14276" stopIfTrue="1">
      <formula>$G77=""</formula>
    </cfRule>
  </conditionalFormatting>
  <conditionalFormatting sqref="T79">
    <cfRule type="expression" dxfId="12245" priority="14298" stopIfTrue="1">
      <formula>$N80="BAM"</formula>
    </cfRule>
  </conditionalFormatting>
  <conditionalFormatting sqref="U79:AE79">
    <cfRule type="expression" dxfId="12244" priority="14275" stopIfTrue="1">
      <formula>$N80="BAM"</formula>
    </cfRule>
  </conditionalFormatting>
  <conditionalFormatting sqref="AG80:AL80">
    <cfRule type="expression" dxfId="12243" priority="14299" stopIfTrue="1">
      <formula>$N80="BAM"</formula>
    </cfRule>
  </conditionalFormatting>
  <conditionalFormatting sqref="AX83">
    <cfRule type="expression" dxfId="12242" priority="14265">
      <formula>$E83=""</formula>
    </cfRule>
  </conditionalFormatting>
  <conditionalFormatting sqref="AX82">
    <cfRule type="expression" dxfId="12241" priority="14264">
      <formula>$E82=""</formula>
    </cfRule>
  </conditionalFormatting>
  <conditionalFormatting sqref="AX84">
    <cfRule type="expression" dxfId="12240" priority="14263">
      <formula>#REF!=""</formula>
    </cfRule>
  </conditionalFormatting>
  <conditionalFormatting sqref="AX85">
    <cfRule type="expression" dxfId="12239" priority="14262">
      <formula>$E84=""</formula>
    </cfRule>
  </conditionalFormatting>
  <conditionalFormatting sqref="AY82:AZ85">
    <cfRule type="expression" dxfId="12238" priority="14261">
      <formula>$G82=""</formula>
    </cfRule>
  </conditionalFormatting>
  <conditionalFormatting sqref="G84">
    <cfRule type="expression" dxfId="12237" priority="14258" stopIfTrue="1">
      <formula>$G82=""</formula>
    </cfRule>
    <cfRule type="containsBlanks" dxfId="12236" priority="14259" stopIfTrue="1">
      <formula>LEN(TRIM(G84))=0</formula>
    </cfRule>
    <cfRule type="expression" dxfId="12235" priority="14260">
      <formula>OR($M84=0,$HH83=FALSE)</formula>
    </cfRule>
  </conditionalFormatting>
  <conditionalFormatting sqref="AO84">
    <cfRule type="expression" dxfId="12234" priority="14257" stopIfTrue="1">
      <formula>$G82=""</formula>
    </cfRule>
  </conditionalFormatting>
  <conditionalFormatting sqref="AU82:AU85">
    <cfRule type="expression" dxfId="12233" priority="14254" stopIfTrue="1">
      <formula>$C$43=2</formula>
    </cfRule>
    <cfRule type="cellIs" dxfId="12232" priority="14255" operator="equal">
      <formula>"Yes"</formula>
    </cfRule>
    <cfRule type="cellIs" dxfId="12231" priority="14256" operator="equal">
      <formula>"No"</formula>
    </cfRule>
  </conditionalFormatting>
  <conditionalFormatting sqref="AO82:AO83">
    <cfRule type="expression" dxfId="12230" priority="14253">
      <formula>$G82=""</formula>
    </cfRule>
  </conditionalFormatting>
  <conditionalFormatting sqref="AP82 AR82:AS85">
    <cfRule type="expression" dxfId="12229" priority="14252">
      <formula>$G82=""</formula>
    </cfRule>
  </conditionalFormatting>
  <conditionalFormatting sqref="AW82:AW85">
    <cfRule type="expression" dxfId="12228" priority="14251">
      <formula>$G82=""</formula>
    </cfRule>
  </conditionalFormatting>
  <conditionalFormatting sqref="G83:L83">
    <cfRule type="expression" dxfId="12227" priority="14249" stopIfTrue="1">
      <formula>$G82=""</formula>
    </cfRule>
    <cfRule type="containsBlanks" dxfId="12226" priority="14250">
      <formula>LEN(TRIM(G83))=0</formula>
    </cfRule>
  </conditionalFormatting>
  <conditionalFormatting sqref="R84">
    <cfRule type="expression" dxfId="12225" priority="14246">
      <formula>$N85="BAM"</formula>
    </cfRule>
    <cfRule type="expression" dxfId="12224" priority="14247" stopIfTrue="1">
      <formula>$G82=""</formula>
    </cfRule>
    <cfRule type="containsBlanks" dxfId="12223" priority="14248">
      <formula>LEN(TRIM(R84))=0</formula>
    </cfRule>
  </conditionalFormatting>
  <conditionalFormatting sqref="R84">
    <cfRule type="expression" dxfId="12222" priority="14245">
      <formula>$C$43=0</formula>
    </cfRule>
  </conditionalFormatting>
  <conditionalFormatting sqref="E85:F85">
    <cfRule type="expression" dxfId="12221" priority="14244">
      <formula>$CQ82="Exterior"</formula>
    </cfRule>
  </conditionalFormatting>
  <conditionalFormatting sqref="G85">
    <cfRule type="expression" dxfId="12220" priority="14234" stopIfTrue="1">
      <formula>$G82=""</formula>
    </cfRule>
  </conditionalFormatting>
  <conditionalFormatting sqref="G85">
    <cfRule type="expression" dxfId="12219" priority="14236" stopIfTrue="1">
      <formula>$CQ82="Exterior"</formula>
    </cfRule>
  </conditionalFormatting>
  <conditionalFormatting sqref="G85:L85">
    <cfRule type="expression" dxfId="12218" priority="14235" stopIfTrue="1">
      <formula>$N85="BAM"</formula>
    </cfRule>
    <cfRule type="containsBlanks" dxfId="12217" priority="14237" stopIfTrue="1">
      <formula>LEN(TRIM(G85))=0</formula>
    </cfRule>
    <cfRule type="expression" dxfId="12216" priority="14239">
      <formula>$HQ83=FALSE</formula>
    </cfRule>
  </conditionalFormatting>
  <conditionalFormatting sqref="G85:L85">
    <cfRule type="expression" dxfId="12215" priority="14238" stopIfTrue="1">
      <formula>$AG84=""</formula>
    </cfRule>
  </conditionalFormatting>
  <conditionalFormatting sqref="G84:L84">
    <cfRule type="expression" dxfId="12214" priority="14232" stopIfTrue="1">
      <formula>$N85="BAM"</formula>
    </cfRule>
  </conditionalFormatting>
  <conditionalFormatting sqref="G82:R82">
    <cfRule type="containsBlanks" dxfId="12213" priority="14231">
      <formula>LEN(TRIM(G82))=0</formula>
    </cfRule>
  </conditionalFormatting>
  <conditionalFormatting sqref="AF84">
    <cfRule type="expression" dxfId="12212" priority="14221" stopIfTrue="1">
      <formula>$G82=""</formula>
    </cfRule>
    <cfRule type="expression" dxfId="12211" priority="14222" stopIfTrue="1">
      <formula>$N85="BAM"</formula>
    </cfRule>
    <cfRule type="expression" dxfId="12210" priority="14230">
      <formula>$AF$49&gt;$T$49</formula>
    </cfRule>
  </conditionalFormatting>
  <conditionalFormatting sqref="AC85:AE85">
    <cfRule type="expression" dxfId="12209" priority="14227" stopIfTrue="1">
      <formula>$G82=""</formula>
    </cfRule>
  </conditionalFormatting>
  <conditionalFormatting sqref="T84:U84">
    <cfRule type="expression" dxfId="12208" priority="14194" stopIfTrue="1">
      <formula>$G82=""</formula>
    </cfRule>
  </conditionalFormatting>
  <conditionalFormatting sqref="T84:U84">
    <cfRule type="containsBlanks" dxfId="12207" priority="14224" stopIfTrue="1">
      <formula>LEN(TRIM(T84))=0</formula>
    </cfRule>
  </conditionalFormatting>
  <conditionalFormatting sqref="AC82:AE82">
    <cfRule type="expression" dxfId="12206" priority="14223">
      <formula>$G82=""</formula>
    </cfRule>
  </conditionalFormatting>
  <conditionalFormatting sqref="AF84 AG85">
    <cfRule type="containsBlanks" dxfId="12205" priority="14228" stopIfTrue="1">
      <formula>LEN(TRIM(AF84))=0</formula>
    </cfRule>
  </conditionalFormatting>
  <conditionalFormatting sqref="AF84">
    <cfRule type="expression" dxfId="12204" priority="14229">
      <formula>OR($HS83=FALSE,$HT83=FALSE)</formula>
    </cfRule>
  </conditionalFormatting>
  <conditionalFormatting sqref="AG85">
    <cfRule type="expression" dxfId="12203" priority="14187">
      <formula>$C$43&gt;0</formula>
    </cfRule>
  </conditionalFormatting>
  <conditionalFormatting sqref="AG85">
    <cfRule type="expression" dxfId="12202" priority="14220" stopIfTrue="1">
      <formula>$G82=""</formula>
    </cfRule>
  </conditionalFormatting>
  <conditionalFormatting sqref="U84">
    <cfRule type="expression" dxfId="12201" priority="14225">
      <formula>OR($HK83=FALSE,$HL83=FALSE)</formula>
    </cfRule>
  </conditionalFormatting>
  <conditionalFormatting sqref="T83:U83">
    <cfRule type="expression" dxfId="12200" priority="14215" stopIfTrue="1">
      <formula>$C$43&lt;&gt;0</formula>
    </cfRule>
    <cfRule type="containsBlanks" dxfId="12199" priority="14216" stopIfTrue="1">
      <formula>LEN(TRIM(T83))=0</formula>
    </cfRule>
  </conditionalFormatting>
  <conditionalFormatting sqref="T83:U83">
    <cfRule type="expression" dxfId="12198" priority="14214" stopIfTrue="1">
      <formula>$G82=""</formula>
    </cfRule>
  </conditionalFormatting>
  <conditionalFormatting sqref="U83">
    <cfRule type="expression" dxfId="12197" priority="14217">
      <formula>$HJ83=FALSE</formula>
    </cfRule>
  </conditionalFormatting>
  <conditionalFormatting sqref="AG84">
    <cfRule type="expression" dxfId="12196" priority="14205" stopIfTrue="1">
      <formula>$G82=""</formula>
    </cfRule>
  </conditionalFormatting>
  <conditionalFormatting sqref="AG84:AL84">
    <cfRule type="expression" dxfId="12195" priority="14206">
      <formula>$N85="BAM"</formula>
    </cfRule>
    <cfRule type="expression" dxfId="12194" priority="14210">
      <formula>OR($HU83=FALSE,$HQ83=FALSE)</formula>
    </cfRule>
  </conditionalFormatting>
  <conditionalFormatting sqref="AG84">
    <cfRule type="containsBlanks" dxfId="12193" priority="14207" stopIfTrue="1">
      <formula>LEN(TRIM(AG84))=0</formula>
    </cfRule>
    <cfRule type="expression" dxfId="12192" priority="14208">
      <formula>OR($HP83=FALSE,$HR83=FALSE)</formula>
    </cfRule>
    <cfRule type="expression" dxfId="12191" priority="14209">
      <formula>OR($DS82=7,$DS82=8,$DS82=9)</formula>
    </cfRule>
  </conditionalFormatting>
  <conditionalFormatting sqref="AG82:AL82">
    <cfRule type="expression" dxfId="12190" priority="14204">
      <formula>$C$43&lt;&gt;0</formula>
    </cfRule>
  </conditionalFormatting>
  <conditionalFormatting sqref="AF83">
    <cfRule type="containsBlanks" dxfId="12189" priority="14203">
      <formula>LEN(TRIM(AF83))=0</formula>
    </cfRule>
  </conditionalFormatting>
  <conditionalFormatting sqref="AF83">
    <cfRule type="expression" dxfId="12188" priority="14202" stopIfTrue="1">
      <formula>$G82=""</formula>
    </cfRule>
  </conditionalFormatting>
  <conditionalFormatting sqref="AG83">
    <cfRule type="containsBlanks" dxfId="12187" priority="14200">
      <formula>LEN(TRIM(AG83))=0</formula>
    </cfRule>
    <cfRule type="expression" dxfId="12186" priority="14201">
      <formula>$HO83=FALSE</formula>
    </cfRule>
  </conditionalFormatting>
  <conditionalFormatting sqref="AG83">
    <cfRule type="expression" dxfId="12185" priority="14199" stopIfTrue="1">
      <formula>$G82=""</formula>
    </cfRule>
  </conditionalFormatting>
  <conditionalFormatting sqref="AF83:AK83">
    <cfRule type="expression" dxfId="12184" priority="14198">
      <formula>$C$43&gt;0</formula>
    </cfRule>
  </conditionalFormatting>
  <conditionalFormatting sqref="AM82:AN83">
    <cfRule type="expression" dxfId="12183" priority="14197">
      <formula>$G82=""</formula>
    </cfRule>
  </conditionalFormatting>
  <conditionalFormatting sqref="AM84:AN84">
    <cfRule type="expression" dxfId="12182" priority="14196" stopIfTrue="1">
      <formula>$G82=""</formula>
    </cfRule>
  </conditionalFormatting>
  <conditionalFormatting sqref="T84">
    <cfRule type="expression" dxfId="12181" priority="14218" stopIfTrue="1">
      <formula>$N85="BAM"</formula>
    </cfRule>
  </conditionalFormatting>
  <conditionalFormatting sqref="U84:AE84">
    <cfRule type="expression" dxfId="12180" priority="14195" stopIfTrue="1">
      <formula>$N85="BAM"</formula>
    </cfRule>
  </conditionalFormatting>
  <conditionalFormatting sqref="AG85:AL85">
    <cfRule type="expression" dxfId="12179" priority="14219" stopIfTrue="1">
      <formula>$N85="BAM"</formula>
    </cfRule>
  </conditionalFormatting>
  <conditionalFormatting sqref="AX88">
    <cfRule type="expression" dxfId="12178" priority="14185">
      <formula>$E88=""</formula>
    </cfRule>
  </conditionalFormatting>
  <conditionalFormatting sqref="AX87">
    <cfRule type="expression" dxfId="12177" priority="14184">
      <formula>$E87=""</formula>
    </cfRule>
  </conditionalFormatting>
  <conditionalFormatting sqref="AX89">
    <cfRule type="expression" dxfId="12176" priority="14183">
      <formula>#REF!=""</formula>
    </cfRule>
  </conditionalFormatting>
  <conditionalFormatting sqref="AX90">
    <cfRule type="expression" dxfId="12175" priority="14182">
      <formula>$E89=""</formula>
    </cfRule>
  </conditionalFormatting>
  <conditionalFormatting sqref="AY87:AZ90">
    <cfRule type="expression" dxfId="12174" priority="14181">
      <formula>$G87=""</formula>
    </cfRule>
  </conditionalFormatting>
  <conditionalFormatting sqref="G89">
    <cfRule type="expression" dxfId="12173" priority="14178" stopIfTrue="1">
      <formula>$G87=""</formula>
    </cfRule>
    <cfRule type="containsBlanks" dxfId="12172" priority="14179" stopIfTrue="1">
      <formula>LEN(TRIM(G89))=0</formula>
    </cfRule>
    <cfRule type="expression" dxfId="12171" priority="14180">
      <formula>OR($M89=0,$HH88=FALSE)</formula>
    </cfRule>
  </conditionalFormatting>
  <conditionalFormatting sqref="AO89">
    <cfRule type="expression" dxfId="12170" priority="14177" stopIfTrue="1">
      <formula>$G87=""</formula>
    </cfRule>
  </conditionalFormatting>
  <conditionalFormatting sqref="AU87:AU90">
    <cfRule type="expression" dxfId="12169" priority="14174" stopIfTrue="1">
      <formula>$C$43=2</formula>
    </cfRule>
    <cfRule type="cellIs" dxfId="12168" priority="14175" operator="equal">
      <formula>"Yes"</formula>
    </cfRule>
    <cfRule type="cellIs" dxfId="12167" priority="14176" operator="equal">
      <formula>"No"</formula>
    </cfRule>
  </conditionalFormatting>
  <conditionalFormatting sqref="AO87:AO88">
    <cfRule type="expression" dxfId="12166" priority="14173">
      <formula>$G87=""</formula>
    </cfRule>
  </conditionalFormatting>
  <conditionalFormatting sqref="AP87 AR87:AS90">
    <cfRule type="expression" dxfId="12165" priority="14172">
      <formula>$G87=""</formula>
    </cfRule>
  </conditionalFormatting>
  <conditionalFormatting sqref="AW87:AW90">
    <cfRule type="expression" dxfId="12164" priority="14171">
      <formula>$G87=""</formula>
    </cfRule>
  </conditionalFormatting>
  <conditionalFormatting sqref="G88:L88">
    <cfRule type="expression" dxfId="12163" priority="14169" stopIfTrue="1">
      <formula>$G87=""</formula>
    </cfRule>
    <cfRule type="containsBlanks" dxfId="12162" priority="14170">
      <formula>LEN(TRIM(G88))=0</formula>
    </cfRule>
  </conditionalFormatting>
  <conditionalFormatting sqref="R89">
    <cfRule type="expression" dxfId="12161" priority="14166">
      <formula>$N90="BAM"</formula>
    </cfRule>
    <cfRule type="expression" dxfId="12160" priority="14167" stopIfTrue="1">
      <formula>$G87=""</formula>
    </cfRule>
    <cfRule type="containsBlanks" dxfId="12159" priority="14168">
      <formula>LEN(TRIM(R89))=0</formula>
    </cfRule>
  </conditionalFormatting>
  <conditionalFormatting sqref="R89">
    <cfRule type="expression" dxfId="12158" priority="14165">
      <formula>$C$43=0</formula>
    </cfRule>
  </conditionalFormatting>
  <conditionalFormatting sqref="E90:F90">
    <cfRule type="expression" dxfId="12157" priority="14164">
      <formula>$CQ87="Exterior"</formula>
    </cfRule>
  </conditionalFormatting>
  <conditionalFormatting sqref="G90">
    <cfRule type="expression" dxfId="12156" priority="14154" stopIfTrue="1">
      <formula>$G87=""</formula>
    </cfRule>
  </conditionalFormatting>
  <conditionalFormatting sqref="G90">
    <cfRule type="expression" dxfId="12155" priority="14156" stopIfTrue="1">
      <formula>$CQ87="Exterior"</formula>
    </cfRule>
  </conditionalFormatting>
  <conditionalFormatting sqref="G90:L90">
    <cfRule type="expression" dxfId="12154" priority="14155" stopIfTrue="1">
      <formula>$N90="BAM"</formula>
    </cfRule>
    <cfRule type="containsBlanks" dxfId="12153" priority="14157" stopIfTrue="1">
      <formula>LEN(TRIM(G90))=0</formula>
    </cfRule>
    <cfRule type="expression" dxfId="12152" priority="14159">
      <formula>$HQ88=FALSE</formula>
    </cfRule>
  </conditionalFormatting>
  <conditionalFormatting sqref="G90:L90">
    <cfRule type="expression" dxfId="12151" priority="14158" stopIfTrue="1">
      <formula>$AG89=""</formula>
    </cfRule>
  </conditionalFormatting>
  <conditionalFormatting sqref="G89:L89">
    <cfRule type="expression" dxfId="12150" priority="14152" stopIfTrue="1">
      <formula>$N90="BAM"</formula>
    </cfRule>
  </conditionalFormatting>
  <conditionalFormatting sqref="G87:R87">
    <cfRule type="containsBlanks" dxfId="12149" priority="14151">
      <formula>LEN(TRIM(G87))=0</formula>
    </cfRule>
  </conditionalFormatting>
  <conditionalFormatting sqref="AF89">
    <cfRule type="expression" dxfId="12148" priority="14141" stopIfTrue="1">
      <formula>$G87=""</formula>
    </cfRule>
    <cfRule type="expression" dxfId="12147" priority="14142" stopIfTrue="1">
      <formula>$N90="BAM"</formula>
    </cfRule>
    <cfRule type="expression" dxfId="12146" priority="14150">
      <formula>$AF$49&gt;$T$49</formula>
    </cfRule>
  </conditionalFormatting>
  <conditionalFormatting sqref="AC90:AE90">
    <cfRule type="expression" dxfId="12145" priority="14147" stopIfTrue="1">
      <formula>$G87=""</formula>
    </cfRule>
  </conditionalFormatting>
  <conditionalFormatting sqref="T89:U89">
    <cfRule type="expression" dxfId="12144" priority="14114" stopIfTrue="1">
      <formula>$G87=""</formula>
    </cfRule>
  </conditionalFormatting>
  <conditionalFormatting sqref="T89:U89">
    <cfRule type="containsBlanks" dxfId="12143" priority="14144" stopIfTrue="1">
      <formula>LEN(TRIM(T89))=0</formula>
    </cfRule>
  </conditionalFormatting>
  <conditionalFormatting sqref="AC87:AE87">
    <cfRule type="expression" dxfId="12142" priority="14143">
      <formula>$G87=""</formula>
    </cfRule>
  </conditionalFormatting>
  <conditionalFormatting sqref="AF89 AG90">
    <cfRule type="containsBlanks" dxfId="12141" priority="14148" stopIfTrue="1">
      <formula>LEN(TRIM(AF89))=0</formula>
    </cfRule>
  </conditionalFormatting>
  <conditionalFormatting sqref="AF89">
    <cfRule type="expression" dxfId="12140" priority="14149">
      <formula>OR($HS88=FALSE,$HT88=FALSE)</formula>
    </cfRule>
  </conditionalFormatting>
  <conditionalFormatting sqref="AG90">
    <cfRule type="expression" dxfId="12139" priority="14107">
      <formula>$C$43&gt;0</formula>
    </cfRule>
  </conditionalFormatting>
  <conditionalFormatting sqref="AG90">
    <cfRule type="expression" dxfId="12138" priority="14140" stopIfTrue="1">
      <formula>$G87=""</formula>
    </cfRule>
  </conditionalFormatting>
  <conditionalFormatting sqref="U89">
    <cfRule type="expression" dxfId="12137" priority="14145">
      <formula>OR($HK88=FALSE,$HL88=FALSE)</formula>
    </cfRule>
  </conditionalFormatting>
  <conditionalFormatting sqref="T88:U88">
    <cfRule type="expression" dxfId="12136" priority="14135" stopIfTrue="1">
      <formula>$C$43&lt;&gt;0</formula>
    </cfRule>
    <cfRule type="containsBlanks" dxfId="12135" priority="14136" stopIfTrue="1">
      <formula>LEN(TRIM(T88))=0</formula>
    </cfRule>
  </conditionalFormatting>
  <conditionalFormatting sqref="T88:U88">
    <cfRule type="expression" dxfId="12134" priority="14134" stopIfTrue="1">
      <formula>$G87=""</formula>
    </cfRule>
  </conditionalFormatting>
  <conditionalFormatting sqref="U88">
    <cfRule type="expression" dxfId="12133" priority="14137">
      <formula>$HJ88=FALSE</formula>
    </cfRule>
  </conditionalFormatting>
  <conditionalFormatting sqref="AG89">
    <cfRule type="expression" dxfId="12132" priority="14125" stopIfTrue="1">
      <formula>$G87=""</formula>
    </cfRule>
  </conditionalFormatting>
  <conditionalFormatting sqref="AG89:AL89">
    <cfRule type="expression" dxfId="12131" priority="14126">
      <formula>$N90="BAM"</formula>
    </cfRule>
    <cfRule type="expression" dxfId="12130" priority="14130">
      <formula>OR($HU88=FALSE,$HQ88=FALSE)</formula>
    </cfRule>
  </conditionalFormatting>
  <conditionalFormatting sqref="AG89">
    <cfRule type="containsBlanks" dxfId="12129" priority="14127" stopIfTrue="1">
      <formula>LEN(TRIM(AG89))=0</formula>
    </cfRule>
    <cfRule type="expression" dxfId="12128" priority="14128">
      <formula>OR($HP88=FALSE,$HR88=FALSE)</formula>
    </cfRule>
    <cfRule type="expression" dxfId="12127" priority="14129">
      <formula>OR($DS87=7,$DS87=8,$DS87=9)</formula>
    </cfRule>
  </conditionalFormatting>
  <conditionalFormatting sqref="AG87:AL87">
    <cfRule type="expression" dxfId="12126" priority="14124">
      <formula>$C$43&lt;&gt;0</formula>
    </cfRule>
  </conditionalFormatting>
  <conditionalFormatting sqref="AF88">
    <cfRule type="containsBlanks" dxfId="12125" priority="14123">
      <formula>LEN(TRIM(AF88))=0</formula>
    </cfRule>
  </conditionalFormatting>
  <conditionalFormatting sqref="AF88">
    <cfRule type="expression" dxfId="12124" priority="14122" stopIfTrue="1">
      <formula>$G87=""</formula>
    </cfRule>
  </conditionalFormatting>
  <conditionalFormatting sqref="AG88">
    <cfRule type="containsBlanks" dxfId="12123" priority="14120">
      <formula>LEN(TRIM(AG88))=0</formula>
    </cfRule>
    <cfRule type="expression" dxfId="12122" priority="14121">
      <formula>$HO88=FALSE</formula>
    </cfRule>
  </conditionalFormatting>
  <conditionalFormatting sqref="AG88">
    <cfRule type="expression" dxfId="12121" priority="14119" stopIfTrue="1">
      <formula>$G87=""</formula>
    </cfRule>
  </conditionalFormatting>
  <conditionalFormatting sqref="AF88:AK88">
    <cfRule type="expression" dxfId="12120" priority="14118">
      <formula>$C$43&gt;0</formula>
    </cfRule>
  </conditionalFormatting>
  <conditionalFormatting sqref="AM87:AN88">
    <cfRule type="expression" dxfId="12119" priority="14117">
      <formula>$G87=""</formula>
    </cfRule>
  </conditionalFormatting>
  <conditionalFormatting sqref="AM89:AN89">
    <cfRule type="expression" dxfId="12118" priority="14116" stopIfTrue="1">
      <formula>$G87=""</formula>
    </cfRule>
  </conditionalFormatting>
  <conditionalFormatting sqref="T89">
    <cfRule type="expression" dxfId="12117" priority="14138" stopIfTrue="1">
      <formula>$N90="BAM"</formula>
    </cfRule>
  </conditionalFormatting>
  <conditionalFormatting sqref="U89:AE89">
    <cfRule type="expression" dxfId="12116" priority="14115" stopIfTrue="1">
      <formula>$N90="BAM"</formula>
    </cfRule>
  </conditionalFormatting>
  <conditionalFormatting sqref="AG90:AL90">
    <cfRule type="expression" dxfId="12115" priority="14139" stopIfTrue="1">
      <formula>$N90="BAM"</formula>
    </cfRule>
  </conditionalFormatting>
  <conditionalFormatting sqref="AX96">
    <cfRule type="expression" dxfId="12114" priority="14105">
      <formula>$E96=""</formula>
    </cfRule>
  </conditionalFormatting>
  <conditionalFormatting sqref="AX95">
    <cfRule type="expression" dxfId="12113" priority="14104">
      <formula>$E95=""</formula>
    </cfRule>
  </conditionalFormatting>
  <conditionalFormatting sqref="AX97">
    <cfRule type="expression" dxfId="12112" priority="14103">
      <formula>#REF!=""</formula>
    </cfRule>
  </conditionalFormatting>
  <conditionalFormatting sqref="AX98">
    <cfRule type="expression" dxfId="12111" priority="14102">
      <formula>$E97=""</formula>
    </cfRule>
  </conditionalFormatting>
  <conditionalFormatting sqref="AY95:AZ98">
    <cfRule type="expression" dxfId="12110" priority="14101">
      <formula>$G95=""</formula>
    </cfRule>
  </conditionalFormatting>
  <conditionalFormatting sqref="G97">
    <cfRule type="expression" dxfId="12109" priority="14098" stopIfTrue="1">
      <formula>$G95=""</formula>
    </cfRule>
    <cfRule type="containsBlanks" dxfId="12108" priority="14099" stopIfTrue="1">
      <formula>LEN(TRIM(G97))=0</formula>
    </cfRule>
    <cfRule type="expression" dxfId="12107" priority="14100">
      <formula>OR($M97=0,$HH96=FALSE)</formula>
    </cfRule>
  </conditionalFormatting>
  <conditionalFormatting sqref="AO97">
    <cfRule type="expression" dxfId="12106" priority="14097" stopIfTrue="1">
      <formula>$G95=""</formula>
    </cfRule>
  </conditionalFormatting>
  <conditionalFormatting sqref="AU95:AU98">
    <cfRule type="expression" dxfId="12105" priority="14094" stopIfTrue="1">
      <formula>$C$43=2</formula>
    </cfRule>
    <cfRule type="cellIs" dxfId="12104" priority="14095" operator="equal">
      <formula>"Yes"</formula>
    </cfRule>
    <cfRule type="cellIs" dxfId="12103" priority="14096" operator="equal">
      <formula>"No"</formula>
    </cfRule>
  </conditionalFormatting>
  <conditionalFormatting sqref="AO95:AO96">
    <cfRule type="expression" dxfId="12102" priority="14093">
      <formula>$G95=""</formula>
    </cfRule>
  </conditionalFormatting>
  <conditionalFormatting sqref="AP95 AR95:AS98">
    <cfRule type="expression" dxfId="12101" priority="14092">
      <formula>$G95=""</formula>
    </cfRule>
  </conditionalFormatting>
  <conditionalFormatting sqref="AW95:AW98">
    <cfRule type="expression" dxfId="12100" priority="14091">
      <formula>$G95=""</formula>
    </cfRule>
  </conditionalFormatting>
  <conditionalFormatting sqref="G96:L96">
    <cfRule type="expression" dxfId="12099" priority="14089" stopIfTrue="1">
      <formula>$G95=""</formula>
    </cfRule>
    <cfRule type="containsBlanks" dxfId="12098" priority="14090">
      <formula>LEN(TRIM(G96))=0</formula>
    </cfRule>
  </conditionalFormatting>
  <conditionalFormatting sqref="R97">
    <cfRule type="expression" dxfId="12097" priority="14086">
      <formula>$N98="BAM"</formula>
    </cfRule>
    <cfRule type="expression" dxfId="12096" priority="14087" stopIfTrue="1">
      <formula>$G95=""</formula>
    </cfRule>
    <cfRule type="containsBlanks" dxfId="12095" priority="14088">
      <formula>LEN(TRIM(R97))=0</formula>
    </cfRule>
  </conditionalFormatting>
  <conditionalFormatting sqref="R97">
    <cfRule type="expression" dxfId="12094" priority="14085">
      <formula>$C$43=0</formula>
    </cfRule>
  </conditionalFormatting>
  <conditionalFormatting sqref="E98:F98">
    <cfRule type="expression" dxfId="12093" priority="14084">
      <formula>$CQ95="Exterior"</formula>
    </cfRule>
  </conditionalFormatting>
  <conditionalFormatting sqref="G98">
    <cfRule type="expression" dxfId="12092" priority="14074" stopIfTrue="1">
      <formula>$G95=""</formula>
    </cfRule>
  </conditionalFormatting>
  <conditionalFormatting sqref="G98">
    <cfRule type="expression" dxfId="12091" priority="14076" stopIfTrue="1">
      <formula>$CQ95="Exterior"</formula>
    </cfRule>
  </conditionalFormatting>
  <conditionalFormatting sqref="G98:L98">
    <cfRule type="expression" dxfId="12090" priority="14075" stopIfTrue="1">
      <formula>$N98="BAM"</formula>
    </cfRule>
    <cfRule type="containsBlanks" dxfId="12089" priority="14077" stopIfTrue="1">
      <formula>LEN(TRIM(G98))=0</formula>
    </cfRule>
    <cfRule type="expression" dxfId="12088" priority="14079">
      <formula>$HQ96=FALSE</formula>
    </cfRule>
  </conditionalFormatting>
  <conditionalFormatting sqref="G98:L98">
    <cfRule type="expression" dxfId="12087" priority="14078" stopIfTrue="1">
      <formula>$AG97=""</formula>
    </cfRule>
  </conditionalFormatting>
  <conditionalFormatting sqref="G97:L97">
    <cfRule type="expression" dxfId="12086" priority="14072" stopIfTrue="1">
      <formula>$N98="BAM"</formula>
    </cfRule>
  </conditionalFormatting>
  <conditionalFormatting sqref="G95:R95">
    <cfRule type="containsBlanks" dxfId="12085" priority="14071">
      <formula>LEN(TRIM(G95))=0</formula>
    </cfRule>
  </conditionalFormatting>
  <conditionalFormatting sqref="AF97">
    <cfRule type="expression" dxfId="12084" priority="14061" stopIfTrue="1">
      <formula>$G95=""</formula>
    </cfRule>
    <cfRule type="expression" dxfId="12083" priority="14062" stopIfTrue="1">
      <formula>$N98="BAM"</formula>
    </cfRule>
    <cfRule type="expression" dxfId="12082" priority="14070">
      <formula>$AF$49&gt;$T$49</formula>
    </cfRule>
  </conditionalFormatting>
  <conditionalFormatting sqref="AC98:AE98">
    <cfRule type="expression" dxfId="12081" priority="14067" stopIfTrue="1">
      <formula>$G95=""</formula>
    </cfRule>
  </conditionalFormatting>
  <conditionalFormatting sqref="T97:U97">
    <cfRule type="expression" dxfId="12080" priority="14034" stopIfTrue="1">
      <formula>$G95=""</formula>
    </cfRule>
  </conditionalFormatting>
  <conditionalFormatting sqref="T97:U97">
    <cfRule type="containsBlanks" dxfId="12079" priority="14064" stopIfTrue="1">
      <formula>LEN(TRIM(T97))=0</formula>
    </cfRule>
  </conditionalFormatting>
  <conditionalFormatting sqref="AC95:AE95">
    <cfRule type="expression" dxfId="12078" priority="14063">
      <formula>$G95=""</formula>
    </cfRule>
  </conditionalFormatting>
  <conditionalFormatting sqref="AF97 AG98">
    <cfRule type="containsBlanks" dxfId="12077" priority="14068" stopIfTrue="1">
      <formula>LEN(TRIM(AF97))=0</formula>
    </cfRule>
  </conditionalFormatting>
  <conditionalFormatting sqref="AF97">
    <cfRule type="expression" dxfId="12076" priority="14069">
      <formula>OR($HS96=FALSE,$HT96=FALSE)</formula>
    </cfRule>
  </conditionalFormatting>
  <conditionalFormatting sqref="AG98">
    <cfRule type="expression" dxfId="12075" priority="14027">
      <formula>$C$43&gt;0</formula>
    </cfRule>
  </conditionalFormatting>
  <conditionalFormatting sqref="AG98">
    <cfRule type="expression" dxfId="12074" priority="14060" stopIfTrue="1">
      <formula>$G95=""</formula>
    </cfRule>
  </conditionalFormatting>
  <conditionalFormatting sqref="U97">
    <cfRule type="expression" dxfId="12073" priority="14065">
      <formula>OR($HK96=FALSE,$HL96=FALSE)</formula>
    </cfRule>
  </conditionalFormatting>
  <conditionalFormatting sqref="T96:U96">
    <cfRule type="expression" dxfId="12072" priority="14055" stopIfTrue="1">
      <formula>$C$43&lt;&gt;0</formula>
    </cfRule>
    <cfRule type="containsBlanks" dxfId="12071" priority="14056" stopIfTrue="1">
      <formula>LEN(TRIM(T96))=0</formula>
    </cfRule>
  </conditionalFormatting>
  <conditionalFormatting sqref="T96:U96">
    <cfRule type="expression" dxfId="12070" priority="14054" stopIfTrue="1">
      <formula>$G95=""</formula>
    </cfRule>
  </conditionalFormatting>
  <conditionalFormatting sqref="U96">
    <cfRule type="expression" dxfId="12069" priority="14057">
      <formula>$HJ96=FALSE</formula>
    </cfRule>
  </conditionalFormatting>
  <conditionalFormatting sqref="AG97">
    <cfRule type="expression" dxfId="12068" priority="14045" stopIfTrue="1">
      <formula>$G95=""</formula>
    </cfRule>
  </conditionalFormatting>
  <conditionalFormatting sqref="AG97:AL97">
    <cfRule type="expression" dxfId="12067" priority="14046">
      <formula>$N98="BAM"</formula>
    </cfRule>
    <cfRule type="expression" dxfId="12066" priority="14050">
      <formula>OR($HU96=FALSE,$HQ96=FALSE)</formula>
    </cfRule>
  </conditionalFormatting>
  <conditionalFormatting sqref="AG97">
    <cfRule type="containsBlanks" dxfId="12065" priority="14047" stopIfTrue="1">
      <formula>LEN(TRIM(AG97))=0</formula>
    </cfRule>
    <cfRule type="expression" dxfId="12064" priority="14048">
      <formula>OR($HP96=FALSE,$HR96=FALSE)</formula>
    </cfRule>
    <cfRule type="expression" dxfId="12063" priority="14049">
      <formula>OR($DS95=7,$DS95=8,$DS95=9)</formula>
    </cfRule>
  </conditionalFormatting>
  <conditionalFormatting sqref="AG95:AL95">
    <cfRule type="expression" dxfId="12062" priority="14044">
      <formula>$C$43&lt;&gt;0</formula>
    </cfRule>
  </conditionalFormatting>
  <conditionalFormatting sqref="AF96">
    <cfRule type="containsBlanks" dxfId="12061" priority="14043">
      <formula>LEN(TRIM(AF96))=0</formula>
    </cfRule>
  </conditionalFormatting>
  <conditionalFormatting sqref="AF96">
    <cfRule type="expression" dxfId="12060" priority="14042" stopIfTrue="1">
      <formula>$G95=""</formula>
    </cfRule>
  </conditionalFormatting>
  <conditionalFormatting sqref="AG96">
    <cfRule type="containsBlanks" dxfId="12059" priority="14040">
      <formula>LEN(TRIM(AG96))=0</formula>
    </cfRule>
    <cfRule type="expression" dxfId="12058" priority="14041">
      <formula>$HO96=FALSE</formula>
    </cfRule>
  </conditionalFormatting>
  <conditionalFormatting sqref="AG96">
    <cfRule type="expression" dxfId="12057" priority="14039" stopIfTrue="1">
      <formula>$G95=""</formula>
    </cfRule>
  </conditionalFormatting>
  <conditionalFormatting sqref="AF96:AK96">
    <cfRule type="expression" dxfId="12056" priority="14038">
      <formula>$C$43&gt;0</formula>
    </cfRule>
  </conditionalFormatting>
  <conditionalFormatting sqref="AM95:AN96">
    <cfRule type="expression" dxfId="12055" priority="14037">
      <formula>$G95=""</formula>
    </cfRule>
  </conditionalFormatting>
  <conditionalFormatting sqref="AM97:AN97">
    <cfRule type="expression" dxfId="12054" priority="14036" stopIfTrue="1">
      <formula>$G95=""</formula>
    </cfRule>
  </conditionalFormatting>
  <conditionalFormatting sqref="T97">
    <cfRule type="expression" dxfId="12053" priority="14058" stopIfTrue="1">
      <formula>$N98="BAM"</formula>
    </cfRule>
  </conditionalFormatting>
  <conditionalFormatting sqref="U97:AE97">
    <cfRule type="expression" dxfId="12052" priority="14035" stopIfTrue="1">
      <formula>$N98="BAM"</formula>
    </cfRule>
  </conditionalFormatting>
  <conditionalFormatting sqref="AG98:AL98">
    <cfRule type="expression" dxfId="12051" priority="14059" stopIfTrue="1">
      <formula>$N98="BAM"</formula>
    </cfRule>
  </conditionalFormatting>
  <conditionalFormatting sqref="AX101">
    <cfRule type="expression" dxfId="12050" priority="14025">
      <formula>$E101=""</formula>
    </cfRule>
  </conditionalFormatting>
  <conditionalFormatting sqref="AX100">
    <cfRule type="expression" dxfId="12049" priority="14024">
      <formula>$E100=""</formula>
    </cfRule>
  </conditionalFormatting>
  <conditionalFormatting sqref="AX102">
    <cfRule type="expression" dxfId="12048" priority="14023">
      <formula>#REF!=""</formula>
    </cfRule>
  </conditionalFormatting>
  <conditionalFormatting sqref="AX103">
    <cfRule type="expression" dxfId="12047" priority="14022">
      <formula>$E102=""</formula>
    </cfRule>
  </conditionalFormatting>
  <conditionalFormatting sqref="AY100:AZ103">
    <cfRule type="expression" dxfId="12046" priority="14021">
      <formula>$G100=""</formula>
    </cfRule>
  </conditionalFormatting>
  <conditionalFormatting sqref="G102">
    <cfRule type="expression" dxfId="12045" priority="14018" stopIfTrue="1">
      <formula>$G100=""</formula>
    </cfRule>
    <cfRule type="containsBlanks" dxfId="12044" priority="14019" stopIfTrue="1">
      <formula>LEN(TRIM(G102))=0</formula>
    </cfRule>
    <cfRule type="expression" dxfId="12043" priority="14020">
      <formula>OR($M102=0,$HH101=FALSE)</formula>
    </cfRule>
  </conditionalFormatting>
  <conditionalFormatting sqref="AO102">
    <cfRule type="expression" dxfId="12042" priority="14017" stopIfTrue="1">
      <formula>$G100=""</formula>
    </cfRule>
  </conditionalFormatting>
  <conditionalFormatting sqref="AU100:AU103">
    <cfRule type="expression" dxfId="12041" priority="14014" stopIfTrue="1">
      <formula>$C$43=2</formula>
    </cfRule>
    <cfRule type="cellIs" dxfId="12040" priority="14015" operator="equal">
      <formula>"Yes"</formula>
    </cfRule>
    <cfRule type="cellIs" dxfId="12039" priority="14016" operator="equal">
      <formula>"No"</formula>
    </cfRule>
  </conditionalFormatting>
  <conditionalFormatting sqref="AO100:AO101">
    <cfRule type="expression" dxfId="12038" priority="14013">
      <formula>$G100=""</formula>
    </cfRule>
  </conditionalFormatting>
  <conditionalFormatting sqref="AP100 AR100:AS103">
    <cfRule type="expression" dxfId="12037" priority="14012">
      <formula>$G100=""</formula>
    </cfRule>
  </conditionalFormatting>
  <conditionalFormatting sqref="AW100:AW103">
    <cfRule type="expression" dxfId="12036" priority="14011">
      <formula>$G100=""</formula>
    </cfRule>
  </conditionalFormatting>
  <conditionalFormatting sqref="G101:L101">
    <cfRule type="expression" dxfId="12035" priority="14009" stopIfTrue="1">
      <formula>$G100=""</formula>
    </cfRule>
    <cfRule type="containsBlanks" dxfId="12034" priority="14010">
      <formula>LEN(TRIM(G101))=0</formula>
    </cfRule>
  </conditionalFormatting>
  <conditionalFormatting sqref="R102">
    <cfRule type="expression" dxfId="12033" priority="14006">
      <formula>$N103="BAM"</formula>
    </cfRule>
    <cfRule type="expression" dxfId="12032" priority="14007" stopIfTrue="1">
      <formula>$G100=""</formula>
    </cfRule>
    <cfRule type="containsBlanks" dxfId="12031" priority="14008">
      <formula>LEN(TRIM(R102))=0</formula>
    </cfRule>
  </conditionalFormatting>
  <conditionalFormatting sqref="R102">
    <cfRule type="expression" dxfId="12030" priority="14005">
      <formula>$C$43=0</formula>
    </cfRule>
  </conditionalFormatting>
  <conditionalFormatting sqref="E103:F103">
    <cfRule type="expression" dxfId="12029" priority="14004">
      <formula>$CQ100="Exterior"</formula>
    </cfRule>
  </conditionalFormatting>
  <conditionalFormatting sqref="G103">
    <cfRule type="expression" dxfId="12028" priority="13994" stopIfTrue="1">
      <formula>$G100=""</formula>
    </cfRule>
  </conditionalFormatting>
  <conditionalFormatting sqref="G103">
    <cfRule type="expression" dxfId="12027" priority="13996" stopIfTrue="1">
      <formula>$CQ100="Exterior"</formula>
    </cfRule>
  </conditionalFormatting>
  <conditionalFormatting sqref="G103:L103">
    <cfRule type="expression" dxfId="12026" priority="13995" stopIfTrue="1">
      <formula>$N103="BAM"</formula>
    </cfRule>
    <cfRule type="containsBlanks" dxfId="12025" priority="13997" stopIfTrue="1">
      <formula>LEN(TRIM(G103))=0</formula>
    </cfRule>
    <cfRule type="expression" dxfId="12024" priority="13999">
      <formula>$HQ101=FALSE</formula>
    </cfRule>
  </conditionalFormatting>
  <conditionalFormatting sqref="G103:L103">
    <cfRule type="expression" dxfId="12023" priority="13998" stopIfTrue="1">
      <formula>$AG102=""</formula>
    </cfRule>
  </conditionalFormatting>
  <conditionalFormatting sqref="G102:L102">
    <cfRule type="expression" dxfId="12022" priority="13992" stopIfTrue="1">
      <formula>$N103="BAM"</formula>
    </cfRule>
  </conditionalFormatting>
  <conditionalFormatting sqref="G100:R100">
    <cfRule type="containsBlanks" dxfId="12021" priority="13991">
      <formula>LEN(TRIM(G100))=0</formula>
    </cfRule>
  </conditionalFormatting>
  <conditionalFormatting sqref="AF102">
    <cfRule type="expression" dxfId="12020" priority="13981" stopIfTrue="1">
      <formula>$G100=""</formula>
    </cfRule>
    <cfRule type="expression" dxfId="12019" priority="13982" stopIfTrue="1">
      <formula>$N103="BAM"</formula>
    </cfRule>
    <cfRule type="expression" dxfId="12018" priority="13990">
      <formula>$AF$49&gt;$T$49</formula>
    </cfRule>
  </conditionalFormatting>
  <conditionalFormatting sqref="AC103:AE103">
    <cfRule type="expression" dxfId="12017" priority="13987" stopIfTrue="1">
      <formula>$G100=""</formula>
    </cfRule>
  </conditionalFormatting>
  <conditionalFormatting sqref="T102:U102">
    <cfRule type="expression" dxfId="12016" priority="13954" stopIfTrue="1">
      <formula>$G100=""</formula>
    </cfRule>
  </conditionalFormatting>
  <conditionalFormatting sqref="T102:U102">
    <cfRule type="containsBlanks" dxfId="12015" priority="13984" stopIfTrue="1">
      <formula>LEN(TRIM(T102))=0</formula>
    </cfRule>
  </conditionalFormatting>
  <conditionalFormatting sqref="AC100:AE100">
    <cfRule type="expression" dxfId="12014" priority="13983">
      <formula>$G100=""</formula>
    </cfRule>
  </conditionalFormatting>
  <conditionalFormatting sqref="AF102 AG103">
    <cfRule type="containsBlanks" dxfId="12013" priority="13988" stopIfTrue="1">
      <formula>LEN(TRIM(AF102))=0</formula>
    </cfRule>
  </conditionalFormatting>
  <conditionalFormatting sqref="AF102">
    <cfRule type="expression" dxfId="12012" priority="13989">
      <formula>OR($HS101=FALSE,$HT101=FALSE)</formula>
    </cfRule>
  </conditionalFormatting>
  <conditionalFormatting sqref="AG103">
    <cfRule type="expression" dxfId="12011" priority="13947">
      <formula>$C$43&gt;0</formula>
    </cfRule>
  </conditionalFormatting>
  <conditionalFormatting sqref="AG103">
    <cfRule type="expression" dxfId="12010" priority="13980" stopIfTrue="1">
      <formula>$G100=""</formula>
    </cfRule>
  </conditionalFormatting>
  <conditionalFormatting sqref="U102">
    <cfRule type="expression" dxfId="12009" priority="13985">
      <formula>OR($HK101=FALSE,$HL101=FALSE)</formula>
    </cfRule>
  </conditionalFormatting>
  <conditionalFormatting sqref="T101:U101">
    <cfRule type="expression" dxfId="12008" priority="13975" stopIfTrue="1">
      <formula>$C$43&lt;&gt;0</formula>
    </cfRule>
    <cfRule type="containsBlanks" dxfId="12007" priority="13976" stopIfTrue="1">
      <formula>LEN(TRIM(T101))=0</formula>
    </cfRule>
  </conditionalFormatting>
  <conditionalFormatting sqref="T101:U101">
    <cfRule type="expression" dxfId="12006" priority="13974" stopIfTrue="1">
      <formula>$G100=""</formula>
    </cfRule>
  </conditionalFormatting>
  <conditionalFormatting sqref="U101">
    <cfRule type="expression" dxfId="12005" priority="13977">
      <formula>$HJ101=FALSE</formula>
    </cfRule>
  </conditionalFormatting>
  <conditionalFormatting sqref="AG102">
    <cfRule type="expression" dxfId="12004" priority="13965" stopIfTrue="1">
      <formula>$G100=""</formula>
    </cfRule>
  </conditionalFormatting>
  <conditionalFormatting sqref="AG102:AL102">
    <cfRule type="expression" dxfId="12003" priority="13966">
      <formula>$N103="BAM"</formula>
    </cfRule>
    <cfRule type="expression" dxfId="12002" priority="13970">
      <formula>OR($HU101=FALSE,$HQ101=FALSE)</formula>
    </cfRule>
  </conditionalFormatting>
  <conditionalFormatting sqref="AG102">
    <cfRule type="containsBlanks" dxfId="12001" priority="13967" stopIfTrue="1">
      <formula>LEN(TRIM(AG102))=0</formula>
    </cfRule>
    <cfRule type="expression" dxfId="12000" priority="13968">
      <formula>OR($HP101=FALSE,$HR101=FALSE)</formula>
    </cfRule>
    <cfRule type="expression" dxfId="11999" priority="13969">
      <formula>OR($DS100=7,$DS100=8,$DS100=9)</formula>
    </cfRule>
  </conditionalFormatting>
  <conditionalFormatting sqref="AG100:AL100">
    <cfRule type="expression" dxfId="11998" priority="13964">
      <formula>$C$43&lt;&gt;0</formula>
    </cfRule>
  </conditionalFormatting>
  <conditionalFormatting sqref="AF101">
    <cfRule type="containsBlanks" dxfId="11997" priority="13963">
      <formula>LEN(TRIM(AF101))=0</formula>
    </cfRule>
  </conditionalFormatting>
  <conditionalFormatting sqref="AF101">
    <cfRule type="expression" dxfId="11996" priority="13962" stopIfTrue="1">
      <formula>$G100=""</formula>
    </cfRule>
  </conditionalFormatting>
  <conditionalFormatting sqref="AG101">
    <cfRule type="containsBlanks" dxfId="11995" priority="13960">
      <formula>LEN(TRIM(AG101))=0</formula>
    </cfRule>
    <cfRule type="expression" dxfId="11994" priority="13961">
      <formula>$HO101=FALSE</formula>
    </cfRule>
  </conditionalFormatting>
  <conditionalFormatting sqref="AG101">
    <cfRule type="expression" dxfId="11993" priority="13959" stopIfTrue="1">
      <formula>$G100=""</formula>
    </cfRule>
  </conditionalFormatting>
  <conditionalFormatting sqref="AF101:AK101">
    <cfRule type="expression" dxfId="11992" priority="13958">
      <formula>$C$43&gt;0</formula>
    </cfRule>
  </conditionalFormatting>
  <conditionalFormatting sqref="AM100:AN101">
    <cfRule type="expression" dxfId="11991" priority="13957">
      <formula>$G100=""</formula>
    </cfRule>
  </conditionalFormatting>
  <conditionalFormatting sqref="AM102:AN102">
    <cfRule type="expression" dxfId="11990" priority="13956" stopIfTrue="1">
      <formula>$G100=""</formula>
    </cfRule>
  </conditionalFormatting>
  <conditionalFormatting sqref="T102">
    <cfRule type="expression" dxfId="11989" priority="13978" stopIfTrue="1">
      <formula>$N103="BAM"</formula>
    </cfRule>
  </conditionalFormatting>
  <conditionalFormatting sqref="U102:AE102">
    <cfRule type="expression" dxfId="11988" priority="13955" stopIfTrue="1">
      <formula>$N103="BAM"</formula>
    </cfRule>
  </conditionalFormatting>
  <conditionalFormatting sqref="AG103:AL103">
    <cfRule type="expression" dxfId="11987" priority="13979" stopIfTrue="1">
      <formula>$N103="BAM"</formula>
    </cfRule>
  </conditionalFormatting>
  <conditionalFormatting sqref="AX106">
    <cfRule type="expression" dxfId="11986" priority="13945">
      <formula>$E106=""</formula>
    </cfRule>
  </conditionalFormatting>
  <conditionalFormatting sqref="AX105">
    <cfRule type="expression" dxfId="11985" priority="13944">
      <formula>$E105=""</formula>
    </cfRule>
  </conditionalFormatting>
  <conditionalFormatting sqref="AX107">
    <cfRule type="expression" dxfId="11984" priority="13943">
      <formula>#REF!=""</formula>
    </cfRule>
  </conditionalFormatting>
  <conditionalFormatting sqref="AX108">
    <cfRule type="expression" dxfId="11983" priority="13942">
      <formula>$E107=""</formula>
    </cfRule>
  </conditionalFormatting>
  <conditionalFormatting sqref="AY105:AZ108">
    <cfRule type="expression" dxfId="11982" priority="13941">
      <formula>$G105=""</formula>
    </cfRule>
  </conditionalFormatting>
  <conditionalFormatting sqref="G107">
    <cfRule type="expression" dxfId="11981" priority="13938" stopIfTrue="1">
      <formula>$G105=""</formula>
    </cfRule>
    <cfRule type="containsBlanks" dxfId="11980" priority="13939" stopIfTrue="1">
      <formula>LEN(TRIM(G107))=0</formula>
    </cfRule>
    <cfRule type="expression" dxfId="11979" priority="13940">
      <formula>OR($M107=0,$HH106=FALSE)</formula>
    </cfRule>
  </conditionalFormatting>
  <conditionalFormatting sqref="AO107">
    <cfRule type="expression" dxfId="11978" priority="13937" stopIfTrue="1">
      <formula>$G105=""</formula>
    </cfRule>
  </conditionalFormatting>
  <conditionalFormatting sqref="AU105:AU108">
    <cfRule type="expression" dxfId="11977" priority="13934" stopIfTrue="1">
      <formula>$C$43=2</formula>
    </cfRule>
    <cfRule type="cellIs" dxfId="11976" priority="13935" operator="equal">
      <formula>"Yes"</formula>
    </cfRule>
    <cfRule type="cellIs" dxfId="11975" priority="13936" operator="equal">
      <formula>"No"</formula>
    </cfRule>
  </conditionalFormatting>
  <conditionalFormatting sqref="AO105:AO106">
    <cfRule type="expression" dxfId="11974" priority="13933">
      <formula>$G105=""</formula>
    </cfRule>
  </conditionalFormatting>
  <conditionalFormatting sqref="AP105 AR105:AS108">
    <cfRule type="expression" dxfId="11973" priority="13932">
      <formula>$G105=""</formula>
    </cfRule>
  </conditionalFormatting>
  <conditionalFormatting sqref="AW105:AW108">
    <cfRule type="expression" dxfId="11972" priority="13931">
      <formula>$G105=""</formula>
    </cfRule>
  </conditionalFormatting>
  <conditionalFormatting sqref="G106:L106">
    <cfRule type="expression" dxfId="11971" priority="13929" stopIfTrue="1">
      <formula>$G105=""</formula>
    </cfRule>
    <cfRule type="containsBlanks" dxfId="11970" priority="13930">
      <formula>LEN(TRIM(G106))=0</formula>
    </cfRule>
  </conditionalFormatting>
  <conditionalFormatting sqref="R107">
    <cfRule type="expression" dxfId="11969" priority="13926">
      <formula>$N108="BAM"</formula>
    </cfRule>
    <cfRule type="expression" dxfId="11968" priority="13927" stopIfTrue="1">
      <formula>$G105=""</formula>
    </cfRule>
    <cfRule type="containsBlanks" dxfId="11967" priority="13928">
      <formula>LEN(TRIM(R107))=0</formula>
    </cfRule>
  </conditionalFormatting>
  <conditionalFormatting sqref="R107">
    <cfRule type="expression" dxfId="11966" priority="13925">
      <formula>$C$43=0</formula>
    </cfRule>
  </conditionalFormatting>
  <conditionalFormatting sqref="E108:F108">
    <cfRule type="expression" dxfId="11965" priority="13924">
      <formula>$CQ105="Exterior"</formula>
    </cfRule>
  </conditionalFormatting>
  <conditionalFormatting sqref="G108">
    <cfRule type="expression" dxfId="11964" priority="13914" stopIfTrue="1">
      <formula>$G105=""</formula>
    </cfRule>
  </conditionalFormatting>
  <conditionalFormatting sqref="G108">
    <cfRule type="expression" dxfId="11963" priority="13916" stopIfTrue="1">
      <formula>$CQ105="Exterior"</formula>
    </cfRule>
  </conditionalFormatting>
  <conditionalFormatting sqref="G108:L108">
    <cfRule type="expression" dxfId="11962" priority="13915" stopIfTrue="1">
      <formula>$N108="BAM"</formula>
    </cfRule>
    <cfRule type="containsBlanks" dxfId="11961" priority="13917" stopIfTrue="1">
      <formula>LEN(TRIM(G108))=0</formula>
    </cfRule>
    <cfRule type="expression" dxfId="11960" priority="13919">
      <formula>$HQ106=FALSE</formula>
    </cfRule>
  </conditionalFormatting>
  <conditionalFormatting sqref="G108:L108">
    <cfRule type="expression" dxfId="11959" priority="13918" stopIfTrue="1">
      <formula>$AG107=""</formula>
    </cfRule>
  </conditionalFormatting>
  <conditionalFormatting sqref="G107:L107">
    <cfRule type="expression" dxfId="11958" priority="13912" stopIfTrue="1">
      <formula>$N108="BAM"</formula>
    </cfRule>
  </conditionalFormatting>
  <conditionalFormatting sqref="G105:R105">
    <cfRule type="containsBlanks" dxfId="11957" priority="13911">
      <formula>LEN(TRIM(G105))=0</formula>
    </cfRule>
  </conditionalFormatting>
  <conditionalFormatting sqref="AF107">
    <cfRule type="expression" dxfId="11956" priority="13901" stopIfTrue="1">
      <formula>$G105=""</formula>
    </cfRule>
    <cfRule type="expression" dxfId="11955" priority="13902" stopIfTrue="1">
      <formula>$N108="BAM"</formula>
    </cfRule>
    <cfRule type="expression" dxfId="11954" priority="13910">
      <formula>$AF$49&gt;$T$49</formula>
    </cfRule>
  </conditionalFormatting>
  <conditionalFormatting sqref="AC108:AE108">
    <cfRule type="expression" dxfId="11953" priority="13907" stopIfTrue="1">
      <formula>$G105=""</formula>
    </cfRule>
  </conditionalFormatting>
  <conditionalFormatting sqref="T107:U107">
    <cfRule type="expression" dxfId="11952" priority="13874" stopIfTrue="1">
      <formula>$G105=""</formula>
    </cfRule>
  </conditionalFormatting>
  <conditionalFormatting sqref="T107:U107">
    <cfRule type="containsBlanks" dxfId="11951" priority="13904" stopIfTrue="1">
      <formula>LEN(TRIM(T107))=0</formula>
    </cfRule>
  </conditionalFormatting>
  <conditionalFormatting sqref="AC105:AE105">
    <cfRule type="expression" dxfId="11950" priority="13903">
      <formula>$G105=""</formula>
    </cfRule>
  </conditionalFormatting>
  <conditionalFormatting sqref="AF107 AG108">
    <cfRule type="containsBlanks" dxfId="11949" priority="13908" stopIfTrue="1">
      <formula>LEN(TRIM(AF107))=0</formula>
    </cfRule>
  </conditionalFormatting>
  <conditionalFormatting sqref="AF107">
    <cfRule type="expression" dxfId="11948" priority="13909">
      <formula>OR($HS106=FALSE,$HT106=FALSE)</formula>
    </cfRule>
  </conditionalFormatting>
  <conditionalFormatting sqref="AG108">
    <cfRule type="expression" dxfId="11947" priority="13867">
      <formula>$C$43&gt;0</formula>
    </cfRule>
  </conditionalFormatting>
  <conditionalFormatting sqref="AG108">
    <cfRule type="expression" dxfId="11946" priority="13900" stopIfTrue="1">
      <formula>$G105=""</formula>
    </cfRule>
  </conditionalFormatting>
  <conditionalFormatting sqref="U107">
    <cfRule type="expression" dxfId="11945" priority="13905">
      <formula>OR($HK106=FALSE,$HL106=FALSE)</formula>
    </cfRule>
  </conditionalFormatting>
  <conditionalFormatting sqref="T106:U106">
    <cfRule type="expression" dxfId="11944" priority="13895" stopIfTrue="1">
      <formula>$C$43&lt;&gt;0</formula>
    </cfRule>
    <cfRule type="containsBlanks" dxfId="11943" priority="13896" stopIfTrue="1">
      <formula>LEN(TRIM(T106))=0</formula>
    </cfRule>
  </conditionalFormatting>
  <conditionalFormatting sqref="T106:U106">
    <cfRule type="expression" dxfId="11942" priority="13894" stopIfTrue="1">
      <formula>$G105=""</formula>
    </cfRule>
  </conditionalFormatting>
  <conditionalFormatting sqref="U106">
    <cfRule type="expression" dxfId="11941" priority="13897">
      <formula>$HJ106=FALSE</formula>
    </cfRule>
  </conditionalFormatting>
  <conditionalFormatting sqref="AG107">
    <cfRule type="expression" dxfId="11940" priority="13885" stopIfTrue="1">
      <formula>$G105=""</formula>
    </cfRule>
  </conditionalFormatting>
  <conditionalFormatting sqref="AG107:AL107">
    <cfRule type="expression" dxfId="11939" priority="13886">
      <formula>$N108="BAM"</formula>
    </cfRule>
    <cfRule type="expression" dxfId="11938" priority="13890">
      <formula>OR($HU106=FALSE,$HQ106=FALSE)</formula>
    </cfRule>
  </conditionalFormatting>
  <conditionalFormatting sqref="AG107">
    <cfRule type="containsBlanks" dxfId="11937" priority="13887" stopIfTrue="1">
      <formula>LEN(TRIM(AG107))=0</formula>
    </cfRule>
    <cfRule type="expression" dxfId="11936" priority="13888">
      <formula>OR($HP106=FALSE,$HR106=FALSE)</formula>
    </cfRule>
    <cfRule type="expression" dxfId="11935" priority="13889">
      <formula>OR($DS105=7,$DS105=8,$DS105=9)</formula>
    </cfRule>
  </conditionalFormatting>
  <conditionalFormatting sqref="AG105:AL105">
    <cfRule type="expression" dxfId="11934" priority="13884">
      <formula>$C$43&lt;&gt;0</formula>
    </cfRule>
  </conditionalFormatting>
  <conditionalFormatting sqref="AF106">
    <cfRule type="containsBlanks" dxfId="11933" priority="13883">
      <formula>LEN(TRIM(AF106))=0</formula>
    </cfRule>
  </conditionalFormatting>
  <conditionalFormatting sqref="AF106">
    <cfRule type="expression" dxfId="11932" priority="13882" stopIfTrue="1">
      <formula>$G105=""</formula>
    </cfRule>
  </conditionalFormatting>
  <conditionalFormatting sqref="AG106">
    <cfRule type="containsBlanks" dxfId="11931" priority="13880">
      <formula>LEN(TRIM(AG106))=0</formula>
    </cfRule>
    <cfRule type="expression" dxfId="11930" priority="13881">
      <formula>$HO106=FALSE</formula>
    </cfRule>
  </conditionalFormatting>
  <conditionalFormatting sqref="AG106">
    <cfRule type="expression" dxfId="11929" priority="13879" stopIfTrue="1">
      <formula>$G105=""</formula>
    </cfRule>
  </conditionalFormatting>
  <conditionalFormatting sqref="AF106:AK106">
    <cfRule type="expression" dxfId="11928" priority="13878">
      <formula>$C$43&gt;0</formula>
    </cfRule>
  </conditionalFormatting>
  <conditionalFormatting sqref="AM105:AN106">
    <cfRule type="expression" dxfId="11927" priority="13877">
      <formula>$G105=""</formula>
    </cfRule>
  </conditionalFormatting>
  <conditionalFormatting sqref="AM107:AN107">
    <cfRule type="expression" dxfId="11926" priority="13876" stopIfTrue="1">
      <formula>$G105=""</formula>
    </cfRule>
  </conditionalFormatting>
  <conditionalFormatting sqref="T107">
    <cfRule type="expression" dxfId="11925" priority="13898" stopIfTrue="1">
      <formula>$N108="BAM"</formula>
    </cfRule>
  </conditionalFormatting>
  <conditionalFormatting sqref="U107:AE107">
    <cfRule type="expression" dxfId="11924" priority="13875" stopIfTrue="1">
      <formula>$N108="BAM"</formula>
    </cfRule>
  </conditionalFormatting>
  <conditionalFormatting sqref="AG108:AL108">
    <cfRule type="expression" dxfId="11923" priority="13899" stopIfTrue="1">
      <formula>$N108="BAM"</formula>
    </cfRule>
  </conditionalFormatting>
  <conditionalFormatting sqref="AX111">
    <cfRule type="expression" dxfId="11922" priority="13865">
      <formula>$E111=""</formula>
    </cfRule>
  </conditionalFormatting>
  <conditionalFormatting sqref="AX110">
    <cfRule type="expression" dxfId="11921" priority="13864">
      <formula>$E110=""</formula>
    </cfRule>
  </conditionalFormatting>
  <conditionalFormatting sqref="AX112">
    <cfRule type="expression" dxfId="11920" priority="13863">
      <formula>#REF!=""</formula>
    </cfRule>
  </conditionalFormatting>
  <conditionalFormatting sqref="AX113">
    <cfRule type="expression" dxfId="11919" priority="13862">
      <formula>$E112=""</formula>
    </cfRule>
  </conditionalFormatting>
  <conditionalFormatting sqref="AY110:AZ113">
    <cfRule type="expression" dxfId="11918" priority="13861">
      <formula>$G110=""</formula>
    </cfRule>
  </conditionalFormatting>
  <conditionalFormatting sqref="G112">
    <cfRule type="expression" dxfId="11917" priority="13858" stopIfTrue="1">
      <formula>$G110=""</formula>
    </cfRule>
    <cfRule type="containsBlanks" dxfId="11916" priority="13859" stopIfTrue="1">
      <formula>LEN(TRIM(G112))=0</formula>
    </cfRule>
    <cfRule type="expression" dxfId="11915" priority="13860">
      <formula>OR($M112=0,$HH111=FALSE)</formula>
    </cfRule>
  </conditionalFormatting>
  <conditionalFormatting sqref="AO112">
    <cfRule type="expression" dxfId="11914" priority="13857" stopIfTrue="1">
      <formula>$G110=""</formula>
    </cfRule>
  </conditionalFormatting>
  <conditionalFormatting sqref="AU110:AU113">
    <cfRule type="expression" dxfId="11913" priority="13854" stopIfTrue="1">
      <formula>$C$43=2</formula>
    </cfRule>
    <cfRule type="cellIs" dxfId="11912" priority="13855" operator="equal">
      <formula>"Yes"</formula>
    </cfRule>
    <cfRule type="cellIs" dxfId="11911" priority="13856" operator="equal">
      <formula>"No"</formula>
    </cfRule>
  </conditionalFormatting>
  <conditionalFormatting sqref="AO110:AO111">
    <cfRule type="expression" dxfId="11910" priority="13853">
      <formula>$G110=""</formula>
    </cfRule>
  </conditionalFormatting>
  <conditionalFormatting sqref="AP110 AR110:AS113">
    <cfRule type="expression" dxfId="11909" priority="13852">
      <formula>$G110=""</formula>
    </cfRule>
  </conditionalFormatting>
  <conditionalFormatting sqref="AW110:AW113">
    <cfRule type="expression" dxfId="11908" priority="13851">
      <formula>$G110=""</formula>
    </cfRule>
  </conditionalFormatting>
  <conditionalFormatting sqref="G111:L111">
    <cfRule type="expression" dxfId="11907" priority="13849" stopIfTrue="1">
      <formula>$G110=""</formula>
    </cfRule>
    <cfRule type="containsBlanks" dxfId="11906" priority="13850">
      <formula>LEN(TRIM(G111))=0</formula>
    </cfRule>
  </conditionalFormatting>
  <conditionalFormatting sqref="R112">
    <cfRule type="expression" dxfId="11905" priority="13846">
      <formula>$N113="BAM"</formula>
    </cfRule>
    <cfRule type="expression" dxfId="11904" priority="13847" stopIfTrue="1">
      <formula>$G110=""</formula>
    </cfRule>
    <cfRule type="containsBlanks" dxfId="11903" priority="13848">
      <formula>LEN(TRIM(R112))=0</formula>
    </cfRule>
  </conditionalFormatting>
  <conditionalFormatting sqref="R112">
    <cfRule type="expression" dxfId="11902" priority="13845">
      <formula>$C$43=0</formula>
    </cfRule>
  </conditionalFormatting>
  <conditionalFormatting sqref="E113:F113">
    <cfRule type="expression" dxfId="11901" priority="13844">
      <formula>$CQ110="Exterior"</formula>
    </cfRule>
  </conditionalFormatting>
  <conditionalFormatting sqref="G113">
    <cfRule type="expression" dxfId="11900" priority="13834" stopIfTrue="1">
      <formula>$G110=""</formula>
    </cfRule>
  </conditionalFormatting>
  <conditionalFormatting sqref="G113">
    <cfRule type="expression" dxfId="11899" priority="13836" stopIfTrue="1">
      <formula>$CQ110="Exterior"</formula>
    </cfRule>
  </conditionalFormatting>
  <conditionalFormatting sqref="G113:L113">
    <cfRule type="expression" dxfId="11898" priority="13835" stopIfTrue="1">
      <formula>$N113="BAM"</formula>
    </cfRule>
    <cfRule type="containsBlanks" dxfId="11897" priority="13837" stopIfTrue="1">
      <formula>LEN(TRIM(G113))=0</formula>
    </cfRule>
    <cfRule type="expression" dxfId="11896" priority="13839">
      <formula>$HQ111=FALSE</formula>
    </cfRule>
  </conditionalFormatting>
  <conditionalFormatting sqref="G113:L113">
    <cfRule type="expression" dxfId="11895" priority="13838" stopIfTrue="1">
      <formula>$AG112=""</formula>
    </cfRule>
  </conditionalFormatting>
  <conditionalFormatting sqref="G112:L112">
    <cfRule type="expression" dxfId="11894" priority="13832" stopIfTrue="1">
      <formula>$N113="BAM"</formula>
    </cfRule>
  </conditionalFormatting>
  <conditionalFormatting sqref="G110:R110">
    <cfRule type="containsBlanks" dxfId="11893" priority="13831">
      <formula>LEN(TRIM(G110))=0</formula>
    </cfRule>
  </conditionalFormatting>
  <conditionalFormatting sqref="AF112">
    <cfRule type="expression" dxfId="11892" priority="13821" stopIfTrue="1">
      <formula>$G110=""</formula>
    </cfRule>
    <cfRule type="expression" dxfId="11891" priority="13822" stopIfTrue="1">
      <formula>$N113="BAM"</formula>
    </cfRule>
    <cfRule type="expression" dxfId="11890" priority="13830">
      <formula>$AF$49&gt;$T$49</formula>
    </cfRule>
  </conditionalFormatting>
  <conditionalFormatting sqref="AC113:AE113">
    <cfRule type="expression" dxfId="11889" priority="13827" stopIfTrue="1">
      <formula>$G110=""</formula>
    </cfRule>
  </conditionalFormatting>
  <conditionalFormatting sqref="T112:U112">
    <cfRule type="expression" dxfId="11888" priority="13794" stopIfTrue="1">
      <formula>$G110=""</formula>
    </cfRule>
  </conditionalFormatting>
  <conditionalFormatting sqref="T112:U112">
    <cfRule type="containsBlanks" dxfId="11887" priority="13824" stopIfTrue="1">
      <formula>LEN(TRIM(T112))=0</formula>
    </cfRule>
  </conditionalFormatting>
  <conditionalFormatting sqref="AC110:AE110">
    <cfRule type="expression" dxfId="11886" priority="13823">
      <formula>$G110=""</formula>
    </cfRule>
  </conditionalFormatting>
  <conditionalFormatting sqref="AF112 AG113">
    <cfRule type="containsBlanks" dxfId="11885" priority="13828" stopIfTrue="1">
      <formula>LEN(TRIM(AF112))=0</formula>
    </cfRule>
  </conditionalFormatting>
  <conditionalFormatting sqref="AF112">
    <cfRule type="expression" dxfId="11884" priority="13829">
      <formula>OR($HS111=FALSE,$HT111=FALSE)</formula>
    </cfRule>
  </conditionalFormatting>
  <conditionalFormatting sqref="AG113">
    <cfRule type="expression" dxfId="11883" priority="13787">
      <formula>$C$43&gt;0</formula>
    </cfRule>
  </conditionalFormatting>
  <conditionalFormatting sqref="AG113">
    <cfRule type="expression" dxfId="11882" priority="13820" stopIfTrue="1">
      <formula>$G110=""</formula>
    </cfRule>
  </conditionalFormatting>
  <conditionalFormatting sqref="U112">
    <cfRule type="expression" dxfId="11881" priority="13825">
      <formula>OR($HK111=FALSE,$HL111=FALSE)</formula>
    </cfRule>
  </conditionalFormatting>
  <conditionalFormatting sqref="T111:U111">
    <cfRule type="expression" dxfId="11880" priority="13815" stopIfTrue="1">
      <formula>$C$43&lt;&gt;0</formula>
    </cfRule>
    <cfRule type="containsBlanks" dxfId="11879" priority="13816" stopIfTrue="1">
      <formula>LEN(TRIM(T111))=0</formula>
    </cfRule>
  </conditionalFormatting>
  <conditionalFormatting sqref="T111:U111">
    <cfRule type="expression" dxfId="11878" priority="13814" stopIfTrue="1">
      <formula>$G110=""</formula>
    </cfRule>
  </conditionalFormatting>
  <conditionalFormatting sqref="U111">
    <cfRule type="expression" dxfId="11877" priority="13817">
      <formula>$HJ111=FALSE</formula>
    </cfRule>
  </conditionalFormatting>
  <conditionalFormatting sqref="AG112">
    <cfRule type="expression" dxfId="11876" priority="13805" stopIfTrue="1">
      <formula>$G110=""</formula>
    </cfRule>
  </conditionalFormatting>
  <conditionalFormatting sqref="AG112:AL112">
    <cfRule type="expression" dxfId="11875" priority="13806">
      <formula>$N113="BAM"</formula>
    </cfRule>
    <cfRule type="expression" dxfId="11874" priority="13810">
      <formula>OR($HU111=FALSE,$HQ111=FALSE)</formula>
    </cfRule>
  </conditionalFormatting>
  <conditionalFormatting sqref="AG112">
    <cfRule type="containsBlanks" dxfId="11873" priority="13807" stopIfTrue="1">
      <formula>LEN(TRIM(AG112))=0</formula>
    </cfRule>
    <cfRule type="expression" dxfId="11872" priority="13808">
      <formula>OR($HP111=FALSE,$HR111=FALSE)</formula>
    </cfRule>
    <cfRule type="expression" dxfId="11871" priority="13809">
      <formula>OR($DS110=7,$DS110=8,$DS110=9)</formula>
    </cfRule>
  </conditionalFormatting>
  <conditionalFormatting sqref="AG110:AL110">
    <cfRule type="expression" dxfId="11870" priority="13804">
      <formula>$C$43&lt;&gt;0</formula>
    </cfRule>
  </conditionalFormatting>
  <conditionalFormatting sqref="AF111">
    <cfRule type="containsBlanks" dxfId="11869" priority="13803">
      <formula>LEN(TRIM(AF111))=0</formula>
    </cfRule>
  </conditionalFormatting>
  <conditionalFormatting sqref="AF111">
    <cfRule type="expression" dxfId="11868" priority="13802" stopIfTrue="1">
      <formula>$G110=""</formula>
    </cfRule>
  </conditionalFormatting>
  <conditionalFormatting sqref="AG111">
    <cfRule type="containsBlanks" dxfId="11867" priority="13800">
      <formula>LEN(TRIM(AG111))=0</formula>
    </cfRule>
    <cfRule type="expression" dxfId="11866" priority="13801">
      <formula>$HO111=FALSE</formula>
    </cfRule>
  </conditionalFormatting>
  <conditionalFormatting sqref="AG111">
    <cfRule type="expression" dxfId="11865" priority="13799" stopIfTrue="1">
      <formula>$G110=""</formula>
    </cfRule>
  </conditionalFormatting>
  <conditionalFormatting sqref="AF111:AK111">
    <cfRule type="expression" dxfId="11864" priority="13798">
      <formula>$C$43&gt;0</formula>
    </cfRule>
  </conditionalFormatting>
  <conditionalFormatting sqref="AM110:AN111">
    <cfRule type="expression" dxfId="11863" priority="13797">
      <formula>$G110=""</formula>
    </cfRule>
  </conditionalFormatting>
  <conditionalFormatting sqref="AM112:AN112">
    <cfRule type="expression" dxfId="11862" priority="13796" stopIfTrue="1">
      <formula>$G110=""</formula>
    </cfRule>
  </conditionalFormatting>
  <conditionalFormatting sqref="T112">
    <cfRule type="expression" dxfId="11861" priority="13818" stopIfTrue="1">
      <formula>$N113="BAM"</formula>
    </cfRule>
  </conditionalFormatting>
  <conditionalFormatting sqref="U112:AE112">
    <cfRule type="expression" dxfId="11860" priority="13795" stopIfTrue="1">
      <formula>$N113="BAM"</formula>
    </cfRule>
  </conditionalFormatting>
  <conditionalFormatting sqref="AG113:AL113">
    <cfRule type="expression" dxfId="11859" priority="13819" stopIfTrue="1">
      <formula>$N113="BAM"</formula>
    </cfRule>
  </conditionalFormatting>
  <conditionalFormatting sqref="AX116">
    <cfRule type="expression" dxfId="11858" priority="13785">
      <formula>$E116=""</formula>
    </cfRule>
  </conditionalFormatting>
  <conditionalFormatting sqref="AX115">
    <cfRule type="expression" dxfId="11857" priority="13784">
      <formula>$E115=""</formula>
    </cfRule>
  </conditionalFormatting>
  <conditionalFormatting sqref="AX117">
    <cfRule type="expression" dxfId="11856" priority="13783">
      <formula>#REF!=""</formula>
    </cfRule>
  </conditionalFormatting>
  <conditionalFormatting sqref="AX118">
    <cfRule type="expression" dxfId="11855" priority="13782">
      <formula>$E117=""</formula>
    </cfRule>
  </conditionalFormatting>
  <conditionalFormatting sqref="AY115:AZ118">
    <cfRule type="expression" dxfId="11854" priority="13781">
      <formula>$G115=""</formula>
    </cfRule>
  </conditionalFormatting>
  <conditionalFormatting sqref="G117">
    <cfRule type="expression" dxfId="11853" priority="13778" stopIfTrue="1">
      <formula>$G115=""</formula>
    </cfRule>
    <cfRule type="containsBlanks" dxfId="11852" priority="13779" stopIfTrue="1">
      <formula>LEN(TRIM(G117))=0</formula>
    </cfRule>
    <cfRule type="expression" dxfId="11851" priority="13780">
      <formula>OR($M117=0,$HH116=FALSE)</formula>
    </cfRule>
  </conditionalFormatting>
  <conditionalFormatting sqref="AO117">
    <cfRule type="expression" dxfId="11850" priority="13777" stopIfTrue="1">
      <formula>$G115=""</formula>
    </cfRule>
  </conditionalFormatting>
  <conditionalFormatting sqref="AU115:AU118">
    <cfRule type="expression" dxfId="11849" priority="13774" stopIfTrue="1">
      <formula>$C$43=2</formula>
    </cfRule>
    <cfRule type="cellIs" dxfId="11848" priority="13775" operator="equal">
      <formula>"Yes"</formula>
    </cfRule>
    <cfRule type="cellIs" dxfId="11847" priority="13776" operator="equal">
      <formula>"No"</formula>
    </cfRule>
  </conditionalFormatting>
  <conditionalFormatting sqref="AO115:AO116">
    <cfRule type="expression" dxfId="11846" priority="13773">
      <formula>$G115=""</formula>
    </cfRule>
  </conditionalFormatting>
  <conditionalFormatting sqref="AP115 AR115:AS118">
    <cfRule type="expression" dxfId="11845" priority="13772">
      <formula>$G115=""</formula>
    </cfRule>
  </conditionalFormatting>
  <conditionalFormatting sqref="AW115:AW118">
    <cfRule type="expression" dxfId="11844" priority="13771">
      <formula>$G115=""</formula>
    </cfRule>
  </conditionalFormatting>
  <conditionalFormatting sqref="G116:L116">
    <cfRule type="expression" dxfId="11843" priority="13769" stopIfTrue="1">
      <formula>$G115=""</formula>
    </cfRule>
    <cfRule type="containsBlanks" dxfId="11842" priority="13770">
      <formula>LEN(TRIM(G116))=0</formula>
    </cfRule>
  </conditionalFormatting>
  <conditionalFormatting sqref="R117">
    <cfRule type="expression" dxfId="11841" priority="13766">
      <formula>$N118="BAM"</formula>
    </cfRule>
    <cfRule type="expression" dxfId="11840" priority="13767" stopIfTrue="1">
      <formula>$G115=""</formula>
    </cfRule>
    <cfRule type="containsBlanks" dxfId="11839" priority="13768">
      <formula>LEN(TRIM(R117))=0</formula>
    </cfRule>
  </conditionalFormatting>
  <conditionalFormatting sqref="R117">
    <cfRule type="expression" dxfId="11838" priority="13765">
      <formula>$C$43=0</formula>
    </cfRule>
  </conditionalFormatting>
  <conditionalFormatting sqref="E118:F118">
    <cfRule type="expression" dxfId="11837" priority="13764">
      <formula>$CQ115="Exterior"</formula>
    </cfRule>
  </conditionalFormatting>
  <conditionalFormatting sqref="G118">
    <cfRule type="expression" dxfId="11836" priority="13754" stopIfTrue="1">
      <formula>$G115=""</formula>
    </cfRule>
  </conditionalFormatting>
  <conditionalFormatting sqref="G118">
    <cfRule type="expression" dxfId="11835" priority="13756" stopIfTrue="1">
      <formula>$CQ115="Exterior"</formula>
    </cfRule>
  </conditionalFormatting>
  <conditionalFormatting sqref="G118:L118">
    <cfRule type="expression" dxfId="11834" priority="13755" stopIfTrue="1">
      <formula>$N118="BAM"</formula>
    </cfRule>
    <cfRule type="containsBlanks" dxfId="11833" priority="13757" stopIfTrue="1">
      <formula>LEN(TRIM(G118))=0</formula>
    </cfRule>
    <cfRule type="expression" dxfId="11832" priority="13759">
      <formula>$HQ116=FALSE</formula>
    </cfRule>
  </conditionalFormatting>
  <conditionalFormatting sqref="G118:L118">
    <cfRule type="expression" dxfId="11831" priority="13758" stopIfTrue="1">
      <formula>$AG117=""</formula>
    </cfRule>
  </conditionalFormatting>
  <conditionalFormatting sqref="G117:L117">
    <cfRule type="expression" dxfId="11830" priority="13752" stopIfTrue="1">
      <formula>$N118="BAM"</formula>
    </cfRule>
  </conditionalFormatting>
  <conditionalFormatting sqref="G115:R115">
    <cfRule type="containsBlanks" dxfId="11829" priority="13751">
      <formula>LEN(TRIM(G115))=0</formula>
    </cfRule>
  </conditionalFormatting>
  <conditionalFormatting sqref="AF117">
    <cfRule type="expression" dxfId="11828" priority="13741" stopIfTrue="1">
      <formula>$G115=""</formula>
    </cfRule>
    <cfRule type="expression" dxfId="11827" priority="13742" stopIfTrue="1">
      <formula>$N118="BAM"</formula>
    </cfRule>
    <cfRule type="expression" dxfId="11826" priority="13750">
      <formula>$AF$49&gt;$T$49</formula>
    </cfRule>
  </conditionalFormatting>
  <conditionalFormatting sqref="AC118:AE118">
    <cfRule type="expression" dxfId="11825" priority="13747" stopIfTrue="1">
      <formula>$G115=""</formula>
    </cfRule>
  </conditionalFormatting>
  <conditionalFormatting sqref="T117:U117">
    <cfRule type="expression" dxfId="11824" priority="13714" stopIfTrue="1">
      <formula>$G115=""</formula>
    </cfRule>
  </conditionalFormatting>
  <conditionalFormatting sqref="T117:U117">
    <cfRule type="containsBlanks" dxfId="11823" priority="13744" stopIfTrue="1">
      <formula>LEN(TRIM(T117))=0</formula>
    </cfRule>
  </conditionalFormatting>
  <conditionalFormatting sqref="AC115:AE115">
    <cfRule type="expression" dxfId="11822" priority="13743">
      <formula>$G115=""</formula>
    </cfRule>
  </conditionalFormatting>
  <conditionalFormatting sqref="AF117 AG118">
    <cfRule type="containsBlanks" dxfId="11821" priority="13748" stopIfTrue="1">
      <formula>LEN(TRIM(AF117))=0</formula>
    </cfRule>
  </conditionalFormatting>
  <conditionalFormatting sqref="AF117">
    <cfRule type="expression" dxfId="11820" priority="13749">
      <formula>OR($HS116=FALSE,$HT116=FALSE)</formula>
    </cfRule>
  </conditionalFormatting>
  <conditionalFormatting sqref="AG118">
    <cfRule type="expression" dxfId="11819" priority="13707">
      <formula>$C$43&gt;0</formula>
    </cfRule>
  </conditionalFormatting>
  <conditionalFormatting sqref="AG118">
    <cfRule type="expression" dxfId="11818" priority="13740" stopIfTrue="1">
      <formula>$G115=""</formula>
    </cfRule>
  </conditionalFormatting>
  <conditionalFormatting sqref="U117">
    <cfRule type="expression" dxfId="11817" priority="13745">
      <formula>OR($HK116=FALSE,$HL116=FALSE)</formula>
    </cfRule>
  </conditionalFormatting>
  <conditionalFormatting sqref="T116:U116">
    <cfRule type="expression" dxfId="11816" priority="13735" stopIfTrue="1">
      <formula>$C$43&lt;&gt;0</formula>
    </cfRule>
    <cfRule type="containsBlanks" dxfId="11815" priority="13736" stopIfTrue="1">
      <formula>LEN(TRIM(T116))=0</formula>
    </cfRule>
  </conditionalFormatting>
  <conditionalFormatting sqref="T116:U116">
    <cfRule type="expression" dxfId="11814" priority="13734" stopIfTrue="1">
      <formula>$G115=""</formula>
    </cfRule>
  </conditionalFormatting>
  <conditionalFormatting sqref="U116">
    <cfRule type="expression" dxfId="11813" priority="13737">
      <formula>$HJ116=FALSE</formula>
    </cfRule>
  </conditionalFormatting>
  <conditionalFormatting sqref="AG117">
    <cfRule type="expression" dxfId="11812" priority="13725" stopIfTrue="1">
      <formula>$G115=""</formula>
    </cfRule>
  </conditionalFormatting>
  <conditionalFormatting sqref="AG117:AL117">
    <cfRule type="expression" dxfId="11811" priority="13726">
      <formula>$N118="BAM"</formula>
    </cfRule>
    <cfRule type="expression" dxfId="11810" priority="13730">
      <formula>OR($HU116=FALSE,$HQ116=FALSE)</formula>
    </cfRule>
  </conditionalFormatting>
  <conditionalFormatting sqref="AG117">
    <cfRule type="containsBlanks" dxfId="11809" priority="13727" stopIfTrue="1">
      <formula>LEN(TRIM(AG117))=0</formula>
    </cfRule>
    <cfRule type="expression" dxfId="11808" priority="13728">
      <formula>OR($HP116=FALSE,$HR116=FALSE)</formula>
    </cfRule>
    <cfRule type="expression" dxfId="11807" priority="13729">
      <formula>OR($DS115=7,$DS115=8,$DS115=9)</formula>
    </cfRule>
  </conditionalFormatting>
  <conditionalFormatting sqref="AG115:AL115">
    <cfRule type="expression" dxfId="11806" priority="13724">
      <formula>$C$43&lt;&gt;0</formula>
    </cfRule>
  </conditionalFormatting>
  <conditionalFormatting sqref="AF116">
    <cfRule type="containsBlanks" dxfId="11805" priority="13723">
      <formula>LEN(TRIM(AF116))=0</formula>
    </cfRule>
  </conditionalFormatting>
  <conditionalFormatting sqref="AF116">
    <cfRule type="expression" dxfId="11804" priority="13722" stopIfTrue="1">
      <formula>$G115=""</formula>
    </cfRule>
  </conditionalFormatting>
  <conditionalFormatting sqref="AG116">
    <cfRule type="containsBlanks" dxfId="11803" priority="13720">
      <formula>LEN(TRIM(AG116))=0</formula>
    </cfRule>
    <cfRule type="expression" dxfId="11802" priority="13721">
      <formula>$HO116=FALSE</formula>
    </cfRule>
  </conditionalFormatting>
  <conditionalFormatting sqref="AG116">
    <cfRule type="expression" dxfId="11801" priority="13719" stopIfTrue="1">
      <formula>$G115=""</formula>
    </cfRule>
  </conditionalFormatting>
  <conditionalFormatting sqref="AF116:AK116">
    <cfRule type="expression" dxfId="11800" priority="13718">
      <formula>$C$43&gt;0</formula>
    </cfRule>
  </conditionalFormatting>
  <conditionalFormatting sqref="AM115:AN116">
    <cfRule type="expression" dxfId="11799" priority="13717">
      <formula>$G115=""</formula>
    </cfRule>
  </conditionalFormatting>
  <conditionalFormatting sqref="AM117:AN117">
    <cfRule type="expression" dxfId="11798" priority="13716" stopIfTrue="1">
      <formula>$G115=""</formula>
    </cfRule>
  </conditionalFormatting>
  <conditionalFormatting sqref="T117">
    <cfRule type="expression" dxfId="11797" priority="13738" stopIfTrue="1">
      <formula>$N118="BAM"</formula>
    </cfRule>
  </conditionalFormatting>
  <conditionalFormatting sqref="U117:AE117">
    <cfRule type="expression" dxfId="11796" priority="13715" stopIfTrue="1">
      <formula>$N118="BAM"</formula>
    </cfRule>
  </conditionalFormatting>
  <conditionalFormatting sqref="AG118:AL118">
    <cfRule type="expression" dxfId="11795" priority="13739" stopIfTrue="1">
      <formula>$N118="BAM"</formula>
    </cfRule>
  </conditionalFormatting>
  <conditionalFormatting sqref="AX121">
    <cfRule type="expression" dxfId="11794" priority="13705">
      <formula>$E121=""</formula>
    </cfRule>
  </conditionalFormatting>
  <conditionalFormatting sqref="AX120">
    <cfRule type="expression" dxfId="11793" priority="13704">
      <formula>$E120=""</formula>
    </cfRule>
  </conditionalFormatting>
  <conditionalFormatting sqref="AX122">
    <cfRule type="expression" dxfId="11792" priority="13703">
      <formula>#REF!=""</formula>
    </cfRule>
  </conditionalFormatting>
  <conditionalFormatting sqref="AX123">
    <cfRule type="expression" dxfId="11791" priority="13702">
      <formula>$E122=""</formula>
    </cfRule>
  </conditionalFormatting>
  <conditionalFormatting sqref="AY120:AZ123">
    <cfRule type="expression" dxfId="11790" priority="13701">
      <formula>$G120=""</formula>
    </cfRule>
  </conditionalFormatting>
  <conditionalFormatting sqref="G122">
    <cfRule type="expression" dxfId="11789" priority="13698" stopIfTrue="1">
      <formula>$G120=""</formula>
    </cfRule>
    <cfRule type="containsBlanks" dxfId="11788" priority="13699" stopIfTrue="1">
      <formula>LEN(TRIM(G122))=0</formula>
    </cfRule>
    <cfRule type="expression" dxfId="11787" priority="13700">
      <formula>OR($M122=0,$HH121=FALSE)</formula>
    </cfRule>
  </conditionalFormatting>
  <conditionalFormatting sqref="AO122">
    <cfRule type="expression" dxfId="11786" priority="13697" stopIfTrue="1">
      <formula>$G120=""</formula>
    </cfRule>
  </conditionalFormatting>
  <conditionalFormatting sqref="AU120:AU123">
    <cfRule type="expression" dxfId="11785" priority="13694" stopIfTrue="1">
      <formula>$C$43=2</formula>
    </cfRule>
    <cfRule type="cellIs" dxfId="11784" priority="13695" operator="equal">
      <formula>"Yes"</formula>
    </cfRule>
    <cfRule type="cellIs" dxfId="11783" priority="13696" operator="equal">
      <formula>"No"</formula>
    </cfRule>
  </conditionalFormatting>
  <conditionalFormatting sqref="AO120:AO121">
    <cfRule type="expression" dxfId="11782" priority="13693">
      <formula>$G120=""</formula>
    </cfRule>
  </conditionalFormatting>
  <conditionalFormatting sqref="AP120 AR120:AS123">
    <cfRule type="expression" dxfId="11781" priority="13692">
      <formula>$G120=""</formula>
    </cfRule>
  </conditionalFormatting>
  <conditionalFormatting sqref="AW120:AW123">
    <cfRule type="expression" dxfId="11780" priority="13691">
      <formula>$G120=""</formula>
    </cfRule>
  </conditionalFormatting>
  <conditionalFormatting sqref="G121:L121">
    <cfRule type="expression" dxfId="11779" priority="13689" stopIfTrue="1">
      <formula>$G120=""</formula>
    </cfRule>
    <cfRule type="containsBlanks" dxfId="11778" priority="13690">
      <formula>LEN(TRIM(G121))=0</formula>
    </cfRule>
  </conditionalFormatting>
  <conditionalFormatting sqref="R122">
    <cfRule type="expression" dxfId="11777" priority="13686">
      <formula>$N123="BAM"</formula>
    </cfRule>
    <cfRule type="expression" dxfId="11776" priority="13687" stopIfTrue="1">
      <formula>$G120=""</formula>
    </cfRule>
    <cfRule type="containsBlanks" dxfId="11775" priority="13688">
      <formula>LEN(TRIM(R122))=0</formula>
    </cfRule>
  </conditionalFormatting>
  <conditionalFormatting sqref="R122">
    <cfRule type="expression" dxfId="11774" priority="13685">
      <formula>$C$43=0</formula>
    </cfRule>
  </conditionalFormatting>
  <conditionalFormatting sqref="E123:F123">
    <cfRule type="expression" dxfId="11773" priority="13684">
      <formula>$CQ120="Exterior"</formula>
    </cfRule>
  </conditionalFormatting>
  <conditionalFormatting sqref="G123">
    <cfRule type="expression" dxfId="11772" priority="13674" stopIfTrue="1">
      <formula>$G120=""</formula>
    </cfRule>
  </conditionalFormatting>
  <conditionalFormatting sqref="G123">
    <cfRule type="expression" dxfId="11771" priority="13676" stopIfTrue="1">
      <formula>$CQ120="Exterior"</formula>
    </cfRule>
  </conditionalFormatting>
  <conditionalFormatting sqref="G123:L123">
    <cfRule type="expression" dxfId="11770" priority="13675" stopIfTrue="1">
      <formula>$N123="BAM"</formula>
    </cfRule>
    <cfRule type="containsBlanks" dxfId="11769" priority="13677" stopIfTrue="1">
      <formula>LEN(TRIM(G123))=0</formula>
    </cfRule>
    <cfRule type="expression" dxfId="11768" priority="13679">
      <formula>$HQ121=FALSE</formula>
    </cfRule>
  </conditionalFormatting>
  <conditionalFormatting sqref="G123:L123">
    <cfRule type="expression" dxfId="11767" priority="13678" stopIfTrue="1">
      <formula>$AG122=""</formula>
    </cfRule>
  </conditionalFormatting>
  <conditionalFormatting sqref="G122:L122">
    <cfRule type="expression" dxfId="11766" priority="13672" stopIfTrue="1">
      <formula>$N123="BAM"</formula>
    </cfRule>
  </conditionalFormatting>
  <conditionalFormatting sqref="G120:R120">
    <cfRule type="containsBlanks" dxfId="11765" priority="13671">
      <formula>LEN(TRIM(G120))=0</formula>
    </cfRule>
  </conditionalFormatting>
  <conditionalFormatting sqref="AF122">
    <cfRule type="expression" dxfId="11764" priority="13661" stopIfTrue="1">
      <formula>$G120=""</formula>
    </cfRule>
    <cfRule type="expression" dxfId="11763" priority="13662" stopIfTrue="1">
      <formula>$N123="BAM"</formula>
    </cfRule>
    <cfRule type="expression" dxfId="11762" priority="13670">
      <formula>$AF$49&gt;$T$49</formula>
    </cfRule>
  </conditionalFormatting>
  <conditionalFormatting sqref="AC123:AE123">
    <cfRule type="expression" dxfId="11761" priority="13667" stopIfTrue="1">
      <formula>$G120=""</formula>
    </cfRule>
  </conditionalFormatting>
  <conditionalFormatting sqref="T122:U122">
    <cfRule type="expression" dxfId="11760" priority="13634" stopIfTrue="1">
      <formula>$G120=""</formula>
    </cfRule>
  </conditionalFormatting>
  <conditionalFormatting sqref="T122:U122">
    <cfRule type="containsBlanks" dxfId="11759" priority="13664" stopIfTrue="1">
      <formula>LEN(TRIM(T122))=0</formula>
    </cfRule>
  </conditionalFormatting>
  <conditionalFormatting sqref="AC120:AE120">
    <cfRule type="expression" dxfId="11758" priority="13663">
      <formula>$G120=""</formula>
    </cfRule>
  </conditionalFormatting>
  <conditionalFormatting sqref="AF122 AG123">
    <cfRule type="containsBlanks" dxfId="11757" priority="13668" stopIfTrue="1">
      <formula>LEN(TRIM(AF122))=0</formula>
    </cfRule>
  </conditionalFormatting>
  <conditionalFormatting sqref="AF122">
    <cfRule type="expression" dxfId="11756" priority="13669">
      <formula>OR($HS121=FALSE,$HT121=FALSE)</formula>
    </cfRule>
  </conditionalFormatting>
  <conditionalFormatting sqref="AG123">
    <cfRule type="expression" dxfId="11755" priority="13627">
      <formula>$C$43&gt;0</formula>
    </cfRule>
  </conditionalFormatting>
  <conditionalFormatting sqref="AG123">
    <cfRule type="expression" dxfId="11754" priority="13660" stopIfTrue="1">
      <formula>$G120=""</formula>
    </cfRule>
  </conditionalFormatting>
  <conditionalFormatting sqref="U122">
    <cfRule type="expression" dxfId="11753" priority="13665">
      <formula>OR($HK121=FALSE,$HL121=FALSE)</formula>
    </cfRule>
  </conditionalFormatting>
  <conditionalFormatting sqref="T121:U121">
    <cfRule type="expression" dxfId="11752" priority="13655" stopIfTrue="1">
      <formula>$C$43&lt;&gt;0</formula>
    </cfRule>
    <cfRule type="containsBlanks" dxfId="11751" priority="13656" stopIfTrue="1">
      <formula>LEN(TRIM(T121))=0</formula>
    </cfRule>
  </conditionalFormatting>
  <conditionalFormatting sqref="T121:U121">
    <cfRule type="expression" dxfId="11750" priority="13654" stopIfTrue="1">
      <formula>$G120=""</formula>
    </cfRule>
  </conditionalFormatting>
  <conditionalFormatting sqref="U121">
    <cfRule type="expression" dxfId="11749" priority="13657">
      <formula>$HJ121=FALSE</formula>
    </cfRule>
  </conditionalFormatting>
  <conditionalFormatting sqref="AG122">
    <cfRule type="expression" dxfId="11748" priority="13645" stopIfTrue="1">
      <formula>$G120=""</formula>
    </cfRule>
  </conditionalFormatting>
  <conditionalFormatting sqref="AG122:AL122">
    <cfRule type="expression" dxfId="11747" priority="13646">
      <formula>$N123="BAM"</formula>
    </cfRule>
    <cfRule type="expression" dxfId="11746" priority="13650">
      <formula>OR($HU121=FALSE,$HQ121=FALSE)</formula>
    </cfRule>
  </conditionalFormatting>
  <conditionalFormatting sqref="AG122">
    <cfRule type="containsBlanks" dxfId="11745" priority="13647" stopIfTrue="1">
      <formula>LEN(TRIM(AG122))=0</formula>
    </cfRule>
    <cfRule type="expression" dxfId="11744" priority="13648">
      <formula>OR($HP121=FALSE,$HR121=FALSE)</formula>
    </cfRule>
    <cfRule type="expression" dxfId="11743" priority="13649">
      <formula>OR($DS120=7,$DS120=8,$DS120=9)</formula>
    </cfRule>
  </conditionalFormatting>
  <conditionalFormatting sqref="AG120:AL120">
    <cfRule type="expression" dxfId="11742" priority="13644">
      <formula>$C$43&lt;&gt;0</formula>
    </cfRule>
  </conditionalFormatting>
  <conditionalFormatting sqref="AF121">
    <cfRule type="containsBlanks" dxfId="11741" priority="13643">
      <formula>LEN(TRIM(AF121))=0</formula>
    </cfRule>
  </conditionalFormatting>
  <conditionalFormatting sqref="AF121">
    <cfRule type="expression" dxfId="11740" priority="13642" stopIfTrue="1">
      <formula>$G120=""</formula>
    </cfRule>
  </conditionalFormatting>
  <conditionalFormatting sqref="AG121">
    <cfRule type="containsBlanks" dxfId="11739" priority="13640">
      <formula>LEN(TRIM(AG121))=0</formula>
    </cfRule>
    <cfRule type="expression" dxfId="11738" priority="13641">
      <formula>$HO121=FALSE</formula>
    </cfRule>
  </conditionalFormatting>
  <conditionalFormatting sqref="AG121">
    <cfRule type="expression" dxfId="11737" priority="13639" stopIfTrue="1">
      <formula>$G120=""</formula>
    </cfRule>
  </conditionalFormatting>
  <conditionalFormatting sqref="AF121:AK121">
    <cfRule type="expression" dxfId="11736" priority="13638">
      <formula>$C$43&gt;0</formula>
    </cfRule>
  </conditionalFormatting>
  <conditionalFormatting sqref="AM120:AN121">
    <cfRule type="expression" dxfId="11735" priority="13637">
      <formula>$G120=""</formula>
    </cfRule>
  </conditionalFormatting>
  <conditionalFormatting sqref="AM122:AN122">
    <cfRule type="expression" dxfId="11734" priority="13636" stopIfTrue="1">
      <formula>$G120=""</formula>
    </cfRule>
  </conditionalFormatting>
  <conditionalFormatting sqref="T122">
    <cfRule type="expression" dxfId="11733" priority="13658" stopIfTrue="1">
      <formula>$N123="BAM"</formula>
    </cfRule>
  </conditionalFormatting>
  <conditionalFormatting sqref="U122:AE122">
    <cfRule type="expression" dxfId="11732" priority="13635" stopIfTrue="1">
      <formula>$N123="BAM"</formula>
    </cfRule>
  </conditionalFormatting>
  <conditionalFormatting sqref="AG123:AL123">
    <cfRule type="expression" dxfId="11731" priority="13659" stopIfTrue="1">
      <formula>$N123="BAM"</formula>
    </cfRule>
  </conditionalFormatting>
  <conditionalFormatting sqref="AX126">
    <cfRule type="expression" dxfId="11730" priority="13625">
      <formula>$E126=""</formula>
    </cfRule>
  </conditionalFormatting>
  <conditionalFormatting sqref="AX125">
    <cfRule type="expression" dxfId="11729" priority="13624">
      <formula>$E125=""</formula>
    </cfRule>
  </conditionalFormatting>
  <conditionalFormatting sqref="AX127">
    <cfRule type="expression" dxfId="11728" priority="13623">
      <formula>#REF!=""</formula>
    </cfRule>
  </conditionalFormatting>
  <conditionalFormatting sqref="AX128">
    <cfRule type="expression" dxfId="11727" priority="13622">
      <formula>$E127=""</formula>
    </cfRule>
  </conditionalFormatting>
  <conditionalFormatting sqref="AY125:AZ128">
    <cfRule type="expression" dxfId="11726" priority="13621">
      <formula>$G125=""</formula>
    </cfRule>
  </conditionalFormatting>
  <conditionalFormatting sqref="G127">
    <cfRule type="expression" dxfId="11725" priority="13618" stopIfTrue="1">
      <formula>$G125=""</formula>
    </cfRule>
    <cfRule type="containsBlanks" dxfId="11724" priority="13619" stopIfTrue="1">
      <formula>LEN(TRIM(G127))=0</formula>
    </cfRule>
    <cfRule type="expression" dxfId="11723" priority="13620">
      <formula>OR($M127=0,$HH126=FALSE)</formula>
    </cfRule>
  </conditionalFormatting>
  <conditionalFormatting sqref="AO127">
    <cfRule type="expression" dxfId="11722" priority="13617" stopIfTrue="1">
      <formula>$G125=""</formula>
    </cfRule>
  </conditionalFormatting>
  <conditionalFormatting sqref="AU125:AU128">
    <cfRule type="expression" dxfId="11721" priority="13614" stopIfTrue="1">
      <formula>$C$43=2</formula>
    </cfRule>
    <cfRule type="cellIs" dxfId="11720" priority="13615" operator="equal">
      <formula>"Yes"</formula>
    </cfRule>
    <cfRule type="cellIs" dxfId="11719" priority="13616" operator="equal">
      <formula>"No"</formula>
    </cfRule>
  </conditionalFormatting>
  <conditionalFormatting sqref="AO125:AO126">
    <cfRule type="expression" dxfId="11718" priority="13613">
      <formula>$G125=""</formula>
    </cfRule>
  </conditionalFormatting>
  <conditionalFormatting sqref="AP125 AR125:AS128">
    <cfRule type="expression" dxfId="11717" priority="13612">
      <formula>$G125=""</formula>
    </cfRule>
  </conditionalFormatting>
  <conditionalFormatting sqref="AW125:AW128">
    <cfRule type="expression" dxfId="11716" priority="13611">
      <formula>$G125=""</formula>
    </cfRule>
  </conditionalFormatting>
  <conditionalFormatting sqref="G126:L126">
    <cfRule type="expression" dxfId="11715" priority="13609" stopIfTrue="1">
      <formula>$G125=""</formula>
    </cfRule>
    <cfRule type="containsBlanks" dxfId="11714" priority="13610">
      <formula>LEN(TRIM(G126))=0</formula>
    </cfRule>
  </conditionalFormatting>
  <conditionalFormatting sqref="R127">
    <cfRule type="expression" dxfId="11713" priority="13606">
      <formula>$N128="BAM"</formula>
    </cfRule>
    <cfRule type="expression" dxfId="11712" priority="13607" stopIfTrue="1">
      <formula>$G125=""</formula>
    </cfRule>
    <cfRule type="containsBlanks" dxfId="11711" priority="13608">
      <formula>LEN(TRIM(R127))=0</formula>
    </cfRule>
  </conditionalFormatting>
  <conditionalFormatting sqref="R127">
    <cfRule type="expression" dxfId="11710" priority="13605">
      <formula>$C$43=0</formula>
    </cfRule>
  </conditionalFormatting>
  <conditionalFormatting sqref="E128:F128">
    <cfRule type="expression" dxfId="11709" priority="13604">
      <formula>$CQ125="Exterior"</formula>
    </cfRule>
  </conditionalFormatting>
  <conditionalFormatting sqref="G128">
    <cfRule type="expression" dxfId="11708" priority="13594" stopIfTrue="1">
      <formula>$G125=""</formula>
    </cfRule>
  </conditionalFormatting>
  <conditionalFormatting sqref="G128">
    <cfRule type="expression" dxfId="11707" priority="13596" stopIfTrue="1">
      <formula>$CQ125="Exterior"</formula>
    </cfRule>
  </conditionalFormatting>
  <conditionalFormatting sqref="G128:L128">
    <cfRule type="expression" dxfId="11706" priority="13595" stopIfTrue="1">
      <formula>$N128="BAM"</formula>
    </cfRule>
    <cfRule type="containsBlanks" dxfId="11705" priority="13597" stopIfTrue="1">
      <formula>LEN(TRIM(G128))=0</formula>
    </cfRule>
    <cfRule type="expression" dxfId="11704" priority="13599">
      <formula>$HQ126=FALSE</formula>
    </cfRule>
  </conditionalFormatting>
  <conditionalFormatting sqref="G128:L128">
    <cfRule type="expression" dxfId="11703" priority="13598" stopIfTrue="1">
      <formula>$AG127=""</formula>
    </cfRule>
  </conditionalFormatting>
  <conditionalFormatting sqref="G127:L127">
    <cfRule type="expression" dxfId="11702" priority="13592" stopIfTrue="1">
      <formula>$N128="BAM"</formula>
    </cfRule>
  </conditionalFormatting>
  <conditionalFormatting sqref="G125:R125">
    <cfRule type="containsBlanks" dxfId="11701" priority="13591">
      <formula>LEN(TRIM(G125))=0</formula>
    </cfRule>
  </conditionalFormatting>
  <conditionalFormatting sqref="AF127">
    <cfRule type="expression" dxfId="11700" priority="13581" stopIfTrue="1">
      <formula>$G125=""</formula>
    </cfRule>
    <cfRule type="expression" dxfId="11699" priority="13582" stopIfTrue="1">
      <formula>$N128="BAM"</formula>
    </cfRule>
    <cfRule type="expression" dxfId="11698" priority="13590">
      <formula>$AF$49&gt;$T$49</formula>
    </cfRule>
  </conditionalFormatting>
  <conditionalFormatting sqref="AC128:AE128">
    <cfRule type="expression" dxfId="11697" priority="13587" stopIfTrue="1">
      <formula>$G125=""</formula>
    </cfRule>
  </conditionalFormatting>
  <conditionalFormatting sqref="T127:U127">
    <cfRule type="expression" dxfId="11696" priority="13554" stopIfTrue="1">
      <formula>$G125=""</formula>
    </cfRule>
  </conditionalFormatting>
  <conditionalFormatting sqref="T127:U127">
    <cfRule type="containsBlanks" dxfId="11695" priority="13584" stopIfTrue="1">
      <formula>LEN(TRIM(T127))=0</formula>
    </cfRule>
  </conditionalFormatting>
  <conditionalFormatting sqref="AC125:AE125">
    <cfRule type="expression" dxfId="11694" priority="13583">
      <formula>$G125=""</formula>
    </cfRule>
  </conditionalFormatting>
  <conditionalFormatting sqref="AF127 AG128">
    <cfRule type="containsBlanks" dxfId="11693" priority="13588" stopIfTrue="1">
      <formula>LEN(TRIM(AF127))=0</formula>
    </cfRule>
  </conditionalFormatting>
  <conditionalFormatting sqref="AF127">
    <cfRule type="expression" dxfId="11692" priority="13589">
      <formula>OR($HS126=FALSE,$HT126=FALSE)</formula>
    </cfRule>
  </conditionalFormatting>
  <conditionalFormatting sqref="AG128">
    <cfRule type="expression" dxfId="11691" priority="13547">
      <formula>$C$43&gt;0</formula>
    </cfRule>
  </conditionalFormatting>
  <conditionalFormatting sqref="AG128">
    <cfRule type="expression" dxfId="11690" priority="13580" stopIfTrue="1">
      <formula>$G125=""</formula>
    </cfRule>
  </conditionalFormatting>
  <conditionalFormatting sqref="U127">
    <cfRule type="expression" dxfId="11689" priority="13585">
      <formula>OR($HK126=FALSE,$HL126=FALSE)</formula>
    </cfRule>
  </conditionalFormatting>
  <conditionalFormatting sqref="T126:U126">
    <cfRule type="expression" dxfId="11688" priority="13575" stopIfTrue="1">
      <formula>$C$43&lt;&gt;0</formula>
    </cfRule>
    <cfRule type="containsBlanks" dxfId="11687" priority="13576" stopIfTrue="1">
      <formula>LEN(TRIM(T126))=0</formula>
    </cfRule>
  </conditionalFormatting>
  <conditionalFormatting sqref="T126:U126">
    <cfRule type="expression" dxfId="11686" priority="13574" stopIfTrue="1">
      <formula>$G125=""</formula>
    </cfRule>
  </conditionalFormatting>
  <conditionalFormatting sqref="U126">
    <cfRule type="expression" dxfId="11685" priority="13577">
      <formula>$HJ126=FALSE</formula>
    </cfRule>
  </conditionalFormatting>
  <conditionalFormatting sqref="AG127">
    <cfRule type="expression" dxfId="11684" priority="13565" stopIfTrue="1">
      <formula>$G125=""</formula>
    </cfRule>
  </conditionalFormatting>
  <conditionalFormatting sqref="AG127:AL127">
    <cfRule type="expression" dxfId="11683" priority="13566">
      <formula>$N128="BAM"</formula>
    </cfRule>
    <cfRule type="expression" dxfId="11682" priority="13570">
      <formula>OR($HU126=FALSE,$HQ126=FALSE)</formula>
    </cfRule>
  </conditionalFormatting>
  <conditionalFormatting sqref="AG127">
    <cfRule type="containsBlanks" dxfId="11681" priority="13567" stopIfTrue="1">
      <formula>LEN(TRIM(AG127))=0</formula>
    </cfRule>
    <cfRule type="expression" dxfId="11680" priority="13568">
      <formula>OR($HP126=FALSE,$HR126=FALSE)</formula>
    </cfRule>
    <cfRule type="expression" dxfId="11679" priority="13569">
      <formula>OR($DS125=7,$DS125=8,$DS125=9)</formula>
    </cfRule>
  </conditionalFormatting>
  <conditionalFormatting sqref="AG125:AL125">
    <cfRule type="expression" dxfId="11678" priority="13564">
      <formula>$C$43&lt;&gt;0</formula>
    </cfRule>
  </conditionalFormatting>
  <conditionalFormatting sqref="AF126">
    <cfRule type="containsBlanks" dxfId="11677" priority="13563">
      <formula>LEN(TRIM(AF126))=0</formula>
    </cfRule>
  </conditionalFormatting>
  <conditionalFormatting sqref="AF126">
    <cfRule type="expression" dxfId="11676" priority="13562" stopIfTrue="1">
      <formula>$G125=""</formula>
    </cfRule>
  </conditionalFormatting>
  <conditionalFormatting sqref="AG126">
    <cfRule type="containsBlanks" dxfId="11675" priority="13560">
      <formula>LEN(TRIM(AG126))=0</formula>
    </cfRule>
    <cfRule type="expression" dxfId="11674" priority="13561">
      <formula>$HO126=FALSE</formula>
    </cfRule>
  </conditionalFormatting>
  <conditionalFormatting sqref="AG126">
    <cfRule type="expression" dxfId="11673" priority="13559" stopIfTrue="1">
      <formula>$G125=""</formula>
    </cfRule>
  </conditionalFormatting>
  <conditionalFormatting sqref="AF126:AK126">
    <cfRule type="expression" dxfId="11672" priority="13558">
      <formula>$C$43&gt;0</formula>
    </cfRule>
  </conditionalFormatting>
  <conditionalFormatting sqref="AM125:AN126">
    <cfRule type="expression" dxfId="11671" priority="13557">
      <formula>$G125=""</formula>
    </cfRule>
  </conditionalFormatting>
  <conditionalFormatting sqref="AM127:AN127">
    <cfRule type="expression" dxfId="11670" priority="13556" stopIfTrue="1">
      <formula>$G125=""</formula>
    </cfRule>
  </conditionalFormatting>
  <conditionalFormatting sqref="T127">
    <cfRule type="expression" dxfId="11669" priority="13578" stopIfTrue="1">
      <formula>$N128="BAM"</formula>
    </cfRule>
  </conditionalFormatting>
  <conditionalFormatting sqref="U127:AE127">
    <cfRule type="expression" dxfId="11668" priority="13555" stopIfTrue="1">
      <formula>$N128="BAM"</formula>
    </cfRule>
  </conditionalFormatting>
  <conditionalFormatting sqref="AG128:AL128">
    <cfRule type="expression" dxfId="11667" priority="13579" stopIfTrue="1">
      <formula>$N128="BAM"</formula>
    </cfRule>
  </conditionalFormatting>
  <conditionalFormatting sqref="AX131">
    <cfRule type="expression" dxfId="11666" priority="13545">
      <formula>$E131=""</formula>
    </cfRule>
  </conditionalFormatting>
  <conditionalFormatting sqref="AX130">
    <cfRule type="expression" dxfId="11665" priority="13544">
      <formula>$E130=""</formula>
    </cfRule>
  </conditionalFormatting>
  <conditionalFormatting sqref="AX132">
    <cfRule type="expression" dxfId="11664" priority="13543">
      <formula>#REF!=""</formula>
    </cfRule>
  </conditionalFormatting>
  <conditionalFormatting sqref="AX133">
    <cfRule type="expression" dxfId="11663" priority="13542">
      <formula>$E132=""</formula>
    </cfRule>
  </conditionalFormatting>
  <conditionalFormatting sqref="AY130:AZ133">
    <cfRule type="expression" dxfId="11662" priority="13541">
      <formula>$G130=""</formula>
    </cfRule>
  </conditionalFormatting>
  <conditionalFormatting sqref="G132">
    <cfRule type="expression" dxfId="11661" priority="13538" stopIfTrue="1">
      <formula>$G130=""</formula>
    </cfRule>
    <cfRule type="containsBlanks" dxfId="11660" priority="13539" stopIfTrue="1">
      <formula>LEN(TRIM(G132))=0</formula>
    </cfRule>
    <cfRule type="expression" dxfId="11659" priority="13540">
      <formula>OR($M132=0,$HH131=FALSE)</formula>
    </cfRule>
  </conditionalFormatting>
  <conditionalFormatting sqref="AO132">
    <cfRule type="expression" dxfId="11658" priority="13537" stopIfTrue="1">
      <formula>$G130=""</formula>
    </cfRule>
  </conditionalFormatting>
  <conditionalFormatting sqref="AU130:AU133">
    <cfRule type="expression" dxfId="11657" priority="13534" stopIfTrue="1">
      <formula>$C$43=2</formula>
    </cfRule>
    <cfRule type="cellIs" dxfId="11656" priority="13535" operator="equal">
      <formula>"Yes"</formula>
    </cfRule>
    <cfRule type="cellIs" dxfId="11655" priority="13536" operator="equal">
      <formula>"No"</formula>
    </cfRule>
  </conditionalFormatting>
  <conditionalFormatting sqref="AO130:AO131">
    <cfRule type="expression" dxfId="11654" priority="13533">
      <formula>$G130=""</formula>
    </cfRule>
  </conditionalFormatting>
  <conditionalFormatting sqref="AP130 AR130:AS133">
    <cfRule type="expression" dxfId="11653" priority="13532">
      <formula>$G130=""</formula>
    </cfRule>
  </conditionalFormatting>
  <conditionalFormatting sqref="AW130:AW133">
    <cfRule type="expression" dxfId="11652" priority="13531">
      <formula>$G130=""</formula>
    </cfRule>
  </conditionalFormatting>
  <conditionalFormatting sqref="G131:L131">
    <cfRule type="expression" dxfId="11651" priority="13529" stopIfTrue="1">
      <formula>$G130=""</formula>
    </cfRule>
    <cfRule type="containsBlanks" dxfId="11650" priority="13530">
      <formula>LEN(TRIM(G131))=0</formula>
    </cfRule>
  </conditionalFormatting>
  <conditionalFormatting sqref="R132">
    <cfRule type="expression" dxfId="11649" priority="13526">
      <formula>$N133="BAM"</formula>
    </cfRule>
    <cfRule type="expression" dxfId="11648" priority="13527" stopIfTrue="1">
      <formula>$G130=""</formula>
    </cfRule>
    <cfRule type="containsBlanks" dxfId="11647" priority="13528">
      <formula>LEN(TRIM(R132))=0</formula>
    </cfRule>
  </conditionalFormatting>
  <conditionalFormatting sqref="R132">
    <cfRule type="expression" dxfId="11646" priority="13525">
      <formula>$C$43=0</formula>
    </cfRule>
  </conditionalFormatting>
  <conditionalFormatting sqref="E133:F133">
    <cfRule type="expression" dxfId="11645" priority="13524">
      <formula>$CQ130="Exterior"</formula>
    </cfRule>
  </conditionalFormatting>
  <conditionalFormatting sqref="G133">
    <cfRule type="expression" dxfId="11644" priority="13514" stopIfTrue="1">
      <formula>$G130=""</formula>
    </cfRule>
  </conditionalFormatting>
  <conditionalFormatting sqref="G133">
    <cfRule type="expression" dxfId="11643" priority="13516" stopIfTrue="1">
      <formula>$CQ130="Exterior"</formula>
    </cfRule>
  </conditionalFormatting>
  <conditionalFormatting sqref="G133:L133">
    <cfRule type="expression" dxfId="11642" priority="13515" stopIfTrue="1">
      <formula>$N133="BAM"</formula>
    </cfRule>
    <cfRule type="containsBlanks" dxfId="11641" priority="13517" stopIfTrue="1">
      <formula>LEN(TRIM(G133))=0</formula>
    </cfRule>
    <cfRule type="expression" dxfId="11640" priority="13519">
      <formula>$HQ131=FALSE</formula>
    </cfRule>
  </conditionalFormatting>
  <conditionalFormatting sqref="G133:L133">
    <cfRule type="expression" dxfId="11639" priority="13518" stopIfTrue="1">
      <formula>$AG132=""</formula>
    </cfRule>
  </conditionalFormatting>
  <conditionalFormatting sqref="G132:L132">
    <cfRule type="expression" dxfId="11638" priority="13512" stopIfTrue="1">
      <formula>$N133="BAM"</formula>
    </cfRule>
  </conditionalFormatting>
  <conditionalFormatting sqref="G130:R130">
    <cfRule type="containsBlanks" dxfId="11637" priority="13511">
      <formula>LEN(TRIM(G130))=0</formula>
    </cfRule>
  </conditionalFormatting>
  <conditionalFormatting sqref="AF132">
    <cfRule type="expression" dxfId="11636" priority="13501" stopIfTrue="1">
      <formula>$G130=""</formula>
    </cfRule>
    <cfRule type="expression" dxfId="11635" priority="13502" stopIfTrue="1">
      <formula>$N133="BAM"</formula>
    </cfRule>
    <cfRule type="expression" dxfId="11634" priority="13510">
      <formula>$AF$49&gt;$T$49</formula>
    </cfRule>
  </conditionalFormatting>
  <conditionalFormatting sqref="AC133:AE133">
    <cfRule type="expression" dxfId="11633" priority="13507" stopIfTrue="1">
      <formula>$G130=""</formula>
    </cfRule>
  </conditionalFormatting>
  <conditionalFormatting sqref="T132:U132">
    <cfRule type="expression" dxfId="11632" priority="13474" stopIfTrue="1">
      <formula>$G130=""</formula>
    </cfRule>
  </conditionalFormatting>
  <conditionalFormatting sqref="T132:U132">
    <cfRule type="containsBlanks" dxfId="11631" priority="13504" stopIfTrue="1">
      <formula>LEN(TRIM(T132))=0</formula>
    </cfRule>
  </conditionalFormatting>
  <conditionalFormatting sqref="AC130:AE130">
    <cfRule type="expression" dxfId="11630" priority="13503">
      <formula>$G130=""</formula>
    </cfRule>
  </conditionalFormatting>
  <conditionalFormatting sqref="AF132 AG133">
    <cfRule type="containsBlanks" dxfId="11629" priority="13508" stopIfTrue="1">
      <formula>LEN(TRIM(AF132))=0</formula>
    </cfRule>
  </conditionalFormatting>
  <conditionalFormatting sqref="AF132">
    <cfRule type="expression" dxfId="11628" priority="13509">
      <formula>OR($HS131=FALSE,$HT131=FALSE)</formula>
    </cfRule>
  </conditionalFormatting>
  <conditionalFormatting sqref="AG133">
    <cfRule type="expression" dxfId="11627" priority="13467">
      <formula>$C$43&gt;0</formula>
    </cfRule>
  </conditionalFormatting>
  <conditionalFormatting sqref="AG133">
    <cfRule type="expression" dxfId="11626" priority="13500" stopIfTrue="1">
      <formula>$G130=""</formula>
    </cfRule>
  </conditionalFormatting>
  <conditionalFormatting sqref="U132">
    <cfRule type="expression" dxfId="11625" priority="13505">
      <formula>OR($HK131=FALSE,$HL131=FALSE)</formula>
    </cfRule>
  </conditionalFormatting>
  <conditionalFormatting sqref="T131:U131">
    <cfRule type="expression" dxfId="11624" priority="13495" stopIfTrue="1">
      <formula>$C$43&lt;&gt;0</formula>
    </cfRule>
    <cfRule type="containsBlanks" dxfId="11623" priority="13496" stopIfTrue="1">
      <formula>LEN(TRIM(T131))=0</formula>
    </cfRule>
  </conditionalFormatting>
  <conditionalFormatting sqref="T131:U131">
    <cfRule type="expression" dxfId="11622" priority="13494" stopIfTrue="1">
      <formula>$G130=""</formula>
    </cfRule>
  </conditionalFormatting>
  <conditionalFormatting sqref="U131">
    <cfRule type="expression" dxfId="11621" priority="13497">
      <formula>$HJ131=FALSE</formula>
    </cfRule>
  </conditionalFormatting>
  <conditionalFormatting sqref="AG132">
    <cfRule type="expression" dxfId="11620" priority="13485" stopIfTrue="1">
      <formula>$G130=""</formula>
    </cfRule>
  </conditionalFormatting>
  <conditionalFormatting sqref="AG132:AL132">
    <cfRule type="expression" dxfId="11619" priority="13486">
      <formula>$N133="BAM"</formula>
    </cfRule>
    <cfRule type="expression" dxfId="11618" priority="13490">
      <formula>OR($HU131=FALSE,$HQ131=FALSE)</formula>
    </cfRule>
  </conditionalFormatting>
  <conditionalFormatting sqref="AG132">
    <cfRule type="containsBlanks" dxfId="11617" priority="13487" stopIfTrue="1">
      <formula>LEN(TRIM(AG132))=0</formula>
    </cfRule>
    <cfRule type="expression" dxfId="11616" priority="13488">
      <formula>OR($HP131=FALSE,$HR131=FALSE)</formula>
    </cfRule>
    <cfRule type="expression" dxfId="11615" priority="13489">
      <formula>OR($DS130=7,$DS130=8,$DS130=9)</formula>
    </cfRule>
  </conditionalFormatting>
  <conditionalFormatting sqref="AG130:AL130">
    <cfRule type="expression" dxfId="11614" priority="13484">
      <formula>$C$43&lt;&gt;0</formula>
    </cfRule>
  </conditionalFormatting>
  <conditionalFormatting sqref="AF131">
    <cfRule type="containsBlanks" dxfId="11613" priority="13483">
      <formula>LEN(TRIM(AF131))=0</formula>
    </cfRule>
  </conditionalFormatting>
  <conditionalFormatting sqref="AF131">
    <cfRule type="expression" dxfId="11612" priority="13482" stopIfTrue="1">
      <formula>$G130=""</formula>
    </cfRule>
  </conditionalFormatting>
  <conditionalFormatting sqref="AG131">
    <cfRule type="containsBlanks" dxfId="11611" priority="13480">
      <formula>LEN(TRIM(AG131))=0</formula>
    </cfRule>
    <cfRule type="expression" dxfId="11610" priority="13481">
      <formula>$HO131=FALSE</formula>
    </cfRule>
  </conditionalFormatting>
  <conditionalFormatting sqref="AG131">
    <cfRule type="expression" dxfId="11609" priority="13479" stopIfTrue="1">
      <formula>$G130=""</formula>
    </cfRule>
  </conditionalFormatting>
  <conditionalFormatting sqref="AF131:AK131">
    <cfRule type="expression" dxfId="11608" priority="13478">
      <formula>$C$43&gt;0</formula>
    </cfRule>
  </conditionalFormatting>
  <conditionalFormatting sqref="AM130:AN131">
    <cfRule type="expression" dxfId="11607" priority="13477">
      <formula>$G130=""</formula>
    </cfRule>
  </conditionalFormatting>
  <conditionalFormatting sqref="AM132:AN132">
    <cfRule type="expression" dxfId="11606" priority="13476" stopIfTrue="1">
      <formula>$G130=""</formula>
    </cfRule>
  </conditionalFormatting>
  <conditionalFormatting sqref="T132">
    <cfRule type="expression" dxfId="11605" priority="13498" stopIfTrue="1">
      <formula>$N133="BAM"</formula>
    </cfRule>
  </conditionalFormatting>
  <conditionalFormatting sqref="U132:AE132">
    <cfRule type="expression" dxfId="11604" priority="13475" stopIfTrue="1">
      <formula>$N133="BAM"</formula>
    </cfRule>
  </conditionalFormatting>
  <conditionalFormatting sqref="AG133:AL133">
    <cfRule type="expression" dxfId="11603" priority="13499" stopIfTrue="1">
      <formula>$N133="BAM"</formula>
    </cfRule>
  </conditionalFormatting>
  <conditionalFormatting sqref="AX136">
    <cfRule type="expression" dxfId="11602" priority="13465">
      <formula>$E136=""</formula>
    </cfRule>
  </conditionalFormatting>
  <conditionalFormatting sqref="AX135">
    <cfRule type="expression" dxfId="11601" priority="13464">
      <formula>$E135=""</formula>
    </cfRule>
  </conditionalFormatting>
  <conditionalFormatting sqref="AX137">
    <cfRule type="expression" dxfId="11600" priority="13463">
      <formula>#REF!=""</formula>
    </cfRule>
  </conditionalFormatting>
  <conditionalFormatting sqref="AX138">
    <cfRule type="expression" dxfId="11599" priority="13462">
      <formula>$E137=""</formula>
    </cfRule>
  </conditionalFormatting>
  <conditionalFormatting sqref="AY135:AZ138">
    <cfRule type="expression" dxfId="11598" priority="13461">
      <formula>$G135=""</formula>
    </cfRule>
  </conditionalFormatting>
  <conditionalFormatting sqref="G137">
    <cfRule type="expression" dxfId="11597" priority="13458" stopIfTrue="1">
      <formula>$G135=""</formula>
    </cfRule>
    <cfRule type="containsBlanks" dxfId="11596" priority="13459" stopIfTrue="1">
      <formula>LEN(TRIM(G137))=0</formula>
    </cfRule>
    <cfRule type="expression" dxfId="11595" priority="13460">
      <formula>OR($M137=0,$HH136=FALSE)</formula>
    </cfRule>
  </conditionalFormatting>
  <conditionalFormatting sqref="AO137">
    <cfRule type="expression" dxfId="11594" priority="13457" stopIfTrue="1">
      <formula>$G135=""</formula>
    </cfRule>
  </conditionalFormatting>
  <conditionalFormatting sqref="AU135:AU138">
    <cfRule type="expression" dxfId="11593" priority="13454" stopIfTrue="1">
      <formula>$C$43=2</formula>
    </cfRule>
    <cfRule type="cellIs" dxfId="11592" priority="13455" operator="equal">
      <formula>"Yes"</formula>
    </cfRule>
    <cfRule type="cellIs" dxfId="11591" priority="13456" operator="equal">
      <formula>"No"</formula>
    </cfRule>
  </conditionalFormatting>
  <conditionalFormatting sqref="AO135:AO136">
    <cfRule type="expression" dxfId="11590" priority="13453">
      <formula>$G135=""</formula>
    </cfRule>
  </conditionalFormatting>
  <conditionalFormatting sqref="AP135 AR135:AS138">
    <cfRule type="expression" dxfId="11589" priority="13452">
      <formula>$G135=""</formula>
    </cfRule>
  </conditionalFormatting>
  <conditionalFormatting sqref="AW135:AW138">
    <cfRule type="expression" dxfId="11588" priority="13451">
      <formula>$G135=""</formula>
    </cfRule>
  </conditionalFormatting>
  <conditionalFormatting sqref="G136:L136">
    <cfRule type="expression" dxfId="11587" priority="13449" stopIfTrue="1">
      <formula>$G135=""</formula>
    </cfRule>
    <cfRule type="containsBlanks" dxfId="11586" priority="13450">
      <formula>LEN(TRIM(G136))=0</formula>
    </cfRule>
  </conditionalFormatting>
  <conditionalFormatting sqref="R137">
    <cfRule type="expression" dxfId="11585" priority="13446">
      <formula>$N138="BAM"</formula>
    </cfRule>
    <cfRule type="expression" dxfId="11584" priority="13447" stopIfTrue="1">
      <formula>$G135=""</formula>
    </cfRule>
    <cfRule type="containsBlanks" dxfId="11583" priority="13448">
      <formula>LEN(TRIM(R137))=0</formula>
    </cfRule>
  </conditionalFormatting>
  <conditionalFormatting sqref="R137">
    <cfRule type="expression" dxfId="11582" priority="13445">
      <formula>$C$43=0</formula>
    </cfRule>
  </conditionalFormatting>
  <conditionalFormatting sqref="E138:F138">
    <cfRule type="expression" dxfId="11581" priority="13444">
      <formula>$CQ135="Exterior"</formula>
    </cfRule>
  </conditionalFormatting>
  <conditionalFormatting sqref="G138">
    <cfRule type="expression" dxfId="11580" priority="13434" stopIfTrue="1">
      <formula>$G135=""</formula>
    </cfRule>
  </conditionalFormatting>
  <conditionalFormatting sqref="G138">
    <cfRule type="expression" dxfId="11579" priority="13436" stopIfTrue="1">
      <formula>$CQ135="Exterior"</formula>
    </cfRule>
  </conditionalFormatting>
  <conditionalFormatting sqref="G138:L138">
    <cfRule type="expression" dxfId="11578" priority="13435" stopIfTrue="1">
      <formula>$N138="BAM"</formula>
    </cfRule>
    <cfRule type="containsBlanks" dxfId="11577" priority="13437" stopIfTrue="1">
      <formula>LEN(TRIM(G138))=0</formula>
    </cfRule>
    <cfRule type="expression" dxfId="11576" priority="13439">
      <formula>$HQ136=FALSE</formula>
    </cfRule>
  </conditionalFormatting>
  <conditionalFormatting sqref="G138:L138">
    <cfRule type="expression" dxfId="11575" priority="13438" stopIfTrue="1">
      <formula>$AG137=""</formula>
    </cfRule>
  </conditionalFormatting>
  <conditionalFormatting sqref="G137:L137">
    <cfRule type="expression" dxfId="11574" priority="13432" stopIfTrue="1">
      <formula>$N138="BAM"</formula>
    </cfRule>
  </conditionalFormatting>
  <conditionalFormatting sqref="G135:R135">
    <cfRule type="containsBlanks" dxfId="11573" priority="13431">
      <formula>LEN(TRIM(G135))=0</formula>
    </cfRule>
  </conditionalFormatting>
  <conditionalFormatting sqref="AF137">
    <cfRule type="expression" dxfId="11572" priority="13421" stopIfTrue="1">
      <formula>$G135=""</formula>
    </cfRule>
    <cfRule type="expression" dxfId="11571" priority="13422" stopIfTrue="1">
      <formula>$N138="BAM"</formula>
    </cfRule>
    <cfRule type="expression" dxfId="11570" priority="13430">
      <formula>$AF$49&gt;$T$49</formula>
    </cfRule>
  </conditionalFormatting>
  <conditionalFormatting sqref="AC138:AE138">
    <cfRule type="expression" dxfId="11569" priority="13427" stopIfTrue="1">
      <formula>$G135=""</formula>
    </cfRule>
  </conditionalFormatting>
  <conditionalFormatting sqref="T137:U137">
    <cfRule type="expression" dxfId="11568" priority="13394" stopIfTrue="1">
      <formula>$G135=""</formula>
    </cfRule>
  </conditionalFormatting>
  <conditionalFormatting sqref="T137:U137">
    <cfRule type="containsBlanks" dxfId="11567" priority="13424" stopIfTrue="1">
      <formula>LEN(TRIM(T137))=0</formula>
    </cfRule>
  </conditionalFormatting>
  <conditionalFormatting sqref="AC135:AE135">
    <cfRule type="expression" dxfId="11566" priority="13423">
      <formula>$G135=""</formula>
    </cfRule>
  </conditionalFormatting>
  <conditionalFormatting sqref="AF137 AG138">
    <cfRule type="containsBlanks" dxfId="11565" priority="13428" stopIfTrue="1">
      <formula>LEN(TRIM(AF137))=0</formula>
    </cfRule>
  </conditionalFormatting>
  <conditionalFormatting sqref="AF137">
    <cfRule type="expression" dxfId="11564" priority="13429">
      <formula>OR($HS136=FALSE,$HT136=FALSE)</formula>
    </cfRule>
  </conditionalFormatting>
  <conditionalFormatting sqref="AG138">
    <cfRule type="expression" dxfId="11563" priority="13387">
      <formula>$C$43&gt;0</formula>
    </cfRule>
  </conditionalFormatting>
  <conditionalFormatting sqref="AG138">
    <cfRule type="expression" dxfId="11562" priority="13420" stopIfTrue="1">
      <formula>$G135=""</formula>
    </cfRule>
  </conditionalFormatting>
  <conditionalFormatting sqref="U137">
    <cfRule type="expression" dxfId="11561" priority="13425">
      <formula>OR($HK136=FALSE,$HL136=FALSE)</formula>
    </cfRule>
  </conditionalFormatting>
  <conditionalFormatting sqref="T136:U136">
    <cfRule type="expression" dxfId="11560" priority="13415" stopIfTrue="1">
      <formula>$C$43&lt;&gt;0</formula>
    </cfRule>
    <cfRule type="containsBlanks" dxfId="11559" priority="13416" stopIfTrue="1">
      <formula>LEN(TRIM(T136))=0</formula>
    </cfRule>
  </conditionalFormatting>
  <conditionalFormatting sqref="T136:U136">
    <cfRule type="expression" dxfId="11558" priority="13414" stopIfTrue="1">
      <formula>$G135=""</formula>
    </cfRule>
  </conditionalFormatting>
  <conditionalFormatting sqref="U136">
    <cfRule type="expression" dxfId="11557" priority="13417">
      <formula>$HJ136=FALSE</formula>
    </cfRule>
  </conditionalFormatting>
  <conditionalFormatting sqref="AG137">
    <cfRule type="expression" dxfId="11556" priority="13405" stopIfTrue="1">
      <formula>$G135=""</formula>
    </cfRule>
  </conditionalFormatting>
  <conditionalFormatting sqref="AG137:AL137">
    <cfRule type="expression" dxfId="11555" priority="13406">
      <formula>$N138="BAM"</formula>
    </cfRule>
    <cfRule type="expression" dxfId="11554" priority="13410">
      <formula>OR($HU136=FALSE,$HQ136=FALSE)</formula>
    </cfRule>
  </conditionalFormatting>
  <conditionalFormatting sqref="AG137">
    <cfRule type="containsBlanks" dxfId="11553" priority="13407" stopIfTrue="1">
      <formula>LEN(TRIM(AG137))=0</formula>
    </cfRule>
    <cfRule type="expression" dxfId="11552" priority="13408">
      <formula>OR($HP136=FALSE,$HR136=FALSE)</formula>
    </cfRule>
    <cfRule type="expression" dxfId="11551" priority="13409">
      <formula>OR($DS135=7,$DS135=8,$DS135=9)</formula>
    </cfRule>
  </conditionalFormatting>
  <conditionalFormatting sqref="AG135:AL135">
    <cfRule type="expression" dxfId="11550" priority="13404">
      <formula>$C$43&lt;&gt;0</formula>
    </cfRule>
  </conditionalFormatting>
  <conditionalFormatting sqref="AF136">
    <cfRule type="containsBlanks" dxfId="11549" priority="13403">
      <formula>LEN(TRIM(AF136))=0</formula>
    </cfRule>
  </conditionalFormatting>
  <conditionalFormatting sqref="AF136">
    <cfRule type="expression" dxfId="11548" priority="13402" stopIfTrue="1">
      <formula>$G135=""</formula>
    </cfRule>
  </conditionalFormatting>
  <conditionalFormatting sqref="AG136">
    <cfRule type="containsBlanks" dxfId="11547" priority="13400">
      <formula>LEN(TRIM(AG136))=0</formula>
    </cfRule>
    <cfRule type="expression" dxfId="11546" priority="13401">
      <formula>$HO136=FALSE</formula>
    </cfRule>
  </conditionalFormatting>
  <conditionalFormatting sqref="AG136">
    <cfRule type="expression" dxfId="11545" priority="13399" stopIfTrue="1">
      <formula>$G135=""</formula>
    </cfRule>
  </conditionalFormatting>
  <conditionalFormatting sqref="AF136:AK136">
    <cfRule type="expression" dxfId="11544" priority="13398">
      <formula>$C$43&gt;0</formula>
    </cfRule>
  </conditionalFormatting>
  <conditionalFormatting sqref="AM135:AN136">
    <cfRule type="expression" dxfId="11543" priority="13397">
      <formula>$G135=""</formula>
    </cfRule>
  </conditionalFormatting>
  <conditionalFormatting sqref="AM137:AN137">
    <cfRule type="expression" dxfId="11542" priority="13396" stopIfTrue="1">
      <formula>$G135=""</formula>
    </cfRule>
  </conditionalFormatting>
  <conditionalFormatting sqref="T137">
    <cfRule type="expression" dxfId="11541" priority="13418" stopIfTrue="1">
      <formula>$N138="BAM"</formula>
    </cfRule>
  </conditionalFormatting>
  <conditionalFormatting sqref="U137:AE137">
    <cfRule type="expression" dxfId="11540" priority="13395" stopIfTrue="1">
      <formula>$N138="BAM"</formula>
    </cfRule>
  </conditionalFormatting>
  <conditionalFormatting sqref="AG138:AL138">
    <cfRule type="expression" dxfId="11539" priority="13419" stopIfTrue="1">
      <formula>$N138="BAM"</formula>
    </cfRule>
  </conditionalFormatting>
  <conditionalFormatting sqref="AX141">
    <cfRule type="expression" dxfId="11538" priority="13385">
      <formula>$E141=""</formula>
    </cfRule>
  </conditionalFormatting>
  <conditionalFormatting sqref="AX140">
    <cfRule type="expression" dxfId="11537" priority="13384">
      <formula>$E140=""</formula>
    </cfRule>
  </conditionalFormatting>
  <conditionalFormatting sqref="AX142">
    <cfRule type="expression" dxfId="11536" priority="13383">
      <formula>#REF!=""</formula>
    </cfRule>
  </conditionalFormatting>
  <conditionalFormatting sqref="AX143">
    <cfRule type="expression" dxfId="11535" priority="13382">
      <formula>$E142=""</formula>
    </cfRule>
  </conditionalFormatting>
  <conditionalFormatting sqref="AY140:AZ143">
    <cfRule type="expression" dxfId="11534" priority="13381">
      <formula>$G140=""</formula>
    </cfRule>
  </conditionalFormatting>
  <conditionalFormatting sqref="G142">
    <cfRule type="expression" dxfId="11533" priority="13378" stopIfTrue="1">
      <formula>$G140=""</formula>
    </cfRule>
    <cfRule type="containsBlanks" dxfId="11532" priority="13379" stopIfTrue="1">
      <formula>LEN(TRIM(G142))=0</formula>
    </cfRule>
    <cfRule type="expression" dxfId="11531" priority="13380">
      <formula>OR($M142=0,$HH141=FALSE)</formula>
    </cfRule>
  </conditionalFormatting>
  <conditionalFormatting sqref="AO142">
    <cfRule type="expression" dxfId="11530" priority="13377" stopIfTrue="1">
      <formula>$G140=""</formula>
    </cfRule>
  </conditionalFormatting>
  <conditionalFormatting sqref="AU140:AU143">
    <cfRule type="expression" dxfId="11529" priority="13374" stopIfTrue="1">
      <formula>$C$43=2</formula>
    </cfRule>
    <cfRule type="cellIs" dxfId="11528" priority="13375" operator="equal">
      <formula>"Yes"</formula>
    </cfRule>
    <cfRule type="cellIs" dxfId="11527" priority="13376" operator="equal">
      <formula>"No"</formula>
    </cfRule>
  </conditionalFormatting>
  <conditionalFormatting sqref="AO140:AO141">
    <cfRule type="expression" dxfId="11526" priority="13373">
      <formula>$G140=""</formula>
    </cfRule>
  </conditionalFormatting>
  <conditionalFormatting sqref="AP140 AR140:AS143">
    <cfRule type="expression" dxfId="11525" priority="13372">
      <formula>$G140=""</formula>
    </cfRule>
  </conditionalFormatting>
  <conditionalFormatting sqref="AW140:AW143">
    <cfRule type="expression" dxfId="11524" priority="13371">
      <formula>$G140=""</formula>
    </cfRule>
  </conditionalFormatting>
  <conditionalFormatting sqref="G141:L141">
    <cfRule type="expression" dxfId="11523" priority="13369" stopIfTrue="1">
      <formula>$G140=""</formula>
    </cfRule>
    <cfRule type="containsBlanks" dxfId="11522" priority="13370">
      <formula>LEN(TRIM(G141))=0</formula>
    </cfRule>
  </conditionalFormatting>
  <conditionalFormatting sqref="R142">
    <cfRule type="expression" dxfId="11521" priority="13366">
      <formula>$N143="BAM"</formula>
    </cfRule>
    <cfRule type="expression" dxfId="11520" priority="13367" stopIfTrue="1">
      <formula>$G140=""</formula>
    </cfRule>
    <cfRule type="containsBlanks" dxfId="11519" priority="13368">
      <formula>LEN(TRIM(R142))=0</formula>
    </cfRule>
  </conditionalFormatting>
  <conditionalFormatting sqref="R142">
    <cfRule type="expression" dxfId="11518" priority="13365">
      <formula>$C$43=0</formula>
    </cfRule>
  </conditionalFormatting>
  <conditionalFormatting sqref="E143:F143">
    <cfRule type="expression" dxfId="11517" priority="13364">
      <formula>$CQ140="Exterior"</formula>
    </cfRule>
  </conditionalFormatting>
  <conditionalFormatting sqref="G143">
    <cfRule type="expression" dxfId="11516" priority="13354" stopIfTrue="1">
      <formula>$G140=""</formula>
    </cfRule>
  </conditionalFormatting>
  <conditionalFormatting sqref="G143">
    <cfRule type="expression" dxfId="11515" priority="13356" stopIfTrue="1">
      <formula>$CQ140="Exterior"</formula>
    </cfRule>
  </conditionalFormatting>
  <conditionalFormatting sqref="G143:L143">
    <cfRule type="expression" dxfId="11514" priority="13355" stopIfTrue="1">
      <formula>$N143="BAM"</formula>
    </cfRule>
    <cfRule type="containsBlanks" dxfId="11513" priority="13357" stopIfTrue="1">
      <formula>LEN(TRIM(G143))=0</formula>
    </cfRule>
    <cfRule type="expression" dxfId="11512" priority="13359">
      <formula>$HQ141=FALSE</formula>
    </cfRule>
  </conditionalFormatting>
  <conditionalFormatting sqref="G143:L143">
    <cfRule type="expression" dxfId="11511" priority="13358" stopIfTrue="1">
      <formula>$AG142=""</formula>
    </cfRule>
  </conditionalFormatting>
  <conditionalFormatting sqref="G142:L142">
    <cfRule type="expression" dxfId="11510" priority="13352" stopIfTrue="1">
      <formula>$N143="BAM"</formula>
    </cfRule>
  </conditionalFormatting>
  <conditionalFormatting sqref="G140:R140">
    <cfRule type="containsBlanks" dxfId="11509" priority="13351">
      <formula>LEN(TRIM(G140))=0</formula>
    </cfRule>
  </conditionalFormatting>
  <conditionalFormatting sqref="AF142">
    <cfRule type="expression" dxfId="11508" priority="13341" stopIfTrue="1">
      <formula>$G140=""</formula>
    </cfRule>
    <cfRule type="expression" dxfId="11507" priority="13342" stopIfTrue="1">
      <formula>$N143="BAM"</formula>
    </cfRule>
    <cfRule type="expression" dxfId="11506" priority="13350">
      <formula>$AF$49&gt;$T$49</formula>
    </cfRule>
  </conditionalFormatting>
  <conditionalFormatting sqref="AC143:AE143">
    <cfRule type="expression" dxfId="11505" priority="13347" stopIfTrue="1">
      <formula>$G140=""</formula>
    </cfRule>
  </conditionalFormatting>
  <conditionalFormatting sqref="T142:U142">
    <cfRule type="expression" dxfId="11504" priority="13314" stopIfTrue="1">
      <formula>$G140=""</formula>
    </cfRule>
  </conditionalFormatting>
  <conditionalFormatting sqref="T142:U142">
    <cfRule type="containsBlanks" dxfId="11503" priority="13344" stopIfTrue="1">
      <formula>LEN(TRIM(T142))=0</formula>
    </cfRule>
  </conditionalFormatting>
  <conditionalFormatting sqref="AC140:AE140">
    <cfRule type="expression" dxfId="11502" priority="13343">
      <formula>$G140=""</formula>
    </cfRule>
  </conditionalFormatting>
  <conditionalFormatting sqref="AF142 AG143">
    <cfRule type="containsBlanks" dxfId="11501" priority="13348" stopIfTrue="1">
      <formula>LEN(TRIM(AF142))=0</formula>
    </cfRule>
  </conditionalFormatting>
  <conditionalFormatting sqref="AF142">
    <cfRule type="expression" dxfId="11500" priority="13349">
      <formula>OR($HS141=FALSE,$HT141=FALSE)</formula>
    </cfRule>
  </conditionalFormatting>
  <conditionalFormatting sqref="AG143">
    <cfRule type="expression" dxfId="11499" priority="13307">
      <formula>$C$43&gt;0</formula>
    </cfRule>
  </conditionalFormatting>
  <conditionalFormatting sqref="AG143">
    <cfRule type="expression" dxfId="11498" priority="13340" stopIfTrue="1">
      <formula>$G140=""</formula>
    </cfRule>
  </conditionalFormatting>
  <conditionalFormatting sqref="U142">
    <cfRule type="expression" dxfId="11497" priority="13345">
      <formula>OR($HK141=FALSE,$HL141=FALSE)</formula>
    </cfRule>
  </conditionalFormatting>
  <conditionalFormatting sqref="T141:U141">
    <cfRule type="expression" dxfId="11496" priority="13335" stopIfTrue="1">
      <formula>$C$43&lt;&gt;0</formula>
    </cfRule>
    <cfRule type="containsBlanks" dxfId="11495" priority="13336" stopIfTrue="1">
      <formula>LEN(TRIM(T141))=0</formula>
    </cfRule>
  </conditionalFormatting>
  <conditionalFormatting sqref="T141:U141">
    <cfRule type="expression" dxfId="11494" priority="13334" stopIfTrue="1">
      <formula>$G140=""</formula>
    </cfRule>
  </conditionalFormatting>
  <conditionalFormatting sqref="U141">
    <cfRule type="expression" dxfId="11493" priority="13337">
      <formula>$HJ141=FALSE</formula>
    </cfRule>
  </conditionalFormatting>
  <conditionalFormatting sqref="AG142">
    <cfRule type="expression" dxfId="11492" priority="13325" stopIfTrue="1">
      <formula>$G140=""</formula>
    </cfRule>
  </conditionalFormatting>
  <conditionalFormatting sqref="AG142:AL142">
    <cfRule type="expression" dxfId="11491" priority="13326">
      <formula>$N143="BAM"</formula>
    </cfRule>
    <cfRule type="expression" dxfId="11490" priority="13330">
      <formula>OR($HU141=FALSE,$HQ141=FALSE)</formula>
    </cfRule>
  </conditionalFormatting>
  <conditionalFormatting sqref="AG142">
    <cfRule type="containsBlanks" dxfId="11489" priority="13327" stopIfTrue="1">
      <formula>LEN(TRIM(AG142))=0</formula>
    </cfRule>
    <cfRule type="expression" dxfId="11488" priority="13328">
      <formula>OR($HP141=FALSE,$HR141=FALSE)</formula>
    </cfRule>
    <cfRule type="expression" dxfId="11487" priority="13329">
      <formula>OR($DS140=7,$DS140=8,$DS140=9)</formula>
    </cfRule>
  </conditionalFormatting>
  <conditionalFormatting sqref="AG140:AL140">
    <cfRule type="expression" dxfId="11486" priority="13324">
      <formula>$C$43&lt;&gt;0</formula>
    </cfRule>
  </conditionalFormatting>
  <conditionalFormatting sqref="AF141">
    <cfRule type="containsBlanks" dxfId="11485" priority="13323">
      <formula>LEN(TRIM(AF141))=0</formula>
    </cfRule>
  </conditionalFormatting>
  <conditionalFormatting sqref="AF141">
    <cfRule type="expression" dxfId="11484" priority="13322" stopIfTrue="1">
      <formula>$G140=""</formula>
    </cfRule>
  </conditionalFormatting>
  <conditionalFormatting sqref="AG141">
    <cfRule type="containsBlanks" dxfId="11483" priority="13320">
      <formula>LEN(TRIM(AG141))=0</formula>
    </cfRule>
    <cfRule type="expression" dxfId="11482" priority="13321">
      <formula>$HO141=FALSE</formula>
    </cfRule>
  </conditionalFormatting>
  <conditionalFormatting sqref="AG141">
    <cfRule type="expression" dxfId="11481" priority="13319" stopIfTrue="1">
      <formula>$G140=""</formula>
    </cfRule>
  </conditionalFormatting>
  <conditionalFormatting sqref="AF141:AK141">
    <cfRule type="expression" dxfId="11480" priority="13318">
      <formula>$C$43&gt;0</formula>
    </cfRule>
  </conditionalFormatting>
  <conditionalFormatting sqref="AM140:AN141">
    <cfRule type="expression" dxfId="11479" priority="13317">
      <formula>$G140=""</formula>
    </cfRule>
  </conditionalFormatting>
  <conditionalFormatting sqref="AM142:AN142">
    <cfRule type="expression" dxfId="11478" priority="13316" stopIfTrue="1">
      <formula>$G140=""</formula>
    </cfRule>
  </conditionalFormatting>
  <conditionalFormatting sqref="T142">
    <cfRule type="expression" dxfId="11477" priority="13338" stopIfTrue="1">
      <formula>$N143="BAM"</formula>
    </cfRule>
  </conditionalFormatting>
  <conditionalFormatting sqref="U142:AE142">
    <cfRule type="expression" dxfId="11476" priority="13315" stopIfTrue="1">
      <formula>$N143="BAM"</formula>
    </cfRule>
  </conditionalFormatting>
  <conditionalFormatting sqref="AG143:AL143">
    <cfRule type="expression" dxfId="11475" priority="13339" stopIfTrue="1">
      <formula>$N143="BAM"</formula>
    </cfRule>
  </conditionalFormatting>
  <conditionalFormatting sqref="AX146">
    <cfRule type="expression" dxfId="11474" priority="13305">
      <formula>$E146=""</formula>
    </cfRule>
  </conditionalFormatting>
  <conditionalFormatting sqref="AX145">
    <cfRule type="expression" dxfId="11473" priority="13304">
      <formula>$E145=""</formula>
    </cfRule>
  </conditionalFormatting>
  <conditionalFormatting sqref="AX147">
    <cfRule type="expression" dxfId="11472" priority="13303">
      <formula>#REF!=""</formula>
    </cfRule>
  </conditionalFormatting>
  <conditionalFormatting sqref="AX148">
    <cfRule type="expression" dxfId="11471" priority="13302">
      <formula>$E147=""</formula>
    </cfRule>
  </conditionalFormatting>
  <conditionalFormatting sqref="AY145:AZ148">
    <cfRule type="expression" dxfId="11470" priority="13301">
      <formula>$G145=""</formula>
    </cfRule>
  </conditionalFormatting>
  <conditionalFormatting sqref="G147">
    <cfRule type="expression" dxfId="11469" priority="13298" stopIfTrue="1">
      <formula>$G145=""</formula>
    </cfRule>
    <cfRule type="containsBlanks" dxfId="11468" priority="13299" stopIfTrue="1">
      <formula>LEN(TRIM(G147))=0</formula>
    </cfRule>
    <cfRule type="expression" dxfId="11467" priority="13300">
      <formula>OR($M147=0,$HH146=FALSE)</formula>
    </cfRule>
  </conditionalFormatting>
  <conditionalFormatting sqref="AO147">
    <cfRule type="expression" dxfId="11466" priority="13297" stopIfTrue="1">
      <formula>$G145=""</formula>
    </cfRule>
  </conditionalFormatting>
  <conditionalFormatting sqref="AU145:AU148">
    <cfRule type="expression" dxfId="11465" priority="13294" stopIfTrue="1">
      <formula>$C$43=2</formula>
    </cfRule>
    <cfRule type="cellIs" dxfId="11464" priority="13295" operator="equal">
      <formula>"Yes"</formula>
    </cfRule>
    <cfRule type="cellIs" dxfId="11463" priority="13296" operator="equal">
      <formula>"No"</formula>
    </cfRule>
  </conditionalFormatting>
  <conditionalFormatting sqref="AO145:AO146">
    <cfRule type="expression" dxfId="11462" priority="13293">
      <formula>$G145=""</formula>
    </cfRule>
  </conditionalFormatting>
  <conditionalFormatting sqref="AP145 AR145:AS148">
    <cfRule type="expression" dxfId="11461" priority="13292">
      <formula>$G145=""</formula>
    </cfRule>
  </conditionalFormatting>
  <conditionalFormatting sqref="AW145:AW148">
    <cfRule type="expression" dxfId="11460" priority="13291">
      <formula>$G145=""</formula>
    </cfRule>
  </conditionalFormatting>
  <conditionalFormatting sqref="G146:L146">
    <cfRule type="expression" dxfId="11459" priority="13289" stopIfTrue="1">
      <formula>$G145=""</formula>
    </cfRule>
    <cfRule type="containsBlanks" dxfId="11458" priority="13290">
      <formula>LEN(TRIM(G146))=0</formula>
    </cfRule>
  </conditionalFormatting>
  <conditionalFormatting sqref="R147">
    <cfRule type="expression" dxfId="11457" priority="13286">
      <formula>$N148="BAM"</formula>
    </cfRule>
    <cfRule type="expression" dxfId="11456" priority="13287" stopIfTrue="1">
      <formula>$G145=""</formula>
    </cfRule>
    <cfRule type="containsBlanks" dxfId="11455" priority="13288">
      <formula>LEN(TRIM(R147))=0</formula>
    </cfRule>
  </conditionalFormatting>
  <conditionalFormatting sqref="R147">
    <cfRule type="expression" dxfId="11454" priority="13285">
      <formula>$C$43=0</formula>
    </cfRule>
  </conditionalFormatting>
  <conditionalFormatting sqref="E148:F148">
    <cfRule type="expression" dxfId="11453" priority="13284">
      <formula>$CQ145="Exterior"</formula>
    </cfRule>
  </conditionalFormatting>
  <conditionalFormatting sqref="G148">
    <cfRule type="expression" dxfId="11452" priority="13274" stopIfTrue="1">
      <formula>$G145=""</formula>
    </cfRule>
  </conditionalFormatting>
  <conditionalFormatting sqref="G148">
    <cfRule type="expression" dxfId="11451" priority="13276" stopIfTrue="1">
      <formula>$CQ145="Exterior"</formula>
    </cfRule>
  </conditionalFormatting>
  <conditionalFormatting sqref="G148:L148">
    <cfRule type="expression" dxfId="11450" priority="13275" stopIfTrue="1">
      <formula>$N148="BAM"</formula>
    </cfRule>
    <cfRule type="containsBlanks" dxfId="11449" priority="13277" stopIfTrue="1">
      <formula>LEN(TRIM(G148))=0</formula>
    </cfRule>
    <cfRule type="expression" dxfId="11448" priority="13279">
      <formula>$HQ146=FALSE</formula>
    </cfRule>
  </conditionalFormatting>
  <conditionalFormatting sqref="G148:L148">
    <cfRule type="expression" dxfId="11447" priority="13278" stopIfTrue="1">
      <formula>$AG147=""</formula>
    </cfRule>
  </conditionalFormatting>
  <conditionalFormatting sqref="G147:L147">
    <cfRule type="expression" dxfId="11446" priority="13272" stopIfTrue="1">
      <formula>$N148="BAM"</formula>
    </cfRule>
  </conditionalFormatting>
  <conditionalFormatting sqref="G145:R145">
    <cfRule type="containsBlanks" dxfId="11445" priority="13271">
      <formula>LEN(TRIM(G145))=0</formula>
    </cfRule>
  </conditionalFormatting>
  <conditionalFormatting sqref="AF147">
    <cfRule type="expression" dxfId="11444" priority="13261" stopIfTrue="1">
      <formula>$G145=""</formula>
    </cfRule>
    <cfRule type="expression" dxfId="11443" priority="13262" stopIfTrue="1">
      <formula>$N148="BAM"</formula>
    </cfRule>
    <cfRule type="expression" dxfId="11442" priority="13270">
      <formula>$AF$49&gt;$T$49</formula>
    </cfRule>
  </conditionalFormatting>
  <conditionalFormatting sqref="AC148:AE148">
    <cfRule type="expression" dxfId="11441" priority="13267" stopIfTrue="1">
      <formula>$G145=""</formula>
    </cfRule>
  </conditionalFormatting>
  <conditionalFormatting sqref="T147:U147">
    <cfRule type="expression" dxfId="11440" priority="13234" stopIfTrue="1">
      <formula>$G145=""</formula>
    </cfRule>
  </conditionalFormatting>
  <conditionalFormatting sqref="T147:U147">
    <cfRule type="containsBlanks" dxfId="11439" priority="13264" stopIfTrue="1">
      <formula>LEN(TRIM(T147))=0</formula>
    </cfRule>
  </conditionalFormatting>
  <conditionalFormatting sqref="AC145:AE145">
    <cfRule type="expression" dxfId="11438" priority="13263">
      <formula>$G145=""</formula>
    </cfRule>
  </conditionalFormatting>
  <conditionalFormatting sqref="AF147 AG148">
    <cfRule type="containsBlanks" dxfId="11437" priority="13268" stopIfTrue="1">
      <formula>LEN(TRIM(AF147))=0</formula>
    </cfRule>
  </conditionalFormatting>
  <conditionalFormatting sqref="AF147">
    <cfRule type="expression" dxfId="11436" priority="13269">
      <formula>OR($HS146=FALSE,$HT146=FALSE)</formula>
    </cfRule>
  </conditionalFormatting>
  <conditionalFormatting sqref="AG148">
    <cfRule type="expression" dxfId="11435" priority="13227">
      <formula>$C$43&gt;0</formula>
    </cfRule>
  </conditionalFormatting>
  <conditionalFormatting sqref="AG148">
    <cfRule type="expression" dxfId="11434" priority="13260" stopIfTrue="1">
      <formula>$G145=""</formula>
    </cfRule>
  </conditionalFormatting>
  <conditionalFormatting sqref="U147">
    <cfRule type="expression" dxfId="11433" priority="13265">
      <formula>OR($HK146=FALSE,$HL146=FALSE)</formula>
    </cfRule>
  </conditionalFormatting>
  <conditionalFormatting sqref="T146:U146">
    <cfRule type="expression" dxfId="11432" priority="13255" stopIfTrue="1">
      <formula>$C$43&lt;&gt;0</formula>
    </cfRule>
    <cfRule type="containsBlanks" dxfId="11431" priority="13256" stopIfTrue="1">
      <formula>LEN(TRIM(T146))=0</formula>
    </cfRule>
  </conditionalFormatting>
  <conditionalFormatting sqref="T146:U146">
    <cfRule type="expression" dxfId="11430" priority="13254" stopIfTrue="1">
      <formula>$G145=""</formula>
    </cfRule>
  </conditionalFormatting>
  <conditionalFormatting sqref="U146">
    <cfRule type="expression" dxfId="11429" priority="13257">
      <formula>$HJ146=FALSE</formula>
    </cfRule>
  </conditionalFormatting>
  <conditionalFormatting sqref="AG147">
    <cfRule type="expression" dxfId="11428" priority="13245" stopIfTrue="1">
      <formula>$G145=""</formula>
    </cfRule>
  </conditionalFormatting>
  <conditionalFormatting sqref="AG147:AL147">
    <cfRule type="expression" dxfId="11427" priority="13246">
      <formula>$N148="BAM"</formula>
    </cfRule>
    <cfRule type="expression" dxfId="11426" priority="13250">
      <formula>OR($HU146=FALSE,$HQ146=FALSE)</formula>
    </cfRule>
  </conditionalFormatting>
  <conditionalFormatting sqref="AG147">
    <cfRule type="containsBlanks" dxfId="11425" priority="13247" stopIfTrue="1">
      <formula>LEN(TRIM(AG147))=0</formula>
    </cfRule>
    <cfRule type="expression" dxfId="11424" priority="13248">
      <formula>OR($HP146=FALSE,$HR146=FALSE)</formula>
    </cfRule>
    <cfRule type="expression" dxfId="11423" priority="13249">
      <formula>OR($DS145=7,$DS145=8,$DS145=9)</formula>
    </cfRule>
  </conditionalFormatting>
  <conditionalFormatting sqref="AG145:AL145">
    <cfRule type="expression" dxfId="11422" priority="13244">
      <formula>$C$43&lt;&gt;0</formula>
    </cfRule>
  </conditionalFormatting>
  <conditionalFormatting sqref="AF146">
    <cfRule type="containsBlanks" dxfId="11421" priority="13243">
      <formula>LEN(TRIM(AF146))=0</formula>
    </cfRule>
  </conditionalFormatting>
  <conditionalFormatting sqref="AF146">
    <cfRule type="expression" dxfId="11420" priority="13242" stopIfTrue="1">
      <formula>$G145=""</formula>
    </cfRule>
  </conditionalFormatting>
  <conditionalFormatting sqref="AG146">
    <cfRule type="containsBlanks" dxfId="11419" priority="13240">
      <formula>LEN(TRIM(AG146))=0</formula>
    </cfRule>
    <cfRule type="expression" dxfId="11418" priority="13241">
      <formula>$HO146=FALSE</formula>
    </cfRule>
  </conditionalFormatting>
  <conditionalFormatting sqref="AG146">
    <cfRule type="expression" dxfId="11417" priority="13239" stopIfTrue="1">
      <formula>$G145=""</formula>
    </cfRule>
  </conditionalFormatting>
  <conditionalFormatting sqref="AF146:AK146">
    <cfRule type="expression" dxfId="11416" priority="13238">
      <formula>$C$43&gt;0</formula>
    </cfRule>
  </conditionalFormatting>
  <conditionalFormatting sqref="AM145:AN146">
    <cfRule type="expression" dxfId="11415" priority="13237">
      <formula>$G145=""</formula>
    </cfRule>
  </conditionalFormatting>
  <conditionalFormatting sqref="AM147:AN147">
    <cfRule type="expression" dxfId="11414" priority="13236" stopIfTrue="1">
      <formula>$G145=""</formula>
    </cfRule>
  </conditionalFormatting>
  <conditionalFormatting sqref="T147">
    <cfRule type="expression" dxfId="11413" priority="13258" stopIfTrue="1">
      <formula>$N148="BAM"</formula>
    </cfRule>
  </conditionalFormatting>
  <conditionalFormatting sqref="U147:AE147">
    <cfRule type="expression" dxfId="11412" priority="13235" stopIfTrue="1">
      <formula>$N148="BAM"</formula>
    </cfRule>
  </conditionalFormatting>
  <conditionalFormatting sqref="AG148:AL148">
    <cfRule type="expression" dxfId="11411" priority="13259" stopIfTrue="1">
      <formula>$N148="BAM"</formula>
    </cfRule>
  </conditionalFormatting>
  <conditionalFormatting sqref="AX151">
    <cfRule type="expression" dxfId="11410" priority="13225">
      <formula>$E151=""</formula>
    </cfRule>
  </conditionalFormatting>
  <conditionalFormatting sqref="AX150">
    <cfRule type="expression" dxfId="11409" priority="13224">
      <formula>$E150=""</formula>
    </cfRule>
  </conditionalFormatting>
  <conditionalFormatting sqref="AX152">
    <cfRule type="expression" dxfId="11408" priority="13223">
      <formula>#REF!=""</formula>
    </cfRule>
  </conditionalFormatting>
  <conditionalFormatting sqref="AX153">
    <cfRule type="expression" dxfId="11407" priority="13222">
      <formula>$E152=""</formula>
    </cfRule>
  </conditionalFormatting>
  <conditionalFormatting sqref="AY150:AZ153">
    <cfRule type="expression" dxfId="11406" priority="13221">
      <formula>$G150=""</formula>
    </cfRule>
  </conditionalFormatting>
  <conditionalFormatting sqref="G152">
    <cfRule type="expression" dxfId="11405" priority="13218" stopIfTrue="1">
      <formula>$G150=""</formula>
    </cfRule>
    <cfRule type="containsBlanks" dxfId="11404" priority="13219" stopIfTrue="1">
      <formula>LEN(TRIM(G152))=0</formula>
    </cfRule>
    <cfRule type="expression" dxfId="11403" priority="13220">
      <formula>OR($M152=0,$HH151=FALSE)</formula>
    </cfRule>
  </conditionalFormatting>
  <conditionalFormatting sqref="AO152">
    <cfRule type="expression" dxfId="11402" priority="13217" stopIfTrue="1">
      <formula>$G150=""</formula>
    </cfRule>
  </conditionalFormatting>
  <conditionalFormatting sqref="AU150:AU153">
    <cfRule type="expression" dxfId="11401" priority="13214" stopIfTrue="1">
      <formula>$C$43=2</formula>
    </cfRule>
    <cfRule type="cellIs" dxfId="11400" priority="13215" operator="equal">
      <formula>"Yes"</formula>
    </cfRule>
    <cfRule type="cellIs" dxfId="11399" priority="13216" operator="equal">
      <formula>"No"</formula>
    </cfRule>
  </conditionalFormatting>
  <conditionalFormatting sqref="AO150:AO151">
    <cfRule type="expression" dxfId="11398" priority="13213">
      <formula>$G150=""</formula>
    </cfRule>
  </conditionalFormatting>
  <conditionalFormatting sqref="AP150 AR150:AS153">
    <cfRule type="expression" dxfId="11397" priority="13212">
      <formula>$G150=""</formula>
    </cfRule>
  </conditionalFormatting>
  <conditionalFormatting sqref="AW150:AW153">
    <cfRule type="expression" dxfId="11396" priority="13211">
      <formula>$G150=""</formula>
    </cfRule>
  </conditionalFormatting>
  <conditionalFormatting sqref="G151:L151">
    <cfRule type="expression" dxfId="11395" priority="13209" stopIfTrue="1">
      <formula>$G150=""</formula>
    </cfRule>
    <cfRule type="containsBlanks" dxfId="11394" priority="13210">
      <formula>LEN(TRIM(G151))=0</formula>
    </cfRule>
  </conditionalFormatting>
  <conditionalFormatting sqref="R152">
    <cfRule type="expression" dxfId="11393" priority="13206">
      <formula>$N153="BAM"</formula>
    </cfRule>
    <cfRule type="expression" dxfId="11392" priority="13207" stopIfTrue="1">
      <formula>$G150=""</formula>
    </cfRule>
    <cfRule type="containsBlanks" dxfId="11391" priority="13208">
      <formula>LEN(TRIM(R152))=0</formula>
    </cfRule>
  </conditionalFormatting>
  <conditionalFormatting sqref="R152">
    <cfRule type="expression" dxfId="11390" priority="13205">
      <formula>$C$43=0</formula>
    </cfRule>
  </conditionalFormatting>
  <conditionalFormatting sqref="E153:F153">
    <cfRule type="expression" dxfId="11389" priority="13204">
      <formula>$CQ150="Exterior"</formula>
    </cfRule>
  </conditionalFormatting>
  <conditionalFormatting sqref="G153">
    <cfRule type="expression" dxfId="11388" priority="13194" stopIfTrue="1">
      <formula>$G150=""</formula>
    </cfRule>
  </conditionalFormatting>
  <conditionalFormatting sqref="G153">
    <cfRule type="expression" dxfId="11387" priority="13196" stopIfTrue="1">
      <formula>$CQ150="Exterior"</formula>
    </cfRule>
  </conditionalFormatting>
  <conditionalFormatting sqref="G153:L153">
    <cfRule type="expression" dxfId="11386" priority="13195" stopIfTrue="1">
      <formula>$N153="BAM"</formula>
    </cfRule>
    <cfRule type="containsBlanks" dxfId="11385" priority="13197" stopIfTrue="1">
      <formula>LEN(TRIM(G153))=0</formula>
    </cfRule>
    <cfRule type="expression" dxfId="11384" priority="13199">
      <formula>$HQ151=FALSE</formula>
    </cfRule>
  </conditionalFormatting>
  <conditionalFormatting sqref="G153:L153">
    <cfRule type="expression" dxfId="11383" priority="13198" stopIfTrue="1">
      <formula>$AG152=""</formula>
    </cfRule>
  </conditionalFormatting>
  <conditionalFormatting sqref="G152:L152">
    <cfRule type="expression" dxfId="11382" priority="13192" stopIfTrue="1">
      <formula>$N153="BAM"</formula>
    </cfRule>
  </conditionalFormatting>
  <conditionalFormatting sqref="G150:R150">
    <cfRule type="containsBlanks" dxfId="11381" priority="13191">
      <formula>LEN(TRIM(G150))=0</formula>
    </cfRule>
  </conditionalFormatting>
  <conditionalFormatting sqref="AF152">
    <cfRule type="expression" dxfId="11380" priority="13181" stopIfTrue="1">
      <formula>$G150=""</formula>
    </cfRule>
    <cfRule type="expression" dxfId="11379" priority="13182" stopIfTrue="1">
      <formula>$N153="BAM"</formula>
    </cfRule>
    <cfRule type="expression" dxfId="11378" priority="13190">
      <formula>$AF$49&gt;$T$49</formula>
    </cfRule>
  </conditionalFormatting>
  <conditionalFormatting sqref="AC153:AE153">
    <cfRule type="expression" dxfId="11377" priority="13187" stopIfTrue="1">
      <formula>$G150=""</formula>
    </cfRule>
  </conditionalFormatting>
  <conditionalFormatting sqref="T152:U152">
    <cfRule type="expression" dxfId="11376" priority="13154" stopIfTrue="1">
      <formula>$G150=""</formula>
    </cfRule>
  </conditionalFormatting>
  <conditionalFormatting sqref="T152:U152">
    <cfRule type="containsBlanks" dxfId="11375" priority="13184" stopIfTrue="1">
      <formula>LEN(TRIM(T152))=0</formula>
    </cfRule>
  </conditionalFormatting>
  <conditionalFormatting sqref="AC150:AE150">
    <cfRule type="expression" dxfId="11374" priority="13183">
      <formula>$G150=""</formula>
    </cfRule>
  </conditionalFormatting>
  <conditionalFormatting sqref="AF152 AG153">
    <cfRule type="containsBlanks" dxfId="11373" priority="13188" stopIfTrue="1">
      <formula>LEN(TRIM(AF152))=0</formula>
    </cfRule>
  </conditionalFormatting>
  <conditionalFormatting sqref="AF152">
    <cfRule type="expression" dxfId="11372" priority="13189">
      <formula>OR($HS151=FALSE,$HT151=FALSE)</formula>
    </cfRule>
  </conditionalFormatting>
  <conditionalFormatting sqref="AG153">
    <cfRule type="expression" dxfId="11371" priority="13147">
      <formula>$C$43&gt;0</formula>
    </cfRule>
  </conditionalFormatting>
  <conditionalFormatting sqref="AG153">
    <cfRule type="expression" dxfId="11370" priority="13180" stopIfTrue="1">
      <formula>$G150=""</formula>
    </cfRule>
  </conditionalFormatting>
  <conditionalFormatting sqref="U152">
    <cfRule type="expression" dxfId="11369" priority="13185">
      <formula>OR($HK151=FALSE,$HL151=FALSE)</formula>
    </cfRule>
  </conditionalFormatting>
  <conditionalFormatting sqref="T151:U151">
    <cfRule type="expression" dxfId="11368" priority="13175" stopIfTrue="1">
      <formula>$C$43&lt;&gt;0</formula>
    </cfRule>
    <cfRule type="containsBlanks" dxfId="11367" priority="13176" stopIfTrue="1">
      <formula>LEN(TRIM(T151))=0</formula>
    </cfRule>
  </conditionalFormatting>
  <conditionalFormatting sqref="T151:U151">
    <cfRule type="expression" dxfId="11366" priority="13174" stopIfTrue="1">
      <formula>$G150=""</formula>
    </cfRule>
  </conditionalFormatting>
  <conditionalFormatting sqref="U151">
    <cfRule type="expression" dxfId="11365" priority="13177">
      <formula>$HJ151=FALSE</formula>
    </cfRule>
  </conditionalFormatting>
  <conditionalFormatting sqref="AG152">
    <cfRule type="expression" dxfId="11364" priority="13165" stopIfTrue="1">
      <formula>$G150=""</formula>
    </cfRule>
  </conditionalFormatting>
  <conditionalFormatting sqref="AG152:AL152">
    <cfRule type="expression" dxfId="11363" priority="13166">
      <formula>$N153="BAM"</formula>
    </cfRule>
    <cfRule type="expression" dxfId="11362" priority="13170">
      <formula>OR($HU151=FALSE,$HQ151=FALSE)</formula>
    </cfRule>
  </conditionalFormatting>
  <conditionalFormatting sqref="AG152">
    <cfRule type="containsBlanks" dxfId="11361" priority="13167" stopIfTrue="1">
      <formula>LEN(TRIM(AG152))=0</formula>
    </cfRule>
    <cfRule type="expression" dxfId="11360" priority="13168">
      <formula>OR($HP151=FALSE,$HR151=FALSE)</formula>
    </cfRule>
    <cfRule type="expression" dxfId="11359" priority="13169">
      <formula>OR($DS150=7,$DS150=8,$DS150=9)</formula>
    </cfRule>
  </conditionalFormatting>
  <conditionalFormatting sqref="AG150:AL150">
    <cfRule type="expression" dxfId="11358" priority="13164">
      <formula>$C$43&lt;&gt;0</formula>
    </cfRule>
  </conditionalFormatting>
  <conditionalFormatting sqref="AF151">
    <cfRule type="containsBlanks" dxfId="11357" priority="13163">
      <formula>LEN(TRIM(AF151))=0</formula>
    </cfRule>
  </conditionalFormatting>
  <conditionalFormatting sqref="AF151">
    <cfRule type="expression" dxfId="11356" priority="13162" stopIfTrue="1">
      <formula>$G150=""</formula>
    </cfRule>
  </conditionalFormatting>
  <conditionalFormatting sqref="AG151">
    <cfRule type="containsBlanks" dxfId="11355" priority="13160">
      <formula>LEN(TRIM(AG151))=0</formula>
    </cfRule>
    <cfRule type="expression" dxfId="11354" priority="13161">
      <formula>$HO151=FALSE</formula>
    </cfRule>
  </conditionalFormatting>
  <conditionalFormatting sqref="AG151">
    <cfRule type="expression" dxfId="11353" priority="13159" stopIfTrue="1">
      <formula>$G150=""</formula>
    </cfRule>
  </conditionalFormatting>
  <conditionalFormatting sqref="AF151:AK151">
    <cfRule type="expression" dxfId="11352" priority="13158">
      <formula>$C$43&gt;0</formula>
    </cfRule>
  </conditionalFormatting>
  <conditionalFormatting sqref="AM150:AN151">
    <cfRule type="expression" dxfId="11351" priority="13157">
      <formula>$G150=""</formula>
    </cfRule>
  </conditionalFormatting>
  <conditionalFormatting sqref="AM152:AN152">
    <cfRule type="expression" dxfId="11350" priority="13156" stopIfTrue="1">
      <formula>$G150=""</formula>
    </cfRule>
  </conditionalFormatting>
  <conditionalFormatting sqref="T152">
    <cfRule type="expression" dxfId="11349" priority="13178" stopIfTrue="1">
      <formula>$N153="BAM"</formula>
    </cfRule>
  </conditionalFormatting>
  <conditionalFormatting sqref="U152:AE152">
    <cfRule type="expression" dxfId="11348" priority="13155" stopIfTrue="1">
      <formula>$N153="BAM"</formula>
    </cfRule>
  </conditionalFormatting>
  <conditionalFormatting sqref="AG153:AL153">
    <cfRule type="expression" dxfId="11347" priority="13179" stopIfTrue="1">
      <formula>$N153="BAM"</formula>
    </cfRule>
  </conditionalFormatting>
  <conditionalFormatting sqref="AX156">
    <cfRule type="expression" dxfId="11346" priority="13145">
      <formula>$E156=""</formula>
    </cfRule>
  </conditionalFormatting>
  <conditionalFormatting sqref="AX155">
    <cfRule type="expression" dxfId="11345" priority="13144">
      <formula>$E155=""</formula>
    </cfRule>
  </conditionalFormatting>
  <conditionalFormatting sqref="AX157">
    <cfRule type="expression" dxfId="11344" priority="13143">
      <formula>#REF!=""</formula>
    </cfRule>
  </conditionalFormatting>
  <conditionalFormatting sqref="AX158">
    <cfRule type="expression" dxfId="11343" priority="13142">
      <formula>$E157=""</formula>
    </cfRule>
  </conditionalFormatting>
  <conditionalFormatting sqref="AY155:AZ158">
    <cfRule type="expression" dxfId="11342" priority="13141">
      <formula>$G155=""</formula>
    </cfRule>
  </conditionalFormatting>
  <conditionalFormatting sqref="G157">
    <cfRule type="expression" dxfId="11341" priority="13138" stopIfTrue="1">
      <formula>$G155=""</formula>
    </cfRule>
    <cfRule type="containsBlanks" dxfId="11340" priority="13139" stopIfTrue="1">
      <formula>LEN(TRIM(G157))=0</formula>
    </cfRule>
    <cfRule type="expression" dxfId="11339" priority="13140">
      <formula>OR($M157=0,$HH156=FALSE)</formula>
    </cfRule>
  </conditionalFormatting>
  <conditionalFormatting sqref="AO157">
    <cfRule type="expression" dxfId="11338" priority="13137" stopIfTrue="1">
      <formula>$G155=""</formula>
    </cfRule>
  </conditionalFormatting>
  <conditionalFormatting sqref="AU155:AU158">
    <cfRule type="expression" dxfId="11337" priority="13134" stopIfTrue="1">
      <formula>$C$43=2</formula>
    </cfRule>
    <cfRule type="cellIs" dxfId="11336" priority="13135" operator="equal">
      <formula>"Yes"</formula>
    </cfRule>
    <cfRule type="cellIs" dxfId="11335" priority="13136" operator="equal">
      <formula>"No"</formula>
    </cfRule>
  </conditionalFormatting>
  <conditionalFormatting sqref="AO155:AO156">
    <cfRule type="expression" dxfId="11334" priority="13133">
      <formula>$G155=""</formula>
    </cfRule>
  </conditionalFormatting>
  <conditionalFormatting sqref="AP155 AR155:AS158">
    <cfRule type="expression" dxfId="11333" priority="13132">
      <formula>$G155=""</formula>
    </cfRule>
  </conditionalFormatting>
  <conditionalFormatting sqref="AW155:AW158">
    <cfRule type="expression" dxfId="11332" priority="13131">
      <formula>$G155=""</formula>
    </cfRule>
  </conditionalFormatting>
  <conditionalFormatting sqref="G156:L156">
    <cfRule type="expression" dxfId="11331" priority="13129" stopIfTrue="1">
      <formula>$G155=""</formula>
    </cfRule>
    <cfRule type="containsBlanks" dxfId="11330" priority="13130">
      <formula>LEN(TRIM(G156))=0</formula>
    </cfRule>
  </conditionalFormatting>
  <conditionalFormatting sqref="R157">
    <cfRule type="expression" dxfId="11329" priority="13126">
      <formula>$N158="BAM"</formula>
    </cfRule>
    <cfRule type="expression" dxfId="11328" priority="13127" stopIfTrue="1">
      <formula>$G155=""</formula>
    </cfRule>
    <cfRule type="containsBlanks" dxfId="11327" priority="13128">
      <formula>LEN(TRIM(R157))=0</formula>
    </cfRule>
  </conditionalFormatting>
  <conditionalFormatting sqref="R157">
    <cfRule type="expression" dxfId="11326" priority="13125">
      <formula>$C$43=0</formula>
    </cfRule>
  </conditionalFormatting>
  <conditionalFormatting sqref="E158:F158">
    <cfRule type="expression" dxfId="11325" priority="13124">
      <formula>$CQ155="Exterior"</formula>
    </cfRule>
  </conditionalFormatting>
  <conditionalFormatting sqref="G158">
    <cfRule type="expression" dxfId="11324" priority="13114" stopIfTrue="1">
      <formula>$G155=""</formula>
    </cfRule>
  </conditionalFormatting>
  <conditionalFormatting sqref="G158">
    <cfRule type="expression" dxfId="11323" priority="13116" stopIfTrue="1">
      <formula>$CQ155="Exterior"</formula>
    </cfRule>
  </conditionalFormatting>
  <conditionalFormatting sqref="G158:L158">
    <cfRule type="expression" dxfId="11322" priority="13115" stopIfTrue="1">
      <formula>$N158="BAM"</formula>
    </cfRule>
    <cfRule type="containsBlanks" dxfId="11321" priority="13117" stopIfTrue="1">
      <formula>LEN(TRIM(G158))=0</formula>
    </cfRule>
    <cfRule type="expression" dxfId="11320" priority="13119">
      <formula>$HQ156=FALSE</formula>
    </cfRule>
  </conditionalFormatting>
  <conditionalFormatting sqref="G158:L158">
    <cfRule type="expression" dxfId="11319" priority="13118" stopIfTrue="1">
      <formula>$AG157=""</formula>
    </cfRule>
  </conditionalFormatting>
  <conditionalFormatting sqref="G157:L157">
    <cfRule type="expression" dxfId="11318" priority="13112" stopIfTrue="1">
      <formula>$N158="BAM"</formula>
    </cfRule>
  </conditionalFormatting>
  <conditionalFormatting sqref="G155:R155">
    <cfRule type="containsBlanks" dxfId="11317" priority="13111">
      <formula>LEN(TRIM(G155))=0</formula>
    </cfRule>
  </conditionalFormatting>
  <conditionalFormatting sqref="AF157">
    <cfRule type="expression" dxfId="11316" priority="13101" stopIfTrue="1">
      <formula>$G155=""</formula>
    </cfRule>
    <cfRule type="expression" dxfId="11315" priority="13102" stopIfTrue="1">
      <formula>$N158="BAM"</formula>
    </cfRule>
    <cfRule type="expression" dxfId="11314" priority="13110">
      <formula>$AF$49&gt;$T$49</formula>
    </cfRule>
  </conditionalFormatting>
  <conditionalFormatting sqref="AC158:AE158">
    <cfRule type="expression" dxfId="11313" priority="13107" stopIfTrue="1">
      <formula>$G155=""</formula>
    </cfRule>
  </conditionalFormatting>
  <conditionalFormatting sqref="T157:U157">
    <cfRule type="expression" dxfId="11312" priority="13074" stopIfTrue="1">
      <formula>$G155=""</formula>
    </cfRule>
  </conditionalFormatting>
  <conditionalFormatting sqref="T157:U157">
    <cfRule type="containsBlanks" dxfId="11311" priority="13104" stopIfTrue="1">
      <formula>LEN(TRIM(T157))=0</formula>
    </cfRule>
  </conditionalFormatting>
  <conditionalFormatting sqref="AC155:AE155">
    <cfRule type="expression" dxfId="11310" priority="13103">
      <formula>$G155=""</formula>
    </cfRule>
  </conditionalFormatting>
  <conditionalFormatting sqref="AF157 AG158">
    <cfRule type="containsBlanks" dxfId="11309" priority="13108" stopIfTrue="1">
      <formula>LEN(TRIM(AF157))=0</formula>
    </cfRule>
  </conditionalFormatting>
  <conditionalFormatting sqref="AF157">
    <cfRule type="expression" dxfId="11308" priority="13109">
      <formula>OR($HS156=FALSE,$HT156=FALSE)</formula>
    </cfRule>
  </conditionalFormatting>
  <conditionalFormatting sqref="AG158">
    <cfRule type="expression" dxfId="11307" priority="13067">
      <formula>$C$43&gt;0</formula>
    </cfRule>
  </conditionalFormatting>
  <conditionalFormatting sqref="AG158">
    <cfRule type="expression" dxfId="11306" priority="13100" stopIfTrue="1">
      <formula>$G155=""</formula>
    </cfRule>
  </conditionalFormatting>
  <conditionalFormatting sqref="U157">
    <cfRule type="expression" dxfId="11305" priority="13105">
      <formula>OR($HK156=FALSE,$HL156=FALSE)</formula>
    </cfRule>
  </conditionalFormatting>
  <conditionalFormatting sqref="T156:U156">
    <cfRule type="expression" dxfId="11304" priority="13095" stopIfTrue="1">
      <formula>$C$43&lt;&gt;0</formula>
    </cfRule>
    <cfRule type="containsBlanks" dxfId="11303" priority="13096" stopIfTrue="1">
      <formula>LEN(TRIM(T156))=0</formula>
    </cfRule>
  </conditionalFormatting>
  <conditionalFormatting sqref="T156:U156">
    <cfRule type="expression" dxfId="11302" priority="13094" stopIfTrue="1">
      <formula>$G155=""</formula>
    </cfRule>
  </conditionalFormatting>
  <conditionalFormatting sqref="U156">
    <cfRule type="expression" dxfId="11301" priority="13097">
      <formula>$HJ156=FALSE</formula>
    </cfRule>
  </conditionalFormatting>
  <conditionalFormatting sqref="AG157">
    <cfRule type="expression" dxfId="11300" priority="13085" stopIfTrue="1">
      <formula>$G155=""</formula>
    </cfRule>
  </conditionalFormatting>
  <conditionalFormatting sqref="AG157:AL157">
    <cfRule type="expression" dxfId="11299" priority="13086">
      <formula>$N158="BAM"</formula>
    </cfRule>
    <cfRule type="expression" dxfId="11298" priority="13090">
      <formula>OR($HU156=FALSE,$HQ156=FALSE)</formula>
    </cfRule>
  </conditionalFormatting>
  <conditionalFormatting sqref="AG157">
    <cfRule type="containsBlanks" dxfId="11297" priority="13087" stopIfTrue="1">
      <formula>LEN(TRIM(AG157))=0</formula>
    </cfRule>
    <cfRule type="expression" dxfId="11296" priority="13088">
      <formula>OR($HP156=FALSE,$HR156=FALSE)</formula>
    </cfRule>
    <cfRule type="expression" dxfId="11295" priority="13089">
      <formula>OR($DS155=7,$DS155=8,$DS155=9)</formula>
    </cfRule>
  </conditionalFormatting>
  <conditionalFormatting sqref="AG155:AL155">
    <cfRule type="expression" dxfId="11294" priority="13084">
      <formula>$C$43&lt;&gt;0</formula>
    </cfRule>
  </conditionalFormatting>
  <conditionalFormatting sqref="AF156">
    <cfRule type="containsBlanks" dxfId="11293" priority="13083">
      <formula>LEN(TRIM(AF156))=0</formula>
    </cfRule>
  </conditionalFormatting>
  <conditionalFormatting sqref="AF156">
    <cfRule type="expression" dxfId="11292" priority="13082" stopIfTrue="1">
      <formula>$G155=""</formula>
    </cfRule>
  </conditionalFormatting>
  <conditionalFormatting sqref="AG156">
    <cfRule type="containsBlanks" dxfId="11291" priority="13080">
      <formula>LEN(TRIM(AG156))=0</formula>
    </cfRule>
    <cfRule type="expression" dxfId="11290" priority="13081">
      <formula>$HO156=FALSE</formula>
    </cfRule>
  </conditionalFormatting>
  <conditionalFormatting sqref="AG156">
    <cfRule type="expression" dxfId="11289" priority="13079" stopIfTrue="1">
      <formula>$G155=""</formula>
    </cfRule>
  </conditionalFormatting>
  <conditionalFormatting sqref="AF156:AK156">
    <cfRule type="expression" dxfId="11288" priority="13078">
      <formula>$C$43&gt;0</formula>
    </cfRule>
  </conditionalFormatting>
  <conditionalFormatting sqref="AM155:AN156">
    <cfRule type="expression" dxfId="11287" priority="13077">
      <formula>$G155=""</formula>
    </cfRule>
  </conditionalFormatting>
  <conditionalFormatting sqref="AM157:AN157">
    <cfRule type="expression" dxfId="11286" priority="13076" stopIfTrue="1">
      <formula>$G155=""</formula>
    </cfRule>
  </conditionalFormatting>
  <conditionalFormatting sqref="T157">
    <cfRule type="expression" dxfId="11285" priority="13098" stopIfTrue="1">
      <formula>$N158="BAM"</formula>
    </cfRule>
  </conditionalFormatting>
  <conditionalFormatting sqref="U157:AE157">
    <cfRule type="expression" dxfId="11284" priority="13075" stopIfTrue="1">
      <formula>$N158="BAM"</formula>
    </cfRule>
  </conditionalFormatting>
  <conditionalFormatting sqref="AG158:AL158">
    <cfRule type="expression" dxfId="11283" priority="13099" stopIfTrue="1">
      <formula>$N158="BAM"</formula>
    </cfRule>
  </conditionalFormatting>
  <conditionalFormatting sqref="AX161">
    <cfRule type="expression" dxfId="11282" priority="13065">
      <formula>$E161=""</formula>
    </cfRule>
  </conditionalFormatting>
  <conditionalFormatting sqref="AX160">
    <cfRule type="expression" dxfId="11281" priority="13064">
      <formula>$E160=""</formula>
    </cfRule>
  </conditionalFormatting>
  <conditionalFormatting sqref="AX162">
    <cfRule type="expression" dxfId="11280" priority="13063">
      <formula>#REF!=""</formula>
    </cfRule>
  </conditionalFormatting>
  <conditionalFormatting sqref="AX163">
    <cfRule type="expression" dxfId="11279" priority="13062">
      <formula>$E162=""</formula>
    </cfRule>
  </conditionalFormatting>
  <conditionalFormatting sqref="AY160:AZ163">
    <cfRule type="expression" dxfId="11278" priority="13061">
      <formula>$G160=""</formula>
    </cfRule>
  </conditionalFormatting>
  <conditionalFormatting sqref="G162">
    <cfRule type="expression" dxfId="11277" priority="13058" stopIfTrue="1">
      <formula>$G160=""</formula>
    </cfRule>
    <cfRule type="containsBlanks" dxfId="11276" priority="13059" stopIfTrue="1">
      <formula>LEN(TRIM(G162))=0</formula>
    </cfRule>
    <cfRule type="expression" dxfId="11275" priority="13060">
      <formula>OR($M162=0,$HH161=FALSE)</formula>
    </cfRule>
  </conditionalFormatting>
  <conditionalFormatting sqref="AO162">
    <cfRule type="expression" dxfId="11274" priority="13057" stopIfTrue="1">
      <formula>$G160=""</formula>
    </cfRule>
  </conditionalFormatting>
  <conditionalFormatting sqref="AU160:AU163">
    <cfRule type="expression" dxfId="11273" priority="13054" stopIfTrue="1">
      <formula>$C$43=2</formula>
    </cfRule>
    <cfRule type="cellIs" dxfId="11272" priority="13055" operator="equal">
      <formula>"Yes"</formula>
    </cfRule>
    <cfRule type="cellIs" dxfId="11271" priority="13056" operator="equal">
      <formula>"No"</formula>
    </cfRule>
  </conditionalFormatting>
  <conditionalFormatting sqref="AO160:AO161">
    <cfRule type="expression" dxfId="11270" priority="13053">
      <formula>$G160=""</formula>
    </cfRule>
  </conditionalFormatting>
  <conditionalFormatting sqref="AP160 AR160:AS163">
    <cfRule type="expression" dxfId="11269" priority="13052">
      <formula>$G160=""</formula>
    </cfRule>
  </conditionalFormatting>
  <conditionalFormatting sqref="AW160:AW163">
    <cfRule type="expression" dxfId="11268" priority="13051">
      <formula>$G160=""</formula>
    </cfRule>
  </conditionalFormatting>
  <conditionalFormatting sqref="G161:L161">
    <cfRule type="expression" dxfId="11267" priority="13049" stopIfTrue="1">
      <formula>$G160=""</formula>
    </cfRule>
    <cfRule type="containsBlanks" dxfId="11266" priority="13050">
      <formula>LEN(TRIM(G161))=0</formula>
    </cfRule>
  </conditionalFormatting>
  <conditionalFormatting sqref="R162">
    <cfRule type="expression" dxfId="11265" priority="13046">
      <formula>$N163="BAM"</formula>
    </cfRule>
    <cfRule type="expression" dxfId="11264" priority="13047" stopIfTrue="1">
      <formula>$G160=""</formula>
    </cfRule>
    <cfRule type="containsBlanks" dxfId="11263" priority="13048">
      <formula>LEN(TRIM(R162))=0</formula>
    </cfRule>
  </conditionalFormatting>
  <conditionalFormatting sqref="R162">
    <cfRule type="expression" dxfId="11262" priority="13045">
      <formula>$C$43=0</formula>
    </cfRule>
  </conditionalFormatting>
  <conditionalFormatting sqref="E163:F163">
    <cfRule type="expression" dxfId="11261" priority="13044">
      <formula>$CQ160="Exterior"</formula>
    </cfRule>
  </conditionalFormatting>
  <conditionalFormatting sqref="G163">
    <cfRule type="expression" dxfId="11260" priority="13034" stopIfTrue="1">
      <formula>$G160=""</formula>
    </cfRule>
  </conditionalFormatting>
  <conditionalFormatting sqref="G163">
    <cfRule type="expression" dxfId="11259" priority="13036" stopIfTrue="1">
      <formula>$CQ160="Exterior"</formula>
    </cfRule>
  </conditionalFormatting>
  <conditionalFormatting sqref="G163:L163">
    <cfRule type="expression" dxfId="11258" priority="13035" stopIfTrue="1">
      <formula>$N163="BAM"</formula>
    </cfRule>
    <cfRule type="containsBlanks" dxfId="11257" priority="13037" stopIfTrue="1">
      <formula>LEN(TRIM(G163))=0</formula>
    </cfRule>
    <cfRule type="expression" dxfId="11256" priority="13039">
      <formula>$HQ161=FALSE</formula>
    </cfRule>
  </conditionalFormatting>
  <conditionalFormatting sqref="G163:L163">
    <cfRule type="expression" dxfId="11255" priority="13038" stopIfTrue="1">
      <formula>$AG162=""</formula>
    </cfRule>
  </conditionalFormatting>
  <conditionalFormatting sqref="G162:L162">
    <cfRule type="expression" dxfId="11254" priority="13032" stopIfTrue="1">
      <formula>$N163="BAM"</formula>
    </cfRule>
  </conditionalFormatting>
  <conditionalFormatting sqref="G160:R160">
    <cfRule type="containsBlanks" dxfId="11253" priority="13031">
      <formula>LEN(TRIM(G160))=0</formula>
    </cfRule>
  </conditionalFormatting>
  <conditionalFormatting sqref="AF162">
    <cfRule type="expression" dxfId="11252" priority="13021" stopIfTrue="1">
      <formula>$G160=""</formula>
    </cfRule>
    <cfRule type="expression" dxfId="11251" priority="13022" stopIfTrue="1">
      <formula>$N163="BAM"</formula>
    </cfRule>
    <cfRule type="expression" dxfId="11250" priority="13030">
      <formula>$AF$49&gt;$T$49</formula>
    </cfRule>
  </conditionalFormatting>
  <conditionalFormatting sqref="AC163:AE163">
    <cfRule type="expression" dxfId="11249" priority="13027" stopIfTrue="1">
      <formula>$G160=""</formula>
    </cfRule>
  </conditionalFormatting>
  <conditionalFormatting sqref="T162:U162">
    <cfRule type="expression" dxfId="11248" priority="12994" stopIfTrue="1">
      <formula>$G160=""</formula>
    </cfRule>
  </conditionalFormatting>
  <conditionalFormatting sqref="T162:U162">
    <cfRule type="containsBlanks" dxfId="11247" priority="13024" stopIfTrue="1">
      <formula>LEN(TRIM(T162))=0</formula>
    </cfRule>
  </conditionalFormatting>
  <conditionalFormatting sqref="AC160:AE160">
    <cfRule type="expression" dxfId="11246" priority="13023">
      <formula>$G160=""</formula>
    </cfRule>
  </conditionalFormatting>
  <conditionalFormatting sqref="AF162 AG163">
    <cfRule type="containsBlanks" dxfId="11245" priority="13028" stopIfTrue="1">
      <formula>LEN(TRIM(AF162))=0</formula>
    </cfRule>
  </conditionalFormatting>
  <conditionalFormatting sqref="AF162">
    <cfRule type="expression" dxfId="11244" priority="13029">
      <formula>OR($HS161=FALSE,$HT161=FALSE)</formula>
    </cfRule>
  </conditionalFormatting>
  <conditionalFormatting sqref="AG163">
    <cfRule type="expression" dxfId="11243" priority="12987">
      <formula>$C$43&gt;0</formula>
    </cfRule>
  </conditionalFormatting>
  <conditionalFormatting sqref="AG163">
    <cfRule type="expression" dxfId="11242" priority="13020" stopIfTrue="1">
      <formula>$G160=""</formula>
    </cfRule>
  </conditionalFormatting>
  <conditionalFormatting sqref="U162">
    <cfRule type="expression" dxfId="11241" priority="13025">
      <formula>OR($HK161=FALSE,$HL161=FALSE)</formula>
    </cfRule>
  </conditionalFormatting>
  <conditionalFormatting sqref="T161:U161">
    <cfRule type="expression" dxfId="11240" priority="13015" stopIfTrue="1">
      <formula>$C$43&lt;&gt;0</formula>
    </cfRule>
    <cfRule type="containsBlanks" dxfId="11239" priority="13016" stopIfTrue="1">
      <formula>LEN(TRIM(T161))=0</formula>
    </cfRule>
  </conditionalFormatting>
  <conditionalFormatting sqref="T161:U161">
    <cfRule type="expression" dxfId="11238" priority="13014" stopIfTrue="1">
      <formula>$G160=""</formula>
    </cfRule>
  </conditionalFormatting>
  <conditionalFormatting sqref="U161">
    <cfRule type="expression" dxfId="11237" priority="13017">
      <formula>$HJ161=FALSE</formula>
    </cfRule>
  </conditionalFormatting>
  <conditionalFormatting sqref="AG162">
    <cfRule type="expression" dxfId="11236" priority="13005" stopIfTrue="1">
      <formula>$G160=""</formula>
    </cfRule>
  </conditionalFormatting>
  <conditionalFormatting sqref="AG162:AL162">
    <cfRule type="expression" dxfId="11235" priority="13006">
      <formula>$N163="BAM"</formula>
    </cfRule>
    <cfRule type="expression" dxfId="11234" priority="13010">
      <formula>OR($HU161=FALSE,$HQ161=FALSE)</formula>
    </cfRule>
  </conditionalFormatting>
  <conditionalFormatting sqref="AG162">
    <cfRule type="containsBlanks" dxfId="11233" priority="13007" stopIfTrue="1">
      <formula>LEN(TRIM(AG162))=0</formula>
    </cfRule>
    <cfRule type="expression" dxfId="11232" priority="13008">
      <formula>OR($HP161=FALSE,$HR161=FALSE)</formula>
    </cfRule>
    <cfRule type="expression" dxfId="11231" priority="13009">
      <formula>OR($DS160=7,$DS160=8,$DS160=9)</formula>
    </cfRule>
  </conditionalFormatting>
  <conditionalFormatting sqref="AG160:AL160">
    <cfRule type="expression" dxfId="11230" priority="13004">
      <formula>$C$43&lt;&gt;0</formula>
    </cfRule>
  </conditionalFormatting>
  <conditionalFormatting sqref="AF161">
    <cfRule type="containsBlanks" dxfId="11229" priority="13003">
      <formula>LEN(TRIM(AF161))=0</formula>
    </cfRule>
  </conditionalFormatting>
  <conditionalFormatting sqref="AF161">
    <cfRule type="expression" dxfId="11228" priority="13002" stopIfTrue="1">
      <formula>$G160=""</formula>
    </cfRule>
  </conditionalFormatting>
  <conditionalFormatting sqref="AG161">
    <cfRule type="containsBlanks" dxfId="11227" priority="13000">
      <formula>LEN(TRIM(AG161))=0</formula>
    </cfRule>
    <cfRule type="expression" dxfId="11226" priority="13001">
      <formula>$HO161=FALSE</formula>
    </cfRule>
  </conditionalFormatting>
  <conditionalFormatting sqref="AG161">
    <cfRule type="expression" dxfId="11225" priority="12999" stopIfTrue="1">
      <formula>$G160=""</formula>
    </cfRule>
  </conditionalFormatting>
  <conditionalFormatting sqref="AF161:AK161">
    <cfRule type="expression" dxfId="11224" priority="12998">
      <formula>$C$43&gt;0</formula>
    </cfRule>
  </conditionalFormatting>
  <conditionalFormatting sqref="AM160:AN161">
    <cfRule type="expression" dxfId="11223" priority="12997">
      <formula>$G160=""</formula>
    </cfRule>
  </conditionalFormatting>
  <conditionalFormatting sqref="AM162:AN162">
    <cfRule type="expression" dxfId="11222" priority="12996" stopIfTrue="1">
      <formula>$G160=""</formula>
    </cfRule>
  </conditionalFormatting>
  <conditionalFormatting sqref="T162">
    <cfRule type="expression" dxfId="11221" priority="13018" stopIfTrue="1">
      <formula>$N163="BAM"</formula>
    </cfRule>
  </conditionalFormatting>
  <conditionalFormatting sqref="U162:AE162">
    <cfRule type="expression" dxfId="11220" priority="12995" stopIfTrue="1">
      <formula>$N163="BAM"</formula>
    </cfRule>
  </conditionalFormatting>
  <conditionalFormatting sqref="AG163:AL163">
    <cfRule type="expression" dxfId="11219" priority="13019" stopIfTrue="1">
      <formula>$N163="BAM"</formula>
    </cfRule>
  </conditionalFormatting>
  <conditionalFormatting sqref="AX166">
    <cfRule type="expression" dxfId="11218" priority="12985">
      <formula>$E166=""</formula>
    </cfRule>
  </conditionalFormatting>
  <conditionalFormatting sqref="AX165">
    <cfRule type="expression" dxfId="11217" priority="12984">
      <formula>$E165=""</formula>
    </cfRule>
  </conditionalFormatting>
  <conditionalFormatting sqref="AX167">
    <cfRule type="expression" dxfId="11216" priority="12983">
      <formula>#REF!=""</formula>
    </cfRule>
  </conditionalFormatting>
  <conditionalFormatting sqref="AX168">
    <cfRule type="expression" dxfId="11215" priority="12982">
      <formula>$E167=""</formula>
    </cfRule>
  </conditionalFormatting>
  <conditionalFormatting sqref="AY165:AZ168">
    <cfRule type="expression" dxfId="11214" priority="12981">
      <formula>$G165=""</formula>
    </cfRule>
  </conditionalFormatting>
  <conditionalFormatting sqref="G167">
    <cfRule type="expression" dxfId="11213" priority="12978" stopIfTrue="1">
      <formula>$G165=""</formula>
    </cfRule>
    <cfRule type="containsBlanks" dxfId="11212" priority="12979" stopIfTrue="1">
      <formula>LEN(TRIM(G167))=0</formula>
    </cfRule>
    <cfRule type="expression" dxfId="11211" priority="12980">
      <formula>OR($M167=0,$HH166=FALSE)</formula>
    </cfRule>
  </conditionalFormatting>
  <conditionalFormatting sqref="AO167">
    <cfRule type="expression" dxfId="11210" priority="12977" stopIfTrue="1">
      <formula>$G165=""</formula>
    </cfRule>
  </conditionalFormatting>
  <conditionalFormatting sqref="AU165:AU168">
    <cfRule type="expression" dxfId="11209" priority="12974" stopIfTrue="1">
      <formula>$C$43=2</formula>
    </cfRule>
    <cfRule type="cellIs" dxfId="11208" priority="12975" operator="equal">
      <formula>"Yes"</formula>
    </cfRule>
    <cfRule type="cellIs" dxfId="11207" priority="12976" operator="equal">
      <formula>"No"</formula>
    </cfRule>
  </conditionalFormatting>
  <conditionalFormatting sqref="AO165:AO166">
    <cfRule type="expression" dxfId="11206" priority="12973">
      <formula>$G165=""</formula>
    </cfRule>
  </conditionalFormatting>
  <conditionalFormatting sqref="AP165 AR165:AS168">
    <cfRule type="expression" dxfId="11205" priority="12972">
      <formula>$G165=""</formula>
    </cfRule>
  </conditionalFormatting>
  <conditionalFormatting sqref="AW165:AW168">
    <cfRule type="expression" dxfId="11204" priority="12971">
      <formula>$G165=""</formula>
    </cfRule>
  </conditionalFormatting>
  <conditionalFormatting sqref="G166:L166">
    <cfRule type="expression" dxfId="11203" priority="12969" stopIfTrue="1">
      <formula>$G165=""</formula>
    </cfRule>
    <cfRule type="containsBlanks" dxfId="11202" priority="12970">
      <formula>LEN(TRIM(G166))=0</formula>
    </cfRule>
  </conditionalFormatting>
  <conditionalFormatting sqref="R167">
    <cfRule type="expression" dxfId="11201" priority="12966">
      <formula>$N168="BAM"</formula>
    </cfRule>
    <cfRule type="expression" dxfId="11200" priority="12967" stopIfTrue="1">
      <formula>$G165=""</formula>
    </cfRule>
    <cfRule type="containsBlanks" dxfId="11199" priority="12968">
      <formula>LEN(TRIM(R167))=0</formula>
    </cfRule>
  </conditionalFormatting>
  <conditionalFormatting sqref="R167">
    <cfRule type="expression" dxfId="11198" priority="12965">
      <formula>$C$43=0</formula>
    </cfRule>
  </conditionalFormatting>
  <conditionalFormatting sqref="E168:F168">
    <cfRule type="expression" dxfId="11197" priority="12964">
      <formula>$CQ165="Exterior"</formula>
    </cfRule>
  </conditionalFormatting>
  <conditionalFormatting sqref="G168">
    <cfRule type="expression" dxfId="11196" priority="12954" stopIfTrue="1">
      <formula>$G165=""</formula>
    </cfRule>
  </conditionalFormatting>
  <conditionalFormatting sqref="G168">
    <cfRule type="expression" dxfId="11195" priority="12956" stopIfTrue="1">
      <formula>$CQ165="Exterior"</formula>
    </cfRule>
  </conditionalFormatting>
  <conditionalFormatting sqref="G168:L168">
    <cfRule type="expression" dxfId="11194" priority="12955" stopIfTrue="1">
      <formula>$N168="BAM"</formula>
    </cfRule>
    <cfRule type="containsBlanks" dxfId="11193" priority="12957" stopIfTrue="1">
      <formula>LEN(TRIM(G168))=0</formula>
    </cfRule>
    <cfRule type="expression" dxfId="11192" priority="12959">
      <formula>$HQ166=FALSE</formula>
    </cfRule>
  </conditionalFormatting>
  <conditionalFormatting sqref="G168:L168">
    <cfRule type="expression" dxfId="11191" priority="12958" stopIfTrue="1">
      <formula>$AG167=""</formula>
    </cfRule>
  </conditionalFormatting>
  <conditionalFormatting sqref="G167:L167">
    <cfRule type="expression" dxfId="11190" priority="12952" stopIfTrue="1">
      <formula>$N168="BAM"</formula>
    </cfRule>
  </conditionalFormatting>
  <conditionalFormatting sqref="G165:R165">
    <cfRule type="containsBlanks" dxfId="11189" priority="12951">
      <formula>LEN(TRIM(G165))=0</formula>
    </cfRule>
  </conditionalFormatting>
  <conditionalFormatting sqref="AF167">
    <cfRule type="expression" dxfId="11188" priority="12941" stopIfTrue="1">
      <formula>$G165=""</formula>
    </cfRule>
    <cfRule type="expression" dxfId="11187" priority="12942" stopIfTrue="1">
      <formula>$N168="BAM"</formula>
    </cfRule>
    <cfRule type="expression" dxfId="11186" priority="12950">
      <formula>$AF$49&gt;$T$49</formula>
    </cfRule>
  </conditionalFormatting>
  <conditionalFormatting sqref="AC168:AE168">
    <cfRule type="expression" dxfId="11185" priority="12947" stopIfTrue="1">
      <formula>$G165=""</formula>
    </cfRule>
  </conditionalFormatting>
  <conditionalFormatting sqref="T167:U167">
    <cfRule type="expression" dxfId="11184" priority="12914" stopIfTrue="1">
      <formula>$G165=""</formula>
    </cfRule>
  </conditionalFormatting>
  <conditionalFormatting sqref="T167:U167">
    <cfRule type="containsBlanks" dxfId="11183" priority="12944" stopIfTrue="1">
      <formula>LEN(TRIM(T167))=0</formula>
    </cfRule>
  </conditionalFormatting>
  <conditionalFormatting sqref="AC165:AE165">
    <cfRule type="expression" dxfId="11182" priority="12943">
      <formula>$G165=""</formula>
    </cfRule>
  </conditionalFormatting>
  <conditionalFormatting sqref="AF167 AG168">
    <cfRule type="containsBlanks" dxfId="11181" priority="12948" stopIfTrue="1">
      <formula>LEN(TRIM(AF167))=0</formula>
    </cfRule>
  </conditionalFormatting>
  <conditionalFormatting sqref="AF167">
    <cfRule type="expression" dxfId="11180" priority="12949">
      <formula>OR($HS166=FALSE,$HT166=FALSE)</formula>
    </cfRule>
  </conditionalFormatting>
  <conditionalFormatting sqref="AG168">
    <cfRule type="expression" dxfId="11179" priority="12907">
      <formula>$C$43&gt;0</formula>
    </cfRule>
  </conditionalFormatting>
  <conditionalFormatting sqref="AG168">
    <cfRule type="expression" dxfId="11178" priority="12940" stopIfTrue="1">
      <formula>$G165=""</formula>
    </cfRule>
  </conditionalFormatting>
  <conditionalFormatting sqref="U167">
    <cfRule type="expression" dxfId="11177" priority="12945">
      <formula>OR($HK166=FALSE,$HL166=FALSE)</formula>
    </cfRule>
  </conditionalFormatting>
  <conditionalFormatting sqref="T166:U166">
    <cfRule type="expression" dxfId="11176" priority="12935" stopIfTrue="1">
      <formula>$C$43&lt;&gt;0</formula>
    </cfRule>
    <cfRule type="containsBlanks" dxfId="11175" priority="12936" stopIfTrue="1">
      <formula>LEN(TRIM(T166))=0</formula>
    </cfRule>
  </conditionalFormatting>
  <conditionalFormatting sqref="T166:U166">
    <cfRule type="expression" dxfId="11174" priority="12934" stopIfTrue="1">
      <formula>$G165=""</formula>
    </cfRule>
  </conditionalFormatting>
  <conditionalFormatting sqref="U166">
    <cfRule type="expression" dxfId="11173" priority="12937">
      <formula>$HJ166=FALSE</formula>
    </cfRule>
  </conditionalFormatting>
  <conditionalFormatting sqref="AG167">
    <cfRule type="expression" dxfId="11172" priority="12925" stopIfTrue="1">
      <formula>$G165=""</formula>
    </cfRule>
  </conditionalFormatting>
  <conditionalFormatting sqref="AG167:AL167">
    <cfRule type="expression" dxfId="11171" priority="12926">
      <formula>$N168="BAM"</formula>
    </cfRule>
    <cfRule type="expression" dxfId="11170" priority="12930">
      <formula>OR($HU166=FALSE,$HQ166=FALSE)</formula>
    </cfRule>
  </conditionalFormatting>
  <conditionalFormatting sqref="AG167">
    <cfRule type="containsBlanks" dxfId="11169" priority="12927" stopIfTrue="1">
      <formula>LEN(TRIM(AG167))=0</formula>
    </cfRule>
    <cfRule type="expression" dxfId="11168" priority="12928">
      <formula>OR($HP166=FALSE,$HR166=FALSE)</formula>
    </cfRule>
    <cfRule type="expression" dxfId="11167" priority="12929">
      <formula>OR($DS165=7,$DS165=8,$DS165=9)</formula>
    </cfRule>
  </conditionalFormatting>
  <conditionalFormatting sqref="AG165:AL165">
    <cfRule type="expression" dxfId="11166" priority="12924">
      <formula>$C$43&lt;&gt;0</formula>
    </cfRule>
  </conditionalFormatting>
  <conditionalFormatting sqref="AF166">
    <cfRule type="containsBlanks" dxfId="11165" priority="12923">
      <formula>LEN(TRIM(AF166))=0</formula>
    </cfRule>
  </conditionalFormatting>
  <conditionalFormatting sqref="AF166">
    <cfRule type="expression" dxfId="11164" priority="12922" stopIfTrue="1">
      <formula>$G165=""</formula>
    </cfRule>
  </conditionalFormatting>
  <conditionalFormatting sqref="AG166">
    <cfRule type="containsBlanks" dxfId="11163" priority="12920">
      <formula>LEN(TRIM(AG166))=0</formula>
    </cfRule>
    <cfRule type="expression" dxfId="11162" priority="12921">
      <formula>$HO166=FALSE</formula>
    </cfRule>
  </conditionalFormatting>
  <conditionalFormatting sqref="AG166">
    <cfRule type="expression" dxfId="11161" priority="12919" stopIfTrue="1">
      <formula>$G165=""</formula>
    </cfRule>
  </conditionalFormatting>
  <conditionalFormatting sqref="AF166:AK166">
    <cfRule type="expression" dxfId="11160" priority="12918">
      <formula>$C$43&gt;0</formula>
    </cfRule>
  </conditionalFormatting>
  <conditionalFormatting sqref="AM165:AN166">
    <cfRule type="expression" dxfId="11159" priority="12917">
      <formula>$G165=""</formula>
    </cfRule>
  </conditionalFormatting>
  <conditionalFormatting sqref="AM167:AN167">
    <cfRule type="expression" dxfId="11158" priority="12916" stopIfTrue="1">
      <formula>$G165=""</formula>
    </cfRule>
  </conditionalFormatting>
  <conditionalFormatting sqref="T167">
    <cfRule type="expression" dxfId="11157" priority="12938" stopIfTrue="1">
      <formula>$N168="BAM"</formula>
    </cfRule>
  </conditionalFormatting>
  <conditionalFormatting sqref="U167:AE167">
    <cfRule type="expression" dxfId="11156" priority="12915" stopIfTrue="1">
      <formula>$N168="BAM"</formula>
    </cfRule>
  </conditionalFormatting>
  <conditionalFormatting sqref="AG168:AL168">
    <cfRule type="expression" dxfId="11155" priority="12939" stopIfTrue="1">
      <formula>$N168="BAM"</formula>
    </cfRule>
  </conditionalFormatting>
  <conditionalFormatting sqref="AX174">
    <cfRule type="expression" dxfId="11154" priority="12905">
      <formula>$E174=""</formula>
    </cfRule>
  </conditionalFormatting>
  <conditionalFormatting sqref="AX173">
    <cfRule type="expression" dxfId="11153" priority="12904">
      <formula>$E173=""</formula>
    </cfRule>
  </conditionalFormatting>
  <conditionalFormatting sqref="AX175">
    <cfRule type="expression" dxfId="11152" priority="12903">
      <formula>#REF!=""</formula>
    </cfRule>
  </conditionalFormatting>
  <conditionalFormatting sqref="AX176">
    <cfRule type="expression" dxfId="11151" priority="12902">
      <formula>$E175=""</formula>
    </cfRule>
  </conditionalFormatting>
  <conditionalFormatting sqref="AY173:AZ176">
    <cfRule type="expression" dxfId="11150" priority="12901">
      <formula>$G173=""</formula>
    </cfRule>
  </conditionalFormatting>
  <conditionalFormatting sqref="G175">
    <cfRule type="expression" dxfId="11149" priority="12898" stopIfTrue="1">
      <formula>$G173=""</formula>
    </cfRule>
    <cfRule type="containsBlanks" dxfId="11148" priority="12899" stopIfTrue="1">
      <formula>LEN(TRIM(G175))=0</formula>
    </cfRule>
    <cfRule type="expression" dxfId="11147" priority="12900">
      <formula>OR($M175=0,$HH174=FALSE)</formula>
    </cfRule>
  </conditionalFormatting>
  <conditionalFormatting sqref="AO175">
    <cfRule type="expression" dxfId="11146" priority="12897" stopIfTrue="1">
      <formula>$G173=""</formula>
    </cfRule>
  </conditionalFormatting>
  <conditionalFormatting sqref="AU173:AU176">
    <cfRule type="expression" dxfId="11145" priority="12894" stopIfTrue="1">
      <formula>$C$43=2</formula>
    </cfRule>
    <cfRule type="cellIs" dxfId="11144" priority="12895" operator="equal">
      <formula>"Yes"</formula>
    </cfRule>
    <cfRule type="cellIs" dxfId="11143" priority="12896" operator="equal">
      <formula>"No"</formula>
    </cfRule>
  </conditionalFormatting>
  <conditionalFormatting sqref="AO173:AO174">
    <cfRule type="expression" dxfId="11142" priority="12893">
      <formula>$G173=""</formula>
    </cfRule>
  </conditionalFormatting>
  <conditionalFormatting sqref="AP173 AR173:AS176">
    <cfRule type="expression" dxfId="11141" priority="12892">
      <formula>$G173=""</formula>
    </cfRule>
  </conditionalFormatting>
  <conditionalFormatting sqref="AW173:AW176">
    <cfRule type="expression" dxfId="11140" priority="12891">
      <formula>$G173=""</formula>
    </cfRule>
  </conditionalFormatting>
  <conditionalFormatting sqref="G174:L174">
    <cfRule type="expression" dxfId="11139" priority="12889" stopIfTrue="1">
      <formula>$G173=""</formula>
    </cfRule>
    <cfRule type="containsBlanks" dxfId="11138" priority="12890">
      <formula>LEN(TRIM(G174))=0</formula>
    </cfRule>
  </conditionalFormatting>
  <conditionalFormatting sqref="R175">
    <cfRule type="expression" dxfId="11137" priority="12886">
      <formula>$N176="BAM"</formula>
    </cfRule>
    <cfRule type="expression" dxfId="11136" priority="12887" stopIfTrue="1">
      <formula>$G173=""</formula>
    </cfRule>
    <cfRule type="containsBlanks" dxfId="11135" priority="12888">
      <formula>LEN(TRIM(R175))=0</formula>
    </cfRule>
  </conditionalFormatting>
  <conditionalFormatting sqref="R175">
    <cfRule type="expression" dxfId="11134" priority="12885">
      <formula>$C$43=0</formula>
    </cfRule>
  </conditionalFormatting>
  <conditionalFormatting sqref="E176:F176">
    <cfRule type="expression" dxfId="11133" priority="12884">
      <formula>$CQ173="Exterior"</formula>
    </cfRule>
  </conditionalFormatting>
  <conditionalFormatting sqref="G176">
    <cfRule type="expression" dxfId="11132" priority="12874" stopIfTrue="1">
      <formula>$G173=""</formula>
    </cfRule>
  </conditionalFormatting>
  <conditionalFormatting sqref="G176">
    <cfRule type="expression" dxfId="11131" priority="12876" stopIfTrue="1">
      <formula>$CQ173="Exterior"</formula>
    </cfRule>
  </conditionalFormatting>
  <conditionalFormatting sqref="G176:L176">
    <cfRule type="expression" dxfId="11130" priority="12875" stopIfTrue="1">
      <formula>$N176="BAM"</formula>
    </cfRule>
    <cfRule type="containsBlanks" dxfId="11129" priority="12877" stopIfTrue="1">
      <formula>LEN(TRIM(G176))=0</formula>
    </cfRule>
    <cfRule type="expression" dxfId="11128" priority="12879">
      <formula>$HQ174=FALSE</formula>
    </cfRule>
  </conditionalFormatting>
  <conditionalFormatting sqref="G176:L176">
    <cfRule type="expression" dxfId="11127" priority="12878" stopIfTrue="1">
      <formula>$AG175=""</formula>
    </cfRule>
  </conditionalFormatting>
  <conditionalFormatting sqref="G175:L175">
    <cfRule type="expression" dxfId="11126" priority="12872" stopIfTrue="1">
      <formula>$N176="BAM"</formula>
    </cfRule>
  </conditionalFormatting>
  <conditionalFormatting sqref="G173:R173">
    <cfRule type="containsBlanks" dxfId="11125" priority="12871">
      <formula>LEN(TRIM(G173))=0</formula>
    </cfRule>
  </conditionalFormatting>
  <conditionalFormatting sqref="AF175">
    <cfRule type="expression" dxfId="11124" priority="12861" stopIfTrue="1">
      <formula>$G173=""</formula>
    </cfRule>
    <cfRule type="expression" dxfId="11123" priority="12862" stopIfTrue="1">
      <formula>$N176="BAM"</formula>
    </cfRule>
    <cfRule type="expression" dxfId="11122" priority="12870">
      <formula>$AF$49&gt;$T$49</formula>
    </cfRule>
  </conditionalFormatting>
  <conditionalFormatting sqref="AC176:AE176">
    <cfRule type="expression" dxfId="11121" priority="12867" stopIfTrue="1">
      <formula>$G173=""</formula>
    </cfRule>
  </conditionalFormatting>
  <conditionalFormatting sqref="T175:U175">
    <cfRule type="expression" dxfId="11120" priority="12834" stopIfTrue="1">
      <formula>$G173=""</formula>
    </cfRule>
  </conditionalFormatting>
  <conditionalFormatting sqref="T175:U175">
    <cfRule type="containsBlanks" dxfId="11119" priority="12864" stopIfTrue="1">
      <formula>LEN(TRIM(T175))=0</formula>
    </cfRule>
  </conditionalFormatting>
  <conditionalFormatting sqref="AC173:AE173">
    <cfRule type="expression" dxfId="11118" priority="12863">
      <formula>$G173=""</formula>
    </cfRule>
  </conditionalFormatting>
  <conditionalFormatting sqref="AF175 AG176">
    <cfRule type="containsBlanks" dxfId="11117" priority="12868" stopIfTrue="1">
      <formula>LEN(TRIM(AF175))=0</formula>
    </cfRule>
  </conditionalFormatting>
  <conditionalFormatting sqref="AF175">
    <cfRule type="expression" dxfId="11116" priority="12869">
      <formula>OR($HS174=FALSE,$HT174=FALSE)</formula>
    </cfRule>
  </conditionalFormatting>
  <conditionalFormatting sqref="AG176">
    <cfRule type="expression" dxfId="11115" priority="12827">
      <formula>$C$43&gt;0</formula>
    </cfRule>
  </conditionalFormatting>
  <conditionalFormatting sqref="AG176">
    <cfRule type="expression" dxfId="11114" priority="12860" stopIfTrue="1">
      <formula>$G173=""</formula>
    </cfRule>
  </conditionalFormatting>
  <conditionalFormatting sqref="U175">
    <cfRule type="expression" dxfId="11113" priority="12865">
      <formula>OR($HK174=FALSE,$HL174=FALSE)</formula>
    </cfRule>
  </conditionalFormatting>
  <conditionalFormatting sqref="T174:U174">
    <cfRule type="expression" dxfId="11112" priority="12855" stopIfTrue="1">
      <formula>$C$43&lt;&gt;0</formula>
    </cfRule>
    <cfRule type="containsBlanks" dxfId="11111" priority="12856" stopIfTrue="1">
      <formula>LEN(TRIM(T174))=0</formula>
    </cfRule>
  </conditionalFormatting>
  <conditionalFormatting sqref="T174:U174">
    <cfRule type="expression" dxfId="11110" priority="12854" stopIfTrue="1">
      <formula>$G173=""</formula>
    </cfRule>
  </conditionalFormatting>
  <conditionalFormatting sqref="U174">
    <cfRule type="expression" dxfId="11109" priority="12857">
      <formula>$HJ174=FALSE</formula>
    </cfRule>
  </conditionalFormatting>
  <conditionalFormatting sqref="AG175">
    <cfRule type="expression" dxfId="11108" priority="12845" stopIfTrue="1">
      <formula>$G173=""</formula>
    </cfRule>
  </conditionalFormatting>
  <conditionalFormatting sqref="AG175:AL175">
    <cfRule type="expression" dxfId="11107" priority="12846">
      <formula>$N176="BAM"</formula>
    </cfRule>
    <cfRule type="expression" dxfId="11106" priority="12850">
      <formula>OR($HU174=FALSE,$HQ174=FALSE)</formula>
    </cfRule>
  </conditionalFormatting>
  <conditionalFormatting sqref="AG175">
    <cfRule type="containsBlanks" dxfId="11105" priority="12847" stopIfTrue="1">
      <formula>LEN(TRIM(AG175))=0</formula>
    </cfRule>
    <cfRule type="expression" dxfId="11104" priority="12848">
      <formula>OR($HP174=FALSE,$HR174=FALSE)</formula>
    </cfRule>
    <cfRule type="expression" dxfId="11103" priority="12849">
      <formula>OR($DS173=7,$DS173=8,$DS173=9)</formula>
    </cfRule>
  </conditionalFormatting>
  <conditionalFormatting sqref="AG173:AL173">
    <cfRule type="expression" dxfId="11102" priority="12844">
      <formula>$C$43&lt;&gt;0</formula>
    </cfRule>
  </conditionalFormatting>
  <conditionalFormatting sqref="AF174">
    <cfRule type="containsBlanks" dxfId="11101" priority="12843">
      <formula>LEN(TRIM(AF174))=0</formula>
    </cfRule>
  </conditionalFormatting>
  <conditionalFormatting sqref="AF174">
    <cfRule type="expression" dxfId="11100" priority="12842" stopIfTrue="1">
      <formula>$G173=""</formula>
    </cfRule>
  </conditionalFormatting>
  <conditionalFormatting sqref="AG174">
    <cfRule type="containsBlanks" dxfId="11099" priority="12840">
      <formula>LEN(TRIM(AG174))=0</formula>
    </cfRule>
    <cfRule type="expression" dxfId="11098" priority="12841">
      <formula>$HO174=FALSE</formula>
    </cfRule>
  </conditionalFormatting>
  <conditionalFormatting sqref="AG174">
    <cfRule type="expression" dxfId="11097" priority="12839" stopIfTrue="1">
      <formula>$G173=""</formula>
    </cfRule>
  </conditionalFormatting>
  <conditionalFormatting sqref="AF174:AK174">
    <cfRule type="expression" dxfId="11096" priority="12838">
      <formula>$C$43&gt;0</formula>
    </cfRule>
  </conditionalFormatting>
  <conditionalFormatting sqref="AM173:AN174">
    <cfRule type="expression" dxfId="11095" priority="12837">
      <formula>$G173=""</formula>
    </cfRule>
  </conditionalFormatting>
  <conditionalFormatting sqref="AM175:AN175">
    <cfRule type="expression" dxfId="11094" priority="12836" stopIfTrue="1">
      <formula>$G173=""</formula>
    </cfRule>
  </conditionalFormatting>
  <conditionalFormatting sqref="T175">
    <cfRule type="expression" dxfId="11093" priority="12858" stopIfTrue="1">
      <formula>$N176="BAM"</formula>
    </cfRule>
  </conditionalFormatting>
  <conditionalFormatting sqref="U175:AE175">
    <cfRule type="expression" dxfId="11092" priority="12835" stopIfTrue="1">
      <formula>$N176="BAM"</formula>
    </cfRule>
  </conditionalFormatting>
  <conditionalFormatting sqref="AG176:AL176">
    <cfRule type="expression" dxfId="11091" priority="12859" stopIfTrue="1">
      <formula>$N176="BAM"</formula>
    </cfRule>
  </conditionalFormatting>
  <conditionalFormatting sqref="AX179">
    <cfRule type="expression" dxfId="11090" priority="12825">
      <formula>$E179=""</formula>
    </cfRule>
  </conditionalFormatting>
  <conditionalFormatting sqref="AX178">
    <cfRule type="expression" dxfId="11089" priority="12824">
      <formula>$E178=""</formula>
    </cfRule>
  </conditionalFormatting>
  <conditionalFormatting sqref="AX180">
    <cfRule type="expression" dxfId="11088" priority="12823">
      <formula>#REF!=""</formula>
    </cfRule>
  </conditionalFormatting>
  <conditionalFormatting sqref="AX181">
    <cfRule type="expression" dxfId="11087" priority="12822">
      <formula>$E180=""</formula>
    </cfRule>
  </conditionalFormatting>
  <conditionalFormatting sqref="AY178:AZ181">
    <cfRule type="expression" dxfId="11086" priority="12821">
      <formula>$G178=""</formula>
    </cfRule>
  </conditionalFormatting>
  <conditionalFormatting sqref="G180">
    <cfRule type="expression" dxfId="11085" priority="12818" stopIfTrue="1">
      <formula>$G178=""</formula>
    </cfRule>
    <cfRule type="containsBlanks" dxfId="11084" priority="12819" stopIfTrue="1">
      <formula>LEN(TRIM(G180))=0</formula>
    </cfRule>
    <cfRule type="expression" dxfId="11083" priority="12820">
      <formula>OR($M180=0,$HH179=FALSE)</formula>
    </cfRule>
  </conditionalFormatting>
  <conditionalFormatting sqref="AO180">
    <cfRule type="expression" dxfId="11082" priority="12817" stopIfTrue="1">
      <formula>$G178=""</formula>
    </cfRule>
  </conditionalFormatting>
  <conditionalFormatting sqref="AU178:AU181">
    <cfRule type="expression" dxfId="11081" priority="12814" stopIfTrue="1">
      <formula>$C$43=2</formula>
    </cfRule>
    <cfRule type="cellIs" dxfId="11080" priority="12815" operator="equal">
      <formula>"Yes"</formula>
    </cfRule>
    <cfRule type="cellIs" dxfId="11079" priority="12816" operator="equal">
      <formula>"No"</formula>
    </cfRule>
  </conditionalFormatting>
  <conditionalFormatting sqref="AO178:AO179">
    <cfRule type="expression" dxfId="11078" priority="12813">
      <formula>$G178=""</formula>
    </cfRule>
  </conditionalFormatting>
  <conditionalFormatting sqref="AP178 AR178:AS181">
    <cfRule type="expression" dxfId="11077" priority="12812">
      <formula>$G178=""</formula>
    </cfRule>
  </conditionalFormatting>
  <conditionalFormatting sqref="AW178:AW181">
    <cfRule type="expression" dxfId="11076" priority="12811">
      <formula>$G178=""</formula>
    </cfRule>
  </conditionalFormatting>
  <conditionalFormatting sqref="G179:L179">
    <cfRule type="expression" dxfId="11075" priority="12809" stopIfTrue="1">
      <formula>$G178=""</formula>
    </cfRule>
    <cfRule type="containsBlanks" dxfId="11074" priority="12810">
      <formula>LEN(TRIM(G179))=0</formula>
    </cfRule>
  </conditionalFormatting>
  <conditionalFormatting sqref="R180">
    <cfRule type="expression" dxfId="11073" priority="12806">
      <formula>$N181="BAM"</formula>
    </cfRule>
    <cfRule type="expression" dxfId="11072" priority="12807" stopIfTrue="1">
      <formula>$G178=""</formula>
    </cfRule>
    <cfRule type="containsBlanks" dxfId="11071" priority="12808">
      <formula>LEN(TRIM(R180))=0</formula>
    </cfRule>
  </conditionalFormatting>
  <conditionalFormatting sqref="R180">
    <cfRule type="expression" dxfId="11070" priority="12805">
      <formula>$C$43=0</formula>
    </cfRule>
  </conditionalFormatting>
  <conditionalFormatting sqref="E181:F181">
    <cfRule type="expression" dxfId="11069" priority="12804">
      <formula>$CQ178="Exterior"</formula>
    </cfRule>
  </conditionalFormatting>
  <conditionalFormatting sqref="G181">
    <cfRule type="expression" dxfId="11068" priority="12794" stopIfTrue="1">
      <formula>$G178=""</formula>
    </cfRule>
  </conditionalFormatting>
  <conditionalFormatting sqref="G181">
    <cfRule type="expression" dxfId="11067" priority="12796" stopIfTrue="1">
      <formula>$CQ178="Exterior"</formula>
    </cfRule>
  </conditionalFormatting>
  <conditionalFormatting sqref="G181:L181">
    <cfRule type="expression" dxfId="11066" priority="12795" stopIfTrue="1">
      <formula>$N181="BAM"</formula>
    </cfRule>
    <cfRule type="containsBlanks" dxfId="11065" priority="12797" stopIfTrue="1">
      <formula>LEN(TRIM(G181))=0</formula>
    </cfRule>
    <cfRule type="expression" dxfId="11064" priority="12799">
      <formula>$HQ179=FALSE</formula>
    </cfRule>
  </conditionalFormatting>
  <conditionalFormatting sqref="G181:L181">
    <cfRule type="expression" dxfId="11063" priority="12798" stopIfTrue="1">
      <formula>$AG180=""</formula>
    </cfRule>
  </conditionalFormatting>
  <conditionalFormatting sqref="G180:L180">
    <cfRule type="expression" dxfId="11062" priority="12792" stopIfTrue="1">
      <formula>$N181="BAM"</formula>
    </cfRule>
  </conditionalFormatting>
  <conditionalFormatting sqref="G178:R178">
    <cfRule type="containsBlanks" dxfId="11061" priority="12791">
      <formula>LEN(TRIM(G178))=0</formula>
    </cfRule>
  </conditionalFormatting>
  <conditionalFormatting sqref="AF180">
    <cfRule type="expression" dxfId="11060" priority="12781" stopIfTrue="1">
      <formula>$G178=""</formula>
    </cfRule>
    <cfRule type="expression" dxfId="11059" priority="12782" stopIfTrue="1">
      <formula>$N181="BAM"</formula>
    </cfRule>
    <cfRule type="expression" dxfId="11058" priority="12790">
      <formula>$AF$49&gt;$T$49</formula>
    </cfRule>
  </conditionalFormatting>
  <conditionalFormatting sqref="AC181:AE181">
    <cfRule type="expression" dxfId="11057" priority="12787" stopIfTrue="1">
      <formula>$G178=""</formula>
    </cfRule>
  </conditionalFormatting>
  <conditionalFormatting sqref="T180:U180">
    <cfRule type="expression" dxfId="11056" priority="12754" stopIfTrue="1">
      <formula>$G178=""</formula>
    </cfRule>
  </conditionalFormatting>
  <conditionalFormatting sqref="T180:U180">
    <cfRule type="containsBlanks" dxfId="11055" priority="12784" stopIfTrue="1">
      <formula>LEN(TRIM(T180))=0</formula>
    </cfRule>
  </conditionalFormatting>
  <conditionalFormatting sqref="AC178:AE178">
    <cfRule type="expression" dxfId="11054" priority="12783">
      <formula>$G178=""</formula>
    </cfRule>
  </conditionalFormatting>
  <conditionalFormatting sqref="AF180 AG181">
    <cfRule type="containsBlanks" dxfId="11053" priority="12788" stopIfTrue="1">
      <formula>LEN(TRIM(AF180))=0</formula>
    </cfRule>
  </conditionalFormatting>
  <conditionalFormatting sqref="AF180">
    <cfRule type="expression" dxfId="11052" priority="12789">
      <formula>OR($HS179=FALSE,$HT179=FALSE)</formula>
    </cfRule>
  </conditionalFormatting>
  <conditionalFormatting sqref="AG181">
    <cfRule type="expression" dxfId="11051" priority="12747">
      <formula>$C$43&gt;0</formula>
    </cfRule>
  </conditionalFormatting>
  <conditionalFormatting sqref="AG181">
    <cfRule type="expression" dxfId="11050" priority="12780" stopIfTrue="1">
      <formula>$G178=""</formula>
    </cfRule>
  </conditionalFormatting>
  <conditionalFormatting sqref="U180">
    <cfRule type="expression" dxfId="11049" priority="12785">
      <formula>OR($HK179=FALSE,$HL179=FALSE)</formula>
    </cfRule>
  </conditionalFormatting>
  <conditionalFormatting sqref="T179:U179">
    <cfRule type="expression" dxfId="11048" priority="12775" stopIfTrue="1">
      <formula>$C$43&lt;&gt;0</formula>
    </cfRule>
    <cfRule type="containsBlanks" dxfId="11047" priority="12776" stopIfTrue="1">
      <formula>LEN(TRIM(T179))=0</formula>
    </cfRule>
  </conditionalFormatting>
  <conditionalFormatting sqref="T179:U179">
    <cfRule type="expression" dxfId="11046" priority="12774" stopIfTrue="1">
      <formula>$G178=""</formula>
    </cfRule>
  </conditionalFormatting>
  <conditionalFormatting sqref="U179">
    <cfRule type="expression" dxfId="11045" priority="12777">
      <formula>$HJ179=FALSE</formula>
    </cfRule>
  </conditionalFormatting>
  <conditionalFormatting sqref="AG180">
    <cfRule type="expression" dxfId="11044" priority="12765" stopIfTrue="1">
      <formula>$G178=""</formula>
    </cfRule>
  </conditionalFormatting>
  <conditionalFormatting sqref="AG180:AL180">
    <cfRule type="expression" dxfId="11043" priority="12766">
      <formula>$N181="BAM"</formula>
    </cfRule>
    <cfRule type="expression" dxfId="11042" priority="12770">
      <formula>OR($HU179=FALSE,$HQ179=FALSE)</formula>
    </cfRule>
  </conditionalFormatting>
  <conditionalFormatting sqref="AG180">
    <cfRule type="containsBlanks" dxfId="11041" priority="12767" stopIfTrue="1">
      <formula>LEN(TRIM(AG180))=0</formula>
    </cfRule>
    <cfRule type="expression" dxfId="11040" priority="12768">
      <formula>OR($HP179=FALSE,$HR179=FALSE)</formula>
    </cfRule>
    <cfRule type="expression" dxfId="11039" priority="12769">
      <formula>OR($DS178=7,$DS178=8,$DS178=9)</formula>
    </cfRule>
  </conditionalFormatting>
  <conditionalFormatting sqref="AG178:AL178">
    <cfRule type="expression" dxfId="11038" priority="12764">
      <formula>$C$43&lt;&gt;0</formula>
    </cfRule>
  </conditionalFormatting>
  <conditionalFormatting sqref="AF179">
    <cfRule type="containsBlanks" dxfId="11037" priority="12763">
      <formula>LEN(TRIM(AF179))=0</formula>
    </cfRule>
  </conditionalFormatting>
  <conditionalFormatting sqref="AF179">
    <cfRule type="expression" dxfId="11036" priority="12762" stopIfTrue="1">
      <formula>$G178=""</formula>
    </cfRule>
  </conditionalFormatting>
  <conditionalFormatting sqref="AG179">
    <cfRule type="containsBlanks" dxfId="11035" priority="12760">
      <formula>LEN(TRIM(AG179))=0</formula>
    </cfRule>
    <cfRule type="expression" dxfId="11034" priority="12761">
      <formula>$HO179=FALSE</formula>
    </cfRule>
  </conditionalFormatting>
  <conditionalFormatting sqref="AG179">
    <cfRule type="expression" dxfId="11033" priority="12759" stopIfTrue="1">
      <formula>$G178=""</formula>
    </cfRule>
  </conditionalFormatting>
  <conditionalFormatting sqref="AF179:AK179">
    <cfRule type="expression" dxfId="11032" priority="12758">
      <formula>$C$43&gt;0</formula>
    </cfRule>
  </conditionalFormatting>
  <conditionalFormatting sqref="AM178:AN179">
    <cfRule type="expression" dxfId="11031" priority="12757">
      <formula>$G178=""</formula>
    </cfRule>
  </conditionalFormatting>
  <conditionalFormatting sqref="AM180:AN180">
    <cfRule type="expression" dxfId="11030" priority="12756" stopIfTrue="1">
      <formula>$G178=""</formula>
    </cfRule>
  </conditionalFormatting>
  <conditionalFormatting sqref="T180">
    <cfRule type="expression" dxfId="11029" priority="12778" stopIfTrue="1">
      <formula>$N181="BAM"</formula>
    </cfRule>
  </conditionalFormatting>
  <conditionalFormatting sqref="U180:AE180">
    <cfRule type="expression" dxfId="11028" priority="12755" stopIfTrue="1">
      <formula>$N181="BAM"</formula>
    </cfRule>
  </conditionalFormatting>
  <conditionalFormatting sqref="AG181:AL181">
    <cfRule type="expression" dxfId="11027" priority="12779" stopIfTrue="1">
      <formula>$N181="BAM"</formula>
    </cfRule>
  </conditionalFormatting>
  <conditionalFormatting sqref="AX184">
    <cfRule type="expression" dxfId="11026" priority="12745">
      <formula>$E184=""</formula>
    </cfRule>
  </conditionalFormatting>
  <conditionalFormatting sqref="AX183">
    <cfRule type="expression" dxfId="11025" priority="12744">
      <formula>$E183=""</formula>
    </cfRule>
  </conditionalFormatting>
  <conditionalFormatting sqref="AX185">
    <cfRule type="expression" dxfId="11024" priority="12743">
      <formula>#REF!=""</formula>
    </cfRule>
  </conditionalFormatting>
  <conditionalFormatting sqref="AX186">
    <cfRule type="expression" dxfId="11023" priority="12742">
      <formula>$E185=""</formula>
    </cfRule>
  </conditionalFormatting>
  <conditionalFormatting sqref="AY183:AZ186">
    <cfRule type="expression" dxfId="11022" priority="12741">
      <formula>$G183=""</formula>
    </cfRule>
  </conditionalFormatting>
  <conditionalFormatting sqref="G185">
    <cfRule type="expression" dxfId="11021" priority="12738" stopIfTrue="1">
      <formula>$G183=""</formula>
    </cfRule>
    <cfRule type="containsBlanks" dxfId="11020" priority="12739" stopIfTrue="1">
      <formula>LEN(TRIM(G185))=0</formula>
    </cfRule>
    <cfRule type="expression" dxfId="11019" priority="12740">
      <formula>OR($M185=0,$HH184=FALSE)</formula>
    </cfRule>
  </conditionalFormatting>
  <conditionalFormatting sqref="AO185">
    <cfRule type="expression" dxfId="11018" priority="12737" stopIfTrue="1">
      <formula>$G183=""</formula>
    </cfRule>
  </conditionalFormatting>
  <conditionalFormatting sqref="AU183:AU186">
    <cfRule type="expression" dxfId="11017" priority="12734" stopIfTrue="1">
      <formula>$C$43=2</formula>
    </cfRule>
    <cfRule type="cellIs" dxfId="11016" priority="12735" operator="equal">
      <formula>"Yes"</formula>
    </cfRule>
    <cfRule type="cellIs" dxfId="11015" priority="12736" operator="equal">
      <formula>"No"</formula>
    </cfRule>
  </conditionalFormatting>
  <conditionalFormatting sqref="AO183:AO184">
    <cfRule type="expression" dxfId="11014" priority="12733">
      <formula>$G183=""</formula>
    </cfRule>
  </conditionalFormatting>
  <conditionalFormatting sqref="AP183 AR183:AS186">
    <cfRule type="expression" dxfId="11013" priority="12732">
      <formula>$G183=""</formula>
    </cfRule>
  </conditionalFormatting>
  <conditionalFormatting sqref="AW183:AW186">
    <cfRule type="expression" dxfId="11012" priority="12731">
      <formula>$G183=""</formula>
    </cfRule>
  </conditionalFormatting>
  <conditionalFormatting sqref="G184:L184">
    <cfRule type="expression" dxfId="11011" priority="12729" stopIfTrue="1">
      <formula>$G183=""</formula>
    </cfRule>
    <cfRule type="containsBlanks" dxfId="11010" priority="12730">
      <formula>LEN(TRIM(G184))=0</formula>
    </cfRule>
  </conditionalFormatting>
  <conditionalFormatting sqref="R185">
    <cfRule type="expression" dxfId="11009" priority="12726">
      <formula>$N186="BAM"</formula>
    </cfRule>
    <cfRule type="expression" dxfId="11008" priority="12727" stopIfTrue="1">
      <formula>$G183=""</formula>
    </cfRule>
    <cfRule type="containsBlanks" dxfId="11007" priority="12728">
      <formula>LEN(TRIM(R185))=0</formula>
    </cfRule>
  </conditionalFormatting>
  <conditionalFormatting sqref="R185">
    <cfRule type="expression" dxfId="11006" priority="12725">
      <formula>$C$43=0</formula>
    </cfRule>
  </conditionalFormatting>
  <conditionalFormatting sqref="E186:F186">
    <cfRule type="expression" dxfId="11005" priority="12724">
      <formula>$CQ183="Exterior"</formula>
    </cfRule>
  </conditionalFormatting>
  <conditionalFormatting sqref="G186">
    <cfRule type="expression" dxfId="11004" priority="12714" stopIfTrue="1">
      <formula>$G183=""</formula>
    </cfRule>
  </conditionalFormatting>
  <conditionalFormatting sqref="G186">
    <cfRule type="expression" dxfId="11003" priority="12716" stopIfTrue="1">
      <formula>$CQ183="Exterior"</formula>
    </cfRule>
  </conditionalFormatting>
  <conditionalFormatting sqref="G186:L186">
    <cfRule type="expression" dxfId="11002" priority="12715" stopIfTrue="1">
      <formula>$N186="BAM"</formula>
    </cfRule>
    <cfRule type="containsBlanks" dxfId="11001" priority="12717" stopIfTrue="1">
      <formula>LEN(TRIM(G186))=0</formula>
    </cfRule>
    <cfRule type="expression" dxfId="11000" priority="12719">
      <formula>$HQ184=FALSE</formula>
    </cfRule>
  </conditionalFormatting>
  <conditionalFormatting sqref="G186:L186">
    <cfRule type="expression" dxfId="10999" priority="12718" stopIfTrue="1">
      <formula>$AG185=""</formula>
    </cfRule>
  </conditionalFormatting>
  <conditionalFormatting sqref="G185:L185">
    <cfRule type="expression" dxfId="10998" priority="12712" stopIfTrue="1">
      <formula>$N186="BAM"</formula>
    </cfRule>
  </conditionalFormatting>
  <conditionalFormatting sqref="G183:R183">
    <cfRule type="containsBlanks" dxfId="10997" priority="12711">
      <formula>LEN(TRIM(G183))=0</formula>
    </cfRule>
  </conditionalFormatting>
  <conditionalFormatting sqref="AF185">
    <cfRule type="expression" dxfId="10996" priority="12701" stopIfTrue="1">
      <formula>$G183=""</formula>
    </cfRule>
    <cfRule type="expression" dxfId="10995" priority="12702" stopIfTrue="1">
      <formula>$N186="BAM"</formula>
    </cfRule>
    <cfRule type="expression" dxfId="10994" priority="12710">
      <formula>$AF$49&gt;$T$49</formula>
    </cfRule>
  </conditionalFormatting>
  <conditionalFormatting sqref="AC186:AE186">
    <cfRule type="expression" dxfId="10993" priority="12707" stopIfTrue="1">
      <formula>$G183=""</formula>
    </cfRule>
  </conditionalFormatting>
  <conditionalFormatting sqref="T185:U185">
    <cfRule type="expression" dxfId="10992" priority="12674" stopIfTrue="1">
      <formula>$G183=""</formula>
    </cfRule>
  </conditionalFormatting>
  <conditionalFormatting sqref="T185:U185">
    <cfRule type="containsBlanks" dxfId="10991" priority="12704" stopIfTrue="1">
      <formula>LEN(TRIM(T185))=0</formula>
    </cfRule>
  </conditionalFormatting>
  <conditionalFormatting sqref="AC183:AE183">
    <cfRule type="expression" dxfId="10990" priority="12703">
      <formula>$G183=""</formula>
    </cfRule>
  </conditionalFormatting>
  <conditionalFormatting sqref="AF185 AG186">
    <cfRule type="containsBlanks" dxfId="10989" priority="12708" stopIfTrue="1">
      <formula>LEN(TRIM(AF185))=0</formula>
    </cfRule>
  </conditionalFormatting>
  <conditionalFormatting sqref="AF185">
    <cfRule type="expression" dxfId="10988" priority="12709">
      <formula>OR($HS184=FALSE,$HT184=FALSE)</formula>
    </cfRule>
  </conditionalFormatting>
  <conditionalFormatting sqref="AG186">
    <cfRule type="expression" dxfId="10987" priority="12667">
      <formula>$C$43&gt;0</formula>
    </cfRule>
  </conditionalFormatting>
  <conditionalFormatting sqref="AG186">
    <cfRule type="expression" dxfId="10986" priority="12700" stopIfTrue="1">
      <formula>$G183=""</formula>
    </cfRule>
  </conditionalFormatting>
  <conditionalFormatting sqref="U185">
    <cfRule type="expression" dxfId="10985" priority="12705">
      <formula>OR($HK184=FALSE,$HL184=FALSE)</formula>
    </cfRule>
  </conditionalFormatting>
  <conditionalFormatting sqref="T184:U184">
    <cfRule type="expression" dxfId="10984" priority="12695" stopIfTrue="1">
      <formula>$C$43&lt;&gt;0</formula>
    </cfRule>
    <cfRule type="containsBlanks" dxfId="10983" priority="12696" stopIfTrue="1">
      <formula>LEN(TRIM(T184))=0</formula>
    </cfRule>
  </conditionalFormatting>
  <conditionalFormatting sqref="T184:U184">
    <cfRule type="expression" dxfId="10982" priority="12694" stopIfTrue="1">
      <formula>$G183=""</formula>
    </cfRule>
  </conditionalFormatting>
  <conditionalFormatting sqref="U184">
    <cfRule type="expression" dxfId="10981" priority="12697">
      <formula>$HJ184=FALSE</formula>
    </cfRule>
  </conditionalFormatting>
  <conditionalFormatting sqref="AG185">
    <cfRule type="expression" dxfId="10980" priority="12685" stopIfTrue="1">
      <formula>$G183=""</formula>
    </cfRule>
  </conditionalFormatting>
  <conditionalFormatting sqref="AG185:AL185">
    <cfRule type="expression" dxfId="10979" priority="12686">
      <formula>$N186="BAM"</formula>
    </cfRule>
    <cfRule type="expression" dxfId="10978" priority="12690">
      <formula>OR($HU184=FALSE,$HQ184=FALSE)</formula>
    </cfRule>
  </conditionalFormatting>
  <conditionalFormatting sqref="AG185">
    <cfRule type="containsBlanks" dxfId="10977" priority="12687" stopIfTrue="1">
      <formula>LEN(TRIM(AG185))=0</formula>
    </cfRule>
    <cfRule type="expression" dxfId="10976" priority="12688">
      <formula>OR($HP184=FALSE,$HR184=FALSE)</formula>
    </cfRule>
    <cfRule type="expression" dxfId="10975" priority="12689">
      <formula>OR($DS183=7,$DS183=8,$DS183=9)</formula>
    </cfRule>
  </conditionalFormatting>
  <conditionalFormatting sqref="AG183:AL183">
    <cfRule type="expression" dxfId="10974" priority="12684">
      <formula>$C$43&lt;&gt;0</formula>
    </cfRule>
  </conditionalFormatting>
  <conditionalFormatting sqref="AF184">
    <cfRule type="containsBlanks" dxfId="10973" priority="12683">
      <formula>LEN(TRIM(AF184))=0</formula>
    </cfRule>
  </conditionalFormatting>
  <conditionalFormatting sqref="AF184">
    <cfRule type="expression" dxfId="10972" priority="12682" stopIfTrue="1">
      <formula>$G183=""</formula>
    </cfRule>
  </conditionalFormatting>
  <conditionalFormatting sqref="AG184">
    <cfRule type="containsBlanks" dxfId="10971" priority="12680">
      <formula>LEN(TRIM(AG184))=0</formula>
    </cfRule>
    <cfRule type="expression" dxfId="10970" priority="12681">
      <formula>$HO184=FALSE</formula>
    </cfRule>
  </conditionalFormatting>
  <conditionalFormatting sqref="AG184">
    <cfRule type="expression" dxfId="10969" priority="12679" stopIfTrue="1">
      <formula>$G183=""</formula>
    </cfRule>
  </conditionalFormatting>
  <conditionalFormatting sqref="AF184:AK184">
    <cfRule type="expression" dxfId="10968" priority="12678">
      <formula>$C$43&gt;0</formula>
    </cfRule>
  </conditionalFormatting>
  <conditionalFormatting sqref="AM183:AN184">
    <cfRule type="expression" dxfId="10967" priority="12677">
      <formula>$G183=""</formula>
    </cfRule>
  </conditionalFormatting>
  <conditionalFormatting sqref="AM185:AN185">
    <cfRule type="expression" dxfId="10966" priority="12676" stopIfTrue="1">
      <formula>$G183=""</formula>
    </cfRule>
  </conditionalFormatting>
  <conditionalFormatting sqref="T185">
    <cfRule type="expression" dxfId="10965" priority="12698" stopIfTrue="1">
      <formula>$N186="BAM"</formula>
    </cfRule>
  </conditionalFormatting>
  <conditionalFormatting sqref="U185:AE185">
    <cfRule type="expression" dxfId="10964" priority="12675" stopIfTrue="1">
      <formula>$N186="BAM"</formula>
    </cfRule>
  </conditionalFormatting>
  <conditionalFormatting sqref="AG186:AL186">
    <cfRule type="expression" dxfId="10963" priority="12699" stopIfTrue="1">
      <formula>$N186="BAM"</formula>
    </cfRule>
  </conditionalFormatting>
  <conditionalFormatting sqref="AX189">
    <cfRule type="expression" dxfId="10962" priority="12665">
      <formula>$E189=""</formula>
    </cfRule>
  </conditionalFormatting>
  <conditionalFormatting sqref="AX188">
    <cfRule type="expression" dxfId="10961" priority="12664">
      <formula>$E188=""</formula>
    </cfRule>
  </conditionalFormatting>
  <conditionalFormatting sqref="AX190">
    <cfRule type="expression" dxfId="10960" priority="12663">
      <formula>#REF!=""</formula>
    </cfRule>
  </conditionalFormatting>
  <conditionalFormatting sqref="AX191">
    <cfRule type="expression" dxfId="10959" priority="12662">
      <formula>$E190=""</formula>
    </cfRule>
  </conditionalFormatting>
  <conditionalFormatting sqref="AY188:AZ191">
    <cfRule type="expression" dxfId="10958" priority="12661">
      <formula>$G188=""</formula>
    </cfRule>
  </conditionalFormatting>
  <conditionalFormatting sqref="G190">
    <cfRule type="expression" dxfId="10957" priority="12658" stopIfTrue="1">
      <formula>$G188=""</formula>
    </cfRule>
    <cfRule type="containsBlanks" dxfId="10956" priority="12659" stopIfTrue="1">
      <formula>LEN(TRIM(G190))=0</formula>
    </cfRule>
    <cfRule type="expression" dxfId="10955" priority="12660">
      <formula>OR($M190=0,$HH189=FALSE)</formula>
    </cfRule>
  </conditionalFormatting>
  <conditionalFormatting sqref="AO190">
    <cfRule type="expression" dxfId="10954" priority="12657" stopIfTrue="1">
      <formula>$G188=""</formula>
    </cfRule>
  </conditionalFormatting>
  <conditionalFormatting sqref="AU188:AU191">
    <cfRule type="expression" dxfId="10953" priority="12654" stopIfTrue="1">
      <formula>$C$43=2</formula>
    </cfRule>
    <cfRule type="cellIs" dxfId="10952" priority="12655" operator="equal">
      <formula>"Yes"</formula>
    </cfRule>
    <cfRule type="cellIs" dxfId="10951" priority="12656" operator="equal">
      <formula>"No"</formula>
    </cfRule>
  </conditionalFormatting>
  <conditionalFormatting sqref="AO188:AO189">
    <cfRule type="expression" dxfId="10950" priority="12653">
      <formula>$G188=""</formula>
    </cfRule>
  </conditionalFormatting>
  <conditionalFormatting sqref="AP188 AR188:AS191">
    <cfRule type="expression" dxfId="10949" priority="12652">
      <formula>$G188=""</formula>
    </cfRule>
  </conditionalFormatting>
  <conditionalFormatting sqref="AW188:AW191">
    <cfRule type="expression" dxfId="10948" priority="12651">
      <formula>$G188=""</formula>
    </cfRule>
  </conditionalFormatting>
  <conditionalFormatting sqref="G189:L189">
    <cfRule type="expression" dxfId="10947" priority="12649" stopIfTrue="1">
      <formula>$G188=""</formula>
    </cfRule>
    <cfRule type="containsBlanks" dxfId="10946" priority="12650">
      <formula>LEN(TRIM(G189))=0</formula>
    </cfRule>
  </conditionalFormatting>
  <conditionalFormatting sqref="R190">
    <cfRule type="expression" dxfId="10945" priority="12646">
      <formula>$N191="BAM"</formula>
    </cfRule>
    <cfRule type="expression" dxfId="10944" priority="12647" stopIfTrue="1">
      <formula>$G188=""</formula>
    </cfRule>
    <cfRule type="containsBlanks" dxfId="10943" priority="12648">
      <formula>LEN(TRIM(R190))=0</formula>
    </cfRule>
  </conditionalFormatting>
  <conditionalFormatting sqref="R190">
    <cfRule type="expression" dxfId="10942" priority="12645">
      <formula>$C$43=0</formula>
    </cfRule>
  </conditionalFormatting>
  <conditionalFormatting sqref="E191:F191">
    <cfRule type="expression" dxfId="10941" priority="12644">
      <formula>$CQ188="Exterior"</formula>
    </cfRule>
  </conditionalFormatting>
  <conditionalFormatting sqref="G191">
    <cfRule type="expression" dxfId="10940" priority="12634" stopIfTrue="1">
      <formula>$G188=""</formula>
    </cfRule>
  </conditionalFormatting>
  <conditionalFormatting sqref="G191">
    <cfRule type="expression" dxfId="10939" priority="12636" stopIfTrue="1">
      <formula>$CQ188="Exterior"</formula>
    </cfRule>
  </conditionalFormatting>
  <conditionalFormatting sqref="G191:L191">
    <cfRule type="expression" dxfId="10938" priority="12635" stopIfTrue="1">
      <formula>$N191="BAM"</formula>
    </cfRule>
    <cfRule type="containsBlanks" dxfId="10937" priority="12637" stopIfTrue="1">
      <formula>LEN(TRIM(G191))=0</formula>
    </cfRule>
    <cfRule type="expression" dxfId="10936" priority="12639">
      <formula>$HQ189=FALSE</formula>
    </cfRule>
  </conditionalFormatting>
  <conditionalFormatting sqref="G191:L191">
    <cfRule type="expression" dxfId="10935" priority="12638" stopIfTrue="1">
      <formula>$AG190=""</formula>
    </cfRule>
  </conditionalFormatting>
  <conditionalFormatting sqref="G190:L190">
    <cfRule type="expression" dxfId="10934" priority="12632" stopIfTrue="1">
      <formula>$N191="BAM"</formula>
    </cfRule>
  </conditionalFormatting>
  <conditionalFormatting sqref="G188:R188">
    <cfRule type="containsBlanks" dxfId="10933" priority="12631">
      <formula>LEN(TRIM(G188))=0</formula>
    </cfRule>
  </conditionalFormatting>
  <conditionalFormatting sqref="AF190">
    <cfRule type="expression" dxfId="10932" priority="12621" stopIfTrue="1">
      <formula>$G188=""</formula>
    </cfRule>
    <cfRule type="expression" dxfId="10931" priority="12622" stopIfTrue="1">
      <formula>$N191="BAM"</formula>
    </cfRule>
    <cfRule type="expression" dxfId="10930" priority="12630">
      <formula>$AF$49&gt;$T$49</formula>
    </cfRule>
  </conditionalFormatting>
  <conditionalFormatting sqref="AC191:AE191">
    <cfRule type="expression" dxfId="10929" priority="12627" stopIfTrue="1">
      <formula>$G188=""</formula>
    </cfRule>
  </conditionalFormatting>
  <conditionalFormatting sqref="T190:U190">
    <cfRule type="expression" dxfId="10928" priority="12594" stopIfTrue="1">
      <formula>$G188=""</formula>
    </cfRule>
  </conditionalFormatting>
  <conditionalFormatting sqref="T190:U190">
    <cfRule type="containsBlanks" dxfId="10927" priority="12624" stopIfTrue="1">
      <formula>LEN(TRIM(T190))=0</formula>
    </cfRule>
  </conditionalFormatting>
  <conditionalFormatting sqref="AC188:AE188">
    <cfRule type="expression" dxfId="10926" priority="12623">
      <formula>$G188=""</formula>
    </cfRule>
  </conditionalFormatting>
  <conditionalFormatting sqref="AF190 AG191">
    <cfRule type="containsBlanks" dxfId="10925" priority="12628" stopIfTrue="1">
      <formula>LEN(TRIM(AF190))=0</formula>
    </cfRule>
  </conditionalFormatting>
  <conditionalFormatting sqref="AF190">
    <cfRule type="expression" dxfId="10924" priority="12629">
      <formula>OR($HS189=FALSE,$HT189=FALSE)</formula>
    </cfRule>
  </conditionalFormatting>
  <conditionalFormatting sqref="AG191">
    <cfRule type="expression" dxfId="10923" priority="12587">
      <formula>$C$43&gt;0</formula>
    </cfRule>
  </conditionalFormatting>
  <conditionalFormatting sqref="AG191">
    <cfRule type="expression" dxfId="10922" priority="12620" stopIfTrue="1">
      <formula>$G188=""</formula>
    </cfRule>
  </conditionalFormatting>
  <conditionalFormatting sqref="U190">
    <cfRule type="expression" dxfId="10921" priority="12625">
      <formula>OR($HK189=FALSE,$HL189=FALSE)</formula>
    </cfRule>
  </conditionalFormatting>
  <conditionalFormatting sqref="T189:U189">
    <cfRule type="expression" dxfId="10920" priority="12615" stopIfTrue="1">
      <formula>$C$43&lt;&gt;0</formula>
    </cfRule>
    <cfRule type="containsBlanks" dxfId="10919" priority="12616" stopIfTrue="1">
      <formula>LEN(TRIM(T189))=0</formula>
    </cfRule>
  </conditionalFormatting>
  <conditionalFormatting sqref="T189:U189">
    <cfRule type="expression" dxfId="10918" priority="12614" stopIfTrue="1">
      <formula>$G188=""</formula>
    </cfRule>
  </conditionalFormatting>
  <conditionalFormatting sqref="U189">
    <cfRule type="expression" dxfId="10917" priority="12617">
      <formula>$HJ189=FALSE</formula>
    </cfRule>
  </conditionalFormatting>
  <conditionalFormatting sqref="AG190">
    <cfRule type="expression" dxfId="10916" priority="12605" stopIfTrue="1">
      <formula>$G188=""</formula>
    </cfRule>
  </conditionalFormatting>
  <conditionalFormatting sqref="AG190:AL190">
    <cfRule type="expression" dxfId="10915" priority="12606">
      <formula>$N191="BAM"</formula>
    </cfRule>
    <cfRule type="expression" dxfId="10914" priority="12610">
      <formula>OR($HU189=FALSE,$HQ189=FALSE)</formula>
    </cfRule>
  </conditionalFormatting>
  <conditionalFormatting sqref="AG190">
    <cfRule type="containsBlanks" dxfId="10913" priority="12607" stopIfTrue="1">
      <formula>LEN(TRIM(AG190))=0</formula>
    </cfRule>
    <cfRule type="expression" dxfId="10912" priority="12608">
      <formula>OR($HP189=FALSE,$HR189=FALSE)</formula>
    </cfRule>
    <cfRule type="expression" dxfId="10911" priority="12609">
      <formula>OR($DS188=7,$DS188=8,$DS188=9)</formula>
    </cfRule>
  </conditionalFormatting>
  <conditionalFormatting sqref="AG188:AL188">
    <cfRule type="expression" dxfId="10910" priority="12604">
      <formula>$C$43&lt;&gt;0</formula>
    </cfRule>
  </conditionalFormatting>
  <conditionalFormatting sqref="AF189">
    <cfRule type="containsBlanks" dxfId="10909" priority="12603">
      <formula>LEN(TRIM(AF189))=0</formula>
    </cfRule>
  </conditionalFormatting>
  <conditionalFormatting sqref="AF189">
    <cfRule type="expression" dxfId="10908" priority="12602" stopIfTrue="1">
      <formula>$G188=""</formula>
    </cfRule>
  </conditionalFormatting>
  <conditionalFormatting sqref="AG189">
    <cfRule type="containsBlanks" dxfId="10907" priority="12600">
      <formula>LEN(TRIM(AG189))=0</formula>
    </cfRule>
    <cfRule type="expression" dxfId="10906" priority="12601">
      <formula>$HO189=FALSE</formula>
    </cfRule>
  </conditionalFormatting>
  <conditionalFormatting sqref="AG189">
    <cfRule type="expression" dxfId="10905" priority="12599" stopIfTrue="1">
      <formula>$G188=""</formula>
    </cfRule>
  </conditionalFormatting>
  <conditionalFormatting sqref="AF189:AK189">
    <cfRule type="expression" dxfId="10904" priority="12598">
      <formula>$C$43&gt;0</formula>
    </cfRule>
  </conditionalFormatting>
  <conditionalFormatting sqref="AM188:AN189">
    <cfRule type="expression" dxfId="10903" priority="12597">
      <formula>$G188=""</formula>
    </cfRule>
  </conditionalFormatting>
  <conditionalFormatting sqref="AM190:AN190">
    <cfRule type="expression" dxfId="10902" priority="12596" stopIfTrue="1">
      <formula>$G188=""</formula>
    </cfRule>
  </conditionalFormatting>
  <conditionalFormatting sqref="T190">
    <cfRule type="expression" dxfId="10901" priority="12618" stopIfTrue="1">
      <formula>$N191="BAM"</formula>
    </cfRule>
  </conditionalFormatting>
  <conditionalFormatting sqref="U190:AE190">
    <cfRule type="expression" dxfId="10900" priority="12595" stopIfTrue="1">
      <formula>$N191="BAM"</formula>
    </cfRule>
  </conditionalFormatting>
  <conditionalFormatting sqref="AG191:AL191">
    <cfRule type="expression" dxfId="10899" priority="12619" stopIfTrue="1">
      <formula>$N191="BAM"</formula>
    </cfRule>
  </conditionalFormatting>
  <conditionalFormatting sqref="AX194">
    <cfRule type="expression" dxfId="10898" priority="12585">
      <formula>$E194=""</formula>
    </cfRule>
  </conditionalFormatting>
  <conditionalFormatting sqref="AX193">
    <cfRule type="expression" dxfId="10897" priority="12584">
      <formula>$E193=""</formula>
    </cfRule>
  </conditionalFormatting>
  <conditionalFormatting sqref="AX195">
    <cfRule type="expression" dxfId="10896" priority="12583">
      <formula>#REF!=""</formula>
    </cfRule>
  </conditionalFormatting>
  <conditionalFormatting sqref="AX196">
    <cfRule type="expression" dxfId="10895" priority="12582">
      <formula>$E195=""</formula>
    </cfRule>
  </conditionalFormatting>
  <conditionalFormatting sqref="AY193:AZ196">
    <cfRule type="expression" dxfId="10894" priority="12581">
      <formula>$G193=""</formula>
    </cfRule>
  </conditionalFormatting>
  <conditionalFormatting sqref="G195">
    <cfRule type="expression" dxfId="10893" priority="12578" stopIfTrue="1">
      <formula>$G193=""</formula>
    </cfRule>
    <cfRule type="containsBlanks" dxfId="10892" priority="12579" stopIfTrue="1">
      <formula>LEN(TRIM(G195))=0</formula>
    </cfRule>
    <cfRule type="expression" dxfId="10891" priority="12580">
      <formula>OR($M195=0,$HH194=FALSE)</formula>
    </cfRule>
  </conditionalFormatting>
  <conditionalFormatting sqref="AO195">
    <cfRule type="expression" dxfId="10890" priority="12577" stopIfTrue="1">
      <formula>$G193=""</formula>
    </cfRule>
  </conditionalFormatting>
  <conditionalFormatting sqref="AU193:AU196">
    <cfRule type="expression" dxfId="10889" priority="12574" stopIfTrue="1">
      <formula>$C$43=2</formula>
    </cfRule>
    <cfRule type="cellIs" dxfId="10888" priority="12575" operator="equal">
      <formula>"Yes"</formula>
    </cfRule>
    <cfRule type="cellIs" dxfId="10887" priority="12576" operator="equal">
      <formula>"No"</formula>
    </cfRule>
  </conditionalFormatting>
  <conditionalFormatting sqref="AO193:AO194">
    <cfRule type="expression" dxfId="10886" priority="12573">
      <formula>$G193=""</formula>
    </cfRule>
  </conditionalFormatting>
  <conditionalFormatting sqref="AP193 AR193:AS196">
    <cfRule type="expression" dxfId="10885" priority="12572">
      <formula>$G193=""</formula>
    </cfRule>
  </conditionalFormatting>
  <conditionalFormatting sqref="AW193:AW196">
    <cfRule type="expression" dxfId="10884" priority="12571">
      <formula>$G193=""</formula>
    </cfRule>
  </conditionalFormatting>
  <conditionalFormatting sqref="G194:L194">
    <cfRule type="expression" dxfId="10883" priority="12569" stopIfTrue="1">
      <formula>$G193=""</formula>
    </cfRule>
    <cfRule type="containsBlanks" dxfId="10882" priority="12570">
      <formula>LEN(TRIM(G194))=0</formula>
    </cfRule>
  </conditionalFormatting>
  <conditionalFormatting sqref="R195">
    <cfRule type="expression" dxfId="10881" priority="12566">
      <formula>$N196="BAM"</formula>
    </cfRule>
    <cfRule type="expression" dxfId="10880" priority="12567" stopIfTrue="1">
      <formula>$G193=""</formula>
    </cfRule>
    <cfRule type="containsBlanks" dxfId="10879" priority="12568">
      <formula>LEN(TRIM(R195))=0</formula>
    </cfRule>
  </conditionalFormatting>
  <conditionalFormatting sqref="R195">
    <cfRule type="expression" dxfId="10878" priority="12565">
      <formula>$C$43=0</formula>
    </cfRule>
  </conditionalFormatting>
  <conditionalFormatting sqref="E196:F196">
    <cfRule type="expression" dxfId="10877" priority="12564">
      <formula>$CQ193="Exterior"</formula>
    </cfRule>
  </conditionalFormatting>
  <conditionalFormatting sqref="G196">
    <cfRule type="expression" dxfId="10876" priority="12554" stopIfTrue="1">
      <formula>$G193=""</formula>
    </cfRule>
  </conditionalFormatting>
  <conditionalFormatting sqref="G196">
    <cfRule type="expression" dxfId="10875" priority="12556" stopIfTrue="1">
      <formula>$CQ193="Exterior"</formula>
    </cfRule>
  </conditionalFormatting>
  <conditionalFormatting sqref="G196:L196">
    <cfRule type="expression" dxfId="10874" priority="12555" stopIfTrue="1">
      <formula>$N196="BAM"</formula>
    </cfRule>
    <cfRule type="containsBlanks" dxfId="10873" priority="12557" stopIfTrue="1">
      <formula>LEN(TRIM(G196))=0</formula>
    </cfRule>
    <cfRule type="expression" dxfId="10872" priority="12559">
      <formula>$HQ194=FALSE</formula>
    </cfRule>
  </conditionalFormatting>
  <conditionalFormatting sqref="G196:L196">
    <cfRule type="expression" dxfId="10871" priority="12558" stopIfTrue="1">
      <formula>$AG195=""</formula>
    </cfRule>
  </conditionalFormatting>
  <conditionalFormatting sqref="G195:L195">
    <cfRule type="expression" dxfId="10870" priority="12552" stopIfTrue="1">
      <formula>$N196="BAM"</formula>
    </cfRule>
  </conditionalFormatting>
  <conditionalFormatting sqref="G193:R193">
    <cfRule type="containsBlanks" dxfId="10869" priority="12551">
      <formula>LEN(TRIM(G193))=0</formula>
    </cfRule>
  </conditionalFormatting>
  <conditionalFormatting sqref="AF195">
    <cfRule type="expression" dxfId="10868" priority="12541" stopIfTrue="1">
      <formula>$G193=""</formula>
    </cfRule>
    <cfRule type="expression" dxfId="10867" priority="12542" stopIfTrue="1">
      <formula>$N196="BAM"</formula>
    </cfRule>
    <cfRule type="expression" dxfId="10866" priority="12550">
      <formula>$AF$49&gt;$T$49</formula>
    </cfRule>
  </conditionalFormatting>
  <conditionalFormatting sqref="AC196:AE196">
    <cfRule type="expression" dxfId="10865" priority="12547" stopIfTrue="1">
      <formula>$G193=""</formula>
    </cfRule>
  </conditionalFormatting>
  <conditionalFormatting sqref="T195:U195">
    <cfRule type="expression" dxfId="10864" priority="12514" stopIfTrue="1">
      <formula>$G193=""</formula>
    </cfRule>
  </conditionalFormatting>
  <conditionalFormatting sqref="T195:U195">
    <cfRule type="containsBlanks" dxfId="10863" priority="12544" stopIfTrue="1">
      <formula>LEN(TRIM(T195))=0</formula>
    </cfRule>
  </conditionalFormatting>
  <conditionalFormatting sqref="AC193:AE193">
    <cfRule type="expression" dxfId="10862" priority="12543">
      <formula>$G193=""</formula>
    </cfRule>
  </conditionalFormatting>
  <conditionalFormatting sqref="AF195 AG196">
    <cfRule type="containsBlanks" dxfId="10861" priority="12548" stopIfTrue="1">
      <formula>LEN(TRIM(AF195))=0</formula>
    </cfRule>
  </conditionalFormatting>
  <conditionalFormatting sqref="AF195">
    <cfRule type="expression" dxfId="10860" priority="12549">
      <formula>OR($HS194=FALSE,$HT194=FALSE)</formula>
    </cfRule>
  </conditionalFormatting>
  <conditionalFormatting sqref="AG196">
    <cfRule type="expression" dxfId="10859" priority="12507">
      <formula>$C$43&gt;0</formula>
    </cfRule>
  </conditionalFormatting>
  <conditionalFormatting sqref="AG196">
    <cfRule type="expression" dxfId="10858" priority="12540" stopIfTrue="1">
      <formula>$G193=""</formula>
    </cfRule>
  </conditionalFormatting>
  <conditionalFormatting sqref="U195">
    <cfRule type="expression" dxfId="10857" priority="12545">
      <formula>OR($HK194=FALSE,$HL194=FALSE)</formula>
    </cfRule>
  </conditionalFormatting>
  <conditionalFormatting sqref="T194:U194">
    <cfRule type="expression" dxfId="10856" priority="12535" stopIfTrue="1">
      <formula>$C$43&lt;&gt;0</formula>
    </cfRule>
    <cfRule type="containsBlanks" dxfId="10855" priority="12536" stopIfTrue="1">
      <formula>LEN(TRIM(T194))=0</formula>
    </cfRule>
  </conditionalFormatting>
  <conditionalFormatting sqref="T194:U194">
    <cfRule type="expression" dxfId="10854" priority="12534" stopIfTrue="1">
      <formula>$G193=""</formula>
    </cfRule>
  </conditionalFormatting>
  <conditionalFormatting sqref="U194">
    <cfRule type="expression" dxfId="10853" priority="12537">
      <formula>$HJ194=FALSE</formula>
    </cfRule>
  </conditionalFormatting>
  <conditionalFormatting sqref="AG195">
    <cfRule type="expression" dxfId="10852" priority="12525" stopIfTrue="1">
      <formula>$G193=""</formula>
    </cfRule>
  </conditionalFormatting>
  <conditionalFormatting sqref="AG195:AL195">
    <cfRule type="expression" dxfId="10851" priority="12526">
      <formula>$N196="BAM"</formula>
    </cfRule>
    <cfRule type="expression" dxfId="10850" priority="12530">
      <formula>OR($HU194=FALSE,$HQ194=FALSE)</formula>
    </cfRule>
  </conditionalFormatting>
  <conditionalFormatting sqref="AG195">
    <cfRule type="containsBlanks" dxfId="10849" priority="12527" stopIfTrue="1">
      <formula>LEN(TRIM(AG195))=0</formula>
    </cfRule>
    <cfRule type="expression" dxfId="10848" priority="12528">
      <formula>OR($HP194=FALSE,$HR194=FALSE)</formula>
    </cfRule>
    <cfRule type="expression" dxfId="10847" priority="12529">
      <formula>OR($DS193=7,$DS193=8,$DS193=9)</formula>
    </cfRule>
  </conditionalFormatting>
  <conditionalFormatting sqref="AG193:AL193">
    <cfRule type="expression" dxfId="10846" priority="12524">
      <formula>$C$43&lt;&gt;0</formula>
    </cfRule>
  </conditionalFormatting>
  <conditionalFormatting sqref="AF194">
    <cfRule type="containsBlanks" dxfId="10845" priority="12523">
      <formula>LEN(TRIM(AF194))=0</formula>
    </cfRule>
  </conditionalFormatting>
  <conditionalFormatting sqref="AF194">
    <cfRule type="expression" dxfId="10844" priority="12522" stopIfTrue="1">
      <formula>$G193=""</formula>
    </cfRule>
  </conditionalFormatting>
  <conditionalFormatting sqref="AG194">
    <cfRule type="containsBlanks" dxfId="10843" priority="12520">
      <formula>LEN(TRIM(AG194))=0</formula>
    </cfRule>
    <cfRule type="expression" dxfId="10842" priority="12521">
      <formula>$HO194=FALSE</formula>
    </cfRule>
  </conditionalFormatting>
  <conditionalFormatting sqref="AG194">
    <cfRule type="expression" dxfId="10841" priority="12519" stopIfTrue="1">
      <formula>$G193=""</formula>
    </cfRule>
  </conditionalFormatting>
  <conditionalFormatting sqref="AF194:AK194">
    <cfRule type="expression" dxfId="10840" priority="12518">
      <formula>$C$43&gt;0</formula>
    </cfRule>
  </conditionalFormatting>
  <conditionalFormatting sqref="AM193:AN194">
    <cfRule type="expression" dxfId="10839" priority="12517">
      <formula>$G193=""</formula>
    </cfRule>
  </conditionalFormatting>
  <conditionalFormatting sqref="AM195:AN195">
    <cfRule type="expression" dxfId="10838" priority="12516" stopIfTrue="1">
      <formula>$G193=""</formula>
    </cfRule>
  </conditionalFormatting>
  <conditionalFormatting sqref="T195">
    <cfRule type="expression" dxfId="10837" priority="12538" stopIfTrue="1">
      <formula>$N196="BAM"</formula>
    </cfRule>
  </conditionalFormatting>
  <conditionalFormatting sqref="U195:AE195">
    <cfRule type="expression" dxfId="10836" priority="12515" stopIfTrue="1">
      <formula>$N196="BAM"</formula>
    </cfRule>
  </conditionalFormatting>
  <conditionalFormatting sqref="AG196:AL196">
    <cfRule type="expression" dxfId="10835" priority="12539" stopIfTrue="1">
      <formula>$N196="BAM"</formula>
    </cfRule>
  </conditionalFormatting>
  <conditionalFormatting sqref="AX199">
    <cfRule type="expression" dxfId="10834" priority="12505">
      <formula>$E199=""</formula>
    </cfRule>
  </conditionalFormatting>
  <conditionalFormatting sqref="AX198">
    <cfRule type="expression" dxfId="10833" priority="12504">
      <formula>$E198=""</formula>
    </cfRule>
  </conditionalFormatting>
  <conditionalFormatting sqref="AX200">
    <cfRule type="expression" dxfId="10832" priority="12503">
      <formula>#REF!=""</formula>
    </cfRule>
  </conditionalFormatting>
  <conditionalFormatting sqref="AX201">
    <cfRule type="expression" dxfId="10831" priority="12502">
      <formula>$E200=""</formula>
    </cfRule>
  </conditionalFormatting>
  <conditionalFormatting sqref="AY198:AZ201">
    <cfRule type="expression" dxfId="10830" priority="12501">
      <formula>$G198=""</formula>
    </cfRule>
  </conditionalFormatting>
  <conditionalFormatting sqref="G200">
    <cfRule type="expression" dxfId="10829" priority="12498" stopIfTrue="1">
      <formula>$G198=""</formula>
    </cfRule>
    <cfRule type="containsBlanks" dxfId="10828" priority="12499" stopIfTrue="1">
      <formula>LEN(TRIM(G200))=0</formula>
    </cfRule>
    <cfRule type="expression" dxfId="10827" priority="12500">
      <formula>OR($M200=0,$HH199=FALSE)</formula>
    </cfRule>
  </conditionalFormatting>
  <conditionalFormatting sqref="AO200">
    <cfRule type="expression" dxfId="10826" priority="12497" stopIfTrue="1">
      <formula>$G198=""</formula>
    </cfRule>
  </conditionalFormatting>
  <conditionalFormatting sqref="AU198:AU201">
    <cfRule type="expression" dxfId="10825" priority="12494" stopIfTrue="1">
      <formula>$C$43=2</formula>
    </cfRule>
    <cfRule type="cellIs" dxfId="10824" priority="12495" operator="equal">
      <formula>"Yes"</formula>
    </cfRule>
    <cfRule type="cellIs" dxfId="10823" priority="12496" operator="equal">
      <formula>"No"</formula>
    </cfRule>
  </conditionalFormatting>
  <conditionalFormatting sqref="AO198:AO199">
    <cfRule type="expression" dxfId="10822" priority="12493">
      <formula>$G198=""</formula>
    </cfRule>
  </conditionalFormatting>
  <conditionalFormatting sqref="AP198 AR198:AS201">
    <cfRule type="expression" dxfId="10821" priority="12492">
      <formula>$G198=""</formula>
    </cfRule>
  </conditionalFormatting>
  <conditionalFormatting sqref="AW198:AW201">
    <cfRule type="expression" dxfId="10820" priority="12491">
      <formula>$G198=""</formula>
    </cfRule>
  </conditionalFormatting>
  <conditionalFormatting sqref="G199:L199">
    <cfRule type="expression" dxfId="10819" priority="12489" stopIfTrue="1">
      <formula>$G198=""</formula>
    </cfRule>
    <cfRule type="containsBlanks" dxfId="10818" priority="12490">
      <formula>LEN(TRIM(G199))=0</formula>
    </cfRule>
  </conditionalFormatting>
  <conditionalFormatting sqref="R200">
    <cfRule type="expression" dxfId="10817" priority="12486">
      <formula>$N201="BAM"</formula>
    </cfRule>
    <cfRule type="expression" dxfId="10816" priority="12487" stopIfTrue="1">
      <formula>$G198=""</formula>
    </cfRule>
    <cfRule type="containsBlanks" dxfId="10815" priority="12488">
      <formula>LEN(TRIM(R200))=0</formula>
    </cfRule>
  </conditionalFormatting>
  <conditionalFormatting sqref="R200">
    <cfRule type="expression" dxfId="10814" priority="12485">
      <formula>$C$43=0</formula>
    </cfRule>
  </conditionalFormatting>
  <conditionalFormatting sqref="E201:F201">
    <cfRule type="expression" dxfId="10813" priority="12484">
      <formula>$CQ198="Exterior"</formula>
    </cfRule>
  </conditionalFormatting>
  <conditionalFormatting sqref="G201">
    <cfRule type="expression" dxfId="10812" priority="12474" stopIfTrue="1">
      <formula>$G198=""</formula>
    </cfRule>
  </conditionalFormatting>
  <conditionalFormatting sqref="G201">
    <cfRule type="expression" dxfId="10811" priority="12476" stopIfTrue="1">
      <formula>$CQ198="Exterior"</formula>
    </cfRule>
  </conditionalFormatting>
  <conditionalFormatting sqref="G201:L201">
    <cfRule type="expression" dxfId="10810" priority="12475" stopIfTrue="1">
      <formula>$N201="BAM"</formula>
    </cfRule>
    <cfRule type="containsBlanks" dxfId="10809" priority="12477" stopIfTrue="1">
      <formula>LEN(TRIM(G201))=0</formula>
    </cfRule>
    <cfRule type="expression" dxfId="10808" priority="12479">
      <formula>$HQ199=FALSE</formula>
    </cfRule>
  </conditionalFormatting>
  <conditionalFormatting sqref="G201:L201">
    <cfRule type="expression" dxfId="10807" priority="12478" stopIfTrue="1">
      <formula>$AG200=""</formula>
    </cfRule>
  </conditionalFormatting>
  <conditionalFormatting sqref="G200:L200">
    <cfRule type="expression" dxfId="10806" priority="12472" stopIfTrue="1">
      <formula>$N201="BAM"</formula>
    </cfRule>
  </conditionalFormatting>
  <conditionalFormatting sqref="G198:R198">
    <cfRule type="containsBlanks" dxfId="10805" priority="12471">
      <formula>LEN(TRIM(G198))=0</formula>
    </cfRule>
  </conditionalFormatting>
  <conditionalFormatting sqref="AF200">
    <cfRule type="expression" dxfId="10804" priority="12461" stopIfTrue="1">
      <formula>$G198=""</formula>
    </cfRule>
    <cfRule type="expression" dxfId="10803" priority="12462" stopIfTrue="1">
      <formula>$N201="BAM"</formula>
    </cfRule>
    <cfRule type="expression" dxfId="10802" priority="12470">
      <formula>$AF$49&gt;$T$49</formula>
    </cfRule>
  </conditionalFormatting>
  <conditionalFormatting sqref="AC201:AE201">
    <cfRule type="expression" dxfId="10801" priority="12467" stopIfTrue="1">
      <formula>$G198=""</formula>
    </cfRule>
  </conditionalFormatting>
  <conditionalFormatting sqref="T200:U200">
    <cfRule type="expression" dxfId="10800" priority="12434" stopIfTrue="1">
      <formula>$G198=""</formula>
    </cfRule>
  </conditionalFormatting>
  <conditionalFormatting sqref="T200:U200">
    <cfRule type="containsBlanks" dxfId="10799" priority="12464" stopIfTrue="1">
      <formula>LEN(TRIM(T200))=0</formula>
    </cfRule>
  </conditionalFormatting>
  <conditionalFormatting sqref="AC198:AE198">
    <cfRule type="expression" dxfId="10798" priority="12463">
      <formula>$G198=""</formula>
    </cfRule>
  </conditionalFormatting>
  <conditionalFormatting sqref="AF200 AG201">
    <cfRule type="containsBlanks" dxfId="10797" priority="12468" stopIfTrue="1">
      <formula>LEN(TRIM(AF200))=0</formula>
    </cfRule>
  </conditionalFormatting>
  <conditionalFormatting sqref="AF200">
    <cfRule type="expression" dxfId="10796" priority="12469">
      <formula>OR($HS199=FALSE,$HT199=FALSE)</formula>
    </cfRule>
  </conditionalFormatting>
  <conditionalFormatting sqref="AG201">
    <cfRule type="expression" dxfId="10795" priority="12427">
      <formula>$C$43&gt;0</formula>
    </cfRule>
  </conditionalFormatting>
  <conditionalFormatting sqref="AG201">
    <cfRule type="expression" dxfId="10794" priority="12460" stopIfTrue="1">
      <formula>$G198=""</formula>
    </cfRule>
  </conditionalFormatting>
  <conditionalFormatting sqref="U200">
    <cfRule type="expression" dxfId="10793" priority="12465">
      <formula>OR($HK199=FALSE,$HL199=FALSE)</formula>
    </cfRule>
  </conditionalFormatting>
  <conditionalFormatting sqref="T199:U199">
    <cfRule type="expression" dxfId="10792" priority="12455" stopIfTrue="1">
      <formula>$C$43&lt;&gt;0</formula>
    </cfRule>
    <cfRule type="containsBlanks" dxfId="10791" priority="12456" stopIfTrue="1">
      <formula>LEN(TRIM(T199))=0</formula>
    </cfRule>
  </conditionalFormatting>
  <conditionalFormatting sqref="T199:U199">
    <cfRule type="expression" dxfId="10790" priority="12454" stopIfTrue="1">
      <formula>$G198=""</formula>
    </cfRule>
  </conditionalFormatting>
  <conditionalFormatting sqref="U199">
    <cfRule type="expression" dxfId="10789" priority="12457">
      <formula>$HJ199=FALSE</formula>
    </cfRule>
  </conditionalFormatting>
  <conditionalFormatting sqref="AG200">
    <cfRule type="expression" dxfId="10788" priority="12445" stopIfTrue="1">
      <formula>$G198=""</formula>
    </cfRule>
  </conditionalFormatting>
  <conditionalFormatting sqref="AG200:AL200">
    <cfRule type="expression" dxfId="10787" priority="12446">
      <formula>$N201="BAM"</formula>
    </cfRule>
    <cfRule type="expression" dxfId="10786" priority="12450">
      <formula>OR($HU199=FALSE,$HQ199=FALSE)</formula>
    </cfRule>
  </conditionalFormatting>
  <conditionalFormatting sqref="AG200">
    <cfRule type="containsBlanks" dxfId="10785" priority="12447" stopIfTrue="1">
      <formula>LEN(TRIM(AG200))=0</formula>
    </cfRule>
    <cfRule type="expression" dxfId="10784" priority="12448">
      <formula>OR($HP199=FALSE,$HR199=FALSE)</formula>
    </cfRule>
    <cfRule type="expression" dxfId="10783" priority="12449">
      <formula>OR($DS198=7,$DS198=8,$DS198=9)</formula>
    </cfRule>
  </conditionalFormatting>
  <conditionalFormatting sqref="AG198:AL198">
    <cfRule type="expression" dxfId="10782" priority="12444">
      <formula>$C$43&lt;&gt;0</formula>
    </cfRule>
  </conditionalFormatting>
  <conditionalFormatting sqref="AF199">
    <cfRule type="containsBlanks" dxfId="10781" priority="12443">
      <formula>LEN(TRIM(AF199))=0</formula>
    </cfRule>
  </conditionalFormatting>
  <conditionalFormatting sqref="AF199">
    <cfRule type="expression" dxfId="10780" priority="12442" stopIfTrue="1">
      <formula>$G198=""</formula>
    </cfRule>
  </conditionalFormatting>
  <conditionalFormatting sqref="AG199">
    <cfRule type="containsBlanks" dxfId="10779" priority="12440">
      <formula>LEN(TRIM(AG199))=0</formula>
    </cfRule>
    <cfRule type="expression" dxfId="10778" priority="12441">
      <formula>$HO199=FALSE</formula>
    </cfRule>
  </conditionalFormatting>
  <conditionalFormatting sqref="AG199">
    <cfRule type="expression" dxfId="10777" priority="12439" stopIfTrue="1">
      <formula>$G198=""</formula>
    </cfRule>
  </conditionalFormatting>
  <conditionalFormatting sqref="AF199:AK199">
    <cfRule type="expression" dxfId="10776" priority="12438">
      <formula>$C$43&gt;0</formula>
    </cfRule>
  </conditionalFormatting>
  <conditionalFormatting sqref="AM198:AN199">
    <cfRule type="expression" dxfId="10775" priority="12437">
      <formula>$G198=""</formula>
    </cfRule>
  </conditionalFormatting>
  <conditionalFormatting sqref="AM200:AN200">
    <cfRule type="expression" dxfId="10774" priority="12436" stopIfTrue="1">
      <formula>$G198=""</formula>
    </cfRule>
  </conditionalFormatting>
  <conditionalFormatting sqref="T200">
    <cfRule type="expression" dxfId="10773" priority="12458" stopIfTrue="1">
      <formula>$N201="BAM"</formula>
    </cfRule>
  </conditionalFormatting>
  <conditionalFormatting sqref="U200:AE200">
    <cfRule type="expression" dxfId="10772" priority="12435" stopIfTrue="1">
      <formula>$N201="BAM"</formula>
    </cfRule>
  </conditionalFormatting>
  <conditionalFormatting sqref="AG201:AL201">
    <cfRule type="expression" dxfId="10771" priority="12459" stopIfTrue="1">
      <formula>$N201="BAM"</formula>
    </cfRule>
  </conditionalFormatting>
  <conditionalFormatting sqref="AX204">
    <cfRule type="expression" dxfId="10770" priority="12425">
      <formula>$E204=""</formula>
    </cfRule>
  </conditionalFormatting>
  <conditionalFormatting sqref="AX203">
    <cfRule type="expression" dxfId="10769" priority="12424">
      <formula>$E203=""</formula>
    </cfRule>
  </conditionalFormatting>
  <conditionalFormatting sqref="AX205">
    <cfRule type="expression" dxfId="10768" priority="12423">
      <formula>#REF!=""</formula>
    </cfRule>
  </conditionalFormatting>
  <conditionalFormatting sqref="AX206">
    <cfRule type="expression" dxfId="10767" priority="12422">
      <formula>$E205=""</formula>
    </cfRule>
  </conditionalFormatting>
  <conditionalFormatting sqref="AY203:AZ206">
    <cfRule type="expression" dxfId="10766" priority="12421">
      <formula>$G203=""</formula>
    </cfRule>
  </conditionalFormatting>
  <conditionalFormatting sqref="G205">
    <cfRule type="expression" dxfId="10765" priority="12418" stopIfTrue="1">
      <formula>$G203=""</formula>
    </cfRule>
    <cfRule type="containsBlanks" dxfId="10764" priority="12419" stopIfTrue="1">
      <formula>LEN(TRIM(G205))=0</formula>
    </cfRule>
    <cfRule type="expression" dxfId="10763" priority="12420">
      <formula>OR($M205=0,$HH204=FALSE)</formula>
    </cfRule>
  </conditionalFormatting>
  <conditionalFormatting sqref="AO205">
    <cfRule type="expression" dxfId="10762" priority="12417" stopIfTrue="1">
      <formula>$G203=""</formula>
    </cfRule>
  </conditionalFormatting>
  <conditionalFormatting sqref="AU203:AU206">
    <cfRule type="expression" dxfId="10761" priority="12414" stopIfTrue="1">
      <formula>$C$43=2</formula>
    </cfRule>
    <cfRule type="cellIs" dxfId="10760" priority="12415" operator="equal">
      <formula>"Yes"</formula>
    </cfRule>
    <cfRule type="cellIs" dxfId="10759" priority="12416" operator="equal">
      <formula>"No"</formula>
    </cfRule>
  </conditionalFormatting>
  <conditionalFormatting sqref="AO203:AO204">
    <cfRule type="expression" dxfId="10758" priority="12413">
      <formula>$G203=""</formula>
    </cfRule>
  </conditionalFormatting>
  <conditionalFormatting sqref="AP203 AR203:AS206">
    <cfRule type="expression" dxfId="10757" priority="12412">
      <formula>$G203=""</formula>
    </cfRule>
  </conditionalFormatting>
  <conditionalFormatting sqref="AW203:AW206">
    <cfRule type="expression" dxfId="10756" priority="12411">
      <formula>$G203=""</formula>
    </cfRule>
  </conditionalFormatting>
  <conditionalFormatting sqref="G204:L204">
    <cfRule type="expression" dxfId="10755" priority="12409" stopIfTrue="1">
      <formula>$G203=""</formula>
    </cfRule>
    <cfRule type="containsBlanks" dxfId="10754" priority="12410">
      <formula>LEN(TRIM(G204))=0</formula>
    </cfRule>
  </conditionalFormatting>
  <conditionalFormatting sqref="R205">
    <cfRule type="expression" dxfId="10753" priority="12406">
      <formula>$N206="BAM"</formula>
    </cfRule>
    <cfRule type="expression" dxfId="10752" priority="12407" stopIfTrue="1">
      <formula>$G203=""</formula>
    </cfRule>
    <cfRule type="containsBlanks" dxfId="10751" priority="12408">
      <formula>LEN(TRIM(R205))=0</formula>
    </cfRule>
  </conditionalFormatting>
  <conditionalFormatting sqref="R205">
    <cfRule type="expression" dxfId="10750" priority="12405">
      <formula>$C$43=0</formula>
    </cfRule>
  </conditionalFormatting>
  <conditionalFormatting sqref="E206:F206">
    <cfRule type="expression" dxfId="10749" priority="12404">
      <formula>$CQ203="Exterior"</formula>
    </cfRule>
  </conditionalFormatting>
  <conditionalFormatting sqref="G206">
    <cfRule type="expression" dxfId="10748" priority="12394" stopIfTrue="1">
      <formula>$G203=""</formula>
    </cfRule>
  </conditionalFormatting>
  <conditionalFormatting sqref="G206">
    <cfRule type="expression" dxfId="10747" priority="12396" stopIfTrue="1">
      <formula>$CQ203="Exterior"</formula>
    </cfRule>
  </conditionalFormatting>
  <conditionalFormatting sqref="G206:L206">
    <cfRule type="expression" dxfId="10746" priority="12395" stopIfTrue="1">
      <formula>$N206="BAM"</formula>
    </cfRule>
    <cfRule type="containsBlanks" dxfId="10745" priority="12397" stopIfTrue="1">
      <formula>LEN(TRIM(G206))=0</formula>
    </cfRule>
    <cfRule type="expression" dxfId="10744" priority="12399">
      <formula>$HQ204=FALSE</formula>
    </cfRule>
  </conditionalFormatting>
  <conditionalFormatting sqref="G206:L206">
    <cfRule type="expression" dxfId="10743" priority="12398" stopIfTrue="1">
      <formula>$AG205=""</formula>
    </cfRule>
  </conditionalFormatting>
  <conditionalFormatting sqref="G205:L205">
    <cfRule type="expression" dxfId="10742" priority="12392" stopIfTrue="1">
      <formula>$N206="BAM"</formula>
    </cfRule>
  </conditionalFormatting>
  <conditionalFormatting sqref="G203:R203">
    <cfRule type="containsBlanks" dxfId="10741" priority="12391">
      <formula>LEN(TRIM(G203))=0</formula>
    </cfRule>
  </conditionalFormatting>
  <conditionalFormatting sqref="AF205">
    <cfRule type="expression" dxfId="10740" priority="12381" stopIfTrue="1">
      <formula>$G203=""</formula>
    </cfRule>
    <cfRule type="expression" dxfId="10739" priority="12382" stopIfTrue="1">
      <formula>$N206="BAM"</formula>
    </cfRule>
    <cfRule type="expression" dxfId="10738" priority="12390">
      <formula>$AF$49&gt;$T$49</formula>
    </cfRule>
  </conditionalFormatting>
  <conditionalFormatting sqref="AC206:AE206">
    <cfRule type="expression" dxfId="10737" priority="12387" stopIfTrue="1">
      <formula>$G203=""</formula>
    </cfRule>
  </conditionalFormatting>
  <conditionalFormatting sqref="T205:U205">
    <cfRule type="expression" dxfId="10736" priority="12354" stopIfTrue="1">
      <formula>$G203=""</formula>
    </cfRule>
  </conditionalFormatting>
  <conditionalFormatting sqref="T205:U205">
    <cfRule type="containsBlanks" dxfId="10735" priority="12384" stopIfTrue="1">
      <formula>LEN(TRIM(T205))=0</formula>
    </cfRule>
  </conditionalFormatting>
  <conditionalFormatting sqref="AC203:AE203">
    <cfRule type="expression" dxfId="10734" priority="12383">
      <formula>$G203=""</formula>
    </cfRule>
  </conditionalFormatting>
  <conditionalFormatting sqref="AF205 AG206">
    <cfRule type="containsBlanks" dxfId="10733" priority="12388" stopIfTrue="1">
      <formula>LEN(TRIM(AF205))=0</formula>
    </cfRule>
  </conditionalFormatting>
  <conditionalFormatting sqref="AF205">
    <cfRule type="expression" dxfId="10732" priority="12389">
      <formula>OR($HS204=FALSE,$HT204=FALSE)</formula>
    </cfRule>
  </conditionalFormatting>
  <conditionalFormatting sqref="AG206">
    <cfRule type="expression" dxfId="10731" priority="12347">
      <formula>$C$43&gt;0</formula>
    </cfRule>
  </conditionalFormatting>
  <conditionalFormatting sqref="AG206">
    <cfRule type="expression" dxfId="10730" priority="12380" stopIfTrue="1">
      <formula>$G203=""</formula>
    </cfRule>
  </conditionalFormatting>
  <conditionalFormatting sqref="U205">
    <cfRule type="expression" dxfId="10729" priority="12385">
      <formula>OR($HK204=FALSE,$HL204=FALSE)</formula>
    </cfRule>
  </conditionalFormatting>
  <conditionalFormatting sqref="T204:U204">
    <cfRule type="expression" dxfId="10728" priority="12375" stopIfTrue="1">
      <formula>$C$43&lt;&gt;0</formula>
    </cfRule>
    <cfRule type="containsBlanks" dxfId="10727" priority="12376" stopIfTrue="1">
      <formula>LEN(TRIM(T204))=0</formula>
    </cfRule>
  </conditionalFormatting>
  <conditionalFormatting sqref="T204:U204">
    <cfRule type="expression" dxfId="10726" priority="12374" stopIfTrue="1">
      <formula>$G203=""</formula>
    </cfRule>
  </conditionalFormatting>
  <conditionalFormatting sqref="U204">
    <cfRule type="expression" dxfId="10725" priority="12377">
      <formula>$HJ204=FALSE</formula>
    </cfRule>
  </conditionalFormatting>
  <conditionalFormatting sqref="AG205">
    <cfRule type="expression" dxfId="10724" priority="12365" stopIfTrue="1">
      <formula>$G203=""</formula>
    </cfRule>
  </conditionalFormatting>
  <conditionalFormatting sqref="AG205:AL205">
    <cfRule type="expression" dxfId="10723" priority="12366">
      <formula>$N206="BAM"</formula>
    </cfRule>
    <cfRule type="expression" dxfId="10722" priority="12370">
      <formula>OR($HU204=FALSE,$HQ204=FALSE)</formula>
    </cfRule>
  </conditionalFormatting>
  <conditionalFormatting sqref="AG205">
    <cfRule type="containsBlanks" dxfId="10721" priority="12367" stopIfTrue="1">
      <formula>LEN(TRIM(AG205))=0</formula>
    </cfRule>
    <cfRule type="expression" dxfId="10720" priority="12368">
      <formula>OR($HP204=FALSE,$HR204=FALSE)</formula>
    </cfRule>
    <cfRule type="expression" dxfId="10719" priority="12369">
      <formula>OR($DS203=7,$DS203=8,$DS203=9)</formula>
    </cfRule>
  </conditionalFormatting>
  <conditionalFormatting sqref="AG203:AL203">
    <cfRule type="expression" dxfId="10718" priority="12364">
      <formula>$C$43&lt;&gt;0</formula>
    </cfRule>
  </conditionalFormatting>
  <conditionalFormatting sqref="AF204">
    <cfRule type="containsBlanks" dxfId="10717" priority="12363">
      <formula>LEN(TRIM(AF204))=0</formula>
    </cfRule>
  </conditionalFormatting>
  <conditionalFormatting sqref="AF204">
    <cfRule type="expression" dxfId="10716" priority="12362" stopIfTrue="1">
      <formula>$G203=""</formula>
    </cfRule>
  </conditionalFormatting>
  <conditionalFormatting sqref="AG204">
    <cfRule type="containsBlanks" dxfId="10715" priority="12360">
      <formula>LEN(TRIM(AG204))=0</formula>
    </cfRule>
    <cfRule type="expression" dxfId="10714" priority="12361">
      <formula>$HO204=FALSE</formula>
    </cfRule>
  </conditionalFormatting>
  <conditionalFormatting sqref="AG204">
    <cfRule type="expression" dxfId="10713" priority="12359" stopIfTrue="1">
      <formula>$G203=""</formula>
    </cfRule>
  </conditionalFormatting>
  <conditionalFormatting sqref="AF204:AK204">
    <cfRule type="expression" dxfId="10712" priority="12358">
      <formula>$C$43&gt;0</formula>
    </cfRule>
  </conditionalFormatting>
  <conditionalFormatting sqref="AM203:AN204">
    <cfRule type="expression" dxfId="10711" priority="12357">
      <formula>$G203=""</formula>
    </cfRule>
  </conditionalFormatting>
  <conditionalFormatting sqref="AM205:AN205">
    <cfRule type="expression" dxfId="10710" priority="12356" stopIfTrue="1">
      <formula>$G203=""</formula>
    </cfRule>
  </conditionalFormatting>
  <conditionalFormatting sqref="T205">
    <cfRule type="expression" dxfId="10709" priority="12378" stopIfTrue="1">
      <formula>$N206="BAM"</formula>
    </cfRule>
  </conditionalFormatting>
  <conditionalFormatting sqref="U205:AE205">
    <cfRule type="expression" dxfId="10708" priority="12355" stopIfTrue="1">
      <formula>$N206="BAM"</formula>
    </cfRule>
  </conditionalFormatting>
  <conditionalFormatting sqref="AG206:AL206">
    <cfRule type="expression" dxfId="10707" priority="12379" stopIfTrue="1">
      <formula>$N206="BAM"</formula>
    </cfRule>
  </conditionalFormatting>
  <conditionalFormatting sqref="AX209">
    <cfRule type="expression" dxfId="10706" priority="12345">
      <formula>$E209=""</formula>
    </cfRule>
  </conditionalFormatting>
  <conditionalFormatting sqref="AX208">
    <cfRule type="expression" dxfId="10705" priority="12344">
      <formula>$E208=""</formula>
    </cfRule>
  </conditionalFormatting>
  <conditionalFormatting sqref="AX210">
    <cfRule type="expression" dxfId="10704" priority="12343">
      <formula>#REF!=""</formula>
    </cfRule>
  </conditionalFormatting>
  <conditionalFormatting sqref="AX211">
    <cfRule type="expression" dxfId="10703" priority="12342">
      <formula>$E210=""</formula>
    </cfRule>
  </conditionalFormatting>
  <conditionalFormatting sqref="AY208:AZ211">
    <cfRule type="expression" dxfId="10702" priority="12341">
      <formula>$G208=""</formula>
    </cfRule>
  </conditionalFormatting>
  <conditionalFormatting sqref="G210">
    <cfRule type="expression" dxfId="10701" priority="12338" stopIfTrue="1">
      <formula>$G208=""</formula>
    </cfRule>
    <cfRule type="containsBlanks" dxfId="10700" priority="12339" stopIfTrue="1">
      <formula>LEN(TRIM(G210))=0</formula>
    </cfRule>
    <cfRule type="expression" dxfId="10699" priority="12340">
      <formula>OR($M210=0,$HH209=FALSE)</formula>
    </cfRule>
  </conditionalFormatting>
  <conditionalFormatting sqref="AO210">
    <cfRule type="expression" dxfId="10698" priority="12337" stopIfTrue="1">
      <formula>$G208=""</formula>
    </cfRule>
  </conditionalFormatting>
  <conditionalFormatting sqref="AU208:AU211">
    <cfRule type="expression" dxfId="10697" priority="12334" stopIfTrue="1">
      <formula>$C$43=2</formula>
    </cfRule>
    <cfRule type="cellIs" dxfId="10696" priority="12335" operator="equal">
      <formula>"Yes"</formula>
    </cfRule>
    <cfRule type="cellIs" dxfId="10695" priority="12336" operator="equal">
      <formula>"No"</formula>
    </cfRule>
  </conditionalFormatting>
  <conditionalFormatting sqref="AO208:AO209">
    <cfRule type="expression" dxfId="10694" priority="12333">
      <formula>$G208=""</formula>
    </cfRule>
  </conditionalFormatting>
  <conditionalFormatting sqref="AP208 AR208:AS211">
    <cfRule type="expression" dxfId="10693" priority="12332">
      <formula>$G208=""</formula>
    </cfRule>
  </conditionalFormatting>
  <conditionalFormatting sqref="AW208:AW211">
    <cfRule type="expression" dxfId="10692" priority="12331">
      <formula>$G208=""</formula>
    </cfRule>
  </conditionalFormatting>
  <conditionalFormatting sqref="G209:L209">
    <cfRule type="expression" dxfId="10691" priority="12329" stopIfTrue="1">
      <formula>$G208=""</formula>
    </cfRule>
    <cfRule type="containsBlanks" dxfId="10690" priority="12330">
      <formula>LEN(TRIM(G209))=0</formula>
    </cfRule>
  </conditionalFormatting>
  <conditionalFormatting sqref="R210">
    <cfRule type="expression" dxfId="10689" priority="12326">
      <formula>$N211="BAM"</formula>
    </cfRule>
    <cfRule type="expression" dxfId="10688" priority="12327" stopIfTrue="1">
      <formula>$G208=""</formula>
    </cfRule>
    <cfRule type="containsBlanks" dxfId="10687" priority="12328">
      <formula>LEN(TRIM(R210))=0</formula>
    </cfRule>
  </conditionalFormatting>
  <conditionalFormatting sqref="R210">
    <cfRule type="expression" dxfId="10686" priority="12325">
      <formula>$C$43=0</formula>
    </cfRule>
  </conditionalFormatting>
  <conditionalFormatting sqref="E211:F211">
    <cfRule type="expression" dxfId="10685" priority="12324">
      <formula>$CQ208="Exterior"</formula>
    </cfRule>
  </conditionalFormatting>
  <conditionalFormatting sqref="G211">
    <cfRule type="expression" dxfId="10684" priority="12314" stopIfTrue="1">
      <formula>$G208=""</formula>
    </cfRule>
  </conditionalFormatting>
  <conditionalFormatting sqref="G211">
    <cfRule type="expression" dxfId="10683" priority="12316" stopIfTrue="1">
      <formula>$CQ208="Exterior"</formula>
    </cfRule>
  </conditionalFormatting>
  <conditionalFormatting sqref="G211:L211">
    <cfRule type="expression" dxfId="10682" priority="12315" stopIfTrue="1">
      <formula>$N211="BAM"</formula>
    </cfRule>
    <cfRule type="containsBlanks" dxfId="10681" priority="12317" stopIfTrue="1">
      <formula>LEN(TRIM(G211))=0</formula>
    </cfRule>
    <cfRule type="expression" dxfId="10680" priority="12319">
      <formula>$HQ209=FALSE</formula>
    </cfRule>
  </conditionalFormatting>
  <conditionalFormatting sqref="G211:L211">
    <cfRule type="expression" dxfId="10679" priority="12318" stopIfTrue="1">
      <formula>$AG210=""</formula>
    </cfRule>
  </conditionalFormatting>
  <conditionalFormatting sqref="G210:L210">
    <cfRule type="expression" dxfId="10678" priority="12312" stopIfTrue="1">
      <formula>$N211="BAM"</formula>
    </cfRule>
  </conditionalFormatting>
  <conditionalFormatting sqref="G208:R208">
    <cfRule type="containsBlanks" dxfId="10677" priority="12311">
      <formula>LEN(TRIM(G208))=0</formula>
    </cfRule>
  </conditionalFormatting>
  <conditionalFormatting sqref="AF210">
    <cfRule type="expression" dxfId="10676" priority="12301" stopIfTrue="1">
      <formula>$G208=""</formula>
    </cfRule>
    <cfRule type="expression" dxfId="10675" priority="12302" stopIfTrue="1">
      <formula>$N211="BAM"</formula>
    </cfRule>
    <cfRule type="expression" dxfId="10674" priority="12310">
      <formula>$AF$49&gt;$T$49</formula>
    </cfRule>
  </conditionalFormatting>
  <conditionalFormatting sqref="AC211:AE211">
    <cfRule type="expression" dxfId="10673" priority="12307" stopIfTrue="1">
      <formula>$G208=""</formula>
    </cfRule>
  </conditionalFormatting>
  <conditionalFormatting sqref="T210:U210">
    <cfRule type="expression" dxfId="10672" priority="12274" stopIfTrue="1">
      <formula>$G208=""</formula>
    </cfRule>
  </conditionalFormatting>
  <conditionalFormatting sqref="T210:U210">
    <cfRule type="containsBlanks" dxfId="10671" priority="12304" stopIfTrue="1">
      <formula>LEN(TRIM(T210))=0</formula>
    </cfRule>
  </conditionalFormatting>
  <conditionalFormatting sqref="AC208:AE208">
    <cfRule type="expression" dxfId="10670" priority="12303">
      <formula>$G208=""</formula>
    </cfRule>
  </conditionalFormatting>
  <conditionalFormatting sqref="AF210 AG211">
    <cfRule type="containsBlanks" dxfId="10669" priority="12308" stopIfTrue="1">
      <formula>LEN(TRIM(AF210))=0</formula>
    </cfRule>
  </conditionalFormatting>
  <conditionalFormatting sqref="AF210">
    <cfRule type="expression" dxfId="10668" priority="12309">
      <formula>OR($HS209=FALSE,$HT209=FALSE)</formula>
    </cfRule>
  </conditionalFormatting>
  <conditionalFormatting sqref="AG211">
    <cfRule type="expression" dxfId="10667" priority="12267">
      <formula>$C$43&gt;0</formula>
    </cfRule>
  </conditionalFormatting>
  <conditionalFormatting sqref="AG211">
    <cfRule type="expression" dxfId="10666" priority="12300" stopIfTrue="1">
      <formula>$G208=""</formula>
    </cfRule>
  </conditionalFormatting>
  <conditionalFormatting sqref="U210">
    <cfRule type="expression" dxfId="10665" priority="12305">
      <formula>OR($HK209=FALSE,$HL209=FALSE)</formula>
    </cfRule>
  </conditionalFormatting>
  <conditionalFormatting sqref="T209:U209">
    <cfRule type="expression" dxfId="10664" priority="12295" stopIfTrue="1">
      <formula>$C$43&lt;&gt;0</formula>
    </cfRule>
    <cfRule type="containsBlanks" dxfId="10663" priority="12296" stopIfTrue="1">
      <formula>LEN(TRIM(T209))=0</formula>
    </cfRule>
  </conditionalFormatting>
  <conditionalFormatting sqref="T209:U209">
    <cfRule type="expression" dxfId="10662" priority="12294" stopIfTrue="1">
      <formula>$G208=""</formula>
    </cfRule>
  </conditionalFormatting>
  <conditionalFormatting sqref="U209">
    <cfRule type="expression" dxfId="10661" priority="12297">
      <formula>$HJ209=FALSE</formula>
    </cfRule>
  </conditionalFormatting>
  <conditionalFormatting sqref="AG210">
    <cfRule type="expression" dxfId="10660" priority="12285" stopIfTrue="1">
      <formula>$G208=""</formula>
    </cfRule>
  </conditionalFormatting>
  <conditionalFormatting sqref="AG210:AL210">
    <cfRule type="expression" dxfId="10659" priority="12286">
      <formula>$N211="BAM"</formula>
    </cfRule>
    <cfRule type="expression" dxfId="10658" priority="12290">
      <formula>OR($HU209=FALSE,$HQ209=FALSE)</formula>
    </cfRule>
  </conditionalFormatting>
  <conditionalFormatting sqref="AG210">
    <cfRule type="containsBlanks" dxfId="10657" priority="12287" stopIfTrue="1">
      <formula>LEN(TRIM(AG210))=0</formula>
    </cfRule>
    <cfRule type="expression" dxfId="10656" priority="12288">
      <formula>OR($HP209=FALSE,$HR209=FALSE)</formula>
    </cfRule>
    <cfRule type="expression" dxfId="10655" priority="12289">
      <formula>OR($DS208=7,$DS208=8,$DS208=9)</formula>
    </cfRule>
  </conditionalFormatting>
  <conditionalFormatting sqref="AG208:AL208">
    <cfRule type="expression" dxfId="10654" priority="12284">
      <formula>$C$43&lt;&gt;0</formula>
    </cfRule>
  </conditionalFormatting>
  <conditionalFormatting sqref="AF209">
    <cfRule type="containsBlanks" dxfId="10653" priority="12283">
      <formula>LEN(TRIM(AF209))=0</formula>
    </cfRule>
  </conditionalFormatting>
  <conditionalFormatting sqref="AF209">
    <cfRule type="expression" dxfId="10652" priority="12282" stopIfTrue="1">
      <formula>$G208=""</formula>
    </cfRule>
  </conditionalFormatting>
  <conditionalFormatting sqref="AG209">
    <cfRule type="containsBlanks" dxfId="10651" priority="12280">
      <formula>LEN(TRIM(AG209))=0</formula>
    </cfRule>
    <cfRule type="expression" dxfId="10650" priority="12281">
      <formula>$HO209=FALSE</formula>
    </cfRule>
  </conditionalFormatting>
  <conditionalFormatting sqref="AG209">
    <cfRule type="expression" dxfId="10649" priority="12279" stopIfTrue="1">
      <formula>$G208=""</formula>
    </cfRule>
  </conditionalFormatting>
  <conditionalFormatting sqref="AF209:AK209">
    <cfRule type="expression" dxfId="10648" priority="12278">
      <formula>$C$43&gt;0</formula>
    </cfRule>
  </conditionalFormatting>
  <conditionalFormatting sqref="AM208:AN209">
    <cfRule type="expression" dxfId="10647" priority="12277">
      <formula>$G208=""</formula>
    </cfRule>
  </conditionalFormatting>
  <conditionalFormatting sqref="AM210:AN210">
    <cfRule type="expression" dxfId="10646" priority="12276" stopIfTrue="1">
      <formula>$G208=""</formula>
    </cfRule>
  </conditionalFormatting>
  <conditionalFormatting sqref="T210">
    <cfRule type="expression" dxfId="10645" priority="12298" stopIfTrue="1">
      <formula>$N211="BAM"</formula>
    </cfRule>
  </conditionalFormatting>
  <conditionalFormatting sqref="U210:AE210">
    <cfRule type="expression" dxfId="10644" priority="12275" stopIfTrue="1">
      <formula>$N211="BAM"</formula>
    </cfRule>
  </conditionalFormatting>
  <conditionalFormatting sqref="AG211:AL211">
    <cfRule type="expression" dxfId="10643" priority="12299" stopIfTrue="1">
      <formula>$N211="BAM"</formula>
    </cfRule>
  </conditionalFormatting>
  <conditionalFormatting sqref="AX214">
    <cfRule type="expression" dxfId="10642" priority="12265">
      <formula>$E214=""</formula>
    </cfRule>
  </conditionalFormatting>
  <conditionalFormatting sqref="AX213">
    <cfRule type="expression" dxfId="10641" priority="12264">
      <formula>$E213=""</formula>
    </cfRule>
  </conditionalFormatting>
  <conditionalFormatting sqref="AX215">
    <cfRule type="expression" dxfId="10640" priority="12263">
      <formula>#REF!=""</formula>
    </cfRule>
  </conditionalFormatting>
  <conditionalFormatting sqref="AX216">
    <cfRule type="expression" dxfId="10639" priority="12262">
      <formula>$E215=""</formula>
    </cfRule>
  </conditionalFormatting>
  <conditionalFormatting sqref="AY213:AZ216">
    <cfRule type="expression" dxfId="10638" priority="12261">
      <formula>$G213=""</formula>
    </cfRule>
  </conditionalFormatting>
  <conditionalFormatting sqref="G215">
    <cfRule type="expression" dxfId="10637" priority="12258" stopIfTrue="1">
      <formula>$G213=""</formula>
    </cfRule>
    <cfRule type="containsBlanks" dxfId="10636" priority="12259" stopIfTrue="1">
      <formula>LEN(TRIM(G215))=0</formula>
    </cfRule>
    <cfRule type="expression" dxfId="10635" priority="12260">
      <formula>OR($M215=0,$HH214=FALSE)</formula>
    </cfRule>
  </conditionalFormatting>
  <conditionalFormatting sqref="AO215">
    <cfRule type="expression" dxfId="10634" priority="12257" stopIfTrue="1">
      <formula>$G213=""</formula>
    </cfRule>
  </conditionalFormatting>
  <conditionalFormatting sqref="AU213:AU216">
    <cfRule type="expression" dxfId="10633" priority="12254" stopIfTrue="1">
      <formula>$C$43=2</formula>
    </cfRule>
    <cfRule type="cellIs" dxfId="10632" priority="12255" operator="equal">
      <formula>"Yes"</formula>
    </cfRule>
    <cfRule type="cellIs" dxfId="10631" priority="12256" operator="equal">
      <formula>"No"</formula>
    </cfRule>
  </conditionalFormatting>
  <conditionalFormatting sqref="AO213:AO214">
    <cfRule type="expression" dxfId="10630" priority="12253">
      <formula>$G213=""</formula>
    </cfRule>
  </conditionalFormatting>
  <conditionalFormatting sqref="AP213 AR213:AS216">
    <cfRule type="expression" dxfId="10629" priority="12252">
      <formula>$G213=""</formula>
    </cfRule>
  </conditionalFormatting>
  <conditionalFormatting sqref="AW213:AW216">
    <cfRule type="expression" dxfId="10628" priority="12251">
      <formula>$G213=""</formula>
    </cfRule>
  </conditionalFormatting>
  <conditionalFormatting sqref="G214:L214">
    <cfRule type="expression" dxfId="10627" priority="12249" stopIfTrue="1">
      <formula>$G213=""</formula>
    </cfRule>
    <cfRule type="containsBlanks" dxfId="10626" priority="12250">
      <formula>LEN(TRIM(G214))=0</formula>
    </cfRule>
  </conditionalFormatting>
  <conditionalFormatting sqref="R215">
    <cfRule type="expression" dxfId="10625" priority="12246">
      <formula>$N216="BAM"</formula>
    </cfRule>
    <cfRule type="expression" dxfId="10624" priority="12247" stopIfTrue="1">
      <formula>$G213=""</formula>
    </cfRule>
    <cfRule type="containsBlanks" dxfId="10623" priority="12248">
      <formula>LEN(TRIM(R215))=0</formula>
    </cfRule>
  </conditionalFormatting>
  <conditionalFormatting sqref="R215">
    <cfRule type="expression" dxfId="10622" priority="12245">
      <formula>$C$43=0</formula>
    </cfRule>
  </conditionalFormatting>
  <conditionalFormatting sqref="E216:F216">
    <cfRule type="expression" dxfId="10621" priority="12244">
      <formula>$CQ213="Exterior"</formula>
    </cfRule>
  </conditionalFormatting>
  <conditionalFormatting sqref="G216">
    <cfRule type="expression" dxfId="10620" priority="12234" stopIfTrue="1">
      <formula>$G213=""</formula>
    </cfRule>
  </conditionalFormatting>
  <conditionalFormatting sqref="G216">
    <cfRule type="expression" dxfId="10619" priority="12236" stopIfTrue="1">
      <formula>$CQ213="Exterior"</formula>
    </cfRule>
  </conditionalFormatting>
  <conditionalFormatting sqref="G216:L216">
    <cfRule type="expression" dxfId="10618" priority="12235" stopIfTrue="1">
      <formula>$N216="BAM"</formula>
    </cfRule>
    <cfRule type="containsBlanks" dxfId="10617" priority="12237" stopIfTrue="1">
      <formula>LEN(TRIM(G216))=0</formula>
    </cfRule>
    <cfRule type="expression" dxfId="10616" priority="12239">
      <formula>$HQ214=FALSE</formula>
    </cfRule>
  </conditionalFormatting>
  <conditionalFormatting sqref="G216:L216">
    <cfRule type="expression" dxfId="10615" priority="12238" stopIfTrue="1">
      <formula>$AG215=""</formula>
    </cfRule>
  </conditionalFormatting>
  <conditionalFormatting sqref="G215:L215">
    <cfRule type="expression" dxfId="10614" priority="12232" stopIfTrue="1">
      <formula>$N216="BAM"</formula>
    </cfRule>
  </conditionalFormatting>
  <conditionalFormatting sqref="G213:R213">
    <cfRule type="containsBlanks" dxfId="10613" priority="12231">
      <formula>LEN(TRIM(G213))=0</formula>
    </cfRule>
  </conditionalFormatting>
  <conditionalFormatting sqref="AF215">
    <cfRule type="expression" dxfId="10612" priority="12221" stopIfTrue="1">
      <formula>$G213=""</formula>
    </cfRule>
    <cfRule type="expression" dxfId="10611" priority="12222" stopIfTrue="1">
      <formula>$N216="BAM"</formula>
    </cfRule>
    <cfRule type="expression" dxfId="10610" priority="12230">
      <formula>$AF$49&gt;$T$49</formula>
    </cfRule>
  </conditionalFormatting>
  <conditionalFormatting sqref="AC216:AE216">
    <cfRule type="expression" dxfId="10609" priority="12227" stopIfTrue="1">
      <formula>$G213=""</formula>
    </cfRule>
  </conditionalFormatting>
  <conditionalFormatting sqref="T215:U215">
    <cfRule type="expression" dxfId="10608" priority="12194" stopIfTrue="1">
      <formula>$G213=""</formula>
    </cfRule>
  </conditionalFormatting>
  <conditionalFormatting sqref="T215:U215">
    <cfRule type="containsBlanks" dxfId="10607" priority="12224" stopIfTrue="1">
      <formula>LEN(TRIM(T215))=0</formula>
    </cfRule>
  </conditionalFormatting>
  <conditionalFormatting sqref="AC213:AE213">
    <cfRule type="expression" dxfId="10606" priority="12223">
      <formula>$G213=""</formula>
    </cfRule>
  </conditionalFormatting>
  <conditionalFormatting sqref="AF215 AG216">
    <cfRule type="containsBlanks" dxfId="10605" priority="12228" stopIfTrue="1">
      <formula>LEN(TRIM(AF215))=0</formula>
    </cfRule>
  </conditionalFormatting>
  <conditionalFormatting sqref="AF215">
    <cfRule type="expression" dxfId="10604" priority="12229">
      <formula>OR($HS214=FALSE,$HT214=FALSE)</formula>
    </cfRule>
  </conditionalFormatting>
  <conditionalFormatting sqref="AG216">
    <cfRule type="expression" dxfId="10603" priority="12187">
      <formula>$C$43&gt;0</formula>
    </cfRule>
  </conditionalFormatting>
  <conditionalFormatting sqref="AG216">
    <cfRule type="expression" dxfId="10602" priority="12220" stopIfTrue="1">
      <formula>$G213=""</formula>
    </cfRule>
  </conditionalFormatting>
  <conditionalFormatting sqref="U215">
    <cfRule type="expression" dxfId="10601" priority="12225">
      <formula>OR($HK214=FALSE,$HL214=FALSE)</formula>
    </cfRule>
  </conditionalFormatting>
  <conditionalFormatting sqref="T214:U214">
    <cfRule type="expression" dxfId="10600" priority="12215" stopIfTrue="1">
      <formula>$C$43&lt;&gt;0</formula>
    </cfRule>
    <cfRule type="containsBlanks" dxfId="10599" priority="12216" stopIfTrue="1">
      <formula>LEN(TRIM(T214))=0</formula>
    </cfRule>
  </conditionalFormatting>
  <conditionalFormatting sqref="T214:U214">
    <cfRule type="expression" dxfId="10598" priority="12214" stopIfTrue="1">
      <formula>$G213=""</formula>
    </cfRule>
  </conditionalFormatting>
  <conditionalFormatting sqref="U214">
    <cfRule type="expression" dxfId="10597" priority="12217">
      <formula>$HJ214=FALSE</formula>
    </cfRule>
  </conditionalFormatting>
  <conditionalFormatting sqref="AG215">
    <cfRule type="expression" dxfId="10596" priority="12205" stopIfTrue="1">
      <formula>$G213=""</formula>
    </cfRule>
  </conditionalFormatting>
  <conditionalFormatting sqref="AG215:AL215">
    <cfRule type="expression" dxfId="10595" priority="12206">
      <formula>$N216="BAM"</formula>
    </cfRule>
    <cfRule type="expression" dxfId="10594" priority="12210">
      <formula>OR($HU214=FALSE,$HQ214=FALSE)</formula>
    </cfRule>
  </conditionalFormatting>
  <conditionalFormatting sqref="AG215">
    <cfRule type="containsBlanks" dxfId="10593" priority="12207" stopIfTrue="1">
      <formula>LEN(TRIM(AG215))=0</formula>
    </cfRule>
    <cfRule type="expression" dxfId="10592" priority="12208">
      <formula>OR($HP214=FALSE,$HR214=FALSE)</formula>
    </cfRule>
    <cfRule type="expression" dxfId="10591" priority="12209">
      <formula>OR($DS213=7,$DS213=8,$DS213=9)</formula>
    </cfRule>
  </conditionalFormatting>
  <conditionalFormatting sqref="AG213:AL213">
    <cfRule type="expression" dxfId="10590" priority="12204">
      <formula>$C$43&lt;&gt;0</formula>
    </cfRule>
  </conditionalFormatting>
  <conditionalFormatting sqref="AF214">
    <cfRule type="containsBlanks" dxfId="10589" priority="12203">
      <formula>LEN(TRIM(AF214))=0</formula>
    </cfRule>
  </conditionalFormatting>
  <conditionalFormatting sqref="AF214">
    <cfRule type="expression" dxfId="10588" priority="12202" stopIfTrue="1">
      <formula>$G213=""</formula>
    </cfRule>
  </conditionalFormatting>
  <conditionalFormatting sqref="AG214">
    <cfRule type="containsBlanks" dxfId="10587" priority="12200">
      <formula>LEN(TRIM(AG214))=0</formula>
    </cfRule>
    <cfRule type="expression" dxfId="10586" priority="12201">
      <formula>$HO214=FALSE</formula>
    </cfRule>
  </conditionalFormatting>
  <conditionalFormatting sqref="AG214">
    <cfRule type="expression" dxfId="10585" priority="12199" stopIfTrue="1">
      <formula>$G213=""</formula>
    </cfRule>
  </conditionalFormatting>
  <conditionalFormatting sqref="AF214:AK214">
    <cfRule type="expression" dxfId="10584" priority="12198">
      <formula>$C$43&gt;0</formula>
    </cfRule>
  </conditionalFormatting>
  <conditionalFormatting sqref="AM213:AN214">
    <cfRule type="expression" dxfId="10583" priority="12197">
      <formula>$G213=""</formula>
    </cfRule>
  </conditionalFormatting>
  <conditionalFormatting sqref="AM215:AN215">
    <cfRule type="expression" dxfId="10582" priority="12196" stopIfTrue="1">
      <formula>$G213=""</formula>
    </cfRule>
  </conditionalFormatting>
  <conditionalFormatting sqref="T215">
    <cfRule type="expression" dxfId="10581" priority="12218" stopIfTrue="1">
      <formula>$N216="BAM"</formula>
    </cfRule>
  </conditionalFormatting>
  <conditionalFormatting sqref="U215:AE215">
    <cfRule type="expression" dxfId="10580" priority="12195" stopIfTrue="1">
      <formula>$N216="BAM"</formula>
    </cfRule>
  </conditionalFormatting>
  <conditionalFormatting sqref="AG216:AL216">
    <cfRule type="expression" dxfId="10579" priority="12219" stopIfTrue="1">
      <formula>$N216="BAM"</formula>
    </cfRule>
  </conditionalFormatting>
  <conditionalFormatting sqref="AX219">
    <cfRule type="expression" dxfId="10578" priority="12185">
      <formula>$E219=""</formula>
    </cfRule>
  </conditionalFormatting>
  <conditionalFormatting sqref="AX218">
    <cfRule type="expression" dxfId="10577" priority="12184">
      <formula>$E218=""</formula>
    </cfRule>
  </conditionalFormatting>
  <conditionalFormatting sqref="AX220">
    <cfRule type="expression" dxfId="10576" priority="12183">
      <formula>#REF!=""</formula>
    </cfRule>
  </conditionalFormatting>
  <conditionalFormatting sqref="AX221">
    <cfRule type="expression" dxfId="10575" priority="12182">
      <formula>$E220=""</formula>
    </cfRule>
  </conditionalFormatting>
  <conditionalFormatting sqref="AY218:AZ221">
    <cfRule type="expression" dxfId="10574" priority="12181">
      <formula>$G218=""</formula>
    </cfRule>
  </conditionalFormatting>
  <conditionalFormatting sqref="G220">
    <cfRule type="expression" dxfId="10573" priority="12178" stopIfTrue="1">
      <formula>$G218=""</formula>
    </cfRule>
    <cfRule type="containsBlanks" dxfId="10572" priority="12179" stopIfTrue="1">
      <formula>LEN(TRIM(G220))=0</formula>
    </cfRule>
    <cfRule type="expression" dxfId="10571" priority="12180">
      <formula>OR($M220=0,$HH219=FALSE)</formula>
    </cfRule>
  </conditionalFormatting>
  <conditionalFormatting sqref="AO220">
    <cfRule type="expression" dxfId="10570" priority="12177" stopIfTrue="1">
      <formula>$G218=""</formula>
    </cfRule>
  </conditionalFormatting>
  <conditionalFormatting sqref="AU218:AU221">
    <cfRule type="expression" dxfId="10569" priority="12174" stopIfTrue="1">
      <formula>$C$43=2</formula>
    </cfRule>
    <cfRule type="cellIs" dxfId="10568" priority="12175" operator="equal">
      <formula>"Yes"</formula>
    </cfRule>
    <cfRule type="cellIs" dxfId="10567" priority="12176" operator="equal">
      <formula>"No"</formula>
    </cfRule>
  </conditionalFormatting>
  <conditionalFormatting sqref="AO218:AO219">
    <cfRule type="expression" dxfId="10566" priority="12173">
      <formula>$G218=""</formula>
    </cfRule>
  </conditionalFormatting>
  <conditionalFormatting sqref="AP218 AR218:AS221">
    <cfRule type="expression" dxfId="10565" priority="12172">
      <formula>$G218=""</formula>
    </cfRule>
  </conditionalFormatting>
  <conditionalFormatting sqref="AW218:AW221">
    <cfRule type="expression" dxfId="10564" priority="12171">
      <formula>$G218=""</formula>
    </cfRule>
  </conditionalFormatting>
  <conditionalFormatting sqref="G219:L219">
    <cfRule type="expression" dxfId="10563" priority="12169" stopIfTrue="1">
      <formula>$G218=""</formula>
    </cfRule>
    <cfRule type="containsBlanks" dxfId="10562" priority="12170">
      <formula>LEN(TRIM(G219))=0</formula>
    </cfRule>
  </conditionalFormatting>
  <conditionalFormatting sqref="R220">
    <cfRule type="expression" dxfId="10561" priority="12166">
      <formula>$N221="BAM"</formula>
    </cfRule>
    <cfRule type="expression" dxfId="10560" priority="12167" stopIfTrue="1">
      <formula>$G218=""</formula>
    </cfRule>
    <cfRule type="containsBlanks" dxfId="10559" priority="12168">
      <formula>LEN(TRIM(R220))=0</formula>
    </cfRule>
  </conditionalFormatting>
  <conditionalFormatting sqref="R220">
    <cfRule type="expression" dxfId="10558" priority="12165">
      <formula>$C$43=0</formula>
    </cfRule>
  </conditionalFormatting>
  <conditionalFormatting sqref="E221:F221">
    <cfRule type="expression" dxfId="10557" priority="12164">
      <formula>$CQ218="Exterior"</formula>
    </cfRule>
  </conditionalFormatting>
  <conditionalFormatting sqref="G221">
    <cfRule type="expression" dxfId="10556" priority="12154" stopIfTrue="1">
      <formula>$G218=""</formula>
    </cfRule>
  </conditionalFormatting>
  <conditionalFormatting sqref="G221">
    <cfRule type="expression" dxfId="10555" priority="12156" stopIfTrue="1">
      <formula>$CQ218="Exterior"</formula>
    </cfRule>
  </conditionalFormatting>
  <conditionalFormatting sqref="G221:L221">
    <cfRule type="expression" dxfId="10554" priority="12155" stopIfTrue="1">
      <formula>$N221="BAM"</formula>
    </cfRule>
    <cfRule type="containsBlanks" dxfId="10553" priority="12157" stopIfTrue="1">
      <formula>LEN(TRIM(G221))=0</formula>
    </cfRule>
    <cfRule type="expression" dxfId="10552" priority="12159">
      <formula>$HQ219=FALSE</formula>
    </cfRule>
  </conditionalFormatting>
  <conditionalFormatting sqref="G221:L221">
    <cfRule type="expression" dxfId="10551" priority="12158" stopIfTrue="1">
      <formula>$AG220=""</formula>
    </cfRule>
  </conditionalFormatting>
  <conditionalFormatting sqref="G220:L220">
    <cfRule type="expression" dxfId="10550" priority="12152" stopIfTrue="1">
      <formula>$N221="BAM"</formula>
    </cfRule>
  </conditionalFormatting>
  <conditionalFormatting sqref="G218:R218">
    <cfRule type="containsBlanks" dxfId="10549" priority="12151">
      <formula>LEN(TRIM(G218))=0</formula>
    </cfRule>
  </conditionalFormatting>
  <conditionalFormatting sqref="AF220">
    <cfRule type="expression" dxfId="10548" priority="12141" stopIfTrue="1">
      <formula>$G218=""</formula>
    </cfRule>
    <cfRule type="expression" dxfId="10547" priority="12142" stopIfTrue="1">
      <formula>$N221="BAM"</formula>
    </cfRule>
    <cfRule type="expression" dxfId="10546" priority="12150">
      <formula>$AF$49&gt;$T$49</formula>
    </cfRule>
  </conditionalFormatting>
  <conditionalFormatting sqref="AC221:AE221">
    <cfRule type="expression" dxfId="10545" priority="12147" stopIfTrue="1">
      <formula>$G218=""</formula>
    </cfRule>
  </conditionalFormatting>
  <conditionalFormatting sqref="T220:U220">
    <cfRule type="expression" dxfId="10544" priority="12114" stopIfTrue="1">
      <formula>$G218=""</formula>
    </cfRule>
  </conditionalFormatting>
  <conditionalFormatting sqref="T220:U220">
    <cfRule type="containsBlanks" dxfId="10543" priority="12144" stopIfTrue="1">
      <formula>LEN(TRIM(T220))=0</formula>
    </cfRule>
  </conditionalFormatting>
  <conditionalFormatting sqref="AC218:AE218">
    <cfRule type="expression" dxfId="10542" priority="12143">
      <formula>$G218=""</formula>
    </cfRule>
  </conditionalFormatting>
  <conditionalFormatting sqref="AF220 AG221">
    <cfRule type="containsBlanks" dxfId="10541" priority="12148" stopIfTrue="1">
      <formula>LEN(TRIM(AF220))=0</formula>
    </cfRule>
  </conditionalFormatting>
  <conditionalFormatting sqref="AF220">
    <cfRule type="expression" dxfId="10540" priority="12149">
      <formula>OR($HS219=FALSE,$HT219=FALSE)</formula>
    </cfRule>
  </conditionalFormatting>
  <conditionalFormatting sqref="AG221">
    <cfRule type="expression" dxfId="10539" priority="12107">
      <formula>$C$43&gt;0</formula>
    </cfRule>
  </conditionalFormatting>
  <conditionalFormatting sqref="AG221">
    <cfRule type="expression" dxfId="10538" priority="12140" stopIfTrue="1">
      <formula>$G218=""</formula>
    </cfRule>
  </conditionalFormatting>
  <conditionalFormatting sqref="U220">
    <cfRule type="expression" dxfId="10537" priority="12145">
      <formula>OR($HK219=FALSE,$HL219=FALSE)</formula>
    </cfRule>
  </conditionalFormatting>
  <conditionalFormatting sqref="T219:U219">
    <cfRule type="expression" dxfId="10536" priority="12135" stopIfTrue="1">
      <formula>$C$43&lt;&gt;0</formula>
    </cfRule>
    <cfRule type="containsBlanks" dxfId="10535" priority="12136" stopIfTrue="1">
      <formula>LEN(TRIM(T219))=0</formula>
    </cfRule>
  </conditionalFormatting>
  <conditionalFormatting sqref="T219:U219">
    <cfRule type="expression" dxfId="10534" priority="12134" stopIfTrue="1">
      <formula>$G218=""</formula>
    </cfRule>
  </conditionalFormatting>
  <conditionalFormatting sqref="U219">
    <cfRule type="expression" dxfId="10533" priority="12137">
      <formula>$HJ219=FALSE</formula>
    </cfRule>
  </conditionalFormatting>
  <conditionalFormatting sqref="AG220">
    <cfRule type="expression" dxfId="10532" priority="12125" stopIfTrue="1">
      <formula>$G218=""</formula>
    </cfRule>
  </conditionalFormatting>
  <conditionalFormatting sqref="AG220:AL220">
    <cfRule type="expression" dxfId="10531" priority="12126">
      <formula>$N221="BAM"</formula>
    </cfRule>
    <cfRule type="expression" dxfId="10530" priority="12130">
      <formula>OR($HU219=FALSE,$HQ219=FALSE)</formula>
    </cfRule>
  </conditionalFormatting>
  <conditionalFormatting sqref="AG220">
    <cfRule type="containsBlanks" dxfId="10529" priority="12127" stopIfTrue="1">
      <formula>LEN(TRIM(AG220))=0</formula>
    </cfRule>
    <cfRule type="expression" dxfId="10528" priority="12128">
      <formula>OR($HP219=FALSE,$HR219=FALSE)</formula>
    </cfRule>
    <cfRule type="expression" dxfId="10527" priority="12129">
      <formula>OR($DS218=7,$DS218=8,$DS218=9)</formula>
    </cfRule>
  </conditionalFormatting>
  <conditionalFormatting sqref="AG218:AL218">
    <cfRule type="expression" dxfId="10526" priority="12124">
      <formula>$C$43&lt;&gt;0</formula>
    </cfRule>
  </conditionalFormatting>
  <conditionalFormatting sqref="AF219">
    <cfRule type="containsBlanks" dxfId="10525" priority="12123">
      <formula>LEN(TRIM(AF219))=0</formula>
    </cfRule>
  </conditionalFormatting>
  <conditionalFormatting sqref="AF219">
    <cfRule type="expression" dxfId="10524" priority="12122" stopIfTrue="1">
      <formula>$G218=""</formula>
    </cfRule>
  </conditionalFormatting>
  <conditionalFormatting sqref="AG219">
    <cfRule type="containsBlanks" dxfId="10523" priority="12120">
      <formula>LEN(TRIM(AG219))=0</formula>
    </cfRule>
    <cfRule type="expression" dxfId="10522" priority="12121">
      <formula>$HO219=FALSE</formula>
    </cfRule>
  </conditionalFormatting>
  <conditionalFormatting sqref="AG219">
    <cfRule type="expression" dxfId="10521" priority="12119" stopIfTrue="1">
      <formula>$G218=""</formula>
    </cfRule>
  </conditionalFormatting>
  <conditionalFormatting sqref="AF219:AK219">
    <cfRule type="expression" dxfId="10520" priority="12118">
      <formula>$C$43&gt;0</formula>
    </cfRule>
  </conditionalFormatting>
  <conditionalFormatting sqref="AM218:AN219">
    <cfRule type="expression" dxfId="10519" priority="12117">
      <formula>$G218=""</formula>
    </cfRule>
  </conditionalFormatting>
  <conditionalFormatting sqref="AM220:AN220">
    <cfRule type="expression" dxfId="10518" priority="12116" stopIfTrue="1">
      <formula>$G218=""</formula>
    </cfRule>
  </conditionalFormatting>
  <conditionalFormatting sqref="T220">
    <cfRule type="expression" dxfId="10517" priority="12138" stopIfTrue="1">
      <formula>$N221="BAM"</formula>
    </cfRule>
  </conditionalFormatting>
  <conditionalFormatting sqref="U220:AE220">
    <cfRule type="expression" dxfId="10516" priority="12115" stopIfTrue="1">
      <formula>$N221="BAM"</formula>
    </cfRule>
  </conditionalFormatting>
  <conditionalFormatting sqref="AG221:AL221">
    <cfRule type="expression" dxfId="10515" priority="12139" stopIfTrue="1">
      <formula>$N221="BAM"</formula>
    </cfRule>
  </conditionalFormatting>
  <conditionalFormatting sqref="AX224">
    <cfRule type="expression" dxfId="10514" priority="12105">
      <formula>$E224=""</formula>
    </cfRule>
  </conditionalFormatting>
  <conditionalFormatting sqref="AX223">
    <cfRule type="expression" dxfId="10513" priority="12104">
      <formula>$E223=""</formula>
    </cfRule>
  </conditionalFormatting>
  <conditionalFormatting sqref="AX225">
    <cfRule type="expression" dxfId="10512" priority="12103">
      <formula>#REF!=""</formula>
    </cfRule>
  </conditionalFormatting>
  <conditionalFormatting sqref="AX226">
    <cfRule type="expression" dxfId="10511" priority="12102">
      <formula>$E225=""</formula>
    </cfRule>
  </conditionalFormatting>
  <conditionalFormatting sqref="AY223:AZ226">
    <cfRule type="expression" dxfId="10510" priority="12101">
      <formula>$G223=""</formula>
    </cfRule>
  </conditionalFormatting>
  <conditionalFormatting sqref="G225">
    <cfRule type="expression" dxfId="10509" priority="12098" stopIfTrue="1">
      <formula>$G223=""</formula>
    </cfRule>
    <cfRule type="containsBlanks" dxfId="10508" priority="12099" stopIfTrue="1">
      <formula>LEN(TRIM(G225))=0</formula>
    </cfRule>
    <cfRule type="expression" dxfId="10507" priority="12100">
      <formula>OR($M225=0,$HH224=FALSE)</formula>
    </cfRule>
  </conditionalFormatting>
  <conditionalFormatting sqref="AO225">
    <cfRule type="expression" dxfId="10506" priority="12097" stopIfTrue="1">
      <formula>$G223=""</formula>
    </cfRule>
  </conditionalFormatting>
  <conditionalFormatting sqref="AU223:AU226">
    <cfRule type="expression" dxfId="10505" priority="12094" stopIfTrue="1">
      <formula>$C$43=2</formula>
    </cfRule>
    <cfRule type="cellIs" dxfId="10504" priority="12095" operator="equal">
      <formula>"Yes"</formula>
    </cfRule>
    <cfRule type="cellIs" dxfId="10503" priority="12096" operator="equal">
      <formula>"No"</formula>
    </cfRule>
  </conditionalFormatting>
  <conditionalFormatting sqref="AO223:AO224">
    <cfRule type="expression" dxfId="10502" priority="12093">
      <formula>$G223=""</formula>
    </cfRule>
  </conditionalFormatting>
  <conditionalFormatting sqref="AP223 AR223:AS226">
    <cfRule type="expression" dxfId="10501" priority="12092">
      <formula>$G223=""</formula>
    </cfRule>
  </conditionalFormatting>
  <conditionalFormatting sqref="AW223:AW226">
    <cfRule type="expression" dxfId="10500" priority="12091">
      <formula>$G223=""</formula>
    </cfRule>
  </conditionalFormatting>
  <conditionalFormatting sqref="G224:L224">
    <cfRule type="expression" dxfId="10499" priority="12089" stopIfTrue="1">
      <formula>$G223=""</formula>
    </cfRule>
    <cfRule type="containsBlanks" dxfId="10498" priority="12090">
      <formula>LEN(TRIM(G224))=0</formula>
    </cfRule>
  </conditionalFormatting>
  <conditionalFormatting sqref="R225">
    <cfRule type="expression" dxfId="10497" priority="12086">
      <formula>$N226="BAM"</formula>
    </cfRule>
    <cfRule type="expression" dxfId="10496" priority="12087" stopIfTrue="1">
      <formula>$G223=""</formula>
    </cfRule>
    <cfRule type="containsBlanks" dxfId="10495" priority="12088">
      <formula>LEN(TRIM(R225))=0</formula>
    </cfRule>
  </conditionalFormatting>
  <conditionalFormatting sqref="R225">
    <cfRule type="expression" dxfId="10494" priority="12085">
      <formula>$C$43=0</formula>
    </cfRule>
  </conditionalFormatting>
  <conditionalFormatting sqref="E226:F226">
    <cfRule type="expression" dxfId="10493" priority="12084">
      <formula>$CQ223="Exterior"</formula>
    </cfRule>
  </conditionalFormatting>
  <conditionalFormatting sqref="G226">
    <cfRule type="expression" dxfId="10492" priority="12074" stopIfTrue="1">
      <formula>$G223=""</formula>
    </cfRule>
  </conditionalFormatting>
  <conditionalFormatting sqref="G226">
    <cfRule type="expression" dxfId="10491" priority="12076" stopIfTrue="1">
      <formula>$CQ223="Exterior"</formula>
    </cfRule>
  </conditionalFormatting>
  <conditionalFormatting sqref="G226:L226">
    <cfRule type="expression" dxfId="10490" priority="12075" stopIfTrue="1">
      <formula>$N226="BAM"</formula>
    </cfRule>
    <cfRule type="containsBlanks" dxfId="10489" priority="12077" stopIfTrue="1">
      <formula>LEN(TRIM(G226))=0</formula>
    </cfRule>
    <cfRule type="expression" dxfId="10488" priority="12079">
      <formula>$HQ224=FALSE</formula>
    </cfRule>
  </conditionalFormatting>
  <conditionalFormatting sqref="G226:L226">
    <cfRule type="expression" dxfId="10487" priority="12078" stopIfTrue="1">
      <formula>$AG225=""</formula>
    </cfRule>
  </conditionalFormatting>
  <conditionalFormatting sqref="G225:L225">
    <cfRule type="expression" dxfId="10486" priority="12072" stopIfTrue="1">
      <formula>$N226="BAM"</formula>
    </cfRule>
  </conditionalFormatting>
  <conditionalFormatting sqref="G223:R223">
    <cfRule type="containsBlanks" dxfId="10485" priority="12071">
      <formula>LEN(TRIM(G223))=0</formula>
    </cfRule>
  </conditionalFormatting>
  <conditionalFormatting sqref="AF225">
    <cfRule type="expression" dxfId="10484" priority="12061" stopIfTrue="1">
      <formula>$G223=""</formula>
    </cfRule>
    <cfRule type="expression" dxfId="10483" priority="12062" stopIfTrue="1">
      <formula>$N226="BAM"</formula>
    </cfRule>
    <cfRule type="expression" dxfId="10482" priority="12070">
      <formula>$AF$49&gt;$T$49</formula>
    </cfRule>
  </conditionalFormatting>
  <conditionalFormatting sqref="AC226:AE226">
    <cfRule type="expression" dxfId="10481" priority="12067" stopIfTrue="1">
      <formula>$G223=""</formula>
    </cfRule>
  </conditionalFormatting>
  <conditionalFormatting sqref="T225:U225">
    <cfRule type="expression" dxfId="10480" priority="12034" stopIfTrue="1">
      <formula>$G223=""</formula>
    </cfRule>
  </conditionalFormatting>
  <conditionalFormatting sqref="T225:U225">
    <cfRule type="containsBlanks" dxfId="10479" priority="12064" stopIfTrue="1">
      <formula>LEN(TRIM(T225))=0</formula>
    </cfRule>
  </conditionalFormatting>
  <conditionalFormatting sqref="AC223:AE223">
    <cfRule type="expression" dxfId="10478" priority="12063">
      <formula>$G223=""</formula>
    </cfRule>
  </conditionalFormatting>
  <conditionalFormatting sqref="AF225 AG226">
    <cfRule type="containsBlanks" dxfId="10477" priority="12068" stopIfTrue="1">
      <formula>LEN(TRIM(AF225))=0</formula>
    </cfRule>
  </conditionalFormatting>
  <conditionalFormatting sqref="AF225">
    <cfRule type="expression" dxfId="10476" priority="12069">
      <formula>OR($HS224=FALSE,$HT224=FALSE)</formula>
    </cfRule>
  </conditionalFormatting>
  <conditionalFormatting sqref="AG226">
    <cfRule type="expression" dxfId="10475" priority="12027">
      <formula>$C$43&gt;0</formula>
    </cfRule>
  </conditionalFormatting>
  <conditionalFormatting sqref="AG226">
    <cfRule type="expression" dxfId="10474" priority="12060" stopIfTrue="1">
      <formula>$G223=""</formula>
    </cfRule>
  </conditionalFormatting>
  <conditionalFormatting sqref="U225">
    <cfRule type="expression" dxfId="10473" priority="12065">
      <formula>OR($HK224=FALSE,$HL224=FALSE)</formula>
    </cfRule>
  </conditionalFormatting>
  <conditionalFormatting sqref="T224:U224">
    <cfRule type="expression" dxfId="10472" priority="12055" stopIfTrue="1">
      <formula>$C$43&lt;&gt;0</formula>
    </cfRule>
    <cfRule type="containsBlanks" dxfId="10471" priority="12056" stopIfTrue="1">
      <formula>LEN(TRIM(T224))=0</formula>
    </cfRule>
  </conditionalFormatting>
  <conditionalFormatting sqref="T224:U224">
    <cfRule type="expression" dxfId="10470" priority="12054" stopIfTrue="1">
      <formula>$G223=""</formula>
    </cfRule>
  </conditionalFormatting>
  <conditionalFormatting sqref="U224">
    <cfRule type="expression" dxfId="10469" priority="12057">
      <formula>$HJ224=FALSE</formula>
    </cfRule>
  </conditionalFormatting>
  <conditionalFormatting sqref="AG225">
    <cfRule type="expression" dxfId="10468" priority="12045" stopIfTrue="1">
      <formula>$G223=""</formula>
    </cfRule>
  </conditionalFormatting>
  <conditionalFormatting sqref="AG225:AL225">
    <cfRule type="expression" dxfId="10467" priority="12046">
      <formula>$N226="BAM"</formula>
    </cfRule>
    <cfRule type="expression" dxfId="10466" priority="12050">
      <formula>OR($HU224=FALSE,$HQ224=FALSE)</formula>
    </cfRule>
  </conditionalFormatting>
  <conditionalFormatting sqref="AG225">
    <cfRule type="containsBlanks" dxfId="10465" priority="12047" stopIfTrue="1">
      <formula>LEN(TRIM(AG225))=0</formula>
    </cfRule>
    <cfRule type="expression" dxfId="10464" priority="12048">
      <formula>OR($HP224=FALSE,$HR224=FALSE)</formula>
    </cfRule>
    <cfRule type="expression" dxfId="10463" priority="12049">
      <formula>OR($DS223=7,$DS223=8,$DS223=9)</formula>
    </cfRule>
  </conditionalFormatting>
  <conditionalFormatting sqref="AG223:AL223">
    <cfRule type="expression" dxfId="10462" priority="12044">
      <formula>$C$43&lt;&gt;0</formula>
    </cfRule>
  </conditionalFormatting>
  <conditionalFormatting sqref="AF224">
    <cfRule type="containsBlanks" dxfId="10461" priority="12043">
      <formula>LEN(TRIM(AF224))=0</formula>
    </cfRule>
  </conditionalFormatting>
  <conditionalFormatting sqref="AF224">
    <cfRule type="expression" dxfId="10460" priority="12042" stopIfTrue="1">
      <formula>$G223=""</formula>
    </cfRule>
  </conditionalFormatting>
  <conditionalFormatting sqref="AG224">
    <cfRule type="containsBlanks" dxfId="10459" priority="12040">
      <formula>LEN(TRIM(AG224))=0</formula>
    </cfRule>
    <cfRule type="expression" dxfId="10458" priority="12041">
      <formula>$HO224=FALSE</formula>
    </cfRule>
  </conditionalFormatting>
  <conditionalFormatting sqref="AG224">
    <cfRule type="expression" dxfId="10457" priority="12039" stopIfTrue="1">
      <formula>$G223=""</formula>
    </cfRule>
  </conditionalFormatting>
  <conditionalFormatting sqref="AF224:AK224">
    <cfRule type="expression" dxfId="10456" priority="12038">
      <formula>$C$43&gt;0</formula>
    </cfRule>
  </conditionalFormatting>
  <conditionalFormatting sqref="AM223:AN224">
    <cfRule type="expression" dxfId="10455" priority="12037">
      <formula>$G223=""</formula>
    </cfRule>
  </conditionalFormatting>
  <conditionalFormatting sqref="AM225:AN225">
    <cfRule type="expression" dxfId="10454" priority="12036" stopIfTrue="1">
      <formula>$G223=""</formula>
    </cfRule>
  </conditionalFormatting>
  <conditionalFormatting sqref="T225">
    <cfRule type="expression" dxfId="10453" priority="12058" stopIfTrue="1">
      <formula>$N226="BAM"</formula>
    </cfRule>
  </conditionalFormatting>
  <conditionalFormatting sqref="U225:AE225">
    <cfRule type="expression" dxfId="10452" priority="12035" stopIfTrue="1">
      <formula>$N226="BAM"</formula>
    </cfRule>
  </conditionalFormatting>
  <conditionalFormatting sqref="AG226:AL226">
    <cfRule type="expression" dxfId="10451" priority="12059" stopIfTrue="1">
      <formula>$N226="BAM"</formula>
    </cfRule>
  </conditionalFormatting>
  <conditionalFormatting sqref="AX229">
    <cfRule type="expression" dxfId="10450" priority="12025">
      <formula>$E229=""</formula>
    </cfRule>
  </conditionalFormatting>
  <conditionalFormatting sqref="AX228">
    <cfRule type="expression" dxfId="10449" priority="12024">
      <formula>$E228=""</formula>
    </cfRule>
  </conditionalFormatting>
  <conditionalFormatting sqref="AX230">
    <cfRule type="expression" dxfId="10448" priority="12023">
      <formula>#REF!=""</formula>
    </cfRule>
  </conditionalFormatting>
  <conditionalFormatting sqref="AX231">
    <cfRule type="expression" dxfId="10447" priority="12022">
      <formula>$E230=""</formula>
    </cfRule>
  </conditionalFormatting>
  <conditionalFormatting sqref="AY228:AZ231">
    <cfRule type="expression" dxfId="10446" priority="12021">
      <formula>$G228=""</formula>
    </cfRule>
  </conditionalFormatting>
  <conditionalFormatting sqref="G230">
    <cfRule type="expression" dxfId="10445" priority="12018" stopIfTrue="1">
      <formula>$G228=""</formula>
    </cfRule>
    <cfRule type="containsBlanks" dxfId="10444" priority="12019" stopIfTrue="1">
      <formula>LEN(TRIM(G230))=0</formula>
    </cfRule>
    <cfRule type="expression" dxfId="10443" priority="12020">
      <formula>OR($M230=0,$HH229=FALSE)</formula>
    </cfRule>
  </conditionalFormatting>
  <conditionalFormatting sqref="AO230">
    <cfRule type="expression" dxfId="10442" priority="12017" stopIfTrue="1">
      <formula>$G228=""</formula>
    </cfRule>
  </conditionalFormatting>
  <conditionalFormatting sqref="AU228:AU231">
    <cfRule type="expression" dxfId="10441" priority="12014" stopIfTrue="1">
      <formula>$C$43=2</formula>
    </cfRule>
    <cfRule type="cellIs" dxfId="10440" priority="12015" operator="equal">
      <formula>"Yes"</formula>
    </cfRule>
    <cfRule type="cellIs" dxfId="10439" priority="12016" operator="equal">
      <formula>"No"</formula>
    </cfRule>
  </conditionalFormatting>
  <conditionalFormatting sqref="AO228:AO229">
    <cfRule type="expression" dxfId="10438" priority="12013">
      <formula>$G228=""</formula>
    </cfRule>
  </conditionalFormatting>
  <conditionalFormatting sqref="AP228 AR228:AS231">
    <cfRule type="expression" dxfId="10437" priority="12012">
      <formula>$G228=""</formula>
    </cfRule>
  </conditionalFormatting>
  <conditionalFormatting sqref="AW228:AW231">
    <cfRule type="expression" dxfId="10436" priority="12011">
      <formula>$G228=""</formula>
    </cfRule>
  </conditionalFormatting>
  <conditionalFormatting sqref="G229:L229">
    <cfRule type="expression" dxfId="10435" priority="12009" stopIfTrue="1">
      <formula>$G228=""</formula>
    </cfRule>
    <cfRule type="containsBlanks" dxfId="10434" priority="12010">
      <formula>LEN(TRIM(G229))=0</formula>
    </cfRule>
  </conditionalFormatting>
  <conditionalFormatting sqref="R230">
    <cfRule type="expression" dxfId="10433" priority="12006">
      <formula>$N231="BAM"</formula>
    </cfRule>
    <cfRule type="expression" dxfId="10432" priority="12007" stopIfTrue="1">
      <formula>$G228=""</formula>
    </cfRule>
    <cfRule type="containsBlanks" dxfId="10431" priority="12008">
      <formula>LEN(TRIM(R230))=0</formula>
    </cfRule>
  </conditionalFormatting>
  <conditionalFormatting sqref="R230">
    <cfRule type="expression" dxfId="10430" priority="12005">
      <formula>$C$43=0</formula>
    </cfRule>
  </conditionalFormatting>
  <conditionalFormatting sqref="E231:F231">
    <cfRule type="expression" dxfId="10429" priority="12004">
      <formula>$CQ228="Exterior"</formula>
    </cfRule>
  </conditionalFormatting>
  <conditionalFormatting sqref="G231">
    <cfRule type="expression" dxfId="10428" priority="11994" stopIfTrue="1">
      <formula>$G228=""</formula>
    </cfRule>
  </conditionalFormatting>
  <conditionalFormatting sqref="G231">
    <cfRule type="expression" dxfId="10427" priority="11996" stopIfTrue="1">
      <formula>$CQ228="Exterior"</formula>
    </cfRule>
  </conditionalFormatting>
  <conditionalFormatting sqref="G231:L231">
    <cfRule type="expression" dxfId="10426" priority="11995" stopIfTrue="1">
      <formula>$N231="BAM"</formula>
    </cfRule>
    <cfRule type="containsBlanks" dxfId="10425" priority="11997" stopIfTrue="1">
      <formula>LEN(TRIM(G231))=0</formula>
    </cfRule>
    <cfRule type="expression" dxfId="10424" priority="11999">
      <formula>$HQ229=FALSE</formula>
    </cfRule>
  </conditionalFormatting>
  <conditionalFormatting sqref="G231:L231">
    <cfRule type="expression" dxfId="10423" priority="11998" stopIfTrue="1">
      <formula>$AG230=""</formula>
    </cfRule>
  </conditionalFormatting>
  <conditionalFormatting sqref="G230:L230">
    <cfRule type="expression" dxfId="10422" priority="11992" stopIfTrue="1">
      <formula>$N231="BAM"</formula>
    </cfRule>
  </conditionalFormatting>
  <conditionalFormatting sqref="G228:R228">
    <cfRule type="containsBlanks" dxfId="10421" priority="11991">
      <formula>LEN(TRIM(G228))=0</formula>
    </cfRule>
  </conditionalFormatting>
  <conditionalFormatting sqref="AF230">
    <cfRule type="expression" dxfId="10420" priority="11981" stopIfTrue="1">
      <formula>$G228=""</formula>
    </cfRule>
    <cfRule type="expression" dxfId="10419" priority="11982" stopIfTrue="1">
      <formula>$N231="BAM"</formula>
    </cfRule>
    <cfRule type="expression" dxfId="10418" priority="11990">
      <formula>$AF$49&gt;$T$49</formula>
    </cfRule>
  </conditionalFormatting>
  <conditionalFormatting sqref="AC231:AE231">
    <cfRule type="expression" dxfId="10417" priority="11987" stopIfTrue="1">
      <formula>$G228=""</formula>
    </cfRule>
  </conditionalFormatting>
  <conditionalFormatting sqref="T230:U230">
    <cfRule type="expression" dxfId="10416" priority="11954" stopIfTrue="1">
      <formula>$G228=""</formula>
    </cfRule>
  </conditionalFormatting>
  <conditionalFormatting sqref="T230:U230">
    <cfRule type="containsBlanks" dxfId="10415" priority="11984" stopIfTrue="1">
      <formula>LEN(TRIM(T230))=0</formula>
    </cfRule>
  </conditionalFormatting>
  <conditionalFormatting sqref="AC228:AE228">
    <cfRule type="expression" dxfId="10414" priority="11983">
      <formula>$G228=""</formula>
    </cfRule>
  </conditionalFormatting>
  <conditionalFormatting sqref="AF230 AG231">
    <cfRule type="containsBlanks" dxfId="10413" priority="11988" stopIfTrue="1">
      <formula>LEN(TRIM(AF230))=0</formula>
    </cfRule>
  </conditionalFormatting>
  <conditionalFormatting sqref="AF230">
    <cfRule type="expression" dxfId="10412" priority="11989">
      <formula>OR($HS229=FALSE,$HT229=FALSE)</formula>
    </cfRule>
  </conditionalFormatting>
  <conditionalFormatting sqref="AG231">
    <cfRule type="expression" dxfId="10411" priority="11947">
      <formula>$C$43&gt;0</formula>
    </cfRule>
  </conditionalFormatting>
  <conditionalFormatting sqref="AG231">
    <cfRule type="expression" dxfId="10410" priority="11980" stopIfTrue="1">
      <formula>$G228=""</formula>
    </cfRule>
  </conditionalFormatting>
  <conditionalFormatting sqref="U230">
    <cfRule type="expression" dxfId="10409" priority="11985">
      <formula>OR($HK229=FALSE,$HL229=FALSE)</formula>
    </cfRule>
  </conditionalFormatting>
  <conditionalFormatting sqref="T229:U229">
    <cfRule type="expression" dxfId="10408" priority="11975" stopIfTrue="1">
      <formula>$C$43&lt;&gt;0</formula>
    </cfRule>
    <cfRule type="containsBlanks" dxfId="10407" priority="11976" stopIfTrue="1">
      <formula>LEN(TRIM(T229))=0</formula>
    </cfRule>
  </conditionalFormatting>
  <conditionalFormatting sqref="T229:U229">
    <cfRule type="expression" dxfId="10406" priority="11974" stopIfTrue="1">
      <formula>$G228=""</formula>
    </cfRule>
  </conditionalFormatting>
  <conditionalFormatting sqref="U229">
    <cfRule type="expression" dxfId="10405" priority="11977">
      <formula>$HJ229=FALSE</formula>
    </cfRule>
  </conditionalFormatting>
  <conditionalFormatting sqref="AG230">
    <cfRule type="expression" dxfId="10404" priority="11965" stopIfTrue="1">
      <formula>$G228=""</formula>
    </cfRule>
  </conditionalFormatting>
  <conditionalFormatting sqref="AG230:AL230">
    <cfRule type="expression" dxfId="10403" priority="11966">
      <formula>$N231="BAM"</formula>
    </cfRule>
    <cfRule type="expression" dxfId="10402" priority="11970">
      <formula>OR($HU229=FALSE,$HQ229=FALSE)</formula>
    </cfRule>
  </conditionalFormatting>
  <conditionalFormatting sqref="AG230">
    <cfRule type="containsBlanks" dxfId="10401" priority="11967" stopIfTrue="1">
      <formula>LEN(TRIM(AG230))=0</formula>
    </cfRule>
    <cfRule type="expression" dxfId="10400" priority="11968">
      <formula>OR($HP229=FALSE,$HR229=FALSE)</formula>
    </cfRule>
    <cfRule type="expression" dxfId="10399" priority="11969">
      <formula>OR($DS228=7,$DS228=8,$DS228=9)</formula>
    </cfRule>
  </conditionalFormatting>
  <conditionalFormatting sqref="AG228:AL228">
    <cfRule type="expression" dxfId="10398" priority="11964">
      <formula>$C$43&lt;&gt;0</formula>
    </cfRule>
  </conditionalFormatting>
  <conditionalFormatting sqref="AF229">
    <cfRule type="containsBlanks" dxfId="10397" priority="11963">
      <formula>LEN(TRIM(AF229))=0</formula>
    </cfRule>
  </conditionalFormatting>
  <conditionalFormatting sqref="AF229">
    <cfRule type="expression" dxfId="10396" priority="11962" stopIfTrue="1">
      <formula>$G228=""</formula>
    </cfRule>
  </conditionalFormatting>
  <conditionalFormatting sqref="AG229">
    <cfRule type="containsBlanks" dxfId="10395" priority="11960">
      <formula>LEN(TRIM(AG229))=0</formula>
    </cfRule>
    <cfRule type="expression" dxfId="10394" priority="11961">
      <formula>$HO229=FALSE</formula>
    </cfRule>
  </conditionalFormatting>
  <conditionalFormatting sqref="AG229">
    <cfRule type="expression" dxfId="10393" priority="11959" stopIfTrue="1">
      <formula>$G228=""</formula>
    </cfRule>
  </conditionalFormatting>
  <conditionalFormatting sqref="AF229:AK229">
    <cfRule type="expression" dxfId="10392" priority="11958">
      <formula>$C$43&gt;0</formula>
    </cfRule>
  </conditionalFormatting>
  <conditionalFormatting sqref="AM228:AN229">
    <cfRule type="expression" dxfId="10391" priority="11957">
      <formula>$G228=""</formula>
    </cfRule>
  </conditionalFormatting>
  <conditionalFormatting sqref="AM230:AN230">
    <cfRule type="expression" dxfId="10390" priority="11956" stopIfTrue="1">
      <formula>$G228=""</formula>
    </cfRule>
  </conditionalFormatting>
  <conditionalFormatting sqref="T230">
    <cfRule type="expression" dxfId="10389" priority="11978" stopIfTrue="1">
      <formula>$N231="BAM"</formula>
    </cfRule>
  </conditionalFormatting>
  <conditionalFormatting sqref="U230:AE230">
    <cfRule type="expression" dxfId="10388" priority="11955" stopIfTrue="1">
      <formula>$N231="BAM"</formula>
    </cfRule>
  </conditionalFormatting>
  <conditionalFormatting sqref="AG231:AL231">
    <cfRule type="expression" dxfId="10387" priority="11979" stopIfTrue="1">
      <formula>$N231="BAM"</formula>
    </cfRule>
  </conditionalFormatting>
  <conditionalFormatting sqref="AX234">
    <cfRule type="expression" dxfId="10386" priority="11945">
      <formula>$E234=""</formula>
    </cfRule>
  </conditionalFormatting>
  <conditionalFormatting sqref="AX233">
    <cfRule type="expression" dxfId="10385" priority="11944">
      <formula>$E233=""</formula>
    </cfRule>
  </conditionalFormatting>
  <conditionalFormatting sqref="AX235">
    <cfRule type="expression" dxfId="10384" priority="11943">
      <formula>#REF!=""</formula>
    </cfRule>
  </conditionalFormatting>
  <conditionalFormatting sqref="AX236">
    <cfRule type="expression" dxfId="10383" priority="11942">
      <formula>$E235=""</formula>
    </cfRule>
  </conditionalFormatting>
  <conditionalFormatting sqref="AY233:AZ236">
    <cfRule type="expression" dxfId="10382" priority="11941">
      <formula>$G233=""</formula>
    </cfRule>
  </conditionalFormatting>
  <conditionalFormatting sqref="G235">
    <cfRule type="expression" dxfId="10381" priority="11938" stopIfTrue="1">
      <formula>$G233=""</formula>
    </cfRule>
    <cfRule type="containsBlanks" dxfId="10380" priority="11939" stopIfTrue="1">
      <formula>LEN(TRIM(G235))=0</formula>
    </cfRule>
    <cfRule type="expression" dxfId="10379" priority="11940">
      <formula>OR($M235=0,$HH234=FALSE)</formula>
    </cfRule>
  </conditionalFormatting>
  <conditionalFormatting sqref="AO235">
    <cfRule type="expression" dxfId="10378" priority="11937" stopIfTrue="1">
      <formula>$G233=""</formula>
    </cfRule>
  </conditionalFormatting>
  <conditionalFormatting sqref="AU233:AU236">
    <cfRule type="expression" dxfId="10377" priority="11934" stopIfTrue="1">
      <formula>$C$43=2</formula>
    </cfRule>
    <cfRule type="cellIs" dxfId="10376" priority="11935" operator="equal">
      <formula>"Yes"</formula>
    </cfRule>
    <cfRule type="cellIs" dxfId="10375" priority="11936" operator="equal">
      <formula>"No"</formula>
    </cfRule>
  </conditionalFormatting>
  <conditionalFormatting sqref="AO233:AO234">
    <cfRule type="expression" dxfId="10374" priority="11933">
      <formula>$G233=""</formula>
    </cfRule>
  </conditionalFormatting>
  <conditionalFormatting sqref="AP233 AR233:AS236">
    <cfRule type="expression" dxfId="10373" priority="11932">
      <formula>$G233=""</formula>
    </cfRule>
  </conditionalFormatting>
  <conditionalFormatting sqref="AW233:AW236">
    <cfRule type="expression" dxfId="10372" priority="11931">
      <formula>$G233=""</formula>
    </cfRule>
  </conditionalFormatting>
  <conditionalFormatting sqref="G234:L234">
    <cfRule type="expression" dxfId="10371" priority="11929" stopIfTrue="1">
      <formula>$G233=""</formula>
    </cfRule>
    <cfRule type="containsBlanks" dxfId="10370" priority="11930">
      <formula>LEN(TRIM(G234))=0</formula>
    </cfRule>
  </conditionalFormatting>
  <conditionalFormatting sqref="R235">
    <cfRule type="expression" dxfId="10369" priority="11926">
      <formula>$N236="BAM"</formula>
    </cfRule>
    <cfRule type="expression" dxfId="10368" priority="11927" stopIfTrue="1">
      <formula>$G233=""</formula>
    </cfRule>
    <cfRule type="containsBlanks" dxfId="10367" priority="11928">
      <formula>LEN(TRIM(R235))=0</formula>
    </cfRule>
  </conditionalFormatting>
  <conditionalFormatting sqref="R235">
    <cfRule type="expression" dxfId="10366" priority="11925">
      <formula>$C$43=0</formula>
    </cfRule>
  </conditionalFormatting>
  <conditionalFormatting sqref="E236:F236">
    <cfRule type="expression" dxfId="10365" priority="11924">
      <formula>$CQ233="Exterior"</formula>
    </cfRule>
  </conditionalFormatting>
  <conditionalFormatting sqref="G236">
    <cfRule type="expression" dxfId="10364" priority="11914" stopIfTrue="1">
      <formula>$G233=""</formula>
    </cfRule>
  </conditionalFormatting>
  <conditionalFormatting sqref="G236">
    <cfRule type="expression" dxfId="10363" priority="11916" stopIfTrue="1">
      <formula>$CQ233="Exterior"</formula>
    </cfRule>
  </conditionalFormatting>
  <conditionalFormatting sqref="G236:L236">
    <cfRule type="expression" dxfId="10362" priority="11915" stopIfTrue="1">
      <formula>$N236="BAM"</formula>
    </cfRule>
    <cfRule type="containsBlanks" dxfId="10361" priority="11917" stopIfTrue="1">
      <formula>LEN(TRIM(G236))=0</formula>
    </cfRule>
    <cfRule type="expression" dxfId="10360" priority="11919">
      <formula>$HQ234=FALSE</formula>
    </cfRule>
  </conditionalFormatting>
  <conditionalFormatting sqref="G236:L236">
    <cfRule type="expression" dxfId="10359" priority="11918" stopIfTrue="1">
      <formula>$AG235=""</formula>
    </cfRule>
  </conditionalFormatting>
  <conditionalFormatting sqref="G235:L235">
    <cfRule type="expression" dxfId="10358" priority="11912" stopIfTrue="1">
      <formula>$N236="BAM"</formula>
    </cfRule>
  </conditionalFormatting>
  <conditionalFormatting sqref="G233:R233">
    <cfRule type="containsBlanks" dxfId="10357" priority="11911">
      <formula>LEN(TRIM(G233))=0</formula>
    </cfRule>
  </conditionalFormatting>
  <conditionalFormatting sqref="AF235">
    <cfRule type="expression" dxfId="10356" priority="11901" stopIfTrue="1">
      <formula>$G233=""</formula>
    </cfRule>
    <cfRule type="expression" dxfId="10355" priority="11902" stopIfTrue="1">
      <formula>$N236="BAM"</formula>
    </cfRule>
    <cfRule type="expression" dxfId="10354" priority="11910">
      <formula>$AF$49&gt;$T$49</formula>
    </cfRule>
  </conditionalFormatting>
  <conditionalFormatting sqref="AC236:AE236">
    <cfRule type="expression" dxfId="10353" priority="11907" stopIfTrue="1">
      <formula>$G233=""</formula>
    </cfRule>
  </conditionalFormatting>
  <conditionalFormatting sqref="T235:U235">
    <cfRule type="expression" dxfId="10352" priority="11874" stopIfTrue="1">
      <formula>$G233=""</formula>
    </cfRule>
  </conditionalFormatting>
  <conditionalFormatting sqref="T235:U235">
    <cfRule type="containsBlanks" dxfId="10351" priority="11904" stopIfTrue="1">
      <formula>LEN(TRIM(T235))=0</formula>
    </cfRule>
  </conditionalFormatting>
  <conditionalFormatting sqref="AC233:AE233">
    <cfRule type="expression" dxfId="10350" priority="11903">
      <formula>$G233=""</formula>
    </cfRule>
  </conditionalFormatting>
  <conditionalFormatting sqref="AF235 AG236">
    <cfRule type="containsBlanks" dxfId="10349" priority="11908" stopIfTrue="1">
      <formula>LEN(TRIM(AF235))=0</formula>
    </cfRule>
  </conditionalFormatting>
  <conditionalFormatting sqref="AF235">
    <cfRule type="expression" dxfId="10348" priority="11909">
      <formula>OR($HS234=FALSE,$HT234=FALSE)</formula>
    </cfRule>
  </conditionalFormatting>
  <conditionalFormatting sqref="AG236">
    <cfRule type="expression" dxfId="10347" priority="11867">
      <formula>$C$43&gt;0</formula>
    </cfRule>
  </conditionalFormatting>
  <conditionalFormatting sqref="AG236">
    <cfRule type="expression" dxfId="10346" priority="11900" stopIfTrue="1">
      <formula>$G233=""</formula>
    </cfRule>
  </conditionalFormatting>
  <conditionalFormatting sqref="U235">
    <cfRule type="expression" dxfId="10345" priority="11905">
      <formula>OR($HK234=FALSE,$HL234=FALSE)</formula>
    </cfRule>
  </conditionalFormatting>
  <conditionalFormatting sqref="T234:U234">
    <cfRule type="expression" dxfId="10344" priority="11895" stopIfTrue="1">
      <formula>$C$43&lt;&gt;0</formula>
    </cfRule>
    <cfRule type="containsBlanks" dxfId="10343" priority="11896" stopIfTrue="1">
      <formula>LEN(TRIM(T234))=0</formula>
    </cfRule>
  </conditionalFormatting>
  <conditionalFormatting sqref="T234:U234">
    <cfRule type="expression" dxfId="10342" priority="11894" stopIfTrue="1">
      <formula>$G233=""</formula>
    </cfRule>
  </conditionalFormatting>
  <conditionalFormatting sqref="U234">
    <cfRule type="expression" dxfId="10341" priority="11897">
      <formula>$HJ234=FALSE</formula>
    </cfRule>
  </conditionalFormatting>
  <conditionalFormatting sqref="AG235">
    <cfRule type="expression" dxfId="10340" priority="11885" stopIfTrue="1">
      <formula>$G233=""</formula>
    </cfRule>
  </conditionalFormatting>
  <conditionalFormatting sqref="AG235:AL235">
    <cfRule type="expression" dxfId="10339" priority="11886">
      <formula>$N236="BAM"</formula>
    </cfRule>
    <cfRule type="expression" dxfId="10338" priority="11890">
      <formula>OR($HU234=FALSE,$HQ234=FALSE)</formula>
    </cfRule>
  </conditionalFormatting>
  <conditionalFormatting sqref="AG235">
    <cfRule type="containsBlanks" dxfId="10337" priority="11887" stopIfTrue="1">
      <formula>LEN(TRIM(AG235))=0</formula>
    </cfRule>
    <cfRule type="expression" dxfId="10336" priority="11888">
      <formula>OR($HP234=FALSE,$HR234=FALSE)</formula>
    </cfRule>
    <cfRule type="expression" dxfId="10335" priority="11889">
      <formula>OR($DS233=7,$DS233=8,$DS233=9)</formula>
    </cfRule>
  </conditionalFormatting>
  <conditionalFormatting sqref="AG233:AL233">
    <cfRule type="expression" dxfId="10334" priority="11884">
      <formula>$C$43&lt;&gt;0</formula>
    </cfRule>
  </conditionalFormatting>
  <conditionalFormatting sqref="AF234">
    <cfRule type="containsBlanks" dxfId="10333" priority="11883">
      <formula>LEN(TRIM(AF234))=0</formula>
    </cfRule>
  </conditionalFormatting>
  <conditionalFormatting sqref="AF234">
    <cfRule type="expression" dxfId="10332" priority="11882" stopIfTrue="1">
      <formula>$G233=""</formula>
    </cfRule>
  </conditionalFormatting>
  <conditionalFormatting sqref="AG234">
    <cfRule type="containsBlanks" dxfId="10331" priority="11880">
      <formula>LEN(TRIM(AG234))=0</formula>
    </cfRule>
    <cfRule type="expression" dxfId="10330" priority="11881">
      <formula>$HO234=FALSE</formula>
    </cfRule>
  </conditionalFormatting>
  <conditionalFormatting sqref="AG234">
    <cfRule type="expression" dxfId="10329" priority="11879" stopIfTrue="1">
      <formula>$G233=""</formula>
    </cfRule>
  </conditionalFormatting>
  <conditionalFormatting sqref="AF234:AK234">
    <cfRule type="expression" dxfId="10328" priority="11878">
      <formula>$C$43&gt;0</formula>
    </cfRule>
  </conditionalFormatting>
  <conditionalFormatting sqref="AM233:AN234">
    <cfRule type="expression" dxfId="10327" priority="11877">
      <formula>$G233=""</formula>
    </cfRule>
  </conditionalFormatting>
  <conditionalFormatting sqref="AM235:AN235">
    <cfRule type="expression" dxfId="10326" priority="11876" stopIfTrue="1">
      <formula>$G233=""</formula>
    </cfRule>
  </conditionalFormatting>
  <conditionalFormatting sqref="T235">
    <cfRule type="expression" dxfId="10325" priority="11898" stopIfTrue="1">
      <formula>$N236="BAM"</formula>
    </cfRule>
  </conditionalFormatting>
  <conditionalFormatting sqref="U235:AE235">
    <cfRule type="expression" dxfId="10324" priority="11875" stopIfTrue="1">
      <formula>$N236="BAM"</formula>
    </cfRule>
  </conditionalFormatting>
  <conditionalFormatting sqref="AG236:AL236">
    <cfRule type="expression" dxfId="10323" priority="11899" stopIfTrue="1">
      <formula>$N236="BAM"</formula>
    </cfRule>
  </conditionalFormatting>
  <conditionalFormatting sqref="AX239">
    <cfRule type="expression" dxfId="10322" priority="11865">
      <formula>$E239=""</formula>
    </cfRule>
  </conditionalFormatting>
  <conditionalFormatting sqref="AX238">
    <cfRule type="expression" dxfId="10321" priority="11864">
      <formula>$E238=""</formula>
    </cfRule>
  </conditionalFormatting>
  <conditionalFormatting sqref="AX240">
    <cfRule type="expression" dxfId="10320" priority="11863">
      <formula>#REF!=""</formula>
    </cfRule>
  </conditionalFormatting>
  <conditionalFormatting sqref="AX241">
    <cfRule type="expression" dxfId="10319" priority="11862">
      <formula>$E240=""</formula>
    </cfRule>
  </conditionalFormatting>
  <conditionalFormatting sqref="AY238:AZ241">
    <cfRule type="expression" dxfId="10318" priority="11861">
      <formula>$G238=""</formula>
    </cfRule>
  </conditionalFormatting>
  <conditionalFormatting sqref="G240">
    <cfRule type="expression" dxfId="10317" priority="11858" stopIfTrue="1">
      <formula>$G238=""</formula>
    </cfRule>
    <cfRule type="containsBlanks" dxfId="10316" priority="11859" stopIfTrue="1">
      <formula>LEN(TRIM(G240))=0</formula>
    </cfRule>
    <cfRule type="expression" dxfId="10315" priority="11860">
      <formula>OR($M240=0,$HH239=FALSE)</formula>
    </cfRule>
  </conditionalFormatting>
  <conditionalFormatting sqref="AO240">
    <cfRule type="expression" dxfId="10314" priority="11857" stopIfTrue="1">
      <formula>$G238=""</formula>
    </cfRule>
  </conditionalFormatting>
  <conditionalFormatting sqref="AU238:AU241">
    <cfRule type="expression" dxfId="10313" priority="11854" stopIfTrue="1">
      <formula>$C$43=2</formula>
    </cfRule>
    <cfRule type="cellIs" dxfId="10312" priority="11855" operator="equal">
      <formula>"Yes"</formula>
    </cfRule>
    <cfRule type="cellIs" dxfId="10311" priority="11856" operator="equal">
      <formula>"No"</formula>
    </cfRule>
  </conditionalFormatting>
  <conditionalFormatting sqref="AO238:AO239">
    <cfRule type="expression" dxfId="10310" priority="11853">
      <formula>$G238=""</formula>
    </cfRule>
  </conditionalFormatting>
  <conditionalFormatting sqref="AP238 AR238:AS241">
    <cfRule type="expression" dxfId="10309" priority="11852">
      <formula>$G238=""</formula>
    </cfRule>
  </conditionalFormatting>
  <conditionalFormatting sqref="AW238:AW241">
    <cfRule type="expression" dxfId="10308" priority="11851">
      <formula>$G238=""</formula>
    </cfRule>
  </conditionalFormatting>
  <conditionalFormatting sqref="G239:L239">
    <cfRule type="expression" dxfId="10307" priority="11849" stopIfTrue="1">
      <formula>$G238=""</formula>
    </cfRule>
    <cfRule type="containsBlanks" dxfId="10306" priority="11850">
      <formula>LEN(TRIM(G239))=0</formula>
    </cfRule>
  </conditionalFormatting>
  <conditionalFormatting sqref="R240">
    <cfRule type="expression" dxfId="10305" priority="11846">
      <formula>$N241="BAM"</formula>
    </cfRule>
    <cfRule type="expression" dxfId="10304" priority="11847" stopIfTrue="1">
      <formula>$G238=""</formula>
    </cfRule>
    <cfRule type="containsBlanks" dxfId="10303" priority="11848">
      <formula>LEN(TRIM(R240))=0</formula>
    </cfRule>
  </conditionalFormatting>
  <conditionalFormatting sqref="R240">
    <cfRule type="expression" dxfId="10302" priority="11845">
      <formula>$C$43=0</formula>
    </cfRule>
  </conditionalFormatting>
  <conditionalFormatting sqref="E241:F241">
    <cfRule type="expression" dxfId="10301" priority="11844">
      <formula>$CQ238="Exterior"</formula>
    </cfRule>
  </conditionalFormatting>
  <conditionalFormatting sqref="G241">
    <cfRule type="expression" dxfId="10300" priority="11834" stopIfTrue="1">
      <formula>$G238=""</formula>
    </cfRule>
  </conditionalFormatting>
  <conditionalFormatting sqref="G241">
    <cfRule type="expression" dxfId="10299" priority="11836" stopIfTrue="1">
      <formula>$CQ238="Exterior"</formula>
    </cfRule>
  </conditionalFormatting>
  <conditionalFormatting sqref="G241:L241">
    <cfRule type="expression" dxfId="10298" priority="11835" stopIfTrue="1">
      <formula>$N241="BAM"</formula>
    </cfRule>
    <cfRule type="containsBlanks" dxfId="10297" priority="11837" stopIfTrue="1">
      <formula>LEN(TRIM(G241))=0</formula>
    </cfRule>
    <cfRule type="expression" dxfId="10296" priority="11839">
      <formula>$HQ239=FALSE</formula>
    </cfRule>
  </conditionalFormatting>
  <conditionalFormatting sqref="G241:L241">
    <cfRule type="expression" dxfId="10295" priority="11838" stopIfTrue="1">
      <formula>$AG240=""</formula>
    </cfRule>
  </conditionalFormatting>
  <conditionalFormatting sqref="G240:L240">
    <cfRule type="expression" dxfId="10294" priority="11832" stopIfTrue="1">
      <formula>$N241="BAM"</formula>
    </cfRule>
  </conditionalFormatting>
  <conditionalFormatting sqref="G238:R238">
    <cfRule type="containsBlanks" dxfId="10293" priority="11831">
      <formula>LEN(TRIM(G238))=0</formula>
    </cfRule>
  </conditionalFormatting>
  <conditionalFormatting sqref="AF240">
    <cfRule type="expression" dxfId="10292" priority="11821" stopIfTrue="1">
      <formula>$G238=""</formula>
    </cfRule>
    <cfRule type="expression" dxfId="10291" priority="11822" stopIfTrue="1">
      <formula>$N241="BAM"</formula>
    </cfRule>
    <cfRule type="expression" dxfId="10290" priority="11830">
      <formula>$AF$49&gt;$T$49</formula>
    </cfRule>
  </conditionalFormatting>
  <conditionalFormatting sqref="AC241:AE241">
    <cfRule type="expression" dxfId="10289" priority="11827" stopIfTrue="1">
      <formula>$G238=""</formula>
    </cfRule>
  </conditionalFormatting>
  <conditionalFormatting sqref="T240:U240">
    <cfRule type="expression" dxfId="10288" priority="11794" stopIfTrue="1">
      <formula>$G238=""</formula>
    </cfRule>
  </conditionalFormatting>
  <conditionalFormatting sqref="T240:U240">
    <cfRule type="containsBlanks" dxfId="10287" priority="11824" stopIfTrue="1">
      <formula>LEN(TRIM(T240))=0</formula>
    </cfRule>
  </conditionalFormatting>
  <conditionalFormatting sqref="AC238:AE238">
    <cfRule type="expression" dxfId="10286" priority="11823">
      <formula>$G238=""</formula>
    </cfRule>
  </conditionalFormatting>
  <conditionalFormatting sqref="AF240 AG241">
    <cfRule type="containsBlanks" dxfId="10285" priority="11828" stopIfTrue="1">
      <formula>LEN(TRIM(AF240))=0</formula>
    </cfRule>
  </conditionalFormatting>
  <conditionalFormatting sqref="AF240">
    <cfRule type="expression" dxfId="10284" priority="11829">
      <formula>OR($HS239=FALSE,$HT239=FALSE)</formula>
    </cfRule>
  </conditionalFormatting>
  <conditionalFormatting sqref="AG241">
    <cfRule type="expression" dxfId="10283" priority="11787">
      <formula>$C$43&gt;0</formula>
    </cfRule>
  </conditionalFormatting>
  <conditionalFormatting sqref="AG241">
    <cfRule type="expression" dxfId="10282" priority="11820" stopIfTrue="1">
      <formula>$G238=""</formula>
    </cfRule>
  </conditionalFormatting>
  <conditionalFormatting sqref="U240">
    <cfRule type="expression" dxfId="10281" priority="11825">
      <formula>OR($HK239=FALSE,$HL239=FALSE)</formula>
    </cfRule>
  </conditionalFormatting>
  <conditionalFormatting sqref="T239:U239">
    <cfRule type="expression" dxfId="10280" priority="11815" stopIfTrue="1">
      <formula>$C$43&lt;&gt;0</formula>
    </cfRule>
    <cfRule type="containsBlanks" dxfId="10279" priority="11816" stopIfTrue="1">
      <formula>LEN(TRIM(T239))=0</formula>
    </cfRule>
  </conditionalFormatting>
  <conditionalFormatting sqref="T239:U239">
    <cfRule type="expression" dxfId="10278" priority="11814" stopIfTrue="1">
      <formula>$G238=""</formula>
    </cfRule>
  </conditionalFormatting>
  <conditionalFormatting sqref="U239">
    <cfRule type="expression" dxfId="10277" priority="11817">
      <formula>$HJ239=FALSE</formula>
    </cfRule>
  </conditionalFormatting>
  <conditionalFormatting sqref="AG240">
    <cfRule type="expression" dxfId="10276" priority="11805" stopIfTrue="1">
      <formula>$G238=""</formula>
    </cfRule>
  </conditionalFormatting>
  <conditionalFormatting sqref="AG240:AL240">
    <cfRule type="expression" dxfId="10275" priority="11806">
      <formula>$N241="BAM"</formula>
    </cfRule>
    <cfRule type="expression" dxfId="10274" priority="11810">
      <formula>OR($HU239=FALSE,$HQ239=FALSE)</formula>
    </cfRule>
  </conditionalFormatting>
  <conditionalFormatting sqref="AG240">
    <cfRule type="containsBlanks" dxfId="10273" priority="11807" stopIfTrue="1">
      <formula>LEN(TRIM(AG240))=0</formula>
    </cfRule>
    <cfRule type="expression" dxfId="10272" priority="11808">
      <formula>OR($HP239=FALSE,$HR239=FALSE)</formula>
    </cfRule>
    <cfRule type="expression" dxfId="10271" priority="11809">
      <formula>OR($DS238=7,$DS238=8,$DS238=9)</formula>
    </cfRule>
  </conditionalFormatting>
  <conditionalFormatting sqref="AG238:AL238">
    <cfRule type="expression" dxfId="10270" priority="11804">
      <formula>$C$43&lt;&gt;0</formula>
    </cfRule>
  </conditionalFormatting>
  <conditionalFormatting sqref="AF239">
    <cfRule type="containsBlanks" dxfId="10269" priority="11803">
      <formula>LEN(TRIM(AF239))=0</formula>
    </cfRule>
  </conditionalFormatting>
  <conditionalFormatting sqref="AF239">
    <cfRule type="expression" dxfId="10268" priority="11802" stopIfTrue="1">
      <formula>$G238=""</formula>
    </cfRule>
  </conditionalFormatting>
  <conditionalFormatting sqref="AG239">
    <cfRule type="containsBlanks" dxfId="10267" priority="11800">
      <formula>LEN(TRIM(AG239))=0</formula>
    </cfRule>
    <cfRule type="expression" dxfId="10266" priority="11801">
      <formula>$HO239=FALSE</formula>
    </cfRule>
  </conditionalFormatting>
  <conditionalFormatting sqref="AG239">
    <cfRule type="expression" dxfId="10265" priority="11799" stopIfTrue="1">
      <formula>$G238=""</formula>
    </cfRule>
  </conditionalFormatting>
  <conditionalFormatting sqref="AF239:AK239">
    <cfRule type="expression" dxfId="10264" priority="11798">
      <formula>$C$43&gt;0</formula>
    </cfRule>
  </conditionalFormatting>
  <conditionalFormatting sqref="AM238:AN239">
    <cfRule type="expression" dxfId="10263" priority="11797">
      <formula>$G238=""</formula>
    </cfRule>
  </conditionalFormatting>
  <conditionalFormatting sqref="AM240:AN240">
    <cfRule type="expression" dxfId="10262" priority="11796" stopIfTrue="1">
      <formula>$G238=""</formula>
    </cfRule>
  </conditionalFormatting>
  <conditionalFormatting sqref="T240">
    <cfRule type="expression" dxfId="10261" priority="11818" stopIfTrue="1">
      <formula>$N241="BAM"</formula>
    </cfRule>
  </conditionalFormatting>
  <conditionalFormatting sqref="U240:AE240">
    <cfRule type="expression" dxfId="10260" priority="11795" stopIfTrue="1">
      <formula>$N241="BAM"</formula>
    </cfRule>
  </conditionalFormatting>
  <conditionalFormatting sqref="AG241:AL241">
    <cfRule type="expression" dxfId="10259" priority="11819" stopIfTrue="1">
      <formula>$N241="BAM"</formula>
    </cfRule>
  </conditionalFormatting>
  <conditionalFormatting sqref="AX244">
    <cfRule type="expression" dxfId="10258" priority="11785">
      <formula>$E244=""</formula>
    </cfRule>
  </conditionalFormatting>
  <conditionalFormatting sqref="AX243">
    <cfRule type="expression" dxfId="10257" priority="11784">
      <formula>$E243=""</formula>
    </cfRule>
  </conditionalFormatting>
  <conditionalFormatting sqref="AX245">
    <cfRule type="expression" dxfId="10256" priority="11783">
      <formula>#REF!=""</formula>
    </cfRule>
  </conditionalFormatting>
  <conditionalFormatting sqref="AX246">
    <cfRule type="expression" dxfId="10255" priority="11782">
      <formula>$E245=""</formula>
    </cfRule>
  </conditionalFormatting>
  <conditionalFormatting sqref="AY243:AZ246">
    <cfRule type="expression" dxfId="10254" priority="11781">
      <formula>$G243=""</formula>
    </cfRule>
  </conditionalFormatting>
  <conditionalFormatting sqref="G245">
    <cfRule type="expression" dxfId="10253" priority="11778" stopIfTrue="1">
      <formula>$G243=""</formula>
    </cfRule>
    <cfRule type="containsBlanks" dxfId="10252" priority="11779" stopIfTrue="1">
      <formula>LEN(TRIM(G245))=0</formula>
    </cfRule>
    <cfRule type="expression" dxfId="10251" priority="11780">
      <formula>OR($M245=0,$HH244=FALSE)</formula>
    </cfRule>
  </conditionalFormatting>
  <conditionalFormatting sqref="AO245">
    <cfRule type="expression" dxfId="10250" priority="11777" stopIfTrue="1">
      <formula>$G243=""</formula>
    </cfRule>
  </conditionalFormatting>
  <conditionalFormatting sqref="AU243:AU246">
    <cfRule type="expression" dxfId="10249" priority="11774" stopIfTrue="1">
      <formula>$C$43=2</formula>
    </cfRule>
    <cfRule type="cellIs" dxfId="10248" priority="11775" operator="equal">
      <formula>"Yes"</formula>
    </cfRule>
    <cfRule type="cellIs" dxfId="10247" priority="11776" operator="equal">
      <formula>"No"</formula>
    </cfRule>
  </conditionalFormatting>
  <conditionalFormatting sqref="AO243:AO244">
    <cfRule type="expression" dxfId="10246" priority="11773">
      <formula>$G243=""</formula>
    </cfRule>
  </conditionalFormatting>
  <conditionalFormatting sqref="AP243 AR243:AS246">
    <cfRule type="expression" dxfId="10245" priority="11772">
      <formula>$G243=""</formula>
    </cfRule>
  </conditionalFormatting>
  <conditionalFormatting sqref="AW243:AW246">
    <cfRule type="expression" dxfId="10244" priority="11771">
      <formula>$G243=""</formula>
    </cfRule>
  </conditionalFormatting>
  <conditionalFormatting sqref="G244:L244">
    <cfRule type="expression" dxfId="10243" priority="11769" stopIfTrue="1">
      <formula>$G243=""</formula>
    </cfRule>
    <cfRule type="containsBlanks" dxfId="10242" priority="11770">
      <formula>LEN(TRIM(G244))=0</formula>
    </cfRule>
  </conditionalFormatting>
  <conditionalFormatting sqref="R245">
    <cfRule type="expression" dxfId="10241" priority="11766">
      <formula>$N246="BAM"</formula>
    </cfRule>
    <cfRule type="expression" dxfId="10240" priority="11767" stopIfTrue="1">
      <formula>$G243=""</formula>
    </cfRule>
    <cfRule type="containsBlanks" dxfId="10239" priority="11768">
      <formula>LEN(TRIM(R245))=0</formula>
    </cfRule>
  </conditionalFormatting>
  <conditionalFormatting sqref="R245">
    <cfRule type="expression" dxfId="10238" priority="11765">
      <formula>$C$43=0</formula>
    </cfRule>
  </conditionalFormatting>
  <conditionalFormatting sqref="E246:F246">
    <cfRule type="expression" dxfId="10237" priority="11764">
      <formula>$CQ243="Exterior"</formula>
    </cfRule>
  </conditionalFormatting>
  <conditionalFormatting sqref="G246">
    <cfRule type="expression" dxfId="10236" priority="11754" stopIfTrue="1">
      <formula>$G243=""</formula>
    </cfRule>
  </conditionalFormatting>
  <conditionalFormatting sqref="G246">
    <cfRule type="expression" dxfId="10235" priority="11756" stopIfTrue="1">
      <formula>$CQ243="Exterior"</formula>
    </cfRule>
  </conditionalFormatting>
  <conditionalFormatting sqref="G246:L246">
    <cfRule type="expression" dxfId="10234" priority="11755" stopIfTrue="1">
      <formula>$N246="BAM"</formula>
    </cfRule>
    <cfRule type="containsBlanks" dxfId="10233" priority="11757" stopIfTrue="1">
      <formula>LEN(TRIM(G246))=0</formula>
    </cfRule>
    <cfRule type="expression" dxfId="10232" priority="11759">
      <formula>$HQ244=FALSE</formula>
    </cfRule>
  </conditionalFormatting>
  <conditionalFormatting sqref="G246:L246">
    <cfRule type="expression" dxfId="10231" priority="11758" stopIfTrue="1">
      <formula>$AG245=""</formula>
    </cfRule>
  </conditionalFormatting>
  <conditionalFormatting sqref="G245:L245">
    <cfRule type="expression" dxfId="10230" priority="11752" stopIfTrue="1">
      <formula>$N246="BAM"</formula>
    </cfRule>
  </conditionalFormatting>
  <conditionalFormatting sqref="G243:R243">
    <cfRule type="containsBlanks" dxfId="10229" priority="11751">
      <formula>LEN(TRIM(G243))=0</formula>
    </cfRule>
  </conditionalFormatting>
  <conditionalFormatting sqref="AF245">
    <cfRule type="expression" dxfId="10228" priority="11741" stopIfTrue="1">
      <formula>$G243=""</formula>
    </cfRule>
    <cfRule type="expression" dxfId="10227" priority="11742" stopIfTrue="1">
      <formula>$N246="BAM"</formula>
    </cfRule>
    <cfRule type="expression" dxfId="10226" priority="11750">
      <formula>$AF$49&gt;$T$49</formula>
    </cfRule>
  </conditionalFormatting>
  <conditionalFormatting sqref="AC246:AE246">
    <cfRule type="expression" dxfId="10225" priority="11747" stopIfTrue="1">
      <formula>$G243=""</formula>
    </cfRule>
  </conditionalFormatting>
  <conditionalFormatting sqref="T245:U245">
    <cfRule type="expression" dxfId="10224" priority="11714" stopIfTrue="1">
      <formula>$G243=""</formula>
    </cfRule>
  </conditionalFormatting>
  <conditionalFormatting sqref="T245:U245">
    <cfRule type="containsBlanks" dxfId="10223" priority="11744" stopIfTrue="1">
      <formula>LEN(TRIM(T245))=0</formula>
    </cfRule>
  </conditionalFormatting>
  <conditionalFormatting sqref="AC243:AE243">
    <cfRule type="expression" dxfId="10222" priority="11743">
      <formula>$G243=""</formula>
    </cfRule>
  </conditionalFormatting>
  <conditionalFormatting sqref="AF245 AG246">
    <cfRule type="containsBlanks" dxfId="10221" priority="11748" stopIfTrue="1">
      <formula>LEN(TRIM(AF245))=0</formula>
    </cfRule>
  </conditionalFormatting>
  <conditionalFormatting sqref="AF245">
    <cfRule type="expression" dxfId="10220" priority="11749">
      <formula>OR($HS244=FALSE,$HT244=FALSE)</formula>
    </cfRule>
  </conditionalFormatting>
  <conditionalFormatting sqref="AG246">
    <cfRule type="expression" dxfId="10219" priority="11707">
      <formula>$C$43&gt;0</formula>
    </cfRule>
  </conditionalFormatting>
  <conditionalFormatting sqref="AG246">
    <cfRule type="expression" dxfId="10218" priority="11740" stopIfTrue="1">
      <formula>$G243=""</formula>
    </cfRule>
  </conditionalFormatting>
  <conditionalFormatting sqref="U245">
    <cfRule type="expression" dxfId="10217" priority="11745">
      <formula>OR($HK244=FALSE,$HL244=FALSE)</formula>
    </cfRule>
  </conditionalFormatting>
  <conditionalFormatting sqref="T244:U244">
    <cfRule type="expression" dxfId="10216" priority="11735" stopIfTrue="1">
      <formula>$C$43&lt;&gt;0</formula>
    </cfRule>
    <cfRule type="containsBlanks" dxfId="10215" priority="11736" stopIfTrue="1">
      <formula>LEN(TRIM(T244))=0</formula>
    </cfRule>
  </conditionalFormatting>
  <conditionalFormatting sqref="T244:U244">
    <cfRule type="expression" dxfId="10214" priority="11734" stopIfTrue="1">
      <formula>$G243=""</formula>
    </cfRule>
  </conditionalFormatting>
  <conditionalFormatting sqref="U244">
    <cfRule type="expression" dxfId="10213" priority="11737">
      <formula>$HJ244=FALSE</formula>
    </cfRule>
  </conditionalFormatting>
  <conditionalFormatting sqref="AG245">
    <cfRule type="expression" dxfId="10212" priority="11725" stopIfTrue="1">
      <formula>$G243=""</formula>
    </cfRule>
  </conditionalFormatting>
  <conditionalFormatting sqref="AG245:AL245">
    <cfRule type="expression" dxfId="10211" priority="11726">
      <formula>$N246="BAM"</formula>
    </cfRule>
    <cfRule type="expression" dxfId="10210" priority="11730">
      <formula>OR($HU244=FALSE,$HQ244=FALSE)</formula>
    </cfRule>
  </conditionalFormatting>
  <conditionalFormatting sqref="AG245">
    <cfRule type="containsBlanks" dxfId="10209" priority="11727" stopIfTrue="1">
      <formula>LEN(TRIM(AG245))=0</formula>
    </cfRule>
    <cfRule type="expression" dxfId="10208" priority="11728">
      <formula>OR($HP244=FALSE,$HR244=FALSE)</formula>
    </cfRule>
    <cfRule type="expression" dxfId="10207" priority="11729">
      <formula>OR($DS243=7,$DS243=8,$DS243=9)</formula>
    </cfRule>
  </conditionalFormatting>
  <conditionalFormatting sqref="AG243:AL243">
    <cfRule type="expression" dxfId="10206" priority="11724">
      <formula>$C$43&lt;&gt;0</formula>
    </cfRule>
  </conditionalFormatting>
  <conditionalFormatting sqref="AF244">
    <cfRule type="containsBlanks" dxfId="10205" priority="11723">
      <formula>LEN(TRIM(AF244))=0</formula>
    </cfRule>
  </conditionalFormatting>
  <conditionalFormatting sqref="AF244">
    <cfRule type="expression" dxfId="10204" priority="11722" stopIfTrue="1">
      <formula>$G243=""</formula>
    </cfRule>
  </conditionalFormatting>
  <conditionalFormatting sqref="AG244">
    <cfRule type="containsBlanks" dxfId="10203" priority="11720">
      <formula>LEN(TRIM(AG244))=0</formula>
    </cfRule>
    <cfRule type="expression" dxfId="10202" priority="11721">
      <formula>$HO244=FALSE</formula>
    </cfRule>
  </conditionalFormatting>
  <conditionalFormatting sqref="AG244">
    <cfRule type="expression" dxfId="10201" priority="11719" stopIfTrue="1">
      <formula>$G243=""</formula>
    </cfRule>
  </conditionalFormatting>
  <conditionalFormatting sqref="AF244:AK244">
    <cfRule type="expression" dxfId="10200" priority="11718">
      <formula>$C$43&gt;0</formula>
    </cfRule>
  </conditionalFormatting>
  <conditionalFormatting sqref="AM243:AN244">
    <cfRule type="expression" dxfId="10199" priority="11717">
      <formula>$G243=""</formula>
    </cfRule>
  </conditionalFormatting>
  <conditionalFormatting sqref="AM245:AN245">
    <cfRule type="expression" dxfId="10198" priority="11716" stopIfTrue="1">
      <formula>$G243=""</formula>
    </cfRule>
  </conditionalFormatting>
  <conditionalFormatting sqref="T245">
    <cfRule type="expression" dxfId="10197" priority="11738" stopIfTrue="1">
      <formula>$N246="BAM"</formula>
    </cfRule>
  </conditionalFormatting>
  <conditionalFormatting sqref="U245:AE245">
    <cfRule type="expression" dxfId="10196" priority="11715" stopIfTrue="1">
      <formula>$N246="BAM"</formula>
    </cfRule>
  </conditionalFormatting>
  <conditionalFormatting sqref="AG246:AL246">
    <cfRule type="expression" dxfId="10195" priority="11739" stopIfTrue="1">
      <formula>$N246="BAM"</formula>
    </cfRule>
  </conditionalFormatting>
  <conditionalFormatting sqref="AX252">
    <cfRule type="expression" dxfId="10194" priority="11705">
      <formula>$E252=""</formula>
    </cfRule>
  </conditionalFormatting>
  <conditionalFormatting sqref="AX251">
    <cfRule type="expression" dxfId="10193" priority="11704">
      <formula>$E251=""</formula>
    </cfRule>
  </conditionalFormatting>
  <conditionalFormatting sqref="AX253">
    <cfRule type="expression" dxfId="10192" priority="11703">
      <formula>#REF!=""</formula>
    </cfRule>
  </conditionalFormatting>
  <conditionalFormatting sqref="AX254">
    <cfRule type="expression" dxfId="10191" priority="11702">
      <formula>$E253=""</formula>
    </cfRule>
  </conditionalFormatting>
  <conditionalFormatting sqref="AY251:AZ254">
    <cfRule type="expression" dxfId="10190" priority="11701">
      <formula>$G251=""</formula>
    </cfRule>
  </conditionalFormatting>
  <conditionalFormatting sqref="G253">
    <cfRule type="expression" dxfId="10189" priority="11698" stopIfTrue="1">
      <formula>$G251=""</formula>
    </cfRule>
    <cfRule type="containsBlanks" dxfId="10188" priority="11699" stopIfTrue="1">
      <formula>LEN(TRIM(G253))=0</formula>
    </cfRule>
    <cfRule type="expression" dxfId="10187" priority="11700">
      <formula>OR($M253=0,$HH252=FALSE)</formula>
    </cfRule>
  </conditionalFormatting>
  <conditionalFormatting sqref="AO253">
    <cfRule type="expression" dxfId="10186" priority="11697" stopIfTrue="1">
      <formula>$G251=""</formula>
    </cfRule>
  </conditionalFormatting>
  <conditionalFormatting sqref="AU251:AU254">
    <cfRule type="expression" dxfId="10185" priority="11694" stopIfTrue="1">
      <formula>$C$43=2</formula>
    </cfRule>
    <cfRule type="cellIs" dxfId="10184" priority="11695" operator="equal">
      <formula>"Yes"</formula>
    </cfRule>
    <cfRule type="cellIs" dxfId="10183" priority="11696" operator="equal">
      <formula>"No"</formula>
    </cfRule>
  </conditionalFormatting>
  <conditionalFormatting sqref="AO251:AO252">
    <cfRule type="expression" dxfId="10182" priority="11693">
      <formula>$G251=""</formula>
    </cfRule>
  </conditionalFormatting>
  <conditionalFormatting sqref="AP251 AR251:AS254">
    <cfRule type="expression" dxfId="10181" priority="11692">
      <formula>$G251=""</formula>
    </cfRule>
  </conditionalFormatting>
  <conditionalFormatting sqref="AW251:AW254">
    <cfRule type="expression" dxfId="10180" priority="11691">
      <formula>$G251=""</formula>
    </cfRule>
  </conditionalFormatting>
  <conditionalFormatting sqref="G252:L252">
    <cfRule type="expression" dxfId="10179" priority="11689" stopIfTrue="1">
      <formula>$G251=""</formula>
    </cfRule>
    <cfRule type="containsBlanks" dxfId="10178" priority="11690">
      <formula>LEN(TRIM(G252))=0</formula>
    </cfRule>
  </conditionalFormatting>
  <conditionalFormatting sqref="R253">
    <cfRule type="expression" dxfId="10177" priority="11686">
      <formula>$N254="BAM"</formula>
    </cfRule>
    <cfRule type="expression" dxfId="10176" priority="11687" stopIfTrue="1">
      <formula>$G251=""</formula>
    </cfRule>
    <cfRule type="containsBlanks" dxfId="10175" priority="11688">
      <formula>LEN(TRIM(R253))=0</formula>
    </cfRule>
  </conditionalFormatting>
  <conditionalFormatting sqref="R253">
    <cfRule type="expression" dxfId="10174" priority="11685">
      <formula>$C$43=0</formula>
    </cfRule>
  </conditionalFormatting>
  <conditionalFormatting sqref="E254:F254">
    <cfRule type="expression" dxfId="10173" priority="11684">
      <formula>$CQ251="Exterior"</formula>
    </cfRule>
  </conditionalFormatting>
  <conditionalFormatting sqref="G254">
    <cfRule type="expression" dxfId="10172" priority="11674" stopIfTrue="1">
      <formula>$G251=""</formula>
    </cfRule>
  </conditionalFormatting>
  <conditionalFormatting sqref="G254">
    <cfRule type="expression" dxfId="10171" priority="11676" stopIfTrue="1">
      <formula>$CQ251="Exterior"</formula>
    </cfRule>
  </conditionalFormatting>
  <conditionalFormatting sqref="G254:L254">
    <cfRule type="expression" dxfId="10170" priority="11675" stopIfTrue="1">
      <formula>$N254="BAM"</formula>
    </cfRule>
    <cfRule type="containsBlanks" dxfId="10169" priority="11677" stopIfTrue="1">
      <formula>LEN(TRIM(G254))=0</formula>
    </cfRule>
    <cfRule type="expression" dxfId="10168" priority="11679">
      <formula>$HQ252=FALSE</formula>
    </cfRule>
  </conditionalFormatting>
  <conditionalFormatting sqref="G254:L254">
    <cfRule type="expression" dxfId="10167" priority="11678" stopIfTrue="1">
      <formula>$AG253=""</formula>
    </cfRule>
  </conditionalFormatting>
  <conditionalFormatting sqref="G253:L253">
    <cfRule type="expression" dxfId="10166" priority="11672" stopIfTrue="1">
      <formula>$N254="BAM"</formula>
    </cfRule>
  </conditionalFormatting>
  <conditionalFormatting sqref="G251:R251">
    <cfRule type="containsBlanks" dxfId="10165" priority="11671">
      <formula>LEN(TRIM(G251))=0</formula>
    </cfRule>
  </conditionalFormatting>
  <conditionalFormatting sqref="AF253">
    <cfRule type="expression" dxfId="10164" priority="11661" stopIfTrue="1">
      <formula>$G251=""</formula>
    </cfRule>
    <cfRule type="expression" dxfId="10163" priority="11662" stopIfTrue="1">
      <formula>$N254="BAM"</formula>
    </cfRule>
    <cfRule type="expression" dxfId="10162" priority="11670">
      <formula>$AF$49&gt;$T$49</formula>
    </cfRule>
  </conditionalFormatting>
  <conditionalFormatting sqref="AC254:AE254">
    <cfRule type="expression" dxfId="10161" priority="11667" stopIfTrue="1">
      <formula>$G251=""</formula>
    </cfRule>
  </conditionalFormatting>
  <conditionalFormatting sqref="T253:U253">
    <cfRule type="expression" dxfId="10160" priority="11634" stopIfTrue="1">
      <formula>$G251=""</formula>
    </cfRule>
  </conditionalFormatting>
  <conditionalFormatting sqref="T253:U253">
    <cfRule type="containsBlanks" dxfId="10159" priority="11664" stopIfTrue="1">
      <formula>LEN(TRIM(T253))=0</formula>
    </cfRule>
  </conditionalFormatting>
  <conditionalFormatting sqref="AC251:AE251">
    <cfRule type="expression" dxfId="10158" priority="11663">
      <formula>$G251=""</formula>
    </cfRule>
  </conditionalFormatting>
  <conditionalFormatting sqref="AF253 AG254">
    <cfRule type="containsBlanks" dxfId="10157" priority="11668" stopIfTrue="1">
      <formula>LEN(TRIM(AF253))=0</formula>
    </cfRule>
  </conditionalFormatting>
  <conditionalFormatting sqref="AF253">
    <cfRule type="expression" dxfId="10156" priority="11669">
      <formula>OR($HS252=FALSE,$HT252=FALSE)</formula>
    </cfRule>
  </conditionalFormatting>
  <conditionalFormatting sqref="AG254">
    <cfRule type="expression" dxfId="10155" priority="11627">
      <formula>$C$43&gt;0</formula>
    </cfRule>
  </conditionalFormatting>
  <conditionalFormatting sqref="AG254">
    <cfRule type="expression" dxfId="10154" priority="11660" stopIfTrue="1">
      <formula>$G251=""</formula>
    </cfRule>
  </conditionalFormatting>
  <conditionalFormatting sqref="U253">
    <cfRule type="expression" dxfId="10153" priority="11665">
      <formula>OR($HK252=FALSE,$HL252=FALSE)</formula>
    </cfRule>
  </conditionalFormatting>
  <conditionalFormatting sqref="T252:U252">
    <cfRule type="expression" dxfId="10152" priority="11655" stopIfTrue="1">
      <formula>$C$43&lt;&gt;0</formula>
    </cfRule>
    <cfRule type="containsBlanks" dxfId="10151" priority="11656" stopIfTrue="1">
      <formula>LEN(TRIM(T252))=0</formula>
    </cfRule>
  </conditionalFormatting>
  <conditionalFormatting sqref="T252:U252">
    <cfRule type="expression" dxfId="10150" priority="11654" stopIfTrue="1">
      <formula>$G251=""</formula>
    </cfRule>
  </conditionalFormatting>
  <conditionalFormatting sqref="U252">
    <cfRule type="expression" dxfId="10149" priority="11657">
      <formula>$HJ252=FALSE</formula>
    </cfRule>
  </conditionalFormatting>
  <conditionalFormatting sqref="AG253">
    <cfRule type="expression" dxfId="10148" priority="11645" stopIfTrue="1">
      <formula>$G251=""</formula>
    </cfRule>
  </conditionalFormatting>
  <conditionalFormatting sqref="AG253:AL253">
    <cfRule type="expression" dxfId="10147" priority="11646">
      <formula>$N254="BAM"</formula>
    </cfRule>
    <cfRule type="expression" dxfId="10146" priority="11650">
      <formula>OR($HU252=FALSE,$HQ252=FALSE)</formula>
    </cfRule>
  </conditionalFormatting>
  <conditionalFormatting sqref="AG253">
    <cfRule type="containsBlanks" dxfId="10145" priority="11647" stopIfTrue="1">
      <formula>LEN(TRIM(AG253))=0</formula>
    </cfRule>
    <cfRule type="expression" dxfId="10144" priority="11648">
      <formula>OR($HP252=FALSE,$HR252=FALSE)</formula>
    </cfRule>
    <cfRule type="expression" dxfId="10143" priority="11649">
      <formula>OR($DS251=7,$DS251=8,$DS251=9)</formula>
    </cfRule>
  </conditionalFormatting>
  <conditionalFormatting sqref="AG251:AL251">
    <cfRule type="expression" dxfId="10142" priority="11644">
      <formula>$C$43&lt;&gt;0</formula>
    </cfRule>
  </conditionalFormatting>
  <conditionalFormatting sqref="AF252">
    <cfRule type="containsBlanks" dxfId="10141" priority="11643">
      <formula>LEN(TRIM(AF252))=0</formula>
    </cfRule>
  </conditionalFormatting>
  <conditionalFormatting sqref="AF252">
    <cfRule type="expression" dxfId="10140" priority="11642" stopIfTrue="1">
      <formula>$G251=""</formula>
    </cfRule>
  </conditionalFormatting>
  <conditionalFormatting sqref="AG252">
    <cfRule type="containsBlanks" dxfId="10139" priority="11640">
      <formula>LEN(TRIM(AG252))=0</formula>
    </cfRule>
    <cfRule type="expression" dxfId="10138" priority="11641">
      <formula>$HO252=FALSE</formula>
    </cfRule>
  </conditionalFormatting>
  <conditionalFormatting sqref="AG252">
    <cfRule type="expression" dxfId="10137" priority="11639" stopIfTrue="1">
      <formula>$G251=""</formula>
    </cfRule>
  </conditionalFormatting>
  <conditionalFormatting sqref="AF252:AK252">
    <cfRule type="expression" dxfId="10136" priority="11638">
      <formula>$C$43&gt;0</formula>
    </cfRule>
  </conditionalFormatting>
  <conditionalFormatting sqref="AM251:AN252">
    <cfRule type="expression" dxfId="10135" priority="11637">
      <formula>$G251=""</formula>
    </cfRule>
  </conditionalFormatting>
  <conditionalFormatting sqref="AM253:AN253">
    <cfRule type="expression" dxfId="10134" priority="11636" stopIfTrue="1">
      <formula>$G251=""</formula>
    </cfRule>
  </conditionalFormatting>
  <conditionalFormatting sqref="T253">
    <cfRule type="expression" dxfId="10133" priority="11658" stopIfTrue="1">
      <formula>$N254="BAM"</formula>
    </cfRule>
  </conditionalFormatting>
  <conditionalFormatting sqref="U253:AE253">
    <cfRule type="expression" dxfId="10132" priority="11635" stopIfTrue="1">
      <formula>$N254="BAM"</formula>
    </cfRule>
  </conditionalFormatting>
  <conditionalFormatting sqref="AG254:AL254">
    <cfRule type="expression" dxfId="10131" priority="11659" stopIfTrue="1">
      <formula>$N254="BAM"</formula>
    </cfRule>
  </conditionalFormatting>
  <conditionalFormatting sqref="AX257">
    <cfRule type="expression" dxfId="10130" priority="11625">
      <formula>$E257=""</formula>
    </cfRule>
  </conditionalFormatting>
  <conditionalFormatting sqref="AX256">
    <cfRule type="expression" dxfId="10129" priority="11624">
      <formula>$E256=""</formula>
    </cfRule>
  </conditionalFormatting>
  <conditionalFormatting sqref="AX258">
    <cfRule type="expression" dxfId="10128" priority="11623">
      <formula>#REF!=""</formula>
    </cfRule>
  </conditionalFormatting>
  <conditionalFormatting sqref="AX259">
    <cfRule type="expression" dxfId="10127" priority="11622">
      <formula>$E258=""</formula>
    </cfRule>
  </conditionalFormatting>
  <conditionalFormatting sqref="AY256:AZ259">
    <cfRule type="expression" dxfId="10126" priority="11621">
      <formula>$G256=""</formula>
    </cfRule>
  </conditionalFormatting>
  <conditionalFormatting sqref="G258">
    <cfRule type="expression" dxfId="10125" priority="11618" stopIfTrue="1">
      <formula>$G256=""</formula>
    </cfRule>
    <cfRule type="containsBlanks" dxfId="10124" priority="11619" stopIfTrue="1">
      <formula>LEN(TRIM(G258))=0</formula>
    </cfRule>
    <cfRule type="expression" dxfId="10123" priority="11620">
      <formula>OR($M258=0,$HH257=FALSE)</formula>
    </cfRule>
  </conditionalFormatting>
  <conditionalFormatting sqref="AO258">
    <cfRule type="expression" dxfId="10122" priority="11617" stopIfTrue="1">
      <formula>$G256=""</formula>
    </cfRule>
  </conditionalFormatting>
  <conditionalFormatting sqref="AU256:AU259">
    <cfRule type="expression" dxfId="10121" priority="11614" stopIfTrue="1">
      <formula>$C$43=2</formula>
    </cfRule>
    <cfRule type="cellIs" dxfId="10120" priority="11615" operator="equal">
      <formula>"Yes"</formula>
    </cfRule>
    <cfRule type="cellIs" dxfId="10119" priority="11616" operator="equal">
      <formula>"No"</formula>
    </cfRule>
  </conditionalFormatting>
  <conditionalFormatting sqref="AO256:AO257">
    <cfRule type="expression" dxfId="10118" priority="11613">
      <formula>$G256=""</formula>
    </cfRule>
  </conditionalFormatting>
  <conditionalFormatting sqref="AP256 AR256:AS259">
    <cfRule type="expression" dxfId="10117" priority="11612">
      <formula>$G256=""</formula>
    </cfRule>
  </conditionalFormatting>
  <conditionalFormatting sqref="AW256:AW259">
    <cfRule type="expression" dxfId="10116" priority="11611">
      <formula>$G256=""</formula>
    </cfRule>
  </conditionalFormatting>
  <conditionalFormatting sqref="G257:L257">
    <cfRule type="expression" dxfId="10115" priority="11609" stopIfTrue="1">
      <formula>$G256=""</formula>
    </cfRule>
    <cfRule type="containsBlanks" dxfId="10114" priority="11610">
      <formula>LEN(TRIM(G257))=0</formula>
    </cfRule>
  </conditionalFormatting>
  <conditionalFormatting sqref="R258">
    <cfRule type="expression" dxfId="10113" priority="11606">
      <formula>$N259="BAM"</formula>
    </cfRule>
    <cfRule type="expression" dxfId="10112" priority="11607" stopIfTrue="1">
      <formula>$G256=""</formula>
    </cfRule>
    <cfRule type="containsBlanks" dxfId="10111" priority="11608">
      <formula>LEN(TRIM(R258))=0</formula>
    </cfRule>
  </conditionalFormatting>
  <conditionalFormatting sqref="R258">
    <cfRule type="expression" dxfId="10110" priority="11605">
      <formula>$C$43=0</formula>
    </cfRule>
  </conditionalFormatting>
  <conditionalFormatting sqref="E259:F259">
    <cfRule type="expression" dxfId="10109" priority="11604">
      <formula>$CQ256="Exterior"</formula>
    </cfRule>
  </conditionalFormatting>
  <conditionalFormatting sqref="G259">
    <cfRule type="expression" dxfId="10108" priority="11594" stopIfTrue="1">
      <formula>$G256=""</formula>
    </cfRule>
  </conditionalFormatting>
  <conditionalFormatting sqref="G259">
    <cfRule type="expression" dxfId="10107" priority="11596" stopIfTrue="1">
      <formula>$CQ256="Exterior"</formula>
    </cfRule>
  </conditionalFormatting>
  <conditionalFormatting sqref="G259:L259">
    <cfRule type="expression" dxfId="10106" priority="11595" stopIfTrue="1">
      <formula>$N259="BAM"</formula>
    </cfRule>
    <cfRule type="containsBlanks" dxfId="10105" priority="11597" stopIfTrue="1">
      <formula>LEN(TRIM(G259))=0</formula>
    </cfRule>
    <cfRule type="expression" dxfId="10104" priority="11599">
      <formula>$HQ257=FALSE</formula>
    </cfRule>
  </conditionalFormatting>
  <conditionalFormatting sqref="G259:L259">
    <cfRule type="expression" dxfId="10103" priority="11598" stopIfTrue="1">
      <formula>$AG258=""</formula>
    </cfRule>
  </conditionalFormatting>
  <conditionalFormatting sqref="G258:L258">
    <cfRule type="expression" dxfId="10102" priority="11592" stopIfTrue="1">
      <formula>$N259="BAM"</formula>
    </cfRule>
  </conditionalFormatting>
  <conditionalFormatting sqref="G256:R256">
    <cfRule type="containsBlanks" dxfId="10101" priority="11591">
      <formula>LEN(TRIM(G256))=0</formula>
    </cfRule>
  </conditionalFormatting>
  <conditionalFormatting sqref="AF258">
    <cfRule type="expression" dxfId="10100" priority="11581" stopIfTrue="1">
      <formula>$G256=""</formula>
    </cfRule>
    <cfRule type="expression" dxfId="10099" priority="11582" stopIfTrue="1">
      <formula>$N259="BAM"</formula>
    </cfRule>
    <cfRule type="expression" dxfId="10098" priority="11590">
      <formula>$AF$49&gt;$T$49</formula>
    </cfRule>
  </conditionalFormatting>
  <conditionalFormatting sqref="AC259:AE259">
    <cfRule type="expression" dxfId="10097" priority="11587" stopIfTrue="1">
      <formula>$G256=""</formula>
    </cfRule>
  </conditionalFormatting>
  <conditionalFormatting sqref="T258:U258">
    <cfRule type="expression" dxfId="10096" priority="11554" stopIfTrue="1">
      <formula>$G256=""</formula>
    </cfRule>
  </conditionalFormatting>
  <conditionalFormatting sqref="T258:U258">
    <cfRule type="containsBlanks" dxfId="10095" priority="11584" stopIfTrue="1">
      <formula>LEN(TRIM(T258))=0</formula>
    </cfRule>
  </conditionalFormatting>
  <conditionalFormatting sqref="AC256:AE256">
    <cfRule type="expression" dxfId="10094" priority="11583">
      <formula>$G256=""</formula>
    </cfRule>
  </conditionalFormatting>
  <conditionalFormatting sqref="AF258 AG259">
    <cfRule type="containsBlanks" dxfId="10093" priority="11588" stopIfTrue="1">
      <formula>LEN(TRIM(AF258))=0</formula>
    </cfRule>
  </conditionalFormatting>
  <conditionalFormatting sqref="AF258">
    <cfRule type="expression" dxfId="10092" priority="11589">
      <formula>OR($HS257=FALSE,$HT257=FALSE)</formula>
    </cfRule>
  </conditionalFormatting>
  <conditionalFormatting sqref="AG259">
    <cfRule type="expression" dxfId="10091" priority="11547">
      <formula>$C$43&gt;0</formula>
    </cfRule>
  </conditionalFormatting>
  <conditionalFormatting sqref="AG259">
    <cfRule type="expression" dxfId="10090" priority="11580" stopIfTrue="1">
      <formula>$G256=""</formula>
    </cfRule>
  </conditionalFormatting>
  <conditionalFormatting sqref="U258">
    <cfRule type="expression" dxfId="10089" priority="11585">
      <formula>OR($HK257=FALSE,$HL257=FALSE)</formula>
    </cfRule>
  </conditionalFormatting>
  <conditionalFormatting sqref="T257:U257">
    <cfRule type="expression" dxfId="10088" priority="11575" stopIfTrue="1">
      <formula>$C$43&lt;&gt;0</formula>
    </cfRule>
    <cfRule type="containsBlanks" dxfId="10087" priority="11576" stopIfTrue="1">
      <formula>LEN(TRIM(T257))=0</formula>
    </cfRule>
  </conditionalFormatting>
  <conditionalFormatting sqref="T257:U257">
    <cfRule type="expression" dxfId="10086" priority="11574" stopIfTrue="1">
      <formula>$G256=""</formula>
    </cfRule>
  </conditionalFormatting>
  <conditionalFormatting sqref="U257">
    <cfRule type="expression" dxfId="10085" priority="11577">
      <formula>$HJ257=FALSE</formula>
    </cfRule>
  </conditionalFormatting>
  <conditionalFormatting sqref="AG258">
    <cfRule type="expression" dxfId="10084" priority="11565" stopIfTrue="1">
      <formula>$G256=""</formula>
    </cfRule>
  </conditionalFormatting>
  <conditionalFormatting sqref="AG258:AL258">
    <cfRule type="expression" dxfId="10083" priority="11566">
      <formula>$N259="BAM"</formula>
    </cfRule>
    <cfRule type="expression" dxfId="10082" priority="11570">
      <formula>OR($HU257=FALSE,$HQ257=FALSE)</formula>
    </cfRule>
  </conditionalFormatting>
  <conditionalFormatting sqref="AG258">
    <cfRule type="containsBlanks" dxfId="10081" priority="11567" stopIfTrue="1">
      <formula>LEN(TRIM(AG258))=0</formula>
    </cfRule>
    <cfRule type="expression" dxfId="10080" priority="11568">
      <formula>OR($HP257=FALSE,$HR257=FALSE)</formula>
    </cfRule>
    <cfRule type="expression" dxfId="10079" priority="11569">
      <formula>OR($DS256=7,$DS256=8,$DS256=9)</formula>
    </cfRule>
  </conditionalFormatting>
  <conditionalFormatting sqref="AG256:AL256">
    <cfRule type="expression" dxfId="10078" priority="11564">
      <formula>$C$43&lt;&gt;0</formula>
    </cfRule>
  </conditionalFormatting>
  <conditionalFormatting sqref="AF257">
    <cfRule type="containsBlanks" dxfId="10077" priority="11563">
      <formula>LEN(TRIM(AF257))=0</formula>
    </cfRule>
  </conditionalFormatting>
  <conditionalFormatting sqref="AF257">
    <cfRule type="expression" dxfId="10076" priority="11562" stopIfTrue="1">
      <formula>$G256=""</formula>
    </cfRule>
  </conditionalFormatting>
  <conditionalFormatting sqref="AG257">
    <cfRule type="containsBlanks" dxfId="10075" priority="11560">
      <formula>LEN(TRIM(AG257))=0</formula>
    </cfRule>
    <cfRule type="expression" dxfId="10074" priority="11561">
      <formula>$HO257=FALSE</formula>
    </cfRule>
  </conditionalFormatting>
  <conditionalFormatting sqref="AG257">
    <cfRule type="expression" dxfId="10073" priority="11559" stopIfTrue="1">
      <formula>$G256=""</formula>
    </cfRule>
  </conditionalFormatting>
  <conditionalFormatting sqref="AF257:AK257">
    <cfRule type="expression" dxfId="10072" priority="11558">
      <formula>$C$43&gt;0</formula>
    </cfRule>
  </conditionalFormatting>
  <conditionalFormatting sqref="AM256:AN257">
    <cfRule type="expression" dxfId="10071" priority="11557">
      <formula>$G256=""</formula>
    </cfRule>
  </conditionalFormatting>
  <conditionalFormatting sqref="AM258:AN258">
    <cfRule type="expression" dxfId="10070" priority="11556" stopIfTrue="1">
      <formula>$G256=""</formula>
    </cfRule>
  </conditionalFormatting>
  <conditionalFormatting sqref="T258">
    <cfRule type="expression" dxfId="10069" priority="11578" stopIfTrue="1">
      <formula>$N259="BAM"</formula>
    </cfRule>
  </conditionalFormatting>
  <conditionalFormatting sqref="U258:AE258">
    <cfRule type="expression" dxfId="10068" priority="11555" stopIfTrue="1">
      <formula>$N259="BAM"</formula>
    </cfRule>
  </conditionalFormatting>
  <conditionalFormatting sqref="AG259:AL259">
    <cfRule type="expression" dxfId="10067" priority="11579" stopIfTrue="1">
      <formula>$N259="BAM"</formula>
    </cfRule>
  </conditionalFormatting>
  <conditionalFormatting sqref="AX262">
    <cfRule type="expression" dxfId="10066" priority="11545">
      <formula>$E262=""</formula>
    </cfRule>
  </conditionalFormatting>
  <conditionalFormatting sqref="AX261">
    <cfRule type="expression" dxfId="10065" priority="11544">
      <formula>$E261=""</formula>
    </cfRule>
  </conditionalFormatting>
  <conditionalFormatting sqref="AX263">
    <cfRule type="expression" dxfId="10064" priority="11543">
      <formula>#REF!=""</formula>
    </cfRule>
  </conditionalFormatting>
  <conditionalFormatting sqref="AX264">
    <cfRule type="expression" dxfId="10063" priority="11542">
      <formula>$E263=""</formula>
    </cfRule>
  </conditionalFormatting>
  <conditionalFormatting sqref="AY261:AZ264">
    <cfRule type="expression" dxfId="10062" priority="11541">
      <formula>$G261=""</formula>
    </cfRule>
  </conditionalFormatting>
  <conditionalFormatting sqref="G263">
    <cfRule type="expression" dxfId="10061" priority="11538" stopIfTrue="1">
      <formula>$G261=""</formula>
    </cfRule>
    <cfRule type="containsBlanks" dxfId="10060" priority="11539" stopIfTrue="1">
      <formula>LEN(TRIM(G263))=0</formula>
    </cfRule>
    <cfRule type="expression" dxfId="10059" priority="11540">
      <formula>OR($M263=0,$HH262=FALSE)</formula>
    </cfRule>
  </conditionalFormatting>
  <conditionalFormatting sqref="AO263">
    <cfRule type="expression" dxfId="10058" priority="11537" stopIfTrue="1">
      <formula>$G261=""</formula>
    </cfRule>
  </conditionalFormatting>
  <conditionalFormatting sqref="AU261:AU264">
    <cfRule type="expression" dxfId="10057" priority="11534" stopIfTrue="1">
      <formula>$C$43=2</formula>
    </cfRule>
    <cfRule type="cellIs" dxfId="10056" priority="11535" operator="equal">
      <formula>"Yes"</formula>
    </cfRule>
    <cfRule type="cellIs" dxfId="10055" priority="11536" operator="equal">
      <formula>"No"</formula>
    </cfRule>
  </conditionalFormatting>
  <conditionalFormatting sqref="AO261:AO262">
    <cfRule type="expression" dxfId="10054" priority="11533">
      <formula>$G261=""</formula>
    </cfRule>
  </conditionalFormatting>
  <conditionalFormatting sqref="AP261 AR261:AS264">
    <cfRule type="expression" dxfId="10053" priority="11532">
      <formula>$G261=""</formula>
    </cfRule>
  </conditionalFormatting>
  <conditionalFormatting sqref="AW261:AW264">
    <cfRule type="expression" dxfId="10052" priority="11531">
      <formula>$G261=""</formula>
    </cfRule>
  </conditionalFormatting>
  <conditionalFormatting sqref="G262:L262">
    <cfRule type="expression" dxfId="10051" priority="11529" stopIfTrue="1">
      <formula>$G261=""</formula>
    </cfRule>
    <cfRule type="containsBlanks" dxfId="10050" priority="11530">
      <formula>LEN(TRIM(G262))=0</formula>
    </cfRule>
  </conditionalFormatting>
  <conditionalFormatting sqref="R263">
    <cfRule type="expression" dxfId="10049" priority="11526">
      <formula>$N264="BAM"</formula>
    </cfRule>
    <cfRule type="expression" dxfId="10048" priority="11527" stopIfTrue="1">
      <formula>$G261=""</formula>
    </cfRule>
    <cfRule type="containsBlanks" dxfId="10047" priority="11528">
      <formula>LEN(TRIM(R263))=0</formula>
    </cfRule>
  </conditionalFormatting>
  <conditionalFormatting sqref="R263">
    <cfRule type="expression" dxfId="10046" priority="11525">
      <formula>$C$43=0</formula>
    </cfRule>
  </conditionalFormatting>
  <conditionalFormatting sqref="E264:F264">
    <cfRule type="expression" dxfId="10045" priority="11524">
      <formula>$CQ261="Exterior"</formula>
    </cfRule>
  </conditionalFormatting>
  <conditionalFormatting sqref="G264">
    <cfRule type="expression" dxfId="10044" priority="11514" stopIfTrue="1">
      <formula>$G261=""</formula>
    </cfRule>
  </conditionalFormatting>
  <conditionalFormatting sqref="G264">
    <cfRule type="expression" dxfId="10043" priority="11516" stopIfTrue="1">
      <formula>$CQ261="Exterior"</formula>
    </cfRule>
  </conditionalFormatting>
  <conditionalFormatting sqref="G264:L264">
    <cfRule type="expression" dxfId="10042" priority="11515" stopIfTrue="1">
      <formula>$N264="BAM"</formula>
    </cfRule>
    <cfRule type="containsBlanks" dxfId="10041" priority="11517" stopIfTrue="1">
      <formula>LEN(TRIM(G264))=0</formula>
    </cfRule>
    <cfRule type="expression" dxfId="10040" priority="11519">
      <formula>$HQ262=FALSE</formula>
    </cfRule>
  </conditionalFormatting>
  <conditionalFormatting sqref="G264:L264">
    <cfRule type="expression" dxfId="10039" priority="11518" stopIfTrue="1">
      <formula>$AG263=""</formula>
    </cfRule>
  </conditionalFormatting>
  <conditionalFormatting sqref="G263:L263">
    <cfRule type="expression" dxfId="10038" priority="11512" stopIfTrue="1">
      <formula>$N264="BAM"</formula>
    </cfRule>
  </conditionalFormatting>
  <conditionalFormatting sqref="G261:R261">
    <cfRule type="containsBlanks" dxfId="10037" priority="11511">
      <formula>LEN(TRIM(G261))=0</formula>
    </cfRule>
  </conditionalFormatting>
  <conditionalFormatting sqref="AF263">
    <cfRule type="expression" dxfId="10036" priority="11501" stopIfTrue="1">
      <formula>$G261=""</formula>
    </cfRule>
    <cfRule type="expression" dxfId="10035" priority="11502" stopIfTrue="1">
      <formula>$N264="BAM"</formula>
    </cfRule>
    <cfRule type="expression" dxfId="10034" priority="11510">
      <formula>$AF$49&gt;$T$49</formula>
    </cfRule>
  </conditionalFormatting>
  <conditionalFormatting sqref="AC264:AE264">
    <cfRule type="expression" dxfId="10033" priority="11507" stopIfTrue="1">
      <formula>$G261=""</formula>
    </cfRule>
  </conditionalFormatting>
  <conditionalFormatting sqref="T263:U263">
    <cfRule type="expression" dxfId="10032" priority="11474" stopIfTrue="1">
      <formula>$G261=""</formula>
    </cfRule>
  </conditionalFormatting>
  <conditionalFormatting sqref="T263:U263">
    <cfRule type="containsBlanks" dxfId="10031" priority="11504" stopIfTrue="1">
      <formula>LEN(TRIM(T263))=0</formula>
    </cfRule>
  </conditionalFormatting>
  <conditionalFormatting sqref="AC261:AE261">
    <cfRule type="expression" dxfId="10030" priority="11503">
      <formula>$G261=""</formula>
    </cfRule>
  </conditionalFormatting>
  <conditionalFormatting sqref="AF263 AG264">
    <cfRule type="containsBlanks" dxfId="10029" priority="11508" stopIfTrue="1">
      <formula>LEN(TRIM(AF263))=0</formula>
    </cfRule>
  </conditionalFormatting>
  <conditionalFormatting sqref="AF263">
    <cfRule type="expression" dxfId="10028" priority="11509">
      <formula>OR($HS262=FALSE,$HT262=FALSE)</formula>
    </cfRule>
  </conditionalFormatting>
  <conditionalFormatting sqref="AG264">
    <cfRule type="expression" dxfId="10027" priority="11467">
      <formula>$C$43&gt;0</formula>
    </cfRule>
  </conditionalFormatting>
  <conditionalFormatting sqref="AG264">
    <cfRule type="expression" dxfId="10026" priority="11500" stopIfTrue="1">
      <formula>$G261=""</formula>
    </cfRule>
  </conditionalFormatting>
  <conditionalFormatting sqref="U263">
    <cfRule type="expression" dxfId="10025" priority="11505">
      <formula>OR($HK262=FALSE,$HL262=FALSE)</formula>
    </cfRule>
  </conditionalFormatting>
  <conditionalFormatting sqref="T262:U262">
    <cfRule type="expression" dxfId="10024" priority="11495" stopIfTrue="1">
      <formula>$C$43&lt;&gt;0</formula>
    </cfRule>
    <cfRule type="containsBlanks" dxfId="10023" priority="11496" stopIfTrue="1">
      <formula>LEN(TRIM(T262))=0</formula>
    </cfRule>
  </conditionalFormatting>
  <conditionalFormatting sqref="T262:U262">
    <cfRule type="expression" dxfId="10022" priority="11494" stopIfTrue="1">
      <formula>$G261=""</formula>
    </cfRule>
  </conditionalFormatting>
  <conditionalFormatting sqref="U262">
    <cfRule type="expression" dxfId="10021" priority="11497">
      <formula>$HJ262=FALSE</formula>
    </cfRule>
  </conditionalFormatting>
  <conditionalFormatting sqref="AG263">
    <cfRule type="expression" dxfId="10020" priority="11485" stopIfTrue="1">
      <formula>$G261=""</formula>
    </cfRule>
  </conditionalFormatting>
  <conditionalFormatting sqref="AG263:AL263">
    <cfRule type="expression" dxfId="10019" priority="11486">
      <formula>$N264="BAM"</formula>
    </cfRule>
    <cfRule type="expression" dxfId="10018" priority="11490">
      <formula>OR($HU262=FALSE,$HQ262=FALSE)</formula>
    </cfRule>
  </conditionalFormatting>
  <conditionalFormatting sqref="AG263">
    <cfRule type="containsBlanks" dxfId="10017" priority="11487" stopIfTrue="1">
      <formula>LEN(TRIM(AG263))=0</formula>
    </cfRule>
    <cfRule type="expression" dxfId="10016" priority="11488">
      <formula>OR($HP262=FALSE,$HR262=FALSE)</formula>
    </cfRule>
    <cfRule type="expression" dxfId="10015" priority="11489">
      <formula>OR($DS261=7,$DS261=8,$DS261=9)</formula>
    </cfRule>
  </conditionalFormatting>
  <conditionalFormatting sqref="AG261:AL261">
    <cfRule type="expression" dxfId="10014" priority="11484">
      <formula>$C$43&lt;&gt;0</formula>
    </cfRule>
  </conditionalFormatting>
  <conditionalFormatting sqref="AF262">
    <cfRule type="containsBlanks" dxfId="10013" priority="11483">
      <formula>LEN(TRIM(AF262))=0</formula>
    </cfRule>
  </conditionalFormatting>
  <conditionalFormatting sqref="AF262">
    <cfRule type="expression" dxfId="10012" priority="11482" stopIfTrue="1">
      <formula>$G261=""</formula>
    </cfRule>
  </conditionalFormatting>
  <conditionalFormatting sqref="AG262">
    <cfRule type="containsBlanks" dxfId="10011" priority="11480">
      <formula>LEN(TRIM(AG262))=0</formula>
    </cfRule>
    <cfRule type="expression" dxfId="10010" priority="11481">
      <formula>$HO262=FALSE</formula>
    </cfRule>
  </conditionalFormatting>
  <conditionalFormatting sqref="AG262">
    <cfRule type="expression" dxfId="10009" priority="11479" stopIfTrue="1">
      <formula>$G261=""</formula>
    </cfRule>
  </conditionalFormatting>
  <conditionalFormatting sqref="AF262:AK262">
    <cfRule type="expression" dxfId="10008" priority="11478">
      <formula>$C$43&gt;0</formula>
    </cfRule>
  </conditionalFormatting>
  <conditionalFormatting sqref="AM261:AN262">
    <cfRule type="expression" dxfId="10007" priority="11477">
      <formula>$G261=""</formula>
    </cfRule>
  </conditionalFormatting>
  <conditionalFormatting sqref="AM263:AN263">
    <cfRule type="expression" dxfId="10006" priority="11476" stopIfTrue="1">
      <formula>$G261=""</formula>
    </cfRule>
  </conditionalFormatting>
  <conditionalFormatting sqref="T263">
    <cfRule type="expression" dxfId="10005" priority="11498" stopIfTrue="1">
      <formula>$N264="BAM"</formula>
    </cfRule>
  </conditionalFormatting>
  <conditionalFormatting sqref="U263:AE263">
    <cfRule type="expression" dxfId="10004" priority="11475" stopIfTrue="1">
      <formula>$N264="BAM"</formula>
    </cfRule>
  </conditionalFormatting>
  <conditionalFormatting sqref="AG264:AL264">
    <cfRule type="expression" dxfId="10003" priority="11499" stopIfTrue="1">
      <formula>$N264="BAM"</formula>
    </cfRule>
  </conditionalFormatting>
  <conditionalFormatting sqref="AX267">
    <cfRule type="expression" dxfId="10002" priority="11465">
      <formula>$E267=""</formula>
    </cfRule>
  </conditionalFormatting>
  <conditionalFormatting sqref="AX266">
    <cfRule type="expression" dxfId="10001" priority="11464">
      <formula>$E266=""</formula>
    </cfRule>
  </conditionalFormatting>
  <conditionalFormatting sqref="AX268">
    <cfRule type="expression" dxfId="10000" priority="11463">
      <formula>#REF!=""</formula>
    </cfRule>
  </conditionalFormatting>
  <conditionalFormatting sqref="AX269">
    <cfRule type="expression" dxfId="9999" priority="11462">
      <formula>$E268=""</formula>
    </cfRule>
  </conditionalFormatting>
  <conditionalFormatting sqref="AY266:AZ269">
    <cfRule type="expression" dxfId="9998" priority="11461">
      <formula>$G266=""</formula>
    </cfRule>
  </conditionalFormatting>
  <conditionalFormatting sqref="G268">
    <cfRule type="expression" dxfId="9997" priority="11458" stopIfTrue="1">
      <formula>$G266=""</formula>
    </cfRule>
    <cfRule type="containsBlanks" dxfId="9996" priority="11459" stopIfTrue="1">
      <formula>LEN(TRIM(G268))=0</formula>
    </cfRule>
    <cfRule type="expression" dxfId="9995" priority="11460">
      <formula>OR($M268=0,$HH267=FALSE)</formula>
    </cfRule>
  </conditionalFormatting>
  <conditionalFormatting sqref="AO268">
    <cfRule type="expression" dxfId="9994" priority="11457" stopIfTrue="1">
      <formula>$G266=""</formula>
    </cfRule>
  </conditionalFormatting>
  <conditionalFormatting sqref="AU266:AU269">
    <cfRule type="expression" dxfId="9993" priority="11454" stopIfTrue="1">
      <formula>$C$43=2</formula>
    </cfRule>
    <cfRule type="cellIs" dxfId="9992" priority="11455" operator="equal">
      <formula>"Yes"</formula>
    </cfRule>
    <cfRule type="cellIs" dxfId="9991" priority="11456" operator="equal">
      <formula>"No"</formula>
    </cfRule>
  </conditionalFormatting>
  <conditionalFormatting sqref="AO266:AO267">
    <cfRule type="expression" dxfId="9990" priority="11453">
      <formula>$G266=""</formula>
    </cfRule>
  </conditionalFormatting>
  <conditionalFormatting sqref="AP266 AR266:AS269">
    <cfRule type="expression" dxfId="9989" priority="11452">
      <formula>$G266=""</formula>
    </cfRule>
  </conditionalFormatting>
  <conditionalFormatting sqref="AW266:AW269">
    <cfRule type="expression" dxfId="9988" priority="11451">
      <formula>$G266=""</formula>
    </cfRule>
  </conditionalFormatting>
  <conditionalFormatting sqref="G267:L267">
    <cfRule type="expression" dxfId="9987" priority="11449" stopIfTrue="1">
      <formula>$G266=""</formula>
    </cfRule>
    <cfRule type="containsBlanks" dxfId="9986" priority="11450">
      <formula>LEN(TRIM(G267))=0</formula>
    </cfRule>
  </conditionalFormatting>
  <conditionalFormatting sqref="R268">
    <cfRule type="expression" dxfId="9985" priority="11446">
      <formula>$N269="BAM"</formula>
    </cfRule>
    <cfRule type="expression" dxfId="9984" priority="11447" stopIfTrue="1">
      <formula>$G266=""</formula>
    </cfRule>
    <cfRule type="containsBlanks" dxfId="9983" priority="11448">
      <formula>LEN(TRIM(R268))=0</formula>
    </cfRule>
  </conditionalFormatting>
  <conditionalFormatting sqref="R268">
    <cfRule type="expression" dxfId="9982" priority="11445">
      <formula>$C$43=0</formula>
    </cfRule>
  </conditionalFormatting>
  <conditionalFormatting sqref="E269:F269">
    <cfRule type="expression" dxfId="9981" priority="11444">
      <formula>$CQ266="Exterior"</formula>
    </cfRule>
  </conditionalFormatting>
  <conditionalFormatting sqref="G269">
    <cfRule type="expression" dxfId="9980" priority="11434" stopIfTrue="1">
      <formula>$G266=""</formula>
    </cfRule>
  </conditionalFormatting>
  <conditionalFormatting sqref="G269">
    <cfRule type="expression" dxfId="9979" priority="11436" stopIfTrue="1">
      <formula>$CQ266="Exterior"</formula>
    </cfRule>
  </conditionalFormatting>
  <conditionalFormatting sqref="G269:L269">
    <cfRule type="expression" dxfId="9978" priority="11435" stopIfTrue="1">
      <formula>$N269="BAM"</formula>
    </cfRule>
    <cfRule type="containsBlanks" dxfId="9977" priority="11437" stopIfTrue="1">
      <formula>LEN(TRIM(G269))=0</formula>
    </cfRule>
    <cfRule type="expression" dxfId="9976" priority="11439">
      <formula>$HQ267=FALSE</formula>
    </cfRule>
  </conditionalFormatting>
  <conditionalFormatting sqref="G269:L269">
    <cfRule type="expression" dxfId="9975" priority="11438" stopIfTrue="1">
      <formula>$AG268=""</formula>
    </cfRule>
  </conditionalFormatting>
  <conditionalFormatting sqref="G268:L268">
    <cfRule type="expression" dxfId="9974" priority="11432" stopIfTrue="1">
      <formula>$N269="BAM"</formula>
    </cfRule>
  </conditionalFormatting>
  <conditionalFormatting sqref="G266:R266">
    <cfRule type="containsBlanks" dxfId="9973" priority="11431">
      <formula>LEN(TRIM(G266))=0</formula>
    </cfRule>
  </conditionalFormatting>
  <conditionalFormatting sqref="AF268">
    <cfRule type="expression" dxfId="9972" priority="11421" stopIfTrue="1">
      <formula>$G266=""</formula>
    </cfRule>
    <cfRule type="expression" dxfId="9971" priority="11422" stopIfTrue="1">
      <formula>$N269="BAM"</formula>
    </cfRule>
    <cfRule type="expression" dxfId="9970" priority="11430">
      <formula>$AF$49&gt;$T$49</formula>
    </cfRule>
  </conditionalFormatting>
  <conditionalFormatting sqref="AC269:AE269">
    <cfRule type="expression" dxfId="9969" priority="11427" stopIfTrue="1">
      <formula>$G266=""</formula>
    </cfRule>
  </conditionalFormatting>
  <conditionalFormatting sqref="T268:U268">
    <cfRule type="expression" dxfId="9968" priority="11394" stopIfTrue="1">
      <formula>$G266=""</formula>
    </cfRule>
  </conditionalFormatting>
  <conditionalFormatting sqref="T268:U268">
    <cfRule type="containsBlanks" dxfId="9967" priority="11424" stopIfTrue="1">
      <formula>LEN(TRIM(T268))=0</formula>
    </cfRule>
  </conditionalFormatting>
  <conditionalFormatting sqref="AC266:AE266">
    <cfRule type="expression" dxfId="9966" priority="11423">
      <formula>$G266=""</formula>
    </cfRule>
  </conditionalFormatting>
  <conditionalFormatting sqref="AF268 AG269">
    <cfRule type="containsBlanks" dxfId="9965" priority="11428" stopIfTrue="1">
      <formula>LEN(TRIM(AF268))=0</formula>
    </cfRule>
  </conditionalFormatting>
  <conditionalFormatting sqref="AF268">
    <cfRule type="expression" dxfId="9964" priority="11429">
      <formula>OR($HS267=FALSE,$HT267=FALSE)</formula>
    </cfRule>
  </conditionalFormatting>
  <conditionalFormatting sqref="AG269">
    <cfRule type="expression" dxfId="9963" priority="11387">
      <formula>$C$43&gt;0</formula>
    </cfRule>
  </conditionalFormatting>
  <conditionalFormatting sqref="AG269">
    <cfRule type="expression" dxfId="9962" priority="11420" stopIfTrue="1">
      <formula>$G266=""</formula>
    </cfRule>
  </conditionalFormatting>
  <conditionalFormatting sqref="U268">
    <cfRule type="expression" dxfId="9961" priority="11425">
      <formula>OR($HK267=FALSE,$HL267=FALSE)</formula>
    </cfRule>
  </conditionalFormatting>
  <conditionalFormatting sqref="T267:U267">
    <cfRule type="expression" dxfId="9960" priority="11415" stopIfTrue="1">
      <formula>$C$43&lt;&gt;0</formula>
    </cfRule>
    <cfRule type="containsBlanks" dxfId="9959" priority="11416" stopIfTrue="1">
      <formula>LEN(TRIM(T267))=0</formula>
    </cfRule>
  </conditionalFormatting>
  <conditionalFormatting sqref="T267:U267">
    <cfRule type="expression" dxfId="9958" priority="11414" stopIfTrue="1">
      <formula>$G266=""</formula>
    </cfRule>
  </conditionalFormatting>
  <conditionalFormatting sqref="U267">
    <cfRule type="expression" dxfId="9957" priority="11417">
      <formula>$HJ267=FALSE</formula>
    </cfRule>
  </conditionalFormatting>
  <conditionalFormatting sqref="AG268">
    <cfRule type="expression" dxfId="9956" priority="11405" stopIfTrue="1">
      <formula>$G266=""</formula>
    </cfRule>
  </conditionalFormatting>
  <conditionalFormatting sqref="AG268:AL268">
    <cfRule type="expression" dxfId="9955" priority="11406">
      <formula>$N269="BAM"</formula>
    </cfRule>
    <cfRule type="expression" dxfId="9954" priority="11410">
      <formula>OR($HU267=FALSE,$HQ267=FALSE)</formula>
    </cfRule>
  </conditionalFormatting>
  <conditionalFormatting sqref="AG268">
    <cfRule type="containsBlanks" dxfId="9953" priority="11407" stopIfTrue="1">
      <formula>LEN(TRIM(AG268))=0</formula>
    </cfRule>
    <cfRule type="expression" dxfId="9952" priority="11408">
      <formula>OR($HP267=FALSE,$HR267=FALSE)</formula>
    </cfRule>
    <cfRule type="expression" dxfId="9951" priority="11409">
      <formula>OR($DS266=7,$DS266=8,$DS266=9)</formula>
    </cfRule>
  </conditionalFormatting>
  <conditionalFormatting sqref="AG266:AL266">
    <cfRule type="expression" dxfId="9950" priority="11404">
      <formula>$C$43&lt;&gt;0</formula>
    </cfRule>
  </conditionalFormatting>
  <conditionalFormatting sqref="AF267">
    <cfRule type="containsBlanks" dxfId="9949" priority="11403">
      <formula>LEN(TRIM(AF267))=0</formula>
    </cfRule>
  </conditionalFormatting>
  <conditionalFormatting sqref="AF267">
    <cfRule type="expression" dxfId="9948" priority="11402" stopIfTrue="1">
      <formula>$G266=""</formula>
    </cfRule>
  </conditionalFormatting>
  <conditionalFormatting sqref="AG267">
    <cfRule type="containsBlanks" dxfId="9947" priority="11400">
      <formula>LEN(TRIM(AG267))=0</formula>
    </cfRule>
    <cfRule type="expression" dxfId="9946" priority="11401">
      <formula>$HO267=FALSE</formula>
    </cfRule>
  </conditionalFormatting>
  <conditionalFormatting sqref="AG267">
    <cfRule type="expression" dxfId="9945" priority="11399" stopIfTrue="1">
      <formula>$G266=""</formula>
    </cfRule>
  </conditionalFormatting>
  <conditionalFormatting sqref="AF267:AK267">
    <cfRule type="expression" dxfId="9944" priority="11398">
      <formula>$C$43&gt;0</formula>
    </cfRule>
  </conditionalFormatting>
  <conditionalFormatting sqref="AM266:AN267">
    <cfRule type="expression" dxfId="9943" priority="11397">
      <formula>$G266=""</formula>
    </cfRule>
  </conditionalFormatting>
  <conditionalFormatting sqref="AM268:AN268">
    <cfRule type="expression" dxfId="9942" priority="11396" stopIfTrue="1">
      <formula>$G266=""</formula>
    </cfRule>
  </conditionalFormatting>
  <conditionalFormatting sqref="T268">
    <cfRule type="expression" dxfId="9941" priority="11418" stopIfTrue="1">
      <formula>$N269="BAM"</formula>
    </cfRule>
  </conditionalFormatting>
  <conditionalFormatting sqref="U268:AE268">
    <cfRule type="expression" dxfId="9940" priority="11395" stopIfTrue="1">
      <formula>$N269="BAM"</formula>
    </cfRule>
  </conditionalFormatting>
  <conditionalFormatting sqref="AG269:AL269">
    <cfRule type="expression" dxfId="9939" priority="11419" stopIfTrue="1">
      <formula>$N269="BAM"</formula>
    </cfRule>
  </conditionalFormatting>
  <conditionalFormatting sqref="AX272">
    <cfRule type="expression" dxfId="9938" priority="11385">
      <formula>$E272=""</formula>
    </cfRule>
  </conditionalFormatting>
  <conditionalFormatting sqref="AX271">
    <cfRule type="expression" dxfId="9937" priority="11384">
      <formula>$E271=""</formula>
    </cfRule>
  </conditionalFormatting>
  <conditionalFormatting sqref="AX273">
    <cfRule type="expression" dxfId="9936" priority="11383">
      <formula>#REF!=""</formula>
    </cfRule>
  </conditionalFormatting>
  <conditionalFormatting sqref="AX274">
    <cfRule type="expression" dxfId="9935" priority="11382">
      <formula>$E273=""</formula>
    </cfRule>
  </conditionalFormatting>
  <conditionalFormatting sqref="AY271:AZ274">
    <cfRule type="expression" dxfId="9934" priority="11381">
      <formula>$G271=""</formula>
    </cfRule>
  </conditionalFormatting>
  <conditionalFormatting sqref="G273">
    <cfRule type="expression" dxfId="9933" priority="11378" stopIfTrue="1">
      <formula>$G271=""</formula>
    </cfRule>
    <cfRule type="containsBlanks" dxfId="9932" priority="11379" stopIfTrue="1">
      <formula>LEN(TRIM(G273))=0</formula>
    </cfRule>
    <cfRule type="expression" dxfId="9931" priority="11380">
      <formula>OR($M273=0,$HH272=FALSE)</formula>
    </cfRule>
  </conditionalFormatting>
  <conditionalFormatting sqref="AO273">
    <cfRule type="expression" dxfId="9930" priority="11377" stopIfTrue="1">
      <formula>$G271=""</formula>
    </cfRule>
  </conditionalFormatting>
  <conditionalFormatting sqref="AU271:AU274">
    <cfRule type="expression" dxfId="9929" priority="11374" stopIfTrue="1">
      <formula>$C$43=2</formula>
    </cfRule>
    <cfRule type="cellIs" dxfId="9928" priority="11375" operator="equal">
      <formula>"Yes"</formula>
    </cfRule>
    <cfRule type="cellIs" dxfId="9927" priority="11376" operator="equal">
      <formula>"No"</formula>
    </cfRule>
  </conditionalFormatting>
  <conditionalFormatting sqref="AO271:AO272">
    <cfRule type="expression" dxfId="9926" priority="11373">
      <formula>$G271=""</formula>
    </cfRule>
  </conditionalFormatting>
  <conditionalFormatting sqref="AP271 AR271:AS274">
    <cfRule type="expression" dxfId="9925" priority="11372">
      <formula>$G271=""</formula>
    </cfRule>
  </conditionalFormatting>
  <conditionalFormatting sqref="AW271:AW274">
    <cfRule type="expression" dxfId="9924" priority="11371">
      <formula>$G271=""</formula>
    </cfRule>
  </conditionalFormatting>
  <conditionalFormatting sqref="G272:L272">
    <cfRule type="expression" dxfId="9923" priority="11369" stopIfTrue="1">
      <formula>$G271=""</formula>
    </cfRule>
    <cfRule type="containsBlanks" dxfId="9922" priority="11370">
      <formula>LEN(TRIM(G272))=0</formula>
    </cfRule>
  </conditionalFormatting>
  <conditionalFormatting sqref="R273">
    <cfRule type="expression" dxfId="9921" priority="11366">
      <formula>$N274="BAM"</formula>
    </cfRule>
    <cfRule type="expression" dxfId="9920" priority="11367" stopIfTrue="1">
      <formula>$G271=""</formula>
    </cfRule>
    <cfRule type="containsBlanks" dxfId="9919" priority="11368">
      <formula>LEN(TRIM(R273))=0</formula>
    </cfRule>
  </conditionalFormatting>
  <conditionalFormatting sqref="R273">
    <cfRule type="expression" dxfId="9918" priority="11365">
      <formula>$C$43=0</formula>
    </cfRule>
  </conditionalFormatting>
  <conditionalFormatting sqref="E274:F274">
    <cfRule type="expression" dxfId="9917" priority="11364">
      <formula>$CQ271="Exterior"</formula>
    </cfRule>
  </conditionalFormatting>
  <conditionalFormatting sqref="G274">
    <cfRule type="expression" dxfId="9916" priority="11354" stopIfTrue="1">
      <formula>$G271=""</formula>
    </cfRule>
  </conditionalFormatting>
  <conditionalFormatting sqref="G274">
    <cfRule type="expression" dxfId="9915" priority="11356" stopIfTrue="1">
      <formula>$CQ271="Exterior"</formula>
    </cfRule>
  </conditionalFormatting>
  <conditionalFormatting sqref="G274:L274">
    <cfRule type="expression" dxfId="9914" priority="11355" stopIfTrue="1">
      <formula>$N274="BAM"</formula>
    </cfRule>
    <cfRule type="containsBlanks" dxfId="9913" priority="11357" stopIfTrue="1">
      <formula>LEN(TRIM(G274))=0</formula>
    </cfRule>
    <cfRule type="expression" dxfId="9912" priority="11359">
      <formula>$HQ272=FALSE</formula>
    </cfRule>
  </conditionalFormatting>
  <conditionalFormatting sqref="G274:L274">
    <cfRule type="expression" dxfId="9911" priority="11358" stopIfTrue="1">
      <formula>$AG273=""</formula>
    </cfRule>
  </conditionalFormatting>
  <conditionalFormatting sqref="G273:L273">
    <cfRule type="expression" dxfId="9910" priority="11352" stopIfTrue="1">
      <formula>$N274="BAM"</formula>
    </cfRule>
  </conditionalFormatting>
  <conditionalFormatting sqref="G271:R271">
    <cfRule type="containsBlanks" dxfId="9909" priority="11351">
      <formula>LEN(TRIM(G271))=0</formula>
    </cfRule>
  </conditionalFormatting>
  <conditionalFormatting sqref="AF273">
    <cfRule type="expression" dxfId="9908" priority="11341" stopIfTrue="1">
      <formula>$G271=""</formula>
    </cfRule>
    <cfRule type="expression" dxfId="9907" priority="11342" stopIfTrue="1">
      <formula>$N274="BAM"</formula>
    </cfRule>
    <cfRule type="expression" dxfId="9906" priority="11350">
      <formula>$AF$49&gt;$T$49</formula>
    </cfRule>
  </conditionalFormatting>
  <conditionalFormatting sqref="AC274:AE274">
    <cfRule type="expression" dxfId="9905" priority="11347" stopIfTrue="1">
      <formula>$G271=""</formula>
    </cfRule>
  </conditionalFormatting>
  <conditionalFormatting sqref="T273:U273">
    <cfRule type="expression" dxfId="9904" priority="11314" stopIfTrue="1">
      <formula>$G271=""</formula>
    </cfRule>
  </conditionalFormatting>
  <conditionalFormatting sqref="T273:U273">
    <cfRule type="containsBlanks" dxfId="9903" priority="11344" stopIfTrue="1">
      <formula>LEN(TRIM(T273))=0</formula>
    </cfRule>
  </conditionalFormatting>
  <conditionalFormatting sqref="AC271:AE271">
    <cfRule type="expression" dxfId="9902" priority="11343">
      <formula>$G271=""</formula>
    </cfRule>
  </conditionalFormatting>
  <conditionalFormatting sqref="AF273 AG274">
    <cfRule type="containsBlanks" dxfId="9901" priority="11348" stopIfTrue="1">
      <formula>LEN(TRIM(AF273))=0</formula>
    </cfRule>
  </conditionalFormatting>
  <conditionalFormatting sqref="AF273">
    <cfRule type="expression" dxfId="9900" priority="11349">
      <formula>OR($HS272=FALSE,$HT272=FALSE)</formula>
    </cfRule>
  </conditionalFormatting>
  <conditionalFormatting sqref="AG274">
    <cfRule type="expression" dxfId="9899" priority="11307">
      <formula>$C$43&gt;0</formula>
    </cfRule>
  </conditionalFormatting>
  <conditionalFormatting sqref="AG274">
    <cfRule type="expression" dxfId="9898" priority="11340" stopIfTrue="1">
      <formula>$G271=""</formula>
    </cfRule>
  </conditionalFormatting>
  <conditionalFormatting sqref="U273">
    <cfRule type="expression" dxfId="9897" priority="11345">
      <formula>OR($HK272=FALSE,$HL272=FALSE)</formula>
    </cfRule>
  </conditionalFormatting>
  <conditionalFormatting sqref="T272:U272">
    <cfRule type="expression" dxfId="9896" priority="11335" stopIfTrue="1">
      <formula>$C$43&lt;&gt;0</formula>
    </cfRule>
    <cfRule type="containsBlanks" dxfId="9895" priority="11336" stopIfTrue="1">
      <formula>LEN(TRIM(T272))=0</formula>
    </cfRule>
  </conditionalFormatting>
  <conditionalFormatting sqref="T272:U272">
    <cfRule type="expression" dxfId="9894" priority="11334" stopIfTrue="1">
      <formula>$G271=""</formula>
    </cfRule>
  </conditionalFormatting>
  <conditionalFormatting sqref="U272">
    <cfRule type="expression" dxfId="9893" priority="11337">
      <formula>$HJ272=FALSE</formula>
    </cfRule>
  </conditionalFormatting>
  <conditionalFormatting sqref="AG273">
    <cfRule type="expression" dxfId="9892" priority="11325" stopIfTrue="1">
      <formula>$G271=""</formula>
    </cfRule>
  </conditionalFormatting>
  <conditionalFormatting sqref="AG273:AL273">
    <cfRule type="expression" dxfId="9891" priority="11326">
      <formula>$N274="BAM"</formula>
    </cfRule>
    <cfRule type="expression" dxfId="9890" priority="11330">
      <formula>OR($HU272=FALSE,$HQ272=FALSE)</formula>
    </cfRule>
  </conditionalFormatting>
  <conditionalFormatting sqref="AG273">
    <cfRule type="containsBlanks" dxfId="9889" priority="11327" stopIfTrue="1">
      <formula>LEN(TRIM(AG273))=0</formula>
    </cfRule>
    <cfRule type="expression" dxfId="9888" priority="11328">
      <formula>OR($HP272=FALSE,$HR272=FALSE)</formula>
    </cfRule>
    <cfRule type="expression" dxfId="9887" priority="11329">
      <formula>OR($DS271=7,$DS271=8,$DS271=9)</formula>
    </cfRule>
  </conditionalFormatting>
  <conditionalFormatting sqref="AG271:AL271">
    <cfRule type="expression" dxfId="9886" priority="11324">
      <formula>$C$43&lt;&gt;0</formula>
    </cfRule>
  </conditionalFormatting>
  <conditionalFormatting sqref="AF272">
    <cfRule type="containsBlanks" dxfId="9885" priority="11323">
      <formula>LEN(TRIM(AF272))=0</formula>
    </cfRule>
  </conditionalFormatting>
  <conditionalFormatting sqref="AF272">
    <cfRule type="expression" dxfId="9884" priority="11322" stopIfTrue="1">
      <formula>$G271=""</formula>
    </cfRule>
  </conditionalFormatting>
  <conditionalFormatting sqref="AG272">
    <cfRule type="containsBlanks" dxfId="9883" priority="11320">
      <formula>LEN(TRIM(AG272))=0</formula>
    </cfRule>
    <cfRule type="expression" dxfId="9882" priority="11321">
      <formula>$HO272=FALSE</formula>
    </cfRule>
  </conditionalFormatting>
  <conditionalFormatting sqref="AG272">
    <cfRule type="expression" dxfId="9881" priority="11319" stopIfTrue="1">
      <formula>$G271=""</formula>
    </cfRule>
  </conditionalFormatting>
  <conditionalFormatting sqref="AF272:AK272">
    <cfRule type="expression" dxfId="9880" priority="11318">
      <formula>$C$43&gt;0</formula>
    </cfRule>
  </conditionalFormatting>
  <conditionalFormatting sqref="AM271:AN272">
    <cfRule type="expression" dxfId="9879" priority="11317">
      <formula>$G271=""</formula>
    </cfRule>
  </conditionalFormatting>
  <conditionalFormatting sqref="AM273:AN273">
    <cfRule type="expression" dxfId="9878" priority="11316" stopIfTrue="1">
      <formula>$G271=""</formula>
    </cfRule>
  </conditionalFormatting>
  <conditionalFormatting sqref="T273">
    <cfRule type="expression" dxfId="9877" priority="11338" stopIfTrue="1">
      <formula>$N274="BAM"</formula>
    </cfRule>
  </conditionalFormatting>
  <conditionalFormatting sqref="U273:AE273">
    <cfRule type="expression" dxfId="9876" priority="11315" stopIfTrue="1">
      <formula>$N274="BAM"</formula>
    </cfRule>
  </conditionalFormatting>
  <conditionalFormatting sqref="AG274:AL274">
    <cfRule type="expression" dxfId="9875" priority="11339" stopIfTrue="1">
      <formula>$N274="BAM"</formula>
    </cfRule>
  </conditionalFormatting>
  <conditionalFormatting sqref="AX277">
    <cfRule type="expression" dxfId="9874" priority="11305">
      <formula>$E277=""</formula>
    </cfRule>
  </conditionalFormatting>
  <conditionalFormatting sqref="AX276">
    <cfRule type="expression" dxfId="9873" priority="11304">
      <formula>$E276=""</formula>
    </cfRule>
  </conditionalFormatting>
  <conditionalFormatting sqref="AX278">
    <cfRule type="expression" dxfId="9872" priority="11303">
      <formula>#REF!=""</formula>
    </cfRule>
  </conditionalFormatting>
  <conditionalFormatting sqref="AX279">
    <cfRule type="expression" dxfId="9871" priority="11302">
      <formula>$E278=""</formula>
    </cfRule>
  </conditionalFormatting>
  <conditionalFormatting sqref="AY276:AZ279">
    <cfRule type="expression" dxfId="9870" priority="11301">
      <formula>$G276=""</formula>
    </cfRule>
  </conditionalFormatting>
  <conditionalFormatting sqref="G278">
    <cfRule type="expression" dxfId="9869" priority="11298" stopIfTrue="1">
      <formula>$G276=""</formula>
    </cfRule>
    <cfRule type="containsBlanks" dxfId="9868" priority="11299" stopIfTrue="1">
      <formula>LEN(TRIM(G278))=0</formula>
    </cfRule>
    <cfRule type="expression" dxfId="9867" priority="11300">
      <formula>OR($M278=0,$HH277=FALSE)</formula>
    </cfRule>
  </conditionalFormatting>
  <conditionalFormatting sqref="AO278">
    <cfRule type="expression" dxfId="9866" priority="11297" stopIfTrue="1">
      <formula>$G276=""</formula>
    </cfRule>
  </conditionalFormatting>
  <conditionalFormatting sqref="AU276:AU279">
    <cfRule type="expression" dxfId="9865" priority="11294" stopIfTrue="1">
      <formula>$C$43=2</formula>
    </cfRule>
    <cfRule type="cellIs" dxfId="9864" priority="11295" operator="equal">
      <formula>"Yes"</formula>
    </cfRule>
    <cfRule type="cellIs" dxfId="9863" priority="11296" operator="equal">
      <formula>"No"</formula>
    </cfRule>
  </conditionalFormatting>
  <conditionalFormatting sqref="AO276:AO277">
    <cfRule type="expression" dxfId="9862" priority="11293">
      <formula>$G276=""</formula>
    </cfRule>
  </conditionalFormatting>
  <conditionalFormatting sqref="AP276 AR276:AS279">
    <cfRule type="expression" dxfId="9861" priority="11292">
      <formula>$G276=""</formula>
    </cfRule>
  </conditionalFormatting>
  <conditionalFormatting sqref="AW276:AW279">
    <cfRule type="expression" dxfId="9860" priority="11291">
      <formula>$G276=""</formula>
    </cfRule>
  </conditionalFormatting>
  <conditionalFormatting sqref="G277:L277">
    <cfRule type="expression" dxfId="9859" priority="11289" stopIfTrue="1">
      <formula>$G276=""</formula>
    </cfRule>
    <cfRule type="containsBlanks" dxfId="9858" priority="11290">
      <formula>LEN(TRIM(G277))=0</formula>
    </cfRule>
  </conditionalFormatting>
  <conditionalFormatting sqref="R278">
    <cfRule type="expression" dxfId="9857" priority="11286">
      <formula>$N279="BAM"</formula>
    </cfRule>
    <cfRule type="expression" dxfId="9856" priority="11287" stopIfTrue="1">
      <formula>$G276=""</formula>
    </cfRule>
    <cfRule type="containsBlanks" dxfId="9855" priority="11288">
      <formula>LEN(TRIM(R278))=0</formula>
    </cfRule>
  </conditionalFormatting>
  <conditionalFormatting sqref="R278">
    <cfRule type="expression" dxfId="9854" priority="11285">
      <formula>$C$43=0</formula>
    </cfRule>
  </conditionalFormatting>
  <conditionalFormatting sqref="E279:F279">
    <cfRule type="expression" dxfId="9853" priority="11284">
      <formula>$CQ276="Exterior"</formula>
    </cfRule>
  </conditionalFormatting>
  <conditionalFormatting sqref="G279">
    <cfRule type="expression" dxfId="9852" priority="11274" stopIfTrue="1">
      <formula>$G276=""</formula>
    </cfRule>
  </conditionalFormatting>
  <conditionalFormatting sqref="G279">
    <cfRule type="expression" dxfId="9851" priority="11276" stopIfTrue="1">
      <formula>$CQ276="Exterior"</formula>
    </cfRule>
  </conditionalFormatting>
  <conditionalFormatting sqref="G279:L279">
    <cfRule type="expression" dxfId="9850" priority="11275" stopIfTrue="1">
      <formula>$N279="BAM"</formula>
    </cfRule>
    <cfRule type="containsBlanks" dxfId="9849" priority="11277" stopIfTrue="1">
      <formula>LEN(TRIM(G279))=0</formula>
    </cfRule>
    <cfRule type="expression" dxfId="9848" priority="11279">
      <formula>$HQ277=FALSE</formula>
    </cfRule>
  </conditionalFormatting>
  <conditionalFormatting sqref="G279:L279">
    <cfRule type="expression" dxfId="9847" priority="11278" stopIfTrue="1">
      <formula>$AG278=""</formula>
    </cfRule>
  </conditionalFormatting>
  <conditionalFormatting sqref="G278:L278">
    <cfRule type="expression" dxfId="9846" priority="11272" stopIfTrue="1">
      <formula>$N279="BAM"</formula>
    </cfRule>
  </conditionalFormatting>
  <conditionalFormatting sqref="G276:R276">
    <cfRule type="containsBlanks" dxfId="9845" priority="11271">
      <formula>LEN(TRIM(G276))=0</formula>
    </cfRule>
  </conditionalFormatting>
  <conditionalFormatting sqref="AF278">
    <cfRule type="expression" dxfId="9844" priority="11261" stopIfTrue="1">
      <formula>$G276=""</formula>
    </cfRule>
    <cfRule type="expression" dxfId="9843" priority="11262" stopIfTrue="1">
      <formula>$N279="BAM"</formula>
    </cfRule>
    <cfRule type="expression" dxfId="9842" priority="11270">
      <formula>$AF$49&gt;$T$49</formula>
    </cfRule>
  </conditionalFormatting>
  <conditionalFormatting sqref="AC279:AE279">
    <cfRule type="expression" dxfId="9841" priority="11267" stopIfTrue="1">
      <formula>$G276=""</formula>
    </cfRule>
  </conditionalFormatting>
  <conditionalFormatting sqref="T278:U278">
    <cfRule type="expression" dxfId="9840" priority="11234" stopIfTrue="1">
      <formula>$G276=""</formula>
    </cfRule>
  </conditionalFormatting>
  <conditionalFormatting sqref="T278:U278">
    <cfRule type="containsBlanks" dxfId="9839" priority="11264" stopIfTrue="1">
      <formula>LEN(TRIM(T278))=0</formula>
    </cfRule>
  </conditionalFormatting>
  <conditionalFormatting sqref="AC276:AE276">
    <cfRule type="expression" dxfId="9838" priority="11263">
      <formula>$G276=""</formula>
    </cfRule>
  </conditionalFormatting>
  <conditionalFormatting sqref="AF278 AG279">
    <cfRule type="containsBlanks" dxfId="9837" priority="11268" stopIfTrue="1">
      <formula>LEN(TRIM(AF278))=0</formula>
    </cfRule>
  </conditionalFormatting>
  <conditionalFormatting sqref="AF278">
    <cfRule type="expression" dxfId="9836" priority="11269">
      <formula>OR($HS277=FALSE,$HT277=FALSE)</formula>
    </cfRule>
  </conditionalFormatting>
  <conditionalFormatting sqref="AG279">
    <cfRule type="expression" dxfId="9835" priority="11227">
      <formula>$C$43&gt;0</formula>
    </cfRule>
  </conditionalFormatting>
  <conditionalFormatting sqref="AG279">
    <cfRule type="expression" dxfId="9834" priority="11260" stopIfTrue="1">
      <formula>$G276=""</formula>
    </cfRule>
  </conditionalFormatting>
  <conditionalFormatting sqref="U278">
    <cfRule type="expression" dxfId="9833" priority="11265">
      <formula>OR($HK277=FALSE,$HL277=FALSE)</formula>
    </cfRule>
  </conditionalFormatting>
  <conditionalFormatting sqref="T277:U277">
    <cfRule type="expression" dxfId="9832" priority="11255" stopIfTrue="1">
      <formula>$C$43&lt;&gt;0</formula>
    </cfRule>
    <cfRule type="containsBlanks" dxfId="9831" priority="11256" stopIfTrue="1">
      <formula>LEN(TRIM(T277))=0</formula>
    </cfRule>
  </conditionalFormatting>
  <conditionalFormatting sqref="T277:U277">
    <cfRule type="expression" dxfId="9830" priority="11254" stopIfTrue="1">
      <formula>$G276=""</formula>
    </cfRule>
  </conditionalFormatting>
  <conditionalFormatting sqref="U277">
    <cfRule type="expression" dxfId="9829" priority="11257">
      <formula>$HJ277=FALSE</formula>
    </cfRule>
  </conditionalFormatting>
  <conditionalFormatting sqref="AG278">
    <cfRule type="expression" dxfId="9828" priority="11245" stopIfTrue="1">
      <formula>$G276=""</formula>
    </cfRule>
  </conditionalFormatting>
  <conditionalFormatting sqref="AG278:AL278">
    <cfRule type="expression" dxfId="9827" priority="11246">
      <formula>$N279="BAM"</formula>
    </cfRule>
    <cfRule type="expression" dxfId="9826" priority="11250">
      <formula>OR($HU277=FALSE,$HQ277=FALSE)</formula>
    </cfRule>
  </conditionalFormatting>
  <conditionalFormatting sqref="AG278">
    <cfRule type="containsBlanks" dxfId="9825" priority="11247" stopIfTrue="1">
      <formula>LEN(TRIM(AG278))=0</formula>
    </cfRule>
    <cfRule type="expression" dxfId="9824" priority="11248">
      <formula>OR($HP277=FALSE,$HR277=FALSE)</formula>
    </cfRule>
    <cfRule type="expression" dxfId="9823" priority="11249">
      <formula>OR($DS276=7,$DS276=8,$DS276=9)</formula>
    </cfRule>
  </conditionalFormatting>
  <conditionalFormatting sqref="AG276:AL276">
    <cfRule type="expression" dxfId="9822" priority="11244">
      <formula>$C$43&lt;&gt;0</formula>
    </cfRule>
  </conditionalFormatting>
  <conditionalFormatting sqref="AF277">
    <cfRule type="containsBlanks" dxfId="9821" priority="11243">
      <formula>LEN(TRIM(AF277))=0</formula>
    </cfRule>
  </conditionalFormatting>
  <conditionalFormatting sqref="AF277">
    <cfRule type="expression" dxfId="9820" priority="11242" stopIfTrue="1">
      <formula>$G276=""</formula>
    </cfRule>
  </conditionalFormatting>
  <conditionalFormatting sqref="AG277">
    <cfRule type="containsBlanks" dxfId="9819" priority="11240">
      <formula>LEN(TRIM(AG277))=0</formula>
    </cfRule>
    <cfRule type="expression" dxfId="9818" priority="11241">
      <formula>$HO277=FALSE</formula>
    </cfRule>
  </conditionalFormatting>
  <conditionalFormatting sqref="AG277">
    <cfRule type="expression" dxfId="9817" priority="11239" stopIfTrue="1">
      <formula>$G276=""</formula>
    </cfRule>
  </conditionalFormatting>
  <conditionalFormatting sqref="AF277:AK277">
    <cfRule type="expression" dxfId="9816" priority="11238">
      <formula>$C$43&gt;0</formula>
    </cfRule>
  </conditionalFormatting>
  <conditionalFormatting sqref="AM276:AN277">
    <cfRule type="expression" dxfId="9815" priority="11237">
      <formula>$G276=""</formula>
    </cfRule>
  </conditionalFormatting>
  <conditionalFormatting sqref="AM278:AN278">
    <cfRule type="expression" dxfId="9814" priority="11236" stopIfTrue="1">
      <formula>$G276=""</formula>
    </cfRule>
  </conditionalFormatting>
  <conditionalFormatting sqref="T278">
    <cfRule type="expression" dxfId="9813" priority="11258" stopIfTrue="1">
      <formula>$N279="BAM"</formula>
    </cfRule>
  </conditionalFormatting>
  <conditionalFormatting sqref="U278:AE278">
    <cfRule type="expression" dxfId="9812" priority="11235" stopIfTrue="1">
      <formula>$N279="BAM"</formula>
    </cfRule>
  </conditionalFormatting>
  <conditionalFormatting sqref="AG279:AL279">
    <cfRule type="expression" dxfId="9811" priority="11259" stopIfTrue="1">
      <formula>$N279="BAM"</formula>
    </cfRule>
  </conditionalFormatting>
  <conditionalFormatting sqref="AX282">
    <cfRule type="expression" dxfId="9810" priority="11225">
      <formula>$E282=""</formula>
    </cfRule>
  </conditionalFormatting>
  <conditionalFormatting sqref="AX281">
    <cfRule type="expression" dxfId="9809" priority="11224">
      <formula>$E281=""</formula>
    </cfRule>
  </conditionalFormatting>
  <conditionalFormatting sqref="AX283">
    <cfRule type="expression" dxfId="9808" priority="11223">
      <formula>#REF!=""</formula>
    </cfRule>
  </conditionalFormatting>
  <conditionalFormatting sqref="AX284">
    <cfRule type="expression" dxfId="9807" priority="11222">
      <formula>$E283=""</formula>
    </cfRule>
  </conditionalFormatting>
  <conditionalFormatting sqref="AY281:AZ284">
    <cfRule type="expression" dxfId="9806" priority="11221">
      <formula>$G281=""</formula>
    </cfRule>
  </conditionalFormatting>
  <conditionalFormatting sqref="G283">
    <cfRule type="expression" dxfId="9805" priority="11218" stopIfTrue="1">
      <formula>$G281=""</formula>
    </cfRule>
    <cfRule type="containsBlanks" dxfId="9804" priority="11219" stopIfTrue="1">
      <formula>LEN(TRIM(G283))=0</formula>
    </cfRule>
    <cfRule type="expression" dxfId="9803" priority="11220">
      <formula>OR($M283=0,$HH282=FALSE)</formula>
    </cfRule>
  </conditionalFormatting>
  <conditionalFormatting sqref="AO283">
    <cfRule type="expression" dxfId="9802" priority="11217" stopIfTrue="1">
      <formula>$G281=""</formula>
    </cfRule>
  </conditionalFormatting>
  <conditionalFormatting sqref="AU281:AU284">
    <cfRule type="expression" dxfId="9801" priority="11214" stopIfTrue="1">
      <formula>$C$43=2</formula>
    </cfRule>
    <cfRule type="cellIs" dxfId="9800" priority="11215" operator="equal">
      <formula>"Yes"</formula>
    </cfRule>
    <cfRule type="cellIs" dxfId="9799" priority="11216" operator="equal">
      <formula>"No"</formula>
    </cfRule>
  </conditionalFormatting>
  <conditionalFormatting sqref="AO281:AO282">
    <cfRule type="expression" dxfId="9798" priority="11213">
      <formula>$G281=""</formula>
    </cfRule>
  </conditionalFormatting>
  <conditionalFormatting sqref="AP281 AR281:AS284">
    <cfRule type="expression" dxfId="9797" priority="11212">
      <formula>$G281=""</formula>
    </cfRule>
  </conditionalFormatting>
  <conditionalFormatting sqref="AW281:AW284">
    <cfRule type="expression" dxfId="9796" priority="11211">
      <formula>$G281=""</formula>
    </cfRule>
  </conditionalFormatting>
  <conditionalFormatting sqref="G282:L282">
    <cfRule type="expression" dxfId="9795" priority="11209" stopIfTrue="1">
      <formula>$G281=""</formula>
    </cfRule>
    <cfRule type="containsBlanks" dxfId="9794" priority="11210">
      <formula>LEN(TRIM(G282))=0</formula>
    </cfRule>
  </conditionalFormatting>
  <conditionalFormatting sqref="R283">
    <cfRule type="expression" dxfId="9793" priority="11206">
      <formula>$N284="BAM"</formula>
    </cfRule>
    <cfRule type="expression" dxfId="9792" priority="11207" stopIfTrue="1">
      <formula>$G281=""</formula>
    </cfRule>
    <cfRule type="containsBlanks" dxfId="9791" priority="11208">
      <formula>LEN(TRIM(R283))=0</formula>
    </cfRule>
  </conditionalFormatting>
  <conditionalFormatting sqref="R283">
    <cfRule type="expression" dxfId="9790" priority="11205">
      <formula>$C$43=0</formula>
    </cfRule>
  </conditionalFormatting>
  <conditionalFormatting sqref="E284:F284">
    <cfRule type="expression" dxfId="9789" priority="11204">
      <formula>$CQ281="Exterior"</formula>
    </cfRule>
  </conditionalFormatting>
  <conditionalFormatting sqref="G284">
    <cfRule type="expression" dxfId="9788" priority="11194" stopIfTrue="1">
      <formula>$G281=""</formula>
    </cfRule>
  </conditionalFormatting>
  <conditionalFormatting sqref="G284">
    <cfRule type="expression" dxfId="9787" priority="11196" stopIfTrue="1">
      <formula>$CQ281="Exterior"</formula>
    </cfRule>
  </conditionalFormatting>
  <conditionalFormatting sqref="G284:L284">
    <cfRule type="expression" dxfId="9786" priority="11195" stopIfTrue="1">
      <formula>$N284="BAM"</formula>
    </cfRule>
    <cfRule type="containsBlanks" dxfId="9785" priority="11197" stopIfTrue="1">
      <formula>LEN(TRIM(G284))=0</formula>
    </cfRule>
    <cfRule type="expression" dxfId="9784" priority="11199">
      <formula>$HQ282=FALSE</formula>
    </cfRule>
  </conditionalFormatting>
  <conditionalFormatting sqref="G284:L284">
    <cfRule type="expression" dxfId="9783" priority="11198" stopIfTrue="1">
      <formula>$AG283=""</formula>
    </cfRule>
  </conditionalFormatting>
  <conditionalFormatting sqref="G283:L283">
    <cfRule type="expression" dxfId="9782" priority="11192" stopIfTrue="1">
      <formula>$N284="BAM"</formula>
    </cfRule>
  </conditionalFormatting>
  <conditionalFormatting sqref="G281:R281">
    <cfRule type="containsBlanks" dxfId="9781" priority="11191">
      <formula>LEN(TRIM(G281))=0</formula>
    </cfRule>
  </conditionalFormatting>
  <conditionalFormatting sqref="AF283">
    <cfRule type="expression" dxfId="9780" priority="11181" stopIfTrue="1">
      <formula>$G281=""</formula>
    </cfRule>
    <cfRule type="expression" dxfId="9779" priority="11182" stopIfTrue="1">
      <formula>$N284="BAM"</formula>
    </cfRule>
    <cfRule type="expression" dxfId="9778" priority="11190">
      <formula>$AF$49&gt;$T$49</formula>
    </cfRule>
  </conditionalFormatting>
  <conditionalFormatting sqref="AC284:AE284">
    <cfRule type="expression" dxfId="9777" priority="11187" stopIfTrue="1">
      <formula>$G281=""</formula>
    </cfRule>
  </conditionalFormatting>
  <conditionalFormatting sqref="T283:U283">
    <cfRule type="expression" dxfId="9776" priority="11154" stopIfTrue="1">
      <formula>$G281=""</formula>
    </cfRule>
  </conditionalFormatting>
  <conditionalFormatting sqref="T283:U283">
    <cfRule type="containsBlanks" dxfId="9775" priority="11184" stopIfTrue="1">
      <formula>LEN(TRIM(T283))=0</formula>
    </cfRule>
  </conditionalFormatting>
  <conditionalFormatting sqref="AC281:AE281">
    <cfRule type="expression" dxfId="9774" priority="11183">
      <formula>$G281=""</formula>
    </cfRule>
  </conditionalFormatting>
  <conditionalFormatting sqref="AF283 AG284">
    <cfRule type="containsBlanks" dxfId="9773" priority="11188" stopIfTrue="1">
      <formula>LEN(TRIM(AF283))=0</formula>
    </cfRule>
  </conditionalFormatting>
  <conditionalFormatting sqref="AF283">
    <cfRule type="expression" dxfId="9772" priority="11189">
      <formula>OR($HS282=FALSE,$HT282=FALSE)</formula>
    </cfRule>
  </conditionalFormatting>
  <conditionalFormatting sqref="AG284">
    <cfRule type="expression" dxfId="9771" priority="11147">
      <formula>$C$43&gt;0</formula>
    </cfRule>
  </conditionalFormatting>
  <conditionalFormatting sqref="AG284">
    <cfRule type="expression" dxfId="9770" priority="11180" stopIfTrue="1">
      <formula>$G281=""</formula>
    </cfRule>
  </conditionalFormatting>
  <conditionalFormatting sqref="U283">
    <cfRule type="expression" dxfId="9769" priority="11185">
      <formula>OR($HK282=FALSE,$HL282=FALSE)</formula>
    </cfRule>
  </conditionalFormatting>
  <conditionalFormatting sqref="T282:U282">
    <cfRule type="expression" dxfId="9768" priority="11175" stopIfTrue="1">
      <formula>$C$43&lt;&gt;0</formula>
    </cfRule>
    <cfRule type="containsBlanks" dxfId="9767" priority="11176" stopIfTrue="1">
      <formula>LEN(TRIM(T282))=0</formula>
    </cfRule>
  </conditionalFormatting>
  <conditionalFormatting sqref="T282:U282">
    <cfRule type="expression" dxfId="9766" priority="11174" stopIfTrue="1">
      <formula>$G281=""</formula>
    </cfRule>
  </conditionalFormatting>
  <conditionalFormatting sqref="U282">
    <cfRule type="expression" dxfId="9765" priority="11177">
      <formula>$HJ282=FALSE</formula>
    </cfRule>
  </conditionalFormatting>
  <conditionalFormatting sqref="AG283">
    <cfRule type="expression" dxfId="9764" priority="11165" stopIfTrue="1">
      <formula>$G281=""</formula>
    </cfRule>
  </conditionalFormatting>
  <conditionalFormatting sqref="AG283:AL283">
    <cfRule type="expression" dxfId="9763" priority="11166">
      <formula>$N284="BAM"</formula>
    </cfRule>
    <cfRule type="expression" dxfId="9762" priority="11170">
      <formula>OR($HU282=FALSE,$HQ282=FALSE)</formula>
    </cfRule>
  </conditionalFormatting>
  <conditionalFormatting sqref="AG283">
    <cfRule type="containsBlanks" dxfId="9761" priority="11167" stopIfTrue="1">
      <formula>LEN(TRIM(AG283))=0</formula>
    </cfRule>
    <cfRule type="expression" dxfId="9760" priority="11168">
      <formula>OR($HP282=FALSE,$HR282=FALSE)</formula>
    </cfRule>
    <cfRule type="expression" dxfId="9759" priority="11169">
      <formula>OR($DS281=7,$DS281=8,$DS281=9)</formula>
    </cfRule>
  </conditionalFormatting>
  <conditionalFormatting sqref="AG281:AL281">
    <cfRule type="expression" dxfId="9758" priority="11164">
      <formula>$C$43&lt;&gt;0</formula>
    </cfRule>
  </conditionalFormatting>
  <conditionalFormatting sqref="AF282">
    <cfRule type="containsBlanks" dxfId="9757" priority="11163">
      <formula>LEN(TRIM(AF282))=0</formula>
    </cfRule>
  </conditionalFormatting>
  <conditionalFormatting sqref="AF282">
    <cfRule type="expression" dxfId="9756" priority="11162" stopIfTrue="1">
      <formula>$G281=""</formula>
    </cfRule>
  </conditionalFormatting>
  <conditionalFormatting sqref="AG282">
    <cfRule type="containsBlanks" dxfId="9755" priority="11160">
      <formula>LEN(TRIM(AG282))=0</formula>
    </cfRule>
    <cfRule type="expression" dxfId="9754" priority="11161">
      <formula>$HO282=FALSE</formula>
    </cfRule>
  </conditionalFormatting>
  <conditionalFormatting sqref="AG282">
    <cfRule type="expression" dxfId="9753" priority="11159" stopIfTrue="1">
      <formula>$G281=""</formula>
    </cfRule>
  </conditionalFormatting>
  <conditionalFormatting sqref="AF282:AK282">
    <cfRule type="expression" dxfId="9752" priority="11158">
      <formula>$C$43&gt;0</formula>
    </cfRule>
  </conditionalFormatting>
  <conditionalFormatting sqref="AM281:AN282">
    <cfRule type="expression" dxfId="9751" priority="11157">
      <formula>$G281=""</formula>
    </cfRule>
  </conditionalFormatting>
  <conditionalFormatting sqref="AM283:AN283">
    <cfRule type="expression" dxfId="9750" priority="11156" stopIfTrue="1">
      <formula>$G281=""</formula>
    </cfRule>
  </conditionalFormatting>
  <conditionalFormatting sqref="T283">
    <cfRule type="expression" dxfId="9749" priority="11178" stopIfTrue="1">
      <formula>$N284="BAM"</formula>
    </cfRule>
  </conditionalFormatting>
  <conditionalFormatting sqref="U283:AE283">
    <cfRule type="expression" dxfId="9748" priority="11155" stopIfTrue="1">
      <formula>$N284="BAM"</formula>
    </cfRule>
  </conditionalFormatting>
  <conditionalFormatting sqref="AG284:AL284">
    <cfRule type="expression" dxfId="9747" priority="11179" stopIfTrue="1">
      <formula>$N284="BAM"</formula>
    </cfRule>
  </conditionalFormatting>
  <conditionalFormatting sqref="AX287">
    <cfRule type="expression" dxfId="9746" priority="11145">
      <formula>$E287=""</formula>
    </cfRule>
  </conditionalFormatting>
  <conditionalFormatting sqref="AX286">
    <cfRule type="expression" dxfId="9745" priority="11144">
      <formula>$E286=""</formula>
    </cfRule>
  </conditionalFormatting>
  <conditionalFormatting sqref="AX288">
    <cfRule type="expression" dxfId="9744" priority="11143">
      <formula>#REF!=""</formula>
    </cfRule>
  </conditionalFormatting>
  <conditionalFormatting sqref="AX289">
    <cfRule type="expression" dxfId="9743" priority="11142">
      <formula>$E288=""</formula>
    </cfRule>
  </conditionalFormatting>
  <conditionalFormatting sqref="AY286:AZ289">
    <cfRule type="expression" dxfId="9742" priority="11141">
      <formula>$G286=""</formula>
    </cfRule>
  </conditionalFormatting>
  <conditionalFormatting sqref="G288">
    <cfRule type="expression" dxfId="9741" priority="11138" stopIfTrue="1">
      <formula>$G286=""</formula>
    </cfRule>
    <cfRule type="containsBlanks" dxfId="9740" priority="11139" stopIfTrue="1">
      <formula>LEN(TRIM(G288))=0</formula>
    </cfRule>
    <cfRule type="expression" dxfId="9739" priority="11140">
      <formula>OR($M288=0,$HH287=FALSE)</formula>
    </cfRule>
  </conditionalFormatting>
  <conditionalFormatting sqref="AO288">
    <cfRule type="expression" dxfId="9738" priority="11137" stopIfTrue="1">
      <formula>$G286=""</formula>
    </cfRule>
  </conditionalFormatting>
  <conditionalFormatting sqref="AU286:AU289">
    <cfRule type="expression" dxfId="9737" priority="11134" stopIfTrue="1">
      <formula>$C$43=2</formula>
    </cfRule>
    <cfRule type="cellIs" dxfId="9736" priority="11135" operator="equal">
      <formula>"Yes"</formula>
    </cfRule>
    <cfRule type="cellIs" dxfId="9735" priority="11136" operator="equal">
      <formula>"No"</formula>
    </cfRule>
  </conditionalFormatting>
  <conditionalFormatting sqref="AO286:AO287">
    <cfRule type="expression" dxfId="9734" priority="11133">
      <formula>$G286=""</formula>
    </cfRule>
  </conditionalFormatting>
  <conditionalFormatting sqref="AP286 AR286:AS289">
    <cfRule type="expression" dxfId="9733" priority="11132">
      <formula>$G286=""</formula>
    </cfRule>
  </conditionalFormatting>
  <conditionalFormatting sqref="AW286:AW289">
    <cfRule type="expression" dxfId="9732" priority="11131">
      <formula>$G286=""</formula>
    </cfRule>
  </conditionalFormatting>
  <conditionalFormatting sqref="G287:L287">
    <cfRule type="expression" dxfId="9731" priority="11129" stopIfTrue="1">
      <formula>$G286=""</formula>
    </cfRule>
    <cfRule type="containsBlanks" dxfId="9730" priority="11130">
      <formula>LEN(TRIM(G287))=0</formula>
    </cfRule>
  </conditionalFormatting>
  <conditionalFormatting sqref="R288">
    <cfRule type="expression" dxfId="9729" priority="11126">
      <formula>$N289="BAM"</formula>
    </cfRule>
    <cfRule type="expression" dxfId="9728" priority="11127" stopIfTrue="1">
      <formula>$G286=""</formula>
    </cfRule>
    <cfRule type="containsBlanks" dxfId="9727" priority="11128">
      <formula>LEN(TRIM(R288))=0</formula>
    </cfRule>
  </conditionalFormatting>
  <conditionalFormatting sqref="R288">
    <cfRule type="expression" dxfId="9726" priority="11125">
      <formula>$C$43=0</formula>
    </cfRule>
  </conditionalFormatting>
  <conditionalFormatting sqref="E289:F289">
    <cfRule type="expression" dxfId="9725" priority="11124">
      <formula>$CQ286="Exterior"</formula>
    </cfRule>
  </conditionalFormatting>
  <conditionalFormatting sqref="G289">
    <cfRule type="expression" dxfId="9724" priority="11114" stopIfTrue="1">
      <formula>$G286=""</formula>
    </cfRule>
  </conditionalFormatting>
  <conditionalFormatting sqref="G289">
    <cfRule type="expression" dxfId="9723" priority="11116" stopIfTrue="1">
      <formula>$CQ286="Exterior"</formula>
    </cfRule>
  </conditionalFormatting>
  <conditionalFormatting sqref="G289:L289">
    <cfRule type="expression" dxfId="9722" priority="11115" stopIfTrue="1">
      <formula>$N289="BAM"</formula>
    </cfRule>
    <cfRule type="containsBlanks" dxfId="9721" priority="11117" stopIfTrue="1">
      <formula>LEN(TRIM(G289))=0</formula>
    </cfRule>
    <cfRule type="expression" dxfId="9720" priority="11119">
      <formula>$HQ287=FALSE</formula>
    </cfRule>
  </conditionalFormatting>
  <conditionalFormatting sqref="G289:L289">
    <cfRule type="expression" dxfId="9719" priority="11118" stopIfTrue="1">
      <formula>$AG288=""</formula>
    </cfRule>
  </conditionalFormatting>
  <conditionalFormatting sqref="G288:L288">
    <cfRule type="expression" dxfId="9718" priority="11112" stopIfTrue="1">
      <formula>$N289="BAM"</formula>
    </cfRule>
  </conditionalFormatting>
  <conditionalFormatting sqref="G286:R286">
    <cfRule type="containsBlanks" dxfId="9717" priority="11111">
      <formula>LEN(TRIM(G286))=0</formula>
    </cfRule>
  </conditionalFormatting>
  <conditionalFormatting sqref="AF288">
    <cfRule type="expression" dxfId="9716" priority="11101" stopIfTrue="1">
      <formula>$G286=""</formula>
    </cfRule>
    <cfRule type="expression" dxfId="9715" priority="11102" stopIfTrue="1">
      <formula>$N289="BAM"</formula>
    </cfRule>
    <cfRule type="expression" dxfId="9714" priority="11110">
      <formula>$AF$49&gt;$T$49</formula>
    </cfRule>
  </conditionalFormatting>
  <conditionalFormatting sqref="AC289:AE289">
    <cfRule type="expression" dxfId="9713" priority="11107" stopIfTrue="1">
      <formula>$G286=""</formula>
    </cfRule>
  </conditionalFormatting>
  <conditionalFormatting sqref="T288:U288">
    <cfRule type="expression" dxfId="9712" priority="11074" stopIfTrue="1">
      <formula>$G286=""</formula>
    </cfRule>
  </conditionalFormatting>
  <conditionalFormatting sqref="T288:U288">
    <cfRule type="containsBlanks" dxfId="9711" priority="11104" stopIfTrue="1">
      <formula>LEN(TRIM(T288))=0</formula>
    </cfRule>
  </conditionalFormatting>
  <conditionalFormatting sqref="AC286:AE286">
    <cfRule type="expression" dxfId="9710" priority="11103">
      <formula>$G286=""</formula>
    </cfRule>
  </conditionalFormatting>
  <conditionalFormatting sqref="AF288 AG289">
    <cfRule type="containsBlanks" dxfId="9709" priority="11108" stopIfTrue="1">
      <formula>LEN(TRIM(AF288))=0</formula>
    </cfRule>
  </conditionalFormatting>
  <conditionalFormatting sqref="AF288">
    <cfRule type="expression" dxfId="9708" priority="11109">
      <formula>OR($HS287=FALSE,$HT287=FALSE)</formula>
    </cfRule>
  </conditionalFormatting>
  <conditionalFormatting sqref="AG289">
    <cfRule type="expression" dxfId="9707" priority="11067">
      <formula>$C$43&gt;0</formula>
    </cfRule>
  </conditionalFormatting>
  <conditionalFormatting sqref="AG289">
    <cfRule type="expression" dxfId="9706" priority="11100" stopIfTrue="1">
      <formula>$G286=""</formula>
    </cfRule>
  </conditionalFormatting>
  <conditionalFormatting sqref="U288">
    <cfRule type="expression" dxfId="9705" priority="11105">
      <formula>OR($HK287=FALSE,$HL287=FALSE)</formula>
    </cfRule>
  </conditionalFormatting>
  <conditionalFormatting sqref="T287:U287">
    <cfRule type="expression" dxfId="9704" priority="11095" stopIfTrue="1">
      <formula>$C$43&lt;&gt;0</formula>
    </cfRule>
    <cfRule type="containsBlanks" dxfId="9703" priority="11096" stopIfTrue="1">
      <formula>LEN(TRIM(T287))=0</formula>
    </cfRule>
  </conditionalFormatting>
  <conditionalFormatting sqref="T287:U287">
    <cfRule type="expression" dxfId="9702" priority="11094" stopIfTrue="1">
      <formula>$G286=""</formula>
    </cfRule>
  </conditionalFormatting>
  <conditionalFormatting sqref="U287">
    <cfRule type="expression" dxfId="9701" priority="11097">
      <formula>$HJ287=FALSE</formula>
    </cfRule>
  </conditionalFormatting>
  <conditionalFormatting sqref="AG288">
    <cfRule type="expression" dxfId="9700" priority="11085" stopIfTrue="1">
      <formula>$G286=""</formula>
    </cfRule>
  </conditionalFormatting>
  <conditionalFormatting sqref="AG288:AL288">
    <cfRule type="expression" dxfId="9699" priority="11086">
      <formula>$N289="BAM"</formula>
    </cfRule>
    <cfRule type="expression" dxfId="9698" priority="11090">
      <formula>OR($HU287=FALSE,$HQ287=FALSE)</formula>
    </cfRule>
  </conditionalFormatting>
  <conditionalFormatting sqref="AG288">
    <cfRule type="containsBlanks" dxfId="9697" priority="11087" stopIfTrue="1">
      <formula>LEN(TRIM(AG288))=0</formula>
    </cfRule>
    <cfRule type="expression" dxfId="9696" priority="11088">
      <formula>OR($HP287=FALSE,$HR287=FALSE)</formula>
    </cfRule>
    <cfRule type="expression" dxfId="9695" priority="11089">
      <formula>OR($DS286=7,$DS286=8,$DS286=9)</formula>
    </cfRule>
  </conditionalFormatting>
  <conditionalFormatting sqref="AG286:AL286">
    <cfRule type="expression" dxfId="9694" priority="11084">
      <formula>$C$43&lt;&gt;0</formula>
    </cfRule>
  </conditionalFormatting>
  <conditionalFormatting sqref="AF287">
    <cfRule type="containsBlanks" dxfId="9693" priority="11083">
      <formula>LEN(TRIM(AF287))=0</formula>
    </cfRule>
  </conditionalFormatting>
  <conditionalFormatting sqref="AF287">
    <cfRule type="expression" dxfId="9692" priority="11082" stopIfTrue="1">
      <formula>$G286=""</formula>
    </cfRule>
  </conditionalFormatting>
  <conditionalFormatting sqref="AG287">
    <cfRule type="containsBlanks" dxfId="9691" priority="11080">
      <formula>LEN(TRIM(AG287))=0</formula>
    </cfRule>
    <cfRule type="expression" dxfId="9690" priority="11081">
      <formula>$HO287=FALSE</formula>
    </cfRule>
  </conditionalFormatting>
  <conditionalFormatting sqref="AG287">
    <cfRule type="expression" dxfId="9689" priority="11079" stopIfTrue="1">
      <formula>$G286=""</formula>
    </cfRule>
  </conditionalFormatting>
  <conditionalFormatting sqref="AF287:AK287">
    <cfRule type="expression" dxfId="9688" priority="11078">
      <formula>$C$43&gt;0</formula>
    </cfRule>
  </conditionalFormatting>
  <conditionalFormatting sqref="AM286:AN287">
    <cfRule type="expression" dxfId="9687" priority="11077">
      <formula>$G286=""</formula>
    </cfRule>
  </conditionalFormatting>
  <conditionalFormatting sqref="AM288:AN288">
    <cfRule type="expression" dxfId="9686" priority="11076" stopIfTrue="1">
      <formula>$G286=""</formula>
    </cfRule>
  </conditionalFormatting>
  <conditionalFormatting sqref="T288">
    <cfRule type="expression" dxfId="9685" priority="11098" stopIfTrue="1">
      <formula>$N289="BAM"</formula>
    </cfRule>
  </conditionalFormatting>
  <conditionalFormatting sqref="U288:AE288">
    <cfRule type="expression" dxfId="9684" priority="11075" stopIfTrue="1">
      <formula>$N289="BAM"</formula>
    </cfRule>
  </conditionalFormatting>
  <conditionalFormatting sqref="AG289:AL289">
    <cfRule type="expression" dxfId="9683" priority="11099" stopIfTrue="1">
      <formula>$N289="BAM"</formula>
    </cfRule>
  </conditionalFormatting>
  <conditionalFormatting sqref="AX292">
    <cfRule type="expression" dxfId="9682" priority="11065">
      <formula>$E292=""</formula>
    </cfRule>
  </conditionalFormatting>
  <conditionalFormatting sqref="AX291">
    <cfRule type="expression" dxfId="9681" priority="11064">
      <formula>$E291=""</formula>
    </cfRule>
  </conditionalFormatting>
  <conditionalFormatting sqref="AX293">
    <cfRule type="expression" dxfId="9680" priority="11063">
      <formula>#REF!=""</formula>
    </cfRule>
  </conditionalFormatting>
  <conditionalFormatting sqref="AX294">
    <cfRule type="expression" dxfId="9679" priority="11062">
      <formula>$E293=""</formula>
    </cfRule>
  </conditionalFormatting>
  <conditionalFormatting sqref="AY291:AZ294">
    <cfRule type="expression" dxfId="9678" priority="11061">
      <formula>$G291=""</formula>
    </cfRule>
  </conditionalFormatting>
  <conditionalFormatting sqref="G293">
    <cfRule type="expression" dxfId="9677" priority="11058" stopIfTrue="1">
      <formula>$G291=""</formula>
    </cfRule>
    <cfRule type="containsBlanks" dxfId="9676" priority="11059" stopIfTrue="1">
      <formula>LEN(TRIM(G293))=0</formula>
    </cfRule>
    <cfRule type="expression" dxfId="9675" priority="11060">
      <formula>OR($M293=0,$HH292=FALSE)</formula>
    </cfRule>
  </conditionalFormatting>
  <conditionalFormatting sqref="AO293">
    <cfRule type="expression" dxfId="9674" priority="11057" stopIfTrue="1">
      <formula>$G291=""</formula>
    </cfRule>
  </conditionalFormatting>
  <conditionalFormatting sqref="AU291:AU294">
    <cfRule type="expression" dxfId="9673" priority="11054" stopIfTrue="1">
      <formula>$C$43=2</formula>
    </cfRule>
    <cfRule type="cellIs" dxfId="9672" priority="11055" operator="equal">
      <formula>"Yes"</formula>
    </cfRule>
    <cfRule type="cellIs" dxfId="9671" priority="11056" operator="equal">
      <formula>"No"</formula>
    </cfRule>
  </conditionalFormatting>
  <conditionalFormatting sqref="AO291:AO292">
    <cfRule type="expression" dxfId="9670" priority="11053">
      <formula>$G291=""</formula>
    </cfRule>
  </conditionalFormatting>
  <conditionalFormatting sqref="AP291 AR291:AS294">
    <cfRule type="expression" dxfId="9669" priority="11052">
      <formula>$G291=""</formula>
    </cfRule>
  </conditionalFormatting>
  <conditionalFormatting sqref="AW291:AW294">
    <cfRule type="expression" dxfId="9668" priority="11051">
      <formula>$G291=""</formula>
    </cfRule>
  </conditionalFormatting>
  <conditionalFormatting sqref="G292:L292">
    <cfRule type="expression" dxfId="9667" priority="11049" stopIfTrue="1">
      <formula>$G291=""</formula>
    </cfRule>
    <cfRule type="containsBlanks" dxfId="9666" priority="11050">
      <formula>LEN(TRIM(G292))=0</formula>
    </cfRule>
  </conditionalFormatting>
  <conditionalFormatting sqref="R293">
    <cfRule type="expression" dxfId="9665" priority="11046">
      <formula>$N294="BAM"</formula>
    </cfRule>
    <cfRule type="expression" dxfId="9664" priority="11047" stopIfTrue="1">
      <formula>$G291=""</formula>
    </cfRule>
    <cfRule type="containsBlanks" dxfId="9663" priority="11048">
      <formula>LEN(TRIM(R293))=0</formula>
    </cfRule>
  </conditionalFormatting>
  <conditionalFormatting sqref="R293">
    <cfRule type="expression" dxfId="9662" priority="11045">
      <formula>$C$43=0</formula>
    </cfRule>
  </conditionalFormatting>
  <conditionalFormatting sqref="E294:F294">
    <cfRule type="expression" dxfId="9661" priority="11044">
      <formula>$CQ291="Exterior"</formula>
    </cfRule>
  </conditionalFormatting>
  <conditionalFormatting sqref="G294">
    <cfRule type="expression" dxfId="9660" priority="11034" stopIfTrue="1">
      <formula>$G291=""</formula>
    </cfRule>
  </conditionalFormatting>
  <conditionalFormatting sqref="G294">
    <cfRule type="expression" dxfId="9659" priority="11036" stopIfTrue="1">
      <formula>$CQ291="Exterior"</formula>
    </cfRule>
  </conditionalFormatting>
  <conditionalFormatting sqref="G294:L294">
    <cfRule type="expression" dxfId="9658" priority="11035" stopIfTrue="1">
      <formula>$N294="BAM"</formula>
    </cfRule>
    <cfRule type="containsBlanks" dxfId="9657" priority="11037" stopIfTrue="1">
      <formula>LEN(TRIM(G294))=0</formula>
    </cfRule>
    <cfRule type="expression" dxfId="9656" priority="11039">
      <formula>$HQ292=FALSE</formula>
    </cfRule>
  </conditionalFormatting>
  <conditionalFormatting sqref="G294:L294">
    <cfRule type="expression" dxfId="9655" priority="11038" stopIfTrue="1">
      <formula>$AG293=""</formula>
    </cfRule>
  </conditionalFormatting>
  <conditionalFormatting sqref="G293:L293">
    <cfRule type="expression" dxfId="9654" priority="11032" stopIfTrue="1">
      <formula>$N294="BAM"</formula>
    </cfRule>
  </conditionalFormatting>
  <conditionalFormatting sqref="G291:R291">
    <cfRule type="containsBlanks" dxfId="9653" priority="11031">
      <formula>LEN(TRIM(G291))=0</formula>
    </cfRule>
  </conditionalFormatting>
  <conditionalFormatting sqref="AF293">
    <cfRule type="expression" dxfId="9652" priority="11021" stopIfTrue="1">
      <formula>$G291=""</formula>
    </cfRule>
    <cfRule type="expression" dxfId="9651" priority="11022" stopIfTrue="1">
      <formula>$N294="BAM"</formula>
    </cfRule>
    <cfRule type="expression" dxfId="9650" priority="11030">
      <formula>$AF$49&gt;$T$49</formula>
    </cfRule>
  </conditionalFormatting>
  <conditionalFormatting sqref="AC294:AE294">
    <cfRule type="expression" dxfId="9649" priority="11027" stopIfTrue="1">
      <formula>$G291=""</formula>
    </cfRule>
  </conditionalFormatting>
  <conditionalFormatting sqref="T293:U293">
    <cfRule type="expression" dxfId="9648" priority="10994" stopIfTrue="1">
      <formula>$G291=""</formula>
    </cfRule>
  </conditionalFormatting>
  <conditionalFormatting sqref="T293:U293">
    <cfRule type="containsBlanks" dxfId="9647" priority="11024" stopIfTrue="1">
      <formula>LEN(TRIM(T293))=0</formula>
    </cfRule>
  </conditionalFormatting>
  <conditionalFormatting sqref="AC291:AE291">
    <cfRule type="expression" dxfId="9646" priority="11023">
      <formula>$G291=""</formula>
    </cfRule>
  </conditionalFormatting>
  <conditionalFormatting sqref="AF293 AG294">
    <cfRule type="containsBlanks" dxfId="9645" priority="11028" stopIfTrue="1">
      <formula>LEN(TRIM(AF293))=0</formula>
    </cfRule>
  </conditionalFormatting>
  <conditionalFormatting sqref="AF293">
    <cfRule type="expression" dxfId="9644" priority="11029">
      <formula>OR($HS292=FALSE,$HT292=FALSE)</formula>
    </cfRule>
  </conditionalFormatting>
  <conditionalFormatting sqref="AG294">
    <cfRule type="expression" dxfId="9643" priority="10987">
      <formula>$C$43&gt;0</formula>
    </cfRule>
  </conditionalFormatting>
  <conditionalFormatting sqref="AG294">
    <cfRule type="expression" dxfId="9642" priority="11020" stopIfTrue="1">
      <formula>$G291=""</formula>
    </cfRule>
  </conditionalFormatting>
  <conditionalFormatting sqref="U293">
    <cfRule type="expression" dxfId="9641" priority="11025">
      <formula>OR($HK292=FALSE,$HL292=FALSE)</formula>
    </cfRule>
  </conditionalFormatting>
  <conditionalFormatting sqref="T292:U292">
    <cfRule type="expression" dxfId="9640" priority="11015" stopIfTrue="1">
      <formula>$C$43&lt;&gt;0</formula>
    </cfRule>
    <cfRule type="containsBlanks" dxfId="9639" priority="11016" stopIfTrue="1">
      <formula>LEN(TRIM(T292))=0</formula>
    </cfRule>
  </conditionalFormatting>
  <conditionalFormatting sqref="T292:U292">
    <cfRule type="expression" dxfId="9638" priority="11014" stopIfTrue="1">
      <formula>$G291=""</formula>
    </cfRule>
  </conditionalFormatting>
  <conditionalFormatting sqref="U292">
    <cfRule type="expression" dxfId="9637" priority="11017">
      <formula>$HJ292=FALSE</formula>
    </cfRule>
  </conditionalFormatting>
  <conditionalFormatting sqref="AG293">
    <cfRule type="expression" dxfId="9636" priority="11005" stopIfTrue="1">
      <formula>$G291=""</formula>
    </cfRule>
  </conditionalFormatting>
  <conditionalFormatting sqref="AG293:AL293">
    <cfRule type="expression" dxfId="9635" priority="11006">
      <formula>$N294="BAM"</formula>
    </cfRule>
    <cfRule type="expression" dxfId="9634" priority="11010">
      <formula>OR($HU292=FALSE,$HQ292=FALSE)</formula>
    </cfRule>
  </conditionalFormatting>
  <conditionalFormatting sqref="AG293">
    <cfRule type="containsBlanks" dxfId="9633" priority="11007" stopIfTrue="1">
      <formula>LEN(TRIM(AG293))=0</formula>
    </cfRule>
    <cfRule type="expression" dxfId="9632" priority="11008">
      <formula>OR($HP292=FALSE,$HR292=FALSE)</formula>
    </cfRule>
    <cfRule type="expression" dxfId="9631" priority="11009">
      <formula>OR($DS291=7,$DS291=8,$DS291=9)</formula>
    </cfRule>
  </conditionalFormatting>
  <conditionalFormatting sqref="AG291:AL291">
    <cfRule type="expression" dxfId="9630" priority="11004">
      <formula>$C$43&lt;&gt;0</formula>
    </cfRule>
  </conditionalFormatting>
  <conditionalFormatting sqref="AF292">
    <cfRule type="containsBlanks" dxfId="9629" priority="11003">
      <formula>LEN(TRIM(AF292))=0</formula>
    </cfRule>
  </conditionalFormatting>
  <conditionalFormatting sqref="AF292">
    <cfRule type="expression" dxfId="9628" priority="11002" stopIfTrue="1">
      <formula>$G291=""</formula>
    </cfRule>
  </conditionalFormatting>
  <conditionalFormatting sqref="AG292">
    <cfRule type="containsBlanks" dxfId="9627" priority="11000">
      <formula>LEN(TRIM(AG292))=0</formula>
    </cfRule>
    <cfRule type="expression" dxfId="9626" priority="11001">
      <formula>$HO292=FALSE</formula>
    </cfRule>
  </conditionalFormatting>
  <conditionalFormatting sqref="AG292">
    <cfRule type="expression" dxfId="9625" priority="10999" stopIfTrue="1">
      <formula>$G291=""</formula>
    </cfRule>
  </conditionalFormatting>
  <conditionalFormatting sqref="AF292:AK292">
    <cfRule type="expression" dxfId="9624" priority="10998">
      <formula>$C$43&gt;0</formula>
    </cfRule>
  </conditionalFormatting>
  <conditionalFormatting sqref="AM291:AN292">
    <cfRule type="expression" dxfId="9623" priority="10997">
      <formula>$G291=""</formula>
    </cfRule>
  </conditionalFormatting>
  <conditionalFormatting sqref="AM293:AN293">
    <cfRule type="expression" dxfId="9622" priority="10996" stopIfTrue="1">
      <formula>$G291=""</formula>
    </cfRule>
  </conditionalFormatting>
  <conditionalFormatting sqref="T293">
    <cfRule type="expression" dxfId="9621" priority="11018" stopIfTrue="1">
      <formula>$N294="BAM"</formula>
    </cfRule>
  </conditionalFormatting>
  <conditionalFormatting sqref="U293:AE293">
    <cfRule type="expression" dxfId="9620" priority="10995" stopIfTrue="1">
      <formula>$N294="BAM"</formula>
    </cfRule>
  </conditionalFormatting>
  <conditionalFormatting sqref="AG294:AL294">
    <cfRule type="expression" dxfId="9619" priority="11019" stopIfTrue="1">
      <formula>$N294="BAM"</formula>
    </cfRule>
  </conditionalFormatting>
  <conditionalFormatting sqref="AX297">
    <cfRule type="expression" dxfId="9618" priority="10985">
      <formula>$E297=""</formula>
    </cfRule>
  </conditionalFormatting>
  <conditionalFormatting sqref="AX296">
    <cfRule type="expression" dxfId="9617" priority="10984">
      <formula>$E296=""</formula>
    </cfRule>
  </conditionalFormatting>
  <conditionalFormatting sqref="AX298">
    <cfRule type="expression" dxfId="9616" priority="10983">
      <formula>#REF!=""</formula>
    </cfRule>
  </conditionalFormatting>
  <conditionalFormatting sqref="AX299">
    <cfRule type="expression" dxfId="9615" priority="10982">
      <formula>$E298=""</formula>
    </cfRule>
  </conditionalFormatting>
  <conditionalFormatting sqref="AY296:AZ299">
    <cfRule type="expression" dxfId="9614" priority="10981">
      <formula>$G296=""</formula>
    </cfRule>
  </conditionalFormatting>
  <conditionalFormatting sqref="G298">
    <cfRule type="expression" dxfId="9613" priority="10978" stopIfTrue="1">
      <formula>$G296=""</formula>
    </cfRule>
    <cfRule type="containsBlanks" dxfId="9612" priority="10979" stopIfTrue="1">
      <formula>LEN(TRIM(G298))=0</formula>
    </cfRule>
    <cfRule type="expression" dxfId="9611" priority="10980">
      <formula>OR($M298=0,$HH297=FALSE)</formula>
    </cfRule>
  </conditionalFormatting>
  <conditionalFormatting sqref="AO298">
    <cfRule type="expression" dxfId="9610" priority="10977" stopIfTrue="1">
      <formula>$G296=""</formula>
    </cfRule>
  </conditionalFormatting>
  <conditionalFormatting sqref="AU296:AU299">
    <cfRule type="expression" dxfId="9609" priority="10974" stopIfTrue="1">
      <formula>$C$43=2</formula>
    </cfRule>
    <cfRule type="cellIs" dxfId="9608" priority="10975" operator="equal">
      <formula>"Yes"</formula>
    </cfRule>
    <cfRule type="cellIs" dxfId="9607" priority="10976" operator="equal">
      <formula>"No"</formula>
    </cfRule>
  </conditionalFormatting>
  <conditionalFormatting sqref="AO296:AO297">
    <cfRule type="expression" dxfId="9606" priority="10973">
      <formula>$G296=""</formula>
    </cfRule>
  </conditionalFormatting>
  <conditionalFormatting sqref="AP296 AR296:AS299">
    <cfRule type="expression" dxfId="9605" priority="10972">
      <formula>$G296=""</formula>
    </cfRule>
  </conditionalFormatting>
  <conditionalFormatting sqref="AW296:AW299">
    <cfRule type="expression" dxfId="9604" priority="10971">
      <formula>$G296=""</formula>
    </cfRule>
  </conditionalFormatting>
  <conditionalFormatting sqref="G297:L297">
    <cfRule type="expression" dxfId="9603" priority="10969" stopIfTrue="1">
      <formula>$G296=""</formula>
    </cfRule>
    <cfRule type="containsBlanks" dxfId="9602" priority="10970">
      <formula>LEN(TRIM(G297))=0</formula>
    </cfRule>
  </conditionalFormatting>
  <conditionalFormatting sqref="R298">
    <cfRule type="expression" dxfId="9601" priority="10966">
      <formula>$N299="BAM"</formula>
    </cfRule>
    <cfRule type="expression" dxfId="9600" priority="10967" stopIfTrue="1">
      <formula>$G296=""</formula>
    </cfRule>
    <cfRule type="containsBlanks" dxfId="9599" priority="10968">
      <formula>LEN(TRIM(R298))=0</formula>
    </cfRule>
  </conditionalFormatting>
  <conditionalFormatting sqref="R298">
    <cfRule type="expression" dxfId="9598" priority="10965">
      <formula>$C$43=0</formula>
    </cfRule>
  </conditionalFormatting>
  <conditionalFormatting sqref="E299:F299">
    <cfRule type="expression" dxfId="9597" priority="10964">
      <formula>$CQ296="Exterior"</formula>
    </cfRule>
  </conditionalFormatting>
  <conditionalFormatting sqref="G299">
    <cfRule type="expression" dxfId="9596" priority="10954" stopIfTrue="1">
      <formula>$G296=""</formula>
    </cfRule>
  </conditionalFormatting>
  <conditionalFormatting sqref="G299">
    <cfRule type="expression" dxfId="9595" priority="10956" stopIfTrue="1">
      <formula>$CQ296="Exterior"</formula>
    </cfRule>
  </conditionalFormatting>
  <conditionalFormatting sqref="G299:L299">
    <cfRule type="expression" dxfId="9594" priority="10955" stopIfTrue="1">
      <formula>$N299="BAM"</formula>
    </cfRule>
    <cfRule type="containsBlanks" dxfId="9593" priority="10957" stopIfTrue="1">
      <formula>LEN(TRIM(G299))=0</formula>
    </cfRule>
    <cfRule type="expression" dxfId="9592" priority="10959">
      <formula>$HQ297=FALSE</formula>
    </cfRule>
  </conditionalFormatting>
  <conditionalFormatting sqref="G299:L299">
    <cfRule type="expression" dxfId="9591" priority="10958" stopIfTrue="1">
      <formula>$AG298=""</formula>
    </cfRule>
  </conditionalFormatting>
  <conditionalFormatting sqref="G298:L298">
    <cfRule type="expression" dxfId="9590" priority="10952" stopIfTrue="1">
      <formula>$N299="BAM"</formula>
    </cfRule>
  </conditionalFormatting>
  <conditionalFormatting sqref="G296:R296">
    <cfRule type="containsBlanks" dxfId="9589" priority="10951">
      <formula>LEN(TRIM(G296))=0</formula>
    </cfRule>
  </conditionalFormatting>
  <conditionalFormatting sqref="AF298">
    <cfRule type="expression" dxfId="9588" priority="10941" stopIfTrue="1">
      <formula>$G296=""</formula>
    </cfRule>
    <cfRule type="expression" dxfId="9587" priority="10942" stopIfTrue="1">
      <formula>$N299="BAM"</formula>
    </cfRule>
    <cfRule type="expression" dxfId="9586" priority="10950">
      <formula>$AF$49&gt;$T$49</formula>
    </cfRule>
  </conditionalFormatting>
  <conditionalFormatting sqref="AC299:AE299">
    <cfRule type="expression" dxfId="9585" priority="10947" stopIfTrue="1">
      <formula>$G296=""</formula>
    </cfRule>
  </conditionalFormatting>
  <conditionalFormatting sqref="T298:U298">
    <cfRule type="expression" dxfId="9584" priority="10914" stopIfTrue="1">
      <formula>$G296=""</formula>
    </cfRule>
  </conditionalFormatting>
  <conditionalFormatting sqref="T298:U298">
    <cfRule type="containsBlanks" dxfId="9583" priority="10944" stopIfTrue="1">
      <formula>LEN(TRIM(T298))=0</formula>
    </cfRule>
  </conditionalFormatting>
  <conditionalFormatting sqref="AC296:AE296">
    <cfRule type="expression" dxfId="9582" priority="10943">
      <formula>$G296=""</formula>
    </cfRule>
  </conditionalFormatting>
  <conditionalFormatting sqref="AF298 AG299">
    <cfRule type="containsBlanks" dxfId="9581" priority="10948" stopIfTrue="1">
      <formula>LEN(TRIM(AF298))=0</formula>
    </cfRule>
  </conditionalFormatting>
  <conditionalFormatting sqref="AF298">
    <cfRule type="expression" dxfId="9580" priority="10949">
      <formula>OR($HS297=FALSE,$HT297=FALSE)</formula>
    </cfRule>
  </conditionalFormatting>
  <conditionalFormatting sqref="AG299">
    <cfRule type="expression" dxfId="9579" priority="10907">
      <formula>$C$43&gt;0</formula>
    </cfRule>
  </conditionalFormatting>
  <conditionalFormatting sqref="AG299">
    <cfRule type="expression" dxfId="9578" priority="10940" stopIfTrue="1">
      <formula>$G296=""</formula>
    </cfRule>
  </conditionalFormatting>
  <conditionalFormatting sqref="U298">
    <cfRule type="expression" dxfId="9577" priority="10945">
      <formula>OR($HK297=FALSE,$HL297=FALSE)</formula>
    </cfRule>
  </conditionalFormatting>
  <conditionalFormatting sqref="T297:U297">
    <cfRule type="expression" dxfId="9576" priority="10935" stopIfTrue="1">
      <formula>$C$43&lt;&gt;0</formula>
    </cfRule>
    <cfRule type="containsBlanks" dxfId="9575" priority="10936" stopIfTrue="1">
      <formula>LEN(TRIM(T297))=0</formula>
    </cfRule>
  </conditionalFormatting>
  <conditionalFormatting sqref="T297:U297">
    <cfRule type="expression" dxfId="9574" priority="10934" stopIfTrue="1">
      <formula>$G296=""</formula>
    </cfRule>
  </conditionalFormatting>
  <conditionalFormatting sqref="U297">
    <cfRule type="expression" dxfId="9573" priority="10937">
      <formula>$HJ297=FALSE</formula>
    </cfRule>
  </conditionalFormatting>
  <conditionalFormatting sqref="AG298">
    <cfRule type="expression" dxfId="9572" priority="10925" stopIfTrue="1">
      <formula>$G296=""</formula>
    </cfRule>
  </conditionalFormatting>
  <conditionalFormatting sqref="AG298:AL298">
    <cfRule type="expression" dxfId="9571" priority="10926">
      <formula>$N299="BAM"</formula>
    </cfRule>
    <cfRule type="expression" dxfId="9570" priority="10930">
      <formula>OR($HU297=FALSE,$HQ297=FALSE)</formula>
    </cfRule>
  </conditionalFormatting>
  <conditionalFormatting sqref="AG298">
    <cfRule type="containsBlanks" dxfId="9569" priority="10927" stopIfTrue="1">
      <formula>LEN(TRIM(AG298))=0</formula>
    </cfRule>
    <cfRule type="expression" dxfId="9568" priority="10928">
      <formula>OR($HP297=FALSE,$HR297=FALSE)</formula>
    </cfRule>
    <cfRule type="expression" dxfId="9567" priority="10929">
      <formula>OR($DS296=7,$DS296=8,$DS296=9)</formula>
    </cfRule>
  </conditionalFormatting>
  <conditionalFormatting sqref="AG296:AL296">
    <cfRule type="expression" dxfId="9566" priority="10924">
      <formula>$C$43&lt;&gt;0</formula>
    </cfRule>
  </conditionalFormatting>
  <conditionalFormatting sqref="AF297">
    <cfRule type="containsBlanks" dxfId="9565" priority="10923">
      <formula>LEN(TRIM(AF297))=0</formula>
    </cfRule>
  </conditionalFormatting>
  <conditionalFormatting sqref="AF297">
    <cfRule type="expression" dxfId="9564" priority="10922" stopIfTrue="1">
      <formula>$G296=""</formula>
    </cfRule>
  </conditionalFormatting>
  <conditionalFormatting sqref="AG297">
    <cfRule type="containsBlanks" dxfId="9563" priority="10920">
      <formula>LEN(TRIM(AG297))=0</formula>
    </cfRule>
    <cfRule type="expression" dxfId="9562" priority="10921">
      <formula>$HO297=FALSE</formula>
    </cfRule>
  </conditionalFormatting>
  <conditionalFormatting sqref="AG297">
    <cfRule type="expression" dxfId="9561" priority="10919" stopIfTrue="1">
      <formula>$G296=""</formula>
    </cfRule>
  </conditionalFormatting>
  <conditionalFormatting sqref="AF297:AK297">
    <cfRule type="expression" dxfId="9560" priority="10918">
      <formula>$C$43&gt;0</formula>
    </cfRule>
  </conditionalFormatting>
  <conditionalFormatting sqref="AM296:AN297">
    <cfRule type="expression" dxfId="9559" priority="10917">
      <formula>$G296=""</formula>
    </cfRule>
  </conditionalFormatting>
  <conditionalFormatting sqref="AM298:AN298">
    <cfRule type="expression" dxfId="9558" priority="10916" stopIfTrue="1">
      <formula>$G296=""</formula>
    </cfRule>
  </conditionalFormatting>
  <conditionalFormatting sqref="T298">
    <cfRule type="expression" dxfId="9557" priority="10938" stopIfTrue="1">
      <formula>$N299="BAM"</formula>
    </cfRule>
  </conditionalFormatting>
  <conditionalFormatting sqref="U298:AE298">
    <cfRule type="expression" dxfId="9556" priority="10915" stopIfTrue="1">
      <formula>$N299="BAM"</formula>
    </cfRule>
  </conditionalFormatting>
  <conditionalFormatting sqref="AG299:AL299">
    <cfRule type="expression" dxfId="9555" priority="10939" stopIfTrue="1">
      <formula>$N299="BAM"</formula>
    </cfRule>
  </conditionalFormatting>
  <conditionalFormatting sqref="AX302">
    <cfRule type="expression" dxfId="9554" priority="10905">
      <formula>$E302=""</formula>
    </cfRule>
  </conditionalFormatting>
  <conditionalFormatting sqref="AX301">
    <cfRule type="expression" dxfId="9553" priority="10904">
      <formula>$E301=""</formula>
    </cfRule>
  </conditionalFormatting>
  <conditionalFormatting sqref="AX303">
    <cfRule type="expression" dxfId="9552" priority="10903">
      <formula>#REF!=""</formula>
    </cfRule>
  </conditionalFormatting>
  <conditionalFormatting sqref="AX304">
    <cfRule type="expression" dxfId="9551" priority="10902">
      <formula>$E303=""</formula>
    </cfRule>
  </conditionalFormatting>
  <conditionalFormatting sqref="AY301:AZ304">
    <cfRule type="expression" dxfId="9550" priority="10901">
      <formula>$G301=""</formula>
    </cfRule>
  </conditionalFormatting>
  <conditionalFormatting sqref="G303">
    <cfRule type="expression" dxfId="9549" priority="10898" stopIfTrue="1">
      <formula>$G301=""</formula>
    </cfRule>
    <cfRule type="containsBlanks" dxfId="9548" priority="10899" stopIfTrue="1">
      <formula>LEN(TRIM(G303))=0</formula>
    </cfRule>
    <cfRule type="expression" dxfId="9547" priority="10900">
      <formula>OR($M303=0,$HH302=FALSE)</formula>
    </cfRule>
  </conditionalFormatting>
  <conditionalFormatting sqref="AO303">
    <cfRule type="expression" dxfId="9546" priority="10897" stopIfTrue="1">
      <formula>$G301=""</formula>
    </cfRule>
  </conditionalFormatting>
  <conditionalFormatting sqref="AU301:AU304">
    <cfRule type="expression" dxfId="9545" priority="10894" stopIfTrue="1">
      <formula>$C$43=2</formula>
    </cfRule>
    <cfRule type="cellIs" dxfId="9544" priority="10895" operator="equal">
      <formula>"Yes"</formula>
    </cfRule>
    <cfRule type="cellIs" dxfId="9543" priority="10896" operator="equal">
      <formula>"No"</formula>
    </cfRule>
  </conditionalFormatting>
  <conditionalFormatting sqref="AO301:AO302">
    <cfRule type="expression" dxfId="9542" priority="10893">
      <formula>$G301=""</formula>
    </cfRule>
  </conditionalFormatting>
  <conditionalFormatting sqref="AP301 AR301:AS304">
    <cfRule type="expression" dxfId="9541" priority="10892">
      <formula>$G301=""</formula>
    </cfRule>
  </conditionalFormatting>
  <conditionalFormatting sqref="AW301:AW304">
    <cfRule type="expression" dxfId="9540" priority="10891">
      <formula>$G301=""</formula>
    </cfRule>
  </conditionalFormatting>
  <conditionalFormatting sqref="G302:L302">
    <cfRule type="expression" dxfId="9539" priority="10889" stopIfTrue="1">
      <formula>$G301=""</formula>
    </cfRule>
    <cfRule type="containsBlanks" dxfId="9538" priority="10890">
      <formula>LEN(TRIM(G302))=0</formula>
    </cfRule>
  </conditionalFormatting>
  <conditionalFormatting sqref="R303">
    <cfRule type="expression" dxfId="9537" priority="10886">
      <formula>$N304="BAM"</formula>
    </cfRule>
    <cfRule type="expression" dxfId="9536" priority="10887" stopIfTrue="1">
      <formula>$G301=""</formula>
    </cfRule>
    <cfRule type="containsBlanks" dxfId="9535" priority="10888">
      <formula>LEN(TRIM(R303))=0</formula>
    </cfRule>
  </conditionalFormatting>
  <conditionalFormatting sqref="R303">
    <cfRule type="expression" dxfId="9534" priority="10885">
      <formula>$C$43=0</formula>
    </cfRule>
  </conditionalFormatting>
  <conditionalFormatting sqref="E304:F304">
    <cfRule type="expression" dxfId="9533" priority="10884">
      <formula>$CQ301="Exterior"</formula>
    </cfRule>
  </conditionalFormatting>
  <conditionalFormatting sqref="G304">
    <cfRule type="expression" dxfId="9532" priority="10874" stopIfTrue="1">
      <formula>$G301=""</formula>
    </cfRule>
  </conditionalFormatting>
  <conditionalFormatting sqref="G304">
    <cfRule type="expression" dxfId="9531" priority="10876" stopIfTrue="1">
      <formula>$CQ301="Exterior"</formula>
    </cfRule>
  </conditionalFormatting>
  <conditionalFormatting sqref="G304:L304">
    <cfRule type="expression" dxfId="9530" priority="10875" stopIfTrue="1">
      <formula>$N304="BAM"</formula>
    </cfRule>
    <cfRule type="containsBlanks" dxfId="9529" priority="10877" stopIfTrue="1">
      <formula>LEN(TRIM(G304))=0</formula>
    </cfRule>
    <cfRule type="expression" dxfId="9528" priority="10879">
      <formula>$HQ302=FALSE</formula>
    </cfRule>
  </conditionalFormatting>
  <conditionalFormatting sqref="G304:L304">
    <cfRule type="expression" dxfId="9527" priority="10878" stopIfTrue="1">
      <formula>$AG303=""</formula>
    </cfRule>
  </conditionalFormatting>
  <conditionalFormatting sqref="G303:L303">
    <cfRule type="expression" dxfId="9526" priority="10872" stopIfTrue="1">
      <formula>$N304="BAM"</formula>
    </cfRule>
  </conditionalFormatting>
  <conditionalFormatting sqref="G301:R301">
    <cfRule type="containsBlanks" dxfId="9525" priority="10871">
      <formula>LEN(TRIM(G301))=0</formula>
    </cfRule>
  </conditionalFormatting>
  <conditionalFormatting sqref="AF303">
    <cfRule type="expression" dxfId="9524" priority="10861" stopIfTrue="1">
      <formula>$G301=""</formula>
    </cfRule>
    <cfRule type="expression" dxfId="9523" priority="10862" stopIfTrue="1">
      <formula>$N304="BAM"</formula>
    </cfRule>
    <cfRule type="expression" dxfId="9522" priority="10870">
      <formula>$AF$49&gt;$T$49</formula>
    </cfRule>
  </conditionalFormatting>
  <conditionalFormatting sqref="AC304:AE304">
    <cfRule type="expression" dxfId="9521" priority="10867" stopIfTrue="1">
      <formula>$G301=""</formula>
    </cfRule>
  </conditionalFormatting>
  <conditionalFormatting sqref="T303:U303">
    <cfRule type="expression" dxfId="9520" priority="10834" stopIfTrue="1">
      <formula>$G301=""</formula>
    </cfRule>
  </conditionalFormatting>
  <conditionalFormatting sqref="T303:U303">
    <cfRule type="containsBlanks" dxfId="9519" priority="10864" stopIfTrue="1">
      <formula>LEN(TRIM(T303))=0</formula>
    </cfRule>
  </conditionalFormatting>
  <conditionalFormatting sqref="AC301:AE301">
    <cfRule type="expression" dxfId="9518" priority="10863">
      <formula>$G301=""</formula>
    </cfRule>
  </conditionalFormatting>
  <conditionalFormatting sqref="AF303 AG304">
    <cfRule type="containsBlanks" dxfId="9517" priority="10868" stopIfTrue="1">
      <formula>LEN(TRIM(AF303))=0</formula>
    </cfRule>
  </conditionalFormatting>
  <conditionalFormatting sqref="AF303">
    <cfRule type="expression" dxfId="9516" priority="10869">
      <formula>OR($HS302=FALSE,$HT302=FALSE)</formula>
    </cfRule>
  </conditionalFormatting>
  <conditionalFormatting sqref="AG304">
    <cfRule type="expression" dxfId="9515" priority="10827">
      <formula>$C$43&gt;0</formula>
    </cfRule>
  </conditionalFormatting>
  <conditionalFormatting sqref="AG304">
    <cfRule type="expression" dxfId="9514" priority="10860" stopIfTrue="1">
      <formula>$G301=""</formula>
    </cfRule>
  </conditionalFormatting>
  <conditionalFormatting sqref="U303">
    <cfRule type="expression" dxfId="9513" priority="10865">
      <formula>OR($HK302=FALSE,$HL302=FALSE)</formula>
    </cfRule>
  </conditionalFormatting>
  <conditionalFormatting sqref="T302:U302">
    <cfRule type="expression" dxfId="9512" priority="10855" stopIfTrue="1">
      <formula>$C$43&lt;&gt;0</formula>
    </cfRule>
    <cfRule type="containsBlanks" dxfId="9511" priority="10856" stopIfTrue="1">
      <formula>LEN(TRIM(T302))=0</formula>
    </cfRule>
  </conditionalFormatting>
  <conditionalFormatting sqref="T302:U302">
    <cfRule type="expression" dxfId="9510" priority="10854" stopIfTrue="1">
      <formula>$G301=""</formula>
    </cfRule>
  </conditionalFormatting>
  <conditionalFormatting sqref="U302">
    <cfRule type="expression" dxfId="9509" priority="10857">
      <formula>$HJ302=FALSE</formula>
    </cfRule>
  </conditionalFormatting>
  <conditionalFormatting sqref="AG303">
    <cfRule type="expression" dxfId="9508" priority="10845" stopIfTrue="1">
      <formula>$G301=""</formula>
    </cfRule>
  </conditionalFormatting>
  <conditionalFormatting sqref="AG303:AL303">
    <cfRule type="expression" dxfId="9507" priority="10846">
      <formula>$N304="BAM"</formula>
    </cfRule>
    <cfRule type="expression" dxfId="9506" priority="10850">
      <formula>OR($HU302=FALSE,$HQ302=FALSE)</formula>
    </cfRule>
  </conditionalFormatting>
  <conditionalFormatting sqref="AG303">
    <cfRule type="containsBlanks" dxfId="9505" priority="10847" stopIfTrue="1">
      <formula>LEN(TRIM(AG303))=0</formula>
    </cfRule>
    <cfRule type="expression" dxfId="9504" priority="10848">
      <formula>OR($HP302=FALSE,$HR302=FALSE)</formula>
    </cfRule>
    <cfRule type="expression" dxfId="9503" priority="10849">
      <formula>OR($DS301=7,$DS301=8,$DS301=9)</formula>
    </cfRule>
  </conditionalFormatting>
  <conditionalFormatting sqref="AG301:AL301">
    <cfRule type="expression" dxfId="9502" priority="10844">
      <formula>$C$43&lt;&gt;0</formula>
    </cfRule>
  </conditionalFormatting>
  <conditionalFormatting sqref="AF302">
    <cfRule type="containsBlanks" dxfId="9501" priority="10843">
      <formula>LEN(TRIM(AF302))=0</formula>
    </cfRule>
  </conditionalFormatting>
  <conditionalFormatting sqref="AF302">
    <cfRule type="expression" dxfId="9500" priority="10842" stopIfTrue="1">
      <formula>$G301=""</formula>
    </cfRule>
  </conditionalFormatting>
  <conditionalFormatting sqref="AG302">
    <cfRule type="containsBlanks" dxfId="9499" priority="10840">
      <formula>LEN(TRIM(AG302))=0</formula>
    </cfRule>
    <cfRule type="expression" dxfId="9498" priority="10841">
      <formula>$HO302=FALSE</formula>
    </cfRule>
  </conditionalFormatting>
  <conditionalFormatting sqref="AG302">
    <cfRule type="expression" dxfId="9497" priority="10839" stopIfTrue="1">
      <formula>$G301=""</formula>
    </cfRule>
  </conditionalFormatting>
  <conditionalFormatting sqref="AF302:AK302">
    <cfRule type="expression" dxfId="9496" priority="10838">
      <formula>$C$43&gt;0</formula>
    </cfRule>
  </conditionalFormatting>
  <conditionalFormatting sqref="AM301:AN302">
    <cfRule type="expression" dxfId="9495" priority="10837">
      <formula>$G301=""</formula>
    </cfRule>
  </conditionalFormatting>
  <conditionalFormatting sqref="AM303:AN303">
    <cfRule type="expression" dxfId="9494" priority="10836" stopIfTrue="1">
      <formula>$G301=""</formula>
    </cfRule>
  </conditionalFormatting>
  <conditionalFormatting sqref="T303">
    <cfRule type="expression" dxfId="9493" priority="10858" stopIfTrue="1">
      <formula>$N304="BAM"</formula>
    </cfRule>
  </conditionalFormatting>
  <conditionalFormatting sqref="U303:AE303">
    <cfRule type="expression" dxfId="9492" priority="10835" stopIfTrue="1">
      <formula>$N304="BAM"</formula>
    </cfRule>
  </conditionalFormatting>
  <conditionalFormatting sqref="AG304:AL304">
    <cfRule type="expression" dxfId="9491" priority="10859" stopIfTrue="1">
      <formula>$N304="BAM"</formula>
    </cfRule>
  </conditionalFormatting>
  <conditionalFormatting sqref="AX307">
    <cfRule type="expression" dxfId="9490" priority="10825">
      <formula>$E307=""</formula>
    </cfRule>
  </conditionalFormatting>
  <conditionalFormatting sqref="AX306">
    <cfRule type="expression" dxfId="9489" priority="10824">
      <formula>$E306=""</formula>
    </cfRule>
  </conditionalFormatting>
  <conditionalFormatting sqref="AX308">
    <cfRule type="expression" dxfId="9488" priority="10823">
      <formula>#REF!=""</formula>
    </cfRule>
  </conditionalFormatting>
  <conditionalFormatting sqref="AX309">
    <cfRule type="expression" dxfId="9487" priority="10822">
      <formula>$E308=""</formula>
    </cfRule>
  </conditionalFormatting>
  <conditionalFormatting sqref="AY306:AZ309">
    <cfRule type="expression" dxfId="9486" priority="10821">
      <formula>$G306=""</formula>
    </cfRule>
  </conditionalFormatting>
  <conditionalFormatting sqref="G308">
    <cfRule type="expression" dxfId="9485" priority="10818" stopIfTrue="1">
      <formula>$G306=""</formula>
    </cfRule>
    <cfRule type="containsBlanks" dxfId="9484" priority="10819" stopIfTrue="1">
      <formula>LEN(TRIM(G308))=0</formula>
    </cfRule>
    <cfRule type="expression" dxfId="9483" priority="10820">
      <formula>OR($M308=0,$HH307=FALSE)</formula>
    </cfRule>
  </conditionalFormatting>
  <conditionalFormatting sqref="AO308">
    <cfRule type="expression" dxfId="9482" priority="10817" stopIfTrue="1">
      <formula>$G306=""</formula>
    </cfRule>
  </conditionalFormatting>
  <conditionalFormatting sqref="AU306:AU309">
    <cfRule type="expression" dxfId="9481" priority="10814" stopIfTrue="1">
      <formula>$C$43=2</formula>
    </cfRule>
    <cfRule type="cellIs" dxfId="9480" priority="10815" operator="equal">
      <formula>"Yes"</formula>
    </cfRule>
    <cfRule type="cellIs" dxfId="9479" priority="10816" operator="equal">
      <formula>"No"</formula>
    </cfRule>
  </conditionalFormatting>
  <conditionalFormatting sqref="AO306:AO307">
    <cfRule type="expression" dxfId="9478" priority="10813">
      <formula>$G306=""</formula>
    </cfRule>
  </conditionalFormatting>
  <conditionalFormatting sqref="AP306 AR306:AS309">
    <cfRule type="expression" dxfId="9477" priority="10812">
      <formula>$G306=""</formula>
    </cfRule>
  </conditionalFormatting>
  <conditionalFormatting sqref="AW306:AW309">
    <cfRule type="expression" dxfId="9476" priority="10811">
      <formula>$G306=""</formula>
    </cfRule>
  </conditionalFormatting>
  <conditionalFormatting sqref="G307:L307">
    <cfRule type="expression" dxfId="9475" priority="10809" stopIfTrue="1">
      <formula>$G306=""</formula>
    </cfRule>
    <cfRule type="containsBlanks" dxfId="9474" priority="10810">
      <formula>LEN(TRIM(G307))=0</formula>
    </cfRule>
  </conditionalFormatting>
  <conditionalFormatting sqref="R308">
    <cfRule type="expression" dxfId="9473" priority="10806">
      <formula>$N309="BAM"</formula>
    </cfRule>
    <cfRule type="expression" dxfId="9472" priority="10807" stopIfTrue="1">
      <formula>$G306=""</formula>
    </cfRule>
    <cfRule type="containsBlanks" dxfId="9471" priority="10808">
      <formula>LEN(TRIM(R308))=0</formula>
    </cfRule>
  </conditionalFormatting>
  <conditionalFormatting sqref="R308">
    <cfRule type="expression" dxfId="9470" priority="10805">
      <formula>$C$43=0</formula>
    </cfRule>
  </conditionalFormatting>
  <conditionalFormatting sqref="E309:F309">
    <cfRule type="expression" dxfId="9469" priority="10804">
      <formula>$CQ306="Exterior"</formula>
    </cfRule>
  </conditionalFormatting>
  <conditionalFormatting sqref="G309">
    <cfRule type="expression" dxfId="9468" priority="10794" stopIfTrue="1">
      <formula>$G306=""</formula>
    </cfRule>
  </conditionalFormatting>
  <conditionalFormatting sqref="G309">
    <cfRule type="expression" dxfId="9467" priority="10796" stopIfTrue="1">
      <formula>$CQ306="Exterior"</formula>
    </cfRule>
  </conditionalFormatting>
  <conditionalFormatting sqref="G309:L309">
    <cfRule type="expression" dxfId="9466" priority="10795" stopIfTrue="1">
      <formula>$N309="BAM"</formula>
    </cfRule>
    <cfRule type="containsBlanks" dxfId="9465" priority="10797" stopIfTrue="1">
      <formula>LEN(TRIM(G309))=0</formula>
    </cfRule>
    <cfRule type="expression" dxfId="9464" priority="10799">
      <formula>$HQ307=FALSE</formula>
    </cfRule>
  </conditionalFormatting>
  <conditionalFormatting sqref="G309:L309">
    <cfRule type="expression" dxfId="9463" priority="10798" stopIfTrue="1">
      <formula>$AG308=""</formula>
    </cfRule>
  </conditionalFormatting>
  <conditionalFormatting sqref="G308:L308">
    <cfRule type="expression" dxfId="9462" priority="10792" stopIfTrue="1">
      <formula>$N309="BAM"</formula>
    </cfRule>
  </conditionalFormatting>
  <conditionalFormatting sqref="G306:R306">
    <cfRule type="containsBlanks" dxfId="9461" priority="10791">
      <formula>LEN(TRIM(G306))=0</formula>
    </cfRule>
  </conditionalFormatting>
  <conditionalFormatting sqref="AF308">
    <cfRule type="expression" dxfId="9460" priority="10781" stopIfTrue="1">
      <formula>$G306=""</formula>
    </cfRule>
    <cfRule type="expression" dxfId="9459" priority="10782" stopIfTrue="1">
      <formula>$N309="BAM"</formula>
    </cfRule>
    <cfRule type="expression" dxfId="9458" priority="10790">
      <formula>$AF$49&gt;$T$49</formula>
    </cfRule>
  </conditionalFormatting>
  <conditionalFormatting sqref="AC309:AE309">
    <cfRule type="expression" dxfId="9457" priority="10787" stopIfTrue="1">
      <formula>$G306=""</formula>
    </cfRule>
  </conditionalFormatting>
  <conditionalFormatting sqref="T308:U308">
    <cfRule type="expression" dxfId="9456" priority="10754" stopIfTrue="1">
      <formula>$G306=""</formula>
    </cfRule>
  </conditionalFormatting>
  <conditionalFormatting sqref="T308:U308">
    <cfRule type="containsBlanks" dxfId="9455" priority="10784" stopIfTrue="1">
      <formula>LEN(TRIM(T308))=0</formula>
    </cfRule>
  </conditionalFormatting>
  <conditionalFormatting sqref="AC306:AE306">
    <cfRule type="expression" dxfId="9454" priority="10783">
      <formula>$G306=""</formula>
    </cfRule>
  </conditionalFormatting>
  <conditionalFormatting sqref="AF308 AG309">
    <cfRule type="containsBlanks" dxfId="9453" priority="10788" stopIfTrue="1">
      <formula>LEN(TRIM(AF308))=0</formula>
    </cfRule>
  </conditionalFormatting>
  <conditionalFormatting sqref="AF308">
    <cfRule type="expression" dxfId="9452" priority="10789">
      <formula>OR($HS307=FALSE,$HT307=FALSE)</formula>
    </cfRule>
  </conditionalFormatting>
  <conditionalFormatting sqref="AG309">
    <cfRule type="expression" dxfId="9451" priority="10747">
      <formula>$C$43&gt;0</formula>
    </cfRule>
  </conditionalFormatting>
  <conditionalFormatting sqref="AG309">
    <cfRule type="expression" dxfId="9450" priority="10780" stopIfTrue="1">
      <formula>$G306=""</formula>
    </cfRule>
  </conditionalFormatting>
  <conditionalFormatting sqref="U308">
    <cfRule type="expression" dxfId="9449" priority="10785">
      <formula>OR($HK307=FALSE,$HL307=FALSE)</formula>
    </cfRule>
  </conditionalFormatting>
  <conditionalFormatting sqref="T307:U307">
    <cfRule type="expression" dxfId="9448" priority="10775" stopIfTrue="1">
      <formula>$C$43&lt;&gt;0</formula>
    </cfRule>
    <cfRule type="containsBlanks" dxfId="9447" priority="10776" stopIfTrue="1">
      <formula>LEN(TRIM(T307))=0</formula>
    </cfRule>
  </conditionalFormatting>
  <conditionalFormatting sqref="T307:U307">
    <cfRule type="expression" dxfId="9446" priority="10774" stopIfTrue="1">
      <formula>$G306=""</formula>
    </cfRule>
  </conditionalFormatting>
  <conditionalFormatting sqref="U307">
    <cfRule type="expression" dxfId="9445" priority="10777">
      <formula>$HJ307=FALSE</formula>
    </cfRule>
  </conditionalFormatting>
  <conditionalFormatting sqref="AG308">
    <cfRule type="expression" dxfId="9444" priority="10765" stopIfTrue="1">
      <formula>$G306=""</formula>
    </cfRule>
  </conditionalFormatting>
  <conditionalFormatting sqref="AG308:AL308">
    <cfRule type="expression" dxfId="9443" priority="10766">
      <formula>$N309="BAM"</formula>
    </cfRule>
    <cfRule type="expression" dxfId="9442" priority="10770">
      <formula>OR($HU307=FALSE,$HQ307=FALSE)</formula>
    </cfRule>
  </conditionalFormatting>
  <conditionalFormatting sqref="AG308">
    <cfRule type="containsBlanks" dxfId="9441" priority="10767" stopIfTrue="1">
      <formula>LEN(TRIM(AG308))=0</formula>
    </cfRule>
    <cfRule type="expression" dxfId="9440" priority="10768">
      <formula>OR($HP307=FALSE,$HR307=FALSE)</formula>
    </cfRule>
    <cfRule type="expression" dxfId="9439" priority="10769">
      <formula>OR($DS306=7,$DS306=8,$DS306=9)</formula>
    </cfRule>
  </conditionalFormatting>
  <conditionalFormatting sqref="AG306:AL306">
    <cfRule type="expression" dxfId="9438" priority="10764">
      <formula>$C$43&lt;&gt;0</formula>
    </cfRule>
  </conditionalFormatting>
  <conditionalFormatting sqref="AF307">
    <cfRule type="containsBlanks" dxfId="9437" priority="10763">
      <formula>LEN(TRIM(AF307))=0</formula>
    </cfRule>
  </conditionalFormatting>
  <conditionalFormatting sqref="AF307">
    <cfRule type="expression" dxfId="9436" priority="10762" stopIfTrue="1">
      <formula>$G306=""</formula>
    </cfRule>
  </conditionalFormatting>
  <conditionalFormatting sqref="AG307">
    <cfRule type="containsBlanks" dxfId="9435" priority="10760">
      <formula>LEN(TRIM(AG307))=0</formula>
    </cfRule>
    <cfRule type="expression" dxfId="9434" priority="10761">
      <formula>$HO307=FALSE</formula>
    </cfRule>
  </conditionalFormatting>
  <conditionalFormatting sqref="AG307">
    <cfRule type="expression" dxfId="9433" priority="10759" stopIfTrue="1">
      <formula>$G306=""</formula>
    </cfRule>
  </conditionalFormatting>
  <conditionalFormatting sqref="AF307:AK307">
    <cfRule type="expression" dxfId="9432" priority="10758">
      <formula>$C$43&gt;0</formula>
    </cfRule>
  </conditionalFormatting>
  <conditionalFormatting sqref="AM306:AN307">
    <cfRule type="expression" dxfId="9431" priority="10757">
      <formula>$G306=""</formula>
    </cfRule>
  </conditionalFormatting>
  <conditionalFormatting sqref="AM308:AN308">
    <cfRule type="expression" dxfId="9430" priority="10756" stopIfTrue="1">
      <formula>$G306=""</formula>
    </cfRule>
  </conditionalFormatting>
  <conditionalFormatting sqref="T308">
    <cfRule type="expression" dxfId="9429" priority="10778" stopIfTrue="1">
      <formula>$N309="BAM"</formula>
    </cfRule>
  </conditionalFormatting>
  <conditionalFormatting sqref="U308:AE308">
    <cfRule type="expression" dxfId="9428" priority="10755" stopIfTrue="1">
      <formula>$N309="BAM"</formula>
    </cfRule>
  </conditionalFormatting>
  <conditionalFormatting sqref="AG309:AL309">
    <cfRule type="expression" dxfId="9427" priority="10779" stopIfTrue="1">
      <formula>$N309="BAM"</formula>
    </cfRule>
  </conditionalFormatting>
  <conditionalFormatting sqref="AX312">
    <cfRule type="expression" dxfId="9426" priority="10745">
      <formula>$E312=""</formula>
    </cfRule>
  </conditionalFormatting>
  <conditionalFormatting sqref="AX311">
    <cfRule type="expression" dxfId="9425" priority="10744">
      <formula>$E311=""</formula>
    </cfRule>
  </conditionalFormatting>
  <conditionalFormatting sqref="AX313">
    <cfRule type="expression" dxfId="9424" priority="10743">
      <formula>#REF!=""</formula>
    </cfRule>
  </conditionalFormatting>
  <conditionalFormatting sqref="AX314">
    <cfRule type="expression" dxfId="9423" priority="10742">
      <formula>$E313=""</formula>
    </cfRule>
  </conditionalFormatting>
  <conditionalFormatting sqref="AY311:AZ314">
    <cfRule type="expression" dxfId="9422" priority="10741">
      <formula>$G311=""</formula>
    </cfRule>
  </conditionalFormatting>
  <conditionalFormatting sqref="G313">
    <cfRule type="expression" dxfId="9421" priority="10738" stopIfTrue="1">
      <formula>$G311=""</formula>
    </cfRule>
    <cfRule type="containsBlanks" dxfId="9420" priority="10739" stopIfTrue="1">
      <formula>LEN(TRIM(G313))=0</formula>
    </cfRule>
    <cfRule type="expression" dxfId="9419" priority="10740">
      <formula>OR($M313=0,$HH312=FALSE)</formula>
    </cfRule>
  </conditionalFormatting>
  <conditionalFormatting sqref="AO313">
    <cfRule type="expression" dxfId="9418" priority="10737" stopIfTrue="1">
      <formula>$G311=""</formula>
    </cfRule>
  </conditionalFormatting>
  <conditionalFormatting sqref="AU311:AU314">
    <cfRule type="expression" dxfId="9417" priority="10734" stopIfTrue="1">
      <formula>$C$43=2</formula>
    </cfRule>
    <cfRule type="cellIs" dxfId="9416" priority="10735" operator="equal">
      <formula>"Yes"</formula>
    </cfRule>
    <cfRule type="cellIs" dxfId="9415" priority="10736" operator="equal">
      <formula>"No"</formula>
    </cfRule>
  </conditionalFormatting>
  <conditionalFormatting sqref="AO311:AO312">
    <cfRule type="expression" dxfId="9414" priority="10733">
      <formula>$G311=""</formula>
    </cfRule>
  </conditionalFormatting>
  <conditionalFormatting sqref="AP311 AR311:AS314">
    <cfRule type="expression" dxfId="9413" priority="10732">
      <formula>$G311=""</formula>
    </cfRule>
  </conditionalFormatting>
  <conditionalFormatting sqref="AW311:AW314">
    <cfRule type="expression" dxfId="9412" priority="10731">
      <formula>$G311=""</formula>
    </cfRule>
  </conditionalFormatting>
  <conditionalFormatting sqref="G312:L312">
    <cfRule type="expression" dxfId="9411" priority="10729" stopIfTrue="1">
      <formula>$G311=""</formula>
    </cfRule>
    <cfRule type="containsBlanks" dxfId="9410" priority="10730">
      <formula>LEN(TRIM(G312))=0</formula>
    </cfRule>
  </conditionalFormatting>
  <conditionalFormatting sqref="R313">
    <cfRule type="expression" dxfId="9409" priority="10726">
      <formula>$N314="BAM"</formula>
    </cfRule>
    <cfRule type="expression" dxfId="9408" priority="10727" stopIfTrue="1">
      <formula>$G311=""</formula>
    </cfRule>
    <cfRule type="containsBlanks" dxfId="9407" priority="10728">
      <formula>LEN(TRIM(R313))=0</formula>
    </cfRule>
  </conditionalFormatting>
  <conditionalFormatting sqref="R313">
    <cfRule type="expression" dxfId="9406" priority="10725">
      <formula>$C$43=0</formula>
    </cfRule>
  </conditionalFormatting>
  <conditionalFormatting sqref="E314:F314">
    <cfRule type="expression" dxfId="9405" priority="10724">
      <formula>$CQ311="Exterior"</formula>
    </cfRule>
  </conditionalFormatting>
  <conditionalFormatting sqref="G314">
    <cfRule type="expression" dxfId="9404" priority="10714" stopIfTrue="1">
      <formula>$G311=""</formula>
    </cfRule>
  </conditionalFormatting>
  <conditionalFormatting sqref="G314">
    <cfRule type="expression" dxfId="9403" priority="10716" stopIfTrue="1">
      <formula>$CQ311="Exterior"</formula>
    </cfRule>
  </conditionalFormatting>
  <conditionalFormatting sqref="G314:L314">
    <cfRule type="expression" dxfId="9402" priority="10715" stopIfTrue="1">
      <formula>$N314="BAM"</formula>
    </cfRule>
    <cfRule type="containsBlanks" dxfId="9401" priority="10717" stopIfTrue="1">
      <formula>LEN(TRIM(G314))=0</formula>
    </cfRule>
    <cfRule type="expression" dxfId="9400" priority="10719">
      <formula>$HQ312=FALSE</formula>
    </cfRule>
  </conditionalFormatting>
  <conditionalFormatting sqref="G314:L314">
    <cfRule type="expression" dxfId="9399" priority="10718" stopIfTrue="1">
      <formula>$AG313=""</formula>
    </cfRule>
  </conditionalFormatting>
  <conditionalFormatting sqref="G313:L313">
    <cfRule type="expression" dxfId="9398" priority="10712" stopIfTrue="1">
      <formula>$N314="BAM"</formula>
    </cfRule>
  </conditionalFormatting>
  <conditionalFormatting sqref="G311:R311">
    <cfRule type="containsBlanks" dxfId="9397" priority="10711">
      <formula>LEN(TRIM(G311))=0</formula>
    </cfRule>
  </conditionalFormatting>
  <conditionalFormatting sqref="AF313">
    <cfRule type="expression" dxfId="9396" priority="10701" stopIfTrue="1">
      <formula>$G311=""</formula>
    </cfRule>
    <cfRule type="expression" dxfId="9395" priority="10702" stopIfTrue="1">
      <formula>$N314="BAM"</formula>
    </cfRule>
    <cfRule type="expression" dxfId="9394" priority="10710">
      <formula>$AF$49&gt;$T$49</formula>
    </cfRule>
  </conditionalFormatting>
  <conditionalFormatting sqref="AC314:AE314">
    <cfRule type="expression" dxfId="9393" priority="10707" stopIfTrue="1">
      <formula>$G311=""</formula>
    </cfRule>
  </conditionalFormatting>
  <conditionalFormatting sqref="T313:U313">
    <cfRule type="expression" dxfId="9392" priority="10674" stopIfTrue="1">
      <formula>$G311=""</formula>
    </cfRule>
  </conditionalFormatting>
  <conditionalFormatting sqref="T313:U313">
    <cfRule type="containsBlanks" dxfId="9391" priority="10704" stopIfTrue="1">
      <formula>LEN(TRIM(T313))=0</formula>
    </cfRule>
  </conditionalFormatting>
  <conditionalFormatting sqref="AC311:AE311">
    <cfRule type="expression" dxfId="9390" priority="10703">
      <formula>$G311=""</formula>
    </cfRule>
  </conditionalFormatting>
  <conditionalFormatting sqref="AF313 AG314">
    <cfRule type="containsBlanks" dxfId="9389" priority="10708" stopIfTrue="1">
      <formula>LEN(TRIM(AF313))=0</formula>
    </cfRule>
  </conditionalFormatting>
  <conditionalFormatting sqref="AF313">
    <cfRule type="expression" dxfId="9388" priority="10709">
      <formula>OR($HS312=FALSE,$HT312=FALSE)</formula>
    </cfRule>
  </conditionalFormatting>
  <conditionalFormatting sqref="AG314">
    <cfRule type="expression" dxfId="9387" priority="10667">
      <formula>$C$43&gt;0</formula>
    </cfRule>
  </conditionalFormatting>
  <conditionalFormatting sqref="AG314">
    <cfRule type="expression" dxfId="9386" priority="10700" stopIfTrue="1">
      <formula>$G311=""</formula>
    </cfRule>
  </conditionalFormatting>
  <conditionalFormatting sqref="U313">
    <cfRule type="expression" dxfId="9385" priority="10705">
      <formula>OR($HK312=FALSE,$HL312=FALSE)</formula>
    </cfRule>
  </conditionalFormatting>
  <conditionalFormatting sqref="T312:U312">
    <cfRule type="expression" dxfId="9384" priority="10695" stopIfTrue="1">
      <formula>$C$43&lt;&gt;0</formula>
    </cfRule>
    <cfRule type="containsBlanks" dxfId="9383" priority="10696" stopIfTrue="1">
      <formula>LEN(TRIM(T312))=0</formula>
    </cfRule>
  </conditionalFormatting>
  <conditionalFormatting sqref="T312:U312">
    <cfRule type="expression" dxfId="9382" priority="10694" stopIfTrue="1">
      <formula>$G311=""</formula>
    </cfRule>
  </conditionalFormatting>
  <conditionalFormatting sqref="U312">
    <cfRule type="expression" dxfId="9381" priority="10697">
      <formula>$HJ312=FALSE</formula>
    </cfRule>
  </conditionalFormatting>
  <conditionalFormatting sqref="AG313">
    <cfRule type="expression" dxfId="9380" priority="10685" stopIfTrue="1">
      <formula>$G311=""</formula>
    </cfRule>
  </conditionalFormatting>
  <conditionalFormatting sqref="AG313:AL313">
    <cfRule type="expression" dxfId="9379" priority="10686">
      <formula>$N314="BAM"</formula>
    </cfRule>
    <cfRule type="expression" dxfId="9378" priority="10690">
      <formula>OR($HU312=FALSE,$HQ312=FALSE)</formula>
    </cfRule>
  </conditionalFormatting>
  <conditionalFormatting sqref="AG313">
    <cfRule type="containsBlanks" dxfId="9377" priority="10687" stopIfTrue="1">
      <formula>LEN(TRIM(AG313))=0</formula>
    </cfRule>
    <cfRule type="expression" dxfId="9376" priority="10688">
      <formula>OR($HP312=FALSE,$HR312=FALSE)</formula>
    </cfRule>
    <cfRule type="expression" dxfId="9375" priority="10689">
      <formula>OR($DS311=7,$DS311=8,$DS311=9)</formula>
    </cfRule>
  </conditionalFormatting>
  <conditionalFormatting sqref="AG311:AL311">
    <cfRule type="expression" dxfId="9374" priority="10684">
      <formula>$C$43&lt;&gt;0</formula>
    </cfRule>
  </conditionalFormatting>
  <conditionalFormatting sqref="AF312">
    <cfRule type="containsBlanks" dxfId="9373" priority="10683">
      <formula>LEN(TRIM(AF312))=0</formula>
    </cfRule>
  </conditionalFormatting>
  <conditionalFormatting sqref="AF312">
    <cfRule type="expression" dxfId="9372" priority="10682" stopIfTrue="1">
      <formula>$G311=""</formula>
    </cfRule>
  </conditionalFormatting>
  <conditionalFormatting sqref="AG312">
    <cfRule type="containsBlanks" dxfId="9371" priority="10680">
      <formula>LEN(TRIM(AG312))=0</formula>
    </cfRule>
    <cfRule type="expression" dxfId="9370" priority="10681">
      <formula>$HO312=FALSE</formula>
    </cfRule>
  </conditionalFormatting>
  <conditionalFormatting sqref="AG312">
    <cfRule type="expression" dxfId="9369" priority="10679" stopIfTrue="1">
      <formula>$G311=""</formula>
    </cfRule>
  </conditionalFormatting>
  <conditionalFormatting sqref="AF312:AK312">
    <cfRule type="expression" dxfId="9368" priority="10678">
      <formula>$C$43&gt;0</formula>
    </cfRule>
  </conditionalFormatting>
  <conditionalFormatting sqref="AM311:AN312">
    <cfRule type="expression" dxfId="9367" priority="10677">
      <formula>$G311=""</formula>
    </cfRule>
  </conditionalFormatting>
  <conditionalFormatting sqref="AM313:AN313">
    <cfRule type="expression" dxfId="9366" priority="10676" stopIfTrue="1">
      <formula>$G311=""</formula>
    </cfRule>
  </conditionalFormatting>
  <conditionalFormatting sqref="T313">
    <cfRule type="expression" dxfId="9365" priority="10698" stopIfTrue="1">
      <formula>$N314="BAM"</formula>
    </cfRule>
  </conditionalFormatting>
  <conditionalFormatting sqref="U313:AE313">
    <cfRule type="expression" dxfId="9364" priority="10675" stopIfTrue="1">
      <formula>$N314="BAM"</formula>
    </cfRule>
  </conditionalFormatting>
  <conditionalFormatting sqref="AG314:AL314">
    <cfRule type="expression" dxfId="9363" priority="10699" stopIfTrue="1">
      <formula>$N314="BAM"</formula>
    </cfRule>
  </conditionalFormatting>
  <conditionalFormatting sqref="AX317">
    <cfRule type="expression" dxfId="9362" priority="10665">
      <formula>$E317=""</formula>
    </cfRule>
  </conditionalFormatting>
  <conditionalFormatting sqref="AX316">
    <cfRule type="expression" dxfId="9361" priority="10664">
      <formula>$E316=""</formula>
    </cfRule>
  </conditionalFormatting>
  <conditionalFormatting sqref="AX318">
    <cfRule type="expression" dxfId="9360" priority="10663">
      <formula>#REF!=""</formula>
    </cfRule>
  </conditionalFormatting>
  <conditionalFormatting sqref="AX319">
    <cfRule type="expression" dxfId="9359" priority="10662">
      <formula>$E318=""</formula>
    </cfRule>
  </conditionalFormatting>
  <conditionalFormatting sqref="AY316:AZ319">
    <cfRule type="expression" dxfId="9358" priority="10661">
      <formula>$G316=""</formula>
    </cfRule>
  </conditionalFormatting>
  <conditionalFormatting sqref="G318">
    <cfRule type="expression" dxfId="9357" priority="10658" stopIfTrue="1">
      <formula>$G316=""</formula>
    </cfRule>
    <cfRule type="containsBlanks" dxfId="9356" priority="10659" stopIfTrue="1">
      <formula>LEN(TRIM(G318))=0</formula>
    </cfRule>
    <cfRule type="expression" dxfId="9355" priority="10660">
      <formula>OR($M318=0,$HH317=FALSE)</formula>
    </cfRule>
  </conditionalFormatting>
  <conditionalFormatting sqref="AO318">
    <cfRule type="expression" dxfId="9354" priority="10657" stopIfTrue="1">
      <formula>$G316=""</formula>
    </cfRule>
  </conditionalFormatting>
  <conditionalFormatting sqref="AU316:AU319">
    <cfRule type="expression" dxfId="9353" priority="10654" stopIfTrue="1">
      <formula>$C$43=2</formula>
    </cfRule>
    <cfRule type="cellIs" dxfId="9352" priority="10655" operator="equal">
      <formula>"Yes"</formula>
    </cfRule>
    <cfRule type="cellIs" dxfId="9351" priority="10656" operator="equal">
      <formula>"No"</formula>
    </cfRule>
  </conditionalFormatting>
  <conditionalFormatting sqref="AO316:AO317">
    <cfRule type="expression" dxfId="9350" priority="10653">
      <formula>$G316=""</formula>
    </cfRule>
  </conditionalFormatting>
  <conditionalFormatting sqref="AP316 AR316:AS319">
    <cfRule type="expression" dxfId="9349" priority="10652">
      <formula>$G316=""</formula>
    </cfRule>
  </conditionalFormatting>
  <conditionalFormatting sqref="AW316:AW319">
    <cfRule type="expression" dxfId="9348" priority="10651">
      <formula>$G316=""</formula>
    </cfRule>
  </conditionalFormatting>
  <conditionalFormatting sqref="G317:L317">
    <cfRule type="expression" dxfId="9347" priority="10649" stopIfTrue="1">
      <formula>$G316=""</formula>
    </cfRule>
    <cfRule type="containsBlanks" dxfId="9346" priority="10650">
      <formula>LEN(TRIM(G317))=0</formula>
    </cfRule>
  </conditionalFormatting>
  <conditionalFormatting sqref="R318">
    <cfRule type="expression" dxfId="9345" priority="10646">
      <formula>$N319="BAM"</formula>
    </cfRule>
    <cfRule type="expression" dxfId="9344" priority="10647" stopIfTrue="1">
      <formula>$G316=""</formula>
    </cfRule>
    <cfRule type="containsBlanks" dxfId="9343" priority="10648">
      <formula>LEN(TRIM(R318))=0</formula>
    </cfRule>
  </conditionalFormatting>
  <conditionalFormatting sqref="R318">
    <cfRule type="expression" dxfId="9342" priority="10645">
      <formula>$C$43=0</formula>
    </cfRule>
  </conditionalFormatting>
  <conditionalFormatting sqref="E319:F319">
    <cfRule type="expression" dxfId="9341" priority="10644">
      <formula>$CQ316="Exterior"</formula>
    </cfRule>
  </conditionalFormatting>
  <conditionalFormatting sqref="G319">
    <cfRule type="expression" dxfId="9340" priority="10634" stopIfTrue="1">
      <formula>$G316=""</formula>
    </cfRule>
  </conditionalFormatting>
  <conditionalFormatting sqref="G319">
    <cfRule type="expression" dxfId="9339" priority="10636" stopIfTrue="1">
      <formula>$CQ316="Exterior"</formula>
    </cfRule>
  </conditionalFormatting>
  <conditionalFormatting sqref="G319:L319">
    <cfRule type="expression" dxfId="9338" priority="10635" stopIfTrue="1">
      <formula>$N319="BAM"</formula>
    </cfRule>
    <cfRule type="containsBlanks" dxfId="9337" priority="10637" stopIfTrue="1">
      <formula>LEN(TRIM(G319))=0</formula>
    </cfRule>
    <cfRule type="expression" dxfId="9336" priority="10639">
      <formula>$HQ317=FALSE</formula>
    </cfRule>
  </conditionalFormatting>
  <conditionalFormatting sqref="G319:L319">
    <cfRule type="expression" dxfId="9335" priority="10638" stopIfTrue="1">
      <formula>$AG318=""</formula>
    </cfRule>
  </conditionalFormatting>
  <conditionalFormatting sqref="G318:L318">
    <cfRule type="expression" dxfId="9334" priority="10632" stopIfTrue="1">
      <formula>$N319="BAM"</formula>
    </cfRule>
  </conditionalFormatting>
  <conditionalFormatting sqref="G316:R316">
    <cfRule type="containsBlanks" dxfId="9333" priority="10631">
      <formula>LEN(TRIM(G316))=0</formula>
    </cfRule>
  </conditionalFormatting>
  <conditionalFormatting sqref="AF318">
    <cfRule type="expression" dxfId="9332" priority="10621" stopIfTrue="1">
      <formula>$G316=""</formula>
    </cfRule>
    <cfRule type="expression" dxfId="9331" priority="10622" stopIfTrue="1">
      <formula>$N319="BAM"</formula>
    </cfRule>
    <cfRule type="expression" dxfId="9330" priority="10630">
      <formula>$AF$49&gt;$T$49</formula>
    </cfRule>
  </conditionalFormatting>
  <conditionalFormatting sqref="AC319:AE319">
    <cfRule type="expression" dxfId="9329" priority="10627" stopIfTrue="1">
      <formula>$G316=""</formula>
    </cfRule>
  </conditionalFormatting>
  <conditionalFormatting sqref="T318:U318">
    <cfRule type="expression" dxfId="9328" priority="10594" stopIfTrue="1">
      <formula>$G316=""</formula>
    </cfRule>
  </conditionalFormatting>
  <conditionalFormatting sqref="T318:U318">
    <cfRule type="containsBlanks" dxfId="9327" priority="10624" stopIfTrue="1">
      <formula>LEN(TRIM(T318))=0</formula>
    </cfRule>
  </conditionalFormatting>
  <conditionalFormatting sqref="AC316:AE316">
    <cfRule type="expression" dxfId="9326" priority="10623">
      <formula>$G316=""</formula>
    </cfRule>
  </conditionalFormatting>
  <conditionalFormatting sqref="AF318 AG319">
    <cfRule type="containsBlanks" dxfId="9325" priority="10628" stopIfTrue="1">
      <formula>LEN(TRIM(AF318))=0</formula>
    </cfRule>
  </conditionalFormatting>
  <conditionalFormatting sqref="AF318">
    <cfRule type="expression" dxfId="9324" priority="10629">
      <formula>OR($HS317=FALSE,$HT317=FALSE)</formula>
    </cfRule>
  </conditionalFormatting>
  <conditionalFormatting sqref="AG319">
    <cfRule type="expression" dxfId="9323" priority="10587">
      <formula>$C$43&gt;0</formula>
    </cfRule>
  </conditionalFormatting>
  <conditionalFormatting sqref="AG319">
    <cfRule type="expression" dxfId="9322" priority="10620" stopIfTrue="1">
      <formula>$G316=""</formula>
    </cfRule>
  </conditionalFormatting>
  <conditionalFormatting sqref="U318">
    <cfRule type="expression" dxfId="9321" priority="10625">
      <formula>OR($HK317=FALSE,$HL317=FALSE)</formula>
    </cfRule>
  </conditionalFormatting>
  <conditionalFormatting sqref="T317:U317">
    <cfRule type="expression" dxfId="9320" priority="10615" stopIfTrue="1">
      <formula>$C$43&lt;&gt;0</formula>
    </cfRule>
    <cfRule type="containsBlanks" dxfId="9319" priority="10616" stopIfTrue="1">
      <formula>LEN(TRIM(T317))=0</formula>
    </cfRule>
  </conditionalFormatting>
  <conditionalFormatting sqref="T317:U317">
    <cfRule type="expression" dxfId="9318" priority="10614" stopIfTrue="1">
      <formula>$G316=""</formula>
    </cfRule>
  </conditionalFormatting>
  <conditionalFormatting sqref="U317">
    <cfRule type="expression" dxfId="9317" priority="10617">
      <formula>$HJ317=FALSE</formula>
    </cfRule>
  </conditionalFormatting>
  <conditionalFormatting sqref="AG318">
    <cfRule type="expression" dxfId="9316" priority="10605" stopIfTrue="1">
      <formula>$G316=""</formula>
    </cfRule>
  </conditionalFormatting>
  <conditionalFormatting sqref="AG318:AL318">
    <cfRule type="expression" dxfId="9315" priority="10606">
      <formula>$N319="BAM"</formula>
    </cfRule>
    <cfRule type="expression" dxfId="9314" priority="10610">
      <formula>OR($HU317=FALSE,$HQ317=FALSE)</formula>
    </cfRule>
  </conditionalFormatting>
  <conditionalFormatting sqref="AG318">
    <cfRule type="containsBlanks" dxfId="9313" priority="10607" stopIfTrue="1">
      <formula>LEN(TRIM(AG318))=0</formula>
    </cfRule>
    <cfRule type="expression" dxfId="9312" priority="10608">
      <formula>OR($HP317=FALSE,$HR317=FALSE)</formula>
    </cfRule>
    <cfRule type="expression" dxfId="9311" priority="10609">
      <formula>OR($DS316=7,$DS316=8,$DS316=9)</formula>
    </cfRule>
  </conditionalFormatting>
  <conditionalFormatting sqref="AG316:AL316">
    <cfRule type="expression" dxfId="9310" priority="10604">
      <formula>$C$43&lt;&gt;0</formula>
    </cfRule>
  </conditionalFormatting>
  <conditionalFormatting sqref="AF317">
    <cfRule type="containsBlanks" dxfId="9309" priority="10603">
      <formula>LEN(TRIM(AF317))=0</formula>
    </cfRule>
  </conditionalFormatting>
  <conditionalFormatting sqref="AF317">
    <cfRule type="expression" dxfId="9308" priority="10602" stopIfTrue="1">
      <formula>$G316=""</formula>
    </cfRule>
  </conditionalFormatting>
  <conditionalFormatting sqref="AG317">
    <cfRule type="containsBlanks" dxfId="9307" priority="10600">
      <formula>LEN(TRIM(AG317))=0</formula>
    </cfRule>
    <cfRule type="expression" dxfId="9306" priority="10601">
      <formula>$HO317=FALSE</formula>
    </cfRule>
  </conditionalFormatting>
  <conditionalFormatting sqref="AG317">
    <cfRule type="expression" dxfId="9305" priority="10599" stopIfTrue="1">
      <formula>$G316=""</formula>
    </cfRule>
  </conditionalFormatting>
  <conditionalFormatting sqref="AF317:AK317">
    <cfRule type="expression" dxfId="9304" priority="10598">
      <formula>$C$43&gt;0</formula>
    </cfRule>
  </conditionalFormatting>
  <conditionalFormatting sqref="AM316:AN317">
    <cfRule type="expression" dxfId="9303" priority="10597">
      <formula>$G316=""</formula>
    </cfRule>
  </conditionalFormatting>
  <conditionalFormatting sqref="AM318:AN318">
    <cfRule type="expression" dxfId="9302" priority="10596" stopIfTrue="1">
      <formula>$G316=""</formula>
    </cfRule>
  </conditionalFormatting>
  <conditionalFormatting sqref="T318">
    <cfRule type="expression" dxfId="9301" priority="10618" stopIfTrue="1">
      <formula>$N319="BAM"</formula>
    </cfRule>
  </conditionalFormatting>
  <conditionalFormatting sqref="U318:AE318">
    <cfRule type="expression" dxfId="9300" priority="10595" stopIfTrue="1">
      <formula>$N319="BAM"</formula>
    </cfRule>
  </conditionalFormatting>
  <conditionalFormatting sqref="AG319:AL319">
    <cfRule type="expression" dxfId="9299" priority="10619" stopIfTrue="1">
      <formula>$N319="BAM"</formula>
    </cfRule>
  </conditionalFormatting>
  <conditionalFormatting sqref="AX322">
    <cfRule type="expression" dxfId="9298" priority="10585">
      <formula>$E322=""</formula>
    </cfRule>
  </conditionalFormatting>
  <conditionalFormatting sqref="AX321">
    <cfRule type="expression" dxfId="9297" priority="10584">
      <formula>$E321=""</formula>
    </cfRule>
  </conditionalFormatting>
  <conditionalFormatting sqref="AX323">
    <cfRule type="expression" dxfId="9296" priority="10583">
      <formula>#REF!=""</formula>
    </cfRule>
  </conditionalFormatting>
  <conditionalFormatting sqref="AX324">
    <cfRule type="expression" dxfId="9295" priority="10582">
      <formula>$E323=""</formula>
    </cfRule>
  </conditionalFormatting>
  <conditionalFormatting sqref="AY321:AZ324">
    <cfRule type="expression" dxfId="9294" priority="10581">
      <formula>$G321=""</formula>
    </cfRule>
  </conditionalFormatting>
  <conditionalFormatting sqref="G323">
    <cfRule type="expression" dxfId="9293" priority="10578" stopIfTrue="1">
      <formula>$G321=""</formula>
    </cfRule>
    <cfRule type="containsBlanks" dxfId="9292" priority="10579" stopIfTrue="1">
      <formula>LEN(TRIM(G323))=0</formula>
    </cfRule>
    <cfRule type="expression" dxfId="9291" priority="10580">
      <formula>OR($M323=0,$HH322=FALSE)</formula>
    </cfRule>
  </conditionalFormatting>
  <conditionalFormatting sqref="AO323">
    <cfRule type="expression" dxfId="9290" priority="10577" stopIfTrue="1">
      <formula>$G321=""</formula>
    </cfRule>
  </conditionalFormatting>
  <conditionalFormatting sqref="AU321:AU324">
    <cfRule type="expression" dxfId="9289" priority="10574" stopIfTrue="1">
      <formula>$C$43=2</formula>
    </cfRule>
    <cfRule type="cellIs" dxfId="9288" priority="10575" operator="equal">
      <formula>"Yes"</formula>
    </cfRule>
    <cfRule type="cellIs" dxfId="9287" priority="10576" operator="equal">
      <formula>"No"</formula>
    </cfRule>
  </conditionalFormatting>
  <conditionalFormatting sqref="AO321:AO322">
    <cfRule type="expression" dxfId="9286" priority="10573">
      <formula>$G321=""</formula>
    </cfRule>
  </conditionalFormatting>
  <conditionalFormatting sqref="AP321 AR321:AS324">
    <cfRule type="expression" dxfId="9285" priority="10572">
      <formula>$G321=""</formula>
    </cfRule>
  </conditionalFormatting>
  <conditionalFormatting sqref="AW321:AW324">
    <cfRule type="expression" dxfId="9284" priority="10571">
      <formula>$G321=""</formula>
    </cfRule>
  </conditionalFormatting>
  <conditionalFormatting sqref="G322:L322">
    <cfRule type="expression" dxfId="9283" priority="10569" stopIfTrue="1">
      <formula>$G321=""</formula>
    </cfRule>
    <cfRule type="containsBlanks" dxfId="9282" priority="10570">
      <formula>LEN(TRIM(G322))=0</formula>
    </cfRule>
  </conditionalFormatting>
  <conditionalFormatting sqref="R323">
    <cfRule type="expression" dxfId="9281" priority="10566">
      <formula>$N324="BAM"</formula>
    </cfRule>
    <cfRule type="expression" dxfId="9280" priority="10567" stopIfTrue="1">
      <formula>$G321=""</formula>
    </cfRule>
    <cfRule type="containsBlanks" dxfId="9279" priority="10568">
      <formula>LEN(TRIM(R323))=0</formula>
    </cfRule>
  </conditionalFormatting>
  <conditionalFormatting sqref="R323">
    <cfRule type="expression" dxfId="9278" priority="10565">
      <formula>$C$43=0</formula>
    </cfRule>
  </conditionalFormatting>
  <conditionalFormatting sqref="E324:F324">
    <cfRule type="expression" dxfId="9277" priority="10564">
      <formula>$CQ321="Exterior"</formula>
    </cfRule>
  </conditionalFormatting>
  <conditionalFormatting sqref="G324">
    <cfRule type="expression" dxfId="9276" priority="10554" stopIfTrue="1">
      <formula>$G321=""</formula>
    </cfRule>
  </conditionalFormatting>
  <conditionalFormatting sqref="G324">
    <cfRule type="expression" dxfId="9275" priority="10556" stopIfTrue="1">
      <formula>$CQ321="Exterior"</formula>
    </cfRule>
  </conditionalFormatting>
  <conditionalFormatting sqref="G324:L324">
    <cfRule type="expression" dxfId="9274" priority="10555" stopIfTrue="1">
      <formula>$N324="BAM"</formula>
    </cfRule>
    <cfRule type="containsBlanks" dxfId="9273" priority="10557" stopIfTrue="1">
      <formula>LEN(TRIM(G324))=0</formula>
    </cfRule>
    <cfRule type="expression" dxfId="9272" priority="10559">
      <formula>$HQ322=FALSE</formula>
    </cfRule>
  </conditionalFormatting>
  <conditionalFormatting sqref="G324:L324">
    <cfRule type="expression" dxfId="9271" priority="10558" stopIfTrue="1">
      <formula>$AG323=""</formula>
    </cfRule>
  </conditionalFormatting>
  <conditionalFormatting sqref="G323:L323">
    <cfRule type="expression" dxfId="9270" priority="10552" stopIfTrue="1">
      <formula>$N324="BAM"</formula>
    </cfRule>
  </conditionalFormatting>
  <conditionalFormatting sqref="G321:R321">
    <cfRule type="containsBlanks" dxfId="9269" priority="10551">
      <formula>LEN(TRIM(G321))=0</formula>
    </cfRule>
  </conditionalFormatting>
  <conditionalFormatting sqref="AF323">
    <cfRule type="expression" dxfId="9268" priority="10541" stopIfTrue="1">
      <formula>$G321=""</formula>
    </cfRule>
    <cfRule type="expression" dxfId="9267" priority="10542" stopIfTrue="1">
      <formula>$N324="BAM"</formula>
    </cfRule>
    <cfRule type="expression" dxfId="9266" priority="10550">
      <formula>$AF$49&gt;$T$49</formula>
    </cfRule>
  </conditionalFormatting>
  <conditionalFormatting sqref="AC324:AE324">
    <cfRule type="expression" dxfId="9265" priority="10547" stopIfTrue="1">
      <formula>$G321=""</formula>
    </cfRule>
  </conditionalFormatting>
  <conditionalFormatting sqref="T323:U323">
    <cfRule type="expression" dxfId="9264" priority="10514" stopIfTrue="1">
      <formula>$G321=""</formula>
    </cfRule>
  </conditionalFormatting>
  <conditionalFormatting sqref="T323:U323">
    <cfRule type="containsBlanks" dxfId="9263" priority="10544" stopIfTrue="1">
      <formula>LEN(TRIM(T323))=0</formula>
    </cfRule>
  </conditionalFormatting>
  <conditionalFormatting sqref="AC321:AE321">
    <cfRule type="expression" dxfId="9262" priority="10543">
      <formula>$G321=""</formula>
    </cfRule>
  </conditionalFormatting>
  <conditionalFormatting sqref="AF323 AG324">
    <cfRule type="containsBlanks" dxfId="9261" priority="10548" stopIfTrue="1">
      <formula>LEN(TRIM(AF323))=0</formula>
    </cfRule>
  </conditionalFormatting>
  <conditionalFormatting sqref="AF323">
    <cfRule type="expression" dxfId="9260" priority="10549">
      <formula>OR($HS322=FALSE,$HT322=FALSE)</formula>
    </cfRule>
  </conditionalFormatting>
  <conditionalFormatting sqref="AG324">
    <cfRule type="expression" dxfId="9259" priority="10507">
      <formula>$C$43&gt;0</formula>
    </cfRule>
  </conditionalFormatting>
  <conditionalFormatting sqref="AG324">
    <cfRule type="expression" dxfId="9258" priority="10540" stopIfTrue="1">
      <formula>$G321=""</formula>
    </cfRule>
  </conditionalFormatting>
  <conditionalFormatting sqref="U323">
    <cfRule type="expression" dxfId="9257" priority="10545">
      <formula>OR($HK322=FALSE,$HL322=FALSE)</formula>
    </cfRule>
  </conditionalFormatting>
  <conditionalFormatting sqref="T322:U322">
    <cfRule type="expression" dxfId="9256" priority="10535" stopIfTrue="1">
      <formula>$C$43&lt;&gt;0</formula>
    </cfRule>
    <cfRule type="containsBlanks" dxfId="9255" priority="10536" stopIfTrue="1">
      <formula>LEN(TRIM(T322))=0</formula>
    </cfRule>
  </conditionalFormatting>
  <conditionalFormatting sqref="T322:U322">
    <cfRule type="expression" dxfId="9254" priority="10534" stopIfTrue="1">
      <formula>$G321=""</formula>
    </cfRule>
  </conditionalFormatting>
  <conditionalFormatting sqref="U322">
    <cfRule type="expression" dxfId="9253" priority="10537">
      <formula>$HJ322=FALSE</formula>
    </cfRule>
  </conditionalFormatting>
  <conditionalFormatting sqref="AG323">
    <cfRule type="expression" dxfId="9252" priority="10525" stopIfTrue="1">
      <formula>$G321=""</formula>
    </cfRule>
  </conditionalFormatting>
  <conditionalFormatting sqref="AG323:AL323">
    <cfRule type="expression" dxfId="9251" priority="10526">
      <formula>$N324="BAM"</formula>
    </cfRule>
    <cfRule type="expression" dxfId="9250" priority="10530">
      <formula>OR($HU322=FALSE,$HQ322=FALSE)</formula>
    </cfRule>
  </conditionalFormatting>
  <conditionalFormatting sqref="AG323">
    <cfRule type="containsBlanks" dxfId="9249" priority="10527" stopIfTrue="1">
      <formula>LEN(TRIM(AG323))=0</formula>
    </cfRule>
    <cfRule type="expression" dxfId="9248" priority="10528">
      <formula>OR($HP322=FALSE,$HR322=FALSE)</formula>
    </cfRule>
    <cfRule type="expression" dxfId="9247" priority="10529">
      <formula>OR($DS321=7,$DS321=8,$DS321=9)</formula>
    </cfRule>
  </conditionalFormatting>
  <conditionalFormatting sqref="AG321:AL321">
    <cfRule type="expression" dxfId="9246" priority="10524">
      <formula>$C$43&lt;&gt;0</formula>
    </cfRule>
  </conditionalFormatting>
  <conditionalFormatting sqref="AF322">
    <cfRule type="containsBlanks" dxfId="9245" priority="10523">
      <formula>LEN(TRIM(AF322))=0</formula>
    </cfRule>
  </conditionalFormatting>
  <conditionalFormatting sqref="AF322">
    <cfRule type="expression" dxfId="9244" priority="10522" stopIfTrue="1">
      <formula>$G321=""</formula>
    </cfRule>
  </conditionalFormatting>
  <conditionalFormatting sqref="AG322">
    <cfRule type="containsBlanks" dxfId="9243" priority="10520">
      <formula>LEN(TRIM(AG322))=0</formula>
    </cfRule>
    <cfRule type="expression" dxfId="9242" priority="10521">
      <formula>$HO322=FALSE</formula>
    </cfRule>
  </conditionalFormatting>
  <conditionalFormatting sqref="AG322">
    <cfRule type="expression" dxfId="9241" priority="10519" stopIfTrue="1">
      <formula>$G321=""</formula>
    </cfRule>
  </conditionalFormatting>
  <conditionalFormatting sqref="AF322:AK322">
    <cfRule type="expression" dxfId="9240" priority="10518">
      <formula>$C$43&gt;0</formula>
    </cfRule>
  </conditionalFormatting>
  <conditionalFormatting sqref="AM321:AN322">
    <cfRule type="expression" dxfId="9239" priority="10517">
      <formula>$G321=""</formula>
    </cfRule>
  </conditionalFormatting>
  <conditionalFormatting sqref="AM323:AN323">
    <cfRule type="expression" dxfId="9238" priority="10516" stopIfTrue="1">
      <formula>$G321=""</formula>
    </cfRule>
  </conditionalFormatting>
  <conditionalFormatting sqref="T323">
    <cfRule type="expression" dxfId="9237" priority="10538" stopIfTrue="1">
      <formula>$N324="BAM"</formula>
    </cfRule>
  </conditionalFormatting>
  <conditionalFormatting sqref="U323:AE323">
    <cfRule type="expression" dxfId="9236" priority="10515" stopIfTrue="1">
      <formula>$N324="BAM"</formula>
    </cfRule>
  </conditionalFormatting>
  <conditionalFormatting sqref="AG324:AL324">
    <cfRule type="expression" dxfId="9235" priority="10539" stopIfTrue="1">
      <formula>$N324="BAM"</formula>
    </cfRule>
  </conditionalFormatting>
  <conditionalFormatting sqref="AX330">
    <cfRule type="expression" dxfId="9234" priority="10505">
      <formula>$E330=""</formula>
    </cfRule>
  </conditionalFormatting>
  <conditionalFormatting sqref="AX329">
    <cfRule type="expression" dxfId="9233" priority="10504">
      <formula>$E329=""</formula>
    </cfRule>
  </conditionalFormatting>
  <conditionalFormatting sqref="AX331">
    <cfRule type="expression" dxfId="9232" priority="10503">
      <formula>#REF!=""</formula>
    </cfRule>
  </conditionalFormatting>
  <conditionalFormatting sqref="AX332">
    <cfRule type="expression" dxfId="9231" priority="10502">
      <formula>$E331=""</formula>
    </cfRule>
  </conditionalFormatting>
  <conditionalFormatting sqref="AY329:AZ332">
    <cfRule type="expression" dxfId="9230" priority="10501">
      <formula>$G329=""</formula>
    </cfRule>
  </conditionalFormatting>
  <conditionalFormatting sqref="G331">
    <cfRule type="expression" dxfId="9229" priority="10498" stopIfTrue="1">
      <formula>$G329=""</formula>
    </cfRule>
    <cfRule type="containsBlanks" dxfId="9228" priority="10499" stopIfTrue="1">
      <formula>LEN(TRIM(G331))=0</formula>
    </cfRule>
    <cfRule type="expression" dxfId="9227" priority="10500">
      <formula>OR($M331=0,$HH330=FALSE)</formula>
    </cfRule>
  </conditionalFormatting>
  <conditionalFormatting sqref="AO331">
    <cfRule type="expression" dxfId="9226" priority="10497" stopIfTrue="1">
      <formula>$G329=""</formula>
    </cfRule>
  </conditionalFormatting>
  <conditionalFormatting sqref="AU329:AU332">
    <cfRule type="expression" dxfId="9225" priority="10494" stopIfTrue="1">
      <formula>$C$43=2</formula>
    </cfRule>
    <cfRule type="cellIs" dxfId="9224" priority="10495" operator="equal">
      <formula>"Yes"</formula>
    </cfRule>
    <cfRule type="cellIs" dxfId="9223" priority="10496" operator="equal">
      <formula>"No"</formula>
    </cfRule>
  </conditionalFormatting>
  <conditionalFormatting sqref="AO329:AO330">
    <cfRule type="expression" dxfId="9222" priority="10493">
      <formula>$G329=""</formula>
    </cfRule>
  </conditionalFormatting>
  <conditionalFormatting sqref="AP329 AR329:AS332">
    <cfRule type="expression" dxfId="9221" priority="10492">
      <formula>$G329=""</formula>
    </cfRule>
  </conditionalFormatting>
  <conditionalFormatting sqref="AW329:AW332">
    <cfRule type="expression" dxfId="9220" priority="10491">
      <formula>$G329=""</formula>
    </cfRule>
  </conditionalFormatting>
  <conditionalFormatting sqref="G330:L330">
    <cfRule type="expression" dxfId="9219" priority="10489" stopIfTrue="1">
      <formula>$G329=""</formula>
    </cfRule>
    <cfRule type="containsBlanks" dxfId="9218" priority="10490">
      <formula>LEN(TRIM(G330))=0</formula>
    </cfRule>
  </conditionalFormatting>
  <conditionalFormatting sqref="R331">
    <cfRule type="expression" dxfId="9217" priority="10486">
      <formula>$N332="BAM"</formula>
    </cfRule>
    <cfRule type="expression" dxfId="9216" priority="10487" stopIfTrue="1">
      <formula>$G329=""</formula>
    </cfRule>
    <cfRule type="containsBlanks" dxfId="9215" priority="10488">
      <formula>LEN(TRIM(R331))=0</formula>
    </cfRule>
  </conditionalFormatting>
  <conditionalFormatting sqref="R331">
    <cfRule type="expression" dxfId="9214" priority="10485">
      <formula>$C$43=0</formula>
    </cfRule>
  </conditionalFormatting>
  <conditionalFormatting sqref="E332:F332">
    <cfRule type="expression" dxfId="9213" priority="10484">
      <formula>$CQ329="Exterior"</formula>
    </cfRule>
  </conditionalFormatting>
  <conditionalFormatting sqref="G332">
    <cfRule type="expression" dxfId="9212" priority="10474" stopIfTrue="1">
      <formula>$G329=""</formula>
    </cfRule>
  </conditionalFormatting>
  <conditionalFormatting sqref="G332">
    <cfRule type="expression" dxfId="9211" priority="10476" stopIfTrue="1">
      <formula>$CQ329="Exterior"</formula>
    </cfRule>
  </conditionalFormatting>
  <conditionalFormatting sqref="G332:L332">
    <cfRule type="expression" dxfId="9210" priority="10475" stopIfTrue="1">
      <formula>$N332="BAM"</formula>
    </cfRule>
    <cfRule type="containsBlanks" dxfId="9209" priority="10477" stopIfTrue="1">
      <formula>LEN(TRIM(G332))=0</formula>
    </cfRule>
    <cfRule type="expression" dxfId="9208" priority="10479">
      <formula>$HQ330=FALSE</formula>
    </cfRule>
  </conditionalFormatting>
  <conditionalFormatting sqref="G332:L332">
    <cfRule type="expression" dxfId="9207" priority="10478" stopIfTrue="1">
      <formula>$AG331=""</formula>
    </cfRule>
  </conditionalFormatting>
  <conditionalFormatting sqref="G331:L331">
    <cfRule type="expression" dxfId="9206" priority="10472" stopIfTrue="1">
      <formula>$N332="BAM"</formula>
    </cfRule>
  </conditionalFormatting>
  <conditionalFormatting sqref="G329:R329">
    <cfRule type="containsBlanks" dxfId="9205" priority="10471">
      <formula>LEN(TRIM(G329))=0</formula>
    </cfRule>
  </conditionalFormatting>
  <conditionalFormatting sqref="AF331">
    <cfRule type="expression" dxfId="9204" priority="10461" stopIfTrue="1">
      <formula>$G329=""</formula>
    </cfRule>
    <cfRule type="expression" dxfId="9203" priority="10462" stopIfTrue="1">
      <formula>$N332="BAM"</formula>
    </cfRule>
    <cfRule type="expression" dxfId="9202" priority="10470">
      <formula>$AF$49&gt;$T$49</formula>
    </cfRule>
  </conditionalFormatting>
  <conditionalFormatting sqref="AC332:AE332">
    <cfRule type="expression" dxfId="9201" priority="10467" stopIfTrue="1">
      <formula>$G329=""</formula>
    </cfRule>
  </conditionalFormatting>
  <conditionalFormatting sqref="T331:U331">
    <cfRule type="expression" dxfId="9200" priority="10434" stopIfTrue="1">
      <formula>$G329=""</formula>
    </cfRule>
  </conditionalFormatting>
  <conditionalFormatting sqref="T331:U331">
    <cfRule type="containsBlanks" dxfId="9199" priority="10464" stopIfTrue="1">
      <formula>LEN(TRIM(T331))=0</formula>
    </cfRule>
  </conditionalFormatting>
  <conditionalFormatting sqref="AC329:AE329">
    <cfRule type="expression" dxfId="9198" priority="10463">
      <formula>$G329=""</formula>
    </cfRule>
  </conditionalFormatting>
  <conditionalFormatting sqref="AF331 AG332">
    <cfRule type="containsBlanks" dxfId="9197" priority="10468" stopIfTrue="1">
      <formula>LEN(TRIM(AF331))=0</formula>
    </cfRule>
  </conditionalFormatting>
  <conditionalFormatting sqref="AF331">
    <cfRule type="expression" dxfId="9196" priority="10469">
      <formula>OR($HS330=FALSE,$HT330=FALSE)</formula>
    </cfRule>
  </conditionalFormatting>
  <conditionalFormatting sqref="AG332">
    <cfRule type="expression" dxfId="9195" priority="10427">
      <formula>$C$43&gt;0</formula>
    </cfRule>
  </conditionalFormatting>
  <conditionalFormatting sqref="AG332">
    <cfRule type="expression" dxfId="9194" priority="10460" stopIfTrue="1">
      <formula>$G329=""</formula>
    </cfRule>
  </conditionalFormatting>
  <conditionalFormatting sqref="U331">
    <cfRule type="expression" dxfId="9193" priority="10465">
      <formula>OR($HK330=FALSE,$HL330=FALSE)</formula>
    </cfRule>
  </conditionalFormatting>
  <conditionalFormatting sqref="T330:U330">
    <cfRule type="expression" dxfId="9192" priority="10455" stopIfTrue="1">
      <formula>$C$43&lt;&gt;0</formula>
    </cfRule>
    <cfRule type="containsBlanks" dxfId="9191" priority="10456" stopIfTrue="1">
      <formula>LEN(TRIM(T330))=0</formula>
    </cfRule>
  </conditionalFormatting>
  <conditionalFormatting sqref="T330:U330">
    <cfRule type="expression" dxfId="9190" priority="10454" stopIfTrue="1">
      <formula>$G329=""</formula>
    </cfRule>
  </conditionalFormatting>
  <conditionalFormatting sqref="U330">
    <cfRule type="expression" dxfId="9189" priority="10457">
      <formula>$HJ330=FALSE</formula>
    </cfRule>
  </conditionalFormatting>
  <conditionalFormatting sqref="AG331">
    <cfRule type="expression" dxfId="9188" priority="10445" stopIfTrue="1">
      <formula>$G329=""</formula>
    </cfRule>
  </conditionalFormatting>
  <conditionalFormatting sqref="AG331:AL331">
    <cfRule type="expression" dxfId="9187" priority="10446">
      <formula>$N332="BAM"</formula>
    </cfRule>
    <cfRule type="expression" dxfId="9186" priority="10450">
      <formula>OR($HU330=FALSE,$HQ330=FALSE)</formula>
    </cfRule>
  </conditionalFormatting>
  <conditionalFormatting sqref="AG331">
    <cfRule type="containsBlanks" dxfId="9185" priority="10447" stopIfTrue="1">
      <formula>LEN(TRIM(AG331))=0</formula>
    </cfRule>
    <cfRule type="expression" dxfId="9184" priority="10448">
      <formula>OR($HP330=FALSE,$HR330=FALSE)</formula>
    </cfRule>
    <cfRule type="expression" dxfId="9183" priority="10449">
      <formula>OR($DS329=7,$DS329=8,$DS329=9)</formula>
    </cfRule>
  </conditionalFormatting>
  <conditionalFormatting sqref="AG329:AL329">
    <cfRule type="expression" dxfId="9182" priority="10444">
      <formula>$C$43&lt;&gt;0</formula>
    </cfRule>
  </conditionalFormatting>
  <conditionalFormatting sqref="AF330">
    <cfRule type="containsBlanks" dxfId="9181" priority="10443">
      <formula>LEN(TRIM(AF330))=0</formula>
    </cfRule>
  </conditionalFormatting>
  <conditionalFormatting sqref="AF330">
    <cfRule type="expression" dxfId="9180" priority="10442" stopIfTrue="1">
      <formula>$G329=""</formula>
    </cfRule>
  </conditionalFormatting>
  <conditionalFormatting sqref="AG330">
    <cfRule type="containsBlanks" dxfId="9179" priority="10440">
      <formula>LEN(TRIM(AG330))=0</formula>
    </cfRule>
    <cfRule type="expression" dxfId="9178" priority="10441">
      <formula>$HO330=FALSE</formula>
    </cfRule>
  </conditionalFormatting>
  <conditionalFormatting sqref="AG330">
    <cfRule type="expression" dxfId="9177" priority="10439" stopIfTrue="1">
      <formula>$G329=""</formula>
    </cfRule>
  </conditionalFormatting>
  <conditionalFormatting sqref="AF330:AK330">
    <cfRule type="expression" dxfId="9176" priority="10438">
      <formula>$C$43&gt;0</formula>
    </cfRule>
  </conditionalFormatting>
  <conditionalFormatting sqref="AM329:AN330">
    <cfRule type="expression" dxfId="9175" priority="10437">
      <formula>$G329=""</formula>
    </cfRule>
  </conditionalFormatting>
  <conditionalFormatting sqref="AM331:AN331">
    <cfRule type="expression" dxfId="9174" priority="10436" stopIfTrue="1">
      <formula>$G329=""</formula>
    </cfRule>
  </conditionalFormatting>
  <conditionalFormatting sqref="T331">
    <cfRule type="expression" dxfId="9173" priority="10458" stopIfTrue="1">
      <formula>$N332="BAM"</formula>
    </cfRule>
  </conditionalFormatting>
  <conditionalFormatting sqref="U331:AE331">
    <cfRule type="expression" dxfId="9172" priority="10435" stopIfTrue="1">
      <formula>$N332="BAM"</formula>
    </cfRule>
  </conditionalFormatting>
  <conditionalFormatting sqref="AG332:AL332">
    <cfRule type="expression" dxfId="9171" priority="10459" stopIfTrue="1">
      <formula>$N332="BAM"</formula>
    </cfRule>
  </conditionalFormatting>
  <conditionalFormatting sqref="AX335">
    <cfRule type="expression" dxfId="9170" priority="10425">
      <formula>$E335=""</formula>
    </cfRule>
  </conditionalFormatting>
  <conditionalFormatting sqref="AX334">
    <cfRule type="expression" dxfId="9169" priority="10424">
      <formula>$E334=""</formula>
    </cfRule>
  </conditionalFormatting>
  <conditionalFormatting sqref="AX336">
    <cfRule type="expression" dxfId="9168" priority="10423">
      <formula>#REF!=""</formula>
    </cfRule>
  </conditionalFormatting>
  <conditionalFormatting sqref="AX337">
    <cfRule type="expression" dxfId="9167" priority="10422">
      <formula>$E336=""</formula>
    </cfRule>
  </conditionalFormatting>
  <conditionalFormatting sqref="AY334:AZ337">
    <cfRule type="expression" dxfId="9166" priority="10421">
      <formula>$G334=""</formula>
    </cfRule>
  </conditionalFormatting>
  <conditionalFormatting sqref="G336">
    <cfRule type="expression" dxfId="9165" priority="10418" stopIfTrue="1">
      <formula>$G334=""</formula>
    </cfRule>
    <cfRule type="containsBlanks" dxfId="9164" priority="10419" stopIfTrue="1">
      <formula>LEN(TRIM(G336))=0</formula>
    </cfRule>
    <cfRule type="expression" dxfId="9163" priority="10420">
      <formula>OR($M336=0,$HH335=FALSE)</formula>
    </cfRule>
  </conditionalFormatting>
  <conditionalFormatting sqref="AO336">
    <cfRule type="expression" dxfId="9162" priority="10417" stopIfTrue="1">
      <formula>$G334=""</formula>
    </cfRule>
  </conditionalFormatting>
  <conditionalFormatting sqref="AU334:AU337">
    <cfRule type="expression" dxfId="9161" priority="10414" stopIfTrue="1">
      <formula>$C$43=2</formula>
    </cfRule>
    <cfRule type="cellIs" dxfId="9160" priority="10415" operator="equal">
      <formula>"Yes"</formula>
    </cfRule>
    <cfRule type="cellIs" dxfId="9159" priority="10416" operator="equal">
      <formula>"No"</formula>
    </cfRule>
  </conditionalFormatting>
  <conditionalFormatting sqref="AO334:AO335">
    <cfRule type="expression" dxfId="9158" priority="10413">
      <formula>$G334=""</formula>
    </cfRule>
  </conditionalFormatting>
  <conditionalFormatting sqref="AP334 AR334:AS337">
    <cfRule type="expression" dxfId="9157" priority="10412">
      <formula>$G334=""</formula>
    </cfRule>
  </conditionalFormatting>
  <conditionalFormatting sqref="AW334:AW337">
    <cfRule type="expression" dxfId="9156" priority="10411">
      <formula>$G334=""</formula>
    </cfRule>
  </conditionalFormatting>
  <conditionalFormatting sqref="G335:L335">
    <cfRule type="expression" dxfId="9155" priority="10409" stopIfTrue="1">
      <formula>$G334=""</formula>
    </cfRule>
    <cfRule type="containsBlanks" dxfId="9154" priority="10410">
      <formula>LEN(TRIM(G335))=0</formula>
    </cfRule>
  </conditionalFormatting>
  <conditionalFormatting sqref="R336">
    <cfRule type="expression" dxfId="9153" priority="10406">
      <formula>$N337="BAM"</formula>
    </cfRule>
    <cfRule type="expression" dxfId="9152" priority="10407" stopIfTrue="1">
      <formula>$G334=""</formula>
    </cfRule>
    <cfRule type="containsBlanks" dxfId="9151" priority="10408">
      <formula>LEN(TRIM(R336))=0</formula>
    </cfRule>
  </conditionalFormatting>
  <conditionalFormatting sqref="R336">
    <cfRule type="expression" dxfId="9150" priority="10405">
      <formula>$C$43=0</formula>
    </cfRule>
  </conditionalFormatting>
  <conditionalFormatting sqref="E337:F337">
    <cfRule type="expression" dxfId="9149" priority="10404">
      <formula>$CQ334="Exterior"</formula>
    </cfRule>
  </conditionalFormatting>
  <conditionalFormatting sqref="G337">
    <cfRule type="expression" dxfId="9148" priority="10394" stopIfTrue="1">
      <formula>$G334=""</formula>
    </cfRule>
  </conditionalFormatting>
  <conditionalFormatting sqref="G337">
    <cfRule type="expression" dxfId="9147" priority="10396" stopIfTrue="1">
      <formula>$CQ334="Exterior"</formula>
    </cfRule>
  </conditionalFormatting>
  <conditionalFormatting sqref="G337:L337">
    <cfRule type="expression" dxfId="9146" priority="10395" stopIfTrue="1">
      <formula>$N337="BAM"</formula>
    </cfRule>
    <cfRule type="containsBlanks" dxfId="9145" priority="10397" stopIfTrue="1">
      <formula>LEN(TRIM(G337))=0</formula>
    </cfRule>
    <cfRule type="expression" dxfId="9144" priority="10399">
      <formula>$HQ335=FALSE</formula>
    </cfRule>
  </conditionalFormatting>
  <conditionalFormatting sqref="G337:L337">
    <cfRule type="expression" dxfId="9143" priority="10398" stopIfTrue="1">
      <formula>$AG336=""</formula>
    </cfRule>
  </conditionalFormatting>
  <conditionalFormatting sqref="G336:L336">
    <cfRule type="expression" dxfId="9142" priority="10392" stopIfTrue="1">
      <formula>$N337="BAM"</formula>
    </cfRule>
  </conditionalFormatting>
  <conditionalFormatting sqref="G334:R334">
    <cfRule type="containsBlanks" dxfId="9141" priority="10391">
      <formula>LEN(TRIM(G334))=0</formula>
    </cfRule>
  </conditionalFormatting>
  <conditionalFormatting sqref="AF336">
    <cfRule type="expression" dxfId="9140" priority="10381" stopIfTrue="1">
      <formula>$G334=""</formula>
    </cfRule>
    <cfRule type="expression" dxfId="9139" priority="10382" stopIfTrue="1">
      <formula>$N337="BAM"</formula>
    </cfRule>
    <cfRule type="expression" dxfId="9138" priority="10390">
      <formula>$AF$49&gt;$T$49</formula>
    </cfRule>
  </conditionalFormatting>
  <conditionalFormatting sqref="AC337:AE337">
    <cfRule type="expression" dxfId="9137" priority="10387" stopIfTrue="1">
      <formula>$G334=""</formula>
    </cfRule>
  </conditionalFormatting>
  <conditionalFormatting sqref="T336:U336">
    <cfRule type="expression" dxfId="9136" priority="10354" stopIfTrue="1">
      <formula>$G334=""</formula>
    </cfRule>
  </conditionalFormatting>
  <conditionalFormatting sqref="T336:U336">
    <cfRule type="containsBlanks" dxfId="9135" priority="10384" stopIfTrue="1">
      <formula>LEN(TRIM(T336))=0</formula>
    </cfRule>
  </conditionalFormatting>
  <conditionalFormatting sqref="AC334:AE334">
    <cfRule type="expression" dxfId="9134" priority="10383">
      <formula>$G334=""</formula>
    </cfRule>
  </conditionalFormatting>
  <conditionalFormatting sqref="AF336 AG337">
    <cfRule type="containsBlanks" dxfId="9133" priority="10388" stopIfTrue="1">
      <formula>LEN(TRIM(AF336))=0</formula>
    </cfRule>
  </conditionalFormatting>
  <conditionalFormatting sqref="AF336">
    <cfRule type="expression" dxfId="9132" priority="10389">
      <formula>OR($HS335=FALSE,$HT335=FALSE)</formula>
    </cfRule>
  </conditionalFormatting>
  <conditionalFormatting sqref="AG337">
    <cfRule type="expression" dxfId="9131" priority="10347">
      <formula>$C$43&gt;0</formula>
    </cfRule>
  </conditionalFormatting>
  <conditionalFormatting sqref="AG337">
    <cfRule type="expression" dxfId="9130" priority="10380" stopIfTrue="1">
      <formula>$G334=""</formula>
    </cfRule>
  </conditionalFormatting>
  <conditionalFormatting sqref="U336">
    <cfRule type="expression" dxfId="9129" priority="10385">
      <formula>OR($HK335=FALSE,$HL335=FALSE)</formula>
    </cfRule>
  </conditionalFormatting>
  <conditionalFormatting sqref="T335:U335">
    <cfRule type="expression" dxfId="9128" priority="10375" stopIfTrue="1">
      <formula>$C$43&lt;&gt;0</formula>
    </cfRule>
    <cfRule type="containsBlanks" dxfId="9127" priority="10376" stopIfTrue="1">
      <formula>LEN(TRIM(T335))=0</formula>
    </cfRule>
  </conditionalFormatting>
  <conditionalFormatting sqref="T335:U335">
    <cfRule type="expression" dxfId="9126" priority="10374" stopIfTrue="1">
      <formula>$G334=""</formula>
    </cfRule>
  </conditionalFormatting>
  <conditionalFormatting sqref="U335">
    <cfRule type="expression" dxfId="9125" priority="10377">
      <formula>$HJ335=FALSE</formula>
    </cfRule>
  </conditionalFormatting>
  <conditionalFormatting sqref="AG336">
    <cfRule type="expression" dxfId="9124" priority="10365" stopIfTrue="1">
      <formula>$G334=""</formula>
    </cfRule>
  </conditionalFormatting>
  <conditionalFormatting sqref="AG336:AL336">
    <cfRule type="expression" dxfId="9123" priority="10366">
      <formula>$N337="BAM"</formula>
    </cfRule>
    <cfRule type="expression" dxfId="9122" priority="10370">
      <formula>OR($HU335=FALSE,$HQ335=FALSE)</formula>
    </cfRule>
  </conditionalFormatting>
  <conditionalFormatting sqref="AG336">
    <cfRule type="containsBlanks" dxfId="9121" priority="10367" stopIfTrue="1">
      <formula>LEN(TRIM(AG336))=0</formula>
    </cfRule>
    <cfRule type="expression" dxfId="9120" priority="10368">
      <formula>OR($HP335=FALSE,$HR335=FALSE)</formula>
    </cfRule>
    <cfRule type="expression" dxfId="9119" priority="10369">
      <formula>OR($DS334=7,$DS334=8,$DS334=9)</formula>
    </cfRule>
  </conditionalFormatting>
  <conditionalFormatting sqref="AG334:AL334">
    <cfRule type="expression" dxfId="9118" priority="10364">
      <formula>$C$43&lt;&gt;0</formula>
    </cfRule>
  </conditionalFormatting>
  <conditionalFormatting sqref="AF335">
    <cfRule type="containsBlanks" dxfId="9117" priority="10363">
      <formula>LEN(TRIM(AF335))=0</formula>
    </cfRule>
  </conditionalFormatting>
  <conditionalFormatting sqref="AF335">
    <cfRule type="expression" dxfId="9116" priority="10362" stopIfTrue="1">
      <formula>$G334=""</formula>
    </cfRule>
  </conditionalFormatting>
  <conditionalFormatting sqref="AG335">
    <cfRule type="containsBlanks" dxfId="9115" priority="10360">
      <formula>LEN(TRIM(AG335))=0</formula>
    </cfRule>
    <cfRule type="expression" dxfId="9114" priority="10361">
      <formula>$HO335=FALSE</formula>
    </cfRule>
  </conditionalFormatting>
  <conditionalFormatting sqref="AG335">
    <cfRule type="expression" dxfId="9113" priority="10359" stopIfTrue="1">
      <formula>$G334=""</formula>
    </cfRule>
  </conditionalFormatting>
  <conditionalFormatting sqref="AF335:AK335">
    <cfRule type="expression" dxfId="9112" priority="10358">
      <formula>$C$43&gt;0</formula>
    </cfRule>
  </conditionalFormatting>
  <conditionalFormatting sqref="AM334:AN335">
    <cfRule type="expression" dxfId="9111" priority="10357">
      <formula>$G334=""</formula>
    </cfRule>
  </conditionalFormatting>
  <conditionalFormatting sqref="AM336:AN336">
    <cfRule type="expression" dxfId="9110" priority="10356" stopIfTrue="1">
      <formula>$G334=""</formula>
    </cfRule>
  </conditionalFormatting>
  <conditionalFormatting sqref="T336">
    <cfRule type="expression" dxfId="9109" priority="10378" stopIfTrue="1">
      <formula>$N337="BAM"</formula>
    </cfRule>
  </conditionalFormatting>
  <conditionalFormatting sqref="U336:AE336">
    <cfRule type="expression" dxfId="9108" priority="10355" stopIfTrue="1">
      <formula>$N337="BAM"</formula>
    </cfRule>
  </conditionalFormatting>
  <conditionalFormatting sqref="AG337:AL337">
    <cfRule type="expression" dxfId="9107" priority="10379" stopIfTrue="1">
      <formula>$N337="BAM"</formula>
    </cfRule>
  </conditionalFormatting>
  <conditionalFormatting sqref="AX340">
    <cfRule type="expression" dxfId="9106" priority="10345">
      <formula>$E340=""</formula>
    </cfRule>
  </conditionalFormatting>
  <conditionalFormatting sqref="AX339">
    <cfRule type="expression" dxfId="9105" priority="10344">
      <formula>$E339=""</formula>
    </cfRule>
  </conditionalFormatting>
  <conditionalFormatting sqref="AX341">
    <cfRule type="expression" dxfId="9104" priority="10343">
      <formula>#REF!=""</formula>
    </cfRule>
  </conditionalFormatting>
  <conditionalFormatting sqref="AX342">
    <cfRule type="expression" dxfId="9103" priority="10342">
      <formula>$E341=""</formula>
    </cfRule>
  </conditionalFormatting>
  <conditionalFormatting sqref="AY339:AZ342">
    <cfRule type="expression" dxfId="9102" priority="10341">
      <formula>$G339=""</formula>
    </cfRule>
  </conditionalFormatting>
  <conditionalFormatting sqref="G341">
    <cfRule type="expression" dxfId="9101" priority="10338" stopIfTrue="1">
      <formula>$G339=""</formula>
    </cfRule>
    <cfRule type="containsBlanks" dxfId="9100" priority="10339" stopIfTrue="1">
      <formula>LEN(TRIM(G341))=0</formula>
    </cfRule>
    <cfRule type="expression" dxfId="9099" priority="10340">
      <formula>OR($M341=0,$HH340=FALSE)</formula>
    </cfRule>
  </conditionalFormatting>
  <conditionalFormatting sqref="AO341">
    <cfRule type="expression" dxfId="9098" priority="10337" stopIfTrue="1">
      <formula>$G339=""</formula>
    </cfRule>
  </conditionalFormatting>
  <conditionalFormatting sqref="AU339:AU342">
    <cfRule type="expression" dxfId="9097" priority="10334" stopIfTrue="1">
      <formula>$C$43=2</formula>
    </cfRule>
    <cfRule type="cellIs" dxfId="9096" priority="10335" operator="equal">
      <formula>"Yes"</formula>
    </cfRule>
    <cfRule type="cellIs" dxfId="9095" priority="10336" operator="equal">
      <formula>"No"</formula>
    </cfRule>
  </conditionalFormatting>
  <conditionalFormatting sqref="AO339:AO340">
    <cfRule type="expression" dxfId="9094" priority="10333">
      <formula>$G339=""</formula>
    </cfRule>
  </conditionalFormatting>
  <conditionalFormatting sqref="AP339 AR339:AS342">
    <cfRule type="expression" dxfId="9093" priority="10332">
      <formula>$G339=""</formula>
    </cfRule>
  </conditionalFormatting>
  <conditionalFormatting sqref="AW339:AW342">
    <cfRule type="expression" dxfId="9092" priority="10331">
      <formula>$G339=""</formula>
    </cfRule>
  </conditionalFormatting>
  <conditionalFormatting sqref="G340:L340">
    <cfRule type="expression" dxfId="9091" priority="10329" stopIfTrue="1">
      <formula>$G339=""</formula>
    </cfRule>
    <cfRule type="containsBlanks" dxfId="9090" priority="10330">
      <formula>LEN(TRIM(G340))=0</formula>
    </cfRule>
  </conditionalFormatting>
  <conditionalFormatting sqref="R341">
    <cfRule type="expression" dxfId="9089" priority="10326">
      <formula>$N342="BAM"</formula>
    </cfRule>
    <cfRule type="expression" dxfId="9088" priority="10327" stopIfTrue="1">
      <formula>$G339=""</formula>
    </cfRule>
    <cfRule type="containsBlanks" dxfId="9087" priority="10328">
      <formula>LEN(TRIM(R341))=0</formula>
    </cfRule>
  </conditionalFormatting>
  <conditionalFormatting sqref="R341">
    <cfRule type="expression" dxfId="9086" priority="10325">
      <formula>$C$43=0</formula>
    </cfRule>
  </conditionalFormatting>
  <conditionalFormatting sqref="E342:F342">
    <cfRule type="expression" dxfId="9085" priority="10324">
      <formula>$CQ339="Exterior"</formula>
    </cfRule>
  </conditionalFormatting>
  <conditionalFormatting sqref="G342">
    <cfRule type="expression" dxfId="9084" priority="10314" stopIfTrue="1">
      <formula>$G339=""</formula>
    </cfRule>
  </conditionalFormatting>
  <conditionalFormatting sqref="G342">
    <cfRule type="expression" dxfId="9083" priority="10316" stopIfTrue="1">
      <formula>$CQ339="Exterior"</formula>
    </cfRule>
  </conditionalFormatting>
  <conditionalFormatting sqref="G342:L342">
    <cfRule type="expression" dxfId="9082" priority="10315" stopIfTrue="1">
      <formula>$N342="BAM"</formula>
    </cfRule>
    <cfRule type="containsBlanks" dxfId="9081" priority="10317" stopIfTrue="1">
      <formula>LEN(TRIM(G342))=0</formula>
    </cfRule>
    <cfRule type="expression" dxfId="9080" priority="10319">
      <formula>$HQ340=FALSE</formula>
    </cfRule>
  </conditionalFormatting>
  <conditionalFormatting sqref="G342:L342">
    <cfRule type="expression" dxfId="9079" priority="10318" stopIfTrue="1">
      <formula>$AG341=""</formula>
    </cfRule>
  </conditionalFormatting>
  <conditionalFormatting sqref="G341:L341">
    <cfRule type="expression" dxfId="9078" priority="10312" stopIfTrue="1">
      <formula>$N342="BAM"</formula>
    </cfRule>
  </conditionalFormatting>
  <conditionalFormatting sqref="G339:R339">
    <cfRule type="containsBlanks" dxfId="9077" priority="10311">
      <formula>LEN(TRIM(G339))=0</formula>
    </cfRule>
  </conditionalFormatting>
  <conditionalFormatting sqref="AF341">
    <cfRule type="expression" dxfId="9076" priority="10301" stopIfTrue="1">
      <formula>$G339=""</formula>
    </cfRule>
    <cfRule type="expression" dxfId="9075" priority="10302" stopIfTrue="1">
      <formula>$N342="BAM"</formula>
    </cfRule>
    <cfRule type="expression" dxfId="9074" priority="10310">
      <formula>$AF$49&gt;$T$49</formula>
    </cfRule>
  </conditionalFormatting>
  <conditionalFormatting sqref="AC342:AE342">
    <cfRule type="expression" dxfId="9073" priority="10307" stopIfTrue="1">
      <formula>$G339=""</formula>
    </cfRule>
  </conditionalFormatting>
  <conditionalFormatting sqref="T341:U341">
    <cfRule type="expression" dxfId="9072" priority="10274" stopIfTrue="1">
      <formula>$G339=""</formula>
    </cfRule>
  </conditionalFormatting>
  <conditionalFormatting sqref="T341:U341">
    <cfRule type="containsBlanks" dxfId="9071" priority="10304" stopIfTrue="1">
      <formula>LEN(TRIM(T341))=0</formula>
    </cfRule>
  </conditionalFormatting>
  <conditionalFormatting sqref="AC339:AE339">
    <cfRule type="expression" dxfId="9070" priority="10303">
      <formula>$G339=""</formula>
    </cfRule>
  </conditionalFormatting>
  <conditionalFormatting sqref="AF341 AG342">
    <cfRule type="containsBlanks" dxfId="9069" priority="10308" stopIfTrue="1">
      <formula>LEN(TRIM(AF341))=0</formula>
    </cfRule>
  </conditionalFormatting>
  <conditionalFormatting sqref="AF341">
    <cfRule type="expression" dxfId="9068" priority="10309">
      <formula>OR($HS340=FALSE,$HT340=FALSE)</formula>
    </cfRule>
  </conditionalFormatting>
  <conditionalFormatting sqref="AG342">
    <cfRule type="expression" dxfId="9067" priority="10267">
      <formula>$C$43&gt;0</formula>
    </cfRule>
  </conditionalFormatting>
  <conditionalFormatting sqref="AG342">
    <cfRule type="expression" dxfId="9066" priority="10300" stopIfTrue="1">
      <formula>$G339=""</formula>
    </cfRule>
  </conditionalFormatting>
  <conditionalFormatting sqref="U341">
    <cfRule type="expression" dxfId="9065" priority="10305">
      <formula>OR($HK340=FALSE,$HL340=FALSE)</formula>
    </cfRule>
  </conditionalFormatting>
  <conditionalFormatting sqref="T340:U340">
    <cfRule type="expression" dxfId="9064" priority="10295" stopIfTrue="1">
      <formula>$C$43&lt;&gt;0</formula>
    </cfRule>
    <cfRule type="containsBlanks" dxfId="9063" priority="10296" stopIfTrue="1">
      <formula>LEN(TRIM(T340))=0</formula>
    </cfRule>
  </conditionalFormatting>
  <conditionalFormatting sqref="T340:U340">
    <cfRule type="expression" dxfId="9062" priority="10294" stopIfTrue="1">
      <formula>$G339=""</formula>
    </cfRule>
  </conditionalFormatting>
  <conditionalFormatting sqref="U340">
    <cfRule type="expression" dxfId="9061" priority="10297">
      <formula>$HJ340=FALSE</formula>
    </cfRule>
  </conditionalFormatting>
  <conditionalFormatting sqref="AG341">
    <cfRule type="expression" dxfId="9060" priority="10285" stopIfTrue="1">
      <formula>$G339=""</formula>
    </cfRule>
  </conditionalFormatting>
  <conditionalFormatting sqref="AG341:AL341">
    <cfRule type="expression" dxfId="9059" priority="10286">
      <formula>$N342="BAM"</formula>
    </cfRule>
    <cfRule type="expression" dxfId="9058" priority="10290">
      <formula>OR($HU340=FALSE,$HQ340=FALSE)</formula>
    </cfRule>
  </conditionalFormatting>
  <conditionalFormatting sqref="AG341">
    <cfRule type="containsBlanks" dxfId="9057" priority="10287" stopIfTrue="1">
      <formula>LEN(TRIM(AG341))=0</formula>
    </cfRule>
    <cfRule type="expression" dxfId="9056" priority="10288">
      <formula>OR($HP340=FALSE,$HR340=FALSE)</formula>
    </cfRule>
    <cfRule type="expression" dxfId="9055" priority="10289">
      <formula>OR($DS339=7,$DS339=8,$DS339=9)</formula>
    </cfRule>
  </conditionalFormatting>
  <conditionalFormatting sqref="AG339:AL339">
    <cfRule type="expression" dxfId="9054" priority="10284">
      <formula>$C$43&lt;&gt;0</formula>
    </cfRule>
  </conditionalFormatting>
  <conditionalFormatting sqref="AF340">
    <cfRule type="containsBlanks" dxfId="9053" priority="10283">
      <formula>LEN(TRIM(AF340))=0</formula>
    </cfRule>
  </conditionalFormatting>
  <conditionalFormatting sqref="AF340">
    <cfRule type="expression" dxfId="9052" priority="10282" stopIfTrue="1">
      <formula>$G339=""</formula>
    </cfRule>
  </conditionalFormatting>
  <conditionalFormatting sqref="AG340">
    <cfRule type="containsBlanks" dxfId="9051" priority="10280">
      <formula>LEN(TRIM(AG340))=0</formula>
    </cfRule>
    <cfRule type="expression" dxfId="9050" priority="10281">
      <formula>$HO340=FALSE</formula>
    </cfRule>
  </conditionalFormatting>
  <conditionalFormatting sqref="AG340">
    <cfRule type="expression" dxfId="9049" priority="10279" stopIfTrue="1">
      <formula>$G339=""</formula>
    </cfRule>
  </conditionalFormatting>
  <conditionalFormatting sqref="AF340:AK340">
    <cfRule type="expression" dxfId="9048" priority="10278">
      <formula>$C$43&gt;0</formula>
    </cfRule>
  </conditionalFormatting>
  <conditionalFormatting sqref="AM339:AN340">
    <cfRule type="expression" dxfId="9047" priority="10277">
      <formula>$G339=""</formula>
    </cfRule>
  </conditionalFormatting>
  <conditionalFormatting sqref="AM341:AN341">
    <cfRule type="expression" dxfId="9046" priority="10276" stopIfTrue="1">
      <formula>$G339=""</formula>
    </cfRule>
  </conditionalFormatting>
  <conditionalFormatting sqref="T341">
    <cfRule type="expression" dxfId="9045" priority="10298" stopIfTrue="1">
      <formula>$N342="BAM"</formula>
    </cfRule>
  </conditionalFormatting>
  <conditionalFormatting sqref="U341:AE341">
    <cfRule type="expression" dxfId="9044" priority="10275" stopIfTrue="1">
      <formula>$N342="BAM"</formula>
    </cfRule>
  </conditionalFormatting>
  <conditionalFormatting sqref="AG342:AL342">
    <cfRule type="expression" dxfId="9043" priority="10299" stopIfTrue="1">
      <formula>$N342="BAM"</formula>
    </cfRule>
  </conditionalFormatting>
  <conditionalFormatting sqref="AX345">
    <cfRule type="expression" dxfId="9042" priority="10265">
      <formula>$E345=""</formula>
    </cfRule>
  </conditionalFormatting>
  <conditionalFormatting sqref="AX344">
    <cfRule type="expression" dxfId="9041" priority="10264">
      <formula>$E344=""</formula>
    </cfRule>
  </conditionalFormatting>
  <conditionalFormatting sqref="AX346">
    <cfRule type="expression" dxfId="9040" priority="10263">
      <formula>#REF!=""</formula>
    </cfRule>
  </conditionalFormatting>
  <conditionalFormatting sqref="AX347">
    <cfRule type="expression" dxfId="9039" priority="10262">
      <formula>$E346=""</formula>
    </cfRule>
  </conditionalFormatting>
  <conditionalFormatting sqref="AY344:AZ347">
    <cfRule type="expression" dxfId="9038" priority="10261">
      <formula>$G344=""</formula>
    </cfRule>
  </conditionalFormatting>
  <conditionalFormatting sqref="G346">
    <cfRule type="expression" dxfId="9037" priority="10258" stopIfTrue="1">
      <formula>$G344=""</formula>
    </cfRule>
    <cfRule type="containsBlanks" dxfId="9036" priority="10259" stopIfTrue="1">
      <formula>LEN(TRIM(G346))=0</formula>
    </cfRule>
    <cfRule type="expression" dxfId="9035" priority="10260">
      <formula>OR($M346=0,$HH345=FALSE)</formula>
    </cfRule>
  </conditionalFormatting>
  <conditionalFormatting sqref="AO346">
    <cfRule type="expression" dxfId="9034" priority="10257" stopIfTrue="1">
      <formula>$G344=""</formula>
    </cfRule>
  </conditionalFormatting>
  <conditionalFormatting sqref="AU344:AU347">
    <cfRule type="expression" dxfId="9033" priority="10254" stopIfTrue="1">
      <formula>$C$43=2</formula>
    </cfRule>
    <cfRule type="cellIs" dxfId="9032" priority="10255" operator="equal">
      <formula>"Yes"</formula>
    </cfRule>
    <cfRule type="cellIs" dxfId="9031" priority="10256" operator="equal">
      <formula>"No"</formula>
    </cfRule>
  </conditionalFormatting>
  <conditionalFormatting sqref="AO344:AO345">
    <cfRule type="expression" dxfId="9030" priority="10253">
      <formula>$G344=""</formula>
    </cfRule>
  </conditionalFormatting>
  <conditionalFormatting sqref="AP344 AR344:AS347">
    <cfRule type="expression" dxfId="9029" priority="10252">
      <formula>$G344=""</formula>
    </cfRule>
  </conditionalFormatting>
  <conditionalFormatting sqref="AW344:AW347">
    <cfRule type="expression" dxfId="9028" priority="10251">
      <formula>$G344=""</formula>
    </cfRule>
  </conditionalFormatting>
  <conditionalFormatting sqref="G345:L345">
    <cfRule type="expression" dxfId="9027" priority="10249" stopIfTrue="1">
      <formula>$G344=""</formula>
    </cfRule>
    <cfRule type="containsBlanks" dxfId="9026" priority="10250">
      <formula>LEN(TRIM(G345))=0</formula>
    </cfRule>
  </conditionalFormatting>
  <conditionalFormatting sqref="R346">
    <cfRule type="expression" dxfId="9025" priority="10246">
      <formula>$N347="BAM"</formula>
    </cfRule>
    <cfRule type="expression" dxfId="9024" priority="10247" stopIfTrue="1">
      <formula>$G344=""</formula>
    </cfRule>
    <cfRule type="containsBlanks" dxfId="9023" priority="10248">
      <formula>LEN(TRIM(R346))=0</formula>
    </cfRule>
  </conditionalFormatting>
  <conditionalFormatting sqref="R346">
    <cfRule type="expression" dxfId="9022" priority="10245">
      <formula>$C$43=0</formula>
    </cfRule>
  </conditionalFormatting>
  <conditionalFormatting sqref="E347:F347">
    <cfRule type="expression" dxfId="9021" priority="10244">
      <formula>$CQ344="Exterior"</formula>
    </cfRule>
  </conditionalFormatting>
  <conditionalFormatting sqref="G347">
    <cfRule type="expression" dxfId="9020" priority="10234" stopIfTrue="1">
      <formula>$G344=""</formula>
    </cfRule>
  </conditionalFormatting>
  <conditionalFormatting sqref="G347">
    <cfRule type="expression" dxfId="9019" priority="10236" stopIfTrue="1">
      <formula>$CQ344="Exterior"</formula>
    </cfRule>
  </conditionalFormatting>
  <conditionalFormatting sqref="G347:L347">
    <cfRule type="expression" dxfId="9018" priority="10235" stopIfTrue="1">
      <formula>$N347="BAM"</formula>
    </cfRule>
    <cfRule type="containsBlanks" dxfId="9017" priority="10237" stopIfTrue="1">
      <formula>LEN(TRIM(G347))=0</formula>
    </cfRule>
    <cfRule type="expression" dxfId="9016" priority="10239">
      <formula>$HQ345=FALSE</formula>
    </cfRule>
  </conditionalFormatting>
  <conditionalFormatting sqref="G347:L347">
    <cfRule type="expression" dxfId="9015" priority="10238" stopIfTrue="1">
      <formula>$AG346=""</formula>
    </cfRule>
  </conditionalFormatting>
  <conditionalFormatting sqref="G346:L346">
    <cfRule type="expression" dxfId="9014" priority="10232" stopIfTrue="1">
      <formula>$N347="BAM"</formula>
    </cfRule>
  </conditionalFormatting>
  <conditionalFormatting sqref="G344:R344">
    <cfRule type="containsBlanks" dxfId="9013" priority="10231">
      <formula>LEN(TRIM(G344))=0</formula>
    </cfRule>
  </conditionalFormatting>
  <conditionalFormatting sqref="AF346">
    <cfRule type="expression" dxfId="9012" priority="10221" stopIfTrue="1">
      <formula>$G344=""</formula>
    </cfRule>
    <cfRule type="expression" dxfId="9011" priority="10222" stopIfTrue="1">
      <formula>$N347="BAM"</formula>
    </cfRule>
    <cfRule type="expression" dxfId="9010" priority="10230">
      <formula>$AF$49&gt;$T$49</formula>
    </cfRule>
  </conditionalFormatting>
  <conditionalFormatting sqref="AC347:AE347">
    <cfRule type="expression" dxfId="9009" priority="10227" stopIfTrue="1">
      <formula>$G344=""</formula>
    </cfRule>
  </conditionalFormatting>
  <conditionalFormatting sqref="T346:U346">
    <cfRule type="expression" dxfId="9008" priority="10194" stopIfTrue="1">
      <formula>$G344=""</formula>
    </cfRule>
  </conditionalFormatting>
  <conditionalFormatting sqref="T346:U346">
    <cfRule type="containsBlanks" dxfId="9007" priority="10224" stopIfTrue="1">
      <formula>LEN(TRIM(T346))=0</formula>
    </cfRule>
  </conditionalFormatting>
  <conditionalFormatting sqref="AC344:AE344">
    <cfRule type="expression" dxfId="9006" priority="10223">
      <formula>$G344=""</formula>
    </cfRule>
  </conditionalFormatting>
  <conditionalFormatting sqref="AF346 AG347">
    <cfRule type="containsBlanks" dxfId="9005" priority="10228" stopIfTrue="1">
      <formula>LEN(TRIM(AF346))=0</formula>
    </cfRule>
  </conditionalFormatting>
  <conditionalFormatting sqref="AF346">
    <cfRule type="expression" dxfId="9004" priority="10229">
      <formula>OR($HS345=FALSE,$HT345=FALSE)</formula>
    </cfRule>
  </conditionalFormatting>
  <conditionalFormatting sqref="AG347">
    <cfRule type="expression" dxfId="9003" priority="10187">
      <formula>$C$43&gt;0</formula>
    </cfRule>
  </conditionalFormatting>
  <conditionalFormatting sqref="AG347">
    <cfRule type="expression" dxfId="9002" priority="10220" stopIfTrue="1">
      <formula>$G344=""</formula>
    </cfRule>
  </conditionalFormatting>
  <conditionalFormatting sqref="U346">
    <cfRule type="expression" dxfId="9001" priority="10225">
      <formula>OR($HK345=FALSE,$HL345=FALSE)</formula>
    </cfRule>
  </conditionalFormatting>
  <conditionalFormatting sqref="T345:U345">
    <cfRule type="expression" dxfId="9000" priority="10215" stopIfTrue="1">
      <formula>$C$43&lt;&gt;0</formula>
    </cfRule>
    <cfRule type="containsBlanks" dxfId="8999" priority="10216" stopIfTrue="1">
      <formula>LEN(TRIM(T345))=0</formula>
    </cfRule>
  </conditionalFormatting>
  <conditionalFormatting sqref="T345:U345">
    <cfRule type="expression" dxfId="8998" priority="10214" stopIfTrue="1">
      <formula>$G344=""</formula>
    </cfRule>
  </conditionalFormatting>
  <conditionalFormatting sqref="U345">
    <cfRule type="expression" dxfId="8997" priority="10217">
      <formula>$HJ345=FALSE</formula>
    </cfRule>
  </conditionalFormatting>
  <conditionalFormatting sqref="AG346">
    <cfRule type="expression" dxfId="8996" priority="10205" stopIfTrue="1">
      <formula>$G344=""</formula>
    </cfRule>
  </conditionalFormatting>
  <conditionalFormatting sqref="AG346:AL346">
    <cfRule type="expression" dxfId="8995" priority="10206">
      <formula>$N347="BAM"</formula>
    </cfRule>
    <cfRule type="expression" dxfId="8994" priority="10210">
      <formula>OR($HU345=FALSE,$HQ345=FALSE)</formula>
    </cfRule>
  </conditionalFormatting>
  <conditionalFormatting sqref="AG346">
    <cfRule type="containsBlanks" dxfId="8993" priority="10207" stopIfTrue="1">
      <formula>LEN(TRIM(AG346))=0</formula>
    </cfRule>
    <cfRule type="expression" dxfId="8992" priority="10208">
      <formula>OR($HP345=FALSE,$HR345=FALSE)</formula>
    </cfRule>
    <cfRule type="expression" dxfId="8991" priority="10209">
      <formula>OR($DS344=7,$DS344=8,$DS344=9)</formula>
    </cfRule>
  </conditionalFormatting>
  <conditionalFormatting sqref="AG344:AL344">
    <cfRule type="expression" dxfId="8990" priority="10204">
      <formula>$C$43&lt;&gt;0</formula>
    </cfRule>
  </conditionalFormatting>
  <conditionalFormatting sqref="AF345">
    <cfRule type="containsBlanks" dxfId="8989" priority="10203">
      <formula>LEN(TRIM(AF345))=0</formula>
    </cfRule>
  </conditionalFormatting>
  <conditionalFormatting sqref="AF345">
    <cfRule type="expression" dxfId="8988" priority="10202" stopIfTrue="1">
      <formula>$G344=""</formula>
    </cfRule>
  </conditionalFormatting>
  <conditionalFormatting sqref="AG345">
    <cfRule type="containsBlanks" dxfId="8987" priority="10200">
      <formula>LEN(TRIM(AG345))=0</formula>
    </cfRule>
    <cfRule type="expression" dxfId="8986" priority="10201">
      <formula>$HO345=FALSE</formula>
    </cfRule>
  </conditionalFormatting>
  <conditionalFormatting sqref="AG345">
    <cfRule type="expression" dxfId="8985" priority="10199" stopIfTrue="1">
      <formula>$G344=""</formula>
    </cfRule>
  </conditionalFormatting>
  <conditionalFormatting sqref="AF345:AK345">
    <cfRule type="expression" dxfId="8984" priority="10198">
      <formula>$C$43&gt;0</formula>
    </cfRule>
  </conditionalFormatting>
  <conditionalFormatting sqref="AM344:AN345">
    <cfRule type="expression" dxfId="8983" priority="10197">
      <formula>$G344=""</formula>
    </cfRule>
  </conditionalFormatting>
  <conditionalFormatting sqref="AM346:AN346">
    <cfRule type="expression" dxfId="8982" priority="10196" stopIfTrue="1">
      <formula>$G344=""</formula>
    </cfRule>
  </conditionalFormatting>
  <conditionalFormatting sqref="T346">
    <cfRule type="expression" dxfId="8981" priority="10218" stopIfTrue="1">
      <formula>$N347="BAM"</formula>
    </cfRule>
  </conditionalFormatting>
  <conditionalFormatting sqref="U346:AE346">
    <cfRule type="expression" dxfId="8980" priority="10195" stopIfTrue="1">
      <formula>$N347="BAM"</formula>
    </cfRule>
  </conditionalFormatting>
  <conditionalFormatting sqref="AG347:AL347">
    <cfRule type="expression" dxfId="8979" priority="10219" stopIfTrue="1">
      <formula>$N347="BAM"</formula>
    </cfRule>
  </conditionalFormatting>
  <conditionalFormatting sqref="AX350">
    <cfRule type="expression" dxfId="8978" priority="10185">
      <formula>$E350=""</formula>
    </cfRule>
  </conditionalFormatting>
  <conditionalFormatting sqref="AX349">
    <cfRule type="expression" dxfId="8977" priority="10184">
      <formula>$E349=""</formula>
    </cfRule>
  </conditionalFormatting>
  <conditionalFormatting sqref="AX351">
    <cfRule type="expression" dxfId="8976" priority="10183">
      <formula>#REF!=""</formula>
    </cfRule>
  </conditionalFormatting>
  <conditionalFormatting sqref="AX352">
    <cfRule type="expression" dxfId="8975" priority="10182">
      <formula>$E351=""</formula>
    </cfRule>
  </conditionalFormatting>
  <conditionalFormatting sqref="AY349:AZ352">
    <cfRule type="expression" dxfId="8974" priority="10181">
      <formula>$G349=""</formula>
    </cfRule>
  </conditionalFormatting>
  <conditionalFormatting sqref="G351">
    <cfRule type="expression" dxfId="8973" priority="10178" stopIfTrue="1">
      <formula>$G349=""</formula>
    </cfRule>
    <cfRule type="containsBlanks" dxfId="8972" priority="10179" stopIfTrue="1">
      <formula>LEN(TRIM(G351))=0</formula>
    </cfRule>
    <cfRule type="expression" dxfId="8971" priority="10180">
      <formula>OR($M351=0,$HH350=FALSE)</formula>
    </cfRule>
  </conditionalFormatting>
  <conditionalFormatting sqref="AO351">
    <cfRule type="expression" dxfId="8970" priority="10177" stopIfTrue="1">
      <formula>$G349=""</formula>
    </cfRule>
  </conditionalFormatting>
  <conditionalFormatting sqref="AU349:AU352">
    <cfRule type="expression" dxfId="8969" priority="10174" stopIfTrue="1">
      <formula>$C$43=2</formula>
    </cfRule>
    <cfRule type="cellIs" dxfId="8968" priority="10175" operator="equal">
      <formula>"Yes"</formula>
    </cfRule>
    <cfRule type="cellIs" dxfId="8967" priority="10176" operator="equal">
      <formula>"No"</formula>
    </cfRule>
  </conditionalFormatting>
  <conditionalFormatting sqref="AO349:AO350">
    <cfRule type="expression" dxfId="8966" priority="10173">
      <formula>$G349=""</formula>
    </cfRule>
  </conditionalFormatting>
  <conditionalFormatting sqref="AP349 AR349:AS352">
    <cfRule type="expression" dxfId="8965" priority="10172">
      <formula>$G349=""</formula>
    </cfRule>
  </conditionalFormatting>
  <conditionalFormatting sqref="AW349:AW352">
    <cfRule type="expression" dxfId="8964" priority="10171">
      <formula>$G349=""</formula>
    </cfRule>
  </conditionalFormatting>
  <conditionalFormatting sqref="G350:L350">
    <cfRule type="expression" dxfId="8963" priority="10169" stopIfTrue="1">
      <formula>$G349=""</formula>
    </cfRule>
    <cfRule type="containsBlanks" dxfId="8962" priority="10170">
      <formula>LEN(TRIM(G350))=0</formula>
    </cfRule>
  </conditionalFormatting>
  <conditionalFormatting sqref="R351">
    <cfRule type="expression" dxfId="8961" priority="10166">
      <formula>$N352="BAM"</formula>
    </cfRule>
    <cfRule type="expression" dxfId="8960" priority="10167" stopIfTrue="1">
      <formula>$G349=""</formula>
    </cfRule>
    <cfRule type="containsBlanks" dxfId="8959" priority="10168">
      <formula>LEN(TRIM(R351))=0</formula>
    </cfRule>
  </conditionalFormatting>
  <conditionalFormatting sqref="R351">
    <cfRule type="expression" dxfId="8958" priority="10165">
      <formula>$C$43=0</formula>
    </cfRule>
  </conditionalFormatting>
  <conditionalFormatting sqref="E352:F352">
    <cfRule type="expression" dxfId="8957" priority="10164">
      <formula>$CQ349="Exterior"</formula>
    </cfRule>
  </conditionalFormatting>
  <conditionalFormatting sqref="G352">
    <cfRule type="expression" dxfId="8956" priority="10154" stopIfTrue="1">
      <formula>$G349=""</formula>
    </cfRule>
  </conditionalFormatting>
  <conditionalFormatting sqref="G352">
    <cfRule type="expression" dxfId="8955" priority="10156" stopIfTrue="1">
      <formula>$CQ349="Exterior"</formula>
    </cfRule>
  </conditionalFormatting>
  <conditionalFormatting sqref="G352:L352">
    <cfRule type="expression" dxfId="8954" priority="10155" stopIfTrue="1">
      <formula>$N352="BAM"</formula>
    </cfRule>
    <cfRule type="containsBlanks" dxfId="8953" priority="10157" stopIfTrue="1">
      <formula>LEN(TRIM(G352))=0</formula>
    </cfRule>
    <cfRule type="expression" dxfId="8952" priority="10159">
      <formula>$HQ350=FALSE</formula>
    </cfRule>
  </conditionalFormatting>
  <conditionalFormatting sqref="G352:L352">
    <cfRule type="expression" dxfId="8951" priority="10158" stopIfTrue="1">
      <formula>$AG351=""</formula>
    </cfRule>
  </conditionalFormatting>
  <conditionalFormatting sqref="G351:L351">
    <cfRule type="expression" dxfId="8950" priority="10152" stopIfTrue="1">
      <formula>$N352="BAM"</formula>
    </cfRule>
  </conditionalFormatting>
  <conditionalFormatting sqref="G349:R349">
    <cfRule type="containsBlanks" dxfId="8949" priority="10151">
      <formula>LEN(TRIM(G349))=0</formula>
    </cfRule>
  </conditionalFormatting>
  <conditionalFormatting sqref="AF351">
    <cfRule type="expression" dxfId="8948" priority="10141" stopIfTrue="1">
      <formula>$G349=""</formula>
    </cfRule>
    <cfRule type="expression" dxfId="8947" priority="10142" stopIfTrue="1">
      <formula>$N352="BAM"</formula>
    </cfRule>
    <cfRule type="expression" dxfId="8946" priority="10150">
      <formula>$AF$49&gt;$T$49</formula>
    </cfRule>
  </conditionalFormatting>
  <conditionalFormatting sqref="AC352:AE352">
    <cfRule type="expression" dxfId="8945" priority="10147" stopIfTrue="1">
      <formula>$G349=""</formula>
    </cfRule>
  </conditionalFormatting>
  <conditionalFormatting sqref="T351:U351">
    <cfRule type="expression" dxfId="8944" priority="10114" stopIfTrue="1">
      <formula>$G349=""</formula>
    </cfRule>
  </conditionalFormatting>
  <conditionalFormatting sqref="T351:U351">
    <cfRule type="containsBlanks" dxfId="8943" priority="10144" stopIfTrue="1">
      <formula>LEN(TRIM(T351))=0</formula>
    </cfRule>
  </conditionalFormatting>
  <conditionalFormatting sqref="AC349:AE349">
    <cfRule type="expression" dxfId="8942" priority="10143">
      <formula>$G349=""</formula>
    </cfRule>
  </conditionalFormatting>
  <conditionalFormatting sqref="AF351 AG352">
    <cfRule type="containsBlanks" dxfId="8941" priority="10148" stopIfTrue="1">
      <formula>LEN(TRIM(AF351))=0</formula>
    </cfRule>
  </conditionalFormatting>
  <conditionalFormatting sqref="AF351">
    <cfRule type="expression" dxfId="8940" priority="10149">
      <formula>OR($HS350=FALSE,$HT350=FALSE)</formula>
    </cfRule>
  </conditionalFormatting>
  <conditionalFormatting sqref="AG352">
    <cfRule type="expression" dxfId="8939" priority="10107">
      <formula>$C$43&gt;0</formula>
    </cfRule>
  </conditionalFormatting>
  <conditionalFormatting sqref="AG352">
    <cfRule type="expression" dxfId="8938" priority="10140" stopIfTrue="1">
      <formula>$G349=""</formula>
    </cfRule>
  </conditionalFormatting>
  <conditionalFormatting sqref="U351">
    <cfRule type="expression" dxfId="8937" priority="10145">
      <formula>OR($HK350=FALSE,$HL350=FALSE)</formula>
    </cfRule>
  </conditionalFormatting>
  <conditionalFormatting sqref="T350:U350">
    <cfRule type="expression" dxfId="8936" priority="10135" stopIfTrue="1">
      <formula>$C$43&lt;&gt;0</formula>
    </cfRule>
    <cfRule type="containsBlanks" dxfId="8935" priority="10136" stopIfTrue="1">
      <formula>LEN(TRIM(T350))=0</formula>
    </cfRule>
  </conditionalFormatting>
  <conditionalFormatting sqref="T350:U350">
    <cfRule type="expression" dxfId="8934" priority="10134" stopIfTrue="1">
      <formula>$G349=""</formula>
    </cfRule>
  </conditionalFormatting>
  <conditionalFormatting sqref="U350">
    <cfRule type="expression" dxfId="8933" priority="10137">
      <formula>$HJ350=FALSE</formula>
    </cfRule>
  </conditionalFormatting>
  <conditionalFormatting sqref="AG351">
    <cfRule type="expression" dxfId="8932" priority="10125" stopIfTrue="1">
      <formula>$G349=""</formula>
    </cfRule>
  </conditionalFormatting>
  <conditionalFormatting sqref="AG351:AL351">
    <cfRule type="expression" dxfId="8931" priority="10126">
      <formula>$N352="BAM"</formula>
    </cfRule>
    <cfRule type="expression" dxfId="8930" priority="10130">
      <formula>OR($HU350=FALSE,$HQ350=FALSE)</formula>
    </cfRule>
  </conditionalFormatting>
  <conditionalFormatting sqref="AG351">
    <cfRule type="containsBlanks" dxfId="8929" priority="10127" stopIfTrue="1">
      <formula>LEN(TRIM(AG351))=0</formula>
    </cfRule>
    <cfRule type="expression" dxfId="8928" priority="10128">
      <formula>OR($HP350=FALSE,$HR350=FALSE)</formula>
    </cfRule>
    <cfRule type="expression" dxfId="8927" priority="10129">
      <formula>OR($DS349=7,$DS349=8,$DS349=9)</formula>
    </cfRule>
  </conditionalFormatting>
  <conditionalFormatting sqref="AG349:AL349">
    <cfRule type="expression" dxfId="8926" priority="10124">
      <formula>$C$43&lt;&gt;0</formula>
    </cfRule>
  </conditionalFormatting>
  <conditionalFormatting sqref="AF350">
    <cfRule type="containsBlanks" dxfId="8925" priority="10123">
      <formula>LEN(TRIM(AF350))=0</formula>
    </cfRule>
  </conditionalFormatting>
  <conditionalFormatting sqref="AF350">
    <cfRule type="expression" dxfId="8924" priority="10122" stopIfTrue="1">
      <formula>$G349=""</formula>
    </cfRule>
  </conditionalFormatting>
  <conditionalFormatting sqref="AG350">
    <cfRule type="containsBlanks" dxfId="8923" priority="10120">
      <formula>LEN(TRIM(AG350))=0</formula>
    </cfRule>
    <cfRule type="expression" dxfId="8922" priority="10121">
      <formula>$HO350=FALSE</formula>
    </cfRule>
  </conditionalFormatting>
  <conditionalFormatting sqref="AG350">
    <cfRule type="expression" dxfId="8921" priority="10119" stopIfTrue="1">
      <formula>$G349=""</formula>
    </cfRule>
  </conditionalFormatting>
  <conditionalFormatting sqref="AF350:AK350">
    <cfRule type="expression" dxfId="8920" priority="10118">
      <formula>$C$43&gt;0</formula>
    </cfRule>
  </conditionalFormatting>
  <conditionalFormatting sqref="AM349:AN350">
    <cfRule type="expression" dxfId="8919" priority="10117">
      <formula>$G349=""</formula>
    </cfRule>
  </conditionalFormatting>
  <conditionalFormatting sqref="AM351:AN351">
    <cfRule type="expression" dxfId="8918" priority="10116" stopIfTrue="1">
      <formula>$G349=""</formula>
    </cfRule>
  </conditionalFormatting>
  <conditionalFormatting sqref="T351">
    <cfRule type="expression" dxfId="8917" priority="10138" stopIfTrue="1">
      <formula>$N352="BAM"</formula>
    </cfRule>
  </conditionalFormatting>
  <conditionalFormatting sqref="U351:AE351">
    <cfRule type="expression" dxfId="8916" priority="10115" stopIfTrue="1">
      <formula>$N352="BAM"</formula>
    </cfRule>
  </conditionalFormatting>
  <conditionalFormatting sqref="AG352:AL352">
    <cfRule type="expression" dxfId="8915" priority="10139" stopIfTrue="1">
      <formula>$N352="BAM"</formula>
    </cfRule>
  </conditionalFormatting>
  <conditionalFormatting sqref="AX355">
    <cfRule type="expression" dxfId="8914" priority="10105">
      <formula>$E355=""</formula>
    </cfRule>
  </conditionalFormatting>
  <conditionalFormatting sqref="AX354">
    <cfRule type="expression" dxfId="8913" priority="10104">
      <formula>$E354=""</formula>
    </cfRule>
  </conditionalFormatting>
  <conditionalFormatting sqref="AX356">
    <cfRule type="expression" dxfId="8912" priority="10103">
      <formula>#REF!=""</formula>
    </cfRule>
  </conditionalFormatting>
  <conditionalFormatting sqref="AX357">
    <cfRule type="expression" dxfId="8911" priority="10102">
      <formula>$E356=""</formula>
    </cfRule>
  </conditionalFormatting>
  <conditionalFormatting sqref="AY354:AZ357">
    <cfRule type="expression" dxfId="8910" priority="10101">
      <formula>$G354=""</formula>
    </cfRule>
  </conditionalFormatting>
  <conditionalFormatting sqref="G356">
    <cfRule type="expression" dxfId="8909" priority="10098" stopIfTrue="1">
      <formula>$G354=""</formula>
    </cfRule>
    <cfRule type="containsBlanks" dxfId="8908" priority="10099" stopIfTrue="1">
      <formula>LEN(TRIM(G356))=0</formula>
    </cfRule>
    <cfRule type="expression" dxfId="8907" priority="10100">
      <formula>OR($M356=0,$HH355=FALSE)</formula>
    </cfRule>
  </conditionalFormatting>
  <conditionalFormatting sqref="AO356">
    <cfRule type="expression" dxfId="8906" priority="10097" stopIfTrue="1">
      <formula>$G354=""</formula>
    </cfRule>
  </conditionalFormatting>
  <conditionalFormatting sqref="AU354:AU357">
    <cfRule type="expression" dxfId="8905" priority="10094" stopIfTrue="1">
      <formula>$C$43=2</formula>
    </cfRule>
    <cfRule type="cellIs" dxfId="8904" priority="10095" operator="equal">
      <formula>"Yes"</formula>
    </cfRule>
    <cfRule type="cellIs" dxfId="8903" priority="10096" operator="equal">
      <formula>"No"</formula>
    </cfRule>
  </conditionalFormatting>
  <conditionalFormatting sqref="AO354:AO355">
    <cfRule type="expression" dxfId="8902" priority="10093">
      <formula>$G354=""</formula>
    </cfRule>
  </conditionalFormatting>
  <conditionalFormatting sqref="AP354 AR354:AS357">
    <cfRule type="expression" dxfId="8901" priority="10092">
      <formula>$G354=""</formula>
    </cfRule>
  </conditionalFormatting>
  <conditionalFormatting sqref="AW354:AW357">
    <cfRule type="expression" dxfId="8900" priority="10091">
      <formula>$G354=""</formula>
    </cfRule>
  </conditionalFormatting>
  <conditionalFormatting sqref="G355:L355">
    <cfRule type="expression" dxfId="8899" priority="10089" stopIfTrue="1">
      <formula>$G354=""</formula>
    </cfRule>
    <cfRule type="containsBlanks" dxfId="8898" priority="10090">
      <formula>LEN(TRIM(G355))=0</formula>
    </cfRule>
  </conditionalFormatting>
  <conditionalFormatting sqref="R356">
    <cfRule type="expression" dxfId="8897" priority="10086">
      <formula>$N357="BAM"</formula>
    </cfRule>
    <cfRule type="expression" dxfId="8896" priority="10087" stopIfTrue="1">
      <formula>$G354=""</formula>
    </cfRule>
    <cfRule type="containsBlanks" dxfId="8895" priority="10088">
      <formula>LEN(TRIM(R356))=0</formula>
    </cfRule>
  </conditionalFormatting>
  <conditionalFormatting sqref="R356">
    <cfRule type="expression" dxfId="8894" priority="10085">
      <formula>$C$43=0</formula>
    </cfRule>
  </conditionalFormatting>
  <conditionalFormatting sqref="E357:F357">
    <cfRule type="expression" dxfId="8893" priority="10084">
      <formula>$CQ354="Exterior"</formula>
    </cfRule>
  </conditionalFormatting>
  <conditionalFormatting sqref="G357">
    <cfRule type="expression" dxfId="8892" priority="10074" stopIfTrue="1">
      <formula>$G354=""</formula>
    </cfRule>
  </conditionalFormatting>
  <conditionalFormatting sqref="G357">
    <cfRule type="expression" dxfId="8891" priority="10076" stopIfTrue="1">
      <formula>$CQ354="Exterior"</formula>
    </cfRule>
  </conditionalFormatting>
  <conditionalFormatting sqref="G357:L357">
    <cfRule type="expression" dxfId="8890" priority="10075" stopIfTrue="1">
      <formula>$N357="BAM"</formula>
    </cfRule>
    <cfRule type="containsBlanks" dxfId="8889" priority="10077" stopIfTrue="1">
      <formula>LEN(TRIM(G357))=0</formula>
    </cfRule>
    <cfRule type="expression" dxfId="8888" priority="10079">
      <formula>$HQ355=FALSE</formula>
    </cfRule>
  </conditionalFormatting>
  <conditionalFormatting sqref="G357:L357">
    <cfRule type="expression" dxfId="8887" priority="10078" stopIfTrue="1">
      <formula>$AG356=""</formula>
    </cfRule>
  </conditionalFormatting>
  <conditionalFormatting sqref="G356:L356">
    <cfRule type="expression" dxfId="8886" priority="10072" stopIfTrue="1">
      <formula>$N357="BAM"</formula>
    </cfRule>
  </conditionalFormatting>
  <conditionalFormatting sqref="G354:R354">
    <cfRule type="containsBlanks" dxfId="8885" priority="10071">
      <formula>LEN(TRIM(G354))=0</formula>
    </cfRule>
  </conditionalFormatting>
  <conditionalFormatting sqref="AF356">
    <cfRule type="expression" dxfId="8884" priority="10061" stopIfTrue="1">
      <formula>$G354=""</formula>
    </cfRule>
    <cfRule type="expression" dxfId="8883" priority="10062" stopIfTrue="1">
      <formula>$N357="BAM"</formula>
    </cfRule>
    <cfRule type="expression" dxfId="8882" priority="10070">
      <formula>$AF$49&gt;$T$49</formula>
    </cfRule>
  </conditionalFormatting>
  <conditionalFormatting sqref="AC357:AE357">
    <cfRule type="expression" dxfId="8881" priority="10067" stopIfTrue="1">
      <formula>$G354=""</formula>
    </cfRule>
  </conditionalFormatting>
  <conditionalFormatting sqref="T356:U356">
    <cfRule type="expression" dxfId="8880" priority="10034" stopIfTrue="1">
      <formula>$G354=""</formula>
    </cfRule>
  </conditionalFormatting>
  <conditionalFormatting sqref="T356:U356">
    <cfRule type="containsBlanks" dxfId="8879" priority="10064" stopIfTrue="1">
      <formula>LEN(TRIM(T356))=0</formula>
    </cfRule>
  </conditionalFormatting>
  <conditionalFormatting sqref="AC354:AE354">
    <cfRule type="expression" dxfId="8878" priority="10063">
      <formula>$G354=""</formula>
    </cfRule>
  </conditionalFormatting>
  <conditionalFormatting sqref="AF356 AG357">
    <cfRule type="containsBlanks" dxfId="8877" priority="10068" stopIfTrue="1">
      <formula>LEN(TRIM(AF356))=0</formula>
    </cfRule>
  </conditionalFormatting>
  <conditionalFormatting sqref="AF356">
    <cfRule type="expression" dxfId="8876" priority="10069">
      <formula>OR($HS355=FALSE,$HT355=FALSE)</formula>
    </cfRule>
  </conditionalFormatting>
  <conditionalFormatting sqref="AG357">
    <cfRule type="expression" dxfId="8875" priority="10027">
      <formula>$C$43&gt;0</formula>
    </cfRule>
  </conditionalFormatting>
  <conditionalFormatting sqref="AG357">
    <cfRule type="expression" dxfId="8874" priority="10060" stopIfTrue="1">
      <formula>$G354=""</formula>
    </cfRule>
  </conditionalFormatting>
  <conditionalFormatting sqref="U356">
    <cfRule type="expression" dxfId="8873" priority="10065">
      <formula>OR($HK355=FALSE,$HL355=FALSE)</formula>
    </cfRule>
  </conditionalFormatting>
  <conditionalFormatting sqref="T355:U355">
    <cfRule type="expression" dxfId="8872" priority="10055" stopIfTrue="1">
      <formula>$C$43&lt;&gt;0</formula>
    </cfRule>
    <cfRule type="containsBlanks" dxfId="8871" priority="10056" stopIfTrue="1">
      <formula>LEN(TRIM(T355))=0</formula>
    </cfRule>
  </conditionalFormatting>
  <conditionalFormatting sqref="T355:U355">
    <cfRule type="expression" dxfId="8870" priority="10054" stopIfTrue="1">
      <formula>$G354=""</formula>
    </cfRule>
  </conditionalFormatting>
  <conditionalFormatting sqref="U355">
    <cfRule type="expression" dxfId="8869" priority="10057">
      <formula>$HJ355=FALSE</formula>
    </cfRule>
  </conditionalFormatting>
  <conditionalFormatting sqref="AG356">
    <cfRule type="expression" dxfId="8868" priority="10045" stopIfTrue="1">
      <formula>$G354=""</formula>
    </cfRule>
  </conditionalFormatting>
  <conditionalFormatting sqref="AG356:AL356">
    <cfRule type="expression" dxfId="8867" priority="10046">
      <formula>$N357="BAM"</formula>
    </cfRule>
    <cfRule type="expression" dxfId="8866" priority="10050">
      <formula>OR($HU355=FALSE,$HQ355=FALSE)</formula>
    </cfRule>
  </conditionalFormatting>
  <conditionalFormatting sqref="AG356">
    <cfRule type="containsBlanks" dxfId="8865" priority="10047" stopIfTrue="1">
      <formula>LEN(TRIM(AG356))=0</formula>
    </cfRule>
    <cfRule type="expression" dxfId="8864" priority="10048">
      <formula>OR($HP355=FALSE,$HR355=FALSE)</formula>
    </cfRule>
    <cfRule type="expression" dxfId="8863" priority="10049">
      <formula>OR($DS354=7,$DS354=8,$DS354=9)</formula>
    </cfRule>
  </conditionalFormatting>
  <conditionalFormatting sqref="AG354:AL354">
    <cfRule type="expression" dxfId="8862" priority="10044">
      <formula>$C$43&lt;&gt;0</formula>
    </cfRule>
  </conditionalFormatting>
  <conditionalFormatting sqref="AF355">
    <cfRule type="containsBlanks" dxfId="8861" priority="10043">
      <formula>LEN(TRIM(AF355))=0</formula>
    </cfRule>
  </conditionalFormatting>
  <conditionalFormatting sqref="AF355">
    <cfRule type="expression" dxfId="8860" priority="10042" stopIfTrue="1">
      <formula>$G354=""</formula>
    </cfRule>
  </conditionalFormatting>
  <conditionalFormatting sqref="AG355">
    <cfRule type="containsBlanks" dxfId="8859" priority="10040">
      <formula>LEN(TRIM(AG355))=0</formula>
    </cfRule>
    <cfRule type="expression" dxfId="8858" priority="10041">
      <formula>$HO355=FALSE</formula>
    </cfRule>
  </conditionalFormatting>
  <conditionalFormatting sqref="AG355">
    <cfRule type="expression" dxfId="8857" priority="10039" stopIfTrue="1">
      <formula>$G354=""</formula>
    </cfRule>
  </conditionalFormatting>
  <conditionalFormatting sqref="AF355:AK355">
    <cfRule type="expression" dxfId="8856" priority="10038">
      <formula>$C$43&gt;0</formula>
    </cfRule>
  </conditionalFormatting>
  <conditionalFormatting sqref="AM354:AN355">
    <cfRule type="expression" dxfId="8855" priority="10037">
      <formula>$G354=""</formula>
    </cfRule>
  </conditionalFormatting>
  <conditionalFormatting sqref="AM356:AN356">
    <cfRule type="expression" dxfId="8854" priority="10036" stopIfTrue="1">
      <formula>$G354=""</formula>
    </cfRule>
  </conditionalFormatting>
  <conditionalFormatting sqref="T356">
    <cfRule type="expression" dxfId="8853" priority="10058" stopIfTrue="1">
      <formula>$N357="BAM"</formula>
    </cfRule>
  </conditionalFormatting>
  <conditionalFormatting sqref="U356:AE356">
    <cfRule type="expression" dxfId="8852" priority="10035" stopIfTrue="1">
      <formula>$N357="BAM"</formula>
    </cfRule>
  </conditionalFormatting>
  <conditionalFormatting sqref="AG357:AL357">
    <cfRule type="expression" dxfId="8851" priority="10059" stopIfTrue="1">
      <formula>$N357="BAM"</formula>
    </cfRule>
  </conditionalFormatting>
  <conditionalFormatting sqref="AX360">
    <cfRule type="expression" dxfId="8850" priority="10025">
      <formula>$E360=""</formula>
    </cfRule>
  </conditionalFormatting>
  <conditionalFormatting sqref="AX359">
    <cfRule type="expression" dxfId="8849" priority="10024">
      <formula>$E359=""</formula>
    </cfRule>
  </conditionalFormatting>
  <conditionalFormatting sqref="AX361">
    <cfRule type="expression" dxfId="8848" priority="10023">
      <formula>#REF!=""</formula>
    </cfRule>
  </conditionalFormatting>
  <conditionalFormatting sqref="AX362">
    <cfRule type="expression" dxfId="8847" priority="10022">
      <formula>$E361=""</formula>
    </cfRule>
  </conditionalFormatting>
  <conditionalFormatting sqref="AY359:AZ362">
    <cfRule type="expression" dxfId="8846" priority="10021">
      <formula>$G359=""</formula>
    </cfRule>
  </conditionalFormatting>
  <conditionalFormatting sqref="G361">
    <cfRule type="expression" dxfId="8845" priority="10018" stopIfTrue="1">
      <formula>$G359=""</formula>
    </cfRule>
    <cfRule type="containsBlanks" dxfId="8844" priority="10019" stopIfTrue="1">
      <formula>LEN(TRIM(G361))=0</formula>
    </cfRule>
    <cfRule type="expression" dxfId="8843" priority="10020">
      <formula>OR($M361=0,$HH360=FALSE)</formula>
    </cfRule>
  </conditionalFormatting>
  <conditionalFormatting sqref="AO361">
    <cfRule type="expression" dxfId="8842" priority="10017" stopIfTrue="1">
      <formula>$G359=""</formula>
    </cfRule>
  </conditionalFormatting>
  <conditionalFormatting sqref="AU359:AU362">
    <cfRule type="expression" dxfId="8841" priority="10014" stopIfTrue="1">
      <formula>$C$43=2</formula>
    </cfRule>
    <cfRule type="cellIs" dxfId="8840" priority="10015" operator="equal">
      <formula>"Yes"</formula>
    </cfRule>
    <cfRule type="cellIs" dxfId="8839" priority="10016" operator="equal">
      <formula>"No"</formula>
    </cfRule>
  </conditionalFormatting>
  <conditionalFormatting sqref="AO359:AO360">
    <cfRule type="expression" dxfId="8838" priority="10013">
      <formula>$G359=""</formula>
    </cfRule>
  </conditionalFormatting>
  <conditionalFormatting sqref="AP359 AR359:AS362">
    <cfRule type="expression" dxfId="8837" priority="10012">
      <formula>$G359=""</formula>
    </cfRule>
  </conditionalFormatting>
  <conditionalFormatting sqref="AW359:AW362">
    <cfRule type="expression" dxfId="8836" priority="10011">
      <formula>$G359=""</formula>
    </cfRule>
  </conditionalFormatting>
  <conditionalFormatting sqref="G360:L360">
    <cfRule type="expression" dxfId="8835" priority="10009" stopIfTrue="1">
      <formula>$G359=""</formula>
    </cfRule>
    <cfRule type="containsBlanks" dxfId="8834" priority="10010">
      <formula>LEN(TRIM(G360))=0</formula>
    </cfRule>
  </conditionalFormatting>
  <conditionalFormatting sqref="R361">
    <cfRule type="expression" dxfId="8833" priority="10006">
      <formula>$N362="BAM"</formula>
    </cfRule>
    <cfRule type="expression" dxfId="8832" priority="10007" stopIfTrue="1">
      <formula>$G359=""</formula>
    </cfRule>
    <cfRule type="containsBlanks" dxfId="8831" priority="10008">
      <formula>LEN(TRIM(R361))=0</formula>
    </cfRule>
  </conditionalFormatting>
  <conditionalFormatting sqref="R361">
    <cfRule type="expression" dxfId="8830" priority="10005">
      <formula>$C$43=0</formula>
    </cfRule>
  </conditionalFormatting>
  <conditionalFormatting sqref="E362:F362">
    <cfRule type="expression" dxfId="8829" priority="10004">
      <formula>$CQ359="Exterior"</formula>
    </cfRule>
  </conditionalFormatting>
  <conditionalFormatting sqref="G362">
    <cfRule type="expression" dxfId="8828" priority="9994" stopIfTrue="1">
      <formula>$G359=""</formula>
    </cfRule>
  </conditionalFormatting>
  <conditionalFormatting sqref="G362">
    <cfRule type="expression" dxfId="8827" priority="9996" stopIfTrue="1">
      <formula>$CQ359="Exterior"</formula>
    </cfRule>
  </conditionalFormatting>
  <conditionalFormatting sqref="G362:L362">
    <cfRule type="expression" dxfId="8826" priority="9995" stopIfTrue="1">
      <formula>$N362="BAM"</formula>
    </cfRule>
    <cfRule type="containsBlanks" dxfId="8825" priority="9997" stopIfTrue="1">
      <formula>LEN(TRIM(G362))=0</formula>
    </cfRule>
    <cfRule type="expression" dxfId="8824" priority="9999">
      <formula>$HQ360=FALSE</formula>
    </cfRule>
  </conditionalFormatting>
  <conditionalFormatting sqref="G362:L362">
    <cfRule type="expression" dxfId="8823" priority="9998" stopIfTrue="1">
      <formula>$AG361=""</formula>
    </cfRule>
  </conditionalFormatting>
  <conditionalFormatting sqref="G361:L361">
    <cfRule type="expression" dxfId="8822" priority="9992" stopIfTrue="1">
      <formula>$N362="BAM"</formula>
    </cfRule>
  </conditionalFormatting>
  <conditionalFormatting sqref="G359:R359">
    <cfRule type="containsBlanks" dxfId="8821" priority="9991">
      <formula>LEN(TRIM(G359))=0</formula>
    </cfRule>
  </conditionalFormatting>
  <conditionalFormatting sqref="AF361">
    <cfRule type="expression" dxfId="8820" priority="9981" stopIfTrue="1">
      <formula>$G359=""</formula>
    </cfRule>
    <cfRule type="expression" dxfId="8819" priority="9982" stopIfTrue="1">
      <formula>$N362="BAM"</formula>
    </cfRule>
    <cfRule type="expression" dxfId="8818" priority="9990">
      <formula>$AF$49&gt;$T$49</formula>
    </cfRule>
  </conditionalFormatting>
  <conditionalFormatting sqref="AC362:AE362">
    <cfRule type="expression" dxfId="8817" priority="9987" stopIfTrue="1">
      <formula>$G359=""</formula>
    </cfRule>
  </conditionalFormatting>
  <conditionalFormatting sqref="T361:U361">
    <cfRule type="expression" dxfId="8816" priority="9954" stopIfTrue="1">
      <formula>$G359=""</formula>
    </cfRule>
  </conditionalFormatting>
  <conditionalFormatting sqref="T361:U361">
    <cfRule type="containsBlanks" dxfId="8815" priority="9984" stopIfTrue="1">
      <formula>LEN(TRIM(T361))=0</formula>
    </cfRule>
  </conditionalFormatting>
  <conditionalFormatting sqref="AC359:AE359">
    <cfRule type="expression" dxfId="8814" priority="9983">
      <formula>$G359=""</formula>
    </cfRule>
  </conditionalFormatting>
  <conditionalFormatting sqref="AF361 AG362">
    <cfRule type="containsBlanks" dxfId="8813" priority="9988" stopIfTrue="1">
      <formula>LEN(TRIM(AF361))=0</formula>
    </cfRule>
  </conditionalFormatting>
  <conditionalFormatting sqref="AF361">
    <cfRule type="expression" dxfId="8812" priority="9989">
      <formula>OR($HS360=FALSE,$HT360=FALSE)</formula>
    </cfRule>
  </conditionalFormatting>
  <conditionalFormatting sqref="AG362">
    <cfRule type="expression" dxfId="8811" priority="9947">
      <formula>$C$43&gt;0</formula>
    </cfRule>
  </conditionalFormatting>
  <conditionalFormatting sqref="AG362">
    <cfRule type="expression" dxfId="8810" priority="9980" stopIfTrue="1">
      <formula>$G359=""</formula>
    </cfRule>
  </conditionalFormatting>
  <conditionalFormatting sqref="U361">
    <cfRule type="expression" dxfId="8809" priority="9985">
      <formula>OR($HK360=FALSE,$HL360=FALSE)</formula>
    </cfRule>
  </conditionalFormatting>
  <conditionalFormatting sqref="T360:U360">
    <cfRule type="expression" dxfId="8808" priority="9975" stopIfTrue="1">
      <formula>$C$43&lt;&gt;0</formula>
    </cfRule>
    <cfRule type="containsBlanks" dxfId="8807" priority="9976" stopIfTrue="1">
      <formula>LEN(TRIM(T360))=0</formula>
    </cfRule>
  </conditionalFormatting>
  <conditionalFormatting sqref="T360:U360">
    <cfRule type="expression" dxfId="8806" priority="9974" stopIfTrue="1">
      <formula>$G359=""</formula>
    </cfRule>
  </conditionalFormatting>
  <conditionalFormatting sqref="U360">
    <cfRule type="expression" dxfId="8805" priority="9977">
      <formula>$HJ360=FALSE</formula>
    </cfRule>
  </conditionalFormatting>
  <conditionalFormatting sqref="AG361">
    <cfRule type="expression" dxfId="8804" priority="9965" stopIfTrue="1">
      <formula>$G359=""</formula>
    </cfRule>
  </conditionalFormatting>
  <conditionalFormatting sqref="AG361:AL361">
    <cfRule type="expression" dxfId="8803" priority="9966">
      <formula>$N362="BAM"</formula>
    </cfRule>
    <cfRule type="expression" dxfId="8802" priority="9970">
      <formula>OR($HU360=FALSE,$HQ360=FALSE)</formula>
    </cfRule>
  </conditionalFormatting>
  <conditionalFormatting sqref="AG361">
    <cfRule type="containsBlanks" dxfId="8801" priority="9967" stopIfTrue="1">
      <formula>LEN(TRIM(AG361))=0</formula>
    </cfRule>
    <cfRule type="expression" dxfId="8800" priority="9968">
      <formula>OR($HP360=FALSE,$HR360=FALSE)</formula>
    </cfRule>
    <cfRule type="expression" dxfId="8799" priority="9969">
      <formula>OR($DS359=7,$DS359=8,$DS359=9)</formula>
    </cfRule>
  </conditionalFormatting>
  <conditionalFormatting sqref="AG359:AL359">
    <cfRule type="expression" dxfId="8798" priority="9964">
      <formula>$C$43&lt;&gt;0</formula>
    </cfRule>
  </conditionalFormatting>
  <conditionalFormatting sqref="AF360">
    <cfRule type="containsBlanks" dxfId="8797" priority="9963">
      <formula>LEN(TRIM(AF360))=0</formula>
    </cfRule>
  </conditionalFormatting>
  <conditionalFormatting sqref="AF360">
    <cfRule type="expression" dxfId="8796" priority="9962" stopIfTrue="1">
      <formula>$G359=""</formula>
    </cfRule>
  </conditionalFormatting>
  <conditionalFormatting sqref="AG360">
    <cfRule type="containsBlanks" dxfId="8795" priority="9960">
      <formula>LEN(TRIM(AG360))=0</formula>
    </cfRule>
    <cfRule type="expression" dxfId="8794" priority="9961">
      <formula>$HO360=FALSE</formula>
    </cfRule>
  </conditionalFormatting>
  <conditionalFormatting sqref="AG360">
    <cfRule type="expression" dxfId="8793" priority="9959" stopIfTrue="1">
      <formula>$G359=""</formula>
    </cfRule>
  </conditionalFormatting>
  <conditionalFormatting sqref="AF360:AK360">
    <cfRule type="expression" dxfId="8792" priority="9958">
      <formula>$C$43&gt;0</formula>
    </cfRule>
  </conditionalFormatting>
  <conditionalFormatting sqref="AM359:AN360">
    <cfRule type="expression" dxfId="8791" priority="9957">
      <formula>$G359=""</formula>
    </cfRule>
  </conditionalFormatting>
  <conditionalFormatting sqref="AM361:AN361">
    <cfRule type="expression" dxfId="8790" priority="9956" stopIfTrue="1">
      <formula>$G359=""</formula>
    </cfRule>
  </conditionalFormatting>
  <conditionalFormatting sqref="T361">
    <cfRule type="expression" dxfId="8789" priority="9978" stopIfTrue="1">
      <formula>$N362="BAM"</formula>
    </cfRule>
  </conditionalFormatting>
  <conditionalFormatting sqref="U361:AE361">
    <cfRule type="expression" dxfId="8788" priority="9955" stopIfTrue="1">
      <formula>$N362="BAM"</formula>
    </cfRule>
  </conditionalFormatting>
  <conditionalFormatting sqref="AG362:AL362">
    <cfRule type="expression" dxfId="8787" priority="9979" stopIfTrue="1">
      <formula>$N362="BAM"</formula>
    </cfRule>
  </conditionalFormatting>
  <conditionalFormatting sqref="AX365">
    <cfRule type="expression" dxfId="8786" priority="9945">
      <formula>$E365=""</formula>
    </cfRule>
  </conditionalFormatting>
  <conditionalFormatting sqref="AX364">
    <cfRule type="expression" dxfId="8785" priority="9944">
      <formula>$E364=""</formula>
    </cfRule>
  </conditionalFormatting>
  <conditionalFormatting sqref="AX366">
    <cfRule type="expression" dxfId="8784" priority="9943">
      <formula>#REF!=""</formula>
    </cfRule>
  </conditionalFormatting>
  <conditionalFormatting sqref="AX367">
    <cfRule type="expression" dxfId="8783" priority="9942">
      <formula>$E366=""</formula>
    </cfRule>
  </conditionalFormatting>
  <conditionalFormatting sqref="AY364:AZ367">
    <cfRule type="expression" dxfId="8782" priority="9941">
      <formula>$G364=""</formula>
    </cfRule>
  </conditionalFormatting>
  <conditionalFormatting sqref="G366">
    <cfRule type="expression" dxfId="8781" priority="9938" stopIfTrue="1">
      <formula>$G364=""</formula>
    </cfRule>
    <cfRule type="containsBlanks" dxfId="8780" priority="9939" stopIfTrue="1">
      <formula>LEN(TRIM(G366))=0</formula>
    </cfRule>
    <cfRule type="expression" dxfId="8779" priority="9940">
      <formula>OR($M366=0,$HH365=FALSE)</formula>
    </cfRule>
  </conditionalFormatting>
  <conditionalFormatting sqref="AO366">
    <cfRule type="expression" dxfId="8778" priority="9937" stopIfTrue="1">
      <formula>$G364=""</formula>
    </cfRule>
  </conditionalFormatting>
  <conditionalFormatting sqref="AU364:AU367">
    <cfRule type="expression" dxfId="8777" priority="9934" stopIfTrue="1">
      <formula>$C$43=2</formula>
    </cfRule>
    <cfRule type="cellIs" dxfId="8776" priority="9935" operator="equal">
      <formula>"Yes"</formula>
    </cfRule>
    <cfRule type="cellIs" dxfId="8775" priority="9936" operator="equal">
      <formula>"No"</formula>
    </cfRule>
  </conditionalFormatting>
  <conditionalFormatting sqref="AO364:AO365">
    <cfRule type="expression" dxfId="8774" priority="9933">
      <formula>$G364=""</formula>
    </cfRule>
  </conditionalFormatting>
  <conditionalFormatting sqref="AP364 AR364:AS367">
    <cfRule type="expression" dxfId="8773" priority="9932">
      <formula>$G364=""</formula>
    </cfRule>
  </conditionalFormatting>
  <conditionalFormatting sqref="AW364:AW367">
    <cfRule type="expression" dxfId="8772" priority="9931">
      <formula>$G364=""</formula>
    </cfRule>
  </conditionalFormatting>
  <conditionalFormatting sqref="G365:L365">
    <cfRule type="expression" dxfId="8771" priority="9929" stopIfTrue="1">
      <formula>$G364=""</formula>
    </cfRule>
    <cfRule type="containsBlanks" dxfId="8770" priority="9930">
      <formula>LEN(TRIM(G365))=0</formula>
    </cfRule>
  </conditionalFormatting>
  <conditionalFormatting sqref="R366">
    <cfRule type="expression" dxfId="8769" priority="9926">
      <formula>$N367="BAM"</formula>
    </cfRule>
    <cfRule type="expression" dxfId="8768" priority="9927" stopIfTrue="1">
      <formula>$G364=""</formula>
    </cfRule>
    <cfRule type="containsBlanks" dxfId="8767" priority="9928">
      <formula>LEN(TRIM(R366))=0</formula>
    </cfRule>
  </conditionalFormatting>
  <conditionalFormatting sqref="R366">
    <cfRule type="expression" dxfId="8766" priority="9925">
      <formula>$C$43=0</formula>
    </cfRule>
  </conditionalFormatting>
  <conditionalFormatting sqref="E367:F367">
    <cfRule type="expression" dxfId="8765" priority="9924">
      <formula>$CQ364="Exterior"</formula>
    </cfRule>
  </conditionalFormatting>
  <conditionalFormatting sqref="G367">
    <cfRule type="expression" dxfId="8764" priority="9914" stopIfTrue="1">
      <formula>$G364=""</formula>
    </cfRule>
  </conditionalFormatting>
  <conditionalFormatting sqref="G367">
    <cfRule type="expression" dxfId="8763" priority="9916" stopIfTrue="1">
      <formula>$CQ364="Exterior"</formula>
    </cfRule>
  </conditionalFormatting>
  <conditionalFormatting sqref="G367:L367">
    <cfRule type="expression" dxfId="8762" priority="9915" stopIfTrue="1">
      <formula>$N367="BAM"</formula>
    </cfRule>
    <cfRule type="containsBlanks" dxfId="8761" priority="9917" stopIfTrue="1">
      <formula>LEN(TRIM(G367))=0</formula>
    </cfRule>
    <cfRule type="expression" dxfId="8760" priority="9919">
      <formula>$HQ365=FALSE</formula>
    </cfRule>
  </conditionalFormatting>
  <conditionalFormatting sqref="G367:L367">
    <cfRule type="expression" dxfId="8759" priority="9918" stopIfTrue="1">
      <formula>$AG366=""</formula>
    </cfRule>
  </conditionalFormatting>
  <conditionalFormatting sqref="G366:L366">
    <cfRule type="expression" dxfId="8758" priority="9912" stopIfTrue="1">
      <formula>$N367="BAM"</formula>
    </cfRule>
  </conditionalFormatting>
  <conditionalFormatting sqref="G364:R364">
    <cfRule type="containsBlanks" dxfId="8757" priority="9911">
      <formula>LEN(TRIM(G364))=0</formula>
    </cfRule>
  </conditionalFormatting>
  <conditionalFormatting sqref="AF366">
    <cfRule type="expression" dxfId="8756" priority="9901" stopIfTrue="1">
      <formula>$G364=""</formula>
    </cfRule>
    <cfRule type="expression" dxfId="8755" priority="9902" stopIfTrue="1">
      <formula>$N367="BAM"</formula>
    </cfRule>
    <cfRule type="expression" dxfId="8754" priority="9910">
      <formula>$AF$49&gt;$T$49</formula>
    </cfRule>
  </conditionalFormatting>
  <conditionalFormatting sqref="AC367:AE367">
    <cfRule type="expression" dxfId="8753" priority="9907" stopIfTrue="1">
      <formula>$G364=""</formula>
    </cfRule>
  </conditionalFormatting>
  <conditionalFormatting sqref="T366:U366">
    <cfRule type="expression" dxfId="8752" priority="9874" stopIfTrue="1">
      <formula>$G364=""</formula>
    </cfRule>
  </conditionalFormatting>
  <conditionalFormatting sqref="T366:U366">
    <cfRule type="containsBlanks" dxfId="8751" priority="9904" stopIfTrue="1">
      <formula>LEN(TRIM(T366))=0</formula>
    </cfRule>
  </conditionalFormatting>
  <conditionalFormatting sqref="AC364:AE364">
    <cfRule type="expression" dxfId="8750" priority="9903">
      <formula>$G364=""</formula>
    </cfRule>
  </conditionalFormatting>
  <conditionalFormatting sqref="AF366 AG367">
    <cfRule type="containsBlanks" dxfId="8749" priority="9908" stopIfTrue="1">
      <formula>LEN(TRIM(AF366))=0</formula>
    </cfRule>
  </conditionalFormatting>
  <conditionalFormatting sqref="AF366">
    <cfRule type="expression" dxfId="8748" priority="9909">
      <formula>OR($HS365=FALSE,$HT365=FALSE)</formula>
    </cfRule>
  </conditionalFormatting>
  <conditionalFormatting sqref="AG367">
    <cfRule type="expression" dxfId="8747" priority="9867">
      <formula>$C$43&gt;0</formula>
    </cfRule>
  </conditionalFormatting>
  <conditionalFormatting sqref="AG367">
    <cfRule type="expression" dxfId="8746" priority="9900" stopIfTrue="1">
      <formula>$G364=""</formula>
    </cfRule>
  </conditionalFormatting>
  <conditionalFormatting sqref="U366">
    <cfRule type="expression" dxfId="8745" priority="9905">
      <formula>OR($HK365=FALSE,$HL365=FALSE)</formula>
    </cfRule>
  </conditionalFormatting>
  <conditionalFormatting sqref="T365:U365">
    <cfRule type="expression" dxfId="8744" priority="9895" stopIfTrue="1">
      <formula>$C$43&lt;&gt;0</formula>
    </cfRule>
    <cfRule type="containsBlanks" dxfId="8743" priority="9896" stopIfTrue="1">
      <formula>LEN(TRIM(T365))=0</formula>
    </cfRule>
  </conditionalFormatting>
  <conditionalFormatting sqref="T365:U365">
    <cfRule type="expression" dxfId="8742" priority="9894" stopIfTrue="1">
      <formula>$G364=""</formula>
    </cfRule>
  </conditionalFormatting>
  <conditionalFormatting sqref="U365">
    <cfRule type="expression" dxfId="8741" priority="9897">
      <formula>$HJ365=FALSE</formula>
    </cfRule>
  </conditionalFormatting>
  <conditionalFormatting sqref="AG366">
    <cfRule type="expression" dxfId="8740" priority="9885" stopIfTrue="1">
      <formula>$G364=""</formula>
    </cfRule>
  </conditionalFormatting>
  <conditionalFormatting sqref="AG366:AL366">
    <cfRule type="expression" dxfId="8739" priority="9886">
      <formula>$N367="BAM"</formula>
    </cfRule>
    <cfRule type="expression" dxfId="8738" priority="9890">
      <formula>OR($HU365=FALSE,$HQ365=FALSE)</formula>
    </cfRule>
  </conditionalFormatting>
  <conditionalFormatting sqref="AG366">
    <cfRule type="containsBlanks" dxfId="8737" priority="9887" stopIfTrue="1">
      <formula>LEN(TRIM(AG366))=0</formula>
    </cfRule>
    <cfRule type="expression" dxfId="8736" priority="9888">
      <formula>OR($HP365=FALSE,$HR365=FALSE)</formula>
    </cfRule>
    <cfRule type="expression" dxfId="8735" priority="9889">
      <formula>OR($DS364=7,$DS364=8,$DS364=9)</formula>
    </cfRule>
  </conditionalFormatting>
  <conditionalFormatting sqref="AG364:AL364">
    <cfRule type="expression" dxfId="8734" priority="9884">
      <formula>$C$43&lt;&gt;0</formula>
    </cfRule>
  </conditionalFormatting>
  <conditionalFormatting sqref="AF365">
    <cfRule type="containsBlanks" dxfId="8733" priority="9883">
      <formula>LEN(TRIM(AF365))=0</formula>
    </cfRule>
  </conditionalFormatting>
  <conditionalFormatting sqref="AF365">
    <cfRule type="expression" dxfId="8732" priority="9882" stopIfTrue="1">
      <formula>$G364=""</formula>
    </cfRule>
  </conditionalFormatting>
  <conditionalFormatting sqref="AG365">
    <cfRule type="containsBlanks" dxfId="8731" priority="9880">
      <formula>LEN(TRIM(AG365))=0</formula>
    </cfRule>
    <cfRule type="expression" dxfId="8730" priority="9881">
      <formula>$HO365=FALSE</formula>
    </cfRule>
  </conditionalFormatting>
  <conditionalFormatting sqref="AG365">
    <cfRule type="expression" dxfId="8729" priority="9879" stopIfTrue="1">
      <formula>$G364=""</formula>
    </cfRule>
  </conditionalFormatting>
  <conditionalFormatting sqref="AF365:AK365">
    <cfRule type="expression" dxfId="8728" priority="9878">
      <formula>$C$43&gt;0</formula>
    </cfRule>
  </conditionalFormatting>
  <conditionalFormatting sqref="AM364:AN365">
    <cfRule type="expression" dxfId="8727" priority="9877">
      <formula>$G364=""</formula>
    </cfRule>
  </conditionalFormatting>
  <conditionalFormatting sqref="AM366:AN366">
    <cfRule type="expression" dxfId="8726" priority="9876" stopIfTrue="1">
      <formula>$G364=""</formula>
    </cfRule>
  </conditionalFormatting>
  <conditionalFormatting sqref="T366">
    <cfRule type="expression" dxfId="8725" priority="9898" stopIfTrue="1">
      <formula>$N367="BAM"</formula>
    </cfRule>
  </conditionalFormatting>
  <conditionalFormatting sqref="U366:AE366">
    <cfRule type="expression" dxfId="8724" priority="9875" stopIfTrue="1">
      <formula>$N367="BAM"</formula>
    </cfRule>
  </conditionalFormatting>
  <conditionalFormatting sqref="AG367:AL367">
    <cfRule type="expression" dxfId="8723" priority="9899" stopIfTrue="1">
      <formula>$N367="BAM"</formula>
    </cfRule>
  </conditionalFormatting>
  <conditionalFormatting sqref="AX370">
    <cfRule type="expression" dxfId="8722" priority="9865">
      <formula>$E370=""</formula>
    </cfRule>
  </conditionalFormatting>
  <conditionalFormatting sqref="AX369">
    <cfRule type="expression" dxfId="8721" priority="9864">
      <formula>$E369=""</formula>
    </cfRule>
  </conditionalFormatting>
  <conditionalFormatting sqref="AX371">
    <cfRule type="expression" dxfId="8720" priority="9863">
      <formula>#REF!=""</formula>
    </cfRule>
  </conditionalFormatting>
  <conditionalFormatting sqref="AX372">
    <cfRule type="expression" dxfId="8719" priority="9862">
      <formula>$E371=""</formula>
    </cfRule>
  </conditionalFormatting>
  <conditionalFormatting sqref="AY369:AZ372">
    <cfRule type="expression" dxfId="8718" priority="9861">
      <formula>$G369=""</formula>
    </cfRule>
  </conditionalFormatting>
  <conditionalFormatting sqref="G371">
    <cfRule type="expression" dxfId="8717" priority="9858" stopIfTrue="1">
      <formula>$G369=""</formula>
    </cfRule>
    <cfRule type="containsBlanks" dxfId="8716" priority="9859" stopIfTrue="1">
      <formula>LEN(TRIM(G371))=0</formula>
    </cfRule>
    <cfRule type="expression" dxfId="8715" priority="9860">
      <formula>OR($M371=0,$HH370=FALSE)</formula>
    </cfRule>
  </conditionalFormatting>
  <conditionalFormatting sqref="AO371">
    <cfRule type="expression" dxfId="8714" priority="9857" stopIfTrue="1">
      <formula>$G369=""</formula>
    </cfRule>
  </conditionalFormatting>
  <conditionalFormatting sqref="AU369:AU372">
    <cfRule type="expression" dxfId="8713" priority="9854" stopIfTrue="1">
      <formula>$C$43=2</formula>
    </cfRule>
    <cfRule type="cellIs" dxfId="8712" priority="9855" operator="equal">
      <formula>"Yes"</formula>
    </cfRule>
    <cfRule type="cellIs" dxfId="8711" priority="9856" operator="equal">
      <formula>"No"</formula>
    </cfRule>
  </conditionalFormatting>
  <conditionalFormatting sqref="AO369:AO370">
    <cfRule type="expression" dxfId="8710" priority="9853">
      <formula>$G369=""</formula>
    </cfRule>
  </conditionalFormatting>
  <conditionalFormatting sqref="AP369 AR369:AS372">
    <cfRule type="expression" dxfId="8709" priority="9852">
      <formula>$G369=""</formula>
    </cfRule>
  </conditionalFormatting>
  <conditionalFormatting sqref="AW369:AW372">
    <cfRule type="expression" dxfId="8708" priority="9851">
      <formula>$G369=""</formula>
    </cfRule>
  </conditionalFormatting>
  <conditionalFormatting sqref="G370:L370">
    <cfRule type="expression" dxfId="8707" priority="9849" stopIfTrue="1">
      <formula>$G369=""</formula>
    </cfRule>
    <cfRule type="containsBlanks" dxfId="8706" priority="9850">
      <formula>LEN(TRIM(G370))=0</formula>
    </cfRule>
  </conditionalFormatting>
  <conditionalFormatting sqref="R371">
    <cfRule type="expression" dxfId="8705" priority="9846">
      <formula>$N372="BAM"</formula>
    </cfRule>
    <cfRule type="expression" dxfId="8704" priority="9847" stopIfTrue="1">
      <formula>$G369=""</formula>
    </cfRule>
    <cfRule type="containsBlanks" dxfId="8703" priority="9848">
      <formula>LEN(TRIM(R371))=0</formula>
    </cfRule>
  </conditionalFormatting>
  <conditionalFormatting sqref="R371">
    <cfRule type="expression" dxfId="8702" priority="9845">
      <formula>$C$43=0</formula>
    </cfRule>
  </conditionalFormatting>
  <conditionalFormatting sqref="E372:F372">
    <cfRule type="expression" dxfId="8701" priority="9844">
      <formula>$CQ369="Exterior"</formula>
    </cfRule>
  </conditionalFormatting>
  <conditionalFormatting sqref="G372">
    <cfRule type="expression" dxfId="8700" priority="9834" stopIfTrue="1">
      <formula>$G369=""</formula>
    </cfRule>
  </conditionalFormatting>
  <conditionalFormatting sqref="G372">
    <cfRule type="expression" dxfId="8699" priority="9836" stopIfTrue="1">
      <formula>$CQ369="Exterior"</formula>
    </cfRule>
  </conditionalFormatting>
  <conditionalFormatting sqref="G372:L372">
    <cfRule type="expression" dxfId="8698" priority="9835" stopIfTrue="1">
      <formula>$N372="BAM"</formula>
    </cfRule>
    <cfRule type="containsBlanks" dxfId="8697" priority="9837" stopIfTrue="1">
      <formula>LEN(TRIM(G372))=0</formula>
    </cfRule>
    <cfRule type="expression" dxfId="8696" priority="9839">
      <formula>$HQ370=FALSE</formula>
    </cfRule>
  </conditionalFormatting>
  <conditionalFormatting sqref="G372:L372">
    <cfRule type="expression" dxfId="8695" priority="9838" stopIfTrue="1">
      <formula>$AG371=""</formula>
    </cfRule>
  </conditionalFormatting>
  <conditionalFormatting sqref="G371:L371">
    <cfRule type="expression" dxfId="8694" priority="9832" stopIfTrue="1">
      <formula>$N372="BAM"</formula>
    </cfRule>
  </conditionalFormatting>
  <conditionalFormatting sqref="G369:R369">
    <cfRule type="containsBlanks" dxfId="8693" priority="9831">
      <formula>LEN(TRIM(G369))=0</formula>
    </cfRule>
  </conditionalFormatting>
  <conditionalFormatting sqref="AF371">
    <cfRule type="expression" dxfId="8692" priority="9821" stopIfTrue="1">
      <formula>$G369=""</formula>
    </cfRule>
    <cfRule type="expression" dxfId="8691" priority="9822" stopIfTrue="1">
      <formula>$N372="BAM"</formula>
    </cfRule>
    <cfRule type="expression" dxfId="8690" priority="9830">
      <formula>$AF$49&gt;$T$49</formula>
    </cfRule>
  </conditionalFormatting>
  <conditionalFormatting sqref="AC372:AE372">
    <cfRule type="expression" dxfId="8689" priority="9827" stopIfTrue="1">
      <formula>$G369=""</formula>
    </cfRule>
  </conditionalFormatting>
  <conditionalFormatting sqref="T371:U371">
    <cfRule type="expression" dxfId="8688" priority="9794" stopIfTrue="1">
      <formula>$G369=""</formula>
    </cfRule>
  </conditionalFormatting>
  <conditionalFormatting sqref="T371:U371">
    <cfRule type="containsBlanks" dxfId="8687" priority="9824" stopIfTrue="1">
      <formula>LEN(TRIM(T371))=0</formula>
    </cfRule>
  </conditionalFormatting>
  <conditionalFormatting sqref="AC369:AE369">
    <cfRule type="expression" dxfId="8686" priority="9823">
      <formula>$G369=""</formula>
    </cfRule>
  </conditionalFormatting>
  <conditionalFormatting sqref="AF371 AG372">
    <cfRule type="containsBlanks" dxfId="8685" priority="9828" stopIfTrue="1">
      <formula>LEN(TRIM(AF371))=0</formula>
    </cfRule>
  </conditionalFormatting>
  <conditionalFormatting sqref="AF371">
    <cfRule type="expression" dxfId="8684" priority="9829">
      <formula>OR($HS370=FALSE,$HT370=FALSE)</formula>
    </cfRule>
  </conditionalFormatting>
  <conditionalFormatting sqref="AG372">
    <cfRule type="expression" dxfId="8683" priority="9787">
      <formula>$C$43&gt;0</formula>
    </cfRule>
  </conditionalFormatting>
  <conditionalFormatting sqref="AG372">
    <cfRule type="expression" dxfId="8682" priority="9820" stopIfTrue="1">
      <formula>$G369=""</formula>
    </cfRule>
  </conditionalFormatting>
  <conditionalFormatting sqref="U371">
    <cfRule type="expression" dxfId="8681" priority="9825">
      <formula>OR($HK370=FALSE,$HL370=FALSE)</formula>
    </cfRule>
  </conditionalFormatting>
  <conditionalFormatting sqref="T370:U370">
    <cfRule type="expression" dxfId="8680" priority="9815" stopIfTrue="1">
      <formula>$C$43&lt;&gt;0</formula>
    </cfRule>
    <cfRule type="containsBlanks" dxfId="8679" priority="9816" stopIfTrue="1">
      <formula>LEN(TRIM(T370))=0</formula>
    </cfRule>
  </conditionalFormatting>
  <conditionalFormatting sqref="T370:U370">
    <cfRule type="expression" dxfId="8678" priority="9814" stopIfTrue="1">
      <formula>$G369=""</formula>
    </cfRule>
  </conditionalFormatting>
  <conditionalFormatting sqref="U370">
    <cfRule type="expression" dxfId="8677" priority="9817">
      <formula>$HJ370=FALSE</formula>
    </cfRule>
  </conditionalFormatting>
  <conditionalFormatting sqref="AG371">
    <cfRule type="expression" dxfId="8676" priority="9805" stopIfTrue="1">
      <formula>$G369=""</formula>
    </cfRule>
  </conditionalFormatting>
  <conditionalFormatting sqref="AG371:AL371">
    <cfRule type="expression" dxfId="8675" priority="9806">
      <formula>$N372="BAM"</formula>
    </cfRule>
    <cfRule type="expression" dxfId="8674" priority="9810">
      <formula>OR($HU370=FALSE,$HQ370=FALSE)</formula>
    </cfRule>
  </conditionalFormatting>
  <conditionalFormatting sqref="AG371">
    <cfRule type="containsBlanks" dxfId="8673" priority="9807" stopIfTrue="1">
      <formula>LEN(TRIM(AG371))=0</formula>
    </cfRule>
    <cfRule type="expression" dxfId="8672" priority="9808">
      <formula>OR($HP370=FALSE,$HR370=FALSE)</formula>
    </cfRule>
    <cfRule type="expression" dxfId="8671" priority="9809">
      <formula>OR($DS369=7,$DS369=8,$DS369=9)</formula>
    </cfRule>
  </conditionalFormatting>
  <conditionalFormatting sqref="AG369:AL369">
    <cfRule type="expression" dxfId="8670" priority="9804">
      <formula>$C$43&lt;&gt;0</formula>
    </cfRule>
  </conditionalFormatting>
  <conditionalFormatting sqref="AF370">
    <cfRule type="containsBlanks" dxfId="8669" priority="9803">
      <formula>LEN(TRIM(AF370))=0</formula>
    </cfRule>
  </conditionalFormatting>
  <conditionalFormatting sqref="AF370">
    <cfRule type="expression" dxfId="8668" priority="9802" stopIfTrue="1">
      <formula>$G369=""</formula>
    </cfRule>
  </conditionalFormatting>
  <conditionalFormatting sqref="AG370">
    <cfRule type="containsBlanks" dxfId="8667" priority="9800">
      <formula>LEN(TRIM(AG370))=0</formula>
    </cfRule>
    <cfRule type="expression" dxfId="8666" priority="9801">
      <formula>$HO370=FALSE</formula>
    </cfRule>
  </conditionalFormatting>
  <conditionalFormatting sqref="AG370">
    <cfRule type="expression" dxfId="8665" priority="9799" stopIfTrue="1">
      <formula>$G369=""</formula>
    </cfRule>
  </conditionalFormatting>
  <conditionalFormatting sqref="AF370:AK370">
    <cfRule type="expression" dxfId="8664" priority="9798">
      <formula>$C$43&gt;0</formula>
    </cfRule>
  </conditionalFormatting>
  <conditionalFormatting sqref="AM369:AN370">
    <cfRule type="expression" dxfId="8663" priority="9797">
      <formula>$G369=""</formula>
    </cfRule>
  </conditionalFormatting>
  <conditionalFormatting sqref="AM371:AN371">
    <cfRule type="expression" dxfId="8662" priority="9796" stopIfTrue="1">
      <formula>$G369=""</formula>
    </cfRule>
  </conditionalFormatting>
  <conditionalFormatting sqref="T371">
    <cfRule type="expression" dxfId="8661" priority="9818" stopIfTrue="1">
      <formula>$N372="BAM"</formula>
    </cfRule>
  </conditionalFormatting>
  <conditionalFormatting sqref="U371:AE371">
    <cfRule type="expression" dxfId="8660" priority="9795" stopIfTrue="1">
      <formula>$N372="BAM"</formula>
    </cfRule>
  </conditionalFormatting>
  <conditionalFormatting sqref="AG372:AL372">
    <cfRule type="expression" dxfId="8659" priority="9819" stopIfTrue="1">
      <formula>$N372="BAM"</formula>
    </cfRule>
  </conditionalFormatting>
  <conditionalFormatting sqref="AX375">
    <cfRule type="expression" dxfId="8658" priority="9785">
      <formula>$E375=""</formula>
    </cfRule>
  </conditionalFormatting>
  <conditionalFormatting sqref="AX374">
    <cfRule type="expression" dxfId="8657" priority="9784">
      <formula>$E374=""</formula>
    </cfRule>
  </conditionalFormatting>
  <conditionalFormatting sqref="AX376">
    <cfRule type="expression" dxfId="8656" priority="9783">
      <formula>#REF!=""</formula>
    </cfRule>
  </conditionalFormatting>
  <conditionalFormatting sqref="AX377">
    <cfRule type="expression" dxfId="8655" priority="9782">
      <formula>$E376=""</formula>
    </cfRule>
  </conditionalFormatting>
  <conditionalFormatting sqref="AY374:AZ377">
    <cfRule type="expression" dxfId="8654" priority="9781">
      <formula>$G374=""</formula>
    </cfRule>
  </conditionalFormatting>
  <conditionalFormatting sqref="G376">
    <cfRule type="expression" dxfId="8653" priority="9778" stopIfTrue="1">
      <formula>$G374=""</formula>
    </cfRule>
    <cfRule type="containsBlanks" dxfId="8652" priority="9779" stopIfTrue="1">
      <formula>LEN(TRIM(G376))=0</formula>
    </cfRule>
    <cfRule type="expression" dxfId="8651" priority="9780">
      <formula>OR($M376=0,$HH375=FALSE)</formula>
    </cfRule>
  </conditionalFormatting>
  <conditionalFormatting sqref="AO376">
    <cfRule type="expression" dxfId="8650" priority="9777" stopIfTrue="1">
      <formula>$G374=""</formula>
    </cfRule>
  </conditionalFormatting>
  <conditionalFormatting sqref="AU374:AU377">
    <cfRule type="expression" dxfId="8649" priority="9774" stopIfTrue="1">
      <formula>$C$43=2</formula>
    </cfRule>
    <cfRule type="cellIs" dxfId="8648" priority="9775" operator="equal">
      <formula>"Yes"</formula>
    </cfRule>
    <cfRule type="cellIs" dxfId="8647" priority="9776" operator="equal">
      <formula>"No"</formula>
    </cfRule>
  </conditionalFormatting>
  <conditionalFormatting sqref="AO374:AO375">
    <cfRule type="expression" dxfId="8646" priority="9773">
      <formula>$G374=""</formula>
    </cfRule>
  </conditionalFormatting>
  <conditionalFormatting sqref="AP374 AR374:AS377">
    <cfRule type="expression" dxfId="8645" priority="9772">
      <formula>$G374=""</formula>
    </cfRule>
  </conditionalFormatting>
  <conditionalFormatting sqref="AW374:AW377">
    <cfRule type="expression" dxfId="8644" priority="9771">
      <formula>$G374=""</formula>
    </cfRule>
  </conditionalFormatting>
  <conditionalFormatting sqref="G375:L375">
    <cfRule type="expression" dxfId="8643" priority="9769" stopIfTrue="1">
      <formula>$G374=""</formula>
    </cfRule>
    <cfRule type="containsBlanks" dxfId="8642" priority="9770">
      <formula>LEN(TRIM(G375))=0</formula>
    </cfRule>
  </conditionalFormatting>
  <conditionalFormatting sqref="R376">
    <cfRule type="expression" dxfId="8641" priority="9766">
      <formula>$N377="BAM"</formula>
    </cfRule>
    <cfRule type="expression" dxfId="8640" priority="9767" stopIfTrue="1">
      <formula>$G374=""</formula>
    </cfRule>
    <cfRule type="containsBlanks" dxfId="8639" priority="9768">
      <formula>LEN(TRIM(R376))=0</formula>
    </cfRule>
  </conditionalFormatting>
  <conditionalFormatting sqref="R376">
    <cfRule type="expression" dxfId="8638" priority="9765">
      <formula>$C$43=0</formula>
    </cfRule>
  </conditionalFormatting>
  <conditionalFormatting sqref="E377:F377">
    <cfRule type="expression" dxfId="8637" priority="9764">
      <formula>$CQ374="Exterior"</formula>
    </cfRule>
  </conditionalFormatting>
  <conditionalFormatting sqref="G377">
    <cfRule type="expression" dxfId="8636" priority="9754" stopIfTrue="1">
      <formula>$G374=""</formula>
    </cfRule>
  </conditionalFormatting>
  <conditionalFormatting sqref="G377">
    <cfRule type="expression" dxfId="8635" priority="9756" stopIfTrue="1">
      <formula>$CQ374="Exterior"</formula>
    </cfRule>
  </conditionalFormatting>
  <conditionalFormatting sqref="G377:L377">
    <cfRule type="expression" dxfId="8634" priority="9755" stopIfTrue="1">
      <formula>$N377="BAM"</formula>
    </cfRule>
    <cfRule type="containsBlanks" dxfId="8633" priority="9757" stopIfTrue="1">
      <formula>LEN(TRIM(G377))=0</formula>
    </cfRule>
    <cfRule type="expression" dxfId="8632" priority="9759">
      <formula>$HQ375=FALSE</formula>
    </cfRule>
  </conditionalFormatting>
  <conditionalFormatting sqref="G377:L377">
    <cfRule type="expression" dxfId="8631" priority="9758" stopIfTrue="1">
      <formula>$AG376=""</formula>
    </cfRule>
  </conditionalFormatting>
  <conditionalFormatting sqref="G376:L376">
    <cfRule type="expression" dxfId="8630" priority="9752" stopIfTrue="1">
      <formula>$N377="BAM"</formula>
    </cfRule>
  </conditionalFormatting>
  <conditionalFormatting sqref="G374:R374">
    <cfRule type="containsBlanks" dxfId="8629" priority="9751">
      <formula>LEN(TRIM(G374))=0</formula>
    </cfRule>
  </conditionalFormatting>
  <conditionalFormatting sqref="AF376">
    <cfRule type="expression" dxfId="8628" priority="9741" stopIfTrue="1">
      <formula>$G374=""</formula>
    </cfRule>
    <cfRule type="expression" dxfId="8627" priority="9742" stopIfTrue="1">
      <formula>$N377="BAM"</formula>
    </cfRule>
    <cfRule type="expression" dxfId="8626" priority="9750">
      <formula>$AF$49&gt;$T$49</formula>
    </cfRule>
  </conditionalFormatting>
  <conditionalFormatting sqref="AC377:AE377">
    <cfRule type="expression" dxfId="8625" priority="9747" stopIfTrue="1">
      <formula>$G374=""</formula>
    </cfRule>
  </conditionalFormatting>
  <conditionalFormatting sqref="T376:U376">
    <cfRule type="expression" dxfId="8624" priority="9714" stopIfTrue="1">
      <formula>$G374=""</formula>
    </cfRule>
  </conditionalFormatting>
  <conditionalFormatting sqref="T376:U376">
    <cfRule type="containsBlanks" dxfId="8623" priority="9744" stopIfTrue="1">
      <formula>LEN(TRIM(T376))=0</formula>
    </cfRule>
  </conditionalFormatting>
  <conditionalFormatting sqref="AC374:AE374">
    <cfRule type="expression" dxfId="8622" priority="9743">
      <formula>$G374=""</formula>
    </cfRule>
  </conditionalFormatting>
  <conditionalFormatting sqref="AF376 AG377">
    <cfRule type="containsBlanks" dxfId="8621" priority="9748" stopIfTrue="1">
      <formula>LEN(TRIM(AF376))=0</formula>
    </cfRule>
  </conditionalFormatting>
  <conditionalFormatting sqref="AF376">
    <cfRule type="expression" dxfId="8620" priority="9749">
      <formula>OR($HS375=FALSE,$HT375=FALSE)</formula>
    </cfRule>
  </conditionalFormatting>
  <conditionalFormatting sqref="AG377">
    <cfRule type="expression" dxfId="8619" priority="9707">
      <formula>$C$43&gt;0</formula>
    </cfRule>
  </conditionalFormatting>
  <conditionalFormatting sqref="AG377">
    <cfRule type="expression" dxfId="8618" priority="9740" stopIfTrue="1">
      <formula>$G374=""</formula>
    </cfRule>
  </conditionalFormatting>
  <conditionalFormatting sqref="U376">
    <cfRule type="expression" dxfId="8617" priority="9745">
      <formula>OR($HK375=FALSE,$HL375=FALSE)</formula>
    </cfRule>
  </conditionalFormatting>
  <conditionalFormatting sqref="T375:U375">
    <cfRule type="expression" dxfId="8616" priority="9735" stopIfTrue="1">
      <formula>$C$43&lt;&gt;0</formula>
    </cfRule>
    <cfRule type="containsBlanks" dxfId="8615" priority="9736" stopIfTrue="1">
      <formula>LEN(TRIM(T375))=0</formula>
    </cfRule>
  </conditionalFormatting>
  <conditionalFormatting sqref="T375:U375">
    <cfRule type="expression" dxfId="8614" priority="9734" stopIfTrue="1">
      <formula>$G374=""</formula>
    </cfRule>
  </conditionalFormatting>
  <conditionalFormatting sqref="U375">
    <cfRule type="expression" dxfId="8613" priority="9737">
      <formula>$HJ375=FALSE</formula>
    </cfRule>
  </conditionalFormatting>
  <conditionalFormatting sqref="AG376">
    <cfRule type="expression" dxfId="8612" priority="9725" stopIfTrue="1">
      <formula>$G374=""</formula>
    </cfRule>
  </conditionalFormatting>
  <conditionalFormatting sqref="AG376:AL376">
    <cfRule type="expression" dxfId="8611" priority="9726">
      <formula>$N377="BAM"</formula>
    </cfRule>
    <cfRule type="expression" dxfId="8610" priority="9730">
      <formula>OR($HU375=FALSE,$HQ375=FALSE)</formula>
    </cfRule>
  </conditionalFormatting>
  <conditionalFormatting sqref="AG376">
    <cfRule type="containsBlanks" dxfId="8609" priority="9727" stopIfTrue="1">
      <formula>LEN(TRIM(AG376))=0</formula>
    </cfRule>
    <cfRule type="expression" dxfId="8608" priority="9728">
      <formula>OR($HP375=FALSE,$HR375=FALSE)</formula>
    </cfRule>
    <cfRule type="expression" dxfId="8607" priority="9729">
      <formula>OR($DS374=7,$DS374=8,$DS374=9)</formula>
    </cfRule>
  </conditionalFormatting>
  <conditionalFormatting sqref="AG374:AL374">
    <cfRule type="expression" dxfId="8606" priority="9724">
      <formula>$C$43&lt;&gt;0</formula>
    </cfRule>
  </conditionalFormatting>
  <conditionalFormatting sqref="AF375">
    <cfRule type="containsBlanks" dxfId="8605" priority="9723">
      <formula>LEN(TRIM(AF375))=0</formula>
    </cfRule>
  </conditionalFormatting>
  <conditionalFormatting sqref="AF375">
    <cfRule type="expression" dxfId="8604" priority="9722" stopIfTrue="1">
      <formula>$G374=""</formula>
    </cfRule>
  </conditionalFormatting>
  <conditionalFormatting sqref="AG375">
    <cfRule type="containsBlanks" dxfId="8603" priority="9720">
      <formula>LEN(TRIM(AG375))=0</formula>
    </cfRule>
    <cfRule type="expression" dxfId="8602" priority="9721">
      <formula>$HO375=FALSE</formula>
    </cfRule>
  </conditionalFormatting>
  <conditionalFormatting sqref="AG375">
    <cfRule type="expression" dxfId="8601" priority="9719" stopIfTrue="1">
      <formula>$G374=""</formula>
    </cfRule>
  </conditionalFormatting>
  <conditionalFormatting sqref="AF375:AK375">
    <cfRule type="expression" dxfId="8600" priority="9718">
      <formula>$C$43&gt;0</formula>
    </cfRule>
  </conditionalFormatting>
  <conditionalFormatting sqref="AM374:AN375">
    <cfRule type="expression" dxfId="8599" priority="9717">
      <formula>$G374=""</formula>
    </cfRule>
  </conditionalFormatting>
  <conditionalFormatting sqref="AM376:AN376">
    <cfRule type="expression" dxfId="8598" priority="9716" stopIfTrue="1">
      <formula>$G374=""</formula>
    </cfRule>
  </conditionalFormatting>
  <conditionalFormatting sqref="T376">
    <cfRule type="expression" dxfId="8597" priority="9738" stopIfTrue="1">
      <formula>$N377="BAM"</formula>
    </cfRule>
  </conditionalFormatting>
  <conditionalFormatting sqref="U376:AE376">
    <cfRule type="expression" dxfId="8596" priority="9715" stopIfTrue="1">
      <formula>$N377="BAM"</formula>
    </cfRule>
  </conditionalFormatting>
  <conditionalFormatting sqref="AG377:AL377">
    <cfRule type="expression" dxfId="8595" priority="9739" stopIfTrue="1">
      <formula>$N377="BAM"</formula>
    </cfRule>
  </conditionalFormatting>
  <conditionalFormatting sqref="AX380">
    <cfRule type="expression" dxfId="8594" priority="9705">
      <formula>$E380=""</formula>
    </cfRule>
  </conditionalFormatting>
  <conditionalFormatting sqref="AX379">
    <cfRule type="expression" dxfId="8593" priority="9704">
      <formula>$E379=""</formula>
    </cfRule>
  </conditionalFormatting>
  <conditionalFormatting sqref="AX381">
    <cfRule type="expression" dxfId="8592" priority="9703">
      <formula>#REF!=""</formula>
    </cfRule>
  </conditionalFormatting>
  <conditionalFormatting sqref="AX382">
    <cfRule type="expression" dxfId="8591" priority="9702">
      <formula>$E381=""</formula>
    </cfRule>
  </conditionalFormatting>
  <conditionalFormatting sqref="AY379:AZ382">
    <cfRule type="expression" dxfId="8590" priority="9701">
      <formula>$G379=""</formula>
    </cfRule>
  </conditionalFormatting>
  <conditionalFormatting sqref="G381">
    <cfRule type="expression" dxfId="8589" priority="9698" stopIfTrue="1">
      <formula>$G379=""</formula>
    </cfRule>
    <cfRule type="containsBlanks" dxfId="8588" priority="9699" stopIfTrue="1">
      <formula>LEN(TRIM(G381))=0</formula>
    </cfRule>
    <cfRule type="expression" dxfId="8587" priority="9700">
      <formula>OR($M381=0,$HH380=FALSE)</formula>
    </cfRule>
  </conditionalFormatting>
  <conditionalFormatting sqref="AO381">
    <cfRule type="expression" dxfId="8586" priority="9697" stopIfTrue="1">
      <formula>$G379=""</formula>
    </cfRule>
  </conditionalFormatting>
  <conditionalFormatting sqref="AU379:AU382">
    <cfRule type="expression" dxfId="8585" priority="9694" stopIfTrue="1">
      <formula>$C$43=2</formula>
    </cfRule>
    <cfRule type="cellIs" dxfId="8584" priority="9695" operator="equal">
      <formula>"Yes"</formula>
    </cfRule>
    <cfRule type="cellIs" dxfId="8583" priority="9696" operator="equal">
      <formula>"No"</formula>
    </cfRule>
  </conditionalFormatting>
  <conditionalFormatting sqref="AO379:AO380">
    <cfRule type="expression" dxfId="8582" priority="9693">
      <formula>$G379=""</formula>
    </cfRule>
  </conditionalFormatting>
  <conditionalFormatting sqref="AP379 AR379:AS382">
    <cfRule type="expression" dxfId="8581" priority="9692">
      <formula>$G379=""</formula>
    </cfRule>
  </conditionalFormatting>
  <conditionalFormatting sqref="AW379:AW382">
    <cfRule type="expression" dxfId="8580" priority="9691">
      <formula>$G379=""</formula>
    </cfRule>
  </conditionalFormatting>
  <conditionalFormatting sqref="G380:L380">
    <cfRule type="expression" dxfId="8579" priority="9689" stopIfTrue="1">
      <formula>$G379=""</formula>
    </cfRule>
    <cfRule type="containsBlanks" dxfId="8578" priority="9690">
      <formula>LEN(TRIM(G380))=0</formula>
    </cfRule>
  </conditionalFormatting>
  <conditionalFormatting sqref="R381">
    <cfRule type="expression" dxfId="8577" priority="9686">
      <formula>$N382="BAM"</formula>
    </cfRule>
    <cfRule type="expression" dxfId="8576" priority="9687" stopIfTrue="1">
      <formula>$G379=""</formula>
    </cfRule>
    <cfRule type="containsBlanks" dxfId="8575" priority="9688">
      <formula>LEN(TRIM(R381))=0</formula>
    </cfRule>
  </conditionalFormatting>
  <conditionalFormatting sqref="R381">
    <cfRule type="expression" dxfId="8574" priority="9685">
      <formula>$C$43=0</formula>
    </cfRule>
  </conditionalFormatting>
  <conditionalFormatting sqref="E382:F382">
    <cfRule type="expression" dxfId="8573" priority="9684">
      <formula>$CQ379="Exterior"</formula>
    </cfRule>
  </conditionalFormatting>
  <conditionalFormatting sqref="G382">
    <cfRule type="expression" dxfId="8572" priority="9674" stopIfTrue="1">
      <formula>$G379=""</formula>
    </cfRule>
  </conditionalFormatting>
  <conditionalFormatting sqref="G382">
    <cfRule type="expression" dxfId="8571" priority="9676" stopIfTrue="1">
      <formula>$CQ379="Exterior"</formula>
    </cfRule>
  </conditionalFormatting>
  <conditionalFormatting sqref="G382:L382">
    <cfRule type="expression" dxfId="8570" priority="9675" stopIfTrue="1">
      <formula>$N382="BAM"</formula>
    </cfRule>
    <cfRule type="containsBlanks" dxfId="8569" priority="9677" stopIfTrue="1">
      <formula>LEN(TRIM(G382))=0</formula>
    </cfRule>
    <cfRule type="expression" dxfId="8568" priority="9679">
      <formula>$HQ380=FALSE</formula>
    </cfRule>
  </conditionalFormatting>
  <conditionalFormatting sqref="G382:L382">
    <cfRule type="expression" dxfId="8567" priority="9678" stopIfTrue="1">
      <formula>$AG381=""</formula>
    </cfRule>
  </conditionalFormatting>
  <conditionalFormatting sqref="G381:L381">
    <cfRule type="expression" dxfId="8566" priority="9672" stopIfTrue="1">
      <formula>$N382="BAM"</formula>
    </cfRule>
  </conditionalFormatting>
  <conditionalFormatting sqref="G379:R379">
    <cfRule type="containsBlanks" dxfId="8565" priority="9671">
      <formula>LEN(TRIM(G379))=0</formula>
    </cfRule>
  </conditionalFormatting>
  <conditionalFormatting sqref="AF381">
    <cfRule type="expression" dxfId="8564" priority="9661" stopIfTrue="1">
      <formula>$G379=""</formula>
    </cfRule>
    <cfRule type="expression" dxfId="8563" priority="9662" stopIfTrue="1">
      <formula>$N382="BAM"</formula>
    </cfRule>
    <cfRule type="expression" dxfId="8562" priority="9670">
      <formula>$AF$49&gt;$T$49</formula>
    </cfRule>
  </conditionalFormatting>
  <conditionalFormatting sqref="AC382:AE382">
    <cfRule type="expression" dxfId="8561" priority="9667" stopIfTrue="1">
      <formula>$G379=""</formula>
    </cfRule>
  </conditionalFormatting>
  <conditionalFormatting sqref="T381:U381">
    <cfRule type="expression" dxfId="8560" priority="9634" stopIfTrue="1">
      <formula>$G379=""</formula>
    </cfRule>
  </conditionalFormatting>
  <conditionalFormatting sqref="T381:U381">
    <cfRule type="containsBlanks" dxfId="8559" priority="9664" stopIfTrue="1">
      <formula>LEN(TRIM(T381))=0</formula>
    </cfRule>
  </conditionalFormatting>
  <conditionalFormatting sqref="AC379:AE379">
    <cfRule type="expression" dxfId="8558" priority="9663">
      <formula>$G379=""</formula>
    </cfRule>
  </conditionalFormatting>
  <conditionalFormatting sqref="AF381 AG382">
    <cfRule type="containsBlanks" dxfId="8557" priority="9668" stopIfTrue="1">
      <formula>LEN(TRIM(AF381))=0</formula>
    </cfRule>
  </conditionalFormatting>
  <conditionalFormatting sqref="AF381">
    <cfRule type="expression" dxfId="8556" priority="9669">
      <formula>OR($HS380=FALSE,$HT380=FALSE)</formula>
    </cfRule>
  </conditionalFormatting>
  <conditionalFormatting sqref="AG382">
    <cfRule type="expression" dxfId="8555" priority="9627">
      <formula>$C$43&gt;0</formula>
    </cfRule>
  </conditionalFormatting>
  <conditionalFormatting sqref="AG382">
    <cfRule type="expression" dxfId="8554" priority="9660" stopIfTrue="1">
      <formula>$G379=""</formula>
    </cfRule>
  </conditionalFormatting>
  <conditionalFormatting sqref="U381">
    <cfRule type="expression" dxfId="8553" priority="9665">
      <formula>OR($HK380=FALSE,$HL380=FALSE)</formula>
    </cfRule>
  </conditionalFormatting>
  <conditionalFormatting sqref="T380:U380">
    <cfRule type="expression" dxfId="8552" priority="9655" stopIfTrue="1">
      <formula>$C$43&lt;&gt;0</formula>
    </cfRule>
    <cfRule type="containsBlanks" dxfId="8551" priority="9656" stopIfTrue="1">
      <formula>LEN(TRIM(T380))=0</formula>
    </cfRule>
  </conditionalFormatting>
  <conditionalFormatting sqref="T380:U380">
    <cfRule type="expression" dxfId="8550" priority="9654" stopIfTrue="1">
      <formula>$G379=""</formula>
    </cfRule>
  </conditionalFormatting>
  <conditionalFormatting sqref="U380">
    <cfRule type="expression" dxfId="8549" priority="9657">
      <formula>$HJ380=FALSE</formula>
    </cfRule>
  </conditionalFormatting>
  <conditionalFormatting sqref="AG381">
    <cfRule type="expression" dxfId="8548" priority="9645" stopIfTrue="1">
      <formula>$G379=""</formula>
    </cfRule>
  </conditionalFormatting>
  <conditionalFormatting sqref="AG381:AL381">
    <cfRule type="expression" dxfId="8547" priority="9646">
      <formula>$N382="BAM"</formula>
    </cfRule>
    <cfRule type="expression" dxfId="8546" priority="9650">
      <formula>OR($HU380=FALSE,$HQ380=FALSE)</formula>
    </cfRule>
  </conditionalFormatting>
  <conditionalFormatting sqref="AG381">
    <cfRule type="containsBlanks" dxfId="8545" priority="9647" stopIfTrue="1">
      <formula>LEN(TRIM(AG381))=0</formula>
    </cfRule>
    <cfRule type="expression" dxfId="8544" priority="9648">
      <formula>OR($HP380=FALSE,$HR380=FALSE)</formula>
    </cfRule>
    <cfRule type="expression" dxfId="8543" priority="9649">
      <formula>OR($DS379=7,$DS379=8,$DS379=9)</formula>
    </cfRule>
  </conditionalFormatting>
  <conditionalFormatting sqref="AG379:AL379">
    <cfRule type="expression" dxfId="8542" priority="9644">
      <formula>$C$43&lt;&gt;0</formula>
    </cfRule>
  </conditionalFormatting>
  <conditionalFormatting sqref="AF380">
    <cfRule type="containsBlanks" dxfId="8541" priority="9643">
      <formula>LEN(TRIM(AF380))=0</formula>
    </cfRule>
  </conditionalFormatting>
  <conditionalFormatting sqref="AF380">
    <cfRule type="expression" dxfId="8540" priority="9642" stopIfTrue="1">
      <formula>$G379=""</formula>
    </cfRule>
  </conditionalFormatting>
  <conditionalFormatting sqref="AG380">
    <cfRule type="containsBlanks" dxfId="8539" priority="9640">
      <formula>LEN(TRIM(AG380))=0</formula>
    </cfRule>
    <cfRule type="expression" dxfId="8538" priority="9641">
      <formula>$HO380=FALSE</formula>
    </cfRule>
  </conditionalFormatting>
  <conditionalFormatting sqref="AG380">
    <cfRule type="expression" dxfId="8537" priority="9639" stopIfTrue="1">
      <formula>$G379=""</formula>
    </cfRule>
  </conditionalFormatting>
  <conditionalFormatting sqref="AF380:AK380">
    <cfRule type="expression" dxfId="8536" priority="9638">
      <formula>$C$43&gt;0</formula>
    </cfRule>
  </conditionalFormatting>
  <conditionalFormatting sqref="AM379:AN380">
    <cfRule type="expression" dxfId="8535" priority="9637">
      <formula>$G379=""</formula>
    </cfRule>
  </conditionalFormatting>
  <conditionalFormatting sqref="AM381:AN381">
    <cfRule type="expression" dxfId="8534" priority="9636" stopIfTrue="1">
      <formula>$G379=""</formula>
    </cfRule>
  </conditionalFormatting>
  <conditionalFormatting sqref="T381">
    <cfRule type="expression" dxfId="8533" priority="9658" stopIfTrue="1">
      <formula>$N382="BAM"</formula>
    </cfRule>
  </conditionalFormatting>
  <conditionalFormatting sqref="U381:AE381">
    <cfRule type="expression" dxfId="8532" priority="9635" stopIfTrue="1">
      <formula>$N382="BAM"</formula>
    </cfRule>
  </conditionalFormatting>
  <conditionalFormatting sqref="AG382:AL382">
    <cfRule type="expression" dxfId="8531" priority="9659" stopIfTrue="1">
      <formula>$N382="BAM"</formula>
    </cfRule>
  </conditionalFormatting>
  <conditionalFormatting sqref="AX385">
    <cfRule type="expression" dxfId="8530" priority="9625">
      <formula>$E385=""</formula>
    </cfRule>
  </conditionalFormatting>
  <conditionalFormatting sqref="AX384">
    <cfRule type="expression" dxfId="8529" priority="9624">
      <formula>$E384=""</formula>
    </cfRule>
  </conditionalFormatting>
  <conditionalFormatting sqref="AX386">
    <cfRule type="expression" dxfId="8528" priority="9623">
      <formula>#REF!=""</formula>
    </cfRule>
  </conditionalFormatting>
  <conditionalFormatting sqref="AX387">
    <cfRule type="expression" dxfId="8527" priority="9622">
      <formula>$E386=""</formula>
    </cfRule>
  </conditionalFormatting>
  <conditionalFormatting sqref="AY384:AZ387">
    <cfRule type="expression" dxfId="8526" priority="9621">
      <formula>$G384=""</formula>
    </cfRule>
  </conditionalFormatting>
  <conditionalFormatting sqref="G386">
    <cfRule type="expression" dxfId="8525" priority="9618" stopIfTrue="1">
      <formula>$G384=""</formula>
    </cfRule>
    <cfRule type="containsBlanks" dxfId="8524" priority="9619" stopIfTrue="1">
      <formula>LEN(TRIM(G386))=0</formula>
    </cfRule>
    <cfRule type="expression" dxfId="8523" priority="9620">
      <formula>OR($M386=0,$HH385=FALSE)</formula>
    </cfRule>
  </conditionalFormatting>
  <conditionalFormatting sqref="AO386">
    <cfRule type="expression" dxfId="8522" priority="9617" stopIfTrue="1">
      <formula>$G384=""</formula>
    </cfRule>
  </conditionalFormatting>
  <conditionalFormatting sqref="AU384:AU387">
    <cfRule type="expression" dxfId="8521" priority="9614" stopIfTrue="1">
      <formula>$C$43=2</formula>
    </cfRule>
    <cfRule type="cellIs" dxfId="8520" priority="9615" operator="equal">
      <formula>"Yes"</formula>
    </cfRule>
    <cfRule type="cellIs" dxfId="8519" priority="9616" operator="equal">
      <formula>"No"</formula>
    </cfRule>
  </conditionalFormatting>
  <conditionalFormatting sqref="AO384:AO385">
    <cfRule type="expression" dxfId="8518" priority="9613">
      <formula>$G384=""</formula>
    </cfRule>
  </conditionalFormatting>
  <conditionalFormatting sqref="AP384 AR384:AS387">
    <cfRule type="expression" dxfId="8517" priority="9612">
      <formula>$G384=""</formula>
    </cfRule>
  </conditionalFormatting>
  <conditionalFormatting sqref="AW384:AW387">
    <cfRule type="expression" dxfId="8516" priority="9611">
      <formula>$G384=""</formula>
    </cfRule>
  </conditionalFormatting>
  <conditionalFormatting sqref="G385:L385">
    <cfRule type="expression" dxfId="8515" priority="9609" stopIfTrue="1">
      <formula>$G384=""</formula>
    </cfRule>
    <cfRule type="containsBlanks" dxfId="8514" priority="9610">
      <formula>LEN(TRIM(G385))=0</formula>
    </cfRule>
  </conditionalFormatting>
  <conditionalFormatting sqref="R386">
    <cfRule type="expression" dxfId="8513" priority="9606">
      <formula>$N387="BAM"</formula>
    </cfRule>
    <cfRule type="expression" dxfId="8512" priority="9607" stopIfTrue="1">
      <formula>$G384=""</formula>
    </cfRule>
    <cfRule type="containsBlanks" dxfId="8511" priority="9608">
      <formula>LEN(TRIM(R386))=0</formula>
    </cfRule>
  </conditionalFormatting>
  <conditionalFormatting sqref="R386">
    <cfRule type="expression" dxfId="8510" priority="9605">
      <formula>$C$43=0</formula>
    </cfRule>
  </conditionalFormatting>
  <conditionalFormatting sqref="E387:F387">
    <cfRule type="expression" dxfId="8509" priority="9604">
      <formula>$CQ384="Exterior"</formula>
    </cfRule>
  </conditionalFormatting>
  <conditionalFormatting sqref="G387">
    <cfRule type="expression" dxfId="8508" priority="9594" stopIfTrue="1">
      <formula>$G384=""</formula>
    </cfRule>
  </conditionalFormatting>
  <conditionalFormatting sqref="G387">
    <cfRule type="expression" dxfId="8507" priority="9596" stopIfTrue="1">
      <formula>$CQ384="Exterior"</formula>
    </cfRule>
  </conditionalFormatting>
  <conditionalFormatting sqref="G387:L387">
    <cfRule type="expression" dxfId="8506" priority="9595" stopIfTrue="1">
      <formula>$N387="BAM"</formula>
    </cfRule>
    <cfRule type="containsBlanks" dxfId="8505" priority="9597" stopIfTrue="1">
      <formula>LEN(TRIM(G387))=0</formula>
    </cfRule>
    <cfRule type="expression" dxfId="8504" priority="9599">
      <formula>$HQ385=FALSE</formula>
    </cfRule>
  </conditionalFormatting>
  <conditionalFormatting sqref="G387:L387">
    <cfRule type="expression" dxfId="8503" priority="9598" stopIfTrue="1">
      <formula>$AG386=""</formula>
    </cfRule>
  </conditionalFormatting>
  <conditionalFormatting sqref="G386:L386">
    <cfRule type="expression" dxfId="8502" priority="9592" stopIfTrue="1">
      <formula>$N387="BAM"</formula>
    </cfRule>
  </conditionalFormatting>
  <conditionalFormatting sqref="G384:R384">
    <cfRule type="containsBlanks" dxfId="8501" priority="9591">
      <formula>LEN(TRIM(G384))=0</formula>
    </cfRule>
  </conditionalFormatting>
  <conditionalFormatting sqref="AF386">
    <cfRule type="expression" dxfId="8500" priority="9581" stopIfTrue="1">
      <formula>$G384=""</formula>
    </cfRule>
    <cfRule type="expression" dxfId="8499" priority="9582" stopIfTrue="1">
      <formula>$N387="BAM"</formula>
    </cfRule>
    <cfRule type="expression" dxfId="8498" priority="9590">
      <formula>$AF$49&gt;$T$49</formula>
    </cfRule>
  </conditionalFormatting>
  <conditionalFormatting sqref="AC387:AE387">
    <cfRule type="expression" dxfId="8497" priority="9587" stopIfTrue="1">
      <formula>$G384=""</formula>
    </cfRule>
  </conditionalFormatting>
  <conditionalFormatting sqref="T386:U386">
    <cfRule type="expression" dxfId="8496" priority="9554" stopIfTrue="1">
      <formula>$G384=""</formula>
    </cfRule>
  </conditionalFormatting>
  <conditionalFormatting sqref="T386:U386">
    <cfRule type="containsBlanks" dxfId="8495" priority="9584" stopIfTrue="1">
      <formula>LEN(TRIM(T386))=0</formula>
    </cfRule>
  </conditionalFormatting>
  <conditionalFormatting sqref="AC384:AE384">
    <cfRule type="expression" dxfId="8494" priority="9583">
      <formula>$G384=""</formula>
    </cfRule>
  </conditionalFormatting>
  <conditionalFormatting sqref="AF386 AG387">
    <cfRule type="containsBlanks" dxfId="8493" priority="9588" stopIfTrue="1">
      <formula>LEN(TRIM(AF386))=0</formula>
    </cfRule>
  </conditionalFormatting>
  <conditionalFormatting sqref="AF386">
    <cfRule type="expression" dxfId="8492" priority="9589">
      <formula>OR($HS385=FALSE,$HT385=FALSE)</formula>
    </cfRule>
  </conditionalFormatting>
  <conditionalFormatting sqref="AG387">
    <cfRule type="expression" dxfId="8491" priority="9547">
      <formula>$C$43&gt;0</formula>
    </cfRule>
  </conditionalFormatting>
  <conditionalFormatting sqref="AG387">
    <cfRule type="expression" dxfId="8490" priority="9580" stopIfTrue="1">
      <formula>$G384=""</formula>
    </cfRule>
  </conditionalFormatting>
  <conditionalFormatting sqref="U386">
    <cfRule type="expression" dxfId="8489" priority="9585">
      <formula>OR($HK385=FALSE,$HL385=FALSE)</formula>
    </cfRule>
  </conditionalFormatting>
  <conditionalFormatting sqref="T385:U385">
    <cfRule type="expression" dxfId="8488" priority="9575" stopIfTrue="1">
      <formula>$C$43&lt;&gt;0</formula>
    </cfRule>
    <cfRule type="containsBlanks" dxfId="8487" priority="9576" stopIfTrue="1">
      <formula>LEN(TRIM(T385))=0</formula>
    </cfRule>
  </conditionalFormatting>
  <conditionalFormatting sqref="T385:U385">
    <cfRule type="expression" dxfId="8486" priority="9574" stopIfTrue="1">
      <formula>$G384=""</formula>
    </cfRule>
  </conditionalFormatting>
  <conditionalFormatting sqref="U385">
    <cfRule type="expression" dxfId="8485" priority="9577">
      <formula>$HJ385=FALSE</formula>
    </cfRule>
  </conditionalFormatting>
  <conditionalFormatting sqref="AG386">
    <cfRule type="expression" dxfId="8484" priority="9565" stopIfTrue="1">
      <formula>$G384=""</formula>
    </cfRule>
  </conditionalFormatting>
  <conditionalFormatting sqref="AG386:AL386">
    <cfRule type="expression" dxfId="8483" priority="9566">
      <formula>$N387="BAM"</formula>
    </cfRule>
    <cfRule type="expression" dxfId="8482" priority="9570">
      <formula>OR($HU385=FALSE,$HQ385=FALSE)</formula>
    </cfRule>
  </conditionalFormatting>
  <conditionalFormatting sqref="AG386">
    <cfRule type="containsBlanks" dxfId="8481" priority="9567" stopIfTrue="1">
      <formula>LEN(TRIM(AG386))=0</formula>
    </cfRule>
    <cfRule type="expression" dxfId="8480" priority="9568">
      <formula>OR($HP385=FALSE,$HR385=FALSE)</formula>
    </cfRule>
    <cfRule type="expression" dxfId="8479" priority="9569">
      <formula>OR($DS384=7,$DS384=8,$DS384=9)</formula>
    </cfRule>
  </conditionalFormatting>
  <conditionalFormatting sqref="AG384:AL384">
    <cfRule type="expression" dxfId="8478" priority="9564">
      <formula>$C$43&lt;&gt;0</formula>
    </cfRule>
  </conditionalFormatting>
  <conditionalFormatting sqref="AF385">
    <cfRule type="containsBlanks" dxfId="8477" priority="9563">
      <formula>LEN(TRIM(AF385))=0</formula>
    </cfRule>
  </conditionalFormatting>
  <conditionalFormatting sqref="AF385">
    <cfRule type="expression" dxfId="8476" priority="9562" stopIfTrue="1">
      <formula>$G384=""</formula>
    </cfRule>
  </conditionalFormatting>
  <conditionalFormatting sqref="AG385">
    <cfRule type="containsBlanks" dxfId="8475" priority="9560">
      <formula>LEN(TRIM(AG385))=0</formula>
    </cfRule>
    <cfRule type="expression" dxfId="8474" priority="9561">
      <formula>$HO385=FALSE</formula>
    </cfRule>
  </conditionalFormatting>
  <conditionalFormatting sqref="AG385">
    <cfRule type="expression" dxfId="8473" priority="9559" stopIfTrue="1">
      <formula>$G384=""</formula>
    </cfRule>
  </conditionalFormatting>
  <conditionalFormatting sqref="AF385:AK385">
    <cfRule type="expression" dxfId="8472" priority="9558">
      <formula>$C$43&gt;0</formula>
    </cfRule>
  </conditionalFormatting>
  <conditionalFormatting sqref="AM384:AN385">
    <cfRule type="expression" dxfId="8471" priority="9557">
      <formula>$G384=""</formula>
    </cfRule>
  </conditionalFormatting>
  <conditionalFormatting sqref="AM386:AN386">
    <cfRule type="expression" dxfId="8470" priority="9556" stopIfTrue="1">
      <formula>$G384=""</formula>
    </cfRule>
  </conditionalFormatting>
  <conditionalFormatting sqref="T386">
    <cfRule type="expression" dxfId="8469" priority="9578" stopIfTrue="1">
      <formula>$N387="BAM"</formula>
    </cfRule>
  </conditionalFormatting>
  <conditionalFormatting sqref="U386:AE386">
    <cfRule type="expression" dxfId="8468" priority="9555" stopIfTrue="1">
      <formula>$N387="BAM"</formula>
    </cfRule>
  </conditionalFormatting>
  <conditionalFormatting sqref="AG387:AL387">
    <cfRule type="expression" dxfId="8467" priority="9579" stopIfTrue="1">
      <formula>$N387="BAM"</formula>
    </cfRule>
  </conditionalFormatting>
  <conditionalFormatting sqref="AX390">
    <cfRule type="expression" dxfId="8466" priority="9545">
      <formula>$E390=""</formula>
    </cfRule>
  </conditionalFormatting>
  <conditionalFormatting sqref="AX389">
    <cfRule type="expression" dxfId="8465" priority="9544">
      <formula>$E389=""</formula>
    </cfRule>
  </conditionalFormatting>
  <conditionalFormatting sqref="AX391">
    <cfRule type="expression" dxfId="8464" priority="9543">
      <formula>#REF!=""</formula>
    </cfRule>
  </conditionalFormatting>
  <conditionalFormatting sqref="AX392">
    <cfRule type="expression" dxfId="8463" priority="9542">
      <formula>$E391=""</formula>
    </cfRule>
  </conditionalFormatting>
  <conditionalFormatting sqref="AY389:AZ392">
    <cfRule type="expression" dxfId="8462" priority="9541">
      <formula>$G389=""</formula>
    </cfRule>
  </conditionalFormatting>
  <conditionalFormatting sqref="G391">
    <cfRule type="expression" dxfId="8461" priority="9538" stopIfTrue="1">
      <formula>$G389=""</formula>
    </cfRule>
    <cfRule type="containsBlanks" dxfId="8460" priority="9539" stopIfTrue="1">
      <formula>LEN(TRIM(G391))=0</formula>
    </cfRule>
    <cfRule type="expression" dxfId="8459" priority="9540">
      <formula>OR($M391=0,$HH390=FALSE)</formula>
    </cfRule>
  </conditionalFormatting>
  <conditionalFormatting sqref="AO391">
    <cfRule type="expression" dxfId="8458" priority="9537" stopIfTrue="1">
      <formula>$G389=""</formula>
    </cfRule>
  </conditionalFormatting>
  <conditionalFormatting sqref="AU389:AU392">
    <cfRule type="expression" dxfId="8457" priority="9534" stopIfTrue="1">
      <formula>$C$43=2</formula>
    </cfRule>
    <cfRule type="cellIs" dxfId="8456" priority="9535" operator="equal">
      <formula>"Yes"</formula>
    </cfRule>
    <cfRule type="cellIs" dxfId="8455" priority="9536" operator="equal">
      <formula>"No"</formula>
    </cfRule>
  </conditionalFormatting>
  <conditionalFormatting sqref="AO389:AO390">
    <cfRule type="expression" dxfId="8454" priority="9533">
      <formula>$G389=""</formula>
    </cfRule>
  </conditionalFormatting>
  <conditionalFormatting sqref="AP389 AR389:AS392">
    <cfRule type="expression" dxfId="8453" priority="9532">
      <formula>$G389=""</formula>
    </cfRule>
  </conditionalFormatting>
  <conditionalFormatting sqref="AW389:AW392">
    <cfRule type="expression" dxfId="8452" priority="9531">
      <formula>$G389=""</formula>
    </cfRule>
  </conditionalFormatting>
  <conditionalFormatting sqref="G390:L390">
    <cfRule type="expression" dxfId="8451" priority="9529" stopIfTrue="1">
      <formula>$G389=""</formula>
    </cfRule>
    <cfRule type="containsBlanks" dxfId="8450" priority="9530">
      <formula>LEN(TRIM(G390))=0</formula>
    </cfRule>
  </conditionalFormatting>
  <conditionalFormatting sqref="R391">
    <cfRule type="expression" dxfId="8449" priority="9526">
      <formula>$N392="BAM"</formula>
    </cfRule>
    <cfRule type="expression" dxfId="8448" priority="9527" stopIfTrue="1">
      <formula>$G389=""</formula>
    </cfRule>
    <cfRule type="containsBlanks" dxfId="8447" priority="9528">
      <formula>LEN(TRIM(R391))=0</formula>
    </cfRule>
  </conditionalFormatting>
  <conditionalFormatting sqref="R391">
    <cfRule type="expression" dxfId="8446" priority="9525">
      <formula>$C$43=0</formula>
    </cfRule>
  </conditionalFormatting>
  <conditionalFormatting sqref="E392:F392">
    <cfRule type="expression" dxfId="8445" priority="9524">
      <formula>$CQ389="Exterior"</formula>
    </cfRule>
  </conditionalFormatting>
  <conditionalFormatting sqref="G392">
    <cfRule type="expression" dxfId="8444" priority="9514" stopIfTrue="1">
      <formula>$G389=""</formula>
    </cfRule>
  </conditionalFormatting>
  <conditionalFormatting sqref="G392">
    <cfRule type="expression" dxfId="8443" priority="9516" stopIfTrue="1">
      <formula>$CQ389="Exterior"</formula>
    </cfRule>
  </conditionalFormatting>
  <conditionalFormatting sqref="G392:L392">
    <cfRule type="expression" dxfId="8442" priority="9515" stopIfTrue="1">
      <formula>$N392="BAM"</formula>
    </cfRule>
    <cfRule type="containsBlanks" dxfId="8441" priority="9517" stopIfTrue="1">
      <formula>LEN(TRIM(G392))=0</formula>
    </cfRule>
    <cfRule type="expression" dxfId="8440" priority="9519">
      <formula>$HQ390=FALSE</formula>
    </cfRule>
  </conditionalFormatting>
  <conditionalFormatting sqref="G392:L392">
    <cfRule type="expression" dxfId="8439" priority="9518" stopIfTrue="1">
      <formula>$AG391=""</formula>
    </cfRule>
  </conditionalFormatting>
  <conditionalFormatting sqref="G391:L391">
    <cfRule type="expression" dxfId="8438" priority="9512" stopIfTrue="1">
      <formula>$N392="BAM"</formula>
    </cfRule>
  </conditionalFormatting>
  <conditionalFormatting sqref="G389:R389">
    <cfRule type="containsBlanks" dxfId="8437" priority="9511">
      <formula>LEN(TRIM(G389))=0</formula>
    </cfRule>
  </conditionalFormatting>
  <conditionalFormatting sqref="AF391">
    <cfRule type="expression" dxfId="8436" priority="9501" stopIfTrue="1">
      <formula>$G389=""</formula>
    </cfRule>
    <cfRule type="expression" dxfId="8435" priority="9502" stopIfTrue="1">
      <formula>$N392="BAM"</formula>
    </cfRule>
    <cfRule type="expression" dxfId="8434" priority="9510">
      <formula>$AF$49&gt;$T$49</formula>
    </cfRule>
  </conditionalFormatting>
  <conditionalFormatting sqref="AC392:AE392">
    <cfRule type="expression" dxfId="8433" priority="9507" stopIfTrue="1">
      <formula>$G389=""</formula>
    </cfRule>
  </conditionalFormatting>
  <conditionalFormatting sqref="T391:U391">
    <cfRule type="expression" dxfId="8432" priority="9474" stopIfTrue="1">
      <formula>$G389=""</formula>
    </cfRule>
  </conditionalFormatting>
  <conditionalFormatting sqref="T391:U391">
    <cfRule type="containsBlanks" dxfId="8431" priority="9504" stopIfTrue="1">
      <formula>LEN(TRIM(T391))=0</formula>
    </cfRule>
  </conditionalFormatting>
  <conditionalFormatting sqref="AC389:AE389">
    <cfRule type="expression" dxfId="8430" priority="9503">
      <formula>$G389=""</formula>
    </cfRule>
  </conditionalFormatting>
  <conditionalFormatting sqref="AF391 AG392">
    <cfRule type="containsBlanks" dxfId="8429" priority="9508" stopIfTrue="1">
      <formula>LEN(TRIM(AF391))=0</formula>
    </cfRule>
  </conditionalFormatting>
  <conditionalFormatting sqref="AF391">
    <cfRule type="expression" dxfId="8428" priority="9509">
      <formula>OR($HS390=FALSE,$HT390=FALSE)</formula>
    </cfRule>
  </conditionalFormatting>
  <conditionalFormatting sqref="AG392">
    <cfRule type="expression" dxfId="8427" priority="9467">
      <formula>$C$43&gt;0</formula>
    </cfRule>
  </conditionalFormatting>
  <conditionalFormatting sqref="AG392">
    <cfRule type="expression" dxfId="8426" priority="9500" stopIfTrue="1">
      <formula>$G389=""</formula>
    </cfRule>
  </conditionalFormatting>
  <conditionalFormatting sqref="U391">
    <cfRule type="expression" dxfId="8425" priority="9505">
      <formula>OR($HK390=FALSE,$HL390=FALSE)</formula>
    </cfRule>
  </conditionalFormatting>
  <conditionalFormatting sqref="T390:U390">
    <cfRule type="expression" dxfId="8424" priority="9495" stopIfTrue="1">
      <formula>$C$43&lt;&gt;0</formula>
    </cfRule>
    <cfRule type="containsBlanks" dxfId="8423" priority="9496" stopIfTrue="1">
      <formula>LEN(TRIM(T390))=0</formula>
    </cfRule>
  </conditionalFormatting>
  <conditionalFormatting sqref="T390:U390">
    <cfRule type="expression" dxfId="8422" priority="9494" stopIfTrue="1">
      <formula>$G389=""</formula>
    </cfRule>
  </conditionalFormatting>
  <conditionalFormatting sqref="U390">
    <cfRule type="expression" dxfId="8421" priority="9497">
      <formula>$HJ390=FALSE</formula>
    </cfRule>
  </conditionalFormatting>
  <conditionalFormatting sqref="AG391">
    <cfRule type="expression" dxfId="8420" priority="9485" stopIfTrue="1">
      <formula>$G389=""</formula>
    </cfRule>
  </conditionalFormatting>
  <conditionalFormatting sqref="AG391:AL391">
    <cfRule type="expression" dxfId="8419" priority="9486">
      <formula>$N392="BAM"</formula>
    </cfRule>
    <cfRule type="expression" dxfId="8418" priority="9490">
      <formula>OR($HU390=FALSE,$HQ390=FALSE)</formula>
    </cfRule>
  </conditionalFormatting>
  <conditionalFormatting sqref="AG391">
    <cfRule type="containsBlanks" dxfId="8417" priority="9487" stopIfTrue="1">
      <formula>LEN(TRIM(AG391))=0</formula>
    </cfRule>
    <cfRule type="expression" dxfId="8416" priority="9488">
      <formula>OR($HP390=FALSE,$HR390=FALSE)</formula>
    </cfRule>
    <cfRule type="expression" dxfId="8415" priority="9489">
      <formula>OR($DS389=7,$DS389=8,$DS389=9)</formula>
    </cfRule>
  </conditionalFormatting>
  <conditionalFormatting sqref="AG389:AL389">
    <cfRule type="expression" dxfId="8414" priority="9484">
      <formula>$C$43&lt;&gt;0</formula>
    </cfRule>
  </conditionalFormatting>
  <conditionalFormatting sqref="AF390">
    <cfRule type="containsBlanks" dxfId="8413" priority="9483">
      <formula>LEN(TRIM(AF390))=0</formula>
    </cfRule>
  </conditionalFormatting>
  <conditionalFormatting sqref="AF390">
    <cfRule type="expression" dxfId="8412" priority="9482" stopIfTrue="1">
      <formula>$G389=""</formula>
    </cfRule>
  </conditionalFormatting>
  <conditionalFormatting sqref="AG390">
    <cfRule type="containsBlanks" dxfId="8411" priority="9480">
      <formula>LEN(TRIM(AG390))=0</formula>
    </cfRule>
    <cfRule type="expression" dxfId="8410" priority="9481">
      <formula>$HO390=FALSE</formula>
    </cfRule>
  </conditionalFormatting>
  <conditionalFormatting sqref="AG390">
    <cfRule type="expression" dxfId="8409" priority="9479" stopIfTrue="1">
      <formula>$G389=""</formula>
    </cfRule>
  </conditionalFormatting>
  <conditionalFormatting sqref="AF390:AK390">
    <cfRule type="expression" dxfId="8408" priority="9478">
      <formula>$C$43&gt;0</formula>
    </cfRule>
  </conditionalFormatting>
  <conditionalFormatting sqref="AM389:AN390">
    <cfRule type="expression" dxfId="8407" priority="9477">
      <formula>$G389=""</formula>
    </cfRule>
  </conditionalFormatting>
  <conditionalFormatting sqref="AM391:AN391">
    <cfRule type="expression" dxfId="8406" priority="9476" stopIfTrue="1">
      <formula>$G389=""</formula>
    </cfRule>
  </conditionalFormatting>
  <conditionalFormatting sqref="T391">
    <cfRule type="expression" dxfId="8405" priority="9498" stopIfTrue="1">
      <formula>$N392="BAM"</formula>
    </cfRule>
  </conditionalFormatting>
  <conditionalFormatting sqref="U391:AE391">
    <cfRule type="expression" dxfId="8404" priority="9475" stopIfTrue="1">
      <formula>$N392="BAM"</formula>
    </cfRule>
  </conditionalFormatting>
  <conditionalFormatting sqref="AG392:AL392">
    <cfRule type="expression" dxfId="8403" priority="9499" stopIfTrue="1">
      <formula>$N392="BAM"</formula>
    </cfRule>
  </conditionalFormatting>
  <conditionalFormatting sqref="AX395">
    <cfRule type="expression" dxfId="8402" priority="9465">
      <formula>$E395=""</formula>
    </cfRule>
  </conditionalFormatting>
  <conditionalFormatting sqref="AX394">
    <cfRule type="expression" dxfId="8401" priority="9464">
      <formula>$E394=""</formula>
    </cfRule>
  </conditionalFormatting>
  <conditionalFormatting sqref="AX396">
    <cfRule type="expression" dxfId="8400" priority="9463">
      <formula>#REF!=""</formula>
    </cfRule>
  </conditionalFormatting>
  <conditionalFormatting sqref="AX397">
    <cfRule type="expression" dxfId="8399" priority="9462">
      <formula>$E396=""</formula>
    </cfRule>
  </conditionalFormatting>
  <conditionalFormatting sqref="AY394:AZ397">
    <cfRule type="expression" dxfId="8398" priority="9461">
      <formula>$G394=""</formula>
    </cfRule>
  </conditionalFormatting>
  <conditionalFormatting sqref="G396">
    <cfRule type="expression" dxfId="8397" priority="9458" stopIfTrue="1">
      <formula>$G394=""</formula>
    </cfRule>
    <cfRule type="containsBlanks" dxfId="8396" priority="9459" stopIfTrue="1">
      <formula>LEN(TRIM(G396))=0</formula>
    </cfRule>
    <cfRule type="expression" dxfId="8395" priority="9460">
      <formula>OR($M396=0,$HH395=FALSE)</formula>
    </cfRule>
  </conditionalFormatting>
  <conditionalFormatting sqref="AO396">
    <cfRule type="expression" dxfId="8394" priority="9457" stopIfTrue="1">
      <formula>$G394=""</formula>
    </cfRule>
  </conditionalFormatting>
  <conditionalFormatting sqref="AU394:AU397">
    <cfRule type="expression" dxfId="8393" priority="9454" stopIfTrue="1">
      <formula>$C$43=2</formula>
    </cfRule>
    <cfRule type="cellIs" dxfId="8392" priority="9455" operator="equal">
      <formula>"Yes"</formula>
    </cfRule>
    <cfRule type="cellIs" dxfId="8391" priority="9456" operator="equal">
      <formula>"No"</formula>
    </cfRule>
  </conditionalFormatting>
  <conditionalFormatting sqref="AO394:AO395">
    <cfRule type="expression" dxfId="8390" priority="9453">
      <formula>$G394=""</formula>
    </cfRule>
  </conditionalFormatting>
  <conditionalFormatting sqref="AP394 AR394:AS397">
    <cfRule type="expression" dxfId="8389" priority="9452">
      <formula>$G394=""</formula>
    </cfRule>
  </conditionalFormatting>
  <conditionalFormatting sqref="AW394:AW397">
    <cfRule type="expression" dxfId="8388" priority="9451">
      <formula>$G394=""</formula>
    </cfRule>
  </conditionalFormatting>
  <conditionalFormatting sqref="G395:L395">
    <cfRule type="expression" dxfId="8387" priority="9449" stopIfTrue="1">
      <formula>$G394=""</formula>
    </cfRule>
    <cfRule type="containsBlanks" dxfId="8386" priority="9450">
      <formula>LEN(TRIM(G395))=0</formula>
    </cfRule>
  </conditionalFormatting>
  <conditionalFormatting sqref="R396">
    <cfRule type="expression" dxfId="8385" priority="9446">
      <formula>$N397="BAM"</formula>
    </cfRule>
    <cfRule type="expression" dxfId="8384" priority="9447" stopIfTrue="1">
      <formula>$G394=""</formula>
    </cfRule>
    <cfRule type="containsBlanks" dxfId="8383" priority="9448">
      <formula>LEN(TRIM(R396))=0</formula>
    </cfRule>
  </conditionalFormatting>
  <conditionalFormatting sqref="R396">
    <cfRule type="expression" dxfId="8382" priority="9445">
      <formula>$C$43=0</formula>
    </cfRule>
  </conditionalFormatting>
  <conditionalFormatting sqref="E397:F397">
    <cfRule type="expression" dxfId="8381" priority="9444">
      <formula>$CQ394="Exterior"</formula>
    </cfRule>
  </conditionalFormatting>
  <conditionalFormatting sqref="G397">
    <cfRule type="expression" dxfId="8380" priority="9434" stopIfTrue="1">
      <formula>$G394=""</formula>
    </cfRule>
  </conditionalFormatting>
  <conditionalFormatting sqref="G397">
    <cfRule type="expression" dxfId="8379" priority="9436" stopIfTrue="1">
      <formula>$CQ394="Exterior"</formula>
    </cfRule>
  </conditionalFormatting>
  <conditionalFormatting sqref="G397:L397">
    <cfRule type="expression" dxfId="8378" priority="9435" stopIfTrue="1">
      <formula>$N397="BAM"</formula>
    </cfRule>
    <cfRule type="containsBlanks" dxfId="8377" priority="9437" stopIfTrue="1">
      <formula>LEN(TRIM(G397))=0</formula>
    </cfRule>
    <cfRule type="expression" dxfId="8376" priority="9439">
      <formula>$HQ395=FALSE</formula>
    </cfRule>
  </conditionalFormatting>
  <conditionalFormatting sqref="G397:L397">
    <cfRule type="expression" dxfId="8375" priority="9438" stopIfTrue="1">
      <formula>$AG396=""</formula>
    </cfRule>
  </conditionalFormatting>
  <conditionalFormatting sqref="G396:L396">
    <cfRule type="expression" dxfId="8374" priority="9432" stopIfTrue="1">
      <formula>$N397="BAM"</formula>
    </cfRule>
  </conditionalFormatting>
  <conditionalFormatting sqref="G394:R394">
    <cfRule type="containsBlanks" dxfId="8373" priority="9431">
      <formula>LEN(TRIM(G394))=0</formula>
    </cfRule>
  </conditionalFormatting>
  <conditionalFormatting sqref="AF396">
    <cfRule type="expression" dxfId="8372" priority="9421" stopIfTrue="1">
      <formula>$G394=""</formula>
    </cfRule>
    <cfRule type="expression" dxfId="8371" priority="9422" stopIfTrue="1">
      <formula>$N397="BAM"</formula>
    </cfRule>
    <cfRule type="expression" dxfId="8370" priority="9430">
      <formula>$AF$49&gt;$T$49</formula>
    </cfRule>
  </conditionalFormatting>
  <conditionalFormatting sqref="AC397:AE397">
    <cfRule type="expression" dxfId="8369" priority="9427" stopIfTrue="1">
      <formula>$G394=""</formula>
    </cfRule>
  </conditionalFormatting>
  <conditionalFormatting sqref="T396:U396">
    <cfRule type="expression" dxfId="8368" priority="9394" stopIfTrue="1">
      <formula>$G394=""</formula>
    </cfRule>
  </conditionalFormatting>
  <conditionalFormatting sqref="T396:U396">
    <cfRule type="containsBlanks" dxfId="8367" priority="9424" stopIfTrue="1">
      <formula>LEN(TRIM(T396))=0</formula>
    </cfRule>
  </conditionalFormatting>
  <conditionalFormatting sqref="AC394:AE394">
    <cfRule type="expression" dxfId="8366" priority="9423">
      <formula>$G394=""</formula>
    </cfRule>
  </conditionalFormatting>
  <conditionalFormatting sqref="AF396 AG397">
    <cfRule type="containsBlanks" dxfId="8365" priority="9428" stopIfTrue="1">
      <formula>LEN(TRIM(AF396))=0</formula>
    </cfRule>
  </conditionalFormatting>
  <conditionalFormatting sqref="AF396">
    <cfRule type="expression" dxfId="8364" priority="9429">
      <formula>OR($HS395=FALSE,$HT395=FALSE)</formula>
    </cfRule>
  </conditionalFormatting>
  <conditionalFormatting sqref="AG397">
    <cfRule type="expression" dxfId="8363" priority="9387">
      <formula>$C$43&gt;0</formula>
    </cfRule>
  </conditionalFormatting>
  <conditionalFormatting sqref="AG397">
    <cfRule type="expression" dxfId="8362" priority="9420" stopIfTrue="1">
      <formula>$G394=""</formula>
    </cfRule>
  </conditionalFormatting>
  <conditionalFormatting sqref="U396">
    <cfRule type="expression" dxfId="8361" priority="9425">
      <formula>OR($HK395=FALSE,$HL395=FALSE)</formula>
    </cfRule>
  </conditionalFormatting>
  <conditionalFormatting sqref="T395:U395">
    <cfRule type="expression" dxfId="8360" priority="9415" stopIfTrue="1">
      <formula>$C$43&lt;&gt;0</formula>
    </cfRule>
    <cfRule type="containsBlanks" dxfId="8359" priority="9416" stopIfTrue="1">
      <formula>LEN(TRIM(T395))=0</formula>
    </cfRule>
  </conditionalFormatting>
  <conditionalFormatting sqref="T395:U395">
    <cfRule type="expression" dxfId="8358" priority="9414" stopIfTrue="1">
      <formula>$G394=""</formula>
    </cfRule>
  </conditionalFormatting>
  <conditionalFormatting sqref="U395">
    <cfRule type="expression" dxfId="8357" priority="9417">
      <formula>$HJ395=FALSE</formula>
    </cfRule>
  </conditionalFormatting>
  <conditionalFormatting sqref="AG396">
    <cfRule type="expression" dxfId="8356" priority="9405" stopIfTrue="1">
      <formula>$G394=""</formula>
    </cfRule>
  </conditionalFormatting>
  <conditionalFormatting sqref="AG396:AL396">
    <cfRule type="expression" dxfId="8355" priority="9406">
      <formula>$N397="BAM"</formula>
    </cfRule>
    <cfRule type="expression" dxfId="8354" priority="9410">
      <formula>OR($HU395=FALSE,$HQ395=FALSE)</formula>
    </cfRule>
  </conditionalFormatting>
  <conditionalFormatting sqref="AG396">
    <cfRule type="containsBlanks" dxfId="8353" priority="9407" stopIfTrue="1">
      <formula>LEN(TRIM(AG396))=0</formula>
    </cfRule>
    <cfRule type="expression" dxfId="8352" priority="9408">
      <formula>OR($HP395=FALSE,$HR395=FALSE)</formula>
    </cfRule>
    <cfRule type="expression" dxfId="8351" priority="9409">
      <formula>OR($DS394=7,$DS394=8,$DS394=9)</formula>
    </cfRule>
  </conditionalFormatting>
  <conditionalFormatting sqref="AG394:AL394">
    <cfRule type="expression" dxfId="8350" priority="9404">
      <formula>$C$43&lt;&gt;0</formula>
    </cfRule>
  </conditionalFormatting>
  <conditionalFormatting sqref="AF395">
    <cfRule type="containsBlanks" dxfId="8349" priority="9403">
      <formula>LEN(TRIM(AF395))=0</formula>
    </cfRule>
  </conditionalFormatting>
  <conditionalFormatting sqref="AF395">
    <cfRule type="expression" dxfId="8348" priority="9402" stopIfTrue="1">
      <formula>$G394=""</formula>
    </cfRule>
  </conditionalFormatting>
  <conditionalFormatting sqref="AG395">
    <cfRule type="containsBlanks" dxfId="8347" priority="9400">
      <formula>LEN(TRIM(AG395))=0</formula>
    </cfRule>
    <cfRule type="expression" dxfId="8346" priority="9401">
      <formula>$HO395=FALSE</formula>
    </cfRule>
  </conditionalFormatting>
  <conditionalFormatting sqref="AG395">
    <cfRule type="expression" dxfId="8345" priority="9399" stopIfTrue="1">
      <formula>$G394=""</formula>
    </cfRule>
  </conditionalFormatting>
  <conditionalFormatting sqref="AF395:AK395">
    <cfRule type="expression" dxfId="8344" priority="9398">
      <formula>$C$43&gt;0</formula>
    </cfRule>
  </conditionalFormatting>
  <conditionalFormatting sqref="AM394:AN395">
    <cfRule type="expression" dxfId="8343" priority="9397">
      <formula>$G394=""</formula>
    </cfRule>
  </conditionalFormatting>
  <conditionalFormatting sqref="AM396:AN396">
    <cfRule type="expression" dxfId="8342" priority="9396" stopIfTrue="1">
      <formula>$G394=""</formula>
    </cfRule>
  </conditionalFormatting>
  <conditionalFormatting sqref="T396">
    <cfRule type="expression" dxfId="8341" priority="9418" stopIfTrue="1">
      <formula>$N397="BAM"</formula>
    </cfRule>
  </conditionalFormatting>
  <conditionalFormatting sqref="U396:AE396">
    <cfRule type="expression" dxfId="8340" priority="9395" stopIfTrue="1">
      <formula>$N397="BAM"</formula>
    </cfRule>
  </conditionalFormatting>
  <conditionalFormatting sqref="AG397:AL397">
    <cfRule type="expression" dxfId="8339" priority="9419" stopIfTrue="1">
      <formula>$N397="BAM"</formula>
    </cfRule>
  </conditionalFormatting>
  <conditionalFormatting sqref="AX400">
    <cfRule type="expression" dxfId="8338" priority="9385">
      <formula>$E400=""</formula>
    </cfRule>
  </conditionalFormatting>
  <conditionalFormatting sqref="AX399">
    <cfRule type="expression" dxfId="8337" priority="9384">
      <formula>$E399=""</formula>
    </cfRule>
  </conditionalFormatting>
  <conditionalFormatting sqref="AX401">
    <cfRule type="expression" dxfId="8336" priority="9383">
      <formula>#REF!=""</formula>
    </cfRule>
  </conditionalFormatting>
  <conditionalFormatting sqref="AX402">
    <cfRule type="expression" dxfId="8335" priority="9382">
      <formula>$E401=""</formula>
    </cfRule>
  </conditionalFormatting>
  <conditionalFormatting sqref="AY399:AZ402">
    <cfRule type="expression" dxfId="8334" priority="9381">
      <formula>$G399=""</formula>
    </cfRule>
  </conditionalFormatting>
  <conditionalFormatting sqref="G401">
    <cfRule type="expression" dxfId="8333" priority="9378" stopIfTrue="1">
      <formula>$G399=""</formula>
    </cfRule>
    <cfRule type="containsBlanks" dxfId="8332" priority="9379" stopIfTrue="1">
      <formula>LEN(TRIM(G401))=0</formula>
    </cfRule>
    <cfRule type="expression" dxfId="8331" priority="9380">
      <formula>OR($M401=0,$HH400=FALSE)</formula>
    </cfRule>
  </conditionalFormatting>
  <conditionalFormatting sqref="AO401">
    <cfRule type="expression" dxfId="8330" priority="9377" stopIfTrue="1">
      <formula>$G399=""</formula>
    </cfRule>
  </conditionalFormatting>
  <conditionalFormatting sqref="AU399:AU402">
    <cfRule type="expression" dxfId="8329" priority="9374" stopIfTrue="1">
      <formula>$C$43=2</formula>
    </cfRule>
    <cfRule type="cellIs" dxfId="8328" priority="9375" operator="equal">
      <formula>"Yes"</formula>
    </cfRule>
    <cfRule type="cellIs" dxfId="8327" priority="9376" operator="equal">
      <formula>"No"</formula>
    </cfRule>
  </conditionalFormatting>
  <conditionalFormatting sqref="AO399:AO400">
    <cfRule type="expression" dxfId="8326" priority="9373">
      <formula>$G399=""</formula>
    </cfRule>
  </conditionalFormatting>
  <conditionalFormatting sqref="AP399 AR399:AS402">
    <cfRule type="expression" dxfId="8325" priority="9372">
      <formula>$G399=""</formula>
    </cfRule>
  </conditionalFormatting>
  <conditionalFormatting sqref="AW399:AW402">
    <cfRule type="expression" dxfId="8324" priority="9371">
      <formula>$G399=""</formula>
    </cfRule>
  </conditionalFormatting>
  <conditionalFormatting sqref="G400:L400">
    <cfRule type="expression" dxfId="8323" priority="9369" stopIfTrue="1">
      <formula>$G399=""</formula>
    </cfRule>
    <cfRule type="containsBlanks" dxfId="8322" priority="9370">
      <formula>LEN(TRIM(G400))=0</formula>
    </cfRule>
  </conditionalFormatting>
  <conditionalFormatting sqref="R401">
    <cfRule type="expression" dxfId="8321" priority="9366">
      <formula>$N402="BAM"</formula>
    </cfRule>
    <cfRule type="expression" dxfId="8320" priority="9367" stopIfTrue="1">
      <formula>$G399=""</formula>
    </cfRule>
    <cfRule type="containsBlanks" dxfId="8319" priority="9368">
      <formula>LEN(TRIM(R401))=0</formula>
    </cfRule>
  </conditionalFormatting>
  <conditionalFormatting sqref="R401">
    <cfRule type="expression" dxfId="8318" priority="9365">
      <formula>$C$43=0</formula>
    </cfRule>
  </conditionalFormatting>
  <conditionalFormatting sqref="E402:F402">
    <cfRule type="expression" dxfId="8317" priority="9364">
      <formula>$CQ399="Exterior"</formula>
    </cfRule>
  </conditionalFormatting>
  <conditionalFormatting sqref="G402">
    <cfRule type="expression" dxfId="8316" priority="9354" stopIfTrue="1">
      <formula>$G399=""</formula>
    </cfRule>
  </conditionalFormatting>
  <conditionalFormatting sqref="G402">
    <cfRule type="expression" dxfId="8315" priority="9356" stopIfTrue="1">
      <formula>$CQ399="Exterior"</formula>
    </cfRule>
  </conditionalFormatting>
  <conditionalFormatting sqref="G402:L402">
    <cfRule type="expression" dxfId="8314" priority="9355" stopIfTrue="1">
      <formula>$N402="BAM"</formula>
    </cfRule>
    <cfRule type="containsBlanks" dxfId="8313" priority="9357" stopIfTrue="1">
      <formula>LEN(TRIM(G402))=0</formula>
    </cfRule>
    <cfRule type="expression" dxfId="8312" priority="9359">
      <formula>$HQ400=FALSE</formula>
    </cfRule>
  </conditionalFormatting>
  <conditionalFormatting sqref="G402:L402">
    <cfRule type="expression" dxfId="8311" priority="9358" stopIfTrue="1">
      <formula>$AG401=""</formula>
    </cfRule>
  </conditionalFormatting>
  <conditionalFormatting sqref="G401:L401">
    <cfRule type="expression" dxfId="8310" priority="9352" stopIfTrue="1">
      <formula>$N402="BAM"</formula>
    </cfRule>
  </conditionalFormatting>
  <conditionalFormatting sqref="G399:R399">
    <cfRule type="containsBlanks" dxfId="8309" priority="9351">
      <formula>LEN(TRIM(G399))=0</formula>
    </cfRule>
  </conditionalFormatting>
  <conditionalFormatting sqref="AF401">
    <cfRule type="expression" dxfId="8308" priority="9341" stopIfTrue="1">
      <formula>$G399=""</formula>
    </cfRule>
    <cfRule type="expression" dxfId="8307" priority="9342" stopIfTrue="1">
      <formula>$N402="BAM"</formula>
    </cfRule>
    <cfRule type="expression" dxfId="8306" priority="9350">
      <formula>$AF$49&gt;$T$49</formula>
    </cfRule>
  </conditionalFormatting>
  <conditionalFormatting sqref="AC402:AE402">
    <cfRule type="expression" dxfId="8305" priority="9347" stopIfTrue="1">
      <formula>$G399=""</formula>
    </cfRule>
  </conditionalFormatting>
  <conditionalFormatting sqref="T401:U401">
    <cfRule type="expression" dxfId="8304" priority="9314" stopIfTrue="1">
      <formula>$G399=""</formula>
    </cfRule>
  </conditionalFormatting>
  <conditionalFormatting sqref="T401:U401">
    <cfRule type="containsBlanks" dxfId="8303" priority="9344" stopIfTrue="1">
      <formula>LEN(TRIM(T401))=0</formula>
    </cfRule>
  </conditionalFormatting>
  <conditionalFormatting sqref="AC399:AE399">
    <cfRule type="expression" dxfId="8302" priority="9343">
      <formula>$G399=""</formula>
    </cfRule>
  </conditionalFormatting>
  <conditionalFormatting sqref="AF401 AG402">
    <cfRule type="containsBlanks" dxfId="8301" priority="9348" stopIfTrue="1">
      <formula>LEN(TRIM(AF401))=0</formula>
    </cfRule>
  </conditionalFormatting>
  <conditionalFormatting sqref="AF401">
    <cfRule type="expression" dxfId="8300" priority="9349">
      <formula>OR($HS400=FALSE,$HT400=FALSE)</formula>
    </cfRule>
  </conditionalFormatting>
  <conditionalFormatting sqref="AG402">
    <cfRule type="expression" dxfId="8299" priority="9307">
      <formula>$C$43&gt;0</formula>
    </cfRule>
  </conditionalFormatting>
  <conditionalFormatting sqref="AG402">
    <cfRule type="expression" dxfId="8298" priority="9340" stopIfTrue="1">
      <formula>$G399=""</formula>
    </cfRule>
  </conditionalFormatting>
  <conditionalFormatting sqref="U401">
    <cfRule type="expression" dxfId="8297" priority="9345">
      <formula>OR($HK400=FALSE,$HL400=FALSE)</formula>
    </cfRule>
  </conditionalFormatting>
  <conditionalFormatting sqref="T400:U400">
    <cfRule type="expression" dxfId="8296" priority="9335" stopIfTrue="1">
      <formula>$C$43&lt;&gt;0</formula>
    </cfRule>
    <cfRule type="containsBlanks" dxfId="8295" priority="9336" stopIfTrue="1">
      <formula>LEN(TRIM(T400))=0</formula>
    </cfRule>
  </conditionalFormatting>
  <conditionalFormatting sqref="T400:U400">
    <cfRule type="expression" dxfId="8294" priority="9334" stopIfTrue="1">
      <formula>$G399=""</formula>
    </cfRule>
  </conditionalFormatting>
  <conditionalFormatting sqref="U400">
    <cfRule type="expression" dxfId="8293" priority="9337">
      <formula>$HJ400=FALSE</formula>
    </cfRule>
  </conditionalFormatting>
  <conditionalFormatting sqref="AG401">
    <cfRule type="expression" dxfId="8292" priority="9325" stopIfTrue="1">
      <formula>$G399=""</formula>
    </cfRule>
  </conditionalFormatting>
  <conditionalFormatting sqref="AG401:AL401">
    <cfRule type="expression" dxfId="8291" priority="9326">
      <formula>$N402="BAM"</formula>
    </cfRule>
    <cfRule type="expression" dxfId="8290" priority="9330">
      <formula>OR($HU400=FALSE,$HQ400=FALSE)</formula>
    </cfRule>
  </conditionalFormatting>
  <conditionalFormatting sqref="AG401">
    <cfRule type="containsBlanks" dxfId="8289" priority="9327" stopIfTrue="1">
      <formula>LEN(TRIM(AG401))=0</formula>
    </cfRule>
    <cfRule type="expression" dxfId="8288" priority="9328">
      <formula>OR($HP400=FALSE,$HR400=FALSE)</formula>
    </cfRule>
    <cfRule type="expression" dxfId="8287" priority="9329">
      <formula>OR($DS399=7,$DS399=8,$DS399=9)</formula>
    </cfRule>
  </conditionalFormatting>
  <conditionalFormatting sqref="AG399:AL399">
    <cfRule type="expression" dxfId="8286" priority="9324">
      <formula>$C$43&lt;&gt;0</formula>
    </cfRule>
  </conditionalFormatting>
  <conditionalFormatting sqref="AF400">
    <cfRule type="containsBlanks" dxfId="8285" priority="9323">
      <formula>LEN(TRIM(AF400))=0</formula>
    </cfRule>
  </conditionalFormatting>
  <conditionalFormatting sqref="AF400">
    <cfRule type="expression" dxfId="8284" priority="9322" stopIfTrue="1">
      <formula>$G399=""</formula>
    </cfRule>
  </conditionalFormatting>
  <conditionalFormatting sqref="AG400">
    <cfRule type="containsBlanks" dxfId="8283" priority="9320">
      <formula>LEN(TRIM(AG400))=0</formula>
    </cfRule>
    <cfRule type="expression" dxfId="8282" priority="9321">
      <formula>$HO400=FALSE</formula>
    </cfRule>
  </conditionalFormatting>
  <conditionalFormatting sqref="AG400">
    <cfRule type="expression" dxfId="8281" priority="9319" stopIfTrue="1">
      <formula>$G399=""</formula>
    </cfRule>
  </conditionalFormatting>
  <conditionalFormatting sqref="AF400:AK400">
    <cfRule type="expression" dxfId="8280" priority="9318">
      <formula>$C$43&gt;0</formula>
    </cfRule>
  </conditionalFormatting>
  <conditionalFormatting sqref="AM399:AN400">
    <cfRule type="expression" dxfId="8279" priority="9317">
      <formula>$G399=""</formula>
    </cfRule>
  </conditionalFormatting>
  <conditionalFormatting sqref="AM401:AN401">
    <cfRule type="expression" dxfId="8278" priority="9316" stopIfTrue="1">
      <formula>$G399=""</formula>
    </cfRule>
  </conditionalFormatting>
  <conditionalFormatting sqref="T401">
    <cfRule type="expression" dxfId="8277" priority="9338" stopIfTrue="1">
      <formula>$N402="BAM"</formula>
    </cfRule>
  </conditionalFormatting>
  <conditionalFormatting sqref="U401:AE401">
    <cfRule type="expression" dxfId="8276" priority="9315" stopIfTrue="1">
      <formula>$N402="BAM"</formula>
    </cfRule>
  </conditionalFormatting>
  <conditionalFormatting sqref="AG402:AL402">
    <cfRule type="expression" dxfId="8275" priority="9339" stopIfTrue="1">
      <formula>$N402="BAM"</formula>
    </cfRule>
  </conditionalFormatting>
  <conditionalFormatting sqref="AX408">
    <cfRule type="expression" dxfId="8274" priority="9305">
      <formula>$E408=""</formula>
    </cfRule>
  </conditionalFormatting>
  <conditionalFormatting sqref="AX407">
    <cfRule type="expression" dxfId="8273" priority="9304">
      <formula>$E407=""</formula>
    </cfRule>
  </conditionalFormatting>
  <conditionalFormatting sqref="AX409">
    <cfRule type="expression" dxfId="8272" priority="9303">
      <formula>#REF!=""</formula>
    </cfRule>
  </conditionalFormatting>
  <conditionalFormatting sqref="AX410">
    <cfRule type="expression" dxfId="8271" priority="9302">
      <formula>$E409=""</formula>
    </cfRule>
  </conditionalFormatting>
  <conditionalFormatting sqref="AY407:AZ410">
    <cfRule type="expression" dxfId="8270" priority="9301">
      <formula>$G407=""</formula>
    </cfRule>
  </conditionalFormatting>
  <conditionalFormatting sqref="G409">
    <cfRule type="expression" dxfId="8269" priority="9298" stopIfTrue="1">
      <formula>$G407=""</formula>
    </cfRule>
    <cfRule type="containsBlanks" dxfId="8268" priority="9299" stopIfTrue="1">
      <formula>LEN(TRIM(G409))=0</formula>
    </cfRule>
    <cfRule type="expression" dxfId="8267" priority="9300">
      <formula>OR($M409=0,$HH408=FALSE)</formula>
    </cfRule>
  </conditionalFormatting>
  <conditionalFormatting sqref="AO409">
    <cfRule type="expression" dxfId="8266" priority="9297" stopIfTrue="1">
      <formula>$G407=""</formula>
    </cfRule>
  </conditionalFormatting>
  <conditionalFormatting sqref="AU407:AU410">
    <cfRule type="expression" dxfId="8265" priority="9294" stopIfTrue="1">
      <formula>$C$43=2</formula>
    </cfRule>
    <cfRule type="cellIs" dxfId="8264" priority="9295" operator="equal">
      <formula>"Yes"</formula>
    </cfRule>
    <cfRule type="cellIs" dxfId="8263" priority="9296" operator="equal">
      <formula>"No"</formula>
    </cfRule>
  </conditionalFormatting>
  <conditionalFormatting sqref="AO407:AO408">
    <cfRule type="expression" dxfId="8262" priority="9293">
      <formula>$G407=""</formula>
    </cfRule>
  </conditionalFormatting>
  <conditionalFormatting sqref="AP407 AR407:AS410">
    <cfRule type="expression" dxfId="8261" priority="9292">
      <formula>$G407=""</formula>
    </cfRule>
  </conditionalFormatting>
  <conditionalFormatting sqref="AW407:AW410">
    <cfRule type="expression" dxfId="8260" priority="9291">
      <formula>$G407=""</formula>
    </cfRule>
  </conditionalFormatting>
  <conditionalFormatting sqref="G408:L408">
    <cfRule type="expression" dxfId="8259" priority="9289" stopIfTrue="1">
      <formula>$G407=""</formula>
    </cfRule>
    <cfRule type="containsBlanks" dxfId="8258" priority="9290">
      <formula>LEN(TRIM(G408))=0</formula>
    </cfRule>
  </conditionalFormatting>
  <conditionalFormatting sqref="R409">
    <cfRule type="expression" dxfId="8257" priority="9286">
      <formula>$N410="BAM"</formula>
    </cfRule>
    <cfRule type="expression" dxfId="8256" priority="9287" stopIfTrue="1">
      <formula>$G407=""</formula>
    </cfRule>
    <cfRule type="containsBlanks" dxfId="8255" priority="9288">
      <formula>LEN(TRIM(R409))=0</formula>
    </cfRule>
  </conditionalFormatting>
  <conditionalFormatting sqref="R409">
    <cfRule type="expression" dxfId="8254" priority="9285">
      <formula>$C$43=0</formula>
    </cfRule>
  </conditionalFormatting>
  <conditionalFormatting sqref="E410:F410">
    <cfRule type="expression" dxfId="8253" priority="9284">
      <formula>$CQ407="Exterior"</formula>
    </cfRule>
  </conditionalFormatting>
  <conditionalFormatting sqref="G410">
    <cfRule type="expression" dxfId="8252" priority="9274" stopIfTrue="1">
      <formula>$G407=""</formula>
    </cfRule>
  </conditionalFormatting>
  <conditionalFormatting sqref="G410">
    <cfRule type="expression" dxfId="8251" priority="9276" stopIfTrue="1">
      <formula>$CQ407="Exterior"</formula>
    </cfRule>
  </conditionalFormatting>
  <conditionalFormatting sqref="G410:L410">
    <cfRule type="expression" dxfId="8250" priority="9275" stopIfTrue="1">
      <formula>$N410="BAM"</formula>
    </cfRule>
    <cfRule type="containsBlanks" dxfId="8249" priority="9277" stopIfTrue="1">
      <formula>LEN(TRIM(G410))=0</formula>
    </cfRule>
    <cfRule type="expression" dxfId="8248" priority="9279">
      <formula>$HQ408=FALSE</formula>
    </cfRule>
  </conditionalFormatting>
  <conditionalFormatting sqref="G410:L410">
    <cfRule type="expression" dxfId="8247" priority="9278" stopIfTrue="1">
      <formula>$AG409=""</formula>
    </cfRule>
  </conditionalFormatting>
  <conditionalFormatting sqref="G409:L409">
    <cfRule type="expression" dxfId="8246" priority="9272" stopIfTrue="1">
      <formula>$N410="BAM"</formula>
    </cfRule>
  </conditionalFormatting>
  <conditionalFormatting sqref="G407:R407">
    <cfRule type="containsBlanks" dxfId="8245" priority="9271">
      <formula>LEN(TRIM(G407))=0</formula>
    </cfRule>
  </conditionalFormatting>
  <conditionalFormatting sqref="AF409">
    <cfRule type="expression" dxfId="8244" priority="9261" stopIfTrue="1">
      <formula>$G407=""</formula>
    </cfRule>
    <cfRule type="expression" dxfId="8243" priority="9262" stopIfTrue="1">
      <formula>$N410="BAM"</formula>
    </cfRule>
    <cfRule type="expression" dxfId="8242" priority="9270">
      <formula>$AF$49&gt;$T$49</formula>
    </cfRule>
  </conditionalFormatting>
  <conditionalFormatting sqref="AC410:AE410">
    <cfRule type="expression" dxfId="8241" priority="9267" stopIfTrue="1">
      <formula>$G407=""</formula>
    </cfRule>
  </conditionalFormatting>
  <conditionalFormatting sqref="T409:U409">
    <cfRule type="expression" dxfId="8240" priority="9234" stopIfTrue="1">
      <formula>$G407=""</formula>
    </cfRule>
  </conditionalFormatting>
  <conditionalFormatting sqref="T409:U409">
    <cfRule type="containsBlanks" dxfId="8239" priority="9264" stopIfTrue="1">
      <formula>LEN(TRIM(T409))=0</formula>
    </cfRule>
  </conditionalFormatting>
  <conditionalFormatting sqref="AC407:AE407">
    <cfRule type="expression" dxfId="8238" priority="9263">
      <formula>$G407=""</formula>
    </cfRule>
  </conditionalFormatting>
  <conditionalFormatting sqref="AF409 AG410">
    <cfRule type="containsBlanks" dxfId="8237" priority="9268" stopIfTrue="1">
      <formula>LEN(TRIM(AF409))=0</formula>
    </cfRule>
  </conditionalFormatting>
  <conditionalFormatting sqref="AF409">
    <cfRule type="expression" dxfId="8236" priority="9269">
      <formula>OR($HS408=FALSE,$HT408=FALSE)</formula>
    </cfRule>
  </conditionalFormatting>
  <conditionalFormatting sqref="AG410">
    <cfRule type="expression" dxfId="8235" priority="9227">
      <formula>$C$43&gt;0</formula>
    </cfRule>
  </conditionalFormatting>
  <conditionalFormatting sqref="AG410">
    <cfRule type="expression" dxfId="8234" priority="9260" stopIfTrue="1">
      <formula>$G407=""</formula>
    </cfRule>
  </conditionalFormatting>
  <conditionalFormatting sqref="U409">
    <cfRule type="expression" dxfId="8233" priority="9265">
      <formula>OR($HK408=FALSE,$HL408=FALSE)</formula>
    </cfRule>
  </conditionalFormatting>
  <conditionalFormatting sqref="T408:U408">
    <cfRule type="expression" dxfId="8232" priority="9255" stopIfTrue="1">
      <formula>$C$43&lt;&gt;0</formula>
    </cfRule>
    <cfRule type="containsBlanks" dxfId="8231" priority="9256" stopIfTrue="1">
      <formula>LEN(TRIM(T408))=0</formula>
    </cfRule>
  </conditionalFormatting>
  <conditionalFormatting sqref="T408:U408">
    <cfRule type="expression" dxfId="8230" priority="9254" stopIfTrue="1">
      <formula>$G407=""</formula>
    </cfRule>
  </conditionalFormatting>
  <conditionalFormatting sqref="U408">
    <cfRule type="expression" dxfId="8229" priority="9257">
      <formula>$HJ408=FALSE</formula>
    </cfRule>
  </conditionalFormatting>
  <conditionalFormatting sqref="AG409">
    <cfRule type="expression" dxfId="8228" priority="9245" stopIfTrue="1">
      <formula>$G407=""</formula>
    </cfRule>
  </conditionalFormatting>
  <conditionalFormatting sqref="AG409:AL409">
    <cfRule type="expression" dxfId="8227" priority="9246">
      <formula>$N410="BAM"</formula>
    </cfRule>
    <cfRule type="expression" dxfId="8226" priority="9250">
      <formula>OR($HU408=FALSE,$HQ408=FALSE)</formula>
    </cfRule>
  </conditionalFormatting>
  <conditionalFormatting sqref="AG409">
    <cfRule type="containsBlanks" dxfId="8225" priority="9247" stopIfTrue="1">
      <formula>LEN(TRIM(AG409))=0</formula>
    </cfRule>
    <cfRule type="expression" dxfId="8224" priority="9248">
      <formula>OR($HP408=FALSE,$HR408=FALSE)</formula>
    </cfRule>
    <cfRule type="expression" dxfId="8223" priority="9249">
      <formula>OR($DS407=7,$DS407=8,$DS407=9)</formula>
    </cfRule>
  </conditionalFormatting>
  <conditionalFormatting sqref="AG407:AL407">
    <cfRule type="expression" dxfId="8222" priority="9244">
      <formula>$C$43&lt;&gt;0</formula>
    </cfRule>
  </conditionalFormatting>
  <conditionalFormatting sqref="AF408">
    <cfRule type="containsBlanks" dxfId="8221" priority="9243">
      <formula>LEN(TRIM(AF408))=0</formula>
    </cfRule>
  </conditionalFormatting>
  <conditionalFormatting sqref="AF408">
    <cfRule type="expression" dxfId="8220" priority="9242" stopIfTrue="1">
      <formula>$G407=""</formula>
    </cfRule>
  </conditionalFormatting>
  <conditionalFormatting sqref="AG408">
    <cfRule type="containsBlanks" dxfId="8219" priority="9240">
      <formula>LEN(TRIM(AG408))=0</formula>
    </cfRule>
    <cfRule type="expression" dxfId="8218" priority="9241">
      <formula>$HO408=FALSE</formula>
    </cfRule>
  </conditionalFormatting>
  <conditionalFormatting sqref="AG408">
    <cfRule type="expression" dxfId="8217" priority="9239" stopIfTrue="1">
      <formula>$G407=""</formula>
    </cfRule>
  </conditionalFormatting>
  <conditionalFormatting sqref="AF408:AK408">
    <cfRule type="expression" dxfId="8216" priority="9238">
      <formula>$C$43&gt;0</formula>
    </cfRule>
  </conditionalFormatting>
  <conditionalFormatting sqref="AM407:AN408">
    <cfRule type="expression" dxfId="8215" priority="9237">
      <formula>$G407=""</formula>
    </cfRule>
  </conditionalFormatting>
  <conditionalFormatting sqref="AM409:AN409">
    <cfRule type="expression" dxfId="8214" priority="9236" stopIfTrue="1">
      <formula>$G407=""</formula>
    </cfRule>
  </conditionalFormatting>
  <conditionalFormatting sqref="T409">
    <cfRule type="expression" dxfId="8213" priority="9258" stopIfTrue="1">
      <formula>$N410="BAM"</formula>
    </cfRule>
  </conditionalFormatting>
  <conditionalFormatting sqref="U409:AE409">
    <cfRule type="expression" dxfId="8212" priority="9235" stopIfTrue="1">
      <formula>$N410="BAM"</formula>
    </cfRule>
  </conditionalFormatting>
  <conditionalFormatting sqref="AG410:AL410">
    <cfRule type="expression" dxfId="8211" priority="9259" stopIfTrue="1">
      <formula>$N410="BAM"</formula>
    </cfRule>
  </conditionalFormatting>
  <conditionalFormatting sqref="AX413">
    <cfRule type="expression" dxfId="8210" priority="9225">
      <formula>$E413=""</formula>
    </cfRule>
  </conditionalFormatting>
  <conditionalFormatting sqref="AX412">
    <cfRule type="expression" dxfId="8209" priority="9224">
      <formula>$E412=""</formula>
    </cfRule>
  </conditionalFormatting>
  <conditionalFormatting sqref="AX414">
    <cfRule type="expression" dxfId="8208" priority="9223">
      <formula>#REF!=""</formula>
    </cfRule>
  </conditionalFormatting>
  <conditionalFormatting sqref="AX415">
    <cfRule type="expression" dxfId="8207" priority="9222">
      <formula>$E414=""</formula>
    </cfRule>
  </conditionalFormatting>
  <conditionalFormatting sqref="AY412:AZ415">
    <cfRule type="expression" dxfId="8206" priority="9221">
      <formula>$G412=""</formula>
    </cfRule>
  </conditionalFormatting>
  <conditionalFormatting sqref="G414">
    <cfRule type="expression" dxfId="8205" priority="9218" stopIfTrue="1">
      <formula>$G412=""</formula>
    </cfRule>
    <cfRule type="containsBlanks" dxfId="8204" priority="9219" stopIfTrue="1">
      <formula>LEN(TRIM(G414))=0</formula>
    </cfRule>
    <cfRule type="expression" dxfId="8203" priority="9220">
      <formula>OR($M414=0,$HH413=FALSE)</formula>
    </cfRule>
  </conditionalFormatting>
  <conditionalFormatting sqref="AO414">
    <cfRule type="expression" dxfId="8202" priority="9217" stopIfTrue="1">
      <formula>$G412=""</formula>
    </cfRule>
  </conditionalFormatting>
  <conditionalFormatting sqref="AU412:AU415">
    <cfRule type="expression" dxfId="8201" priority="9214" stopIfTrue="1">
      <formula>$C$43=2</formula>
    </cfRule>
    <cfRule type="cellIs" dxfId="8200" priority="9215" operator="equal">
      <formula>"Yes"</formula>
    </cfRule>
    <cfRule type="cellIs" dxfId="8199" priority="9216" operator="equal">
      <formula>"No"</formula>
    </cfRule>
  </conditionalFormatting>
  <conditionalFormatting sqref="AO412:AO413">
    <cfRule type="expression" dxfId="8198" priority="9213">
      <formula>$G412=""</formula>
    </cfRule>
  </conditionalFormatting>
  <conditionalFormatting sqref="AP412 AR412:AS415">
    <cfRule type="expression" dxfId="8197" priority="9212">
      <formula>$G412=""</formula>
    </cfRule>
  </conditionalFormatting>
  <conditionalFormatting sqref="AW412:AW415">
    <cfRule type="expression" dxfId="8196" priority="9211">
      <formula>$G412=""</formula>
    </cfRule>
  </conditionalFormatting>
  <conditionalFormatting sqref="G413:L413">
    <cfRule type="expression" dxfId="8195" priority="9209" stopIfTrue="1">
      <formula>$G412=""</formula>
    </cfRule>
    <cfRule type="containsBlanks" dxfId="8194" priority="9210">
      <formula>LEN(TRIM(G413))=0</formula>
    </cfRule>
  </conditionalFormatting>
  <conditionalFormatting sqref="R414">
    <cfRule type="expression" dxfId="8193" priority="9206">
      <formula>$N415="BAM"</formula>
    </cfRule>
    <cfRule type="expression" dxfId="8192" priority="9207" stopIfTrue="1">
      <formula>$G412=""</formula>
    </cfRule>
    <cfRule type="containsBlanks" dxfId="8191" priority="9208">
      <formula>LEN(TRIM(R414))=0</formula>
    </cfRule>
  </conditionalFormatting>
  <conditionalFormatting sqref="R414">
    <cfRule type="expression" dxfId="8190" priority="9205">
      <formula>$C$43=0</formula>
    </cfRule>
  </conditionalFormatting>
  <conditionalFormatting sqref="E415:F415">
    <cfRule type="expression" dxfId="8189" priority="9204">
      <formula>$CQ412="Exterior"</formula>
    </cfRule>
  </conditionalFormatting>
  <conditionalFormatting sqref="G415">
    <cfRule type="expression" dxfId="8188" priority="9194" stopIfTrue="1">
      <formula>$G412=""</formula>
    </cfRule>
  </conditionalFormatting>
  <conditionalFormatting sqref="G415">
    <cfRule type="expression" dxfId="8187" priority="9196" stopIfTrue="1">
      <formula>$CQ412="Exterior"</formula>
    </cfRule>
  </conditionalFormatting>
  <conditionalFormatting sqref="G415:L415">
    <cfRule type="expression" dxfId="8186" priority="9195" stopIfTrue="1">
      <formula>$N415="BAM"</formula>
    </cfRule>
    <cfRule type="containsBlanks" dxfId="8185" priority="9197" stopIfTrue="1">
      <formula>LEN(TRIM(G415))=0</formula>
    </cfRule>
    <cfRule type="expression" dxfId="8184" priority="9199">
      <formula>$HQ413=FALSE</formula>
    </cfRule>
  </conditionalFormatting>
  <conditionalFormatting sqref="G415:L415">
    <cfRule type="expression" dxfId="8183" priority="9198" stopIfTrue="1">
      <formula>$AG414=""</formula>
    </cfRule>
  </conditionalFormatting>
  <conditionalFormatting sqref="G414:L414">
    <cfRule type="expression" dxfId="8182" priority="9192" stopIfTrue="1">
      <formula>$N415="BAM"</formula>
    </cfRule>
  </conditionalFormatting>
  <conditionalFormatting sqref="G412:R412">
    <cfRule type="containsBlanks" dxfId="8181" priority="9191">
      <formula>LEN(TRIM(G412))=0</formula>
    </cfRule>
  </conditionalFormatting>
  <conditionalFormatting sqref="AF414">
    <cfRule type="expression" dxfId="8180" priority="9181" stopIfTrue="1">
      <formula>$G412=""</formula>
    </cfRule>
    <cfRule type="expression" dxfId="8179" priority="9182" stopIfTrue="1">
      <formula>$N415="BAM"</formula>
    </cfRule>
    <cfRule type="expression" dxfId="8178" priority="9190">
      <formula>$AF$49&gt;$T$49</formula>
    </cfRule>
  </conditionalFormatting>
  <conditionalFormatting sqref="AC415:AE415">
    <cfRule type="expression" dxfId="8177" priority="9187" stopIfTrue="1">
      <formula>$G412=""</formula>
    </cfRule>
  </conditionalFormatting>
  <conditionalFormatting sqref="T414:U414">
    <cfRule type="expression" dxfId="8176" priority="9154" stopIfTrue="1">
      <formula>$G412=""</formula>
    </cfRule>
  </conditionalFormatting>
  <conditionalFormatting sqref="T414:U414">
    <cfRule type="containsBlanks" dxfId="8175" priority="9184" stopIfTrue="1">
      <formula>LEN(TRIM(T414))=0</formula>
    </cfRule>
  </conditionalFormatting>
  <conditionalFormatting sqref="AC412:AE412">
    <cfRule type="expression" dxfId="8174" priority="9183">
      <formula>$G412=""</formula>
    </cfRule>
  </conditionalFormatting>
  <conditionalFormatting sqref="AF414 AG415">
    <cfRule type="containsBlanks" dxfId="8173" priority="9188" stopIfTrue="1">
      <formula>LEN(TRIM(AF414))=0</formula>
    </cfRule>
  </conditionalFormatting>
  <conditionalFormatting sqref="AF414">
    <cfRule type="expression" dxfId="8172" priority="9189">
      <formula>OR($HS413=FALSE,$HT413=FALSE)</formula>
    </cfRule>
  </conditionalFormatting>
  <conditionalFormatting sqref="AG415">
    <cfRule type="expression" dxfId="8171" priority="9147">
      <formula>$C$43&gt;0</formula>
    </cfRule>
  </conditionalFormatting>
  <conditionalFormatting sqref="AG415">
    <cfRule type="expression" dxfId="8170" priority="9180" stopIfTrue="1">
      <formula>$G412=""</formula>
    </cfRule>
  </conditionalFormatting>
  <conditionalFormatting sqref="U414">
    <cfRule type="expression" dxfId="8169" priority="9185">
      <formula>OR($HK413=FALSE,$HL413=FALSE)</formula>
    </cfRule>
  </conditionalFormatting>
  <conditionalFormatting sqref="T413:U413">
    <cfRule type="expression" dxfId="8168" priority="9175" stopIfTrue="1">
      <formula>$C$43&lt;&gt;0</formula>
    </cfRule>
    <cfRule type="containsBlanks" dxfId="8167" priority="9176" stopIfTrue="1">
      <formula>LEN(TRIM(T413))=0</formula>
    </cfRule>
  </conditionalFormatting>
  <conditionalFormatting sqref="T413:U413">
    <cfRule type="expression" dxfId="8166" priority="9174" stopIfTrue="1">
      <formula>$G412=""</formula>
    </cfRule>
  </conditionalFormatting>
  <conditionalFormatting sqref="U413">
    <cfRule type="expression" dxfId="8165" priority="9177">
      <formula>$HJ413=FALSE</formula>
    </cfRule>
  </conditionalFormatting>
  <conditionalFormatting sqref="AG414">
    <cfRule type="expression" dxfId="8164" priority="9165" stopIfTrue="1">
      <formula>$G412=""</formula>
    </cfRule>
  </conditionalFormatting>
  <conditionalFormatting sqref="AG414:AL414">
    <cfRule type="expression" dxfId="8163" priority="9166">
      <formula>$N415="BAM"</formula>
    </cfRule>
    <cfRule type="expression" dxfId="8162" priority="9170">
      <formula>OR($HU413=FALSE,$HQ413=FALSE)</formula>
    </cfRule>
  </conditionalFormatting>
  <conditionalFormatting sqref="AG414">
    <cfRule type="containsBlanks" dxfId="8161" priority="9167" stopIfTrue="1">
      <formula>LEN(TRIM(AG414))=0</formula>
    </cfRule>
    <cfRule type="expression" dxfId="8160" priority="9168">
      <formula>OR($HP413=FALSE,$HR413=FALSE)</formula>
    </cfRule>
    <cfRule type="expression" dxfId="8159" priority="9169">
      <formula>OR($DS412=7,$DS412=8,$DS412=9)</formula>
    </cfRule>
  </conditionalFormatting>
  <conditionalFormatting sqref="AG412:AL412">
    <cfRule type="expression" dxfId="8158" priority="9164">
      <formula>$C$43&lt;&gt;0</formula>
    </cfRule>
  </conditionalFormatting>
  <conditionalFormatting sqref="AF413">
    <cfRule type="containsBlanks" dxfId="8157" priority="9163">
      <formula>LEN(TRIM(AF413))=0</formula>
    </cfRule>
  </conditionalFormatting>
  <conditionalFormatting sqref="AF413">
    <cfRule type="expression" dxfId="8156" priority="9162" stopIfTrue="1">
      <formula>$G412=""</formula>
    </cfRule>
  </conditionalFormatting>
  <conditionalFormatting sqref="AG413">
    <cfRule type="containsBlanks" dxfId="8155" priority="9160">
      <formula>LEN(TRIM(AG413))=0</formula>
    </cfRule>
    <cfRule type="expression" dxfId="8154" priority="9161">
      <formula>$HO413=FALSE</formula>
    </cfRule>
  </conditionalFormatting>
  <conditionalFormatting sqref="AG413">
    <cfRule type="expression" dxfId="8153" priority="9159" stopIfTrue="1">
      <formula>$G412=""</formula>
    </cfRule>
  </conditionalFormatting>
  <conditionalFormatting sqref="AF413:AK413">
    <cfRule type="expression" dxfId="8152" priority="9158">
      <formula>$C$43&gt;0</formula>
    </cfRule>
  </conditionalFormatting>
  <conditionalFormatting sqref="AM412:AN413">
    <cfRule type="expression" dxfId="8151" priority="9157">
      <formula>$G412=""</formula>
    </cfRule>
  </conditionalFormatting>
  <conditionalFormatting sqref="AM414:AN414">
    <cfRule type="expression" dxfId="8150" priority="9156" stopIfTrue="1">
      <formula>$G412=""</formula>
    </cfRule>
  </conditionalFormatting>
  <conditionalFormatting sqref="T414">
    <cfRule type="expression" dxfId="8149" priority="9178" stopIfTrue="1">
      <formula>$N415="BAM"</formula>
    </cfRule>
  </conditionalFormatting>
  <conditionalFormatting sqref="U414:AE414">
    <cfRule type="expression" dxfId="8148" priority="9155" stopIfTrue="1">
      <formula>$N415="BAM"</formula>
    </cfRule>
  </conditionalFormatting>
  <conditionalFormatting sqref="AG415:AL415">
    <cfRule type="expression" dxfId="8147" priority="9179" stopIfTrue="1">
      <formula>$N415="BAM"</formula>
    </cfRule>
  </conditionalFormatting>
  <conditionalFormatting sqref="AX418">
    <cfRule type="expression" dxfId="8146" priority="9145">
      <formula>$E418=""</formula>
    </cfRule>
  </conditionalFormatting>
  <conditionalFormatting sqref="AX417">
    <cfRule type="expression" dxfId="8145" priority="9144">
      <formula>$E417=""</formula>
    </cfRule>
  </conditionalFormatting>
  <conditionalFormatting sqref="AX419">
    <cfRule type="expression" dxfId="8144" priority="9143">
      <formula>#REF!=""</formula>
    </cfRule>
  </conditionalFormatting>
  <conditionalFormatting sqref="AX420">
    <cfRule type="expression" dxfId="8143" priority="9142">
      <formula>$E419=""</formula>
    </cfRule>
  </conditionalFormatting>
  <conditionalFormatting sqref="AY417:AZ420">
    <cfRule type="expression" dxfId="8142" priority="9141">
      <formula>$G417=""</formula>
    </cfRule>
  </conditionalFormatting>
  <conditionalFormatting sqref="G419">
    <cfRule type="expression" dxfId="8141" priority="9138" stopIfTrue="1">
      <formula>$G417=""</formula>
    </cfRule>
    <cfRule type="containsBlanks" dxfId="8140" priority="9139" stopIfTrue="1">
      <formula>LEN(TRIM(G419))=0</formula>
    </cfRule>
    <cfRule type="expression" dxfId="8139" priority="9140">
      <formula>OR($M419=0,$HH418=FALSE)</formula>
    </cfRule>
  </conditionalFormatting>
  <conditionalFormatting sqref="AO419">
    <cfRule type="expression" dxfId="8138" priority="9137" stopIfTrue="1">
      <formula>$G417=""</formula>
    </cfRule>
  </conditionalFormatting>
  <conditionalFormatting sqref="AU417:AU420">
    <cfRule type="expression" dxfId="8137" priority="9134" stopIfTrue="1">
      <formula>$C$43=2</formula>
    </cfRule>
    <cfRule type="cellIs" dxfId="8136" priority="9135" operator="equal">
      <formula>"Yes"</formula>
    </cfRule>
    <cfRule type="cellIs" dxfId="8135" priority="9136" operator="equal">
      <formula>"No"</formula>
    </cfRule>
  </conditionalFormatting>
  <conditionalFormatting sqref="AO417:AO418">
    <cfRule type="expression" dxfId="8134" priority="9133">
      <formula>$G417=""</formula>
    </cfRule>
  </conditionalFormatting>
  <conditionalFormatting sqref="AP417 AR417:AS420">
    <cfRule type="expression" dxfId="8133" priority="9132">
      <formula>$G417=""</formula>
    </cfRule>
  </conditionalFormatting>
  <conditionalFormatting sqref="AW417:AW420">
    <cfRule type="expression" dxfId="8132" priority="9131">
      <formula>$G417=""</formula>
    </cfRule>
  </conditionalFormatting>
  <conditionalFormatting sqref="G418:L418">
    <cfRule type="expression" dxfId="8131" priority="9129" stopIfTrue="1">
      <formula>$G417=""</formula>
    </cfRule>
    <cfRule type="containsBlanks" dxfId="8130" priority="9130">
      <formula>LEN(TRIM(G418))=0</formula>
    </cfRule>
  </conditionalFormatting>
  <conditionalFormatting sqref="R419">
    <cfRule type="expression" dxfId="8129" priority="9126">
      <formula>$N420="BAM"</formula>
    </cfRule>
    <cfRule type="expression" dxfId="8128" priority="9127" stopIfTrue="1">
      <formula>$G417=""</formula>
    </cfRule>
    <cfRule type="containsBlanks" dxfId="8127" priority="9128">
      <formula>LEN(TRIM(R419))=0</formula>
    </cfRule>
  </conditionalFormatting>
  <conditionalFormatting sqref="R419">
    <cfRule type="expression" dxfId="8126" priority="9125">
      <formula>$C$43=0</formula>
    </cfRule>
  </conditionalFormatting>
  <conditionalFormatting sqref="E420:F420">
    <cfRule type="expression" dxfId="8125" priority="9124">
      <formula>$CQ417="Exterior"</formula>
    </cfRule>
  </conditionalFormatting>
  <conditionalFormatting sqref="G420">
    <cfRule type="expression" dxfId="8124" priority="9114" stopIfTrue="1">
      <formula>$G417=""</formula>
    </cfRule>
  </conditionalFormatting>
  <conditionalFormatting sqref="G420">
    <cfRule type="expression" dxfId="8123" priority="9116" stopIfTrue="1">
      <formula>$CQ417="Exterior"</formula>
    </cfRule>
  </conditionalFormatting>
  <conditionalFormatting sqref="G420:L420">
    <cfRule type="expression" dxfId="8122" priority="9115" stopIfTrue="1">
      <formula>$N420="BAM"</formula>
    </cfRule>
    <cfRule type="containsBlanks" dxfId="8121" priority="9117" stopIfTrue="1">
      <formula>LEN(TRIM(G420))=0</formula>
    </cfRule>
    <cfRule type="expression" dxfId="8120" priority="9119">
      <formula>$HQ418=FALSE</formula>
    </cfRule>
  </conditionalFormatting>
  <conditionalFormatting sqref="G420:L420">
    <cfRule type="expression" dxfId="8119" priority="9118" stopIfTrue="1">
      <formula>$AG419=""</formula>
    </cfRule>
  </conditionalFormatting>
  <conditionalFormatting sqref="G419:L419">
    <cfRule type="expression" dxfId="8118" priority="9112" stopIfTrue="1">
      <formula>$N420="BAM"</formula>
    </cfRule>
  </conditionalFormatting>
  <conditionalFormatting sqref="G417:R417">
    <cfRule type="containsBlanks" dxfId="8117" priority="9111">
      <formula>LEN(TRIM(G417))=0</formula>
    </cfRule>
  </conditionalFormatting>
  <conditionalFormatting sqref="AF419">
    <cfRule type="expression" dxfId="8116" priority="9101" stopIfTrue="1">
      <formula>$G417=""</formula>
    </cfRule>
    <cfRule type="expression" dxfId="8115" priority="9102" stopIfTrue="1">
      <formula>$N420="BAM"</formula>
    </cfRule>
    <cfRule type="expression" dxfId="8114" priority="9110">
      <formula>$AF$49&gt;$T$49</formula>
    </cfRule>
  </conditionalFormatting>
  <conditionalFormatting sqref="AC420:AE420">
    <cfRule type="expression" dxfId="8113" priority="9107" stopIfTrue="1">
      <formula>$G417=""</formula>
    </cfRule>
  </conditionalFormatting>
  <conditionalFormatting sqref="T419:U419">
    <cfRule type="expression" dxfId="8112" priority="9074" stopIfTrue="1">
      <formula>$G417=""</formula>
    </cfRule>
  </conditionalFormatting>
  <conditionalFormatting sqref="T419:U419">
    <cfRule type="containsBlanks" dxfId="8111" priority="9104" stopIfTrue="1">
      <formula>LEN(TRIM(T419))=0</formula>
    </cfRule>
  </conditionalFormatting>
  <conditionalFormatting sqref="AC417:AE417">
    <cfRule type="expression" dxfId="8110" priority="9103">
      <formula>$G417=""</formula>
    </cfRule>
  </conditionalFormatting>
  <conditionalFormatting sqref="AF419 AG420">
    <cfRule type="containsBlanks" dxfId="8109" priority="9108" stopIfTrue="1">
      <formula>LEN(TRIM(AF419))=0</formula>
    </cfRule>
  </conditionalFormatting>
  <conditionalFormatting sqref="AF419">
    <cfRule type="expression" dxfId="8108" priority="9109">
      <formula>OR($HS418=FALSE,$HT418=FALSE)</formula>
    </cfRule>
  </conditionalFormatting>
  <conditionalFormatting sqref="AG420">
    <cfRule type="expression" dxfId="8107" priority="9067">
      <formula>$C$43&gt;0</formula>
    </cfRule>
  </conditionalFormatting>
  <conditionalFormatting sqref="AG420">
    <cfRule type="expression" dxfId="8106" priority="9100" stopIfTrue="1">
      <formula>$G417=""</formula>
    </cfRule>
  </conditionalFormatting>
  <conditionalFormatting sqref="U419">
    <cfRule type="expression" dxfId="8105" priority="9105">
      <formula>OR($HK418=FALSE,$HL418=FALSE)</formula>
    </cfRule>
  </conditionalFormatting>
  <conditionalFormatting sqref="T418:U418">
    <cfRule type="expression" dxfId="8104" priority="9095" stopIfTrue="1">
      <formula>$C$43&lt;&gt;0</formula>
    </cfRule>
    <cfRule type="containsBlanks" dxfId="8103" priority="9096" stopIfTrue="1">
      <formula>LEN(TRIM(T418))=0</formula>
    </cfRule>
  </conditionalFormatting>
  <conditionalFormatting sqref="T418:U418">
    <cfRule type="expression" dxfId="8102" priority="9094" stopIfTrue="1">
      <formula>$G417=""</formula>
    </cfRule>
  </conditionalFormatting>
  <conditionalFormatting sqref="U418">
    <cfRule type="expression" dxfId="8101" priority="9097">
      <formula>$HJ418=FALSE</formula>
    </cfRule>
  </conditionalFormatting>
  <conditionalFormatting sqref="AG419">
    <cfRule type="expression" dxfId="8100" priority="9085" stopIfTrue="1">
      <formula>$G417=""</formula>
    </cfRule>
  </conditionalFormatting>
  <conditionalFormatting sqref="AG419:AL419">
    <cfRule type="expression" dxfId="8099" priority="9086">
      <formula>$N420="BAM"</formula>
    </cfRule>
    <cfRule type="expression" dxfId="8098" priority="9090">
      <formula>OR($HU418=FALSE,$HQ418=FALSE)</formula>
    </cfRule>
  </conditionalFormatting>
  <conditionalFormatting sqref="AG419">
    <cfRule type="containsBlanks" dxfId="8097" priority="9087" stopIfTrue="1">
      <formula>LEN(TRIM(AG419))=0</formula>
    </cfRule>
    <cfRule type="expression" dxfId="8096" priority="9088">
      <formula>OR($HP418=FALSE,$HR418=FALSE)</formula>
    </cfRule>
    <cfRule type="expression" dxfId="8095" priority="9089">
      <formula>OR($DS417=7,$DS417=8,$DS417=9)</formula>
    </cfRule>
  </conditionalFormatting>
  <conditionalFormatting sqref="AG417:AL417">
    <cfRule type="expression" dxfId="8094" priority="9084">
      <formula>$C$43&lt;&gt;0</formula>
    </cfRule>
  </conditionalFormatting>
  <conditionalFormatting sqref="AF418">
    <cfRule type="containsBlanks" dxfId="8093" priority="9083">
      <formula>LEN(TRIM(AF418))=0</formula>
    </cfRule>
  </conditionalFormatting>
  <conditionalFormatting sqref="AF418">
    <cfRule type="expression" dxfId="8092" priority="9082" stopIfTrue="1">
      <formula>$G417=""</formula>
    </cfRule>
  </conditionalFormatting>
  <conditionalFormatting sqref="AG418">
    <cfRule type="containsBlanks" dxfId="8091" priority="9080">
      <formula>LEN(TRIM(AG418))=0</formula>
    </cfRule>
    <cfRule type="expression" dxfId="8090" priority="9081">
      <formula>$HO418=FALSE</formula>
    </cfRule>
  </conditionalFormatting>
  <conditionalFormatting sqref="AG418">
    <cfRule type="expression" dxfId="8089" priority="9079" stopIfTrue="1">
      <formula>$G417=""</formula>
    </cfRule>
  </conditionalFormatting>
  <conditionalFormatting sqref="AF418:AK418">
    <cfRule type="expression" dxfId="8088" priority="9078">
      <formula>$C$43&gt;0</formula>
    </cfRule>
  </conditionalFormatting>
  <conditionalFormatting sqref="AM417:AN418">
    <cfRule type="expression" dxfId="8087" priority="9077">
      <formula>$G417=""</formula>
    </cfRule>
  </conditionalFormatting>
  <conditionalFormatting sqref="AM419:AN419">
    <cfRule type="expression" dxfId="8086" priority="9076" stopIfTrue="1">
      <formula>$G417=""</formula>
    </cfRule>
  </conditionalFormatting>
  <conditionalFormatting sqref="T419">
    <cfRule type="expression" dxfId="8085" priority="9098" stopIfTrue="1">
      <formula>$N420="BAM"</formula>
    </cfRule>
  </conditionalFormatting>
  <conditionalFormatting sqref="U419:AE419">
    <cfRule type="expression" dxfId="8084" priority="9075" stopIfTrue="1">
      <formula>$N420="BAM"</formula>
    </cfRule>
  </conditionalFormatting>
  <conditionalFormatting sqref="AG420:AL420">
    <cfRule type="expression" dxfId="8083" priority="9099" stopIfTrue="1">
      <formula>$N420="BAM"</formula>
    </cfRule>
  </conditionalFormatting>
  <conditionalFormatting sqref="AX423">
    <cfRule type="expression" dxfId="8082" priority="9065">
      <formula>$E423=""</formula>
    </cfRule>
  </conditionalFormatting>
  <conditionalFormatting sqref="AX422">
    <cfRule type="expression" dxfId="8081" priority="9064">
      <formula>$E422=""</formula>
    </cfRule>
  </conditionalFormatting>
  <conditionalFormatting sqref="AX424">
    <cfRule type="expression" dxfId="8080" priority="9063">
      <formula>#REF!=""</formula>
    </cfRule>
  </conditionalFormatting>
  <conditionalFormatting sqref="AX425">
    <cfRule type="expression" dxfId="8079" priority="9062">
      <formula>$E424=""</formula>
    </cfRule>
  </conditionalFormatting>
  <conditionalFormatting sqref="AY422:AZ425">
    <cfRule type="expression" dxfId="8078" priority="9061">
      <formula>$G422=""</formula>
    </cfRule>
  </conditionalFormatting>
  <conditionalFormatting sqref="G424">
    <cfRule type="expression" dxfId="8077" priority="9058" stopIfTrue="1">
      <formula>$G422=""</formula>
    </cfRule>
    <cfRule type="containsBlanks" dxfId="8076" priority="9059" stopIfTrue="1">
      <formula>LEN(TRIM(G424))=0</formula>
    </cfRule>
    <cfRule type="expression" dxfId="8075" priority="9060">
      <formula>OR($M424=0,$HH423=FALSE)</formula>
    </cfRule>
  </conditionalFormatting>
  <conditionalFormatting sqref="AO424">
    <cfRule type="expression" dxfId="8074" priority="9057" stopIfTrue="1">
      <formula>$G422=""</formula>
    </cfRule>
  </conditionalFormatting>
  <conditionalFormatting sqref="AU422:AU425">
    <cfRule type="expression" dxfId="8073" priority="9054" stopIfTrue="1">
      <formula>$C$43=2</formula>
    </cfRule>
    <cfRule type="cellIs" dxfId="8072" priority="9055" operator="equal">
      <formula>"Yes"</formula>
    </cfRule>
    <cfRule type="cellIs" dxfId="8071" priority="9056" operator="equal">
      <formula>"No"</formula>
    </cfRule>
  </conditionalFormatting>
  <conditionalFormatting sqref="AO422:AO423">
    <cfRule type="expression" dxfId="8070" priority="9053">
      <formula>$G422=""</formula>
    </cfRule>
  </conditionalFormatting>
  <conditionalFormatting sqref="AP422 AR422:AS425">
    <cfRule type="expression" dxfId="8069" priority="9052">
      <formula>$G422=""</formula>
    </cfRule>
  </conditionalFormatting>
  <conditionalFormatting sqref="AW422:AW425">
    <cfRule type="expression" dxfId="8068" priority="9051">
      <formula>$G422=""</formula>
    </cfRule>
  </conditionalFormatting>
  <conditionalFormatting sqref="G423:L423">
    <cfRule type="expression" dxfId="8067" priority="9049" stopIfTrue="1">
      <formula>$G422=""</formula>
    </cfRule>
    <cfRule type="containsBlanks" dxfId="8066" priority="9050">
      <formula>LEN(TRIM(G423))=0</formula>
    </cfRule>
  </conditionalFormatting>
  <conditionalFormatting sqref="R424">
    <cfRule type="expression" dxfId="8065" priority="9046">
      <formula>$N425="BAM"</formula>
    </cfRule>
    <cfRule type="expression" dxfId="8064" priority="9047" stopIfTrue="1">
      <formula>$G422=""</formula>
    </cfRule>
    <cfRule type="containsBlanks" dxfId="8063" priority="9048">
      <formula>LEN(TRIM(R424))=0</formula>
    </cfRule>
  </conditionalFormatting>
  <conditionalFormatting sqref="R424">
    <cfRule type="expression" dxfId="8062" priority="9045">
      <formula>$C$43=0</formula>
    </cfRule>
  </conditionalFormatting>
  <conditionalFormatting sqref="E425:F425">
    <cfRule type="expression" dxfId="8061" priority="9044">
      <formula>$CQ422="Exterior"</formula>
    </cfRule>
  </conditionalFormatting>
  <conditionalFormatting sqref="G425">
    <cfRule type="expression" dxfId="8060" priority="9034" stopIfTrue="1">
      <formula>$G422=""</formula>
    </cfRule>
  </conditionalFormatting>
  <conditionalFormatting sqref="G425">
    <cfRule type="expression" dxfId="8059" priority="9036" stopIfTrue="1">
      <formula>$CQ422="Exterior"</formula>
    </cfRule>
  </conditionalFormatting>
  <conditionalFormatting sqref="G425:L425">
    <cfRule type="expression" dxfId="8058" priority="9035" stopIfTrue="1">
      <formula>$N425="BAM"</formula>
    </cfRule>
    <cfRule type="containsBlanks" dxfId="8057" priority="9037" stopIfTrue="1">
      <formula>LEN(TRIM(G425))=0</formula>
    </cfRule>
    <cfRule type="expression" dxfId="8056" priority="9039">
      <formula>$HQ423=FALSE</formula>
    </cfRule>
  </conditionalFormatting>
  <conditionalFormatting sqref="G425:L425">
    <cfRule type="expression" dxfId="8055" priority="9038" stopIfTrue="1">
      <formula>$AG424=""</formula>
    </cfRule>
  </conditionalFormatting>
  <conditionalFormatting sqref="G424:L424">
    <cfRule type="expression" dxfId="8054" priority="9032" stopIfTrue="1">
      <formula>$N425="BAM"</formula>
    </cfRule>
  </conditionalFormatting>
  <conditionalFormatting sqref="G422:R422">
    <cfRule type="containsBlanks" dxfId="8053" priority="9031">
      <formula>LEN(TRIM(G422))=0</formula>
    </cfRule>
  </conditionalFormatting>
  <conditionalFormatting sqref="AF424">
    <cfRule type="expression" dxfId="8052" priority="9021" stopIfTrue="1">
      <formula>$G422=""</formula>
    </cfRule>
    <cfRule type="expression" dxfId="8051" priority="9022" stopIfTrue="1">
      <formula>$N425="BAM"</formula>
    </cfRule>
    <cfRule type="expression" dxfId="8050" priority="9030">
      <formula>$AF$49&gt;$T$49</formula>
    </cfRule>
  </conditionalFormatting>
  <conditionalFormatting sqref="AC425:AE425">
    <cfRule type="expression" dxfId="8049" priority="9027" stopIfTrue="1">
      <formula>$G422=""</formula>
    </cfRule>
  </conditionalFormatting>
  <conditionalFormatting sqref="T424:U424">
    <cfRule type="expression" dxfId="8048" priority="8994" stopIfTrue="1">
      <formula>$G422=""</formula>
    </cfRule>
  </conditionalFormatting>
  <conditionalFormatting sqref="T424:U424">
    <cfRule type="containsBlanks" dxfId="8047" priority="9024" stopIfTrue="1">
      <formula>LEN(TRIM(T424))=0</formula>
    </cfRule>
  </conditionalFormatting>
  <conditionalFormatting sqref="AC422:AE422">
    <cfRule type="expression" dxfId="8046" priority="9023">
      <formula>$G422=""</formula>
    </cfRule>
  </conditionalFormatting>
  <conditionalFormatting sqref="AF424 AG425">
    <cfRule type="containsBlanks" dxfId="8045" priority="9028" stopIfTrue="1">
      <formula>LEN(TRIM(AF424))=0</formula>
    </cfRule>
  </conditionalFormatting>
  <conditionalFormatting sqref="AF424">
    <cfRule type="expression" dxfId="8044" priority="9029">
      <formula>OR($HS423=FALSE,$HT423=FALSE)</formula>
    </cfRule>
  </conditionalFormatting>
  <conditionalFormatting sqref="AG425">
    <cfRule type="expression" dxfId="8043" priority="8987">
      <formula>$C$43&gt;0</formula>
    </cfRule>
  </conditionalFormatting>
  <conditionalFormatting sqref="AG425">
    <cfRule type="expression" dxfId="8042" priority="9020" stopIfTrue="1">
      <formula>$G422=""</formula>
    </cfRule>
  </conditionalFormatting>
  <conditionalFormatting sqref="U424">
    <cfRule type="expression" dxfId="8041" priority="9025">
      <formula>OR($HK423=FALSE,$HL423=FALSE)</formula>
    </cfRule>
  </conditionalFormatting>
  <conditionalFormatting sqref="T423:U423">
    <cfRule type="expression" dxfId="8040" priority="9015" stopIfTrue="1">
      <formula>$C$43&lt;&gt;0</formula>
    </cfRule>
    <cfRule type="containsBlanks" dxfId="8039" priority="9016" stopIfTrue="1">
      <formula>LEN(TRIM(T423))=0</formula>
    </cfRule>
  </conditionalFormatting>
  <conditionalFormatting sqref="T423:U423">
    <cfRule type="expression" dxfId="8038" priority="9014" stopIfTrue="1">
      <formula>$G422=""</formula>
    </cfRule>
  </conditionalFormatting>
  <conditionalFormatting sqref="U423">
    <cfRule type="expression" dxfId="8037" priority="9017">
      <formula>$HJ423=FALSE</formula>
    </cfRule>
  </conditionalFormatting>
  <conditionalFormatting sqref="AG424">
    <cfRule type="expression" dxfId="8036" priority="9005" stopIfTrue="1">
      <formula>$G422=""</formula>
    </cfRule>
  </conditionalFormatting>
  <conditionalFormatting sqref="AG424:AL424">
    <cfRule type="expression" dxfId="8035" priority="9006">
      <formula>$N425="BAM"</formula>
    </cfRule>
    <cfRule type="expression" dxfId="8034" priority="9010">
      <formula>OR($HU423=FALSE,$HQ423=FALSE)</formula>
    </cfRule>
  </conditionalFormatting>
  <conditionalFormatting sqref="AG424">
    <cfRule type="containsBlanks" dxfId="8033" priority="9007" stopIfTrue="1">
      <formula>LEN(TRIM(AG424))=0</formula>
    </cfRule>
    <cfRule type="expression" dxfId="8032" priority="9008">
      <formula>OR($HP423=FALSE,$HR423=FALSE)</formula>
    </cfRule>
    <cfRule type="expression" dxfId="8031" priority="9009">
      <formula>OR($DS422=7,$DS422=8,$DS422=9)</formula>
    </cfRule>
  </conditionalFormatting>
  <conditionalFormatting sqref="AG422:AL422">
    <cfRule type="expression" dxfId="8030" priority="9004">
      <formula>$C$43&lt;&gt;0</formula>
    </cfRule>
  </conditionalFormatting>
  <conditionalFormatting sqref="AF423">
    <cfRule type="containsBlanks" dxfId="8029" priority="9003">
      <formula>LEN(TRIM(AF423))=0</formula>
    </cfRule>
  </conditionalFormatting>
  <conditionalFormatting sqref="AF423">
    <cfRule type="expression" dxfId="8028" priority="9002" stopIfTrue="1">
      <formula>$G422=""</formula>
    </cfRule>
  </conditionalFormatting>
  <conditionalFormatting sqref="AG423">
    <cfRule type="containsBlanks" dxfId="8027" priority="9000">
      <formula>LEN(TRIM(AG423))=0</formula>
    </cfRule>
    <cfRule type="expression" dxfId="8026" priority="9001">
      <formula>$HO423=FALSE</formula>
    </cfRule>
  </conditionalFormatting>
  <conditionalFormatting sqref="AG423">
    <cfRule type="expression" dxfId="8025" priority="8999" stopIfTrue="1">
      <formula>$G422=""</formula>
    </cfRule>
  </conditionalFormatting>
  <conditionalFormatting sqref="AF423:AK423">
    <cfRule type="expression" dxfId="8024" priority="8998">
      <formula>$C$43&gt;0</formula>
    </cfRule>
  </conditionalFormatting>
  <conditionalFormatting sqref="AM422:AN423">
    <cfRule type="expression" dxfId="8023" priority="8997">
      <formula>$G422=""</formula>
    </cfRule>
  </conditionalFormatting>
  <conditionalFormatting sqref="AM424:AN424">
    <cfRule type="expression" dxfId="8022" priority="8996" stopIfTrue="1">
      <formula>$G422=""</formula>
    </cfRule>
  </conditionalFormatting>
  <conditionalFormatting sqref="T424">
    <cfRule type="expression" dxfId="8021" priority="9018" stopIfTrue="1">
      <formula>$N425="BAM"</formula>
    </cfRule>
  </conditionalFormatting>
  <conditionalFormatting sqref="U424:AE424">
    <cfRule type="expression" dxfId="8020" priority="8995" stopIfTrue="1">
      <formula>$N425="BAM"</formula>
    </cfRule>
  </conditionalFormatting>
  <conditionalFormatting sqref="AG425:AL425">
    <cfRule type="expression" dxfId="8019" priority="9019" stopIfTrue="1">
      <formula>$N425="BAM"</formula>
    </cfRule>
  </conditionalFormatting>
  <conditionalFormatting sqref="AX428">
    <cfRule type="expression" dxfId="8018" priority="8985">
      <formula>$E428=""</formula>
    </cfRule>
  </conditionalFormatting>
  <conditionalFormatting sqref="AX427">
    <cfRule type="expression" dxfId="8017" priority="8984">
      <formula>$E427=""</formula>
    </cfRule>
  </conditionalFormatting>
  <conditionalFormatting sqref="AX429">
    <cfRule type="expression" dxfId="8016" priority="8983">
      <formula>#REF!=""</formula>
    </cfRule>
  </conditionalFormatting>
  <conditionalFormatting sqref="AX430">
    <cfRule type="expression" dxfId="8015" priority="8982">
      <formula>$E429=""</formula>
    </cfRule>
  </conditionalFormatting>
  <conditionalFormatting sqref="AY427:AZ430">
    <cfRule type="expression" dxfId="8014" priority="8981">
      <formula>$G427=""</formula>
    </cfRule>
  </conditionalFormatting>
  <conditionalFormatting sqref="G429">
    <cfRule type="expression" dxfId="8013" priority="8978" stopIfTrue="1">
      <formula>$G427=""</formula>
    </cfRule>
    <cfRule type="containsBlanks" dxfId="8012" priority="8979" stopIfTrue="1">
      <formula>LEN(TRIM(G429))=0</formula>
    </cfRule>
    <cfRule type="expression" dxfId="8011" priority="8980">
      <formula>OR($M429=0,$HH428=FALSE)</formula>
    </cfRule>
  </conditionalFormatting>
  <conditionalFormatting sqref="AO429">
    <cfRule type="expression" dxfId="8010" priority="8977" stopIfTrue="1">
      <formula>$G427=""</formula>
    </cfRule>
  </conditionalFormatting>
  <conditionalFormatting sqref="AU427:AU430">
    <cfRule type="expression" dxfId="8009" priority="8974" stopIfTrue="1">
      <formula>$C$43=2</formula>
    </cfRule>
    <cfRule type="cellIs" dxfId="8008" priority="8975" operator="equal">
      <formula>"Yes"</formula>
    </cfRule>
    <cfRule type="cellIs" dxfId="8007" priority="8976" operator="equal">
      <formula>"No"</formula>
    </cfRule>
  </conditionalFormatting>
  <conditionalFormatting sqref="AO427:AO428">
    <cfRule type="expression" dxfId="8006" priority="8973">
      <formula>$G427=""</formula>
    </cfRule>
  </conditionalFormatting>
  <conditionalFormatting sqref="AP427 AR427:AS430">
    <cfRule type="expression" dxfId="8005" priority="8972">
      <formula>$G427=""</formula>
    </cfRule>
  </conditionalFormatting>
  <conditionalFormatting sqref="AW427:AW430">
    <cfRule type="expression" dxfId="8004" priority="8971">
      <formula>$G427=""</formula>
    </cfRule>
  </conditionalFormatting>
  <conditionalFormatting sqref="G428:L428">
    <cfRule type="expression" dxfId="8003" priority="8969" stopIfTrue="1">
      <formula>$G427=""</formula>
    </cfRule>
    <cfRule type="containsBlanks" dxfId="8002" priority="8970">
      <formula>LEN(TRIM(G428))=0</formula>
    </cfRule>
  </conditionalFormatting>
  <conditionalFormatting sqref="R429">
    <cfRule type="expression" dxfId="8001" priority="8966">
      <formula>$N430="BAM"</formula>
    </cfRule>
    <cfRule type="expression" dxfId="8000" priority="8967" stopIfTrue="1">
      <formula>$G427=""</formula>
    </cfRule>
    <cfRule type="containsBlanks" dxfId="7999" priority="8968">
      <formula>LEN(TRIM(R429))=0</formula>
    </cfRule>
  </conditionalFormatting>
  <conditionalFormatting sqref="R429">
    <cfRule type="expression" dxfId="7998" priority="8965">
      <formula>$C$43=0</formula>
    </cfRule>
  </conditionalFormatting>
  <conditionalFormatting sqref="E430:F430">
    <cfRule type="expression" dxfId="7997" priority="8964">
      <formula>$CQ427="Exterior"</formula>
    </cfRule>
  </conditionalFormatting>
  <conditionalFormatting sqref="G430">
    <cfRule type="expression" dxfId="7996" priority="8954" stopIfTrue="1">
      <formula>$G427=""</formula>
    </cfRule>
  </conditionalFormatting>
  <conditionalFormatting sqref="G430">
    <cfRule type="expression" dxfId="7995" priority="8956" stopIfTrue="1">
      <formula>$CQ427="Exterior"</formula>
    </cfRule>
  </conditionalFormatting>
  <conditionalFormatting sqref="G430:L430">
    <cfRule type="expression" dxfId="7994" priority="8955" stopIfTrue="1">
      <formula>$N430="BAM"</formula>
    </cfRule>
    <cfRule type="containsBlanks" dxfId="7993" priority="8957" stopIfTrue="1">
      <formula>LEN(TRIM(G430))=0</formula>
    </cfRule>
    <cfRule type="expression" dxfId="7992" priority="8959">
      <formula>$HQ428=FALSE</formula>
    </cfRule>
  </conditionalFormatting>
  <conditionalFormatting sqref="G430:L430">
    <cfRule type="expression" dxfId="7991" priority="8958" stopIfTrue="1">
      <formula>$AG429=""</formula>
    </cfRule>
  </conditionalFormatting>
  <conditionalFormatting sqref="G429:L429">
    <cfRule type="expression" dxfId="7990" priority="8952" stopIfTrue="1">
      <formula>$N430="BAM"</formula>
    </cfRule>
  </conditionalFormatting>
  <conditionalFormatting sqref="G427:R427">
    <cfRule type="containsBlanks" dxfId="7989" priority="8951">
      <formula>LEN(TRIM(G427))=0</formula>
    </cfRule>
  </conditionalFormatting>
  <conditionalFormatting sqref="AF429">
    <cfRule type="expression" dxfId="7988" priority="8941" stopIfTrue="1">
      <formula>$G427=""</formula>
    </cfRule>
    <cfRule type="expression" dxfId="7987" priority="8942" stopIfTrue="1">
      <formula>$N430="BAM"</formula>
    </cfRule>
    <cfRule type="expression" dxfId="7986" priority="8950">
      <formula>$AF$49&gt;$T$49</formula>
    </cfRule>
  </conditionalFormatting>
  <conditionalFormatting sqref="AC430:AE430">
    <cfRule type="expression" dxfId="7985" priority="8947" stopIfTrue="1">
      <formula>$G427=""</formula>
    </cfRule>
  </conditionalFormatting>
  <conditionalFormatting sqref="T429:U429">
    <cfRule type="expression" dxfId="7984" priority="8914" stopIfTrue="1">
      <formula>$G427=""</formula>
    </cfRule>
  </conditionalFormatting>
  <conditionalFormatting sqref="T429:U429">
    <cfRule type="containsBlanks" dxfId="7983" priority="8944" stopIfTrue="1">
      <formula>LEN(TRIM(T429))=0</formula>
    </cfRule>
  </conditionalFormatting>
  <conditionalFormatting sqref="AC427:AE427">
    <cfRule type="expression" dxfId="7982" priority="8943">
      <formula>$G427=""</formula>
    </cfRule>
  </conditionalFormatting>
  <conditionalFormatting sqref="AF429 AG430">
    <cfRule type="containsBlanks" dxfId="7981" priority="8948" stopIfTrue="1">
      <formula>LEN(TRIM(AF429))=0</formula>
    </cfRule>
  </conditionalFormatting>
  <conditionalFormatting sqref="AF429">
    <cfRule type="expression" dxfId="7980" priority="8949">
      <formula>OR($HS428=FALSE,$HT428=FALSE)</formula>
    </cfRule>
  </conditionalFormatting>
  <conditionalFormatting sqref="AG430">
    <cfRule type="expression" dxfId="7979" priority="8907">
      <formula>$C$43&gt;0</formula>
    </cfRule>
  </conditionalFormatting>
  <conditionalFormatting sqref="AG430">
    <cfRule type="expression" dxfId="7978" priority="8940" stopIfTrue="1">
      <formula>$G427=""</formula>
    </cfRule>
  </conditionalFormatting>
  <conditionalFormatting sqref="U429">
    <cfRule type="expression" dxfId="7977" priority="8945">
      <formula>OR($HK428=FALSE,$HL428=FALSE)</formula>
    </cfRule>
  </conditionalFormatting>
  <conditionalFormatting sqref="T428:U428">
    <cfRule type="expression" dxfId="7976" priority="8935" stopIfTrue="1">
      <formula>$C$43&lt;&gt;0</formula>
    </cfRule>
    <cfRule type="containsBlanks" dxfId="7975" priority="8936" stopIfTrue="1">
      <formula>LEN(TRIM(T428))=0</formula>
    </cfRule>
  </conditionalFormatting>
  <conditionalFormatting sqref="T428:U428">
    <cfRule type="expression" dxfId="7974" priority="8934" stopIfTrue="1">
      <formula>$G427=""</formula>
    </cfRule>
  </conditionalFormatting>
  <conditionalFormatting sqref="U428">
    <cfRule type="expression" dxfId="7973" priority="8937">
      <formula>$HJ428=FALSE</formula>
    </cfRule>
  </conditionalFormatting>
  <conditionalFormatting sqref="AG429">
    <cfRule type="expression" dxfId="7972" priority="8925" stopIfTrue="1">
      <formula>$G427=""</formula>
    </cfRule>
  </conditionalFormatting>
  <conditionalFormatting sqref="AG429:AL429">
    <cfRule type="expression" dxfId="7971" priority="8926">
      <formula>$N430="BAM"</formula>
    </cfRule>
    <cfRule type="expression" dxfId="7970" priority="8930">
      <formula>OR($HU428=FALSE,$HQ428=FALSE)</formula>
    </cfRule>
  </conditionalFormatting>
  <conditionalFormatting sqref="AG429">
    <cfRule type="containsBlanks" dxfId="7969" priority="8927" stopIfTrue="1">
      <formula>LEN(TRIM(AG429))=0</formula>
    </cfRule>
    <cfRule type="expression" dxfId="7968" priority="8928">
      <formula>OR($HP428=FALSE,$HR428=FALSE)</formula>
    </cfRule>
    <cfRule type="expression" dxfId="7967" priority="8929">
      <formula>OR($DS427=7,$DS427=8,$DS427=9)</formula>
    </cfRule>
  </conditionalFormatting>
  <conditionalFormatting sqref="AG427:AL427">
    <cfRule type="expression" dxfId="7966" priority="8924">
      <formula>$C$43&lt;&gt;0</formula>
    </cfRule>
  </conditionalFormatting>
  <conditionalFormatting sqref="AF428">
    <cfRule type="containsBlanks" dxfId="7965" priority="8923">
      <formula>LEN(TRIM(AF428))=0</formula>
    </cfRule>
  </conditionalFormatting>
  <conditionalFormatting sqref="AF428">
    <cfRule type="expression" dxfId="7964" priority="8922" stopIfTrue="1">
      <formula>$G427=""</formula>
    </cfRule>
  </conditionalFormatting>
  <conditionalFormatting sqref="AG428">
    <cfRule type="containsBlanks" dxfId="7963" priority="8920">
      <formula>LEN(TRIM(AG428))=0</formula>
    </cfRule>
    <cfRule type="expression" dxfId="7962" priority="8921">
      <formula>$HO428=FALSE</formula>
    </cfRule>
  </conditionalFormatting>
  <conditionalFormatting sqref="AG428">
    <cfRule type="expression" dxfId="7961" priority="8919" stopIfTrue="1">
      <formula>$G427=""</formula>
    </cfRule>
  </conditionalFormatting>
  <conditionalFormatting sqref="AF428:AK428">
    <cfRule type="expression" dxfId="7960" priority="8918">
      <formula>$C$43&gt;0</formula>
    </cfRule>
  </conditionalFormatting>
  <conditionalFormatting sqref="AM427:AN428">
    <cfRule type="expression" dxfId="7959" priority="8917">
      <formula>$G427=""</formula>
    </cfRule>
  </conditionalFormatting>
  <conditionalFormatting sqref="AM429:AN429">
    <cfRule type="expression" dxfId="7958" priority="8916" stopIfTrue="1">
      <formula>$G427=""</formula>
    </cfRule>
  </conditionalFormatting>
  <conditionalFormatting sqref="T429">
    <cfRule type="expression" dxfId="7957" priority="8938" stopIfTrue="1">
      <formula>$N430="BAM"</formula>
    </cfRule>
  </conditionalFormatting>
  <conditionalFormatting sqref="U429:AE429">
    <cfRule type="expression" dxfId="7956" priority="8915" stopIfTrue="1">
      <formula>$N430="BAM"</formula>
    </cfRule>
  </conditionalFormatting>
  <conditionalFormatting sqref="AG430:AL430">
    <cfRule type="expression" dxfId="7955" priority="8939" stopIfTrue="1">
      <formula>$N430="BAM"</formula>
    </cfRule>
  </conditionalFormatting>
  <conditionalFormatting sqref="AX433">
    <cfRule type="expression" dxfId="7954" priority="8905">
      <formula>$E433=""</formula>
    </cfRule>
  </conditionalFormatting>
  <conditionalFormatting sqref="AX432">
    <cfRule type="expression" dxfId="7953" priority="8904">
      <formula>$E432=""</formula>
    </cfRule>
  </conditionalFormatting>
  <conditionalFormatting sqref="AX434">
    <cfRule type="expression" dxfId="7952" priority="8903">
      <formula>#REF!=""</formula>
    </cfRule>
  </conditionalFormatting>
  <conditionalFormatting sqref="AX435">
    <cfRule type="expression" dxfId="7951" priority="8902">
      <formula>$E434=""</formula>
    </cfRule>
  </conditionalFormatting>
  <conditionalFormatting sqref="AY432:AZ435">
    <cfRule type="expression" dxfId="7950" priority="8901">
      <formula>$G432=""</formula>
    </cfRule>
  </conditionalFormatting>
  <conditionalFormatting sqref="G434">
    <cfRule type="expression" dxfId="7949" priority="8898" stopIfTrue="1">
      <formula>$G432=""</formula>
    </cfRule>
    <cfRule type="containsBlanks" dxfId="7948" priority="8899" stopIfTrue="1">
      <formula>LEN(TRIM(G434))=0</formula>
    </cfRule>
    <cfRule type="expression" dxfId="7947" priority="8900">
      <formula>OR($M434=0,$HH433=FALSE)</formula>
    </cfRule>
  </conditionalFormatting>
  <conditionalFormatting sqref="AO434">
    <cfRule type="expression" dxfId="7946" priority="8897" stopIfTrue="1">
      <formula>$G432=""</formula>
    </cfRule>
  </conditionalFormatting>
  <conditionalFormatting sqref="AU432:AU435">
    <cfRule type="expression" dxfId="7945" priority="8894" stopIfTrue="1">
      <formula>$C$43=2</formula>
    </cfRule>
    <cfRule type="cellIs" dxfId="7944" priority="8895" operator="equal">
      <formula>"Yes"</formula>
    </cfRule>
    <cfRule type="cellIs" dxfId="7943" priority="8896" operator="equal">
      <formula>"No"</formula>
    </cfRule>
  </conditionalFormatting>
  <conditionalFormatting sqref="AO432:AO433">
    <cfRule type="expression" dxfId="7942" priority="8893">
      <formula>$G432=""</formula>
    </cfRule>
  </conditionalFormatting>
  <conditionalFormatting sqref="AP432 AR432:AS435">
    <cfRule type="expression" dxfId="7941" priority="8892">
      <formula>$G432=""</formula>
    </cfRule>
  </conditionalFormatting>
  <conditionalFormatting sqref="AW432:AW435">
    <cfRule type="expression" dxfId="7940" priority="8891">
      <formula>$G432=""</formula>
    </cfRule>
  </conditionalFormatting>
  <conditionalFormatting sqref="G433:L433">
    <cfRule type="expression" dxfId="7939" priority="8889" stopIfTrue="1">
      <formula>$G432=""</formula>
    </cfRule>
    <cfRule type="containsBlanks" dxfId="7938" priority="8890">
      <formula>LEN(TRIM(G433))=0</formula>
    </cfRule>
  </conditionalFormatting>
  <conditionalFormatting sqref="R434">
    <cfRule type="expression" dxfId="7937" priority="8886">
      <formula>$N435="BAM"</formula>
    </cfRule>
    <cfRule type="expression" dxfId="7936" priority="8887" stopIfTrue="1">
      <formula>$G432=""</formula>
    </cfRule>
    <cfRule type="containsBlanks" dxfId="7935" priority="8888">
      <formula>LEN(TRIM(R434))=0</formula>
    </cfRule>
  </conditionalFormatting>
  <conditionalFormatting sqref="R434">
    <cfRule type="expression" dxfId="7934" priority="8885">
      <formula>$C$43=0</formula>
    </cfRule>
  </conditionalFormatting>
  <conditionalFormatting sqref="E435:F435">
    <cfRule type="expression" dxfId="7933" priority="8884">
      <formula>$CQ432="Exterior"</formula>
    </cfRule>
  </conditionalFormatting>
  <conditionalFormatting sqref="G435">
    <cfRule type="expression" dxfId="7932" priority="8874" stopIfTrue="1">
      <formula>$G432=""</formula>
    </cfRule>
  </conditionalFormatting>
  <conditionalFormatting sqref="G435">
    <cfRule type="expression" dxfId="7931" priority="8876" stopIfTrue="1">
      <formula>$CQ432="Exterior"</formula>
    </cfRule>
  </conditionalFormatting>
  <conditionalFormatting sqref="G435:L435">
    <cfRule type="expression" dxfId="7930" priority="8875" stopIfTrue="1">
      <formula>$N435="BAM"</formula>
    </cfRule>
    <cfRule type="containsBlanks" dxfId="7929" priority="8877" stopIfTrue="1">
      <formula>LEN(TRIM(G435))=0</formula>
    </cfRule>
    <cfRule type="expression" dxfId="7928" priority="8879">
      <formula>$HQ433=FALSE</formula>
    </cfRule>
  </conditionalFormatting>
  <conditionalFormatting sqref="G435:L435">
    <cfRule type="expression" dxfId="7927" priority="8878" stopIfTrue="1">
      <formula>$AG434=""</formula>
    </cfRule>
  </conditionalFormatting>
  <conditionalFormatting sqref="G434:L434">
    <cfRule type="expression" dxfId="7926" priority="8872" stopIfTrue="1">
      <formula>$N435="BAM"</formula>
    </cfRule>
  </conditionalFormatting>
  <conditionalFormatting sqref="G432:R432">
    <cfRule type="containsBlanks" dxfId="7925" priority="8871">
      <formula>LEN(TRIM(G432))=0</formula>
    </cfRule>
  </conditionalFormatting>
  <conditionalFormatting sqref="AF434">
    <cfRule type="expression" dxfId="7924" priority="8861" stopIfTrue="1">
      <formula>$G432=""</formula>
    </cfRule>
    <cfRule type="expression" dxfId="7923" priority="8862" stopIfTrue="1">
      <formula>$N435="BAM"</formula>
    </cfRule>
    <cfRule type="expression" dxfId="7922" priority="8870">
      <formula>$AF$49&gt;$T$49</formula>
    </cfRule>
  </conditionalFormatting>
  <conditionalFormatting sqref="AC435:AE435">
    <cfRule type="expression" dxfId="7921" priority="8867" stopIfTrue="1">
      <formula>$G432=""</formula>
    </cfRule>
  </conditionalFormatting>
  <conditionalFormatting sqref="T434:U434">
    <cfRule type="expression" dxfId="7920" priority="8834" stopIfTrue="1">
      <formula>$G432=""</formula>
    </cfRule>
  </conditionalFormatting>
  <conditionalFormatting sqref="T434:U434">
    <cfRule type="containsBlanks" dxfId="7919" priority="8864" stopIfTrue="1">
      <formula>LEN(TRIM(T434))=0</formula>
    </cfRule>
  </conditionalFormatting>
  <conditionalFormatting sqref="AC432:AE432">
    <cfRule type="expression" dxfId="7918" priority="8863">
      <formula>$G432=""</formula>
    </cfRule>
  </conditionalFormatting>
  <conditionalFormatting sqref="AF434 AG435">
    <cfRule type="containsBlanks" dxfId="7917" priority="8868" stopIfTrue="1">
      <formula>LEN(TRIM(AF434))=0</formula>
    </cfRule>
  </conditionalFormatting>
  <conditionalFormatting sqref="AF434">
    <cfRule type="expression" dxfId="7916" priority="8869">
      <formula>OR($HS433=FALSE,$HT433=FALSE)</formula>
    </cfRule>
  </conditionalFormatting>
  <conditionalFormatting sqref="AG435">
    <cfRule type="expression" dxfId="7915" priority="8827">
      <formula>$C$43&gt;0</formula>
    </cfRule>
  </conditionalFormatting>
  <conditionalFormatting sqref="AG435">
    <cfRule type="expression" dxfId="7914" priority="8860" stopIfTrue="1">
      <formula>$G432=""</formula>
    </cfRule>
  </conditionalFormatting>
  <conditionalFormatting sqref="U434">
    <cfRule type="expression" dxfId="7913" priority="8865">
      <formula>OR($HK433=FALSE,$HL433=FALSE)</formula>
    </cfRule>
  </conditionalFormatting>
  <conditionalFormatting sqref="T433:U433">
    <cfRule type="expression" dxfId="7912" priority="8855" stopIfTrue="1">
      <formula>$C$43&lt;&gt;0</formula>
    </cfRule>
    <cfRule type="containsBlanks" dxfId="7911" priority="8856" stopIfTrue="1">
      <formula>LEN(TRIM(T433))=0</formula>
    </cfRule>
  </conditionalFormatting>
  <conditionalFormatting sqref="T433:U433">
    <cfRule type="expression" dxfId="7910" priority="8854" stopIfTrue="1">
      <formula>$G432=""</formula>
    </cfRule>
  </conditionalFormatting>
  <conditionalFormatting sqref="U433">
    <cfRule type="expression" dxfId="7909" priority="8857">
      <formula>$HJ433=FALSE</formula>
    </cfRule>
  </conditionalFormatting>
  <conditionalFormatting sqref="AG434">
    <cfRule type="expression" dxfId="7908" priority="8845" stopIfTrue="1">
      <formula>$G432=""</formula>
    </cfRule>
  </conditionalFormatting>
  <conditionalFormatting sqref="AG434:AL434">
    <cfRule type="expression" dxfId="7907" priority="8846">
      <formula>$N435="BAM"</formula>
    </cfRule>
    <cfRule type="expression" dxfId="7906" priority="8850">
      <formula>OR($HU433=FALSE,$HQ433=FALSE)</formula>
    </cfRule>
  </conditionalFormatting>
  <conditionalFormatting sqref="AG434">
    <cfRule type="containsBlanks" dxfId="7905" priority="8847" stopIfTrue="1">
      <formula>LEN(TRIM(AG434))=0</formula>
    </cfRule>
    <cfRule type="expression" dxfId="7904" priority="8848">
      <formula>OR($HP433=FALSE,$HR433=FALSE)</formula>
    </cfRule>
    <cfRule type="expression" dxfId="7903" priority="8849">
      <formula>OR($DS432=7,$DS432=8,$DS432=9)</formula>
    </cfRule>
  </conditionalFormatting>
  <conditionalFormatting sqref="AG432:AL432">
    <cfRule type="expression" dxfId="7902" priority="8844">
      <formula>$C$43&lt;&gt;0</formula>
    </cfRule>
  </conditionalFormatting>
  <conditionalFormatting sqref="AF433">
    <cfRule type="containsBlanks" dxfId="7901" priority="8843">
      <formula>LEN(TRIM(AF433))=0</formula>
    </cfRule>
  </conditionalFormatting>
  <conditionalFormatting sqref="AF433">
    <cfRule type="expression" dxfId="7900" priority="8842" stopIfTrue="1">
      <formula>$G432=""</formula>
    </cfRule>
  </conditionalFormatting>
  <conditionalFormatting sqref="AG433">
    <cfRule type="containsBlanks" dxfId="7899" priority="8840">
      <formula>LEN(TRIM(AG433))=0</formula>
    </cfRule>
    <cfRule type="expression" dxfId="7898" priority="8841">
      <formula>$HO433=FALSE</formula>
    </cfRule>
  </conditionalFormatting>
  <conditionalFormatting sqref="AG433">
    <cfRule type="expression" dxfId="7897" priority="8839" stopIfTrue="1">
      <formula>$G432=""</formula>
    </cfRule>
  </conditionalFormatting>
  <conditionalFormatting sqref="AF433:AK433">
    <cfRule type="expression" dxfId="7896" priority="8838">
      <formula>$C$43&gt;0</formula>
    </cfRule>
  </conditionalFormatting>
  <conditionalFormatting sqref="AM432:AN433">
    <cfRule type="expression" dxfId="7895" priority="8837">
      <formula>$G432=""</formula>
    </cfRule>
  </conditionalFormatting>
  <conditionalFormatting sqref="AM434:AN434">
    <cfRule type="expression" dxfId="7894" priority="8836" stopIfTrue="1">
      <formula>$G432=""</formula>
    </cfRule>
  </conditionalFormatting>
  <conditionalFormatting sqref="T434">
    <cfRule type="expression" dxfId="7893" priority="8858" stopIfTrue="1">
      <formula>$N435="BAM"</formula>
    </cfRule>
  </conditionalFormatting>
  <conditionalFormatting sqref="U434:AE434">
    <cfRule type="expression" dxfId="7892" priority="8835" stopIfTrue="1">
      <formula>$N435="BAM"</formula>
    </cfRule>
  </conditionalFormatting>
  <conditionalFormatting sqref="AG435:AL435">
    <cfRule type="expression" dxfId="7891" priority="8859" stopIfTrue="1">
      <formula>$N435="BAM"</formula>
    </cfRule>
  </conditionalFormatting>
  <conditionalFormatting sqref="AX438">
    <cfRule type="expression" dxfId="7890" priority="8825">
      <formula>$E438=""</formula>
    </cfRule>
  </conditionalFormatting>
  <conditionalFormatting sqref="AX437">
    <cfRule type="expression" dxfId="7889" priority="8824">
      <formula>$E437=""</formula>
    </cfRule>
  </conditionalFormatting>
  <conditionalFormatting sqref="AX439">
    <cfRule type="expression" dxfId="7888" priority="8823">
      <formula>#REF!=""</formula>
    </cfRule>
  </conditionalFormatting>
  <conditionalFormatting sqref="AX440">
    <cfRule type="expression" dxfId="7887" priority="8822">
      <formula>$E439=""</formula>
    </cfRule>
  </conditionalFormatting>
  <conditionalFormatting sqref="AY437:AZ440">
    <cfRule type="expression" dxfId="7886" priority="8821">
      <formula>$G437=""</formula>
    </cfRule>
  </conditionalFormatting>
  <conditionalFormatting sqref="G439">
    <cfRule type="expression" dxfId="7885" priority="8818" stopIfTrue="1">
      <formula>$G437=""</formula>
    </cfRule>
    <cfRule type="containsBlanks" dxfId="7884" priority="8819" stopIfTrue="1">
      <formula>LEN(TRIM(G439))=0</formula>
    </cfRule>
    <cfRule type="expression" dxfId="7883" priority="8820">
      <formula>OR($M439=0,$HH438=FALSE)</formula>
    </cfRule>
  </conditionalFormatting>
  <conditionalFormatting sqref="AO439">
    <cfRule type="expression" dxfId="7882" priority="8817" stopIfTrue="1">
      <formula>$G437=""</formula>
    </cfRule>
  </conditionalFormatting>
  <conditionalFormatting sqref="AU437:AU440">
    <cfRule type="expression" dxfId="7881" priority="8814" stopIfTrue="1">
      <formula>$C$43=2</formula>
    </cfRule>
    <cfRule type="cellIs" dxfId="7880" priority="8815" operator="equal">
      <formula>"Yes"</formula>
    </cfRule>
    <cfRule type="cellIs" dxfId="7879" priority="8816" operator="equal">
      <formula>"No"</formula>
    </cfRule>
  </conditionalFormatting>
  <conditionalFormatting sqref="AO437:AO438">
    <cfRule type="expression" dxfId="7878" priority="8813">
      <formula>$G437=""</formula>
    </cfRule>
  </conditionalFormatting>
  <conditionalFormatting sqref="AP437 AR437:AS440">
    <cfRule type="expression" dxfId="7877" priority="8812">
      <formula>$G437=""</formula>
    </cfRule>
  </conditionalFormatting>
  <conditionalFormatting sqref="AW437:AW440">
    <cfRule type="expression" dxfId="7876" priority="8811">
      <formula>$G437=""</formula>
    </cfRule>
  </conditionalFormatting>
  <conditionalFormatting sqref="G438:L438">
    <cfRule type="expression" dxfId="7875" priority="8809" stopIfTrue="1">
      <formula>$G437=""</formula>
    </cfRule>
    <cfRule type="containsBlanks" dxfId="7874" priority="8810">
      <formula>LEN(TRIM(G438))=0</formula>
    </cfRule>
  </conditionalFormatting>
  <conditionalFormatting sqref="R439">
    <cfRule type="expression" dxfId="7873" priority="8806">
      <formula>$N440="BAM"</formula>
    </cfRule>
    <cfRule type="expression" dxfId="7872" priority="8807" stopIfTrue="1">
      <formula>$G437=""</formula>
    </cfRule>
    <cfRule type="containsBlanks" dxfId="7871" priority="8808">
      <formula>LEN(TRIM(R439))=0</formula>
    </cfRule>
  </conditionalFormatting>
  <conditionalFormatting sqref="R439">
    <cfRule type="expression" dxfId="7870" priority="8805">
      <formula>$C$43=0</formula>
    </cfRule>
  </conditionalFormatting>
  <conditionalFormatting sqref="E440:F440">
    <cfRule type="expression" dxfId="7869" priority="8804">
      <formula>$CQ437="Exterior"</formula>
    </cfRule>
  </conditionalFormatting>
  <conditionalFormatting sqref="G440">
    <cfRule type="expression" dxfId="7868" priority="8794" stopIfTrue="1">
      <formula>$G437=""</formula>
    </cfRule>
  </conditionalFormatting>
  <conditionalFormatting sqref="G440">
    <cfRule type="expression" dxfId="7867" priority="8796" stopIfTrue="1">
      <formula>$CQ437="Exterior"</formula>
    </cfRule>
  </conditionalFormatting>
  <conditionalFormatting sqref="G440:L440">
    <cfRule type="expression" dxfId="7866" priority="8795" stopIfTrue="1">
      <formula>$N440="BAM"</formula>
    </cfRule>
    <cfRule type="containsBlanks" dxfId="7865" priority="8797" stopIfTrue="1">
      <formula>LEN(TRIM(G440))=0</formula>
    </cfRule>
    <cfRule type="expression" dxfId="7864" priority="8799">
      <formula>$HQ438=FALSE</formula>
    </cfRule>
  </conditionalFormatting>
  <conditionalFormatting sqref="G440:L440">
    <cfRule type="expression" dxfId="7863" priority="8798" stopIfTrue="1">
      <formula>$AG439=""</formula>
    </cfRule>
  </conditionalFormatting>
  <conditionalFormatting sqref="G439:L439">
    <cfRule type="expression" dxfId="7862" priority="8792" stopIfTrue="1">
      <formula>$N440="BAM"</formula>
    </cfRule>
  </conditionalFormatting>
  <conditionalFormatting sqref="G437:R437">
    <cfRule type="containsBlanks" dxfId="7861" priority="8791">
      <formula>LEN(TRIM(G437))=0</formula>
    </cfRule>
  </conditionalFormatting>
  <conditionalFormatting sqref="AF439">
    <cfRule type="expression" dxfId="7860" priority="8781" stopIfTrue="1">
      <formula>$G437=""</formula>
    </cfRule>
    <cfRule type="expression" dxfId="7859" priority="8782" stopIfTrue="1">
      <formula>$N440="BAM"</formula>
    </cfRule>
    <cfRule type="expression" dxfId="7858" priority="8790">
      <formula>$AF$49&gt;$T$49</formula>
    </cfRule>
  </conditionalFormatting>
  <conditionalFormatting sqref="AC440:AE440">
    <cfRule type="expression" dxfId="7857" priority="8787" stopIfTrue="1">
      <formula>$G437=""</formula>
    </cfRule>
  </conditionalFormatting>
  <conditionalFormatting sqref="T439:U439">
    <cfRule type="expression" dxfId="7856" priority="8754" stopIfTrue="1">
      <formula>$G437=""</formula>
    </cfRule>
  </conditionalFormatting>
  <conditionalFormatting sqref="T439:U439">
    <cfRule type="containsBlanks" dxfId="7855" priority="8784" stopIfTrue="1">
      <formula>LEN(TRIM(T439))=0</formula>
    </cfRule>
  </conditionalFormatting>
  <conditionalFormatting sqref="AC437:AE437">
    <cfRule type="expression" dxfId="7854" priority="8783">
      <formula>$G437=""</formula>
    </cfRule>
  </conditionalFormatting>
  <conditionalFormatting sqref="AF439 AG440">
    <cfRule type="containsBlanks" dxfId="7853" priority="8788" stopIfTrue="1">
      <formula>LEN(TRIM(AF439))=0</formula>
    </cfRule>
  </conditionalFormatting>
  <conditionalFormatting sqref="AF439">
    <cfRule type="expression" dxfId="7852" priority="8789">
      <formula>OR($HS438=FALSE,$HT438=FALSE)</formula>
    </cfRule>
  </conditionalFormatting>
  <conditionalFormatting sqref="AG440">
    <cfRule type="expression" dxfId="7851" priority="8747">
      <formula>$C$43&gt;0</formula>
    </cfRule>
  </conditionalFormatting>
  <conditionalFormatting sqref="AG440">
    <cfRule type="expression" dxfId="7850" priority="8780" stopIfTrue="1">
      <formula>$G437=""</formula>
    </cfRule>
  </conditionalFormatting>
  <conditionalFormatting sqref="U439">
    <cfRule type="expression" dxfId="7849" priority="8785">
      <formula>OR($HK438=FALSE,$HL438=FALSE)</formula>
    </cfRule>
  </conditionalFormatting>
  <conditionalFormatting sqref="T438:U438">
    <cfRule type="expression" dxfId="7848" priority="8775" stopIfTrue="1">
      <formula>$C$43&lt;&gt;0</formula>
    </cfRule>
    <cfRule type="containsBlanks" dxfId="7847" priority="8776" stopIfTrue="1">
      <formula>LEN(TRIM(T438))=0</formula>
    </cfRule>
  </conditionalFormatting>
  <conditionalFormatting sqref="T438:U438">
    <cfRule type="expression" dxfId="7846" priority="8774" stopIfTrue="1">
      <formula>$G437=""</formula>
    </cfRule>
  </conditionalFormatting>
  <conditionalFormatting sqref="U438">
    <cfRule type="expression" dxfId="7845" priority="8777">
      <formula>$HJ438=FALSE</formula>
    </cfRule>
  </conditionalFormatting>
  <conditionalFormatting sqref="AG439">
    <cfRule type="expression" dxfId="7844" priority="8765" stopIfTrue="1">
      <formula>$G437=""</formula>
    </cfRule>
  </conditionalFormatting>
  <conditionalFormatting sqref="AG439:AL439">
    <cfRule type="expression" dxfId="7843" priority="8766">
      <formula>$N440="BAM"</formula>
    </cfRule>
    <cfRule type="expression" dxfId="7842" priority="8770">
      <formula>OR($HU438=FALSE,$HQ438=FALSE)</formula>
    </cfRule>
  </conditionalFormatting>
  <conditionalFormatting sqref="AG439">
    <cfRule type="containsBlanks" dxfId="7841" priority="8767" stopIfTrue="1">
      <formula>LEN(TRIM(AG439))=0</formula>
    </cfRule>
    <cfRule type="expression" dxfId="7840" priority="8768">
      <formula>OR($HP438=FALSE,$HR438=FALSE)</formula>
    </cfRule>
    <cfRule type="expression" dxfId="7839" priority="8769">
      <formula>OR($DS437=7,$DS437=8,$DS437=9)</formula>
    </cfRule>
  </conditionalFormatting>
  <conditionalFormatting sqref="AG437:AL437">
    <cfRule type="expression" dxfId="7838" priority="8764">
      <formula>$C$43&lt;&gt;0</formula>
    </cfRule>
  </conditionalFormatting>
  <conditionalFormatting sqref="AF438">
    <cfRule type="containsBlanks" dxfId="7837" priority="8763">
      <formula>LEN(TRIM(AF438))=0</formula>
    </cfRule>
  </conditionalFormatting>
  <conditionalFormatting sqref="AF438">
    <cfRule type="expression" dxfId="7836" priority="8762" stopIfTrue="1">
      <formula>$G437=""</formula>
    </cfRule>
  </conditionalFormatting>
  <conditionalFormatting sqref="AG438">
    <cfRule type="containsBlanks" dxfId="7835" priority="8760">
      <formula>LEN(TRIM(AG438))=0</formula>
    </cfRule>
    <cfRule type="expression" dxfId="7834" priority="8761">
      <formula>$HO438=FALSE</formula>
    </cfRule>
  </conditionalFormatting>
  <conditionalFormatting sqref="AG438">
    <cfRule type="expression" dxfId="7833" priority="8759" stopIfTrue="1">
      <formula>$G437=""</formula>
    </cfRule>
  </conditionalFormatting>
  <conditionalFormatting sqref="AF438:AK438">
    <cfRule type="expression" dxfId="7832" priority="8758">
      <formula>$C$43&gt;0</formula>
    </cfRule>
  </conditionalFormatting>
  <conditionalFormatting sqref="AM437:AN438">
    <cfRule type="expression" dxfId="7831" priority="8757">
      <formula>$G437=""</formula>
    </cfRule>
  </conditionalFormatting>
  <conditionalFormatting sqref="AM439:AN439">
    <cfRule type="expression" dxfId="7830" priority="8756" stopIfTrue="1">
      <formula>$G437=""</formula>
    </cfRule>
  </conditionalFormatting>
  <conditionalFormatting sqref="T439">
    <cfRule type="expression" dxfId="7829" priority="8778" stopIfTrue="1">
      <formula>$N440="BAM"</formula>
    </cfRule>
  </conditionalFormatting>
  <conditionalFormatting sqref="U439:AE439">
    <cfRule type="expression" dxfId="7828" priority="8755" stopIfTrue="1">
      <formula>$N440="BAM"</formula>
    </cfRule>
  </conditionalFormatting>
  <conditionalFormatting sqref="AG440:AL440">
    <cfRule type="expression" dxfId="7827" priority="8779" stopIfTrue="1">
      <formula>$N440="BAM"</formula>
    </cfRule>
  </conditionalFormatting>
  <conditionalFormatting sqref="AX443">
    <cfRule type="expression" dxfId="7826" priority="8745">
      <formula>$E443=""</formula>
    </cfRule>
  </conditionalFormatting>
  <conditionalFormatting sqref="AX442">
    <cfRule type="expression" dxfId="7825" priority="8744">
      <formula>$E442=""</formula>
    </cfRule>
  </conditionalFormatting>
  <conditionalFormatting sqref="AX444">
    <cfRule type="expression" dxfId="7824" priority="8743">
      <formula>#REF!=""</formula>
    </cfRule>
  </conditionalFormatting>
  <conditionalFormatting sqref="AX445">
    <cfRule type="expression" dxfId="7823" priority="8742">
      <formula>$E444=""</formula>
    </cfRule>
  </conditionalFormatting>
  <conditionalFormatting sqref="AY442:AZ445">
    <cfRule type="expression" dxfId="7822" priority="8741">
      <formula>$G442=""</formula>
    </cfRule>
  </conditionalFormatting>
  <conditionalFormatting sqref="G444">
    <cfRule type="expression" dxfId="7821" priority="8738" stopIfTrue="1">
      <formula>$G442=""</formula>
    </cfRule>
    <cfRule type="containsBlanks" dxfId="7820" priority="8739" stopIfTrue="1">
      <formula>LEN(TRIM(G444))=0</formula>
    </cfRule>
    <cfRule type="expression" dxfId="7819" priority="8740">
      <formula>OR($M444=0,$HH443=FALSE)</formula>
    </cfRule>
  </conditionalFormatting>
  <conditionalFormatting sqref="AO444">
    <cfRule type="expression" dxfId="7818" priority="8737" stopIfTrue="1">
      <formula>$G442=""</formula>
    </cfRule>
  </conditionalFormatting>
  <conditionalFormatting sqref="AU442:AU445">
    <cfRule type="expression" dxfId="7817" priority="8734" stopIfTrue="1">
      <formula>$C$43=2</formula>
    </cfRule>
    <cfRule type="cellIs" dxfId="7816" priority="8735" operator="equal">
      <formula>"Yes"</formula>
    </cfRule>
    <cfRule type="cellIs" dxfId="7815" priority="8736" operator="equal">
      <formula>"No"</formula>
    </cfRule>
  </conditionalFormatting>
  <conditionalFormatting sqref="AO442:AO443">
    <cfRule type="expression" dxfId="7814" priority="8733">
      <formula>$G442=""</formula>
    </cfRule>
  </conditionalFormatting>
  <conditionalFormatting sqref="AP442 AR442:AS445">
    <cfRule type="expression" dxfId="7813" priority="8732">
      <formula>$G442=""</formula>
    </cfRule>
  </conditionalFormatting>
  <conditionalFormatting sqref="AW442:AW445">
    <cfRule type="expression" dxfId="7812" priority="8731">
      <formula>$G442=""</formula>
    </cfRule>
  </conditionalFormatting>
  <conditionalFormatting sqref="G443:L443">
    <cfRule type="expression" dxfId="7811" priority="8729" stopIfTrue="1">
      <formula>$G442=""</formula>
    </cfRule>
    <cfRule type="containsBlanks" dxfId="7810" priority="8730">
      <formula>LEN(TRIM(G443))=0</formula>
    </cfRule>
  </conditionalFormatting>
  <conditionalFormatting sqref="R444">
    <cfRule type="expression" dxfId="7809" priority="8726">
      <formula>$N445="BAM"</formula>
    </cfRule>
    <cfRule type="expression" dxfId="7808" priority="8727" stopIfTrue="1">
      <formula>$G442=""</formula>
    </cfRule>
    <cfRule type="containsBlanks" dxfId="7807" priority="8728">
      <formula>LEN(TRIM(R444))=0</formula>
    </cfRule>
  </conditionalFormatting>
  <conditionalFormatting sqref="R444">
    <cfRule type="expression" dxfId="7806" priority="8725">
      <formula>$C$43=0</formula>
    </cfRule>
  </conditionalFormatting>
  <conditionalFormatting sqref="E445:F445">
    <cfRule type="expression" dxfId="7805" priority="8724">
      <formula>$CQ442="Exterior"</formula>
    </cfRule>
  </conditionalFormatting>
  <conditionalFormatting sqref="G445">
    <cfRule type="expression" dxfId="7804" priority="8714" stopIfTrue="1">
      <formula>$G442=""</formula>
    </cfRule>
  </conditionalFormatting>
  <conditionalFormatting sqref="G445">
    <cfRule type="expression" dxfId="7803" priority="8716" stopIfTrue="1">
      <formula>$CQ442="Exterior"</formula>
    </cfRule>
  </conditionalFormatting>
  <conditionalFormatting sqref="G445:L445">
    <cfRule type="expression" dxfId="7802" priority="8715" stopIfTrue="1">
      <formula>$N445="BAM"</formula>
    </cfRule>
    <cfRule type="containsBlanks" dxfId="7801" priority="8717" stopIfTrue="1">
      <formula>LEN(TRIM(G445))=0</formula>
    </cfRule>
    <cfRule type="expression" dxfId="7800" priority="8719">
      <formula>$HQ443=FALSE</formula>
    </cfRule>
  </conditionalFormatting>
  <conditionalFormatting sqref="G445:L445">
    <cfRule type="expression" dxfId="7799" priority="8718" stopIfTrue="1">
      <formula>$AG444=""</formula>
    </cfRule>
  </conditionalFormatting>
  <conditionalFormatting sqref="G444:L444">
    <cfRule type="expression" dxfId="7798" priority="8712" stopIfTrue="1">
      <formula>$N445="BAM"</formula>
    </cfRule>
  </conditionalFormatting>
  <conditionalFormatting sqref="G442:R442">
    <cfRule type="containsBlanks" dxfId="7797" priority="8711">
      <formula>LEN(TRIM(G442))=0</formula>
    </cfRule>
  </conditionalFormatting>
  <conditionalFormatting sqref="AF444">
    <cfRule type="expression" dxfId="7796" priority="8701" stopIfTrue="1">
      <formula>$G442=""</formula>
    </cfRule>
    <cfRule type="expression" dxfId="7795" priority="8702" stopIfTrue="1">
      <formula>$N445="BAM"</formula>
    </cfRule>
    <cfRule type="expression" dxfId="7794" priority="8710">
      <formula>$AF$49&gt;$T$49</formula>
    </cfRule>
  </conditionalFormatting>
  <conditionalFormatting sqref="AC445:AE445">
    <cfRule type="expression" dxfId="7793" priority="8707" stopIfTrue="1">
      <formula>$G442=""</formula>
    </cfRule>
  </conditionalFormatting>
  <conditionalFormatting sqref="T444:U444">
    <cfRule type="expression" dxfId="7792" priority="8674" stopIfTrue="1">
      <formula>$G442=""</formula>
    </cfRule>
  </conditionalFormatting>
  <conditionalFormatting sqref="T444:U444">
    <cfRule type="containsBlanks" dxfId="7791" priority="8704" stopIfTrue="1">
      <formula>LEN(TRIM(T444))=0</formula>
    </cfRule>
  </conditionalFormatting>
  <conditionalFormatting sqref="AC442:AE442">
    <cfRule type="expression" dxfId="7790" priority="8703">
      <formula>$G442=""</formula>
    </cfRule>
  </conditionalFormatting>
  <conditionalFormatting sqref="AF444 AG445">
    <cfRule type="containsBlanks" dxfId="7789" priority="8708" stopIfTrue="1">
      <formula>LEN(TRIM(AF444))=0</formula>
    </cfRule>
  </conditionalFormatting>
  <conditionalFormatting sqref="AF444">
    <cfRule type="expression" dxfId="7788" priority="8709">
      <formula>OR($HS443=FALSE,$HT443=FALSE)</formula>
    </cfRule>
  </conditionalFormatting>
  <conditionalFormatting sqref="AG445">
    <cfRule type="expression" dxfId="7787" priority="8667">
      <formula>$C$43&gt;0</formula>
    </cfRule>
  </conditionalFormatting>
  <conditionalFormatting sqref="AG445">
    <cfRule type="expression" dxfId="7786" priority="8700" stopIfTrue="1">
      <formula>$G442=""</formula>
    </cfRule>
  </conditionalFormatting>
  <conditionalFormatting sqref="U444">
    <cfRule type="expression" dxfId="7785" priority="8705">
      <formula>OR($HK443=FALSE,$HL443=FALSE)</formula>
    </cfRule>
  </conditionalFormatting>
  <conditionalFormatting sqref="T443:U443">
    <cfRule type="expression" dxfId="7784" priority="8695" stopIfTrue="1">
      <formula>$C$43&lt;&gt;0</formula>
    </cfRule>
    <cfRule type="containsBlanks" dxfId="7783" priority="8696" stopIfTrue="1">
      <formula>LEN(TRIM(T443))=0</formula>
    </cfRule>
  </conditionalFormatting>
  <conditionalFormatting sqref="T443:U443">
    <cfRule type="expression" dxfId="7782" priority="8694" stopIfTrue="1">
      <formula>$G442=""</formula>
    </cfRule>
  </conditionalFormatting>
  <conditionalFormatting sqref="U443">
    <cfRule type="expression" dxfId="7781" priority="8697">
      <formula>$HJ443=FALSE</formula>
    </cfRule>
  </conditionalFormatting>
  <conditionalFormatting sqref="AG444">
    <cfRule type="expression" dxfId="7780" priority="8685" stopIfTrue="1">
      <formula>$G442=""</formula>
    </cfRule>
  </conditionalFormatting>
  <conditionalFormatting sqref="AG444:AL444">
    <cfRule type="expression" dxfId="7779" priority="8686">
      <formula>$N445="BAM"</formula>
    </cfRule>
    <cfRule type="expression" dxfId="7778" priority="8690">
      <formula>OR($HU443=FALSE,$HQ443=FALSE)</formula>
    </cfRule>
  </conditionalFormatting>
  <conditionalFormatting sqref="AG444">
    <cfRule type="containsBlanks" dxfId="7777" priority="8687" stopIfTrue="1">
      <formula>LEN(TRIM(AG444))=0</formula>
    </cfRule>
    <cfRule type="expression" dxfId="7776" priority="8688">
      <formula>OR($HP443=FALSE,$HR443=FALSE)</formula>
    </cfRule>
    <cfRule type="expression" dxfId="7775" priority="8689">
      <formula>OR($DS442=7,$DS442=8,$DS442=9)</formula>
    </cfRule>
  </conditionalFormatting>
  <conditionalFormatting sqref="AG442:AL442">
    <cfRule type="expression" dxfId="7774" priority="8684">
      <formula>$C$43&lt;&gt;0</formula>
    </cfRule>
  </conditionalFormatting>
  <conditionalFormatting sqref="AF443">
    <cfRule type="containsBlanks" dxfId="7773" priority="8683">
      <formula>LEN(TRIM(AF443))=0</formula>
    </cfRule>
  </conditionalFormatting>
  <conditionalFormatting sqref="AF443">
    <cfRule type="expression" dxfId="7772" priority="8682" stopIfTrue="1">
      <formula>$G442=""</formula>
    </cfRule>
  </conditionalFormatting>
  <conditionalFormatting sqref="AG443">
    <cfRule type="containsBlanks" dxfId="7771" priority="8680">
      <formula>LEN(TRIM(AG443))=0</formula>
    </cfRule>
    <cfRule type="expression" dxfId="7770" priority="8681">
      <formula>$HO443=FALSE</formula>
    </cfRule>
  </conditionalFormatting>
  <conditionalFormatting sqref="AG443">
    <cfRule type="expression" dxfId="7769" priority="8679" stopIfTrue="1">
      <formula>$G442=""</formula>
    </cfRule>
  </conditionalFormatting>
  <conditionalFormatting sqref="AF443:AK443">
    <cfRule type="expression" dxfId="7768" priority="8678">
      <formula>$C$43&gt;0</formula>
    </cfRule>
  </conditionalFormatting>
  <conditionalFormatting sqref="AM442:AN443">
    <cfRule type="expression" dxfId="7767" priority="8677">
      <formula>$G442=""</formula>
    </cfRule>
  </conditionalFormatting>
  <conditionalFormatting sqref="AM444:AN444">
    <cfRule type="expression" dxfId="7766" priority="8676" stopIfTrue="1">
      <formula>$G442=""</formula>
    </cfRule>
  </conditionalFormatting>
  <conditionalFormatting sqref="T444">
    <cfRule type="expression" dxfId="7765" priority="8698" stopIfTrue="1">
      <formula>$N445="BAM"</formula>
    </cfRule>
  </conditionalFormatting>
  <conditionalFormatting sqref="U444:AE444">
    <cfRule type="expression" dxfId="7764" priority="8675" stopIfTrue="1">
      <formula>$N445="BAM"</formula>
    </cfRule>
  </conditionalFormatting>
  <conditionalFormatting sqref="AG445:AL445">
    <cfRule type="expression" dxfId="7763" priority="8699" stopIfTrue="1">
      <formula>$N445="BAM"</formula>
    </cfRule>
  </conditionalFormatting>
  <conditionalFormatting sqref="AX448">
    <cfRule type="expression" dxfId="7762" priority="8665">
      <formula>$E448=""</formula>
    </cfRule>
  </conditionalFormatting>
  <conditionalFormatting sqref="AX447">
    <cfRule type="expression" dxfId="7761" priority="8664">
      <formula>$E447=""</formula>
    </cfRule>
  </conditionalFormatting>
  <conditionalFormatting sqref="AX449">
    <cfRule type="expression" dxfId="7760" priority="8663">
      <formula>#REF!=""</formula>
    </cfRule>
  </conditionalFormatting>
  <conditionalFormatting sqref="AX450">
    <cfRule type="expression" dxfId="7759" priority="8662">
      <formula>$E449=""</formula>
    </cfRule>
  </conditionalFormatting>
  <conditionalFormatting sqref="AY447:AZ450">
    <cfRule type="expression" dxfId="7758" priority="8661">
      <formula>$G447=""</formula>
    </cfRule>
  </conditionalFormatting>
  <conditionalFormatting sqref="G449">
    <cfRule type="expression" dxfId="7757" priority="8658" stopIfTrue="1">
      <formula>$G447=""</formula>
    </cfRule>
    <cfRule type="containsBlanks" dxfId="7756" priority="8659" stopIfTrue="1">
      <formula>LEN(TRIM(G449))=0</formula>
    </cfRule>
    <cfRule type="expression" dxfId="7755" priority="8660">
      <formula>OR($M449=0,$HH448=FALSE)</formula>
    </cfRule>
  </conditionalFormatting>
  <conditionalFormatting sqref="AO449">
    <cfRule type="expression" dxfId="7754" priority="8657" stopIfTrue="1">
      <formula>$G447=""</formula>
    </cfRule>
  </conditionalFormatting>
  <conditionalFormatting sqref="AU447:AU450">
    <cfRule type="expression" dxfId="7753" priority="8654" stopIfTrue="1">
      <formula>$C$43=2</formula>
    </cfRule>
    <cfRule type="cellIs" dxfId="7752" priority="8655" operator="equal">
      <formula>"Yes"</formula>
    </cfRule>
    <cfRule type="cellIs" dxfId="7751" priority="8656" operator="equal">
      <formula>"No"</formula>
    </cfRule>
  </conditionalFormatting>
  <conditionalFormatting sqref="AO447:AO448">
    <cfRule type="expression" dxfId="7750" priority="8653">
      <formula>$G447=""</formula>
    </cfRule>
  </conditionalFormatting>
  <conditionalFormatting sqref="AP447 AR447:AS450">
    <cfRule type="expression" dxfId="7749" priority="8652">
      <formula>$G447=""</formula>
    </cfRule>
  </conditionalFormatting>
  <conditionalFormatting sqref="AW447:AW450">
    <cfRule type="expression" dxfId="7748" priority="8651">
      <formula>$G447=""</formula>
    </cfRule>
  </conditionalFormatting>
  <conditionalFormatting sqref="G448:L448">
    <cfRule type="expression" dxfId="7747" priority="8649" stopIfTrue="1">
      <formula>$G447=""</formula>
    </cfRule>
    <cfRule type="containsBlanks" dxfId="7746" priority="8650">
      <formula>LEN(TRIM(G448))=0</formula>
    </cfRule>
  </conditionalFormatting>
  <conditionalFormatting sqref="R449">
    <cfRule type="expression" dxfId="7745" priority="8646">
      <formula>$N450="BAM"</formula>
    </cfRule>
    <cfRule type="expression" dxfId="7744" priority="8647" stopIfTrue="1">
      <formula>$G447=""</formula>
    </cfRule>
    <cfRule type="containsBlanks" dxfId="7743" priority="8648">
      <formula>LEN(TRIM(R449))=0</formula>
    </cfRule>
  </conditionalFormatting>
  <conditionalFormatting sqref="R449">
    <cfRule type="expression" dxfId="7742" priority="8645">
      <formula>$C$43=0</formula>
    </cfRule>
  </conditionalFormatting>
  <conditionalFormatting sqref="E450:F450">
    <cfRule type="expression" dxfId="7741" priority="8644">
      <formula>$CQ447="Exterior"</formula>
    </cfRule>
  </conditionalFormatting>
  <conditionalFormatting sqref="G450">
    <cfRule type="expression" dxfId="7740" priority="8634" stopIfTrue="1">
      <formula>$G447=""</formula>
    </cfRule>
  </conditionalFormatting>
  <conditionalFormatting sqref="G450">
    <cfRule type="expression" dxfId="7739" priority="8636" stopIfTrue="1">
      <formula>$CQ447="Exterior"</formula>
    </cfRule>
  </conditionalFormatting>
  <conditionalFormatting sqref="G450:L450">
    <cfRule type="expression" dxfId="7738" priority="8635" stopIfTrue="1">
      <formula>$N450="BAM"</formula>
    </cfRule>
    <cfRule type="containsBlanks" dxfId="7737" priority="8637" stopIfTrue="1">
      <formula>LEN(TRIM(G450))=0</formula>
    </cfRule>
    <cfRule type="expression" dxfId="7736" priority="8639">
      <formula>$HQ448=FALSE</formula>
    </cfRule>
  </conditionalFormatting>
  <conditionalFormatting sqref="G450:L450">
    <cfRule type="expression" dxfId="7735" priority="8638" stopIfTrue="1">
      <formula>$AG449=""</formula>
    </cfRule>
  </conditionalFormatting>
  <conditionalFormatting sqref="G449:L449">
    <cfRule type="expression" dxfId="7734" priority="8632" stopIfTrue="1">
      <formula>$N450="BAM"</formula>
    </cfRule>
  </conditionalFormatting>
  <conditionalFormatting sqref="G447:R447">
    <cfRule type="containsBlanks" dxfId="7733" priority="8631">
      <formula>LEN(TRIM(G447))=0</formula>
    </cfRule>
  </conditionalFormatting>
  <conditionalFormatting sqref="AF449">
    <cfRule type="expression" dxfId="7732" priority="8621" stopIfTrue="1">
      <formula>$G447=""</formula>
    </cfRule>
    <cfRule type="expression" dxfId="7731" priority="8622" stopIfTrue="1">
      <formula>$N450="BAM"</formula>
    </cfRule>
    <cfRule type="expression" dxfId="7730" priority="8630">
      <formula>$AF$49&gt;$T$49</formula>
    </cfRule>
  </conditionalFormatting>
  <conditionalFormatting sqref="AC450:AE450">
    <cfRule type="expression" dxfId="7729" priority="8627" stopIfTrue="1">
      <formula>$G447=""</formula>
    </cfRule>
  </conditionalFormatting>
  <conditionalFormatting sqref="T449:U449">
    <cfRule type="expression" dxfId="7728" priority="8594" stopIfTrue="1">
      <formula>$G447=""</formula>
    </cfRule>
  </conditionalFormatting>
  <conditionalFormatting sqref="T449:U449">
    <cfRule type="containsBlanks" dxfId="7727" priority="8624" stopIfTrue="1">
      <formula>LEN(TRIM(T449))=0</formula>
    </cfRule>
  </conditionalFormatting>
  <conditionalFormatting sqref="AC447:AE447">
    <cfRule type="expression" dxfId="7726" priority="8623">
      <formula>$G447=""</formula>
    </cfRule>
  </conditionalFormatting>
  <conditionalFormatting sqref="AF449 AG450">
    <cfRule type="containsBlanks" dxfId="7725" priority="8628" stopIfTrue="1">
      <formula>LEN(TRIM(AF449))=0</formula>
    </cfRule>
  </conditionalFormatting>
  <conditionalFormatting sqref="AF449">
    <cfRule type="expression" dxfId="7724" priority="8629">
      <formula>OR($HS448=FALSE,$HT448=FALSE)</formula>
    </cfRule>
  </conditionalFormatting>
  <conditionalFormatting sqref="AG450">
    <cfRule type="expression" dxfId="7723" priority="8587">
      <formula>$C$43&gt;0</formula>
    </cfRule>
  </conditionalFormatting>
  <conditionalFormatting sqref="AG450">
    <cfRule type="expression" dxfId="7722" priority="8620" stopIfTrue="1">
      <formula>$G447=""</formula>
    </cfRule>
  </conditionalFormatting>
  <conditionalFormatting sqref="U449">
    <cfRule type="expression" dxfId="7721" priority="8625">
      <formula>OR($HK448=FALSE,$HL448=FALSE)</formula>
    </cfRule>
  </conditionalFormatting>
  <conditionalFormatting sqref="T448:U448">
    <cfRule type="expression" dxfId="7720" priority="8615" stopIfTrue="1">
      <formula>$C$43&lt;&gt;0</formula>
    </cfRule>
    <cfRule type="containsBlanks" dxfId="7719" priority="8616" stopIfTrue="1">
      <formula>LEN(TRIM(T448))=0</formula>
    </cfRule>
  </conditionalFormatting>
  <conditionalFormatting sqref="T448:U448">
    <cfRule type="expression" dxfId="7718" priority="8614" stopIfTrue="1">
      <formula>$G447=""</formula>
    </cfRule>
  </conditionalFormatting>
  <conditionalFormatting sqref="U448">
    <cfRule type="expression" dxfId="7717" priority="8617">
      <formula>$HJ448=FALSE</formula>
    </cfRule>
  </conditionalFormatting>
  <conditionalFormatting sqref="AG449">
    <cfRule type="expression" dxfId="7716" priority="8605" stopIfTrue="1">
      <formula>$G447=""</formula>
    </cfRule>
  </conditionalFormatting>
  <conditionalFormatting sqref="AG449:AL449">
    <cfRule type="expression" dxfId="7715" priority="8606">
      <formula>$N450="BAM"</formula>
    </cfRule>
    <cfRule type="expression" dxfId="7714" priority="8610">
      <formula>OR($HU448=FALSE,$HQ448=FALSE)</formula>
    </cfRule>
  </conditionalFormatting>
  <conditionalFormatting sqref="AG449">
    <cfRule type="containsBlanks" dxfId="7713" priority="8607" stopIfTrue="1">
      <formula>LEN(TRIM(AG449))=0</formula>
    </cfRule>
    <cfRule type="expression" dxfId="7712" priority="8608">
      <formula>OR($HP448=FALSE,$HR448=FALSE)</formula>
    </cfRule>
    <cfRule type="expression" dxfId="7711" priority="8609">
      <formula>OR($DS447=7,$DS447=8,$DS447=9)</formula>
    </cfRule>
  </conditionalFormatting>
  <conditionalFormatting sqref="AG447:AL447">
    <cfRule type="expression" dxfId="7710" priority="8604">
      <formula>$C$43&lt;&gt;0</formula>
    </cfRule>
  </conditionalFormatting>
  <conditionalFormatting sqref="AF448">
    <cfRule type="containsBlanks" dxfId="7709" priority="8603">
      <formula>LEN(TRIM(AF448))=0</formula>
    </cfRule>
  </conditionalFormatting>
  <conditionalFormatting sqref="AF448">
    <cfRule type="expression" dxfId="7708" priority="8602" stopIfTrue="1">
      <formula>$G447=""</formula>
    </cfRule>
  </conditionalFormatting>
  <conditionalFormatting sqref="AG448">
    <cfRule type="containsBlanks" dxfId="7707" priority="8600">
      <formula>LEN(TRIM(AG448))=0</formula>
    </cfRule>
    <cfRule type="expression" dxfId="7706" priority="8601">
      <formula>$HO448=FALSE</formula>
    </cfRule>
  </conditionalFormatting>
  <conditionalFormatting sqref="AG448">
    <cfRule type="expression" dxfId="7705" priority="8599" stopIfTrue="1">
      <formula>$G447=""</formula>
    </cfRule>
  </conditionalFormatting>
  <conditionalFormatting sqref="AF448:AK448">
    <cfRule type="expression" dxfId="7704" priority="8598">
      <formula>$C$43&gt;0</formula>
    </cfRule>
  </conditionalFormatting>
  <conditionalFormatting sqref="AM447:AN448">
    <cfRule type="expression" dxfId="7703" priority="8597">
      <formula>$G447=""</formula>
    </cfRule>
  </conditionalFormatting>
  <conditionalFormatting sqref="AM449:AN449">
    <cfRule type="expression" dxfId="7702" priority="8596" stopIfTrue="1">
      <formula>$G447=""</formula>
    </cfRule>
  </conditionalFormatting>
  <conditionalFormatting sqref="T449">
    <cfRule type="expression" dxfId="7701" priority="8618" stopIfTrue="1">
      <formula>$N450="BAM"</formula>
    </cfRule>
  </conditionalFormatting>
  <conditionalFormatting sqref="U449:AE449">
    <cfRule type="expression" dxfId="7700" priority="8595" stopIfTrue="1">
      <formula>$N450="BAM"</formula>
    </cfRule>
  </conditionalFormatting>
  <conditionalFormatting sqref="AG450:AL450">
    <cfRule type="expression" dxfId="7699" priority="8619" stopIfTrue="1">
      <formula>$N450="BAM"</formula>
    </cfRule>
  </conditionalFormatting>
  <conditionalFormatting sqref="AX453">
    <cfRule type="expression" dxfId="7698" priority="8585">
      <formula>$E453=""</formula>
    </cfRule>
  </conditionalFormatting>
  <conditionalFormatting sqref="AX452">
    <cfRule type="expression" dxfId="7697" priority="8584">
      <formula>$E452=""</formula>
    </cfRule>
  </conditionalFormatting>
  <conditionalFormatting sqref="AX454">
    <cfRule type="expression" dxfId="7696" priority="8583">
      <formula>#REF!=""</formula>
    </cfRule>
  </conditionalFormatting>
  <conditionalFormatting sqref="AX455">
    <cfRule type="expression" dxfId="7695" priority="8582">
      <formula>$E454=""</formula>
    </cfRule>
  </conditionalFormatting>
  <conditionalFormatting sqref="AY452:AZ455">
    <cfRule type="expression" dxfId="7694" priority="8581">
      <formula>$G452=""</formula>
    </cfRule>
  </conditionalFormatting>
  <conditionalFormatting sqref="G454">
    <cfRule type="expression" dxfId="7693" priority="8578" stopIfTrue="1">
      <formula>$G452=""</formula>
    </cfRule>
    <cfRule type="containsBlanks" dxfId="7692" priority="8579" stopIfTrue="1">
      <formula>LEN(TRIM(G454))=0</formula>
    </cfRule>
    <cfRule type="expression" dxfId="7691" priority="8580">
      <formula>OR($M454=0,$HH453=FALSE)</formula>
    </cfRule>
  </conditionalFormatting>
  <conditionalFormatting sqref="AO454">
    <cfRule type="expression" dxfId="7690" priority="8577" stopIfTrue="1">
      <formula>$G452=""</formula>
    </cfRule>
  </conditionalFormatting>
  <conditionalFormatting sqref="AU452:AU455">
    <cfRule type="expression" dxfId="7689" priority="8574" stopIfTrue="1">
      <formula>$C$43=2</formula>
    </cfRule>
    <cfRule type="cellIs" dxfId="7688" priority="8575" operator="equal">
      <formula>"Yes"</formula>
    </cfRule>
    <cfRule type="cellIs" dxfId="7687" priority="8576" operator="equal">
      <formula>"No"</formula>
    </cfRule>
  </conditionalFormatting>
  <conditionalFormatting sqref="AO452:AO453">
    <cfRule type="expression" dxfId="7686" priority="8573">
      <formula>$G452=""</formula>
    </cfRule>
  </conditionalFormatting>
  <conditionalFormatting sqref="AP452 AR452:AS455">
    <cfRule type="expression" dxfId="7685" priority="8572">
      <formula>$G452=""</formula>
    </cfRule>
  </conditionalFormatting>
  <conditionalFormatting sqref="AW452:AW455">
    <cfRule type="expression" dxfId="7684" priority="8571">
      <formula>$G452=""</formula>
    </cfRule>
  </conditionalFormatting>
  <conditionalFormatting sqref="G453:L453">
    <cfRule type="expression" dxfId="7683" priority="8569" stopIfTrue="1">
      <formula>$G452=""</formula>
    </cfRule>
    <cfRule type="containsBlanks" dxfId="7682" priority="8570">
      <formula>LEN(TRIM(G453))=0</formula>
    </cfRule>
  </conditionalFormatting>
  <conditionalFormatting sqref="R454">
    <cfRule type="expression" dxfId="7681" priority="8566">
      <formula>$N455="BAM"</formula>
    </cfRule>
    <cfRule type="expression" dxfId="7680" priority="8567" stopIfTrue="1">
      <formula>$G452=""</formula>
    </cfRule>
    <cfRule type="containsBlanks" dxfId="7679" priority="8568">
      <formula>LEN(TRIM(R454))=0</formula>
    </cfRule>
  </conditionalFormatting>
  <conditionalFormatting sqref="R454">
    <cfRule type="expression" dxfId="7678" priority="8565">
      <formula>$C$43=0</formula>
    </cfRule>
  </conditionalFormatting>
  <conditionalFormatting sqref="E455:F455">
    <cfRule type="expression" dxfId="7677" priority="8564">
      <formula>$CQ452="Exterior"</formula>
    </cfRule>
  </conditionalFormatting>
  <conditionalFormatting sqref="G455">
    <cfRule type="expression" dxfId="7676" priority="8554" stopIfTrue="1">
      <formula>$G452=""</formula>
    </cfRule>
  </conditionalFormatting>
  <conditionalFormatting sqref="G455">
    <cfRule type="expression" dxfId="7675" priority="8556" stopIfTrue="1">
      <formula>$CQ452="Exterior"</formula>
    </cfRule>
  </conditionalFormatting>
  <conditionalFormatting sqref="G455:L455">
    <cfRule type="expression" dxfId="7674" priority="8555" stopIfTrue="1">
      <formula>$N455="BAM"</formula>
    </cfRule>
    <cfRule type="containsBlanks" dxfId="7673" priority="8557" stopIfTrue="1">
      <formula>LEN(TRIM(G455))=0</formula>
    </cfRule>
    <cfRule type="expression" dxfId="7672" priority="8559">
      <formula>$HQ453=FALSE</formula>
    </cfRule>
  </conditionalFormatting>
  <conditionalFormatting sqref="G455:L455">
    <cfRule type="expression" dxfId="7671" priority="8558" stopIfTrue="1">
      <formula>$AG454=""</formula>
    </cfRule>
  </conditionalFormatting>
  <conditionalFormatting sqref="G454:L454">
    <cfRule type="expression" dxfId="7670" priority="8552" stopIfTrue="1">
      <formula>$N455="BAM"</formula>
    </cfRule>
  </conditionalFormatting>
  <conditionalFormatting sqref="G452:R452">
    <cfRule type="containsBlanks" dxfId="7669" priority="8551">
      <formula>LEN(TRIM(G452))=0</formula>
    </cfRule>
  </conditionalFormatting>
  <conditionalFormatting sqref="AF454">
    <cfRule type="expression" dxfId="7668" priority="8541" stopIfTrue="1">
      <formula>$G452=""</formula>
    </cfRule>
    <cfRule type="expression" dxfId="7667" priority="8542" stopIfTrue="1">
      <formula>$N455="BAM"</formula>
    </cfRule>
    <cfRule type="expression" dxfId="7666" priority="8550">
      <formula>$AF$49&gt;$T$49</formula>
    </cfRule>
  </conditionalFormatting>
  <conditionalFormatting sqref="AC455:AE455">
    <cfRule type="expression" dxfId="7665" priority="8547" stopIfTrue="1">
      <formula>$G452=""</formula>
    </cfRule>
  </conditionalFormatting>
  <conditionalFormatting sqref="T454:U454">
    <cfRule type="expression" dxfId="7664" priority="8514" stopIfTrue="1">
      <formula>$G452=""</formula>
    </cfRule>
  </conditionalFormatting>
  <conditionalFormatting sqref="T454:U454">
    <cfRule type="containsBlanks" dxfId="7663" priority="8544" stopIfTrue="1">
      <formula>LEN(TRIM(T454))=0</formula>
    </cfRule>
  </conditionalFormatting>
  <conditionalFormatting sqref="AC452:AE452">
    <cfRule type="expression" dxfId="7662" priority="8543">
      <formula>$G452=""</formula>
    </cfRule>
  </conditionalFormatting>
  <conditionalFormatting sqref="AF454 AG455">
    <cfRule type="containsBlanks" dxfId="7661" priority="8548" stopIfTrue="1">
      <formula>LEN(TRIM(AF454))=0</formula>
    </cfRule>
  </conditionalFormatting>
  <conditionalFormatting sqref="AF454">
    <cfRule type="expression" dxfId="7660" priority="8549">
      <formula>OR($HS453=FALSE,$HT453=FALSE)</formula>
    </cfRule>
  </conditionalFormatting>
  <conditionalFormatting sqref="AG455">
    <cfRule type="expression" dxfId="7659" priority="8507">
      <formula>$C$43&gt;0</formula>
    </cfRule>
  </conditionalFormatting>
  <conditionalFormatting sqref="AG455">
    <cfRule type="expression" dxfId="7658" priority="8540" stopIfTrue="1">
      <formula>$G452=""</formula>
    </cfRule>
  </conditionalFormatting>
  <conditionalFormatting sqref="U454">
    <cfRule type="expression" dxfId="7657" priority="8545">
      <formula>OR($HK453=FALSE,$HL453=FALSE)</formula>
    </cfRule>
  </conditionalFormatting>
  <conditionalFormatting sqref="T453:U453">
    <cfRule type="expression" dxfId="7656" priority="8535" stopIfTrue="1">
      <formula>$C$43&lt;&gt;0</formula>
    </cfRule>
    <cfRule type="containsBlanks" dxfId="7655" priority="8536" stopIfTrue="1">
      <formula>LEN(TRIM(T453))=0</formula>
    </cfRule>
  </conditionalFormatting>
  <conditionalFormatting sqref="T453:U453">
    <cfRule type="expression" dxfId="7654" priority="8534" stopIfTrue="1">
      <formula>$G452=""</formula>
    </cfRule>
  </conditionalFormatting>
  <conditionalFormatting sqref="U453">
    <cfRule type="expression" dxfId="7653" priority="8537">
      <formula>$HJ453=FALSE</formula>
    </cfRule>
  </conditionalFormatting>
  <conditionalFormatting sqref="AG454">
    <cfRule type="expression" dxfId="7652" priority="8525" stopIfTrue="1">
      <formula>$G452=""</formula>
    </cfRule>
  </conditionalFormatting>
  <conditionalFormatting sqref="AG454:AL454">
    <cfRule type="expression" dxfId="7651" priority="8526">
      <formula>$N455="BAM"</formula>
    </cfRule>
    <cfRule type="expression" dxfId="7650" priority="8530">
      <formula>OR($HU453=FALSE,$HQ453=FALSE)</formula>
    </cfRule>
  </conditionalFormatting>
  <conditionalFormatting sqref="AG454">
    <cfRule type="containsBlanks" dxfId="7649" priority="8527" stopIfTrue="1">
      <formula>LEN(TRIM(AG454))=0</formula>
    </cfRule>
    <cfRule type="expression" dxfId="7648" priority="8528">
      <formula>OR($HP453=FALSE,$HR453=FALSE)</formula>
    </cfRule>
    <cfRule type="expression" dxfId="7647" priority="8529">
      <formula>OR($DS452=7,$DS452=8,$DS452=9)</formula>
    </cfRule>
  </conditionalFormatting>
  <conditionalFormatting sqref="AG452:AL452">
    <cfRule type="expression" dxfId="7646" priority="8524">
      <formula>$C$43&lt;&gt;0</formula>
    </cfRule>
  </conditionalFormatting>
  <conditionalFormatting sqref="AF453">
    <cfRule type="containsBlanks" dxfId="7645" priority="8523">
      <formula>LEN(TRIM(AF453))=0</formula>
    </cfRule>
  </conditionalFormatting>
  <conditionalFormatting sqref="AF453">
    <cfRule type="expression" dxfId="7644" priority="8522" stopIfTrue="1">
      <formula>$G452=""</formula>
    </cfRule>
  </conditionalFormatting>
  <conditionalFormatting sqref="AG453">
    <cfRule type="containsBlanks" dxfId="7643" priority="8520">
      <formula>LEN(TRIM(AG453))=0</formula>
    </cfRule>
    <cfRule type="expression" dxfId="7642" priority="8521">
      <formula>$HO453=FALSE</formula>
    </cfRule>
  </conditionalFormatting>
  <conditionalFormatting sqref="AG453">
    <cfRule type="expression" dxfId="7641" priority="8519" stopIfTrue="1">
      <formula>$G452=""</formula>
    </cfRule>
  </conditionalFormatting>
  <conditionalFormatting sqref="AF453:AK453">
    <cfRule type="expression" dxfId="7640" priority="8518">
      <formula>$C$43&gt;0</formula>
    </cfRule>
  </conditionalFormatting>
  <conditionalFormatting sqref="AM452:AN453">
    <cfRule type="expression" dxfId="7639" priority="8517">
      <formula>$G452=""</formula>
    </cfRule>
  </conditionalFormatting>
  <conditionalFormatting sqref="AM454:AN454">
    <cfRule type="expression" dxfId="7638" priority="8516" stopIfTrue="1">
      <formula>$G452=""</formula>
    </cfRule>
  </conditionalFormatting>
  <conditionalFormatting sqref="T454">
    <cfRule type="expression" dxfId="7637" priority="8538" stopIfTrue="1">
      <formula>$N455="BAM"</formula>
    </cfRule>
  </conditionalFormatting>
  <conditionalFormatting sqref="U454:AE454">
    <cfRule type="expression" dxfId="7636" priority="8515" stopIfTrue="1">
      <formula>$N455="BAM"</formula>
    </cfRule>
  </conditionalFormatting>
  <conditionalFormatting sqref="AG455:AL455">
    <cfRule type="expression" dxfId="7635" priority="8539" stopIfTrue="1">
      <formula>$N455="BAM"</formula>
    </cfRule>
  </conditionalFormatting>
  <conditionalFormatting sqref="AX458">
    <cfRule type="expression" dxfId="7634" priority="8505">
      <formula>$E458=""</formula>
    </cfRule>
  </conditionalFormatting>
  <conditionalFormatting sqref="AX457">
    <cfRule type="expression" dxfId="7633" priority="8504">
      <formula>$E457=""</formula>
    </cfRule>
  </conditionalFormatting>
  <conditionalFormatting sqref="AX459">
    <cfRule type="expression" dxfId="7632" priority="8503">
      <formula>#REF!=""</formula>
    </cfRule>
  </conditionalFormatting>
  <conditionalFormatting sqref="AX460">
    <cfRule type="expression" dxfId="7631" priority="8502">
      <formula>$E459=""</formula>
    </cfRule>
  </conditionalFormatting>
  <conditionalFormatting sqref="AY457:AZ460">
    <cfRule type="expression" dxfId="7630" priority="8501">
      <formula>$G457=""</formula>
    </cfRule>
  </conditionalFormatting>
  <conditionalFormatting sqref="G459">
    <cfRule type="expression" dxfId="7629" priority="8498" stopIfTrue="1">
      <formula>$G457=""</formula>
    </cfRule>
    <cfRule type="containsBlanks" dxfId="7628" priority="8499" stopIfTrue="1">
      <formula>LEN(TRIM(G459))=0</formula>
    </cfRule>
    <cfRule type="expression" dxfId="7627" priority="8500">
      <formula>OR($M459=0,$HH458=FALSE)</formula>
    </cfRule>
  </conditionalFormatting>
  <conditionalFormatting sqref="AO459">
    <cfRule type="expression" dxfId="7626" priority="8497" stopIfTrue="1">
      <formula>$G457=""</formula>
    </cfRule>
  </conditionalFormatting>
  <conditionalFormatting sqref="AU457:AU460">
    <cfRule type="expression" dxfId="7625" priority="8494" stopIfTrue="1">
      <formula>$C$43=2</formula>
    </cfRule>
    <cfRule type="cellIs" dxfId="7624" priority="8495" operator="equal">
      <formula>"Yes"</formula>
    </cfRule>
    <cfRule type="cellIs" dxfId="7623" priority="8496" operator="equal">
      <formula>"No"</formula>
    </cfRule>
  </conditionalFormatting>
  <conditionalFormatting sqref="AO457:AO458">
    <cfRule type="expression" dxfId="7622" priority="8493">
      <formula>$G457=""</formula>
    </cfRule>
  </conditionalFormatting>
  <conditionalFormatting sqref="AP457 AR457:AS460">
    <cfRule type="expression" dxfId="7621" priority="8492">
      <formula>$G457=""</formula>
    </cfRule>
  </conditionalFormatting>
  <conditionalFormatting sqref="AW457:AW460">
    <cfRule type="expression" dxfId="7620" priority="8491">
      <formula>$G457=""</formula>
    </cfRule>
  </conditionalFormatting>
  <conditionalFormatting sqref="G458:L458">
    <cfRule type="expression" dxfId="7619" priority="8489" stopIfTrue="1">
      <formula>$G457=""</formula>
    </cfRule>
    <cfRule type="containsBlanks" dxfId="7618" priority="8490">
      <formula>LEN(TRIM(G458))=0</formula>
    </cfRule>
  </conditionalFormatting>
  <conditionalFormatting sqref="R459">
    <cfRule type="expression" dxfId="7617" priority="8486">
      <formula>$N460="BAM"</formula>
    </cfRule>
    <cfRule type="expression" dxfId="7616" priority="8487" stopIfTrue="1">
      <formula>$G457=""</formula>
    </cfRule>
    <cfRule type="containsBlanks" dxfId="7615" priority="8488">
      <formula>LEN(TRIM(R459))=0</formula>
    </cfRule>
  </conditionalFormatting>
  <conditionalFormatting sqref="R459">
    <cfRule type="expression" dxfId="7614" priority="8485">
      <formula>$C$43=0</formula>
    </cfRule>
  </conditionalFormatting>
  <conditionalFormatting sqref="E460:F460">
    <cfRule type="expression" dxfId="7613" priority="8484">
      <formula>$CQ457="Exterior"</formula>
    </cfRule>
  </conditionalFormatting>
  <conditionalFormatting sqref="G460">
    <cfRule type="expression" dxfId="7612" priority="8474" stopIfTrue="1">
      <formula>$G457=""</formula>
    </cfRule>
  </conditionalFormatting>
  <conditionalFormatting sqref="G460">
    <cfRule type="expression" dxfId="7611" priority="8476" stopIfTrue="1">
      <formula>$CQ457="Exterior"</formula>
    </cfRule>
  </conditionalFormatting>
  <conditionalFormatting sqref="G460:L460">
    <cfRule type="expression" dxfId="7610" priority="8475" stopIfTrue="1">
      <formula>$N460="BAM"</formula>
    </cfRule>
    <cfRule type="containsBlanks" dxfId="7609" priority="8477" stopIfTrue="1">
      <formula>LEN(TRIM(G460))=0</formula>
    </cfRule>
    <cfRule type="expression" dxfId="7608" priority="8479">
      <formula>$HQ458=FALSE</formula>
    </cfRule>
  </conditionalFormatting>
  <conditionalFormatting sqref="G460:L460">
    <cfRule type="expression" dxfId="7607" priority="8478" stopIfTrue="1">
      <formula>$AG459=""</formula>
    </cfRule>
  </conditionalFormatting>
  <conditionalFormatting sqref="G459:L459">
    <cfRule type="expression" dxfId="7606" priority="8472" stopIfTrue="1">
      <formula>$N460="BAM"</formula>
    </cfRule>
  </conditionalFormatting>
  <conditionalFormatting sqref="G457:R457">
    <cfRule type="containsBlanks" dxfId="7605" priority="8471">
      <formula>LEN(TRIM(G457))=0</formula>
    </cfRule>
  </conditionalFormatting>
  <conditionalFormatting sqref="AF459">
    <cfRule type="expression" dxfId="7604" priority="8461" stopIfTrue="1">
      <formula>$G457=""</formula>
    </cfRule>
    <cfRule type="expression" dxfId="7603" priority="8462" stopIfTrue="1">
      <formula>$N460="BAM"</formula>
    </cfRule>
    <cfRule type="expression" dxfId="7602" priority="8470">
      <formula>$AF$49&gt;$T$49</formula>
    </cfRule>
  </conditionalFormatting>
  <conditionalFormatting sqref="AC460:AE460">
    <cfRule type="expression" dxfId="7601" priority="8467" stopIfTrue="1">
      <formula>$G457=""</formula>
    </cfRule>
  </conditionalFormatting>
  <conditionalFormatting sqref="T459:U459">
    <cfRule type="expression" dxfId="7600" priority="8434" stopIfTrue="1">
      <formula>$G457=""</formula>
    </cfRule>
  </conditionalFormatting>
  <conditionalFormatting sqref="T459:U459">
    <cfRule type="containsBlanks" dxfId="7599" priority="8464" stopIfTrue="1">
      <formula>LEN(TRIM(T459))=0</formula>
    </cfRule>
  </conditionalFormatting>
  <conditionalFormatting sqref="AC457:AE457">
    <cfRule type="expression" dxfId="7598" priority="8463">
      <formula>$G457=""</formula>
    </cfRule>
  </conditionalFormatting>
  <conditionalFormatting sqref="AF459 AG460">
    <cfRule type="containsBlanks" dxfId="7597" priority="8468" stopIfTrue="1">
      <formula>LEN(TRIM(AF459))=0</formula>
    </cfRule>
  </conditionalFormatting>
  <conditionalFormatting sqref="AF459">
    <cfRule type="expression" dxfId="7596" priority="8469">
      <formula>OR($HS458=FALSE,$HT458=FALSE)</formula>
    </cfRule>
  </conditionalFormatting>
  <conditionalFormatting sqref="AG460">
    <cfRule type="expression" dxfId="7595" priority="8427">
      <formula>$C$43&gt;0</formula>
    </cfRule>
  </conditionalFormatting>
  <conditionalFormatting sqref="AG460">
    <cfRule type="expression" dxfId="7594" priority="8460" stopIfTrue="1">
      <formula>$G457=""</formula>
    </cfRule>
  </conditionalFormatting>
  <conditionalFormatting sqref="U459">
    <cfRule type="expression" dxfId="7593" priority="8465">
      <formula>OR($HK458=FALSE,$HL458=FALSE)</formula>
    </cfRule>
  </conditionalFormatting>
  <conditionalFormatting sqref="T458:U458">
    <cfRule type="expression" dxfId="7592" priority="8455" stopIfTrue="1">
      <formula>$C$43&lt;&gt;0</formula>
    </cfRule>
    <cfRule type="containsBlanks" dxfId="7591" priority="8456" stopIfTrue="1">
      <formula>LEN(TRIM(T458))=0</formula>
    </cfRule>
  </conditionalFormatting>
  <conditionalFormatting sqref="T458:U458">
    <cfRule type="expression" dxfId="7590" priority="8454" stopIfTrue="1">
      <formula>$G457=""</formula>
    </cfRule>
  </conditionalFormatting>
  <conditionalFormatting sqref="U458">
    <cfRule type="expression" dxfId="7589" priority="8457">
      <formula>$HJ458=FALSE</formula>
    </cfRule>
  </conditionalFormatting>
  <conditionalFormatting sqref="AG459">
    <cfRule type="expression" dxfId="7588" priority="8445" stopIfTrue="1">
      <formula>$G457=""</formula>
    </cfRule>
  </conditionalFormatting>
  <conditionalFormatting sqref="AG459:AL459">
    <cfRule type="expression" dxfId="7587" priority="8446">
      <formula>$N460="BAM"</formula>
    </cfRule>
    <cfRule type="expression" dxfId="7586" priority="8450">
      <formula>OR($HU458=FALSE,$HQ458=FALSE)</formula>
    </cfRule>
  </conditionalFormatting>
  <conditionalFormatting sqref="AG459">
    <cfRule type="containsBlanks" dxfId="7585" priority="8447" stopIfTrue="1">
      <formula>LEN(TRIM(AG459))=0</formula>
    </cfRule>
    <cfRule type="expression" dxfId="7584" priority="8448">
      <formula>OR($HP458=FALSE,$HR458=FALSE)</formula>
    </cfRule>
    <cfRule type="expression" dxfId="7583" priority="8449">
      <formula>OR($DS457=7,$DS457=8,$DS457=9)</formula>
    </cfRule>
  </conditionalFormatting>
  <conditionalFormatting sqref="AG457:AL457">
    <cfRule type="expression" dxfId="7582" priority="8444">
      <formula>$C$43&lt;&gt;0</formula>
    </cfRule>
  </conditionalFormatting>
  <conditionalFormatting sqref="AF458">
    <cfRule type="containsBlanks" dxfId="7581" priority="8443">
      <formula>LEN(TRIM(AF458))=0</formula>
    </cfRule>
  </conditionalFormatting>
  <conditionalFormatting sqref="AF458">
    <cfRule type="expression" dxfId="7580" priority="8442" stopIfTrue="1">
      <formula>$G457=""</formula>
    </cfRule>
  </conditionalFormatting>
  <conditionalFormatting sqref="AG458">
    <cfRule type="containsBlanks" dxfId="7579" priority="8440">
      <formula>LEN(TRIM(AG458))=0</formula>
    </cfRule>
    <cfRule type="expression" dxfId="7578" priority="8441">
      <formula>$HO458=FALSE</formula>
    </cfRule>
  </conditionalFormatting>
  <conditionalFormatting sqref="AG458">
    <cfRule type="expression" dxfId="7577" priority="8439" stopIfTrue="1">
      <formula>$G457=""</formula>
    </cfRule>
  </conditionalFormatting>
  <conditionalFormatting sqref="AF458:AK458">
    <cfRule type="expression" dxfId="7576" priority="8438">
      <formula>$C$43&gt;0</formula>
    </cfRule>
  </conditionalFormatting>
  <conditionalFormatting sqref="AM457:AN458">
    <cfRule type="expression" dxfId="7575" priority="8437">
      <formula>$G457=""</formula>
    </cfRule>
  </conditionalFormatting>
  <conditionalFormatting sqref="AM459:AN459">
    <cfRule type="expression" dxfId="7574" priority="8436" stopIfTrue="1">
      <formula>$G457=""</formula>
    </cfRule>
  </conditionalFormatting>
  <conditionalFormatting sqref="T459">
    <cfRule type="expression" dxfId="7573" priority="8458" stopIfTrue="1">
      <formula>$N460="BAM"</formula>
    </cfRule>
  </conditionalFormatting>
  <conditionalFormatting sqref="U459:AE459">
    <cfRule type="expression" dxfId="7572" priority="8435" stopIfTrue="1">
      <formula>$N460="BAM"</formula>
    </cfRule>
  </conditionalFormatting>
  <conditionalFormatting sqref="AG460:AL460">
    <cfRule type="expression" dxfId="7571" priority="8459" stopIfTrue="1">
      <formula>$N460="BAM"</formula>
    </cfRule>
  </conditionalFormatting>
  <conditionalFormatting sqref="AX463">
    <cfRule type="expression" dxfId="7570" priority="8425">
      <formula>$E463=""</formula>
    </cfRule>
  </conditionalFormatting>
  <conditionalFormatting sqref="AX462">
    <cfRule type="expression" dxfId="7569" priority="8424">
      <formula>$E462=""</formula>
    </cfRule>
  </conditionalFormatting>
  <conditionalFormatting sqref="AX464">
    <cfRule type="expression" dxfId="7568" priority="8423">
      <formula>#REF!=""</formula>
    </cfRule>
  </conditionalFormatting>
  <conditionalFormatting sqref="AX465">
    <cfRule type="expression" dxfId="7567" priority="8422">
      <formula>$E464=""</formula>
    </cfRule>
  </conditionalFormatting>
  <conditionalFormatting sqref="AY462:AZ465">
    <cfRule type="expression" dxfId="7566" priority="8421">
      <formula>$G462=""</formula>
    </cfRule>
  </conditionalFormatting>
  <conditionalFormatting sqref="G464">
    <cfRule type="expression" dxfId="7565" priority="8418" stopIfTrue="1">
      <formula>$G462=""</formula>
    </cfRule>
    <cfRule type="containsBlanks" dxfId="7564" priority="8419" stopIfTrue="1">
      <formula>LEN(TRIM(G464))=0</formula>
    </cfRule>
    <cfRule type="expression" dxfId="7563" priority="8420">
      <formula>OR($M464=0,$HH463=FALSE)</formula>
    </cfRule>
  </conditionalFormatting>
  <conditionalFormatting sqref="AO464">
    <cfRule type="expression" dxfId="7562" priority="8417" stopIfTrue="1">
      <formula>$G462=""</formula>
    </cfRule>
  </conditionalFormatting>
  <conditionalFormatting sqref="AU462:AU465">
    <cfRule type="expression" dxfId="7561" priority="8414" stopIfTrue="1">
      <formula>$C$43=2</formula>
    </cfRule>
    <cfRule type="cellIs" dxfId="7560" priority="8415" operator="equal">
      <formula>"Yes"</formula>
    </cfRule>
    <cfRule type="cellIs" dxfId="7559" priority="8416" operator="equal">
      <formula>"No"</formula>
    </cfRule>
  </conditionalFormatting>
  <conditionalFormatting sqref="AO462:AO463">
    <cfRule type="expression" dxfId="7558" priority="8413">
      <formula>$G462=""</formula>
    </cfRule>
  </conditionalFormatting>
  <conditionalFormatting sqref="AP462 AR462:AS465">
    <cfRule type="expression" dxfId="7557" priority="8412">
      <formula>$G462=""</formula>
    </cfRule>
  </conditionalFormatting>
  <conditionalFormatting sqref="AW462:AW465">
    <cfRule type="expression" dxfId="7556" priority="8411">
      <formula>$G462=""</formula>
    </cfRule>
  </conditionalFormatting>
  <conditionalFormatting sqref="G463:L463">
    <cfRule type="expression" dxfId="7555" priority="8409" stopIfTrue="1">
      <formula>$G462=""</formula>
    </cfRule>
    <cfRule type="containsBlanks" dxfId="7554" priority="8410">
      <formula>LEN(TRIM(G463))=0</formula>
    </cfRule>
  </conditionalFormatting>
  <conditionalFormatting sqref="R464">
    <cfRule type="expression" dxfId="7553" priority="8406">
      <formula>$N465="BAM"</formula>
    </cfRule>
    <cfRule type="expression" dxfId="7552" priority="8407" stopIfTrue="1">
      <formula>$G462=""</formula>
    </cfRule>
    <cfRule type="containsBlanks" dxfId="7551" priority="8408">
      <formula>LEN(TRIM(R464))=0</formula>
    </cfRule>
  </conditionalFormatting>
  <conditionalFormatting sqref="R464">
    <cfRule type="expression" dxfId="7550" priority="8405">
      <formula>$C$43=0</formula>
    </cfRule>
  </conditionalFormatting>
  <conditionalFormatting sqref="E465:F465">
    <cfRule type="expression" dxfId="7549" priority="8404">
      <formula>$CQ462="Exterior"</formula>
    </cfRule>
  </conditionalFormatting>
  <conditionalFormatting sqref="G465">
    <cfRule type="expression" dxfId="7548" priority="8394" stopIfTrue="1">
      <formula>$G462=""</formula>
    </cfRule>
  </conditionalFormatting>
  <conditionalFormatting sqref="G465">
    <cfRule type="expression" dxfId="7547" priority="8396" stopIfTrue="1">
      <formula>$CQ462="Exterior"</formula>
    </cfRule>
  </conditionalFormatting>
  <conditionalFormatting sqref="G465:L465">
    <cfRule type="expression" dxfId="7546" priority="8395" stopIfTrue="1">
      <formula>$N465="BAM"</formula>
    </cfRule>
    <cfRule type="containsBlanks" dxfId="7545" priority="8397" stopIfTrue="1">
      <formula>LEN(TRIM(G465))=0</formula>
    </cfRule>
    <cfRule type="expression" dxfId="7544" priority="8399">
      <formula>$HQ463=FALSE</formula>
    </cfRule>
  </conditionalFormatting>
  <conditionalFormatting sqref="G465:L465">
    <cfRule type="expression" dxfId="7543" priority="8398" stopIfTrue="1">
      <formula>$AG464=""</formula>
    </cfRule>
  </conditionalFormatting>
  <conditionalFormatting sqref="G464:L464">
    <cfRule type="expression" dxfId="7542" priority="8392" stopIfTrue="1">
      <formula>$N465="BAM"</formula>
    </cfRule>
  </conditionalFormatting>
  <conditionalFormatting sqref="G462:R462">
    <cfRule type="containsBlanks" dxfId="7541" priority="8391">
      <formula>LEN(TRIM(G462))=0</formula>
    </cfRule>
  </conditionalFormatting>
  <conditionalFormatting sqref="AF464">
    <cfRule type="expression" dxfId="7540" priority="8381" stopIfTrue="1">
      <formula>$G462=""</formula>
    </cfRule>
    <cfRule type="expression" dxfId="7539" priority="8382" stopIfTrue="1">
      <formula>$N465="BAM"</formula>
    </cfRule>
    <cfRule type="expression" dxfId="7538" priority="8390">
      <formula>$AF$49&gt;$T$49</formula>
    </cfRule>
  </conditionalFormatting>
  <conditionalFormatting sqref="AC465:AE465">
    <cfRule type="expression" dxfId="7537" priority="8387" stopIfTrue="1">
      <formula>$G462=""</formula>
    </cfRule>
  </conditionalFormatting>
  <conditionalFormatting sqref="T464:U464">
    <cfRule type="expression" dxfId="7536" priority="8354" stopIfTrue="1">
      <formula>$G462=""</formula>
    </cfRule>
  </conditionalFormatting>
  <conditionalFormatting sqref="T464:U464">
    <cfRule type="containsBlanks" dxfId="7535" priority="8384" stopIfTrue="1">
      <formula>LEN(TRIM(T464))=0</formula>
    </cfRule>
  </conditionalFormatting>
  <conditionalFormatting sqref="AC462:AE462">
    <cfRule type="expression" dxfId="7534" priority="8383">
      <formula>$G462=""</formula>
    </cfRule>
  </conditionalFormatting>
  <conditionalFormatting sqref="AF464 AG465">
    <cfRule type="containsBlanks" dxfId="7533" priority="8388" stopIfTrue="1">
      <formula>LEN(TRIM(AF464))=0</formula>
    </cfRule>
  </conditionalFormatting>
  <conditionalFormatting sqref="AF464">
    <cfRule type="expression" dxfId="7532" priority="8389">
      <formula>OR($HS463=FALSE,$HT463=FALSE)</formula>
    </cfRule>
  </conditionalFormatting>
  <conditionalFormatting sqref="AG465">
    <cfRule type="expression" dxfId="7531" priority="8347">
      <formula>$C$43&gt;0</formula>
    </cfRule>
  </conditionalFormatting>
  <conditionalFormatting sqref="AG465">
    <cfRule type="expression" dxfId="7530" priority="8380" stopIfTrue="1">
      <formula>$G462=""</formula>
    </cfRule>
  </conditionalFormatting>
  <conditionalFormatting sqref="U464">
    <cfRule type="expression" dxfId="7529" priority="8385">
      <formula>OR($HK463=FALSE,$HL463=FALSE)</formula>
    </cfRule>
  </conditionalFormatting>
  <conditionalFormatting sqref="T463:U463">
    <cfRule type="expression" dxfId="7528" priority="8375" stopIfTrue="1">
      <formula>$C$43&lt;&gt;0</formula>
    </cfRule>
    <cfRule type="containsBlanks" dxfId="7527" priority="8376" stopIfTrue="1">
      <formula>LEN(TRIM(T463))=0</formula>
    </cfRule>
  </conditionalFormatting>
  <conditionalFormatting sqref="T463:U463">
    <cfRule type="expression" dxfId="7526" priority="8374" stopIfTrue="1">
      <formula>$G462=""</formula>
    </cfRule>
  </conditionalFormatting>
  <conditionalFormatting sqref="U463">
    <cfRule type="expression" dxfId="7525" priority="8377">
      <formula>$HJ463=FALSE</formula>
    </cfRule>
  </conditionalFormatting>
  <conditionalFormatting sqref="AG464">
    <cfRule type="expression" dxfId="7524" priority="8365" stopIfTrue="1">
      <formula>$G462=""</formula>
    </cfRule>
  </conditionalFormatting>
  <conditionalFormatting sqref="AG464:AL464">
    <cfRule type="expression" dxfId="7523" priority="8366">
      <formula>$N465="BAM"</formula>
    </cfRule>
    <cfRule type="expression" dxfId="7522" priority="8370">
      <formula>OR($HU463=FALSE,$HQ463=FALSE)</formula>
    </cfRule>
  </conditionalFormatting>
  <conditionalFormatting sqref="AG464">
    <cfRule type="containsBlanks" dxfId="7521" priority="8367" stopIfTrue="1">
      <formula>LEN(TRIM(AG464))=0</formula>
    </cfRule>
    <cfRule type="expression" dxfId="7520" priority="8368">
      <formula>OR($HP463=FALSE,$HR463=FALSE)</formula>
    </cfRule>
    <cfRule type="expression" dxfId="7519" priority="8369">
      <formula>OR($DS462=7,$DS462=8,$DS462=9)</formula>
    </cfRule>
  </conditionalFormatting>
  <conditionalFormatting sqref="AG462:AL462">
    <cfRule type="expression" dxfId="7518" priority="8364">
      <formula>$C$43&lt;&gt;0</formula>
    </cfRule>
  </conditionalFormatting>
  <conditionalFormatting sqref="AF463">
    <cfRule type="containsBlanks" dxfId="7517" priority="8363">
      <formula>LEN(TRIM(AF463))=0</formula>
    </cfRule>
  </conditionalFormatting>
  <conditionalFormatting sqref="AF463">
    <cfRule type="expression" dxfId="7516" priority="8362" stopIfTrue="1">
      <formula>$G462=""</formula>
    </cfRule>
  </conditionalFormatting>
  <conditionalFormatting sqref="AG463">
    <cfRule type="containsBlanks" dxfId="7515" priority="8360">
      <formula>LEN(TRIM(AG463))=0</formula>
    </cfRule>
    <cfRule type="expression" dxfId="7514" priority="8361">
      <formula>$HO463=FALSE</formula>
    </cfRule>
  </conditionalFormatting>
  <conditionalFormatting sqref="AG463">
    <cfRule type="expression" dxfId="7513" priority="8359" stopIfTrue="1">
      <formula>$G462=""</formula>
    </cfRule>
  </conditionalFormatting>
  <conditionalFormatting sqref="AF463:AK463">
    <cfRule type="expression" dxfId="7512" priority="8358">
      <formula>$C$43&gt;0</formula>
    </cfRule>
  </conditionalFormatting>
  <conditionalFormatting sqref="AM462:AN463">
    <cfRule type="expression" dxfId="7511" priority="8357">
      <formula>$G462=""</formula>
    </cfRule>
  </conditionalFormatting>
  <conditionalFormatting sqref="AM464:AN464">
    <cfRule type="expression" dxfId="7510" priority="8356" stopIfTrue="1">
      <formula>$G462=""</formula>
    </cfRule>
  </conditionalFormatting>
  <conditionalFormatting sqref="T464">
    <cfRule type="expression" dxfId="7509" priority="8378" stopIfTrue="1">
      <formula>$N465="BAM"</formula>
    </cfRule>
  </conditionalFormatting>
  <conditionalFormatting sqref="U464:AE464">
    <cfRule type="expression" dxfId="7508" priority="8355" stopIfTrue="1">
      <formula>$N465="BAM"</formula>
    </cfRule>
  </conditionalFormatting>
  <conditionalFormatting sqref="AG465:AL465">
    <cfRule type="expression" dxfId="7507" priority="8379" stopIfTrue="1">
      <formula>$N465="BAM"</formula>
    </cfRule>
  </conditionalFormatting>
  <conditionalFormatting sqref="AX468">
    <cfRule type="expression" dxfId="7506" priority="8345">
      <formula>$E468=""</formula>
    </cfRule>
  </conditionalFormatting>
  <conditionalFormatting sqref="AX467">
    <cfRule type="expression" dxfId="7505" priority="8344">
      <formula>$E467=""</formula>
    </cfRule>
  </conditionalFormatting>
  <conditionalFormatting sqref="AX469">
    <cfRule type="expression" dxfId="7504" priority="8343">
      <formula>#REF!=""</formula>
    </cfRule>
  </conditionalFormatting>
  <conditionalFormatting sqref="AX470">
    <cfRule type="expression" dxfId="7503" priority="8342">
      <formula>$E469=""</formula>
    </cfRule>
  </conditionalFormatting>
  <conditionalFormatting sqref="AY467:AZ470">
    <cfRule type="expression" dxfId="7502" priority="8341">
      <formula>$G467=""</formula>
    </cfRule>
  </conditionalFormatting>
  <conditionalFormatting sqref="G469">
    <cfRule type="expression" dxfId="7501" priority="8338" stopIfTrue="1">
      <formula>$G467=""</formula>
    </cfRule>
    <cfRule type="containsBlanks" dxfId="7500" priority="8339" stopIfTrue="1">
      <formula>LEN(TRIM(G469))=0</formula>
    </cfRule>
    <cfRule type="expression" dxfId="7499" priority="8340">
      <formula>OR($M469=0,$HH468=FALSE)</formula>
    </cfRule>
  </conditionalFormatting>
  <conditionalFormatting sqref="AO469">
    <cfRule type="expression" dxfId="7498" priority="8337" stopIfTrue="1">
      <formula>$G467=""</formula>
    </cfRule>
  </conditionalFormatting>
  <conditionalFormatting sqref="AU467:AU470">
    <cfRule type="expression" dxfId="7497" priority="8334" stopIfTrue="1">
      <formula>$C$43=2</formula>
    </cfRule>
    <cfRule type="cellIs" dxfId="7496" priority="8335" operator="equal">
      <formula>"Yes"</formula>
    </cfRule>
    <cfRule type="cellIs" dxfId="7495" priority="8336" operator="equal">
      <formula>"No"</formula>
    </cfRule>
  </conditionalFormatting>
  <conditionalFormatting sqref="AO467:AO468">
    <cfRule type="expression" dxfId="7494" priority="8333">
      <formula>$G467=""</formula>
    </cfRule>
  </conditionalFormatting>
  <conditionalFormatting sqref="AP467 AR467:AS470">
    <cfRule type="expression" dxfId="7493" priority="8332">
      <formula>$G467=""</formula>
    </cfRule>
  </conditionalFormatting>
  <conditionalFormatting sqref="AW467:AW470">
    <cfRule type="expression" dxfId="7492" priority="8331">
      <formula>$G467=""</formula>
    </cfRule>
  </conditionalFormatting>
  <conditionalFormatting sqref="G468:L468">
    <cfRule type="expression" dxfId="7491" priority="8329" stopIfTrue="1">
      <formula>$G467=""</formula>
    </cfRule>
    <cfRule type="containsBlanks" dxfId="7490" priority="8330">
      <formula>LEN(TRIM(G468))=0</formula>
    </cfRule>
  </conditionalFormatting>
  <conditionalFormatting sqref="R469">
    <cfRule type="expression" dxfId="7489" priority="8326">
      <formula>$N470="BAM"</formula>
    </cfRule>
    <cfRule type="expression" dxfId="7488" priority="8327" stopIfTrue="1">
      <formula>$G467=""</formula>
    </cfRule>
    <cfRule type="containsBlanks" dxfId="7487" priority="8328">
      <formula>LEN(TRIM(R469))=0</formula>
    </cfRule>
  </conditionalFormatting>
  <conditionalFormatting sqref="R469">
    <cfRule type="expression" dxfId="7486" priority="8325">
      <formula>$C$43=0</formula>
    </cfRule>
  </conditionalFormatting>
  <conditionalFormatting sqref="E470:F470">
    <cfRule type="expression" dxfId="7485" priority="8324">
      <formula>$CQ467="Exterior"</formula>
    </cfRule>
  </conditionalFormatting>
  <conditionalFormatting sqref="G470">
    <cfRule type="expression" dxfId="7484" priority="8314" stopIfTrue="1">
      <formula>$G467=""</formula>
    </cfRule>
  </conditionalFormatting>
  <conditionalFormatting sqref="G470">
    <cfRule type="expression" dxfId="7483" priority="8316" stopIfTrue="1">
      <formula>$CQ467="Exterior"</formula>
    </cfRule>
  </conditionalFormatting>
  <conditionalFormatting sqref="G470:L470">
    <cfRule type="expression" dxfId="7482" priority="8315" stopIfTrue="1">
      <formula>$N470="BAM"</formula>
    </cfRule>
    <cfRule type="containsBlanks" dxfId="7481" priority="8317" stopIfTrue="1">
      <formula>LEN(TRIM(G470))=0</formula>
    </cfRule>
    <cfRule type="expression" dxfId="7480" priority="8319">
      <formula>$HQ468=FALSE</formula>
    </cfRule>
  </conditionalFormatting>
  <conditionalFormatting sqref="G470:L470">
    <cfRule type="expression" dxfId="7479" priority="8318" stopIfTrue="1">
      <formula>$AG469=""</formula>
    </cfRule>
  </conditionalFormatting>
  <conditionalFormatting sqref="G469:L469">
    <cfRule type="expression" dxfId="7478" priority="8312" stopIfTrue="1">
      <formula>$N470="BAM"</formula>
    </cfRule>
  </conditionalFormatting>
  <conditionalFormatting sqref="G467:R467">
    <cfRule type="containsBlanks" dxfId="7477" priority="8311">
      <formula>LEN(TRIM(G467))=0</formula>
    </cfRule>
  </conditionalFormatting>
  <conditionalFormatting sqref="AF469">
    <cfRule type="expression" dxfId="7476" priority="8301" stopIfTrue="1">
      <formula>$G467=""</formula>
    </cfRule>
    <cfRule type="expression" dxfId="7475" priority="8302" stopIfTrue="1">
      <formula>$N470="BAM"</formula>
    </cfRule>
    <cfRule type="expression" dxfId="7474" priority="8310">
      <formula>$AF$49&gt;$T$49</formula>
    </cfRule>
  </conditionalFormatting>
  <conditionalFormatting sqref="AC470:AE470">
    <cfRule type="expression" dxfId="7473" priority="8307" stopIfTrue="1">
      <formula>$G467=""</formula>
    </cfRule>
  </conditionalFormatting>
  <conditionalFormatting sqref="T469:U469">
    <cfRule type="expression" dxfId="7472" priority="8274" stopIfTrue="1">
      <formula>$G467=""</formula>
    </cfRule>
  </conditionalFormatting>
  <conditionalFormatting sqref="T469:U469">
    <cfRule type="containsBlanks" dxfId="7471" priority="8304" stopIfTrue="1">
      <formula>LEN(TRIM(T469))=0</formula>
    </cfRule>
  </conditionalFormatting>
  <conditionalFormatting sqref="AC467:AE467">
    <cfRule type="expression" dxfId="7470" priority="8303">
      <formula>$G467=""</formula>
    </cfRule>
  </conditionalFormatting>
  <conditionalFormatting sqref="AF469 AG470">
    <cfRule type="containsBlanks" dxfId="7469" priority="8308" stopIfTrue="1">
      <formula>LEN(TRIM(AF469))=0</formula>
    </cfRule>
  </conditionalFormatting>
  <conditionalFormatting sqref="AF469">
    <cfRule type="expression" dxfId="7468" priority="8309">
      <formula>OR($HS468=FALSE,$HT468=FALSE)</formula>
    </cfRule>
  </conditionalFormatting>
  <conditionalFormatting sqref="AG470">
    <cfRule type="expression" dxfId="7467" priority="8267">
      <formula>$C$43&gt;0</formula>
    </cfRule>
  </conditionalFormatting>
  <conditionalFormatting sqref="AG470">
    <cfRule type="expression" dxfId="7466" priority="8300" stopIfTrue="1">
      <formula>$G467=""</formula>
    </cfRule>
  </conditionalFormatting>
  <conditionalFormatting sqref="U469">
    <cfRule type="expression" dxfId="7465" priority="8305">
      <formula>OR($HK468=FALSE,$HL468=FALSE)</formula>
    </cfRule>
  </conditionalFormatting>
  <conditionalFormatting sqref="T468:U468">
    <cfRule type="expression" dxfId="7464" priority="8295" stopIfTrue="1">
      <formula>$C$43&lt;&gt;0</formula>
    </cfRule>
    <cfRule type="containsBlanks" dxfId="7463" priority="8296" stopIfTrue="1">
      <formula>LEN(TRIM(T468))=0</formula>
    </cfRule>
  </conditionalFormatting>
  <conditionalFormatting sqref="T468:U468">
    <cfRule type="expression" dxfId="7462" priority="8294" stopIfTrue="1">
      <formula>$G467=""</formula>
    </cfRule>
  </conditionalFormatting>
  <conditionalFormatting sqref="U468">
    <cfRule type="expression" dxfId="7461" priority="8297">
      <formula>$HJ468=FALSE</formula>
    </cfRule>
  </conditionalFormatting>
  <conditionalFormatting sqref="AG469">
    <cfRule type="expression" dxfId="7460" priority="8285" stopIfTrue="1">
      <formula>$G467=""</formula>
    </cfRule>
  </conditionalFormatting>
  <conditionalFormatting sqref="AG469:AL469">
    <cfRule type="expression" dxfId="7459" priority="8286">
      <formula>$N470="BAM"</formula>
    </cfRule>
    <cfRule type="expression" dxfId="7458" priority="8290">
      <formula>OR($HU468=FALSE,$HQ468=FALSE)</formula>
    </cfRule>
  </conditionalFormatting>
  <conditionalFormatting sqref="AG469">
    <cfRule type="containsBlanks" dxfId="7457" priority="8287" stopIfTrue="1">
      <formula>LEN(TRIM(AG469))=0</formula>
    </cfRule>
    <cfRule type="expression" dxfId="7456" priority="8288">
      <formula>OR($HP468=FALSE,$HR468=FALSE)</formula>
    </cfRule>
    <cfRule type="expression" dxfId="7455" priority="8289">
      <formula>OR($DS467=7,$DS467=8,$DS467=9)</formula>
    </cfRule>
  </conditionalFormatting>
  <conditionalFormatting sqref="AG467:AL467">
    <cfRule type="expression" dxfId="7454" priority="8284">
      <formula>$C$43&lt;&gt;0</formula>
    </cfRule>
  </conditionalFormatting>
  <conditionalFormatting sqref="AF468">
    <cfRule type="containsBlanks" dxfId="7453" priority="8283">
      <formula>LEN(TRIM(AF468))=0</formula>
    </cfRule>
  </conditionalFormatting>
  <conditionalFormatting sqref="AF468">
    <cfRule type="expression" dxfId="7452" priority="8282" stopIfTrue="1">
      <formula>$G467=""</formula>
    </cfRule>
  </conditionalFormatting>
  <conditionalFormatting sqref="AG468">
    <cfRule type="containsBlanks" dxfId="7451" priority="8280">
      <formula>LEN(TRIM(AG468))=0</formula>
    </cfRule>
    <cfRule type="expression" dxfId="7450" priority="8281">
      <formula>$HO468=FALSE</formula>
    </cfRule>
  </conditionalFormatting>
  <conditionalFormatting sqref="AG468">
    <cfRule type="expression" dxfId="7449" priority="8279" stopIfTrue="1">
      <formula>$G467=""</formula>
    </cfRule>
  </conditionalFormatting>
  <conditionalFormatting sqref="AF468:AK468">
    <cfRule type="expression" dxfId="7448" priority="8278">
      <formula>$C$43&gt;0</formula>
    </cfRule>
  </conditionalFormatting>
  <conditionalFormatting sqref="AM467:AN468">
    <cfRule type="expression" dxfId="7447" priority="8277">
      <formula>$G467=""</formula>
    </cfRule>
  </conditionalFormatting>
  <conditionalFormatting sqref="AM469:AN469">
    <cfRule type="expression" dxfId="7446" priority="8276" stopIfTrue="1">
      <formula>$G467=""</formula>
    </cfRule>
  </conditionalFormatting>
  <conditionalFormatting sqref="T469">
    <cfRule type="expression" dxfId="7445" priority="8298" stopIfTrue="1">
      <formula>$N470="BAM"</formula>
    </cfRule>
  </conditionalFormatting>
  <conditionalFormatting sqref="U469:AE469">
    <cfRule type="expression" dxfId="7444" priority="8275" stopIfTrue="1">
      <formula>$N470="BAM"</formula>
    </cfRule>
  </conditionalFormatting>
  <conditionalFormatting sqref="AG470:AL470">
    <cfRule type="expression" dxfId="7443" priority="8299" stopIfTrue="1">
      <formula>$N470="BAM"</formula>
    </cfRule>
  </conditionalFormatting>
  <conditionalFormatting sqref="AX473">
    <cfRule type="expression" dxfId="7442" priority="8265">
      <formula>$E473=""</formula>
    </cfRule>
  </conditionalFormatting>
  <conditionalFormatting sqref="AX472">
    <cfRule type="expression" dxfId="7441" priority="8264">
      <formula>$E472=""</formula>
    </cfRule>
  </conditionalFormatting>
  <conditionalFormatting sqref="AX474">
    <cfRule type="expression" dxfId="7440" priority="8263">
      <formula>#REF!=""</formula>
    </cfRule>
  </conditionalFormatting>
  <conditionalFormatting sqref="AX475">
    <cfRule type="expression" dxfId="7439" priority="8262">
      <formula>$E474=""</formula>
    </cfRule>
  </conditionalFormatting>
  <conditionalFormatting sqref="AY472:AZ475">
    <cfRule type="expression" dxfId="7438" priority="8261">
      <formula>$G472=""</formula>
    </cfRule>
  </conditionalFormatting>
  <conditionalFormatting sqref="G474">
    <cfRule type="expression" dxfId="7437" priority="8258" stopIfTrue="1">
      <formula>$G472=""</formula>
    </cfRule>
    <cfRule type="containsBlanks" dxfId="7436" priority="8259" stopIfTrue="1">
      <formula>LEN(TRIM(G474))=0</formula>
    </cfRule>
    <cfRule type="expression" dxfId="7435" priority="8260">
      <formula>OR($M474=0,$HH473=FALSE)</formula>
    </cfRule>
  </conditionalFormatting>
  <conditionalFormatting sqref="AO474">
    <cfRule type="expression" dxfId="7434" priority="8257" stopIfTrue="1">
      <formula>$G472=""</formula>
    </cfRule>
  </conditionalFormatting>
  <conditionalFormatting sqref="AU472:AU475">
    <cfRule type="expression" dxfId="7433" priority="8254" stopIfTrue="1">
      <formula>$C$43=2</formula>
    </cfRule>
    <cfRule type="cellIs" dxfId="7432" priority="8255" operator="equal">
      <formula>"Yes"</formula>
    </cfRule>
    <cfRule type="cellIs" dxfId="7431" priority="8256" operator="equal">
      <formula>"No"</formula>
    </cfRule>
  </conditionalFormatting>
  <conditionalFormatting sqref="AO472:AO473">
    <cfRule type="expression" dxfId="7430" priority="8253">
      <formula>$G472=""</formula>
    </cfRule>
  </conditionalFormatting>
  <conditionalFormatting sqref="AP472 AR472:AS475">
    <cfRule type="expression" dxfId="7429" priority="8252">
      <formula>$G472=""</formula>
    </cfRule>
  </conditionalFormatting>
  <conditionalFormatting sqref="AW472:AW475">
    <cfRule type="expression" dxfId="7428" priority="8251">
      <formula>$G472=""</formula>
    </cfRule>
  </conditionalFormatting>
  <conditionalFormatting sqref="G473:L473">
    <cfRule type="expression" dxfId="7427" priority="8249" stopIfTrue="1">
      <formula>$G472=""</formula>
    </cfRule>
    <cfRule type="containsBlanks" dxfId="7426" priority="8250">
      <formula>LEN(TRIM(G473))=0</formula>
    </cfRule>
  </conditionalFormatting>
  <conditionalFormatting sqref="R474">
    <cfRule type="expression" dxfId="7425" priority="8246">
      <formula>$N475="BAM"</formula>
    </cfRule>
    <cfRule type="expression" dxfId="7424" priority="8247" stopIfTrue="1">
      <formula>$G472=""</formula>
    </cfRule>
    <cfRule type="containsBlanks" dxfId="7423" priority="8248">
      <formula>LEN(TRIM(R474))=0</formula>
    </cfRule>
  </conditionalFormatting>
  <conditionalFormatting sqref="R474">
    <cfRule type="expression" dxfId="7422" priority="8245">
      <formula>$C$43=0</formula>
    </cfRule>
  </conditionalFormatting>
  <conditionalFormatting sqref="E475:F475">
    <cfRule type="expression" dxfId="7421" priority="8244">
      <formula>$CQ472="Exterior"</formula>
    </cfRule>
  </conditionalFormatting>
  <conditionalFormatting sqref="G475">
    <cfRule type="expression" dxfId="7420" priority="8234" stopIfTrue="1">
      <formula>$G472=""</formula>
    </cfRule>
  </conditionalFormatting>
  <conditionalFormatting sqref="G475">
    <cfRule type="expression" dxfId="7419" priority="8236" stopIfTrue="1">
      <formula>$CQ472="Exterior"</formula>
    </cfRule>
  </conditionalFormatting>
  <conditionalFormatting sqref="G475:L475">
    <cfRule type="expression" dxfId="7418" priority="8235" stopIfTrue="1">
      <formula>$N475="BAM"</formula>
    </cfRule>
    <cfRule type="containsBlanks" dxfId="7417" priority="8237" stopIfTrue="1">
      <formula>LEN(TRIM(G475))=0</formula>
    </cfRule>
    <cfRule type="expression" dxfId="7416" priority="8239">
      <formula>$HQ473=FALSE</formula>
    </cfRule>
  </conditionalFormatting>
  <conditionalFormatting sqref="G475:L475">
    <cfRule type="expression" dxfId="7415" priority="8238" stopIfTrue="1">
      <formula>$AG474=""</formula>
    </cfRule>
  </conditionalFormatting>
  <conditionalFormatting sqref="G474:L474">
    <cfRule type="expression" dxfId="7414" priority="8232" stopIfTrue="1">
      <formula>$N475="BAM"</formula>
    </cfRule>
  </conditionalFormatting>
  <conditionalFormatting sqref="G472:R472">
    <cfRule type="containsBlanks" dxfId="7413" priority="8231">
      <formula>LEN(TRIM(G472))=0</formula>
    </cfRule>
  </conditionalFormatting>
  <conditionalFormatting sqref="AF474">
    <cfRule type="expression" dxfId="7412" priority="8221" stopIfTrue="1">
      <formula>$G472=""</formula>
    </cfRule>
    <cfRule type="expression" dxfId="7411" priority="8222" stopIfTrue="1">
      <formula>$N475="BAM"</formula>
    </cfRule>
    <cfRule type="expression" dxfId="7410" priority="8230">
      <formula>$AF$49&gt;$T$49</formula>
    </cfRule>
  </conditionalFormatting>
  <conditionalFormatting sqref="AC475:AE475">
    <cfRule type="expression" dxfId="7409" priority="8227" stopIfTrue="1">
      <formula>$G472=""</formula>
    </cfRule>
  </conditionalFormatting>
  <conditionalFormatting sqref="T474:U474">
    <cfRule type="expression" dxfId="7408" priority="8194" stopIfTrue="1">
      <formula>$G472=""</formula>
    </cfRule>
  </conditionalFormatting>
  <conditionalFormatting sqref="T474:U474">
    <cfRule type="containsBlanks" dxfId="7407" priority="8224" stopIfTrue="1">
      <formula>LEN(TRIM(T474))=0</formula>
    </cfRule>
  </conditionalFormatting>
  <conditionalFormatting sqref="AC472:AE472">
    <cfRule type="expression" dxfId="7406" priority="8223">
      <formula>$G472=""</formula>
    </cfRule>
  </conditionalFormatting>
  <conditionalFormatting sqref="AF474 AG475">
    <cfRule type="containsBlanks" dxfId="7405" priority="8228" stopIfTrue="1">
      <formula>LEN(TRIM(AF474))=0</formula>
    </cfRule>
  </conditionalFormatting>
  <conditionalFormatting sqref="AF474">
    <cfRule type="expression" dxfId="7404" priority="8229">
      <formula>OR($HS473=FALSE,$HT473=FALSE)</formula>
    </cfRule>
  </conditionalFormatting>
  <conditionalFormatting sqref="AG475">
    <cfRule type="expression" dxfId="7403" priority="8187">
      <formula>$C$43&gt;0</formula>
    </cfRule>
  </conditionalFormatting>
  <conditionalFormatting sqref="AG475">
    <cfRule type="expression" dxfId="7402" priority="8220" stopIfTrue="1">
      <formula>$G472=""</formula>
    </cfRule>
  </conditionalFormatting>
  <conditionalFormatting sqref="U474">
    <cfRule type="expression" dxfId="7401" priority="8225">
      <formula>OR($HK473=FALSE,$HL473=FALSE)</formula>
    </cfRule>
  </conditionalFormatting>
  <conditionalFormatting sqref="T473:U473">
    <cfRule type="expression" dxfId="7400" priority="8215" stopIfTrue="1">
      <formula>$C$43&lt;&gt;0</formula>
    </cfRule>
    <cfRule type="containsBlanks" dxfId="7399" priority="8216" stopIfTrue="1">
      <formula>LEN(TRIM(T473))=0</formula>
    </cfRule>
  </conditionalFormatting>
  <conditionalFormatting sqref="T473:U473">
    <cfRule type="expression" dxfId="7398" priority="8214" stopIfTrue="1">
      <formula>$G472=""</formula>
    </cfRule>
  </conditionalFormatting>
  <conditionalFormatting sqref="U473">
    <cfRule type="expression" dxfId="7397" priority="8217">
      <formula>$HJ473=FALSE</formula>
    </cfRule>
  </conditionalFormatting>
  <conditionalFormatting sqref="AG474">
    <cfRule type="expression" dxfId="7396" priority="8205" stopIfTrue="1">
      <formula>$G472=""</formula>
    </cfRule>
  </conditionalFormatting>
  <conditionalFormatting sqref="AG474:AL474">
    <cfRule type="expression" dxfId="7395" priority="8206">
      <formula>$N475="BAM"</formula>
    </cfRule>
    <cfRule type="expression" dxfId="7394" priority="8210">
      <formula>OR($HU473=FALSE,$HQ473=FALSE)</formula>
    </cfRule>
  </conditionalFormatting>
  <conditionalFormatting sqref="AG474">
    <cfRule type="containsBlanks" dxfId="7393" priority="8207" stopIfTrue="1">
      <formula>LEN(TRIM(AG474))=0</formula>
    </cfRule>
    <cfRule type="expression" dxfId="7392" priority="8208">
      <formula>OR($HP473=FALSE,$HR473=FALSE)</formula>
    </cfRule>
    <cfRule type="expression" dxfId="7391" priority="8209">
      <formula>OR($DS472=7,$DS472=8,$DS472=9)</formula>
    </cfRule>
  </conditionalFormatting>
  <conditionalFormatting sqref="AG472:AL472">
    <cfRule type="expression" dxfId="7390" priority="8204">
      <formula>$C$43&lt;&gt;0</formula>
    </cfRule>
  </conditionalFormatting>
  <conditionalFormatting sqref="AF473">
    <cfRule type="containsBlanks" dxfId="7389" priority="8203">
      <formula>LEN(TRIM(AF473))=0</formula>
    </cfRule>
  </conditionalFormatting>
  <conditionalFormatting sqref="AF473">
    <cfRule type="expression" dxfId="7388" priority="8202" stopIfTrue="1">
      <formula>$G472=""</formula>
    </cfRule>
  </conditionalFormatting>
  <conditionalFormatting sqref="AG473">
    <cfRule type="containsBlanks" dxfId="7387" priority="8200">
      <formula>LEN(TRIM(AG473))=0</formula>
    </cfRule>
    <cfRule type="expression" dxfId="7386" priority="8201">
      <formula>$HO473=FALSE</formula>
    </cfRule>
  </conditionalFormatting>
  <conditionalFormatting sqref="AG473">
    <cfRule type="expression" dxfId="7385" priority="8199" stopIfTrue="1">
      <formula>$G472=""</formula>
    </cfRule>
  </conditionalFormatting>
  <conditionalFormatting sqref="AF473:AK473">
    <cfRule type="expression" dxfId="7384" priority="8198">
      <formula>$C$43&gt;0</formula>
    </cfRule>
  </conditionalFormatting>
  <conditionalFormatting sqref="AM472:AN473">
    <cfRule type="expression" dxfId="7383" priority="8197">
      <formula>$G472=""</formula>
    </cfRule>
  </conditionalFormatting>
  <conditionalFormatting sqref="AM474:AN474">
    <cfRule type="expression" dxfId="7382" priority="8196" stopIfTrue="1">
      <formula>$G472=""</formula>
    </cfRule>
  </conditionalFormatting>
  <conditionalFormatting sqref="T474">
    <cfRule type="expression" dxfId="7381" priority="8218" stopIfTrue="1">
      <formula>$N475="BAM"</formula>
    </cfRule>
  </conditionalFormatting>
  <conditionalFormatting sqref="U474:AE474">
    <cfRule type="expression" dxfId="7380" priority="8195" stopIfTrue="1">
      <formula>$N475="BAM"</formula>
    </cfRule>
  </conditionalFormatting>
  <conditionalFormatting sqref="AG475:AL475">
    <cfRule type="expression" dxfId="7379" priority="8219" stopIfTrue="1">
      <formula>$N475="BAM"</formula>
    </cfRule>
  </conditionalFormatting>
  <conditionalFormatting sqref="AX478">
    <cfRule type="expression" dxfId="7378" priority="8185">
      <formula>$E478=""</formula>
    </cfRule>
  </conditionalFormatting>
  <conditionalFormatting sqref="AX477">
    <cfRule type="expression" dxfId="7377" priority="8184">
      <formula>$E477=""</formula>
    </cfRule>
  </conditionalFormatting>
  <conditionalFormatting sqref="AX479">
    <cfRule type="expression" dxfId="7376" priority="8183">
      <formula>#REF!=""</formula>
    </cfRule>
  </conditionalFormatting>
  <conditionalFormatting sqref="AX480">
    <cfRule type="expression" dxfId="7375" priority="8182">
      <formula>$E479=""</formula>
    </cfRule>
  </conditionalFormatting>
  <conditionalFormatting sqref="AY477:AZ480">
    <cfRule type="expression" dxfId="7374" priority="8181">
      <formula>$G477=""</formula>
    </cfRule>
  </conditionalFormatting>
  <conditionalFormatting sqref="G479">
    <cfRule type="expression" dxfId="7373" priority="8178" stopIfTrue="1">
      <formula>$G477=""</formula>
    </cfRule>
    <cfRule type="containsBlanks" dxfId="7372" priority="8179" stopIfTrue="1">
      <formula>LEN(TRIM(G479))=0</formula>
    </cfRule>
    <cfRule type="expression" dxfId="7371" priority="8180">
      <formula>OR($M479=0,$HH478=FALSE)</formula>
    </cfRule>
  </conditionalFormatting>
  <conditionalFormatting sqref="AO479">
    <cfRule type="expression" dxfId="7370" priority="8177" stopIfTrue="1">
      <formula>$G477=""</formula>
    </cfRule>
  </conditionalFormatting>
  <conditionalFormatting sqref="AU477:AU480">
    <cfRule type="expression" dxfId="7369" priority="8174" stopIfTrue="1">
      <formula>$C$43=2</formula>
    </cfRule>
    <cfRule type="cellIs" dxfId="7368" priority="8175" operator="equal">
      <formula>"Yes"</formula>
    </cfRule>
    <cfRule type="cellIs" dxfId="7367" priority="8176" operator="equal">
      <formula>"No"</formula>
    </cfRule>
  </conditionalFormatting>
  <conditionalFormatting sqref="AO477:AO478">
    <cfRule type="expression" dxfId="7366" priority="8173">
      <formula>$G477=""</formula>
    </cfRule>
  </conditionalFormatting>
  <conditionalFormatting sqref="AP477 AR477:AS480">
    <cfRule type="expression" dxfId="7365" priority="8172">
      <formula>$G477=""</formula>
    </cfRule>
  </conditionalFormatting>
  <conditionalFormatting sqref="AW477:AW480">
    <cfRule type="expression" dxfId="7364" priority="8171">
      <formula>$G477=""</formula>
    </cfRule>
  </conditionalFormatting>
  <conditionalFormatting sqref="G478:L478">
    <cfRule type="expression" dxfId="7363" priority="8169" stopIfTrue="1">
      <formula>$G477=""</formula>
    </cfRule>
    <cfRule type="containsBlanks" dxfId="7362" priority="8170">
      <formula>LEN(TRIM(G478))=0</formula>
    </cfRule>
  </conditionalFormatting>
  <conditionalFormatting sqref="R479">
    <cfRule type="expression" dxfId="7361" priority="8166">
      <formula>$N480="BAM"</formula>
    </cfRule>
    <cfRule type="expression" dxfId="7360" priority="8167" stopIfTrue="1">
      <formula>$G477=""</formula>
    </cfRule>
    <cfRule type="containsBlanks" dxfId="7359" priority="8168">
      <formula>LEN(TRIM(R479))=0</formula>
    </cfRule>
  </conditionalFormatting>
  <conditionalFormatting sqref="R479">
    <cfRule type="expression" dxfId="7358" priority="8165">
      <formula>$C$43=0</formula>
    </cfRule>
  </conditionalFormatting>
  <conditionalFormatting sqref="E480:F480">
    <cfRule type="expression" dxfId="7357" priority="8164">
      <formula>$CQ477="Exterior"</formula>
    </cfRule>
  </conditionalFormatting>
  <conditionalFormatting sqref="G480">
    <cfRule type="expression" dxfId="7356" priority="8154" stopIfTrue="1">
      <formula>$G477=""</formula>
    </cfRule>
  </conditionalFormatting>
  <conditionalFormatting sqref="G480">
    <cfRule type="expression" dxfId="7355" priority="8156" stopIfTrue="1">
      <formula>$CQ477="Exterior"</formula>
    </cfRule>
  </conditionalFormatting>
  <conditionalFormatting sqref="G480:L480">
    <cfRule type="expression" dxfId="7354" priority="8155" stopIfTrue="1">
      <formula>$N480="BAM"</formula>
    </cfRule>
    <cfRule type="containsBlanks" dxfId="7353" priority="8157" stopIfTrue="1">
      <formula>LEN(TRIM(G480))=0</formula>
    </cfRule>
    <cfRule type="expression" dxfId="7352" priority="8159">
      <formula>$HQ478=FALSE</formula>
    </cfRule>
  </conditionalFormatting>
  <conditionalFormatting sqref="G480:L480">
    <cfRule type="expression" dxfId="7351" priority="8158" stopIfTrue="1">
      <formula>$AG479=""</formula>
    </cfRule>
  </conditionalFormatting>
  <conditionalFormatting sqref="G479:L479">
    <cfRule type="expression" dxfId="7350" priority="8152" stopIfTrue="1">
      <formula>$N480="BAM"</formula>
    </cfRule>
  </conditionalFormatting>
  <conditionalFormatting sqref="G477:R477">
    <cfRule type="containsBlanks" dxfId="7349" priority="8151">
      <formula>LEN(TRIM(G477))=0</formula>
    </cfRule>
  </conditionalFormatting>
  <conditionalFormatting sqref="AF479">
    <cfRule type="expression" dxfId="7348" priority="8141" stopIfTrue="1">
      <formula>$G477=""</formula>
    </cfRule>
    <cfRule type="expression" dxfId="7347" priority="8142" stopIfTrue="1">
      <formula>$N480="BAM"</formula>
    </cfRule>
    <cfRule type="expression" dxfId="7346" priority="8150">
      <formula>$AF$49&gt;$T$49</formula>
    </cfRule>
  </conditionalFormatting>
  <conditionalFormatting sqref="AC480:AE480">
    <cfRule type="expression" dxfId="7345" priority="8147" stopIfTrue="1">
      <formula>$G477=""</formula>
    </cfRule>
  </conditionalFormatting>
  <conditionalFormatting sqref="T479:U479">
    <cfRule type="expression" dxfId="7344" priority="8114" stopIfTrue="1">
      <formula>$G477=""</formula>
    </cfRule>
  </conditionalFormatting>
  <conditionalFormatting sqref="T479:U479">
    <cfRule type="containsBlanks" dxfId="7343" priority="8144" stopIfTrue="1">
      <formula>LEN(TRIM(T479))=0</formula>
    </cfRule>
  </conditionalFormatting>
  <conditionalFormatting sqref="AC477:AE477">
    <cfRule type="expression" dxfId="7342" priority="8143">
      <formula>$G477=""</formula>
    </cfRule>
  </conditionalFormatting>
  <conditionalFormatting sqref="AF479 AG480">
    <cfRule type="containsBlanks" dxfId="7341" priority="8148" stopIfTrue="1">
      <formula>LEN(TRIM(AF479))=0</formula>
    </cfRule>
  </conditionalFormatting>
  <conditionalFormatting sqref="AF479">
    <cfRule type="expression" dxfId="7340" priority="8149">
      <formula>OR($HS478=FALSE,$HT478=FALSE)</formula>
    </cfRule>
  </conditionalFormatting>
  <conditionalFormatting sqref="AG480">
    <cfRule type="expression" dxfId="7339" priority="8107">
      <formula>$C$43&gt;0</formula>
    </cfRule>
  </conditionalFormatting>
  <conditionalFormatting sqref="AG480">
    <cfRule type="expression" dxfId="7338" priority="8140" stopIfTrue="1">
      <formula>$G477=""</formula>
    </cfRule>
  </conditionalFormatting>
  <conditionalFormatting sqref="U479">
    <cfRule type="expression" dxfId="7337" priority="8145">
      <formula>OR($HK478=FALSE,$HL478=FALSE)</formula>
    </cfRule>
  </conditionalFormatting>
  <conditionalFormatting sqref="T478:U478">
    <cfRule type="expression" dxfId="7336" priority="8135" stopIfTrue="1">
      <formula>$C$43&lt;&gt;0</formula>
    </cfRule>
    <cfRule type="containsBlanks" dxfId="7335" priority="8136" stopIfTrue="1">
      <formula>LEN(TRIM(T478))=0</formula>
    </cfRule>
  </conditionalFormatting>
  <conditionalFormatting sqref="T478:U478">
    <cfRule type="expression" dxfId="7334" priority="8134" stopIfTrue="1">
      <formula>$G477=""</formula>
    </cfRule>
  </conditionalFormatting>
  <conditionalFormatting sqref="U478">
    <cfRule type="expression" dxfId="7333" priority="8137">
      <formula>$HJ478=FALSE</formula>
    </cfRule>
  </conditionalFormatting>
  <conditionalFormatting sqref="AG479">
    <cfRule type="expression" dxfId="7332" priority="8125" stopIfTrue="1">
      <formula>$G477=""</formula>
    </cfRule>
  </conditionalFormatting>
  <conditionalFormatting sqref="AG479:AL479">
    <cfRule type="expression" dxfId="7331" priority="8126">
      <formula>$N480="BAM"</formula>
    </cfRule>
    <cfRule type="expression" dxfId="7330" priority="8130">
      <formula>OR($HU478=FALSE,$HQ478=FALSE)</formula>
    </cfRule>
  </conditionalFormatting>
  <conditionalFormatting sqref="AG479">
    <cfRule type="containsBlanks" dxfId="7329" priority="8127" stopIfTrue="1">
      <formula>LEN(TRIM(AG479))=0</formula>
    </cfRule>
    <cfRule type="expression" dxfId="7328" priority="8128">
      <formula>OR($HP478=FALSE,$HR478=FALSE)</formula>
    </cfRule>
    <cfRule type="expression" dxfId="7327" priority="8129">
      <formula>OR($DS477=7,$DS477=8,$DS477=9)</formula>
    </cfRule>
  </conditionalFormatting>
  <conditionalFormatting sqref="AG477:AL477">
    <cfRule type="expression" dxfId="7326" priority="8124">
      <formula>$C$43&lt;&gt;0</formula>
    </cfRule>
  </conditionalFormatting>
  <conditionalFormatting sqref="AF478">
    <cfRule type="containsBlanks" dxfId="7325" priority="8123">
      <formula>LEN(TRIM(AF478))=0</formula>
    </cfRule>
  </conditionalFormatting>
  <conditionalFormatting sqref="AF478">
    <cfRule type="expression" dxfId="7324" priority="8122" stopIfTrue="1">
      <formula>$G477=""</formula>
    </cfRule>
  </conditionalFormatting>
  <conditionalFormatting sqref="AG478">
    <cfRule type="containsBlanks" dxfId="7323" priority="8120">
      <formula>LEN(TRIM(AG478))=0</formula>
    </cfRule>
    <cfRule type="expression" dxfId="7322" priority="8121">
      <formula>$HO478=FALSE</formula>
    </cfRule>
  </conditionalFormatting>
  <conditionalFormatting sqref="AG478">
    <cfRule type="expression" dxfId="7321" priority="8119" stopIfTrue="1">
      <formula>$G477=""</formula>
    </cfRule>
  </conditionalFormatting>
  <conditionalFormatting sqref="AF478:AK478">
    <cfRule type="expression" dxfId="7320" priority="8118">
      <formula>$C$43&gt;0</formula>
    </cfRule>
  </conditionalFormatting>
  <conditionalFormatting sqref="AM477:AN478">
    <cfRule type="expression" dxfId="7319" priority="8117">
      <formula>$G477=""</formula>
    </cfRule>
  </conditionalFormatting>
  <conditionalFormatting sqref="AM479:AN479">
    <cfRule type="expression" dxfId="7318" priority="8116" stopIfTrue="1">
      <formula>$G477=""</formula>
    </cfRule>
  </conditionalFormatting>
  <conditionalFormatting sqref="T479">
    <cfRule type="expression" dxfId="7317" priority="8138" stopIfTrue="1">
      <formula>$N480="BAM"</formula>
    </cfRule>
  </conditionalFormatting>
  <conditionalFormatting sqref="U479:AE479">
    <cfRule type="expression" dxfId="7316" priority="8115" stopIfTrue="1">
      <formula>$N480="BAM"</formula>
    </cfRule>
  </conditionalFormatting>
  <conditionalFormatting sqref="AG480:AL480">
    <cfRule type="expression" dxfId="7315" priority="8139" stopIfTrue="1">
      <formula>$N480="BAM"</formula>
    </cfRule>
  </conditionalFormatting>
  <conditionalFormatting sqref="AX486">
    <cfRule type="expression" dxfId="7314" priority="8105">
      <formula>$E486=""</formula>
    </cfRule>
  </conditionalFormatting>
  <conditionalFormatting sqref="AX485">
    <cfRule type="expression" dxfId="7313" priority="8104">
      <formula>$E485=""</formula>
    </cfRule>
  </conditionalFormatting>
  <conditionalFormatting sqref="AX487">
    <cfRule type="expression" dxfId="7312" priority="8103">
      <formula>#REF!=""</formula>
    </cfRule>
  </conditionalFormatting>
  <conditionalFormatting sqref="AX488">
    <cfRule type="expression" dxfId="7311" priority="8102">
      <formula>$E487=""</formula>
    </cfRule>
  </conditionalFormatting>
  <conditionalFormatting sqref="AY485:AZ488">
    <cfRule type="expression" dxfId="7310" priority="8101">
      <formula>$G485=""</formula>
    </cfRule>
  </conditionalFormatting>
  <conditionalFormatting sqref="G487">
    <cfRule type="expression" dxfId="7309" priority="8098" stopIfTrue="1">
      <formula>$G485=""</formula>
    </cfRule>
    <cfRule type="containsBlanks" dxfId="7308" priority="8099" stopIfTrue="1">
      <formula>LEN(TRIM(G487))=0</formula>
    </cfRule>
    <cfRule type="expression" dxfId="7307" priority="8100">
      <formula>OR($M487=0,$HH486=FALSE)</formula>
    </cfRule>
  </conditionalFormatting>
  <conditionalFormatting sqref="AO487">
    <cfRule type="expression" dxfId="7306" priority="8097" stopIfTrue="1">
      <formula>$G485=""</formula>
    </cfRule>
  </conditionalFormatting>
  <conditionalFormatting sqref="AU485:AU488">
    <cfRule type="expression" dxfId="7305" priority="8094" stopIfTrue="1">
      <formula>$C$43=2</formula>
    </cfRule>
    <cfRule type="cellIs" dxfId="7304" priority="8095" operator="equal">
      <formula>"Yes"</formula>
    </cfRule>
    <cfRule type="cellIs" dxfId="7303" priority="8096" operator="equal">
      <formula>"No"</formula>
    </cfRule>
  </conditionalFormatting>
  <conditionalFormatting sqref="AO485:AO486">
    <cfRule type="expression" dxfId="7302" priority="8093">
      <formula>$G485=""</formula>
    </cfRule>
  </conditionalFormatting>
  <conditionalFormatting sqref="AP485 AR485:AS488">
    <cfRule type="expression" dxfId="7301" priority="8092">
      <formula>$G485=""</formula>
    </cfRule>
  </conditionalFormatting>
  <conditionalFormatting sqref="AW485:AW488">
    <cfRule type="expression" dxfId="7300" priority="8091">
      <formula>$G485=""</formula>
    </cfRule>
  </conditionalFormatting>
  <conditionalFormatting sqref="G486:L486">
    <cfRule type="expression" dxfId="7299" priority="8089" stopIfTrue="1">
      <formula>$G485=""</formula>
    </cfRule>
    <cfRule type="containsBlanks" dxfId="7298" priority="8090">
      <formula>LEN(TRIM(G486))=0</formula>
    </cfRule>
  </conditionalFormatting>
  <conditionalFormatting sqref="R487">
    <cfRule type="expression" dxfId="7297" priority="8086">
      <formula>$N488="BAM"</formula>
    </cfRule>
    <cfRule type="expression" dxfId="7296" priority="8087" stopIfTrue="1">
      <formula>$G485=""</formula>
    </cfRule>
    <cfRule type="containsBlanks" dxfId="7295" priority="8088">
      <formula>LEN(TRIM(R487))=0</formula>
    </cfRule>
  </conditionalFormatting>
  <conditionalFormatting sqref="R487">
    <cfRule type="expression" dxfId="7294" priority="8085">
      <formula>$C$43=0</formula>
    </cfRule>
  </conditionalFormatting>
  <conditionalFormatting sqref="E488:F488">
    <cfRule type="expression" dxfId="7293" priority="8084">
      <formula>$CQ485="Exterior"</formula>
    </cfRule>
  </conditionalFormatting>
  <conditionalFormatting sqref="R486">
    <cfRule type="expression" dxfId="7292" priority="8081" stopIfTrue="1">
      <formula>$N488="BAM"</formula>
    </cfRule>
  </conditionalFormatting>
  <conditionalFormatting sqref="R486">
    <cfRule type="containsBlanks" dxfId="7291" priority="8082">
      <formula>LEN(TRIM(R486))=0</formula>
    </cfRule>
  </conditionalFormatting>
  <conditionalFormatting sqref="R486">
    <cfRule type="expression" dxfId="7290" priority="8080" stopIfTrue="1">
      <formula>$G485=""</formula>
    </cfRule>
    <cfRule type="expression" dxfId="7289" priority="8083">
      <formula>$HY486=FALSE</formula>
    </cfRule>
  </conditionalFormatting>
  <conditionalFormatting sqref="G488">
    <cfRule type="expression" dxfId="7288" priority="8074" stopIfTrue="1">
      <formula>$G485=""</formula>
    </cfRule>
  </conditionalFormatting>
  <conditionalFormatting sqref="G488">
    <cfRule type="expression" dxfId="7287" priority="8076" stopIfTrue="1">
      <formula>$CQ485="Exterior"</formula>
    </cfRule>
  </conditionalFormatting>
  <conditionalFormatting sqref="G488:L488">
    <cfRule type="expression" dxfId="7286" priority="8075" stopIfTrue="1">
      <formula>$N488="BAM"</formula>
    </cfRule>
    <cfRule type="containsBlanks" dxfId="7285" priority="8077" stopIfTrue="1">
      <formula>LEN(TRIM(G488))=0</formula>
    </cfRule>
    <cfRule type="expression" dxfId="7284" priority="8079">
      <formula>$HQ486=FALSE</formula>
    </cfRule>
  </conditionalFormatting>
  <conditionalFormatting sqref="G488:L488">
    <cfRule type="expression" dxfId="7283" priority="8078" stopIfTrue="1">
      <formula>$AG487=""</formula>
    </cfRule>
  </conditionalFormatting>
  <conditionalFormatting sqref="G487:L487">
    <cfRule type="expression" dxfId="7282" priority="8072" stopIfTrue="1">
      <formula>$N488="BAM"</formula>
    </cfRule>
  </conditionalFormatting>
  <conditionalFormatting sqref="G485:R485">
    <cfRule type="containsBlanks" dxfId="7281" priority="8071">
      <formula>LEN(TRIM(G485))=0</formula>
    </cfRule>
  </conditionalFormatting>
  <conditionalFormatting sqref="AF487">
    <cfRule type="expression" dxfId="7280" priority="8061" stopIfTrue="1">
      <formula>$G485=""</formula>
    </cfRule>
    <cfRule type="expression" dxfId="7279" priority="8062" stopIfTrue="1">
      <formula>$N488="BAM"</formula>
    </cfRule>
    <cfRule type="expression" dxfId="7278" priority="8070">
      <formula>$AF$49&gt;$T$49</formula>
    </cfRule>
  </conditionalFormatting>
  <conditionalFormatting sqref="AC488:AE488">
    <cfRule type="expression" dxfId="7277" priority="8067" stopIfTrue="1">
      <formula>$G485=""</formula>
    </cfRule>
  </conditionalFormatting>
  <conditionalFormatting sqref="T487:U487">
    <cfRule type="expression" dxfId="7276" priority="8034" stopIfTrue="1">
      <formula>$G485=""</formula>
    </cfRule>
  </conditionalFormatting>
  <conditionalFormatting sqref="T487:U487">
    <cfRule type="containsBlanks" dxfId="7275" priority="8064" stopIfTrue="1">
      <formula>LEN(TRIM(T487))=0</formula>
    </cfRule>
  </conditionalFormatting>
  <conditionalFormatting sqref="AC485:AE485">
    <cfRule type="expression" dxfId="7274" priority="8063">
      <formula>$G485=""</formula>
    </cfRule>
  </conditionalFormatting>
  <conditionalFormatting sqref="AF487 AG488">
    <cfRule type="containsBlanks" dxfId="7273" priority="8068" stopIfTrue="1">
      <formula>LEN(TRIM(AF487))=0</formula>
    </cfRule>
  </conditionalFormatting>
  <conditionalFormatting sqref="AF487">
    <cfRule type="expression" dxfId="7272" priority="8069">
      <formula>OR($HS486=FALSE,$HT486=FALSE)</formula>
    </cfRule>
  </conditionalFormatting>
  <conditionalFormatting sqref="AG488">
    <cfRule type="expression" dxfId="7271" priority="8027">
      <formula>$C$43&gt;0</formula>
    </cfRule>
  </conditionalFormatting>
  <conditionalFormatting sqref="AG488">
    <cfRule type="expression" dxfId="7270" priority="8060" stopIfTrue="1">
      <formula>$G485=""</formula>
    </cfRule>
  </conditionalFormatting>
  <conditionalFormatting sqref="U487">
    <cfRule type="expression" dxfId="7269" priority="8065">
      <formula>OR($HK486=FALSE,$HL486=FALSE)</formula>
    </cfRule>
  </conditionalFormatting>
  <conditionalFormatting sqref="T486:U486">
    <cfRule type="expression" dxfId="7268" priority="8055" stopIfTrue="1">
      <formula>$C$43&lt;&gt;0</formula>
    </cfRule>
    <cfRule type="containsBlanks" dxfId="7267" priority="8056" stopIfTrue="1">
      <formula>LEN(TRIM(T486))=0</formula>
    </cfRule>
  </conditionalFormatting>
  <conditionalFormatting sqref="T486:U486">
    <cfRule type="expression" dxfId="7266" priority="8054" stopIfTrue="1">
      <formula>$G485=""</formula>
    </cfRule>
  </conditionalFormatting>
  <conditionalFormatting sqref="U486">
    <cfRule type="expression" dxfId="7265" priority="8057">
      <formula>$HJ486=FALSE</formula>
    </cfRule>
  </conditionalFormatting>
  <conditionalFormatting sqref="AG487">
    <cfRule type="expression" dxfId="7264" priority="8045" stopIfTrue="1">
      <formula>$G485=""</formula>
    </cfRule>
  </conditionalFormatting>
  <conditionalFormatting sqref="AG487:AL487">
    <cfRule type="expression" dxfId="7263" priority="8046">
      <formula>$N488="BAM"</formula>
    </cfRule>
    <cfRule type="expression" dxfId="7262" priority="8050">
      <formula>OR($HU486=FALSE,$HQ486=FALSE)</formula>
    </cfRule>
  </conditionalFormatting>
  <conditionalFormatting sqref="AG487">
    <cfRule type="containsBlanks" dxfId="7261" priority="8047" stopIfTrue="1">
      <formula>LEN(TRIM(AG487))=0</formula>
    </cfRule>
    <cfRule type="expression" dxfId="7260" priority="8048">
      <formula>OR($HP486=FALSE,$HR486=FALSE)</formula>
    </cfRule>
    <cfRule type="expression" dxfId="7259" priority="8049">
      <formula>OR($DS485=7,$DS485=8,$DS485=9)</formula>
    </cfRule>
  </conditionalFormatting>
  <conditionalFormatting sqref="AG485:AL485">
    <cfRule type="expression" dxfId="7258" priority="8044">
      <formula>$C$43&lt;&gt;0</formula>
    </cfRule>
  </conditionalFormatting>
  <conditionalFormatting sqref="AF486">
    <cfRule type="containsBlanks" dxfId="7257" priority="8043">
      <formula>LEN(TRIM(AF486))=0</formula>
    </cfRule>
  </conditionalFormatting>
  <conditionalFormatting sqref="AF486">
    <cfRule type="expression" dxfId="7256" priority="8042" stopIfTrue="1">
      <formula>$G485=""</formula>
    </cfRule>
  </conditionalFormatting>
  <conditionalFormatting sqref="AG486">
    <cfRule type="containsBlanks" dxfId="7255" priority="8040">
      <formula>LEN(TRIM(AG486))=0</formula>
    </cfRule>
    <cfRule type="expression" dxfId="7254" priority="8041">
      <formula>$HO486=FALSE</formula>
    </cfRule>
  </conditionalFormatting>
  <conditionalFormatting sqref="AG486">
    <cfRule type="expression" dxfId="7253" priority="8039" stopIfTrue="1">
      <formula>$G485=""</formula>
    </cfRule>
  </conditionalFormatting>
  <conditionalFormatting sqref="AF486:AK486">
    <cfRule type="expression" dxfId="7252" priority="8038">
      <formula>$C$43&gt;0</formula>
    </cfRule>
  </conditionalFormatting>
  <conditionalFormatting sqref="AM485:AN486">
    <cfRule type="expression" dxfId="7251" priority="8037">
      <formula>$G485=""</formula>
    </cfRule>
  </conditionalFormatting>
  <conditionalFormatting sqref="AM487:AN487">
    <cfRule type="expression" dxfId="7250" priority="8036" stopIfTrue="1">
      <formula>$G485=""</formula>
    </cfRule>
  </conditionalFormatting>
  <conditionalFormatting sqref="T487">
    <cfRule type="expression" dxfId="7249" priority="8058" stopIfTrue="1">
      <formula>$N488="BAM"</formula>
    </cfRule>
  </conditionalFormatting>
  <conditionalFormatting sqref="U487:AE487">
    <cfRule type="expression" dxfId="7248" priority="8035" stopIfTrue="1">
      <formula>$N488="BAM"</formula>
    </cfRule>
  </conditionalFormatting>
  <conditionalFormatting sqref="AG488:AL488">
    <cfRule type="expression" dxfId="7247" priority="8059" stopIfTrue="1">
      <formula>$N488="BAM"</formula>
    </cfRule>
  </conditionalFormatting>
  <conditionalFormatting sqref="AX491">
    <cfRule type="expression" dxfId="7246" priority="8025">
      <formula>$E491=""</formula>
    </cfRule>
  </conditionalFormatting>
  <conditionalFormatting sqref="AX490">
    <cfRule type="expression" dxfId="7245" priority="8024">
      <formula>$E490=""</formula>
    </cfRule>
  </conditionalFormatting>
  <conditionalFormatting sqref="AX492">
    <cfRule type="expression" dxfId="7244" priority="8023">
      <formula>#REF!=""</formula>
    </cfRule>
  </conditionalFormatting>
  <conditionalFormatting sqref="AX493">
    <cfRule type="expression" dxfId="7243" priority="8022">
      <formula>$E492=""</formula>
    </cfRule>
  </conditionalFormatting>
  <conditionalFormatting sqref="AY490:AZ493">
    <cfRule type="expression" dxfId="7242" priority="8021">
      <formula>$G490=""</formula>
    </cfRule>
  </conditionalFormatting>
  <conditionalFormatting sqref="G492">
    <cfRule type="expression" dxfId="7241" priority="8018" stopIfTrue="1">
      <formula>$G490=""</formula>
    </cfRule>
    <cfRule type="containsBlanks" dxfId="7240" priority="8019" stopIfTrue="1">
      <formula>LEN(TRIM(G492))=0</formula>
    </cfRule>
    <cfRule type="expression" dxfId="7239" priority="8020">
      <formula>OR($M492=0,$HH491=FALSE)</formula>
    </cfRule>
  </conditionalFormatting>
  <conditionalFormatting sqref="AO492">
    <cfRule type="expression" dxfId="7238" priority="8017" stopIfTrue="1">
      <formula>$G490=""</formula>
    </cfRule>
  </conditionalFormatting>
  <conditionalFormatting sqref="AU490:AU493">
    <cfRule type="expression" dxfId="7237" priority="8014" stopIfTrue="1">
      <formula>$C$43=2</formula>
    </cfRule>
    <cfRule type="cellIs" dxfId="7236" priority="8015" operator="equal">
      <formula>"Yes"</formula>
    </cfRule>
    <cfRule type="cellIs" dxfId="7235" priority="8016" operator="equal">
      <formula>"No"</formula>
    </cfRule>
  </conditionalFormatting>
  <conditionalFormatting sqref="AO490:AO491">
    <cfRule type="expression" dxfId="7234" priority="8013">
      <formula>$G490=""</formula>
    </cfRule>
  </conditionalFormatting>
  <conditionalFormatting sqref="AP490 AR490:AS493">
    <cfRule type="expression" dxfId="7233" priority="8012">
      <formula>$G490=""</formula>
    </cfRule>
  </conditionalFormatting>
  <conditionalFormatting sqref="AW490:AW493">
    <cfRule type="expression" dxfId="7232" priority="8011">
      <formula>$G490=""</formula>
    </cfRule>
  </conditionalFormatting>
  <conditionalFormatting sqref="G491:L491">
    <cfRule type="expression" dxfId="7231" priority="8009" stopIfTrue="1">
      <formula>$G490=""</formula>
    </cfRule>
    <cfRule type="containsBlanks" dxfId="7230" priority="8010">
      <formula>LEN(TRIM(G491))=0</formula>
    </cfRule>
  </conditionalFormatting>
  <conditionalFormatting sqref="R492">
    <cfRule type="expression" dxfId="7229" priority="8006">
      <formula>$N493="BAM"</formula>
    </cfRule>
    <cfRule type="expression" dxfId="7228" priority="8007" stopIfTrue="1">
      <formula>$G490=""</formula>
    </cfRule>
    <cfRule type="containsBlanks" dxfId="7227" priority="8008">
      <formula>LEN(TRIM(R492))=0</formula>
    </cfRule>
  </conditionalFormatting>
  <conditionalFormatting sqref="R492">
    <cfRule type="expression" dxfId="7226" priority="8005">
      <formula>$C$43=0</formula>
    </cfRule>
  </conditionalFormatting>
  <conditionalFormatting sqref="E493:F493">
    <cfRule type="expression" dxfId="7225" priority="8004">
      <formula>$CQ490="Exterior"</formula>
    </cfRule>
  </conditionalFormatting>
  <conditionalFormatting sqref="R491">
    <cfRule type="expression" dxfId="7224" priority="8001" stopIfTrue="1">
      <formula>$N493="BAM"</formula>
    </cfRule>
  </conditionalFormatting>
  <conditionalFormatting sqref="R491">
    <cfRule type="containsBlanks" dxfId="7223" priority="8002">
      <formula>LEN(TRIM(R491))=0</formula>
    </cfRule>
  </conditionalFormatting>
  <conditionalFormatting sqref="R491">
    <cfRule type="expression" dxfId="7222" priority="8000" stopIfTrue="1">
      <formula>$G490=""</formula>
    </cfRule>
    <cfRule type="expression" dxfId="7221" priority="8003">
      <formula>$HY491=FALSE</formula>
    </cfRule>
  </conditionalFormatting>
  <conditionalFormatting sqref="G493">
    <cfRule type="expression" dxfId="7220" priority="7994" stopIfTrue="1">
      <formula>$G490=""</formula>
    </cfRule>
  </conditionalFormatting>
  <conditionalFormatting sqref="G493">
    <cfRule type="expression" dxfId="7219" priority="7996" stopIfTrue="1">
      <formula>$CQ490="Exterior"</formula>
    </cfRule>
  </conditionalFormatting>
  <conditionalFormatting sqref="G493:L493">
    <cfRule type="expression" dxfId="7218" priority="7995" stopIfTrue="1">
      <formula>$N493="BAM"</formula>
    </cfRule>
    <cfRule type="containsBlanks" dxfId="7217" priority="7997" stopIfTrue="1">
      <formula>LEN(TRIM(G493))=0</formula>
    </cfRule>
    <cfRule type="expression" dxfId="7216" priority="7999">
      <formula>$HQ491=FALSE</formula>
    </cfRule>
  </conditionalFormatting>
  <conditionalFormatting sqref="G493:L493">
    <cfRule type="expression" dxfId="7215" priority="7998" stopIfTrue="1">
      <formula>$AG492=""</formula>
    </cfRule>
  </conditionalFormatting>
  <conditionalFormatting sqref="G492:L492">
    <cfRule type="expression" dxfId="7214" priority="7992" stopIfTrue="1">
      <formula>$N493="BAM"</formula>
    </cfRule>
  </conditionalFormatting>
  <conditionalFormatting sqref="G490:R490">
    <cfRule type="containsBlanks" dxfId="7213" priority="7991">
      <formula>LEN(TRIM(G490))=0</formula>
    </cfRule>
  </conditionalFormatting>
  <conditionalFormatting sqref="AF492">
    <cfRule type="expression" dxfId="7212" priority="7981" stopIfTrue="1">
      <formula>$G490=""</formula>
    </cfRule>
    <cfRule type="expression" dxfId="7211" priority="7982" stopIfTrue="1">
      <formula>$N493="BAM"</formula>
    </cfRule>
    <cfRule type="expression" dxfId="7210" priority="7990">
      <formula>$AF$49&gt;$T$49</formula>
    </cfRule>
  </conditionalFormatting>
  <conditionalFormatting sqref="AC493:AE493">
    <cfRule type="expression" dxfId="7209" priority="7987" stopIfTrue="1">
      <formula>$G490=""</formula>
    </cfRule>
  </conditionalFormatting>
  <conditionalFormatting sqref="T492:U492">
    <cfRule type="expression" dxfId="7208" priority="7954" stopIfTrue="1">
      <formula>$G490=""</formula>
    </cfRule>
  </conditionalFormatting>
  <conditionalFormatting sqref="T492:U492">
    <cfRule type="containsBlanks" dxfId="7207" priority="7984" stopIfTrue="1">
      <formula>LEN(TRIM(T492))=0</formula>
    </cfRule>
  </conditionalFormatting>
  <conditionalFormatting sqref="AC490:AE490">
    <cfRule type="expression" dxfId="7206" priority="7983">
      <formula>$G490=""</formula>
    </cfRule>
  </conditionalFormatting>
  <conditionalFormatting sqref="AF492 AG493">
    <cfRule type="containsBlanks" dxfId="7205" priority="7988" stopIfTrue="1">
      <formula>LEN(TRIM(AF492))=0</formula>
    </cfRule>
  </conditionalFormatting>
  <conditionalFormatting sqref="AF492">
    <cfRule type="expression" dxfId="7204" priority="7989">
      <formula>OR($HS491=FALSE,$HT491=FALSE)</formula>
    </cfRule>
  </conditionalFormatting>
  <conditionalFormatting sqref="AG493">
    <cfRule type="expression" dxfId="7203" priority="7947">
      <formula>$C$43&gt;0</formula>
    </cfRule>
  </conditionalFormatting>
  <conditionalFormatting sqref="AG493">
    <cfRule type="expression" dxfId="7202" priority="7980" stopIfTrue="1">
      <formula>$G490=""</formula>
    </cfRule>
  </conditionalFormatting>
  <conditionalFormatting sqref="U492">
    <cfRule type="expression" dxfId="7201" priority="7985">
      <formula>OR($HK491=FALSE,$HL491=FALSE)</formula>
    </cfRule>
  </conditionalFormatting>
  <conditionalFormatting sqref="T491:U491">
    <cfRule type="expression" dxfId="7200" priority="7975" stopIfTrue="1">
      <formula>$C$43&lt;&gt;0</formula>
    </cfRule>
    <cfRule type="containsBlanks" dxfId="7199" priority="7976" stopIfTrue="1">
      <formula>LEN(TRIM(T491))=0</formula>
    </cfRule>
  </conditionalFormatting>
  <conditionalFormatting sqref="T491:U491">
    <cfRule type="expression" dxfId="7198" priority="7974" stopIfTrue="1">
      <formula>$G490=""</formula>
    </cfRule>
  </conditionalFormatting>
  <conditionalFormatting sqref="U491">
    <cfRule type="expression" dxfId="7197" priority="7977">
      <formula>$HJ491=FALSE</formula>
    </cfRule>
  </conditionalFormatting>
  <conditionalFormatting sqref="AG492">
    <cfRule type="expression" dxfId="7196" priority="7965" stopIfTrue="1">
      <formula>$G490=""</formula>
    </cfRule>
  </conditionalFormatting>
  <conditionalFormatting sqref="AG492:AL492">
    <cfRule type="expression" dxfId="7195" priority="7966">
      <formula>$N493="BAM"</formula>
    </cfRule>
    <cfRule type="expression" dxfId="7194" priority="7970">
      <formula>OR($HU491=FALSE,$HQ491=FALSE)</formula>
    </cfRule>
  </conditionalFormatting>
  <conditionalFormatting sqref="AG492">
    <cfRule type="containsBlanks" dxfId="7193" priority="7967" stopIfTrue="1">
      <formula>LEN(TRIM(AG492))=0</formula>
    </cfRule>
    <cfRule type="expression" dxfId="7192" priority="7968">
      <formula>OR($HP491=FALSE,$HR491=FALSE)</formula>
    </cfRule>
    <cfRule type="expression" dxfId="7191" priority="7969">
      <formula>OR($DS490=7,$DS490=8,$DS490=9)</formula>
    </cfRule>
  </conditionalFormatting>
  <conditionalFormatting sqref="AG490:AL490">
    <cfRule type="expression" dxfId="7190" priority="7964">
      <formula>$C$43&lt;&gt;0</formula>
    </cfRule>
  </conditionalFormatting>
  <conditionalFormatting sqref="AF491">
    <cfRule type="containsBlanks" dxfId="7189" priority="7963">
      <formula>LEN(TRIM(AF491))=0</formula>
    </cfRule>
  </conditionalFormatting>
  <conditionalFormatting sqref="AF491">
    <cfRule type="expression" dxfId="7188" priority="7962" stopIfTrue="1">
      <formula>$G490=""</formula>
    </cfRule>
  </conditionalFormatting>
  <conditionalFormatting sqref="AG491">
    <cfRule type="containsBlanks" dxfId="7187" priority="7960">
      <formula>LEN(TRIM(AG491))=0</formula>
    </cfRule>
    <cfRule type="expression" dxfId="7186" priority="7961">
      <formula>$HO491=FALSE</formula>
    </cfRule>
  </conditionalFormatting>
  <conditionalFormatting sqref="AG491">
    <cfRule type="expression" dxfId="7185" priority="7959" stopIfTrue="1">
      <formula>$G490=""</formula>
    </cfRule>
  </conditionalFormatting>
  <conditionalFormatting sqref="AF491:AK491">
    <cfRule type="expression" dxfId="7184" priority="7958">
      <formula>$C$43&gt;0</formula>
    </cfRule>
  </conditionalFormatting>
  <conditionalFormatting sqref="AM490:AN491">
    <cfRule type="expression" dxfId="7183" priority="7957">
      <formula>$G490=""</formula>
    </cfRule>
  </conditionalFormatting>
  <conditionalFormatting sqref="AM492:AN492">
    <cfRule type="expression" dxfId="7182" priority="7956" stopIfTrue="1">
      <formula>$G490=""</formula>
    </cfRule>
  </conditionalFormatting>
  <conditionalFormatting sqref="T492">
    <cfRule type="expression" dxfId="7181" priority="7978" stopIfTrue="1">
      <formula>$N493="BAM"</formula>
    </cfRule>
  </conditionalFormatting>
  <conditionalFormatting sqref="U492:AE492">
    <cfRule type="expression" dxfId="7180" priority="7955" stopIfTrue="1">
      <formula>$N493="BAM"</formula>
    </cfRule>
  </conditionalFormatting>
  <conditionalFormatting sqref="AG493:AL493">
    <cfRule type="expression" dxfId="7179" priority="7979" stopIfTrue="1">
      <formula>$N493="BAM"</formula>
    </cfRule>
  </conditionalFormatting>
  <conditionalFormatting sqref="AX496">
    <cfRule type="expression" dxfId="7178" priority="7945">
      <formula>$E496=""</formula>
    </cfRule>
  </conditionalFormatting>
  <conditionalFormatting sqref="AX495">
    <cfRule type="expression" dxfId="7177" priority="7944">
      <formula>$E495=""</formula>
    </cfRule>
  </conditionalFormatting>
  <conditionalFormatting sqref="AX497">
    <cfRule type="expression" dxfId="7176" priority="7943">
      <formula>#REF!=""</formula>
    </cfRule>
  </conditionalFormatting>
  <conditionalFormatting sqref="AX498">
    <cfRule type="expression" dxfId="7175" priority="7942">
      <formula>$E497=""</formula>
    </cfRule>
  </conditionalFormatting>
  <conditionalFormatting sqref="AY495:AZ498">
    <cfRule type="expression" dxfId="7174" priority="7941">
      <formula>$G495=""</formula>
    </cfRule>
  </conditionalFormatting>
  <conditionalFormatting sqref="G497">
    <cfRule type="expression" dxfId="7173" priority="7938" stopIfTrue="1">
      <formula>$G495=""</formula>
    </cfRule>
    <cfRule type="containsBlanks" dxfId="7172" priority="7939" stopIfTrue="1">
      <formula>LEN(TRIM(G497))=0</formula>
    </cfRule>
    <cfRule type="expression" dxfId="7171" priority="7940">
      <formula>OR($M497=0,$HH496=FALSE)</formula>
    </cfRule>
  </conditionalFormatting>
  <conditionalFormatting sqref="AO497">
    <cfRule type="expression" dxfId="7170" priority="7937" stopIfTrue="1">
      <formula>$G495=""</formula>
    </cfRule>
  </conditionalFormatting>
  <conditionalFormatting sqref="AU495:AU498">
    <cfRule type="expression" dxfId="7169" priority="7934" stopIfTrue="1">
      <formula>$C$43=2</formula>
    </cfRule>
    <cfRule type="cellIs" dxfId="7168" priority="7935" operator="equal">
      <formula>"Yes"</formula>
    </cfRule>
    <cfRule type="cellIs" dxfId="7167" priority="7936" operator="equal">
      <formula>"No"</formula>
    </cfRule>
  </conditionalFormatting>
  <conditionalFormatting sqref="AO495:AO496">
    <cfRule type="expression" dxfId="7166" priority="7933">
      <formula>$G495=""</formula>
    </cfRule>
  </conditionalFormatting>
  <conditionalFormatting sqref="AP495 AR495:AS498">
    <cfRule type="expression" dxfId="7165" priority="7932">
      <formula>$G495=""</formula>
    </cfRule>
  </conditionalFormatting>
  <conditionalFormatting sqref="AW495:AW498">
    <cfRule type="expression" dxfId="7164" priority="7931">
      <formula>$G495=""</formula>
    </cfRule>
  </conditionalFormatting>
  <conditionalFormatting sqref="G496:L496">
    <cfRule type="expression" dxfId="7163" priority="7929" stopIfTrue="1">
      <formula>$G495=""</formula>
    </cfRule>
    <cfRule type="containsBlanks" dxfId="7162" priority="7930">
      <formula>LEN(TRIM(G496))=0</formula>
    </cfRule>
  </conditionalFormatting>
  <conditionalFormatting sqref="R497">
    <cfRule type="expression" dxfId="7161" priority="7926">
      <formula>$N498="BAM"</formula>
    </cfRule>
    <cfRule type="expression" dxfId="7160" priority="7927" stopIfTrue="1">
      <formula>$G495=""</formula>
    </cfRule>
    <cfRule type="containsBlanks" dxfId="7159" priority="7928">
      <formula>LEN(TRIM(R497))=0</formula>
    </cfRule>
  </conditionalFormatting>
  <conditionalFormatting sqref="R497">
    <cfRule type="expression" dxfId="7158" priority="7925">
      <formula>$C$43=0</formula>
    </cfRule>
  </conditionalFormatting>
  <conditionalFormatting sqref="E498:F498">
    <cfRule type="expression" dxfId="7157" priority="7924">
      <formula>$CQ495="Exterior"</formula>
    </cfRule>
  </conditionalFormatting>
  <conditionalFormatting sqref="R496">
    <cfRule type="expression" dxfId="7156" priority="7921" stopIfTrue="1">
      <formula>$N498="BAM"</formula>
    </cfRule>
  </conditionalFormatting>
  <conditionalFormatting sqref="R496">
    <cfRule type="containsBlanks" dxfId="7155" priority="7922">
      <formula>LEN(TRIM(R496))=0</formula>
    </cfRule>
  </conditionalFormatting>
  <conditionalFormatting sqref="R496">
    <cfRule type="expression" dxfId="7154" priority="7920" stopIfTrue="1">
      <formula>$G495=""</formula>
    </cfRule>
    <cfRule type="expression" dxfId="7153" priority="7923">
      <formula>$HY496=FALSE</formula>
    </cfRule>
  </conditionalFormatting>
  <conditionalFormatting sqref="G498">
    <cfRule type="expression" dxfId="7152" priority="7914" stopIfTrue="1">
      <formula>$G495=""</formula>
    </cfRule>
  </conditionalFormatting>
  <conditionalFormatting sqref="G498">
    <cfRule type="expression" dxfId="7151" priority="7916" stopIfTrue="1">
      <formula>$CQ495="Exterior"</formula>
    </cfRule>
  </conditionalFormatting>
  <conditionalFormatting sqref="G498:L498">
    <cfRule type="expression" dxfId="7150" priority="7915" stopIfTrue="1">
      <formula>$N498="BAM"</formula>
    </cfRule>
    <cfRule type="containsBlanks" dxfId="7149" priority="7917" stopIfTrue="1">
      <formula>LEN(TRIM(G498))=0</formula>
    </cfRule>
    <cfRule type="expression" dxfId="7148" priority="7919">
      <formula>$HQ496=FALSE</formula>
    </cfRule>
  </conditionalFormatting>
  <conditionalFormatting sqref="G498:L498">
    <cfRule type="expression" dxfId="7147" priority="7918" stopIfTrue="1">
      <formula>$AG497=""</formula>
    </cfRule>
  </conditionalFormatting>
  <conditionalFormatting sqref="G497:L497">
    <cfRule type="expression" dxfId="7146" priority="7912" stopIfTrue="1">
      <formula>$N498="BAM"</formula>
    </cfRule>
  </conditionalFormatting>
  <conditionalFormatting sqref="G495:R495">
    <cfRule type="containsBlanks" dxfId="7145" priority="7911">
      <formula>LEN(TRIM(G495))=0</formula>
    </cfRule>
  </conditionalFormatting>
  <conditionalFormatting sqref="AF497">
    <cfRule type="expression" dxfId="7144" priority="7901" stopIfTrue="1">
      <formula>$G495=""</formula>
    </cfRule>
    <cfRule type="expression" dxfId="7143" priority="7902" stopIfTrue="1">
      <formula>$N498="BAM"</formula>
    </cfRule>
    <cfRule type="expression" dxfId="7142" priority="7910">
      <formula>$AF$49&gt;$T$49</formula>
    </cfRule>
  </conditionalFormatting>
  <conditionalFormatting sqref="AC498:AE498">
    <cfRule type="expression" dxfId="7141" priority="7907" stopIfTrue="1">
      <formula>$G495=""</formula>
    </cfRule>
  </conditionalFormatting>
  <conditionalFormatting sqref="T497:U497">
    <cfRule type="expression" dxfId="7140" priority="7874" stopIfTrue="1">
      <formula>$G495=""</formula>
    </cfRule>
  </conditionalFormatting>
  <conditionalFormatting sqref="T497:U497">
    <cfRule type="containsBlanks" dxfId="7139" priority="7904" stopIfTrue="1">
      <formula>LEN(TRIM(T497))=0</formula>
    </cfRule>
  </conditionalFormatting>
  <conditionalFormatting sqref="AC495:AE495">
    <cfRule type="expression" dxfId="7138" priority="7903">
      <formula>$G495=""</formula>
    </cfRule>
  </conditionalFormatting>
  <conditionalFormatting sqref="AF497 AG498">
    <cfRule type="containsBlanks" dxfId="7137" priority="7908" stopIfTrue="1">
      <formula>LEN(TRIM(AF497))=0</formula>
    </cfRule>
  </conditionalFormatting>
  <conditionalFormatting sqref="AF497">
    <cfRule type="expression" dxfId="7136" priority="7909">
      <formula>OR($HS496=FALSE,$HT496=FALSE)</formula>
    </cfRule>
  </conditionalFormatting>
  <conditionalFormatting sqref="AG498">
    <cfRule type="expression" dxfId="7135" priority="7867">
      <formula>$C$43&gt;0</formula>
    </cfRule>
  </conditionalFormatting>
  <conditionalFormatting sqref="AG498">
    <cfRule type="expression" dxfId="7134" priority="7900" stopIfTrue="1">
      <formula>$G495=""</formula>
    </cfRule>
  </conditionalFormatting>
  <conditionalFormatting sqref="U497">
    <cfRule type="expression" dxfId="7133" priority="7905">
      <formula>OR($HK496=FALSE,$HL496=FALSE)</formula>
    </cfRule>
  </conditionalFormatting>
  <conditionalFormatting sqref="T496:U496">
    <cfRule type="expression" dxfId="7132" priority="7895" stopIfTrue="1">
      <formula>$C$43&lt;&gt;0</formula>
    </cfRule>
    <cfRule type="containsBlanks" dxfId="7131" priority="7896" stopIfTrue="1">
      <formula>LEN(TRIM(T496))=0</formula>
    </cfRule>
  </conditionalFormatting>
  <conditionalFormatting sqref="T496:U496">
    <cfRule type="expression" dxfId="7130" priority="7894" stopIfTrue="1">
      <formula>$G495=""</formula>
    </cfRule>
  </conditionalFormatting>
  <conditionalFormatting sqref="U496">
    <cfRule type="expression" dxfId="7129" priority="7897">
      <formula>$HJ496=FALSE</formula>
    </cfRule>
  </conditionalFormatting>
  <conditionalFormatting sqref="AG497">
    <cfRule type="expression" dxfId="7128" priority="7885" stopIfTrue="1">
      <formula>$G495=""</formula>
    </cfRule>
  </conditionalFormatting>
  <conditionalFormatting sqref="AG497:AL497">
    <cfRule type="expression" dxfId="7127" priority="7886">
      <formula>$N498="BAM"</formula>
    </cfRule>
    <cfRule type="expression" dxfId="7126" priority="7890">
      <formula>OR($HU496=FALSE,$HQ496=FALSE)</formula>
    </cfRule>
  </conditionalFormatting>
  <conditionalFormatting sqref="AG497">
    <cfRule type="containsBlanks" dxfId="7125" priority="7887" stopIfTrue="1">
      <formula>LEN(TRIM(AG497))=0</formula>
    </cfRule>
    <cfRule type="expression" dxfId="7124" priority="7888">
      <formula>OR($HP496=FALSE,$HR496=FALSE)</formula>
    </cfRule>
    <cfRule type="expression" dxfId="7123" priority="7889">
      <formula>OR($DS495=7,$DS495=8,$DS495=9)</formula>
    </cfRule>
  </conditionalFormatting>
  <conditionalFormatting sqref="AG495:AL495">
    <cfRule type="expression" dxfId="7122" priority="7884">
      <formula>$C$43&lt;&gt;0</formula>
    </cfRule>
  </conditionalFormatting>
  <conditionalFormatting sqref="AF496">
    <cfRule type="containsBlanks" dxfId="7121" priority="7883">
      <formula>LEN(TRIM(AF496))=0</formula>
    </cfRule>
  </conditionalFormatting>
  <conditionalFormatting sqref="AF496">
    <cfRule type="expression" dxfId="7120" priority="7882" stopIfTrue="1">
      <formula>$G495=""</formula>
    </cfRule>
  </conditionalFormatting>
  <conditionalFormatting sqref="AG496">
    <cfRule type="containsBlanks" dxfId="7119" priority="7880">
      <formula>LEN(TRIM(AG496))=0</formula>
    </cfRule>
    <cfRule type="expression" dxfId="7118" priority="7881">
      <formula>$HO496=FALSE</formula>
    </cfRule>
  </conditionalFormatting>
  <conditionalFormatting sqref="AG496">
    <cfRule type="expression" dxfId="7117" priority="7879" stopIfTrue="1">
      <formula>$G495=""</formula>
    </cfRule>
  </conditionalFormatting>
  <conditionalFormatting sqref="AF496:AK496">
    <cfRule type="expression" dxfId="7116" priority="7878">
      <formula>$C$43&gt;0</formula>
    </cfRule>
  </conditionalFormatting>
  <conditionalFormatting sqref="AM495:AN496">
    <cfRule type="expression" dxfId="7115" priority="7877">
      <formula>$G495=""</formula>
    </cfRule>
  </conditionalFormatting>
  <conditionalFormatting sqref="AM497:AN497">
    <cfRule type="expression" dxfId="7114" priority="7876" stopIfTrue="1">
      <formula>$G495=""</formula>
    </cfRule>
  </conditionalFormatting>
  <conditionalFormatting sqref="T497">
    <cfRule type="expression" dxfId="7113" priority="7898" stopIfTrue="1">
      <formula>$N498="BAM"</formula>
    </cfRule>
  </conditionalFormatting>
  <conditionalFormatting sqref="U497:AE497">
    <cfRule type="expression" dxfId="7112" priority="7875" stopIfTrue="1">
      <formula>$N498="BAM"</formula>
    </cfRule>
  </conditionalFormatting>
  <conditionalFormatting sqref="AG498:AL498">
    <cfRule type="expression" dxfId="7111" priority="7899" stopIfTrue="1">
      <formula>$N498="BAM"</formula>
    </cfRule>
  </conditionalFormatting>
  <conditionalFormatting sqref="AX501">
    <cfRule type="expression" dxfId="7110" priority="7865">
      <formula>$E501=""</formula>
    </cfRule>
  </conditionalFormatting>
  <conditionalFormatting sqref="AX500">
    <cfRule type="expression" dxfId="7109" priority="7864">
      <formula>$E500=""</formula>
    </cfRule>
  </conditionalFormatting>
  <conditionalFormatting sqref="AX502">
    <cfRule type="expression" dxfId="7108" priority="7863">
      <formula>#REF!=""</formula>
    </cfRule>
  </conditionalFormatting>
  <conditionalFormatting sqref="AX503">
    <cfRule type="expression" dxfId="7107" priority="7862">
      <formula>$E502=""</formula>
    </cfRule>
  </conditionalFormatting>
  <conditionalFormatting sqref="AY500:AZ503">
    <cfRule type="expression" dxfId="7106" priority="7861">
      <formula>$G500=""</formula>
    </cfRule>
  </conditionalFormatting>
  <conditionalFormatting sqref="G502">
    <cfRule type="expression" dxfId="7105" priority="7858" stopIfTrue="1">
      <formula>$G500=""</formula>
    </cfRule>
    <cfRule type="containsBlanks" dxfId="7104" priority="7859" stopIfTrue="1">
      <formula>LEN(TRIM(G502))=0</formula>
    </cfRule>
    <cfRule type="expression" dxfId="7103" priority="7860">
      <formula>OR($M502=0,$HH501=FALSE)</formula>
    </cfRule>
  </conditionalFormatting>
  <conditionalFormatting sqref="AO502">
    <cfRule type="expression" dxfId="7102" priority="7857" stopIfTrue="1">
      <formula>$G500=""</formula>
    </cfRule>
  </conditionalFormatting>
  <conditionalFormatting sqref="AU500:AU503">
    <cfRule type="expression" dxfId="7101" priority="7854" stopIfTrue="1">
      <formula>$C$43=2</formula>
    </cfRule>
    <cfRule type="cellIs" dxfId="7100" priority="7855" operator="equal">
      <formula>"Yes"</formula>
    </cfRule>
    <cfRule type="cellIs" dxfId="7099" priority="7856" operator="equal">
      <formula>"No"</formula>
    </cfRule>
  </conditionalFormatting>
  <conditionalFormatting sqref="AO500:AO501">
    <cfRule type="expression" dxfId="7098" priority="7853">
      <formula>$G500=""</formula>
    </cfRule>
  </conditionalFormatting>
  <conditionalFormatting sqref="AP500 AR500:AS503">
    <cfRule type="expression" dxfId="7097" priority="7852">
      <formula>$G500=""</formula>
    </cfRule>
  </conditionalFormatting>
  <conditionalFormatting sqref="AW500:AW503">
    <cfRule type="expression" dxfId="7096" priority="7851">
      <formula>$G500=""</formula>
    </cfRule>
  </conditionalFormatting>
  <conditionalFormatting sqref="G501:L501">
    <cfRule type="expression" dxfId="7095" priority="7849" stopIfTrue="1">
      <formula>$G500=""</formula>
    </cfRule>
    <cfRule type="containsBlanks" dxfId="7094" priority="7850">
      <formula>LEN(TRIM(G501))=0</formula>
    </cfRule>
  </conditionalFormatting>
  <conditionalFormatting sqref="R502">
    <cfRule type="expression" dxfId="7093" priority="7846">
      <formula>$N503="BAM"</formula>
    </cfRule>
    <cfRule type="expression" dxfId="7092" priority="7847" stopIfTrue="1">
      <formula>$G500=""</formula>
    </cfRule>
    <cfRule type="containsBlanks" dxfId="7091" priority="7848">
      <formula>LEN(TRIM(R502))=0</formula>
    </cfRule>
  </conditionalFormatting>
  <conditionalFormatting sqref="R502">
    <cfRule type="expression" dxfId="7090" priority="7845">
      <formula>$C$43=0</formula>
    </cfRule>
  </conditionalFormatting>
  <conditionalFormatting sqref="E503:F503">
    <cfRule type="expression" dxfId="7089" priority="7844">
      <formula>$CQ500="Exterior"</formula>
    </cfRule>
  </conditionalFormatting>
  <conditionalFormatting sqref="R501">
    <cfRule type="expression" dxfId="7088" priority="7841" stopIfTrue="1">
      <formula>$N503="BAM"</formula>
    </cfRule>
  </conditionalFormatting>
  <conditionalFormatting sqref="R501">
    <cfRule type="containsBlanks" dxfId="7087" priority="7842">
      <formula>LEN(TRIM(R501))=0</formula>
    </cfRule>
  </conditionalFormatting>
  <conditionalFormatting sqref="R501">
    <cfRule type="expression" dxfId="7086" priority="7840" stopIfTrue="1">
      <formula>$G500=""</formula>
    </cfRule>
    <cfRule type="expression" dxfId="7085" priority="7843">
      <formula>$HY501=FALSE</formula>
    </cfRule>
  </conditionalFormatting>
  <conditionalFormatting sqref="G503">
    <cfRule type="expression" dxfId="7084" priority="7834" stopIfTrue="1">
      <formula>$G500=""</formula>
    </cfRule>
  </conditionalFormatting>
  <conditionalFormatting sqref="G503">
    <cfRule type="expression" dxfId="7083" priority="7836" stopIfTrue="1">
      <formula>$CQ500="Exterior"</formula>
    </cfRule>
  </conditionalFormatting>
  <conditionalFormatting sqref="G503:L503">
    <cfRule type="expression" dxfId="7082" priority="7835" stopIfTrue="1">
      <formula>$N503="BAM"</formula>
    </cfRule>
    <cfRule type="containsBlanks" dxfId="7081" priority="7837" stopIfTrue="1">
      <formula>LEN(TRIM(G503))=0</formula>
    </cfRule>
    <cfRule type="expression" dxfId="7080" priority="7839">
      <formula>$HQ501=FALSE</formula>
    </cfRule>
  </conditionalFormatting>
  <conditionalFormatting sqref="G503:L503">
    <cfRule type="expression" dxfId="7079" priority="7838" stopIfTrue="1">
      <formula>$AG502=""</formula>
    </cfRule>
  </conditionalFormatting>
  <conditionalFormatting sqref="G502:L502">
    <cfRule type="expression" dxfId="7078" priority="7832" stopIfTrue="1">
      <formula>$N503="BAM"</formula>
    </cfRule>
  </conditionalFormatting>
  <conditionalFormatting sqref="G500:R500">
    <cfRule type="containsBlanks" dxfId="7077" priority="7831">
      <formula>LEN(TRIM(G500))=0</formula>
    </cfRule>
  </conditionalFormatting>
  <conditionalFormatting sqref="AF502">
    <cfRule type="expression" dxfId="7076" priority="7821" stopIfTrue="1">
      <formula>$G500=""</formula>
    </cfRule>
    <cfRule type="expression" dxfId="7075" priority="7822" stopIfTrue="1">
      <formula>$N503="BAM"</formula>
    </cfRule>
    <cfRule type="expression" dxfId="7074" priority="7830">
      <formula>$AF$49&gt;$T$49</formula>
    </cfRule>
  </conditionalFormatting>
  <conditionalFormatting sqref="AC503:AE503">
    <cfRule type="expression" dxfId="7073" priority="7827" stopIfTrue="1">
      <formula>$G500=""</formula>
    </cfRule>
  </conditionalFormatting>
  <conditionalFormatting sqref="T502:U502">
    <cfRule type="expression" dxfId="7072" priority="7794" stopIfTrue="1">
      <formula>$G500=""</formula>
    </cfRule>
  </conditionalFormatting>
  <conditionalFormatting sqref="T502:U502">
    <cfRule type="containsBlanks" dxfId="7071" priority="7824" stopIfTrue="1">
      <formula>LEN(TRIM(T502))=0</formula>
    </cfRule>
  </conditionalFormatting>
  <conditionalFormatting sqref="AC500:AE500">
    <cfRule type="expression" dxfId="7070" priority="7823">
      <formula>$G500=""</formula>
    </cfRule>
  </conditionalFormatting>
  <conditionalFormatting sqref="AF502 AG503">
    <cfRule type="containsBlanks" dxfId="7069" priority="7828" stopIfTrue="1">
      <formula>LEN(TRIM(AF502))=0</formula>
    </cfRule>
  </conditionalFormatting>
  <conditionalFormatting sqref="AF502">
    <cfRule type="expression" dxfId="7068" priority="7829">
      <formula>OR($HS501=FALSE,$HT501=FALSE)</formula>
    </cfRule>
  </conditionalFormatting>
  <conditionalFormatting sqref="AG503">
    <cfRule type="expression" dxfId="7067" priority="7787">
      <formula>$C$43&gt;0</formula>
    </cfRule>
  </conditionalFormatting>
  <conditionalFormatting sqref="AG503">
    <cfRule type="expression" dxfId="7066" priority="7820" stopIfTrue="1">
      <formula>$G500=""</formula>
    </cfRule>
  </conditionalFormatting>
  <conditionalFormatting sqref="U502">
    <cfRule type="expression" dxfId="7065" priority="7825">
      <formula>OR($HK501=FALSE,$HL501=FALSE)</formula>
    </cfRule>
  </conditionalFormatting>
  <conditionalFormatting sqref="T501:U501">
    <cfRule type="expression" dxfId="7064" priority="7815" stopIfTrue="1">
      <formula>$C$43&lt;&gt;0</formula>
    </cfRule>
    <cfRule type="containsBlanks" dxfId="7063" priority="7816" stopIfTrue="1">
      <formula>LEN(TRIM(T501))=0</formula>
    </cfRule>
  </conditionalFormatting>
  <conditionalFormatting sqref="T501:U501">
    <cfRule type="expression" dxfId="7062" priority="7814" stopIfTrue="1">
      <formula>$G500=""</formula>
    </cfRule>
  </conditionalFormatting>
  <conditionalFormatting sqref="U501">
    <cfRule type="expression" dxfId="7061" priority="7817">
      <formula>$HJ501=FALSE</formula>
    </cfRule>
  </conditionalFormatting>
  <conditionalFormatting sqref="AG502">
    <cfRule type="expression" dxfId="7060" priority="7805" stopIfTrue="1">
      <formula>$G500=""</formula>
    </cfRule>
  </conditionalFormatting>
  <conditionalFormatting sqref="AG502:AL502">
    <cfRule type="expression" dxfId="7059" priority="7806">
      <formula>$N503="BAM"</formula>
    </cfRule>
    <cfRule type="expression" dxfId="7058" priority="7810">
      <formula>OR($HU501=FALSE,$HQ501=FALSE)</formula>
    </cfRule>
  </conditionalFormatting>
  <conditionalFormatting sqref="AG502">
    <cfRule type="containsBlanks" dxfId="7057" priority="7807" stopIfTrue="1">
      <formula>LEN(TRIM(AG502))=0</formula>
    </cfRule>
    <cfRule type="expression" dxfId="7056" priority="7808">
      <formula>OR($HP501=FALSE,$HR501=FALSE)</formula>
    </cfRule>
    <cfRule type="expression" dxfId="7055" priority="7809">
      <formula>OR($DS500=7,$DS500=8,$DS500=9)</formula>
    </cfRule>
  </conditionalFormatting>
  <conditionalFormatting sqref="AG500:AL500">
    <cfRule type="expression" dxfId="7054" priority="7804">
      <formula>$C$43&lt;&gt;0</formula>
    </cfRule>
  </conditionalFormatting>
  <conditionalFormatting sqref="AF501">
    <cfRule type="containsBlanks" dxfId="7053" priority="7803">
      <formula>LEN(TRIM(AF501))=0</formula>
    </cfRule>
  </conditionalFormatting>
  <conditionalFormatting sqref="AF501">
    <cfRule type="expression" dxfId="7052" priority="7802" stopIfTrue="1">
      <formula>$G500=""</formula>
    </cfRule>
  </conditionalFormatting>
  <conditionalFormatting sqref="AG501">
    <cfRule type="containsBlanks" dxfId="7051" priority="7800">
      <formula>LEN(TRIM(AG501))=0</formula>
    </cfRule>
    <cfRule type="expression" dxfId="7050" priority="7801">
      <formula>$HO501=FALSE</formula>
    </cfRule>
  </conditionalFormatting>
  <conditionalFormatting sqref="AG501">
    <cfRule type="expression" dxfId="7049" priority="7799" stopIfTrue="1">
      <formula>$G500=""</formula>
    </cfRule>
  </conditionalFormatting>
  <conditionalFormatting sqref="AF501:AK501">
    <cfRule type="expression" dxfId="7048" priority="7798">
      <formula>$C$43&gt;0</formula>
    </cfRule>
  </conditionalFormatting>
  <conditionalFormatting sqref="AM500:AN501">
    <cfRule type="expression" dxfId="7047" priority="7797">
      <formula>$G500=""</formula>
    </cfRule>
  </conditionalFormatting>
  <conditionalFormatting sqref="AM502:AN502">
    <cfRule type="expression" dxfId="7046" priority="7796" stopIfTrue="1">
      <formula>$G500=""</formula>
    </cfRule>
  </conditionalFormatting>
  <conditionalFormatting sqref="T502">
    <cfRule type="expression" dxfId="7045" priority="7818" stopIfTrue="1">
      <formula>$N503="BAM"</formula>
    </cfRule>
  </conditionalFormatting>
  <conditionalFormatting sqref="U502:AE502">
    <cfRule type="expression" dxfId="7044" priority="7795" stopIfTrue="1">
      <formula>$N503="BAM"</formula>
    </cfRule>
  </conditionalFormatting>
  <conditionalFormatting sqref="AG503:AL503">
    <cfRule type="expression" dxfId="7043" priority="7819" stopIfTrue="1">
      <formula>$N503="BAM"</formula>
    </cfRule>
  </conditionalFormatting>
  <conditionalFormatting sqref="AX506">
    <cfRule type="expression" dxfId="7042" priority="7785">
      <formula>$E506=""</formula>
    </cfRule>
  </conditionalFormatting>
  <conditionalFormatting sqref="AX505">
    <cfRule type="expression" dxfId="7041" priority="7784">
      <formula>$E505=""</formula>
    </cfRule>
  </conditionalFormatting>
  <conditionalFormatting sqref="AX507">
    <cfRule type="expression" dxfId="7040" priority="7783">
      <formula>#REF!=""</formula>
    </cfRule>
  </conditionalFormatting>
  <conditionalFormatting sqref="AX508">
    <cfRule type="expression" dxfId="7039" priority="7782">
      <formula>$E507=""</formula>
    </cfRule>
  </conditionalFormatting>
  <conditionalFormatting sqref="AY505:AZ508">
    <cfRule type="expression" dxfId="7038" priority="7781">
      <formula>$G505=""</formula>
    </cfRule>
  </conditionalFormatting>
  <conditionalFormatting sqref="G507">
    <cfRule type="expression" dxfId="7037" priority="7778" stopIfTrue="1">
      <formula>$G505=""</formula>
    </cfRule>
    <cfRule type="containsBlanks" dxfId="7036" priority="7779" stopIfTrue="1">
      <formula>LEN(TRIM(G507))=0</formula>
    </cfRule>
    <cfRule type="expression" dxfId="7035" priority="7780">
      <formula>OR($M507=0,$HH506=FALSE)</formula>
    </cfRule>
  </conditionalFormatting>
  <conditionalFormatting sqref="AO507">
    <cfRule type="expression" dxfId="7034" priority="7777" stopIfTrue="1">
      <formula>$G505=""</formula>
    </cfRule>
  </conditionalFormatting>
  <conditionalFormatting sqref="AU505:AU508">
    <cfRule type="expression" dxfId="7033" priority="7774" stopIfTrue="1">
      <formula>$C$43=2</formula>
    </cfRule>
    <cfRule type="cellIs" dxfId="7032" priority="7775" operator="equal">
      <formula>"Yes"</formula>
    </cfRule>
    <cfRule type="cellIs" dxfId="7031" priority="7776" operator="equal">
      <formula>"No"</formula>
    </cfRule>
  </conditionalFormatting>
  <conditionalFormatting sqref="AO505:AO506">
    <cfRule type="expression" dxfId="7030" priority="7773">
      <formula>$G505=""</formula>
    </cfRule>
  </conditionalFormatting>
  <conditionalFormatting sqref="AP505 AR505:AS508">
    <cfRule type="expression" dxfId="7029" priority="7772">
      <formula>$G505=""</formula>
    </cfRule>
  </conditionalFormatting>
  <conditionalFormatting sqref="AW505:AW508">
    <cfRule type="expression" dxfId="7028" priority="7771">
      <formula>$G505=""</formula>
    </cfRule>
  </conditionalFormatting>
  <conditionalFormatting sqref="G506:L506">
    <cfRule type="expression" dxfId="7027" priority="7769" stopIfTrue="1">
      <formula>$G505=""</formula>
    </cfRule>
    <cfRule type="containsBlanks" dxfId="7026" priority="7770">
      <formula>LEN(TRIM(G506))=0</formula>
    </cfRule>
  </conditionalFormatting>
  <conditionalFormatting sqref="R507">
    <cfRule type="expression" dxfId="7025" priority="7766">
      <formula>$N508="BAM"</formula>
    </cfRule>
    <cfRule type="expression" dxfId="7024" priority="7767" stopIfTrue="1">
      <formula>$G505=""</formula>
    </cfRule>
    <cfRule type="containsBlanks" dxfId="7023" priority="7768">
      <formula>LEN(TRIM(R507))=0</formula>
    </cfRule>
  </conditionalFormatting>
  <conditionalFormatting sqref="R507">
    <cfRule type="expression" dxfId="7022" priority="7765">
      <formula>$C$43=0</formula>
    </cfRule>
  </conditionalFormatting>
  <conditionalFormatting sqref="E508:F508">
    <cfRule type="expression" dxfId="7021" priority="7764">
      <formula>$CQ505="Exterior"</formula>
    </cfRule>
  </conditionalFormatting>
  <conditionalFormatting sqref="R506">
    <cfRule type="expression" dxfId="7020" priority="7761" stopIfTrue="1">
      <formula>$N508="BAM"</formula>
    </cfRule>
  </conditionalFormatting>
  <conditionalFormatting sqref="R506">
    <cfRule type="containsBlanks" dxfId="7019" priority="7762">
      <formula>LEN(TRIM(R506))=0</formula>
    </cfRule>
  </conditionalFormatting>
  <conditionalFormatting sqref="R506">
    <cfRule type="expression" dxfId="7018" priority="7760" stopIfTrue="1">
      <formula>$G505=""</formula>
    </cfRule>
    <cfRule type="expression" dxfId="7017" priority="7763">
      <formula>$HY506=FALSE</formula>
    </cfRule>
  </conditionalFormatting>
  <conditionalFormatting sqref="G508">
    <cfRule type="expression" dxfId="7016" priority="7754" stopIfTrue="1">
      <formula>$G505=""</formula>
    </cfRule>
  </conditionalFormatting>
  <conditionalFormatting sqref="G508">
    <cfRule type="expression" dxfId="7015" priority="7756" stopIfTrue="1">
      <formula>$CQ505="Exterior"</formula>
    </cfRule>
  </conditionalFormatting>
  <conditionalFormatting sqref="G508:L508">
    <cfRule type="expression" dxfId="7014" priority="7755" stopIfTrue="1">
      <formula>$N508="BAM"</formula>
    </cfRule>
    <cfRule type="containsBlanks" dxfId="7013" priority="7757" stopIfTrue="1">
      <formula>LEN(TRIM(G508))=0</formula>
    </cfRule>
    <cfRule type="expression" dxfId="7012" priority="7759">
      <formula>$HQ506=FALSE</formula>
    </cfRule>
  </conditionalFormatting>
  <conditionalFormatting sqref="G508:L508">
    <cfRule type="expression" dxfId="7011" priority="7758" stopIfTrue="1">
      <formula>$AG507=""</formula>
    </cfRule>
  </conditionalFormatting>
  <conditionalFormatting sqref="G507:L507">
    <cfRule type="expression" dxfId="7010" priority="7752" stopIfTrue="1">
      <formula>$N508="BAM"</formula>
    </cfRule>
  </conditionalFormatting>
  <conditionalFormatting sqref="G505:R505">
    <cfRule type="containsBlanks" dxfId="7009" priority="7751">
      <formula>LEN(TRIM(G505))=0</formula>
    </cfRule>
  </conditionalFormatting>
  <conditionalFormatting sqref="AF507">
    <cfRule type="expression" dxfId="7008" priority="7741" stopIfTrue="1">
      <formula>$G505=""</formula>
    </cfRule>
    <cfRule type="expression" dxfId="7007" priority="7742" stopIfTrue="1">
      <formula>$N508="BAM"</formula>
    </cfRule>
    <cfRule type="expression" dxfId="7006" priority="7750">
      <formula>$AF$49&gt;$T$49</formula>
    </cfRule>
  </conditionalFormatting>
  <conditionalFormatting sqref="AC508:AE508">
    <cfRule type="expression" dxfId="7005" priority="7747" stopIfTrue="1">
      <formula>$G505=""</formula>
    </cfRule>
  </conditionalFormatting>
  <conditionalFormatting sqref="T507:U507">
    <cfRule type="expression" dxfId="7004" priority="7714" stopIfTrue="1">
      <formula>$G505=""</formula>
    </cfRule>
  </conditionalFormatting>
  <conditionalFormatting sqref="T507:U507">
    <cfRule type="containsBlanks" dxfId="7003" priority="7744" stopIfTrue="1">
      <formula>LEN(TRIM(T507))=0</formula>
    </cfRule>
  </conditionalFormatting>
  <conditionalFormatting sqref="AC505:AE505">
    <cfRule type="expression" dxfId="7002" priority="7743">
      <formula>$G505=""</formula>
    </cfRule>
  </conditionalFormatting>
  <conditionalFormatting sqref="AF507 AG508">
    <cfRule type="containsBlanks" dxfId="7001" priority="7748" stopIfTrue="1">
      <formula>LEN(TRIM(AF507))=0</formula>
    </cfRule>
  </conditionalFormatting>
  <conditionalFormatting sqref="AF507">
    <cfRule type="expression" dxfId="7000" priority="7749">
      <formula>OR($HS506=FALSE,$HT506=FALSE)</formula>
    </cfRule>
  </conditionalFormatting>
  <conditionalFormatting sqref="AG508">
    <cfRule type="expression" dxfId="6999" priority="7707">
      <formula>$C$43&gt;0</formula>
    </cfRule>
  </conditionalFormatting>
  <conditionalFormatting sqref="AG508">
    <cfRule type="expression" dxfId="6998" priority="7740" stopIfTrue="1">
      <formula>$G505=""</formula>
    </cfRule>
  </conditionalFormatting>
  <conditionalFormatting sqref="U507">
    <cfRule type="expression" dxfId="6997" priority="7745">
      <formula>OR($HK506=FALSE,$HL506=FALSE)</formula>
    </cfRule>
  </conditionalFormatting>
  <conditionalFormatting sqref="T506:U506">
    <cfRule type="expression" dxfId="6996" priority="7735" stopIfTrue="1">
      <formula>$C$43&lt;&gt;0</formula>
    </cfRule>
    <cfRule type="containsBlanks" dxfId="6995" priority="7736" stopIfTrue="1">
      <formula>LEN(TRIM(T506))=0</formula>
    </cfRule>
  </conditionalFormatting>
  <conditionalFormatting sqref="T506:U506">
    <cfRule type="expression" dxfId="6994" priority="7734" stopIfTrue="1">
      <formula>$G505=""</formula>
    </cfRule>
  </conditionalFormatting>
  <conditionalFormatting sqref="U506">
    <cfRule type="expression" dxfId="6993" priority="7737">
      <formula>$HJ506=FALSE</formula>
    </cfRule>
  </conditionalFormatting>
  <conditionalFormatting sqref="AG507">
    <cfRule type="expression" dxfId="6992" priority="7725" stopIfTrue="1">
      <formula>$G505=""</formula>
    </cfRule>
  </conditionalFormatting>
  <conditionalFormatting sqref="AG507:AL507">
    <cfRule type="expression" dxfId="6991" priority="7726">
      <formula>$N508="BAM"</formula>
    </cfRule>
    <cfRule type="expression" dxfId="6990" priority="7730">
      <formula>OR($HU506=FALSE,$HQ506=FALSE)</formula>
    </cfRule>
  </conditionalFormatting>
  <conditionalFormatting sqref="AG507">
    <cfRule type="containsBlanks" dxfId="6989" priority="7727" stopIfTrue="1">
      <formula>LEN(TRIM(AG507))=0</formula>
    </cfRule>
    <cfRule type="expression" dxfId="6988" priority="7728">
      <formula>OR($HP506=FALSE,$HR506=FALSE)</formula>
    </cfRule>
    <cfRule type="expression" dxfId="6987" priority="7729">
      <formula>OR($DS505=7,$DS505=8,$DS505=9)</formula>
    </cfRule>
  </conditionalFormatting>
  <conditionalFormatting sqref="AG505:AL505">
    <cfRule type="expression" dxfId="6986" priority="7724">
      <formula>$C$43&lt;&gt;0</formula>
    </cfRule>
  </conditionalFormatting>
  <conditionalFormatting sqref="AF506">
    <cfRule type="containsBlanks" dxfId="6985" priority="7723">
      <formula>LEN(TRIM(AF506))=0</formula>
    </cfRule>
  </conditionalFormatting>
  <conditionalFormatting sqref="AF506">
    <cfRule type="expression" dxfId="6984" priority="7722" stopIfTrue="1">
      <formula>$G505=""</formula>
    </cfRule>
  </conditionalFormatting>
  <conditionalFormatting sqref="AG506">
    <cfRule type="containsBlanks" dxfId="6983" priority="7720">
      <formula>LEN(TRIM(AG506))=0</formula>
    </cfRule>
    <cfRule type="expression" dxfId="6982" priority="7721">
      <formula>$HO506=FALSE</formula>
    </cfRule>
  </conditionalFormatting>
  <conditionalFormatting sqref="AG506">
    <cfRule type="expression" dxfId="6981" priority="7719" stopIfTrue="1">
      <formula>$G505=""</formula>
    </cfRule>
  </conditionalFormatting>
  <conditionalFormatting sqref="AF506:AK506">
    <cfRule type="expression" dxfId="6980" priority="7718">
      <formula>$C$43&gt;0</formula>
    </cfRule>
  </conditionalFormatting>
  <conditionalFormatting sqref="AM505:AN506">
    <cfRule type="expression" dxfId="6979" priority="7717">
      <formula>$G505=""</formula>
    </cfRule>
  </conditionalFormatting>
  <conditionalFormatting sqref="AM507:AN507">
    <cfRule type="expression" dxfId="6978" priority="7716" stopIfTrue="1">
      <formula>$G505=""</formula>
    </cfRule>
  </conditionalFormatting>
  <conditionalFormatting sqref="T507">
    <cfRule type="expression" dxfId="6977" priority="7738" stopIfTrue="1">
      <formula>$N508="BAM"</formula>
    </cfRule>
  </conditionalFormatting>
  <conditionalFormatting sqref="U507:AE507">
    <cfRule type="expression" dxfId="6976" priority="7715" stopIfTrue="1">
      <formula>$N508="BAM"</formula>
    </cfRule>
  </conditionalFormatting>
  <conditionalFormatting sqref="AG508:AL508">
    <cfRule type="expression" dxfId="6975" priority="7739" stopIfTrue="1">
      <formula>$N508="BAM"</formula>
    </cfRule>
  </conditionalFormatting>
  <conditionalFormatting sqref="AX511">
    <cfRule type="expression" dxfId="6974" priority="7705">
      <formula>$E511=""</formula>
    </cfRule>
  </conditionalFormatting>
  <conditionalFormatting sqref="AX510">
    <cfRule type="expression" dxfId="6973" priority="7704">
      <formula>$E510=""</formula>
    </cfRule>
  </conditionalFormatting>
  <conditionalFormatting sqref="AX512">
    <cfRule type="expression" dxfId="6972" priority="7703">
      <formula>#REF!=""</formula>
    </cfRule>
  </conditionalFormatting>
  <conditionalFormatting sqref="AX513">
    <cfRule type="expression" dxfId="6971" priority="7702">
      <formula>$E512=""</formula>
    </cfRule>
  </conditionalFormatting>
  <conditionalFormatting sqref="AY510:AZ513">
    <cfRule type="expression" dxfId="6970" priority="7701">
      <formula>$G510=""</formula>
    </cfRule>
  </conditionalFormatting>
  <conditionalFormatting sqref="G512">
    <cfRule type="expression" dxfId="6969" priority="7698" stopIfTrue="1">
      <formula>$G510=""</formula>
    </cfRule>
    <cfRule type="containsBlanks" dxfId="6968" priority="7699" stopIfTrue="1">
      <formula>LEN(TRIM(G512))=0</formula>
    </cfRule>
    <cfRule type="expression" dxfId="6967" priority="7700">
      <formula>OR($M512=0,$HH511=FALSE)</formula>
    </cfRule>
  </conditionalFormatting>
  <conditionalFormatting sqref="AO512">
    <cfRule type="expression" dxfId="6966" priority="7697" stopIfTrue="1">
      <formula>$G510=""</formula>
    </cfRule>
  </conditionalFormatting>
  <conditionalFormatting sqref="AU510:AU513">
    <cfRule type="expression" dxfId="6965" priority="7694" stopIfTrue="1">
      <formula>$C$43=2</formula>
    </cfRule>
    <cfRule type="cellIs" dxfId="6964" priority="7695" operator="equal">
      <formula>"Yes"</formula>
    </cfRule>
    <cfRule type="cellIs" dxfId="6963" priority="7696" operator="equal">
      <formula>"No"</formula>
    </cfRule>
  </conditionalFormatting>
  <conditionalFormatting sqref="AO510:AO511">
    <cfRule type="expression" dxfId="6962" priority="7693">
      <formula>$G510=""</formula>
    </cfRule>
  </conditionalFormatting>
  <conditionalFormatting sqref="AP510 AR510:AS513">
    <cfRule type="expression" dxfId="6961" priority="7692">
      <formula>$G510=""</formula>
    </cfRule>
  </conditionalFormatting>
  <conditionalFormatting sqref="AW510:AW513">
    <cfRule type="expression" dxfId="6960" priority="7691">
      <formula>$G510=""</formula>
    </cfRule>
  </conditionalFormatting>
  <conditionalFormatting sqref="G511:L511">
    <cfRule type="expression" dxfId="6959" priority="7689" stopIfTrue="1">
      <formula>$G510=""</formula>
    </cfRule>
    <cfRule type="containsBlanks" dxfId="6958" priority="7690">
      <formula>LEN(TRIM(G511))=0</formula>
    </cfRule>
  </conditionalFormatting>
  <conditionalFormatting sqref="R512">
    <cfRule type="expression" dxfId="6957" priority="7686">
      <formula>$N513="BAM"</formula>
    </cfRule>
    <cfRule type="expression" dxfId="6956" priority="7687" stopIfTrue="1">
      <formula>$G510=""</formula>
    </cfRule>
    <cfRule type="containsBlanks" dxfId="6955" priority="7688">
      <formula>LEN(TRIM(R512))=0</formula>
    </cfRule>
  </conditionalFormatting>
  <conditionalFormatting sqref="R512">
    <cfRule type="expression" dxfId="6954" priority="7685">
      <formula>$C$43=0</formula>
    </cfRule>
  </conditionalFormatting>
  <conditionalFormatting sqref="E513:F513">
    <cfRule type="expression" dxfId="6953" priority="7684">
      <formula>$CQ510="Exterior"</formula>
    </cfRule>
  </conditionalFormatting>
  <conditionalFormatting sqref="R511">
    <cfRule type="expression" dxfId="6952" priority="7681" stopIfTrue="1">
      <formula>$N513="BAM"</formula>
    </cfRule>
  </conditionalFormatting>
  <conditionalFormatting sqref="R511">
    <cfRule type="containsBlanks" dxfId="6951" priority="7682">
      <formula>LEN(TRIM(R511))=0</formula>
    </cfRule>
  </conditionalFormatting>
  <conditionalFormatting sqref="R511">
    <cfRule type="expression" dxfId="6950" priority="7680" stopIfTrue="1">
      <formula>$G510=""</formula>
    </cfRule>
    <cfRule type="expression" dxfId="6949" priority="7683">
      <formula>$HY511=FALSE</formula>
    </cfRule>
  </conditionalFormatting>
  <conditionalFormatting sqref="G513">
    <cfRule type="expression" dxfId="6948" priority="7674" stopIfTrue="1">
      <formula>$G510=""</formula>
    </cfRule>
  </conditionalFormatting>
  <conditionalFormatting sqref="G513">
    <cfRule type="expression" dxfId="6947" priority="7676" stopIfTrue="1">
      <formula>$CQ510="Exterior"</formula>
    </cfRule>
  </conditionalFormatting>
  <conditionalFormatting sqref="G513:L513">
    <cfRule type="expression" dxfId="6946" priority="7675" stopIfTrue="1">
      <formula>$N513="BAM"</formula>
    </cfRule>
    <cfRule type="containsBlanks" dxfId="6945" priority="7677" stopIfTrue="1">
      <formula>LEN(TRIM(G513))=0</formula>
    </cfRule>
    <cfRule type="expression" dxfId="6944" priority="7679">
      <formula>$HQ511=FALSE</formula>
    </cfRule>
  </conditionalFormatting>
  <conditionalFormatting sqref="G513:L513">
    <cfRule type="expression" dxfId="6943" priority="7678" stopIfTrue="1">
      <formula>$AG512=""</formula>
    </cfRule>
  </conditionalFormatting>
  <conditionalFormatting sqref="G512:L512">
    <cfRule type="expression" dxfId="6942" priority="7672" stopIfTrue="1">
      <formula>$N513="BAM"</formula>
    </cfRule>
  </conditionalFormatting>
  <conditionalFormatting sqref="G510:R510">
    <cfRule type="containsBlanks" dxfId="6941" priority="7671">
      <formula>LEN(TRIM(G510))=0</formula>
    </cfRule>
  </conditionalFormatting>
  <conditionalFormatting sqref="AF512">
    <cfRule type="expression" dxfId="6940" priority="7661" stopIfTrue="1">
      <formula>$G510=""</formula>
    </cfRule>
    <cfRule type="expression" dxfId="6939" priority="7662" stopIfTrue="1">
      <formula>$N513="BAM"</formula>
    </cfRule>
    <cfRule type="expression" dxfId="6938" priority="7670">
      <formula>$AF$49&gt;$T$49</formula>
    </cfRule>
  </conditionalFormatting>
  <conditionalFormatting sqref="AC513:AE513">
    <cfRule type="expression" dxfId="6937" priority="7667" stopIfTrue="1">
      <formula>$G510=""</formula>
    </cfRule>
  </conditionalFormatting>
  <conditionalFormatting sqref="T512:U512">
    <cfRule type="expression" dxfId="6936" priority="7634" stopIfTrue="1">
      <formula>$G510=""</formula>
    </cfRule>
  </conditionalFormatting>
  <conditionalFormatting sqref="T512:U512">
    <cfRule type="containsBlanks" dxfId="6935" priority="7664" stopIfTrue="1">
      <formula>LEN(TRIM(T512))=0</formula>
    </cfRule>
  </conditionalFormatting>
  <conditionalFormatting sqref="AC510:AE510">
    <cfRule type="expression" dxfId="6934" priority="7663">
      <formula>$G510=""</formula>
    </cfRule>
  </conditionalFormatting>
  <conditionalFormatting sqref="AF512 AG513">
    <cfRule type="containsBlanks" dxfId="6933" priority="7668" stopIfTrue="1">
      <formula>LEN(TRIM(AF512))=0</formula>
    </cfRule>
  </conditionalFormatting>
  <conditionalFormatting sqref="AF512">
    <cfRule type="expression" dxfId="6932" priority="7669">
      <formula>OR($HS511=FALSE,$HT511=FALSE)</formula>
    </cfRule>
  </conditionalFormatting>
  <conditionalFormatting sqref="AG513">
    <cfRule type="expression" dxfId="6931" priority="7627">
      <formula>$C$43&gt;0</formula>
    </cfRule>
  </conditionalFormatting>
  <conditionalFormatting sqref="AG513">
    <cfRule type="expression" dxfId="6930" priority="7660" stopIfTrue="1">
      <formula>$G510=""</formula>
    </cfRule>
  </conditionalFormatting>
  <conditionalFormatting sqref="U512">
    <cfRule type="expression" dxfId="6929" priority="7665">
      <formula>OR($HK511=FALSE,$HL511=FALSE)</formula>
    </cfRule>
  </conditionalFormatting>
  <conditionalFormatting sqref="T511:U511">
    <cfRule type="expression" dxfId="6928" priority="7655" stopIfTrue="1">
      <formula>$C$43&lt;&gt;0</formula>
    </cfRule>
    <cfRule type="containsBlanks" dxfId="6927" priority="7656" stopIfTrue="1">
      <formula>LEN(TRIM(T511))=0</formula>
    </cfRule>
  </conditionalFormatting>
  <conditionalFormatting sqref="T511:U511">
    <cfRule type="expression" dxfId="6926" priority="7654" stopIfTrue="1">
      <formula>$G510=""</formula>
    </cfRule>
  </conditionalFormatting>
  <conditionalFormatting sqref="U511">
    <cfRule type="expression" dxfId="6925" priority="7657">
      <formula>$HJ511=FALSE</formula>
    </cfRule>
  </conditionalFormatting>
  <conditionalFormatting sqref="AG512">
    <cfRule type="expression" dxfId="6924" priority="7645" stopIfTrue="1">
      <formula>$G510=""</formula>
    </cfRule>
  </conditionalFormatting>
  <conditionalFormatting sqref="AG512:AL512">
    <cfRule type="expression" dxfId="6923" priority="7646">
      <formula>$N513="BAM"</formula>
    </cfRule>
    <cfRule type="expression" dxfId="6922" priority="7650">
      <formula>OR($HU511=FALSE,$HQ511=FALSE)</formula>
    </cfRule>
  </conditionalFormatting>
  <conditionalFormatting sqref="AG512">
    <cfRule type="containsBlanks" dxfId="6921" priority="7647" stopIfTrue="1">
      <formula>LEN(TRIM(AG512))=0</formula>
    </cfRule>
    <cfRule type="expression" dxfId="6920" priority="7648">
      <formula>OR($HP511=FALSE,$HR511=FALSE)</formula>
    </cfRule>
    <cfRule type="expression" dxfId="6919" priority="7649">
      <formula>OR($DS510=7,$DS510=8,$DS510=9)</formula>
    </cfRule>
  </conditionalFormatting>
  <conditionalFormatting sqref="AG510:AL510">
    <cfRule type="expression" dxfId="6918" priority="7644">
      <formula>$C$43&lt;&gt;0</formula>
    </cfRule>
  </conditionalFormatting>
  <conditionalFormatting sqref="AF511">
    <cfRule type="containsBlanks" dxfId="6917" priority="7643">
      <formula>LEN(TRIM(AF511))=0</formula>
    </cfRule>
  </conditionalFormatting>
  <conditionalFormatting sqref="AF511">
    <cfRule type="expression" dxfId="6916" priority="7642" stopIfTrue="1">
      <formula>$G510=""</formula>
    </cfRule>
  </conditionalFormatting>
  <conditionalFormatting sqref="AG511">
    <cfRule type="containsBlanks" dxfId="6915" priority="7640">
      <formula>LEN(TRIM(AG511))=0</formula>
    </cfRule>
    <cfRule type="expression" dxfId="6914" priority="7641">
      <formula>$HO511=FALSE</formula>
    </cfRule>
  </conditionalFormatting>
  <conditionalFormatting sqref="AG511">
    <cfRule type="expression" dxfId="6913" priority="7639" stopIfTrue="1">
      <formula>$G510=""</formula>
    </cfRule>
  </conditionalFormatting>
  <conditionalFormatting sqref="AF511:AK511">
    <cfRule type="expression" dxfId="6912" priority="7638">
      <formula>$C$43&gt;0</formula>
    </cfRule>
  </conditionalFormatting>
  <conditionalFormatting sqref="AM510:AN511">
    <cfRule type="expression" dxfId="6911" priority="7637">
      <formula>$G510=""</formula>
    </cfRule>
  </conditionalFormatting>
  <conditionalFormatting sqref="AM512:AN512">
    <cfRule type="expression" dxfId="6910" priority="7636" stopIfTrue="1">
      <formula>$G510=""</formula>
    </cfRule>
  </conditionalFormatting>
  <conditionalFormatting sqref="T512">
    <cfRule type="expression" dxfId="6909" priority="7658" stopIfTrue="1">
      <formula>$N513="BAM"</formula>
    </cfRule>
  </conditionalFormatting>
  <conditionalFormatting sqref="U512:AE512">
    <cfRule type="expression" dxfId="6908" priority="7635" stopIfTrue="1">
      <formula>$N513="BAM"</formula>
    </cfRule>
  </conditionalFormatting>
  <conditionalFormatting sqref="AG513:AL513">
    <cfRule type="expression" dxfId="6907" priority="7659" stopIfTrue="1">
      <formula>$N513="BAM"</formula>
    </cfRule>
  </conditionalFormatting>
  <conditionalFormatting sqref="AX516">
    <cfRule type="expression" dxfId="6906" priority="7625">
      <formula>$E516=""</formula>
    </cfRule>
  </conditionalFormatting>
  <conditionalFormatting sqref="AX515">
    <cfRule type="expression" dxfId="6905" priority="7624">
      <formula>$E515=""</formula>
    </cfRule>
  </conditionalFormatting>
  <conditionalFormatting sqref="AX517">
    <cfRule type="expression" dxfId="6904" priority="7623">
      <formula>#REF!=""</formula>
    </cfRule>
  </conditionalFormatting>
  <conditionalFormatting sqref="AX518">
    <cfRule type="expression" dxfId="6903" priority="7622">
      <formula>$E517=""</formula>
    </cfRule>
  </conditionalFormatting>
  <conditionalFormatting sqref="AY515:AZ518">
    <cfRule type="expression" dxfId="6902" priority="7621">
      <formula>$G515=""</formula>
    </cfRule>
  </conditionalFormatting>
  <conditionalFormatting sqref="G517">
    <cfRule type="expression" dxfId="6901" priority="7618" stopIfTrue="1">
      <formula>$G515=""</formula>
    </cfRule>
    <cfRule type="containsBlanks" dxfId="6900" priority="7619" stopIfTrue="1">
      <formula>LEN(TRIM(G517))=0</formula>
    </cfRule>
    <cfRule type="expression" dxfId="6899" priority="7620">
      <formula>OR($M517=0,$HH516=FALSE)</formula>
    </cfRule>
  </conditionalFormatting>
  <conditionalFormatting sqref="AO517">
    <cfRule type="expression" dxfId="6898" priority="7617" stopIfTrue="1">
      <formula>$G515=""</formula>
    </cfRule>
  </conditionalFormatting>
  <conditionalFormatting sqref="AU515:AU518">
    <cfRule type="expression" dxfId="6897" priority="7614" stopIfTrue="1">
      <formula>$C$43=2</formula>
    </cfRule>
    <cfRule type="cellIs" dxfId="6896" priority="7615" operator="equal">
      <formula>"Yes"</formula>
    </cfRule>
    <cfRule type="cellIs" dxfId="6895" priority="7616" operator="equal">
      <formula>"No"</formula>
    </cfRule>
  </conditionalFormatting>
  <conditionalFormatting sqref="AO515:AO516">
    <cfRule type="expression" dxfId="6894" priority="7613">
      <formula>$G515=""</formula>
    </cfRule>
  </conditionalFormatting>
  <conditionalFormatting sqref="AP515 AR515:AS518">
    <cfRule type="expression" dxfId="6893" priority="7612">
      <formula>$G515=""</formula>
    </cfRule>
  </conditionalFormatting>
  <conditionalFormatting sqref="AW515:AW518">
    <cfRule type="expression" dxfId="6892" priority="7611">
      <formula>$G515=""</formula>
    </cfRule>
  </conditionalFormatting>
  <conditionalFormatting sqref="G516:L516">
    <cfRule type="expression" dxfId="6891" priority="7609" stopIfTrue="1">
      <formula>$G515=""</formula>
    </cfRule>
    <cfRule type="containsBlanks" dxfId="6890" priority="7610">
      <formula>LEN(TRIM(G516))=0</formula>
    </cfRule>
  </conditionalFormatting>
  <conditionalFormatting sqref="R517">
    <cfRule type="expression" dxfId="6889" priority="7606">
      <formula>$N518="BAM"</formula>
    </cfRule>
    <cfRule type="expression" dxfId="6888" priority="7607" stopIfTrue="1">
      <formula>$G515=""</formula>
    </cfRule>
    <cfRule type="containsBlanks" dxfId="6887" priority="7608">
      <formula>LEN(TRIM(R517))=0</formula>
    </cfRule>
  </conditionalFormatting>
  <conditionalFormatting sqref="R517">
    <cfRule type="expression" dxfId="6886" priority="7605">
      <formula>$C$43=0</formula>
    </cfRule>
  </conditionalFormatting>
  <conditionalFormatting sqref="E518:F518">
    <cfRule type="expression" dxfId="6885" priority="7604">
      <formula>$CQ515="Exterior"</formula>
    </cfRule>
  </conditionalFormatting>
  <conditionalFormatting sqref="R516">
    <cfRule type="expression" dxfId="6884" priority="7601" stopIfTrue="1">
      <formula>$N518="BAM"</formula>
    </cfRule>
  </conditionalFormatting>
  <conditionalFormatting sqref="R516">
    <cfRule type="containsBlanks" dxfId="6883" priority="7602">
      <formula>LEN(TRIM(R516))=0</formula>
    </cfRule>
  </conditionalFormatting>
  <conditionalFormatting sqref="R516">
    <cfRule type="expression" dxfId="6882" priority="7600" stopIfTrue="1">
      <formula>$G515=""</formula>
    </cfRule>
    <cfRule type="expression" dxfId="6881" priority="7603">
      <formula>$HY516=FALSE</formula>
    </cfRule>
  </conditionalFormatting>
  <conditionalFormatting sqref="G518">
    <cfRule type="expression" dxfId="6880" priority="7594" stopIfTrue="1">
      <formula>$G515=""</formula>
    </cfRule>
  </conditionalFormatting>
  <conditionalFormatting sqref="G518">
    <cfRule type="expression" dxfId="6879" priority="7596" stopIfTrue="1">
      <formula>$CQ515="Exterior"</formula>
    </cfRule>
  </conditionalFormatting>
  <conditionalFormatting sqref="G518:L518">
    <cfRule type="expression" dxfId="6878" priority="7595" stopIfTrue="1">
      <formula>$N518="BAM"</formula>
    </cfRule>
    <cfRule type="containsBlanks" dxfId="6877" priority="7597" stopIfTrue="1">
      <formula>LEN(TRIM(G518))=0</formula>
    </cfRule>
    <cfRule type="expression" dxfId="6876" priority="7599">
      <formula>$HQ516=FALSE</formula>
    </cfRule>
  </conditionalFormatting>
  <conditionalFormatting sqref="G518:L518">
    <cfRule type="expression" dxfId="6875" priority="7598" stopIfTrue="1">
      <formula>$AG517=""</formula>
    </cfRule>
  </conditionalFormatting>
  <conditionalFormatting sqref="G517:L517">
    <cfRule type="expression" dxfId="6874" priority="7592" stopIfTrue="1">
      <formula>$N518="BAM"</formula>
    </cfRule>
  </conditionalFormatting>
  <conditionalFormatting sqref="G515:R515">
    <cfRule type="containsBlanks" dxfId="6873" priority="7591">
      <formula>LEN(TRIM(G515))=0</formula>
    </cfRule>
  </conditionalFormatting>
  <conditionalFormatting sqref="AF517">
    <cfRule type="expression" dxfId="6872" priority="7581" stopIfTrue="1">
      <formula>$G515=""</formula>
    </cfRule>
    <cfRule type="expression" dxfId="6871" priority="7582" stopIfTrue="1">
      <formula>$N518="BAM"</formula>
    </cfRule>
    <cfRule type="expression" dxfId="6870" priority="7590">
      <formula>$AF$49&gt;$T$49</formula>
    </cfRule>
  </conditionalFormatting>
  <conditionalFormatting sqref="AC518:AE518">
    <cfRule type="expression" dxfId="6869" priority="7587" stopIfTrue="1">
      <formula>$G515=""</formula>
    </cfRule>
  </conditionalFormatting>
  <conditionalFormatting sqref="T517:U517">
    <cfRule type="expression" dxfId="6868" priority="7554" stopIfTrue="1">
      <formula>$G515=""</formula>
    </cfRule>
  </conditionalFormatting>
  <conditionalFormatting sqref="T517:U517">
    <cfRule type="containsBlanks" dxfId="6867" priority="7584" stopIfTrue="1">
      <formula>LEN(TRIM(T517))=0</formula>
    </cfRule>
  </conditionalFormatting>
  <conditionalFormatting sqref="AC515:AE515">
    <cfRule type="expression" dxfId="6866" priority="7583">
      <formula>$G515=""</formula>
    </cfRule>
  </conditionalFormatting>
  <conditionalFormatting sqref="AF517 AG518">
    <cfRule type="containsBlanks" dxfId="6865" priority="7588" stopIfTrue="1">
      <formula>LEN(TRIM(AF517))=0</formula>
    </cfRule>
  </conditionalFormatting>
  <conditionalFormatting sqref="AF517">
    <cfRule type="expression" dxfId="6864" priority="7589">
      <formula>OR($HS516=FALSE,$HT516=FALSE)</formula>
    </cfRule>
  </conditionalFormatting>
  <conditionalFormatting sqref="AG518">
    <cfRule type="expression" dxfId="6863" priority="7547">
      <formula>$C$43&gt;0</formula>
    </cfRule>
  </conditionalFormatting>
  <conditionalFormatting sqref="AG518">
    <cfRule type="expression" dxfId="6862" priority="7580" stopIfTrue="1">
      <formula>$G515=""</formula>
    </cfRule>
  </conditionalFormatting>
  <conditionalFormatting sqref="U517">
    <cfRule type="expression" dxfId="6861" priority="7585">
      <formula>OR($HK516=FALSE,$HL516=FALSE)</formula>
    </cfRule>
  </conditionalFormatting>
  <conditionalFormatting sqref="T516:U516">
    <cfRule type="expression" dxfId="6860" priority="7575" stopIfTrue="1">
      <formula>$C$43&lt;&gt;0</formula>
    </cfRule>
    <cfRule type="containsBlanks" dxfId="6859" priority="7576" stopIfTrue="1">
      <formula>LEN(TRIM(T516))=0</formula>
    </cfRule>
  </conditionalFormatting>
  <conditionalFormatting sqref="T516:U516">
    <cfRule type="expression" dxfId="6858" priority="7574" stopIfTrue="1">
      <formula>$G515=""</formula>
    </cfRule>
  </conditionalFormatting>
  <conditionalFormatting sqref="U516">
    <cfRule type="expression" dxfId="6857" priority="7577">
      <formula>$HJ516=FALSE</formula>
    </cfRule>
  </conditionalFormatting>
  <conditionalFormatting sqref="AG517">
    <cfRule type="expression" dxfId="6856" priority="7565" stopIfTrue="1">
      <formula>$G515=""</formula>
    </cfRule>
  </conditionalFormatting>
  <conditionalFormatting sqref="AG517:AL517">
    <cfRule type="expression" dxfId="6855" priority="7566">
      <formula>$N518="BAM"</formula>
    </cfRule>
    <cfRule type="expression" dxfId="6854" priority="7570">
      <formula>OR($HU516=FALSE,$HQ516=FALSE)</formula>
    </cfRule>
  </conditionalFormatting>
  <conditionalFormatting sqref="AG517">
    <cfRule type="containsBlanks" dxfId="6853" priority="7567" stopIfTrue="1">
      <formula>LEN(TRIM(AG517))=0</formula>
    </cfRule>
    <cfRule type="expression" dxfId="6852" priority="7568">
      <formula>OR($HP516=FALSE,$HR516=FALSE)</formula>
    </cfRule>
    <cfRule type="expression" dxfId="6851" priority="7569">
      <formula>OR($DS515=7,$DS515=8,$DS515=9)</formula>
    </cfRule>
  </conditionalFormatting>
  <conditionalFormatting sqref="AG515:AL515">
    <cfRule type="expression" dxfId="6850" priority="7564">
      <formula>$C$43&lt;&gt;0</formula>
    </cfRule>
  </conditionalFormatting>
  <conditionalFormatting sqref="AF516">
    <cfRule type="containsBlanks" dxfId="6849" priority="7563">
      <formula>LEN(TRIM(AF516))=0</formula>
    </cfRule>
  </conditionalFormatting>
  <conditionalFormatting sqref="AF516">
    <cfRule type="expression" dxfId="6848" priority="7562" stopIfTrue="1">
      <formula>$G515=""</formula>
    </cfRule>
  </conditionalFormatting>
  <conditionalFormatting sqref="AG516">
    <cfRule type="containsBlanks" dxfId="6847" priority="7560">
      <formula>LEN(TRIM(AG516))=0</formula>
    </cfRule>
    <cfRule type="expression" dxfId="6846" priority="7561">
      <formula>$HO516=FALSE</formula>
    </cfRule>
  </conditionalFormatting>
  <conditionalFormatting sqref="AG516">
    <cfRule type="expression" dxfId="6845" priority="7559" stopIfTrue="1">
      <formula>$G515=""</formula>
    </cfRule>
  </conditionalFormatting>
  <conditionalFormatting sqref="AF516:AK516">
    <cfRule type="expression" dxfId="6844" priority="7558">
      <formula>$C$43&gt;0</formula>
    </cfRule>
  </conditionalFormatting>
  <conditionalFormatting sqref="AM515:AN516">
    <cfRule type="expression" dxfId="6843" priority="7557">
      <formula>$G515=""</formula>
    </cfRule>
  </conditionalFormatting>
  <conditionalFormatting sqref="AM517:AN517">
    <cfRule type="expression" dxfId="6842" priority="7556" stopIfTrue="1">
      <formula>$G515=""</formula>
    </cfRule>
  </conditionalFormatting>
  <conditionalFormatting sqref="T517">
    <cfRule type="expression" dxfId="6841" priority="7578" stopIfTrue="1">
      <formula>$N518="BAM"</formula>
    </cfRule>
  </conditionalFormatting>
  <conditionalFormatting sqref="U517:AE517">
    <cfRule type="expression" dxfId="6840" priority="7555" stopIfTrue="1">
      <formula>$N518="BAM"</formula>
    </cfRule>
  </conditionalFormatting>
  <conditionalFormatting sqref="AG518:AL518">
    <cfRule type="expression" dxfId="6839" priority="7579" stopIfTrue="1">
      <formula>$N518="BAM"</formula>
    </cfRule>
  </conditionalFormatting>
  <conditionalFormatting sqref="AX521">
    <cfRule type="expression" dxfId="6838" priority="7545">
      <formula>$E521=""</formula>
    </cfRule>
  </conditionalFormatting>
  <conditionalFormatting sqref="AX520">
    <cfRule type="expression" dxfId="6837" priority="7544">
      <formula>$E520=""</formula>
    </cfRule>
  </conditionalFormatting>
  <conditionalFormatting sqref="AX522">
    <cfRule type="expression" dxfId="6836" priority="7543">
      <formula>#REF!=""</formula>
    </cfRule>
  </conditionalFormatting>
  <conditionalFormatting sqref="AX523">
    <cfRule type="expression" dxfId="6835" priority="7542">
      <formula>$E522=""</formula>
    </cfRule>
  </conditionalFormatting>
  <conditionalFormatting sqref="AY520:AZ523">
    <cfRule type="expression" dxfId="6834" priority="7541">
      <formula>$G520=""</formula>
    </cfRule>
  </conditionalFormatting>
  <conditionalFormatting sqref="G522">
    <cfRule type="expression" dxfId="6833" priority="7538" stopIfTrue="1">
      <formula>$G520=""</formula>
    </cfRule>
    <cfRule type="containsBlanks" dxfId="6832" priority="7539" stopIfTrue="1">
      <formula>LEN(TRIM(G522))=0</formula>
    </cfRule>
    <cfRule type="expression" dxfId="6831" priority="7540">
      <formula>OR($M522=0,$HH521=FALSE)</formula>
    </cfRule>
  </conditionalFormatting>
  <conditionalFormatting sqref="AO522">
    <cfRule type="expression" dxfId="6830" priority="7537" stopIfTrue="1">
      <formula>$G520=""</formula>
    </cfRule>
  </conditionalFormatting>
  <conditionalFormatting sqref="AU520:AU523">
    <cfRule type="expression" dxfId="6829" priority="7534" stopIfTrue="1">
      <formula>$C$43=2</formula>
    </cfRule>
    <cfRule type="cellIs" dxfId="6828" priority="7535" operator="equal">
      <formula>"Yes"</formula>
    </cfRule>
    <cfRule type="cellIs" dxfId="6827" priority="7536" operator="equal">
      <formula>"No"</formula>
    </cfRule>
  </conditionalFormatting>
  <conditionalFormatting sqref="AO520:AO521">
    <cfRule type="expression" dxfId="6826" priority="7533">
      <formula>$G520=""</formula>
    </cfRule>
  </conditionalFormatting>
  <conditionalFormatting sqref="AP520 AR520:AS523">
    <cfRule type="expression" dxfId="6825" priority="7532">
      <formula>$G520=""</formula>
    </cfRule>
  </conditionalFormatting>
  <conditionalFormatting sqref="AW520:AW523">
    <cfRule type="expression" dxfId="6824" priority="7531">
      <formula>$G520=""</formula>
    </cfRule>
  </conditionalFormatting>
  <conditionalFormatting sqref="G521:L521">
    <cfRule type="expression" dxfId="6823" priority="7529" stopIfTrue="1">
      <formula>$G520=""</formula>
    </cfRule>
    <cfRule type="containsBlanks" dxfId="6822" priority="7530">
      <formula>LEN(TRIM(G521))=0</formula>
    </cfRule>
  </conditionalFormatting>
  <conditionalFormatting sqref="R522">
    <cfRule type="expression" dxfId="6821" priority="7526">
      <formula>$N523="BAM"</formula>
    </cfRule>
    <cfRule type="expression" dxfId="6820" priority="7527" stopIfTrue="1">
      <formula>$G520=""</formula>
    </cfRule>
    <cfRule type="containsBlanks" dxfId="6819" priority="7528">
      <formula>LEN(TRIM(R522))=0</formula>
    </cfRule>
  </conditionalFormatting>
  <conditionalFormatting sqref="R522">
    <cfRule type="expression" dxfId="6818" priority="7525">
      <formula>$C$43=0</formula>
    </cfRule>
  </conditionalFormatting>
  <conditionalFormatting sqref="E523:F523">
    <cfRule type="expression" dxfId="6817" priority="7524">
      <formula>$CQ520="Exterior"</formula>
    </cfRule>
  </conditionalFormatting>
  <conditionalFormatting sqref="R521">
    <cfRule type="expression" dxfId="6816" priority="7521" stopIfTrue="1">
      <formula>$N523="BAM"</formula>
    </cfRule>
  </conditionalFormatting>
  <conditionalFormatting sqref="R521">
    <cfRule type="containsBlanks" dxfId="6815" priority="7522">
      <formula>LEN(TRIM(R521))=0</formula>
    </cfRule>
  </conditionalFormatting>
  <conditionalFormatting sqref="R521">
    <cfRule type="expression" dxfId="6814" priority="7520" stopIfTrue="1">
      <formula>$G520=""</formula>
    </cfRule>
    <cfRule type="expression" dxfId="6813" priority="7523">
      <formula>$HY521=FALSE</formula>
    </cfRule>
  </conditionalFormatting>
  <conditionalFormatting sqref="G523">
    <cfRule type="expression" dxfId="6812" priority="7514" stopIfTrue="1">
      <formula>$G520=""</formula>
    </cfRule>
  </conditionalFormatting>
  <conditionalFormatting sqref="G523">
    <cfRule type="expression" dxfId="6811" priority="7516" stopIfTrue="1">
      <formula>$CQ520="Exterior"</formula>
    </cfRule>
  </conditionalFormatting>
  <conditionalFormatting sqref="G523:L523">
    <cfRule type="expression" dxfId="6810" priority="7515" stopIfTrue="1">
      <formula>$N523="BAM"</formula>
    </cfRule>
    <cfRule type="containsBlanks" dxfId="6809" priority="7517" stopIfTrue="1">
      <formula>LEN(TRIM(G523))=0</formula>
    </cfRule>
    <cfRule type="expression" dxfId="6808" priority="7519">
      <formula>$HQ521=FALSE</formula>
    </cfRule>
  </conditionalFormatting>
  <conditionalFormatting sqref="G523:L523">
    <cfRule type="expression" dxfId="6807" priority="7518" stopIfTrue="1">
      <formula>$AG522=""</formula>
    </cfRule>
  </conditionalFormatting>
  <conditionalFormatting sqref="G522:L522">
    <cfRule type="expression" dxfId="6806" priority="7512" stopIfTrue="1">
      <formula>$N523="BAM"</formula>
    </cfRule>
  </conditionalFormatting>
  <conditionalFormatting sqref="G520:R520">
    <cfRule type="containsBlanks" dxfId="6805" priority="7511">
      <formula>LEN(TRIM(G520))=0</formula>
    </cfRule>
  </conditionalFormatting>
  <conditionalFormatting sqref="AF522">
    <cfRule type="expression" dxfId="6804" priority="7501" stopIfTrue="1">
      <formula>$G520=""</formula>
    </cfRule>
    <cfRule type="expression" dxfId="6803" priority="7502" stopIfTrue="1">
      <formula>$N523="BAM"</formula>
    </cfRule>
    <cfRule type="expression" dxfId="6802" priority="7510">
      <formula>$AF$49&gt;$T$49</formula>
    </cfRule>
  </conditionalFormatting>
  <conditionalFormatting sqref="AC523:AE523">
    <cfRule type="expression" dxfId="6801" priority="7507" stopIfTrue="1">
      <formula>$G520=""</formula>
    </cfRule>
  </conditionalFormatting>
  <conditionalFormatting sqref="T522:U522">
    <cfRule type="expression" dxfId="6800" priority="7474" stopIfTrue="1">
      <formula>$G520=""</formula>
    </cfRule>
  </conditionalFormatting>
  <conditionalFormatting sqref="T522:U522">
    <cfRule type="containsBlanks" dxfId="6799" priority="7504" stopIfTrue="1">
      <formula>LEN(TRIM(T522))=0</formula>
    </cfRule>
  </conditionalFormatting>
  <conditionalFormatting sqref="AC520:AE520">
    <cfRule type="expression" dxfId="6798" priority="7503">
      <formula>$G520=""</formula>
    </cfRule>
  </conditionalFormatting>
  <conditionalFormatting sqref="AF522 AG523">
    <cfRule type="containsBlanks" dxfId="6797" priority="7508" stopIfTrue="1">
      <formula>LEN(TRIM(AF522))=0</formula>
    </cfRule>
  </conditionalFormatting>
  <conditionalFormatting sqref="AF522">
    <cfRule type="expression" dxfId="6796" priority="7509">
      <formula>OR($HS521=FALSE,$HT521=FALSE)</formula>
    </cfRule>
  </conditionalFormatting>
  <conditionalFormatting sqref="AG523">
    <cfRule type="expression" dxfId="6795" priority="7467">
      <formula>$C$43&gt;0</formula>
    </cfRule>
  </conditionalFormatting>
  <conditionalFormatting sqref="AG523">
    <cfRule type="expression" dxfId="6794" priority="7500" stopIfTrue="1">
      <formula>$G520=""</formula>
    </cfRule>
  </conditionalFormatting>
  <conditionalFormatting sqref="U522">
    <cfRule type="expression" dxfId="6793" priority="7505">
      <formula>OR($HK521=FALSE,$HL521=FALSE)</formula>
    </cfRule>
  </conditionalFormatting>
  <conditionalFormatting sqref="T521:U521">
    <cfRule type="expression" dxfId="6792" priority="7495" stopIfTrue="1">
      <formula>$C$43&lt;&gt;0</formula>
    </cfRule>
    <cfRule type="containsBlanks" dxfId="6791" priority="7496" stopIfTrue="1">
      <formula>LEN(TRIM(T521))=0</formula>
    </cfRule>
  </conditionalFormatting>
  <conditionalFormatting sqref="T521:U521">
    <cfRule type="expression" dxfId="6790" priority="7494" stopIfTrue="1">
      <formula>$G520=""</formula>
    </cfRule>
  </conditionalFormatting>
  <conditionalFormatting sqref="U521">
    <cfRule type="expression" dxfId="6789" priority="7497">
      <formula>$HJ521=FALSE</formula>
    </cfRule>
  </conditionalFormatting>
  <conditionalFormatting sqref="AG522">
    <cfRule type="expression" dxfId="6788" priority="7485" stopIfTrue="1">
      <formula>$G520=""</formula>
    </cfRule>
  </conditionalFormatting>
  <conditionalFormatting sqref="AG522:AL522">
    <cfRule type="expression" dxfId="6787" priority="7486">
      <formula>$N523="BAM"</formula>
    </cfRule>
    <cfRule type="expression" dxfId="6786" priority="7490">
      <formula>OR($HU521=FALSE,$HQ521=FALSE)</formula>
    </cfRule>
  </conditionalFormatting>
  <conditionalFormatting sqref="AG522">
    <cfRule type="containsBlanks" dxfId="6785" priority="7487" stopIfTrue="1">
      <formula>LEN(TRIM(AG522))=0</formula>
    </cfRule>
    <cfRule type="expression" dxfId="6784" priority="7488">
      <formula>OR($HP521=FALSE,$HR521=FALSE)</formula>
    </cfRule>
    <cfRule type="expression" dxfId="6783" priority="7489">
      <formula>OR($DS520=7,$DS520=8,$DS520=9)</formula>
    </cfRule>
  </conditionalFormatting>
  <conditionalFormatting sqref="AG520:AL520">
    <cfRule type="expression" dxfId="6782" priority="7484">
      <formula>$C$43&lt;&gt;0</formula>
    </cfRule>
  </conditionalFormatting>
  <conditionalFormatting sqref="AF521">
    <cfRule type="containsBlanks" dxfId="6781" priority="7483">
      <formula>LEN(TRIM(AF521))=0</formula>
    </cfRule>
  </conditionalFormatting>
  <conditionalFormatting sqref="AF521">
    <cfRule type="expression" dxfId="6780" priority="7482" stopIfTrue="1">
      <formula>$G520=""</formula>
    </cfRule>
  </conditionalFormatting>
  <conditionalFormatting sqref="AG521">
    <cfRule type="containsBlanks" dxfId="6779" priority="7480">
      <formula>LEN(TRIM(AG521))=0</formula>
    </cfRule>
    <cfRule type="expression" dxfId="6778" priority="7481">
      <formula>$HO521=FALSE</formula>
    </cfRule>
  </conditionalFormatting>
  <conditionalFormatting sqref="AG521">
    <cfRule type="expression" dxfId="6777" priority="7479" stopIfTrue="1">
      <formula>$G520=""</formula>
    </cfRule>
  </conditionalFormatting>
  <conditionalFormatting sqref="AF521:AK521">
    <cfRule type="expression" dxfId="6776" priority="7478">
      <formula>$C$43&gt;0</formula>
    </cfRule>
  </conditionalFormatting>
  <conditionalFormatting sqref="AM520:AN521">
    <cfRule type="expression" dxfId="6775" priority="7477">
      <formula>$G520=""</formula>
    </cfRule>
  </conditionalFormatting>
  <conditionalFormatting sqref="AM522:AN522">
    <cfRule type="expression" dxfId="6774" priority="7476" stopIfTrue="1">
      <formula>$G520=""</formula>
    </cfRule>
  </conditionalFormatting>
  <conditionalFormatting sqref="T522">
    <cfRule type="expression" dxfId="6773" priority="7498" stopIfTrue="1">
      <formula>$N523="BAM"</formula>
    </cfRule>
  </conditionalFormatting>
  <conditionalFormatting sqref="U522:AE522">
    <cfRule type="expression" dxfId="6772" priority="7475" stopIfTrue="1">
      <formula>$N523="BAM"</formula>
    </cfRule>
  </conditionalFormatting>
  <conditionalFormatting sqref="AG523:AL523">
    <cfRule type="expression" dxfId="6771" priority="7499" stopIfTrue="1">
      <formula>$N523="BAM"</formula>
    </cfRule>
  </conditionalFormatting>
  <conditionalFormatting sqref="AX526">
    <cfRule type="expression" dxfId="6770" priority="7465">
      <formula>$E526=""</formula>
    </cfRule>
  </conditionalFormatting>
  <conditionalFormatting sqref="AX525">
    <cfRule type="expression" dxfId="6769" priority="7464">
      <formula>$E525=""</formula>
    </cfRule>
  </conditionalFormatting>
  <conditionalFormatting sqref="AX527">
    <cfRule type="expression" dxfId="6768" priority="7463">
      <formula>#REF!=""</formula>
    </cfRule>
  </conditionalFormatting>
  <conditionalFormatting sqref="AX528">
    <cfRule type="expression" dxfId="6767" priority="7462">
      <formula>$E527=""</formula>
    </cfRule>
  </conditionalFormatting>
  <conditionalFormatting sqref="AY525:AZ528">
    <cfRule type="expression" dxfId="6766" priority="7461">
      <formula>$G525=""</formula>
    </cfRule>
  </conditionalFormatting>
  <conditionalFormatting sqref="G527">
    <cfRule type="expression" dxfId="6765" priority="7458" stopIfTrue="1">
      <formula>$G525=""</formula>
    </cfRule>
    <cfRule type="containsBlanks" dxfId="6764" priority="7459" stopIfTrue="1">
      <formula>LEN(TRIM(G527))=0</formula>
    </cfRule>
    <cfRule type="expression" dxfId="6763" priority="7460">
      <formula>OR($M527=0,$HH526=FALSE)</formula>
    </cfRule>
  </conditionalFormatting>
  <conditionalFormatting sqref="AO527">
    <cfRule type="expression" dxfId="6762" priority="7457" stopIfTrue="1">
      <formula>$G525=""</formula>
    </cfRule>
  </conditionalFormatting>
  <conditionalFormatting sqref="AU525:AU528">
    <cfRule type="expression" dxfId="6761" priority="7454" stopIfTrue="1">
      <formula>$C$43=2</formula>
    </cfRule>
    <cfRule type="cellIs" dxfId="6760" priority="7455" operator="equal">
      <formula>"Yes"</formula>
    </cfRule>
    <cfRule type="cellIs" dxfId="6759" priority="7456" operator="equal">
      <formula>"No"</formula>
    </cfRule>
  </conditionalFormatting>
  <conditionalFormatting sqref="AO525:AO526">
    <cfRule type="expression" dxfId="6758" priority="7453">
      <formula>$G525=""</formula>
    </cfRule>
  </conditionalFormatting>
  <conditionalFormatting sqref="AP525 AR525:AS528">
    <cfRule type="expression" dxfId="6757" priority="7452">
      <formula>$G525=""</formula>
    </cfRule>
  </conditionalFormatting>
  <conditionalFormatting sqref="AW525:AW528">
    <cfRule type="expression" dxfId="6756" priority="7451">
      <formula>$G525=""</formula>
    </cfRule>
  </conditionalFormatting>
  <conditionalFormatting sqref="G526:L526">
    <cfRule type="expression" dxfId="6755" priority="7449" stopIfTrue="1">
      <formula>$G525=""</formula>
    </cfRule>
    <cfRule type="containsBlanks" dxfId="6754" priority="7450">
      <formula>LEN(TRIM(G526))=0</formula>
    </cfRule>
  </conditionalFormatting>
  <conditionalFormatting sqref="R527">
    <cfRule type="expression" dxfId="6753" priority="7446">
      <formula>$N528="BAM"</formula>
    </cfRule>
    <cfRule type="expression" dxfId="6752" priority="7447" stopIfTrue="1">
      <formula>$G525=""</formula>
    </cfRule>
    <cfRule type="containsBlanks" dxfId="6751" priority="7448">
      <formula>LEN(TRIM(R527))=0</formula>
    </cfRule>
  </conditionalFormatting>
  <conditionalFormatting sqref="R527">
    <cfRule type="expression" dxfId="6750" priority="7445">
      <formula>$C$43=0</formula>
    </cfRule>
  </conditionalFormatting>
  <conditionalFormatting sqref="E528:F528">
    <cfRule type="expression" dxfId="6749" priority="7444">
      <formula>$CQ525="Exterior"</formula>
    </cfRule>
  </conditionalFormatting>
  <conditionalFormatting sqref="R526">
    <cfRule type="expression" dxfId="6748" priority="7441" stopIfTrue="1">
      <formula>$N528="BAM"</formula>
    </cfRule>
  </conditionalFormatting>
  <conditionalFormatting sqref="R526">
    <cfRule type="containsBlanks" dxfId="6747" priority="7442">
      <formula>LEN(TRIM(R526))=0</formula>
    </cfRule>
  </conditionalFormatting>
  <conditionalFormatting sqref="R526">
    <cfRule type="expression" dxfId="6746" priority="7440" stopIfTrue="1">
      <formula>$G525=""</formula>
    </cfRule>
    <cfRule type="expression" dxfId="6745" priority="7443">
      <formula>$HY526=FALSE</formula>
    </cfRule>
  </conditionalFormatting>
  <conditionalFormatting sqref="G528">
    <cfRule type="expression" dxfId="6744" priority="7434" stopIfTrue="1">
      <formula>$G525=""</formula>
    </cfRule>
  </conditionalFormatting>
  <conditionalFormatting sqref="G528">
    <cfRule type="expression" dxfId="6743" priority="7436" stopIfTrue="1">
      <formula>$CQ525="Exterior"</formula>
    </cfRule>
  </conditionalFormatting>
  <conditionalFormatting sqref="G528:L528">
    <cfRule type="expression" dxfId="6742" priority="7435" stopIfTrue="1">
      <formula>$N528="BAM"</formula>
    </cfRule>
    <cfRule type="containsBlanks" dxfId="6741" priority="7437" stopIfTrue="1">
      <formula>LEN(TRIM(G528))=0</formula>
    </cfRule>
    <cfRule type="expression" dxfId="6740" priority="7439">
      <formula>$HQ526=FALSE</formula>
    </cfRule>
  </conditionalFormatting>
  <conditionalFormatting sqref="G528:L528">
    <cfRule type="expression" dxfId="6739" priority="7438" stopIfTrue="1">
      <formula>$AG527=""</formula>
    </cfRule>
  </conditionalFormatting>
  <conditionalFormatting sqref="G527:L527">
    <cfRule type="expression" dxfId="6738" priority="7432" stopIfTrue="1">
      <formula>$N528="BAM"</formula>
    </cfRule>
  </conditionalFormatting>
  <conditionalFormatting sqref="G525:R525">
    <cfRule type="containsBlanks" dxfId="6737" priority="7431">
      <formula>LEN(TRIM(G525))=0</formula>
    </cfRule>
  </conditionalFormatting>
  <conditionalFormatting sqref="AF527">
    <cfRule type="expression" dxfId="6736" priority="7421" stopIfTrue="1">
      <formula>$G525=""</formula>
    </cfRule>
    <cfRule type="expression" dxfId="6735" priority="7422" stopIfTrue="1">
      <formula>$N528="BAM"</formula>
    </cfRule>
    <cfRule type="expression" dxfId="6734" priority="7430">
      <formula>$AF$49&gt;$T$49</formula>
    </cfRule>
  </conditionalFormatting>
  <conditionalFormatting sqref="AC528:AE528">
    <cfRule type="expression" dxfId="6733" priority="7427" stopIfTrue="1">
      <formula>$G525=""</formula>
    </cfRule>
  </conditionalFormatting>
  <conditionalFormatting sqref="T527:U527">
    <cfRule type="expression" dxfId="6732" priority="7394" stopIfTrue="1">
      <formula>$G525=""</formula>
    </cfRule>
  </conditionalFormatting>
  <conditionalFormatting sqref="T527:U527">
    <cfRule type="containsBlanks" dxfId="6731" priority="7424" stopIfTrue="1">
      <formula>LEN(TRIM(T527))=0</formula>
    </cfRule>
  </conditionalFormatting>
  <conditionalFormatting sqref="AC525:AE525">
    <cfRule type="expression" dxfId="6730" priority="7423">
      <formula>$G525=""</formula>
    </cfRule>
  </conditionalFormatting>
  <conditionalFormatting sqref="AF527 AG528">
    <cfRule type="containsBlanks" dxfId="6729" priority="7428" stopIfTrue="1">
      <formula>LEN(TRIM(AF527))=0</formula>
    </cfRule>
  </conditionalFormatting>
  <conditionalFormatting sqref="AF527">
    <cfRule type="expression" dxfId="6728" priority="7429">
      <formula>OR($HS526=FALSE,$HT526=FALSE)</formula>
    </cfRule>
  </conditionalFormatting>
  <conditionalFormatting sqref="AG528">
    <cfRule type="expression" dxfId="6727" priority="7387">
      <formula>$C$43&gt;0</formula>
    </cfRule>
  </conditionalFormatting>
  <conditionalFormatting sqref="AG528">
    <cfRule type="expression" dxfId="6726" priority="7420" stopIfTrue="1">
      <formula>$G525=""</formula>
    </cfRule>
  </conditionalFormatting>
  <conditionalFormatting sqref="U527">
    <cfRule type="expression" dxfId="6725" priority="7425">
      <formula>OR($HK526=FALSE,$HL526=FALSE)</formula>
    </cfRule>
  </conditionalFormatting>
  <conditionalFormatting sqref="T526:U526">
    <cfRule type="expression" dxfId="6724" priority="7415" stopIfTrue="1">
      <formula>$C$43&lt;&gt;0</formula>
    </cfRule>
    <cfRule type="containsBlanks" dxfId="6723" priority="7416" stopIfTrue="1">
      <formula>LEN(TRIM(T526))=0</formula>
    </cfRule>
  </conditionalFormatting>
  <conditionalFormatting sqref="T526:U526">
    <cfRule type="expression" dxfId="6722" priority="7414" stopIfTrue="1">
      <formula>$G525=""</formula>
    </cfRule>
  </conditionalFormatting>
  <conditionalFormatting sqref="U526">
    <cfRule type="expression" dxfId="6721" priority="7417">
      <formula>$HJ526=FALSE</formula>
    </cfRule>
  </conditionalFormatting>
  <conditionalFormatting sqref="AG527">
    <cfRule type="expression" dxfId="6720" priority="7405" stopIfTrue="1">
      <formula>$G525=""</formula>
    </cfRule>
  </conditionalFormatting>
  <conditionalFormatting sqref="AG527:AL527">
    <cfRule type="expression" dxfId="6719" priority="7406">
      <formula>$N528="BAM"</formula>
    </cfRule>
    <cfRule type="expression" dxfId="6718" priority="7410">
      <formula>OR($HU526=FALSE,$HQ526=FALSE)</formula>
    </cfRule>
  </conditionalFormatting>
  <conditionalFormatting sqref="AG527">
    <cfRule type="containsBlanks" dxfId="6717" priority="7407" stopIfTrue="1">
      <formula>LEN(TRIM(AG527))=0</formula>
    </cfRule>
    <cfRule type="expression" dxfId="6716" priority="7408">
      <formula>OR($HP526=FALSE,$HR526=FALSE)</formula>
    </cfRule>
    <cfRule type="expression" dxfId="6715" priority="7409">
      <formula>OR($DS525=7,$DS525=8,$DS525=9)</formula>
    </cfRule>
  </conditionalFormatting>
  <conditionalFormatting sqref="AG525:AL525">
    <cfRule type="expression" dxfId="6714" priority="7404">
      <formula>$C$43&lt;&gt;0</formula>
    </cfRule>
  </conditionalFormatting>
  <conditionalFormatting sqref="AF526">
    <cfRule type="containsBlanks" dxfId="6713" priority="7403">
      <formula>LEN(TRIM(AF526))=0</formula>
    </cfRule>
  </conditionalFormatting>
  <conditionalFormatting sqref="AF526">
    <cfRule type="expression" dxfId="6712" priority="7402" stopIfTrue="1">
      <formula>$G525=""</formula>
    </cfRule>
  </conditionalFormatting>
  <conditionalFormatting sqref="AG526">
    <cfRule type="containsBlanks" dxfId="6711" priority="7400">
      <formula>LEN(TRIM(AG526))=0</formula>
    </cfRule>
    <cfRule type="expression" dxfId="6710" priority="7401">
      <formula>$HO526=FALSE</formula>
    </cfRule>
  </conditionalFormatting>
  <conditionalFormatting sqref="AG526">
    <cfRule type="expression" dxfId="6709" priority="7399" stopIfTrue="1">
      <formula>$G525=""</formula>
    </cfRule>
  </conditionalFormatting>
  <conditionalFormatting sqref="AF526:AK526">
    <cfRule type="expression" dxfId="6708" priority="7398">
      <formula>$C$43&gt;0</formula>
    </cfRule>
  </conditionalFormatting>
  <conditionalFormatting sqref="AM525:AN526">
    <cfRule type="expression" dxfId="6707" priority="7397">
      <formula>$G525=""</formula>
    </cfRule>
  </conditionalFormatting>
  <conditionalFormatting sqref="AM527:AN527">
    <cfRule type="expression" dxfId="6706" priority="7396" stopIfTrue="1">
      <formula>$G525=""</formula>
    </cfRule>
  </conditionalFormatting>
  <conditionalFormatting sqref="T527">
    <cfRule type="expression" dxfId="6705" priority="7418" stopIfTrue="1">
      <formula>$N528="BAM"</formula>
    </cfRule>
  </conditionalFormatting>
  <conditionalFormatting sqref="U527:AE527">
    <cfRule type="expression" dxfId="6704" priority="7395" stopIfTrue="1">
      <formula>$N528="BAM"</formula>
    </cfRule>
  </conditionalFormatting>
  <conditionalFormatting sqref="AG528:AL528">
    <cfRule type="expression" dxfId="6703" priority="7419" stopIfTrue="1">
      <formula>$N528="BAM"</formula>
    </cfRule>
  </conditionalFormatting>
  <conditionalFormatting sqref="AX531">
    <cfRule type="expression" dxfId="6702" priority="7385">
      <formula>$E531=""</formula>
    </cfRule>
  </conditionalFormatting>
  <conditionalFormatting sqref="AX530">
    <cfRule type="expression" dxfId="6701" priority="7384">
      <formula>$E530=""</formula>
    </cfRule>
  </conditionalFormatting>
  <conditionalFormatting sqref="AX532">
    <cfRule type="expression" dxfId="6700" priority="7383">
      <formula>#REF!=""</formula>
    </cfRule>
  </conditionalFormatting>
  <conditionalFormatting sqref="AX533">
    <cfRule type="expression" dxfId="6699" priority="7382">
      <formula>$E532=""</formula>
    </cfRule>
  </conditionalFormatting>
  <conditionalFormatting sqref="AY530:AZ533">
    <cfRule type="expression" dxfId="6698" priority="7381">
      <formula>$G530=""</formula>
    </cfRule>
  </conditionalFormatting>
  <conditionalFormatting sqref="G532">
    <cfRule type="expression" dxfId="6697" priority="7378" stopIfTrue="1">
      <formula>$G530=""</formula>
    </cfRule>
    <cfRule type="containsBlanks" dxfId="6696" priority="7379" stopIfTrue="1">
      <formula>LEN(TRIM(G532))=0</formula>
    </cfRule>
    <cfRule type="expression" dxfId="6695" priority="7380">
      <formula>OR($M532=0,$HH531=FALSE)</formula>
    </cfRule>
  </conditionalFormatting>
  <conditionalFormatting sqref="AO532">
    <cfRule type="expression" dxfId="6694" priority="7377" stopIfTrue="1">
      <formula>$G530=""</formula>
    </cfRule>
  </conditionalFormatting>
  <conditionalFormatting sqref="AU530:AU533">
    <cfRule type="expression" dxfId="6693" priority="7374" stopIfTrue="1">
      <formula>$C$43=2</formula>
    </cfRule>
    <cfRule type="cellIs" dxfId="6692" priority="7375" operator="equal">
      <formula>"Yes"</formula>
    </cfRule>
    <cfRule type="cellIs" dxfId="6691" priority="7376" operator="equal">
      <formula>"No"</formula>
    </cfRule>
  </conditionalFormatting>
  <conditionalFormatting sqref="AO530:AO531">
    <cfRule type="expression" dxfId="6690" priority="7373">
      <formula>$G530=""</formula>
    </cfRule>
  </conditionalFormatting>
  <conditionalFormatting sqref="AP530 AR530:AS533">
    <cfRule type="expression" dxfId="6689" priority="7372">
      <formula>$G530=""</formula>
    </cfRule>
  </conditionalFormatting>
  <conditionalFormatting sqref="AW530:AW533">
    <cfRule type="expression" dxfId="6688" priority="7371">
      <formula>$G530=""</formula>
    </cfRule>
  </conditionalFormatting>
  <conditionalFormatting sqref="G531:L531">
    <cfRule type="expression" dxfId="6687" priority="7369" stopIfTrue="1">
      <formula>$G530=""</formula>
    </cfRule>
    <cfRule type="containsBlanks" dxfId="6686" priority="7370">
      <formula>LEN(TRIM(G531))=0</formula>
    </cfRule>
  </conditionalFormatting>
  <conditionalFormatting sqref="R532">
    <cfRule type="expression" dxfId="6685" priority="7366">
      <formula>$N533="BAM"</formula>
    </cfRule>
    <cfRule type="expression" dxfId="6684" priority="7367" stopIfTrue="1">
      <formula>$G530=""</formula>
    </cfRule>
    <cfRule type="containsBlanks" dxfId="6683" priority="7368">
      <formula>LEN(TRIM(R532))=0</formula>
    </cfRule>
  </conditionalFormatting>
  <conditionalFormatting sqref="R532">
    <cfRule type="expression" dxfId="6682" priority="7365">
      <formula>$C$43=0</formula>
    </cfRule>
  </conditionalFormatting>
  <conditionalFormatting sqref="E533:F533">
    <cfRule type="expression" dxfId="6681" priority="7364">
      <formula>$CQ530="Exterior"</formula>
    </cfRule>
  </conditionalFormatting>
  <conditionalFormatting sqref="R531">
    <cfRule type="expression" dxfId="6680" priority="7361" stopIfTrue="1">
      <formula>$N533="BAM"</formula>
    </cfRule>
  </conditionalFormatting>
  <conditionalFormatting sqref="R531">
    <cfRule type="containsBlanks" dxfId="6679" priority="7362">
      <formula>LEN(TRIM(R531))=0</formula>
    </cfRule>
  </conditionalFormatting>
  <conditionalFormatting sqref="R531">
    <cfRule type="expression" dxfId="6678" priority="7360" stopIfTrue="1">
      <formula>$G530=""</formula>
    </cfRule>
    <cfRule type="expression" dxfId="6677" priority="7363">
      <formula>$HY531=FALSE</formula>
    </cfRule>
  </conditionalFormatting>
  <conditionalFormatting sqref="G533">
    <cfRule type="expression" dxfId="6676" priority="7354" stopIfTrue="1">
      <formula>$G530=""</formula>
    </cfRule>
  </conditionalFormatting>
  <conditionalFormatting sqref="G533">
    <cfRule type="expression" dxfId="6675" priority="7356" stopIfTrue="1">
      <formula>$CQ530="Exterior"</formula>
    </cfRule>
  </conditionalFormatting>
  <conditionalFormatting sqref="G533:L533">
    <cfRule type="expression" dxfId="6674" priority="7355" stopIfTrue="1">
      <formula>$N533="BAM"</formula>
    </cfRule>
    <cfRule type="containsBlanks" dxfId="6673" priority="7357" stopIfTrue="1">
      <formula>LEN(TRIM(G533))=0</formula>
    </cfRule>
    <cfRule type="expression" dxfId="6672" priority="7359">
      <formula>$HQ531=FALSE</formula>
    </cfRule>
  </conditionalFormatting>
  <conditionalFormatting sqref="G533:L533">
    <cfRule type="expression" dxfId="6671" priority="7358" stopIfTrue="1">
      <formula>$AG532=""</formula>
    </cfRule>
  </conditionalFormatting>
  <conditionalFormatting sqref="G532:L532">
    <cfRule type="expression" dxfId="6670" priority="7352" stopIfTrue="1">
      <formula>$N533="BAM"</formula>
    </cfRule>
  </conditionalFormatting>
  <conditionalFormatting sqref="G530:R530">
    <cfRule type="containsBlanks" dxfId="6669" priority="7351">
      <formula>LEN(TRIM(G530))=0</formula>
    </cfRule>
  </conditionalFormatting>
  <conditionalFormatting sqref="AF532">
    <cfRule type="expression" dxfId="6668" priority="7341" stopIfTrue="1">
      <formula>$G530=""</formula>
    </cfRule>
    <cfRule type="expression" dxfId="6667" priority="7342" stopIfTrue="1">
      <formula>$N533="BAM"</formula>
    </cfRule>
    <cfRule type="expression" dxfId="6666" priority="7350">
      <formula>$AF$49&gt;$T$49</formula>
    </cfRule>
  </conditionalFormatting>
  <conditionalFormatting sqref="AC533:AE533">
    <cfRule type="expression" dxfId="6665" priority="7347" stopIfTrue="1">
      <formula>$G530=""</formula>
    </cfRule>
  </conditionalFormatting>
  <conditionalFormatting sqref="T532:U532">
    <cfRule type="expression" dxfId="6664" priority="7314" stopIfTrue="1">
      <formula>$G530=""</formula>
    </cfRule>
  </conditionalFormatting>
  <conditionalFormatting sqref="T532:U532">
    <cfRule type="containsBlanks" dxfId="6663" priority="7344" stopIfTrue="1">
      <formula>LEN(TRIM(T532))=0</formula>
    </cfRule>
  </conditionalFormatting>
  <conditionalFormatting sqref="AC530:AE530">
    <cfRule type="expression" dxfId="6662" priority="7343">
      <formula>$G530=""</formula>
    </cfRule>
  </conditionalFormatting>
  <conditionalFormatting sqref="AF532 AG533">
    <cfRule type="containsBlanks" dxfId="6661" priority="7348" stopIfTrue="1">
      <formula>LEN(TRIM(AF532))=0</formula>
    </cfRule>
  </conditionalFormatting>
  <conditionalFormatting sqref="AF532">
    <cfRule type="expression" dxfId="6660" priority="7349">
      <formula>OR($HS531=FALSE,$HT531=FALSE)</formula>
    </cfRule>
  </conditionalFormatting>
  <conditionalFormatting sqref="AG533">
    <cfRule type="expression" dxfId="6659" priority="7307">
      <formula>$C$43&gt;0</formula>
    </cfRule>
  </conditionalFormatting>
  <conditionalFormatting sqref="AG533">
    <cfRule type="expression" dxfId="6658" priority="7340" stopIfTrue="1">
      <formula>$G530=""</formula>
    </cfRule>
  </conditionalFormatting>
  <conditionalFormatting sqref="U532">
    <cfRule type="expression" dxfId="6657" priority="7345">
      <formula>OR($HK531=FALSE,$HL531=FALSE)</formula>
    </cfRule>
  </conditionalFormatting>
  <conditionalFormatting sqref="T531:U531">
    <cfRule type="expression" dxfId="6656" priority="7335" stopIfTrue="1">
      <formula>$C$43&lt;&gt;0</formula>
    </cfRule>
    <cfRule type="containsBlanks" dxfId="6655" priority="7336" stopIfTrue="1">
      <formula>LEN(TRIM(T531))=0</formula>
    </cfRule>
  </conditionalFormatting>
  <conditionalFormatting sqref="T531:U531">
    <cfRule type="expression" dxfId="6654" priority="7334" stopIfTrue="1">
      <formula>$G530=""</formula>
    </cfRule>
  </conditionalFormatting>
  <conditionalFormatting sqref="U531">
    <cfRule type="expression" dxfId="6653" priority="7337">
      <formula>$HJ531=FALSE</formula>
    </cfRule>
  </conditionalFormatting>
  <conditionalFormatting sqref="AG532">
    <cfRule type="expression" dxfId="6652" priority="7325" stopIfTrue="1">
      <formula>$G530=""</formula>
    </cfRule>
  </conditionalFormatting>
  <conditionalFormatting sqref="AG532:AL532">
    <cfRule type="expression" dxfId="6651" priority="7326">
      <formula>$N533="BAM"</formula>
    </cfRule>
    <cfRule type="expression" dxfId="6650" priority="7330">
      <formula>OR($HU531=FALSE,$HQ531=FALSE)</formula>
    </cfRule>
  </conditionalFormatting>
  <conditionalFormatting sqref="AG532">
    <cfRule type="containsBlanks" dxfId="6649" priority="7327" stopIfTrue="1">
      <formula>LEN(TRIM(AG532))=0</formula>
    </cfRule>
    <cfRule type="expression" dxfId="6648" priority="7328">
      <formula>OR($HP531=FALSE,$HR531=FALSE)</formula>
    </cfRule>
    <cfRule type="expression" dxfId="6647" priority="7329">
      <formula>OR($DS530=7,$DS530=8,$DS530=9)</formula>
    </cfRule>
  </conditionalFormatting>
  <conditionalFormatting sqref="AG530:AL530">
    <cfRule type="expression" dxfId="6646" priority="7324">
      <formula>$C$43&lt;&gt;0</formula>
    </cfRule>
  </conditionalFormatting>
  <conditionalFormatting sqref="AF531">
    <cfRule type="containsBlanks" dxfId="6645" priority="7323">
      <formula>LEN(TRIM(AF531))=0</formula>
    </cfRule>
  </conditionalFormatting>
  <conditionalFormatting sqref="AF531">
    <cfRule type="expression" dxfId="6644" priority="7322" stopIfTrue="1">
      <formula>$G530=""</formula>
    </cfRule>
  </conditionalFormatting>
  <conditionalFormatting sqref="AG531">
    <cfRule type="containsBlanks" dxfId="6643" priority="7320">
      <formula>LEN(TRIM(AG531))=0</formula>
    </cfRule>
    <cfRule type="expression" dxfId="6642" priority="7321">
      <formula>$HO531=FALSE</formula>
    </cfRule>
  </conditionalFormatting>
  <conditionalFormatting sqref="AG531">
    <cfRule type="expression" dxfId="6641" priority="7319" stopIfTrue="1">
      <formula>$G530=""</formula>
    </cfRule>
  </conditionalFormatting>
  <conditionalFormatting sqref="AF531:AK531">
    <cfRule type="expression" dxfId="6640" priority="7318">
      <formula>$C$43&gt;0</formula>
    </cfRule>
  </conditionalFormatting>
  <conditionalFormatting sqref="AM530:AN531">
    <cfRule type="expression" dxfId="6639" priority="7317">
      <formula>$G530=""</formula>
    </cfRule>
  </conditionalFormatting>
  <conditionalFormatting sqref="AM532:AN532">
    <cfRule type="expression" dxfId="6638" priority="7316" stopIfTrue="1">
      <formula>$G530=""</formula>
    </cfRule>
  </conditionalFormatting>
  <conditionalFormatting sqref="T532">
    <cfRule type="expression" dxfId="6637" priority="7338" stopIfTrue="1">
      <formula>$N533="BAM"</formula>
    </cfRule>
  </conditionalFormatting>
  <conditionalFormatting sqref="U532:AE532">
    <cfRule type="expression" dxfId="6636" priority="7315" stopIfTrue="1">
      <formula>$N533="BAM"</formula>
    </cfRule>
  </conditionalFormatting>
  <conditionalFormatting sqref="AG533:AL533">
    <cfRule type="expression" dxfId="6635" priority="7339" stopIfTrue="1">
      <formula>$N533="BAM"</formula>
    </cfRule>
  </conditionalFormatting>
  <conditionalFormatting sqref="AX536">
    <cfRule type="expression" dxfId="6634" priority="7305">
      <formula>$E536=""</formula>
    </cfRule>
  </conditionalFormatting>
  <conditionalFormatting sqref="AX535">
    <cfRule type="expression" dxfId="6633" priority="7304">
      <formula>$E535=""</formula>
    </cfRule>
  </conditionalFormatting>
  <conditionalFormatting sqref="AX537">
    <cfRule type="expression" dxfId="6632" priority="7303">
      <formula>#REF!=""</formula>
    </cfRule>
  </conditionalFormatting>
  <conditionalFormatting sqref="AX538">
    <cfRule type="expression" dxfId="6631" priority="7302">
      <formula>$E537=""</formula>
    </cfRule>
  </conditionalFormatting>
  <conditionalFormatting sqref="AY535:AZ538">
    <cfRule type="expression" dxfId="6630" priority="7301">
      <formula>$G535=""</formula>
    </cfRule>
  </conditionalFormatting>
  <conditionalFormatting sqref="G537">
    <cfRule type="expression" dxfId="6629" priority="7298" stopIfTrue="1">
      <formula>$G535=""</formula>
    </cfRule>
    <cfRule type="containsBlanks" dxfId="6628" priority="7299" stopIfTrue="1">
      <formula>LEN(TRIM(G537))=0</formula>
    </cfRule>
    <cfRule type="expression" dxfId="6627" priority="7300">
      <formula>OR($M537=0,$HH536=FALSE)</formula>
    </cfRule>
  </conditionalFormatting>
  <conditionalFormatting sqref="AO537">
    <cfRule type="expression" dxfId="6626" priority="7297" stopIfTrue="1">
      <formula>$G535=""</formula>
    </cfRule>
  </conditionalFormatting>
  <conditionalFormatting sqref="AU535:AU538">
    <cfRule type="expression" dxfId="6625" priority="7294" stopIfTrue="1">
      <formula>$C$43=2</formula>
    </cfRule>
    <cfRule type="cellIs" dxfId="6624" priority="7295" operator="equal">
      <formula>"Yes"</formula>
    </cfRule>
    <cfRule type="cellIs" dxfId="6623" priority="7296" operator="equal">
      <formula>"No"</formula>
    </cfRule>
  </conditionalFormatting>
  <conditionalFormatting sqref="AO535:AO536">
    <cfRule type="expression" dxfId="6622" priority="7293">
      <formula>$G535=""</formula>
    </cfRule>
  </conditionalFormatting>
  <conditionalFormatting sqref="AP535 AR535:AS538">
    <cfRule type="expression" dxfId="6621" priority="7292">
      <formula>$G535=""</formula>
    </cfRule>
  </conditionalFormatting>
  <conditionalFormatting sqref="AW535:AW538">
    <cfRule type="expression" dxfId="6620" priority="7291">
      <formula>$G535=""</formula>
    </cfRule>
  </conditionalFormatting>
  <conditionalFormatting sqref="G536:L536">
    <cfRule type="expression" dxfId="6619" priority="7289" stopIfTrue="1">
      <formula>$G535=""</formula>
    </cfRule>
    <cfRule type="containsBlanks" dxfId="6618" priority="7290">
      <formula>LEN(TRIM(G536))=0</formula>
    </cfRule>
  </conditionalFormatting>
  <conditionalFormatting sqref="R537">
    <cfRule type="expression" dxfId="6617" priority="7286">
      <formula>$N538="BAM"</formula>
    </cfRule>
    <cfRule type="expression" dxfId="6616" priority="7287" stopIfTrue="1">
      <formula>$G535=""</formula>
    </cfRule>
    <cfRule type="containsBlanks" dxfId="6615" priority="7288">
      <formula>LEN(TRIM(R537))=0</formula>
    </cfRule>
  </conditionalFormatting>
  <conditionalFormatting sqref="R537">
    <cfRule type="expression" dxfId="6614" priority="7285">
      <formula>$C$43=0</formula>
    </cfRule>
  </conditionalFormatting>
  <conditionalFormatting sqref="E538:F538">
    <cfRule type="expression" dxfId="6613" priority="7284">
      <formula>$CQ535="Exterior"</formula>
    </cfRule>
  </conditionalFormatting>
  <conditionalFormatting sqref="R536">
    <cfRule type="expression" dxfId="6612" priority="7281" stopIfTrue="1">
      <formula>$N538="BAM"</formula>
    </cfRule>
  </conditionalFormatting>
  <conditionalFormatting sqref="R536">
    <cfRule type="containsBlanks" dxfId="6611" priority="7282">
      <formula>LEN(TRIM(R536))=0</formula>
    </cfRule>
  </conditionalFormatting>
  <conditionalFormatting sqref="R536">
    <cfRule type="expression" dxfId="6610" priority="7280" stopIfTrue="1">
      <formula>$G535=""</formula>
    </cfRule>
    <cfRule type="expression" dxfId="6609" priority="7283">
      <formula>$HY536=FALSE</formula>
    </cfRule>
  </conditionalFormatting>
  <conditionalFormatting sqref="G538">
    <cfRule type="expression" dxfId="6608" priority="7274" stopIfTrue="1">
      <formula>$G535=""</formula>
    </cfRule>
  </conditionalFormatting>
  <conditionalFormatting sqref="G538">
    <cfRule type="expression" dxfId="6607" priority="7276" stopIfTrue="1">
      <formula>$CQ535="Exterior"</formula>
    </cfRule>
  </conditionalFormatting>
  <conditionalFormatting sqref="G538:L538">
    <cfRule type="expression" dxfId="6606" priority="7275" stopIfTrue="1">
      <formula>$N538="BAM"</formula>
    </cfRule>
    <cfRule type="containsBlanks" dxfId="6605" priority="7277" stopIfTrue="1">
      <formula>LEN(TRIM(G538))=0</formula>
    </cfRule>
    <cfRule type="expression" dxfId="6604" priority="7279">
      <formula>$HQ536=FALSE</formula>
    </cfRule>
  </conditionalFormatting>
  <conditionalFormatting sqref="G538:L538">
    <cfRule type="expression" dxfId="6603" priority="7278" stopIfTrue="1">
      <formula>$AG537=""</formula>
    </cfRule>
  </conditionalFormatting>
  <conditionalFormatting sqref="G537:L537">
    <cfRule type="expression" dxfId="6602" priority="7272" stopIfTrue="1">
      <formula>$N538="BAM"</formula>
    </cfRule>
  </conditionalFormatting>
  <conditionalFormatting sqref="G535:R535">
    <cfRule type="containsBlanks" dxfId="6601" priority="7271">
      <formula>LEN(TRIM(G535))=0</formula>
    </cfRule>
  </conditionalFormatting>
  <conditionalFormatting sqref="AF537">
    <cfRule type="expression" dxfId="6600" priority="7261" stopIfTrue="1">
      <formula>$G535=""</formula>
    </cfRule>
    <cfRule type="expression" dxfId="6599" priority="7262" stopIfTrue="1">
      <formula>$N538="BAM"</formula>
    </cfRule>
    <cfRule type="expression" dxfId="6598" priority="7270">
      <formula>$AF$49&gt;$T$49</formula>
    </cfRule>
  </conditionalFormatting>
  <conditionalFormatting sqref="AC538:AE538">
    <cfRule type="expression" dxfId="6597" priority="7267" stopIfTrue="1">
      <formula>$G535=""</formula>
    </cfRule>
  </conditionalFormatting>
  <conditionalFormatting sqref="T537:U537">
    <cfRule type="expression" dxfId="6596" priority="7234" stopIfTrue="1">
      <formula>$G535=""</formula>
    </cfRule>
  </conditionalFormatting>
  <conditionalFormatting sqref="T537:U537">
    <cfRule type="containsBlanks" dxfId="6595" priority="7264" stopIfTrue="1">
      <formula>LEN(TRIM(T537))=0</formula>
    </cfRule>
  </conditionalFormatting>
  <conditionalFormatting sqref="AC535:AE535">
    <cfRule type="expression" dxfId="6594" priority="7263">
      <formula>$G535=""</formula>
    </cfRule>
  </conditionalFormatting>
  <conditionalFormatting sqref="AF537 AG538">
    <cfRule type="containsBlanks" dxfId="6593" priority="7268" stopIfTrue="1">
      <formula>LEN(TRIM(AF537))=0</formula>
    </cfRule>
  </conditionalFormatting>
  <conditionalFormatting sqref="AF537">
    <cfRule type="expression" dxfId="6592" priority="7269">
      <formula>OR($HS536=FALSE,$HT536=FALSE)</formula>
    </cfRule>
  </conditionalFormatting>
  <conditionalFormatting sqref="AG538">
    <cfRule type="expression" dxfId="6591" priority="7227">
      <formula>$C$43&gt;0</formula>
    </cfRule>
  </conditionalFormatting>
  <conditionalFormatting sqref="AG538">
    <cfRule type="expression" dxfId="6590" priority="7260" stopIfTrue="1">
      <formula>$G535=""</formula>
    </cfRule>
  </conditionalFormatting>
  <conditionalFormatting sqref="U537">
    <cfRule type="expression" dxfId="6589" priority="7265">
      <formula>OR($HK536=FALSE,$HL536=FALSE)</formula>
    </cfRule>
  </conditionalFormatting>
  <conditionalFormatting sqref="T536:U536">
    <cfRule type="expression" dxfId="6588" priority="7255" stopIfTrue="1">
      <formula>$C$43&lt;&gt;0</formula>
    </cfRule>
    <cfRule type="containsBlanks" dxfId="6587" priority="7256" stopIfTrue="1">
      <formula>LEN(TRIM(T536))=0</formula>
    </cfRule>
  </conditionalFormatting>
  <conditionalFormatting sqref="T536:U536">
    <cfRule type="expression" dxfId="6586" priority="7254" stopIfTrue="1">
      <formula>$G535=""</formula>
    </cfRule>
  </conditionalFormatting>
  <conditionalFormatting sqref="U536">
    <cfRule type="expression" dxfId="6585" priority="7257">
      <formula>$HJ536=FALSE</formula>
    </cfRule>
  </conditionalFormatting>
  <conditionalFormatting sqref="AG537">
    <cfRule type="expression" dxfId="6584" priority="7245" stopIfTrue="1">
      <formula>$G535=""</formula>
    </cfRule>
  </conditionalFormatting>
  <conditionalFormatting sqref="AG537:AL537">
    <cfRule type="expression" dxfId="6583" priority="7246">
      <formula>$N538="BAM"</formula>
    </cfRule>
    <cfRule type="expression" dxfId="6582" priority="7250">
      <formula>OR($HU536=FALSE,$HQ536=FALSE)</formula>
    </cfRule>
  </conditionalFormatting>
  <conditionalFormatting sqref="AG537">
    <cfRule type="containsBlanks" dxfId="6581" priority="7247" stopIfTrue="1">
      <formula>LEN(TRIM(AG537))=0</formula>
    </cfRule>
    <cfRule type="expression" dxfId="6580" priority="7248">
      <formula>OR($HP536=FALSE,$HR536=FALSE)</formula>
    </cfRule>
    <cfRule type="expression" dxfId="6579" priority="7249">
      <formula>OR($DS535=7,$DS535=8,$DS535=9)</formula>
    </cfRule>
  </conditionalFormatting>
  <conditionalFormatting sqref="AG535:AL535">
    <cfRule type="expression" dxfId="6578" priority="7244">
      <formula>$C$43&lt;&gt;0</formula>
    </cfRule>
  </conditionalFormatting>
  <conditionalFormatting sqref="AF536">
    <cfRule type="containsBlanks" dxfId="6577" priority="7243">
      <formula>LEN(TRIM(AF536))=0</formula>
    </cfRule>
  </conditionalFormatting>
  <conditionalFormatting sqref="AF536">
    <cfRule type="expression" dxfId="6576" priority="7242" stopIfTrue="1">
      <formula>$G535=""</formula>
    </cfRule>
  </conditionalFormatting>
  <conditionalFormatting sqref="AG536">
    <cfRule type="containsBlanks" dxfId="6575" priority="7240">
      <formula>LEN(TRIM(AG536))=0</formula>
    </cfRule>
    <cfRule type="expression" dxfId="6574" priority="7241">
      <formula>$HO536=FALSE</formula>
    </cfRule>
  </conditionalFormatting>
  <conditionalFormatting sqref="AG536">
    <cfRule type="expression" dxfId="6573" priority="7239" stopIfTrue="1">
      <formula>$G535=""</formula>
    </cfRule>
  </conditionalFormatting>
  <conditionalFormatting sqref="AF536:AK536">
    <cfRule type="expression" dxfId="6572" priority="7238">
      <formula>$C$43&gt;0</formula>
    </cfRule>
  </conditionalFormatting>
  <conditionalFormatting sqref="AM535:AN536">
    <cfRule type="expression" dxfId="6571" priority="7237">
      <formula>$G535=""</formula>
    </cfRule>
  </conditionalFormatting>
  <conditionalFormatting sqref="AM537:AN537">
    <cfRule type="expression" dxfId="6570" priority="7236" stopIfTrue="1">
      <formula>$G535=""</formula>
    </cfRule>
  </conditionalFormatting>
  <conditionalFormatting sqref="T537">
    <cfRule type="expression" dxfId="6569" priority="7258" stopIfTrue="1">
      <formula>$N538="BAM"</formula>
    </cfRule>
  </conditionalFormatting>
  <conditionalFormatting sqref="U537:AE537">
    <cfRule type="expression" dxfId="6568" priority="7235" stopIfTrue="1">
      <formula>$N538="BAM"</formula>
    </cfRule>
  </conditionalFormatting>
  <conditionalFormatting sqref="AG538:AL538">
    <cfRule type="expression" dxfId="6567" priority="7259" stopIfTrue="1">
      <formula>$N538="BAM"</formula>
    </cfRule>
  </conditionalFormatting>
  <conditionalFormatting sqref="AX541">
    <cfRule type="expression" dxfId="6566" priority="7225">
      <formula>$E541=""</formula>
    </cfRule>
  </conditionalFormatting>
  <conditionalFormatting sqref="AX540">
    <cfRule type="expression" dxfId="6565" priority="7224">
      <formula>$E540=""</formula>
    </cfRule>
  </conditionalFormatting>
  <conditionalFormatting sqref="AX542">
    <cfRule type="expression" dxfId="6564" priority="7223">
      <formula>#REF!=""</formula>
    </cfRule>
  </conditionalFormatting>
  <conditionalFormatting sqref="AX543">
    <cfRule type="expression" dxfId="6563" priority="7222">
      <formula>$E542=""</formula>
    </cfRule>
  </conditionalFormatting>
  <conditionalFormatting sqref="AY540:AZ543">
    <cfRule type="expression" dxfId="6562" priority="7221">
      <formula>$G540=""</formula>
    </cfRule>
  </conditionalFormatting>
  <conditionalFormatting sqref="G542">
    <cfRule type="expression" dxfId="6561" priority="7218" stopIfTrue="1">
      <formula>$G540=""</formula>
    </cfRule>
    <cfRule type="containsBlanks" dxfId="6560" priority="7219" stopIfTrue="1">
      <formula>LEN(TRIM(G542))=0</formula>
    </cfRule>
    <cfRule type="expression" dxfId="6559" priority="7220">
      <formula>OR($M542=0,$HH541=FALSE)</formula>
    </cfRule>
  </conditionalFormatting>
  <conditionalFormatting sqref="AO542">
    <cfRule type="expression" dxfId="6558" priority="7217" stopIfTrue="1">
      <formula>$G540=""</formula>
    </cfRule>
  </conditionalFormatting>
  <conditionalFormatting sqref="AU540:AU543">
    <cfRule type="expression" dxfId="6557" priority="7214" stopIfTrue="1">
      <formula>$C$43=2</formula>
    </cfRule>
    <cfRule type="cellIs" dxfId="6556" priority="7215" operator="equal">
      <formula>"Yes"</formula>
    </cfRule>
    <cfRule type="cellIs" dxfId="6555" priority="7216" operator="equal">
      <formula>"No"</formula>
    </cfRule>
  </conditionalFormatting>
  <conditionalFormatting sqref="AO540:AO541">
    <cfRule type="expression" dxfId="6554" priority="7213">
      <formula>$G540=""</formula>
    </cfRule>
  </conditionalFormatting>
  <conditionalFormatting sqref="AP540 AR540:AS543">
    <cfRule type="expression" dxfId="6553" priority="7212">
      <formula>$G540=""</formula>
    </cfRule>
  </conditionalFormatting>
  <conditionalFormatting sqref="AW540:AW543">
    <cfRule type="expression" dxfId="6552" priority="7211">
      <formula>$G540=""</formula>
    </cfRule>
  </conditionalFormatting>
  <conditionalFormatting sqref="G541:L541">
    <cfRule type="expression" dxfId="6551" priority="7209" stopIfTrue="1">
      <formula>$G540=""</formula>
    </cfRule>
    <cfRule type="containsBlanks" dxfId="6550" priority="7210">
      <formula>LEN(TRIM(G541))=0</formula>
    </cfRule>
  </conditionalFormatting>
  <conditionalFormatting sqref="R542">
    <cfRule type="expression" dxfId="6549" priority="7206">
      <formula>$N543="BAM"</formula>
    </cfRule>
    <cfRule type="expression" dxfId="6548" priority="7207" stopIfTrue="1">
      <formula>$G540=""</formula>
    </cfRule>
    <cfRule type="containsBlanks" dxfId="6547" priority="7208">
      <formula>LEN(TRIM(R542))=0</formula>
    </cfRule>
  </conditionalFormatting>
  <conditionalFormatting sqref="R542">
    <cfRule type="expression" dxfId="6546" priority="7205">
      <formula>$C$43=0</formula>
    </cfRule>
  </conditionalFormatting>
  <conditionalFormatting sqref="E543:F543">
    <cfRule type="expression" dxfId="6545" priority="7204">
      <formula>$CQ540="Exterior"</formula>
    </cfRule>
  </conditionalFormatting>
  <conditionalFormatting sqref="R541">
    <cfRule type="expression" dxfId="6544" priority="7201" stopIfTrue="1">
      <formula>$N543="BAM"</formula>
    </cfRule>
  </conditionalFormatting>
  <conditionalFormatting sqref="R541">
    <cfRule type="containsBlanks" dxfId="6543" priority="7202">
      <formula>LEN(TRIM(R541))=0</formula>
    </cfRule>
  </conditionalFormatting>
  <conditionalFormatting sqref="R541">
    <cfRule type="expression" dxfId="6542" priority="7200" stopIfTrue="1">
      <formula>$G540=""</formula>
    </cfRule>
    <cfRule type="expression" dxfId="6541" priority="7203">
      <formula>$HY541=FALSE</formula>
    </cfRule>
  </conditionalFormatting>
  <conditionalFormatting sqref="G543">
    <cfRule type="expression" dxfId="6540" priority="7194" stopIfTrue="1">
      <formula>$G540=""</formula>
    </cfRule>
  </conditionalFormatting>
  <conditionalFormatting sqref="G543">
    <cfRule type="expression" dxfId="6539" priority="7196" stopIfTrue="1">
      <formula>$CQ540="Exterior"</formula>
    </cfRule>
  </conditionalFormatting>
  <conditionalFormatting sqref="G543:L543">
    <cfRule type="expression" dxfId="6538" priority="7195" stopIfTrue="1">
      <formula>$N543="BAM"</formula>
    </cfRule>
    <cfRule type="containsBlanks" dxfId="6537" priority="7197" stopIfTrue="1">
      <formula>LEN(TRIM(G543))=0</formula>
    </cfRule>
    <cfRule type="expression" dxfId="6536" priority="7199">
      <formula>$HQ541=FALSE</formula>
    </cfRule>
  </conditionalFormatting>
  <conditionalFormatting sqref="G543:L543">
    <cfRule type="expression" dxfId="6535" priority="7198" stopIfTrue="1">
      <formula>$AG542=""</formula>
    </cfRule>
  </conditionalFormatting>
  <conditionalFormatting sqref="G542:L542">
    <cfRule type="expression" dxfId="6534" priority="7192" stopIfTrue="1">
      <formula>$N543="BAM"</formula>
    </cfRule>
  </conditionalFormatting>
  <conditionalFormatting sqref="G540:R540">
    <cfRule type="containsBlanks" dxfId="6533" priority="7191">
      <formula>LEN(TRIM(G540))=0</formula>
    </cfRule>
  </conditionalFormatting>
  <conditionalFormatting sqref="AF542">
    <cfRule type="expression" dxfId="6532" priority="7181" stopIfTrue="1">
      <formula>$G540=""</formula>
    </cfRule>
    <cfRule type="expression" dxfId="6531" priority="7182" stopIfTrue="1">
      <formula>$N543="BAM"</formula>
    </cfRule>
    <cfRule type="expression" dxfId="6530" priority="7190">
      <formula>$AF$49&gt;$T$49</formula>
    </cfRule>
  </conditionalFormatting>
  <conditionalFormatting sqref="AC543:AE543">
    <cfRule type="expression" dxfId="6529" priority="7187" stopIfTrue="1">
      <formula>$G540=""</formula>
    </cfRule>
  </conditionalFormatting>
  <conditionalFormatting sqref="T542:U542">
    <cfRule type="expression" dxfId="6528" priority="7154" stopIfTrue="1">
      <formula>$G540=""</formula>
    </cfRule>
  </conditionalFormatting>
  <conditionalFormatting sqref="T542:U542">
    <cfRule type="containsBlanks" dxfId="6527" priority="7184" stopIfTrue="1">
      <formula>LEN(TRIM(T542))=0</formula>
    </cfRule>
  </conditionalFormatting>
  <conditionalFormatting sqref="AC540:AE540">
    <cfRule type="expression" dxfId="6526" priority="7183">
      <formula>$G540=""</formula>
    </cfRule>
  </conditionalFormatting>
  <conditionalFormatting sqref="AF542 AG543">
    <cfRule type="containsBlanks" dxfId="6525" priority="7188" stopIfTrue="1">
      <formula>LEN(TRIM(AF542))=0</formula>
    </cfRule>
  </conditionalFormatting>
  <conditionalFormatting sqref="AF542">
    <cfRule type="expression" dxfId="6524" priority="7189">
      <formula>OR($HS541=FALSE,$HT541=FALSE)</formula>
    </cfRule>
  </conditionalFormatting>
  <conditionalFormatting sqref="AG543">
    <cfRule type="expression" dxfId="6523" priority="7147">
      <formula>$C$43&gt;0</formula>
    </cfRule>
  </conditionalFormatting>
  <conditionalFormatting sqref="AG543">
    <cfRule type="expression" dxfId="6522" priority="7180" stopIfTrue="1">
      <formula>$G540=""</formula>
    </cfRule>
  </conditionalFormatting>
  <conditionalFormatting sqref="U542">
    <cfRule type="expression" dxfId="6521" priority="7185">
      <formula>OR($HK541=FALSE,$HL541=FALSE)</formula>
    </cfRule>
  </conditionalFormatting>
  <conditionalFormatting sqref="T541:U541">
    <cfRule type="expression" dxfId="6520" priority="7175" stopIfTrue="1">
      <formula>$C$43&lt;&gt;0</formula>
    </cfRule>
    <cfRule type="containsBlanks" dxfId="6519" priority="7176" stopIfTrue="1">
      <formula>LEN(TRIM(T541))=0</formula>
    </cfRule>
  </conditionalFormatting>
  <conditionalFormatting sqref="T541:U541">
    <cfRule type="expression" dxfId="6518" priority="7174" stopIfTrue="1">
      <formula>$G540=""</formula>
    </cfRule>
  </conditionalFormatting>
  <conditionalFormatting sqref="U541">
    <cfRule type="expression" dxfId="6517" priority="7177">
      <formula>$HJ541=FALSE</formula>
    </cfRule>
  </conditionalFormatting>
  <conditionalFormatting sqref="AG542">
    <cfRule type="expression" dxfId="6516" priority="7165" stopIfTrue="1">
      <formula>$G540=""</formula>
    </cfRule>
  </conditionalFormatting>
  <conditionalFormatting sqref="AG542:AL542">
    <cfRule type="expression" dxfId="6515" priority="7166">
      <formula>$N543="BAM"</formula>
    </cfRule>
    <cfRule type="expression" dxfId="6514" priority="7170">
      <formula>OR($HU541=FALSE,$HQ541=FALSE)</formula>
    </cfRule>
  </conditionalFormatting>
  <conditionalFormatting sqref="AG542">
    <cfRule type="containsBlanks" dxfId="6513" priority="7167" stopIfTrue="1">
      <formula>LEN(TRIM(AG542))=0</formula>
    </cfRule>
    <cfRule type="expression" dxfId="6512" priority="7168">
      <formula>OR($HP541=FALSE,$HR541=FALSE)</formula>
    </cfRule>
    <cfRule type="expression" dxfId="6511" priority="7169">
      <formula>OR($DS540=7,$DS540=8,$DS540=9)</formula>
    </cfRule>
  </conditionalFormatting>
  <conditionalFormatting sqref="AG540:AL540">
    <cfRule type="expression" dxfId="6510" priority="7164">
      <formula>$C$43&lt;&gt;0</formula>
    </cfRule>
  </conditionalFormatting>
  <conditionalFormatting sqref="AF541">
    <cfRule type="containsBlanks" dxfId="6509" priority="7163">
      <formula>LEN(TRIM(AF541))=0</formula>
    </cfRule>
  </conditionalFormatting>
  <conditionalFormatting sqref="AF541">
    <cfRule type="expression" dxfId="6508" priority="7162" stopIfTrue="1">
      <formula>$G540=""</formula>
    </cfRule>
  </conditionalFormatting>
  <conditionalFormatting sqref="AG541">
    <cfRule type="containsBlanks" dxfId="6507" priority="7160">
      <formula>LEN(TRIM(AG541))=0</formula>
    </cfRule>
    <cfRule type="expression" dxfId="6506" priority="7161">
      <formula>$HO541=FALSE</formula>
    </cfRule>
  </conditionalFormatting>
  <conditionalFormatting sqref="AG541">
    <cfRule type="expression" dxfId="6505" priority="7159" stopIfTrue="1">
      <formula>$G540=""</formula>
    </cfRule>
  </conditionalFormatting>
  <conditionalFormatting sqref="AF541:AK541">
    <cfRule type="expression" dxfId="6504" priority="7158">
      <formula>$C$43&gt;0</formula>
    </cfRule>
  </conditionalFormatting>
  <conditionalFormatting sqref="AM540:AN541">
    <cfRule type="expression" dxfId="6503" priority="7157">
      <formula>$G540=""</formula>
    </cfRule>
  </conditionalFormatting>
  <conditionalFormatting sqref="AM542:AN542">
    <cfRule type="expression" dxfId="6502" priority="7156" stopIfTrue="1">
      <formula>$G540=""</formula>
    </cfRule>
  </conditionalFormatting>
  <conditionalFormatting sqref="T542">
    <cfRule type="expression" dxfId="6501" priority="7178" stopIfTrue="1">
      <formula>$N543="BAM"</formula>
    </cfRule>
  </conditionalFormatting>
  <conditionalFormatting sqref="U542:AE542">
    <cfRule type="expression" dxfId="6500" priority="7155" stopIfTrue="1">
      <formula>$N543="BAM"</formula>
    </cfRule>
  </conditionalFormatting>
  <conditionalFormatting sqref="AG543:AL543">
    <cfRule type="expression" dxfId="6499" priority="7179" stopIfTrue="1">
      <formula>$N543="BAM"</formula>
    </cfRule>
  </conditionalFormatting>
  <conditionalFormatting sqref="AX546">
    <cfRule type="expression" dxfId="6498" priority="7145">
      <formula>$E546=""</formula>
    </cfRule>
  </conditionalFormatting>
  <conditionalFormatting sqref="AX545">
    <cfRule type="expression" dxfId="6497" priority="7144">
      <formula>$E545=""</formula>
    </cfRule>
  </conditionalFormatting>
  <conditionalFormatting sqref="AX547">
    <cfRule type="expression" dxfId="6496" priority="7143">
      <formula>#REF!=""</formula>
    </cfRule>
  </conditionalFormatting>
  <conditionalFormatting sqref="AX548">
    <cfRule type="expression" dxfId="6495" priority="7142">
      <formula>$E547=""</formula>
    </cfRule>
  </conditionalFormatting>
  <conditionalFormatting sqref="AY545:AZ548">
    <cfRule type="expression" dxfId="6494" priority="7141">
      <formula>$G545=""</formula>
    </cfRule>
  </conditionalFormatting>
  <conditionalFormatting sqref="G547">
    <cfRule type="expression" dxfId="6493" priority="7138" stopIfTrue="1">
      <formula>$G545=""</formula>
    </cfRule>
    <cfRule type="containsBlanks" dxfId="6492" priority="7139" stopIfTrue="1">
      <formula>LEN(TRIM(G547))=0</formula>
    </cfRule>
    <cfRule type="expression" dxfId="6491" priority="7140">
      <formula>OR($M547=0,$HH546=FALSE)</formula>
    </cfRule>
  </conditionalFormatting>
  <conditionalFormatting sqref="AO547">
    <cfRule type="expression" dxfId="6490" priority="7137" stopIfTrue="1">
      <formula>$G545=""</formula>
    </cfRule>
  </conditionalFormatting>
  <conditionalFormatting sqref="AU545:AU548">
    <cfRule type="expression" dxfId="6489" priority="7134" stopIfTrue="1">
      <formula>$C$43=2</formula>
    </cfRule>
    <cfRule type="cellIs" dxfId="6488" priority="7135" operator="equal">
      <formula>"Yes"</formula>
    </cfRule>
    <cfRule type="cellIs" dxfId="6487" priority="7136" operator="equal">
      <formula>"No"</formula>
    </cfRule>
  </conditionalFormatting>
  <conditionalFormatting sqref="AO545:AO546">
    <cfRule type="expression" dxfId="6486" priority="7133">
      <formula>$G545=""</formula>
    </cfRule>
  </conditionalFormatting>
  <conditionalFormatting sqref="AP545 AR545:AS548">
    <cfRule type="expression" dxfId="6485" priority="7132">
      <formula>$G545=""</formula>
    </cfRule>
  </conditionalFormatting>
  <conditionalFormatting sqref="AW545:AW548">
    <cfRule type="expression" dxfId="6484" priority="7131">
      <formula>$G545=""</formula>
    </cfRule>
  </conditionalFormatting>
  <conditionalFormatting sqref="G546:L546">
    <cfRule type="expression" dxfId="6483" priority="7129" stopIfTrue="1">
      <formula>$G545=""</formula>
    </cfRule>
    <cfRule type="containsBlanks" dxfId="6482" priority="7130">
      <formula>LEN(TRIM(G546))=0</formula>
    </cfRule>
  </conditionalFormatting>
  <conditionalFormatting sqref="R547">
    <cfRule type="expression" dxfId="6481" priority="7126">
      <formula>$N548="BAM"</formula>
    </cfRule>
    <cfRule type="expression" dxfId="6480" priority="7127" stopIfTrue="1">
      <formula>$G545=""</formula>
    </cfRule>
    <cfRule type="containsBlanks" dxfId="6479" priority="7128">
      <formula>LEN(TRIM(R547))=0</formula>
    </cfRule>
  </conditionalFormatting>
  <conditionalFormatting sqref="R547">
    <cfRule type="expression" dxfId="6478" priority="7125">
      <formula>$C$43=0</formula>
    </cfRule>
  </conditionalFormatting>
  <conditionalFormatting sqref="E548:F548">
    <cfRule type="expression" dxfId="6477" priority="7124">
      <formula>$CQ545="Exterior"</formula>
    </cfRule>
  </conditionalFormatting>
  <conditionalFormatting sqref="R546">
    <cfRule type="expression" dxfId="6476" priority="7121" stopIfTrue="1">
      <formula>$N548="BAM"</formula>
    </cfRule>
  </conditionalFormatting>
  <conditionalFormatting sqref="R546">
    <cfRule type="containsBlanks" dxfId="6475" priority="7122">
      <formula>LEN(TRIM(R546))=0</formula>
    </cfRule>
  </conditionalFormatting>
  <conditionalFormatting sqref="R546">
    <cfRule type="expression" dxfId="6474" priority="7120" stopIfTrue="1">
      <formula>$G545=""</formula>
    </cfRule>
    <cfRule type="expression" dxfId="6473" priority="7123">
      <formula>$HY546=FALSE</formula>
    </cfRule>
  </conditionalFormatting>
  <conditionalFormatting sqref="G548">
    <cfRule type="expression" dxfId="6472" priority="7114" stopIfTrue="1">
      <formula>$G545=""</formula>
    </cfRule>
  </conditionalFormatting>
  <conditionalFormatting sqref="G548">
    <cfRule type="expression" dxfId="6471" priority="7116" stopIfTrue="1">
      <formula>$CQ545="Exterior"</formula>
    </cfRule>
  </conditionalFormatting>
  <conditionalFormatting sqref="G548:L548">
    <cfRule type="expression" dxfId="6470" priority="7115" stopIfTrue="1">
      <formula>$N548="BAM"</formula>
    </cfRule>
    <cfRule type="containsBlanks" dxfId="6469" priority="7117" stopIfTrue="1">
      <formula>LEN(TRIM(G548))=0</formula>
    </cfRule>
    <cfRule type="expression" dxfId="6468" priority="7119">
      <formula>$HQ546=FALSE</formula>
    </cfRule>
  </conditionalFormatting>
  <conditionalFormatting sqref="G548:L548">
    <cfRule type="expression" dxfId="6467" priority="7118" stopIfTrue="1">
      <formula>$AG547=""</formula>
    </cfRule>
  </conditionalFormatting>
  <conditionalFormatting sqref="G547:L547">
    <cfRule type="expression" dxfId="6466" priority="7112" stopIfTrue="1">
      <formula>$N548="BAM"</formula>
    </cfRule>
  </conditionalFormatting>
  <conditionalFormatting sqref="G545:R545">
    <cfRule type="containsBlanks" dxfId="6465" priority="7111">
      <formula>LEN(TRIM(G545))=0</formula>
    </cfRule>
  </conditionalFormatting>
  <conditionalFormatting sqref="AF547">
    <cfRule type="expression" dxfId="6464" priority="7101" stopIfTrue="1">
      <formula>$G545=""</formula>
    </cfRule>
    <cfRule type="expression" dxfId="6463" priority="7102" stopIfTrue="1">
      <formula>$N548="BAM"</formula>
    </cfRule>
    <cfRule type="expression" dxfId="6462" priority="7110">
      <formula>$AF$49&gt;$T$49</formula>
    </cfRule>
  </conditionalFormatting>
  <conditionalFormatting sqref="AC548:AE548">
    <cfRule type="expression" dxfId="6461" priority="7107" stopIfTrue="1">
      <formula>$G545=""</formula>
    </cfRule>
  </conditionalFormatting>
  <conditionalFormatting sqref="T547:U547">
    <cfRule type="expression" dxfId="6460" priority="7074" stopIfTrue="1">
      <formula>$G545=""</formula>
    </cfRule>
  </conditionalFormatting>
  <conditionalFormatting sqref="T547:U547">
    <cfRule type="containsBlanks" dxfId="6459" priority="7104" stopIfTrue="1">
      <formula>LEN(TRIM(T547))=0</formula>
    </cfRule>
  </conditionalFormatting>
  <conditionalFormatting sqref="AC545:AE545">
    <cfRule type="expression" dxfId="6458" priority="7103">
      <formula>$G545=""</formula>
    </cfRule>
  </conditionalFormatting>
  <conditionalFormatting sqref="AF547 AG548">
    <cfRule type="containsBlanks" dxfId="6457" priority="7108" stopIfTrue="1">
      <formula>LEN(TRIM(AF547))=0</formula>
    </cfRule>
  </conditionalFormatting>
  <conditionalFormatting sqref="AF547">
    <cfRule type="expression" dxfId="6456" priority="7109">
      <formula>OR($HS546=FALSE,$HT546=FALSE)</formula>
    </cfRule>
  </conditionalFormatting>
  <conditionalFormatting sqref="AG548">
    <cfRule type="expression" dxfId="6455" priority="7067">
      <formula>$C$43&gt;0</formula>
    </cfRule>
  </conditionalFormatting>
  <conditionalFormatting sqref="AG548">
    <cfRule type="expression" dxfId="6454" priority="7100" stopIfTrue="1">
      <formula>$G545=""</formula>
    </cfRule>
  </conditionalFormatting>
  <conditionalFormatting sqref="U547">
    <cfRule type="expression" dxfId="6453" priority="7105">
      <formula>OR($HK546=FALSE,$HL546=FALSE)</formula>
    </cfRule>
  </conditionalFormatting>
  <conditionalFormatting sqref="T546:U546">
    <cfRule type="expression" dxfId="6452" priority="7095" stopIfTrue="1">
      <formula>$C$43&lt;&gt;0</formula>
    </cfRule>
    <cfRule type="containsBlanks" dxfId="6451" priority="7096" stopIfTrue="1">
      <formula>LEN(TRIM(T546))=0</formula>
    </cfRule>
  </conditionalFormatting>
  <conditionalFormatting sqref="T546:U546">
    <cfRule type="expression" dxfId="6450" priority="7094" stopIfTrue="1">
      <formula>$G545=""</formula>
    </cfRule>
  </conditionalFormatting>
  <conditionalFormatting sqref="U546">
    <cfRule type="expression" dxfId="6449" priority="7097">
      <formula>$HJ546=FALSE</formula>
    </cfRule>
  </conditionalFormatting>
  <conditionalFormatting sqref="AG547">
    <cfRule type="expression" dxfId="6448" priority="7085" stopIfTrue="1">
      <formula>$G545=""</formula>
    </cfRule>
  </conditionalFormatting>
  <conditionalFormatting sqref="AG547:AL547">
    <cfRule type="expression" dxfId="6447" priority="7086">
      <formula>$N548="BAM"</formula>
    </cfRule>
    <cfRule type="expression" dxfId="6446" priority="7090">
      <formula>OR($HU546=FALSE,$HQ546=FALSE)</formula>
    </cfRule>
  </conditionalFormatting>
  <conditionalFormatting sqref="AG547">
    <cfRule type="containsBlanks" dxfId="6445" priority="7087" stopIfTrue="1">
      <formula>LEN(TRIM(AG547))=0</formula>
    </cfRule>
    <cfRule type="expression" dxfId="6444" priority="7088">
      <formula>OR($HP546=FALSE,$HR546=FALSE)</formula>
    </cfRule>
    <cfRule type="expression" dxfId="6443" priority="7089">
      <formula>OR($DS545=7,$DS545=8,$DS545=9)</formula>
    </cfRule>
  </conditionalFormatting>
  <conditionalFormatting sqref="AG545:AL545">
    <cfRule type="expression" dxfId="6442" priority="7084">
      <formula>$C$43&lt;&gt;0</formula>
    </cfRule>
  </conditionalFormatting>
  <conditionalFormatting sqref="AF546">
    <cfRule type="containsBlanks" dxfId="6441" priority="7083">
      <formula>LEN(TRIM(AF546))=0</formula>
    </cfRule>
  </conditionalFormatting>
  <conditionalFormatting sqref="AF546">
    <cfRule type="expression" dxfId="6440" priority="7082" stopIfTrue="1">
      <formula>$G545=""</formula>
    </cfRule>
  </conditionalFormatting>
  <conditionalFormatting sqref="AG546">
    <cfRule type="containsBlanks" dxfId="6439" priority="7080">
      <formula>LEN(TRIM(AG546))=0</formula>
    </cfRule>
    <cfRule type="expression" dxfId="6438" priority="7081">
      <formula>$HO546=FALSE</formula>
    </cfRule>
  </conditionalFormatting>
  <conditionalFormatting sqref="AG546">
    <cfRule type="expression" dxfId="6437" priority="7079" stopIfTrue="1">
      <formula>$G545=""</formula>
    </cfRule>
  </conditionalFormatting>
  <conditionalFormatting sqref="AF546:AK546">
    <cfRule type="expression" dxfId="6436" priority="7078">
      <formula>$C$43&gt;0</formula>
    </cfRule>
  </conditionalFormatting>
  <conditionalFormatting sqref="AM545:AN546">
    <cfRule type="expression" dxfId="6435" priority="7077">
      <formula>$G545=""</formula>
    </cfRule>
  </conditionalFormatting>
  <conditionalFormatting sqref="AM547:AN547">
    <cfRule type="expression" dxfId="6434" priority="7076" stopIfTrue="1">
      <formula>$G545=""</formula>
    </cfRule>
  </conditionalFormatting>
  <conditionalFormatting sqref="T547">
    <cfRule type="expression" dxfId="6433" priority="7098" stopIfTrue="1">
      <formula>$N548="BAM"</formula>
    </cfRule>
  </conditionalFormatting>
  <conditionalFormatting sqref="U547:AE547">
    <cfRule type="expression" dxfId="6432" priority="7075" stopIfTrue="1">
      <formula>$N548="BAM"</formula>
    </cfRule>
  </conditionalFormatting>
  <conditionalFormatting sqref="AG548:AL548">
    <cfRule type="expression" dxfId="6431" priority="7099" stopIfTrue="1">
      <formula>$N548="BAM"</formula>
    </cfRule>
  </conditionalFormatting>
  <conditionalFormatting sqref="AX551">
    <cfRule type="expression" dxfId="6430" priority="7065">
      <formula>$E551=""</formula>
    </cfRule>
  </conditionalFormatting>
  <conditionalFormatting sqref="AX550">
    <cfRule type="expression" dxfId="6429" priority="7064">
      <formula>$E550=""</formula>
    </cfRule>
  </conditionalFormatting>
  <conditionalFormatting sqref="AX552">
    <cfRule type="expression" dxfId="6428" priority="7063">
      <formula>#REF!=""</formula>
    </cfRule>
  </conditionalFormatting>
  <conditionalFormatting sqref="AX553">
    <cfRule type="expression" dxfId="6427" priority="7062">
      <formula>$E552=""</formula>
    </cfRule>
  </conditionalFormatting>
  <conditionalFormatting sqref="AY550:AZ553">
    <cfRule type="expression" dxfId="6426" priority="7061">
      <formula>$G550=""</formula>
    </cfRule>
  </conditionalFormatting>
  <conditionalFormatting sqref="G552">
    <cfRule type="expression" dxfId="6425" priority="7058" stopIfTrue="1">
      <formula>$G550=""</formula>
    </cfRule>
    <cfRule type="containsBlanks" dxfId="6424" priority="7059" stopIfTrue="1">
      <formula>LEN(TRIM(G552))=0</formula>
    </cfRule>
    <cfRule type="expression" dxfId="6423" priority="7060">
      <formula>OR($M552=0,$HH551=FALSE)</formula>
    </cfRule>
  </conditionalFormatting>
  <conditionalFormatting sqref="AO552">
    <cfRule type="expression" dxfId="6422" priority="7057" stopIfTrue="1">
      <formula>$G550=""</formula>
    </cfRule>
  </conditionalFormatting>
  <conditionalFormatting sqref="AU550:AU553">
    <cfRule type="expression" dxfId="6421" priority="7054" stopIfTrue="1">
      <formula>$C$43=2</formula>
    </cfRule>
    <cfRule type="cellIs" dxfId="6420" priority="7055" operator="equal">
      <formula>"Yes"</formula>
    </cfRule>
    <cfRule type="cellIs" dxfId="6419" priority="7056" operator="equal">
      <formula>"No"</formula>
    </cfRule>
  </conditionalFormatting>
  <conditionalFormatting sqref="AO550:AO551">
    <cfRule type="expression" dxfId="6418" priority="7053">
      <formula>$G550=""</formula>
    </cfRule>
  </conditionalFormatting>
  <conditionalFormatting sqref="AP550 AR550:AS553">
    <cfRule type="expression" dxfId="6417" priority="7052">
      <formula>$G550=""</formula>
    </cfRule>
  </conditionalFormatting>
  <conditionalFormatting sqref="AW550:AW553">
    <cfRule type="expression" dxfId="6416" priority="7051">
      <formula>$G550=""</formula>
    </cfRule>
  </conditionalFormatting>
  <conditionalFormatting sqref="G551:L551">
    <cfRule type="expression" dxfId="6415" priority="7049" stopIfTrue="1">
      <formula>$G550=""</formula>
    </cfRule>
    <cfRule type="containsBlanks" dxfId="6414" priority="7050">
      <formula>LEN(TRIM(G551))=0</formula>
    </cfRule>
  </conditionalFormatting>
  <conditionalFormatting sqref="R552">
    <cfRule type="expression" dxfId="6413" priority="7046">
      <formula>$N553="BAM"</formula>
    </cfRule>
    <cfRule type="expression" dxfId="6412" priority="7047" stopIfTrue="1">
      <formula>$G550=""</formula>
    </cfRule>
    <cfRule type="containsBlanks" dxfId="6411" priority="7048">
      <formula>LEN(TRIM(R552))=0</formula>
    </cfRule>
  </conditionalFormatting>
  <conditionalFormatting sqref="R552">
    <cfRule type="expression" dxfId="6410" priority="7045">
      <formula>$C$43=0</formula>
    </cfRule>
  </conditionalFormatting>
  <conditionalFormatting sqref="E553:F553">
    <cfRule type="expression" dxfId="6409" priority="7044">
      <formula>$CQ550="Exterior"</formula>
    </cfRule>
  </conditionalFormatting>
  <conditionalFormatting sqref="R551">
    <cfRule type="expression" dxfId="6408" priority="7041" stopIfTrue="1">
      <formula>$N553="BAM"</formula>
    </cfRule>
  </conditionalFormatting>
  <conditionalFormatting sqref="R551">
    <cfRule type="containsBlanks" dxfId="6407" priority="7042">
      <formula>LEN(TRIM(R551))=0</formula>
    </cfRule>
  </conditionalFormatting>
  <conditionalFormatting sqref="R551">
    <cfRule type="expression" dxfId="6406" priority="7040" stopIfTrue="1">
      <formula>$G550=""</formula>
    </cfRule>
    <cfRule type="expression" dxfId="6405" priority="7043">
      <formula>$HY551=FALSE</formula>
    </cfRule>
  </conditionalFormatting>
  <conditionalFormatting sqref="G553">
    <cfRule type="expression" dxfId="6404" priority="7034" stopIfTrue="1">
      <formula>$G550=""</formula>
    </cfRule>
  </conditionalFormatting>
  <conditionalFormatting sqref="G553">
    <cfRule type="expression" dxfId="6403" priority="7036" stopIfTrue="1">
      <formula>$CQ550="Exterior"</formula>
    </cfRule>
  </conditionalFormatting>
  <conditionalFormatting sqref="G553:L553">
    <cfRule type="expression" dxfId="6402" priority="7035" stopIfTrue="1">
      <formula>$N553="BAM"</formula>
    </cfRule>
    <cfRule type="containsBlanks" dxfId="6401" priority="7037" stopIfTrue="1">
      <formula>LEN(TRIM(G553))=0</formula>
    </cfRule>
    <cfRule type="expression" dxfId="6400" priority="7039">
      <formula>$HQ551=FALSE</formula>
    </cfRule>
  </conditionalFormatting>
  <conditionalFormatting sqref="G553:L553">
    <cfRule type="expression" dxfId="6399" priority="7038" stopIfTrue="1">
      <formula>$AG552=""</formula>
    </cfRule>
  </conditionalFormatting>
  <conditionalFormatting sqref="G552:L552">
    <cfRule type="expression" dxfId="6398" priority="7032" stopIfTrue="1">
      <formula>$N553="BAM"</formula>
    </cfRule>
  </conditionalFormatting>
  <conditionalFormatting sqref="G550:R550">
    <cfRule type="containsBlanks" dxfId="6397" priority="7031">
      <formula>LEN(TRIM(G550))=0</formula>
    </cfRule>
  </conditionalFormatting>
  <conditionalFormatting sqref="AF552">
    <cfRule type="expression" dxfId="6396" priority="7021" stopIfTrue="1">
      <formula>$G550=""</formula>
    </cfRule>
    <cfRule type="expression" dxfId="6395" priority="7022" stopIfTrue="1">
      <formula>$N553="BAM"</formula>
    </cfRule>
    <cfRule type="expression" dxfId="6394" priority="7030">
      <formula>$AF$49&gt;$T$49</formula>
    </cfRule>
  </conditionalFormatting>
  <conditionalFormatting sqref="AC553:AE553">
    <cfRule type="expression" dxfId="6393" priority="7027" stopIfTrue="1">
      <formula>$G550=""</formula>
    </cfRule>
  </conditionalFormatting>
  <conditionalFormatting sqref="T552:U552">
    <cfRule type="expression" dxfId="6392" priority="6994" stopIfTrue="1">
      <formula>$G550=""</formula>
    </cfRule>
  </conditionalFormatting>
  <conditionalFormatting sqref="T552:U552">
    <cfRule type="containsBlanks" dxfId="6391" priority="7024" stopIfTrue="1">
      <formula>LEN(TRIM(T552))=0</formula>
    </cfRule>
  </conditionalFormatting>
  <conditionalFormatting sqref="AC550:AE550">
    <cfRule type="expression" dxfId="6390" priority="7023">
      <formula>$G550=""</formula>
    </cfRule>
  </conditionalFormatting>
  <conditionalFormatting sqref="AF552 AG553">
    <cfRule type="containsBlanks" dxfId="6389" priority="7028" stopIfTrue="1">
      <formula>LEN(TRIM(AF552))=0</formula>
    </cfRule>
  </conditionalFormatting>
  <conditionalFormatting sqref="AF552">
    <cfRule type="expression" dxfId="6388" priority="7029">
      <formula>OR($HS551=FALSE,$HT551=FALSE)</formula>
    </cfRule>
  </conditionalFormatting>
  <conditionalFormatting sqref="AG553">
    <cfRule type="expression" dxfId="6387" priority="6987">
      <formula>$C$43&gt;0</formula>
    </cfRule>
  </conditionalFormatting>
  <conditionalFormatting sqref="AG553">
    <cfRule type="expression" dxfId="6386" priority="7020" stopIfTrue="1">
      <formula>$G550=""</formula>
    </cfRule>
  </conditionalFormatting>
  <conditionalFormatting sqref="U552">
    <cfRule type="expression" dxfId="6385" priority="7025">
      <formula>OR($HK551=FALSE,$HL551=FALSE)</formula>
    </cfRule>
  </conditionalFormatting>
  <conditionalFormatting sqref="T551:U551">
    <cfRule type="expression" dxfId="6384" priority="7015" stopIfTrue="1">
      <formula>$C$43&lt;&gt;0</formula>
    </cfRule>
    <cfRule type="containsBlanks" dxfId="6383" priority="7016" stopIfTrue="1">
      <formula>LEN(TRIM(T551))=0</formula>
    </cfRule>
  </conditionalFormatting>
  <conditionalFormatting sqref="T551:U551">
    <cfRule type="expression" dxfId="6382" priority="7014" stopIfTrue="1">
      <formula>$G550=""</formula>
    </cfRule>
  </conditionalFormatting>
  <conditionalFormatting sqref="U551">
    <cfRule type="expression" dxfId="6381" priority="7017">
      <formula>$HJ551=FALSE</formula>
    </cfRule>
  </conditionalFormatting>
  <conditionalFormatting sqref="AG552">
    <cfRule type="expression" dxfId="6380" priority="7005" stopIfTrue="1">
      <formula>$G550=""</formula>
    </cfRule>
  </conditionalFormatting>
  <conditionalFormatting sqref="AG552:AL552">
    <cfRule type="expression" dxfId="6379" priority="7006">
      <formula>$N553="BAM"</formula>
    </cfRule>
    <cfRule type="expression" dxfId="6378" priority="7010">
      <formula>OR($HU551=FALSE,$HQ551=FALSE)</formula>
    </cfRule>
  </conditionalFormatting>
  <conditionalFormatting sqref="AG552">
    <cfRule type="containsBlanks" dxfId="6377" priority="7007" stopIfTrue="1">
      <formula>LEN(TRIM(AG552))=0</formula>
    </cfRule>
    <cfRule type="expression" dxfId="6376" priority="7008">
      <formula>OR($HP551=FALSE,$HR551=FALSE)</formula>
    </cfRule>
    <cfRule type="expression" dxfId="6375" priority="7009">
      <formula>OR($DS550=7,$DS550=8,$DS550=9)</formula>
    </cfRule>
  </conditionalFormatting>
  <conditionalFormatting sqref="AG550:AL550">
    <cfRule type="expression" dxfId="6374" priority="7004">
      <formula>$C$43&lt;&gt;0</formula>
    </cfRule>
  </conditionalFormatting>
  <conditionalFormatting sqref="AF551">
    <cfRule type="containsBlanks" dxfId="6373" priority="7003">
      <formula>LEN(TRIM(AF551))=0</formula>
    </cfRule>
  </conditionalFormatting>
  <conditionalFormatting sqref="AF551">
    <cfRule type="expression" dxfId="6372" priority="7002" stopIfTrue="1">
      <formula>$G550=""</formula>
    </cfRule>
  </conditionalFormatting>
  <conditionalFormatting sqref="AG551">
    <cfRule type="containsBlanks" dxfId="6371" priority="7000">
      <formula>LEN(TRIM(AG551))=0</formula>
    </cfRule>
    <cfRule type="expression" dxfId="6370" priority="7001">
      <formula>$HO551=FALSE</formula>
    </cfRule>
  </conditionalFormatting>
  <conditionalFormatting sqref="AG551">
    <cfRule type="expression" dxfId="6369" priority="6999" stopIfTrue="1">
      <formula>$G550=""</formula>
    </cfRule>
  </conditionalFormatting>
  <conditionalFormatting sqref="AF551:AK551">
    <cfRule type="expression" dxfId="6368" priority="6998">
      <formula>$C$43&gt;0</formula>
    </cfRule>
  </conditionalFormatting>
  <conditionalFormatting sqref="AM550:AN551">
    <cfRule type="expression" dxfId="6367" priority="6997">
      <formula>$G550=""</formula>
    </cfRule>
  </conditionalFormatting>
  <conditionalFormatting sqref="AM552:AN552">
    <cfRule type="expression" dxfId="6366" priority="6996" stopIfTrue="1">
      <formula>$G550=""</formula>
    </cfRule>
  </conditionalFormatting>
  <conditionalFormatting sqref="T552">
    <cfRule type="expression" dxfId="6365" priority="7018" stopIfTrue="1">
      <formula>$N553="BAM"</formula>
    </cfRule>
  </conditionalFormatting>
  <conditionalFormatting sqref="U552:AE552">
    <cfRule type="expression" dxfId="6364" priority="6995" stopIfTrue="1">
      <formula>$N553="BAM"</formula>
    </cfRule>
  </conditionalFormatting>
  <conditionalFormatting sqref="AG553:AL553">
    <cfRule type="expression" dxfId="6363" priority="7019" stopIfTrue="1">
      <formula>$N553="BAM"</formula>
    </cfRule>
  </conditionalFormatting>
  <conditionalFormatting sqref="AX556">
    <cfRule type="expression" dxfId="6362" priority="6985">
      <formula>$E556=""</formula>
    </cfRule>
  </conditionalFormatting>
  <conditionalFormatting sqref="AX555">
    <cfRule type="expression" dxfId="6361" priority="6984">
      <formula>$E555=""</formula>
    </cfRule>
  </conditionalFormatting>
  <conditionalFormatting sqref="AX557">
    <cfRule type="expression" dxfId="6360" priority="6983">
      <formula>#REF!=""</formula>
    </cfRule>
  </conditionalFormatting>
  <conditionalFormatting sqref="AX558">
    <cfRule type="expression" dxfId="6359" priority="6982">
      <formula>$E557=""</formula>
    </cfRule>
  </conditionalFormatting>
  <conditionalFormatting sqref="AY555:AZ558">
    <cfRule type="expression" dxfId="6358" priority="6981">
      <formula>$G555=""</formula>
    </cfRule>
  </conditionalFormatting>
  <conditionalFormatting sqref="G557">
    <cfRule type="expression" dxfId="6357" priority="6978" stopIfTrue="1">
      <formula>$G555=""</formula>
    </cfRule>
    <cfRule type="containsBlanks" dxfId="6356" priority="6979" stopIfTrue="1">
      <formula>LEN(TRIM(G557))=0</formula>
    </cfRule>
    <cfRule type="expression" dxfId="6355" priority="6980">
      <formula>OR($M557=0,$HH556=FALSE)</formula>
    </cfRule>
  </conditionalFormatting>
  <conditionalFormatting sqref="AO557">
    <cfRule type="expression" dxfId="6354" priority="6977" stopIfTrue="1">
      <formula>$G555=""</formula>
    </cfRule>
  </conditionalFormatting>
  <conditionalFormatting sqref="AU555:AU558">
    <cfRule type="expression" dxfId="6353" priority="6974" stopIfTrue="1">
      <formula>$C$43=2</formula>
    </cfRule>
    <cfRule type="cellIs" dxfId="6352" priority="6975" operator="equal">
      <formula>"Yes"</formula>
    </cfRule>
    <cfRule type="cellIs" dxfId="6351" priority="6976" operator="equal">
      <formula>"No"</formula>
    </cfRule>
  </conditionalFormatting>
  <conditionalFormatting sqref="AO555:AO556">
    <cfRule type="expression" dxfId="6350" priority="6973">
      <formula>$G555=""</formula>
    </cfRule>
  </conditionalFormatting>
  <conditionalFormatting sqref="AP555 AR555:AS558">
    <cfRule type="expression" dxfId="6349" priority="6972">
      <formula>$G555=""</formula>
    </cfRule>
  </conditionalFormatting>
  <conditionalFormatting sqref="AW555:AW558">
    <cfRule type="expression" dxfId="6348" priority="6971">
      <formula>$G555=""</formula>
    </cfRule>
  </conditionalFormatting>
  <conditionalFormatting sqref="G556:L556">
    <cfRule type="expression" dxfId="6347" priority="6969" stopIfTrue="1">
      <formula>$G555=""</formula>
    </cfRule>
    <cfRule type="containsBlanks" dxfId="6346" priority="6970">
      <formula>LEN(TRIM(G556))=0</formula>
    </cfRule>
  </conditionalFormatting>
  <conditionalFormatting sqref="R557">
    <cfRule type="expression" dxfId="6345" priority="6966">
      <formula>$N558="BAM"</formula>
    </cfRule>
    <cfRule type="expression" dxfId="6344" priority="6967" stopIfTrue="1">
      <formula>$G555=""</formula>
    </cfRule>
    <cfRule type="containsBlanks" dxfId="6343" priority="6968">
      <formula>LEN(TRIM(R557))=0</formula>
    </cfRule>
  </conditionalFormatting>
  <conditionalFormatting sqref="R557">
    <cfRule type="expression" dxfId="6342" priority="6965">
      <formula>$C$43=0</formula>
    </cfRule>
  </conditionalFormatting>
  <conditionalFormatting sqref="E558:F558">
    <cfRule type="expression" dxfId="6341" priority="6964">
      <formula>$CQ555="Exterior"</formula>
    </cfRule>
  </conditionalFormatting>
  <conditionalFormatting sqref="R556">
    <cfRule type="expression" dxfId="6340" priority="6961" stopIfTrue="1">
      <formula>$N558="BAM"</formula>
    </cfRule>
  </conditionalFormatting>
  <conditionalFormatting sqref="R556">
    <cfRule type="containsBlanks" dxfId="6339" priority="6962">
      <formula>LEN(TRIM(R556))=0</formula>
    </cfRule>
  </conditionalFormatting>
  <conditionalFormatting sqref="R556">
    <cfRule type="expression" dxfId="6338" priority="6960" stopIfTrue="1">
      <formula>$G555=""</formula>
    </cfRule>
    <cfRule type="expression" dxfId="6337" priority="6963">
      <formula>$HY556=FALSE</formula>
    </cfRule>
  </conditionalFormatting>
  <conditionalFormatting sqref="G558">
    <cfRule type="expression" dxfId="6336" priority="6954" stopIfTrue="1">
      <formula>$G555=""</formula>
    </cfRule>
  </conditionalFormatting>
  <conditionalFormatting sqref="G558">
    <cfRule type="expression" dxfId="6335" priority="6956" stopIfTrue="1">
      <formula>$CQ555="Exterior"</formula>
    </cfRule>
  </conditionalFormatting>
  <conditionalFormatting sqref="G558:L558">
    <cfRule type="expression" dxfId="6334" priority="6955" stopIfTrue="1">
      <formula>$N558="BAM"</formula>
    </cfRule>
    <cfRule type="containsBlanks" dxfId="6333" priority="6957" stopIfTrue="1">
      <formula>LEN(TRIM(G558))=0</formula>
    </cfRule>
    <cfRule type="expression" dxfId="6332" priority="6959">
      <formula>$HQ556=FALSE</formula>
    </cfRule>
  </conditionalFormatting>
  <conditionalFormatting sqref="G558:L558">
    <cfRule type="expression" dxfId="6331" priority="6958" stopIfTrue="1">
      <formula>$AG557=""</formula>
    </cfRule>
  </conditionalFormatting>
  <conditionalFormatting sqref="G557:L557">
    <cfRule type="expression" dxfId="6330" priority="6952" stopIfTrue="1">
      <formula>$N558="BAM"</formula>
    </cfRule>
  </conditionalFormatting>
  <conditionalFormatting sqref="G555:R555">
    <cfRule type="containsBlanks" dxfId="6329" priority="6951">
      <formula>LEN(TRIM(G555))=0</formula>
    </cfRule>
  </conditionalFormatting>
  <conditionalFormatting sqref="AF557">
    <cfRule type="expression" dxfId="6328" priority="6941" stopIfTrue="1">
      <formula>$G555=""</formula>
    </cfRule>
    <cfRule type="expression" dxfId="6327" priority="6942" stopIfTrue="1">
      <formula>$N558="BAM"</formula>
    </cfRule>
    <cfRule type="expression" dxfId="6326" priority="6950">
      <formula>$AF$49&gt;$T$49</formula>
    </cfRule>
  </conditionalFormatting>
  <conditionalFormatting sqref="AC558:AE558">
    <cfRule type="expression" dxfId="6325" priority="6947" stopIfTrue="1">
      <formula>$G555=""</formula>
    </cfRule>
  </conditionalFormatting>
  <conditionalFormatting sqref="T557:U557">
    <cfRule type="expression" dxfId="6324" priority="6914" stopIfTrue="1">
      <formula>$G555=""</formula>
    </cfRule>
  </conditionalFormatting>
  <conditionalFormatting sqref="T557:U557">
    <cfRule type="containsBlanks" dxfId="6323" priority="6944" stopIfTrue="1">
      <formula>LEN(TRIM(T557))=0</formula>
    </cfRule>
  </conditionalFormatting>
  <conditionalFormatting sqref="AC555:AE555">
    <cfRule type="expression" dxfId="6322" priority="6943">
      <formula>$G555=""</formula>
    </cfRule>
  </conditionalFormatting>
  <conditionalFormatting sqref="AF557 AG558">
    <cfRule type="containsBlanks" dxfId="6321" priority="6948" stopIfTrue="1">
      <formula>LEN(TRIM(AF557))=0</formula>
    </cfRule>
  </conditionalFormatting>
  <conditionalFormatting sqref="AF557">
    <cfRule type="expression" dxfId="6320" priority="6949">
      <formula>OR($HS556=FALSE,$HT556=FALSE)</formula>
    </cfRule>
  </conditionalFormatting>
  <conditionalFormatting sqref="AG558">
    <cfRule type="expression" dxfId="6319" priority="6907">
      <formula>$C$43&gt;0</formula>
    </cfRule>
  </conditionalFormatting>
  <conditionalFormatting sqref="AG558">
    <cfRule type="expression" dxfId="6318" priority="6940" stopIfTrue="1">
      <formula>$G555=""</formula>
    </cfRule>
  </conditionalFormatting>
  <conditionalFormatting sqref="U557">
    <cfRule type="expression" dxfId="6317" priority="6945">
      <formula>OR($HK556=FALSE,$HL556=FALSE)</formula>
    </cfRule>
  </conditionalFormatting>
  <conditionalFormatting sqref="T556:U556">
    <cfRule type="expression" dxfId="6316" priority="6935" stopIfTrue="1">
      <formula>$C$43&lt;&gt;0</formula>
    </cfRule>
    <cfRule type="containsBlanks" dxfId="6315" priority="6936" stopIfTrue="1">
      <formula>LEN(TRIM(T556))=0</formula>
    </cfRule>
  </conditionalFormatting>
  <conditionalFormatting sqref="T556:U556">
    <cfRule type="expression" dxfId="6314" priority="6934" stopIfTrue="1">
      <formula>$G555=""</formula>
    </cfRule>
  </conditionalFormatting>
  <conditionalFormatting sqref="U556">
    <cfRule type="expression" dxfId="6313" priority="6937">
      <formula>$HJ556=FALSE</formula>
    </cfRule>
  </conditionalFormatting>
  <conditionalFormatting sqref="AG557">
    <cfRule type="expression" dxfId="6312" priority="6925" stopIfTrue="1">
      <formula>$G555=""</formula>
    </cfRule>
  </conditionalFormatting>
  <conditionalFormatting sqref="AG557:AL557">
    <cfRule type="expression" dxfId="6311" priority="6926">
      <formula>$N558="BAM"</formula>
    </cfRule>
    <cfRule type="expression" dxfId="6310" priority="6930">
      <formula>OR($HU556=FALSE,$HQ556=FALSE)</formula>
    </cfRule>
  </conditionalFormatting>
  <conditionalFormatting sqref="AG557">
    <cfRule type="containsBlanks" dxfId="6309" priority="6927" stopIfTrue="1">
      <formula>LEN(TRIM(AG557))=0</formula>
    </cfRule>
    <cfRule type="expression" dxfId="6308" priority="6928">
      <formula>OR($HP556=FALSE,$HR556=FALSE)</formula>
    </cfRule>
    <cfRule type="expression" dxfId="6307" priority="6929">
      <formula>OR($DS555=7,$DS555=8,$DS555=9)</formula>
    </cfRule>
  </conditionalFormatting>
  <conditionalFormatting sqref="AG555:AL555">
    <cfRule type="expression" dxfId="6306" priority="6924">
      <formula>$C$43&lt;&gt;0</formula>
    </cfRule>
  </conditionalFormatting>
  <conditionalFormatting sqref="AF556">
    <cfRule type="containsBlanks" dxfId="6305" priority="6923">
      <formula>LEN(TRIM(AF556))=0</formula>
    </cfRule>
  </conditionalFormatting>
  <conditionalFormatting sqref="AF556">
    <cfRule type="expression" dxfId="6304" priority="6922" stopIfTrue="1">
      <formula>$G555=""</formula>
    </cfRule>
  </conditionalFormatting>
  <conditionalFormatting sqref="AG556">
    <cfRule type="containsBlanks" dxfId="6303" priority="6920">
      <formula>LEN(TRIM(AG556))=0</formula>
    </cfRule>
    <cfRule type="expression" dxfId="6302" priority="6921">
      <formula>$HO556=FALSE</formula>
    </cfRule>
  </conditionalFormatting>
  <conditionalFormatting sqref="AG556">
    <cfRule type="expression" dxfId="6301" priority="6919" stopIfTrue="1">
      <formula>$G555=""</formula>
    </cfRule>
  </conditionalFormatting>
  <conditionalFormatting sqref="AF556:AK556">
    <cfRule type="expression" dxfId="6300" priority="6918">
      <formula>$C$43&gt;0</formula>
    </cfRule>
  </conditionalFormatting>
  <conditionalFormatting sqref="AM555:AN556">
    <cfRule type="expression" dxfId="6299" priority="6917">
      <formula>$G555=""</formula>
    </cfRule>
  </conditionalFormatting>
  <conditionalFormatting sqref="AM557:AN557">
    <cfRule type="expression" dxfId="6298" priority="6916" stopIfTrue="1">
      <formula>$G555=""</formula>
    </cfRule>
  </conditionalFormatting>
  <conditionalFormatting sqref="T557">
    <cfRule type="expression" dxfId="6297" priority="6938" stopIfTrue="1">
      <formula>$N558="BAM"</formula>
    </cfRule>
  </conditionalFormatting>
  <conditionalFormatting sqref="U557:AE557">
    <cfRule type="expression" dxfId="6296" priority="6915" stopIfTrue="1">
      <formula>$N558="BAM"</formula>
    </cfRule>
  </conditionalFormatting>
  <conditionalFormatting sqref="AG558:AL558">
    <cfRule type="expression" dxfId="6295" priority="6939" stopIfTrue="1">
      <formula>$N558="BAM"</formula>
    </cfRule>
  </conditionalFormatting>
  <conditionalFormatting sqref="AX564">
    <cfRule type="expression" dxfId="6294" priority="6905">
      <formula>$E564=""</formula>
    </cfRule>
  </conditionalFormatting>
  <conditionalFormatting sqref="AX563">
    <cfRule type="expression" dxfId="6293" priority="6904">
      <formula>$E563=""</formula>
    </cfRule>
  </conditionalFormatting>
  <conditionalFormatting sqref="AX565">
    <cfRule type="expression" dxfId="6292" priority="6903">
      <formula>#REF!=""</formula>
    </cfRule>
  </conditionalFormatting>
  <conditionalFormatting sqref="AX566">
    <cfRule type="expression" dxfId="6291" priority="6902">
      <formula>$E565=""</formula>
    </cfRule>
  </conditionalFormatting>
  <conditionalFormatting sqref="AY563:AZ566">
    <cfRule type="expression" dxfId="6290" priority="6901">
      <formula>$G563=""</formula>
    </cfRule>
  </conditionalFormatting>
  <conditionalFormatting sqref="G565">
    <cfRule type="expression" dxfId="6289" priority="6898" stopIfTrue="1">
      <formula>$G563=""</formula>
    </cfRule>
    <cfRule type="containsBlanks" dxfId="6288" priority="6899" stopIfTrue="1">
      <formula>LEN(TRIM(G565))=0</formula>
    </cfRule>
    <cfRule type="expression" dxfId="6287" priority="6900">
      <formula>OR($M565=0,$HH564=FALSE)</formula>
    </cfRule>
  </conditionalFormatting>
  <conditionalFormatting sqref="AO565">
    <cfRule type="expression" dxfId="6286" priority="6897" stopIfTrue="1">
      <formula>$G563=""</formula>
    </cfRule>
  </conditionalFormatting>
  <conditionalFormatting sqref="AU563:AU566">
    <cfRule type="expression" dxfId="6285" priority="6894" stopIfTrue="1">
      <formula>$C$43=2</formula>
    </cfRule>
    <cfRule type="cellIs" dxfId="6284" priority="6895" operator="equal">
      <formula>"Yes"</formula>
    </cfRule>
    <cfRule type="cellIs" dxfId="6283" priority="6896" operator="equal">
      <formula>"No"</formula>
    </cfRule>
  </conditionalFormatting>
  <conditionalFormatting sqref="AO563:AO564">
    <cfRule type="expression" dxfId="6282" priority="6893">
      <formula>$G563=""</formula>
    </cfRule>
  </conditionalFormatting>
  <conditionalFormatting sqref="AP563 AR563:AS566">
    <cfRule type="expression" dxfId="6281" priority="6892">
      <formula>$G563=""</formula>
    </cfRule>
  </conditionalFormatting>
  <conditionalFormatting sqref="AW563:AW566">
    <cfRule type="expression" dxfId="6280" priority="6891">
      <formula>$G563=""</formula>
    </cfRule>
  </conditionalFormatting>
  <conditionalFormatting sqref="G564:L564">
    <cfRule type="expression" dxfId="6279" priority="6889" stopIfTrue="1">
      <formula>$G563=""</formula>
    </cfRule>
    <cfRule type="containsBlanks" dxfId="6278" priority="6890">
      <formula>LEN(TRIM(G564))=0</formula>
    </cfRule>
  </conditionalFormatting>
  <conditionalFormatting sqref="R565">
    <cfRule type="expression" dxfId="6277" priority="6886">
      <formula>$N566="BAM"</formula>
    </cfRule>
    <cfRule type="expression" dxfId="6276" priority="6887" stopIfTrue="1">
      <formula>$G563=""</formula>
    </cfRule>
    <cfRule type="containsBlanks" dxfId="6275" priority="6888">
      <formula>LEN(TRIM(R565))=0</formula>
    </cfRule>
  </conditionalFormatting>
  <conditionalFormatting sqref="R565">
    <cfRule type="expression" dxfId="6274" priority="6885">
      <formula>$C$43=0</formula>
    </cfRule>
  </conditionalFormatting>
  <conditionalFormatting sqref="E566:F566">
    <cfRule type="expression" dxfId="6273" priority="6884">
      <formula>$CQ563="Exterior"</formula>
    </cfRule>
  </conditionalFormatting>
  <conditionalFormatting sqref="R564">
    <cfRule type="expression" dxfId="6272" priority="6881" stopIfTrue="1">
      <formula>$N566="BAM"</formula>
    </cfRule>
  </conditionalFormatting>
  <conditionalFormatting sqref="R564">
    <cfRule type="containsBlanks" dxfId="6271" priority="6882">
      <formula>LEN(TRIM(R564))=0</formula>
    </cfRule>
  </conditionalFormatting>
  <conditionalFormatting sqref="R564">
    <cfRule type="expression" dxfId="6270" priority="6880" stopIfTrue="1">
      <formula>$G563=""</formula>
    </cfRule>
    <cfRule type="expression" dxfId="6269" priority="6883">
      <formula>$HY564=FALSE</formula>
    </cfRule>
  </conditionalFormatting>
  <conditionalFormatting sqref="G566">
    <cfRule type="expression" dxfId="6268" priority="6874" stopIfTrue="1">
      <formula>$G563=""</formula>
    </cfRule>
  </conditionalFormatting>
  <conditionalFormatting sqref="G566">
    <cfRule type="expression" dxfId="6267" priority="6876" stopIfTrue="1">
      <formula>$CQ563="Exterior"</formula>
    </cfRule>
  </conditionalFormatting>
  <conditionalFormatting sqref="G566:L566">
    <cfRule type="expression" dxfId="6266" priority="6875" stopIfTrue="1">
      <formula>$N566="BAM"</formula>
    </cfRule>
    <cfRule type="containsBlanks" dxfId="6265" priority="6877" stopIfTrue="1">
      <formula>LEN(TRIM(G566))=0</formula>
    </cfRule>
    <cfRule type="expression" dxfId="6264" priority="6879">
      <formula>$HQ564=FALSE</formula>
    </cfRule>
  </conditionalFormatting>
  <conditionalFormatting sqref="G566:L566">
    <cfRule type="expression" dxfId="6263" priority="6878" stopIfTrue="1">
      <formula>$AG565=""</formula>
    </cfRule>
  </conditionalFormatting>
  <conditionalFormatting sqref="G565:L565">
    <cfRule type="expression" dxfId="6262" priority="6872" stopIfTrue="1">
      <formula>$N566="BAM"</formula>
    </cfRule>
  </conditionalFormatting>
  <conditionalFormatting sqref="G563:R563">
    <cfRule type="containsBlanks" dxfId="6261" priority="6871">
      <formula>LEN(TRIM(G563))=0</formula>
    </cfRule>
  </conditionalFormatting>
  <conditionalFormatting sqref="AF565">
    <cfRule type="expression" dxfId="6260" priority="6861" stopIfTrue="1">
      <formula>$G563=""</formula>
    </cfRule>
    <cfRule type="expression" dxfId="6259" priority="6862" stopIfTrue="1">
      <formula>$N566="BAM"</formula>
    </cfRule>
    <cfRule type="expression" dxfId="6258" priority="6870">
      <formula>$AF$49&gt;$T$49</formula>
    </cfRule>
  </conditionalFormatting>
  <conditionalFormatting sqref="AC566:AE566">
    <cfRule type="expression" dxfId="6257" priority="6867" stopIfTrue="1">
      <formula>$G563=""</formula>
    </cfRule>
  </conditionalFormatting>
  <conditionalFormatting sqref="T565:U565">
    <cfRule type="expression" dxfId="6256" priority="6834" stopIfTrue="1">
      <formula>$G563=""</formula>
    </cfRule>
  </conditionalFormatting>
  <conditionalFormatting sqref="T565:U565">
    <cfRule type="containsBlanks" dxfId="6255" priority="6864" stopIfTrue="1">
      <formula>LEN(TRIM(T565))=0</formula>
    </cfRule>
  </conditionalFormatting>
  <conditionalFormatting sqref="AC563:AE563">
    <cfRule type="expression" dxfId="6254" priority="6863">
      <formula>$G563=""</formula>
    </cfRule>
  </conditionalFormatting>
  <conditionalFormatting sqref="AF565 AG566">
    <cfRule type="containsBlanks" dxfId="6253" priority="6868" stopIfTrue="1">
      <formula>LEN(TRIM(AF565))=0</formula>
    </cfRule>
  </conditionalFormatting>
  <conditionalFormatting sqref="AF565">
    <cfRule type="expression" dxfId="6252" priority="6869">
      <formula>OR($HS564=FALSE,$HT564=FALSE)</formula>
    </cfRule>
  </conditionalFormatting>
  <conditionalFormatting sqref="AG566">
    <cfRule type="expression" dxfId="6251" priority="6827">
      <formula>$C$43&gt;0</formula>
    </cfRule>
  </conditionalFormatting>
  <conditionalFormatting sqref="AG566">
    <cfRule type="expression" dxfId="6250" priority="6860" stopIfTrue="1">
      <formula>$G563=""</formula>
    </cfRule>
  </conditionalFormatting>
  <conditionalFormatting sqref="U565">
    <cfRule type="expression" dxfId="6249" priority="6865">
      <formula>OR($HK564=FALSE,$HL564=FALSE)</formula>
    </cfRule>
  </conditionalFormatting>
  <conditionalFormatting sqref="T564:U564">
    <cfRule type="expression" dxfId="6248" priority="6855" stopIfTrue="1">
      <formula>$C$43&lt;&gt;0</formula>
    </cfRule>
    <cfRule type="containsBlanks" dxfId="6247" priority="6856" stopIfTrue="1">
      <formula>LEN(TRIM(T564))=0</formula>
    </cfRule>
  </conditionalFormatting>
  <conditionalFormatting sqref="T564:U564">
    <cfRule type="expression" dxfId="6246" priority="6854" stopIfTrue="1">
      <formula>$G563=""</formula>
    </cfRule>
  </conditionalFormatting>
  <conditionalFormatting sqref="U564">
    <cfRule type="expression" dxfId="6245" priority="6857">
      <formula>$HJ564=FALSE</formula>
    </cfRule>
  </conditionalFormatting>
  <conditionalFormatting sqref="AG565">
    <cfRule type="expression" dxfId="6244" priority="6845" stopIfTrue="1">
      <formula>$G563=""</formula>
    </cfRule>
  </conditionalFormatting>
  <conditionalFormatting sqref="AG565:AL565">
    <cfRule type="expression" dxfId="6243" priority="6846">
      <formula>$N566="BAM"</formula>
    </cfRule>
    <cfRule type="expression" dxfId="6242" priority="6850">
      <formula>OR($HU564=FALSE,$HQ564=FALSE)</formula>
    </cfRule>
  </conditionalFormatting>
  <conditionalFormatting sqref="AG565">
    <cfRule type="containsBlanks" dxfId="6241" priority="6847" stopIfTrue="1">
      <formula>LEN(TRIM(AG565))=0</formula>
    </cfRule>
    <cfRule type="expression" dxfId="6240" priority="6848">
      <formula>OR($HP564=FALSE,$HR564=FALSE)</formula>
    </cfRule>
    <cfRule type="expression" dxfId="6239" priority="6849">
      <formula>OR($DS563=7,$DS563=8,$DS563=9)</formula>
    </cfRule>
  </conditionalFormatting>
  <conditionalFormatting sqref="AG563:AL563">
    <cfRule type="expression" dxfId="6238" priority="6844">
      <formula>$C$43&lt;&gt;0</formula>
    </cfRule>
  </conditionalFormatting>
  <conditionalFormatting sqref="AF564">
    <cfRule type="containsBlanks" dxfId="6237" priority="6843">
      <formula>LEN(TRIM(AF564))=0</formula>
    </cfRule>
  </conditionalFormatting>
  <conditionalFormatting sqref="AF564">
    <cfRule type="expression" dxfId="6236" priority="6842" stopIfTrue="1">
      <formula>$G563=""</formula>
    </cfRule>
  </conditionalFormatting>
  <conditionalFormatting sqref="AG564">
    <cfRule type="containsBlanks" dxfId="6235" priority="6840">
      <formula>LEN(TRIM(AG564))=0</formula>
    </cfRule>
    <cfRule type="expression" dxfId="6234" priority="6841">
      <formula>$HO564=FALSE</formula>
    </cfRule>
  </conditionalFormatting>
  <conditionalFormatting sqref="AG564">
    <cfRule type="expression" dxfId="6233" priority="6839" stopIfTrue="1">
      <formula>$G563=""</formula>
    </cfRule>
  </conditionalFormatting>
  <conditionalFormatting sqref="AF564:AK564">
    <cfRule type="expression" dxfId="6232" priority="6838">
      <formula>$C$43&gt;0</formula>
    </cfRule>
  </conditionalFormatting>
  <conditionalFormatting sqref="AM563:AN564">
    <cfRule type="expression" dxfId="6231" priority="6837">
      <formula>$G563=""</formula>
    </cfRule>
  </conditionalFormatting>
  <conditionalFormatting sqref="AM565:AN565">
    <cfRule type="expression" dxfId="6230" priority="6836" stopIfTrue="1">
      <formula>$G563=""</formula>
    </cfRule>
  </conditionalFormatting>
  <conditionalFormatting sqref="T565">
    <cfRule type="expression" dxfId="6229" priority="6858" stopIfTrue="1">
      <formula>$N566="BAM"</formula>
    </cfRule>
  </conditionalFormatting>
  <conditionalFormatting sqref="U565:AE565">
    <cfRule type="expression" dxfId="6228" priority="6835" stopIfTrue="1">
      <formula>$N566="BAM"</formula>
    </cfRule>
  </conditionalFormatting>
  <conditionalFormatting sqref="AG566:AL566">
    <cfRule type="expression" dxfId="6227" priority="6859" stopIfTrue="1">
      <formula>$N566="BAM"</formula>
    </cfRule>
  </conditionalFormatting>
  <conditionalFormatting sqref="AX569">
    <cfRule type="expression" dxfId="6226" priority="6825">
      <formula>$E569=""</formula>
    </cfRule>
  </conditionalFormatting>
  <conditionalFormatting sqref="AX568">
    <cfRule type="expression" dxfId="6225" priority="6824">
      <formula>$E568=""</formula>
    </cfRule>
  </conditionalFormatting>
  <conditionalFormatting sqref="AX570">
    <cfRule type="expression" dxfId="6224" priority="6823">
      <formula>#REF!=""</formula>
    </cfRule>
  </conditionalFormatting>
  <conditionalFormatting sqref="AX571">
    <cfRule type="expression" dxfId="6223" priority="6822">
      <formula>$E570=""</formula>
    </cfRule>
  </conditionalFormatting>
  <conditionalFormatting sqref="AY568:AZ571">
    <cfRule type="expression" dxfId="6222" priority="6821">
      <formula>$G568=""</formula>
    </cfRule>
  </conditionalFormatting>
  <conditionalFormatting sqref="G570">
    <cfRule type="expression" dxfId="6221" priority="6818" stopIfTrue="1">
      <formula>$G568=""</formula>
    </cfRule>
    <cfRule type="containsBlanks" dxfId="6220" priority="6819" stopIfTrue="1">
      <formula>LEN(TRIM(G570))=0</formula>
    </cfRule>
    <cfRule type="expression" dxfId="6219" priority="6820">
      <formula>OR($M570=0,$HH569=FALSE)</formula>
    </cfRule>
  </conditionalFormatting>
  <conditionalFormatting sqref="AO570">
    <cfRule type="expression" dxfId="6218" priority="6817" stopIfTrue="1">
      <formula>$G568=""</formula>
    </cfRule>
  </conditionalFormatting>
  <conditionalFormatting sqref="AU568:AU571">
    <cfRule type="expression" dxfId="6217" priority="6814" stopIfTrue="1">
      <formula>$C$43=2</formula>
    </cfRule>
    <cfRule type="cellIs" dxfId="6216" priority="6815" operator="equal">
      <formula>"Yes"</formula>
    </cfRule>
    <cfRule type="cellIs" dxfId="6215" priority="6816" operator="equal">
      <formula>"No"</formula>
    </cfRule>
  </conditionalFormatting>
  <conditionalFormatting sqref="AO568:AO569">
    <cfRule type="expression" dxfId="6214" priority="6813">
      <formula>$G568=""</formula>
    </cfRule>
  </conditionalFormatting>
  <conditionalFormatting sqref="AP568 AR568:AS571">
    <cfRule type="expression" dxfId="6213" priority="6812">
      <formula>$G568=""</formula>
    </cfRule>
  </conditionalFormatting>
  <conditionalFormatting sqref="AW568:AW571">
    <cfRule type="expression" dxfId="6212" priority="6811">
      <formula>$G568=""</formula>
    </cfRule>
  </conditionalFormatting>
  <conditionalFormatting sqref="G569:L569">
    <cfRule type="expression" dxfId="6211" priority="6809" stopIfTrue="1">
      <formula>$G568=""</formula>
    </cfRule>
    <cfRule type="containsBlanks" dxfId="6210" priority="6810">
      <formula>LEN(TRIM(G569))=0</formula>
    </cfRule>
  </conditionalFormatting>
  <conditionalFormatting sqref="R570">
    <cfRule type="expression" dxfId="6209" priority="6806">
      <formula>$N571="BAM"</formula>
    </cfRule>
    <cfRule type="expression" dxfId="6208" priority="6807" stopIfTrue="1">
      <formula>$G568=""</formula>
    </cfRule>
    <cfRule type="containsBlanks" dxfId="6207" priority="6808">
      <formula>LEN(TRIM(R570))=0</formula>
    </cfRule>
  </conditionalFormatting>
  <conditionalFormatting sqref="R570">
    <cfRule type="expression" dxfId="6206" priority="6805">
      <formula>$C$43=0</formula>
    </cfRule>
  </conditionalFormatting>
  <conditionalFormatting sqref="E571:F571">
    <cfRule type="expression" dxfId="6205" priority="6804">
      <formula>$CQ568="Exterior"</formula>
    </cfRule>
  </conditionalFormatting>
  <conditionalFormatting sqref="R569">
    <cfRule type="expression" dxfId="6204" priority="6801" stopIfTrue="1">
      <formula>$N571="BAM"</formula>
    </cfRule>
  </conditionalFormatting>
  <conditionalFormatting sqref="R569">
    <cfRule type="containsBlanks" dxfId="6203" priority="6802">
      <formula>LEN(TRIM(R569))=0</formula>
    </cfRule>
  </conditionalFormatting>
  <conditionalFormatting sqref="R569">
    <cfRule type="expression" dxfId="6202" priority="6800" stopIfTrue="1">
      <formula>$G568=""</formula>
    </cfRule>
    <cfRule type="expression" dxfId="6201" priority="6803">
      <formula>$HY569=FALSE</formula>
    </cfRule>
  </conditionalFormatting>
  <conditionalFormatting sqref="G571">
    <cfRule type="expression" dxfId="6200" priority="6794" stopIfTrue="1">
      <formula>$G568=""</formula>
    </cfRule>
  </conditionalFormatting>
  <conditionalFormatting sqref="G571">
    <cfRule type="expression" dxfId="6199" priority="6796" stopIfTrue="1">
      <formula>$CQ568="Exterior"</formula>
    </cfRule>
  </conditionalFormatting>
  <conditionalFormatting sqref="G571:L571">
    <cfRule type="expression" dxfId="6198" priority="6795" stopIfTrue="1">
      <formula>$N571="BAM"</formula>
    </cfRule>
    <cfRule type="containsBlanks" dxfId="6197" priority="6797" stopIfTrue="1">
      <formula>LEN(TRIM(G571))=0</formula>
    </cfRule>
    <cfRule type="expression" dxfId="6196" priority="6799">
      <formula>$HQ569=FALSE</formula>
    </cfRule>
  </conditionalFormatting>
  <conditionalFormatting sqref="G571:L571">
    <cfRule type="expression" dxfId="6195" priority="6798" stopIfTrue="1">
      <formula>$AG570=""</formula>
    </cfRule>
  </conditionalFormatting>
  <conditionalFormatting sqref="G570:L570">
    <cfRule type="expression" dxfId="6194" priority="6792" stopIfTrue="1">
      <formula>$N571="BAM"</formula>
    </cfRule>
  </conditionalFormatting>
  <conditionalFormatting sqref="G568:R568">
    <cfRule type="containsBlanks" dxfId="6193" priority="6791">
      <formula>LEN(TRIM(G568))=0</formula>
    </cfRule>
  </conditionalFormatting>
  <conditionalFormatting sqref="AF570">
    <cfRule type="expression" dxfId="6192" priority="6781" stopIfTrue="1">
      <formula>$G568=""</formula>
    </cfRule>
    <cfRule type="expression" dxfId="6191" priority="6782" stopIfTrue="1">
      <formula>$N571="BAM"</formula>
    </cfRule>
    <cfRule type="expression" dxfId="6190" priority="6790">
      <formula>$AF$49&gt;$T$49</formula>
    </cfRule>
  </conditionalFormatting>
  <conditionalFormatting sqref="AC571:AE571">
    <cfRule type="expression" dxfId="6189" priority="6787" stopIfTrue="1">
      <formula>$G568=""</formula>
    </cfRule>
  </conditionalFormatting>
  <conditionalFormatting sqref="T570:U570">
    <cfRule type="expression" dxfId="6188" priority="6754" stopIfTrue="1">
      <formula>$G568=""</formula>
    </cfRule>
  </conditionalFormatting>
  <conditionalFormatting sqref="T570:U570">
    <cfRule type="containsBlanks" dxfId="6187" priority="6784" stopIfTrue="1">
      <formula>LEN(TRIM(T570))=0</formula>
    </cfRule>
  </conditionalFormatting>
  <conditionalFormatting sqref="AC568:AE568">
    <cfRule type="expression" dxfId="6186" priority="6783">
      <formula>$G568=""</formula>
    </cfRule>
  </conditionalFormatting>
  <conditionalFormatting sqref="AF570 AG571">
    <cfRule type="containsBlanks" dxfId="6185" priority="6788" stopIfTrue="1">
      <formula>LEN(TRIM(AF570))=0</formula>
    </cfRule>
  </conditionalFormatting>
  <conditionalFormatting sqref="AF570">
    <cfRule type="expression" dxfId="6184" priority="6789">
      <formula>OR($HS569=FALSE,$HT569=FALSE)</formula>
    </cfRule>
  </conditionalFormatting>
  <conditionalFormatting sqref="AG571">
    <cfRule type="expression" dxfId="6183" priority="6747">
      <formula>$C$43&gt;0</formula>
    </cfRule>
  </conditionalFormatting>
  <conditionalFormatting sqref="AG571">
    <cfRule type="expression" dxfId="6182" priority="6780" stopIfTrue="1">
      <formula>$G568=""</formula>
    </cfRule>
  </conditionalFormatting>
  <conditionalFormatting sqref="U570">
    <cfRule type="expression" dxfId="6181" priority="6785">
      <formula>OR($HK569=FALSE,$HL569=FALSE)</formula>
    </cfRule>
  </conditionalFormatting>
  <conditionalFormatting sqref="T569:U569">
    <cfRule type="expression" dxfId="6180" priority="6775" stopIfTrue="1">
      <formula>$C$43&lt;&gt;0</formula>
    </cfRule>
    <cfRule type="containsBlanks" dxfId="6179" priority="6776" stopIfTrue="1">
      <formula>LEN(TRIM(T569))=0</formula>
    </cfRule>
  </conditionalFormatting>
  <conditionalFormatting sqref="T569:U569">
    <cfRule type="expression" dxfId="6178" priority="6774" stopIfTrue="1">
      <formula>$G568=""</formula>
    </cfRule>
  </conditionalFormatting>
  <conditionalFormatting sqref="U569">
    <cfRule type="expression" dxfId="6177" priority="6777">
      <formula>$HJ569=FALSE</formula>
    </cfRule>
  </conditionalFormatting>
  <conditionalFormatting sqref="AG570">
    <cfRule type="expression" dxfId="6176" priority="6765" stopIfTrue="1">
      <formula>$G568=""</formula>
    </cfRule>
  </conditionalFormatting>
  <conditionalFormatting sqref="AG570:AL570">
    <cfRule type="expression" dxfId="6175" priority="6766">
      <formula>$N571="BAM"</formula>
    </cfRule>
    <cfRule type="expression" dxfId="6174" priority="6770">
      <formula>OR($HU569=FALSE,$HQ569=FALSE)</formula>
    </cfRule>
  </conditionalFormatting>
  <conditionalFormatting sqref="AG570">
    <cfRule type="containsBlanks" dxfId="6173" priority="6767" stopIfTrue="1">
      <formula>LEN(TRIM(AG570))=0</formula>
    </cfRule>
    <cfRule type="expression" dxfId="6172" priority="6768">
      <formula>OR($HP569=FALSE,$HR569=FALSE)</formula>
    </cfRule>
    <cfRule type="expression" dxfId="6171" priority="6769">
      <formula>OR($DS568=7,$DS568=8,$DS568=9)</formula>
    </cfRule>
  </conditionalFormatting>
  <conditionalFormatting sqref="AG568:AL568">
    <cfRule type="expression" dxfId="6170" priority="6764">
      <formula>$C$43&lt;&gt;0</formula>
    </cfRule>
  </conditionalFormatting>
  <conditionalFormatting sqref="AF569">
    <cfRule type="containsBlanks" dxfId="6169" priority="6763">
      <formula>LEN(TRIM(AF569))=0</formula>
    </cfRule>
  </conditionalFormatting>
  <conditionalFormatting sqref="AF569">
    <cfRule type="expression" dxfId="6168" priority="6762" stopIfTrue="1">
      <formula>$G568=""</formula>
    </cfRule>
  </conditionalFormatting>
  <conditionalFormatting sqref="AG569">
    <cfRule type="containsBlanks" dxfId="6167" priority="6760">
      <formula>LEN(TRIM(AG569))=0</formula>
    </cfRule>
    <cfRule type="expression" dxfId="6166" priority="6761">
      <formula>$HO569=FALSE</formula>
    </cfRule>
  </conditionalFormatting>
  <conditionalFormatting sqref="AG569">
    <cfRule type="expression" dxfId="6165" priority="6759" stopIfTrue="1">
      <formula>$G568=""</formula>
    </cfRule>
  </conditionalFormatting>
  <conditionalFormatting sqref="AF569:AK569">
    <cfRule type="expression" dxfId="6164" priority="6758">
      <formula>$C$43&gt;0</formula>
    </cfRule>
  </conditionalFormatting>
  <conditionalFormatting sqref="AM568:AN569">
    <cfRule type="expression" dxfId="6163" priority="6757">
      <formula>$G568=""</formula>
    </cfRule>
  </conditionalFormatting>
  <conditionalFormatting sqref="AM570:AN570">
    <cfRule type="expression" dxfId="6162" priority="6756" stopIfTrue="1">
      <formula>$G568=""</formula>
    </cfRule>
  </conditionalFormatting>
  <conditionalFormatting sqref="T570">
    <cfRule type="expression" dxfId="6161" priority="6778" stopIfTrue="1">
      <formula>$N571="BAM"</formula>
    </cfRule>
  </conditionalFormatting>
  <conditionalFormatting sqref="U570:AE570">
    <cfRule type="expression" dxfId="6160" priority="6755" stopIfTrue="1">
      <formula>$N571="BAM"</formula>
    </cfRule>
  </conditionalFormatting>
  <conditionalFormatting sqref="AG571:AL571">
    <cfRule type="expression" dxfId="6159" priority="6779" stopIfTrue="1">
      <formula>$N571="BAM"</formula>
    </cfRule>
  </conditionalFormatting>
  <conditionalFormatting sqref="AX574">
    <cfRule type="expression" dxfId="6158" priority="6745">
      <formula>$E574=""</formula>
    </cfRule>
  </conditionalFormatting>
  <conditionalFormatting sqref="AX573">
    <cfRule type="expression" dxfId="6157" priority="6744">
      <formula>$E573=""</formula>
    </cfRule>
  </conditionalFormatting>
  <conditionalFormatting sqref="AX575">
    <cfRule type="expression" dxfId="6156" priority="6743">
      <formula>#REF!=""</formula>
    </cfRule>
  </conditionalFormatting>
  <conditionalFormatting sqref="AX576">
    <cfRule type="expression" dxfId="6155" priority="6742">
      <formula>$E575=""</formula>
    </cfRule>
  </conditionalFormatting>
  <conditionalFormatting sqref="AY573:AZ576">
    <cfRule type="expression" dxfId="6154" priority="6741">
      <formula>$G573=""</formula>
    </cfRule>
  </conditionalFormatting>
  <conditionalFormatting sqref="G575">
    <cfRule type="expression" dxfId="6153" priority="6738" stopIfTrue="1">
      <formula>$G573=""</formula>
    </cfRule>
    <cfRule type="containsBlanks" dxfId="6152" priority="6739" stopIfTrue="1">
      <formula>LEN(TRIM(G575))=0</formula>
    </cfRule>
    <cfRule type="expression" dxfId="6151" priority="6740">
      <formula>OR($M575=0,$HH574=FALSE)</formula>
    </cfRule>
  </conditionalFormatting>
  <conditionalFormatting sqref="AO575">
    <cfRule type="expression" dxfId="6150" priority="6737" stopIfTrue="1">
      <formula>$G573=""</formula>
    </cfRule>
  </conditionalFormatting>
  <conditionalFormatting sqref="AU573:AU576">
    <cfRule type="expression" dxfId="6149" priority="6734" stopIfTrue="1">
      <formula>$C$43=2</formula>
    </cfRule>
    <cfRule type="cellIs" dxfId="6148" priority="6735" operator="equal">
      <formula>"Yes"</formula>
    </cfRule>
    <cfRule type="cellIs" dxfId="6147" priority="6736" operator="equal">
      <formula>"No"</formula>
    </cfRule>
  </conditionalFormatting>
  <conditionalFormatting sqref="AO573:AO574">
    <cfRule type="expression" dxfId="6146" priority="6733">
      <formula>$G573=""</formula>
    </cfRule>
  </conditionalFormatting>
  <conditionalFormatting sqref="AP573 AR573:AS576">
    <cfRule type="expression" dxfId="6145" priority="6732">
      <formula>$G573=""</formula>
    </cfRule>
  </conditionalFormatting>
  <conditionalFormatting sqref="AW573:AW576">
    <cfRule type="expression" dxfId="6144" priority="6731">
      <formula>$G573=""</formula>
    </cfRule>
  </conditionalFormatting>
  <conditionalFormatting sqref="G574:L574">
    <cfRule type="expression" dxfId="6143" priority="6729" stopIfTrue="1">
      <formula>$G573=""</formula>
    </cfRule>
    <cfRule type="containsBlanks" dxfId="6142" priority="6730">
      <formula>LEN(TRIM(G574))=0</formula>
    </cfRule>
  </conditionalFormatting>
  <conditionalFormatting sqref="R575">
    <cfRule type="expression" dxfId="6141" priority="6726">
      <formula>$N576="BAM"</formula>
    </cfRule>
    <cfRule type="expression" dxfId="6140" priority="6727" stopIfTrue="1">
      <formula>$G573=""</formula>
    </cfRule>
    <cfRule type="containsBlanks" dxfId="6139" priority="6728">
      <formula>LEN(TRIM(R575))=0</formula>
    </cfRule>
  </conditionalFormatting>
  <conditionalFormatting sqref="R575">
    <cfRule type="expression" dxfId="6138" priority="6725">
      <formula>$C$43=0</formula>
    </cfRule>
  </conditionalFormatting>
  <conditionalFormatting sqref="E576:F576">
    <cfRule type="expression" dxfId="6137" priority="6724">
      <formula>$CQ573="Exterior"</formula>
    </cfRule>
  </conditionalFormatting>
  <conditionalFormatting sqref="R574">
    <cfRule type="expression" dxfId="6136" priority="6721" stopIfTrue="1">
      <formula>$N576="BAM"</formula>
    </cfRule>
  </conditionalFormatting>
  <conditionalFormatting sqref="R574">
    <cfRule type="containsBlanks" dxfId="6135" priority="6722">
      <formula>LEN(TRIM(R574))=0</formula>
    </cfRule>
  </conditionalFormatting>
  <conditionalFormatting sqref="R574">
    <cfRule type="expression" dxfId="6134" priority="6720" stopIfTrue="1">
      <formula>$G573=""</formula>
    </cfRule>
    <cfRule type="expression" dxfId="6133" priority="6723">
      <formula>$HY574=FALSE</formula>
    </cfRule>
  </conditionalFormatting>
  <conditionalFormatting sqref="G576">
    <cfRule type="expression" dxfId="6132" priority="6714" stopIfTrue="1">
      <formula>$G573=""</formula>
    </cfRule>
  </conditionalFormatting>
  <conditionalFormatting sqref="G576">
    <cfRule type="expression" dxfId="6131" priority="6716" stopIfTrue="1">
      <formula>$CQ573="Exterior"</formula>
    </cfRule>
  </conditionalFormatting>
  <conditionalFormatting sqref="G576:L576">
    <cfRule type="expression" dxfId="6130" priority="6715" stopIfTrue="1">
      <formula>$N576="BAM"</formula>
    </cfRule>
    <cfRule type="containsBlanks" dxfId="6129" priority="6717" stopIfTrue="1">
      <formula>LEN(TRIM(G576))=0</formula>
    </cfRule>
    <cfRule type="expression" dxfId="6128" priority="6719">
      <formula>$HQ574=FALSE</formula>
    </cfRule>
  </conditionalFormatting>
  <conditionalFormatting sqref="G576:L576">
    <cfRule type="expression" dxfId="6127" priority="6718" stopIfTrue="1">
      <formula>$AG575=""</formula>
    </cfRule>
  </conditionalFormatting>
  <conditionalFormatting sqref="G575:L575">
    <cfRule type="expression" dxfId="6126" priority="6712" stopIfTrue="1">
      <formula>$N576="BAM"</formula>
    </cfRule>
  </conditionalFormatting>
  <conditionalFormatting sqref="G573:R573">
    <cfRule type="containsBlanks" dxfId="6125" priority="6711">
      <formula>LEN(TRIM(G573))=0</formula>
    </cfRule>
  </conditionalFormatting>
  <conditionalFormatting sqref="AF575">
    <cfRule type="expression" dxfId="6124" priority="6701" stopIfTrue="1">
      <formula>$G573=""</formula>
    </cfRule>
    <cfRule type="expression" dxfId="6123" priority="6702" stopIfTrue="1">
      <formula>$N576="BAM"</formula>
    </cfRule>
    <cfRule type="expression" dxfId="6122" priority="6710">
      <formula>$AF$49&gt;$T$49</formula>
    </cfRule>
  </conditionalFormatting>
  <conditionalFormatting sqref="AC576:AE576">
    <cfRule type="expression" dxfId="6121" priority="6707" stopIfTrue="1">
      <formula>$G573=""</formula>
    </cfRule>
  </conditionalFormatting>
  <conditionalFormatting sqref="T575:U575">
    <cfRule type="expression" dxfId="6120" priority="6674" stopIfTrue="1">
      <formula>$G573=""</formula>
    </cfRule>
  </conditionalFormatting>
  <conditionalFormatting sqref="T575:U575">
    <cfRule type="containsBlanks" dxfId="6119" priority="6704" stopIfTrue="1">
      <formula>LEN(TRIM(T575))=0</formula>
    </cfRule>
  </conditionalFormatting>
  <conditionalFormatting sqref="AC573:AE573">
    <cfRule type="expression" dxfId="6118" priority="6703">
      <formula>$G573=""</formula>
    </cfRule>
  </conditionalFormatting>
  <conditionalFormatting sqref="AF575 AG576">
    <cfRule type="containsBlanks" dxfId="6117" priority="6708" stopIfTrue="1">
      <formula>LEN(TRIM(AF575))=0</formula>
    </cfRule>
  </conditionalFormatting>
  <conditionalFormatting sqref="AF575">
    <cfRule type="expression" dxfId="6116" priority="6709">
      <formula>OR($HS574=FALSE,$HT574=FALSE)</formula>
    </cfRule>
  </conditionalFormatting>
  <conditionalFormatting sqref="AG576">
    <cfRule type="expression" dxfId="6115" priority="6667">
      <formula>$C$43&gt;0</formula>
    </cfRule>
  </conditionalFormatting>
  <conditionalFormatting sqref="AG576">
    <cfRule type="expression" dxfId="6114" priority="6700" stopIfTrue="1">
      <formula>$G573=""</formula>
    </cfRule>
  </conditionalFormatting>
  <conditionalFormatting sqref="U575">
    <cfRule type="expression" dxfId="6113" priority="6705">
      <formula>OR($HK574=FALSE,$HL574=FALSE)</formula>
    </cfRule>
  </conditionalFormatting>
  <conditionalFormatting sqref="T574:U574">
    <cfRule type="expression" dxfId="6112" priority="6695" stopIfTrue="1">
      <formula>$C$43&lt;&gt;0</formula>
    </cfRule>
    <cfRule type="containsBlanks" dxfId="6111" priority="6696" stopIfTrue="1">
      <formula>LEN(TRIM(T574))=0</formula>
    </cfRule>
  </conditionalFormatting>
  <conditionalFormatting sqref="T574:U574">
    <cfRule type="expression" dxfId="6110" priority="6694" stopIfTrue="1">
      <formula>$G573=""</formula>
    </cfRule>
  </conditionalFormatting>
  <conditionalFormatting sqref="U574">
    <cfRule type="expression" dxfId="6109" priority="6697">
      <formula>$HJ574=FALSE</formula>
    </cfRule>
  </conditionalFormatting>
  <conditionalFormatting sqref="AG575">
    <cfRule type="expression" dxfId="6108" priority="6685" stopIfTrue="1">
      <formula>$G573=""</formula>
    </cfRule>
  </conditionalFormatting>
  <conditionalFormatting sqref="AG575:AL575">
    <cfRule type="expression" dxfId="6107" priority="6686">
      <formula>$N576="BAM"</formula>
    </cfRule>
    <cfRule type="expression" dxfId="6106" priority="6690">
      <formula>OR($HU574=FALSE,$HQ574=FALSE)</formula>
    </cfRule>
  </conditionalFormatting>
  <conditionalFormatting sqref="AG575">
    <cfRule type="containsBlanks" dxfId="6105" priority="6687" stopIfTrue="1">
      <formula>LEN(TRIM(AG575))=0</formula>
    </cfRule>
    <cfRule type="expression" dxfId="6104" priority="6688">
      <formula>OR($HP574=FALSE,$HR574=FALSE)</formula>
    </cfRule>
    <cfRule type="expression" dxfId="6103" priority="6689">
      <formula>OR($DS573=7,$DS573=8,$DS573=9)</formula>
    </cfRule>
  </conditionalFormatting>
  <conditionalFormatting sqref="AG573:AL573">
    <cfRule type="expression" dxfId="6102" priority="6684">
      <formula>$C$43&lt;&gt;0</formula>
    </cfRule>
  </conditionalFormatting>
  <conditionalFormatting sqref="AF574">
    <cfRule type="containsBlanks" dxfId="6101" priority="6683">
      <formula>LEN(TRIM(AF574))=0</formula>
    </cfRule>
  </conditionalFormatting>
  <conditionalFormatting sqref="AF574">
    <cfRule type="expression" dxfId="6100" priority="6682" stopIfTrue="1">
      <formula>$G573=""</formula>
    </cfRule>
  </conditionalFormatting>
  <conditionalFormatting sqref="AG574">
    <cfRule type="containsBlanks" dxfId="6099" priority="6680">
      <formula>LEN(TRIM(AG574))=0</formula>
    </cfRule>
    <cfRule type="expression" dxfId="6098" priority="6681">
      <formula>$HO574=FALSE</formula>
    </cfRule>
  </conditionalFormatting>
  <conditionalFormatting sqref="AG574">
    <cfRule type="expression" dxfId="6097" priority="6679" stopIfTrue="1">
      <formula>$G573=""</formula>
    </cfRule>
  </conditionalFormatting>
  <conditionalFormatting sqref="AF574:AK574">
    <cfRule type="expression" dxfId="6096" priority="6678">
      <formula>$C$43&gt;0</formula>
    </cfRule>
  </conditionalFormatting>
  <conditionalFormatting sqref="AM573:AN574">
    <cfRule type="expression" dxfId="6095" priority="6677">
      <formula>$G573=""</formula>
    </cfRule>
  </conditionalFormatting>
  <conditionalFormatting sqref="AM575:AN575">
    <cfRule type="expression" dxfId="6094" priority="6676" stopIfTrue="1">
      <formula>$G573=""</formula>
    </cfRule>
  </conditionalFormatting>
  <conditionalFormatting sqref="T575">
    <cfRule type="expression" dxfId="6093" priority="6698" stopIfTrue="1">
      <formula>$N576="BAM"</formula>
    </cfRule>
  </conditionalFormatting>
  <conditionalFormatting sqref="U575:AE575">
    <cfRule type="expression" dxfId="6092" priority="6675" stopIfTrue="1">
      <formula>$N576="BAM"</formula>
    </cfRule>
  </conditionalFormatting>
  <conditionalFormatting sqref="AG576:AL576">
    <cfRule type="expression" dxfId="6091" priority="6699" stopIfTrue="1">
      <formula>$N576="BAM"</formula>
    </cfRule>
  </conditionalFormatting>
  <conditionalFormatting sqref="AX579">
    <cfRule type="expression" dxfId="6090" priority="6665">
      <formula>$E579=""</formula>
    </cfRule>
  </conditionalFormatting>
  <conditionalFormatting sqref="AX578">
    <cfRule type="expression" dxfId="6089" priority="6664">
      <formula>$E578=""</formula>
    </cfRule>
  </conditionalFormatting>
  <conditionalFormatting sqref="AX580">
    <cfRule type="expression" dxfId="6088" priority="6663">
      <formula>#REF!=""</formula>
    </cfRule>
  </conditionalFormatting>
  <conditionalFormatting sqref="AX581">
    <cfRule type="expression" dxfId="6087" priority="6662">
      <formula>$E580=""</formula>
    </cfRule>
  </conditionalFormatting>
  <conditionalFormatting sqref="AY578:AZ581">
    <cfRule type="expression" dxfId="6086" priority="6661">
      <formula>$G578=""</formula>
    </cfRule>
  </conditionalFormatting>
  <conditionalFormatting sqref="G580">
    <cfRule type="expression" dxfId="6085" priority="6658" stopIfTrue="1">
      <formula>$G578=""</formula>
    </cfRule>
    <cfRule type="containsBlanks" dxfId="6084" priority="6659" stopIfTrue="1">
      <formula>LEN(TRIM(G580))=0</formula>
    </cfRule>
    <cfRule type="expression" dxfId="6083" priority="6660">
      <formula>OR($M580=0,$HH579=FALSE)</formula>
    </cfRule>
  </conditionalFormatting>
  <conditionalFormatting sqref="AO580">
    <cfRule type="expression" dxfId="6082" priority="6657" stopIfTrue="1">
      <formula>$G578=""</formula>
    </cfRule>
  </conditionalFormatting>
  <conditionalFormatting sqref="AU578:AU581">
    <cfRule type="expression" dxfId="6081" priority="6654" stopIfTrue="1">
      <formula>$C$43=2</formula>
    </cfRule>
    <cfRule type="cellIs" dxfId="6080" priority="6655" operator="equal">
      <formula>"Yes"</formula>
    </cfRule>
    <cfRule type="cellIs" dxfId="6079" priority="6656" operator="equal">
      <formula>"No"</formula>
    </cfRule>
  </conditionalFormatting>
  <conditionalFormatting sqref="AO578:AO579">
    <cfRule type="expression" dxfId="6078" priority="6653">
      <formula>$G578=""</formula>
    </cfRule>
  </conditionalFormatting>
  <conditionalFormatting sqref="AP578 AR578:AS581">
    <cfRule type="expression" dxfId="6077" priority="6652">
      <formula>$G578=""</formula>
    </cfRule>
  </conditionalFormatting>
  <conditionalFormatting sqref="AW578:AW581">
    <cfRule type="expression" dxfId="6076" priority="6651">
      <formula>$G578=""</formula>
    </cfRule>
  </conditionalFormatting>
  <conditionalFormatting sqref="G579:L579">
    <cfRule type="expression" dxfId="6075" priority="6649" stopIfTrue="1">
      <formula>$G578=""</formula>
    </cfRule>
    <cfRule type="containsBlanks" dxfId="6074" priority="6650">
      <formula>LEN(TRIM(G579))=0</formula>
    </cfRule>
  </conditionalFormatting>
  <conditionalFormatting sqref="R580">
    <cfRule type="expression" dxfId="6073" priority="6646">
      <formula>$N581="BAM"</formula>
    </cfRule>
    <cfRule type="expression" dxfId="6072" priority="6647" stopIfTrue="1">
      <formula>$G578=""</formula>
    </cfRule>
    <cfRule type="containsBlanks" dxfId="6071" priority="6648">
      <formula>LEN(TRIM(R580))=0</formula>
    </cfRule>
  </conditionalFormatting>
  <conditionalFormatting sqref="R580">
    <cfRule type="expression" dxfId="6070" priority="6645">
      <formula>$C$43=0</formula>
    </cfRule>
  </conditionalFormatting>
  <conditionalFormatting sqref="E581:F581">
    <cfRule type="expression" dxfId="6069" priority="6644">
      <formula>$CQ578="Exterior"</formula>
    </cfRule>
  </conditionalFormatting>
  <conditionalFormatting sqref="R579">
    <cfRule type="expression" dxfId="6068" priority="6641" stopIfTrue="1">
      <formula>$N581="BAM"</formula>
    </cfRule>
  </conditionalFormatting>
  <conditionalFormatting sqref="R579">
    <cfRule type="containsBlanks" dxfId="6067" priority="6642">
      <formula>LEN(TRIM(R579))=0</formula>
    </cfRule>
  </conditionalFormatting>
  <conditionalFormatting sqref="R579">
    <cfRule type="expression" dxfId="6066" priority="6640" stopIfTrue="1">
      <formula>$G578=""</formula>
    </cfRule>
    <cfRule type="expression" dxfId="6065" priority="6643">
      <formula>$HY579=FALSE</formula>
    </cfRule>
  </conditionalFormatting>
  <conditionalFormatting sqref="G581">
    <cfRule type="expression" dxfId="6064" priority="6634" stopIfTrue="1">
      <formula>$G578=""</formula>
    </cfRule>
  </conditionalFormatting>
  <conditionalFormatting sqref="G581">
    <cfRule type="expression" dxfId="6063" priority="6636" stopIfTrue="1">
      <formula>$CQ578="Exterior"</formula>
    </cfRule>
  </conditionalFormatting>
  <conditionalFormatting sqref="G581:L581">
    <cfRule type="expression" dxfId="6062" priority="6635" stopIfTrue="1">
      <formula>$N581="BAM"</formula>
    </cfRule>
    <cfRule type="containsBlanks" dxfId="6061" priority="6637" stopIfTrue="1">
      <formula>LEN(TRIM(G581))=0</formula>
    </cfRule>
    <cfRule type="expression" dxfId="6060" priority="6639">
      <formula>$HQ579=FALSE</formula>
    </cfRule>
  </conditionalFormatting>
  <conditionalFormatting sqref="G581:L581">
    <cfRule type="expression" dxfId="6059" priority="6638" stopIfTrue="1">
      <formula>$AG580=""</formula>
    </cfRule>
  </conditionalFormatting>
  <conditionalFormatting sqref="G580:L580">
    <cfRule type="expression" dxfId="6058" priority="6632" stopIfTrue="1">
      <formula>$N581="BAM"</formula>
    </cfRule>
  </conditionalFormatting>
  <conditionalFormatting sqref="G578:R578">
    <cfRule type="containsBlanks" dxfId="6057" priority="6631">
      <formula>LEN(TRIM(G578))=0</formula>
    </cfRule>
  </conditionalFormatting>
  <conditionalFormatting sqref="AF580">
    <cfRule type="expression" dxfId="6056" priority="6621" stopIfTrue="1">
      <formula>$G578=""</formula>
    </cfRule>
    <cfRule type="expression" dxfId="6055" priority="6622" stopIfTrue="1">
      <formula>$N581="BAM"</formula>
    </cfRule>
    <cfRule type="expression" dxfId="6054" priority="6630">
      <formula>$AF$49&gt;$T$49</formula>
    </cfRule>
  </conditionalFormatting>
  <conditionalFormatting sqref="AC581:AE581">
    <cfRule type="expression" dxfId="6053" priority="6627" stopIfTrue="1">
      <formula>$G578=""</formula>
    </cfRule>
  </conditionalFormatting>
  <conditionalFormatting sqref="T580:U580">
    <cfRule type="expression" dxfId="6052" priority="6594" stopIfTrue="1">
      <formula>$G578=""</formula>
    </cfRule>
  </conditionalFormatting>
  <conditionalFormatting sqref="T580:U580">
    <cfRule type="containsBlanks" dxfId="6051" priority="6624" stopIfTrue="1">
      <formula>LEN(TRIM(T580))=0</formula>
    </cfRule>
  </conditionalFormatting>
  <conditionalFormatting sqref="AC578:AE578">
    <cfRule type="expression" dxfId="6050" priority="6623">
      <formula>$G578=""</formula>
    </cfRule>
  </conditionalFormatting>
  <conditionalFormatting sqref="AF580 AG581">
    <cfRule type="containsBlanks" dxfId="6049" priority="6628" stopIfTrue="1">
      <formula>LEN(TRIM(AF580))=0</formula>
    </cfRule>
  </conditionalFormatting>
  <conditionalFormatting sqref="AF580">
    <cfRule type="expression" dxfId="6048" priority="6629">
      <formula>OR($HS579=FALSE,$HT579=FALSE)</formula>
    </cfRule>
  </conditionalFormatting>
  <conditionalFormatting sqref="AG581">
    <cfRule type="expression" dxfId="6047" priority="6587">
      <formula>$C$43&gt;0</formula>
    </cfRule>
  </conditionalFormatting>
  <conditionalFormatting sqref="AG581">
    <cfRule type="expression" dxfId="6046" priority="6620" stopIfTrue="1">
      <formula>$G578=""</formula>
    </cfRule>
  </conditionalFormatting>
  <conditionalFormatting sqref="U580">
    <cfRule type="expression" dxfId="6045" priority="6625">
      <formula>OR($HK579=FALSE,$HL579=FALSE)</formula>
    </cfRule>
  </conditionalFormatting>
  <conditionalFormatting sqref="T579:U579">
    <cfRule type="expression" dxfId="6044" priority="6615" stopIfTrue="1">
      <formula>$C$43&lt;&gt;0</formula>
    </cfRule>
    <cfRule type="containsBlanks" dxfId="6043" priority="6616" stopIfTrue="1">
      <formula>LEN(TRIM(T579))=0</formula>
    </cfRule>
  </conditionalFormatting>
  <conditionalFormatting sqref="T579:U579">
    <cfRule type="expression" dxfId="6042" priority="6614" stopIfTrue="1">
      <formula>$G578=""</formula>
    </cfRule>
  </conditionalFormatting>
  <conditionalFormatting sqref="U579">
    <cfRule type="expression" dxfId="6041" priority="6617">
      <formula>$HJ579=FALSE</formula>
    </cfRule>
  </conditionalFormatting>
  <conditionalFormatting sqref="AG580">
    <cfRule type="expression" dxfId="6040" priority="6605" stopIfTrue="1">
      <formula>$G578=""</formula>
    </cfRule>
  </conditionalFormatting>
  <conditionalFormatting sqref="AG580:AL580">
    <cfRule type="expression" dxfId="6039" priority="6606">
      <formula>$N581="BAM"</formula>
    </cfRule>
    <cfRule type="expression" dxfId="6038" priority="6610">
      <formula>OR($HU579=FALSE,$HQ579=FALSE)</formula>
    </cfRule>
  </conditionalFormatting>
  <conditionalFormatting sqref="AG580">
    <cfRule type="containsBlanks" dxfId="6037" priority="6607" stopIfTrue="1">
      <formula>LEN(TRIM(AG580))=0</formula>
    </cfRule>
    <cfRule type="expression" dxfId="6036" priority="6608">
      <formula>OR($HP579=FALSE,$HR579=FALSE)</formula>
    </cfRule>
    <cfRule type="expression" dxfId="6035" priority="6609">
      <formula>OR($DS578=7,$DS578=8,$DS578=9)</formula>
    </cfRule>
  </conditionalFormatting>
  <conditionalFormatting sqref="AG578:AL578">
    <cfRule type="expression" dxfId="6034" priority="6604">
      <formula>$C$43&lt;&gt;0</formula>
    </cfRule>
  </conditionalFormatting>
  <conditionalFormatting sqref="AF579">
    <cfRule type="containsBlanks" dxfId="6033" priority="6603">
      <formula>LEN(TRIM(AF579))=0</formula>
    </cfRule>
  </conditionalFormatting>
  <conditionalFormatting sqref="AF579">
    <cfRule type="expression" dxfId="6032" priority="6602" stopIfTrue="1">
      <formula>$G578=""</formula>
    </cfRule>
  </conditionalFormatting>
  <conditionalFormatting sqref="AG579">
    <cfRule type="containsBlanks" dxfId="6031" priority="6600">
      <formula>LEN(TRIM(AG579))=0</formula>
    </cfRule>
    <cfRule type="expression" dxfId="6030" priority="6601">
      <formula>$HO579=FALSE</formula>
    </cfRule>
  </conditionalFormatting>
  <conditionalFormatting sqref="AG579">
    <cfRule type="expression" dxfId="6029" priority="6599" stopIfTrue="1">
      <formula>$G578=""</formula>
    </cfRule>
  </conditionalFormatting>
  <conditionalFormatting sqref="AF579:AK579">
    <cfRule type="expression" dxfId="6028" priority="6598">
      <formula>$C$43&gt;0</formula>
    </cfRule>
  </conditionalFormatting>
  <conditionalFormatting sqref="AM578:AN579">
    <cfRule type="expression" dxfId="6027" priority="6597">
      <formula>$G578=""</formula>
    </cfRule>
  </conditionalFormatting>
  <conditionalFormatting sqref="AM580:AN580">
    <cfRule type="expression" dxfId="6026" priority="6596" stopIfTrue="1">
      <formula>$G578=""</formula>
    </cfRule>
  </conditionalFormatting>
  <conditionalFormatting sqref="T580">
    <cfRule type="expression" dxfId="6025" priority="6618" stopIfTrue="1">
      <formula>$N581="BAM"</formula>
    </cfRule>
  </conditionalFormatting>
  <conditionalFormatting sqref="U580:AE580">
    <cfRule type="expression" dxfId="6024" priority="6595" stopIfTrue="1">
      <formula>$N581="BAM"</formula>
    </cfRule>
  </conditionalFormatting>
  <conditionalFormatting sqref="AG581:AL581">
    <cfRule type="expression" dxfId="6023" priority="6619" stopIfTrue="1">
      <formula>$N581="BAM"</formula>
    </cfRule>
  </conditionalFormatting>
  <conditionalFormatting sqref="AX584">
    <cfRule type="expression" dxfId="6022" priority="6585">
      <formula>$E584=""</formula>
    </cfRule>
  </conditionalFormatting>
  <conditionalFormatting sqref="AX583">
    <cfRule type="expression" dxfId="6021" priority="6584">
      <formula>$E583=""</formula>
    </cfRule>
  </conditionalFormatting>
  <conditionalFormatting sqref="AX585">
    <cfRule type="expression" dxfId="6020" priority="6583">
      <formula>#REF!=""</formula>
    </cfRule>
  </conditionalFormatting>
  <conditionalFormatting sqref="AX586">
    <cfRule type="expression" dxfId="6019" priority="6582">
      <formula>$E585=""</formula>
    </cfRule>
  </conditionalFormatting>
  <conditionalFormatting sqref="AY583:AZ586">
    <cfRule type="expression" dxfId="6018" priority="6581">
      <formula>$G583=""</formula>
    </cfRule>
  </conditionalFormatting>
  <conditionalFormatting sqref="G585">
    <cfRule type="expression" dxfId="6017" priority="6578" stopIfTrue="1">
      <formula>$G583=""</formula>
    </cfRule>
    <cfRule type="containsBlanks" dxfId="6016" priority="6579" stopIfTrue="1">
      <formula>LEN(TRIM(G585))=0</formula>
    </cfRule>
    <cfRule type="expression" dxfId="6015" priority="6580">
      <formula>OR($M585=0,$HH584=FALSE)</formula>
    </cfRule>
  </conditionalFormatting>
  <conditionalFormatting sqref="AO585">
    <cfRule type="expression" dxfId="6014" priority="6577" stopIfTrue="1">
      <formula>$G583=""</formula>
    </cfRule>
  </conditionalFormatting>
  <conditionalFormatting sqref="AU583:AU586">
    <cfRule type="expression" dxfId="6013" priority="6574" stopIfTrue="1">
      <formula>$C$43=2</formula>
    </cfRule>
    <cfRule type="cellIs" dxfId="6012" priority="6575" operator="equal">
      <formula>"Yes"</formula>
    </cfRule>
    <cfRule type="cellIs" dxfId="6011" priority="6576" operator="equal">
      <formula>"No"</formula>
    </cfRule>
  </conditionalFormatting>
  <conditionalFormatting sqref="AO583:AO584">
    <cfRule type="expression" dxfId="6010" priority="6573">
      <formula>$G583=""</formula>
    </cfRule>
  </conditionalFormatting>
  <conditionalFormatting sqref="AP583 AR583:AS586">
    <cfRule type="expression" dxfId="6009" priority="6572">
      <formula>$G583=""</formula>
    </cfRule>
  </conditionalFormatting>
  <conditionalFormatting sqref="AW583:AW586">
    <cfRule type="expression" dxfId="6008" priority="6571">
      <formula>$G583=""</formula>
    </cfRule>
  </conditionalFormatting>
  <conditionalFormatting sqref="G584:L584">
    <cfRule type="expression" dxfId="6007" priority="6569" stopIfTrue="1">
      <formula>$G583=""</formula>
    </cfRule>
    <cfRule type="containsBlanks" dxfId="6006" priority="6570">
      <formula>LEN(TRIM(G584))=0</formula>
    </cfRule>
  </conditionalFormatting>
  <conditionalFormatting sqref="R585">
    <cfRule type="expression" dxfId="6005" priority="6566">
      <formula>$N586="BAM"</formula>
    </cfRule>
    <cfRule type="expression" dxfId="6004" priority="6567" stopIfTrue="1">
      <formula>$G583=""</formula>
    </cfRule>
    <cfRule type="containsBlanks" dxfId="6003" priority="6568">
      <formula>LEN(TRIM(R585))=0</formula>
    </cfRule>
  </conditionalFormatting>
  <conditionalFormatting sqref="R585">
    <cfRule type="expression" dxfId="6002" priority="6565">
      <formula>$C$43=0</formula>
    </cfRule>
  </conditionalFormatting>
  <conditionalFormatting sqref="E586:F586">
    <cfRule type="expression" dxfId="6001" priority="6564">
      <formula>$CQ583="Exterior"</formula>
    </cfRule>
  </conditionalFormatting>
  <conditionalFormatting sqref="R584">
    <cfRule type="expression" dxfId="6000" priority="6561" stopIfTrue="1">
      <formula>$N586="BAM"</formula>
    </cfRule>
  </conditionalFormatting>
  <conditionalFormatting sqref="R584">
    <cfRule type="containsBlanks" dxfId="5999" priority="6562">
      <formula>LEN(TRIM(R584))=0</formula>
    </cfRule>
  </conditionalFormatting>
  <conditionalFormatting sqref="R584">
    <cfRule type="expression" dxfId="5998" priority="6560" stopIfTrue="1">
      <formula>$G583=""</formula>
    </cfRule>
    <cfRule type="expression" dxfId="5997" priority="6563">
      <formula>$HY584=FALSE</formula>
    </cfRule>
  </conditionalFormatting>
  <conditionalFormatting sqref="G586">
    <cfRule type="expression" dxfId="5996" priority="6554" stopIfTrue="1">
      <formula>$G583=""</formula>
    </cfRule>
  </conditionalFormatting>
  <conditionalFormatting sqref="G586">
    <cfRule type="expression" dxfId="5995" priority="6556" stopIfTrue="1">
      <formula>$CQ583="Exterior"</formula>
    </cfRule>
  </conditionalFormatting>
  <conditionalFormatting sqref="G586:L586">
    <cfRule type="expression" dxfId="5994" priority="6555" stopIfTrue="1">
      <formula>$N586="BAM"</formula>
    </cfRule>
    <cfRule type="containsBlanks" dxfId="5993" priority="6557" stopIfTrue="1">
      <formula>LEN(TRIM(G586))=0</formula>
    </cfRule>
    <cfRule type="expression" dxfId="5992" priority="6559">
      <formula>$HQ584=FALSE</formula>
    </cfRule>
  </conditionalFormatting>
  <conditionalFormatting sqref="G586:L586">
    <cfRule type="expression" dxfId="5991" priority="6558" stopIfTrue="1">
      <formula>$AG585=""</formula>
    </cfRule>
  </conditionalFormatting>
  <conditionalFormatting sqref="G585:L585">
    <cfRule type="expression" dxfId="5990" priority="6552" stopIfTrue="1">
      <formula>$N586="BAM"</formula>
    </cfRule>
  </conditionalFormatting>
  <conditionalFormatting sqref="G583:R583">
    <cfRule type="containsBlanks" dxfId="5989" priority="6551">
      <formula>LEN(TRIM(G583))=0</formula>
    </cfRule>
  </conditionalFormatting>
  <conditionalFormatting sqref="AF585">
    <cfRule type="expression" dxfId="5988" priority="6541" stopIfTrue="1">
      <formula>$G583=""</formula>
    </cfRule>
    <cfRule type="expression" dxfId="5987" priority="6542" stopIfTrue="1">
      <formula>$N586="BAM"</formula>
    </cfRule>
    <cfRule type="expression" dxfId="5986" priority="6550">
      <formula>$AF$49&gt;$T$49</formula>
    </cfRule>
  </conditionalFormatting>
  <conditionalFormatting sqref="AC586:AE586">
    <cfRule type="expression" dxfId="5985" priority="6547" stopIfTrue="1">
      <formula>$G583=""</formula>
    </cfRule>
  </conditionalFormatting>
  <conditionalFormatting sqref="T585:U585">
    <cfRule type="expression" dxfId="5984" priority="6514" stopIfTrue="1">
      <formula>$G583=""</formula>
    </cfRule>
  </conditionalFormatting>
  <conditionalFormatting sqref="T585:U585">
    <cfRule type="containsBlanks" dxfId="5983" priority="6544" stopIfTrue="1">
      <formula>LEN(TRIM(T585))=0</formula>
    </cfRule>
  </conditionalFormatting>
  <conditionalFormatting sqref="AC583:AE583">
    <cfRule type="expression" dxfId="5982" priority="6543">
      <formula>$G583=""</formula>
    </cfRule>
  </conditionalFormatting>
  <conditionalFormatting sqref="AF585 AG586">
    <cfRule type="containsBlanks" dxfId="5981" priority="6548" stopIfTrue="1">
      <formula>LEN(TRIM(AF585))=0</formula>
    </cfRule>
  </conditionalFormatting>
  <conditionalFormatting sqref="AF585">
    <cfRule type="expression" dxfId="5980" priority="6549">
      <formula>OR($HS584=FALSE,$HT584=FALSE)</formula>
    </cfRule>
  </conditionalFormatting>
  <conditionalFormatting sqref="AG586">
    <cfRule type="expression" dxfId="5979" priority="6507">
      <formula>$C$43&gt;0</formula>
    </cfRule>
  </conditionalFormatting>
  <conditionalFormatting sqref="AG586">
    <cfRule type="expression" dxfId="5978" priority="6540" stopIfTrue="1">
      <formula>$G583=""</formula>
    </cfRule>
  </conditionalFormatting>
  <conditionalFormatting sqref="U585">
    <cfRule type="expression" dxfId="5977" priority="6545">
      <formula>OR($HK584=FALSE,$HL584=FALSE)</formula>
    </cfRule>
  </conditionalFormatting>
  <conditionalFormatting sqref="T584:U584">
    <cfRule type="expression" dxfId="5976" priority="6535" stopIfTrue="1">
      <formula>$C$43&lt;&gt;0</formula>
    </cfRule>
    <cfRule type="containsBlanks" dxfId="5975" priority="6536" stopIfTrue="1">
      <formula>LEN(TRIM(T584))=0</formula>
    </cfRule>
  </conditionalFormatting>
  <conditionalFormatting sqref="T584:U584">
    <cfRule type="expression" dxfId="5974" priority="6534" stopIfTrue="1">
      <formula>$G583=""</formula>
    </cfRule>
  </conditionalFormatting>
  <conditionalFormatting sqref="U584">
    <cfRule type="expression" dxfId="5973" priority="6537">
      <formula>$HJ584=FALSE</formula>
    </cfRule>
  </conditionalFormatting>
  <conditionalFormatting sqref="AG585">
    <cfRule type="expression" dxfId="5972" priority="6525" stopIfTrue="1">
      <formula>$G583=""</formula>
    </cfRule>
  </conditionalFormatting>
  <conditionalFormatting sqref="AG585:AL585">
    <cfRule type="expression" dxfId="5971" priority="6526">
      <formula>$N586="BAM"</formula>
    </cfRule>
    <cfRule type="expression" dxfId="5970" priority="6530">
      <formula>OR($HU584=FALSE,$HQ584=FALSE)</formula>
    </cfRule>
  </conditionalFormatting>
  <conditionalFormatting sqref="AG585">
    <cfRule type="containsBlanks" dxfId="5969" priority="6527" stopIfTrue="1">
      <formula>LEN(TRIM(AG585))=0</formula>
    </cfRule>
    <cfRule type="expression" dxfId="5968" priority="6528">
      <formula>OR($HP584=FALSE,$HR584=FALSE)</formula>
    </cfRule>
    <cfRule type="expression" dxfId="5967" priority="6529">
      <formula>OR($DS583=7,$DS583=8,$DS583=9)</formula>
    </cfRule>
  </conditionalFormatting>
  <conditionalFormatting sqref="AG583:AL583">
    <cfRule type="expression" dxfId="5966" priority="6524">
      <formula>$C$43&lt;&gt;0</formula>
    </cfRule>
  </conditionalFormatting>
  <conditionalFormatting sqref="AF584">
    <cfRule type="containsBlanks" dxfId="5965" priority="6523">
      <formula>LEN(TRIM(AF584))=0</formula>
    </cfRule>
  </conditionalFormatting>
  <conditionalFormatting sqref="AF584">
    <cfRule type="expression" dxfId="5964" priority="6522" stopIfTrue="1">
      <formula>$G583=""</formula>
    </cfRule>
  </conditionalFormatting>
  <conditionalFormatting sqref="AG584">
    <cfRule type="containsBlanks" dxfId="5963" priority="6520">
      <formula>LEN(TRIM(AG584))=0</formula>
    </cfRule>
    <cfRule type="expression" dxfId="5962" priority="6521">
      <formula>$HO584=FALSE</formula>
    </cfRule>
  </conditionalFormatting>
  <conditionalFormatting sqref="AG584">
    <cfRule type="expression" dxfId="5961" priority="6519" stopIfTrue="1">
      <formula>$G583=""</formula>
    </cfRule>
  </conditionalFormatting>
  <conditionalFormatting sqref="AF584:AK584">
    <cfRule type="expression" dxfId="5960" priority="6518">
      <formula>$C$43&gt;0</formula>
    </cfRule>
  </conditionalFormatting>
  <conditionalFormatting sqref="AM583:AN584">
    <cfRule type="expression" dxfId="5959" priority="6517">
      <formula>$G583=""</formula>
    </cfRule>
  </conditionalFormatting>
  <conditionalFormatting sqref="AM585:AN585">
    <cfRule type="expression" dxfId="5958" priority="6516" stopIfTrue="1">
      <formula>$G583=""</formula>
    </cfRule>
  </conditionalFormatting>
  <conditionalFormatting sqref="T585">
    <cfRule type="expression" dxfId="5957" priority="6538" stopIfTrue="1">
      <formula>$N586="BAM"</formula>
    </cfRule>
  </conditionalFormatting>
  <conditionalFormatting sqref="U585:AE585">
    <cfRule type="expression" dxfId="5956" priority="6515" stopIfTrue="1">
      <formula>$N586="BAM"</formula>
    </cfRule>
  </conditionalFormatting>
  <conditionalFormatting sqref="AG586:AL586">
    <cfRule type="expression" dxfId="5955" priority="6539" stopIfTrue="1">
      <formula>$N586="BAM"</formula>
    </cfRule>
  </conditionalFormatting>
  <conditionalFormatting sqref="AX589">
    <cfRule type="expression" dxfId="5954" priority="6505">
      <formula>$E589=""</formula>
    </cfRule>
  </conditionalFormatting>
  <conditionalFormatting sqref="AX588">
    <cfRule type="expression" dxfId="5953" priority="6504">
      <formula>$E588=""</formula>
    </cfRule>
  </conditionalFormatting>
  <conditionalFormatting sqref="AX590">
    <cfRule type="expression" dxfId="5952" priority="6503">
      <formula>#REF!=""</formula>
    </cfRule>
  </conditionalFormatting>
  <conditionalFormatting sqref="AX591">
    <cfRule type="expression" dxfId="5951" priority="6502">
      <formula>$E590=""</formula>
    </cfRule>
  </conditionalFormatting>
  <conditionalFormatting sqref="AY588:AZ591">
    <cfRule type="expression" dxfId="5950" priority="6501">
      <formula>$G588=""</formula>
    </cfRule>
  </conditionalFormatting>
  <conditionalFormatting sqref="G590">
    <cfRule type="expression" dxfId="5949" priority="6498" stopIfTrue="1">
      <formula>$G588=""</formula>
    </cfRule>
    <cfRule type="containsBlanks" dxfId="5948" priority="6499" stopIfTrue="1">
      <formula>LEN(TRIM(G590))=0</formula>
    </cfRule>
    <cfRule type="expression" dxfId="5947" priority="6500">
      <formula>OR($M590=0,$HH589=FALSE)</formula>
    </cfRule>
  </conditionalFormatting>
  <conditionalFormatting sqref="AO590">
    <cfRule type="expression" dxfId="5946" priority="6497" stopIfTrue="1">
      <formula>$G588=""</formula>
    </cfRule>
  </conditionalFormatting>
  <conditionalFormatting sqref="AU588:AU591">
    <cfRule type="expression" dxfId="5945" priority="6494" stopIfTrue="1">
      <formula>$C$43=2</formula>
    </cfRule>
    <cfRule type="cellIs" dxfId="5944" priority="6495" operator="equal">
      <formula>"Yes"</formula>
    </cfRule>
    <cfRule type="cellIs" dxfId="5943" priority="6496" operator="equal">
      <formula>"No"</formula>
    </cfRule>
  </conditionalFormatting>
  <conditionalFormatting sqref="AO588:AO589">
    <cfRule type="expression" dxfId="5942" priority="6493">
      <formula>$G588=""</formula>
    </cfRule>
  </conditionalFormatting>
  <conditionalFormatting sqref="AP588 AR588:AS591">
    <cfRule type="expression" dxfId="5941" priority="6492">
      <formula>$G588=""</formula>
    </cfRule>
  </conditionalFormatting>
  <conditionalFormatting sqref="AW588:AW591">
    <cfRule type="expression" dxfId="5940" priority="6491">
      <formula>$G588=""</formula>
    </cfRule>
  </conditionalFormatting>
  <conditionalFormatting sqref="G589:L589">
    <cfRule type="expression" dxfId="5939" priority="6489" stopIfTrue="1">
      <formula>$G588=""</formula>
    </cfRule>
    <cfRule type="containsBlanks" dxfId="5938" priority="6490">
      <formula>LEN(TRIM(G589))=0</formula>
    </cfRule>
  </conditionalFormatting>
  <conditionalFormatting sqref="R590">
    <cfRule type="expression" dxfId="5937" priority="6486">
      <formula>$N591="BAM"</formula>
    </cfRule>
    <cfRule type="expression" dxfId="5936" priority="6487" stopIfTrue="1">
      <formula>$G588=""</formula>
    </cfRule>
    <cfRule type="containsBlanks" dxfId="5935" priority="6488">
      <formula>LEN(TRIM(R590))=0</formula>
    </cfRule>
  </conditionalFormatting>
  <conditionalFormatting sqref="R590">
    <cfRule type="expression" dxfId="5934" priority="6485">
      <formula>$C$43=0</formula>
    </cfRule>
  </conditionalFormatting>
  <conditionalFormatting sqref="E591:F591">
    <cfRule type="expression" dxfId="5933" priority="6484">
      <formula>$CQ588="Exterior"</formula>
    </cfRule>
  </conditionalFormatting>
  <conditionalFormatting sqref="R589">
    <cfRule type="expression" dxfId="5932" priority="6481" stopIfTrue="1">
      <formula>$N591="BAM"</formula>
    </cfRule>
  </conditionalFormatting>
  <conditionalFormatting sqref="R589">
    <cfRule type="containsBlanks" dxfId="5931" priority="6482">
      <formula>LEN(TRIM(R589))=0</formula>
    </cfRule>
  </conditionalFormatting>
  <conditionalFormatting sqref="R589">
    <cfRule type="expression" dxfId="5930" priority="6480" stopIfTrue="1">
      <formula>$G588=""</formula>
    </cfRule>
    <cfRule type="expression" dxfId="5929" priority="6483">
      <formula>$HY589=FALSE</formula>
    </cfRule>
  </conditionalFormatting>
  <conditionalFormatting sqref="G591">
    <cfRule type="expression" dxfId="5928" priority="6474" stopIfTrue="1">
      <formula>$G588=""</formula>
    </cfRule>
  </conditionalFormatting>
  <conditionalFormatting sqref="G591">
    <cfRule type="expression" dxfId="5927" priority="6476" stopIfTrue="1">
      <formula>$CQ588="Exterior"</formula>
    </cfRule>
  </conditionalFormatting>
  <conditionalFormatting sqref="G591:L591">
    <cfRule type="expression" dxfId="5926" priority="6475" stopIfTrue="1">
      <formula>$N591="BAM"</formula>
    </cfRule>
    <cfRule type="containsBlanks" dxfId="5925" priority="6477" stopIfTrue="1">
      <formula>LEN(TRIM(G591))=0</formula>
    </cfRule>
    <cfRule type="expression" dxfId="5924" priority="6479">
      <formula>$HQ589=FALSE</formula>
    </cfRule>
  </conditionalFormatting>
  <conditionalFormatting sqref="G591:L591">
    <cfRule type="expression" dxfId="5923" priority="6478" stopIfTrue="1">
      <formula>$AG590=""</formula>
    </cfRule>
  </conditionalFormatting>
  <conditionalFormatting sqref="G590:L590">
    <cfRule type="expression" dxfId="5922" priority="6472" stopIfTrue="1">
      <formula>$N591="BAM"</formula>
    </cfRule>
  </conditionalFormatting>
  <conditionalFormatting sqref="G588:R588">
    <cfRule type="containsBlanks" dxfId="5921" priority="6471">
      <formula>LEN(TRIM(G588))=0</formula>
    </cfRule>
  </conditionalFormatting>
  <conditionalFormatting sqref="AF590">
    <cfRule type="expression" dxfId="5920" priority="6461" stopIfTrue="1">
      <formula>$G588=""</formula>
    </cfRule>
    <cfRule type="expression" dxfId="5919" priority="6462" stopIfTrue="1">
      <formula>$N591="BAM"</formula>
    </cfRule>
    <cfRule type="expression" dxfId="5918" priority="6470">
      <formula>$AF$49&gt;$T$49</formula>
    </cfRule>
  </conditionalFormatting>
  <conditionalFormatting sqref="AC591:AE591">
    <cfRule type="expression" dxfId="5917" priority="6467" stopIfTrue="1">
      <formula>$G588=""</formula>
    </cfRule>
  </conditionalFormatting>
  <conditionalFormatting sqref="T590:U590">
    <cfRule type="expression" dxfId="5916" priority="6434" stopIfTrue="1">
      <formula>$G588=""</formula>
    </cfRule>
  </conditionalFormatting>
  <conditionalFormatting sqref="T590:U590">
    <cfRule type="containsBlanks" dxfId="5915" priority="6464" stopIfTrue="1">
      <formula>LEN(TRIM(T590))=0</formula>
    </cfRule>
  </conditionalFormatting>
  <conditionalFormatting sqref="AC588:AE588">
    <cfRule type="expression" dxfId="5914" priority="6463">
      <formula>$G588=""</formula>
    </cfRule>
  </conditionalFormatting>
  <conditionalFormatting sqref="AF590 AG591">
    <cfRule type="containsBlanks" dxfId="5913" priority="6468" stopIfTrue="1">
      <formula>LEN(TRIM(AF590))=0</formula>
    </cfRule>
  </conditionalFormatting>
  <conditionalFormatting sqref="AF590">
    <cfRule type="expression" dxfId="5912" priority="6469">
      <formula>OR($HS589=FALSE,$HT589=FALSE)</formula>
    </cfRule>
  </conditionalFormatting>
  <conditionalFormatting sqref="AG591">
    <cfRule type="expression" dxfId="5911" priority="6427">
      <formula>$C$43&gt;0</formula>
    </cfRule>
  </conditionalFormatting>
  <conditionalFormatting sqref="AG591">
    <cfRule type="expression" dxfId="5910" priority="6460" stopIfTrue="1">
      <formula>$G588=""</formula>
    </cfRule>
  </conditionalFormatting>
  <conditionalFormatting sqref="U590">
    <cfRule type="expression" dxfId="5909" priority="6465">
      <formula>OR($HK589=FALSE,$HL589=FALSE)</formula>
    </cfRule>
  </conditionalFormatting>
  <conditionalFormatting sqref="T589:U589">
    <cfRule type="expression" dxfId="5908" priority="6455" stopIfTrue="1">
      <formula>$C$43&lt;&gt;0</formula>
    </cfRule>
    <cfRule type="containsBlanks" dxfId="5907" priority="6456" stopIfTrue="1">
      <formula>LEN(TRIM(T589))=0</formula>
    </cfRule>
  </conditionalFormatting>
  <conditionalFormatting sqref="T589:U589">
    <cfRule type="expression" dxfId="5906" priority="6454" stopIfTrue="1">
      <formula>$G588=""</formula>
    </cfRule>
  </conditionalFormatting>
  <conditionalFormatting sqref="U589">
    <cfRule type="expression" dxfId="5905" priority="6457">
      <formula>$HJ589=FALSE</formula>
    </cfRule>
  </conditionalFormatting>
  <conditionalFormatting sqref="AG590">
    <cfRule type="expression" dxfId="5904" priority="6445" stopIfTrue="1">
      <formula>$G588=""</formula>
    </cfRule>
  </conditionalFormatting>
  <conditionalFormatting sqref="AG590:AL590">
    <cfRule type="expression" dxfId="5903" priority="6446">
      <formula>$N591="BAM"</formula>
    </cfRule>
    <cfRule type="expression" dxfId="5902" priority="6450">
      <formula>OR($HU589=FALSE,$HQ589=FALSE)</formula>
    </cfRule>
  </conditionalFormatting>
  <conditionalFormatting sqref="AG590">
    <cfRule type="containsBlanks" dxfId="5901" priority="6447" stopIfTrue="1">
      <formula>LEN(TRIM(AG590))=0</formula>
    </cfRule>
    <cfRule type="expression" dxfId="5900" priority="6448">
      <formula>OR($HP589=FALSE,$HR589=FALSE)</formula>
    </cfRule>
    <cfRule type="expression" dxfId="5899" priority="6449">
      <formula>OR($DS588=7,$DS588=8,$DS588=9)</formula>
    </cfRule>
  </conditionalFormatting>
  <conditionalFormatting sqref="AG588:AL588">
    <cfRule type="expression" dxfId="5898" priority="6444">
      <formula>$C$43&lt;&gt;0</formula>
    </cfRule>
  </conditionalFormatting>
  <conditionalFormatting sqref="AF589">
    <cfRule type="containsBlanks" dxfId="5897" priority="6443">
      <formula>LEN(TRIM(AF589))=0</formula>
    </cfRule>
  </conditionalFormatting>
  <conditionalFormatting sqref="AF589">
    <cfRule type="expression" dxfId="5896" priority="6442" stopIfTrue="1">
      <formula>$G588=""</formula>
    </cfRule>
  </conditionalFormatting>
  <conditionalFormatting sqref="AG589">
    <cfRule type="containsBlanks" dxfId="5895" priority="6440">
      <formula>LEN(TRIM(AG589))=0</formula>
    </cfRule>
    <cfRule type="expression" dxfId="5894" priority="6441">
      <formula>$HO589=FALSE</formula>
    </cfRule>
  </conditionalFormatting>
  <conditionalFormatting sqref="AG589">
    <cfRule type="expression" dxfId="5893" priority="6439" stopIfTrue="1">
      <formula>$G588=""</formula>
    </cfRule>
  </conditionalFormatting>
  <conditionalFormatting sqref="AF589:AK589">
    <cfRule type="expression" dxfId="5892" priority="6438">
      <formula>$C$43&gt;0</formula>
    </cfRule>
  </conditionalFormatting>
  <conditionalFormatting sqref="AM588:AN589">
    <cfRule type="expression" dxfId="5891" priority="6437">
      <formula>$G588=""</formula>
    </cfRule>
  </conditionalFormatting>
  <conditionalFormatting sqref="AM590:AN590">
    <cfRule type="expression" dxfId="5890" priority="6436" stopIfTrue="1">
      <formula>$G588=""</formula>
    </cfRule>
  </conditionalFormatting>
  <conditionalFormatting sqref="T590">
    <cfRule type="expression" dxfId="5889" priority="6458" stopIfTrue="1">
      <formula>$N591="BAM"</formula>
    </cfRule>
  </conditionalFormatting>
  <conditionalFormatting sqref="U590:AE590">
    <cfRule type="expression" dxfId="5888" priority="6435" stopIfTrue="1">
      <formula>$N591="BAM"</formula>
    </cfRule>
  </conditionalFormatting>
  <conditionalFormatting sqref="AG591:AL591">
    <cfRule type="expression" dxfId="5887" priority="6459" stopIfTrue="1">
      <formula>$N591="BAM"</formula>
    </cfRule>
  </conditionalFormatting>
  <conditionalFormatting sqref="AX594">
    <cfRule type="expression" dxfId="5886" priority="6425">
      <formula>$E594=""</formula>
    </cfRule>
  </conditionalFormatting>
  <conditionalFormatting sqref="AX593">
    <cfRule type="expression" dxfId="5885" priority="6424">
      <formula>$E593=""</formula>
    </cfRule>
  </conditionalFormatting>
  <conditionalFormatting sqref="AX595">
    <cfRule type="expression" dxfId="5884" priority="6423">
      <formula>#REF!=""</formula>
    </cfRule>
  </conditionalFormatting>
  <conditionalFormatting sqref="AX596">
    <cfRule type="expression" dxfId="5883" priority="6422">
      <formula>$E595=""</formula>
    </cfRule>
  </conditionalFormatting>
  <conditionalFormatting sqref="AY593:AZ596">
    <cfRule type="expression" dxfId="5882" priority="6421">
      <formula>$G593=""</formula>
    </cfRule>
  </conditionalFormatting>
  <conditionalFormatting sqref="G595">
    <cfRule type="expression" dxfId="5881" priority="6418" stopIfTrue="1">
      <formula>$G593=""</formula>
    </cfRule>
    <cfRule type="containsBlanks" dxfId="5880" priority="6419" stopIfTrue="1">
      <formula>LEN(TRIM(G595))=0</formula>
    </cfRule>
    <cfRule type="expression" dxfId="5879" priority="6420">
      <formula>OR($M595=0,$HH594=FALSE)</formula>
    </cfRule>
  </conditionalFormatting>
  <conditionalFormatting sqref="AO595">
    <cfRule type="expression" dxfId="5878" priority="6417" stopIfTrue="1">
      <formula>$G593=""</formula>
    </cfRule>
  </conditionalFormatting>
  <conditionalFormatting sqref="AU593:AU596">
    <cfRule type="expression" dxfId="5877" priority="6414" stopIfTrue="1">
      <formula>$C$43=2</formula>
    </cfRule>
    <cfRule type="cellIs" dxfId="5876" priority="6415" operator="equal">
      <formula>"Yes"</formula>
    </cfRule>
    <cfRule type="cellIs" dxfId="5875" priority="6416" operator="equal">
      <formula>"No"</formula>
    </cfRule>
  </conditionalFormatting>
  <conditionalFormatting sqref="AO593:AO594">
    <cfRule type="expression" dxfId="5874" priority="6413">
      <formula>$G593=""</formula>
    </cfRule>
  </conditionalFormatting>
  <conditionalFormatting sqref="AP593 AR593:AS596">
    <cfRule type="expression" dxfId="5873" priority="6412">
      <formula>$G593=""</formula>
    </cfRule>
  </conditionalFormatting>
  <conditionalFormatting sqref="AW593:AW596">
    <cfRule type="expression" dxfId="5872" priority="6411">
      <formula>$G593=""</formula>
    </cfRule>
  </conditionalFormatting>
  <conditionalFormatting sqref="G594:L594">
    <cfRule type="expression" dxfId="5871" priority="6409" stopIfTrue="1">
      <formula>$G593=""</formula>
    </cfRule>
    <cfRule type="containsBlanks" dxfId="5870" priority="6410">
      <formula>LEN(TRIM(G594))=0</formula>
    </cfRule>
  </conditionalFormatting>
  <conditionalFormatting sqref="R595">
    <cfRule type="expression" dxfId="5869" priority="6406">
      <formula>$N596="BAM"</formula>
    </cfRule>
    <cfRule type="expression" dxfId="5868" priority="6407" stopIfTrue="1">
      <formula>$G593=""</formula>
    </cfRule>
    <cfRule type="containsBlanks" dxfId="5867" priority="6408">
      <formula>LEN(TRIM(R595))=0</formula>
    </cfRule>
  </conditionalFormatting>
  <conditionalFormatting sqref="R595">
    <cfRule type="expression" dxfId="5866" priority="6405">
      <formula>$C$43=0</formula>
    </cfRule>
  </conditionalFormatting>
  <conditionalFormatting sqref="E596:F596">
    <cfRule type="expression" dxfId="5865" priority="6404">
      <formula>$CQ593="Exterior"</formula>
    </cfRule>
  </conditionalFormatting>
  <conditionalFormatting sqref="R594">
    <cfRule type="expression" dxfId="5864" priority="6401" stopIfTrue="1">
      <formula>$N596="BAM"</formula>
    </cfRule>
  </conditionalFormatting>
  <conditionalFormatting sqref="R594">
    <cfRule type="containsBlanks" dxfId="5863" priority="6402">
      <formula>LEN(TRIM(R594))=0</formula>
    </cfRule>
  </conditionalFormatting>
  <conditionalFormatting sqref="R594">
    <cfRule type="expression" dxfId="5862" priority="6400" stopIfTrue="1">
      <formula>$G593=""</formula>
    </cfRule>
    <cfRule type="expression" dxfId="5861" priority="6403">
      <formula>$HY594=FALSE</formula>
    </cfRule>
  </conditionalFormatting>
  <conditionalFormatting sqref="G596">
    <cfRule type="expression" dxfId="5860" priority="6394" stopIfTrue="1">
      <formula>$G593=""</formula>
    </cfRule>
  </conditionalFormatting>
  <conditionalFormatting sqref="G596">
    <cfRule type="expression" dxfId="5859" priority="6396" stopIfTrue="1">
      <formula>$CQ593="Exterior"</formula>
    </cfRule>
  </conditionalFormatting>
  <conditionalFormatting sqref="G596:L596">
    <cfRule type="expression" dxfId="5858" priority="6395" stopIfTrue="1">
      <formula>$N596="BAM"</formula>
    </cfRule>
    <cfRule type="containsBlanks" dxfId="5857" priority="6397" stopIfTrue="1">
      <formula>LEN(TRIM(G596))=0</formula>
    </cfRule>
    <cfRule type="expression" dxfId="5856" priority="6399">
      <formula>$HQ594=FALSE</formula>
    </cfRule>
  </conditionalFormatting>
  <conditionalFormatting sqref="G596:L596">
    <cfRule type="expression" dxfId="5855" priority="6398" stopIfTrue="1">
      <formula>$AG595=""</formula>
    </cfRule>
  </conditionalFormatting>
  <conditionalFormatting sqref="G595:L595">
    <cfRule type="expression" dxfId="5854" priority="6392" stopIfTrue="1">
      <formula>$N596="BAM"</formula>
    </cfRule>
  </conditionalFormatting>
  <conditionalFormatting sqref="G593:R593">
    <cfRule type="containsBlanks" dxfId="5853" priority="6391">
      <formula>LEN(TRIM(G593))=0</formula>
    </cfRule>
  </conditionalFormatting>
  <conditionalFormatting sqref="AF595">
    <cfRule type="expression" dxfId="5852" priority="6381" stopIfTrue="1">
      <formula>$G593=""</formula>
    </cfRule>
    <cfRule type="expression" dxfId="5851" priority="6382" stopIfTrue="1">
      <formula>$N596="BAM"</formula>
    </cfRule>
    <cfRule type="expression" dxfId="5850" priority="6390">
      <formula>$AF$49&gt;$T$49</formula>
    </cfRule>
  </conditionalFormatting>
  <conditionalFormatting sqref="AC596:AE596">
    <cfRule type="expression" dxfId="5849" priority="6387" stopIfTrue="1">
      <formula>$G593=""</formula>
    </cfRule>
  </conditionalFormatting>
  <conditionalFormatting sqref="T595:U595">
    <cfRule type="expression" dxfId="5848" priority="6354" stopIfTrue="1">
      <formula>$G593=""</formula>
    </cfRule>
  </conditionalFormatting>
  <conditionalFormatting sqref="T595:U595">
    <cfRule type="containsBlanks" dxfId="5847" priority="6384" stopIfTrue="1">
      <formula>LEN(TRIM(T595))=0</formula>
    </cfRule>
  </conditionalFormatting>
  <conditionalFormatting sqref="AC593:AE593">
    <cfRule type="expression" dxfId="5846" priority="6383">
      <formula>$G593=""</formula>
    </cfRule>
  </conditionalFormatting>
  <conditionalFormatting sqref="AF595 AG596">
    <cfRule type="containsBlanks" dxfId="5845" priority="6388" stopIfTrue="1">
      <formula>LEN(TRIM(AF595))=0</formula>
    </cfRule>
  </conditionalFormatting>
  <conditionalFormatting sqref="AF595">
    <cfRule type="expression" dxfId="5844" priority="6389">
      <formula>OR($HS594=FALSE,$HT594=FALSE)</formula>
    </cfRule>
  </conditionalFormatting>
  <conditionalFormatting sqref="AG596">
    <cfRule type="expression" dxfId="5843" priority="6347">
      <formula>$C$43&gt;0</formula>
    </cfRule>
  </conditionalFormatting>
  <conditionalFormatting sqref="AG596">
    <cfRule type="expression" dxfId="5842" priority="6380" stopIfTrue="1">
      <formula>$G593=""</formula>
    </cfRule>
  </conditionalFormatting>
  <conditionalFormatting sqref="U595">
    <cfRule type="expression" dxfId="5841" priority="6385">
      <formula>OR($HK594=FALSE,$HL594=FALSE)</formula>
    </cfRule>
  </conditionalFormatting>
  <conditionalFormatting sqref="T594:U594">
    <cfRule type="expression" dxfId="5840" priority="6375" stopIfTrue="1">
      <formula>$C$43&lt;&gt;0</formula>
    </cfRule>
    <cfRule type="containsBlanks" dxfId="5839" priority="6376" stopIfTrue="1">
      <formula>LEN(TRIM(T594))=0</formula>
    </cfRule>
  </conditionalFormatting>
  <conditionalFormatting sqref="T594:U594">
    <cfRule type="expression" dxfId="5838" priority="6374" stopIfTrue="1">
      <formula>$G593=""</formula>
    </cfRule>
  </conditionalFormatting>
  <conditionalFormatting sqref="U594">
    <cfRule type="expression" dxfId="5837" priority="6377">
      <formula>$HJ594=FALSE</formula>
    </cfRule>
  </conditionalFormatting>
  <conditionalFormatting sqref="AG595">
    <cfRule type="expression" dxfId="5836" priority="6365" stopIfTrue="1">
      <formula>$G593=""</formula>
    </cfRule>
  </conditionalFormatting>
  <conditionalFormatting sqref="AG595:AL595">
    <cfRule type="expression" dxfId="5835" priority="6366">
      <formula>$N596="BAM"</formula>
    </cfRule>
    <cfRule type="expression" dxfId="5834" priority="6370">
      <formula>OR($HU594=FALSE,$HQ594=FALSE)</formula>
    </cfRule>
  </conditionalFormatting>
  <conditionalFormatting sqref="AG595">
    <cfRule type="containsBlanks" dxfId="5833" priority="6367" stopIfTrue="1">
      <formula>LEN(TRIM(AG595))=0</formula>
    </cfRule>
    <cfRule type="expression" dxfId="5832" priority="6368">
      <formula>OR($HP594=FALSE,$HR594=FALSE)</formula>
    </cfRule>
    <cfRule type="expression" dxfId="5831" priority="6369">
      <formula>OR($DS593=7,$DS593=8,$DS593=9)</formula>
    </cfRule>
  </conditionalFormatting>
  <conditionalFormatting sqref="AG593:AL593">
    <cfRule type="expression" dxfId="5830" priority="6364">
      <formula>$C$43&lt;&gt;0</formula>
    </cfRule>
  </conditionalFormatting>
  <conditionalFormatting sqref="AF594">
    <cfRule type="containsBlanks" dxfId="5829" priority="6363">
      <formula>LEN(TRIM(AF594))=0</formula>
    </cfRule>
  </conditionalFormatting>
  <conditionalFormatting sqref="AF594">
    <cfRule type="expression" dxfId="5828" priority="6362" stopIfTrue="1">
      <formula>$G593=""</formula>
    </cfRule>
  </conditionalFormatting>
  <conditionalFormatting sqref="AG594">
    <cfRule type="containsBlanks" dxfId="5827" priority="6360">
      <formula>LEN(TRIM(AG594))=0</formula>
    </cfRule>
    <cfRule type="expression" dxfId="5826" priority="6361">
      <formula>$HO594=FALSE</formula>
    </cfRule>
  </conditionalFormatting>
  <conditionalFormatting sqref="AG594">
    <cfRule type="expression" dxfId="5825" priority="6359" stopIfTrue="1">
      <formula>$G593=""</formula>
    </cfRule>
  </conditionalFormatting>
  <conditionalFormatting sqref="AF594:AK594">
    <cfRule type="expression" dxfId="5824" priority="6358">
      <formula>$C$43&gt;0</formula>
    </cfRule>
  </conditionalFormatting>
  <conditionalFormatting sqref="AM593:AN594">
    <cfRule type="expression" dxfId="5823" priority="6357">
      <formula>$G593=""</formula>
    </cfRule>
  </conditionalFormatting>
  <conditionalFormatting sqref="AM595:AN595">
    <cfRule type="expression" dxfId="5822" priority="6356" stopIfTrue="1">
      <formula>$G593=""</formula>
    </cfRule>
  </conditionalFormatting>
  <conditionalFormatting sqref="T595">
    <cfRule type="expression" dxfId="5821" priority="6378" stopIfTrue="1">
      <formula>$N596="BAM"</formula>
    </cfRule>
  </conditionalFormatting>
  <conditionalFormatting sqref="U595:AE595">
    <cfRule type="expression" dxfId="5820" priority="6355" stopIfTrue="1">
      <formula>$N596="BAM"</formula>
    </cfRule>
  </conditionalFormatting>
  <conditionalFormatting sqref="AG596:AL596">
    <cfRule type="expression" dxfId="5819" priority="6379" stopIfTrue="1">
      <formula>$N596="BAM"</formula>
    </cfRule>
  </conditionalFormatting>
  <conditionalFormatting sqref="AX599">
    <cfRule type="expression" dxfId="5818" priority="6345">
      <formula>$E599=""</formula>
    </cfRule>
  </conditionalFormatting>
  <conditionalFormatting sqref="AX598">
    <cfRule type="expression" dxfId="5817" priority="6344">
      <formula>$E598=""</formula>
    </cfRule>
  </conditionalFormatting>
  <conditionalFormatting sqref="AX600">
    <cfRule type="expression" dxfId="5816" priority="6343">
      <formula>#REF!=""</formula>
    </cfRule>
  </conditionalFormatting>
  <conditionalFormatting sqref="AX601">
    <cfRule type="expression" dxfId="5815" priority="6342">
      <formula>$E600=""</formula>
    </cfRule>
  </conditionalFormatting>
  <conditionalFormatting sqref="AY598:AZ601">
    <cfRule type="expression" dxfId="5814" priority="6341">
      <formula>$G598=""</formula>
    </cfRule>
  </conditionalFormatting>
  <conditionalFormatting sqref="G600">
    <cfRule type="expression" dxfId="5813" priority="6338" stopIfTrue="1">
      <formula>$G598=""</formula>
    </cfRule>
    <cfRule type="containsBlanks" dxfId="5812" priority="6339" stopIfTrue="1">
      <formula>LEN(TRIM(G600))=0</formula>
    </cfRule>
    <cfRule type="expression" dxfId="5811" priority="6340">
      <formula>OR($M600=0,$HH599=FALSE)</formula>
    </cfRule>
  </conditionalFormatting>
  <conditionalFormatting sqref="AO600">
    <cfRule type="expression" dxfId="5810" priority="6337" stopIfTrue="1">
      <formula>$G598=""</formula>
    </cfRule>
  </conditionalFormatting>
  <conditionalFormatting sqref="AU598:AU601">
    <cfRule type="expression" dxfId="5809" priority="6334" stopIfTrue="1">
      <formula>$C$43=2</formula>
    </cfRule>
    <cfRule type="cellIs" dxfId="5808" priority="6335" operator="equal">
      <formula>"Yes"</formula>
    </cfRule>
    <cfRule type="cellIs" dxfId="5807" priority="6336" operator="equal">
      <formula>"No"</formula>
    </cfRule>
  </conditionalFormatting>
  <conditionalFormatting sqref="AO598:AO599">
    <cfRule type="expression" dxfId="5806" priority="6333">
      <formula>$G598=""</formula>
    </cfRule>
  </conditionalFormatting>
  <conditionalFormatting sqref="AP598 AR598:AS601">
    <cfRule type="expression" dxfId="5805" priority="6332">
      <formula>$G598=""</formula>
    </cfRule>
  </conditionalFormatting>
  <conditionalFormatting sqref="AW598:AW601">
    <cfRule type="expression" dxfId="5804" priority="6331">
      <formula>$G598=""</formula>
    </cfRule>
  </conditionalFormatting>
  <conditionalFormatting sqref="G599:L599">
    <cfRule type="expression" dxfId="5803" priority="6329" stopIfTrue="1">
      <formula>$G598=""</formula>
    </cfRule>
    <cfRule type="containsBlanks" dxfId="5802" priority="6330">
      <formula>LEN(TRIM(G599))=0</formula>
    </cfRule>
  </conditionalFormatting>
  <conditionalFormatting sqref="R600">
    <cfRule type="expression" dxfId="5801" priority="6326">
      <formula>$N601="BAM"</formula>
    </cfRule>
    <cfRule type="expression" dxfId="5800" priority="6327" stopIfTrue="1">
      <formula>$G598=""</formula>
    </cfRule>
    <cfRule type="containsBlanks" dxfId="5799" priority="6328">
      <formula>LEN(TRIM(R600))=0</formula>
    </cfRule>
  </conditionalFormatting>
  <conditionalFormatting sqref="R600">
    <cfRule type="expression" dxfId="5798" priority="6325">
      <formula>$C$43=0</formula>
    </cfRule>
  </conditionalFormatting>
  <conditionalFormatting sqref="E601:F601">
    <cfRule type="expression" dxfId="5797" priority="6324">
      <formula>$CQ598="Exterior"</formula>
    </cfRule>
  </conditionalFormatting>
  <conditionalFormatting sqref="R599">
    <cfRule type="expression" dxfId="5796" priority="6321" stopIfTrue="1">
      <formula>$N601="BAM"</formula>
    </cfRule>
  </conditionalFormatting>
  <conditionalFormatting sqref="R599">
    <cfRule type="containsBlanks" dxfId="5795" priority="6322">
      <formula>LEN(TRIM(R599))=0</formula>
    </cfRule>
  </conditionalFormatting>
  <conditionalFormatting sqref="R599">
    <cfRule type="expression" dxfId="5794" priority="6320" stopIfTrue="1">
      <formula>$G598=""</formula>
    </cfRule>
    <cfRule type="expression" dxfId="5793" priority="6323">
      <formula>$HY599=FALSE</formula>
    </cfRule>
  </conditionalFormatting>
  <conditionalFormatting sqref="G601">
    <cfRule type="expression" dxfId="5792" priority="6314" stopIfTrue="1">
      <formula>$G598=""</formula>
    </cfRule>
  </conditionalFormatting>
  <conditionalFormatting sqref="G601">
    <cfRule type="expression" dxfId="5791" priority="6316" stopIfTrue="1">
      <formula>$CQ598="Exterior"</formula>
    </cfRule>
  </conditionalFormatting>
  <conditionalFormatting sqref="G601:L601">
    <cfRule type="expression" dxfId="5790" priority="6315" stopIfTrue="1">
      <formula>$N601="BAM"</formula>
    </cfRule>
    <cfRule type="containsBlanks" dxfId="5789" priority="6317" stopIfTrue="1">
      <formula>LEN(TRIM(G601))=0</formula>
    </cfRule>
    <cfRule type="expression" dxfId="5788" priority="6319">
      <formula>$HQ599=FALSE</formula>
    </cfRule>
  </conditionalFormatting>
  <conditionalFormatting sqref="G601:L601">
    <cfRule type="expression" dxfId="5787" priority="6318" stopIfTrue="1">
      <formula>$AG600=""</formula>
    </cfRule>
  </conditionalFormatting>
  <conditionalFormatting sqref="G600:L600">
    <cfRule type="expression" dxfId="5786" priority="6312" stopIfTrue="1">
      <formula>$N601="BAM"</formula>
    </cfRule>
  </conditionalFormatting>
  <conditionalFormatting sqref="G598:R598">
    <cfRule type="containsBlanks" dxfId="5785" priority="6311">
      <formula>LEN(TRIM(G598))=0</formula>
    </cfRule>
  </conditionalFormatting>
  <conditionalFormatting sqref="AF600">
    <cfRule type="expression" dxfId="5784" priority="6301" stopIfTrue="1">
      <formula>$G598=""</formula>
    </cfRule>
    <cfRule type="expression" dxfId="5783" priority="6302" stopIfTrue="1">
      <formula>$N601="BAM"</formula>
    </cfRule>
    <cfRule type="expression" dxfId="5782" priority="6310">
      <formula>$AF$49&gt;$T$49</formula>
    </cfRule>
  </conditionalFormatting>
  <conditionalFormatting sqref="AC601:AE601">
    <cfRule type="expression" dxfId="5781" priority="6307" stopIfTrue="1">
      <formula>$G598=""</formula>
    </cfRule>
  </conditionalFormatting>
  <conditionalFormatting sqref="T600:U600">
    <cfRule type="expression" dxfId="5780" priority="6274" stopIfTrue="1">
      <formula>$G598=""</formula>
    </cfRule>
  </conditionalFormatting>
  <conditionalFormatting sqref="T600:U600">
    <cfRule type="containsBlanks" dxfId="5779" priority="6304" stopIfTrue="1">
      <formula>LEN(TRIM(T600))=0</formula>
    </cfRule>
  </conditionalFormatting>
  <conditionalFormatting sqref="AC598:AE598">
    <cfRule type="expression" dxfId="5778" priority="6303">
      <formula>$G598=""</formula>
    </cfRule>
  </conditionalFormatting>
  <conditionalFormatting sqref="AF600 AG601">
    <cfRule type="containsBlanks" dxfId="5777" priority="6308" stopIfTrue="1">
      <formula>LEN(TRIM(AF600))=0</formula>
    </cfRule>
  </conditionalFormatting>
  <conditionalFormatting sqref="AF600">
    <cfRule type="expression" dxfId="5776" priority="6309">
      <formula>OR($HS599=FALSE,$HT599=FALSE)</formula>
    </cfRule>
  </conditionalFormatting>
  <conditionalFormatting sqref="AG601">
    <cfRule type="expression" dxfId="5775" priority="6267">
      <formula>$C$43&gt;0</formula>
    </cfRule>
  </conditionalFormatting>
  <conditionalFormatting sqref="AG601">
    <cfRule type="expression" dxfId="5774" priority="6300" stopIfTrue="1">
      <formula>$G598=""</formula>
    </cfRule>
  </conditionalFormatting>
  <conditionalFormatting sqref="U600">
    <cfRule type="expression" dxfId="5773" priority="6305">
      <formula>OR($HK599=FALSE,$HL599=FALSE)</formula>
    </cfRule>
  </conditionalFormatting>
  <conditionalFormatting sqref="T599:U599">
    <cfRule type="expression" dxfId="5772" priority="6295" stopIfTrue="1">
      <formula>$C$43&lt;&gt;0</formula>
    </cfRule>
    <cfRule type="containsBlanks" dxfId="5771" priority="6296" stopIfTrue="1">
      <formula>LEN(TRIM(T599))=0</formula>
    </cfRule>
  </conditionalFormatting>
  <conditionalFormatting sqref="T599:U599">
    <cfRule type="expression" dxfId="5770" priority="6294" stopIfTrue="1">
      <formula>$G598=""</formula>
    </cfRule>
  </conditionalFormatting>
  <conditionalFormatting sqref="U599">
    <cfRule type="expression" dxfId="5769" priority="6297">
      <formula>$HJ599=FALSE</formula>
    </cfRule>
  </conditionalFormatting>
  <conditionalFormatting sqref="AG600">
    <cfRule type="expression" dxfId="5768" priority="6285" stopIfTrue="1">
      <formula>$G598=""</formula>
    </cfRule>
  </conditionalFormatting>
  <conditionalFormatting sqref="AG600:AL600">
    <cfRule type="expression" dxfId="5767" priority="6286">
      <formula>$N601="BAM"</formula>
    </cfRule>
    <cfRule type="expression" dxfId="5766" priority="6290">
      <formula>OR($HU599=FALSE,$HQ599=FALSE)</formula>
    </cfRule>
  </conditionalFormatting>
  <conditionalFormatting sqref="AG600">
    <cfRule type="containsBlanks" dxfId="5765" priority="6287" stopIfTrue="1">
      <formula>LEN(TRIM(AG600))=0</formula>
    </cfRule>
    <cfRule type="expression" dxfId="5764" priority="6288">
      <formula>OR($HP599=FALSE,$HR599=FALSE)</formula>
    </cfRule>
    <cfRule type="expression" dxfId="5763" priority="6289">
      <formula>OR($DS598=7,$DS598=8,$DS598=9)</formula>
    </cfRule>
  </conditionalFormatting>
  <conditionalFormatting sqref="AG598:AL598">
    <cfRule type="expression" dxfId="5762" priority="6284">
      <formula>$C$43&lt;&gt;0</formula>
    </cfRule>
  </conditionalFormatting>
  <conditionalFormatting sqref="AF599">
    <cfRule type="containsBlanks" dxfId="5761" priority="6283">
      <formula>LEN(TRIM(AF599))=0</formula>
    </cfRule>
  </conditionalFormatting>
  <conditionalFormatting sqref="AF599">
    <cfRule type="expression" dxfId="5760" priority="6282" stopIfTrue="1">
      <formula>$G598=""</formula>
    </cfRule>
  </conditionalFormatting>
  <conditionalFormatting sqref="AG599">
    <cfRule type="containsBlanks" dxfId="5759" priority="6280">
      <formula>LEN(TRIM(AG599))=0</formula>
    </cfRule>
    <cfRule type="expression" dxfId="5758" priority="6281">
      <formula>$HO599=FALSE</formula>
    </cfRule>
  </conditionalFormatting>
  <conditionalFormatting sqref="AG599">
    <cfRule type="expression" dxfId="5757" priority="6279" stopIfTrue="1">
      <formula>$G598=""</formula>
    </cfRule>
  </conditionalFormatting>
  <conditionalFormatting sqref="AF599:AK599">
    <cfRule type="expression" dxfId="5756" priority="6278">
      <formula>$C$43&gt;0</formula>
    </cfRule>
  </conditionalFormatting>
  <conditionalFormatting sqref="AM598:AN599">
    <cfRule type="expression" dxfId="5755" priority="6277">
      <formula>$G598=""</formula>
    </cfRule>
  </conditionalFormatting>
  <conditionalFormatting sqref="AM600:AN600">
    <cfRule type="expression" dxfId="5754" priority="6276" stopIfTrue="1">
      <formula>$G598=""</formula>
    </cfRule>
  </conditionalFormatting>
  <conditionalFormatting sqref="T600">
    <cfRule type="expression" dxfId="5753" priority="6298" stopIfTrue="1">
      <formula>$N601="BAM"</formula>
    </cfRule>
  </conditionalFormatting>
  <conditionalFormatting sqref="U600:AE600">
    <cfRule type="expression" dxfId="5752" priority="6275" stopIfTrue="1">
      <formula>$N601="BAM"</formula>
    </cfRule>
  </conditionalFormatting>
  <conditionalFormatting sqref="AG601:AL601">
    <cfRule type="expression" dxfId="5751" priority="6299" stopIfTrue="1">
      <formula>$N601="BAM"</formula>
    </cfRule>
  </conditionalFormatting>
  <conditionalFormatting sqref="AX604">
    <cfRule type="expression" dxfId="5750" priority="6265">
      <formula>$E604=""</formula>
    </cfRule>
  </conditionalFormatting>
  <conditionalFormatting sqref="AX603">
    <cfRule type="expression" dxfId="5749" priority="6264">
      <formula>$E603=""</formula>
    </cfRule>
  </conditionalFormatting>
  <conditionalFormatting sqref="AX605">
    <cfRule type="expression" dxfId="5748" priority="6263">
      <formula>#REF!=""</formula>
    </cfRule>
  </conditionalFormatting>
  <conditionalFormatting sqref="AX606">
    <cfRule type="expression" dxfId="5747" priority="6262">
      <formula>$E605=""</formula>
    </cfRule>
  </conditionalFormatting>
  <conditionalFormatting sqref="AY603:AZ606">
    <cfRule type="expression" dxfId="5746" priority="6261">
      <formula>$G603=""</formula>
    </cfRule>
  </conditionalFormatting>
  <conditionalFormatting sqref="G605">
    <cfRule type="expression" dxfId="5745" priority="6258" stopIfTrue="1">
      <formula>$G603=""</formula>
    </cfRule>
    <cfRule type="containsBlanks" dxfId="5744" priority="6259" stopIfTrue="1">
      <formula>LEN(TRIM(G605))=0</formula>
    </cfRule>
    <cfRule type="expression" dxfId="5743" priority="6260">
      <formula>OR($M605=0,$HH604=FALSE)</formula>
    </cfRule>
  </conditionalFormatting>
  <conditionalFormatting sqref="AO605">
    <cfRule type="expression" dxfId="5742" priority="6257" stopIfTrue="1">
      <formula>$G603=""</formula>
    </cfRule>
  </conditionalFormatting>
  <conditionalFormatting sqref="AU603:AU606">
    <cfRule type="expression" dxfId="5741" priority="6254" stopIfTrue="1">
      <formula>$C$43=2</formula>
    </cfRule>
    <cfRule type="cellIs" dxfId="5740" priority="6255" operator="equal">
      <formula>"Yes"</formula>
    </cfRule>
    <cfRule type="cellIs" dxfId="5739" priority="6256" operator="equal">
      <formula>"No"</formula>
    </cfRule>
  </conditionalFormatting>
  <conditionalFormatting sqref="AO603:AO604">
    <cfRule type="expression" dxfId="5738" priority="6253">
      <formula>$G603=""</formula>
    </cfRule>
  </conditionalFormatting>
  <conditionalFormatting sqref="AP603 AR603:AS606">
    <cfRule type="expression" dxfId="5737" priority="6252">
      <formula>$G603=""</formula>
    </cfRule>
  </conditionalFormatting>
  <conditionalFormatting sqref="AW603:AW606">
    <cfRule type="expression" dxfId="5736" priority="6251">
      <formula>$G603=""</formula>
    </cfRule>
  </conditionalFormatting>
  <conditionalFormatting sqref="G604:L604">
    <cfRule type="expression" dxfId="5735" priority="6249" stopIfTrue="1">
      <formula>$G603=""</formula>
    </cfRule>
    <cfRule type="containsBlanks" dxfId="5734" priority="6250">
      <formula>LEN(TRIM(G604))=0</formula>
    </cfRule>
  </conditionalFormatting>
  <conditionalFormatting sqref="R605">
    <cfRule type="expression" dxfId="5733" priority="6246">
      <formula>$N606="BAM"</formula>
    </cfRule>
    <cfRule type="expression" dxfId="5732" priority="6247" stopIfTrue="1">
      <formula>$G603=""</formula>
    </cfRule>
    <cfRule type="containsBlanks" dxfId="5731" priority="6248">
      <formula>LEN(TRIM(R605))=0</formula>
    </cfRule>
  </conditionalFormatting>
  <conditionalFormatting sqref="R605">
    <cfRule type="expression" dxfId="5730" priority="6245">
      <formula>$C$43=0</formula>
    </cfRule>
  </conditionalFormatting>
  <conditionalFormatting sqref="E606:F606">
    <cfRule type="expression" dxfId="5729" priority="6244">
      <formula>$CQ603="Exterior"</formula>
    </cfRule>
  </conditionalFormatting>
  <conditionalFormatting sqref="R604">
    <cfRule type="expression" dxfId="5728" priority="6241" stopIfTrue="1">
      <formula>$N606="BAM"</formula>
    </cfRule>
  </conditionalFormatting>
  <conditionalFormatting sqref="R604">
    <cfRule type="containsBlanks" dxfId="5727" priority="6242">
      <formula>LEN(TRIM(R604))=0</formula>
    </cfRule>
  </conditionalFormatting>
  <conditionalFormatting sqref="R604">
    <cfRule type="expression" dxfId="5726" priority="6240" stopIfTrue="1">
      <formula>$G603=""</formula>
    </cfRule>
    <cfRule type="expression" dxfId="5725" priority="6243">
      <formula>$HY604=FALSE</formula>
    </cfRule>
  </conditionalFormatting>
  <conditionalFormatting sqref="G606">
    <cfRule type="expression" dxfId="5724" priority="6234" stopIfTrue="1">
      <formula>$G603=""</formula>
    </cfRule>
  </conditionalFormatting>
  <conditionalFormatting sqref="G606">
    <cfRule type="expression" dxfId="5723" priority="6236" stopIfTrue="1">
      <formula>$CQ603="Exterior"</formula>
    </cfRule>
  </conditionalFormatting>
  <conditionalFormatting sqref="G606:L606">
    <cfRule type="expression" dxfId="5722" priority="6235" stopIfTrue="1">
      <formula>$N606="BAM"</formula>
    </cfRule>
    <cfRule type="containsBlanks" dxfId="5721" priority="6237" stopIfTrue="1">
      <formula>LEN(TRIM(G606))=0</formula>
    </cfRule>
    <cfRule type="expression" dxfId="5720" priority="6239">
      <formula>$HQ604=FALSE</formula>
    </cfRule>
  </conditionalFormatting>
  <conditionalFormatting sqref="G606:L606">
    <cfRule type="expression" dxfId="5719" priority="6238" stopIfTrue="1">
      <formula>$AG605=""</formula>
    </cfRule>
  </conditionalFormatting>
  <conditionalFormatting sqref="G605:L605">
    <cfRule type="expression" dxfId="5718" priority="6232" stopIfTrue="1">
      <formula>$N606="BAM"</formula>
    </cfRule>
  </conditionalFormatting>
  <conditionalFormatting sqref="G603:R603">
    <cfRule type="containsBlanks" dxfId="5717" priority="6231">
      <formula>LEN(TRIM(G603))=0</formula>
    </cfRule>
  </conditionalFormatting>
  <conditionalFormatting sqref="AF605">
    <cfRule type="expression" dxfId="5716" priority="6221" stopIfTrue="1">
      <formula>$G603=""</formula>
    </cfRule>
    <cfRule type="expression" dxfId="5715" priority="6222" stopIfTrue="1">
      <formula>$N606="BAM"</formula>
    </cfRule>
    <cfRule type="expression" dxfId="5714" priority="6230">
      <formula>$AF$49&gt;$T$49</formula>
    </cfRule>
  </conditionalFormatting>
  <conditionalFormatting sqref="AC606:AE606">
    <cfRule type="expression" dxfId="5713" priority="6227" stopIfTrue="1">
      <formula>$G603=""</formula>
    </cfRule>
  </conditionalFormatting>
  <conditionalFormatting sqref="T605:U605">
    <cfRule type="expression" dxfId="5712" priority="6194" stopIfTrue="1">
      <formula>$G603=""</formula>
    </cfRule>
  </conditionalFormatting>
  <conditionalFormatting sqref="T605:U605">
    <cfRule type="containsBlanks" dxfId="5711" priority="6224" stopIfTrue="1">
      <formula>LEN(TRIM(T605))=0</formula>
    </cfRule>
  </conditionalFormatting>
  <conditionalFormatting sqref="AC603:AE603">
    <cfRule type="expression" dxfId="5710" priority="6223">
      <formula>$G603=""</formula>
    </cfRule>
  </conditionalFormatting>
  <conditionalFormatting sqref="AF605 AG606">
    <cfRule type="containsBlanks" dxfId="5709" priority="6228" stopIfTrue="1">
      <formula>LEN(TRIM(AF605))=0</formula>
    </cfRule>
  </conditionalFormatting>
  <conditionalFormatting sqref="AF605">
    <cfRule type="expression" dxfId="5708" priority="6229">
      <formula>OR($HS604=FALSE,$HT604=FALSE)</formula>
    </cfRule>
  </conditionalFormatting>
  <conditionalFormatting sqref="AG606">
    <cfRule type="expression" dxfId="5707" priority="6187">
      <formula>$C$43&gt;0</formula>
    </cfRule>
  </conditionalFormatting>
  <conditionalFormatting sqref="AG606">
    <cfRule type="expression" dxfId="5706" priority="6220" stopIfTrue="1">
      <formula>$G603=""</formula>
    </cfRule>
  </conditionalFormatting>
  <conditionalFormatting sqref="U605">
    <cfRule type="expression" dxfId="5705" priority="6225">
      <formula>OR($HK604=FALSE,$HL604=FALSE)</formula>
    </cfRule>
  </conditionalFormatting>
  <conditionalFormatting sqref="T604:U604">
    <cfRule type="expression" dxfId="5704" priority="6215" stopIfTrue="1">
      <formula>$C$43&lt;&gt;0</formula>
    </cfRule>
    <cfRule type="containsBlanks" dxfId="5703" priority="6216" stopIfTrue="1">
      <formula>LEN(TRIM(T604))=0</formula>
    </cfRule>
  </conditionalFormatting>
  <conditionalFormatting sqref="T604:U604">
    <cfRule type="expression" dxfId="5702" priority="6214" stopIfTrue="1">
      <formula>$G603=""</formula>
    </cfRule>
  </conditionalFormatting>
  <conditionalFormatting sqref="U604">
    <cfRule type="expression" dxfId="5701" priority="6217">
      <formula>$HJ604=FALSE</formula>
    </cfRule>
  </conditionalFormatting>
  <conditionalFormatting sqref="AG605">
    <cfRule type="expression" dxfId="5700" priority="6205" stopIfTrue="1">
      <formula>$G603=""</formula>
    </cfRule>
  </conditionalFormatting>
  <conditionalFormatting sqref="AG605:AL605">
    <cfRule type="expression" dxfId="5699" priority="6206">
      <formula>$N606="BAM"</formula>
    </cfRule>
    <cfRule type="expression" dxfId="5698" priority="6210">
      <formula>OR($HU604=FALSE,$HQ604=FALSE)</formula>
    </cfRule>
  </conditionalFormatting>
  <conditionalFormatting sqref="AG605">
    <cfRule type="containsBlanks" dxfId="5697" priority="6207" stopIfTrue="1">
      <formula>LEN(TRIM(AG605))=0</formula>
    </cfRule>
    <cfRule type="expression" dxfId="5696" priority="6208">
      <formula>OR($HP604=FALSE,$HR604=FALSE)</formula>
    </cfRule>
    <cfRule type="expression" dxfId="5695" priority="6209">
      <formula>OR($DS603=7,$DS603=8,$DS603=9)</formula>
    </cfRule>
  </conditionalFormatting>
  <conditionalFormatting sqref="AG603:AL603">
    <cfRule type="expression" dxfId="5694" priority="6204">
      <formula>$C$43&lt;&gt;0</formula>
    </cfRule>
  </conditionalFormatting>
  <conditionalFormatting sqref="AF604">
    <cfRule type="containsBlanks" dxfId="5693" priority="6203">
      <formula>LEN(TRIM(AF604))=0</formula>
    </cfRule>
  </conditionalFormatting>
  <conditionalFormatting sqref="AF604">
    <cfRule type="expression" dxfId="5692" priority="6202" stopIfTrue="1">
      <formula>$G603=""</formula>
    </cfRule>
  </conditionalFormatting>
  <conditionalFormatting sqref="AG604">
    <cfRule type="containsBlanks" dxfId="5691" priority="6200">
      <formula>LEN(TRIM(AG604))=0</formula>
    </cfRule>
    <cfRule type="expression" dxfId="5690" priority="6201">
      <formula>$HO604=FALSE</formula>
    </cfRule>
  </conditionalFormatting>
  <conditionalFormatting sqref="AG604">
    <cfRule type="expression" dxfId="5689" priority="6199" stopIfTrue="1">
      <formula>$G603=""</formula>
    </cfRule>
  </conditionalFormatting>
  <conditionalFormatting sqref="AF604:AK604">
    <cfRule type="expression" dxfId="5688" priority="6198">
      <formula>$C$43&gt;0</formula>
    </cfRule>
  </conditionalFormatting>
  <conditionalFormatting sqref="AM603:AN604">
    <cfRule type="expression" dxfId="5687" priority="6197">
      <formula>$G603=""</formula>
    </cfRule>
  </conditionalFormatting>
  <conditionalFormatting sqref="AM605:AN605">
    <cfRule type="expression" dxfId="5686" priority="6196" stopIfTrue="1">
      <formula>$G603=""</formula>
    </cfRule>
  </conditionalFormatting>
  <conditionalFormatting sqref="T605">
    <cfRule type="expression" dxfId="5685" priority="6218" stopIfTrue="1">
      <formula>$N606="BAM"</formula>
    </cfRule>
  </conditionalFormatting>
  <conditionalFormatting sqref="U605:AE605">
    <cfRule type="expression" dxfId="5684" priority="6195" stopIfTrue="1">
      <formula>$N606="BAM"</formula>
    </cfRule>
  </conditionalFormatting>
  <conditionalFormatting sqref="AG606:AL606">
    <cfRule type="expression" dxfId="5683" priority="6219" stopIfTrue="1">
      <formula>$N606="BAM"</formula>
    </cfRule>
  </conditionalFormatting>
  <conditionalFormatting sqref="AX609">
    <cfRule type="expression" dxfId="5682" priority="6185">
      <formula>$E609=""</formula>
    </cfRule>
  </conditionalFormatting>
  <conditionalFormatting sqref="AX608">
    <cfRule type="expression" dxfId="5681" priority="6184">
      <formula>$E608=""</formula>
    </cfRule>
  </conditionalFormatting>
  <conditionalFormatting sqref="AX610">
    <cfRule type="expression" dxfId="5680" priority="6183">
      <formula>#REF!=""</formula>
    </cfRule>
  </conditionalFormatting>
  <conditionalFormatting sqref="AX611">
    <cfRule type="expression" dxfId="5679" priority="6182">
      <formula>$E610=""</formula>
    </cfRule>
  </conditionalFormatting>
  <conditionalFormatting sqref="AY608:AZ611">
    <cfRule type="expression" dxfId="5678" priority="6181">
      <formula>$G608=""</formula>
    </cfRule>
  </conditionalFormatting>
  <conditionalFormatting sqref="G610">
    <cfRule type="expression" dxfId="5677" priority="6178" stopIfTrue="1">
      <formula>$G608=""</formula>
    </cfRule>
    <cfRule type="containsBlanks" dxfId="5676" priority="6179" stopIfTrue="1">
      <formula>LEN(TRIM(G610))=0</formula>
    </cfRule>
    <cfRule type="expression" dxfId="5675" priority="6180">
      <formula>OR($M610=0,$HH609=FALSE)</formula>
    </cfRule>
  </conditionalFormatting>
  <conditionalFormatting sqref="AO610">
    <cfRule type="expression" dxfId="5674" priority="6177" stopIfTrue="1">
      <formula>$G608=""</formula>
    </cfRule>
  </conditionalFormatting>
  <conditionalFormatting sqref="AU608:AU611">
    <cfRule type="expression" dxfId="5673" priority="6174" stopIfTrue="1">
      <formula>$C$43=2</formula>
    </cfRule>
    <cfRule type="cellIs" dxfId="5672" priority="6175" operator="equal">
      <formula>"Yes"</formula>
    </cfRule>
    <cfRule type="cellIs" dxfId="5671" priority="6176" operator="equal">
      <formula>"No"</formula>
    </cfRule>
  </conditionalFormatting>
  <conditionalFormatting sqref="AO608:AO609">
    <cfRule type="expression" dxfId="5670" priority="6173">
      <formula>$G608=""</formula>
    </cfRule>
  </conditionalFormatting>
  <conditionalFormatting sqref="AP608 AR608:AS611">
    <cfRule type="expression" dxfId="5669" priority="6172">
      <formula>$G608=""</formula>
    </cfRule>
  </conditionalFormatting>
  <conditionalFormatting sqref="AW608:AW611">
    <cfRule type="expression" dxfId="5668" priority="6171">
      <formula>$G608=""</formula>
    </cfRule>
  </conditionalFormatting>
  <conditionalFormatting sqref="G609:L609">
    <cfRule type="expression" dxfId="5667" priority="6169" stopIfTrue="1">
      <formula>$G608=""</formula>
    </cfRule>
    <cfRule type="containsBlanks" dxfId="5666" priority="6170">
      <formula>LEN(TRIM(G609))=0</formula>
    </cfRule>
  </conditionalFormatting>
  <conditionalFormatting sqref="R610">
    <cfRule type="expression" dxfId="5665" priority="6166">
      <formula>$N611="BAM"</formula>
    </cfRule>
    <cfRule type="expression" dxfId="5664" priority="6167" stopIfTrue="1">
      <formula>$G608=""</formula>
    </cfRule>
    <cfRule type="containsBlanks" dxfId="5663" priority="6168">
      <formula>LEN(TRIM(R610))=0</formula>
    </cfRule>
  </conditionalFormatting>
  <conditionalFormatting sqref="R610">
    <cfRule type="expression" dxfId="5662" priority="6165">
      <formula>$C$43=0</formula>
    </cfRule>
  </conditionalFormatting>
  <conditionalFormatting sqref="E611:F611">
    <cfRule type="expression" dxfId="5661" priority="6164">
      <formula>$CQ608="Exterior"</formula>
    </cfRule>
  </conditionalFormatting>
  <conditionalFormatting sqref="R609">
    <cfRule type="expression" dxfId="5660" priority="6161" stopIfTrue="1">
      <formula>$N611="BAM"</formula>
    </cfRule>
  </conditionalFormatting>
  <conditionalFormatting sqref="R609">
    <cfRule type="containsBlanks" dxfId="5659" priority="6162">
      <formula>LEN(TRIM(R609))=0</formula>
    </cfRule>
  </conditionalFormatting>
  <conditionalFormatting sqref="R609">
    <cfRule type="expression" dxfId="5658" priority="6160" stopIfTrue="1">
      <formula>$G608=""</formula>
    </cfRule>
    <cfRule type="expression" dxfId="5657" priority="6163">
      <formula>$HY609=FALSE</formula>
    </cfRule>
  </conditionalFormatting>
  <conditionalFormatting sqref="G611">
    <cfRule type="expression" dxfId="5656" priority="6154" stopIfTrue="1">
      <formula>$G608=""</formula>
    </cfRule>
  </conditionalFormatting>
  <conditionalFormatting sqref="G611">
    <cfRule type="expression" dxfId="5655" priority="6156" stopIfTrue="1">
      <formula>$CQ608="Exterior"</formula>
    </cfRule>
  </conditionalFormatting>
  <conditionalFormatting sqref="G611:L611">
    <cfRule type="expression" dxfId="5654" priority="6155" stopIfTrue="1">
      <formula>$N611="BAM"</formula>
    </cfRule>
    <cfRule type="containsBlanks" dxfId="5653" priority="6157" stopIfTrue="1">
      <formula>LEN(TRIM(G611))=0</formula>
    </cfRule>
    <cfRule type="expression" dxfId="5652" priority="6159">
      <formula>$HQ609=FALSE</formula>
    </cfRule>
  </conditionalFormatting>
  <conditionalFormatting sqref="G611:L611">
    <cfRule type="expression" dxfId="5651" priority="6158" stopIfTrue="1">
      <formula>$AG610=""</formula>
    </cfRule>
  </conditionalFormatting>
  <conditionalFormatting sqref="G610:L610">
    <cfRule type="expression" dxfId="5650" priority="6152" stopIfTrue="1">
      <formula>$N611="BAM"</formula>
    </cfRule>
  </conditionalFormatting>
  <conditionalFormatting sqref="G608:R608">
    <cfRule type="containsBlanks" dxfId="5649" priority="6151">
      <formula>LEN(TRIM(G608))=0</formula>
    </cfRule>
  </conditionalFormatting>
  <conditionalFormatting sqref="AF610">
    <cfRule type="expression" dxfId="5648" priority="6141" stopIfTrue="1">
      <formula>$G608=""</formula>
    </cfRule>
    <cfRule type="expression" dxfId="5647" priority="6142" stopIfTrue="1">
      <formula>$N611="BAM"</formula>
    </cfRule>
    <cfRule type="expression" dxfId="5646" priority="6150">
      <formula>$AF$49&gt;$T$49</formula>
    </cfRule>
  </conditionalFormatting>
  <conditionalFormatting sqref="AC611:AE611">
    <cfRule type="expression" dxfId="5645" priority="6147" stopIfTrue="1">
      <formula>$G608=""</formula>
    </cfRule>
  </conditionalFormatting>
  <conditionalFormatting sqref="T610:U610">
    <cfRule type="expression" dxfId="5644" priority="6114" stopIfTrue="1">
      <formula>$G608=""</formula>
    </cfRule>
  </conditionalFormatting>
  <conditionalFormatting sqref="T610:U610">
    <cfRule type="containsBlanks" dxfId="5643" priority="6144" stopIfTrue="1">
      <formula>LEN(TRIM(T610))=0</formula>
    </cfRule>
  </conditionalFormatting>
  <conditionalFormatting sqref="AC608:AE608">
    <cfRule type="expression" dxfId="5642" priority="6143">
      <formula>$G608=""</formula>
    </cfRule>
  </conditionalFormatting>
  <conditionalFormatting sqref="AF610 AG611">
    <cfRule type="containsBlanks" dxfId="5641" priority="6148" stopIfTrue="1">
      <formula>LEN(TRIM(AF610))=0</formula>
    </cfRule>
  </conditionalFormatting>
  <conditionalFormatting sqref="AF610">
    <cfRule type="expression" dxfId="5640" priority="6149">
      <formula>OR($HS609=FALSE,$HT609=FALSE)</formula>
    </cfRule>
  </conditionalFormatting>
  <conditionalFormatting sqref="AG611">
    <cfRule type="expression" dxfId="5639" priority="6107">
      <formula>$C$43&gt;0</formula>
    </cfRule>
  </conditionalFormatting>
  <conditionalFormatting sqref="AG611">
    <cfRule type="expression" dxfId="5638" priority="6140" stopIfTrue="1">
      <formula>$G608=""</formula>
    </cfRule>
  </conditionalFormatting>
  <conditionalFormatting sqref="U610">
    <cfRule type="expression" dxfId="5637" priority="6145">
      <formula>OR($HK609=FALSE,$HL609=FALSE)</formula>
    </cfRule>
  </conditionalFormatting>
  <conditionalFormatting sqref="T609:U609">
    <cfRule type="expression" dxfId="5636" priority="6135" stopIfTrue="1">
      <formula>$C$43&lt;&gt;0</formula>
    </cfRule>
    <cfRule type="containsBlanks" dxfId="5635" priority="6136" stopIfTrue="1">
      <formula>LEN(TRIM(T609))=0</formula>
    </cfRule>
  </conditionalFormatting>
  <conditionalFormatting sqref="T609:U609">
    <cfRule type="expression" dxfId="5634" priority="6134" stopIfTrue="1">
      <formula>$G608=""</formula>
    </cfRule>
  </conditionalFormatting>
  <conditionalFormatting sqref="U609">
    <cfRule type="expression" dxfId="5633" priority="6137">
      <formula>$HJ609=FALSE</formula>
    </cfRule>
  </conditionalFormatting>
  <conditionalFormatting sqref="AG610">
    <cfRule type="expression" dxfId="5632" priority="6125" stopIfTrue="1">
      <formula>$G608=""</formula>
    </cfRule>
  </conditionalFormatting>
  <conditionalFormatting sqref="AG610:AL610">
    <cfRule type="expression" dxfId="5631" priority="6126">
      <formula>$N611="BAM"</formula>
    </cfRule>
    <cfRule type="expression" dxfId="5630" priority="6130">
      <formula>OR($HU609=FALSE,$HQ609=FALSE)</formula>
    </cfRule>
  </conditionalFormatting>
  <conditionalFormatting sqref="AG610">
    <cfRule type="containsBlanks" dxfId="5629" priority="6127" stopIfTrue="1">
      <formula>LEN(TRIM(AG610))=0</formula>
    </cfRule>
    <cfRule type="expression" dxfId="5628" priority="6128">
      <formula>OR($HP609=FALSE,$HR609=FALSE)</formula>
    </cfRule>
    <cfRule type="expression" dxfId="5627" priority="6129">
      <formula>OR($DS608=7,$DS608=8,$DS608=9)</formula>
    </cfRule>
  </conditionalFormatting>
  <conditionalFormatting sqref="AG608:AL608">
    <cfRule type="expression" dxfId="5626" priority="6124">
      <formula>$C$43&lt;&gt;0</formula>
    </cfRule>
  </conditionalFormatting>
  <conditionalFormatting sqref="AF609">
    <cfRule type="containsBlanks" dxfId="5625" priority="6123">
      <formula>LEN(TRIM(AF609))=0</formula>
    </cfRule>
  </conditionalFormatting>
  <conditionalFormatting sqref="AF609">
    <cfRule type="expression" dxfId="5624" priority="6122" stopIfTrue="1">
      <formula>$G608=""</formula>
    </cfRule>
  </conditionalFormatting>
  <conditionalFormatting sqref="AG609">
    <cfRule type="containsBlanks" dxfId="5623" priority="6120">
      <formula>LEN(TRIM(AG609))=0</formula>
    </cfRule>
    <cfRule type="expression" dxfId="5622" priority="6121">
      <formula>$HO609=FALSE</formula>
    </cfRule>
  </conditionalFormatting>
  <conditionalFormatting sqref="AG609">
    <cfRule type="expression" dxfId="5621" priority="6119" stopIfTrue="1">
      <formula>$G608=""</formula>
    </cfRule>
  </conditionalFormatting>
  <conditionalFormatting sqref="AF609:AK609">
    <cfRule type="expression" dxfId="5620" priority="6118">
      <formula>$C$43&gt;0</formula>
    </cfRule>
  </conditionalFormatting>
  <conditionalFormatting sqref="AM608:AN609">
    <cfRule type="expression" dxfId="5619" priority="6117">
      <formula>$G608=""</formula>
    </cfRule>
  </conditionalFormatting>
  <conditionalFormatting sqref="AM610:AN610">
    <cfRule type="expression" dxfId="5618" priority="6116" stopIfTrue="1">
      <formula>$G608=""</formula>
    </cfRule>
  </conditionalFormatting>
  <conditionalFormatting sqref="T610">
    <cfRule type="expression" dxfId="5617" priority="6138" stopIfTrue="1">
      <formula>$N611="BAM"</formula>
    </cfRule>
  </conditionalFormatting>
  <conditionalFormatting sqref="U610:AE610">
    <cfRule type="expression" dxfId="5616" priority="6115" stopIfTrue="1">
      <formula>$N611="BAM"</formula>
    </cfRule>
  </conditionalFormatting>
  <conditionalFormatting sqref="AG611:AL611">
    <cfRule type="expression" dxfId="5615" priority="6139" stopIfTrue="1">
      <formula>$N611="BAM"</formula>
    </cfRule>
  </conditionalFormatting>
  <conditionalFormatting sqref="AX614">
    <cfRule type="expression" dxfId="5614" priority="6105">
      <formula>$E614=""</formula>
    </cfRule>
  </conditionalFormatting>
  <conditionalFormatting sqref="AX613">
    <cfRule type="expression" dxfId="5613" priority="6104">
      <formula>$E613=""</formula>
    </cfRule>
  </conditionalFormatting>
  <conditionalFormatting sqref="AX615">
    <cfRule type="expression" dxfId="5612" priority="6103">
      <formula>#REF!=""</formula>
    </cfRule>
  </conditionalFormatting>
  <conditionalFormatting sqref="AX616">
    <cfRule type="expression" dxfId="5611" priority="6102">
      <formula>$E615=""</formula>
    </cfRule>
  </conditionalFormatting>
  <conditionalFormatting sqref="AY613:AZ616">
    <cfRule type="expression" dxfId="5610" priority="6101">
      <formula>$G613=""</formula>
    </cfRule>
  </conditionalFormatting>
  <conditionalFormatting sqref="G615">
    <cfRule type="expression" dxfId="5609" priority="6098" stopIfTrue="1">
      <formula>$G613=""</formula>
    </cfRule>
    <cfRule type="containsBlanks" dxfId="5608" priority="6099" stopIfTrue="1">
      <formula>LEN(TRIM(G615))=0</formula>
    </cfRule>
    <cfRule type="expression" dxfId="5607" priority="6100">
      <formula>OR($M615=0,$HH614=FALSE)</formula>
    </cfRule>
  </conditionalFormatting>
  <conditionalFormatting sqref="AO615">
    <cfRule type="expression" dxfId="5606" priority="6097" stopIfTrue="1">
      <formula>$G613=""</formula>
    </cfRule>
  </conditionalFormatting>
  <conditionalFormatting sqref="AU613:AU616">
    <cfRule type="expression" dxfId="5605" priority="6094" stopIfTrue="1">
      <formula>$C$43=2</formula>
    </cfRule>
    <cfRule type="cellIs" dxfId="5604" priority="6095" operator="equal">
      <formula>"Yes"</formula>
    </cfRule>
    <cfRule type="cellIs" dxfId="5603" priority="6096" operator="equal">
      <formula>"No"</formula>
    </cfRule>
  </conditionalFormatting>
  <conditionalFormatting sqref="AO613:AO614">
    <cfRule type="expression" dxfId="5602" priority="6093">
      <formula>$G613=""</formula>
    </cfRule>
  </conditionalFormatting>
  <conditionalFormatting sqref="AP613 AR613:AS616">
    <cfRule type="expression" dxfId="5601" priority="6092">
      <formula>$G613=""</formula>
    </cfRule>
  </conditionalFormatting>
  <conditionalFormatting sqref="AW613:AW616">
    <cfRule type="expression" dxfId="5600" priority="6091">
      <formula>$G613=""</formula>
    </cfRule>
  </conditionalFormatting>
  <conditionalFormatting sqref="G614:L614">
    <cfRule type="expression" dxfId="5599" priority="6089" stopIfTrue="1">
      <formula>$G613=""</formula>
    </cfRule>
    <cfRule type="containsBlanks" dxfId="5598" priority="6090">
      <formula>LEN(TRIM(G614))=0</formula>
    </cfRule>
  </conditionalFormatting>
  <conditionalFormatting sqref="R615">
    <cfRule type="expression" dxfId="5597" priority="6086">
      <formula>$N616="BAM"</formula>
    </cfRule>
    <cfRule type="expression" dxfId="5596" priority="6087" stopIfTrue="1">
      <formula>$G613=""</formula>
    </cfRule>
    <cfRule type="containsBlanks" dxfId="5595" priority="6088">
      <formula>LEN(TRIM(R615))=0</formula>
    </cfRule>
  </conditionalFormatting>
  <conditionalFormatting sqref="R615">
    <cfRule type="expression" dxfId="5594" priority="6085">
      <formula>$C$43=0</formula>
    </cfRule>
  </conditionalFormatting>
  <conditionalFormatting sqref="E616:F616">
    <cfRule type="expression" dxfId="5593" priority="6084">
      <formula>$CQ613="Exterior"</formula>
    </cfRule>
  </conditionalFormatting>
  <conditionalFormatting sqref="R614">
    <cfRule type="expression" dxfId="5592" priority="6081" stopIfTrue="1">
      <formula>$N616="BAM"</formula>
    </cfRule>
  </conditionalFormatting>
  <conditionalFormatting sqref="R614">
    <cfRule type="containsBlanks" dxfId="5591" priority="6082">
      <formula>LEN(TRIM(R614))=0</formula>
    </cfRule>
  </conditionalFormatting>
  <conditionalFormatting sqref="R614">
    <cfRule type="expression" dxfId="5590" priority="6080" stopIfTrue="1">
      <formula>$G613=""</formula>
    </cfRule>
    <cfRule type="expression" dxfId="5589" priority="6083">
      <formula>$HY614=FALSE</formula>
    </cfRule>
  </conditionalFormatting>
  <conditionalFormatting sqref="G616">
    <cfRule type="expression" dxfId="5588" priority="6074" stopIfTrue="1">
      <formula>$G613=""</formula>
    </cfRule>
  </conditionalFormatting>
  <conditionalFormatting sqref="G616">
    <cfRule type="expression" dxfId="5587" priority="6076" stopIfTrue="1">
      <formula>$CQ613="Exterior"</formula>
    </cfRule>
  </conditionalFormatting>
  <conditionalFormatting sqref="G616:L616">
    <cfRule type="expression" dxfId="5586" priority="6075" stopIfTrue="1">
      <formula>$N616="BAM"</formula>
    </cfRule>
    <cfRule type="containsBlanks" dxfId="5585" priority="6077" stopIfTrue="1">
      <formula>LEN(TRIM(G616))=0</formula>
    </cfRule>
    <cfRule type="expression" dxfId="5584" priority="6079">
      <formula>$HQ614=FALSE</formula>
    </cfRule>
  </conditionalFormatting>
  <conditionalFormatting sqref="G616:L616">
    <cfRule type="expression" dxfId="5583" priority="6078" stopIfTrue="1">
      <formula>$AG615=""</formula>
    </cfRule>
  </conditionalFormatting>
  <conditionalFormatting sqref="G615:L615">
    <cfRule type="expression" dxfId="5582" priority="6072" stopIfTrue="1">
      <formula>$N616="BAM"</formula>
    </cfRule>
  </conditionalFormatting>
  <conditionalFormatting sqref="G613:R613">
    <cfRule type="containsBlanks" dxfId="5581" priority="6071">
      <formula>LEN(TRIM(G613))=0</formula>
    </cfRule>
  </conditionalFormatting>
  <conditionalFormatting sqref="AF615">
    <cfRule type="expression" dxfId="5580" priority="6061" stopIfTrue="1">
      <formula>$G613=""</formula>
    </cfRule>
    <cfRule type="expression" dxfId="5579" priority="6062" stopIfTrue="1">
      <formula>$N616="BAM"</formula>
    </cfRule>
    <cfRule type="expression" dxfId="5578" priority="6070">
      <formula>$AF$49&gt;$T$49</formula>
    </cfRule>
  </conditionalFormatting>
  <conditionalFormatting sqref="AC616:AE616">
    <cfRule type="expression" dxfId="5577" priority="6067" stopIfTrue="1">
      <formula>$G613=""</formula>
    </cfRule>
  </conditionalFormatting>
  <conditionalFormatting sqref="T615:U615">
    <cfRule type="expression" dxfId="5576" priority="6034" stopIfTrue="1">
      <formula>$G613=""</formula>
    </cfRule>
  </conditionalFormatting>
  <conditionalFormatting sqref="T615:U615">
    <cfRule type="containsBlanks" dxfId="5575" priority="6064" stopIfTrue="1">
      <formula>LEN(TRIM(T615))=0</formula>
    </cfRule>
  </conditionalFormatting>
  <conditionalFormatting sqref="AC613:AE613">
    <cfRule type="expression" dxfId="5574" priority="6063">
      <formula>$G613=""</formula>
    </cfRule>
  </conditionalFormatting>
  <conditionalFormatting sqref="AF615 AG616">
    <cfRule type="containsBlanks" dxfId="5573" priority="6068" stopIfTrue="1">
      <formula>LEN(TRIM(AF615))=0</formula>
    </cfRule>
  </conditionalFormatting>
  <conditionalFormatting sqref="AF615">
    <cfRule type="expression" dxfId="5572" priority="6069">
      <formula>OR($HS614=FALSE,$HT614=FALSE)</formula>
    </cfRule>
  </conditionalFormatting>
  <conditionalFormatting sqref="AG616">
    <cfRule type="expression" dxfId="5571" priority="6027">
      <formula>$C$43&gt;0</formula>
    </cfRule>
  </conditionalFormatting>
  <conditionalFormatting sqref="AG616">
    <cfRule type="expression" dxfId="5570" priority="6060" stopIfTrue="1">
      <formula>$G613=""</formula>
    </cfRule>
  </conditionalFormatting>
  <conditionalFormatting sqref="U615">
    <cfRule type="expression" dxfId="5569" priority="6065">
      <formula>OR($HK614=FALSE,$HL614=FALSE)</formula>
    </cfRule>
  </conditionalFormatting>
  <conditionalFormatting sqref="T614:U614">
    <cfRule type="expression" dxfId="5568" priority="6055" stopIfTrue="1">
      <formula>$C$43&lt;&gt;0</formula>
    </cfRule>
    <cfRule type="containsBlanks" dxfId="5567" priority="6056" stopIfTrue="1">
      <formula>LEN(TRIM(T614))=0</formula>
    </cfRule>
  </conditionalFormatting>
  <conditionalFormatting sqref="T614:U614">
    <cfRule type="expression" dxfId="5566" priority="6054" stopIfTrue="1">
      <formula>$G613=""</formula>
    </cfRule>
  </conditionalFormatting>
  <conditionalFormatting sqref="U614">
    <cfRule type="expression" dxfId="5565" priority="6057">
      <formula>$HJ614=FALSE</formula>
    </cfRule>
  </conditionalFormatting>
  <conditionalFormatting sqref="AG615">
    <cfRule type="expression" dxfId="5564" priority="6045" stopIfTrue="1">
      <formula>$G613=""</formula>
    </cfRule>
  </conditionalFormatting>
  <conditionalFormatting sqref="AG615:AL615">
    <cfRule type="expression" dxfId="5563" priority="6046">
      <formula>$N616="BAM"</formula>
    </cfRule>
    <cfRule type="expression" dxfId="5562" priority="6050">
      <formula>OR($HU614=FALSE,$HQ614=FALSE)</formula>
    </cfRule>
  </conditionalFormatting>
  <conditionalFormatting sqref="AG615">
    <cfRule type="containsBlanks" dxfId="5561" priority="6047" stopIfTrue="1">
      <formula>LEN(TRIM(AG615))=0</formula>
    </cfRule>
    <cfRule type="expression" dxfId="5560" priority="6048">
      <formula>OR($HP614=FALSE,$HR614=FALSE)</formula>
    </cfRule>
    <cfRule type="expression" dxfId="5559" priority="6049">
      <formula>OR($DS613=7,$DS613=8,$DS613=9)</formula>
    </cfRule>
  </conditionalFormatting>
  <conditionalFormatting sqref="AG613:AL613">
    <cfRule type="expression" dxfId="5558" priority="6044">
      <formula>$C$43&lt;&gt;0</formula>
    </cfRule>
  </conditionalFormatting>
  <conditionalFormatting sqref="AF614">
    <cfRule type="containsBlanks" dxfId="5557" priority="6043">
      <formula>LEN(TRIM(AF614))=0</formula>
    </cfRule>
  </conditionalFormatting>
  <conditionalFormatting sqref="AF614">
    <cfRule type="expression" dxfId="5556" priority="6042" stopIfTrue="1">
      <formula>$G613=""</formula>
    </cfRule>
  </conditionalFormatting>
  <conditionalFormatting sqref="AG614">
    <cfRule type="containsBlanks" dxfId="5555" priority="6040">
      <formula>LEN(TRIM(AG614))=0</formula>
    </cfRule>
    <cfRule type="expression" dxfId="5554" priority="6041">
      <formula>$HO614=FALSE</formula>
    </cfRule>
  </conditionalFormatting>
  <conditionalFormatting sqref="AG614">
    <cfRule type="expression" dxfId="5553" priority="6039" stopIfTrue="1">
      <formula>$G613=""</formula>
    </cfRule>
  </conditionalFormatting>
  <conditionalFormatting sqref="AF614:AK614">
    <cfRule type="expression" dxfId="5552" priority="6038">
      <formula>$C$43&gt;0</formula>
    </cfRule>
  </conditionalFormatting>
  <conditionalFormatting sqref="AM613:AN614">
    <cfRule type="expression" dxfId="5551" priority="6037">
      <formula>$G613=""</formula>
    </cfRule>
  </conditionalFormatting>
  <conditionalFormatting sqref="AM615:AN615">
    <cfRule type="expression" dxfId="5550" priority="6036" stopIfTrue="1">
      <formula>$G613=""</formula>
    </cfRule>
  </conditionalFormatting>
  <conditionalFormatting sqref="T615">
    <cfRule type="expression" dxfId="5549" priority="6058" stopIfTrue="1">
      <formula>$N616="BAM"</formula>
    </cfRule>
  </conditionalFormatting>
  <conditionalFormatting sqref="U615:AE615">
    <cfRule type="expression" dxfId="5548" priority="6035" stopIfTrue="1">
      <formula>$N616="BAM"</formula>
    </cfRule>
  </conditionalFormatting>
  <conditionalFormatting sqref="AG616:AL616">
    <cfRule type="expression" dxfId="5547" priority="6059" stopIfTrue="1">
      <formula>$N616="BAM"</formula>
    </cfRule>
  </conditionalFormatting>
  <conditionalFormatting sqref="AX619">
    <cfRule type="expression" dxfId="5546" priority="6025">
      <formula>$E619=""</formula>
    </cfRule>
  </conditionalFormatting>
  <conditionalFormatting sqref="AX618">
    <cfRule type="expression" dxfId="5545" priority="6024">
      <formula>$E618=""</formula>
    </cfRule>
  </conditionalFormatting>
  <conditionalFormatting sqref="AX620">
    <cfRule type="expression" dxfId="5544" priority="6023">
      <formula>#REF!=""</formula>
    </cfRule>
  </conditionalFormatting>
  <conditionalFormatting sqref="AX621">
    <cfRule type="expression" dxfId="5543" priority="6022">
      <formula>$E620=""</formula>
    </cfRule>
  </conditionalFormatting>
  <conditionalFormatting sqref="AY618:AZ621">
    <cfRule type="expression" dxfId="5542" priority="6021">
      <formula>$G618=""</formula>
    </cfRule>
  </conditionalFormatting>
  <conditionalFormatting sqref="G620">
    <cfRule type="expression" dxfId="5541" priority="6018" stopIfTrue="1">
      <formula>$G618=""</formula>
    </cfRule>
    <cfRule type="containsBlanks" dxfId="5540" priority="6019" stopIfTrue="1">
      <formula>LEN(TRIM(G620))=0</formula>
    </cfRule>
    <cfRule type="expression" dxfId="5539" priority="6020">
      <formula>OR($M620=0,$HH619=FALSE)</formula>
    </cfRule>
  </conditionalFormatting>
  <conditionalFormatting sqref="AO620">
    <cfRule type="expression" dxfId="5538" priority="6017" stopIfTrue="1">
      <formula>$G618=""</formula>
    </cfRule>
  </conditionalFormatting>
  <conditionalFormatting sqref="AU618:AU621">
    <cfRule type="expression" dxfId="5537" priority="6014" stopIfTrue="1">
      <formula>$C$43=2</formula>
    </cfRule>
    <cfRule type="cellIs" dxfId="5536" priority="6015" operator="equal">
      <formula>"Yes"</formula>
    </cfRule>
    <cfRule type="cellIs" dxfId="5535" priority="6016" operator="equal">
      <formula>"No"</formula>
    </cfRule>
  </conditionalFormatting>
  <conditionalFormatting sqref="AO618:AO619">
    <cfRule type="expression" dxfId="5534" priority="6013">
      <formula>$G618=""</formula>
    </cfRule>
  </conditionalFormatting>
  <conditionalFormatting sqref="AP618 AR618:AS621">
    <cfRule type="expression" dxfId="5533" priority="6012">
      <formula>$G618=""</formula>
    </cfRule>
  </conditionalFormatting>
  <conditionalFormatting sqref="AW618:AW621">
    <cfRule type="expression" dxfId="5532" priority="6011">
      <formula>$G618=""</formula>
    </cfRule>
  </conditionalFormatting>
  <conditionalFormatting sqref="G619:L619">
    <cfRule type="expression" dxfId="5531" priority="6009" stopIfTrue="1">
      <formula>$G618=""</formula>
    </cfRule>
    <cfRule type="containsBlanks" dxfId="5530" priority="6010">
      <formula>LEN(TRIM(G619))=0</formula>
    </cfRule>
  </conditionalFormatting>
  <conditionalFormatting sqref="R620">
    <cfRule type="expression" dxfId="5529" priority="6006">
      <formula>$N621="BAM"</formula>
    </cfRule>
    <cfRule type="expression" dxfId="5528" priority="6007" stopIfTrue="1">
      <formula>$G618=""</formula>
    </cfRule>
    <cfRule type="containsBlanks" dxfId="5527" priority="6008">
      <formula>LEN(TRIM(R620))=0</formula>
    </cfRule>
  </conditionalFormatting>
  <conditionalFormatting sqref="R620">
    <cfRule type="expression" dxfId="5526" priority="6005">
      <formula>$C$43=0</formula>
    </cfRule>
  </conditionalFormatting>
  <conditionalFormatting sqref="E621:F621">
    <cfRule type="expression" dxfId="5525" priority="6004">
      <formula>$CQ618="Exterior"</formula>
    </cfRule>
  </conditionalFormatting>
  <conditionalFormatting sqref="R619">
    <cfRule type="expression" dxfId="5524" priority="6001" stopIfTrue="1">
      <formula>$N621="BAM"</formula>
    </cfRule>
  </conditionalFormatting>
  <conditionalFormatting sqref="R619">
    <cfRule type="containsBlanks" dxfId="5523" priority="6002">
      <formula>LEN(TRIM(R619))=0</formula>
    </cfRule>
  </conditionalFormatting>
  <conditionalFormatting sqref="R619">
    <cfRule type="expression" dxfId="5522" priority="6000" stopIfTrue="1">
      <formula>$G618=""</formula>
    </cfRule>
    <cfRule type="expression" dxfId="5521" priority="6003">
      <formula>$HY619=FALSE</formula>
    </cfRule>
  </conditionalFormatting>
  <conditionalFormatting sqref="G621">
    <cfRule type="expression" dxfId="5520" priority="5994" stopIfTrue="1">
      <formula>$G618=""</formula>
    </cfRule>
  </conditionalFormatting>
  <conditionalFormatting sqref="G621">
    <cfRule type="expression" dxfId="5519" priority="5996" stopIfTrue="1">
      <formula>$CQ618="Exterior"</formula>
    </cfRule>
  </conditionalFormatting>
  <conditionalFormatting sqref="G621:L621">
    <cfRule type="expression" dxfId="5518" priority="5995" stopIfTrue="1">
      <formula>$N621="BAM"</formula>
    </cfRule>
    <cfRule type="containsBlanks" dxfId="5517" priority="5997" stopIfTrue="1">
      <formula>LEN(TRIM(G621))=0</formula>
    </cfRule>
    <cfRule type="expression" dxfId="5516" priority="5999">
      <formula>$HQ619=FALSE</formula>
    </cfRule>
  </conditionalFormatting>
  <conditionalFormatting sqref="G621:L621">
    <cfRule type="expression" dxfId="5515" priority="5998" stopIfTrue="1">
      <formula>$AG620=""</formula>
    </cfRule>
  </conditionalFormatting>
  <conditionalFormatting sqref="G620:L620">
    <cfRule type="expression" dxfId="5514" priority="5992" stopIfTrue="1">
      <formula>$N621="BAM"</formula>
    </cfRule>
  </conditionalFormatting>
  <conditionalFormatting sqref="G618:R618">
    <cfRule type="containsBlanks" dxfId="5513" priority="5991">
      <formula>LEN(TRIM(G618))=0</formula>
    </cfRule>
  </conditionalFormatting>
  <conditionalFormatting sqref="AF620">
    <cfRule type="expression" dxfId="5512" priority="5981" stopIfTrue="1">
      <formula>$G618=""</formula>
    </cfRule>
    <cfRule type="expression" dxfId="5511" priority="5982" stopIfTrue="1">
      <formula>$N621="BAM"</formula>
    </cfRule>
    <cfRule type="expression" dxfId="5510" priority="5990">
      <formula>$AF$49&gt;$T$49</formula>
    </cfRule>
  </conditionalFormatting>
  <conditionalFormatting sqref="AC621:AE621">
    <cfRule type="expression" dxfId="5509" priority="5987" stopIfTrue="1">
      <formula>$G618=""</formula>
    </cfRule>
  </conditionalFormatting>
  <conditionalFormatting sqref="T620:U620">
    <cfRule type="expression" dxfId="5508" priority="5954" stopIfTrue="1">
      <formula>$G618=""</formula>
    </cfRule>
  </conditionalFormatting>
  <conditionalFormatting sqref="T620:U620">
    <cfRule type="containsBlanks" dxfId="5507" priority="5984" stopIfTrue="1">
      <formula>LEN(TRIM(T620))=0</formula>
    </cfRule>
  </conditionalFormatting>
  <conditionalFormatting sqref="AC618:AE618">
    <cfRule type="expression" dxfId="5506" priority="5983">
      <formula>$G618=""</formula>
    </cfRule>
  </conditionalFormatting>
  <conditionalFormatting sqref="AF620 AG621">
    <cfRule type="containsBlanks" dxfId="5505" priority="5988" stopIfTrue="1">
      <formula>LEN(TRIM(AF620))=0</formula>
    </cfRule>
  </conditionalFormatting>
  <conditionalFormatting sqref="AF620">
    <cfRule type="expression" dxfId="5504" priority="5989">
      <formula>OR($HS619=FALSE,$HT619=FALSE)</formula>
    </cfRule>
  </conditionalFormatting>
  <conditionalFormatting sqref="AG621">
    <cfRule type="expression" dxfId="5503" priority="5947">
      <formula>$C$43&gt;0</formula>
    </cfRule>
  </conditionalFormatting>
  <conditionalFormatting sqref="AG621">
    <cfRule type="expression" dxfId="5502" priority="5980" stopIfTrue="1">
      <formula>$G618=""</formula>
    </cfRule>
  </conditionalFormatting>
  <conditionalFormatting sqref="U620">
    <cfRule type="expression" dxfId="5501" priority="5985">
      <formula>OR($HK619=FALSE,$HL619=FALSE)</formula>
    </cfRule>
  </conditionalFormatting>
  <conditionalFormatting sqref="T619:U619">
    <cfRule type="expression" dxfId="5500" priority="5975" stopIfTrue="1">
      <formula>$C$43&lt;&gt;0</formula>
    </cfRule>
    <cfRule type="containsBlanks" dxfId="5499" priority="5976" stopIfTrue="1">
      <formula>LEN(TRIM(T619))=0</formula>
    </cfRule>
  </conditionalFormatting>
  <conditionalFormatting sqref="T619:U619">
    <cfRule type="expression" dxfId="5498" priority="5974" stopIfTrue="1">
      <formula>$G618=""</formula>
    </cfRule>
  </conditionalFormatting>
  <conditionalFormatting sqref="U619">
    <cfRule type="expression" dxfId="5497" priority="5977">
      <formula>$HJ619=FALSE</formula>
    </cfRule>
  </conditionalFormatting>
  <conditionalFormatting sqref="AG620">
    <cfRule type="expression" dxfId="5496" priority="5965" stopIfTrue="1">
      <formula>$G618=""</formula>
    </cfRule>
  </conditionalFormatting>
  <conditionalFormatting sqref="AG620:AL620">
    <cfRule type="expression" dxfId="5495" priority="5966">
      <formula>$N621="BAM"</formula>
    </cfRule>
    <cfRule type="expression" dxfId="5494" priority="5970">
      <formula>OR($HU619=FALSE,$HQ619=FALSE)</formula>
    </cfRule>
  </conditionalFormatting>
  <conditionalFormatting sqref="AG620">
    <cfRule type="containsBlanks" dxfId="5493" priority="5967" stopIfTrue="1">
      <formula>LEN(TRIM(AG620))=0</formula>
    </cfRule>
    <cfRule type="expression" dxfId="5492" priority="5968">
      <formula>OR($HP619=FALSE,$HR619=FALSE)</formula>
    </cfRule>
    <cfRule type="expression" dxfId="5491" priority="5969">
      <formula>OR($DS618=7,$DS618=8,$DS618=9)</formula>
    </cfRule>
  </conditionalFormatting>
  <conditionalFormatting sqref="AG618:AL618">
    <cfRule type="expression" dxfId="5490" priority="5964">
      <formula>$C$43&lt;&gt;0</formula>
    </cfRule>
  </conditionalFormatting>
  <conditionalFormatting sqref="AF619">
    <cfRule type="containsBlanks" dxfId="5489" priority="5963">
      <formula>LEN(TRIM(AF619))=0</formula>
    </cfRule>
  </conditionalFormatting>
  <conditionalFormatting sqref="AF619">
    <cfRule type="expression" dxfId="5488" priority="5962" stopIfTrue="1">
      <formula>$G618=""</formula>
    </cfRule>
  </conditionalFormatting>
  <conditionalFormatting sqref="AG619">
    <cfRule type="containsBlanks" dxfId="5487" priority="5960">
      <formula>LEN(TRIM(AG619))=0</formula>
    </cfRule>
    <cfRule type="expression" dxfId="5486" priority="5961">
      <formula>$HO619=FALSE</formula>
    </cfRule>
  </conditionalFormatting>
  <conditionalFormatting sqref="AG619">
    <cfRule type="expression" dxfId="5485" priority="5959" stopIfTrue="1">
      <formula>$G618=""</formula>
    </cfRule>
  </conditionalFormatting>
  <conditionalFormatting sqref="AF619:AK619">
    <cfRule type="expression" dxfId="5484" priority="5958">
      <formula>$C$43&gt;0</formula>
    </cfRule>
  </conditionalFormatting>
  <conditionalFormatting sqref="AM618:AN619">
    <cfRule type="expression" dxfId="5483" priority="5957">
      <formula>$G618=""</formula>
    </cfRule>
  </conditionalFormatting>
  <conditionalFormatting sqref="AM620:AN620">
    <cfRule type="expression" dxfId="5482" priority="5956" stopIfTrue="1">
      <formula>$G618=""</formula>
    </cfRule>
  </conditionalFormatting>
  <conditionalFormatting sqref="T620">
    <cfRule type="expression" dxfId="5481" priority="5978" stopIfTrue="1">
      <formula>$N621="BAM"</formula>
    </cfRule>
  </conditionalFormatting>
  <conditionalFormatting sqref="U620:AE620">
    <cfRule type="expression" dxfId="5480" priority="5955" stopIfTrue="1">
      <formula>$N621="BAM"</formula>
    </cfRule>
  </conditionalFormatting>
  <conditionalFormatting sqref="AG621:AL621">
    <cfRule type="expression" dxfId="5479" priority="5979" stopIfTrue="1">
      <formula>$N621="BAM"</formula>
    </cfRule>
  </conditionalFormatting>
  <conditionalFormatting sqref="AX624">
    <cfRule type="expression" dxfId="5478" priority="5945">
      <formula>$E624=""</formula>
    </cfRule>
  </conditionalFormatting>
  <conditionalFormatting sqref="AX623">
    <cfRule type="expression" dxfId="5477" priority="5944">
      <formula>$E623=""</formula>
    </cfRule>
  </conditionalFormatting>
  <conditionalFormatting sqref="AX625">
    <cfRule type="expression" dxfId="5476" priority="5943">
      <formula>#REF!=""</formula>
    </cfRule>
  </conditionalFormatting>
  <conditionalFormatting sqref="AX626">
    <cfRule type="expression" dxfId="5475" priority="5942">
      <formula>$E625=""</formula>
    </cfRule>
  </conditionalFormatting>
  <conditionalFormatting sqref="AY623:AZ626">
    <cfRule type="expression" dxfId="5474" priority="5941">
      <formula>$G623=""</formula>
    </cfRule>
  </conditionalFormatting>
  <conditionalFormatting sqref="G625">
    <cfRule type="expression" dxfId="5473" priority="5938" stopIfTrue="1">
      <formula>$G623=""</formula>
    </cfRule>
    <cfRule type="containsBlanks" dxfId="5472" priority="5939" stopIfTrue="1">
      <formula>LEN(TRIM(G625))=0</formula>
    </cfRule>
    <cfRule type="expression" dxfId="5471" priority="5940">
      <formula>OR($M625=0,$HH624=FALSE)</formula>
    </cfRule>
  </conditionalFormatting>
  <conditionalFormatting sqref="AO625">
    <cfRule type="expression" dxfId="5470" priority="5937" stopIfTrue="1">
      <formula>$G623=""</formula>
    </cfRule>
  </conditionalFormatting>
  <conditionalFormatting sqref="AU623:AU626">
    <cfRule type="expression" dxfId="5469" priority="5934" stopIfTrue="1">
      <formula>$C$43=2</formula>
    </cfRule>
    <cfRule type="cellIs" dxfId="5468" priority="5935" operator="equal">
      <formula>"Yes"</formula>
    </cfRule>
    <cfRule type="cellIs" dxfId="5467" priority="5936" operator="equal">
      <formula>"No"</formula>
    </cfRule>
  </conditionalFormatting>
  <conditionalFormatting sqref="AO623:AO624">
    <cfRule type="expression" dxfId="5466" priority="5933">
      <formula>$G623=""</formula>
    </cfRule>
  </conditionalFormatting>
  <conditionalFormatting sqref="AP623 AR623:AS626">
    <cfRule type="expression" dxfId="5465" priority="5932">
      <formula>$G623=""</formula>
    </cfRule>
  </conditionalFormatting>
  <conditionalFormatting sqref="AW623:AW626">
    <cfRule type="expression" dxfId="5464" priority="5931">
      <formula>$G623=""</formula>
    </cfRule>
  </conditionalFormatting>
  <conditionalFormatting sqref="G624:L624">
    <cfRule type="expression" dxfId="5463" priority="5929" stopIfTrue="1">
      <formula>$G623=""</formula>
    </cfRule>
    <cfRule type="containsBlanks" dxfId="5462" priority="5930">
      <formula>LEN(TRIM(G624))=0</formula>
    </cfRule>
  </conditionalFormatting>
  <conditionalFormatting sqref="R625">
    <cfRule type="expression" dxfId="5461" priority="5926">
      <formula>$N626="BAM"</formula>
    </cfRule>
    <cfRule type="expression" dxfId="5460" priority="5927" stopIfTrue="1">
      <formula>$G623=""</formula>
    </cfRule>
    <cfRule type="containsBlanks" dxfId="5459" priority="5928">
      <formula>LEN(TRIM(R625))=0</formula>
    </cfRule>
  </conditionalFormatting>
  <conditionalFormatting sqref="R625">
    <cfRule type="expression" dxfId="5458" priority="5925">
      <formula>$C$43=0</formula>
    </cfRule>
  </conditionalFormatting>
  <conditionalFormatting sqref="E626:F626">
    <cfRule type="expression" dxfId="5457" priority="5924">
      <formula>$CQ623="Exterior"</formula>
    </cfRule>
  </conditionalFormatting>
  <conditionalFormatting sqref="R624">
    <cfRule type="expression" dxfId="5456" priority="5921" stopIfTrue="1">
      <formula>$N626="BAM"</formula>
    </cfRule>
  </conditionalFormatting>
  <conditionalFormatting sqref="R624">
    <cfRule type="containsBlanks" dxfId="5455" priority="5922">
      <formula>LEN(TRIM(R624))=0</formula>
    </cfRule>
  </conditionalFormatting>
  <conditionalFormatting sqref="R624">
    <cfRule type="expression" dxfId="5454" priority="5920" stopIfTrue="1">
      <formula>$G623=""</formula>
    </cfRule>
    <cfRule type="expression" dxfId="5453" priority="5923">
      <formula>$HY624=FALSE</formula>
    </cfRule>
  </conditionalFormatting>
  <conditionalFormatting sqref="G626">
    <cfRule type="expression" dxfId="5452" priority="5914" stopIfTrue="1">
      <formula>$G623=""</formula>
    </cfRule>
  </conditionalFormatting>
  <conditionalFormatting sqref="G626">
    <cfRule type="expression" dxfId="5451" priority="5916" stopIfTrue="1">
      <formula>$CQ623="Exterior"</formula>
    </cfRule>
  </conditionalFormatting>
  <conditionalFormatting sqref="G626:L626">
    <cfRule type="expression" dxfId="5450" priority="5915" stopIfTrue="1">
      <formula>$N626="BAM"</formula>
    </cfRule>
    <cfRule type="containsBlanks" dxfId="5449" priority="5917" stopIfTrue="1">
      <formula>LEN(TRIM(G626))=0</formula>
    </cfRule>
    <cfRule type="expression" dxfId="5448" priority="5919">
      <formula>$HQ624=FALSE</formula>
    </cfRule>
  </conditionalFormatting>
  <conditionalFormatting sqref="G626:L626">
    <cfRule type="expression" dxfId="5447" priority="5918" stopIfTrue="1">
      <formula>$AG625=""</formula>
    </cfRule>
  </conditionalFormatting>
  <conditionalFormatting sqref="G625:L625">
    <cfRule type="expression" dxfId="5446" priority="5912" stopIfTrue="1">
      <formula>$N626="BAM"</formula>
    </cfRule>
  </conditionalFormatting>
  <conditionalFormatting sqref="G623:R623">
    <cfRule type="containsBlanks" dxfId="5445" priority="5911">
      <formula>LEN(TRIM(G623))=0</formula>
    </cfRule>
  </conditionalFormatting>
  <conditionalFormatting sqref="AF625">
    <cfRule type="expression" dxfId="5444" priority="5901" stopIfTrue="1">
      <formula>$G623=""</formula>
    </cfRule>
    <cfRule type="expression" dxfId="5443" priority="5902" stopIfTrue="1">
      <formula>$N626="BAM"</formula>
    </cfRule>
    <cfRule type="expression" dxfId="5442" priority="5910">
      <formula>$AF$49&gt;$T$49</formula>
    </cfRule>
  </conditionalFormatting>
  <conditionalFormatting sqref="AC626:AE626">
    <cfRule type="expression" dxfId="5441" priority="5907" stopIfTrue="1">
      <formula>$G623=""</formula>
    </cfRule>
  </conditionalFormatting>
  <conditionalFormatting sqref="T625:U625">
    <cfRule type="expression" dxfId="5440" priority="5874" stopIfTrue="1">
      <formula>$G623=""</formula>
    </cfRule>
  </conditionalFormatting>
  <conditionalFormatting sqref="T625:U625">
    <cfRule type="containsBlanks" dxfId="5439" priority="5904" stopIfTrue="1">
      <formula>LEN(TRIM(T625))=0</formula>
    </cfRule>
  </conditionalFormatting>
  <conditionalFormatting sqref="AC623:AE623">
    <cfRule type="expression" dxfId="5438" priority="5903">
      <formula>$G623=""</formula>
    </cfRule>
  </conditionalFormatting>
  <conditionalFormatting sqref="AF625 AG626">
    <cfRule type="containsBlanks" dxfId="5437" priority="5908" stopIfTrue="1">
      <formula>LEN(TRIM(AF625))=0</formula>
    </cfRule>
  </conditionalFormatting>
  <conditionalFormatting sqref="AF625">
    <cfRule type="expression" dxfId="5436" priority="5909">
      <formula>OR($HS624=FALSE,$HT624=FALSE)</formula>
    </cfRule>
  </conditionalFormatting>
  <conditionalFormatting sqref="AG626">
    <cfRule type="expression" dxfId="5435" priority="5867">
      <formula>$C$43&gt;0</formula>
    </cfRule>
  </conditionalFormatting>
  <conditionalFormatting sqref="AG626">
    <cfRule type="expression" dxfId="5434" priority="5900" stopIfTrue="1">
      <formula>$G623=""</formula>
    </cfRule>
  </conditionalFormatting>
  <conditionalFormatting sqref="U625">
    <cfRule type="expression" dxfId="5433" priority="5905">
      <formula>OR($HK624=FALSE,$HL624=FALSE)</formula>
    </cfRule>
  </conditionalFormatting>
  <conditionalFormatting sqref="T624:U624">
    <cfRule type="expression" dxfId="5432" priority="5895" stopIfTrue="1">
      <formula>$C$43&lt;&gt;0</formula>
    </cfRule>
    <cfRule type="containsBlanks" dxfId="5431" priority="5896" stopIfTrue="1">
      <formula>LEN(TRIM(T624))=0</formula>
    </cfRule>
  </conditionalFormatting>
  <conditionalFormatting sqref="T624:U624">
    <cfRule type="expression" dxfId="5430" priority="5894" stopIfTrue="1">
      <formula>$G623=""</formula>
    </cfRule>
  </conditionalFormatting>
  <conditionalFormatting sqref="U624">
    <cfRule type="expression" dxfId="5429" priority="5897">
      <formula>$HJ624=FALSE</formula>
    </cfRule>
  </conditionalFormatting>
  <conditionalFormatting sqref="AG625">
    <cfRule type="expression" dxfId="5428" priority="5885" stopIfTrue="1">
      <formula>$G623=""</formula>
    </cfRule>
  </conditionalFormatting>
  <conditionalFormatting sqref="AG625:AL625">
    <cfRule type="expression" dxfId="5427" priority="5886">
      <formula>$N626="BAM"</formula>
    </cfRule>
    <cfRule type="expression" dxfId="5426" priority="5890">
      <formula>OR($HU624=FALSE,$HQ624=FALSE)</formula>
    </cfRule>
  </conditionalFormatting>
  <conditionalFormatting sqref="AG625">
    <cfRule type="containsBlanks" dxfId="5425" priority="5887" stopIfTrue="1">
      <formula>LEN(TRIM(AG625))=0</formula>
    </cfRule>
    <cfRule type="expression" dxfId="5424" priority="5888">
      <formula>OR($HP624=FALSE,$HR624=FALSE)</formula>
    </cfRule>
    <cfRule type="expression" dxfId="5423" priority="5889">
      <formula>OR($DS623=7,$DS623=8,$DS623=9)</formula>
    </cfRule>
  </conditionalFormatting>
  <conditionalFormatting sqref="AG623:AL623">
    <cfRule type="expression" dxfId="5422" priority="5884">
      <formula>$C$43&lt;&gt;0</formula>
    </cfRule>
  </conditionalFormatting>
  <conditionalFormatting sqref="AF624">
    <cfRule type="containsBlanks" dxfId="5421" priority="5883">
      <formula>LEN(TRIM(AF624))=0</formula>
    </cfRule>
  </conditionalFormatting>
  <conditionalFormatting sqref="AF624">
    <cfRule type="expression" dxfId="5420" priority="5882" stopIfTrue="1">
      <formula>$G623=""</formula>
    </cfRule>
  </conditionalFormatting>
  <conditionalFormatting sqref="AG624">
    <cfRule type="containsBlanks" dxfId="5419" priority="5880">
      <formula>LEN(TRIM(AG624))=0</formula>
    </cfRule>
    <cfRule type="expression" dxfId="5418" priority="5881">
      <formula>$HO624=FALSE</formula>
    </cfRule>
  </conditionalFormatting>
  <conditionalFormatting sqref="AG624">
    <cfRule type="expression" dxfId="5417" priority="5879" stopIfTrue="1">
      <formula>$G623=""</formula>
    </cfRule>
  </conditionalFormatting>
  <conditionalFormatting sqref="AF624:AK624">
    <cfRule type="expression" dxfId="5416" priority="5878">
      <formula>$C$43&gt;0</formula>
    </cfRule>
  </conditionalFormatting>
  <conditionalFormatting sqref="AM623:AN624">
    <cfRule type="expression" dxfId="5415" priority="5877">
      <formula>$G623=""</formula>
    </cfRule>
  </conditionalFormatting>
  <conditionalFormatting sqref="AM625:AN625">
    <cfRule type="expression" dxfId="5414" priority="5876" stopIfTrue="1">
      <formula>$G623=""</formula>
    </cfRule>
  </conditionalFormatting>
  <conditionalFormatting sqref="T625">
    <cfRule type="expression" dxfId="5413" priority="5898" stopIfTrue="1">
      <formula>$N626="BAM"</formula>
    </cfRule>
  </conditionalFormatting>
  <conditionalFormatting sqref="U625:AE625">
    <cfRule type="expression" dxfId="5412" priority="5875" stopIfTrue="1">
      <formula>$N626="BAM"</formula>
    </cfRule>
  </conditionalFormatting>
  <conditionalFormatting sqref="AG626:AL626">
    <cfRule type="expression" dxfId="5411" priority="5899" stopIfTrue="1">
      <formula>$N626="BAM"</formula>
    </cfRule>
  </conditionalFormatting>
  <conditionalFormatting sqref="AX629">
    <cfRule type="expression" dxfId="5410" priority="5865">
      <formula>$E629=""</formula>
    </cfRule>
  </conditionalFormatting>
  <conditionalFormatting sqref="AX628">
    <cfRule type="expression" dxfId="5409" priority="5864">
      <formula>$E628=""</formula>
    </cfRule>
  </conditionalFormatting>
  <conditionalFormatting sqref="AX630">
    <cfRule type="expression" dxfId="5408" priority="5863">
      <formula>#REF!=""</formula>
    </cfRule>
  </conditionalFormatting>
  <conditionalFormatting sqref="AX631">
    <cfRule type="expression" dxfId="5407" priority="5862">
      <formula>$E630=""</formula>
    </cfRule>
  </conditionalFormatting>
  <conditionalFormatting sqref="AY628:AZ631">
    <cfRule type="expression" dxfId="5406" priority="5861">
      <formula>$G628=""</formula>
    </cfRule>
  </conditionalFormatting>
  <conditionalFormatting sqref="G630">
    <cfRule type="expression" dxfId="5405" priority="5858" stopIfTrue="1">
      <formula>$G628=""</formula>
    </cfRule>
    <cfRule type="containsBlanks" dxfId="5404" priority="5859" stopIfTrue="1">
      <formula>LEN(TRIM(G630))=0</formula>
    </cfRule>
    <cfRule type="expression" dxfId="5403" priority="5860">
      <formula>OR($M630=0,$HH629=FALSE)</formula>
    </cfRule>
  </conditionalFormatting>
  <conditionalFormatting sqref="AO630">
    <cfRule type="expression" dxfId="5402" priority="5857" stopIfTrue="1">
      <formula>$G628=""</formula>
    </cfRule>
  </conditionalFormatting>
  <conditionalFormatting sqref="AU628:AU631">
    <cfRule type="expression" dxfId="5401" priority="5854" stopIfTrue="1">
      <formula>$C$43=2</formula>
    </cfRule>
    <cfRule type="cellIs" dxfId="5400" priority="5855" operator="equal">
      <formula>"Yes"</formula>
    </cfRule>
    <cfRule type="cellIs" dxfId="5399" priority="5856" operator="equal">
      <formula>"No"</formula>
    </cfRule>
  </conditionalFormatting>
  <conditionalFormatting sqref="AO628:AO629">
    <cfRule type="expression" dxfId="5398" priority="5853">
      <formula>$G628=""</formula>
    </cfRule>
  </conditionalFormatting>
  <conditionalFormatting sqref="AP628 AR628:AS631">
    <cfRule type="expression" dxfId="5397" priority="5852">
      <formula>$G628=""</formula>
    </cfRule>
  </conditionalFormatting>
  <conditionalFormatting sqref="AW628:AW631">
    <cfRule type="expression" dxfId="5396" priority="5851">
      <formula>$G628=""</formula>
    </cfRule>
  </conditionalFormatting>
  <conditionalFormatting sqref="G629:L629">
    <cfRule type="expression" dxfId="5395" priority="5849" stopIfTrue="1">
      <formula>$G628=""</formula>
    </cfRule>
    <cfRule type="containsBlanks" dxfId="5394" priority="5850">
      <formula>LEN(TRIM(G629))=0</formula>
    </cfRule>
  </conditionalFormatting>
  <conditionalFormatting sqref="R630">
    <cfRule type="expression" dxfId="5393" priority="5846">
      <formula>$N631="BAM"</formula>
    </cfRule>
    <cfRule type="expression" dxfId="5392" priority="5847" stopIfTrue="1">
      <formula>$G628=""</formula>
    </cfRule>
    <cfRule type="containsBlanks" dxfId="5391" priority="5848">
      <formula>LEN(TRIM(R630))=0</formula>
    </cfRule>
  </conditionalFormatting>
  <conditionalFormatting sqref="R630">
    <cfRule type="expression" dxfId="5390" priority="5845">
      <formula>$C$43=0</formula>
    </cfRule>
  </conditionalFormatting>
  <conditionalFormatting sqref="E631:F631">
    <cfRule type="expression" dxfId="5389" priority="5844">
      <formula>$CQ628="Exterior"</formula>
    </cfRule>
  </conditionalFormatting>
  <conditionalFormatting sqref="R629">
    <cfRule type="expression" dxfId="5388" priority="5841" stopIfTrue="1">
      <formula>$N631="BAM"</formula>
    </cfRule>
  </conditionalFormatting>
  <conditionalFormatting sqref="R629">
    <cfRule type="containsBlanks" dxfId="5387" priority="5842">
      <formula>LEN(TRIM(R629))=0</formula>
    </cfRule>
  </conditionalFormatting>
  <conditionalFormatting sqref="R629">
    <cfRule type="expression" dxfId="5386" priority="5840" stopIfTrue="1">
      <formula>$G628=""</formula>
    </cfRule>
    <cfRule type="expression" dxfId="5385" priority="5843">
      <formula>$HY629=FALSE</formula>
    </cfRule>
  </conditionalFormatting>
  <conditionalFormatting sqref="G631">
    <cfRule type="expression" dxfId="5384" priority="5834" stopIfTrue="1">
      <formula>$G628=""</formula>
    </cfRule>
  </conditionalFormatting>
  <conditionalFormatting sqref="G631">
    <cfRule type="expression" dxfId="5383" priority="5836" stopIfTrue="1">
      <formula>$CQ628="Exterior"</formula>
    </cfRule>
  </conditionalFormatting>
  <conditionalFormatting sqref="G631:L631">
    <cfRule type="expression" dxfId="5382" priority="5835" stopIfTrue="1">
      <formula>$N631="BAM"</formula>
    </cfRule>
    <cfRule type="containsBlanks" dxfId="5381" priority="5837" stopIfTrue="1">
      <formula>LEN(TRIM(G631))=0</formula>
    </cfRule>
    <cfRule type="expression" dxfId="5380" priority="5839">
      <formula>$HQ629=FALSE</formula>
    </cfRule>
  </conditionalFormatting>
  <conditionalFormatting sqref="G631:L631">
    <cfRule type="expression" dxfId="5379" priority="5838" stopIfTrue="1">
      <formula>$AG630=""</formula>
    </cfRule>
  </conditionalFormatting>
  <conditionalFormatting sqref="G630:L630">
    <cfRule type="expression" dxfId="5378" priority="5832" stopIfTrue="1">
      <formula>$N631="BAM"</formula>
    </cfRule>
  </conditionalFormatting>
  <conditionalFormatting sqref="G628:R628">
    <cfRule type="containsBlanks" dxfId="5377" priority="5831">
      <formula>LEN(TRIM(G628))=0</formula>
    </cfRule>
  </conditionalFormatting>
  <conditionalFormatting sqref="AF630">
    <cfRule type="expression" dxfId="5376" priority="5821" stopIfTrue="1">
      <formula>$G628=""</formula>
    </cfRule>
    <cfRule type="expression" dxfId="5375" priority="5822" stopIfTrue="1">
      <formula>$N631="BAM"</formula>
    </cfRule>
    <cfRule type="expression" dxfId="5374" priority="5830">
      <formula>$AF$49&gt;$T$49</formula>
    </cfRule>
  </conditionalFormatting>
  <conditionalFormatting sqref="AC631:AE631">
    <cfRule type="expression" dxfId="5373" priority="5827" stopIfTrue="1">
      <formula>$G628=""</formula>
    </cfRule>
  </conditionalFormatting>
  <conditionalFormatting sqref="T630:U630">
    <cfRule type="expression" dxfId="5372" priority="5794" stopIfTrue="1">
      <formula>$G628=""</formula>
    </cfRule>
  </conditionalFormatting>
  <conditionalFormatting sqref="T630:U630">
    <cfRule type="containsBlanks" dxfId="5371" priority="5824" stopIfTrue="1">
      <formula>LEN(TRIM(T630))=0</formula>
    </cfRule>
  </conditionalFormatting>
  <conditionalFormatting sqref="AC628:AE628">
    <cfRule type="expression" dxfId="5370" priority="5823">
      <formula>$G628=""</formula>
    </cfRule>
  </conditionalFormatting>
  <conditionalFormatting sqref="AF630 AG631">
    <cfRule type="containsBlanks" dxfId="5369" priority="5828" stopIfTrue="1">
      <formula>LEN(TRIM(AF630))=0</formula>
    </cfRule>
  </conditionalFormatting>
  <conditionalFormatting sqref="AF630">
    <cfRule type="expression" dxfId="5368" priority="5829">
      <formula>OR($HS629=FALSE,$HT629=FALSE)</formula>
    </cfRule>
  </conditionalFormatting>
  <conditionalFormatting sqref="AG631">
    <cfRule type="expression" dxfId="5367" priority="5787">
      <formula>$C$43&gt;0</formula>
    </cfRule>
  </conditionalFormatting>
  <conditionalFormatting sqref="AG631">
    <cfRule type="expression" dxfId="5366" priority="5820" stopIfTrue="1">
      <formula>$G628=""</formula>
    </cfRule>
  </conditionalFormatting>
  <conditionalFormatting sqref="U630">
    <cfRule type="expression" dxfId="5365" priority="5825">
      <formula>OR($HK629=FALSE,$HL629=FALSE)</formula>
    </cfRule>
  </conditionalFormatting>
  <conditionalFormatting sqref="T629:U629">
    <cfRule type="expression" dxfId="5364" priority="5815" stopIfTrue="1">
      <formula>$C$43&lt;&gt;0</formula>
    </cfRule>
    <cfRule type="containsBlanks" dxfId="5363" priority="5816" stopIfTrue="1">
      <formula>LEN(TRIM(T629))=0</formula>
    </cfRule>
  </conditionalFormatting>
  <conditionalFormatting sqref="T629:U629">
    <cfRule type="expression" dxfId="5362" priority="5814" stopIfTrue="1">
      <formula>$G628=""</formula>
    </cfRule>
  </conditionalFormatting>
  <conditionalFormatting sqref="U629">
    <cfRule type="expression" dxfId="5361" priority="5817">
      <formula>$HJ629=FALSE</formula>
    </cfRule>
  </conditionalFormatting>
  <conditionalFormatting sqref="AG630">
    <cfRule type="expression" dxfId="5360" priority="5805" stopIfTrue="1">
      <formula>$G628=""</formula>
    </cfRule>
  </conditionalFormatting>
  <conditionalFormatting sqref="AG630:AL630">
    <cfRule type="expression" dxfId="5359" priority="5806">
      <formula>$N631="BAM"</formula>
    </cfRule>
    <cfRule type="expression" dxfId="5358" priority="5810">
      <formula>OR($HU629=FALSE,$HQ629=FALSE)</formula>
    </cfRule>
  </conditionalFormatting>
  <conditionalFormatting sqref="AG630">
    <cfRule type="containsBlanks" dxfId="5357" priority="5807" stopIfTrue="1">
      <formula>LEN(TRIM(AG630))=0</formula>
    </cfRule>
    <cfRule type="expression" dxfId="5356" priority="5808">
      <formula>OR($HP629=FALSE,$HR629=FALSE)</formula>
    </cfRule>
    <cfRule type="expression" dxfId="5355" priority="5809">
      <formula>OR($DS628=7,$DS628=8,$DS628=9)</formula>
    </cfRule>
  </conditionalFormatting>
  <conditionalFormatting sqref="AG628:AL628">
    <cfRule type="expression" dxfId="5354" priority="5804">
      <formula>$C$43&lt;&gt;0</formula>
    </cfRule>
  </conditionalFormatting>
  <conditionalFormatting sqref="AF629">
    <cfRule type="containsBlanks" dxfId="5353" priority="5803">
      <formula>LEN(TRIM(AF629))=0</formula>
    </cfRule>
  </conditionalFormatting>
  <conditionalFormatting sqref="AF629">
    <cfRule type="expression" dxfId="5352" priority="5802" stopIfTrue="1">
      <formula>$G628=""</formula>
    </cfRule>
  </conditionalFormatting>
  <conditionalFormatting sqref="AG629">
    <cfRule type="containsBlanks" dxfId="5351" priority="5800">
      <formula>LEN(TRIM(AG629))=0</formula>
    </cfRule>
    <cfRule type="expression" dxfId="5350" priority="5801">
      <formula>$HO629=FALSE</formula>
    </cfRule>
  </conditionalFormatting>
  <conditionalFormatting sqref="AG629">
    <cfRule type="expression" dxfId="5349" priority="5799" stopIfTrue="1">
      <formula>$G628=""</formula>
    </cfRule>
  </conditionalFormatting>
  <conditionalFormatting sqref="AF629:AK629">
    <cfRule type="expression" dxfId="5348" priority="5798">
      <formula>$C$43&gt;0</formula>
    </cfRule>
  </conditionalFormatting>
  <conditionalFormatting sqref="AM628:AN629">
    <cfRule type="expression" dxfId="5347" priority="5797">
      <formula>$G628=""</formula>
    </cfRule>
  </conditionalFormatting>
  <conditionalFormatting sqref="AM630:AN630">
    <cfRule type="expression" dxfId="5346" priority="5796" stopIfTrue="1">
      <formula>$G628=""</formula>
    </cfRule>
  </conditionalFormatting>
  <conditionalFormatting sqref="T630">
    <cfRule type="expression" dxfId="5345" priority="5818" stopIfTrue="1">
      <formula>$N631="BAM"</formula>
    </cfRule>
  </conditionalFormatting>
  <conditionalFormatting sqref="U630:AE630">
    <cfRule type="expression" dxfId="5344" priority="5795" stopIfTrue="1">
      <formula>$N631="BAM"</formula>
    </cfRule>
  </conditionalFormatting>
  <conditionalFormatting sqref="AG631:AL631">
    <cfRule type="expression" dxfId="5343" priority="5819" stopIfTrue="1">
      <formula>$N631="BAM"</formula>
    </cfRule>
  </conditionalFormatting>
  <conditionalFormatting sqref="AX634">
    <cfRule type="expression" dxfId="5342" priority="5785">
      <formula>$E634=""</formula>
    </cfRule>
  </conditionalFormatting>
  <conditionalFormatting sqref="AX633">
    <cfRule type="expression" dxfId="5341" priority="5784">
      <formula>$E633=""</formula>
    </cfRule>
  </conditionalFormatting>
  <conditionalFormatting sqref="AX635">
    <cfRule type="expression" dxfId="5340" priority="5783">
      <formula>#REF!=""</formula>
    </cfRule>
  </conditionalFormatting>
  <conditionalFormatting sqref="AX636">
    <cfRule type="expression" dxfId="5339" priority="5782">
      <formula>$E635=""</formula>
    </cfRule>
  </conditionalFormatting>
  <conditionalFormatting sqref="AY633:AZ636">
    <cfRule type="expression" dxfId="5338" priority="5781">
      <formula>$G633=""</formula>
    </cfRule>
  </conditionalFormatting>
  <conditionalFormatting sqref="G635">
    <cfRule type="expression" dxfId="5337" priority="5778" stopIfTrue="1">
      <formula>$G633=""</formula>
    </cfRule>
    <cfRule type="containsBlanks" dxfId="5336" priority="5779" stopIfTrue="1">
      <formula>LEN(TRIM(G635))=0</formula>
    </cfRule>
    <cfRule type="expression" dxfId="5335" priority="5780">
      <formula>OR($M635=0,$HH634=FALSE)</formula>
    </cfRule>
  </conditionalFormatting>
  <conditionalFormatting sqref="AO635">
    <cfRule type="expression" dxfId="5334" priority="5777" stopIfTrue="1">
      <formula>$G633=""</formula>
    </cfRule>
  </conditionalFormatting>
  <conditionalFormatting sqref="AU633:AU636">
    <cfRule type="expression" dxfId="5333" priority="5774" stopIfTrue="1">
      <formula>$C$43=2</formula>
    </cfRule>
    <cfRule type="cellIs" dxfId="5332" priority="5775" operator="equal">
      <formula>"Yes"</formula>
    </cfRule>
    <cfRule type="cellIs" dxfId="5331" priority="5776" operator="equal">
      <formula>"No"</formula>
    </cfRule>
  </conditionalFormatting>
  <conditionalFormatting sqref="AO633:AO634">
    <cfRule type="expression" dxfId="5330" priority="5773">
      <formula>$G633=""</formula>
    </cfRule>
  </conditionalFormatting>
  <conditionalFormatting sqref="AP633 AR633:AS636">
    <cfRule type="expression" dxfId="5329" priority="5772">
      <formula>$G633=""</formula>
    </cfRule>
  </conditionalFormatting>
  <conditionalFormatting sqref="AW633:AW636">
    <cfRule type="expression" dxfId="5328" priority="5771">
      <formula>$G633=""</formula>
    </cfRule>
  </conditionalFormatting>
  <conditionalFormatting sqref="G634:L634">
    <cfRule type="expression" dxfId="5327" priority="5769" stopIfTrue="1">
      <formula>$G633=""</formula>
    </cfRule>
    <cfRule type="containsBlanks" dxfId="5326" priority="5770">
      <formula>LEN(TRIM(G634))=0</formula>
    </cfRule>
  </conditionalFormatting>
  <conditionalFormatting sqref="R635">
    <cfRule type="expression" dxfId="5325" priority="5766">
      <formula>$N636="BAM"</formula>
    </cfRule>
    <cfRule type="expression" dxfId="5324" priority="5767" stopIfTrue="1">
      <formula>$G633=""</formula>
    </cfRule>
    <cfRule type="containsBlanks" dxfId="5323" priority="5768">
      <formula>LEN(TRIM(R635))=0</formula>
    </cfRule>
  </conditionalFormatting>
  <conditionalFormatting sqref="R635">
    <cfRule type="expression" dxfId="5322" priority="5765">
      <formula>$C$43=0</formula>
    </cfRule>
  </conditionalFormatting>
  <conditionalFormatting sqref="E636:F636">
    <cfRule type="expression" dxfId="5321" priority="5764">
      <formula>$CQ633="Exterior"</formula>
    </cfRule>
  </conditionalFormatting>
  <conditionalFormatting sqref="R634">
    <cfRule type="expression" dxfId="5320" priority="5761" stopIfTrue="1">
      <formula>$N636="BAM"</formula>
    </cfRule>
  </conditionalFormatting>
  <conditionalFormatting sqref="R634">
    <cfRule type="containsBlanks" dxfId="5319" priority="5762">
      <formula>LEN(TRIM(R634))=0</formula>
    </cfRule>
  </conditionalFormatting>
  <conditionalFormatting sqref="R634">
    <cfRule type="expression" dxfId="5318" priority="5760" stopIfTrue="1">
      <formula>$G633=""</formula>
    </cfRule>
    <cfRule type="expression" dxfId="5317" priority="5763">
      <formula>$HY634=FALSE</formula>
    </cfRule>
  </conditionalFormatting>
  <conditionalFormatting sqref="G636">
    <cfRule type="expression" dxfId="5316" priority="5754" stopIfTrue="1">
      <formula>$G633=""</formula>
    </cfRule>
  </conditionalFormatting>
  <conditionalFormatting sqref="G636">
    <cfRule type="expression" dxfId="5315" priority="5756" stopIfTrue="1">
      <formula>$CQ633="Exterior"</formula>
    </cfRule>
  </conditionalFormatting>
  <conditionalFormatting sqref="G636:L636">
    <cfRule type="expression" dxfId="5314" priority="5755" stopIfTrue="1">
      <formula>$N636="BAM"</formula>
    </cfRule>
    <cfRule type="containsBlanks" dxfId="5313" priority="5757" stopIfTrue="1">
      <formula>LEN(TRIM(G636))=0</formula>
    </cfRule>
    <cfRule type="expression" dxfId="5312" priority="5759">
      <formula>$HQ634=FALSE</formula>
    </cfRule>
  </conditionalFormatting>
  <conditionalFormatting sqref="G636:L636">
    <cfRule type="expression" dxfId="5311" priority="5758" stopIfTrue="1">
      <formula>$AG635=""</formula>
    </cfRule>
  </conditionalFormatting>
  <conditionalFormatting sqref="G635:L635">
    <cfRule type="expression" dxfId="5310" priority="5752" stopIfTrue="1">
      <formula>$N636="BAM"</formula>
    </cfRule>
  </conditionalFormatting>
  <conditionalFormatting sqref="G633:R633">
    <cfRule type="containsBlanks" dxfId="5309" priority="5751">
      <formula>LEN(TRIM(G633))=0</formula>
    </cfRule>
  </conditionalFormatting>
  <conditionalFormatting sqref="AF635">
    <cfRule type="expression" dxfId="5308" priority="5741" stopIfTrue="1">
      <formula>$G633=""</formula>
    </cfRule>
    <cfRule type="expression" dxfId="5307" priority="5742" stopIfTrue="1">
      <formula>$N636="BAM"</formula>
    </cfRule>
    <cfRule type="expression" dxfId="5306" priority="5750">
      <formula>$AF$49&gt;$T$49</formula>
    </cfRule>
  </conditionalFormatting>
  <conditionalFormatting sqref="AC636:AE636">
    <cfRule type="expression" dxfId="5305" priority="5747" stopIfTrue="1">
      <formula>$G633=""</formula>
    </cfRule>
  </conditionalFormatting>
  <conditionalFormatting sqref="T635:U635">
    <cfRule type="expression" dxfId="5304" priority="5714" stopIfTrue="1">
      <formula>$G633=""</formula>
    </cfRule>
  </conditionalFormatting>
  <conditionalFormatting sqref="T635:U635">
    <cfRule type="containsBlanks" dxfId="5303" priority="5744" stopIfTrue="1">
      <formula>LEN(TRIM(T635))=0</formula>
    </cfRule>
  </conditionalFormatting>
  <conditionalFormatting sqref="AC633:AE633">
    <cfRule type="expression" dxfId="5302" priority="5743">
      <formula>$G633=""</formula>
    </cfRule>
  </conditionalFormatting>
  <conditionalFormatting sqref="AF635 AG636">
    <cfRule type="containsBlanks" dxfId="5301" priority="5748" stopIfTrue="1">
      <formula>LEN(TRIM(AF635))=0</formula>
    </cfRule>
  </conditionalFormatting>
  <conditionalFormatting sqref="AF635">
    <cfRule type="expression" dxfId="5300" priority="5749">
      <formula>OR($HS634=FALSE,$HT634=FALSE)</formula>
    </cfRule>
  </conditionalFormatting>
  <conditionalFormatting sqref="AG636">
    <cfRule type="expression" dxfId="5299" priority="5707">
      <formula>$C$43&gt;0</formula>
    </cfRule>
  </conditionalFormatting>
  <conditionalFormatting sqref="AG636">
    <cfRule type="expression" dxfId="5298" priority="5740" stopIfTrue="1">
      <formula>$G633=""</formula>
    </cfRule>
  </conditionalFormatting>
  <conditionalFormatting sqref="U635">
    <cfRule type="expression" dxfId="5297" priority="5745">
      <formula>OR($HK634=FALSE,$HL634=FALSE)</formula>
    </cfRule>
  </conditionalFormatting>
  <conditionalFormatting sqref="T634:U634">
    <cfRule type="expression" dxfId="5296" priority="5735" stopIfTrue="1">
      <formula>$C$43&lt;&gt;0</formula>
    </cfRule>
    <cfRule type="containsBlanks" dxfId="5295" priority="5736" stopIfTrue="1">
      <formula>LEN(TRIM(T634))=0</formula>
    </cfRule>
  </conditionalFormatting>
  <conditionalFormatting sqref="T634:U634">
    <cfRule type="expression" dxfId="5294" priority="5734" stopIfTrue="1">
      <formula>$G633=""</formula>
    </cfRule>
  </conditionalFormatting>
  <conditionalFormatting sqref="U634">
    <cfRule type="expression" dxfId="5293" priority="5737">
      <formula>$HJ634=FALSE</formula>
    </cfRule>
  </conditionalFormatting>
  <conditionalFormatting sqref="AG635">
    <cfRule type="expression" dxfId="5292" priority="5725" stopIfTrue="1">
      <formula>$G633=""</formula>
    </cfRule>
  </conditionalFormatting>
  <conditionalFormatting sqref="AG635:AL635">
    <cfRule type="expression" dxfId="5291" priority="5726">
      <formula>$N636="BAM"</formula>
    </cfRule>
    <cfRule type="expression" dxfId="5290" priority="5730">
      <formula>OR($HU634=FALSE,$HQ634=FALSE)</formula>
    </cfRule>
  </conditionalFormatting>
  <conditionalFormatting sqref="AG635">
    <cfRule type="containsBlanks" dxfId="5289" priority="5727" stopIfTrue="1">
      <formula>LEN(TRIM(AG635))=0</formula>
    </cfRule>
    <cfRule type="expression" dxfId="5288" priority="5728">
      <formula>OR($HP634=FALSE,$HR634=FALSE)</formula>
    </cfRule>
    <cfRule type="expression" dxfId="5287" priority="5729">
      <formula>OR($DS633=7,$DS633=8,$DS633=9)</formula>
    </cfRule>
  </conditionalFormatting>
  <conditionalFormatting sqref="AG633:AL633">
    <cfRule type="expression" dxfId="5286" priority="5724">
      <formula>$C$43&lt;&gt;0</formula>
    </cfRule>
  </conditionalFormatting>
  <conditionalFormatting sqref="AF634">
    <cfRule type="containsBlanks" dxfId="5285" priority="5723">
      <formula>LEN(TRIM(AF634))=0</formula>
    </cfRule>
  </conditionalFormatting>
  <conditionalFormatting sqref="AF634">
    <cfRule type="expression" dxfId="5284" priority="5722" stopIfTrue="1">
      <formula>$G633=""</formula>
    </cfRule>
  </conditionalFormatting>
  <conditionalFormatting sqref="AG634">
    <cfRule type="containsBlanks" dxfId="5283" priority="5720">
      <formula>LEN(TRIM(AG634))=0</formula>
    </cfRule>
    <cfRule type="expression" dxfId="5282" priority="5721">
      <formula>$HO634=FALSE</formula>
    </cfRule>
  </conditionalFormatting>
  <conditionalFormatting sqref="AG634">
    <cfRule type="expression" dxfId="5281" priority="5719" stopIfTrue="1">
      <formula>$G633=""</formula>
    </cfRule>
  </conditionalFormatting>
  <conditionalFormatting sqref="AF634:AK634">
    <cfRule type="expression" dxfId="5280" priority="5718">
      <formula>$C$43&gt;0</formula>
    </cfRule>
  </conditionalFormatting>
  <conditionalFormatting sqref="AM633:AN634">
    <cfRule type="expression" dxfId="5279" priority="5717">
      <formula>$G633=""</formula>
    </cfRule>
  </conditionalFormatting>
  <conditionalFormatting sqref="AM635:AN635">
    <cfRule type="expression" dxfId="5278" priority="5716" stopIfTrue="1">
      <formula>$G633=""</formula>
    </cfRule>
  </conditionalFormatting>
  <conditionalFormatting sqref="T635">
    <cfRule type="expression" dxfId="5277" priority="5738" stopIfTrue="1">
      <formula>$N636="BAM"</formula>
    </cfRule>
  </conditionalFormatting>
  <conditionalFormatting sqref="U635:AE635">
    <cfRule type="expression" dxfId="5276" priority="5715" stopIfTrue="1">
      <formula>$N636="BAM"</formula>
    </cfRule>
  </conditionalFormatting>
  <conditionalFormatting sqref="AG636:AL636">
    <cfRule type="expression" dxfId="5275" priority="5739" stopIfTrue="1">
      <formula>$N636="BAM"</formula>
    </cfRule>
  </conditionalFormatting>
  <conditionalFormatting sqref="AX642">
    <cfRule type="expression" dxfId="5274" priority="5705">
      <formula>$E642=""</formula>
    </cfRule>
  </conditionalFormatting>
  <conditionalFormatting sqref="AX641">
    <cfRule type="expression" dxfId="5273" priority="5704">
      <formula>$E641=""</formula>
    </cfRule>
  </conditionalFormatting>
  <conditionalFormatting sqref="AX643">
    <cfRule type="expression" dxfId="5272" priority="5703">
      <formula>#REF!=""</formula>
    </cfRule>
  </conditionalFormatting>
  <conditionalFormatting sqref="AX644">
    <cfRule type="expression" dxfId="5271" priority="5702">
      <formula>$E643=""</formula>
    </cfRule>
  </conditionalFormatting>
  <conditionalFormatting sqref="AY641:AZ644">
    <cfRule type="expression" dxfId="5270" priority="5701">
      <formula>$G641=""</formula>
    </cfRule>
  </conditionalFormatting>
  <conditionalFormatting sqref="G643">
    <cfRule type="expression" dxfId="5269" priority="5698" stopIfTrue="1">
      <formula>$G641=""</formula>
    </cfRule>
    <cfRule type="containsBlanks" dxfId="5268" priority="5699" stopIfTrue="1">
      <formula>LEN(TRIM(G643))=0</formula>
    </cfRule>
    <cfRule type="expression" dxfId="5267" priority="5700">
      <formula>OR($M643=0,$HH642=FALSE)</formula>
    </cfRule>
  </conditionalFormatting>
  <conditionalFormatting sqref="AO643">
    <cfRule type="expression" dxfId="5266" priority="5697" stopIfTrue="1">
      <formula>$G641=""</formula>
    </cfRule>
  </conditionalFormatting>
  <conditionalFormatting sqref="AU641:AU644">
    <cfRule type="expression" dxfId="5265" priority="5694" stopIfTrue="1">
      <formula>$C$43=2</formula>
    </cfRule>
    <cfRule type="cellIs" dxfId="5264" priority="5695" operator="equal">
      <formula>"Yes"</formula>
    </cfRule>
    <cfRule type="cellIs" dxfId="5263" priority="5696" operator="equal">
      <formula>"No"</formula>
    </cfRule>
  </conditionalFormatting>
  <conditionalFormatting sqref="AO641:AO642">
    <cfRule type="expression" dxfId="5262" priority="5693">
      <formula>$G641=""</formula>
    </cfRule>
  </conditionalFormatting>
  <conditionalFormatting sqref="AP641 AR641:AS644">
    <cfRule type="expression" dxfId="5261" priority="5692">
      <formula>$G641=""</formula>
    </cfRule>
  </conditionalFormatting>
  <conditionalFormatting sqref="AW641:AW644">
    <cfRule type="expression" dxfId="5260" priority="5691">
      <formula>$G641=""</formula>
    </cfRule>
  </conditionalFormatting>
  <conditionalFormatting sqref="G642:L642">
    <cfRule type="expression" dxfId="5259" priority="5689" stopIfTrue="1">
      <formula>$G641=""</formula>
    </cfRule>
    <cfRule type="containsBlanks" dxfId="5258" priority="5690">
      <formula>LEN(TRIM(G642))=0</formula>
    </cfRule>
  </conditionalFormatting>
  <conditionalFormatting sqref="R643">
    <cfRule type="expression" dxfId="5257" priority="5686">
      <formula>$N644="BAM"</formula>
    </cfRule>
    <cfRule type="expression" dxfId="5256" priority="5687" stopIfTrue="1">
      <formula>$G641=""</formula>
    </cfRule>
    <cfRule type="containsBlanks" dxfId="5255" priority="5688">
      <formula>LEN(TRIM(R643))=0</formula>
    </cfRule>
  </conditionalFormatting>
  <conditionalFormatting sqref="R643">
    <cfRule type="expression" dxfId="5254" priority="5685">
      <formula>$C$43=0</formula>
    </cfRule>
  </conditionalFormatting>
  <conditionalFormatting sqref="E644:F644">
    <cfRule type="expression" dxfId="5253" priority="5684">
      <formula>$CQ641="Exterior"</formula>
    </cfRule>
  </conditionalFormatting>
  <conditionalFormatting sqref="R642">
    <cfRule type="expression" dxfId="5252" priority="5681" stopIfTrue="1">
      <formula>$N644="BAM"</formula>
    </cfRule>
  </conditionalFormatting>
  <conditionalFormatting sqref="R642">
    <cfRule type="containsBlanks" dxfId="5251" priority="5682">
      <formula>LEN(TRIM(R642))=0</formula>
    </cfRule>
  </conditionalFormatting>
  <conditionalFormatting sqref="R642">
    <cfRule type="expression" dxfId="5250" priority="5680" stopIfTrue="1">
      <formula>$G641=""</formula>
    </cfRule>
    <cfRule type="expression" dxfId="5249" priority="5683">
      <formula>$HY642=FALSE</formula>
    </cfRule>
  </conditionalFormatting>
  <conditionalFormatting sqref="G644">
    <cfRule type="expression" dxfId="5248" priority="5674" stopIfTrue="1">
      <formula>$G641=""</formula>
    </cfRule>
  </conditionalFormatting>
  <conditionalFormatting sqref="G644">
    <cfRule type="expression" dxfId="5247" priority="5676" stopIfTrue="1">
      <formula>$CQ641="Exterior"</formula>
    </cfRule>
  </conditionalFormatting>
  <conditionalFormatting sqref="G644:L644">
    <cfRule type="expression" dxfId="5246" priority="5675" stopIfTrue="1">
      <formula>$N644="BAM"</formula>
    </cfRule>
    <cfRule type="containsBlanks" dxfId="5245" priority="5677" stopIfTrue="1">
      <formula>LEN(TRIM(G644))=0</formula>
    </cfRule>
    <cfRule type="expression" dxfId="5244" priority="5679">
      <formula>$HQ642=FALSE</formula>
    </cfRule>
  </conditionalFormatting>
  <conditionalFormatting sqref="G644:L644">
    <cfRule type="expression" dxfId="5243" priority="5678" stopIfTrue="1">
      <formula>$AG643=""</formula>
    </cfRule>
  </conditionalFormatting>
  <conditionalFormatting sqref="G643:L643">
    <cfRule type="expression" dxfId="5242" priority="5672" stopIfTrue="1">
      <formula>$N644="BAM"</formula>
    </cfRule>
  </conditionalFormatting>
  <conditionalFormatting sqref="G641:R641">
    <cfRule type="containsBlanks" dxfId="5241" priority="5671">
      <formula>LEN(TRIM(G641))=0</formula>
    </cfRule>
  </conditionalFormatting>
  <conditionalFormatting sqref="AF643">
    <cfRule type="expression" dxfId="5240" priority="5661" stopIfTrue="1">
      <formula>$G641=""</formula>
    </cfRule>
    <cfRule type="expression" dxfId="5239" priority="5662" stopIfTrue="1">
      <formula>$N644="BAM"</formula>
    </cfRule>
    <cfRule type="expression" dxfId="5238" priority="5670">
      <formula>$AF$49&gt;$T$49</formula>
    </cfRule>
  </conditionalFormatting>
  <conditionalFormatting sqref="AC644:AE644">
    <cfRule type="expression" dxfId="5237" priority="5667" stopIfTrue="1">
      <formula>$G641=""</formula>
    </cfRule>
  </conditionalFormatting>
  <conditionalFormatting sqref="T643:U643">
    <cfRule type="expression" dxfId="5236" priority="5634" stopIfTrue="1">
      <formula>$G641=""</formula>
    </cfRule>
  </conditionalFormatting>
  <conditionalFormatting sqref="T643:U643">
    <cfRule type="containsBlanks" dxfId="5235" priority="5664" stopIfTrue="1">
      <formula>LEN(TRIM(T643))=0</formula>
    </cfRule>
  </conditionalFormatting>
  <conditionalFormatting sqref="AC641:AE641">
    <cfRule type="expression" dxfId="5234" priority="5663">
      <formula>$G641=""</formula>
    </cfRule>
  </conditionalFormatting>
  <conditionalFormatting sqref="AF643 AG644">
    <cfRule type="containsBlanks" dxfId="5233" priority="5668" stopIfTrue="1">
      <formula>LEN(TRIM(AF643))=0</formula>
    </cfRule>
  </conditionalFormatting>
  <conditionalFormatting sqref="AF643">
    <cfRule type="expression" dxfId="5232" priority="5669">
      <formula>OR($HS642=FALSE,$HT642=FALSE)</formula>
    </cfRule>
  </conditionalFormatting>
  <conditionalFormatting sqref="AG644">
    <cfRule type="expression" dxfId="5231" priority="5627">
      <formula>$C$43&gt;0</formula>
    </cfRule>
  </conditionalFormatting>
  <conditionalFormatting sqref="AG644">
    <cfRule type="expression" dxfId="5230" priority="5660" stopIfTrue="1">
      <formula>$G641=""</formula>
    </cfRule>
  </conditionalFormatting>
  <conditionalFormatting sqref="U643">
    <cfRule type="expression" dxfId="5229" priority="5665">
      <formula>OR($HK642=FALSE,$HL642=FALSE)</formula>
    </cfRule>
  </conditionalFormatting>
  <conditionalFormatting sqref="T642:U642">
    <cfRule type="expression" dxfId="5228" priority="5655" stopIfTrue="1">
      <formula>$C$43&lt;&gt;0</formula>
    </cfRule>
    <cfRule type="containsBlanks" dxfId="5227" priority="5656" stopIfTrue="1">
      <formula>LEN(TRIM(T642))=0</formula>
    </cfRule>
  </conditionalFormatting>
  <conditionalFormatting sqref="T642:U642">
    <cfRule type="expression" dxfId="5226" priority="5654" stopIfTrue="1">
      <formula>$G641=""</formula>
    </cfRule>
  </conditionalFormatting>
  <conditionalFormatting sqref="U642">
    <cfRule type="expression" dxfId="5225" priority="5657">
      <formula>$HJ642=FALSE</formula>
    </cfRule>
  </conditionalFormatting>
  <conditionalFormatting sqref="AG643">
    <cfRule type="expression" dxfId="5224" priority="5645" stopIfTrue="1">
      <formula>$G641=""</formula>
    </cfRule>
  </conditionalFormatting>
  <conditionalFormatting sqref="AG643:AL643">
    <cfRule type="expression" dxfId="5223" priority="5646">
      <formula>$N644="BAM"</formula>
    </cfRule>
    <cfRule type="expression" dxfId="5222" priority="5650">
      <formula>OR($HU642=FALSE,$HQ642=FALSE)</formula>
    </cfRule>
  </conditionalFormatting>
  <conditionalFormatting sqref="AG643">
    <cfRule type="containsBlanks" dxfId="5221" priority="5647" stopIfTrue="1">
      <formula>LEN(TRIM(AG643))=0</formula>
    </cfRule>
    <cfRule type="expression" dxfId="5220" priority="5648">
      <formula>OR($HP642=FALSE,$HR642=FALSE)</formula>
    </cfRule>
    <cfRule type="expression" dxfId="5219" priority="5649">
      <formula>OR($DS641=7,$DS641=8,$DS641=9)</formula>
    </cfRule>
  </conditionalFormatting>
  <conditionalFormatting sqref="AG641:AL641">
    <cfRule type="expression" dxfId="5218" priority="5644">
      <formula>$C$43&lt;&gt;0</formula>
    </cfRule>
  </conditionalFormatting>
  <conditionalFormatting sqref="AF642">
    <cfRule type="containsBlanks" dxfId="5217" priority="5643">
      <formula>LEN(TRIM(AF642))=0</formula>
    </cfRule>
  </conditionalFormatting>
  <conditionalFormatting sqref="AF642">
    <cfRule type="expression" dxfId="5216" priority="5642" stopIfTrue="1">
      <formula>$G641=""</formula>
    </cfRule>
  </conditionalFormatting>
  <conditionalFormatting sqref="AG642">
    <cfRule type="containsBlanks" dxfId="5215" priority="5640">
      <formula>LEN(TRIM(AG642))=0</formula>
    </cfRule>
    <cfRule type="expression" dxfId="5214" priority="5641">
      <formula>$HO642=FALSE</formula>
    </cfRule>
  </conditionalFormatting>
  <conditionalFormatting sqref="AG642">
    <cfRule type="expression" dxfId="5213" priority="5639" stopIfTrue="1">
      <formula>$G641=""</formula>
    </cfRule>
  </conditionalFormatting>
  <conditionalFormatting sqref="AF642:AK642">
    <cfRule type="expression" dxfId="5212" priority="5638">
      <formula>$C$43&gt;0</formula>
    </cfRule>
  </conditionalFormatting>
  <conditionalFormatting sqref="AM641:AN642">
    <cfRule type="expression" dxfId="5211" priority="5637">
      <formula>$G641=""</formula>
    </cfRule>
  </conditionalFormatting>
  <conditionalFormatting sqref="AM643:AN643">
    <cfRule type="expression" dxfId="5210" priority="5636" stopIfTrue="1">
      <formula>$G641=""</formula>
    </cfRule>
  </conditionalFormatting>
  <conditionalFormatting sqref="T643">
    <cfRule type="expression" dxfId="5209" priority="5658" stopIfTrue="1">
      <formula>$N644="BAM"</formula>
    </cfRule>
  </conditionalFormatting>
  <conditionalFormatting sqref="U643:AE643">
    <cfRule type="expression" dxfId="5208" priority="5635" stopIfTrue="1">
      <formula>$N644="BAM"</formula>
    </cfRule>
  </conditionalFormatting>
  <conditionalFormatting sqref="AG644:AL644">
    <cfRule type="expression" dxfId="5207" priority="5659" stopIfTrue="1">
      <formula>$N644="BAM"</formula>
    </cfRule>
  </conditionalFormatting>
  <conditionalFormatting sqref="AX647">
    <cfRule type="expression" dxfId="5206" priority="5625">
      <formula>$E647=""</formula>
    </cfRule>
  </conditionalFormatting>
  <conditionalFormatting sqref="AX646">
    <cfRule type="expression" dxfId="5205" priority="5624">
      <formula>$E646=""</formula>
    </cfRule>
  </conditionalFormatting>
  <conditionalFormatting sqref="AX648">
    <cfRule type="expression" dxfId="5204" priority="5623">
      <formula>#REF!=""</formula>
    </cfRule>
  </conditionalFormatting>
  <conditionalFormatting sqref="AX649">
    <cfRule type="expression" dxfId="5203" priority="5622">
      <formula>$E648=""</formula>
    </cfRule>
  </conditionalFormatting>
  <conditionalFormatting sqref="AY646:AZ649">
    <cfRule type="expression" dxfId="5202" priority="5621">
      <formula>$G646=""</formula>
    </cfRule>
  </conditionalFormatting>
  <conditionalFormatting sqref="G648">
    <cfRule type="expression" dxfId="5201" priority="5618" stopIfTrue="1">
      <formula>$G646=""</formula>
    </cfRule>
    <cfRule type="containsBlanks" dxfId="5200" priority="5619" stopIfTrue="1">
      <formula>LEN(TRIM(G648))=0</formula>
    </cfRule>
    <cfRule type="expression" dxfId="5199" priority="5620">
      <formula>OR($M648=0,$HH647=FALSE)</formula>
    </cfRule>
  </conditionalFormatting>
  <conditionalFormatting sqref="AO648">
    <cfRule type="expression" dxfId="5198" priority="5617" stopIfTrue="1">
      <formula>$G646=""</formula>
    </cfRule>
  </conditionalFormatting>
  <conditionalFormatting sqref="AU646:AU649">
    <cfRule type="expression" dxfId="5197" priority="5614" stopIfTrue="1">
      <formula>$C$43=2</formula>
    </cfRule>
    <cfRule type="cellIs" dxfId="5196" priority="5615" operator="equal">
      <formula>"Yes"</formula>
    </cfRule>
    <cfRule type="cellIs" dxfId="5195" priority="5616" operator="equal">
      <formula>"No"</formula>
    </cfRule>
  </conditionalFormatting>
  <conditionalFormatting sqref="AO646:AO647">
    <cfRule type="expression" dxfId="5194" priority="5613">
      <formula>$G646=""</formula>
    </cfRule>
  </conditionalFormatting>
  <conditionalFormatting sqref="AP646 AR646:AS649">
    <cfRule type="expression" dxfId="5193" priority="5612">
      <formula>$G646=""</formula>
    </cfRule>
  </conditionalFormatting>
  <conditionalFormatting sqref="AW646:AW649">
    <cfRule type="expression" dxfId="5192" priority="5611">
      <formula>$G646=""</formula>
    </cfRule>
  </conditionalFormatting>
  <conditionalFormatting sqref="G647:L647">
    <cfRule type="expression" dxfId="5191" priority="5609" stopIfTrue="1">
      <formula>$G646=""</formula>
    </cfRule>
    <cfRule type="containsBlanks" dxfId="5190" priority="5610">
      <formula>LEN(TRIM(G647))=0</formula>
    </cfRule>
  </conditionalFormatting>
  <conditionalFormatting sqref="R648">
    <cfRule type="expression" dxfId="5189" priority="5606">
      <formula>$N649="BAM"</formula>
    </cfRule>
    <cfRule type="expression" dxfId="5188" priority="5607" stopIfTrue="1">
      <formula>$G646=""</formula>
    </cfRule>
    <cfRule type="containsBlanks" dxfId="5187" priority="5608">
      <formula>LEN(TRIM(R648))=0</formula>
    </cfRule>
  </conditionalFormatting>
  <conditionalFormatting sqref="R648">
    <cfRule type="expression" dxfId="5186" priority="5605">
      <formula>$C$43=0</formula>
    </cfRule>
  </conditionalFormatting>
  <conditionalFormatting sqref="E649:F649">
    <cfRule type="expression" dxfId="5185" priority="5604">
      <formula>$CQ646="Exterior"</formula>
    </cfRule>
  </conditionalFormatting>
  <conditionalFormatting sqref="R647">
    <cfRule type="expression" dxfId="5184" priority="5601" stopIfTrue="1">
      <formula>$N649="BAM"</formula>
    </cfRule>
  </conditionalFormatting>
  <conditionalFormatting sqref="R647">
    <cfRule type="containsBlanks" dxfId="5183" priority="5602">
      <formula>LEN(TRIM(R647))=0</formula>
    </cfRule>
  </conditionalFormatting>
  <conditionalFormatting sqref="R647">
    <cfRule type="expression" dxfId="5182" priority="5600" stopIfTrue="1">
      <formula>$G646=""</formula>
    </cfRule>
    <cfRule type="expression" dxfId="5181" priority="5603">
      <formula>$HY647=FALSE</formula>
    </cfRule>
  </conditionalFormatting>
  <conditionalFormatting sqref="G649">
    <cfRule type="expression" dxfId="5180" priority="5594" stopIfTrue="1">
      <formula>$G646=""</formula>
    </cfRule>
  </conditionalFormatting>
  <conditionalFormatting sqref="G649">
    <cfRule type="expression" dxfId="5179" priority="5596" stopIfTrue="1">
      <formula>$CQ646="Exterior"</formula>
    </cfRule>
  </conditionalFormatting>
  <conditionalFormatting sqref="G649:L649">
    <cfRule type="expression" dxfId="5178" priority="5595" stopIfTrue="1">
      <formula>$N649="BAM"</formula>
    </cfRule>
    <cfRule type="containsBlanks" dxfId="5177" priority="5597" stopIfTrue="1">
      <formula>LEN(TRIM(G649))=0</formula>
    </cfRule>
    <cfRule type="expression" dxfId="5176" priority="5599">
      <formula>$HQ647=FALSE</formula>
    </cfRule>
  </conditionalFormatting>
  <conditionalFormatting sqref="G649:L649">
    <cfRule type="expression" dxfId="5175" priority="5598" stopIfTrue="1">
      <formula>$AG648=""</formula>
    </cfRule>
  </conditionalFormatting>
  <conditionalFormatting sqref="G648:L648">
    <cfRule type="expression" dxfId="5174" priority="5592" stopIfTrue="1">
      <formula>$N649="BAM"</formula>
    </cfRule>
  </conditionalFormatting>
  <conditionalFormatting sqref="G646:R646">
    <cfRule type="containsBlanks" dxfId="5173" priority="5591">
      <formula>LEN(TRIM(G646))=0</formula>
    </cfRule>
  </conditionalFormatting>
  <conditionalFormatting sqref="AF648">
    <cfRule type="expression" dxfId="5172" priority="5581" stopIfTrue="1">
      <formula>$G646=""</formula>
    </cfRule>
    <cfRule type="expression" dxfId="5171" priority="5582" stopIfTrue="1">
      <formula>$N649="BAM"</formula>
    </cfRule>
    <cfRule type="expression" dxfId="5170" priority="5590">
      <formula>$AF$49&gt;$T$49</formula>
    </cfRule>
  </conditionalFormatting>
  <conditionalFormatting sqref="AC649:AE649">
    <cfRule type="expression" dxfId="5169" priority="5587" stopIfTrue="1">
      <formula>$G646=""</formula>
    </cfRule>
  </conditionalFormatting>
  <conditionalFormatting sqref="T648:U648">
    <cfRule type="expression" dxfId="5168" priority="5554" stopIfTrue="1">
      <formula>$G646=""</formula>
    </cfRule>
  </conditionalFormatting>
  <conditionalFormatting sqref="T648:U648">
    <cfRule type="containsBlanks" dxfId="5167" priority="5584" stopIfTrue="1">
      <formula>LEN(TRIM(T648))=0</formula>
    </cfRule>
  </conditionalFormatting>
  <conditionalFormatting sqref="AC646:AE646">
    <cfRule type="expression" dxfId="5166" priority="5583">
      <formula>$G646=""</formula>
    </cfRule>
  </conditionalFormatting>
  <conditionalFormatting sqref="AF648 AG649">
    <cfRule type="containsBlanks" dxfId="5165" priority="5588" stopIfTrue="1">
      <formula>LEN(TRIM(AF648))=0</formula>
    </cfRule>
  </conditionalFormatting>
  <conditionalFormatting sqref="AF648">
    <cfRule type="expression" dxfId="5164" priority="5589">
      <formula>OR($HS647=FALSE,$HT647=FALSE)</formula>
    </cfRule>
  </conditionalFormatting>
  <conditionalFormatting sqref="AG649">
    <cfRule type="expression" dxfId="5163" priority="5547">
      <formula>$C$43&gt;0</formula>
    </cfRule>
  </conditionalFormatting>
  <conditionalFormatting sqref="AG649">
    <cfRule type="expression" dxfId="5162" priority="5580" stopIfTrue="1">
      <formula>$G646=""</formula>
    </cfRule>
  </conditionalFormatting>
  <conditionalFormatting sqref="U648">
    <cfRule type="expression" dxfId="5161" priority="5585">
      <formula>OR($HK647=FALSE,$HL647=FALSE)</formula>
    </cfRule>
  </conditionalFormatting>
  <conditionalFormatting sqref="T647:U647">
    <cfRule type="expression" dxfId="5160" priority="5575" stopIfTrue="1">
      <formula>$C$43&lt;&gt;0</formula>
    </cfRule>
    <cfRule type="containsBlanks" dxfId="5159" priority="5576" stopIfTrue="1">
      <formula>LEN(TRIM(T647))=0</formula>
    </cfRule>
  </conditionalFormatting>
  <conditionalFormatting sqref="T647:U647">
    <cfRule type="expression" dxfId="5158" priority="5574" stopIfTrue="1">
      <formula>$G646=""</formula>
    </cfRule>
  </conditionalFormatting>
  <conditionalFormatting sqref="U647">
    <cfRule type="expression" dxfId="5157" priority="5577">
      <formula>$HJ647=FALSE</formula>
    </cfRule>
  </conditionalFormatting>
  <conditionalFormatting sqref="AG648">
    <cfRule type="expression" dxfId="5156" priority="5565" stopIfTrue="1">
      <formula>$G646=""</formula>
    </cfRule>
  </conditionalFormatting>
  <conditionalFormatting sqref="AG648:AL648">
    <cfRule type="expression" dxfId="5155" priority="5566">
      <formula>$N649="BAM"</formula>
    </cfRule>
    <cfRule type="expression" dxfId="5154" priority="5570">
      <formula>OR($HU647=FALSE,$HQ647=FALSE)</formula>
    </cfRule>
  </conditionalFormatting>
  <conditionalFormatting sqref="AG648">
    <cfRule type="containsBlanks" dxfId="5153" priority="5567" stopIfTrue="1">
      <formula>LEN(TRIM(AG648))=0</formula>
    </cfRule>
    <cfRule type="expression" dxfId="5152" priority="5568">
      <formula>OR($HP647=FALSE,$HR647=FALSE)</formula>
    </cfRule>
    <cfRule type="expression" dxfId="5151" priority="5569">
      <formula>OR($DS646=7,$DS646=8,$DS646=9)</formula>
    </cfRule>
  </conditionalFormatting>
  <conditionalFormatting sqref="AG646:AL646">
    <cfRule type="expression" dxfId="5150" priority="5564">
      <formula>$C$43&lt;&gt;0</formula>
    </cfRule>
  </conditionalFormatting>
  <conditionalFormatting sqref="AF647">
    <cfRule type="containsBlanks" dxfId="5149" priority="5563">
      <formula>LEN(TRIM(AF647))=0</formula>
    </cfRule>
  </conditionalFormatting>
  <conditionalFormatting sqref="AF647">
    <cfRule type="expression" dxfId="5148" priority="5562" stopIfTrue="1">
      <formula>$G646=""</formula>
    </cfRule>
  </conditionalFormatting>
  <conditionalFormatting sqref="AG647">
    <cfRule type="containsBlanks" dxfId="5147" priority="5560">
      <formula>LEN(TRIM(AG647))=0</formula>
    </cfRule>
    <cfRule type="expression" dxfId="5146" priority="5561">
      <formula>$HO647=FALSE</formula>
    </cfRule>
  </conditionalFormatting>
  <conditionalFormatting sqref="AG647">
    <cfRule type="expression" dxfId="5145" priority="5559" stopIfTrue="1">
      <formula>$G646=""</formula>
    </cfRule>
  </conditionalFormatting>
  <conditionalFormatting sqref="AF647:AK647">
    <cfRule type="expression" dxfId="5144" priority="5558">
      <formula>$C$43&gt;0</formula>
    </cfRule>
  </conditionalFormatting>
  <conditionalFormatting sqref="AM646:AN647">
    <cfRule type="expression" dxfId="5143" priority="5557">
      <formula>$G646=""</formula>
    </cfRule>
  </conditionalFormatting>
  <conditionalFormatting sqref="AM648:AN648">
    <cfRule type="expression" dxfId="5142" priority="5556" stopIfTrue="1">
      <formula>$G646=""</formula>
    </cfRule>
  </conditionalFormatting>
  <conditionalFormatting sqref="T648">
    <cfRule type="expression" dxfId="5141" priority="5578" stopIfTrue="1">
      <formula>$N649="BAM"</formula>
    </cfRule>
  </conditionalFormatting>
  <conditionalFormatting sqref="U648:AE648">
    <cfRule type="expression" dxfId="5140" priority="5555" stopIfTrue="1">
      <formula>$N649="BAM"</formula>
    </cfRule>
  </conditionalFormatting>
  <conditionalFormatting sqref="AG649:AL649">
    <cfRule type="expression" dxfId="5139" priority="5579" stopIfTrue="1">
      <formula>$N649="BAM"</formula>
    </cfRule>
  </conditionalFormatting>
  <conditionalFormatting sqref="AX652">
    <cfRule type="expression" dxfId="5138" priority="5545">
      <formula>$E652=""</formula>
    </cfRule>
  </conditionalFormatting>
  <conditionalFormatting sqref="AX651">
    <cfRule type="expression" dxfId="5137" priority="5544">
      <formula>$E651=""</formula>
    </cfRule>
  </conditionalFormatting>
  <conditionalFormatting sqref="AX653">
    <cfRule type="expression" dxfId="5136" priority="5543">
      <formula>#REF!=""</formula>
    </cfRule>
  </conditionalFormatting>
  <conditionalFormatting sqref="AX654">
    <cfRule type="expression" dxfId="5135" priority="5542">
      <formula>$E653=""</formula>
    </cfRule>
  </conditionalFormatting>
  <conditionalFormatting sqref="AY651:AZ654">
    <cfRule type="expression" dxfId="5134" priority="5541">
      <formula>$G651=""</formula>
    </cfRule>
  </conditionalFormatting>
  <conditionalFormatting sqref="G653">
    <cfRule type="expression" dxfId="5133" priority="5538" stopIfTrue="1">
      <formula>$G651=""</formula>
    </cfRule>
    <cfRule type="containsBlanks" dxfId="5132" priority="5539" stopIfTrue="1">
      <formula>LEN(TRIM(G653))=0</formula>
    </cfRule>
    <cfRule type="expression" dxfId="5131" priority="5540">
      <formula>OR($M653=0,$HH652=FALSE)</formula>
    </cfRule>
  </conditionalFormatting>
  <conditionalFormatting sqref="AO653">
    <cfRule type="expression" dxfId="5130" priority="5537" stopIfTrue="1">
      <formula>$G651=""</formula>
    </cfRule>
  </conditionalFormatting>
  <conditionalFormatting sqref="AU651:AU654">
    <cfRule type="expression" dxfId="5129" priority="5534" stopIfTrue="1">
      <formula>$C$43=2</formula>
    </cfRule>
    <cfRule type="cellIs" dxfId="5128" priority="5535" operator="equal">
      <formula>"Yes"</formula>
    </cfRule>
    <cfRule type="cellIs" dxfId="5127" priority="5536" operator="equal">
      <formula>"No"</formula>
    </cfRule>
  </conditionalFormatting>
  <conditionalFormatting sqref="AO651:AO652">
    <cfRule type="expression" dxfId="5126" priority="5533">
      <formula>$G651=""</formula>
    </cfRule>
  </conditionalFormatting>
  <conditionalFormatting sqref="AP651 AR651:AS654">
    <cfRule type="expression" dxfId="5125" priority="5532">
      <formula>$G651=""</formula>
    </cfRule>
  </conditionalFormatting>
  <conditionalFormatting sqref="AW651:AW654">
    <cfRule type="expression" dxfId="5124" priority="5531">
      <formula>$G651=""</formula>
    </cfRule>
  </conditionalFormatting>
  <conditionalFormatting sqref="G652:L652">
    <cfRule type="expression" dxfId="5123" priority="5529" stopIfTrue="1">
      <formula>$G651=""</formula>
    </cfRule>
    <cfRule type="containsBlanks" dxfId="5122" priority="5530">
      <formula>LEN(TRIM(G652))=0</formula>
    </cfRule>
  </conditionalFormatting>
  <conditionalFormatting sqref="R653">
    <cfRule type="expression" dxfId="5121" priority="5526">
      <formula>$N654="BAM"</formula>
    </cfRule>
    <cfRule type="expression" dxfId="5120" priority="5527" stopIfTrue="1">
      <formula>$G651=""</formula>
    </cfRule>
    <cfRule type="containsBlanks" dxfId="5119" priority="5528">
      <formula>LEN(TRIM(R653))=0</formula>
    </cfRule>
  </conditionalFormatting>
  <conditionalFormatting sqref="R653">
    <cfRule type="expression" dxfId="5118" priority="5525">
      <formula>$C$43=0</formula>
    </cfRule>
  </conditionalFormatting>
  <conditionalFormatting sqref="E654:F654">
    <cfRule type="expression" dxfId="5117" priority="5524">
      <formula>$CQ651="Exterior"</formula>
    </cfRule>
  </conditionalFormatting>
  <conditionalFormatting sqref="R652">
    <cfRule type="expression" dxfId="5116" priority="5521" stopIfTrue="1">
      <formula>$N654="BAM"</formula>
    </cfRule>
  </conditionalFormatting>
  <conditionalFormatting sqref="R652">
    <cfRule type="containsBlanks" dxfId="5115" priority="5522">
      <formula>LEN(TRIM(R652))=0</formula>
    </cfRule>
  </conditionalFormatting>
  <conditionalFormatting sqref="R652">
    <cfRule type="expression" dxfId="5114" priority="5520" stopIfTrue="1">
      <formula>$G651=""</formula>
    </cfRule>
    <cfRule type="expression" dxfId="5113" priority="5523">
      <formula>$HY652=FALSE</formula>
    </cfRule>
  </conditionalFormatting>
  <conditionalFormatting sqref="G654">
    <cfRule type="expression" dxfId="5112" priority="5514" stopIfTrue="1">
      <formula>$G651=""</formula>
    </cfRule>
  </conditionalFormatting>
  <conditionalFormatting sqref="G654">
    <cfRule type="expression" dxfId="5111" priority="5516" stopIfTrue="1">
      <formula>$CQ651="Exterior"</formula>
    </cfRule>
  </conditionalFormatting>
  <conditionalFormatting sqref="G654:L654">
    <cfRule type="expression" dxfId="5110" priority="5515" stopIfTrue="1">
      <formula>$N654="BAM"</formula>
    </cfRule>
    <cfRule type="containsBlanks" dxfId="5109" priority="5517" stopIfTrue="1">
      <formula>LEN(TRIM(G654))=0</formula>
    </cfRule>
    <cfRule type="expression" dxfId="5108" priority="5519">
      <formula>$HQ652=FALSE</formula>
    </cfRule>
  </conditionalFormatting>
  <conditionalFormatting sqref="G654:L654">
    <cfRule type="expression" dxfId="5107" priority="5518" stopIfTrue="1">
      <formula>$AG653=""</formula>
    </cfRule>
  </conditionalFormatting>
  <conditionalFormatting sqref="G653:L653">
    <cfRule type="expression" dxfId="5106" priority="5512" stopIfTrue="1">
      <formula>$N654="BAM"</formula>
    </cfRule>
  </conditionalFormatting>
  <conditionalFormatting sqref="G651:R651">
    <cfRule type="containsBlanks" dxfId="5105" priority="5511">
      <formula>LEN(TRIM(G651))=0</formula>
    </cfRule>
  </conditionalFormatting>
  <conditionalFormatting sqref="AF653">
    <cfRule type="expression" dxfId="5104" priority="5501" stopIfTrue="1">
      <formula>$G651=""</formula>
    </cfRule>
    <cfRule type="expression" dxfId="5103" priority="5502" stopIfTrue="1">
      <formula>$N654="BAM"</formula>
    </cfRule>
    <cfRule type="expression" dxfId="5102" priority="5510">
      <formula>$AF$49&gt;$T$49</formula>
    </cfRule>
  </conditionalFormatting>
  <conditionalFormatting sqref="AC654:AE654">
    <cfRule type="expression" dxfId="5101" priority="5507" stopIfTrue="1">
      <formula>$G651=""</formula>
    </cfRule>
  </conditionalFormatting>
  <conditionalFormatting sqref="T653:U653">
    <cfRule type="expression" dxfId="5100" priority="5474" stopIfTrue="1">
      <formula>$G651=""</formula>
    </cfRule>
  </conditionalFormatting>
  <conditionalFormatting sqref="T653:U653">
    <cfRule type="containsBlanks" dxfId="5099" priority="5504" stopIfTrue="1">
      <formula>LEN(TRIM(T653))=0</formula>
    </cfRule>
  </conditionalFormatting>
  <conditionalFormatting sqref="AC651:AE651">
    <cfRule type="expression" dxfId="5098" priority="5503">
      <formula>$G651=""</formula>
    </cfRule>
  </conditionalFormatting>
  <conditionalFormatting sqref="AF653 AG654">
    <cfRule type="containsBlanks" dxfId="5097" priority="5508" stopIfTrue="1">
      <formula>LEN(TRIM(AF653))=0</formula>
    </cfRule>
  </conditionalFormatting>
  <conditionalFormatting sqref="AF653">
    <cfRule type="expression" dxfId="5096" priority="5509">
      <formula>OR($HS652=FALSE,$HT652=FALSE)</formula>
    </cfRule>
  </conditionalFormatting>
  <conditionalFormatting sqref="AG654">
    <cfRule type="expression" dxfId="5095" priority="5467">
      <formula>$C$43&gt;0</formula>
    </cfRule>
  </conditionalFormatting>
  <conditionalFormatting sqref="AG654">
    <cfRule type="expression" dxfId="5094" priority="5500" stopIfTrue="1">
      <formula>$G651=""</formula>
    </cfRule>
  </conditionalFormatting>
  <conditionalFormatting sqref="U653">
    <cfRule type="expression" dxfId="5093" priority="5505">
      <formula>OR($HK652=FALSE,$HL652=FALSE)</formula>
    </cfRule>
  </conditionalFormatting>
  <conditionalFormatting sqref="T652:U652">
    <cfRule type="expression" dxfId="5092" priority="5495" stopIfTrue="1">
      <formula>$C$43&lt;&gt;0</formula>
    </cfRule>
    <cfRule type="containsBlanks" dxfId="5091" priority="5496" stopIfTrue="1">
      <formula>LEN(TRIM(T652))=0</formula>
    </cfRule>
  </conditionalFormatting>
  <conditionalFormatting sqref="T652:U652">
    <cfRule type="expression" dxfId="5090" priority="5494" stopIfTrue="1">
      <formula>$G651=""</formula>
    </cfRule>
  </conditionalFormatting>
  <conditionalFormatting sqref="U652">
    <cfRule type="expression" dxfId="5089" priority="5497">
      <formula>$HJ652=FALSE</formula>
    </cfRule>
  </conditionalFormatting>
  <conditionalFormatting sqref="AG653">
    <cfRule type="expression" dxfId="5088" priority="5485" stopIfTrue="1">
      <formula>$G651=""</formula>
    </cfRule>
  </conditionalFormatting>
  <conditionalFormatting sqref="AG653:AL653">
    <cfRule type="expression" dxfId="5087" priority="5486">
      <formula>$N654="BAM"</formula>
    </cfRule>
    <cfRule type="expression" dxfId="5086" priority="5490">
      <formula>OR($HU652=FALSE,$HQ652=FALSE)</formula>
    </cfRule>
  </conditionalFormatting>
  <conditionalFormatting sqref="AG653">
    <cfRule type="containsBlanks" dxfId="5085" priority="5487" stopIfTrue="1">
      <formula>LEN(TRIM(AG653))=0</formula>
    </cfRule>
    <cfRule type="expression" dxfId="5084" priority="5488">
      <formula>OR($HP652=FALSE,$HR652=FALSE)</formula>
    </cfRule>
    <cfRule type="expression" dxfId="5083" priority="5489">
      <formula>OR($DS651=7,$DS651=8,$DS651=9)</formula>
    </cfRule>
  </conditionalFormatting>
  <conditionalFormatting sqref="AG651:AL651">
    <cfRule type="expression" dxfId="5082" priority="5484">
      <formula>$C$43&lt;&gt;0</formula>
    </cfRule>
  </conditionalFormatting>
  <conditionalFormatting sqref="AF652">
    <cfRule type="containsBlanks" dxfId="5081" priority="5483">
      <formula>LEN(TRIM(AF652))=0</formula>
    </cfRule>
  </conditionalFormatting>
  <conditionalFormatting sqref="AF652">
    <cfRule type="expression" dxfId="5080" priority="5482" stopIfTrue="1">
      <formula>$G651=""</formula>
    </cfRule>
  </conditionalFormatting>
  <conditionalFormatting sqref="AG652">
    <cfRule type="containsBlanks" dxfId="5079" priority="5480">
      <formula>LEN(TRIM(AG652))=0</formula>
    </cfRule>
    <cfRule type="expression" dxfId="5078" priority="5481">
      <formula>$HO652=FALSE</formula>
    </cfRule>
  </conditionalFormatting>
  <conditionalFormatting sqref="AG652">
    <cfRule type="expression" dxfId="5077" priority="5479" stopIfTrue="1">
      <formula>$G651=""</formula>
    </cfRule>
  </conditionalFormatting>
  <conditionalFormatting sqref="AF652:AK652">
    <cfRule type="expression" dxfId="5076" priority="5478">
      <formula>$C$43&gt;0</formula>
    </cfRule>
  </conditionalFormatting>
  <conditionalFormatting sqref="AM651:AN652">
    <cfRule type="expression" dxfId="5075" priority="5477">
      <formula>$G651=""</formula>
    </cfRule>
  </conditionalFormatting>
  <conditionalFormatting sqref="AM653:AN653">
    <cfRule type="expression" dxfId="5074" priority="5476" stopIfTrue="1">
      <formula>$G651=""</formula>
    </cfRule>
  </conditionalFormatting>
  <conditionalFormatting sqref="T653">
    <cfRule type="expression" dxfId="5073" priority="5498" stopIfTrue="1">
      <formula>$N654="BAM"</formula>
    </cfRule>
  </conditionalFormatting>
  <conditionalFormatting sqref="U653:AE653">
    <cfRule type="expression" dxfId="5072" priority="5475" stopIfTrue="1">
      <formula>$N654="BAM"</formula>
    </cfRule>
  </conditionalFormatting>
  <conditionalFormatting sqref="AG654:AL654">
    <cfRule type="expression" dxfId="5071" priority="5499" stopIfTrue="1">
      <formula>$N654="BAM"</formula>
    </cfRule>
  </conditionalFormatting>
  <conditionalFormatting sqref="AX657">
    <cfRule type="expression" dxfId="5070" priority="5465">
      <formula>$E657=""</formula>
    </cfRule>
  </conditionalFormatting>
  <conditionalFormatting sqref="AX656">
    <cfRule type="expression" dxfId="5069" priority="5464">
      <formula>$E656=""</formula>
    </cfRule>
  </conditionalFormatting>
  <conditionalFormatting sqref="AX658">
    <cfRule type="expression" dxfId="5068" priority="5463">
      <formula>#REF!=""</formula>
    </cfRule>
  </conditionalFormatting>
  <conditionalFormatting sqref="AX659">
    <cfRule type="expression" dxfId="5067" priority="5462">
      <formula>$E658=""</formula>
    </cfRule>
  </conditionalFormatting>
  <conditionalFormatting sqref="AY656:AZ659">
    <cfRule type="expression" dxfId="5066" priority="5461">
      <formula>$G656=""</formula>
    </cfRule>
  </conditionalFormatting>
  <conditionalFormatting sqref="G658">
    <cfRule type="expression" dxfId="5065" priority="5458" stopIfTrue="1">
      <formula>$G656=""</formula>
    </cfRule>
    <cfRule type="containsBlanks" dxfId="5064" priority="5459" stopIfTrue="1">
      <formula>LEN(TRIM(G658))=0</formula>
    </cfRule>
    <cfRule type="expression" dxfId="5063" priority="5460">
      <formula>OR($M658=0,$HH657=FALSE)</formula>
    </cfRule>
  </conditionalFormatting>
  <conditionalFormatting sqref="AO658">
    <cfRule type="expression" dxfId="5062" priority="5457" stopIfTrue="1">
      <formula>$G656=""</formula>
    </cfRule>
  </conditionalFormatting>
  <conditionalFormatting sqref="AU656:AU659">
    <cfRule type="expression" dxfId="5061" priority="5454" stopIfTrue="1">
      <formula>$C$43=2</formula>
    </cfRule>
    <cfRule type="cellIs" dxfId="5060" priority="5455" operator="equal">
      <formula>"Yes"</formula>
    </cfRule>
    <cfRule type="cellIs" dxfId="5059" priority="5456" operator="equal">
      <formula>"No"</formula>
    </cfRule>
  </conditionalFormatting>
  <conditionalFormatting sqref="AO656:AO657">
    <cfRule type="expression" dxfId="5058" priority="5453">
      <formula>$G656=""</formula>
    </cfRule>
  </conditionalFormatting>
  <conditionalFormatting sqref="AP656 AR656:AS659">
    <cfRule type="expression" dxfId="5057" priority="5452">
      <formula>$G656=""</formula>
    </cfRule>
  </conditionalFormatting>
  <conditionalFormatting sqref="AW656:AW659">
    <cfRule type="expression" dxfId="5056" priority="5451">
      <formula>$G656=""</formula>
    </cfRule>
  </conditionalFormatting>
  <conditionalFormatting sqref="G657:L657">
    <cfRule type="expression" dxfId="5055" priority="5449" stopIfTrue="1">
      <formula>$G656=""</formula>
    </cfRule>
    <cfRule type="containsBlanks" dxfId="5054" priority="5450">
      <formula>LEN(TRIM(G657))=0</formula>
    </cfRule>
  </conditionalFormatting>
  <conditionalFormatting sqref="R658">
    <cfRule type="expression" dxfId="5053" priority="5446">
      <formula>$N659="BAM"</formula>
    </cfRule>
    <cfRule type="expression" dxfId="5052" priority="5447" stopIfTrue="1">
      <formula>$G656=""</formula>
    </cfRule>
    <cfRule type="containsBlanks" dxfId="5051" priority="5448">
      <formula>LEN(TRIM(R658))=0</formula>
    </cfRule>
  </conditionalFormatting>
  <conditionalFormatting sqref="R658">
    <cfRule type="expression" dxfId="5050" priority="5445">
      <formula>$C$43=0</formula>
    </cfRule>
  </conditionalFormatting>
  <conditionalFormatting sqref="E659:F659">
    <cfRule type="expression" dxfId="5049" priority="5444">
      <formula>$CQ656="Exterior"</formula>
    </cfRule>
  </conditionalFormatting>
  <conditionalFormatting sqref="R657">
    <cfRule type="expression" dxfId="5048" priority="5441" stopIfTrue="1">
      <formula>$N659="BAM"</formula>
    </cfRule>
  </conditionalFormatting>
  <conditionalFormatting sqref="R657">
    <cfRule type="containsBlanks" dxfId="5047" priority="5442">
      <formula>LEN(TRIM(R657))=0</formula>
    </cfRule>
  </conditionalFormatting>
  <conditionalFormatting sqref="R657">
    <cfRule type="expression" dxfId="5046" priority="5440" stopIfTrue="1">
      <formula>$G656=""</formula>
    </cfRule>
    <cfRule type="expression" dxfId="5045" priority="5443">
      <formula>$HY657=FALSE</formula>
    </cfRule>
  </conditionalFormatting>
  <conditionalFormatting sqref="G659">
    <cfRule type="expression" dxfId="5044" priority="5434" stopIfTrue="1">
      <formula>$G656=""</formula>
    </cfRule>
  </conditionalFormatting>
  <conditionalFormatting sqref="G659">
    <cfRule type="expression" dxfId="5043" priority="5436" stopIfTrue="1">
      <formula>$CQ656="Exterior"</formula>
    </cfRule>
  </conditionalFormatting>
  <conditionalFormatting sqref="G659:L659">
    <cfRule type="expression" dxfId="5042" priority="5435" stopIfTrue="1">
      <formula>$N659="BAM"</formula>
    </cfRule>
    <cfRule type="containsBlanks" dxfId="5041" priority="5437" stopIfTrue="1">
      <formula>LEN(TRIM(G659))=0</formula>
    </cfRule>
    <cfRule type="expression" dxfId="5040" priority="5439">
      <formula>$HQ657=FALSE</formula>
    </cfRule>
  </conditionalFormatting>
  <conditionalFormatting sqref="G659:L659">
    <cfRule type="expression" dxfId="5039" priority="5438" stopIfTrue="1">
      <formula>$AG658=""</formula>
    </cfRule>
  </conditionalFormatting>
  <conditionalFormatting sqref="G658:L658">
    <cfRule type="expression" dxfId="5038" priority="5432" stopIfTrue="1">
      <formula>$N659="BAM"</formula>
    </cfRule>
  </conditionalFormatting>
  <conditionalFormatting sqref="G656:R656">
    <cfRule type="containsBlanks" dxfId="5037" priority="5431">
      <formula>LEN(TRIM(G656))=0</formula>
    </cfRule>
  </conditionalFormatting>
  <conditionalFormatting sqref="AF658">
    <cfRule type="expression" dxfId="5036" priority="5421" stopIfTrue="1">
      <formula>$G656=""</formula>
    </cfRule>
    <cfRule type="expression" dxfId="5035" priority="5422" stopIfTrue="1">
      <formula>$N659="BAM"</formula>
    </cfRule>
    <cfRule type="expression" dxfId="5034" priority="5430">
      <formula>$AF$49&gt;$T$49</formula>
    </cfRule>
  </conditionalFormatting>
  <conditionalFormatting sqref="AC659:AE659">
    <cfRule type="expression" dxfId="5033" priority="5427" stopIfTrue="1">
      <formula>$G656=""</formula>
    </cfRule>
  </conditionalFormatting>
  <conditionalFormatting sqref="T658:U658">
    <cfRule type="expression" dxfId="5032" priority="5394" stopIfTrue="1">
      <formula>$G656=""</formula>
    </cfRule>
  </conditionalFormatting>
  <conditionalFormatting sqref="T658:U658">
    <cfRule type="containsBlanks" dxfId="5031" priority="5424" stopIfTrue="1">
      <formula>LEN(TRIM(T658))=0</formula>
    </cfRule>
  </conditionalFormatting>
  <conditionalFormatting sqref="AC656:AE656">
    <cfRule type="expression" dxfId="5030" priority="5423">
      <formula>$G656=""</formula>
    </cfRule>
  </conditionalFormatting>
  <conditionalFormatting sqref="AF658 AG659">
    <cfRule type="containsBlanks" dxfId="5029" priority="5428" stopIfTrue="1">
      <formula>LEN(TRIM(AF658))=0</formula>
    </cfRule>
  </conditionalFormatting>
  <conditionalFormatting sqref="AF658">
    <cfRule type="expression" dxfId="5028" priority="5429">
      <formula>OR($HS657=FALSE,$HT657=FALSE)</formula>
    </cfRule>
  </conditionalFormatting>
  <conditionalFormatting sqref="AG659">
    <cfRule type="expression" dxfId="5027" priority="5387">
      <formula>$C$43&gt;0</formula>
    </cfRule>
  </conditionalFormatting>
  <conditionalFormatting sqref="AG659">
    <cfRule type="expression" dxfId="5026" priority="5420" stopIfTrue="1">
      <formula>$G656=""</formula>
    </cfRule>
  </conditionalFormatting>
  <conditionalFormatting sqref="U658">
    <cfRule type="expression" dxfId="5025" priority="5425">
      <formula>OR($HK657=FALSE,$HL657=FALSE)</formula>
    </cfRule>
  </conditionalFormatting>
  <conditionalFormatting sqref="T657:U657">
    <cfRule type="expression" dxfId="5024" priority="5415" stopIfTrue="1">
      <formula>$C$43&lt;&gt;0</formula>
    </cfRule>
    <cfRule type="containsBlanks" dxfId="5023" priority="5416" stopIfTrue="1">
      <formula>LEN(TRIM(T657))=0</formula>
    </cfRule>
  </conditionalFormatting>
  <conditionalFormatting sqref="T657:U657">
    <cfRule type="expression" dxfId="5022" priority="5414" stopIfTrue="1">
      <formula>$G656=""</formula>
    </cfRule>
  </conditionalFormatting>
  <conditionalFormatting sqref="U657">
    <cfRule type="expression" dxfId="5021" priority="5417">
      <formula>$HJ657=FALSE</formula>
    </cfRule>
  </conditionalFormatting>
  <conditionalFormatting sqref="AG658">
    <cfRule type="expression" dxfId="5020" priority="5405" stopIfTrue="1">
      <formula>$G656=""</formula>
    </cfRule>
  </conditionalFormatting>
  <conditionalFormatting sqref="AG658:AL658">
    <cfRule type="expression" dxfId="5019" priority="5406">
      <formula>$N659="BAM"</formula>
    </cfRule>
    <cfRule type="expression" dxfId="5018" priority="5410">
      <formula>OR($HU657=FALSE,$HQ657=FALSE)</formula>
    </cfRule>
  </conditionalFormatting>
  <conditionalFormatting sqref="AG658">
    <cfRule type="containsBlanks" dxfId="5017" priority="5407" stopIfTrue="1">
      <formula>LEN(TRIM(AG658))=0</formula>
    </cfRule>
    <cfRule type="expression" dxfId="5016" priority="5408">
      <formula>OR($HP657=FALSE,$HR657=FALSE)</formula>
    </cfRule>
    <cfRule type="expression" dxfId="5015" priority="5409">
      <formula>OR($DS656=7,$DS656=8,$DS656=9)</formula>
    </cfRule>
  </conditionalFormatting>
  <conditionalFormatting sqref="AG656:AL656">
    <cfRule type="expression" dxfId="5014" priority="5404">
      <formula>$C$43&lt;&gt;0</formula>
    </cfRule>
  </conditionalFormatting>
  <conditionalFormatting sqref="AF657">
    <cfRule type="containsBlanks" dxfId="5013" priority="5403">
      <formula>LEN(TRIM(AF657))=0</formula>
    </cfRule>
  </conditionalFormatting>
  <conditionalFormatting sqref="AF657">
    <cfRule type="expression" dxfId="5012" priority="5402" stopIfTrue="1">
      <formula>$G656=""</formula>
    </cfRule>
  </conditionalFormatting>
  <conditionalFormatting sqref="AG657">
    <cfRule type="containsBlanks" dxfId="5011" priority="5400">
      <formula>LEN(TRIM(AG657))=0</formula>
    </cfRule>
    <cfRule type="expression" dxfId="5010" priority="5401">
      <formula>$HO657=FALSE</formula>
    </cfRule>
  </conditionalFormatting>
  <conditionalFormatting sqref="AG657">
    <cfRule type="expression" dxfId="5009" priority="5399" stopIfTrue="1">
      <formula>$G656=""</formula>
    </cfRule>
  </conditionalFormatting>
  <conditionalFormatting sqref="AF657:AK657">
    <cfRule type="expression" dxfId="5008" priority="5398">
      <formula>$C$43&gt;0</formula>
    </cfRule>
  </conditionalFormatting>
  <conditionalFormatting sqref="AM656:AN657">
    <cfRule type="expression" dxfId="5007" priority="5397">
      <formula>$G656=""</formula>
    </cfRule>
  </conditionalFormatting>
  <conditionalFormatting sqref="AM658:AN658">
    <cfRule type="expression" dxfId="5006" priority="5396" stopIfTrue="1">
      <formula>$G656=""</formula>
    </cfRule>
  </conditionalFormatting>
  <conditionalFormatting sqref="T658">
    <cfRule type="expression" dxfId="5005" priority="5418" stopIfTrue="1">
      <formula>$N659="BAM"</formula>
    </cfRule>
  </conditionalFormatting>
  <conditionalFormatting sqref="U658:AE658">
    <cfRule type="expression" dxfId="5004" priority="5395" stopIfTrue="1">
      <formula>$N659="BAM"</formula>
    </cfRule>
  </conditionalFormatting>
  <conditionalFormatting sqref="AG659:AL659">
    <cfRule type="expression" dxfId="5003" priority="5419" stopIfTrue="1">
      <formula>$N659="BAM"</formula>
    </cfRule>
  </conditionalFormatting>
  <conditionalFormatting sqref="AX662">
    <cfRule type="expression" dxfId="5002" priority="5385">
      <formula>$E662=""</formula>
    </cfRule>
  </conditionalFormatting>
  <conditionalFormatting sqref="AX661">
    <cfRule type="expression" dxfId="5001" priority="5384">
      <formula>$E661=""</formula>
    </cfRule>
  </conditionalFormatting>
  <conditionalFormatting sqref="AX663">
    <cfRule type="expression" dxfId="5000" priority="5383">
      <formula>#REF!=""</formula>
    </cfRule>
  </conditionalFormatting>
  <conditionalFormatting sqref="AX664">
    <cfRule type="expression" dxfId="4999" priority="5382">
      <formula>$E663=""</formula>
    </cfRule>
  </conditionalFormatting>
  <conditionalFormatting sqref="AY661:AZ664">
    <cfRule type="expression" dxfId="4998" priority="5381">
      <formula>$G661=""</formula>
    </cfRule>
  </conditionalFormatting>
  <conditionalFormatting sqref="G663">
    <cfRule type="expression" dxfId="4997" priority="5378" stopIfTrue="1">
      <formula>$G661=""</formula>
    </cfRule>
    <cfRule type="containsBlanks" dxfId="4996" priority="5379" stopIfTrue="1">
      <formula>LEN(TRIM(G663))=0</formula>
    </cfRule>
    <cfRule type="expression" dxfId="4995" priority="5380">
      <formula>OR($M663=0,$HH662=FALSE)</formula>
    </cfRule>
  </conditionalFormatting>
  <conditionalFormatting sqref="AO663">
    <cfRule type="expression" dxfId="4994" priority="5377" stopIfTrue="1">
      <formula>$G661=""</formula>
    </cfRule>
  </conditionalFormatting>
  <conditionalFormatting sqref="AU661:AU664">
    <cfRule type="expression" dxfId="4993" priority="5374" stopIfTrue="1">
      <formula>$C$43=2</formula>
    </cfRule>
    <cfRule type="cellIs" dxfId="4992" priority="5375" operator="equal">
      <formula>"Yes"</formula>
    </cfRule>
    <cfRule type="cellIs" dxfId="4991" priority="5376" operator="equal">
      <formula>"No"</formula>
    </cfRule>
  </conditionalFormatting>
  <conditionalFormatting sqref="AO661:AO662">
    <cfRule type="expression" dxfId="4990" priority="5373">
      <formula>$G661=""</formula>
    </cfRule>
  </conditionalFormatting>
  <conditionalFormatting sqref="AP661 AR661:AS664">
    <cfRule type="expression" dxfId="4989" priority="5372">
      <formula>$G661=""</formula>
    </cfRule>
  </conditionalFormatting>
  <conditionalFormatting sqref="AW661:AW664">
    <cfRule type="expression" dxfId="4988" priority="5371">
      <formula>$G661=""</formula>
    </cfRule>
  </conditionalFormatting>
  <conditionalFormatting sqref="G662:L662">
    <cfRule type="expression" dxfId="4987" priority="5369" stopIfTrue="1">
      <formula>$G661=""</formula>
    </cfRule>
    <cfRule type="containsBlanks" dxfId="4986" priority="5370">
      <formula>LEN(TRIM(G662))=0</formula>
    </cfRule>
  </conditionalFormatting>
  <conditionalFormatting sqref="R663">
    <cfRule type="expression" dxfId="4985" priority="5366">
      <formula>$N664="BAM"</formula>
    </cfRule>
    <cfRule type="expression" dxfId="4984" priority="5367" stopIfTrue="1">
      <formula>$G661=""</formula>
    </cfRule>
    <cfRule type="containsBlanks" dxfId="4983" priority="5368">
      <formula>LEN(TRIM(R663))=0</formula>
    </cfRule>
  </conditionalFormatting>
  <conditionalFormatting sqref="R663">
    <cfRule type="expression" dxfId="4982" priority="5365">
      <formula>$C$43=0</formula>
    </cfRule>
  </conditionalFormatting>
  <conditionalFormatting sqref="E664:F664">
    <cfRule type="expression" dxfId="4981" priority="5364">
      <formula>$CQ661="Exterior"</formula>
    </cfRule>
  </conditionalFormatting>
  <conditionalFormatting sqref="R662">
    <cfRule type="expression" dxfId="4980" priority="5361" stopIfTrue="1">
      <formula>$N664="BAM"</formula>
    </cfRule>
  </conditionalFormatting>
  <conditionalFormatting sqref="R662">
    <cfRule type="containsBlanks" dxfId="4979" priority="5362">
      <formula>LEN(TRIM(R662))=0</formula>
    </cfRule>
  </conditionalFormatting>
  <conditionalFormatting sqref="R662">
    <cfRule type="expression" dxfId="4978" priority="5360" stopIfTrue="1">
      <formula>$G661=""</formula>
    </cfRule>
    <cfRule type="expression" dxfId="4977" priority="5363">
      <formula>$HY662=FALSE</formula>
    </cfRule>
  </conditionalFormatting>
  <conditionalFormatting sqref="G664">
    <cfRule type="expression" dxfId="4976" priority="5354" stopIfTrue="1">
      <formula>$G661=""</formula>
    </cfRule>
  </conditionalFormatting>
  <conditionalFormatting sqref="G664">
    <cfRule type="expression" dxfId="4975" priority="5356" stopIfTrue="1">
      <formula>$CQ661="Exterior"</formula>
    </cfRule>
  </conditionalFormatting>
  <conditionalFormatting sqref="G664:L664">
    <cfRule type="expression" dxfId="4974" priority="5355" stopIfTrue="1">
      <formula>$N664="BAM"</formula>
    </cfRule>
    <cfRule type="containsBlanks" dxfId="4973" priority="5357" stopIfTrue="1">
      <formula>LEN(TRIM(G664))=0</formula>
    </cfRule>
    <cfRule type="expression" dxfId="4972" priority="5359">
      <formula>$HQ662=FALSE</formula>
    </cfRule>
  </conditionalFormatting>
  <conditionalFormatting sqref="G664:L664">
    <cfRule type="expression" dxfId="4971" priority="5358" stopIfTrue="1">
      <formula>$AG663=""</formula>
    </cfRule>
  </conditionalFormatting>
  <conditionalFormatting sqref="G663:L663">
    <cfRule type="expression" dxfId="4970" priority="5352" stopIfTrue="1">
      <formula>$N664="BAM"</formula>
    </cfRule>
  </conditionalFormatting>
  <conditionalFormatting sqref="G661:R661">
    <cfRule type="containsBlanks" dxfId="4969" priority="5351">
      <formula>LEN(TRIM(G661))=0</formula>
    </cfRule>
  </conditionalFormatting>
  <conditionalFormatting sqref="AF663">
    <cfRule type="expression" dxfId="4968" priority="5341" stopIfTrue="1">
      <formula>$G661=""</formula>
    </cfRule>
    <cfRule type="expression" dxfId="4967" priority="5342" stopIfTrue="1">
      <formula>$N664="BAM"</formula>
    </cfRule>
    <cfRule type="expression" dxfId="4966" priority="5350">
      <formula>$AF$49&gt;$T$49</formula>
    </cfRule>
  </conditionalFormatting>
  <conditionalFormatting sqref="AC664:AE664">
    <cfRule type="expression" dxfId="4965" priority="5347" stopIfTrue="1">
      <formula>$G661=""</formula>
    </cfRule>
  </conditionalFormatting>
  <conditionalFormatting sqref="T663:U663">
    <cfRule type="expression" dxfId="4964" priority="5314" stopIfTrue="1">
      <formula>$G661=""</formula>
    </cfRule>
  </conditionalFormatting>
  <conditionalFormatting sqref="T663:U663">
    <cfRule type="containsBlanks" dxfId="4963" priority="5344" stopIfTrue="1">
      <formula>LEN(TRIM(T663))=0</formula>
    </cfRule>
  </conditionalFormatting>
  <conditionalFormatting sqref="AC661:AE661">
    <cfRule type="expression" dxfId="4962" priority="5343">
      <formula>$G661=""</formula>
    </cfRule>
  </conditionalFormatting>
  <conditionalFormatting sqref="AF663 AG664">
    <cfRule type="containsBlanks" dxfId="4961" priority="5348" stopIfTrue="1">
      <formula>LEN(TRIM(AF663))=0</formula>
    </cfRule>
  </conditionalFormatting>
  <conditionalFormatting sqref="AF663">
    <cfRule type="expression" dxfId="4960" priority="5349">
      <formula>OR($HS662=FALSE,$HT662=FALSE)</formula>
    </cfRule>
  </conditionalFormatting>
  <conditionalFormatting sqref="AG664">
    <cfRule type="expression" dxfId="4959" priority="5307">
      <formula>$C$43&gt;0</formula>
    </cfRule>
  </conditionalFormatting>
  <conditionalFormatting sqref="AG664">
    <cfRule type="expression" dxfId="4958" priority="5340" stopIfTrue="1">
      <formula>$G661=""</formula>
    </cfRule>
  </conditionalFormatting>
  <conditionalFormatting sqref="U663">
    <cfRule type="expression" dxfId="4957" priority="5345">
      <formula>OR($HK662=FALSE,$HL662=FALSE)</formula>
    </cfRule>
  </conditionalFormatting>
  <conditionalFormatting sqref="T662:U662">
    <cfRule type="expression" dxfId="4956" priority="5335" stopIfTrue="1">
      <formula>$C$43&lt;&gt;0</formula>
    </cfRule>
    <cfRule type="containsBlanks" dxfId="4955" priority="5336" stopIfTrue="1">
      <formula>LEN(TRIM(T662))=0</formula>
    </cfRule>
  </conditionalFormatting>
  <conditionalFormatting sqref="T662:U662">
    <cfRule type="expression" dxfId="4954" priority="5334" stopIfTrue="1">
      <formula>$G661=""</formula>
    </cfRule>
  </conditionalFormatting>
  <conditionalFormatting sqref="U662">
    <cfRule type="expression" dxfId="4953" priority="5337">
      <formula>$HJ662=FALSE</formula>
    </cfRule>
  </conditionalFormatting>
  <conditionalFormatting sqref="AG663">
    <cfRule type="expression" dxfId="4952" priority="5325" stopIfTrue="1">
      <formula>$G661=""</formula>
    </cfRule>
  </conditionalFormatting>
  <conditionalFormatting sqref="AG663:AL663">
    <cfRule type="expression" dxfId="4951" priority="5326">
      <formula>$N664="BAM"</formula>
    </cfRule>
    <cfRule type="expression" dxfId="4950" priority="5330">
      <formula>OR($HU662=FALSE,$HQ662=FALSE)</formula>
    </cfRule>
  </conditionalFormatting>
  <conditionalFormatting sqref="AG663">
    <cfRule type="containsBlanks" dxfId="4949" priority="5327" stopIfTrue="1">
      <formula>LEN(TRIM(AG663))=0</formula>
    </cfRule>
    <cfRule type="expression" dxfId="4948" priority="5328">
      <formula>OR($HP662=FALSE,$HR662=FALSE)</formula>
    </cfRule>
    <cfRule type="expression" dxfId="4947" priority="5329">
      <formula>OR($DS661=7,$DS661=8,$DS661=9)</formula>
    </cfRule>
  </conditionalFormatting>
  <conditionalFormatting sqref="AG661:AL661">
    <cfRule type="expression" dxfId="4946" priority="5324">
      <formula>$C$43&lt;&gt;0</formula>
    </cfRule>
  </conditionalFormatting>
  <conditionalFormatting sqref="AF662">
    <cfRule type="containsBlanks" dxfId="4945" priority="5323">
      <formula>LEN(TRIM(AF662))=0</formula>
    </cfRule>
  </conditionalFormatting>
  <conditionalFormatting sqref="AF662">
    <cfRule type="expression" dxfId="4944" priority="5322" stopIfTrue="1">
      <formula>$G661=""</formula>
    </cfRule>
  </conditionalFormatting>
  <conditionalFormatting sqref="AG662">
    <cfRule type="containsBlanks" dxfId="4943" priority="5320">
      <formula>LEN(TRIM(AG662))=0</formula>
    </cfRule>
    <cfRule type="expression" dxfId="4942" priority="5321">
      <formula>$HO662=FALSE</formula>
    </cfRule>
  </conditionalFormatting>
  <conditionalFormatting sqref="AG662">
    <cfRule type="expression" dxfId="4941" priority="5319" stopIfTrue="1">
      <formula>$G661=""</formula>
    </cfRule>
  </conditionalFormatting>
  <conditionalFormatting sqref="AF662:AK662">
    <cfRule type="expression" dxfId="4940" priority="5318">
      <formula>$C$43&gt;0</formula>
    </cfRule>
  </conditionalFormatting>
  <conditionalFormatting sqref="AM661:AN662">
    <cfRule type="expression" dxfId="4939" priority="5317">
      <formula>$G661=""</formula>
    </cfRule>
  </conditionalFormatting>
  <conditionalFormatting sqref="AM663:AN663">
    <cfRule type="expression" dxfId="4938" priority="5316" stopIfTrue="1">
      <formula>$G661=""</formula>
    </cfRule>
  </conditionalFormatting>
  <conditionalFormatting sqref="T663">
    <cfRule type="expression" dxfId="4937" priority="5338" stopIfTrue="1">
      <formula>$N664="BAM"</formula>
    </cfRule>
  </conditionalFormatting>
  <conditionalFormatting sqref="U663:AE663">
    <cfRule type="expression" dxfId="4936" priority="5315" stopIfTrue="1">
      <formula>$N664="BAM"</formula>
    </cfRule>
  </conditionalFormatting>
  <conditionalFormatting sqref="AG664:AL664">
    <cfRule type="expression" dxfId="4935" priority="5339" stopIfTrue="1">
      <formula>$N664="BAM"</formula>
    </cfRule>
  </conditionalFormatting>
  <conditionalFormatting sqref="AX667">
    <cfRule type="expression" dxfId="4934" priority="5305">
      <formula>$E667=""</formula>
    </cfRule>
  </conditionalFormatting>
  <conditionalFormatting sqref="AX666">
    <cfRule type="expression" dxfId="4933" priority="5304">
      <formula>$E666=""</formula>
    </cfRule>
  </conditionalFormatting>
  <conditionalFormatting sqref="AX668">
    <cfRule type="expression" dxfId="4932" priority="5303">
      <formula>#REF!=""</formula>
    </cfRule>
  </conditionalFormatting>
  <conditionalFormatting sqref="AX669">
    <cfRule type="expression" dxfId="4931" priority="5302">
      <formula>$E668=""</formula>
    </cfRule>
  </conditionalFormatting>
  <conditionalFormatting sqref="AY666:AZ669">
    <cfRule type="expression" dxfId="4930" priority="5301">
      <formula>$G666=""</formula>
    </cfRule>
  </conditionalFormatting>
  <conditionalFormatting sqref="G668">
    <cfRule type="expression" dxfId="4929" priority="5298" stopIfTrue="1">
      <formula>$G666=""</formula>
    </cfRule>
    <cfRule type="containsBlanks" dxfId="4928" priority="5299" stopIfTrue="1">
      <formula>LEN(TRIM(G668))=0</formula>
    </cfRule>
    <cfRule type="expression" dxfId="4927" priority="5300">
      <formula>OR($M668=0,$HH667=FALSE)</formula>
    </cfRule>
  </conditionalFormatting>
  <conditionalFormatting sqref="AO668">
    <cfRule type="expression" dxfId="4926" priority="5297" stopIfTrue="1">
      <formula>$G666=""</formula>
    </cfRule>
  </conditionalFormatting>
  <conditionalFormatting sqref="AU666:AU669">
    <cfRule type="expression" dxfId="4925" priority="5294" stopIfTrue="1">
      <formula>$C$43=2</formula>
    </cfRule>
    <cfRule type="cellIs" dxfId="4924" priority="5295" operator="equal">
      <formula>"Yes"</formula>
    </cfRule>
    <cfRule type="cellIs" dxfId="4923" priority="5296" operator="equal">
      <formula>"No"</formula>
    </cfRule>
  </conditionalFormatting>
  <conditionalFormatting sqref="AO666:AO667">
    <cfRule type="expression" dxfId="4922" priority="5293">
      <formula>$G666=""</formula>
    </cfRule>
  </conditionalFormatting>
  <conditionalFormatting sqref="AP666 AR666:AS669">
    <cfRule type="expression" dxfId="4921" priority="5292">
      <formula>$G666=""</formula>
    </cfRule>
  </conditionalFormatting>
  <conditionalFormatting sqref="AW666:AW669">
    <cfRule type="expression" dxfId="4920" priority="5291">
      <formula>$G666=""</formula>
    </cfRule>
  </conditionalFormatting>
  <conditionalFormatting sqref="G667:L667">
    <cfRule type="expression" dxfId="4919" priority="5289" stopIfTrue="1">
      <formula>$G666=""</formula>
    </cfRule>
    <cfRule type="containsBlanks" dxfId="4918" priority="5290">
      <formula>LEN(TRIM(G667))=0</formula>
    </cfRule>
  </conditionalFormatting>
  <conditionalFormatting sqref="R668">
    <cfRule type="expression" dxfId="4917" priority="5286">
      <formula>$N669="BAM"</formula>
    </cfRule>
    <cfRule type="expression" dxfId="4916" priority="5287" stopIfTrue="1">
      <formula>$G666=""</formula>
    </cfRule>
    <cfRule type="containsBlanks" dxfId="4915" priority="5288">
      <formula>LEN(TRIM(R668))=0</formula>
    </cfRule>
  </conditionalFormatting>
  <conditionalFormatting sqref="R668">
    <cfRule type="expression" dxfId="4914" priority="5285">
      <formula>$C$43=0</formula>
    </cfRule>
  </conditionalFormatting>
  <conditionalFormatting sqref="E669:F669">
    <cfRule type="expression" dxfId="4913" priority="5284">
      <formula>$CQ666="Exterior"</formula>
    </cfRule>
  </conditionalFormatting>
  <conditionalFormatting sqref="R667">
    <cfRule type="expression" dxfId="4912" priority="5281" stopIfTrue="1">
      <formula>$N669="BAM"</formula>
    </cfRule>
  </conditionalFormatting>
  <conditionalFormatting sqref="R667">
    <cfRule type="containsBlanks" dxfId="4911" priority="5282">
      <formula>LEN(TRIM(R667))=0</formula>
    </cfRule>
  </conditionalFormatting>
  <conditionalFormatting sqref="R667">
    <cfRule type="expression" dxfId="4910" priority="5280" stopIfTrue="1">
      <formula>$G666=""</formula>
    </cfRule>
    <cfRule type="expression" dxfId="4909" priority="5283">
      <formula>$HY667=FALSE</formula>
    </cfRule>
  </conditionalFormatting>
  <conditionalFormatting sqref="G669">
    <cfRule type="expression" dxfId="4908" priority="5274" stopIfTrue="1">
      <formula>$G666=""</formula>
    </cfRule>
  </conditionalFormatting>
  <conditionalFormatting sqref="G669">
    <cfRule type="expression" dxfId="4907" priority="5276" stopIfTrue="1">
      <formula>$CQ666="Exterior"</formula>
    </cfRule>
  </conditionalFormatting>
  <conditionalFormatting sqref="G669:L669">
    <cfRule type="expression" dxfId="4906" priority="5275" stopIfTrue="1">
      <formula>$N669="BAM"</formula>
    </cfRule>
    <cfRule type="containsBlanks" dxfId="4905" priority="5277" stopIfTrue="1">
      <formula>LEN(TRIM(G669))=0</formula>
    </cfRule>
    <cfRule type="expression" dxfId="4904" priority="5279">
      <formula>$HQ667=FALSE</formula>
    </cfRule>
  </conditionalFormatting>
  <conditionalFormatting sqref="G669:L669">
    <cfRule type="expression" dxfId="4903" priority="5278" stopIfTrue="1">
      <formula>$AG668=""</formula>
    </cfRule>
  </conditionalFormatting>
  <conditionalFormatting sqref="G668:L668">
    <cfRule type="expression" dxfId="4902" priority="5272" stopIfTrue="1">
      <formula>$N669="BAM"</formula>
    </cfRule>
  </conditionalFormatting>
  <conditionalFormatting sqref="G666:R666">
    <cfRule type="containsBlanks" dxfId="4901" priority="5271">
      <formula>LEN(TRIM(G666))=0</formula>
    </cfRule>
  </conditionalFormatting>
  <conditionalFormatting sqref="AF668">
    <cfRule type="expression" dxfId="4900" priority="5261" stopIfTrue="1">
      <formula>$G666=""</formula>
    </cfRule>
    <cfRule type="expression" dxfId="4899" priority="5262" stopIfTrue="1">
      <formula>$N669="BAM"</formula>
    </cfRule>
    <cfRule type="expression" dxfId="4898" priority="5270">
      <formula>$AF$49&gt;$T$49</formula>
    </cfRule>
  </conditionalFormatting>
  <conditionalFormatting sqref="AC669:AE669">
    <cfRule type="expression" dxfId="4897" priority="5267" stopIfTrue="1">
      <formula>$G666=""</formula>
    </cfRule>
  </conditionalFormatting>
  <conditionalFormatting sqref="T668:U668">
    <cfRule type="expression" dxfId="4896" priority="5234" stopIfTrue="1">
      <formula>$G666=""</formula>
    </cfRule>
  </conditionalFormatting>
  <conditionalFormatting sqref="T668:U668">
    <cfRule type="containsBlanks" dxfId="4895" priority="5264" stopIfTrue="1">
      <formula>LEN(TRIM(T668))=0</formula>
    </cfRule>
  </conditionalFormatting>
  <conditionalFormatting sqref="AC666:AE666">
    <cfRule type="expression" dxfId="4894" priority="5263">
      <formula>$G666=""</formula>
    </cfRule>
  </conditionalFormatting>
  <conditionalFormatting sqref="AF668 AG669">
    <cfRule type="containsBlanks" dxfId="4893" priority="5268" stopIfTrue="1">
      <formula>LEN(TRIM(AF668))=0</formula>
    </cfRule>
  </conditionalFormatting>
  <conditionalFormatting sqref="AF668">
    <cfRule type="expression" dxfId="4892" priority="5269">
      <formula>OR($HS667=FALSE,$HT667=FALSE)</formula>
    </cfRule>
  </conditionalFormatting>
  <conditionalFormatting sqref="AG669">
    <cfRule type="expression" dxfId="4891" priority="5227">
      <formula>$C$43&gt;0</formula>
    </cfRule>
  </conditionalFormatting>
  <conditionalFormatting sqref="AG669">
    <cfRule type="expression" dxfId="4890" priority="5260" stopIfTrue="1">
      <formula>$G666=""</formula>
    </cfRule>
  </conditionalFormatting>
  <conditionalFormatting sqref="U668">
    <cfRule type="expression" dxfId="4889" priority="5265">
      <formula>OR($HK667=FALSE,$HL667=FALSE)</formula>
    </cfRule>
  </conditionalFormatting>
  <conditionalFormatting sqref="T667:U667">
    <cfRule type="expression" dxfId="4888" priority="5255" stopIfTrue="1">
      <formula>$C$43&lt;&gt;0</formula>
    </cfRule>
    <cfRule type="containsBlanks" dxfId="4887" priority="5256" stopIfTrue="1">
      <formula>LEN(TRIM(T667))=0</formula>
    </cfRule>
  </conditionalFormatting>
  <conditionalFormatting sqref="T667:U667">
    <cfRule type="expression" dxfId="4886" priority="5254" stopIfTrue="1">
      <formula>$G666=""</formula>
    </cfRule>
  </conditionalFormatting>
  <conditionalFormatting sqref="U667">
    <cfRule type="expression" dxfId="4885" priority="5257">
      <formula>$HJ667=FALSE</formula>
    </cfRule>
  </conditionalFormatting>
  <conditionalFormatting sqref="AG668">
    <cfRule type="expression" dxfId="4884" priority="5245" stopIfTrue="1">
      <formula>$G666=""</formula>
    </cfRule>
  </conditionalFormatting>
  <conditionalFormatting sqref="AG668:AL668">
    <cfRule type="expression" dxfId="4883" priority="5246">
      <formula>$N669="BAM"</formula>
    </cfRule>
    <cfRule type="expression" dxfId="4882" priority="5250">
      <formula>OR($HU667=FALSE,$HQ667=FALSE)</formula>
    </cfRule>
  </conditionalFormatting>
  <conditionalFormatting sqref="AG668">
    <cfRule type="containsBlanks" dxfId="4881" priority="5247" stopIfTrue="1">
      <formula>LEN(TRIM(AG668))=0</formula>
    </cfRule>
    <cfRule type="expression" dxfId="4880" priority="5248">
      <formula>OR($HP667=FALSE,$HR667=FALSE)</formula>
    </cfRule>
    <cfRule type="expression" dxfId="4879" priority="5249">
      <formula>OR($DS666=7,$DS666=8,$DS666=9)</formula>
    </cfRule>
  </conditionalFormatting>
  <conditionalFormatting sqref="AG666:AL666">
    <cfRule type="expression" dxfId="4878" priority="5244">
      <formula>$C$43&lt;&gt;0</formula>
    </cfRule>
  </conditionalFormatting>
  <conditionalFormatting sqref="AF667">
    <cfRule type="containsBlanks" dxfId="4877" priority="5243">
      <formula>LEN(TRIM(AF667))=0</formula>
    </cfRule>
  </conditionalFormatting>
  <conditionalFormatting sqref="AF667">
    <cfRule type="expression" dxfId="4876" priority="5242" stopIfTrue="1">
      <formula>$G666=""</formula>
    </cfRule>
  </conditionalFormatting>
  <conditionalFormatting sqref="AG667">
    <cfRule type="containsBlanks" dxfId="4875" priority="5240">
      <formula>LEN(TRIM(AG667))=0</formula>
    </cfRule>
    <cfRule type="expression" dxfId="4874" priority="5241">
      <formula>$HO667=FALSE</formula>
    </cfRule>
  </conditionalFormatting>
  <conditionalFormatting sqref="AG667">
    <cfRule type="expression" dxfId="4873" priority="5239" stopIfTrue="1">
      <formula>$G666=""</formula>
    </cfRule>
  </conditionalFormatting>
  <conditionalFormatting sqref="AF667:AK667">
    <cfRule type="expression" dxfId="4872" priority="5238">
      <formula>$C$43&gt;0</formula>
    </cfRule>
  </conditionalFormatting>
  <conditionalFormatting sqref="AM666:AN667">
    <cfRule type="expression" dxfId="4871" priority="5237">
      <formula>$G666=""</formula>
    </cfRule>
  </conditionalFormatting>
  <conditionalFormatting sqref="AM668:AN668">
    <cfRule type="expression" dxfId="4870" priority="5236" stopIfTrue="1">
      <formula>$G666=""</formula>
    </cfRule>
  </conditionalFormatting>
  <conditionalFormatting sqref="T668">
    <cfRule type="expression" dxfId="4869" priority="5258" stopIfTrue="1">
      <formula>$N669="BAM"</formula>
    </cfRule>
  </conditionalFormatting>
  <conditionalFormatting sqref="U668:AE668">
    <cfRule type="expression" dxfId="4868" priority="5235" stopIfTrue="1">
      <formula>$N669="BAM"</formula>
    </cfRule>
  </conditionalFormatting>
  <conditionalFormatting sqref="AG669:AL669">
    <cfRule type="expression" dxfId="4867" priority="5259" stopIfTrue="1">
      <formula>$N669="BAM"</formula>
    </cfRule>
  </conditionalFormatting>
  <conditionalFormatting sqref="AX672">
    <cfRule type="expression" dxfId="4866" priority="5225">
      <formula>$E672=""</formula>
    </cfRule>
  </conditionalFormatting>
  <conditionalFormatting sqref="AX671">
    <cfRule type="expression" dxfId="4865" priority="5224">
      <formula>$E671=""</formula>
    </cfRule>
  </conditionalFormatting>
  <conditionalFormatting sqref="AX673">
    <cfRule type="expression" dxfId="4864" priority="5223">
      <formula>#REF!=""</formula>
    </cfRule>
  </conditionalFormatting>
  <conditionalFormatting sqref="AX674">
    <cfRule type="expression" dxfId="4863" priority="5222">
      <formula>$E673=""</formula>
    </cfRule>
  </conditionalFormatting>
  <conditionalFormatting sqref="AY671:AZ674">
    <cfRule type="expression" dxfId="4862" priority="5221">
      <formula>$G671=""</formula>
    </cfRule>
  </conditionalFormatting>
  <conditionalFormatting sqref="G673">
    <cfRule type="expression" dxfId="4861" priority="5218" stopIfTrue="1">
      <formula>$G671=""</formula>
    </cfRule>
    <cfRule type="containsBlanks" dxfId="4860" priority="5219" stopIfTrue="1">
      <formula>LEN(TRIM(G673))=0</formula>
    </cfRule>
    <cfRule type="expression" dxfId="4859" priority="5220">
      <formula>OR($M673=0,$HH672=FALSE)</formula>
    </cfRule>
  </conditionalFormatting>
  <conditionalFormatting sqref="AO673">
    <cfRule type="expression" dxfId="4858" priority="5217" stopIfTrue="1">
      <formula>$G671=""</formula>
    </cfRule>
  </conditionalFormatting>
  <conditionalFormatting sqref="AU671:AU674">
    <cfRule type="expression" dxfId="4857" priority="5214" stopIfTrue="1">
      <formula>$C$43=2</formula>
    </cfRule>
    <cfRule type="cellIs" dxfId="4856" priority="5215" operator="equal">
      <formula>"Yes"</formula>
    </cfRule>
    <cfRule type="cellIs" dxfId="4855" priority="5216" operator="equal">
      <formula>"No"</formula>
    </cfRule>
  </conditionalFormatting>
  <conditionalFormatting sqref="AO671:AO672">
    <cfRule type="expression" dxfId="4854" priority="5213">
      <formula>$G671=""</formula>
    </cfRule>
  </conditionalFormatting>
  <conditionalFormatting sqref="AP671 AR671:AS674">
    <cfRule type="expression" dxfId="4853" priority="5212">
      <formula>$G671=""</formula>
    </cfRule>
  </conditionalFormatting>
  <conditionalFormatting sqref="AW671:AW674">
    <cfRule type="expression" dxfId="4852" priority="5211">
      <formula>$G671=""</formula>
    </cfRule>
  </conditionalFormatting>
  <conditionalFormatting sqref="G672:L672">
    <cfRule type="expression" dxfId="4851" priority="5209" stopIfTrue="1">
      <formula>$G671=""</formula>
    </cfRule>
    <cfRule type="containsBlanks" dxfId="4850" priority="5210">
      <formula>LEN(TRIM(G672))=0</formula>
    </cfRule>
  </conditionalFormatting>
  <conditionalFormatting sqref="R673">
    <cfRule type="expression" dxfId="4849" priority="5206">
      <formula>$N674="BAM"</formula>
    </cfRule>
    <cfRule type="expression" dxfId="4848" priority="5207" stopIfTrue="1">
      <formula>$G671=""</formula>
    </cfRule>
    <cfRule type="containsBlanks" dxfId="4847" priority="5208">
      <formula>LEN(TRIM(R673))=0</formula>
    </cfRule>
  </conditionalFormatting>
  <conditionalFormatting sqref="R673">
    <cfRule type="expression" dxfId="4846" priority="5205">
      <formula>$C$43=0</formula>
    </cfRule>
  </conditionalFormatting>
  <conditionalFormatting sqref="E674:F674">
    <cfRule type="expression" dxfId="4845" priority="5204">
      <formula>$CQ671="Exterior"</formula>
    </cfRule>
  </conditionalFormatting>
  <conditionalFormatting sqref="R672">
    <cfRule type="expression" dxfId="4844" priority="5201" stopIfTrue="1">
      <formula>$N674="BAM"</formula>
    </cfRule>
  </conditionalFormatting>
  <conditionalFormatting sqref="R672">
    <cfRule type="containsBlanks" dxfId="4843" priority="5202">
      <formula>LEN(TRIM(R672))=0</formula>
    </cfRule>
  </conditionalFormatting>
  <conditionalFormatting sqref="R672">
    <cfRule type="expression" dxfId="4842" priority="5200" stopIfTrue="1">
      <formula>$G671=""</formula>
    </cfRule>
    <cfRule type="expression" dxfId="4841" priority="5203">
      <formula>$HY672=FALSE</formula>
    </cfRule>
  </conditionalFormatting>
  <conditionalFormatting sqref="G674">
    <cfRule type="expression" dxfId="4840" priority="5194" stopIfTrue="1">
      <formula>$G671=""</formula>
    </cfRule>
  </conditionalFormatting>
  <conditionalFormatting sqref="G674">
    <cfRule type="expression" dxfId="4839" priority="5196" stopIfTrue="1">
      <formula>$CQ671="Exterior"</formula>
    </cfRule>
  </conditionalFormatting>
  <conditionalFormatting sqref="G674:L674">
    <cfRule type="expression" dxfId="4838" priority="5195" stopIfTrue="1">
      <formula>$N674="BAM"</formula>
    </cfRule>
    <cfRule type="containsBlanks" dxfId="4837" priority="5197" stopIfTrue="1">
      <formula>LEN(TRIM(G674))=0</formula>
    </cfRule>
    <cfRule type="expression" dxfId="4836" priority="5199">
      <formula>$HQ672=FALSE</formula>
    </cfRule>
  </conditionalFormatting>
  <conditionalFormatting sqref="G674:L674">
    <cfRule type="expression" dxfId="4835" priority="5198" stopIfTrue="1">
      <formula>$AG673=""</formula>
    </cfRule>
  </conditionalFormatting>
  <conditionalFormatting sqref="G673:L673">
    <cfRule type="expression" dxfId="4834" priority="5192" stopIfTrue="1">
      <formula>$N674="BAM"</formula>
    </cfRule>
  </conditionalFormatting>
  <conditionalFormatting sqref="G671:R671">
    <cfRule type="containsBlanks" dxfId="4833" priority="5191">
      <formula>LEN(TRIM(G671))=0</formula>
    </cfRule>
  </conditionalFormatting>
  <conditionalFormatting sqref="AF673">
    <cfRule type="expression" dxfId="4832" priority="5181" stopIfTrue="1">
      <formula>$G671=""</formula>
    </cfRule>
    <cfRule type="expression" dxfId="4831" priority="5182" stopIfTrue="1">
      <formula>$N674="BAM"</formula>
    </cfRule>
    <cfRule type="expression" dxfId="4830" priority="5190">
      <formula>$AF$49&gt;$T$49</formula>
    </cfRule>
  </conditionalFormatting>
  <conditionalFormatting sqref="AC674:AE674">
    <cfRule type="expression" dxfId="4829" priority="5187" stopIfTrue="1">
      <formula>$G671=""</formula>
    </cfRule>
  </conditionalFormatting>
  <conditionalFormatting sqref="T673:U673">
    <cfRule type="expression" dxfId="4828" priority="5154" stopIfTrue="1">
      <formula>$G671=""</formula>
    </cfRule>
  </conditionalFormatting>
  <conditionalFormatting sqref="T673:U673">
    <cfRule type="containsBlanks" dxfId="4827" priority="5184" stopIfTrue="1">
      <formula>LEN(TRIM(T673))=0</formula>
    </cfRule>
  </conditionalFormatting>
  <conditionalFormatting sqref="AC671:AE671">
    <cfRule type="expression" dxfId="4826" priority="5183">
      <formula>$G671=""</formula>
    </cfRule>
  </conditionalFormatting>
  <conditionalFormatting sqref="AF673 AG674">
    <cfRule type="containsBlanks" dxfId="4825" priority="5188" stopIfTrue="1">
      <formula>LEN(TRIM(AF673))=0</formula>
    </cfRule>
  </conditionalFormatting>
  <conditionalFormatting sqref="AF673">
    <cfRule type="expression" dxfId="4824" priority="5189">
      <formula>OR($HS672=FALSE,$HT672=FALSE)</formula>
    </cfRule>
  </conditionalFormatting>
  <conditionalFormatting sqref="AG674">
    <cfRule type="expression" dxfId="4823" priority="5147">
      <formula>$C$43&gt;0</formula>
    </cfRule>
  </conditionalFormatting>
  <conditionalFormatting sqref="AG674">
    <cfRule type="expression" dxfId="4822" priority="5180" stopIfTrue="1">
      <formula>$G671=""</formula>
    </cfRule>
  </conditionalFormatting>
  <conditionalFormatting sqref="U673">
    <cfRule type="expression" dxfId="4821" priority="5185">
      <formula>OR($HK672=FALSE,$HL672=FALSE)</formula>
    </cfRule>
  </conditionalFormatting>
  <conditionalFormatting sqref="T672:U672">
    <cfRule type="expression" dxfId="4820" priority="5175" stopIfTrue="1">
      <formula>$C$43&lt;&gt;0</formula>
    </cfRule>
    <cfRule type="containsBlanks" dxfId="4819" priority="5176" stopIfTrue="1">
      <formula>LEN(TRIM(T672))=0</formula>
    </cfRule>
  </conditionalFormatting>
  <conditionalFormatting sqref="T672:U672">
    <cfRule type="expression" dxfId="4818" priority="5174" stopIfTrue="1">
      <formula>$G671=""</formula>
    </cfRule>
  </conditionalFormatting>
  <conditionalFormatting sqref="U672">
    <cfRule type="expression" dxfId="4817" priority="5177">
      <formula>$HJ672=FALSE</formula>
    </cfRule>
  </conditionalFormatting>
  <conditionalFormatting sqref="AG673">
    <cfRule type="expression" dxfId="4816" priority="5165" stopIfTrue="1">
      <formula>$G671=""</formula>
    </cfRule>
  </conditionalFormatting>
  <conditionalFormatting sqref="AG673:AL673">
    <cfRule type="expression" dxfId="4815" priority="5166">
      <formula>$N674="BAM"</formula>
    </cfRule>
    <cfRule type="expression" dxfId="4814" priority="5170">
      <formula>OR($HU672=FALSE,$HQ672=FALSE)</formula>
    </cfRule>
  </conditionalFormatting>
  <conditionalFormatting sqref="AG673">
    <cfRule type="containsBlanks" dxfId="4813" priority="5167" stopIfTrue="1">
      <formula>LEN(TRIM(AG673))=0</formula>
    </cfRule>
    <cfRule type="expression" dxfId="4812" priority="5168">
      <formula>OR($HP672=FALSE,$HR672=FALSE)</formula>
    </cfRule>
    <cfRule type="expression" dxfId="4811" priority="5169">
      <formula>OR($DS671=7,$DS671=8,$DS671=9)</formula>
    </cfRule>
  </conditionalFormatting>
  <conditionalFormatting sqref="AG671:AL671">
    <cfRule type="expression" dxfId="4810" priority="5164">
      <formula>$C$43&lt;&gt;0</formula>
    </cfRule>
  </conditionalFormatting>
  <conditionalFormatting sqref="AF672">
    <cfRule type="containsBlanks" dxfId="4809" priority="5163">
      <formula>LEN(TRIM(AF672))=0</formula>
    </cfRule>
  </conditionalFormatting>
  <conditionalFormatting sqref="AF672">
    <cfRule type="expression" dxfId="4808" priority="5162" stopIfTrue="1">
      <formula>$G671=""</formula>
    </cfRule>
  </conditionalFormatting>
  <conditionalFormatting sqref="AG672">
    <cfRule type="containsBlanks" dxfId="4807" priority="5160">
      <formula>LEN(TRIM(AG672))=0</formula>
    </cfRule>
    <cfRule type="expression" dxfId="4806" priority="5161">
      <formula>$HO672=FALSE</formula>
    </cfRule>
  </conditionalFormatting>
  <conditionalFormatting sqref="AG672">
    <cfRule type="expression" dxfId="4805" priority="5159" stopIfTrue="1">
      <formula>$G671=""</formula>
    </cfRule>
  </conditionalFormatting>
  <conditionalFormatting sqref="AF672:AK672">
    <cfRule type="expression" dxfId="4804" priority="5158">
      <formula>$C$43&gt;0</formula>
    </cfRule>
  </conditionalFormatting>
  <conditionalFormatting sqref="AM671:AN672">
    <cfRule type="expression" dxfId="4803" priority="5157">
      <formula>$G671=""</formula>
    </cfRule>
  </conditionalFormatting>
  <conditionalFormatting sqref="AM673:AN673">
    <cfRule type="expression" dxfId="4802" priority="5156" stopIfTrue="1">
      <formula>$G671=""</formula>
    </cfRule>
  </conditionalFormatting>
  <conditionalFormatting sqref="T673">
    <cfRule type="expression" dxfId="4801" priority="5178" stopIfTrue="1">
      <formula>$N674="BAM"</formula>
    </cfRule>
  </conditionalFormatting>
  <conditionalFormatting sqref="U673:AE673">
    <cfRule type="expression" dxfId="4800" priority="5155" stopIfTrue="1">
      <formula>$N674="BAM"</formula>
    </cfRule>
  </conditionalFormatting>
  <conditionalFormatting sqref="AG674:AL674">
    <cfRule type="expression" dxfId="4799" priority="5179" stopIfTrue="1">
      <formula>$N674="BAM"</formula>
    </cfRule>
  </conditionalFormatting>
  <conditionalFormatting sqref="AX677">
    <cfRule type="expression" dxfId="4798" priority="5145">
      <formula>$E677=""</formula>
    </cfRule>
  </conditionalFormatting>
  <conditionalFormatting sqref="AX676">
    <cfRule type="expression" dxfId="4797" priority="5144">
      <formula>$E676=""</formula>
    </cfRule>
  </conditionalFormatting>
  <conditionalFormatting sqref="AX678">
    <cfRule type="expression" dxfId="4796" priority="5143">
      <formula>#REF!=""</formula>
    </cfRule>
  </conditionalFormatting>
  <conditionalFormatting sqref="AX679">
    <cfRule type="expression" dxfId="4795" priority="5142">
      <formula>$E678=""</formula>
    </cfRule>
  </conditionalFormatting>
  <conditionalFormatting sqref="AY676:AZ679">
    <cfRule type="expression" dxfId="4794" priority="5141">
      <formula>$G676=""</formula>
    </cfRule>
  </conditionalFormatting>
  <conditionalFormatting sqref="G678">
    <cfRule type="expression" dxfId="4793" priority="5138" stopIfTrue="1">
      <formula>$G676=""</formula>
    </cfRule>
    <cfRule type="containsBlanks" dxfId="4792" priority="5139" stopIfTrue="1">
      <formula>LEN(TRIM(G678))=0</formula>
    </cfRule>
    <cfRule type="expression" dxfId="4791" priority="5140">
      <formula>OR($M678=0,$HH677=FALSE)</formula>
    </cfRule>
  </conditionalFormatting>
  <conditionalFormatting sqref="AO678">
    <cfRule type="expression" dxfId="4790" priority="5137" stopIfTrue="1">
      <formula>$G676=""</formula>
    </cfRule>
  </conditionalFormatting>
  <conditionalFormatting sqref="AU676:AU679">
    <cfRule type="expression" dxfId="4789" priority="5134" stopIfTrue="1">
      <formula>$C$43=2</formula>
    </cfRule>
    <cfRule type="cellIs" dxfId="4788" priority="5135" operator="equal">
      <formula>"Yes"</formula>
    </cfRule>
    <cfRule type="cellIs" dxfId="4787" priority="5136" operator="equal">
      <formula>"No"</formula>
    </cfRule>
  </conditionalFormatting>
  <conditionalFormatting sqref="AO676:AO677">
    <cfRule type="expression" dxfId="4786" priority="5133">
      <formula>$G676=""</formula>
    </cfRule>
  </conditionalFormatting>
  <conditionalFormatting sqref="AP676 AR676:AS679">
    <cfRule type="expression" dxfId="4785" priority="5132">
      <formula>$G676=""</formula>
    </cfRule>
  </conditionalFormatting>
  <conditionalFormatting sqref="AW676:AW679">
    <cfRule type="expression" dxfId="4784" priority="5131">
      <formula>$G676=""</formula>
    </cfRule>
  </conditionalFormatting>
  <conditionalFormatting sqref="G677:L677">
    <cfRule type="expression" dxfId="4783" priority="5129" stopIfTrue="1">
      <formula>$G676=""</formula>
    </cfRule>
    <cfRule type="containsBlanks" dxfId="4782" priority="5130">
      <formula>LEN(TRIM(G677))=0</formula>
    </cfRule>
  </conditionalFormatting>
  <conditionalFormatting sqref="R678">
    <cfRule type="expression" dxfId="4781" priority="5126">
      <formula>$N679="BAM"</formula>
    </cfRule>
    <cfRule type="expression" dxfId="4780" priority="5127" stopIfTrue="1">
      <formula>$G676=""</formula>
    </cfRule>
    <cfRule type="containsBlanks" dxfId="4779" priority="5128">
      <formula>LEN(TRIM(R678))=0</formula>
    </cfRule>
  </conditionalFormatting>
  <conditionalFormatting sqref="R678">
    <cfRule type="expression" dxfId="4778" priority="5125">
      <formula>$C$43=0</formula>
    </cfRule>
  </conditionalFormatting>
  <conditionalFormatting sqref="E679:F679">
    <cfRule type="expression" dxfId="4777" priority="5124">
      <formula>$CQ676="Exterior"</formula>
    </cfRule>
  </conditionalFormatting>
  <conditionalFormatting sqref="R677">
    <cfRule type="expression" dxfId="4776" priority="5121" stopIfTrue="1">
      <formula>$N679="BAM"</formula>
    </cfRule>
  </conditionalFormatting>
  <conditionalFormatting sqref="R677">
    <cfRule type="containsBlanks" dxfId="4775" priority="5122">
      <formula>LEN(TRIM(R677))=0</formula>
    </cfRule>
  </conditionalFormatting>
  <conditionalFormatting sqref="R677">
    <cfRule type="expression" dxfId="4774" priority="5120" stopIfTrue="1">
      <formula>$G676=""</formula>
    </cfRule>
    <cfRule type="expression" dxfId="4773" priority="5123">
      <formula>$HY677=FALSE</formula>
    </cfRule>
  </conditionalFormatting>
  <conditionalFormatting sqref="G679">
    <cfRule type="expression" dxfId="4772" priority="5114" stopIfTrue="1">
      <formula>$G676=""</formula>
    </cfRule>
  </conditionalFormatting>
  <conditionalFormatting sqref="G679">
    <cfRule type="expression" dxfId="4771" priority="5116" stopIfTrue="1">
      <formula>$CQ676="Exterior"</formula>
    </cfRule>
  </conditionalFormatting>
  <conditionalFormatting sqref="G679:L679">
    <cfRule type="expression" dxfId="4770" priority="5115" stopIfTrue="1">
      <formula>$N679="BAM"</formula>
    </cfRule>
    <cfRule type="containsBlanks" dxfId="4769" priority="5117" stopIfTrue="1">
      <formula>LEN(TRIM(G679))=0</formula>
    </cfRule>
    <cfRule type="expression" dxfId="4768" priority="5119">
      <formula>$HQ677=FALSE</formula>
    </cfRule>
  </conditionalFormatting>
  <conditionalFormatting sqref="G679:L679">
    <cfRule type="expression" dxfId="4767" priority="5118" stopIfTrue="1">
      <formula>$AG678=""</formula>
    </cfRule>
  </conditionalFormatting>
  <conditionalFormatting sqref="G678:L678">
    <cfRule type="expression" dxfId="4766" priority="5112" stopIfTrue="1">
      <formula>$N679="BAM"</formula>
    </cfRule>
  </conditionalFormatting>
  <conditionalFormatting sqref="G676:R676">
    <cfRule type="containsBlanks" dxfId="4765" priority="5111">
      <formula>LEN(TRIM(G676))=0</formula>
    </cfRule>
  </conditionalFormatting>
  <conditionalFormatting sqref="AF678">
    <cfRule type="expression" dxfId="4764" priority="5101" stopIfTrue="1">
      <formula>$G676=""</formula>
    </cfRule>
    <cfRule type="expression" dxfId="4763" priority="5102" stopIfTrue="1">
      <formula>$N679="BAM"</formula>
    </cfRule>
    <cfRule type="expression" dxfId="4762" priority="5110">
      <formula>$AF$49&gt;$T$49</formula>
    </cfRule>
  </conditionalFormatting>
  <conditionalFormatting sqref="AC679:AE679">
    <cfRule type="expression" dxfId="4761" priority="5107" stopIfTrue="1">
      <formula>$G676=""</formula>
    </cfRule>
  </conditionalFormatting>
  <conditionalFormatting sqref="T678:U678">
    <cfRule type="expression" dxfId="4760" priority="5074" stopIfTrue="1">
      <formula>$G676=""</formula>
    </cfRule>
  </conditionalFormatting>
  <conditionalFormatting sqref="T678:U678">
    <cfRule type="containsBlanks" dxfId="4759" priority="5104" stopIfTrue="1">
      <formula>LEN(TRIM(T678))=0</formula>
    </cfRule>
  </conditionalFormatting>
  <conditionalFormatting sqref="AC676:AE676">
    <cfRule type="expression" dxfId="4758" priority="5103">
      <formula>$G676=""</formula>
    </cfRule>
  </conditionalFormatting>
  <conditionalFormatting sqref="AF678 AG679">
    <cfRule type="containsBlanks" dxfId="4757" priority="5108" stopIfTrue="1">
      <formula>LEN(TRIM(AF678))=0</formula>
    </cfRule>
  </conditionalFormatting>
  <conditionalFormatting sqref="AF678">
    <cfRule type="expression" dxfId="4756" priority="5109">
      <formula>OR($HS677=FALSE,$HT677=FALSE)</formula>
    </cfRule>
  </conditionalFormatting>
  <conditionalFormatting sqref="AG679">
    <cfRule type="expression" dxfId="4755" priority="5067">
      <formula>$C$43&gt;0</formula>
    </cfRule>
  </conditionalFormatting>
  <conditionalFormatting sqref="AG679">
    <cfRule type="expression" dxfId="4754" priority="5100" stopIfTrue="1">
      <formula>$G676=""</formula>
    </cfRule>
  </conditionalFormatting>
  <conditionalFormatting sqref="U678">
    <cfRule type="expression" dxfId="4753" priority="5105">
      <formula>OR($HK677=FALSE,$HL677=FALSE)</formula>
    </cfRule>
  </conditionalFormatting>
  <conditionalFormatting sqref="T677:U677">
    <cfRule type="expression" dxfId="4752" priority="5095" stopIfTrue="1">
      <formula>$C$43&lt;&gt;0</formula>
    </cfRule>
    <cfRule type="containsBlanks" dxfId="4751" priority="5096" stopIfTrue="1">
      <formula>LEN(TRIM(T677))=0</formula>
    </cfRule>
  </conditionalFormatting>
  <conditionalFormatting sqref="T677:U677">
    <cfRule type="expression" dxfId="4750" priority="5094" stopIfTrue="1">
      <formula>$G676=""</formula>
    </cfRule>
  </conditionalFormatting>
  <conditionalFormatting sqref="U677">
    <cfRule type="expression" dxfId="4749" priority="5097">
      <formula>$HJ677=FALSE</formula>
    </cfRule>
  </conditionalFormatting>
  <conditionalFormatting sqref="AG678">
    <cfRule type="expression" dxfId="4748" priority="5085" stopIfTrue="1">
      <formula>$G676=""</formula>
    </cfRule>
  </conditionalFormatting>
  <conditionalFormatting sqref="AG678:AL678">
    <cfRule type="expression" dxfId="4747" priority="5086">
      <formula>$N679="BAM"</formula>
    </cfRule>
    <cfRule type="expression" dxfId="4746" priority="5090">
      <formula>OR($HU677=FALSE,$HQ677=FALSE)</formula>
    </cfRule>
  </conditionalFormatting>
  <conditionalFormatting sqref="AG678">
    <cfRule type="containsBlanks" dxfId="4745" priority="5087" stopIfTrue="1">
      <formula>LEN(TRIM(AG678))=0</formula>
    </cfRule>
    <cfRule type="expression" dxfId="4744" priority="5088">
      <formula>OR($HP677=FALSE,$HR677=FALSE)</formula>
    </cfRule>
    <cfRule type="expression" dxfId="4743" priority="5089">
      <formula>OR($DS676=7,$DS676=8,$DS676=9)</formula>
    </cfRule>
  </conditionalFormatting>
  <conditionalFormatting sqref="AG676:AL676">
    <cfRule type="expression" dxfId="4742" priority="5084">
      <formula>$C$43&lt;&gt;0</formula>
    </cfRule>
  </conditionalFormatting>
  <conditionalFormatting sqref="AF677">
    <cfRule type="containsBlanks" dxfId="4741" priority="5083">
      <formula>LEN(TRIM(AF677))=0</formula>
    </cfRule>
  </conditionalFormatting>
  <conditionalFormatting sqref="AF677">
    <cfRule type="expression" dxfId="4740" priority="5082" stopIfTrue="1">
      <formula>$G676=""</formula>
    </cfRule>
  </conditionalFormatting>
  <conditionalFormatting sqref="AG677">
    <cfRule type="containsBlanks" dxfId="4739" priority="5080">
      <formula>LEN(TRIM(AG677))=0</formula>
    </cfRule>
    <cfRule type="expression" dxfId="4738" priority="5081">
      <formula>$HO677=FALSE</formula>
    </cfRule>
  </conditionalFormatting>
  <conditionalFormatting sqref="AG677">
    <cfRule type="expression" dxfId="4737" priority="5079" stopIfTrue="1">
      <formula>$G676=""</formula>
    </cfRule>
  </conditionalFormatting>
  <conditionalFormatting sqref="AF677:AK677">
    <cfRule type="expression" dxfId="4736" priority="5078">
      <formula>$C$43&gt;0</formula>
    </cfRule>
  </conditionalFormatting>
  <conditionalFormatting sqref="AM676:AN677">
    <cfRule type="expression" dxfId="4735" priority="5077">
      <formula>$G676=""</formula>
    </cfRule>
  </conditionalFormatting>
  <conditionalFormatting sqref="AM678:AN678">
    <cfRule type="expression" dxfId="4734" priority="5076" stopIfTrue="1">
      <formula>$G676=""</formula>
    </cfRule>
  </conditionalFormatting>
  <conditionalFormatting sqref="T678">
    <cfRule type="expression" dxfId="4733" priority="5098" stopIfTrue="1">
      <formula>$N679="BAM"</formula>
    </cfRule>
  </conditionalFormatting>
  <conditionalFormatting sqref="U678:AE678">
    <cfRule type="expression" dxfId="4732" priority="5075" stopIfTrue="1">
      <formula>$N679="BAM"</formula>
    </cfRule>
  </conditionalFormatting>
  <conditionalFormatting sqref="AG679:AL679">
    <cfRule type="expression" dxfId="4731" priority="5099" stopIfTrue="1">
      <formula>$N679="BAM"</formula>
    </cfRule>
  </conditionalFormatting>
  <conditionalFormatting sqref="AX682">
    <cfRule type="expression" dxfId="4730" priority="5065">
      <formula>$E682=""</formula>
    </cfRule>
  </conditionalFormatting>
  <conditionalFormatting sqref="AX681">
    <cfRule type="expression" dxfId="4729" priority="5064">
      <formula>$E681=""</formula>
    </cfRule>
  </conditionalFormatting>
  <conditionalFormatting sqref="AX683">
    <cfRule type="expression" dxfId="4728" priority="5063">
      <formula>#REF!=""</formula>
    </cfRule>
  </conditionalFormatting>
  <conditionalFormatting sqref="AX684">
    <cfRule type="expression" dxfId="4727" priority="5062">
      <formula>$E683=""</formula>
    </cfRule>
  </conditionalFormatting>
  <conditionalFormatting sqref="AY681:AZ684">
    <cfRule type="expression" dxfId="4726" priority="5061">
      <formula>$G681=""</formula>
    </cfRule>
  </conditionalFormatting>
  <conditionalFormatting sqref="G683">
    <cfRule type="expression" dxfId="4725" priority="5058" stopIfTrue="1">
      <formula>$G681=""</formula>
    </cfRule>
    <cfRule type="containsBlanks" dxfId="4724" priority="5059" stopIfTrue="1">
      <formula>LEN(TRIM(G683))=0</formula>
    </cfRule>
    <cfRule type="expression" dxfId="4723" priority="5060">
      <formula>OR($M683=0,$HH682=FALSE)</formula>
    </cfRule>
  </conditionalFormatting>
  <conditionalFormatting sqref="AO683">
    <cfRule type="expression" dxfId="4722" priority="5057" stopIfTrue="1">
      <formula>$G681=""</formula>
    </cfRule>
  </conditionalFormatting>
  <conditionalFormatting sqref="AU681:AU684">
    <cfRule type="expression" dxfId="4721" priority="5054" stopIfTrue="1">
      <formula>$C$43=2</formula>
    </cfRule>
    <cfRule type="cellIs" dxfId="4720" priority="5055" operator="equal">
      <formula>"Yes"</formula>
    </cfRule>
    <cfRule type="cellIs" dxfId="4719" priority="5056" operator="equal">
      <formula>"No"</formula>
    </cfRule>
  </conditionalFormatting>
  <conditionalFormatting sqref="AO681:AO682">
    <cfRule type="expression" dxfId="4718" priority="5053">
      <formula>$G681=""</formula>
    </cfRule>
  </conditionalFormatting>
  <conditionalFormatting sqref="AP681 AR681:AS684">
    <cfRule type="expression" dxfId="4717" priority="5052">
      <formula>$G681=""</formula>
    </cfRule>
  </conditionalFormatting>
  <conditionalFormatting sqref="AW681:AW684">
    <cfRule type="expression" dxfId="4716" priority="5051">
      <formula>$G681=""</formula>
    </cfRule>
  </conditionalFormatting>
  <conditionalFormatting sqref="G682:L682">
    <cfRule type="expression" dxfId="4715" priority="5049" stopIfTrue="1">
      <formula>$G681=""</formula>
    </cfRule>
    <cfRule type="containsBlanks" dxfId="4714" priority="5050">
      <formula>LEN(TRIM(G682))=0</formula>
    </cfRule>
  </conditionalFormatting>
  <conditionalFormatting sqref="R683">
    <cfRule type="expression" dxfId="4713" priority="5046">
      <formula>$N684="BAM"</formula>
    </cfRule>
    <cfRule type="expression" dxfId="4712" priority="5047" stopIfTrue="1">
      <formula>$G681=""</formula>
    </cfRule>
    <cfRule type="containsBlanks" dxfId="4711" priority="5048">
      <formula>LEN(TRIM(R683))=0</formula>
    </cfRule>
  </conditionalFormatting>
  <conditionalFormatting sqref="R683">
    <cfRule type="expression" dxfId="4710" priority="5045">
      <formula>$C$43=0</formula>
    </cfRule>
  </conditionalFormatting>
  <conditionalFormatting sqref="E684:F684">
    <cfRule type="expression" dxfId="4709" priority="5044">
      <formula>$CQ681="Exterior"</formula>
    </cfRule>
  </conditionalFormatting>
  <conditionalFormatting sqref="R682">
    <cfRule type="expression" dxfId="4708" priority="5041" stopIfTrue="1">
      <formula>$N684="BAM"</formula>
    </cfRule>
  </conditionalFormatting>
  <conditionalFormatting sqref="R682">
    <cfRule type="containsBlanks" dxfId="4707" priority="5042">
      <formula>LEN(TRIM(R682))=0</formula>
    </cfRule>
  </conditionalFormatting>
  <conditionalFormatting sqref="R682">
    <cfRule type="expression" dxfId="4706" priority="5040" stopIfTrue="1">
      <formula>$G681=""</formula>
    </cfRule>
    <cfRule type="expression" dxfId="4705" priority="5043">
      <formula>$HY682=FALSE</formula>
    </cfRule>
  </conditionalFormatting>
  <conditionalFormatting sqref="G684">
    <cfRule type="expression" dxfId="4704" priority="5034" stopIfTrue="1">
      <formula>$G681=""</formula>
    </cfRule>
  </conditionalFormatting>
  <conditionalFormatting sqref="G684">
    <cfRule type="expression" dxfId="4703" priority="5036" stopIfTrue="1">
      <formula>$CQ681="Exterior"</formula>
    </cfRule>
  </conditionalFormatting>
  <conditionalFormatting sqref="G684:L684">
    <cfRule type="expression" dxfId="4702" priority="5035" stopIfTrue="1">
      <formula>$N684="BAM"</formula>
    </cfRule>
    <cfRule type="containsBlanks" dxfId="4701" priority="5037" stopIfTrue="1">
      <formula>LEN(TRIM(G684))=0</formula>
    </cfRule>
    <cfRule type="expression" dxfId="4700" priority="5039">
      <formula>$HQ682=FALSE</formula>
    </cfRule>
  </conditionalFormatting>
  <conditionalFormatting sqref="G684:L684">
    <cfRule type="expression" dxfId="4699" priority="5038" stopIfTrue="1">
      <formula>$AG683=""</formula>
    </cfRule>
  </conditionalFormatting>
  <conditionalFormatting sqref="G683:L683">
    <cfRule type="expression" dxfId="4698" priority="5032" stopIfTrue="1">
      <formula>$N684="BAM"</formula>
    </cfRule>
  </conditionalFormatting>
  <conditionalFormatting sqref="G681:R681">
    <cfRule type="containsBlanks" dxfId="4697" priority="5031">
      <formula>LEN(TRIM(G681))=0</formula>
    </cfRule>
  </conditionalFormatting>
  <conditionalFormatting sqref="AF683">
    <cfRule type="expression" dxfId="4696" priority="5021" stopIfTrue="1">
      <formula>$G681=""</formula>
    </cfRule>
    <cfRule type="expression" dxfId="4695" priority="5022" stopIfTrue="1">
      <formula>$N684="BAM"</formula>
    </cfRule>
    <cfRule type="expression" dxfId="4694" priority="5030">
      <formula>$AF$49&gt;$T$49</formula>
    </cfRule>
  </conditionalFormatting>
  <conditionalFormatting sqref="AC684:AE684">
    <cfRule type="expression" dxfId="4693" priority="5027" stopIfTrue="1">
      <formula>$G681=""</formula>
    </cfRule>
  </conditionalFormatting>
  <conditionalFormatting sqref="T683:U683">
    <cfRule type="expression" dxfId="4692" priority="4994" stopIfTrue="1">
      <formula>$G681=""</formula>
    </cfRule>
  </conditionalFormatting>
  <conditionalFormatting sqref="T683:U683">
    <cfRule type="containsBlanks" dxfId="4691" priority="5024" stopIfTrue="1">
      <formula>LEN(TRIM(T683))=0</formula>
    </cfRule>
  </conditionalFormatting>
  <conditionalFormatting sqref="AC681:AE681">
    <cfRule type="expression" dxfId="4690" priority="5023">
      <formula>$G681=""</formula>
    </cfRule>
  </conditionalFormatting>
  <conditionalFormatting sqref="AF683 AG684">
    <cfRule type="containsBlanks" dxfId="4689" priority="5028" stopIfTrue="1">
      <formula>LEN(TRIM(AF683))=0</formula>
    </cfRule>
  </conditionalFormatting>
  <conditionalFormatting sqref="AF683">
    <cfRule type="expression" dxfId="4688" priority="5029">
      <formula>OR($HS682=FALSE,$HT682=FALSE)</formula>
    </cfRule>
  </conditionalFormatting>
  <conditionalFormatting sqref="AG684">
    <cfRule type="expression" dxfId="4687" priority="4987">
      <formula>$C$43&gt;0</formula>
    </cfRule>
  </conditionalFormatting>
  <conditionalFormatting sqref="AG684">
    <cfRule type="expression" dxfId="4686" priority="5020" stopIfTrue="1">
      <formula>$G681=""</formula>
    </cfRule>
  </conditionalFormatting>
  <conditionalFormatting sqref="U683">
    <cfRule type="expression" dxfId="4685" priority="5025">
      <formula>OR($HK682=FALSE,$HL682=FALSE)</formula>
    </cfRule>
  </conditionalFormatting>
  <conditionalFormatting sqref="T682:U682">
    <cfRule type="expression" dxfId="4684" priority="5015" stopIfTrue="1">
      <formula>$C$43&lt;&gt;0</formula>
    </cfRule>
    <cfRule type="containsBlanks" dxfId="4683" priority="5016" stopIfTrue="1">
      <formula>LEN(TRIM(T682))=0</formula>
    </cfRule>
  </conditionalFormatting>
  <conditionalFormatting sqref="T682:U682">
    <cfRule type="expression" dxfId="4682" priority="5014" stopIfTrue="1">
      <formula>$G681=""</formula>
    </cfRule>
  </conditionalFormatting>
  <conditionalFormatting sqref="U682">
    <cfRule type="expression" dxfId="4681" priority="5017">
      <formula>$HJ682=FALSE</formula>
    </cfRule>
  </conditionalFormatting>
  <conditionalFormatting sqref="AG683">
    <cfRule type="expression" dxfId="4680" priority="5005" stopIfTrue="1">
      <formula>$G681=""</formula>
    </cfRule>
  </conditionalFormatting>
  <conditionalFormatting sqref="AG683:AL683">
    <cfRule type="expression" dxfId="4679" priority="5006">
      <formula>$N684="BAM"</formula>
    </cfRule>
    <cfRule type="expression" dxfId="4678" priority="5010">
      <formula>OR($HU682=FALSE,$HQ682=FALSE)</formula>
    </cfRule>
  </conditionalFormatting>
  <conditionalFormatting sqref="AG683">
    <cfRule type="containsBlanks" dxfId="4677" priority="5007" stopIfTrue="1">
      <formula>LEN(TRIM(AG683))=0</formula>
    </cfRule>
    <cfRule type="expression" dxfId="4676" priority="5008">
      <formula>OR($HP682=FALSE,$HR682=FALSE)</formula>
    </cfRule>
    <cfRule type="expression" dxfId="4675" priority="5009">
      <formula>OR($DS681=7,$DS681=8,$DS681=9)</formula>
    </cfRule>
  </conditionalFormatting>
  <conditionalFormatting sqref="AG681:AL681">
    <cfRule type="expression" dxfId="4674" priority="5004">
      <formula>$C$43&lt;&gt;0</formula>
    </cfRule>
  </conditionalFormatting>
  <conditionalFormatting sqref="AF682">
    <cfRule type="containsBlanks" dxfId="4673" priority="5003">
      <formula>LEN(TRIM(AF682))=0</formula>
    </cfRule>
  </conditionalFormatting>
  <conditionalFormatting sqref="AF682">
    <cfRule type="expression" dxfId="4672" priority="5002" stopIfTrue="1">
      <formula>$G681=""</formula>
    </cfRule>
  </conditionalFormatting>
  <conditionalFormatting sqref="AG682">
    <cfRule type="containsBlanks" dxfId="4671" priority="5000">
      <formula>LEN(TRIM(AG682))=0</formula>
    </cfRule>
    <cfRule type="expression" dxfId="4670" priority="5001">
      <formula>$HO682=FALSE</formula>
    </cfRule>
  </conditionalFormatting>
  <conditionalFormatting sqref="AG682">
    <cfRule type="expression" dxfId="4669" priority="4999" stopIfTrue="1">
      <formula>$G681=""</formula>
    </cfRule>
  </conditionalFormatting>
  <conditionalFormatting sqref="AF682:AK682">
    <cfRule type="expression" dxfId="4668" priority="4998">
      <formula>$C$43&gt;0</formula>
    </cfRule>
  </conditionalFormatting>
  <conditionalFormatting sqref="AM681:AN682">
    <cfRule type="expression" dxfId="4667" priority="4997">
      <formula>$G681=""</formula>
    </cfRule>
  </conditionalFormatting>
  <conditionalFormatting sqref="AM683:AN683">
    <cfRule type="expression" dxfId="4666" priority="4996" stopIfTrue="1">
      <formula>$G681=""</formula>
    </cfRule>
  </conditionalFormatting>
  <conditionalFormatting sqref="T683">
    <cfRule type="expression" dxfId="4665" priority="5018" stopIfTrue="1">
      <formula>$N684="BAM"</formula>
    </cfRule>
  </conditionalFormatting>
  <conditionalFormatting sqref="U683:AE683">
    <cfRule type="expression" dxfId="4664" priority="4995" stopIfTrue="1">
      <formula>$N684="BAM"</formula>
    </cfRule>
  </conditionalFormatting>
  <conditionalFormatting sqref="AG684:AL684">
    <cfRule type="expression" dxfId="4663" priority="5019" stopIfTrue="1">
      <formula>$N684="BAM"</formula>
    </cfRule>
  </conditionalFormatting>
  <conditionalFormatting sqref="AX687">
    <cfRule type="expression" dxfId="4662" priority="4985">
      <formula>$E687=""</formula>
    </cfRule>
  </conditionalFormatting>
  <conditionalFormatting sqref="AX686">
    <cfRule type="expression" dxfId="4661" priority="4984">
      <formula>$E686=""</formula>
    </cfRule>
  </conditionalFormatting>
  <conditionalFormatting sqref="AX688">
    <cfRule type="expression" dxfId="4660" priority="4983">
      <formula>#REF!=""</formula>
    </cfRule>
  </conditionalFormatting>
  <conditionalFormatting sqref="AX689">
    <cfRule type="expression" dxfId="4659" priority="4982">
      <formula>$E688=""</formula>
    </cfRule>
  </conditionalFormatting>
  <conditionalFormatting sqref="AY686:AZ689">
    <cfRule type="expression" dxfId="4658" priority="4981">
      <formula>$G686=""</formula>
    </cfRule>
  </conditionalFormatting>
  <conditionalFormatting sqref="G688">
    <cfRule type="expression" dxfId="4657" priority="4978" stopIfTrue="1">
      <formula>$G686=""</formula>
    </cfRule>
    <cfRule type="containsBlanks" dxfId="4656" priority="4979" stopIfTrue="1">
      <formula>LEN(TRIM(G688))=0</formula>
    </cfRule>
    <cfRule type="expression" dxfId="4655" priority="4980">
      <formula>OR($M688=0,$HH687=FALSE)</formula>
    </cfRule>
  </conditionalFormatting>
  <conditionalFormatting sqref="AO688">
    <cfRule type="expression" dxfId="4654" priority="4977" stopIfTrue="1">
      <formula>$G686=""</formula>
    </cfRule>
  </conditionalFormatting>
  <conditionalFormatting sqref="AU686:AU689">
    <cfRule type="expression" dxfId="4653" priority="4974" stopIfTrue="1">
      <formula>$C$43=2</formula>
    </cfRule>
    <cfRule type="cellIs" dxfId="4652" priority="4975" operator="equal">
      <formula>"Yes"</formula>
    </cfRule>
    <cfRule type="cellIs" dxfId="4651" priority="4976" operator="equal">
      <formula>"No"</formula>
    </cfRule>
  </conditionalFormatting>
  <conditionalFormatting sqref="AO686:AO687">
    <cfRule type="expression" dxfId="4650" priority="4973">
      <formula>$G686=""</formula>
    </cfRule>
  </conditionalFormatting>
  <conditionalFormatting sqref="AP686 AR686:AS689">
    <cfRule type="expression" dxfId="4649" priority="4972">
      <formula>$G686=""</formula>
    </cfRule>
  </conditionalFormatting>
  <conditionalFormatting sqref="AW686:AW689">
    <cfRule type="expression" dxfId="4648" priority="4971">
      <formula>$G686=""</formula>
    </cfRule>
  </conditionalFormatting>
  <conditionalFormatting sqref="G687:L687">
    <cfRule type="expression" dxfId="4647" priority="4969" stopIfTrue="1">
      <formula>$G686=""</formula>
    </cfRule>
    <cfRule type="containsBlanks" dxfId="4646" priority="4970">
      <formula>LEN(TRIM(G687))=0</formula>
    </cfRule>
  </conditionalFormatting>
  <conditionalFormatting sqref="R688">
    <cfRule type="expression" dxfId="4645" priority="4966">
      <formula>$N689="BAM"</formula>
    </cfRule>
    <cfRule type="expression" dxfId="4644" priority="4967" stopIfTrue="1">
      <formula>$G686=""</formula>
    </cfRule>
    <cfRule type="containsBlanks" dxfId="4643" priority="4968">
      <formula>LEN(TRIM(R688))=0</formula>
    </cfRule>
  </conditionalFormatting>
  <conditionalFormatting sqref="R688">
    <cfRule type="expression" dxfId="4642" priority="4965">
      <formula>$C$43=0</formula>
    </cfRule>
  </conditionalFormatting>
  <conditionalFormatting sqref="E689:F689">
    <cfRule type="expression" dxfId="4641" priority="4964">
      <formula>$CQ686="Exterior"</formula>
    </cfRule>
  </conditionalFormatting>
  <conditionalFormatting sqref="R687">
    <cfRule type="expression" dxfId="4640" priority="4961" stopIfTrue="1">
      <formula>$N689="BAM"</formula>
    </cfRule>
  </conditionalFormatting>
  <conditionalFormatting sqref="R687">
    <cfRule type="containsBlanks" dxfId="4639" priority="4962">
      <formula>LEN(TRIM(R687))=0</formula>
    </cfRule>
  </conditionalFormatting>
  <conditionalFormatting sqref="R687">
    <cfRule type="expression" dxfId="4638" priority="4960" stopIfTrue="1">
      <formula>$G686=""</formula>
    </cfRule>
    <cfRule type="expression" dxfId="4637" priority="4963">
      <formula>$HY687=FALSE</formula>
    </cfRule>
  </conditionalFormatting>
  <conditionalFormatting sqref="G689">
    <cfRule type="expression" dxfId="4636" priority="4954" stopIfTrue="1">
      <formula>$G686=""</formula>
    </cfRule>
  </conditionalFormatting>
  <conditionalFormatting sqref="G689">
    <cfRule type="expression" dxfId="4635" priority="4956" stopIfTrue="1">
      <formula>$CQ686="Exterior"</formula>
    </cfRule>
  </conditionalFormatting>
  <conditionalFormatting sqref="G689:L689">
    <cfRule type="expression" dxfId="4634" priority="4955" stopIfTrue="1">
      <formula>$N689="BAM"</formula>
    </cfRule>
    <cfRule type="containsBlanks" dxfId="4633" priority="4957" stopIfTrue="1">
      <formula>LEN(TRIM(G689))=0</formula>
    </cfRule>
    <cfRule type="expression" dxfId="4632" priority="4959">
      <formula>$HQ687=FALSE</formula>
    </cfRule>
  </conditionalFormatting>
  <conditionalFormatting sqref="G689:L689">
    <cfRule type="expression" dxfId="4631" priority="4958" stopIfTrue="1">
      <formula>$AG688=""</formula>
    </cfRule>
  </conditionalFormatting>
  <conditionalFormatting sqref="G688:L688">
    <cfRule type="expression" dxfId="4630" priority="4952" stopIfTrue="1">
      <formula>$N689="BAM"</formula>
    </cfRule>
  </conditionalFormatting>
  <conditionalFormatting sqref="G686:R686">
    <cfRule type="containsBlanks" dxfId="4629" priority="4951">
      <formula>LEN(TRIM(G686))=0</formula>
    </cfRule>
  </conditionalFormatting>
  <conditionalFormatting sqref="AF688">
    <cfRule type="expression" dxfId="4628" priority="4941" stopIfTrue="1">
      <formula>$G686=""</formula>
    </cfRule>
    <cfRule type="expression" dxfId="4627" priority="4942" stopIfTrue="1">
      <formula>$N689="BAM"</formula>
    </cfRule>
    <cfRule type="expression" dxfId="4626" priority="4950">
      <formula>$AF$49&gt;$T$49</formula>
    </cfRule>
  </conditionalFormatting>
  <conditionalFormatting sqref="AC689:AE689">
    <cfRule type="expression" dxfId="4625" priority="4947" stopIfTrue="1">
      <formula>$G686=""</formula>
    </cfRule>
  </conditionalFormatting>
  <conditionalFormatting sqref="T688:U688">
    <cfRule type="expression" dxfId="4624" priority="4914" stopIfTrue="1">
      <formula>$G686=""</formula>
    </cfRule>
  </conditionalFormatting>
  <conditionalFormatting sqref="T688:U688">
    <cfRule type="containsBlanks" dxfId="4623" priority="4944" stopIfTrue="1">
      <formula>LEN(TRIM(T688))=0</formula>
    </cfRule>
  </conditionalFormatting>
  <conditionalFormatting sqref="AC686:AE686">
    <cfRule type="expression" dxfId="4622" priority="4943">
      <formula>$G686=""</formula>
    </cfRule>
  </conditionalFormatting>
  <conditionalFormatting sqref="AF688 AG689">
    <cfRule type="containsBlanks" dxfId="4621" priority="4948" stopIfTrue="1">
      <formula>LEN(TRIM(AF688))=0</formula>
    </cfRule>
  </conditionalFormatting>
  <conditionalFormatting sqref="AF688">
    <cfRule type="expression" dxfId="4620" priority="4949">
      <formula>OR($HS687=FALSE,$HT687=FALSE)</formula>
    </cfRule>
  </conditionalFormatting>
  <conditionalFormatting sqref="AG689">
    <cfRule type="expression" dxfId="4619" priority="4907">
      <formula>$C$43&gt;0</formula>
    </cfRule>
  </conditionalFormatting>
  <conditionalFormatting sqref="AG689">
    <cfRule type="expression" dxfId="4618" priority="4940" stopIfTrue="1">
      <formula>$G686=""</formula>
    </cfRule>
  </conditionalFormatting>
  <conditionalFormatting sqref="U688">
    <cfRule type="expression" dxfId="4617" priority="4945">
      <formula>OR($HK687=FALSE,$HL687=FALSE)</formula>
    </cfRule>
  </conditionalFormatting>
  <conditionalFormatting sqref="T687:U687">
    <cfRule type="expression" dxfId="4616" priority="4935" stopIfTrue="1">
      <formula>$C$43&lt;&gt;0</formula>
    </cfRule>
    <cfRule type="containsBlanks" dxfId="4615" priority="4936" stopIfTrue="1">
      <formula>LEN(TRIM(T687))=0</formula>
    </cfRule>
  </conditionalFormatting>
  <conditionalFormatting sqref="T687:U687">
    <cfRule type="expression" dxfId="4614" priority="4934" stopIfTrue="1">
      <formula>$G686=""</formula>
    </cfRule>
  </conditionalFormatting>
  <conditionalFormatting sqref="U687">
    <cfRule type="expression" dxfId="4613" priority="4937">
      <formula>$HJ687=FALSE</formula>
    </cfRule>
  </conditionalFormatting>
  <conditionalFormatting sqref="AG688">
    <cfRule type="expression" dxfId="4612" priority="4925" stopIfTrue="1">
      <formula>$G686=""</formula>
    </cfRule>
  </conditionalFormatting>
  <conditionalFormatting sqref="AG688:AL688">
    <cfRule type="expression" dxfId="4611" priority="4926">
      <formula>$N689="BAM"</formula>
    </cfRule>
    <cfRule type="expression" dxfId="4610" priority="4930">
      <formula>OR($HU687=FALSE,$HQ687=FALSE)</formula>
    </cfRule>
  </conditionalFormatting>
  <conditionalFormatting sqref="AG688">
    <cfRule type="containsBlanks" dxfId="4609" priority="4927" stopIfTrue="1">
      <formula>LEN(TRIM(AG688))=0</formula>
    </cfRule>
    <cfRule type="expression" dxfId="4608" priority="4928">
      <formula>OR($HP687=FALSE,$HR687=FALSE)</formula>
    </cfRule>
    <cfRule type="expression" dxfId="4607" priority="4929">
      <formula>OR($DS686=7,$DS686=8,$DS686=9)</formula>
    </cfRule>
  </conditionalFormatting>
  <conditionalFormatting sqref="AG686:AL686">
    <cfRule type="expression" dxfId="4606" priority="4924">
      <formula>$C$43&lt;&gt;0</formula>
    </cfRule>
  </conditionalFormatting>
  <conditionalFormatting sqref="AF687">
    <cfRule type="containsBlanks" dxfId="4605" priority="4923">
      <formula>LEN(TRIM(AF687))=0</formula>
    </cfRule>
  </conditionalFormatting>
  <conditionalFormatting sqref="AF687">
    <cfRule type="expression" dxfId="4604" priority="4922" stopIfTrue="1">
      <formula>$G686=""</formula>
    </cfRule>
  </conditionalFormatting>
  <conditionalFormatting sqref="AG687">
    <cfRule type="containsBlanks" dxfId="4603" priority="4920">
      <formula>LEN(TRIM(AG687))=0</formula>
    </cfRule>
    <cfRule type="expression" dxfId="4602" priority="4921">
      <formula>$HO687=FALSE</formula>
    </cfRule>
  </conditionalFormatting>
  <conditionalFormatting sqref="AG687">
    <cfRule type="expression" dxfId="4601" priority="4919" stopIfTrue="1">
      <formula>$G686=""</formula>
    </cfRule>
  </conditionalFormatting>
  <conditionalFormatting sqref="AF687:AK687">
    <cfRule type="expression" dxfId="4600" priority="4918">
      <formula>$C$43&gt;0</formula>
    </cfRule>
  </conditionalFormatting>
  <conditionalFormatting sqref="AM686:AN687">
    <cfRule type="expression" dxfId="4599" priority="4917">
      <formula>$G686=""</formula>
    </cfRule>
  </conditionalFormatting>
  <conditionalFormatting sqref="AM688:AN688">
    <cfRule type="expression" dxfId="4598" priority="4916" stopIfTrue="1">
      <formula>$G686=""</formula>
    </cfRule>
  </conditionalFormatting>
  <conditionalFormatting sqref="T688">
    <cfRule type="expression" dxfId="4597" priority="4938" stopIfTrue="1">
      <formula>$N689="BAM"</formula>
    </cfRule>
  </conditionalFormatting>
  <conditionalFormatting sqref="U688:AE688">
    <cfRule type="expression" dxfId="4596" priority="4915" stopIfTrue="1">
      <formula>$N689="BAM"</formula>
    </cfRule>
  </conditionalFormatting>
  <conditionalFormatting sqref="AG689:AL689">
    <cfRule type="expression" dxfId="4595" priority="4939" stopIfTrue="1">
      <formula>$N689="BAM"</formula>
    </cfRule>
  </conditionalFormatting>
  <conditionalFormatting sqref="AX692">
    <cfRule type="expression" dxfId="4594" priority="4905">
      <formula>$E692=""</formula>
    </cfRule>
  </conditionalFormatting>
  <conditionalFormatting sqref="AX691">
    <cfRule type="expression" dxfId="4593" priority="4904">
      <formula>$E691=""</formula>
    </cfRule>
  </conditionalFormatting>
  <conditionalFormatting sqref="AX693">
    <cfRule type="expression" dxfId="4592" priority="4903">
      <formula>#REF!=""</formula>
    </cfRule>
  </conditionalFormatting>
  <conditionalFormatting sqref="AX694">
    <cfRule type="expression" dxfId="4591" priority="4902">
      <formula>$E693=""</formula>
    </cfRule>
  </conditionalFormatting>
  <conditionalFormatting sqref="AY691:AZ694">
    <cfRule type="expression" dxfId="4590" priority="4901">
      <formula>$G691=""</formula>
    </cfRule>
  </conditionalFormatting>
  <conditionalFormatting sqref="G693">
    <cfRule type="expression" dxfId="4589" priority="4898" stopIfTrue="1">
      <formula>$G691=""</formula>
    </cfRule>
    <cfRule type="containsBlanks" dxfId="4588" priority="4899" stopIfTrue="1">
      <formula>LEN(TRIM(G693))=0</formula>
    </cfRule>
    <cfRule type="expression" dxfId="4587" priority="4900">
      <formula>OR($M693=0,$HH692=FALSE)</formula>
    </cfRule>
  </conditionalFormatting>
  <conditionalFormatting sqref="AO693">
    <cfRule type="expression" dxfId="4586" priority="4897" stopIfTrue="1">
      <formula>$G691=""</formula>
    </cfRule>
  </conditionalFormatting>
  <conditionalFormatting sqref="AU691:AU694">
    <cfRule type="expression" dxfId="4585" priority="4894" stopIfTrue="1">
      <formula>$C$43=2</formula>
    </cfRule>
    <cfRule type="cellIs" dxfId="4584" priority="4895" operator="equal">
      <formula>"Yes"</formula>
    </cfRule>
    <cfRule type="cellIs" dxfId="4583" priority="4896" operator="equal">
      <formula>"No"</formula>
    </cfRule>
  </conditionalFormatting>
  <conditionalFormatting sqref="AO691:AO692">
    <cfRule type="expression" dxfId="4582" priority="4893">
      <formula>$G691=""</formula>
    </cfRule>
  </conditionalFormatting>
  <conditionalFormatting sqref="AP691 AR691:AS694">
    <cfRule type="expression" dxfId="4581" priority="4892">
      <formula>$G691=""</formula>
    </cfRule>
  </conditionalFormatting>
  <conditionalFormatting sqref="AW691:AW694">
    <cfRule type="expression" dxfId="4580" priority="4891">
      <formula>$G691=""</formula>
    </cfRule>
  </conditionalFormatting>
  <conditionalFormatting sqref="G692:L692">
    <cfRule type="expression" dxfId="4579" priority="4889" stopIfTrue="1">
      <formula>$G691=""</formula>
    </cfRule>
    <cfRule type="containsBlanks" dxfId="4578" priority="4890">
      <formula>LEN(TRIM(G692))=0</formula>
    </cfRule>
  </conditionalFormatting>
  <conditionalFormatting sqref="R693">
    <cfRule type="expression" dxfId="4577" priority="4886">
      <formula>$N694="BAM"</formula>
    </cfRule>
    <cfRule type="expression" dxfId="4576" priority="4887" stopIfTrue="1">
      <formula>$G691=""</formula>
    </cfRule>
    <cfRule type="containsBlanks" dxfId="4575" priority="4888">
      <formula>LEN(TRIM(R693))=0</formula>
    </cfRule>
  </conditionalFormatting>
  <conditionalFormatting sqref="R693">
    <cfRule type="expression" dxfId="4574" priority="4885">
      <formula>$C$43=0</formula>
    </cfRule>
  </conditionalFormatting>
  <conditionalFormatting sqref="E694:F694">
    <cfRule type="expression" dxfId="4573" priority="4884">
      <formula>$CQ691="Exterior"</formula>
    </cfRule>
  </conditionalFormatting>
  <conditionalFormatting sqref="R692">
    <cfRule type="expression" dxfId="4572" priority="4881" stopIfTrue="1">
      <formula>$N694="BAM"</formula>
    </cfRule>
  </conditionalFormatting>
  <conditionalFormatting sqref="R692">
    <cfRule type="containsBlanks" dxfId="4571" priority="4882">
      <formula>LEN(TRIM(R692))=0</formula>
    </cfRule>
  </conditionalFormatting>
  <conditionalFormatting sqref="R692">
    <cfRule type="expression" dxfId="4570" priority="4880" stopIfTrue="1">
      <formula>$G691=""</formula>
    </cfRule>
    <cfRule type="expression" dxfId="4569" priority="4883">
      <formula>$HY692=FALSE</formula>
    </cfRule>
  </conditionalFormatting>
  <conditionalFormatting sqref="G694">
    <cfRule type="expression" dxfId="4568" priority="4874" stopIfTrue="1">
      <formula>$G691=""</formula>
    </cfRule>
  </conditionalFormatting>
  <conditionalFormatting sqref="G694">
    <cfRule type="expression" dxfId="4567" priority="4876" stopIfTrue="1">
      <formula>$CQ691="Exterior"</formula>
    </cfRule>
  </conditionalFormatting>
  <conditionalFormatting sqref="G694:L694">
    <cfRule type="expression" dxfId="4566" priority="4875" stopIfTrue="1">
      <formula>$N694="BAM"</formula>
    </cfRule>
    <cfRule type="containsBlanks" dxfId="4565" priority="4877" stopIfTrue="1">
      <formula>LEN(TRIM(G694))=0</formula>
    </cfRule>
    <cfRule type="expression" dxfId="4564" priority="4879">
      <formula>$HQ692=FALSE</formula>
    </cfRule>
  </conditionalFormatting>
  <conditionalFormatting sqref="G694:L694">
    <cfRule type="expression" dxfId="4563" priority="4878" stopIfTrue="1">
      <formula>$AG693=""</formula>
    </cfRule>
  </conditionalFormatting>
  <conditionalFormatting sqref="G693:L693">
    <cfRule type="expression" dxfId="4562" priority="4872" stopIfTrue="1">
      <formula>$N694="BAM"</formula>
    </cfRule>
  </conditionalFormatting>
  <conditionalFormatting sqref="G691:R691">
    <cfRule type="containsBlanks" dxfId="4561" priority="4871">
      <formula>LEN(TRIM(G691))=0</formula>
    </cfRule>
  </conditionalFormatting>
  <conditionalFormatting sqref="AF693">
    <cfRule type="expression" dxfId="4560" priority="4861" stopIfTrue="1">
      <formula>$G691=""</formula>
    </cfRule>
    <cfRule type="expression" dxfId="4559" priority="4862" stopIfTrue="1">
      <formula>$N694="BAM"</formula>
    </cfRule>
    <cfRule type="expression" dxfId="4558" priority="4870">
      <formula>$AF$49&gt;$T$49</formula>
    </cfRule>
  </conditionalFormatting>
  <conditionalFormatting sqref="AC694:AE694">
    <cfRule type="expression" dxfId="4557" priority="4867" stopIfTrue="1">
      <formula>$G691=""</formula>
    </cfRule>
  </conditionalFormatting>
  <conditionalFormatting sqref="T693:U693">
    <cfRule type="expression" dxfId="4556" priority="4834" stopIfTrue="1">
      <formula>$G691=""</formula>
    </cfRule>
  </conditionalFormatting>
  <conditionalFormatting sqref="T693:U693">
    <cfRule type="containsBlanks" dxfId="4555" priority="4864" stopIfTrue="1">
      <formula>LEN(TRIM(T693))=0</formula>
    </cfRule>
  </conditionalFormatting>
  <conditionalFormatting sqref="AC691:AE691">
    <cfRule type="expression" dxfId="4554" priority="4863">
      <formula>$G691=""</formula>
    </cfRule>
  </conditionalFormatting>
  <conditionalFormatting sqref="AF693 AG694">
    <cfRule type="containsBlanks" dxfId="4553" priority="4868" stopIfTrue="1">
      <formula>LEN(TRIM(AF693))=0</formula>
    </cfRule>
  </conditionalFormatting>
  <conditionalFormatting sqref="AF693">
    <cfRule type="expression" dxfId="4552" priority="4869">
      <formula>OR($HS692=FALSE,$HT692=FALSE)</formula>
    </cfRule>
  </conditionalFormatting>
  <conditionalFormatting sqref="AG694">
    <cfRule type="expression" dxfId="4551" priority="4827">
      <formula>$C$43&gt;0</formula>
    </cfRule>
  </conditionalFormatting>
  <conditionalFormatting sqref="AG694">
    <cfRule type="expression" dxfId="4550" priority="4860" stopIfTrue="1">
      <formula>$G691=""</formula>
    </cfRule>
  </conditionalFormatting>
  <conditionalFormatting sqref="U693">
    <cfRule type="expression" dxfId="4549" priority="4865">
      <formula>OR($HK692=FALSE,$HL692=FALSE)</formula>
    </cfRule>
  </conditionalFormatting>
  <conditionalFormatting sqref="T692:U692">
    <cfRule type="expression" dxfId="4548" priority="4855" stopIfTrue="1">
      <formula>$C$43&lt;&gt;0</formula>
    </cfRule>
    <cfRule type="containsBlanks" dxfId="4547" priority="4856" stopIfTrue="1">
      <formula>LEN(TRIM(T692))=0</formula>
    </cfRule>
  </conditionalFormatting>
  <conditionalFormatting sqref="T692:U692">
    <cfRule type="expression" dxfId="4546" priority="4854" stopIfTrue="1">
      <formula>$G691=""</formula>
    </cfRule>
  </conditionalFormatting>
  <conditionalFormatting sqref="U692">
    <cfRule type="expression" dxfId="4545" priority="4857">
      <formula>$HJ692=FALSE</formula>
    </cfRule>
  </conditionalFormatting>
  <conditionalFormatting sqref="AG693">
    <cfRule type="expression" dxfId="4544" priority="4845" stopIfTrue="1">
      <formula>$G691=""</formula>
    </cfRule>
  </conditionalFormatting>
  <conditionalFormatting sqref="AG693:AL693">
    <cfRule type="expression" dxfId="4543" priority="4846">
      <formula>$N694="BAM"</formula>
    </cfRule>
    <cfRule type="expression" dxfId="4542" priority="4850">
      <formula>OR($HU692=FALSE,$HQ692=FALSE)</formula>
    </cfRule>
  </conditionalFormatting>
  <conditionalFormatting sqref="AG693">
    <cfRule type="containsBlanks" dxfId="4541" priority="4847" stopIfTrue="1">
      <formula>LEN(TRIM(AG693))=0</formula>
    </cfRule>
    <cfRule type="expression" dxfId="4540" priority="4848">
      <formula>OR($HP692=FALSE,$HR692=FALSE)</formula>
    </cfRule>
    <cfRule type="expression" dxfId="4539" priority="4849">
      <formula>OR($DS691=7,$DS691=8,$DS691=9)</formula>
    </cfRule>
  </conditionalFormatting>
  <conditionalFormatting sqref="AG691:AL691">
    <cfRule type="expression" dxfId="4538" priority="4844">
      <formula>$C$43&lt;&gt;0</formula>
    </cfRule>
  </conditionalFormatting>
  <conditionalFormatting sqref="AF692">
    <cfRule type="containsBlanks" dxfId="4537" priority="4843">
      <formula>LEN(TRIM(AF692))=0</formula>
    </cfRule>
  </conditionalFormatting>
  <conditionalFormatting sqref="AF692">
    <cfRule type="expression" dxfId="4536" priority="4842" stopIfTrue="1">
      <formula>$G691=""</formula>
    </cfRule>
  </conditionalFormatting>
  <conditionalFormatting sqref="AG692">
    <cfRule type="containsBlanks" dxfId="4535" priority="4840">
      <formula>LEN(TRIM(AG692))=0</formula>
    </cfRule>
    <cfRule type="expression" dxfId="4534" priority="4841">
      <formula>$HO692=FALSE</formula>
    </cfRule>
  </conditionalFormatting>
  <conditionalFormatting sqref="AG692">
    <cfRule type="expression" dxfId="4533" priority="4839" stopIfTrue="1">
      <formula>$G691=""</formula>
    </cfRule>
  </conditionalFormatting>
  <conditionalFormatting sqref="AF692:AK692">
    <cfRule type="expression" dxfId="4532" priority="4838">
      <formula>$C$43&gt;0</formula>
    </cfRule>
  </conditionalFormatting>
  <conditionalFormatting sqref="AM691:AN692">
    <cfRule type="expression" dxfId="4531" priority="4837">
      <formula>$G691=""</formula>
    </cfRule>
  </conditionalFormatting>
  <conditionalFormatting sqref="AM693:AN693">
    <cfRule type="expression" dxfId="4530" priority="4836" stopIfTrue="1">
      <formula>$G691=""</formula>
    </cfRule>
  </conditionalFormatting>
  <conditionalFormatting sqref="T693">
    <cfRule type="expression" dxfId="4529" priority="4858" stopIfTrue="1">
      <formula>$N694="BAM"</formula>
    </cfRule>
  </conditionalFormatting>
  <conditionalFormatting sqref="U693:AE693">
    <cfRule type="expression" dxfId="4528" priority="4835" stopIfTrue="1">
      <formula>$N694="BAM"</formula>
    </cfRule>
  </conditionalFormatting>
  <conditionalFormatting sqref="AG694:AL694">
    <cfRule type="expression" dxfId="4527" priority="4859" stopIfTrue="1">
      <formula>$N694="BAM"</formula>
    </cfRule>
  </conditionalFormatting>
  <conditionalFormatting sqref="AX697">
    <cfRule type="expression" dxfId="4526" priority="4825">
      <formula>$E697=""</formula>
    </cfRule>
  </conditionalFormatting>
  <conditionalFormatting sqref="AX696">
    <cfRule type="expression" dxfId="4525" priority="4824">
      <formula>$E696=""</formula>
    </cfRule>
  </conditionalFormatting>
  <conditionalFormatting sqref="AX698">
    <cfRule type="expression" dxfId="4524" priority="4823">
      <formula>#REF!=""</formula>
    </cfRule>
  </conditionalFormatting>
  <conditionalFormatting sqref="AX699">
    <cfRule type="expression" dxfId="4523" priority="4822">
      <formula>$E698=""</formula>
    </cfRule>
  </conditionalFormatting>
  <conditionalFormatting sqref="AY696:AZ699">
    <cfRule type="expression" dxfId="4522" priority="4821">
      <formula>$G696=""</formula>
    </cfRule>
  </conditionalFormatting>
  <conditionalFormatting sqref="G698">
    <cfRule type="expression" dxfId="4521" priority="4818" stopIfTrue="1">
      <formula>$G696=""</formula>
    </cfRule>
    <cfRule type="containsBlanks" dxfId="4520" priority="4819" stopIfTrue="1">
      <formula>LEN(TRIM(G698))=0</formula>
    </cfRule>
    <cfRule type="expression" dxfId="4519" priority="4820">
      <formula>OR($M698=0,$HH697=FALSE)</formula>
    </cfRule>
  </conditionalFormatting>
  <conditionalFormatting sqref="AO698">
    <cfRule type="expression" dxfId="4518" priority="4817" stopIfTrue="1">
      <formula>$G696=""</formula>
    </cfRule>
  </conditionalFormatting>
  <conditionalFormatting sqref="AU696:AU699">
    <cfRule type="expression" dxfId="4517" priority="4814" stopIfTrue="1">
      <formula>$C$43=2</formula>
    </cfRule>
    <cfRule type="cellIs" dxfId="4516" priority="4815" operator="equal">
      <formula>"Yes"</formula>
    </cfRule>
    <cfRule type="cellIs" dxfId="4515" priority="4816" operator="equal">
      <formula>"No"</formula>
    </cfRule>
  </conditionalFormatting>
  <conditionalFormatting sqref="AO696:AO697">
    <cfRule type="expression" dxfId="4514" priority="4813">
      <formula>$G696=""</formula>
    </cfRule>
  </conditionalFormatting>
  <conditionalFormatting sqref="AP696 AR696:AS699">
    <cfRule type="expression" dxfId="4513" priority="4812">
      <formula>$G696=""</formula>
    </cfRule>
  </conditionalFormatting>
  <conditionalFormatting sqref="AW696:AW699">
    <cfRule type="expression" dxfId="4512" priority="4811">
      <formula>$G696=""</formula>
    </cfRule>
  </conditionalFormatting>
  <conditionalFormatting sqref="G697:L697">
    <cfRule type="expression" dxfId="4511" priority="4809" stopIfTrue="1">
      <formula>$G696=""</formula>
    </cfRule>
    <cfRule type="containsBlanks" dxfId="4510" priority="4810">
      <formula>LEN(TRIM(G697))=0</formula>
    </cfRule>
  </conditionalFormatting>
  <conditionalFormatting sqref="R698">
    <cfRule type="expression" dxfId="4509" priority="4806">
      <formula>$N699="BAM"</formula>
    </cfRule>
    <cfRule type="expression" dxfId="4508" priority="4807" stopIfTrue="1">
      <formula>$G696=""</formula>
    </cfRule>
    <cfRule type="containsBlanks" dxfId="4507" priority="4808">
      <formula>LEN(TRIM(R698))=0</formula>
    </cfRule>
  </conditionalFormatting>
  <conditionalFormatting sqref="R698">
    <cfRule type="expression" dxfId="4506" priority="4805">
      <formula>$C$43=0</formula>
    </cfRule>
  </conditionalFormatting>
  <conditionalFormatting sqref="E699:F699">
    <cfRule type="expression" dxfId="4505" priority="4804">
      <formula>$CQ696="Exterior"</formula>
    </cfRule>
  </conditionalFormatting>
  <conditionalFormatting sqref="R697">
    <cfRule type="expression" dxfId="4504" priority="4801" stopIfTrue="1">
      <formula>$N699="BAM"</formula>
    </cfRule>
  </conditionalFormatting>
  <conditionalFormatting sqref="R697">
    <cfRule type="containsBlanks" dxfId="4503" priority="4802">
      <formula>LEN(TRIM(R697))=0</formula>
    </cfRule>
  </conditionalFormatting>
  <conditionalFormatting sqref="R697">
    <cfRule type="expression" dxfId="4502" priority="4800" stopIfTrue="1">
      <formula>$G696=""</formula>
    </cfRule>
    <cfRule type="expression" dxfId="4501" priority="4803">
      <formula>$HY697=FALSE</formula>
    </cfRule>
  </conditionalFormatting>
  <conditionalFormatting sqref="G699">
    <cfRule type="expression" dxfId="4500" priority="4794" stopIfTrue="1">
      <formula>$G696=""</formula>
    </cfRule>
  </conditionalFormatting>
  <conditionalFormatting sqref="G699">
    <cfRule type="expression" dxfId="4499" priority="4796" stopIfTrue="1">
      <formula>$CQ696="Exterior"</formula>
    </cfRule>
  </conditionalFormatting>
  <conditionalFormatting sqref="G699:L699">
    <cfRule type="expression" dxfId="4498" priority="4795" stopIfTrue="1">
      <formula>$N699="BAM"</formula>
    </cfRule>
    <cfRule type="containsBlanks" dxfId="4497" priority="4797" stopIfTrue="1">
      <formula>LEN(TRIM(G699))=0</formula>
    </cfRule>
    <cfRule type="expression" dxfId="4496" priority="4799">
      <formula>$HQ697=FALSE</formula>
    </cfRule>
  </conditionalFormatting>
  <conditionalFormatting sqref="G699:L699">
    <cfRule type="expression" dxfId="4495" priority="4798" stopIfTrue="1">
      <formula>$AG698=""</formula>
    </cfRule>
  </conditionalFormatting>
  <conditionalFormatting sqref="G698:L698">
    <cfRule type="expression" dxfId="4494" priority="4792" stopIfTrue="1">
      <formula>$N699="BAM"</formula>
    </cfRule>
  </conditionalFormatting>
  <conditionalFormatting sqref="G696:R696">
    <cfRule type="containsBlanks" dxfId="4493" priority="4791">
      <formula>LEN(TRIM(G696))=0</formula>
    </cfRule>
  </conditionalFormatting>
  <conditionalFormatting sqref="AF698">
    <cfRule type="expression" dxfId="4492" priority="4781" stopIfTrue="1">
      <formula>$G696=""</formula>
    </cfRule>
    <cfRule type="expression" dxfId="4491" priority="4782" stopIfTrue="1">
      <formula>$N699="BAM"</formula>
    </cfRule>
    <cfRule type="expression" dxfId="4490" priority="4790">
      <formula>$AF$49&gt;$T$49</formula>
    </cfRule>
  </conditionalFormatting>
  <conditionalFormatting sqref="AC699:AE699">
    <cfRule type="expression" dxfId="4489" priority="4787" stopIfTrue="1">
      <formula>$G696=""</formula>
    </cfRule>
  </conditionalFormatting>
  <conditionalFormatting sqref="T698:U698">
    <cfRule type="expression" dxfId="4488" priority="4754" stopIfTrue="1">
      <formula>$G696=""</formula>
    </cfRule>
  </conditionalFormatting>
  <conditionalFormatting sqref="T698:U698">
    <cfRule type="containsBlanks" dxfId="4487" priority="4784" stopIfTrue="1">
      <formula>LEN(TRIM(T698))=0</formula>
    </cfRule>
  </conditionalFormatting>
  <conditionalFormatting sqref="AC696:AE696">
    <cfRule type="expression" dxfId="4486" priority="4783">
      <formula>$G696=""</formula>
    </cfRule>
  </conditionalFormatting>
  <conditionalFormatting sqref="AF698 AG699">
    <cfRule type="containsBlanks" dxfId="4485" priority="4788" stopIfTrue="1">
      <formula>LEN(TRIM(AF698))=0</formula>
    </cfRule>
  </conditionalFormatting>
  <conditionalFormatting sqref="AF698">
    <cfRule type="expression" dxfId="4484" priority="4789">
      <formula>OR($HS697=FALSE,$HT697=FALSE)</formula>
    </cfRule>
  </conditionalFormatting>
  <conditionalFormatting sqref="AG699">
    <cfRule type="expression" dxfId="4483" priority="4747">
      <formula>$C$43&gt;0</formula>
    </cfRule>
  </conditionalFormatting>
  <conditionalFormatting sqref="AG699">
    <cfRule type="expression" dxfId="4482" priority="4780" stopIfTrue="1">
      <formula>$G696=""</formula>
    </cfRule>
  </conditionalFormatting>
  <conditionalFormatting sqref="U698">
    <cfRule type="expression" dxfId="4481" priority="4785">
      <formula>OR($HK697=FALSE,$HL697=FALSE)</formula>
    </cfRule>
  </conditionalFormatting>
  <conditionalFormatting sqref="T697:U697">
    <cfRule type="expression" dxfId="4480" priority="4775" stopIfTrue="1">
      <formula>$C$43&lt;&gt;0</formula>
    </cfRule>
    <cfRule type="containsBlanks" dxfId="4479" priority="4776" stopIfTrue="1">
      <formula>LEN(TRIM(T697))=0</formula>
    </cfRule>
  </conditionalFormatting>
  <conditionalFormatting sqref="T697:U697">
    <cfRule type="expression" dxfId="4478" priority="4774" stopIfTrue="1">
      <formula>$G696=""</formula>
    </cfRule>
  </conditionalFormatting>
  <conditionalFormatting sqref="U697">
    <cfRule type="expression" dxfId="4477" priority="4777">
      <formula>$HJ697=FALSE</formula>
    </cfRule>
  </conditionalFormatting>
  <conditionalFormatting sqref="AG698">
    <cfRule type="expression" dxfId="4476" priority="4765" stopIfTrue="1">
      <formula>$G696=""</formula>
    </cfRule>
  </conditionalFormatting>
  <conditionalFormatting sqref="AG698:AL698">
    <cfRule type="expression" dxfId="4475" priority="4766">
      <formula>$N699="BAM"</formula>
    </cfRule>
    <cfRule type="expression" dxfId="4474" priority="4770">
      <formula>OR($HU697=FALSE,$HQ697=FALSE)</formula>
    </cfRule>
  </conditionalFormatting>
  <conditionalFormatting sqref="AG698">
    <cfRule type="containsBlanks" dxfId="4473" priority="4767" stopIfTrue="1">
      <formula>LEN(TRIM(AG698))=0</formula>
    </cfRule>
    <cfRule type="expression" dxfId="4472" priority="4768">
      <formula>OR($HP697=FALSE,$HR697=FALSE)</formula>
    </cfRule>
    <cfRule type="expression" dxfId="4471" priority="4769">
      <formula>OR($DS696=7,$DS696=8,$DS696=9)</formula>
    </cfRule>
  </conditionalFormatting>
  <conditionalFormatting sqref="AG696:AL696">
    <cfRule type="expression" dxfId="4470" priority="4764">
      <formula>$C$43&lt;&gt;0</formula>
    </cfRule>
  </conditionalFormatting>
  <conditionalFormatting sqref="AF697">
    <cfRule type="containsBlanks" dxfId="4469" priority="4763">
      <formula>LEN(TRIM(AF697))=0</formula>
    </cfRule>
  </conditionalFormatting>
  <conditionalFormatting sqref="AF697">
    <cfRule type="expression" dxfId="4468" priority="4762" stopIfTrue="1">
      <formula>$G696=""</formula>
    </cfRule>
  </conditionalFormatting>
  <conditionalFormatting sqref="AG697">
    <cfRule type="containsBlanks" dxfId="4467" priority="4760">
      <formula>LEN(TRIM(AG697))=0</formula>
    </cfRule>
    <cfRule type="expression" dxfId="4466" priority="4761">
      <formula>$HO697=FALSE</formula>
    </cfRule>
  </conditionalFormatting>
  <conditionalFormatting sqref="AG697">
    <cfRule type="expression" dxfId="4465" priority="4759" stopIfTrue="1">
      <formula>$G696=""</formula>
    </cfRule>
  </conditionalFormatting>
  <conditionalFormatting sqref="AF697:AK697">
    <cfRule type="expression" dxfId="4464" priority="4758">
      <formula>$C$43&gt;0</formula>
    </cfRule>
  </conditionalFormatting>
  <conditionalFormatting sqref="AM696:AN697">
    <cfRule type="expression" dxfId="4463" priority="4757">
      <formula>$G696=""</formula>
    </cfRule>
  </conditionalFormatting>
  <conditionalFormatting sqref="AM698:AN698">
    <cfRule type="expression" dxfId="4462" priority="4756" stopIfTrue="1">
      <formula>$G696=""</formula>
    </cfRule>
  </conditionalFormatting>
  <conditionalFormatting sqref="T698">
    <cfRule type="expression" dxfId="4461" priority="4778" stopIfTrue="1">
      <formula>$N699="BAM"</formula>
    </cfRule>
  </conditionalFormatting>
  <conditionalFormatting sqref="U698:AE698">
    <cfRule type="expression" dxfId="4460" priority="4755" stopIfTrue="1">
      <formula>$N699="BAM"</formula>
    </cfRule>
  </conditionalFormatting>
  <conditionalFormatting sqref="AG699:AL699">
    <cfRule type="expression" dxfId="4459" priority="4779" stopIfTrue="1">
      <formula>$N699="BAM"</formula>
    </cfRule>
  </conditionalFormatting>
  <conditionalFormatting sqref="AX702">
    <cfRule type="expression" dxfId="4458" priority="4745">
      <formula>$E702=""</formula>
    </cfRule>
  </conditionalFormatting>
  <conditionalFormatting sqref="AX701">
    <cfRule type="expression" dxfId="4457" priority="4744">
      <formula>$E701=""</formula>
    </cfRule>
  </conditionalFormatting>
  <conditionalFormatting sqref="AX703">
    <cfRule type="expression" dxfId="4456" priority="4743">
      <formula>#REF!=""</formula>
    </cfRule>
  </conditionalFormatting>
  <conditionalFormatting sqref="AX704">
    <cfRule type="expression" dxfId="4455" priority="4742">
      <formula>$E703=""</formula>
    </cfRule>
  </conditionalFormatting>
  <conditionalFormatting sqref="AY701:AZ704">
    <cfRule type="expression" dxfId="4454" priority="4741">
      <formula>$G701=""</formula>
    </cfRule>
  </conditionalFormatting>
  <conditionalFormatting sqref="G703">
    <cfRule type="expression" dxfId="4453" priority="4738" stopIfTrue="1">
      <formula>$G701=""</formula>
    </cfRule>
    <cfRule type="containsBlanks" dxfId="4452" priority="4739" stopIfTrue="1">
      <formula>LEN(TRIM(G703))=0</formula>
    </cfRule>
    <cfRule type="expression" dxfId="4451" priority="4740">
      <formula>OR($M703=0,$HH702=FALSE)</formula>
    </cfRule>
  </conditionalFormatting>
  <conditionalFormatting sqref="AO703">
    <cfRule type="expression" dxfId="4450" priority="4737" stopIfTrue="1">
      <formula>$G701=""</formula>
    </cfRule>
  </conditionalFormatting>
  <conditionalFormatting sqref="AU701:AU704">
    <cfRule type="expression" dxfId="4449" priority="4734" stopIfTrue="1">
      <formula>$C$43=2</formula>
    </cfRule>
    <cfRule type="cellIs" dxfId="4448" priority="4735" operator="equal">
      <formula>"Yes"</formula>
    </cfRule>
    <cfRule type="cellIs" dxfId="4447" priority="4736" operator="equal">
      <formula>"No"</formula>
    </cfRule>
  </conditionalFormatting>
  <conditionalFormatting sqref="AO701:AO702">
    <cfRule type="expression" dxfId="4446" priority="4733">
      <formula>$G701=""</formula>
    </cfRule>
  </conditionalFormatting>
  <conditionalFormatting sqref="AP701 AR701:AS704">
    <cfRule type="expression" dxfId="4445" priority="4732">
      <formula>$G701=""</formula>
    </cfRule>
  </conditionalFormatting>
  <conditionalFormatting sqref="AW701:AW704">
    <cfRule type="expression" dxfId="4444" priority="4731">
      <formula>$G701=""</formula>
    </cfRule>
  </conditionalFormatting>
  <conditionalFormatting sqref="G702:L702">
    <cfRule type="expression" dxfId="4443" priority="4729" stopIfTrue="1">
      <formula>$G701=""</formula>
    </cfRule>
    <cfRule type="containsBlanks" dxfId="4442" priority="4730">
      <formula>LEN(TRIM(G702))=0</formula>
    </cfRule>
  </conditionalFormatting>
  <conditionalFormatting sqref="R703">
    <cfRule type="expression" dxfId="4441" priority="4726">
      <formula>$N704="BAM"</formula>
    </cfRule>
    <cfRule type="expression" dxfId="4440" priority="4727" stopIfTrue="1">
      <formula>$G701=""</formula>
    </cfRule>
    <cfRule type="containsBlanks" dxfId="4439" priority="4728">
      <formula>LEN(TRIM(R703))=0</formula>
    </cfRule>
  </conditionalFormatting>
  <conditionalFormatting sqref="R703">
    <cfRule type="expression" dxfId="4438" priority="4725">
      <formula>$C$43=0</formula>
    </cfRule>
  </conditionalFormatting>
  <conditionalFormatting sqref="E704:F704">
    <cfRule type="expression" dxfId="4437" priority="4724">
      <formula>$CQ701="Exterior"</formula>
    </cfRule>
  </conditionalFormatting>
  <conditionalFormatting sqref="R702">
    <cfRule type="expression" dxfId="4436" priority="4721" stopIfTrue="1">
      <formula>$N704="BAM"</formula>
    </cfRule>
  </conditionalFormatting>
  <conditionalFormatting sqref="R702">
    <cfRule type="containsBlanks" dxfId="4435" priority="4722">
      <formula>LEN(TRIM(R702))=0</formula>
    </cfRule>
  </conditionalFormatting>
  <conditionalFormatting sqref="R702">
    <cfRule type="expression" dxfId="4434" priority="4720" stopIfTrue="1">
      <formula>$G701=""</formula>
    </cfRule>
    <cfRule type="expression" dxfId="4433" priority="4723">
      <formula>$HY702=FALSE</formula>
    </cfRule>
  </conditionalFormatting>
  <conditionalFormatting sqref="G704">
    <cfRule type="expression" dxfId="4432" priority="4714" stopIfTrue="1">
      <formula>$G701=""</formula>
    </cfRule>
  </conditionalFormatting>
  <conditionalFormatting sqref="G704">
    <cfRule type="expression" dxfId="4431" priority="4716" stopIfTrue="1">
      <formula>$CQ701="Exterior"</formula>
    </cfRule>
  </conditionalFormatting>
  <conditionalFormatting sqref="G704:L704">
    <cfRule type="expression" dxfId="4430" priority="4715" stopIfTrue="1">
      <formula>$N704="BAM"</formula>
    </cfRule>
    <cfRule type="containsBlanks" dxfId="4429" priority="4717" stopIfTrue="1">
      <formula>LEN(TRIM(G704))=0</formula>
    </cfRule>
    <cfRule type="expression" dxfId="4428" priority="4719">
      <formula>$HQ702=FALSE</formula>
    </cfRule>
  </conditionalFormatting>
  <conditionalFormatting sqref="G704:L704">
    <cfRule type="expression" dxfId="4427" priority="4718" stopIfTrue="1">
      <formula>$AG703=""</formula>
    </cfRule>
  </conditionalFormatting>
  <conditionalFormatting sqref="G703:L703">
    <cfRule type="expression" dxfId="4426" priority="4712" stopIfTrue="1">
      <formula>$N704="BAM"</formula>
    </cfRule>
  </conditionalFormatting>
  <conditionalFormatting sqref="G701:R701">
    <cfRule type="containsBlanks" dxfId="4425" priority="4711">
      <formula>LEN(TRIM(G701))=0</formula>
    </cfRule>
  </conditionalFormatting>
  <conditionalFormatting sqref="AF703">
    <cfRule type="expression" dxfId="4424" priority="4701" stopIfTrue="1">
      <formula>$G701=""</formula>
    </cfRule>
    <cfRule type="expression" dxfId="4423" priority="4702" stopIfTrue="1">
      <formula>$N704="BAM"</formula>
    </cfRule>
    <cfRule type="expression" dxfId="4422" priority="4710">
      <formula>$AF$49&gt;$T$49</formula>
    </cfRule>
  </conditionalFormatting>
  <conditionalFormatting sqref="AC704:AE704">
    <cfRule type="expression" dxfId="4421" priority="4707" stopIfTrue="1">
      <formula>$G701=""</formula>
    </cfRule>
  </conditionalFormatting>
  <conditionalFormatting sqref="T703:U703">
    <cfRule type="expression" dxfId="4420" priority="4674" stopIfTrue="1">
      <formula>$G701=""</formula>
    </cfRule>
  </conditionalFormatting>
  <conditionalFormatting sqref="T703:U703">
    <cfRule type="containsBlanks" dxfId="4419" priority="4704" stopIfTrue="1">
      <formula>LEN(TRIM(T703))=0</formula>
    </cfRule>
  </conditionalFormatting>
  <conditionalFormatting sqref="AC701:AE701">
    <cfRule type="expression" dxfId="4418" priority="4703">
      <formula>$G701=""</formula>
    </cfRule>
  </conditionalFormatting>
  <conditionalFormatting sqref="AF703 AG704">
    <cfRule type="containsBlanks" dxfId="4417" priority="4708" stopIfTrue="1">
      <formula>LEN(TRIM(AF703))=0</formula>
    </cfRule>
  </conditionalFormatting>
  <conditionalFormatting sqref="AF703">
    <cfRule type="expression" dxfId="4416" priority="4709">
      <formula>OR($HS702=FALSE,$HT702=FALSE)</formula>
    </cfRule>
  </conditionalFormatting>
  <conditionalFormatting sqref="AG704">
    <cfRule type="expression" dxfId="4415" priority="4667">
      <formula>$C$43&gt;0</formula>
    </cfRule>
  </conditionalFormatting>
  <conditionalFormatting sqref="AG704">
    <cfRule type="expression" dxfId="4414" priority="4700" stopIfTrue="1">
      <formula>$G701=""</formula>
    </cfRule>
  </conditionalFormatting>
  <conditionalFormatting sqref="U703">
    <cfRule type="expression" dxfId="4413" priority="4705">
      <formula>OR($HK702=FALSE,$HL702=FALSE)</formula>
    </cfRule>
  </conditionalFormatting>
  <conditionalFormatting sqref="T702:U702">
    <cfRule type="expression" dxfId="4412" priority="4695" stopIfTrue="1">
      <formula>$C$43&lt;&gt;0</formula>
    </cfRule>
    <cfRule type="containsBlanks" dxfId="4411" priority="4696" stopIfTrue="1">
      <formula>LEN(TRIM(T702))=0</formula>
    </cfRule>
  </conditionalFormatting>
  <conditionalFormatting sqref="T702:U702">
    <cfRule type="expression" dxfId="4410" priority="4694" stopIfTrue="1">
      <formula>$G701=""</formula>
    </cfRule>
  </conditionalFormatting>
  <conditionalFormatting sqref="U702">
    <cfRule type="expression" dxfId="4409" priority="4697">
      <formula>$HJ702=FALSE</formula>
    </cfRule>
  </conditionalFormatting>
  <conditionalFormatting sqref="AG703">
    <cfRule type="expression" dxfId="4408" priority="4685" stopIfTrue="1">
      <formula>$G701=""</formula>
    </cfRule>
  </conditionalFormatting>
  <conditionalFormatting sqref="AG703:AL703">
    <cfRule type="expression" dxfId="4407" priority="4686">
      <formula>$N704="BAM"</formula>
    </cfRule>
    <cfRule type="expression" dxfId="4406" priority="4690">
      <formula>OR($HU702=FALSE,$HQ702=FALSE)</formula>
    </cfRule>
  </conditionalFormatting>
  <conditionalFormatting sqref="AG703">
    <cfRule type="containsBlanks" dxfId="4405" priority="4687" stopIfTrue="1">
      <formula>LEN(TRIM(AG703))=0</formula>
    </cfRule>
    <cfRule type="expression" dxfId="4404" priority="4688">
      <formula>OR($HP702=FALSE,$HR702=FALSE)</formula>
    </cfRule>
    <cfRule type="expression" dxfId="4403" priority="4689">
      <formula>OR($DS701=7,$DS701=8,$DS701=9)</formula>
    </cfRule>
  </conditionalFormatting>
  <conditionalFormatting sqref="AG701:AL701">
    <cfRule type="expression" dxfId="4402" priority="4684">
      <formula>$C$43&lt;&gt;0</formula>
    </cfRule>
  </conditionalFormatting>
  <conditionalFormatting sqref="AF702">
    <cfRule type="containsBlanks" dxfId="4401" priority="4683">
      <formula>LEN(TRIM(AF702))=0</formula>
    </cfRule>
  </conditionalFormatting>
  <conditionalFormatting sqref="AF702">
    <cfRule type="expression" dxfId="4400" priority="4682" stopIfTrue="1">
      <formula>$G701=""</formula>
    </cfRule>
  </conditionalFormatting>
  <conditionalFormatting sqref="AG702">
    <cfRule type="containsBlanks" dxfId="4399" priority="4680">
      <formula>LEN(TRIM(AG702))=0</formula>
    </cfRule>
    <cfRule type="expression" dxfId="4398" priority="4681">
      <formula>$HO702=FALSE</formula>
    </cfRule>
  </conditionalFormatting>
  <conditionalFormatting sqref="AG702">
    <cfRule type="expression" dxfId="4397" priority="4679" stopIfTrue="1">
      <formula>$G701=""</formula>
    </cfRule>
  </conditionalFormatting>
  <conditionalFormatting sqref="AF702:AK702">
    <cfRule type="expression" dxfId="4396" priority="4678">
      <formula>$C$43&gt;0</formula>
    </cfRule>
  </conditionalFormatting>
  <conditionalFormatting sqref="AM701:AN702">
    <cfRule type="expression" dxfId="4395" priority="4677">
      <formula>$G701=""</formula>
    </cfRule>
  </conditionalFormatting>
  <conditionalFormatting sqref="AM703:AN703">
    <cfRule type="expression" dxfId="4394" priority="4676" stopIfTrue="1">
      <formula>$G701=""</formula>
    </cfRule>
  </conditionalFormatting>
  <conditionalFormatting sqref="T703">
    <cfRule type="expression" dxfId="4393" priority="4698" stopIfTrue="1">
      <formula>$N704="BAM"</formula>
    </cfRule>
  </conditionalFormatting>
  <conditionalFormatting sqref="U703:AE703">
    <cfRule type="expression" dxfId="4392" priority="4675" stopIfTrue="1">
      <formula>$N704="BAM"</formula>
    </cfRule>
  </conditionalFormatting>
  <conditionalFormatting sqref="AG704:AL704">
    <cfRule type="expression" dxfId="4391" priority="4699" stopIfTrue="1">
      <formula>$N704="BAM"</formula>
    </cfRule>
  </conditionalFormatting>
  <conditionalFormatting sqref="AX707">
    <cfRule type="expression" dxfId="4390" priority="4665">
      <formula>$E707=""</formula>
    </cfRule>
  </conditionalFormatting>
  <conditionalFormatting sqref="AX706">
    <cfRule type="expression" dxfId="4389" priority="4664">
      <formula>$E706=""</formula>
    </cfRule>
  </conditionalFormatting>
  <conditionalFormatting sqref="AX708">
    <cfRule type="expression" dxfId="4388" priority="4663">
      <formula>#REF!=""</formula>
    </cfRule>
  </conditionalFormatting>
  <conditionalFormatting sqref="AX709">
    <cfRule type="expression" dxfId="4387" priority="4662">
      <formula>$E708=""</formula>
    </cfRule>
  </conditionalFormatting>
  <conditionalFormatting sqref="AY706:AZ709">
    <cfRule type="expression" dxfId="4386" priority="4661">
      <formula>$G706=""</formula>
    </cfRule>
  </conditionalFormatting>
  <conditionalFormatting sqref="G708">
    <cfRule type="expression" dxfId="4385" priority="4658" stopIfTrue="1">
      <formula>$G706=""</formula>
    </cfRule>
    <cfRule type="containsBlanks" dxfId="4384" priority="4659" stopIfTrue="1">
      <formula>LEN(TRIM(G708))=0</formula>
    </cfRule>
    <cfRule type="expression" dxfId="4383" priority="4660">
      <formula>OR($M708=0,$HH707=FALSE)</formula>
    </cfRule>
  </conditionalFormatting>
  <conditionalFormatting sqref="AO708">
    <cfRule type="expression" dxfId="4382" priority="4657" stopIfTrue="1">
      <formula>$G706=""</formula>
    </cfRule>
  </conditionalFormatting>
  <conditionalFormatting sqref="AU706:AU709">
    <cfRule type="expression" dxfId="4381" priority="4654" stopIfTrue="1">
      <formula>$C$43=2</formula>
    </cfRule>
    <cfRule type="cellIs" dxfId="4380" priority="4655" operator="equal">
      <formula>"Yes"</formula>
    </cfRule>
    <cfRule type="cellIs" dxfId="4379" priority="4656" operator="equal">
      <formula>"No"</formula>
    </cfRule>
  </conditionalFormatting>
  <conditionalFormatting sqref="AO706:AO707">
    <cfRule type="expression" dxfId="4378" priority="4653">
      <formula>$G706=""</formula>
    </cfRule>
  </conditionalFormatting>
  <conditionalFormatting sqref="AP706 AR706:AS709">
    <cfRule type="expression" dxfId="4377" priority="4652">
      <formula>$G706=""</formula>
    </cfRule>
  </conditionalFormatting>
  <conditionalFormatting sqref="AW706:AW709">
    <cfRule type="expression" dxfId="4376" priority="4651">
      <formula>$G706=""</formula>
    </cfRule>
  </conditionalFormatting>
  <conditionalFormatting sqref="G707:L707">
    <cfRule type="expression" dxfId="4375" priority="4649" stopIfTrue="1">
      <formula>$G706=""</formula>
    </cfRule>
    <cfRule type="containsBlanks" dxfId="4374" priority="4650">
      <formula>LEN(TRIM(G707))=0</formula>
    </cfRule>
  </conditionalFormatting>
  <conditionalFormatting sqref="R708">
    <cfRule type="expression" dxfId="4373" priority="4646">
      <formula>$N709="BAM"</formula>
    </cfRule>
    <cfRule type="expression" dxfId="4372" priority="4647" stopIfTrue="1">
      <formula>$G706=""</formula>
    </cfRule>
    <cfRule type="containsBlanks" dxfId="4371" priority="4648">
      <formula>LEN(TRIM(R708))=0</formula>
    </cfRule>
  </conditionalFormatting>
  <conditionalFormatting sqref="R708">
    <cfRule type="expression" dxfId="4370" priority="4645">
      <formula>$C$43=0</formula>
    </cfRule>
  </conditionalFormatting>
  <conditionalFormatting sqref="E709:F709">
    <cfRule type="expression" dxfId="4369" priority="4644">
      <formula>$CQ706="Exterior"</formula>
    </cfRule>
  </conditionalFormatting>
  <conditionalFormatting sqref="R707">
    <cfRule type="expression" dxfId="4368" priority="4641" stopIfTrue="1">
      <formula>$N709="BAM"</formula>
    </cfRule>
  </conditionalFormatting>
  <conditionalFormatting sqref="R707">
    <cfRule type="containsBlanks" dxfId="4367" priority="4642">
      <formula>LEN(TRIM(R707))=0</formula>
    </cfRule>
  </conditionalFormatting>
  <conditionalFormatting sqref="R707">
    <cfRule type="expression" dxfId="4366" priority="4640" stopIfTrue="1">
      <formula>$G706=""</formula>
    </cfRule>
    <cfRule type="expression" dxfId="4365" priority="4643">
      <formula>$HY707=FALSE</formula>
    </cfRule>
  </conditionalFormatting>
  <conditionalFormatting sqref="G709">
    <cfRule type="expression" dxfId="4364" priority="4634" stopIfTrue="1">
      <formula>$G706=""</formula>
    </cfRule>
  </conditionalFormatting>
  <conditionalFormatting sqref="G709">
    <cfRule type="expression" dxfId="4363" priority="4636" stopIfTrue="1">
      <formula>$CQ706="Exterior"</formula>
    </cfRule>
  </conditionalFormatting>
  <conditionalFormatting sqref="G709:L709">
    <cfRule type="expression" dxfId="4362" priority="4635" stopIfTrue="1">
      <formula>$N709="BAM"</formula>
    </cfRule>
    <cfRule type="containsBlanks" dxfId="4361" priority="4637" stopIfTrue="1">
      <formula>LEN(TRIM(G709))=0</formula>
    </cfRule>
    <cfRule type="expression" dxfId="4360" priority="4639">
      <formula>$HQ707=FALSE</formula>
    </cfRule>
  </conditionalFormatting>
  <conditionalFormatting sqref="G709:L709">
    <cfRule type="expression" dxfId="4359" priority="4638" stopIfTrue="1">
      <formula>$AG708=""</formula>
    </cfRule>
  </conditionalFormatting>
  <conditionalFormatting sqref="G708:L708">
    <cfRule type="expression" dxfId="4358" priority="4632" stopIfTrue="1">
      <formula>$N709="BAM"</formula>
    </cfRule>
  </conditionalFormatting>
  <conditionalFormatting sqref="G706:R706">
    <cfRule type="containsBlanks" dxfId="4357" priority="4631">
      <formula>LEN(TRIM(G706))=0</formula>
    </cfRule>
  </conditionalFormatting>
  <conditionalFormatting sqref="AF708">
    <cfRule type="expression" dxfId="4356" priority="4621" stopIfTrue="1">
      <formula>$G706=""</formula>
    </cfRule>
    <cfRule type="expression" dxfId="4355" priority="4622" stopIfTrue="1">
      <formula>$N709="BAM"</formula>
    </cfRule>
    <cfRule type="expression" dxfId="4354" priority="4630">
      <formula>$AF$49&gt;$T$49</formula>
    </cfRule>
  </conditionalFormatting>
  <conditionalFormatting sqref="AC709:AE709">
    <cfRule type="expression" dxfId="4353" priority="4627" stopIfTrue="1">
      <formula>$G706=""</formula>
    </cfRule>
  </conditionalFormatting>
  <conditionalFormatting sqref="T708:U708">
    <cfRule type="expression" dxfId="4352" priority="4594" stopIfTrue="1">
      <formula>$G706=""</formula>
    </cfRule>
  </conditionalFormatting>
  <conditionalFormatting sqref="T708:U708">
    <cfRule type="containsBlanks" dxfId="4351" priority="4624" stopIfTrue="1">
      <formula>LEN(TRIM(T708))=0</formula>
    </cfRule>
  </conditionalFormatting>
  <conditionalFormatting sqref="AC706:AE706">
    <cfRule type="expression" dxfId="4350" priority="4623">
      <formula>$G706=""</formula>
    </cfRule>
  </conditionalFormatting>
  <conditionalFormatting sqref="AF708 AG709">
    <cfRule type="containsBlanks" dxfId="4349" priority="4628" stopIfTrue="1">
      <formula>LEN(TRIM(AF708))=0</formula>
    </cfRule>
  </conditionalFormatting>
  <conditionalFormatting sqref="AF708">
    <cfRule type="expression" dxfId="4348" priority="4629">
      <formula>OR($HS707=FALSE,$HT707=FALSE)</formula>
    </cfRule>
  </conditionalFormatting>
  <conditionalFormatting sqref="AG709">
    <cfRule type="expression" dxfId="4347" priority="4587">
      <formula>$C$43&gt;0</formula>
    </cfRule>
  </conditionalFormatting>
  <conditionalFormatting sqref="AG709">
    <cfRule type="expression" dxfId="4346" priority="4620" stopIfTrue="1">
      <formula>$G706=""</formula>
    </cfRule>
  </conditionalFormatting>
  <conditionalFormatting sqref="U708">
    <cfRule type="expression" dxfId="4345" priority="4625">
      <formula>OR($HK707=FALSE,$HL707=FALSE)</formula>
    </cfRule>
  </conditionalFormatting>
  <conditionalFormatting sqref="T707:U707">
    <cfRule type="expression" dxfId="4344" priority="4615" stopIfTrue="1">
      <formula>$C$43&lt;&gt;0</formula>
    </cfRule>
    <cfRule type="containsBlanks" dxfId="4343" priority="4616" stopIfTrue="1">
      <formula>LEN(TRIM(T707))=0</formula>
    </cfRule>
  </conditionalFormatting>
  <conditionalFormatting sqref="T707:U707">
    <cfRule type="expression" dxfId="4342" priority="4614" stopIfTrue="1">
      <formula>$G706=""</formula>
    </cfRule>
  </conditionalFormatting>
  <conditionalFormatting sqref="U707">
    <cfRule type="expression" dxfId="4341" priority="4617">
      <formula>$HJ707=FALSE</formula>
    </cfRule>
  </conditionalFormatting>
  <conditionalFormatting sqref="AG708">
    <cfRule type="expression" dxfId="4340" priority="4605" stopIfTrue="1">
      <formula>$G706=""</formula>
    </cfRule>
  </conditionalFormatting>
  <conditionalFormatting sqref="AG708:AL708">
    <cfRule type="expression" dxfId="4339" priority="4606">
      <formula>$N709="BAM"</formula>
    </cfRule>
    <cfRule type="expression" dxfId="4338" priority="4610">
      <formula>OR($HU707=FALSE,$HQ707=FALSE)</formula>
    </cfRule>
  </conditionalFormatting>
  <conditionalFormatting sqref="AG708">
    <cfRule type="containsBlanks" dxfId="4337" priority="4607" stopIfTrue="1">
      <formula>LEN(TRIM(AG708))=0</formula>
    </cfRule>
    <cfRule type="expression" dxfId="4336" priority="4608">
      <formula>OR($HP707=FALSE,$HR707=FALSE)</formula>
    </cfRule>
    <cfRule type="expression" dxfId="4335" priority="4609">
      <formula>OR($DS706=7,$DS706=8,$DS706=9)</formula>
    </cfRule>
  </conditionalFormatting>
  <conditionalFormatting sqref="AG706:AL706">
    <cfRule type="expression" dxfId="4334" priority="4604">
      <formula>$C$43&lt;&gt;0</formula>
    </cfRule>
  </conditionalFormatting>
  <conditionalFormatting sqref="AF707">
    <cfRule type="containsBlanks" dxfId="4333" priority="4603">
      <formula>LEN(TRIM(AF707))=0</formula>
    </cfRule>
  </conditionalFormatting>
  <conditionalFormatting sqref="AF707">
    <cfRule type="expression" dxfId="4332" priority="4602" stopIfTrue="1">
      <formula>$G706=""</formula>
    </cfRule>
  </conditionalFormatting>
  <conditionalFormatting sqref="AG707">
    <cfRule type="containsBlanks" dxfId="4331" priority="4600">
      <formula>LEN(TRIM(AG707))=0</formula>
    </cfRule>
    <cfRule type="expression" dxfId="4330" priority="4601">
      <formula>$HO707=FALSE</formula>
    </cfRule>
  </conditionalFormatting>
  <conditionalFormatting sqref="AG707">
    <cfRule type="expression" dxfId="4329" priority="4599" stopIfTrue="1">
      <formula>$G706=""</formula>
    </cfRule>
  </conditionalFormatting>
  <conditionalFormatting sqref="AF707:AK707">
    <cfRule type="expression" dxfId="4328" priority="4598">
      <formula>$C$43&gt;0</formula>
    </cfRule>
  </conditionalFormatting>
  <conditionalFormatting sqref="AM706:AN707">
    <cfRule type="expression" dxfId="4327" priority="4597">
      <formula>$G706=""</formula>
    </cfRule>
  </conditionalFormatting>
  <conditionalFormatting sqref="AM708:AN708">
    <cfRule type="expression" dxfId="4326" priority="4596" stopIfTrue="1">
      <formula>$G706=""</formula>
    </cfRule>
  </conditionalFormatting>
  <conditionalFormatting sqref="T708">
    <cfRule type="expression" dxfId="4325" priority="4618" stopIfTrue="1">
      <formula>$N709="BAM"</formula>
    </cfRule>
  </conditionalFormatting>
  <conditionalFormatting sqref="U708:AE708">
    <cfRule type="expression" dxfId="4324" priority="4595" stopIfTrue="1">
      <formula>$N709="BAM"</formula>
    </cfRule>
  </conditionalFormatting>
  <conditionalFormatting sqref="AG709:AL709">
    <cfRule type="expression" dxfId="4323" priority="4619" stopIfTrue="1">
      <formula>$N709="BAM"</formula>
    </cfRule>
  </conditionalFormatting>
  <conditionalFormatting sqref="AX712">
    <cfRule type="expression" dxfId="4322" priority="4585">
      <formula>$E712=""</formula>
    </cfRule>
  </conditionalFormatting>
  <conditionalFormatting sqref="AX711">
    <cfRule type="expression" dxfId="4321" priority="4584">
      <formula>$E711=""</formula>
    </cfRule>
  </conditionalFormatting>
  <conditionalFormatting sqref="AX713">
    <cfRule type="expression" dxfId="4320" priority="4583">
      <formula>#REF!=""</formula>
    </cfRule>
  </conditionalFormatting>
  <conditionalFormatting sqref="AX714">
    <cfRule type="expression" dxfId="4319" priority="4582">
      <formula>$E713=""</formula>
    </cfRule>
  </conditionalFormatting>
  <conditionalFormatting sqref="AY711:AZ714">
    <cfRule type="expression" dxfId="4318" priority="4581">
      <formula>$G711=""</formula>
    </cfRule>
  </conditionalFormatting>
  <conditionalFormatting sqref="G713">
    <cfRule type="expression" dxfId="4317" priority="4578" stopIfTrue="1">
      <formula>$G711=""</formula>
    </cfRule>
    <cfRule type="containsBlanks" dxfId="4316" priority="4579" stopIfTrue="1">
      <formula>LEN(TRIM(G713))=0</formula>
    </cfRule>
    <cfRule type="expression" dxfId="4315" priority="4580">
      <formula>OR($M713=0,$HH712=FALSE)</formula>
    </cfRule>
  </conditionalFormatting>
  <conditionalFormatting sqref="AO713">
    <cfRule type="expression" dxfId="4314" priority="4577" stopIfTrue="1">
      <formula>$G711=""</formula>
    </cfRule>
  </conditionalFormatting>
  <conditionalFormatting sqref="AU711:AU714">
    <cfRule type="expression" dxfId="4313" priority="4574" stopIfTrue="1">
      <formula>$C$43=2</formula>
    </cfRule>
    <cfRule type="cellIs" dxfId="4312" priority="4575" operator="equal">
      <formula>"Yes"</formula>
    </cfRule>
    <cfRule type="cellIs" dxfId="4311" priority="4576" operator="equal">
      <formula>"No"</formula>
    </cfRule>
  </conditionalFormatting>
  <conditionalFormatting sqref="AO711:AO712">
    <cfRule type="expression" dxfId="4310" priority="4573">
      <formula>$G711=""</formula>
    </cfRule>
  </conditionalFormatting>
  <conditionalFormatting sqref="AP711 AR711:AS714">
    <cfRule type="expression" dxfId="4309" priority="4572">
      <formula>$G711=""</formula>
    </cfRule>
  </conditionalFormatting>
  <conditionalFormatting sqref="AW711:AW714">
    <cfRule type="expression" dxfId="4308" priority="4571">
      <formula>$G711=""</formula>
    </cfRule>
  </conditionalFormatting>
  <conditionalFormatting sqref="G712:L712">
    <cfRule type="expression" dxfId="4307" priority="4569" stopIfTrue="1">
      <formula>$G711=""</formula>
    </cfRule>
    <cfRule type="containsBlanks" dxfId="4306" priority="4570">
      <formula>LEN(TRIM(G712))=0</formula>
    </cfRule>
  </conditionalFormatting>
  <conditionalFormatting sqref="R713">
    <cfRule type="expression" dxfId="4305" priority="4566">
      <formula>$N714="BAM"</formula>
    </cfRule>
    <cfRule type="expression" dxfId="4304" priority="4567" stopIfTrue="1">
      <formula>$G711=""</formula>
    </cfRule>
    <cfRule type="containsBlanks" dxfId="4303" priority="4568">
      <formula>LEN(TRIM(R713))=0</formula>
    </cfRule>
  </conditionalFormatting>
  <conditionalFormatting sqref="R713">
    <cfRule type="expression" dxfId="4302" priority="4565">
      <formula>$C$43=0</formula>
    </cfRule>
  </conditionalFormatting>
  <conditionalFormatting sqref="E714:F714">
    <cfRule type="expression" dxfId="4301" priority="4564">
      <formula>$CQ711="Exterior"</formula>
    </cfRule>
  </conditionalFormatting>
  <conditionalFormatting sqref="R712">
    <cfRule type="expression" dxfId="4300" priority="4561" stopIfTrue="1">
      <formula>$N714="BAM"</formula>
    </cfRule>
  </conditionalFormatting>
  <conditionalFormatting sqref="R712">
    <cfRule type="containsBlanks" dxfId="4299" priority="4562">
      <formula>LEN(TRIM(R712))=0</formula>
    </cfRule>
  </conditionalFormatting>
  <conditionalFormatting sqref="R712">
    <cfRule type="expression" dxfId="4298" priority="4560" stopIfTrue="1">
      <formula>$G711=""</formula>
    </cfRule>
    <cfRule type="expression" dxfId="4297" priority="4563">
      <formula>$HY712=FALSE</formula>
    </cfRule>
  </conditionalFormatting>
  <conditionalFormatting sqref="G714">
    <cfRule type="expression" dxfId="4296" priority="4554" stopIfTrue="1">
      <formula>$G711=""</formula>
    </cfRule>
  </conditionalFormatting>
  <conditionalFormatting sqref="G714">
    <cfRule type="expression" dxfId="4295" priority="4556" stopIfTrue="1">
      <formula>$CQ711="Exterior"</formula>
    </cfRule>
  </conditionalFormatting>
  <conditionalFormatting sqref="G714:L714">
    <cfRule type="expression" dxfId="4294" priority="4555" stopIfTrue="1">
      <formula>$N714="BAM"</formula>
    </cfRule>
    <cfRule type="containsBlanks" dxfId="4293" priority="4557" stopIfTrue="1">
      <formula>LEN(TRIM(G714))=0</formula>
    </cfRule>
    <cfRule type="expression" dxfId="4292" priority="4559">
      <formula>$HQ712=FALSE</formula>
    </cfRule>
  </conditionalFormatting>
  <conditionalFormatting sqref="G714:L714">
    <cfRule type="expression" dxfId="4291" priority="4558" stopIfTrue="1">
      <formula>$AG713=""</formula>
    </cfRule>
  </conditionalFormatting>
  <conditionalFormatting sqref="G713:L713">
    <cfRule type="expression" dxfId="4290" priority="4552" stopIfTrue="1">
      <formula>$N714="BAM"</formula>
    </cfRule>
  </conditionalFormatting>
  <conditionalFormatting sqref="G711:R711">
    <cfRule type="containsBlanks" dxfId="4289" priority="4551">
      <formula>LEN(TRIM(G711))=0</formula>
    </cfRule>
  </conditionalFormatting>
  <conditionalFormatting sqref="AF713">
    <cfRule type="expression" dxfId="4288" priority="4541" stopIfTrue="1">
      <formula>$G711=""</formula>
    </cfRule>
    <cfRule type="expression" dxfId="4287" priority="4542" stopIfTrue="1">
      <formula>$N714="BAM"</formula>
    </cfRule>
    <cfRule type="expression" dxfId="4286" priority="4550">
      <formula>$AF$49&gt;$T$49</formula>
    </cfRule>
  </conditionalFormatting>
  <conditionalFormatting sqref="AC714:AE714">
    <cfRule type="expression" dxfId="4285" priority="4547" stopIfTrue="1">
      <formula>$G711=""</formula>
    </cfRule>
  </conditionalFormatting>
  <conditionalFormatting sqref="T713:U713">
    <cfRule type="expression" dxfId="4284" priority="4514" stopIfTrue="1">
      <formula>$G711=""</formula>
    </cfRule>
  </conditionalFormatting>
  <conditionalFormatting sqref="T713:U713">
    <cfRule type="containsBlanks" dxfId="4283" priority="4544" stopIfTrue="1">
      <formula>LEN(TRIM(T713))=0</formula>
    </cfRule>
  </conditionalFormatting>
  <conditionalFormatting sqref="AC711:AE711">
    <cfRule type="expression" dxfId="4282" priority="4543">
      <formula>$G711=""</formula>
    </cfRule>
  </conditionalFormatting>
  <conditionalFormatting sqref="AF713 AG714">
    <cfRule type="containsBlanks" dxfId="4281" priority="4548" stopIfTrue="1">
      <formula>LEN(TRIM(AF713))=0</formula>
    </cfRule>
  </conditionalFormatting>
  <conditionalFormatting sqref="AF713">
    <cfRule type="expression" dxfId="4280" priority="4549">
      <formula>OR($HS712=FALSE,$HT712=FALSE)</formula>
    </cfRule>
  </conditionalFormatting>
  <conditionalFormatting sqref="AG714">
    <cfRule type="expression" dxfId="4279" priority="4507">
      <formula>$C$43&gt;0</formula>
    </cfRule>
  </conditionalFormatting>
  <conditionalFormatting sqref="AG714">
    <cfRule type="expression" dxfId="4278" priority="4540" stopIfTrue="1">
      <formula>$G711=""</formula>
    </cfRule>
  </conditionalFormatting>
  <conditionalFormatting sqref="U713">
    <cfRule type="expression" dxfId="4277" priority="4545">
      <formula>OR($HK712=FALSE,$HL712=FALSE)</formula>
    </cfRule>
  </conditionalFormatting>
  <conditionalFormatting sqref="T712:U712">
    <cfRule type="expression" dxfId="4276" priority="4535" stopIfTrue="1">
      <formula>$C$43&lt;&gt;0</formula>
    </cfRule>
    <cfRule type="containsBlanks" dxfId="4275" priority="4536" stopIfTrue="1">
      <formula>LEN(TRIM(T712))=0</formula>
    </cfRule>
  </conditionalFormatting>
  <conditionalFormatting sqref="T712:U712">
    <cfRule type="expression" dxfId="4274" priority="4534" stopIfTrue="1">
      <formula>$G711=""</formula>
    </cfRule>
  </conditionalFormatting>
  <conditionalFormatting sqref="U712">
    <cfRule type="expression" dxfId="4273" priority="4537">
      <formula>$HJ712=FALSE</formula>
    </cfRule>
  </conditionalFormatting>
  <conditionalFormatting sqref="AG713">
    <cfRule type="expression" dxfId="4272" priority="4525" stopIfTrue="1">
      <formula>$G711=""</formula>
    </cfRule>
  </conditionalFormatting>
  <conditionalFormatting sqref="AG713:AL713">
    <cfRule type="expression" dxfId="4271" priority="4526">
      <formula>$N714="BAM"</formula>
    </cfRule>
    <cfRule type="expression" dxfId="4270" priority="4530">
      <formula>OR($HU712=FALSE,$HQ712=FALSE)</formula>
    </cfRule>
  </conditionalFormatting>
  <conditionalFormatting sqref="AG713">
    <cfRule type="containsBlanks" dxfId="4269" priority="4527" stopIfTrue="1">
      <formula>LEN(TRIM(AG713))=0</formula>
    </cfRule>
    <cfRule type="expression" dxfId="4268" priority="4528">
      <formula>OR($HP712=FALSE,$HR712=FALSE)</formula>
    </cfRule>
    <cfRule type="expression" dxfId="4267" priority="4529">
      <formula>OR($DS711=7,$DS711=8,$DS711=9)</formula>
    </cfRule>
  </conditionalFormatting>
  <conditionalFormatting sqref="AG711:AL711">
    <cfRule type="expression" dxfId="4266" priority="4524">
      <formula>$C$43&lt;&gt;0</formula>
    </cfRule>
  </conditionalFormatting>
  <conditionalFormatting sqref="AF712">
    <cfRule type="containsBlanks" dxfId="4265" priority="4523">
      <formula>LEN(TRIM(AF712))=0</formula>
    </cfRule>
  </conditionalFormatting>
  <conditionalFormatting sqref="AF712">
    <cfRule type="expression" dxfId="4264" priority="4522" stopIfTrue="1">
      <formula>$G711=""</formula>
    </cfRule>
  </conditionalFormatting>
  <conditionalFormatting sqref="AG712">
    <cfRule type="containsBlanks" dxfId="4263" priority="4520">
      <formula>LEN(TRIM(AG712))=0</formula>
    </cfRule>
    <cfRule type="expression" dxfId="4262" priority="4521">
      <formula>$HO712=FALSE</formula>
    </cfRule>
  </conditionalFormatting>
  <conditionalFormatting sqref="AG712">
    <cfRule type="expression" dxfId="4261" priority="4519" stopIfTrue="1">
      <formula>$G711=""</formula>
    </cfRule>
  </conditionalFormatting>
  <conditionalFormatting sqref="AF712:AK712">
    <cfRule type="expression" dxfId="4260" priority="4518">
      <formula>$C$43&gt;0</formula>
    </cfRule>
  </conditionalFormatting>
  <conditionalFormatting sqref="AM711:AN712">
    <cfRule type="expression" dxfId="4259" priority="4517">
      <formula>$G711=""</formula>
    </cfRule>
  </conditionalFormatting>
  <conditionalFormatting sqref="AM713:AN713">
    <cfRule type="expression" dxfId="4258" priority="4516" stopIfTrue="1">
      <formula>$G711=""</formula>
    </cfRule>
  </conditionalFormatting>
  <conditionalFormatting sqref="T713">
    <cfRule type="expression" dxfId="4257" priority="4538" stopIfTrue="1">
      <formula>$N714="BAM"</formula>
    </cfRule>
  </conditionalFormatting>
  <conditionalFormatting sqref="U713:AE713">
    <cfRule type="expression" dxfId="4256" priority="4515" stopIfTrue="1">
      <formula>$N714="BAM"</formula>
    </cfRule>
  </conditionalFormatting>
  <conditionalFormatting sqref="AG714:AL714">
    <cfRule type="expression" dxfId="4255" priority="4539" stopIfTrue="1">
      <formula>$N714="BAM"</formula>
    </cfRule>
  </conditionalFormatting>
  <conditionalFormatting sqref="AX720">
    <cfRule type="expression" dxfId="4254" priority="4505">
      <formula>$E720=""</formula>
    </cfRule>
  </conditionalFormatting>
  <conditionalFormatting sqref="AX719">
    <cfRule type="expression" dxfId="4253" priority="4504">
      <formula>$E719=""</formula>
    </cfRule>
  </conditionalFormatting>
  <conditionalFormatting sqref="AX721">
    <cfRule type="expression" dxfId="4252" priority="4503">
      <formula>#REF!=""</formula>
    </cfRule>
  </conditionalFormatting>
  <conditionalFormatting sqref="AX722">
    <cfRule type="expression" dxfId="4251" priority="4502">
      <formula>$E721=""</formula>
    </cfRule>
  </conditionalFormatting>
  <conditionalFormatting sqref="AY719:AZ722">
    <cfRule type="expression" dxfId="4250" priority="4501">
      <formula>$G719=""</formula>
    </cfRule>
  </conditionalFormatting>
  <conditionalFormatting sqref="G721">
    <cfRule type="expression" dxfId="4249" priority="4498" stopIfTrue="1">
      <formula>$G719=""</formula>
    </cfRule>
    <cfRule type="containsBlanks" dxfId="4248" priority="4499" stopIfTrue="1">
      <formula>LEN(TRIM(G721))=0</formula>
    </cfRule>
    <cfRule type="expression" dxfId="4247" priority="4500">
      <formula>OR($M721=0,$HH720=FALSE)</formula>
    </cfRule>
  </conditionalFormatting>
  <conditionalFormatting sqref="AO721">
    <cfRule type="expression" dxfId="4246" priority="4497" stopIfTrue="1">
      <formula>$G719=""</formula>
    </cfRule>
  </conditionalFormatting>
  <conditionalFormatting sqref="AU719:AU722">
    <cfRule type="expression" dxfId="4245" priority="4494" stopIfTrue="1">
      <formula>$C$43=2</formula>
    </cfRule>
    <cfRule type="cellIs" dxfId="4244" priority="4495" operator="equal">
      <formula>"Yes"</formula>
    </cfRule>
    <cfRule type="cellIs" dxfId="4243" priority="4496" operator="equal">
      <formula>"No"</formula>
    </cfRule>
  </conditionalFormatting>
  <conditionalFormatting sqref="AO719:AO720">
    <cfRule type="expression" dxfId="4242" priority="4493">
      <formula>$G719=""</formula>
    </cfRule>
  </conditionalFormatting>
  <conditionalFormatting sqref="AP719 AR719:AS722">
    <cfRule type="expression" dxfId="4241" priority="4492">
      <formula>$G719=""</formula>
    </cfRule>
  </conditionalFormatting>
  <conditionalFormatting sqref="AW719:AW722">
    <cfRule type="expression" dxfId="4240" priority="4491">
      <formula>$G719=""</formula>
    </cfRule>
  </conditionalFormatting>
  <conditionalFormatting sqref="G720:L720">
    <cfRule type="expression" dxfId="4239" priority="4489" stopIfTrue="1">
      <formula>$G719=""</formula>
    </cfRule>
    <cfRule type="containsBlanks" dxfId="4238" priority="4490">
      <formula>LEN(TRIM(G720))=0</formula>
    </cfRule>
  </conditionalFormatting>
  <conditionalFormatting sqref="R721">
    <cfRule type="expression" dxfId="4237" priority="4486">
      <formula>$N722="BAM"</formula>
    </cfRule>
    <cfRule type="expression" dxfId="4236" priority="4487" stopIfTrue="1">
      <formula>$G719=""</formula>
    </cfRule>
    <cfRule type="containsBlanks" dxfId="4235" priority="4488">
      <formula>LEN(TRIM(R721))=0</formula>
    </cfRule>
  </conditionalFormatting>
  <conditionalFormatting sqref="R721">
    <cfRule type="expression" dxfId="4234" priority="4485">
      <formula>$C$43=0</formula>
    </cfRule>
  </conditionalFormatting>
  <conditionalFormatting sqref="E722:F722">
    <cfRule type="expression" dxfId="4233" priority="4484">
      <formula>$CQ719="Exterior"</formula>
    </cfRule>
  </conditionalFormatting>
  <conditionalFormatting sqref="R720">
    <cfRule type="expression" dxfId="4232" priority="4481" stopIfTrue="1">
      <formula>$N722="BAM"</formula>
    </cfRule>
  </conditionalFormatting>
  <conditionalFormatting sqref="R720">
    <cfRule type="containsBlanks" dxfId="4231" priority="4482">
      <formula>LEN(TRIM(R720))=0</formula>
    </cfRule>
  </conditionalFormatting>
  <conditionalFormatting sqref="R720">
    <cfRule type="expression" dxfId="4230" priority="4480" stopIfTrue="1">
      <formula>$G719=""</formula>
    </cfRule>
    <cfRule type="expression" dxfId="4229" priority="4483">
      <formula>$HY720=FALSE</formula>
    </cfRule>
  </conditionalFormatting>
  <conditionalFormatting sqref="G722">
    <cfRule type="expression" dxfId="4228" priority="4474" stopIfTrue="1">
      <formula>$G719=""</formula>
    </cfRule>
  </conditionalFormatting>
  <conditionalFormatting sqref="G722">
    <cfRule type="expression" dxfId="4227" priority="4476" stopIfTrue="1">
      <formula>$CQ719="Exterior"</formula>
    </cfRule>
  </conditionalFormatting>
  <conditionalFormatting sqref="G722:L722">
    <cfRule type="expression" dxfId="4226" priority="4475" stopIfTrue="1">
      <formula>$N722="BAM"</formula>
    </cfRule>
    <cfRule type="containsBlanks" dxfId="4225" priority="4477" stopIfTrue="1">
      <formula>LEN(TRIM(G722))=0</formula>
    </cfRule>
    <cfRule type="expression" dxfId="4224" priority="4479">
      <formula>$HQ720=FALSE</formula>
    </cfRule>
  </conditionalFormatting>
  <conditionalFormatting sqref="G722:L722">
    <cfRule type="expression" dxfId="4223" priority="4478" stopIfTrue="1">
      <formula>$AG721=""</formula>
    </cfRule>
  </conditionalFormatting>
  <conditionalFormatting sqref="G721:L721">
    <cfRule type="expression" dxfId="4222" priority="4472" stopIfTrue="1">
      <formula>$N722="BAM"</formula>
    </cfRule>
  </conditionalFormatting>
  <conditionalFormatting sqref="G719:R719">
    <cfRule type="containsBlanks" dxfId="4221" priority="4471">
      <formula>LEN(TRIM(G719))=0</formula>
    </cfRule>
  </conditionalFormatting>
  <conditionalFormatting sqref="AF721">
    <cfRule type="expression" dxfId="4220" priority="4461" stopIfTrue="1">
      <formula>$G719=""</formula>
    </cfRule>
    <cfRule type="expression" dxfId="4219" priority="4462" stopIfTrue="1">
      <formula>$N722="BAM"</formula>
    </cfRule>
    <cfRule type="expression" dxfId="4218" priority="4470">
      <formula>$AF$49&gt;$T$49</formula>
    </cfRule>
  </conditionalFormatting>
  <conditionalFormatting sqref="AC722:AE722">
    <cfRule type="expression" dxfId="4217" priority="4467" stopIfTrue="1">
      <formula>$G719=""</formula>
    </cfRule>
  </conditionalFormatting>
  <conditionalFormatting sqref="T721:U721">
    <cfRule type="expression" dxfId="4216" priority="4434" stopIfTrue="1">
      <formula>$G719=""</formula>
    </cfRule>
  </conditionalFormatting>
  <conditionalFormatting sqref="T721:U721">
    <cfRule type="containsBlanks" dxfId="4215" priority="4464" stopIfTrue="1">
      <formula>LEN(TRIM(T721))=0</formula>
    </cfRule>
  </conditionalFormatting>
  <conditionalFormatting sqref="AC719:AE719">
    <cfRule type="expression" dxfId="4214" priority="4463">
      <formula>$G719=""</formula>
    </cfRule>
  </conditionalFormatting>
  <conditionalFormatting sqref="AF721 AG722">
    <cfRule type="containsBlanks" dxfId="4213" priority="4468" stopIfTrue="1">
      <formula>LEN(TRIM(AF721))=0</formula>
    </cfRule>
  </conditionalFormatting>
  <conditionalFormatting sqref="AF721">
    <cfRule type="expression" dxfId="4212" priority="4469">
      <formula>OR($HS720=FALSE,$HT720=FALSE)</formula>
    </cfRule>
  </conditionalFormatting>
  <conditionalFormatting sqref="AG722">
    <cfRule type="expression" dxfId="4211" priority="4427">
      <formula>$C$43&gt;0</formula>
    </cfRule>
  </conditionalFormatting>
  <conditionalFormatting sqref="AG722">
    <cfRule type="expression" dxfId="4210" priority="4460" stopIfTrue="1">
      <formula>$G719=""</formula>
    </cfRule>
  </conditionalFormatting>
  <conditionalFormatting sqref="U721">
    <cfRule type="expression" dxfId="4209" priority="4465">
      <formula>OR($HK720=FALSE,$HL720=FALSE)</formula>
    </cfRule>
  </conditionalFormatting>
  <conditionalFormatting sqref="T720:U720">
    <cfRule type="expression" dxfId="4208" priority="4455" stopIfTrue="1">
      <formula>$C$43&lt;&gt;0</formula>
    </cfRule>
    <cfRule type="containsBlanks" dxfId="4207" priority="4456" stopIfTrue="1">
      <formula>LEN(TRIM(T720))=0</formula>
    </cfRule>
  </conditionalFormatting>
  <conditionalFormatting sqref="T720:U720">
    <cfRule type="expression" dxfId="4206" priority="4454" stopIfTrue="1">
      <formula>$G719=""</formula>
    </cfRule>
  </conditionalFormatting>
  <conditionalFormatting sqref="U720">
    <cfRule type="expression" dxfId="4205" priority="4457">
      <formula>$HJ720=FALSE</formula>
    </cfRule>
  </conditionalFormatting>
  <conditionalFormatting sqref="AG721">
    <cfRule type="expression" dxfId="4204" priority="4445" stopIfTrue="1">
      <formula>$G719=""</formula>
    </cfRule>
  </conditionalFormatting>
  <conditionalFormatting sqref="AG721:AL721">
    <cfRule type="expression" dxfId="4203" priority="4446">
      <formula>$N722="BAM"</formula>
    </cfRule>
    <cfRule type="expression" dxfId="4202" priority="4450">
      <formula>OR($HU720=FALSE,$HQ720=FALSE)</formula>
    </cfRule>
  </conditionalFormatting>
  <conditionalFormatting sqref="AG721">
    <cfRule type="containsBlanks" dxfId="4201" priority="4447" stopIfTrue="1">
      <formula>LEN(TRIM(AG721))=0</formula>
    </cfRule>
    <cfRule type="expression" dxfId="4200" priority="4448">
      <formula>OR($HP720=FALSE,$HR720=FALSE)</formula>
    </cfRule>
    <cfRule type="expression" dxfId="4199" priority="4449">
      <formula>OR($DS719=7,$DS719=8,$DS719=9)</formula>
    </cfRule>
  </conditionalFormatting>
  <conditionalFormatting sqref="AG719:AL719">
    <cfRule type="expression" dxfId="4198" priority="4444">
      <formula>$C$43&lt;&gt;0</formula>
    </cfRule>
  </conditionalFormatting>
  <conditionalFormatting sqref="AF720">
    <cfRule type="containsBlanks" dxfId="4197" priority="4443">
      <formula>LEN(TRIM(AF720))=0</formula>
    </cfRule>
  </conditionalFormatting>
  <conditionalFormatting sqref="AF720">
    <cfRule type="expression" dxfId="4196" priority="4442" stopIfTrue="1">
      <formula>$G719=""</formula>
    </cfRule>
  </conditionalFormatting>
  <conditionalFormatting sqref="AG720">
    <cfRule type="containsBlanks" dxfId="4195" priority="4440">
      <formula>LEN(TRIM(AG720))=0</formula>
    </cfRule>
    <cfRule type="expression" dxfId="4194" priority="4441">
      <formula>$HO720=FALSE</formula>
    </cfRule>
  </conditionalFormatting>
  <conditionalFormatting sqref="AG720">
    <cfRule type="expression" dxfId="4193" priority="4439" stopIfTrue="1">
      <formula>$G719=""</formula>
    </cfRule>
  </conditionalFormatting>
  <conditionalFormatting sqref="AF720:AK720">
    <cfRule type="expression" dxfId="4192" priority="4438">
      <formula>$C$43&gt;0</formula>
    </cfRule>
  </conditionalFormatting>
  <conditionalFormatting sqref="AM719:AN720">
    <cfRule type="expression" dxfId="4191" priority="4437">
      <formula>$G719=""</formula>
    </cfRule>
  </conditionalFormatting>
  <conditionalFormatting sqref="AM721:AN721">
    <cfRule type="expression" dxfId="4190" priority="4436" stopIfTrue="1">
      <formula>$G719=""</formula>
    </cfRule>
  </conditionalFormatting>
  <conditionalFormatting sqref="T721">
    <cfRule type="expression" dxfId="4189" priority="4458" stopIfTrue="1">
      <formula>$N722="BAM"</formula>
    </cfRule>
  </conditionalFormatting>
  <conditionalFormatting sqref="U721:AE721">
    <cfRule type="expression" dxfId="4188" priority="4435" stopIfTrue="1">
      <formula>$N722="BAM"</formula>
    </cfRule>
  </conditionalFormatting>
  <conditionalFormatting sqref="AG722:AL722">
    <cfRule type="expression" dxfId="4187" priority="4459" stopIfTrue="1">
      <formula>$N722="BAM"</formula>
    </cfRule>
  </conditionalFormatting>
  <conditionalFormatting sqref="AX725">
    <cfRule type="expression" dxfId="4186" priority="4425">
      <formula>$E725=""</formula>
    </cfRule>
  </conditionalFormatting>
  <conditionalFormatting sqref="AX724">
    <cfRule type="expression" dxfId="4185" priority="4424">
      <formula>$E724=""</formula>
    </cfRule>
  </conditionalFormatting>
  <conditionalFormatting sqref="AX726">
    <cfRule type="expression" dxfId="4184" priority="4423">
      <formula>#REF!=""</formula>
    </cfRule>
  </conditionalFormatting>
  <conditionalFormatting sqref="AX727">
    <cfRule type="expression" dxfId="4183" priority="4422">
      <formula>$E726=""</formula>
    </cfRule>
  </conditionalFormatting>
  <conditionalFormatting sqref="AY724:AZ727">
    <cfRule type="expression" dxfId="4182" priority="4421">
      <formula>$G724=""</formula>
    </cfRule>
  </conditionalFormatting>
  <conditionalFormatting sqref="G726">
    <cfRule type="expression" dxfId="4181" priority="4418" stopIfTrue="1">
      <formula>$G724=""</formula>
    </cfRule>
    <cfRule type="containsBlanks" dxfId="4180" priority="4419" stopIfTrue="1">
      <formula>LEN(TRIM(G726))=0</formula>
    </cfRule>
    <cfRule type="expression" dxfId="4179" priority="4420">
      <formula>OR($M726=0,$HH725=FALSE)</formula>
    </cfRule>
  </conditionalFormatting>
  <conditionalFormatting sqref="AO726">
    <cfRule type="expression" dxfId="4178" priority="4417" stopIfTrue="1">
      <formula>$G724=""</formula>
    </cfRule>
  </conditionalFormatting>
  <conditionalFormatting sqref="AU724:AU727">
    <cfRule type="expression" dxfId="4177" priority="4414" stopIfTrue="1">
      <formula>$C$43=2</formula>
    </cfRule>
    <cfRule type="cellIs" dxfId="4176" priority="4415" operator="equal">
      <formula>"Yes"</formula>
    </cfRule>
    <cfRule type="cellIs" dxfId="4175" priority="4416" operator="equal">
      <formula>"No"</formula>
    </cfRule>
  </conditionalFormatting>
  <conditionalFormatting sqref="AO724:AO725">
    <cfRule type="expression" dxfId="4174" priority="4413">
      <formula>$G724=""</formula>
    </cfRule>
  </conditionalFormatting>
  <conditionalFormatting sqref="AP724 AR724:AS727">
    <cfRule type="expression" dxfId="4173" priority="4412">
      <formula>$G724=""</formula>
    </cfRule>
  </conditionalFormatting>
  <conditionalFormatting sqref="AW724:AW727">
    <cfRule type="expression" dxfId="4172" priority="4411">
      <formula>$G724=""</formula>
    </cfRule>
  </conditionalFormatting>
  <conditionalFormatting sqref="G725:L725">
    <cfRule type="expression" dxfId="4171" priority="4409" stopIfTrue="1">
      <formula>$G724=""</formula>
    </cfRule>
    <cfRule type="containsBlanks" dxfId="4170" priority="4410">
      <formula>LEN(TRIM(G725))=0</formula>
    </cfRule>
  </conditionalFormatting>
  <conditionalFormatting sqref="R726">
    <cfRule type="expression" dxfId="4169" priority="4406">
      <formula>$N727="BAM"</formula>
    </cfRule>
    <cfRule type="expression" dxfId="4168" priority="4407" stopIfTrue="1">
      <formula>$G724=""</formula>
    </cfRule>
    <cfRule type="containsBlanks" dxfId="4167" priority="4408">
      <formula>LEN(TRIM(R726))=0</formula>
    </cfRule>
  </conditionalFormatting>
  <conditionalFormatting sqref="R726">
    <cfRule type="expression" dxfId="4166" priority="4405">
      <formula>$C$43=0</formula>
    </cfRule>
  </conditionalFormatting>
  <conditionalFormatting sqref="E727:F727">
    <cfRule type="expression" dxfId="4165" priority="4404">
      <formula>$CQ724="Exterior"</formula>
    </cfRule>
  </conditionalFormatting>
  <conditionalFormatting sqref="R725">
    <cfRule type="expression" dxfId="4164" priority="4401" stopIfTrue="1">
      <formula>$N727="BAM"</formula>
    </cfRule>
  </conditionalFormatting>
  <conditionalFormatting sqref="R725">
    <cfRule type="containsBlanks" dxfId="4163" priority="4402">
      <formula>LEN(TRIM(R725))=0</formula>
    </cfRule>
  </conditionalFormatting>
  <conditionalFormatting sqref="R725">
    <cfRule type="expression" dxfId="4162" priority="4400" stopIfTrue="1">
      <formula>$G724=""</formula>
    </cfRule>
    <cfRule type="expression" dxfId="4161" priority="4403">
      <formula>$HY725=FALSE</formula>
    </cfRule>
  </conditionalFormatting>
  <conditionalFormatting sqref="G727">
    <cfRule type="expression" dxfId="4160" priority="4394" stopIfTrue="1">
      <formula>$G724=""</formula>
    </cfRule>
  </conditionalFormatting>
  <conditionalFormatting sqref="G727">
    <cfRule type="expression" dxfId="4159" priority="4396" stopIfTrue="1">
      <formula>$CQ724="Exterior"</formula>
    </cfRule>
  </conditionalFormatting>
  <conditionalFormatting sqref="G727:L727">
    <cfRule type="expression" dxfId="4158" priority="4395" stopIfTrue="1">
      <formula>$N727="BAM"</formula>
    </cfRule>
    <cfRule type="containsBlanks" dxfId="4157" priority="4397" stopIfTrue="1">
      <formula>LEN(TRIM(G727))=0</formula>
    </cfRule>
    <cfRule type="expression" dxfId="4156" priority="4399">
      <formula>$HQ725=FALSE</formula>
    </cfRule>
  </conditionalFormatting>
  <conditionalFormatting sqref="G727:L727">
    <cfRule type="expression" dxfId="4155" priority="4398" stopIfTrue="1">
      <formula>$AG726=""</formula>
    </cfRule>
  </conditionalFormatting>
  <conditionalFormatting sqref="G726:L726">
    <cfRule type="expression" dxfId="4154" priority="4392" stopIfTrue="1">
      <formula>$N727="BAM"</formula>
    </cfRule>
  </conditionalFormatting>
  <conditionalFormatting sqref="G724:R724">
    <cfRule type="containsBlanks" dxfId="4153" priority="4391">
      <formula>LEN(TRIM(G724))=0</formula>
    </cfRule>
  </conditionalFormatting>
  <conditionalFormatting sqref="AF726">
    <cfRule type="expression" dxfId="4152" priority="4381" stopIfTrue="1">
      <formula>$G724=""</formula>
    </cfRule>
    <cfRule type="expression" dxfId="4151" priority="4382" stopIfTrue="1">
      <formula>$N727="BAM"</formula>
    </cfRule>
    <cfRule type="expression" dxfId="4150" priority="4390">
      <formula>$AF$49&gt;$T$49</formula>
    </cfRule>
  </conditionalFormatting>
  <conditionalFormatting sqref="AC727:AE727">
    <cfRule type="expression" dxfId="4149" priority="4387" stopIfTrue="1">
      <formula>$G724=""</formula>
    </cfRule>
  </conditionalFormatting>
  <conditionalFormatting sqref="T726:U726">
    <cfRule type="expression" dxfId="4148" priority="4354" stopIfTrue="1">
      <formula>$G724=""</formula>
    </cfRule>
  </conditionalFormatting>
  <conditionalFormatting sqref="T726:U726">
    <cfRule type="containsBlanks" dxfId="4147" priority="4384" stopIfTrue="1">
      <formula>LEN(TRIM(T726))=0</formula>
    </cfRule>
  </conditionalFormatting>
  <conditionalFormatting sqref="AC724:AE724">
    <cfRule type="expression" dxfId="4146" priority="4383">
      <formula>$G724=""</formula>
    </cfRule>
  </conditionalFormatting>
  <conditionalFormatting sqref="AF726 AG727">
    <cfRule type="containsBlanks" dxfId="4145" priority="4388" stopIfTrue="1">
      <formula>LEN(TRIM(AF726))=0</formula>
    </cfRule>
  </conditionalFormatting>
  <conditionalFormatting sqref="AF726">
    <cfRule type="expression" dxfId="4144" priority="4389">
      <formula>OR($HS725=FALSE,$HT725=FALSE)</formula>
    </cfRule>
  </conditionalFormatting>
  <conditionalFormatting sqref="AG727">
    <cfRule type="expression" dxfId="4143" priority="4347">
      <formula>$C$43&gt;0</formula>
    </cfRule>
  </conditionalFormatting>
  <conditionalFormatting sqref="AG727">
    <cfRule type="expression" dxfId="4142" priority="4380" stopIfTrue="1">
      <formula>$G724=""</formula>
    </cfRule>
  </conditionalFormatting>
  <conditionalFormatting sqref="U726">
    <cfRule type="expression" dxfId="4141" priority="4385">
      <formula>OR($HK725=FALSE,$HL725=FALSE)</formula>
    </cfRule>
  </conditionalFormatting>
  <conditionalFormatting sqref="T725:U725">
    <cfRule type="expression" dxfId="4140" priority="4375" stopIfTrue="1">
      <formula>$C$43&lt;&gt;0</formula>
    </cfRule>
    <cfRule type="containsBlanks" dxfId="4139" priority="4376" stopIfTrue="1">
      <formula>LEN(TRIM(T725))=0</formula>
    </cfRule>
  </conditionalFormatting>
  <conditionalFormatting sqref="T725:U725">
    <cfRule type="expression" dxfId="4138" priority="4374" stopIfTrue="1">
      <formula>$G724=""</formula>
    </cfRule>
  </conditionalFormatting>
  <conditionalFormatting sqref="U725">
    <cfRule type="expression" dxfId="4137" priority="4377">
      <formula>$HJ725=FALSE</formula>
    </cfRule>
  </conditionalFormatting>
  <conditionalFormatting sqref="AG726">
    <cfRule type="expression" dxfId="4136" priority="4365" stopIfTrue="1">
      <formula>$G724=""</formula>
    </cfRule>
  </conditionalFormatting>
  <conditionalFormatting sqref="AG726:AL726">
    <cfRule type="expression" dxfId="4135" priority="4366">
      <formula>$N727="BAM"</formula>
    </cfRule>
    <cfRule type="expression" dxfId="4134" priority="4370">
      <formula>OR($HU725=FALSE,$HQ725=FALSE)</formula>
    </cfRule>
  </conditionalFormatting>
  <conditionalFormatting sqref="AG726">
    <cfRule type="containsBlanks" dxfId="4133" priority="4367" stopIfTrue="1">
      <formula>LEN(TRIM(AG726))=0</formula>
    </cfRule>
    <cfRule type="expression" dxfId="4132" priority="4368">
      <formula>OR($HP725=FALSE,$HR725=FALSE)</formula>
    </cfRule>
    <cfRule type="expression" dxfId="4131" priority="4369">
      <formula>OR($DS724=7,$DS724=8,$DS724=9)</formula>
    </cfRule>
  </conditionalFormatting>
  <conditionalFormatting sqref="AG724:AL724">
    <cfRule type="expression" dxfId="4130" priority="4364">
      <formula>$C$43&lt;&gt;0</formula>
    </cfRule>
  </conditionalFormatting>
  <conditionalFormatting sqref="AF725">
    <cfRule type="containsBlanks" dxfId="4129" priority="4363">
      <formula>LEN(TRIM(AF725))=0</formula>
    </cfRule>
  </conditionalFormatting>
  <conditionalFormatting sqref="AF725">
    <cfRule type="expression" dxfId="4128" priority="4362" stopIfTrue="1">
      <formula>$G724=""</formula>
    </cfRule>
  </conditionalFormatting>
  <conditionalFormatting sqref="AG725">
    <cfRule type="containsBlanks" dxfId="4127" priority="4360">
      <formula>LEN(TRIM(AG725))=0</formula>
    </cfRule>
    <cfRule type="expression" dxfId="4126" priority="4361">
      <formula>$HO725=FALSE</formula>
    </cfRule>
  </conditionalFormatting>
  <conditionalFormatting sqref="AG725">
    <cfRule type="expression" dxfId="4125" priority="4359" stopIfTrue="1">
      <formula>$G724=""</formula>
    </cfRule>
  </conditionalFormatting>
  <conditionalFormatting sqref="AF725:AK725">
    <cfRule type="expression" dxfId="4124" priority="4358">
      <formula>$C$43&gt;0</formula>
    </cfRule>
  </conditionalFormatting>
  <conditionalFormatting sqref="AM724:AN725">
    <cfRule type="expression" dxfId="4123" priority="4357">
      <formula>$G724=""</formula>
    </cfRule>
  </conditionalFormatting>
  <conditionalFormatting sqref="AM726:AN726">
    <cfRule type="expression" dxfId="4122" priority="4356" stopIfTrue="1">
      <formula>$G724=""</formula>
    </cfRule>
  </conditionalFormatting>
  <conditionalFormatting sqref="T726">
    <cfRule type="expression" dxfId="4121" priority="4378" stopIfTrue="1">
      <formula>$N727="BAM"</formula>
    </cfRule>
  </conditionalFormatting>
  <conditionalFormatting sqref="U726:AE726">
    <cfRule type="expression" dxfId="4120" priority="4355" stopIfTrue="1">
      <formula>$N727="BAM"</formula>
    </cfRule>
  </conditionalFormatting>
  <conditionalFormatting sqref="AG727:AL727">
    <cfRule type="expression" dxfId="4119" priority="4379" stopIfTrue="1">
      <formula>$N727="BAM"</formula>
    </cfRule>
  </conditionalFormatting>
  <conditionalFormatting sqref="AX730">
    <cfRule type="expression" dxfId="4118" priority="4345">
      <formula>$E730=""</formula>
    </cfRule>
  </conditionalFormatting>
  <conditionalFormatting sqref="AX729">
    <cfRule type="expression" dxfId="4117" priority="4344">
      <formula>$E729=""</formula>
    </cfRule>
  </conditionalFormatting>
  <conditionalFormatting sqref="AX731">
    <cfRule type="expression" dxfId="4116" priority="4343">
      <formula>#REF!=""</formula>
    </cfRule>
  </conditionalFormatting>
  <conditionalFormatting sqref="AX732">
    <cfRule type="expression" dxfId="4115" priority="4342">
      <formula>$E731=""</formula>
    </cfRule>
  </conditionalFormatting>
  <conditionalFormatting sqref="AY729:AZ732">
    <cfRule type="expression" dxfId="4114" priority="4341">
      <formula>$G729=""</formula>
    </cfRule>
  </conditionalFormatting>
  <conditionalFormatting sqref="G731">
    <cfRule type="expression" dxfId="4113" priority="4338" stopIfTrue="1">
      <formula>$G729=""</formula>
    </cfRule>
    <cfRule type="containsBlanks" dxfId="4112" priority="4339" stopIfTrue="1">
      <formula>LEN(TRIM(G731))=0</formula>
    </cfRule>
    <cfRule type="expression" dxfId="4111" priority="4340">
      <formula>OR($M731=0,$HH730=FALSE)</formula>
    </cfRule>
  </conditionalFormatting>
  <conditionalFormatting sqref="AO731">
    <cfRule type="expression" dxfId="4110" priority="4337" stopIfTrue="1">
      <formula>$G729=""</formula>
    </cfRule>
  </conditionalFormatting>
  <conditionalFormatting sqref="AU729:AU732">
    <cfRule type="expression" dxfId="4109" priority="4334" stopIfTrue="1">
      <formula>$C$43=2</formula>
    </cfRule>
    <cfRule type="cellIs" dxfId="4108" priority="4335" operator="equal">
      <formula>"Yes"</formula>
    </cfRule>
    <cfRule type="cellIs" dxfId="4107" priority="4336" operator="equal">
      <formula>"No"</formula>
    </cfRule>
  </conditionalFormatting>
  <conditionalFormatting sqref="AO729:AO730">
    <cfRule type="expression" dxfId="4106" priority="4333">
      <formula>$G729=""</formula>
    </cfRule>
  </conditionalFormatting>
  <conditionalFormatting sqref="AP729 AR729:AS732">
    <cfRule type="expression" dxfId="4105" priority="4332">
      <formula>$G729=""</formula>
    </cfRule>
  </conditionalFormatting>
  <conditionalFormatting sqref="AW729:AW732">
    <cfRule type="expression" dxfId="4104" priority="4331">
      <formula>$G729=""</formula>
    </cfRule>
  </conditionalFormatting>
  <conditionalFormatting sqref="G730:L730">
    <cfRule type="expression" dxfId="4103" priority="4329" stopIfTrue="1">
      <formula>$G729=""</formula>
    </cfRule>
    <cfRule type="containsBlanks" dxfId="4102" priority="4330">
      <formula>LEN(TRIM(G730))=0</formula>
    </cfRule>
  </conditionalFormatting>
  <conditionalFormatting sqref="R731">
    <cfRule type="expression" dxfId="4101" priority="4326">
      <formula>$N732="BAM"</formula>
    </cfRule>
    <cfRule type="expression" dxfId="4100" priority="4327" stopIfTrue="1">
      <formula>$G729=""</formula>
    </cfRule>
    <cfRule type="containsBlanks" dxfId="4099" priority="4328">
      <formula>LEN(TRIM(R731))=0</formula>
    </cfRule>
  </conditionalFormatting>
  <conditionalFormatting sqref="R731">
    <cfRule type="expression" dxfId="4098" priority="4325">
      <formula>$C$43=0</formula>
    </cfRule>
  </conditionalFormatting>
  <conditionalFormatting sqref="E732:F732">
    <cfRule type="expression" dxfId="4097" priority="4324">
      <formula>$CQ729="Exterior"</formula>
    </cfRule>
  </conditionalFormatting>
  <conditionalFormatting sqref="R730">
    <cfRule type="expression" dxfId="4096" priority="4321" stopIfTrue="1">
      <formula>$N732="BAM"</formula>
    </cfRule>
  </conditionalFormatting>
  <conditionalFormatting sqref="R730">
    <cfRule type="containsBlanks" dxfId="4095" priority="4322">
      <formula>LEN(TRIM(R730))=0</formula>
    </cfRule>
  </conditionalFormatting>
  <conditionalFormatting sqref="R730">
    <cfRule type="expression" dxfId="4094" priority="4320" stopIfTrue="1">
      <formula>$G729=""</formula>
    </cfRule>
    <cfRule type="expression" dxfId="4093" priority="4323">
      <formula>$HY730=FALSE</formula>
    </cfRule>
  </conditionalFormatting>
  <conditionalFormatting sqref="G732">
    <cfRule type="expression" dxfId="4092" priority="4314" stopIfTrue="1">
      <formula>$G729=""</formula>
    </cfRule>
  </conditionalFormatting>
  <conditionalFormatting sqref="G732">
    <cfRule type="expression" dxfId="4091" priority="4316" stopIfTrue="1">
      <formula>$CQ729="Exterior"</formula>
    </cfRule>
  </conditionalFormatting>
  <conditionalFormatting sqref="G732:L732">
    <cfRule type="expression" dxfId="4090" priority="4315" stopIfTrue="1">
      <formula>$N732="BAM"</formula>
    </cfRule>
    <cfRule type="containsBlanks" dxfId="4089" priority="4317" stopIfTrue="1">
      <formula>LEN(TRIM(G732))=0</formula>
    </cfRule>
    <cfRule type="expression" dxfId="4088" priority="4319">
      <formula>$HQ730=FALSE</formula>
    </cfRule>
  </conditionalFormatting>
  <conditionalFormatting sqref="G732:L732">
    <cfRule type="expression" dxfId="4087" priority="4318" stopIfTrue="1">
      <formula>$AG731=""</formula>
    </cfRule>
  </conditionalFormatting>
  <conditionalFormatting sqref="G731:L731">
    <cfRule type="expression" dxfId="4086" priority="4312" stopIfTrue="1">
      <formula>$N732="BAM"</formula>
    </cfRule>
  </conditionalFormatting>
  <conditionalFormatting sqref="G729:R729">
    <cfRule type="containsBlanks" dxfId="4085" priority="4311">
      <formula>LEN(TRIM(G729))=0</formula>
    </cfRule>
  </conditionalFormatting>
  <conditionalFormatting sqref="AF731">
    <cfRule type="expression" dxfId="4084" priority="4301" stopIfTrue="1">
      <formula>$G729=""</formula>
    </cfRule>
    <cfRule type="expression" dxfId="4083" priority="4302" stopIfTrue="1">
      <formula>$N732="BAM"</formula>
    </cfRule>
    <cfRule type="expression" dxfId="4082" priority="4310">
      <formula>$AF$49&gt;$T$49</formula>
    </cfRule>
  </conditionalFormatting>
  <conditionalFormatting sqref="AC732:AE732">
    <cfRule type="expression" dxfId="4081" priority="4307" stopIfTrue="1">
      <formula>$G729=""</formula>
    </cfRule>
  </conditionalFormatting>
  <conditionalFormatting sqref="T731:U731">
    <cfRule type="expression" dxfId="4080" priority="4274" stopIfTrue="1">
      <formula>$G729=""</formula>
    </cfRule>
  </conditionalFormatting>
  <conditionalFormatting sqref="T731:U731">
    <cfRule type="containsBlanks" dxfId="4079" priority="4304" stopIfTrue="1">
      <formula>LEN(TRIM(T731))=0</formula>
    </cfRule>
  </conditionalFormatting>
  <conditionalFormatting sqref="AC729:AE729">
    <cfRule type="expression" dxfId="4078" priority="4303">
      <formula>$G729=""</formula>
    </cfRule>
  </conditionalFormatting>
  <conditionalFormatting sqref="AF731 AG732">
    <cfRule type="containsBlanks" dxfId="4077" priority="4308" stopIfTrue="1">
      <formula>LEN(TRIM(AF731))=0</formula>
    </cfRule>
  </conditionalFormatting>
  <conditionalFormatting sqref="AF731">
    <cfRule type="expression" dxfId="4076" priority="4309">
      <formula>OR($HS730=FALSE,$HT730=FALSE)</formula>
    </cfRule>
  </conditionalFormatting>
  <conditionalFormatting sqref="AG732">
    <cfRule type="expression" dxfId="4075" priority="4267">
      <formula>$C$43&gt;0</formula>
    </cfRule>
  </conditionalFormatting>
  <conditionalFormatting sqref="AG732">
    <cfRule type="expression" dxfId="4074" priority="4300" stopIfTrue="1">
      <formula>$G729=""</formula>
    </cfRule>
  </conditionalFormatting>
  <conditionalFormatting sqref="U731">
    <cfRule type="expression" dxfId="4073" priority="4305">
      <formula>OR($HK730=FALSE,$HL730=FALSE)</formula>
    </cfRule>
  </conditionalFormatting>
  <conditionalFormatting sqref="T730:U730">
    <cfRule type="expression" dxfId="4072" priority="4295" stopIfTrue="1">
      <formula>$C$43&lt;&gt;0</formula>
    </cfRule>
    <cfRule type="containsBlanks" dxfId="4071" priority="4296" stopIfTrue="1">
      <formula>LEN(TRIM(T730))=0</formula>
    </cfRule>
  </conditionalFormatting>
  <conditionalFormatting sqref="T730:U730">
    <cfRule type="expression" dxfId="4070" priority="4294" stopIfTrue="1">
      <formula>$G729=""</formula>
    </cfRule>
  </conditionalFormatting>
  <conditionalFormatting sqref="U730">
    <cfRule type="expression" dxfId="4069" priority="4297">
      <formula>$HJ730=FALSE</formula>
    </cfRule>
  </conditionalFormatting>
  <conditionalFormatting sqref="AG731">
    <cfRule type="expression" dxfId="4068" priority="4285" stopIfTrue="1">
      <formula>$G729=""</formula>
    </cfRule>
  </conditionalFormatting>
  <conditionalFormatting sqref="AG731:AL731">
    <cfRule type="expression" dxfId="4067" priority="4286">
      <formula>$N732="BAM"</formula>
    </cfRule>
    <cfRule type="expression" dxfId="4066" priority="4290">
      <formula>OR($HU730=FALSE,$HQ730=FALSE)</formula>
    </cfRule>
  </conditionalFormatting>
  <conditionalFormatting sqref="AG731">
    <cfRule type="containsBlanks" dxfId="4065" priority="4287" stopIfTrue="1">
      <formula>LEN(TRIM(AG731))=0</formula>
    </cfRule>
    <cfRule type="expression" dxfId="4064" priority="4288">
      <formula>OR($HP730=FALSE,$HR730=FALSE)</formula>
    </cfRule>
    <cfRule type="expression" dxfId="4063" priority="4289">
      <formula>OR($DS729=7,$DS729=8,$DS729=9)</formula>
    </cfRule>
  </conditionalFormatting>
  <conditionalFormatting sqref="AG729:AL729">
    <cfRule type="expression" dxfId="4062" priority="4284">
      <formula>$C$43&lt;&gt;0</formula>
    </cfRule>
  </conditionalFormatting>
  <conditionalFormatting sqref="AF730">
    <cfRule type="containsBlanks" dxfId="4061" priority="4283">
      <formula>LEN(TRIM(AF730))=0</formula>
    </cfRule>
  </conditionalFormatting>
  <conditionalFormatting sqref="AF730">
    <cfRule type="expression" dxfId="4060" priority="4282" stopIfTrue="1">
      <formula>$G729=""</formula>
    </cfRule>
  </conditionalFormatting>
  <conditionalFormatting sqref="AG730">
    <cfRule type="containsBlanks" dxfId="4059" priority="4280">
      <formula>LEN(TRIM(AG730))=0</formula>
    </cfRule>
    <cfRule type="expression" dxfId="4058" priority="4281">
      <formula>$HO730=FALSE</formula>
    </cfRule>
  </conditionalFormatting>
  <conditionalFormatting sqref="AG730">
    <cfRule type="expression" dxfId="4057" priority="4279" stopIfTrue="1">
      <formula>$G729=""</formula>
    </cfRule>
  </conditionalFormatting>
  <conditionalFormatting sqref="AF730:AK730">
    <cfRule type="expression" dxfId="4056" priority="4278">
      <formula>$C$43&gt;0</formula>
    </cfRule>
  </conditionalFormatting>
  <conditionalFormatting sqref="AM729:AN730">
    <cfRule type="expression" dxfId="4055" priority="4277">
      <formula>$G729=""</formula>
    </cfRule>
  </conditionalFormatting>
  <conditionalFormatting sqref="AM731:AN731">
    <cfRule type="expression" dxfId="4054" priority="4276" stopIfTrue="1">
      <formula>$G729=""</formula>
    </cfRule>
  </conditionalFormatting>
  <conditionalFormatting sqref="T731">
    <cfRule type="expression" dxfId="4053" priority="4298" stopIfTrue="1">
      <formula>$N732="BAM"</formula>
    </cfRule>
  </conditionalFormatting>
  <conditionalFormatting sqref="U731:AE731">
    <cfRule type="expression" dxfId="4052" priority="4275" stopIfTrue="1">
      <formula>$N732="BAM"</formula>
    </cfRule>
  </conditionalFormatting>
  <conditionalFormatting sqref="AG732:AL732">
    <cfRule type="expression" dxfId="4051" priority="4299" stopIfTrue="1">
      <formula>$N732="BAM"</formula>
    </cfRule>
  </conditionalFormatting>
  <conditionalFormatting sqref="AX735">
    <cfRule type="expression" dxfId="4050" priority="4265">
      <formula>$E735=""</formula>
    </cfRule>
  </conditionalFormatting>
  <conditionalFormatting sqref="AX734">
    <cfRule type="expression" dxfId="4049" priority="4264">
      <formula>$E734=""</formula>
    </cfRule>
  </conditionalFormatting>
  <conditionalFormatting sqref="AX736">
    <cfRule type="expression" dxfId="4048" priority="4263">
      <formula>#REF!=""</formula>
    </cfRule>
  </conditionalFormatting>
  <conditionalFormatting sqref="AX737">
    <cfRule type="expression" dxfId="4047" priority="4262">
      <formula>$E736=""</formula>
    </cfRule>
  </conditionalFormatting>
  <conditionalFormatting sqref="AY734:AZ737">
    <cfRule type="expression" dxfId="4046" priority="4261">
      <formula>$G734=""</formula>
    </cfRule>
  </conditionalFormatting>
  <conditionalFormatting sqref="G736">
    <cfRule type="expression" dxfId="4045" priority="4258" stopIfTrue="1">
      <formula>$G734=""</formula>
    </cfRule>
    <cfRule type="containsBlanks" dxfId="4044" priority="4259" stopIfTrue="1">
      <formula>LEN(TRIM(G736))=0</formula>
    </cfRule>
    <cfRule type="expression" dxfId="4043" priority="4260">
      <formula>OR($M736=0,$HH735=FALSE)</formula>
    </cfRule>
  </conditionalFormatting>
  <conditionalFormatting sqref="AO736">
    <cfRule type="expression" dxfId="4042" priority="4257" stopIfTrue="1">
      <formula>$G734=""</formula>
    </cfRule>
  </conditionalFormatting>
  <conditionalFormatting sqref="AU734:AU737">
    <cfRule type="expression" dxfId="4041" priority="4254" stopIfTrue="1">
      <formula>$C$43=2</formula>
    </cfRule>
    <cfRule type="cellIs" dxfId="4040" priority="4255" operator="equal">
      <formula>"Yes"</formula>
    </cfRule>
    <cfRule type="cellIs" dxfId="4039" priority="4256" operator="equal">
      <formula>"No"</formula>
    </cfRule>
  </conditionalFormatting>
  <conditionalFormatting sqref="AO734:AO735">
    <cfRule type="expression" dxfId="4038" priority="4253">
      <formula>$G734=""</formula>
    </cfRule>
  </conditionalFormatting>
  <conditionalFormatting sqref="AP734 AR734:AS737">
    <cfRule type="expression" dxfId="4037" priority="4252">
      <formula>$G734=""</formula>
    </cfRule>
  </conditionalFormatting>
  <conditionalFormatting sqref="AW734:AW737">
    <cfRule type="expression" dxfId="4036" priority="4251">
      <formula>$G734=""</formula>
    </cfRule>
  </conditionalFormatting>
  <conditionalFormatting sqref="G735:L735">
    <cfRule type="expression" dxfId="4035" priority="4249" stopIfTrue="1">
      <formula>$G734=""</formula>
    </cfRule>
    <cfRule type="containsBlanks" dxfId="4034" priority="4250">
      <formula>LEN(TRIM(G735))=0</formula>
    </cfRule>
  </conditionalFormatting>
  <conditionalFormatting sqref="R736">
    <cfRule type="expression" dxfId="4033" priority="4246">
      <formula>$N737="BAM"</formula>
    </cfRule>
    <cfRule type="expression" dxfId="4032" priority="4247" stopIfTrue="1">
      <formula>$G734=""</formula>
    </cfRule>
    <cfRule type="containsBlanks" dxfId="4031" priority="4248">
      <formula>LEN(TRIM(R736))=0</formula>
    </cfRule>
  </conditionalFormatting>
  <conditionalFormatting sqref="R736">
    <cfRule type="expression" dxfId="4030" priority="4245">
      <formula>$C$43=0</formula>
    </cfRule>
  </conditionalFormatting>
  <conditionalFormatting sqref="E737:F737">
    <cfRule type="expression" dxfId="4029" priority="4244">
      <formula>$CQ734="Exterior"</formula>
    </cfRule>
  </conditionalFormatting>
  <conditionalFormatting sqref="R735">
    <cfRule type="expression" dxfId="4028" priority="4241" stopIfTrue="1">
      <formula>$N737="BAM"</formula>
    </cfRule>
  </conditionalFormatting>
  <conditionalFormatting sqref="R735">
    <cfRule type="containsBlanks" dxfId="4027" priority="4242">
      <formula>LEN(TRIM(R735))=0</formula>
    </cfRule>
  </conditionalFormatting>
  <conditionalFormatting sqref="R735">
    <cfRule type="expression" dxfId="4026" priority="4240" stopIfTrue="1">
      <formula>$G734=""</formula>
    </cfRule>
    <cfRule type="expression" dxfId="4025" priority="4243">
      <formula>$HY735=FALSE</formula>
    </cfRule>
  </conditionalFormatting>
  <conditionalFormatting sqref="G737">
    <cfRule type="expression" dxfId="4024" priority="4234" stopIfTrue="1">
      <formula>$G734=""</formula>
    </cfRule>
  </conditionalFormatting>
  <conditionalFormatting sqref="G737">
    <cfRule type="expression" dxfId="4023" priority="4236" stopIfTrue="1">
      <formula>$CQ734="Exterior"</formula>
    </cfRule>
  </conditionalFormatting>
  <conditionalFormatting sqref="G737:L737">
    <cfRule type="expression" dxfId="4022" priority="4235" stopIfTrue="1">
      <formula>$N737="BAM"</formula>
    </cfRule>
    <cfRule type="containsBlanks" dxfId="4021" priority="4237" stopIfTrue="1">
      <formula>LEN(TRIM(G737))=0</formula>
    </cfRule>
    <cfRule type="expression" dxfId="4020" priority="4239">
      <formula>$HQ735=FALSE</formula>
    </cfRule>
  </conditionalFormatting>
  <conditionalFormatting sqref="G737:L737">
    <cfRule type="expression" dxfId="4019" priority="4238" stopIfTrue="1">
      <formula>$AG736=""</formula>
    </cfRule>
  </conditionalFormatting>
  <conditionalFormatting sqref="G736:L736">
    <cfRule type="expression" dxfId="4018" priority="4232" stopIfTrue="1">
      <formula>$N737="BAM"</formula>
    </cfRule>
  </conditionalFormatting>
  <conditionalFormatting sqref="G734:R734">
    <cfRule type="containsBlanks" dxfId="4017" priority="4231">
      <formula>LEN(TRIM(G734))=0</formula>
    </cfRule>
  </conditionalFormatting>
  <conditionalFormatting sqref="AF736">
    <cfRule type="expression" dxfId="4016" priority="4221" stopIfTrue="1">
      <formula>$G734=""</formula>
    </cfRule>
    <cfRule type="expression" dxfId="4015" priority="4222" stopIfTrue="1">
      <formula>$N737="BAM"</formula>
    </cfRule>
    <cfRule type="expression" dxfId="4014" priority="4230">
      <formula>$AF$49&gt;$T$49</formula>
    </cfRule>
  </conditionalFormatting>
  <conditionalFormatting sqref="AC737:AE737">
    <cfRule type="expression" dxfId="4013" priority="4227" stopIfTrue="1">
      <formula>$G734=""</formula>
    </cfRule>
  </conditionalFormatting>
  <conditionalFormatting sqref="T736:U736">
    <cfRule type="expression" dxfId="4012" priority="4194" stopIfTrue="1">
      <formula>$G734=""</formula>
    </cfRule>
  </conditionalFormatting>
  <conditionalFormatting sqref="T736:U736">
    <cfRule type="containsBlanks" dxfId="4011" priority="4224" stopIfTrue="1">
      <formula>LEN(TRIM(T736))=0</formula>
    </cfRule>
  </conditionalFormatting>
  <conditionalFormatting sqref="AC734:AE734">
    <cfRule type="expression" dxfId="4010" priority="4223">
      <formula>$G734=""</formula>
    </cfRule>
  </conditionalFormatting>
  <conditionalFormatting sqref="AF736 AG737">
    <cfRule type="containsBlanks" dxfId="4009" priority="4228" stopIfTrue="1">
      <formula>LEN(TRIM(AF736))=0</formula>
    </cfRule>
  </conditionalFormatting>
  <conditionalFormatting sqref="AF736">
    <cfRule type="expression" dxfId="4008" priority="4229">
      <formula>OR($HS735=FALSE,$HT735=FALSE)</formula>
    </cfRule>
  </conditionalFormatting>
  <conditionalFormatting sqref="AG737">
    <cfRule type="expression" dxfId="4007" priority="4187">
      <formula>$C$43&gt;0</formula>
    </cfRule>
  </conditionalFormatting>
  <conditionalFormatting sqref="AG737">
    <cfRule type="expression" dxfId="4006" priority="4220" stopIfTrue="1">
      <formula>$G734=""</formula>
    </cfRule>
  </conditionalFormatting>
  <conditionalFormatting sqref="U736">
    <cfRule type="expression" dxfId="4005" priority="4225">
      <formula>OR($HK735=FALSE,$HL735=FALSE)</formula>
    </cfRule>
  </conditionalFormatting>
  <conditionalFormatting sqref="T735:U735">
    <cfRule type="expression" dxfId="4004" priority="4215" stopIfTrue="1">
      <formula>$C$43&lt;&gt;0</formula>
    </cfRule>
    <cfRule type="containsBlanks" dxfId="4003" priority="4216" stopIfTrue="1">
      <formula>LEN(TRIM(T735))=0</formula>
    </cfRule>
  </conditionalFormatting>
  <conditionalFormatting sqref="T735:U735">
    <cfRule type="expression" dxfId="4002" priority="4214" stopIfTrue="1">
      <formula>$G734=""</formula>
    </cfRule>
  </conditionalFormatting>
  <conditionalFormatting sqref="U735">
    <cfRule type="expression" dxfId="4001" priority="4217">
      <formula>$HJ735=FALSE</formula>
    </cfRule>
  </conditionalFormatting>
  <conditionalFormatting sqref="AG736">
    <cfRule type="expression" dxfId="4000" priority="4205" stopIfTrue="1">
      <formula>$G734=""</formula>
    </cfRule>
  </conditionalFormatting>
  <conditionalFormatting sqref="AG736:AL736">
    <cfRule type="expression" dxfId="3999" priority="4206">
      <formula>$N737="BAM"</formula>
    </cfRule>
    <cfRule type="expression" dxfId="3998" priority="4210">
      <formula>OR($HU735=FALSE,$HQ735=FALSE)</formula>
    </cfRule>
  </conditionalFormatting>
  <conditionalFormatting sqref="AG736">
    <cfRule type="containsBlanks" dxfId="3997" priority="4207" stopIfTrue="1">
      <formula>LEN(TRIM(AG736))=0</formula>
    </cfRule>
    <cfRule type="expression" dxfId="3996" priority="4208">
      <formula>OR($HP735=FALSE,$HR735=FALSE)</formula>
    </cfRule>
    <cfRule type="expression" dxfId="3995" priority="4209">
      <formula>OR($DS734=7,$DS734=8,$DS734=9)</formula>
    </cfRule>
  </conditionalFormatting>
  <conditionalFormatting sqref="AG734:AL734">
    <cfRule type="expression" dxfId="3994" priority="4204">
      <formula>$C$43&lt;&gt;0</formula>
    </cfRule>
  </conditionalFormatting>
  <conditionalFormatting sqref="AF735">
    <cfRule type="containsBlanks" dxfId="3993" priority="4203">
      <formula>LEN(TRIM(AF735))=0</formula>
    </cfRule>
  </conditionalFormatting>
  <conditionalFormatting sqref="AF735">
    <cfRule type="expression" dxfId="3992" priority="4202" stopIfTrue="1">
      <formula>$G734=""</formula>
    </cfRule>
  </conditionalFormatting>
  <conditionalFormatting sqref="AG735">
    <cfRule type="containsBlanks" dxfId="3991" priority="4200">
      <formula>LEN(TRIM(AG735))=0</formula>
    </cfRule>
    <cfRule type="expression" dxfId="3990" priority="4201">
      <formula>$HO735=FALSE</formula>
    </cfRule>
  </conditionalFormatting>
  <conditionalFormatting sqref="AG735">
    <cfRule type="expression" dxfId="3989" priority="4199" stopIfTrue="1">
      <formula>$G734=""</formula>
    </cfRule>
  </conditionalFormatting>
  <conditionalFormatting sqref="AF735:AK735">
    <cfRule type="expression" dxfId="3988" priority="4198">
      <formula>$C$43&gt;0</formula>
    </cfRule>
  </conditionalFormatting>
  <conditionalFormatting sqref="AM734:AN735">
    <cfRule type="expression" dxfId="3987" priority="4197">
      <formula>$G734=""</formula>
    </cfRule>
  </conditionalFormatting>
  <conditionalFormatting sqref="AM736:AN736">
    <cfRule type="expression" dxfId="3986" priority="4196" stopIfTrue="1">
      <formula>$G734=""</formula>
    </cfRule>
  </conditionalFormatting>
  <conditionalFormatting sqref="T736">
    <cfRule type="expression" dxfId="3985" priority="4218" stopIfTrue="1">
      <formula>$N737="BAM"</formula>
    </cfRule>
  </conditionalFormatting>
  <conditionalFormatting sqref="U736:AE736">
    <cfRule type="expression" dxfId="3984" priority="4195" stopIfTrue="1">
      <formula>$N737="BAM"</formula>
    </cfRule>
  </conditionalFormatting>
  <conditionalFormatting sqref="AG737:AL737">
    <cfRule type="expression" dxfId="3983" priority="4219" stopIfTrue="1">
      <formula>$N737="BAM"</formula>
    </cfRule>
  </conditionalFormatting>
  <conditionalFormatting sqref="AX740">
    <cfRule type="expression" dxfId="3982" priority="4185">
      <formula>$E740=""</formula>
    </cfRule>
  </conditionalFormatting>
  <conditionalFormatting sqref="AX739">
    <cfRule type="expression" dxfId="3981" priority="4184">
      <formula>$E739=""</formula>
    </cfRule>
  </conditionalFormatting>
  <conditionalFormatting sqref="AX741">
    <cfRule type="expression" dxfId="3980" priority="4183">
      <formula>#REF!=""</formula>
    </cfRule>
  </conditionalFormatting>
  <conditionalFormatting sqref="AX742">
    <cfRule type="expression" dxfId="3979" priority="4182">
      <formula>$E741=""</formula>
    </cfRule>
  </conditionalFormatting>
  <conditionalFormatting sqref="AY739:AZ742">
    <cfRule type="expression" dxfId="3978" priority="4181">
      <formula>$G739=""</formula>
    </cfRule>
  </conditionalFormatting>
  <conditionalFormatting sqref="G741">
    <cfRule type="expression" dxfId="3977" priority="4178" stopIfTrue="1">
      <formula>$G739=""</formula>
    </cfRule>
    <cfRule type="containsBlanks" dxfId="3976" priority="4179" stopIfTrue="1">
      <formula>LEN(TRIM(G741))=0</formula>
    </cfRule>
    <cfRule type="expression" dxfId="3975" priority="4180">
      <formula>OR($M741=0,$HH740=FALSE)</formula>
    </cfRule>
  </conditionalFormatting>
  <conditionalFormatting sqref="AO741">
    <cfRule type="expression" dxfId="3974" priority="4177" stopIfTrue="1">
      <formula>$G739=""</formula>
    </cfRule>
  </conditionalFormatting>
  <conditionalFormatting sqref="AU739:AU742">
    <cfRule type="expression" dxfId="3973" priority="4174" stopIfTrue="1">
      <formula>$C$43=2</formula>
    </cfRule>
    <cfRule type="cellIs" dxfId="3972" priority="4175" operator="equal">
      <formula>"Yes"</formula>
    </cfRule>
    <cfRule type="cellIs" dxfId="3971" priority="4176" operator="equal">
      <formula>"No"</formula>
    </cfRule>
  </conditionalFormatting>
  <conditionalFormatting sqref="AO739:AO740">
    <cfRule type="expression" dxfId="3970" priority="4173">
      <formula>$G739=""</formula>
    </cfRule>
  </conditionalFormatting>
  <conditionalFormatting sqref="AP739 AR739:AS742">
    <cfRule type="expression" dxfId="3969" priority="4172">
      <formula>$G739=""</formula>
    </cfRule>
  </conditionalFormatting>
  <conditionalFormatting sqref="AW739:AW742">
    <cfRule type="expression" dxfId="3968" priority="4171">
      <formula>$G739=""</formula>
    </cfRule>
  </conditionalFormatting>
  <conditionalFormatting sqref="G740:L740">
    <cfRule type="expression" dxfId="3967" priority="4169" stopIfTrue="1">
      <formula>$G739=""</formula>
    </cfRule>
    <cfRule type="containsBlanks" dxfId="3966" priority="4170">
      <formula>LEN(TRIM(G740))=0</formula>
    </cfRule>
  </conditionalFormatting>
  <conditionalFormatting sqref="R741">
    <cfRule type="expression" dxfId="3965" priority="4166">
      <formula>$N742="BAM"</formula>
    </cfRule>
    <cfRule type="expression" dxfId="3964" priority="4167" stopIfTrue="1">
      <formula>$G739=""</formula>
    </cfRule>
    <cfRule type="containsBlanks" dxfId="3963" priority="4168">
      <formula>LEN(TRIM(R741))=0</formula>
    </cfRule>
  </conditionalFormatting>
  <conditionalFormatting sqref="R741">
    <cfRule type="expression" dxfId="3962" priority="4165">
      <formula>$C$43=0</formula>
    </cfRule>
  </conditionalFormatting>
  <conditionalFormatting sqref="E742:F742">
    <cfRule type="expression" dxfId="3961" priority="4164">
      <formula>$CQ739="Exterior"</formula>
    </cfRule>
  </conditionalFormatting>
  <conditionalFormatting sqref="R740">
    <cfRule type="expression" dxfId="3960" priority="4161" stopIfTrue="1">
      <formula>$N742="BAM"</formula>
    </cfRule>
  </conditionalFormatting>
  <conditionalFormatting sqref="R740">
    <cfRule type="containsBlanks" dxfId="3959" priority="4162">
      <formula>LEN(TRIM(R740))=0</formula>
    </cfRule>
  </conditionalFormatting>
  <conditionalFormatting sqref="R740">
    <cfRule type="expression" dxfId="3958" priority="4160" stopIfTrue="1">
      <formula>$G739=""</formula>
    </cfRule>
    <cfRule type="expression" dxfId="3957" priority="4163">
      <formula>$HY740=FALSE</formula>
    </cfRule>
  </conditionalFormatting>
  <conditionalFormatting sqref="G742">
    <cfRule type="expression" dxfId="3956" priority="4154" stopIfTrue="1">
      <formula>$G739=""</formula>
    </cfRule>
  </conditionalFormatting>
  <conditionalFormatting sqref="G742">
    <cfRule type="expression" dxfId="3955" priority="4156" stopIfTrue="1">
      <formula>$CQ739="Exterior"</formula>
    </cfRule>
  </conditionalFormatting>
  <conditionalFormatting sqref="G742:L742">
    <cfRule type="expression" dxfId="3954" priority="4155" stopIfTrue="1">
      <formula>$N742="BAM"</formula>
    </cfRule>
    <cfRule type="containsBlanks" dxfId="3953" priority="4157" stopIfTrue="1">
      <formula>LEN(TRIM(G742))=0</formula>
    </cfRule>
    <cfRule type="expression" dxfId="3952" priority="4159">
      <formula>$HQ740=FALSE</formula>
    </cfRule>
  </conditionalFormatting>
  <conditionalFormatting sqref="G742:L742">
    <cfRule type="expression" dxfId="3951" priority="4158" stopIfTrue="1">
      <formula>$AG741=""</formula>
    </cfRule>
  </conditionalFormatting>
  <conditionalFormatting sqref="G741:L741">
    <cfRule type="expression" dxfId="3950" priority="4152" stopIfTrue="1">
      <formula>$N742="BAM"</formula>
    </cfRule>
  </conditionalFormatting>
  <conditionalFormatting sqref="G739:R739">
    <cfRule type="containsBlanks" dxfId="3949" priority="4151">
      <formula>LEN(TRIM(G739))=0</formula>
    </cfRule>
  </conditionalFormatting>
  <conditionalFormatting sqref="AF741">
    <cfRule type="expression" dxfId="3948" priority="4141" stopIfTrue="1">
      <formula>$G739=""</formula>
    </cfRule>
    <cfRule type="expression" dxfId="3947" priority="4142" stopIfTrue="1">
      <formula>$N742="BAM"</formula>
    </cfRule>
    <cfRule type="expression" dxfId="3946" priority="4150">
      <formula>$AF$49&gt;$T$49</formula>
    </cfRule>
  </conditionalFormatting>
  <conditionalFormatting sqref="AC742:AE742">
    <cfRule type="expression" dxfId="3945" priority="4147" stopIfTrue="1">
      <formula>$G739=""</formula>
    </cfRule>
  </conditionalFormatting>
  <conditionalFormatting sqref="T741:U741">
    <cfRule type="expression" dxfId="3944" priority="4114" stopIfTrue="1">
      <formula>$G739=""</formula>
    </cfRule>
  </conditionalFormatting>
  <conditionalFormatting sqref="T741:U741">
    <cfRule type="containsBlanks" dxfId="3943" priority="4144" stopIfTrue="1">
      <formula>LEN(TRIM(T741))=0</formula>
    </cfRule>
  </conditionalFormatting>
  <conditionalFormatting sqref="AC739:AE739">
    <cfRule type="expression" dxfId="3942" priority="4143">
      <formula>$G739=""</formula>
    </cfRule>
  </conditionalFormatting>
  <conditionalFormatting sqref="AF741 AG742">
    <cfRule type="containsBlanks" dxfId="3941" priority="4148" stopIfTrue="1">
      <formula>LEN(TRIM(AF741))=0</formula>
    </cfRule>
  </conditionalFormatting>
  <conditionalFormatting sqref="AF741">
    <cfRule type="expression" dxfId="3940" priority="4149">
      <formula>OR($HS740=FALSE,$HT740=FALSE)</formula>
    </cfRule>
  </conditionalFormatting>
  <conditionalFormatting sqref="AG742">
    <cfRule type="expression" dxfId="3939" priority="4107">
      <formula>$C$43&gt;0</formula>
    </cfRule>
  </conditionalFormatting>
  <conditionalFormatting sqref="AG742">
    <cfRule type="expression" dxfId="3938" priority="4140" stopIfTrue="1">
      <formula>$G739=""</formula>
    </cfRule>
  </conditionalFormatting>
  <conditionalFormatting sqref="U741">
    <cfRule type="expression" dxfId="3937" priority="4145">
      <formula>OR($HK740=FALSE,$HL740=FALSE)</formula>
    </cfRule>
  </conditionalFormatting>
  <conditionalFormatting sqref="T740:U740">
    <cfRule type="expression" dxfId="3936" priority="4135" stopIfTrue="1">
      <formula>$C$43&lt;&gt;0</formula>
    </cfRule>
    <cfRule type="containsBlanks" dxfId="3935" priority="4136" stopIfTrue="1">
      <formula>LEN(TRIM(T740))=0</formula>
    </cfRule>
  </conditionalFormatting>
  <conditionalFormatting sqref="T740:U740">
    <cfRule type="expression" dxfId="3934" priority="4134" stopIfTrue="1">
      <formula>$G739=""</formula>
    </cfRule>
  </conditionalFormatting>
  <conditionalFormatting sqref="U740">
    <cfRule type="expression" dxfId="3933" priority="4137">
      <formula>$HJ740=FALSE</formula>
    </cfRule>
  </conditionalFormatting>
  <conditionalFormatting sqref="AG741">
    <cfRule type="expression" dxfId="3932" priority="4125" stopIfTrue="1">
      <formula>$G739=""</formula>
    </cfRule>
  </conditionalFormatting>
  <conditionalFormatting sqref="AG741:AL741">
    <cfRule type="expression" dxfId="3931" priority="4126">
      <formula>$N742="BAM"</formula>
    </cfRule>
    <cfRule type="expression" dxfId="3930" priority="4130">
      <formula>OR($HU740=FALSE,$HQ740=FALSE)</formula>
    </cfRule>
  </conditionalFormatting>
  <conditionalFormatting sqref="AG741">
    <cfRule type="containsBlanks" dxfId="3929" priority="4127" stopIfTrue="1">
      <formula>LEN(TRIM(AG741))=0</formula>
    </cfRule>
    <cfRule type="expression" dxfId="3928" priority="4128">
      <formula>OR($HP740=FALSE,$HR740=FALSE)</formula>
    </cfRule>
    <cfRule type="expression" dxfId="3927" priority="4129">
      <formula>OR($DS739=7,$DS739=8,$DS739=9)</formula>
    </cfRule>
  </conditionalFormatting>
  <conditionalFormatting sqref="AG739:AL739">
    <cfRule type="expression" dxfId="3926" priority="4124">
      <formula>$C$43&lt;&gt;0</formula>
    </cfRule>
  </conditionalFormatting>
  <conditionalFormatting sqref="AF740">
    <cfRule type="containsBlanks" dxfId="3925" priority="4123">
      <formula>LEN(TRIM(AF740))=0</formula>
    </cfRule>
  </conditionalFormatting>
  <conditionalFormatting sqref="AF740">
    <cfRule type="expression" dxfId="3924" priority="4122" stopIfTrue="1">
      <formula>$G739=""</formula>
    </cfRule>
  </conditionalFormatting>
  <conditionalFormatting sqref="AG740">
    <cfRule type="containsBlanks" dxfId="3923" priority="4120">
      <formula>LEN(TRIM(AG740))=0</formula>
    </cfRule>
    <cfRule type="expression" dxfId="3922" priority="4121">
      <formula>$HO740=FALSE</formula>
    </cfRule>
  </conditionalFormatting>
  <conditionalFormatting sqref="AG740">
    <cfRule type="expression" dxfId="3921" priority="4119" stopIfTrue="1">
      <formula>$G739=""</formula>
    </cfRule>
  </conditionalFormatting>
  <conditionalFormatting sqref="AF740:AK740">
    <cfRule type="expression" dxfId="3920" priority="4118">
      <formula>$C$43&gt;0</formula>
    </cfRule>
  </conditionalFormatting>
  <conditionalFormatting sqref="AM739:AN740">
    <cfRule type="expression" dxfId="3919" priority="4117">
      <formula>$G739=""</formula>
    </cfRule>
  </conditionalFormatting>
  <conditionalFormatting sqref="AM741:AN741">
    <cfRule type="expression" dxfId="3918" priority="4116" stopIfTrue="1">
      <formula>$G739=""</formula>
    </cfRule>
  </conditionalFormatting>
  <conditionalFormatting sqref="T741">
    <cfRule type="expression" dxfId="3917" priority="4138" stopIfTrue="1">
      <formula>$N742="BAM"</formula>
    </cfRule>
  </conditionalFormatting>
  <conditionalFormatting sqref="U741:AE741">
    <cfRule type="expression" dxfId="3916" priority="4115" stopIfTrue="1">
      <formula>$N742="BAM"</formula>
    </cfRule>
  </conditionalFormatting>
  <conditionalFormatting sqref="AG742:AL742">
    <cfRule type="expression" dxfId="3915" priority="4139" stopIfTrue="1">
      <formula>$N742="BAM"</formula>
    </cfRule>
  </conditionalFormatting>
  <conditionalFormatting sqref="AX745">
    <cfRule type="expression" dxfId="3914" priority="4105">
      <formula>$E745=""</formula>
    </cfRule>
  </conditionalFormatting>
  <conditionalFormatting sqref="AX744">
    <cfRule type="expression" dxfId="3913" priority="4104">
      <formula>$E744=""</formula>
    </cfRule>
  </conditionalFormatting>
  <conditionalFormatting sqref="AX746">
    <cfRule type="expression" dxfId="3912" priority="4103">
      <formula>#REF!=""</formula>
    </cfRule>
  </conditionalFormatting>
  <conditionalFormatting sqref="AX747">
    <cfRule type="expression" dxfId="3911" priority="4102">
      <formula>$E746=""</formula>
    </cfRule>
  </conditionalFormatting>
  <conditionalFormatting sqref="AY744:AZ747">
    <cfRule type="expression" dxfId="3910" priority="4101">
      <formula>$G744=""</formula>
    </cfRule>
  </conditionalFormatting>
  <conditionalFormatting sqref="G746">
    <cfRule type="expression" dxfId="3909" priority="4098" stopIfTrue="1">
      <formula>$G744=""</formula>
    </cfRule>
    <cfRule type="containsBlanks" dxfId="3908" priority="4099" stopIfTrue="1">
      <formula>LEN(TRIM(G746))=0</formula>
    </cfRule>
    <cfRule type="expression" dxfId="3907" priority="4100">
      <formula>OR($M746=0,$HH745=FALSE)</formula>
    </cfRule>
  </conditionalFormatting>
  <conditionalFormatting sqref="AO746">
    <cfRule type="expression" dxfId="3906" priority="4097" stopIfTrue="1">
      <formula>$G744=""</formula>
    </cfRule>
  </conditionalFormatting>
  <conditionalFormatting sqref="AU744:AU747">
    <cfRule type="expression" dxfId="3905" priority="4094" stopIfTrue="1">
      <formula>$C$43=2</formula>
    </cfRule>
    <cfRule type="cellIs" dxfId="3904" priority="4095" operator="equal">
      <formula>"Yes"</formula>
    </cfRule>
    <cfRule type="cellIs" dxfId="3903" priority="4096" operator="equal">
      <formula>"No"</formula>
    </cfRule>
  </conditionalFormatting>
  <conditionalFormatting sqref="AO744:AO745">
    <cfRule type="expression" dxfId="3902" priority="4093">
      <formula>$G744=""</formula>
    </cfRule>
  </conditionalFormatting>
  <conditionalFormatting sqref="AP744 AR744:AS747">
    <cfRule type="expression" dxfId="3901" priority="4092">
      <formula>$G744=""</formula>
    </cfRule>
  </conditionalFormatting>
  <conditionalFormatting sqref="AW744:AW747">
    <cfRule type="expression" dxfId="3900" priority="4091">
      <formula>$G744=""</formula>
    </cfRule>
  </conditionalFormatting>
  <conditionalFormatting sqref="G745:L745">
    <cfRule type="expression" dxfId="3899" priority="4089" stopIfTrue="1">
      <formula>$G744=""</formula>
    </cfRule>
    <cfRule type="containsBlanks" dxfId="3898" priority="4090">
      <formula>LEN(TRIM(G745))=0</formula>
    </cfRule>
  </conditionalFormatting>
  <conditionalFormatting sqref="R746">
    <cfRule type="expression" dxfId="3897" priority="4086">
      <formula>$N747="BAM"</formula>
    </cfRule>
    <cfRule type="expression" dxfId="3896" priority="4087" stopIfTrue="1">
      <formula>$G744=""</formula>
    </cfRule>
    <cfRule type="containsBlanks" dxfId="3895" priority="4088">
      <formula>LEN(TRIM(R746))=0</formula>
    </cfRule>
  </conditionalFormatting>
  <conditionalFormatting sqref="R746">
    <cfRule type="expression" dxfId="3894" priority="4085">
      <formula>$C$43=0</formula>
    </cfRule>
  </conditionalFormatting>
  <conditionalFormatting sqref="E747:F747">
    <cfRule type="expression" dxfId="3893" priority="4084">
      <formula>$CQ744="Exterior"</formula>
    </cfRule>
  </conditionalFormatting>
  <conditionalFormatting sqref="R745">
    <cfRule type="expression" dxfId="3892" priority="4081" stopIfTrue="1">
      <formula>$N747="BAM"</formula>
    </cfRule>
  </conditionalFormatting>
  <conditionalFormatting sqref="R745">
    <cfRule type="containsBlanks" dxfId="3891" priority="4082">
      <formula>LEN(TRIM(R745))=0</formula>
    </cfRule>
  </conditionalFormatting>
  <conditionalFormatting sqref="R745">
    <cfRule type="expression" dxfId="3890" priority="4080" stopIfTrue="1">
      <formula>$G744=""</formula>
    </cfRule>
    <cfRule type="expression" dxfId="3889" priority="4083">
      <formula>$HY745=FALSE</formula>
    </cfRule>
  </conditionalFormatting>
  <conditionalFormatting sqref="G747">
    <cfRule type="expression" dxfId="3888" priority="4074" stopIfTrue="1">
      <formula>$G744=""</formula>
    </cfRule>
  </conditionalFormatting>
  <conditionalFormatting sqref="G747">
    <cfRule type="expression" dxfId="3887" priority="4076" stopIfTrue="1">
      <formula>$CQ744="Exterior"</formula>
    </cfRule>
  </conditionalFormatting>
  <conditionalFormatting sqref="G747:L747">
    <cfRule type="expression" dxfId="3886" priority="4075" stopIfTrue="1">
      <formula>$N747="BAM"</formula>
    </cfRule>
    <cfRule type="containsBlanks" dxfId="3885" priority="4077" stopIfTrue="1">
      <formula>LEN(TRIM(G747))=0</formula>
    </cfRule>
    <cfRule type="expression" dxfId="3884" priority="4079">
      <formula>$HQ745=FALSE</formula>
    </cfRule>
  </conditionalFormatting>
  <conditionalFormatting sqref="G747:L747">
    <cfRule type="expression" dxfId="3883" priority="4078" stopIfTrue="1">
      <formula>$AG746=""</formula>
    </cfRule>
  </conditionalFormatting>
  <conditionalFormatting sqref="G746:L746">
    <cfRule type="expression" dxfId="3882" priority="4072" stopIfTrue="1">
      <formula>$N747="BAM"</formula>
    </cfRule>
  </conditionalFormatting>
  <conditionalFormatting sqref="G744:R744">
    <cfRule type="containsBlanks" dxfId="3881" priority="4071">
      <formula>LEN(TRIM(G744))=0</formula>
    </cfRule>
  </conditionalFormatting>
  <conditionalFormatting sqref="AF746">
    <cfRule type="expression" dxfId="3880" priority="4061" stopIfTrue="1">
      <formula>$G744=""</formula>
    </cfRule>
    <cfRule type="expression" dxfId="3879" priority="4062" stopIfTrue="1">
      <formula>$N747="BAM"</formula>
    </cfRule>
    <cfRule type="expression" dxfId="3878" priority="4070">
      <formula>$AF$49&gt;$T$49</formula>
    </cfRule>
  </conditionalFormatting>
  <conditionalFormatting sqref="AC747:AE747">
    <cfRule type="expression" dxfId="3877" priority="4067" stopIfTrue="1">
      <formula>$G744=""</formula>
    </cfRule>
  </conditionalFormatting>
  <conditionalFormatting sqref="T746:U746">
    <cfRule type="expression" dxfId="3876" priority="4034" stopIfTrue="1">
      <formula>$G744=""</formula>
    </cfRule>
  </conditionalFormatting>
  <conditionalFormatting sqref="T746:U746">
    <cfRule type="containsBlanks" dxfId="3875" priority="4064" stopIfTrue="1">
      <formula>LEN(TRIM(T746))=0</formula>
    </cfRule>
  </conditionalFormatting>
  <conditionalFormatting sqref="AC744:AE744">
    <cfRule type="expression" dxfId="3874" priority="4063">
      <formula>$G744=""</formula>
    </cfRule>
  </conditionalFormatting>
  <conditionalFormatting sqref="AF746 AG747">
    <cfRule type="containsBlanks" dxfId="3873" priority="4068" stopIfTrue="1">
      <formula>LEN(TRIM(AF746))=0</formula>
    </cfRule>
  </conditionalFormatting>
  <conditionalFormatting sqref="AF746">
    <cfRule type="expression" dxfId="3872" priority="4069">
      <formula>OR($HS745=FALSE,$HT745=FALSE)</formula>
    </cfRule>
  </conditionalFormatting>
  <conditionalFormatting sqref="AG747">
    <cfRule type="expression" dxfId="3871" priority="4027">
      <formula>$C$43&gt;0</formula>
    </cfRule>
  </conditionalFormatting>
  <conditionalFormatting sqref="AG747">
    <cfRule type="expression" dxfId="3870" priority="4060" stopIfTrue="1">
      <formula>$G744=""</formula>
    </cfRule>
  </conditionalFormatting>
  <conditionalFormatting sqref="U746">
    <cfRule type="expression" dxfId="3869" priority="4065">
      <formula>OR($HK745=FALSE,$HL745=FALSE)</formula>
    </cfRule>
  </conditionalFormatting>
  <conditionalFormatting sqref="T745:U745">
    <cfRule type="expression" dxfId="3868" priority="4055" stopIfTrue="1">
      <formula>$C$43&lt;&gt;0</formula>
    </cfRule>
    <cfRule type="containsBlanks" dxfId="3867" priority="4056" stopIfTrue="1">
      <formula>LEN(TRIM(T745))=0</formula>
    </cfRule>
  </conditionalFormatting>
  <conditionalFormatting sqref="T745:U745">
    <cfRule type="expression" dxfId="3866" priority="4054" stopIfTrue="1">
      <formula>$G744=""</formula>
    </cfRule>
  </conditionalFormatting>
  <conditionalFormatting sqref="U745">
    <cfRule type="expression" dxfId="3865" priority="4057">
      <formula>$HJ745=FALSE</formula>
    </cfRule>
  </conditionalFormatting>
  <conditionalFormatting sqref="AG746">
    <cfRule type="expression" dxfId="3864" priority="4045" stopIfTrue="1">
      <formula>$G744=""</formula>
    </cfRule>
  </conditionalFormatting>
  <conditionalFormatting sqref="AG746:AL746">
    <cfRule type="expression" dxfId="3863" priority="4046">
      <formula>$N747="BAM"</formula>
    </cfRule>
    <cfRule type="expression" dxfId="3862" priority="4050">
      <formula>OR($HU745=FALSE,$HQ745=FALSE)</formula>
    </cfRule>
  </conditionalFormatting>
  <conditionalFormatting sqref="AG746">
    <cfRule type="containsBlanks" dxfId="3861" priority="4047" stopIfTrue="1">
      <formula>LEN(TRIM(AG746))=0</formula>
    </cfRule>
    <cfRule type="expression" dxfId="3860" priority="4048">
      <formula>OR($HP745=FALSE,$HR745=FALSE)</formula>
    </cfRule>
    <cfRule type="expression" dxfId="3859" priority="4049">
      <formula>OR($DS744=7,$DS744=8,$DS744=9)</formula>
    </cfRule>
  </conditionalFormatting>
  <conditionalFormatting sqref="AG744:AL744">
    <cfRule type="expression" dxfId="3858" priority="4044">
      <formula>$C$43&lt;&gt;0</formula>
    </cfRule>
  </conditionalFormatting>
  <conditionalFormatting sqref="AF745">
    <cfRule type="containsBlanks" dxfId="3857" priority="4043">
      <formula>LEN(TRIM(AF745))=0</formula>
    </cfRule>
  </conditionalFormatting>
  <conditionalFormatting sqref="AF745">
    <cfRule type="expression" dxfId="3856" priority="4042" stopIfTrue="1">
      <formula>$G744=""</formula>
    </cfRule>
  </conditionalFormatting>
  <conditionalFormatting sqref="AG745">
    <cfRule type="containsBlanks" dxfId="3855" priority="4040">
      <formula>LEN(TRIM(AG745))=0</formula>
    </cfRule>
    <cfRule type="expression" dxfId="3854" priority="4041">
      <formula>$HO745=FALSE</formula>
    </cfRule>
  </conditionalFormatting>
  <conditionalFormatting sqref="AG745">
    <cfRule type="expression" dxfId="3853" priority="4039" stopIfTrue="1">
      <formula>$G744=""</formula>
    </cfRule>
  </conditionalFormatting>
  <conditionalFormatting sqref="AF745:AK745">
    <cfRule type="expression" dxfId="3852" priority="4038">
      <formula>$C$43&gt;0</formula>
    </cfRule>
  </conditionalFormatting>
  <conditionalFormatting sqref="AM744:AN745">
    <cfRule type="expression" dxfId="3851" priority="4037">
      <formula>$G744=""</formula>
    </cfRule>
  </conditionalFormatting>
  <conditionalFormatting sqref="AM746:AN746">
    <cfRule type="expression" dxfId="3850" priority="4036" stopIfTrue="1">
      <formula>$G744=""</formula>
    </cfRule>
  </conditionalFormatting>
  <conditionalFormatting sqref="T746">
    <cfRule type="expression" dxfId="3849" priority="4058" stopIfTrue="1">
      <formula>$N747="BAM"</formula>
    </cfRule>
  </conditionalFormatting>
  <conditionalFormatting sqref="U746:AE746">
    <cfRule type="expression" dxfId="3848" priority="4035" stopIfTrue="1">
      <formula>$N747="BAM"</formula>
    </cfRule>
  </conditionalFormatting>
  <conditionalFormatting sqref="AG747:AL747">
    <cfRule type="expression" dxfId="3847" priority="4059" stopIfTrue="1">
      <formula>$N747="BAM"</formula>
    </cfRule>
  </conditionalFormatting>
  <conditionalFormatting sqref="AX750">
    <cfRule type="expression" dxfId="3846" priority="4025">
      <formula>$E750=""</formula>
    </cfRule>
  </conditionalFormatting>
  <conditionalFormatting sqref="AX749">
    <cfRule type="expression" dxfId="3845" priority="4024">
      <formula>$E749=""</formula>
    </cfRule>
  </conditionalFormatting>
  <conditionalFormatting sqref="AX751">
    <cfRule type="expression" dxfId="3844" priority="4023">
      <formula>#REF!=""</formula>
    </cfRule>
  </conditionalFormatting>
  <conditionalFormatting sqref="AX752">
    <cfRule type="expression" dxfId="3843" priority="4022">
      <formula>$E751=""</formula>
    </cfRule>
  </conditionalFormatting>
  <conditionalFormatting sqref="AY749:AZ752">
    <cfRule type="expression" dxfId="3842" priority="4021">
      <formula>$G749=""</formula>
    </cfRule>
  </conditionalFormatting>
  <conditionalFormatting sqref="G751">
    <cfRule type="expression" dxfId="3841" priority="4018" stopIfTrue="1">
      <formula>$G749=""</formula>
    </cfRule>
    <cfRule type="containsBlanks" dxfId="3840" priority="4019" stopIfTrue="1">
      <formula>LEN(TRIM(G751))=0</formula>
    </cfRule>
    <cfRule type="expression" dxfId="3839" priority="4020">
      <formula>OR($M751=0,$HH750=FALSE)</formula>
    </cfRule>
  </conditionalFormatting>
  <conditionalFormatting sqref="AO751">
    <cfRule type="expression" dxfId="3838" priority="4017" stopIfTrue="1">
      <formula>$G749=""</formula>
    </cfRule>
  </conditionalFormatting>
  <conditionalFormatting sqref="AU749:AU752">
    <cfRule type="expression" dxfId="3837" priority="4014" stopIfTrue="1">
      <formula>$C$43=2</formula>
    </cfRule>
    <cfRule type="cellIs" dxfId="3836" priority="4015" operator="equal">
      <formula>"Yes"</formula>
    </cfRule>
    <cfRule type="cellIs" dxfId="3835" priority="4016" operator="equal">
      <formula>"No"</formula>
    </cfRule>
  </conditionalFormatting>
  <conditionalFormatting sqref="AO749:AO750">
    <cfRule type="expression" dxfId="3834" priority="4013">
      <formula>$G749=""</formula>
    </cfRule>
  </conditionalFormatting>
  <conditionalFormatting sqref="AP749 AR749:AS752">
    <cfRule type="expression" dxfId="3833" priority="4012">
      <formula>$G749=""</formula>
    </cfRule>
  </conditionalFormatting>
  <conditionalFormatting sqref="AW749:AW752">
    <cfRule type="expression" dxfId="3832" priority="4011">
      <formula>$G749=""</formula>
    </cfRule>
  </conditionalFormatting>
  <conditionalFormatting sqref="G750:L750">
    <cfRule type="expression" dxfId="3831" priority="4009" stopIfTrue="1">
      <formula>$G749=""</formula>
    </cfRule>
    <cfRule type="containsBlanks" dxfId="3830" priority="4010">
      <formula>LEN(TRIM(G750))=0</formula>
    </cfRule>
  </conditionalFormatting>
  <conditionalFormatting sqref="R751">
    <cfRule type="expression" dxfId="3829" priority="4006">
      <formula>$N752="BAM"</formula>
    </cfRule>
    <cfRule type="expression" dxfId="3828" priority="4007" stopIfTrue="1">
      <formula>$G749=""</formula>
    </cfRule>
    <cfRule type="containsBlanks" dxfId="3827" priority="4008">
      <formula>LEN(TRIM(R751))=0</formula>
    </cfRule>
  </conditionalFormatting>
  <conditionalFormatting sqref="R751">
    <cfRule type="expression" dxfId="3826" priority="4005">
      <formula>$C$43=0</formula>
    </cfRule>
  </conditionalFormatting>
  <conditionalFormatting sqref="E752:F752">
    <cfRule type="expression" dxfId="3825" priority="4004">
      <formula>$CQ749="Exterior"</formula>
    </cfRule>
  </conditionalFormatting>
  <conditionalFormatting sqref="R750">
    <cfRule type="expression" dxfId="3824" priority="4001" stopIfTrue="1">
      <formula>$N752="BAM"</formula>
    </cfRule>
  </conditionalFormatting>
  <conditionalFormatting sqref="R750">
    <cfRule type="containsBlanks" dxfId="3823" priority="4002">
      <formula>LEN(TRIM(R750))=0</formula>
    </cfRule>
  </conditionalFormatting>
  <conditionalFormatting sqref="R750">
    <cfRule type="expression" dxfId="3822" priority="4000" stopIfTrue="1">
      <formula>$G749=""</formula>
    </cfRule>
    <cfRule type="expression" dxfId="3821" priority="4003">
      <formula>$HY750=FALSE</formula>
    </cfRule>
  </conditionalFormatting>
  <conditionalFormatting sqref="G752">
    <cfRule type="expression" dxfId="3820" priority="3994" stopIfTrue="1">
      <formula>$G749=""</formula>
    </cfRule>
  </conditionalFormatting>
  <conditionalFormatting sqref="G752">
    <cfRule type="expression" dxfId="3819" priority="3996" stopIfTrue="1">
      <formula>$CQ749="Exterior"</formula>
    </cfRule>
  </conditionalFormatting>
  <conditionalFormatting sqref="G752:L752">
    <cfRule type="expression" dxfId="3818" priority="3995" stopIfTrue="1">
      <formula>$N752="BAM"</formula>
    </cfRule>
    <cfRule type="containsBlanks" dxfId="3817" priority="3997" stopIfTrue="1">
      <formula>LEN(TRIM(G752))=0</formula>
    </cfRule>
    <cfRule type="expression" dxfId="3816" priority="3999">
      <formula>$HQ750=FALSE</formula>
    </cfRule>
  </conditionalFormatting>
  <conditionalFormatting sqref="G752:L752">
    <cfRule type="expression" dxfId="3815" priority="3998" stopIfTrue="1">
      <formula>$AG751=""</formula>
    </cfRule>
  </conditionalFormatting>
  <conditionalFormatting sqref="G751:L751">
    <cfRule type="expression" dxfId="3814" priority="3992" stopIfTrue="1">
      <formula>$N752="BAM"</formula>
    </cfRule>
  </conditionalFormatting>
  <conditionalFormatting sqref="G749:R749">
    <cfRule type="containsBlanks" dxfId="3813" priority="3991">
      <formula>LEN(TRIM(G749))=0</formula>
    </cfRule>
  </conditionalFormatting>
  <conditionalFormatting sqref="AF751">
    <cfRule type="expression" dxfId="3812" priority="3981" stopIfTrue="1">
      <formula>$G749=""</formula>
    </cfRule>
    <cfRule type="expression" dxfId="3811" priority="3982" stopIfTrue="1">
      <formula>$N752="BAM"</formula>
    </cfRule>
    <cfRule type="expression" dxfId="3810" priority="3990">
      <formula>$AF$49&gt;$T$49</formula>
    </cfRule>
  </conditionalFormatting>
  <conditionalFormatting sqref="AC752:AE752">
    <cfRule type="expression" dxfId="3809" priority="3987" stopIfTrue="1">
      <formula>$G749=""</formula>
    </cfRule>
  </conditionalFormatting>
  <conditionalFormatting sqref="T751:U751">
    <cfRule type="expression" dxfId="3808" priority="3954" stopIfTrue="1">
      <formula>$G749=""</formula>
    </cfRule>
  </conditionalFormatting>
  <conditionalFormatting sqref="T751:U751">
    <cfRule type="containsBlanks" dxfId="3807" priority="3984" stopIfTrue="1">
      <formula>LEN(TRIM(T751))=0</formula>
    </cfRule>
  </conditionalFormatting>
  <conditionalFormatting sqref="AC749:AE749">
    <cfRule type="expression" dxfId="3806" priority="3983">
      <formula>$G749=""</formula>
    </cfRule>
  </conditionalFormatting>
  <conditionalFormatting sqref="AF751 AG752">
    <cfRule type="containsBlanks" dxfId="3805" priority="3988" stopIfTrue="1">
      <formula>LEN(TRIM(AF751))=0</formula>
    </cfRule>
  </conditionalFormatting>
  <conditionalFormatting sqref="AF751">
    <cfRule type="expression" dxfId="3804" priority="3989">
      <formula>OR($HS750=FALSE,$HT750=FALSE)</formula>
    </cfRule>
  </conditionalFormatting>
  <conditionalFormatting sqref="AG752">
    <cfRule type="expression" dxfId="3803" priority="3947">
      <formula>$C$43&gt;0</formula>
    </cfRule>
  </conditionalFormatting>
  <conditionalFormatting sqref="AG752">
    <cfRule type="expression" dxfId="3802" priority="3980" stopIfTrue="1">
      <formula>$G749=""</formula>
    </cfRule>
  </conditionalFormatting>
  <conditionalFormatting sqref="U751">
    <cfRule type="expression" dxfId="3801" priority="3985">
      <formula>OR($HK750=FALSE,$HL750=FALSE)</formula>
    </cfRule>
  </conditionalFormatting>
  <conditionalFormatting sqref="T750:U750">
    <cfRule type="expression" dxfId="3800" priority="3975" stopIfTrue="1">
      <formula>$C$43&lt;&gt;0</formula>
    </cfRule>
    <cfRule type="containsBlanks" dxfId="3799" priority="3976" stopIfTrue="1">
      <formula>LEN(TRIM(T750))=0</formula>
    </cfRule>
  </conditionalFormatting>
  <conditionalFormatting sqref="T750:U750">
    <cfRule type="expression" dxfId="3798" priority="3974" stopIfTrue="1">
      <formula>$G749=""</formula>
    </cfRule>
  </conditionalFormatting>
  <conditionalFormatting sqref="U750">
    <cfRule type="expression" dxfId="3797" priority="3977">
      <formula>$HJ750=FALSE</formula>
    </cfRule>
  </conditionalFormatting>
  <conditionalFormatting sqref="AG751">
    <cfRule type="expression" dxfId="3796" priority="3965" stopIfTrue="1">
      <formula>$G749=""</formula>
    </cfRule>
  </conditionalFormatting>
  <conditionalFormatting sqref="AG751:AL751">
    <cfRule type="expression" dxfId="3795" priority="3966">
      <formula>$N752="BAM"</formula>
    </cfRule>
    <cfRule type="expression" dxfId="3794" priority="3970">
      <formula>OR($HU750=FALSE,$HQ750=FALSE)</formula>
    </cfRule>
  </conditionalFormatting>
  <conditionalFormatting sqref="AG751">
    <cfRule type="containsBlanks" dxfId="3793" priority="3967" stopIfTrue="1">
      <formula>LEN(TRIM(AG751))=0</formula>
    </cfRule>
    <cfRule type="expression" dxfId="3792" priority="3968">
      <formula>OR($HP750=FALSE,$HR750=FALSE)</formula>
    </cfRule>
    <cfRule type="expression" dxfId="3791" priority="3969">
      <formula>OR($DS749=7,$DS749=8,$DS749=9)</formula>
    </cfRule>
  </conditionalFormatting>
  <conditionalFormatting sqref="AG749:AL749">
    <cfRule type="expression" dxfId="3790" priority="3964">
      <formula>$C$43&lt;&gt;0</formula>
    </cfRule>
  </conditionalFormatting>
  <conditionalFormatting sqref="AF750">
    <cfRule type="containsBlanks" dxfId="3789" priority="3963">
      <formula>LEN(TRIM(AF750))=0</formula>
    </cfRule>
  </conditionalFormatting>
  <conditionalFormatting sqref="AF750">
    <cfRule type="expression" dxfId="3788" priority="3962" stopIfTrue="1">
      <formula>$G749=""</formula>
    </cfRule>
  </conditionalFormatting>
  <conditionalFormatting sqref="AG750">
    <cfRule type="containsBlanks" dxfId="3787" priority="3960">
      <formula>LEN(TRIM(AG750))=0</formula>
    </cfRule>
    <cfRule type="expression" dxfId="3786" priority="3961">
      <formula>$HO750=FALSE</formula>
    </cfRule>
  </conditionalFormatting>
  <conditionalFormatting sqref="AG750">
    <cfRule type="expression" dxfId="3785" priority="3959" stopIfTrue="1">
      <formula>$G749=""</formula>
    </cfRule>
  </conditionalFormatting>
  <conditionalFormatting sqref="AF750:AK750">
    <cfRule type="expression" dxfId="3784" priority="3958">
      <formula>$C$43&gt;0</formula>
    </cfRule>
  </conditionalFormatting>
  <conditionalFormatting sqref="AM749:AN750">
    <cfRule type="expression" dxfId="3783" priority="3957">
      <formula>$G749=""</formula>
    </cfRule>
  </conditionalFormatting>
  <conditionalFormatting sqref="AM751:AN751">
    <cfRule type="expression" dxfId="3782" priority="3956" stopIfTrue="1">
      <formula>$G749=""</formula>
    </cfRule>
  </conditionalFormatting>
  <conditionalFormatting sqref="T751">
    <cfRule type="expression" dxfId="3781" priority="3978" stopIfTrue="1">
      <formula>$N752="BAM"</formula>
    </cfRule>
  </conditionalFormatting>
  <conditionalFormatting sqref="U751:AE751">
    <cfRule type="expression" dxfId="3780" priority="3955" stopIfTrue="1">
      <formula>$N752="BAM"</formula>
    </cfRule>
  </conditionalFormatting>
  <conditionalFormatting sqref="AG752:AL752">
    <cfRule type="expression" dxfId="3779" priority="3979" stopIfTrue="1">
      <formula>$N752="BAM"</formula>
    </cfRule>
  </conditionalFormatting>
  <conditionalFormatting sqref="AX755">
    <cfRule type="expression" dxfId="3778" priority="3945">
      <formula>$E755=""</formula>
    </cfRule>
  </conditionalFormatting>
  <conditionalFormatting sqref="AX754">
    <cfRule type="expression" dxfId="3777" priority="3944">
      <formula>$E754=""</formula>
    </cfRule>
  </conditionalFormatting>
  <conditionalFormatting sqref="AX756">
    <cfRule type="expression" dxfId="3776" priority="3943">
      <formula>#REF!=""</formula>
    </cfRule>
  </conditionalFormatting>
  <conditionalFormatting sqref="AX757">
    <cfRule type="expression" dxfId="3775" priority="3942">
      <formula>$E756=""</formula>
    </cfRule>
  </conditionalFormatting>
  <conditionalFormatting sqref="AY754:AZ757">
    <cfRule type="expression" dxfId="3774" priority="3941">
      <formula>$G754=""</formula>
    </cfRule>
  </conditionalFormatting>
  <conditionalFormatting sqref="G756">
    <cfRule type="expression" dxfId="3773" priority="3938" stopIfTrue="1">
      <formula>$G754=""</formula>
    </cfRule>
    <cfRule type="containsBlanks" dxfId="3772" priority="3939" stopIfTrue="1">
      <formula>LEN(TRIM(G756))=0</formula>
    </cfRule>
    <cfRule type="expression" dxfId="3771" priority="3940">
      <formula>OR($M756=0,$HH755=FALSE)</formula>
    </cfRule>
  </conditionalFormatting>
  <conditionalFormatting sqref="AO756">
    <cfRule type="expression" dxfId="3770" priority="3937" stopIfTrue="1">
      <formula>$G754=""</formula>
    </cfRule>
  </conditionalFormatting>
  <conditionalFormatting sqref="AU754:AU757">
    <cfRule type="expression" dxfId="3769" priority="3934" stopIfTrue="1">
      <formula>$C$43=2</formula>
    </cfRule>
    <cfRule type="cellIs" dxfId="3768" priority="3935" operator="equal">
      <formula>"Yes"</formula>
    </cfRule>
    <cfRule type="cellIs" dxfId="3767" priority="3936" operator="equal">
      <formula>"No"</formula>
    </cfRule>
  </conditionalFormatting>
  <conditionalFormatting sqref="AO754:AO755">
    <cfRule type="expression" dxfId="3766" priority="3933">
      <formula>$G754=""</formula>
    </cfRule>
  </conditionalFormatting>
  <conditionalFormatting sqref="AP754 AR754:AS757">
    <cfRule type="expression" dxfId="3765" priority="3932">
      <formula>$G754=""</formula>
    </cfRule>
  </conditionalFormatting>
  <conditionalFormatting sqref="AW754:AW757">
    <cfRule type="expression" dxfId="3764" priority="3931">
      <formula>$G754=""</formula>
    </cfRule>
  </conditionalFormatting>
  <conditionalFormatting sqref="G755:L755">
    <cfRule type="expression" dxfId="3763" priority="3929" stopIfTrue="1">
      <formula>$G754=""</formula>
    </cfRule>
    <cfRule type="containsBlanks" dxfId="3762" priority="3930">
      <formula>LEN(TRIM(G755))=0</formula>
    </cfRule>
  </conditionalFormatting>
  <conditionalFormatting sqref="R756">
    <cfRule type="expression" dxfId="3761" priority="3926">
      <formula>$N757="BAM"</formula>
    </cfRule>
    <cfRule type="expression" dxfId="3760" priority="3927" stopIfTrue="1">
      <formula>$G754=""</formula>
    </cfRule>
    <cfRule type="containsBlanks" dxfId="3759" priority="3928">
      <formula>LEN(TRIM(R756))=0</formula>
    </cfRule>
  </conditionalFormatting>
  <conditionalFormatting sqref="R756">
    <cfRule type="expression" dxfId="3758" priority="3925">
      <formula>$C$43=0</formula>
    </cfRule>
  </conditionalFormatting>
  <conditionalFormatting sqref="E757:F757">
    <cfRule type="expression" dxfId="3757" priority="3924">
      <formula>$CQ754="Exterior"</formula>
    </cfRule>
  </conditionalFormatting>
  <conditionalFormatting sqref="R755">
    <cfRule type="expression" dxfId="3756" priority="3921" stopIfTrue="1">
      <formula>$N757="BAM"</formula>
    </cfRule>
  </conditionalFormatting>
  <conditionalFormatting sqref="R755">
    <cfRule type="containsBlanks" dxfId="3755" priority="3922">
      <formula>LEN(TRIM(R755))=0</formula>
    </cfRule>
  </conditionalFormatting>
  <conditionalFormatting sqref="R755">
    <cfRule type="expression" dxfId="3754" priority="3920" stopIfTrue="1">
      <formula>$G754=""</formula>
    </cfRule>
    <cfRule type="expression" dxfId="3753" priority="3923">
      <formula>$HY755=FALSE</formula>
    </cfRule>
  </conditionalFormatting>
  <conditionalFormatting sqref="G757">
    <cfRule type="expression" dxfId="3752" priority="3914" stopIfTrue="1">
      <formula>$G754=""</formula>
    </cfRule>
  </conditionalFormatting>
  <conditionalFormatting sqref="G757">
    <cfRule type="expression" dxfId="3751" priority="3916" stopIfTrue="1">
      <formula>$CQ754="Exterior"</formula>
    </cfRule>
  </conditionalFormatting>
  <conditionalFormatting sqref="G757:L757">
    <cfRule type="expression" dxfId="3750" priority="3915" stopIfTrue="1">
      <formula>$N757="BAM"</formula>
    </cfRule>
    <cfRule type="containsBlanks" dxfId="3749" priority="3917" stopIfTrue="1">
      <formula>LEN(TRIM(G757))=0</formula>
    </cfRule>
    <cfRule type="expression" dxfId="3748" priority="3919">
      <formula>$HQ755=FALSE</formula>
    </cfRule>
  </conditionalFormatting>
  <conditionalFormatting sqref="G757:L757">
    <cfRule type="expression" dxfId="3747" priority="3918" stopIfTrue="1">
      <formula>$AG756=""</formula>
    </cfRule>
  </conditionalFormatting>
  <conditionalFormatting sqref="G756:L756">
    <cfRule type="expression" dxfId="3746" priority="3912" stopIfTrue="1">
      <formula>$N757="BAM"</formula>
    </cfRule>
  </conditionalFormatting>
  <conditionalFormatting sqref="G754:R754">
    <cfRule type="containsBlanks" dxfId="3745" priority="3911">
      <formula>LEN(TRIM(G754))=0</formula>
    </cfRule>
  </conditionalFormatting>
  <conditionalFormatting sqref="AF756">
    <cfRule type="expression" dxfId="3744" priority="3901" stopIfTrue="1">
      <formula>$G754=""</formula>
    </cfRule>
    <cfRule type="expression" dxfId="3743" priority="3902" stopIfTrue="1">
      <formula>$N757="BAM"</formula>
    </cfRule>
    <cfRule type="expression" dxfId="3742" priority="3910">
      <formula>$AF$49&gt;$T$49</formula>
    </cfRule>
  </conditionalFormatting>
  <conditionalFormatting sqref="AC757:AE757">
    <cfRule type="expression" dxfId="3741" priority="3907" stopIfTrue="1">
      <formula>$G754=""</formula>
    </cfRule>
  </conditionalFormatting>
  <conditionalFormatting sqref="T756:U756">
    <cfRule type="expression" dxfId="3740" priority="3874" stopIfTrue="1">
      <formula>$G754=""</formula>
    </cfRule>
  </conditionalFormatting>
  <conditionalFormatting sqref="T756:U756">
    <cfRule type="containsBlanks" dxfId="3739" priority="3904" stopIfTrue="1">
      <formula>LEN(TRIM(T756))=0</formula>
    </cfRule>
  </conditionalFormatting>
  <conditionalFormatting sqref="AC754:AE754">
    <cfRule type="expression" dxfId="3738" priority="3903">
      <formula>$G754=""</formula>
    </cfRule>
  </conditionalFormatting>
  <conditionalFormatting sqref="AF756 AG757">
    <cfRule type="containsBlanks" dxfId="3737" priority="3908" stopIfTrue="1">
      <formula>LEN(TRIM(AF756))=0</formula>
    </cfRule>
  </conditionalFormatting>
  <conditionalFormatting sqref="AF756">
    <cfRule type="expression" dxfId="3736" priority="3909">
      <formula>OR($HS755=FALSE,$HT755=FALSE)</formula>
    </cfRule>
  </conditionalFormatting>
  <conditionalFormatting sqref="AG757">
    <cfRule type="expression" dxfId="3735" priority="3867">
      <formula>$C$43&gt;0</formula>
    </cfRule>
  </conditionalFormatting>
  <conditionalFormatting sqref="AG757">
    <cfRule type="expression" dxfId="3734" priority="3900" stopIfTrue="1">
      <formula>$G754=""</formula>
    </cfRule>
  </conditionalFormatting>
  <conditionalFormatting sqref="U756">
    <cfRule type="expression" dxfId="3733" priority="3905">
      <formula>OR($HK755=FALSE,$HL755=FALSE)</formula>
    </cfRule>
  </conditionalFormatting>
  <conditionalFormatting sqref="T755:U755">
    <cfRule type="expression" dxfId="3732" priority="3895" stopIfTrue="1">
      <formula>$C$43&lt;&gt;0</formula>
    </cfRule>
    <cfRule type="containsBlanks" dxfId="3731" priority="3896" stopIfTrue="1">
      <formula>LEN(TRIM(T755))=0</formula>
    </cfRule>
  </conditionalFormatting>
  <conditionalFormatting sqref="T755:U755">
    <cfRule type="expression" dxfId="3730" priority="3894" stopIfTrue="1">
      <formula>$G754=""</formula>
    </cfRule>
  </conditionalFormatting>
  <conditionalFormatting sqref="U755">
    <cfRule type="expression" dxfId="3729" priority="3897">
      <formula>$HJ755=FALSE</formula>
    </cfRule>
  </conditionalFormatting>
  <conditionalFormatting sqref="AG756">
    <cfRule type="expression" dxfId="3728" priority="3885" stopIfTrue="1">
      <formula>$G754=""</formula>
    </cfRule>
  </conditionalFormatting>
  <conditionalFormatting sqref="AG756:AL756">
    <cfRule type="expression" dxfId="3727" priority="3886">
      <formula>$N757="BAM"</formula>
    </cfRule>
    <cfRule type="expression" dxfId="3726" priority="3890">
      <formula>OR($HU755=FALSE,$HQ755=FALSE)</formula>
    </cfRule>
  </conditionalFormatting>
  <conditionalFormatting sqref="AG756">
    <cfRule type="containsBlanks" dxfId="3725" priority="3887" stopIfTrue="1">
      <formula>LEN(TRIM(AG756))=0</formula>
    </cfRule>
    <cfRule type="expression" dxfId="3724" priority="3888">
      <formula>OR($HP755=FALSE,$HR755=FALSE)</formula>
    </cfRule>
    <cfRule type="expression" dxfId="3723" priority="3889">
      <formula>OR($DS754=7,$DS754=8,$DS754=9)</formula>
    </cfRule>
  </conditionalFormatting>
  <conditionalFormatting sqref="AG754:AL754">
    <cfRule type="expression" dxfId="3722" priority="3884">
      <formula>$C$43&lt;&gt;0</formula>
    </cfRule>
  </conditionalFormatting>
  <conditionalFormatting sqref="AF755">
    <cfRule type="containsBlanks" dxfId="3721" priority="3883">
      <formula>LEN(TRIM(AF755))=0</formula>
    </cfRule>
  </conditionalFormatting>
  <conditionalFormatting sqref="AF755">
    <cfRule type="expression" dxfId="3720" priority="3882" stopIfTrue="1">
      <formula>$G754=""</formula>
    </cfRule>
  </conditionalFormatting>
  <conditionalFormatting sqref="AG755">
    <cfRule type="containsBlanks" dxfId="3719" priority="3880">
      <formula>LEN(TRIM(AG755))=0</formula>
    </cfRule>
    <cfRule type="expression" dxfId="3718" priority="3881">
      <formula>$HO755=FALSE</formula>
    </cfRule>
  </conditionalFormatting>
  <conditionalFormatting sqref="AG755">
    <cfRule type="expression" dxfId="3717" priority="3879" stopIfTrue="1">
      <formula>$G754=""</formula>
    </cfRule>
  </conditionalFormatting>
  <conditionalFormatting sqref="AF755:AK755">
    <cfRule type="expression" dxfId="3716" priority="3878">
      <formula>$C$43&gt;0</formula>
    </cfRule>
  </conditionalFormatting>
  <conditionalFormatting sqref="AM754:AN755">
    <cfRule type="expression" dxfId="3715" priority="3877">
      <formula>$G754=""</formula>
    </cfRule>
  </conditionalFormatting>
  <conditionalFormatting sqref="AM756:AN756">
    <cfRule type="expression" dxfId="3714" priority="3876" stopIfTrue="1">
      <formula>$G754=""</formula>
    </cfRule>
  </conditionalFormatting>
  <conditionalFormatting sqref="T756">
    <cfRule type="expression" dxfId="3713" priority="3898" stopIfTrue="1">
      <formula>$N757="BAM"</formula>
    </cfRule>
  </conditionalFormatting>
  <conditionalFormatting sqref="U756:AE756">
    <cfRule type="expression" dxfId="3712" priority="3875" stopIfTrue="1">
      <formula>$N757="BAM"</formula>
    </cfRule>
  </conditionalFormatting>
  <conditionalFormatting sqref="AG757:AL757">
    <cfRule type="expression" dxfId="3711" priority="3899" stopIfTrue="1">
      <formula>$N757="BAM"</formula>
    </cfRule>
  </conditionalFormatting>
  <conditionalFormatting sqref="AX760">
    <cfRule type="expression" dxfId="3710" priority="3865">
      <formula>$E760=""</formula>
    </cfRule>
  </conditionalFormatting>
  <conditionalFormatting sqref="AX759">
    <cfRule type="expression" dxfId="3709" priority="3864">
      <formula>$E759=""</formula>
    </cfRule>
  </conditionalFormatting>
  <conditionalFormatting sqref="AX761">
    <cfRule type="expression" dxfId="3708" priority="3863">
      <formula>#REF!=""</formula>
    </cfRule>
  </conditionalFormatting>
  <conditionalFormatting sqref="AX762">
    <cfRule type="expression" dxfId="3707" priority="3862">
      <formula>$E761=""</formula>
    </cfRule>
  </conditionalFormatting>
  <conditionalFormatting sqref="AY759:AZ762">
    <cfRule type="expression" dxfId="3706" priority="3861">
      <formula>$G759=""</formula>
    </cfRule>
  </conditionalFormatting>
  <conditionalFormatting sqref="G761">
    <cfRule type="expression" dxfId="3705" priority="3858" stopIfTrue="1">
      <formula>$G759=""</formula>
    </cfRule>
    <cfRule type="containsBlanks" dxfId="3704" priority="3859" stopIfTrue="1">
      <formula>LEN(TRIM(G761))=0</formula>
    </cfRule>
    <cfRule type="expression" dxfId="3703" priority="3860">
      <formula>OR($M761=0,$HH760=FALSE)</formula>
    </cfRule>
  </conditionalFormatting>
  <conditionalFormatting sqref="AO761">
    <cfRule type="expression" dxfId="3702" priority="3857" stopIfTrue="1">
      <formula>$G759=""</formula>
    </cfRule>
  </conditionalFormatting>
  <conditionalFormatting sqref="AU759:AU762">
    <cfRule type="expression" dxfId="3701" priority="3854" stopIfTrue="1">
      <formula>$C$43=2</formula>
    </cfRule>
    <cfRule type="cellIs" dxfId="3700" priority="3855" operator="equal">
      <formula>"Yes"</formula>
    </cfRule>
    <cfRule type="cellIs" dxfId="3699" priority="3856" operator="equal">
      <formula>"No"</formula>
    </cfRule>
  </conditionalFormatting>
  <conditionalFormatting sqref="AO759:AO760">
    <cfRule type="expression" dxfId="3698" priority="3853">
      <formula>$G759=""</formula>
    </cfRule>
  </conditionalFormatting>
  <conditionalFormatting sqref="AP759 AR759:AS762">
    <cfRule type="expression" dxfId="3697" priority="3852">
      <formula>$G759=""</formula>
    </cfRule>
  </conditionalFormatting>
  <conditionalFormatting sqref="AW759:AW762">
    <cfRule type="expression" dxfId="3696" priority="3851">
      <formula>$G759=""</formula>
    </cfRule>
  </conditionalFormatting>
  <conditionalFormatting sqref="G760:L760">
    <cfRule type="expression" dxfId="3695" priority="3849" stopIfTrue="1">
      <formula>$G759=""</formula>
    </cfRule>
    <cfRule type="containsBlanks" dxfId="3694" priority="3850">
      <formula>LEN(TRIM(G760))=0</formula>
    </cfRule>
  </conditionalFormatting>
  <conditionalFormatting sqref="R761">
    <cfRule type="expression" dxfId="3693" priority="3846">
      <formula>$N762="BAM"</formula>
    </cfRule>
    <cfRule type="expression" dxfId="3692" priority="3847" stopIfTrue="1">
      <formula>$G759=""</formula>
    </cfRule>
    <cfRule type="containsBlanks" dxfId="3691" priority="3848">
      <formula>LEN(TRIM(R761))=0</formula>
    </cfRule>
  </conditionalFormatting>
  <conditionalFormatting sqref="R761">
    <cfRule type="expression" dxfId="3690" priority="3845">
      <formula>$C$43=0</formula>
    </cfRule>
  </conditionalFormatting>
  <conditionalFormatting sqref="E762:F762">
    <cfRule type="expression" dxfId="3689" priority="3844">
      <formula>$CQ759="Exterior"</formula>
    </cfRule>
  </conditionalFormatting>
  <conditionalFormatting sqref="R760">
    <cfRule type="expression" dxfId="3688" priority="3841" stopIfTrue="1">
      <formula>$N762="BAM"</formula>
    </cfRule>
  </conditionalFormatting>
  <conditionalFormatting sqref="R760">
    <cfRule type="containsBlanks" dxfId="3687" priority="3842">
      <formula>LEN(TRIM(R760))=0</formula>
    </cfRule>
  </conditionalFormatting>
  <conditionalFormatting sqref="R760">
    <cfRule type="expression" dxfId="3686" priority="3840" stopIfTrue="1">
      <formula>$G759=""</formula>
    </cfRule>
    <cfRule type="expression" dxfId="3685" priority="3843">
      <formula>$HY760=FALSE</formula>
    </cfRule>
  </conditionalFormatting>
  <conditionalFormatting sqref="G762">
    <cfRule type="expression" dxfId="3684" priority="3834" stopIfTrue="1">
      <formula>$G759=""</formula>
    </cfRule>
  </conditionalFormatting>
  <conditionalFormatting sqref="G762">
    <cfRule type="expression" dxfId="3683" priority="3836" stopIfTrue="1">
      <formula>$CQ759="Exterior"</formula>
    </cfRule>
  </conditionalFormatting>
  <conditionalFormatting sqref="G762:L762">
    <cfRule type="expression" dxfId="3682" priority="3835" stopIfTrue="1">
      <formula>$N762="BAM"</formula>
    </cfRule>
    <cfRule type="containsBlanks" dxfId="3681" priority="3837" stopIfTrue="1">
      <formula>LEN(TRIM(G762))=0</formula>
    </cfRule>
    <cfRule type="expression" dxfId="3680" priority="3839">
      <formula>$HQ760=FALSE</formula>
    </cfRule>
  </conditionalFormatting>
  <conditionalFormatting sqref="G762:L762">
    <cfRule type="expression" dxfId="3679" priority="3838" stopIfTrue="1">
      <formula>$AG761=""</formula>
    </cfRule>
  </conditionalFormatting>
  <conditionalFormatting sqref="G761:L761">
    <cfRule type="expression" dxfId="3678" priority="3832" stopIfTrue="1">
      <formula>$N762="BAM"</formula>
    </cfRule>
  </conditionalFormatting>
  <conditionalFormatting sqref="G759:R759">
    <cfRule type="containsBlanks" dxfId="3677" priority="3831">
      <formula>LEN(TRIM(G759))=0</formula>
    </cfRule>
  </conditionalFormatting>
  <conditionalFormatting sqref="AF761">
    <cfRule type="expression" dxfId="3676" priority="3821" stopIfTrue="1">
      <formula>$G759=""</formula>
    </cfRule>
    <cfRule type="expression" dxfId="3675" priority="3822" stopIfTrue="1">
      <formula>$N762="BAM"</formula>
    </cfRule>
    <cfRule type="expression" dxfId="3674" priority="3830">
      <formula>$AF$49&gt;$T$49</formula>
    </cfRule>
  </conditionalFormatting>
  <conditionalFormatting sqref="AC762:AE762">
    <cfRule type="expression" dxfId="3673" priority="3827" stopIfTrue="1">
      <formula>$G759=""</formula>
    </cfRule>
  </conditionalFormatting>
  <conditionalFormatting sqref="T761:U761">
    <cfRule type="expression" dxfId="3672" priority="3794" stopIfTrue="1">
      <formula>$G759=""</formula>
    </cfRule>
  </conditionalFormatting>
  <conditionalFormatting sqref="T761:U761">
    <cfRule type="containsBlanks" dxfId="3671" priority="3824" stopIfTrue="1">
      <formula>LEN(TRIM(T761))=0</formula>
    </cfRule>
  </conditionalFormatting>
  <conditionalFormatting sqref="AC759:AE759">
    <cfRule type="expression" dxfId="3670" priority="3823">
      <formula>$G759=""</formula>
    </cfRule>
  </conditionalFormatting>
  <conditionalFormatting sqref="AF761 AG762">
    <cfRule type="containsBlanks" dxfId="3669" priority="3828" stopIfTrue="1">
      <formula>LEN(TRIM(AF761))=0</formula>
    </cfRule>
  </conditionalFormatting>
  <conditionalFormatting sqref="AF761">
    <cfRule type="expression" dxfId="3668" priority="3829">
      <formula>OR($HS760=FALSE,$HT760=FALSE)</formula>
    </cfRule>
  </conditionalFormatting>
  <conditionalFormatting sqref="AG762">
    <cfRule type="expression" dxfId="3667" priority="3787">
      <formula>$C$43&gt;0</formula>
    </cfRule>
  </conditionalFormatting>
  <conditionalFormatting sqref="AG762">
    <cfRule type="expression" dxfId="3666" priority="3820" stopIfTrue="1">
      <formula>$G759=""</formula>
    </cfRule>
  </conditionalFormatting>
  <conditionalFormatting sqref="U761">
    <cfRule type="expression" dxfId="3665" priority="3825">
      <formula>OR($HK760=FALSE,$HL760=FALSE)</formula>
    </cfRule>
  </conditionalFormatting>
  <conditionalFormatting sqref="T760:U760">
    <cfRule type="expression" dxfId="3664" priority="3815" stopIfTrue="1">
      <formula>$C$43&lt;&gt;0</formula>
    </cfRule>
    <cfRule type="containsBlanks" dxfId="3663" priority="3816" stopIfTrue="1">
      <formula>LEN(TRIM(T760))=0</formula>
    </cfRule>
  </conditionalFormatting>
  <conditionalFormatting sqref="T760:U760">
    <cfRule type="expression" dxfId="3662" priority="3814" stopIfTrue="1">
      <formula>$G759=""</formula>
    </cfRule>
  </conditionalFormatting>
  <conditionalFormatting sqref="U760">
    <cfRule type="expression" dxfId="3661" priority="3817">
      <formula>$HJ760=FALSE</formula>
    </cfRule>
  </conditionalFormatting>
  <conditionalFormatting sqref="AG761">
    <cfRule type="expression" dxfId="3660" priority="3805" stopIfTrue="1">
      <formula>$G759=""</formula>
    </cfRule>
  </conditionalFormatting>
  <conditionalFormatting sqref="AG761:AL761">
    <cfRule type="expression" dxfId="3659" priority="3806">
      <formula>$N762="BAM"</formula>
    </cfRule>
    <cfRule type="expression" dxfId="3658" priority="3810">
      <formula>OR($HU760=FALSE,$HQ760=FALSE)</formula>
    </cfRule>
  </conditionalFormatting>
  <conditionalFormatting sqref="AG761">
    <cfRule type="containsBlanks" dxfId="3657" priority="3807" stopIfTrue="1">
      <formula>LEN(TRIM(AG761))=0</formula>
    </cfRule>
    <cfRule type="expression" dxfId="3656" priority="3808">
      <formula>OR($HP760=FALSE,$HR760=FALSE)</formula>
    </cfRule>
    <cfRule type="expression" dxfId="3655" priority="3809">
      <formula>OR($DS759=7,$DS759=8,$DS759=9)</formula>
    </cfRule>
  </conditionalFormatting>
  <conditionalFormatting sqref="AG759:AL759">
    <cfRule type="expression" dxfId="3654" priority="3804">
      <formula>$C$43&lt;&gt;0</formula>
    </cfRule>
  </conditionalFormatting>
  <conditionalFormatting sqref="AF760">
    <cfRule type="containsBlanks" dxfId="3653" priority="3803">
      <formula>LEN(TRIM(AF760))=0</formula>
    </cfRule>
  </conditionalFormatting>
  <conditionalFormatting sqref="AF760">
    <cfRule type="expression" dxfId="3652" priority="3802" stopIfTrue="1">
      <formula>$G759=""</formula>
    </cfRule>
  </conditionalFormatting>
  <conditionalFormatting sqref="AG760">
    <cfRule type="containsBlanks" dxfId="3651" priority="3800">
      <formula>LEN(TRIM(AG760))=0</formula>
    </cfRule>
    <cfRule type="expression" dxfId="3650" priority="3801">
      <formula>$HO760=FALSE</formula>
    </cfRule>
  </conditionalFormatting>
  <conditionalFormatting sqref="AG760">
    <cfRule type="expression" dxfId="3649" priority="3799" stopIfTrue="1">
      <formula>$G759=""</formula>
    </cfRule>
  </conditionalFormatting>
  <conditionalFormatting sqref="AF760:AK760">
    <cfRule type="expression" dxfId="3648" priority="3798">
      <formula>$C$43&gt;0</formula>
    </cfRule>
  </conditionalFormatting>
  <conditionalFormatting sqref="AM759:AN760">
    <cfRule type="expression" dxfId="3647" priority="3797">
      <formula>$G759=""</formula>
    </cfRule>
  </conditionalFormatting>
  <conditionalFormatting sqref="AM761:AN761">
    <cfRule type="expression" dxfId="3646" priority="3796" stopIfTrue="1">
      <formula>$G759=""</formula>
    </cfRule>
  </conditionalFormatting>
  <conditionalFormatting sqref="T761">
    <cfRule type="expression" dxfId="3645" priority="3818" stopIfTrue="1">
      <formula>$N762="BAM"</formula>
    </cfRule>
  </conditionalFormatting>
  <conditionalFormatting sqref="U761:AE761">
    <cfRule type="expression" dxfId="3644" priority="3795" stopIfTrue="1">
      <formula>$N762="BAM"</formula>
    </cfRule>
  </conditionalFormatting>
  <conditionalFormatting sqref="AG762:AL762">
    <cfRule type="expression" dxfId="3643" priority="3819" stopIfTrue="1">
      <formula>$N762="BAM"</formula>
    </cfRule>
  </conditionalFormatting>
  <conditionalFormatting sqref="AX765">
    <cfRule type="expression" dxfId="3642" priority="3785">
      <formula>$E765=""</formula>
    </cfRule>
  </conditionalFormatting>
  <conditionalFormatting sqref="AX764">
    <cfRule type="expression" dxfId="3641" priority="3784">
      <formula>$E764=""</formula>
    </cfRule>
  </conditionalFormatting>
  <conditionalFormatting sqref="AX766">
    <cfRule type="expression" dxfId="3640" priority="3783">
      <formula>#REF!=""</formula>
    </cfRule>
  </conditionalFormatting>
  <conditionalFormatting sqref="AX767">
    <cfRule type="expression" dxfId="3639" priority="3782">
      <formula>$E766=""</formula>
    </cfRule>
  </conditionalFormatting>
  <conditionalFormatting sqref="AY764:AZ767">
    <cfRule type="expression" dxfId="3638" priority="3781">
      <formula>$G764=""</formula>
    </cfRule>
  </conditionalFormatting>
  <conditionalFormatting sqref="G766">
    <cfRule type="expression" dxfId="3637" priority="3778" stopIfTrue="1">
      <formula>$G764=""</formula>
    </cfRule>
    <cfRule type="containsBlanks" dxfId="3636" priority="3779" stopIfTrue="1">
      <formula>LEN(TRIM(G766))=0</formula>
    </cfRule>
    <cfRule type="expression" dxfId="3635" priority="3780">
      <formula>OR($M766=0,$HH765=FALSE)</formula>
    </cfRule>
  </conditionalFormatting>
  <conditionalFormatting sqref="AO766">
    <cfRule type="expression" dxfId="3634" priority="3777" stopIfTrue="1">
      <formula>$G764=""</formula>
    </cfRule>
  </conditionalFormatting>
  <conditionalFormatting sqref="AU764:AU767">
    <cfRule type="expression" dxfId="3633" priority="3774" stopIfTrue="1">
      <formula>$C$43=2</formula>
    </cfRule>
    <cfRule type="cellIs" dxfId="3632" priority="3775" operator="equal">
      <formula>"Yes"</formula>
    </cfRule>
    <cfRule type="cellIs" dxfId="3631" priority="3776" operator="equal">
      <formula>"No"</formula>
    </cfRule>
  </conditionalFormatting>
  <conditionalFormatting sqref="AO764:AO765">
    <cfRule type="expression" dxfId="3630" priority="3773">
      <formula>$G764=""</formula>
    </cfRule>
  </conditionalFormatting>
  <conditionalFormatting sqref="AP764 AR764:AS767">
    <cfRule type="expression" dxfId="3629" priority="3772">
      <formula>$G764=""</formula>
    </cfRule>
  </conditionalFormatting>
  <conditionalFormatting sqref="AW764:AW767">
    <cfRule type="expression" dxfId="3628" priority="3771">
      <formula>$G764=""</formula>
    </cfRule>
  </conditionalFormatting>
  <conditionalFormatting sqref="G765:L765">
    <cfRule type="expression" dxfId="3627" priority="3769" stopIfTrue="1">
      <formula>$G764=""</formula>
    </cfRule>
    <cfRule type="containsBlanks" dxfId="3626" priority="3770">
      <formula>LEN(TRIM(G765))=0</formula>
    </cfRule>
  </conditionalFormatting>
  <conditionalFormatting sqref="R766">
    <cfRule type="expression" dxfId="3625" priority="3766">
      <formula>$N767="BAM"</formula>
    </cfRule>
    <cfRule type="expression" dxfId="3624" priority="3767" stopIfTrue="1">
      <formula>$G764=""</formula>
    </cfRule>
    <cfRule type="containsBlanks" dxfId="3623" priority="3768">
      <formula>LEN(TRIM(R766))=0</formula>
    </cfRule>
  </conditionalFormatting>
  <conditionalFormatting sqref="R766">
    <cfRule type="expression" dxfId="3622" priority="3765">
      <formula>$C$43=0</formula>
    </cfRule>
  </conditionalFormatting>
  <conditionalFormatting sqref="E767:F767">
    <cfRule type="expression" dxfId="3621" priority="3764">
      <formula>$CQ764="Exterior"</formula>
    </cfRule>
  </conditionalFormatting>
  <conditionalFormatting sqref="R765">
    <cfRule type="expression" dxfId="3620" priority="3761" stopIfTrue="1">
      <formula>$N767="BAM"</formula>
    </cfRule>
  </conditionalFormatting>
  <conditionalFormatting sqref="R765">
    <cfRule type="containsBlanks" dxfId="3619" priority="3762">
      <formula>LEN(TRIM(R765))=0</formula>
    </cfRule>
  </conditionalFormatting>
  <conditionalFormatting sqref="R765">
    <cfRule type="expression" dxfId="3618" priority="3760" stopIfTrue="1">
      <formula>$G764=""</formula>
    </cfRule>
    <cfRule type="expression" dxfId="3617" priority="3763">
      <formula>$HY765=FALSE</formula>
    </cfRule>
  </conditionalFormatting>
  <conditionalFormatting sqref="G767">
    <cfRule type="expression" dxfId="3616" priority="3754" stopIfTrue="1">
      <formula>$G764=""</formula>
    </cfRule>
  </conditionalFormatting>
  <conditionalFormatting sqref="G767">
    <cfRule type="expression" dxfId="3615" priority="3756" stopIfTrue="1">
      <formula>$CQ764="Exterior"</formula>
    </cfRule>
  </conditionalFormatting>
  <conditionalFormatting sqref="G767:L767">
    <cfRule type="expression" dxfId="3614" priority="3755" stopIfTrue="1">
      <formula>$N767="BAM"</formula>
    </cfRule>
    <cfRule type="containsBlanks" dxfId="3613" priority="3757" stopIfTrue="1">
      <formula>LEN(TRIM(G767))=0</formula>
    </cfRule>
    <cfRule type="expression" dxfId="3612" priority="3759">
      <formula>$HQ765=FALSE</formula>
    </cfRule>
  </conditionalFormatting>
  <conditionalFormatting sqref="G767:L767">
    <cfRule type="expression" dxfId="3611" priority="3758" stopIfTrue="1">
      <formula>$AG766=""</formula>
    </cfRule>
  </conditionalFormatting>
  <conditionalFormatting sqref="G766:L766">
    <cfRule type="expression" dxfId="3610" priority="3752" stopIfTrue="1">
      <formula>$N767="BAM"</formula>
    </cfRule>
  </conditionalFormatting>
  <conditionalFormatting sqref="G764:R764">
    <cfRule type="containsBlanks" dxfId="3609" priority="3751">
      <formula>LEN(TRIM(G764))=0</formula>
    </cfRule>
  </conditionalFormatting>
  <conditionalFormatting sqref="AF766">
    <cfRule type="expression" dxfId="3608" priority="3741" stopIfTrue="1">
      <formula>$G764=""</formula>
    </cfRule>
    <cfRule type="expression" dxfId="3607" priority="3742" stopIfTrue="1">
      <formula>$N767="BAM"</formula>
    </cfRule>
    <cfRule type="expression" dxfId="3606" priority="3750">
      <formula>$AF$49&gt;$T$49</formula>
    </cfRule>
  </conditionalFormatting>
  <conditionalFormatting sqref="AC767:AE767">
    <cfRule type="expression" dxfId="3605" priority="3747" stopIfTrue="1">
      <formula>$G764=""</formula>
    </cfRule>
  </conditionalFormatting>
  <conditionalFormatting sqref="T766:U766">
    <cfRule type="expression" dxfId="3604" priority="3714" stopIfTrue="1">
      <formula>$G764=""</formula>
    </cfRule>
  </conditionalFormatting>
  <conditionalFormatting sqref="T766:U766">
    <cfRule type="containsBlanks" dxfId="3603" priority="3744" stopIfTrue="1">
      <formula>LEN(TRIM(T766))=0</formula>
    </cfRule>
  </conditionalFormatting>
  <conditionalFormatting sqref="AC764:AE764">
    <cfRule type="expression" dxfId="3602" priority="3743">
      <formula>$G764=""</formula>
    </cfRule>
  </conditionalFormatting>
  <conditionalFormatting sqref="AF766 AG767">
    <cfRule type="containsBlanks" dxfId="3601" priority="3748" stopIfTrue="1">
      <formula>LEN(TRIM(AF766))=0</formula>
    </cfRule>
  </conditionalFormatting>
  <conditionalFormatting sqref="AF766">
    <cfRule type="expression" dxfId="3600" priority="3749">
      <formula>OR($HS765=FALSE,$HT765=FALSE)</formula>
    </cfRule>
  </conditionalFormatting>
  <conditionalFormatting sqref="AG767">
    <cfRule type="expression" dxfId="3599" priority="3707">
      <formula>$C$43&gt;0</formula>
    </cfRule>
  </conditionalFormatting>
  <conditionalFormatting sqref="AG767">
    <cfRule type="expression" dxfId="3598" priority="3740" stopIfTrue="1">
      <formula>$G764=""</formula>
    </cfRule>
  </conditionalFormatting>
  <conditionalFormatting sqref="U766">
    <cfRule type="expression" dxfId="3597" priority="3745">
      <formula>OR($HK765=FALSE,$HL765=FALSE)</formula>
    </cfRule>
  </conditionalFormatting>
  <conditionalFormatting sqref="T765:U765">
    <cfRule type="expression" dxfId="3596" priority="3735" stopIfTrue="1">
      <formula>$C$43&lt;&gt;0</formula>
    </cfRule>
    <cfRule type="containsBlanks" dxfId="3595" priority="3736" stopIfTrue="1">
      <formula>LEN(TRIM(T765))=0</formula>
    </cfRule>
  </conditionalFormatting>
  <conditionalFormatting sqref="T765:U765">
    <cfRule type="expression" dxfId="3594" priority="3734" stopIfTrue="1">
      <formula>$G764=""</formula>
    </cfRule>
  </conditionalFormatting>
  <conditionalFormatting sqref="U765">
    <cfRule type="expression" dxfId="3593" priority="3737">
      <formula>$HJ765=FALSE</formula>
    </cfRule>
  </conditionalFormatting>
  <conditionalFormatting sqref="AG766">
    <cfRule type="expression" dxfId="3592" priority="3725" stopIfTrue="1">
      <formula>$G764=""</formula>
    </cfRule>
  </conditionalFormatting>
  <conditionalFormatting sqref="AG766:AL766">
    <cfRule type="expression" dxfId="3591" priority="3726">
      <formula>$N767="BAM"</formula>
    </cfRule>
    <cfRule type="expression" dxfId="3590" priority="3730">
      <formula>OR($HU765=FALSE,$HQ765=FALSE)</formula>
    </cfRule>
  </conditionalFormatting>
  <conditionalFormatting sqref="AG766">
    <cfRule type="containsBlanks" dxfId="3589" priority="3727" stopIfTrue="1">
      <formula>LEN(TRIM(AG766))=0</formula>
    </cfRule>
    <cfRule type="expression" dxfId="3588" priority="3728">
      <formula>OR($HP765=FALSE,$HR765=FALSE)</formula>
    </cfRule>
    <cfRule type="expression" dxfId="3587" priority="3729">
      <formula>OR($DS764=7,$DS764=8,$DS764=9)</formula>
    </cfRule>
  </conditionalFormatting>
  <conditionalFormatting sqref="AG764:AL764">
    <cfRule type="expression" dxfId="3586" priority="3724">
      <formula>$C$43&lt;&gt;0</formula>
    </cfRule>
  </conditionalFormatting>
  <conditionalFormatting sqref="AF765">
    <cfRule type="containsBlanks" dxfId="3585" priority="3723">
      <formula>LEN(TRIM(AF765))=0</formula>
    </cfRule>
  </conditionalFormatting>
  <conditionalFormatting sqref="AF765">
    <cfRule type="expression" dxfId="3584" priority="3722" stopIfTrue="1">
      <formula>$G764=""</formula>
    </cfRule>
  </conditionalFormatting>
  <conditionalFormatting sqref="AG765">
    <cfRule type="containsBlanks" dxfId="3583" priority="3720">
      <formula>LEN(TRIM(AG765))=0</formula>
    </cfRule>
    <cfRule type="expression" dxfId="3582" priority="3721">
      <formula>$HO765=FALSE</formula>
    </cfRule>
  </conditionalFormatting>
  <conditionalFormatting sqref="AG765">
    <cfRule type="expression" dxfId="3581" priority="3719" stopIfTrue="1">
      <formula>$G764=""</formula>
    </cfRule>
  </conditionalFormatting>
  <conditionalFormatting sqref="AF765:AK765">
    <cfRule type="expression" dxfId="3580" priority="3718">
      <formula>$C$43&gt;0</formula>
    </cfRule>
  </conditionalFormatting>
  <conditionalFormatting sqref="AM764:AN765">
    <cfRule type="expression" dxfId="3579" priority="3717">
      <formula>$G764=""</formula>
    </cfRule>
  </conditionalFormatting>
  <conditionalFormatting sqref="AM766:AN766">
    <cfRule type="expression" dxfId="3578" priority="3716" stopIfTrue="1">
      <formula>$G764=""</formula>
    </cfRule>
  </conditionalFormatting>
  <conditionalFormatting sqref="T766">
    <cfRule type="expression" dxfId="3577" priority="3738" stopIfTrue="1">
      <formula>$N767="BAM"</formula>
    </cfRule>
  </conditionalFormatting>
  <conditionalFormatting sqref="U766:AE766">
    <cfRule type="expression" dxfId="3576" priority="3715" stopIfTrue="1">
      <formula>$N767="BAM"</formula>
    </cfRule>
  </conditionalFormatting>
  <conditionalFormatting sqref="AG767:AL767">
    <cfRule type="expression" dxfId="3575" priority="3739" stopIfTrue="1">
      <formula>$N767="BAM"</formula>
    </cfRule>
  </conditionalFormatting>
  <conditionalFormatting sqref="AX770">
    <cfRule type="expression" dxfId="3574" priority="3705">
      <formula>$E770=""</formula>
    </cfRule>
  </conditionalFormatting>
  <conditionalFormatting sqref="AX769">
    <cfRule type="expression" dxfId="3573" priority="3704">
      <formula>$E769=""</formula>
    </cfRule>
  </conditionalFormatting>
  <conditionalFormatting sqref="AX771">
    <cfRule type="expression" dxfId="3572" priority="3703">
      <formula>#REF!=""</formula>
    </cfRule>
  </conditionalFormatting>
  <conditionalFormatting sqref="AX772">
    <cfRule type="expression" dxfId="3571" priority="3702">
      <formula>$E771=""</formula>
    </cfRule>
  </conditionalFormatting>
  <conditionalFormatting sqref="AY769:AZ772">
    <cfRule type="expression" dxfId="3570" priority="3701">
      <formula>$G769=""</formula>
    </cfRule>
  </conditionalFormatting>
  <conditionalFormatting sqref="G771">
    <cfRule type="expression" dxfId="3569" priority="3698" stopIfTrue="1">
      <formula>$G769=""</formula>
    </cfRule>
    <cfRule type="containsBlanks" dxfId="3568" priority="3699" stopIfTrue="1">
      <formula>LEN(TRIM(G771))=0</formula>
    </cfRule>
    <cfRule type="expression" dxfId="3567" priority="3700">
      <formula>OR($M771=0,$HH770=FALSE)</formula>
    </cfRule>
  </conditionalFormatting>
  <conditionalFormatting sqref="AO771">
    <cfRule type="expression" dxfId="3566" priority="3697" stopIfTrue="1">
      <formula>$G769=""</formula>
    </cfRule>
  </conditionalFormatting>
  <conditionalFormatting sqref="AU769:AU772">
    <cfRule type="expression" dxfId="3565" priority="3694" stopIfTrue="1">
      <formula>$C$43=2</formula>
    </cfRule>
    <cfRule type="cellIs" dxfId="3564" priority="3695" operator="equal">
      <formula>"Yes"</formula>
    </cfRule>
    <cfRule type="cellIs" dxfId="3563" priority="3696" operator="equal">
      <formula>"No"</formula>
    </cfRule>
  </conditionalFormatting>
  <conditionalFormatting sqref="AO769:AO770">
    <cfRule type="expression" dxfId="3562" priority="3693">
      <formula>$G769=""</formula>
    </cfRule>
  </conditionalFormatting>
  <conditionalFormatting sqref="AP769 AR769:AS772">
    <cfRule type="expression" dxfId="3561" priority="3692">
      <formula>$G769=""</formula>
    </cfRule>
  </conditionalFormatting>
  <conditionalFormatting sqref="AW769:AW772">
    <cfRule type="expression" dxfId="3560" priority="3691">
      <formula>$G769=""</formula>
    </cfRule>
  </conditionalFormatting>
  <conditionalFormatting sqref="G770:L770">
    <cfRule type="expression" dxfId="3559" priority="3689" stopIfTrue="1">
      <formula>$G769=""</formula>
    </cfRule>
    <cfRule type="containsBlanks" dxfId="3558" priority="3690">
      <formula>LEN(TRIM(G770))=0</formula>
    </cfRule>
  </conditionalFormatting>
  <conditionalFormatting sqref="R771">
    <cfRule type="expression" dxfId="3557" priority="3686">
      <formula>$N772="BAM"</formula>
    </cfRule>
    <cfRule type="expression" dxfId="3556" priority="3687" stopIfTrue="1">
      <formula>$G769=""</formula>
    </cfRule>
    <cfRule type="containsBlanks" dxfId="3555" priority="3688">
      <formula>LEN(TRIM(R771))=0</formula>
    </cfRule>
  </conditionalFormatting>
  <conditionalFormatting sqref="R771">
    <cfRule type="expression" dxfId="3554" priority="3685">
      <formula>$C$43=0</formula>
    </cfRule>
  </conditionalFormatting>
  <conditionalFormatting sqref="E772:F772">
    <cfRule type="expression" dxfId="3553" priority="3684">
      <formula>$CQ769="Exterior"</formula>
    </cfRule>
  </conditionalFormatting>
  <conditionalFormatting sqref="R770">
    <cfRule type="expression" dxfId="3552" priority="3681" stopIfTrue="1">
      <formula>$N772="BAM"</formula>
    </cfRule>
  </conditionalFormatting>
  <conditionalFormatting sqref="R770">
    <cfRule type="containsBlanks" dxfId="3551" priority="3682">
      <formula>LEN(TRIM(R770))=0</formula>
    </cfRule>
  </conditionalFormatting>
  <conditionalFormatting sqref="R770">
    <cfRule type="expression" dxfId="3550" priority="3680" stopIfTrue="1">
      <formula>$G769=""</formula>
    </cfRule>
    <cfRule type="expression" dxfId="3549" priority="3683">
      <formula>$HY770=FALSE</formula>
    </cfRule>
  </conditionalFormatting>
  <conditionalFormatting sqref="G772">
    <cfRule type="expression" dxfId="3548" priority="3674" stopIfTrue="1">
      <formula>$G769=""</formula>
    </cfRule>
  </conditionalFormatting>
  <conditionalFormatting sqref="G772">
    <cfRule type="expression" dxfId="3547" priority="3676" stopIfTrue="1">
      <formula>$CQ769="Exterior"</formula>
    </cfRule>
  </conditionalFormatting>
  <conditionalFormatting sqref="G772:L772">
    <cfRule type="expression" dxfId="3546" priority="3675" stopIfTrue="1">
      <formula>$N772="BAM"</formula>
    </cfRule>
    <cfRule type="containsBlanks" dxfId="3545" priority="3677" stopIfTrue="1">
      <formula>LEN(TRIM(G772))=0</formula>
    </cfRule>
    <cfRule type="expression" dxfId="3544" priority="3679">
      <formula>$HQ770=FALSE</formula>
    </cfRule>
  </conditionalFormatting>
  <conditionalFormatting sqref="G772:L772">
    <cfRule type="expression" dxfId="3543" priority="3678" stopIfTrue="1">
      <formula>$AG771=""</formula>
    </cfRule>
  </conditionalFormatting>
  <conditionalFormatting sqref="G771:L771">
    <cfRule type="expression" dxfId="3542" priority="3672" stopIfTrue="1">
      <formula>$N772="BAM"</formula>
    </cfRule>
  </conditionalFormatting>
  <conditionalFormatting sqref="G769:R769">
    <cfRule type="containsBlanks" dxfId="3541" priority="3671">
      <formula>LEN(TRIM(G769))=0</formula>
    </cfRule>
  </conditionalFormatting>
  <conditionalFormatting sqref="AF771">
    <cfRule type="expression" dxfId="3540" priority="3661" stopIfTrue="1">
      <formula>$G769=""</formula>
    </cfRule>
    <cfRule type="expression" dxfId="3539" priority="3662" stopIfTrue="1">
      <formula>$N772="BAM"</formula>
    </cfRule>
    <cfRule type="expression" dxfId="3538" priority="3670">
      <formula>$AF$49&gt;$T$49</formula>
    </cfRule>
  </conditionalFormatting>
  <conditionalFormatting sqref="AC772:AE772">
    <cfRule type="expression" dxfId="3537" priority="3667" stopIfTrue="1">
      <formula>$G769=""</formula>
    </cfRule>
  </conditionalFormatting>
  <conditionalFormatting sqref="T771:U771">
    <cfRule type="expression" dxfId="3536" priority="3634" stopIfTrue="1">
      <formula>$G769=""</formula>
    </cfRule>
  </conditionalFormatting>
  <conditionalFormatting sqref="T771:U771">
    <cfRule type="containsBlanks" dxfId="3535" priority="3664" stopIfTrue="1">
      <formula>LEN(TRIM(T771))=0</formula>
    </cfRule>
  </conditionalFormatting>
  <conditionalFormatting sqref="AC769:AE769">
    <cfRule type="expression" dxfId="3534" priority="3663">
      <formula>$G769=""</formula>
    </cfRule>
  </conditionalFormatting>
  <conditionalFormatting sqref="AF771 AG772">
    <cfRule type="containsBlanks" dxfId="3533" priority="3668" stopIfTrue="1">
      <formula>LEN(TRIM(AF771))=0</formula>
    </cfRule>
  </conditionalFormatting>
  <conditionalFormatting sqref="AF771">
    <cfRule type="expression" dxfId="3532" priority="3669">
      <formula>OR($HS770=FALSE,$HT770=FALSE)</formula>
    </cfRule>
  </conditionalFormatting>
  <conditionalFormatting sqref="AG772">
    <cfRule type="expression" dxfId="3531" priority="3627">
      <formula>$C$43&gt;0</formula>
    </cfRule>
  </conditionalFormatting>
  <conditionalFormatting sqref="AG772">
    <cfRule type="expression" dxfId="3530" priority="3660" stopIfTrue="1">
      <formula>$G769=""</formula>
    </cfRule>
  </conditionalFormatting>
  <conditionalFormatting sqref="U771">
    <cfRule type="expression" dxfId="3529" priority="3665">
      <formula>OR($HK770=FALSE,$HL770=FALSE)</formula>
    </cfRule>
  </conditionalFormatting>
  <conditionalFormatting sqref="T770:U770">
    <cfRule type="expression" dxfId="3528" priority="3655" stopIfTrue="1">
      <formula>$C$43&lt;&gt;0</formula>
    </cfRule>
    <cfRule type="containsBlanks" dxfId="3527" priority="3656" stopIfTrue="1">
      <formula>LEN(TRIM(T770))=0</formula>
    </cfRule>
  </conditionalFormatting>
  <conditionalFormatting sqref="T770:U770">
    <cfRule type="expression" dxfId="3526" priority="3654" stopIfTrue="1">
      <formula>$G769=""</formula>
    </cfRule>
  </conditionalFormatting>
  <conditionalFormatting sqref="U770">
    <cfRule type="expression" dxfId="3525" priority="3657">
      <formula>$HJ770=FALSE</formula>
    </cfRule>
  </conditionalFormatting>
  <conditionalFormatting sqref="AG771">
    <cfRule type="expression" dxfId="3524" priority="3645" stopIfTrue="1">
      <formula>$G769=""</formula>
    </cfRule>
  </conditionalFormatting>
  <conditionalFormatting sqref="AG771:AL771">
    <cfRule type="expression" dxfId="3523" priority="3646">
      <formula>$N772="BAM"</formula>
    </cfRule>
    <cfRule type="expression" dxfId="3522" priority="3650">
      <formula>OR($HU770=FALSE,$HQ770=FALSE)</formula>
    </cfRule>
  </conditionalFormatting>
  <conditionalFormatting sqref="AG771">
    <cfRule type="containsBlanks" dxfId="3521" priority="3647" stopIfTrue="1">
      <formula>LEN(TRIM(AG771))=0</formula>
    </cfRule>
    <cfRule type="expression" dxfId="3520" priority="3648">
      <formula>OR($HP770=FALSE,$HR770=FALSE)</formula>
    </cfRule>
    <cfRule type="expression" dxfId="3519" priority="3649">
      <formula>OR($DS769=7,$DS769=8,$DS769=9)</formula>
    </cfRule>
  </conditionalFormatting>
  <conditionalFormatting sqref="AG769:AL769">
    <cfRule type="expression" dxfId="3518" priority="3644">
      <formula>$C$43&lt;&gt;0</formula>
    </cfRule>
  </conditionalFormatting>
  <conditionalFormatting sqref="AF770">
    <cfRule type="containsBlanks" dxfId="3517" priority="3643">
      <formula>LEN(TRIM(AF770))=0</formula>
    </cfRule>
  </conditionalFormatting>
  <conditionalFormatting sqref="AF770">
    <cfRule type="expression" dxfId="3516" priority="3642" stopIfTrue="1">
      <formula>$G769=""</formula>
    </cfRule>
  </conditionalFormatting>
  <conditionalFormatting sqref="AG770">
    <cfRule type="containsBlanks" dxfId="3515" priority="3640">
      <formula>LEN(TRIM(AG770))=0</formula>
    </cfRule>
    <cfRule type="expression" dxfId="3514" priority="3641">
      <formula>$HO770=FALSE</formula>
    </cfRule>
  </conditionalFormatting>
  <conditionalFormatting sqref="AG770">
    <cfRule type="expression" dxfId="3513" priority="3639" stopIfTrue="1">
      <formula>$G769=""</formula>
    </cfRule>
  </conditionalFormatting>
  <conditionalFormatting sqref="AF770:AK770">
    <cfRule type="expression" dxfId="3512" priority="3638">
      <formula>$C$43&gt;0</formula>
    </cfRule>
  </conditionalFormatting>
  <conditionalFormatting sqref="AM769:AN770">
    <cfRule type="expression" dxfId="3511" priority="3637">
      <formula>$G769=""</formula>
    </cfRule>
  </conditionalFormatting>
  <conditionalFormatting sqref="AM771:AN771">
    <cfRule type="expression" dxfId="3510" priority="3636" stopIfTrue="1">
      <formula>$G769=""</formula>
    </cfRule>
  </conditionalFormatting>
  <conditionalFormatting sqref="T771">
    <cfRule type="expression" dxfId="3509" priority="3658" stopIfTrue="1">
      <formula>$N772="BAM"</formula>
    </cfRule>
  </conditionalFormatting>
  <conditionalFormatting sqref="U771:AE771">
    <cfRule type="expression" dxfId="3508" priority="3635" stopIfTrue="1">
      <formula>$N772="BAM"</formula>
    </cfRule>
  </conditionalFormatting>
  <conditionalFormatting sqref="AG772:AL772">
    <cfRule type="expression" dxfId="3507" priority="3659" stopIfTrue="1">
      <formula>$N772="BAM"</formula>
    </cfRule>
  </conditionalFormatting>
  <conditionalFormatting sqref="AX775">
    <cfRule type="expression" dxfId="3506" priority="3625">
      <formula>$E775=""</formula>
    </cfRule>
  </conditionalFormatting>
  <conditionalFormatting sqref="AX774">
    <cfRule type="expression" dxfId="3505" priority="3624">
      <formula>$E774=""</formula>
    </cfRule>
  </conditionalFormatting>
  <conditionalFormatting sqref="AX776">
    <cfRule type="expression" dxfId="3504" priority="3623">
      <formula>#REF!=""</formula>
    </cfRule>
  </conditionalFormatting>
  <conditionalFormatting sqref="AX777">
    <cfRule type="expression" dxfId="3503" priority="3622">
      <formula>$E776=""</formula>
    </cfRule>
  </conditionalFormatting>
  <conditionalFormatting sqref="AY774:AZ777">
    <cfRule type="expression" dxfId="3502" priority="3621">
      <formula>$G774=""</formula>
    </cfRule>
  </conditionalFormatting>
  <conditionalFormatting sqref="G776">
    <cfRule type="expression" dxfId="3501" priority="3618" stopIfTrue="1">
      <formula>$G774=""</formula>
    </cfRule>
    <cfRule type="containsBlanks" dxfId="3500" priority="3619" stopIfTrue="1">
      <formula>LEN(TRIM(G776))=0</formula>
    </cfRule>
    <cfRule type="expression" dxfId="3499" priority="3620">
      <formula>OR($M776=0,$HH775=FALSE)</formula>
    </cfRule>
  </conditionalFormatting>
  <conditionalFormatting sqref="AO776">
    <cfRule type="expression" dxfId="3498" priority="3617" stopIfTrue="1">
      <formula>$G774=""</formula>
    </cfRule>
  </conditionalFormatting>
  <conditionalFormatting sqref="AU774:AU777">
    <cfRule type="expression" dxfId="3497" priority="3614" stopIfTrue="1">
      <formula>$C$43=2</formula>
    </cfRule>
    <cfRule type="cellIs" dxfId="3496" priority="3615" operator="equal">
      <formula>"Yes"</formula>
    </cfRule>
    <cfRule type="cellIs" dxfId="3495" priority="3616" operator="equal">
      <formula>"No"</formula>
    </cfRule>
  </conditionalFormatting>
  <conditionalFormatting sqref="AO774:AO775">
    <cfRule type="expression" dxfId="3494" priority="3613">
      <formula>$G774=""</formula>
    </cfRule>
  </conditionalFormatting>
  <conditionalFormatting sqref="AP774 AR774:AS777">
    <cfRule type="expression" dxfId="3493" priority="3612">
      <formula>$G774=""</formula>
    </cfRule>
  </conditionalFormatting>
  <conditionalFormatting sqref="AW774:AW777">
    <cfRule type="expression" dxfId="3492" priority="3611">
      <formula>$G774=""</formula>
    </cfRule>
  </conditionalFormatting>
  <conditionalFormatting sqref="G775:L775">
    <cfRule type="expression" dxfId="3491" priority="3609" stopIfTrue="1">
      <formula>$G774=""</formula>
    </cfRule>
    <cfRule type="containsBlanks" dxfId="3490" priority="3610">
      <formula>LEN(TRIM(G775))=0</formula>
    </cfRule>
  </conditionalFormatting>
  <conditionalFormatting sqref="R776">
    <cfRule type="expression" dxfId="3489" priority="3606">
      <formula>$N777="BAM"</formula>
    </cfRule>
    <cfRule type="expression" dxfId="3488" priority="3607" stopIfTrue="1">
      <formula>$G774=""</formula>
    </cfRule>
    <cfRule type="containsBlanks" dxfId="3487" priority="3608">
      <formula>LEN(TRIM(R776))=0</formula>
    </cfRule>
  </conditionalFormatting>
  <conditionalFormatting sqref="R776">
    <cfRule type="expression" dxfId="3486" priority="3605">
      <formula>$C$43=0</formula>
    </cfRule>
  </conditionalFormatting>
  <conditionalFormatting sqref="E777:F777">
    <cfRule type="expression" dxfId="3485" priority="3604">
      <formula>$CQ774="Exterior"</formula>
    </cfRule>
  </conditionalFormatting>
  <conditionalFormatting sqref="R775">
    <cfRule type="expression" dxfId="3484" priority="3601" stopIfTrue="1">
      <formula>$N777="BAM"</formula>
    </cfRule>
  </conditionalFormatting>
  <conditionalFormatting sqref="R775">
    <cfRule type="containsBlanks" dxfId="3483" priority="3602">
      <formula>LEN(TRIM(R775))=0</formula>
    </cfRule>
  </conditionalFormatting>
  <conditionalFormatting sqref="R775">
    <cfRule type="expression" dxfId="3482" priority="3600" stopIfTrue="1">
      <formula>$G774=""</formula>
    </cfRule>
    <cfRule type="expression" dxfId="3481" priority="3603">
      <formula>$HY775=FALSE</formula>
    </cfRule>
  </conditionalFormatting>
  <conditionalFormatting sqref="G777">
    <cfRule type="expression" dxfId="3480" priority="3594" stopIfTrue="1">
      <formula>$G774=""</formula>
    </cfRule>
  </conditionalFormatting>
  <conditionalFormatting sqref="G777">
    <cfRule type="expression" dxfId="3479" priority="3596" stopIfTrue="1">
      <formula>$CQ774="Exterior"</formula>
    </cfRule>
  </conditionalFormatting>
  <conditionalFormatting sqref="G777:L777">
    <cfRule type="expression" dxfId="3478" priority="3595" stopIfTrue="1">
      <formula>$N777="BAM"</formula>
    </cfRule>
    <cfRule type="containsBlanks" dxfId="3477" priority="3597" stopIfTrue="1">
      <formula>LEN(TRIM(G777))=0</formula>
    </cfRule>
    <cfRule type="expression" dxfId="3476" priority="3599">
      <formula>$HQ775=FALSE</formula>
    </cfRule>
  </conditionalFormatting>
  <conditionalFormatting sqref="G777:L777">
    <cfRule type="expression" dxfId="3475" priority="3598" stopIfTrue="1">
      <formula>$AG776=""</formula>
    </cfRule>
  </conditionalFormatting>
  <conditionalFormatting sqref="G776:L776">
    <cfRule type="expression" dxfId="3474" priority="3592" stopIfTrue="1">
      <formula>$N777="BAM"</formula>
    </cfRule>
  </conditionalFormatting>
  <conditionalFormatting sqref="G774:R774">
    <cfRule type="containsBlanks" dxfId="3473" priority="3591">
      <formula>LEN(TRIM(G774))=0</formula>
    </cfRule>
  </conditionalFormatting>
  <conditionalFormatting sqref="AF776">
    <cfRule type="expression" dxfId="3472" priority="3581" stopIfTrue="1">
      <formula>$G774=""</formula>
    </cfRule>
    <cfRule type="expression" dxfId="3471" priority="3582" stopIfTrue="1">
      <formula>$N777="BAM"</formula>
    </cfRule>
    <cfRule type="expression" dxfId="3470" priority="3590">
      <formula>$AF$49&gt;$T$49</formula>
    </cfRule>
  </conditionalFormatting>
  <conditionalFormatting sqref="AC777:AE777">
    <cfRule type="expression" dxfId="3469" priority="3587" stopIfTrue="1">
      <formula>$G774=""</formula>
    </cfRule>
  </conditionalFormatting>
  <conditionalFormatting sqref="T776:U776">
    <cfRule type="expression" dxfId="3468" priority="3554" stopIfTrue="1">
      <formula>$G774=""</formula>
    </cfRule>
  </conditionalFormatting>
  <conditionalFormatting sqref="T776:U776">
    <cfRule type="containsBlanks" dxfId="3467" priority="3584" stopIfTrue="1">
      <formula>LEN(TRIM(T776))=0</formula>
    </cfRule>
  </conditionalFormatting>
  <conditionalFormatting sqref="AC774:AE774">
    <cfRule type="expression" dxfId="3466" priority="3583">
      <formula>$G774=""</formula>
    </cfRule>
  </conditionalFormatting>
  <conditionalFormatting sqref="AF776 AG777">
    <cfRule type="containsBlanks" dxfId="3465" priority="3588" stopIfTrue="1">
      <formula>LEN(TRIM(AF776))=0</formula>
    </cfRule>
  </conditionalFormatting>
  <conditionalFormatting sqref="AF776">
    <cfRule type="expression" dxfId="3464" priority="3589">
      <formula>OR($HS775=FALSE,$HT775=FALSE)</formula>
    </cfRule>
  </conditionalFormatting>
  <conditionalFormatting sqref="AG777">
    <cfRule type="expression" dxfId="3463" priority="3547">
      <formula>$C$43&gt;0</formula>
    </cfRule>
  </conditionalFormatting>
  <conditionalFormatting sqref="AG777">
    <cfRule type="expression" dxfId="3462" priority="3580" stopIfTrue="1">
      <formula>$G774=""</formula>
    </cfRule>
  </conditionalFormatting>
  <conditionalFormatting sqref="U776">
    <cfRule type="expression" dxfId="3461" priority="3585">
      <formula>OR($HK775=FALSE,$HL775=FALSE)</formula>
    </cfRule>
  </conditionalFormatting>
  <conditionalFormatting sqref="T775:U775">
    <cfRule type="expression" dxfId="3460" priority="3575" stopIfTrue="1">
      <formula>$C$43&lt;&gt;0</formula>
    </cfRule>
    <cfRule type="containsBlanks" dxfId="3459" priority="3576" stopIfTrue="1">
      <formula>LEN(TRIM(T775))=0</formula>
    </cfRule>
  </conditionalFormatting>
  <conditionalFormatting sqref="T775:U775">
    <cfRule type="expression" dxfId="3458" priority="3574" stopIfTrue="1">
      <formula>$G774=""</formula>
    </cfRule>
  </conditionalFormatting>
  <conditionalFormatting sqref="U775">
    <cfRule type="expression" dxfId="3457" priority="3577">
      <formula>$HJ775=FALSE</formula>
    </cfRule>
  </conditionalFormatting>
  <conditionalFormatting sqref="AG776">
    <cfRule type="expression" dxfId="3456" priority="3565" stopIfTrue="1">
      <formula>$G774=""</formula>
    </cfRule>
  </conditionalFormatting>
  <conditionalFormatting sqref="AG776:AL776">
    <cfRule type="expression" dxfId="3455" priority="3566">
      <formula>$N777="BAM"</formula>
    </cfRule>
    <cfRule type="expression" dxfId="3454" priority="3570">
      <formula>OR($HU775=FALSE,$HQ775=FALSE)</formula>
    </cfRule>
  </conditionalFormatting>
  <conditionalFormatting sqref="AG776">
    <cfRule type="containsBlanks" dxfId="3453" priority="3567" stopIfTrue="1">
      <formula>LEN(TRIM(AG776))=0</formula>
    </cfRule>
    <cfRule type="expression" dxfId="3452" priority="3568">
      <formula>OR($HP775=FALSE,$HR775=FALSE)</formula>
    </cfRule>
    <cfRule type="expression" dxfId="3451" priority="3569">
      <formula>OR($DS774=7,$DS774=8,$DS774=9)</formula>
    </cfRule>
  </conditionalFormatting>
  <conditionalFormatting sqref="AG774:AL774">
    <cfRule type="expression" dxfId="3450" priority="3564">
      <formula>$C$43&lt;&gt;0</formula>
    </cfRule>
  </conditionalFormatting>
  <conditionalFormatting sqref="AF775">
    <cfRule type="containsBlanks" dxfId="3449" priority="3563">
      <formula>LEN(TRIM(AF775))=0</formula>
    </cfRule>
  </conditionalFormatting>
  <conditionalFormatting sqref="AF775">
    <cfRule type="expression" dxfId="3448" priority="3562" stopIfTrue="1">
      <formula>$G774=""</formula>
    </cfRule>
  </conditionalFormatting>
  <conditionalFormatting sqref="AG775">
    <cfRule type="containsBlanks" dxfId="3447" priority="3560">
      <formula>LEN(TRIM(AG775))=0</formula>
    </cfRule>
    <cfRule type="expression" dxfId="3446" priority="3561">
      <formula>$HO775=FALSE</formula>
    </cfRule>
  </conditionalFormatting>
  <conditionalFormatting sqref="AG775">
    <cfRule type="expression" dxfId="3445" priority="3559" stopIfTrue="1">
      <formula>$G774=""</formula>
    </cfRule>
  </conditionalFormatting>
  <conditionalFormatting sqref="AF775:AK775">
    <cfRule type="expression" dxfId="3444" priority="3558">
      <formula>$C$43&gt;0</formula>
    </cfRule>
  </conditionalFormatting>
  <conditionalFormatting sqref="AM774:AN775">
    <cfRule type="expression" dxfId="3443" priority="3557">
      <formula>$G774=""</formula>
    </cfRule>
  </conditionalFormatting>
  <conditionalFormatting sqref="AM776:AN776">
    <cfRule type="expression" dxfId="3442" priority="3556" stopIfTrue="1">
      <formula>$G774=""</formula>
    </cfRule>
  </conditionalFormatting>
  <conditionalFormatting sqref="T776">
    <cfRule type="expression" dxfId="3441" priority="3578" stopIfTrue="1">
      <formula>$N777="BAM"</formula>
    </cfRule>
  </conditionalFormatting>
  <conditionalFormatting sqref="U776:AE776">
    <cfRule type="expression" dxfId="3440" priority="3555" stopIfTrue="1">
      <formula>$N777="BAM"</formula>
    </cfRule>
  </conditionalFormatting>
  <conditionalFormatting sqref="AG777:AL777">
    <cfRule type="expression" dxfId="3439" priority="3579" stopIfTrue="1">
      <formula>$N777="BAM"</formula>
    </cfRule>
  </conditionalFormatting>
  <conditionalFormatting sqref="AX780">
    <cfRule type="expression" dxfId="3438" priority="3545">
      <formula>$E780=""</formula>
    </cfRule>
  </conditionalFormatting>
  <conditionalFormatting sqref="AX779">
    <cfRule type="expression" dxfId="3437" priority="3544">
      <formula>$E779=""</formula>
    </cfRule>
  </conditionalFormatting>
  <conditionalFormatting sqref="AX781">
    <cfRule type="expression" dxfId="3436" priority="3543">
      <formula>#REF!=""</formula>
    </cfRule>
  </conditionalFormatting>
  <conditionalFormatting sqref="AX782">
    <cfRule type="expression" dxfId="3435" priority="3542">
      <formula>$E781=""</formula>
    </cfRule>
  </conditionalFormatting>
  <conditionalFormatting sqref="AY779:AZ782">
    <cfRule type="expression" dxfId="3434" priority="3541">
      <formula>$G779=""</formula>
    </cfRule>
  </conditionalFormatting>
  <conditionalFormatting sqref="G781">
    <cfRule type="expression" dxfId="3433" priority="3538" stopIfTrue="1">
      <formula>$G779=""</formula>
    </cfRule>
    <cfRule type="containsBlanks" dxfId="3432" priority="3539" stopIfTrue="1">
      <formula>LEN(TRIM(G781))=0</formula>
    </cfRule>
    <cfRule type="expression" dxfId="3431" priority="3540">
      <formula>OR($M781=0,$HH780=FALSE)</formula>
    </cfRule>
  </conditionalFormatting>
  <conditionalFormatting sqref="AO781">
    <cfRule type="expression" dxfId="3430" priority="3537" stopIfTrue="1">
      <formula>$G779=""</formula>
    </cfRule>
  </conditionalFormatting>
  <conditionalFormatting sqref="AU779:AU782">
    <cfRule type="expression" dxfId="3429" priority="3534" stopIfTrue="1">
      <formula>$C$43=2</formula>
    </cfRule>
    <cfRule type="cellIs" dxfId="3428" priority="3535" operator="equal">
      <formula>"Yes"</formula>
    </cfRule>
    <cfRule type="cellIs" dxfId="3427" priority="3536" operator="equal">
      <formula>"No"</formula>
    </cfRule>
  </conditionalFormatting>
  <conditionalFormatting sqref="AO779:AO780">
    <cfRule type="expression" dxfId="3426" priority="3533">
      <formula>$G779=""</formula>
    </cfRule>
  </conditionalFormatting>
  <conditionalFormatting sqref="AP779 AR779:AS782">
    <cfRule type="expression" dxfId="3425" priority="3532">
      <formula>$G779=""</formula>
    </cfRule>
  </conditionalFormatting>
  <conditionalFormatting sqref="AW779:AW782">
    <cfRule type="expression" dxfId="3424" priority="3531">
      <formula>$G779=""</formula>
    </cfRule>
  </conditionalFormatting>
  <conditionalFormatting sqref="G780:L780">
    <cfRule type="expression" dxfId="3423" priority="3529" stopIfTrue="1">
      <formula>$G779=""</formula>
    </cfRule>
    <cfRule type="containsBlanks" dxfId="3422" priority="3530">
      <formula>LEN(TRIM(G780))=0</formula>
    </cfRule>
  </conditionalFormatting>
  <conditionalFormatting sqref="R781">
    <cfRule type="expression" dxfId="3421" priority="3526">
      <formula>$N782="BAM"</formula>
    </cfRule>
    <cfRule type="expression" dxfId="3420" priority="3527" stopIfTrue="1">
      <formula>$G779=""</formula>
    </cfRule>
    <cfRule type="containsBlanks" dxfId="3419" priority="3528">
      <formula>LEN(TRIM(R781))=0</formula>
    </cfRule>
  </conditionalFormatting>
  <conditionalFormatting sqref="R781">
    <cfRule type="expression" dxfId="3418" priority="3525">
      <formula>$C$43=0</formula>
    </cfRule>
  </conditionalFormatting>
  <conditionalFormatting sqref="E782:F782">
    <cfRule type="expression" dxfId="3417" priority="3524">
      <formula>$CQ779="Exterior"</formula>
    </cfRule>
  </conditionalFormatting>
  <conditionalFormatting sqref="R780">
    <cfRule type="expression" dxfId="3416" priority="3521" stopIfTrue="1">
      <formula>$N782="BAM"</formula>
    </cfRule>
  </conditionalFormatting>
  <conditionalFormatting sqref="R780">
    <cfRule type="containsBlanks" dxfId="3415" priority="3522">
      <formula>LEN(TRIM(R780))=0</formula>
    </cfRule>
  </conditionalFormatting>
  <conditionalFormatting sqref="R780">
    <cfRule type="expression" dxfId="3414" priority="3520" stopIfTrue="1">
      <formula>$G779=""</formula>
    </cfRule>
    <cfRule type="expression" dxfId="3413" priority="3523">
      <formula>$HY780=FALSE</formula>
    </cfRule>
  </conditionalFormatting>
  <conditionalFormatting sqref="G782">
    <cfRule type="expression" dxfId="3412" priority="3514" stopIfTrue="1">
      <formula>$G779=""</formula>
    </cfRule>
  </conditionalFormatting>
  <conditionalFormatting sqref="G782">
    <cfRule type="expression" dxfId="3411" priority="3516" stopIfTrue="1">
      <formula>$CQ779="Exterior"</formula>
    </cfRule>
  </conditionalFormatting>
  <conditionalFormatting sqref="G782:L782">
    <cfRule type="expression" dxfId="3410" priority="3515" stopIfTrue="1">
      <formula>$N782="BAM"</formula>
    </cfRule>
    <cfRule type="containsBlanks" dxfId="3409" priority="3517" stopIfTrue="1">
      <formula>LEN(TRIM(G782))=0</formula>
    </cfRule>
    <cfRule type="expression" dxfId="3408" priority="3519">
      <formula>$HQ780=FALSE</formula>
    </cfRule>
  </conditionalFormatting>
  <conditionalFormatting sqref="G782:L782">
    <cfRule type="expression" dxfId="3407" priority="3518" stopIfTrue="1">
      <formula>$AG781=""</formula>
    </cfRule>
  </conditionalFormatting>
  <conditionalFormatting sqref="G781:L781">
    <cfRule type="expression" dxfId="3406" priority="3512" stopIfTrue="1">
      <formula>$N782="BAM"</formula>
    </cfRule>
  </conditionalFormatting>
  <conditionalFormatting sqref="G779:R779">
    <cfRule type="containsBlanks" dxfId="3405" priority="3511">
      <formula>LEN(TRIM(G779))=0</formula>
    </cfRule>
  </conditionalFormatting>
  <conditionalFormatting sqref="AF781">
    <cfRule type="expression" dxfId="3404" priority="3501" stopIfTrue="1">
      <formula>$G779=""</formula>
    </cfRule>
    <cfRule type="expression" dxfId="3403" priority="3502" stopIfTrue="1">
      <formula>$N782="BAM"</formula>
    </cfRule>
    <cfRule type="expression" dxfId="3402" priority="3510">
      <formula>$AF$49&gt;$T$49</formula>
    </cfRule>
  </conditionalFormatting>
  <conditionalFormatting sqref="AC782:AE782">
    <cfRule type="expression" dxfId="3401" priority="3507" stopIfTrue="1">
      <formula>$G779=""</formula>
    </cfRule>
  </conditionalFormatting>
  <conditionalFormatting sqref="T781:U781">
    <cfRule type="expression" dxfId="3400" priority="3474" stopIfTrue="1">
      <formula>$G779=""</formula>
    </cfRule>
  </conditionalFormatting>
  <conditionalFormatting sqref="T781:U781">
    <cfRule type="containsBlanks" dxfId="3399" priority="3504" stopIfTrue="1">
      <formula>LEN(TRIM(T781))=0</formula>
    </cfRule>
  </conditionalFormatting>
  <conditionalFormatting sqref="AC779:AE779">
    <cfRule type="expression" dxfId="3398" priority="3503">
      <formula>$G779=""</formula>
    </cfRule>
  </conditionalFormatting>
  <conditionalFormatting sqref="AF781 AG782">
    <cfRule type="containsBlanks" dxfId="3397" priority="3508" stopIfTrue="1">
      <formula>LEN(TRIM(AF781))=0</formula>
    </cfRule>
  </conditionalFormatting>
  <conditionalFormatting sqref="AF781">
    <cfRule type="expression" dxfId="3396" priority="3509">
      <formula>OR($HS780=FALSE,$HT780=FALSE)</formula>
    </cfRule>
  </conditionalFormatting>
  <conditionalFormatting sqref="AG782">
    <cfRule type="expression" dxfId="3395" priority="3467">
      <formula>$C$43&gt;0</formula>
    </cfRule>
  </conditionalFormatting>
  <conditionalFormatting sqref="AG782">
    <cfRule type="expression" dxfId="3394" priority="3500" stopIfTrue="1">
      <formula>$G779=""</formula>
    </cfRule>
  </conditionalFormatting>
  <conditionalFormatting sqref="U781">
    <cfRule type="expression" dxfId="3393" priority="3505">
      <formula>OR($HK780=FALSE,$HL780=FALSE)</formula>
    </cfRule>
  </conditionalFormatting>
  <conditionalFormatting sqref="T780:U780">
    <cfRule type="expression" dxfId="3392" priority="3495" stopIfTrue="1">
      <formula>$C$43&lt;&gt;0</formula>
    </cfRule>
    <cfRule type="containsBlanks" dxfId="3391" priority="3496" stopIfTrue="1">
      <formula>LEN(TRIM(T780))=0</formula>
    </cfRule>
  </conditionalFormatting>
  <conditionalFormatting sqref="T780:U780">
    <cfRule type="expression" dxfId="3390" priority="3494" stopIfTrue="1">
      <formula>$G779=""</formula>
    </cfRule>
  </conditionalFormatting>
  <conditionalFormatting sqref="U780">
    <cfRule type="expression" dxfId="3389" priority="3497">
      <formula>$HJ780=FALSE</formula>
    </cfRule>
  </conditionalFormatting>
  <conditionalFormatting sqref="AG781">
    <cfRule type="expression" dxfId="3388" priority="3485" stopIfTrue="1">
      <formula>$G779=""</formula>
    </cfRule>
  </conditionalFormatting>
  <conditionalFormatting sqref="AG781:AL781">
    <cfRule type="expression" dxfId="3387" priority="3486">
      <formula>$N782="BAM"</formula>
    </cfRule>
    <cfRule type="expression" dxfId="3386" priority="3490">
      <formula>OR($HU780=FALSE,$HQ780=FALSE)</formula>
    </cfRule>
  </conditionalFormatting>
  <conditionalFormatting sqref="AG781">
    <cfRule type="containsBlanks" dxfId="3385" priority="3487" stopIfTrue="1">
      <formula>LEN(TRIM(AG781))=0</formula>
    </cfRule>
    <cfRule type="expression" dxfId="3384" priority="3488">
      <formula>OR($HP780=FALSE,$HR780=FALSE)</formula>
    </cfRule>
    <cfRule type="expression" dxfId="3383" priority="3489">
      <formula>OR($DS779=7,$DS779=8,$DS779=9)</formula>
    </cfRule>
  </conditionalFormatting>
  <conditionalFormatting sqref="AG779:AL779">
    <cfRule type="expression" dxfId="3382" priority="3484">
      <formula>$C$43&lt;&gt;0</formula>
    </cfRule>
  </conditionalFormatting>
  <conditionalFormatting sqref="AF780">
    <cfRule type="containsBlanks" dxfId="3381" priority="3483">
      <formula>LEN(TRIM(AF780))=0</formula>
    </cfRule>
  </conditionalFormatting>
  <conditionalFormatting sqref="AF780">
    <cfRule type="expression" dxfId="3380" priority="3482" stopIfTrue="1">
      <formula>$G779=""</formula>
    </cfRule>
  </conditionalFormatting>
  <conditionalFormatting sqref="AG780">
    <cfRule type="containsBlanks" dxfId="3379" priority="3480">
      <formula>LEN(TRIM(AG780))=0</formula>
    </cfRule>
    <cfRule type="expression" dxfId="3378" priority="3481">
      <formula>$HO780=FALSE</formula>
    </cfRule>
  </conditionalFormatting>
  <conditionalFormatting sqref="AG780">
    <cfRule type="expression" dxfId="3377" priority="3479" stopIfTrue="1">
      <formula>$G779=""</formula>
    </cfRule>
  </conditionalFormatting>
  <conditionalFormatting sqref="AF780:AK780">
    <cfRule type="expression" dxfId="3376" priority="3478">
      <formula>$C$43&gt;0</formula>
    </cfRule>
  </conditionalFormatting>
  <conditionalFormatting sqref="AM779:AN780">
    <cfRule type="expression" dxfId="3375" priority="3477">
      <formula>$G779=""</formula>
    </cfRule>
  </conditionalFormatting>
  <conditionalFormatting sqref="AM781:AN781">
    <cfRule type="expression" dxfId="3374" priority="3476" stopIfTrue="1">
      <formula>$G779=""</formula>
    </cfRule>
  </conditionalFormatting>
  <conditionalFormatting sqref="T781">
    <cfRule type="expression" dxfId="3373" priority="3498" stopIfTrue="1">
      <formula>$N782="BAM"</formula>
    </cfRule>
  </conditionalFormatting>
  <conditionalFormatting sqref="U781:AE781">
    <cfRule type="expression" dxfId="3372" priority="3475" stopIfTrue="1">
      <formula>$N782="BAM"</formula>
    </cfRule>
  </conditionalFormatting>
  <conditionalFormatting sqref="AG782:AL782">
    <cfRule type="expression" dxfId="3371" priority="3499" stopIfTrue="1">
      <formula>$N782="BAM"</formula>
    </cfRule>
  </conditionalFormatting>
  <conditionalFormatting sqref="AX785">
    <cfRule type="expression" dxfId="3370" priority="3465">
      <formula>$E785=""</formula>
    </cfRule>
  </conditionalFormatting>
  <conditionalFormatting sqref="AX784">
    <cfRule type="expression" dxfId="3369" priority="3464">
      <formula>$E784=""</formula>
    </cfRule>
  </conditionalFormatting>
  <conditionalFormatting sqref="AX786">
    <cfRule type="expression" dxfId="3368" priority="3463">
      <formula>#REF!=""</formula>
    </cfRule>
  </conditionalFormatting>
  <conditionalFormatting sqref="AX787">
    <cfRule type="expression" dxfId="3367" priority="3462">
      <formula>$E786=""</formula>
    </cfRule>
  </conditionalFormatting>
  <conditionalFormatting sqref="AY784:AZ787">
    <cfRule type="expression" dxfId="3366" priority="3461">
      <formula>$G784=""</formula>
    </cfRule>
  </conditionalFormatting>
  <conditionalFormatting sqref="G786">
    <cfRule type="expression" dxfId="3365" priority="3458" stopIfTrue="1">
      <formula>$G784=""</formula>
    </cfRule>
    <cfRule type="containsBlanks" dxfId="3364" priority="3459" stopIfTrue="1">
      <formula>LEN(TRIM(G786))=0</formula>
    </cfRule>
    <cfRule type="expression" dxfId="3363" priority="3460">
      <formula>OR($M786=0,$HH785=FALSE)</formula>
    </cfRule>
  </conditionalFormatting>
  <conditionalFormatting sqref="AO786">
    <cfRule type="expression" dxfId="3362" priority="3457" stopIfTrue="1">
      <formula>$G784=""</formula>
    </cfRule>
  </conditionalFormatting>
  <conditionalFormatting sqref="AU784:AU787">
    <cfRule type="expression" dxfId="3361" priority="3454" stopIfTrue="1">
      <formula>$C$43=2</formula>
    </cfRule>
    <cfRule type="cellIs" dxfId="3360" priority="3455" operator="equal">
      <formula>"Yes"</formula>
    </cfRule>
    <cfRule type="cellIs" dxfId="3359" priority="3456" operator="equal">
      <formula>"No"</formula>
    </cfRule>
  </conditionalFormatting>
  <conditionalFormatting sqref="AO784:AO785">
    <cfRule type="expression" dxfId="3358" priority="3453">
      <formula>$G784=""</formula>
    </cfRule>
  </conditionalFormatting>
  <conditionalFormatting sqref="AP784 AR784:AS787">
    <cfRule type="expression" dxfId="3357" priority="3452">
      <formula>$G784=""</formula>
    </cfRule>
  </conditionalFormatting>
  <conditionalFormatting sqref="AW784:AW787">
    <cfRule type="expression" dxfId="3356" priority="3451">
      <formula>$G784=""</formula>
    </cfRule>
  </conditionalFormatting>
  <conditionalFormatting sqref="G785:L785">
    <cfRule type="expression" dxfId="3355" priority="3449" stopIfTrue="1">
      <formula>$G784=""</formula>
    </cfRule>
    <cfRule type="containsBlanks" dxfId="3354" priority="3450">
      <formula>LEN(TRIM(G785))=0</formula>
    </cfRule>
  </conditionalFormatting>
  <conditionalFormatting sqref="R786">
    <cfRule type="expression" dxfId="3353" priority="3446">
      <formula>$N787="BAM"</formula>
    </cfRule>
    <cfRule type="expression" dxfId="3352" priority="3447" stopIfTrue="1">
      <formula>$G784=""</formula>
    </cfRule>
    <cfRule type="containsBlanks" dxfId="3351" priority="3448">
      <formula>LEN(TRIM(R786))=0</formula>
    </cfRule>
  </conditionalFormatting>
  <conditionalFormatting sqref="R786">
    <cfRule type="expression" dxfId="3350" priority="3445">
      <formula>$C$43=0</formula>
    </cfRule>
  </conditionalFormatting>
  <conditionalFormatting sqref="E787:F787">
    <cfRule type="expression" dxfId="3349" priority="3444">
      <formula>$CQ784="Exterior"</formula>
    </cfRule>
  </conditionalFormatting>
  <conditionalFormatting sqref="R785">
    <cfRule type="expression" dxfId="3348" priority="3441" stopIfTrue="1">
      <formula>$N787="BAM"</formula>
    </cfRule>
  </conditionalFormatting>
  <conditionalFormatting sqref="R785">
    <cfRule type="containsBlanks" dxfId="3347" priority="3442">
      <formula>LEN(TRIM(R785))=0</formula>
    </cfRule>
  </conditionalFormatting>
  <conditionalFormatting sqref="R785">
    <cfRule type="expression" dxfId="3346" priority="3440" stopIfTrue="1">
      <formula>$G784=""</formula>
    </cfRule>
    <cfRule type="expression" dxfId="3345" priority="3443">
      <formula>$HY785=FALSE</formula>
    </cfRule>
  </conditionalFormatting>
  <conditionalFormatting sqref="G787">
    <cfRule type="expression" dxfId="3344" priority="3434" stopIfTrue="1">
      <formula>$G784=""</formula>
    </cfRule>
  </conditionalFormatting>
  <conditionalFormatting sqref="G787">
    <cfRule type="expression" dxfId="3343" priority="3436" stopIfTrue="1">
      <formula>$CQ784="Exterior"</formula>
    </cfRule>
  </conditionalFormatting>
  <conditionalFormatting sqref="G787:L787">
    <cfRule type="expression" dxfId="3342" priority="3435" stopIfTrue="1">
      <formula>$N787="BAM"</formula>
    </cfRule>
    <cfRule type="containsBlanks" dxfId="3341" priority="3437" stopIfTrue="1">
      <formula>LEN(TRIM(G787))=0</formula>
    </cfRule>
    <cfRule type="expression" dxfId="3340" priority="3439">
      <formula>$HQ785=FALSE</formula>
    </cfRule>
  </conditionalFormatting>
  <conditionalFormatting sqref="G787:L787">
    <cfRule type="expression" dxfId="3339" priority="3438" stopIfTrue="1">
      <formula>$AG786=""</formula>
    </cfRule>
  </conditionalFormatting>
  <conditionalFormatting sqref="G786:L786">
    <cfRule type="expression" dxfId="3338" priority="3432" stopIfTrue="1">
      <formula>$N787="BAM"</formula>
    </cfRule>
  </conditionalFormatting>
  <conditionalFormatting sqref="G784:R784">
    <cfRule type="containsBlanks" dxfId="3337" priority="3431">
      <formula>LEN(TRIM(G784))=0</formula>
    </cfRule>
  </conditionalFormatting>
  <conditionalFormatting sqref="AF786">
    <cfRule type="expression" dxfId="3336" priority="3421" stopIfTrue="1">
      <formula>$G784=""</formula>
    </cfRule>
    <cfRule type="expression" dxfId="3335" priority="3422" stopIfTrue="1">
      <formula>$N787="BAM"</formula>
    </cfRule>
    <cfRule type="expression" dxfId="3334" priority="3430">
      <formula>$AF$49&gt;$T$49</formula>
    </cfRule>
  </conditionalFormatting>
  <conditionalFormatting sqref="AC787:AE787">
    <cfRule type="expression" dxfId="3333" priority="3427" stopIfTrue="1">
      <formula>$G784=""</formula>
    </cfRule>
  </conditionalFormatting>
  <conditionalFormatting sqref="T786:U786">
    <cfRule type="expression" dxfId="3332" priority="3394" stopIfTrue="1">
      <formula>$G784=""</formula>
    </cfRule>
  </conditionalFormatting>
  <conditionalFormatting sqref="T786:U786">
    <cfRule type="containsBlanks" dxfId="3331" priority="3424" stopIfTrue="1">
      <formula>LEN(TRIM(T786))=0</formula>
    </cfRule>
  </conditionalFormatting>
  <conditionalFormatting sqref="AC784:AE784">
    <cfRule type="expression" dxfId="3330" priority="3423">
      <formula>$G784=""</formula>
    </cfRule>
  </conditionalFormatting>
  <conditionalFormatting sqref="AF786 AG787">
    <cfRule type="containsBlanks" dxfId="3329" priority="3428" stopIfTrue="1">
      <formula>LEN(TRIM(AF786))=0</formula>
    </cfRule>
  </conditionalFormatting>
  <conditionalFormatting sqref="AF786">
    <cfRule type="expression" dxfId="3328" priority="3429">
      <formula>OR($HS785=FALSE,$HT785=FALSE)</formula>
    </cfRule>
  </conditionalFormatting>
  <conditionalFormatting sqref="AG787">
    <cfRule type="expression" dxfId="3327" priority="3387">
      <formula>$C$43&gt;0</formula>
    </cfRule>
  </conditionalFormatting>
  <conditionalFormatting sqref="AG787">
    <cfRule type="expression" dxfId="3326" priority="3420" stopIfTrue="1">
      <formula>$G784=""</formula>
    </cfRule>
  </conditionalFormatting>
  <conditionalFormatting sqref="U786">
    <cfRule type="expression" dxfId="3325" priority="3425">
      <formula>OR($HK785=FALSE,$HL785=FALSE)</formula>
    </cfRule>
  </conditionalFormatting>
  <conditionalFormatting sqref="T785:U785">
    <cfRule type="expression" dxfId="3324" priority="3415" stopIfTrue="1">
      <formula>$C$43&lt;&gt;0</formula>
    </cfRule>
    <cfRule type="containsBlanks" dxfId="3323" priority="3416" stopIfTrue="1">
      <formula>LEN(TRIM(T785))=0</formula>
    </cfRule>
  </conditionalFormatting>
  <conditionalFormatting sqref="T785:U785">
    <cfRule type="expression" dxfId="3322" priority="3414" stopIfTrue="1">
      <formula>$G784=""</formula>
    </cfRule>
  </conditionalFormatting>
  <conditionalFormatting sqref="U785">
    <cfRule type="expression" dxfId="3321" priority="3417">
      <formula>$HJ785=FALSE</formula>
    </cfRule>
  </conditionalFormatting>
  <conditionalFormatting sqref="AG786">
    <cfRule type="expression" dxfId="3320" priority="3405" stopIfTrue="1">
      <formula>$G784=""</formula>
    </cfRule>
  </conditionalFormatting>
  <conditionalFormatting sqref="AG786:AL786">
    <cfRule type="expression" dxfId="3319" priority="3406">
      <formula>$N787="BAM"</formula>
    </cfRule>
    <cfRule type="expression" dxfId="3318" priority="3410">
      <formula>OR($HU785=FALSE,$HQ785=FALSE)</formula>
    </cfRule>
  </conditionalFormatting>
  <conditionalFormatting sqref="AG786">
    <cfRule type="containsBlanks" dxfId="3317" priority="3407" stopIfTrue="1">
      <formula>LEN(TRIM(AG786))=0</formula>
    </cfRule>
    <cfRule type="expression" dxfId="3316" priority="3408">
      <formula>OR($HP785=FALSE,$HR785=FALSE)</formula>
    </cfRule>
    <cfRule type="expression" dxfId="3315" priority="3409">
      <formula>OR($DS784=7,$DS784=8,$DS784=9)</formula>
    </cfRule>
  </conditionalFormatting>
  <conditionalFormatting sqref="AG784:AL784">
    <cfRule type="expression" dxfId="3314" priority="3404">
      <formula>$C$43&lt;&gt;0</formula>
    </cfRule>
  </conditionalFormatting>
  <conditionalFormatting sqref="AF785">
    <cfRule type="containsBlanks" dxfId="3313" priority="3403">
      <formula>LEN(TRIM(AF785))=0</formula>
    </cfRule>
  </conditionalFormatting>
  <conditionalFormatting sqref="AF785">
    <cfRule type="expression" dxfId="3312" priority="3402" stopIfTrue="1">
      <formula>$G784=""</formula>
    </cfRule>
  </conditionalFormatting>
  <conditionalFormatting sqref="AG785">
    <cfRule type="containsBlanks" dxfId="3311" priority="3400">
      <formula>LEN(TRIM(AG785))=0</formula>
    </cfRule>
    <cfRule type="expression" dxfId="3310" priority="3401">
      <formula>$HO785=FALSE</formula>
    </cfRule>
  </conditionalFormatting>
  <conditionalFormatting sqref="AG785">
    <cfRule type="expression" dxfId="3309" priority="3399" stopIfTrue="1">
      <formula>$G784=""</formula>
    </cfRule>
  </conditionalFormatting>
  <conditionalFormatting sqref="AF785:AK785">
    <cfRule type="expression" dxfId="3308" priority="3398">
      <formula>$C$43&gt;0</formula>
    </cfRule>
  </conditionalFormatting>
  <conditionalFormatting sqref="AM784:AN785">
    <cfRule type="expression" dxfId="3307" priority="3397">
      <formula>$G784=""</formula>
    </cfRule>
  </conditionalFormatting>
  <conditionalFormatting sqref="AM786:AN786">
    <cfRule type="expression" dxfId="3306" priority="3396" stopIfTrue="1">
      <formula>$G784=""</formula>
    </cfRule>
  </conditionalFormatting>
  <conditionalFormatting sqref="T786">
    <cfRule type="expression" dxfId="3305" priority="3418" stopIfTrue="1">
      <formula>$N787="BAM"</formula>
    </cfRule>
  </conditionalFormatting>
  <conditionalFormatting sqref="U786:AE786">
    <cfRule type="expression" dxfId="3304" priority="3395" stopIfTrue="1">
      <formula>$N787="BAM"</formula>
    </cfRule>
  </conditionalFormatting>
  <conditionalFormatting sqref="AG787:AL787">
    <cfRule type="expression" dxfId="3303" priority="3419" stopIfTrue="1">
      <formula>$N787="BAM"</formula>
    </cfRule>
  </conditionalFormatting>
  <conditionalFormatting sqref="AX790">
    <cfRule type="expression" dxfId="3302" priority="3385">
      <formula>$E790=""</formula>
    </cfRule>
  </conditionalFormatting>
  <conditionalFormatting sqref="AX789">
    <cfRule type="expression" dxfId="3301" priority="3384">
      <formula>$E789=""</formula>
    </cfRule>
  </conditionalFormatting>
  <conditionalFormatting sqref="AX791">
    <cfRule type="expression" dxfId="3300" priority="3383">
      <formula>#REF!=""</formula>
    </cfRule>
  </conditionalFormatting>
  <conditionalFormatting sqref="AX792">
    <cfRule type="expression" dxfId="3299" priority="3382">
      <formula>$E791=""</formula>
    </cfRule>
  </conditionalFormatting>
  <conditionalFormatting sqref="AY789:AZ792">
    <cfRule type="expression" dxfId="3298" priority="3381">
      <formula>$G789=""</formula>
    </cfRule>
  </conditionalFormatting>
  <conditionalFormatting sqref="G791">
    <cfRule type="expression" dxfId="3297" priority="3378" stopIfTrue="1">
      <formula>$G789=""</formula>
    </cfRule>
    <cfRule type="containsBlanks" dxfId="3296" priority="3379" stopIfTrue="1">
      <formula>LEN(TRIM(G791))=0</formula>
    </cfRule>
    <cfRule type="expression" dxfId="3295" priority="3380">
      <formula>OR($M791=0,$HH790=FALSE)</formula>
    </cfRule>
  </conditionalFormatting>
  <conditionalFormatting sqref="AO791">
    <cfRule type="expression" dxfId="3294" priority="3377" stopIfTrue="1">
      <formula>$G789=""</formula>
    </cfRule>
  </conditionalFormatting>
  <conditionalFormatting sqref="AU789:AU792">
    <cfRule type="expression" dxfId="3293" priority="3374" stopIfTrue="1">
      <formula>$C$43=2</formula>
    </cfRule>
    <cfRule type="cellIs" dxfId="3292" priority="3375" operator="equal">
      <formula>"Yes"</formula>
    </cfRule>
    <cfRule type="cellIs" dxfId="3291" priority="3376" operator="equal">
      <formula>"No"</formula>
    </cfRule>
  </conditionalFormatting>
  <conditionalFormatting sqref="AO789:AO790">
    <cfRule type="expression" dxfId="3290" priority="3373">
      <formula>$G789=""</formula>
    </cfRule>
  </conditionalFormatting>
  <conditionalFormatting sqref="AP789 AR789:AS792">
    <cfRule type="expression" dxfId="3289" priority="3372">
      <formula>$G789=""</formula>
    </cfRule>
  </conditionalFormatting>
  <conditionalFormatting sqref="AW789:AW792">
    <cfRule type="expression" dxfId="3288" priority="3371">
      <formula>$G789=""</formula>
    </cfRule>
  </conditionalFormatting>
  <conditionalFormatting sqref="G790:L790">
    <cfRule type="expression" dxfId="3287" priority="3369" stopIfTrue="1">
      <formula>$G789=""</formula>
    </cfRule>
    <cfRule type="containsBlanks" dxfId="3286" priority="3370">
      <formula>LEN(TRIM(G790))=0</formula>
    </cfRule>
  </conditionalFormatting>
  <conditionalFormatting sqref="R791">
    <cfRule type="expression" dxfId="3285" priority="3366">
      <formula>$N792="BAM"</formula>
    </cfRule>
    <cfRule type="expression" dxfId="3284" priority="3367" stopIfTrue="1">
      <formula>$G789=""</formula>
    </cfRule>
    <cfRule type="containsBlanks" dxfId="3283" priority="3368">
      <formula>LEN(TRIM(R791))=0</formula>
    </cfRule>
  </conditionalFormatting>
  <conditionalFormatting sqref="R791">
    <cfRule type="expression" dxfId="3282" priority="3365">
      <formula>$C$43=0</formula>
    </cfRule>
  </conditionalFormatting>
  <conditionalFormatting sqref="E792:F792">
    <cfRule type="expression" dxfId="3281" priority="3364">
      <formula>$CQ789="Exterior"</formula>
    </cfRule>
  </conditionalFormatting>
  <conditionalFormatting sqref="R790">
    <cfRule type="expression" dxfId="3280" priority="3361" stopIfTrue="1">
      <formula>$N792="BAM"</formula>
    </cfRule>
  </conditionalFormatting>
  <conditionalFormatting sqref="R790">
    <cfRule type="containsBlanks" dxfId="3279" priority="3362">
      <formula>LEN(TRIM(R790))=0</formula>
    </cfRule>
  </conditionalFormatting>
  <conditionalFormatting sqref="R790">
    <cfRule type="expression" dxfId="3278" priority="3360" stopIfTrue="1">
      <formula>$G789=""</formula>
    </cfRule>
    <cfRule type="expression" dxfId="3277" priority="3363">
      <formula>$HY790=FALSE</formula>
    </cfRule>
  </conditionalFormatting>
  <conditionalFormatting sqref="G792">
    <cfRule type="expression" dxfId="3276" priority="3354" stopIfTrue="1">
      <formula>$G789=""</formula>
    </cfRule>
  </conditionalFormatting>
  <conditionalFormatting sqref="G792">
    <cfRule type="expression" dxfId="3275" priority="3356" stopIfTrue="1">
      <formula>$CQ789="Exterior"</formula>
    </cfRule>
  </conditionalFormatting>
  <conditionalFormatting sqref="G792:L792">
    <cfRule type="expression" dxfId="3274" priority="3355" stopIfTrue="1">
      <formula>$N792="BAM"</formula>
    </cfRule>
    <cfRule type="containsBlanks" dxfId="3273" priority="3357" stopIfTrue="1">
      <formula>LEN(TRIM(G792))=0</formula>
    </cfRule>
    <cfRule type="expression" dxfId="3272" priority="3359">
      <formula>$HQ790=FALSE</formula>
    </cfRule>
  </conditionalFormatting>
  <conditionalFormatting sqref="G792:L792">
    <cfRule type="expression" dxfId="3271" priority="3358" stopIfTrue="1">
      <formula>$AG791=""</formula>
    </cfRule>
  </conditionalFormatting>
  <conditionalFormatting sqref="G791:L791">
    <cfRule type="expression" dxfId="3270" priority="3352" stopIfTrue="1">
      <formula>$N792="BAM"</formula>
    </cfRule>
  </conditionalFormatting>
  <conditionalFormatting sqref="G789:R789">
    <cfRule type="containsBlanks" dxfId="3269" priority="3351">
      <formula>LEN(TRIM(G789))=0</formula>
    </cfRule>
  </conditionalFormatting>
  <conditionalFormatting sqref="AF791">
    <cfRule type="expression" dxfId="3268" priority="3341" stopIfTrue="1">
      <formula>$G789=""</formula>
    </cfRule>
    <cfRule type="expression" dxfId="3267" priority="3342" stopIfTrue="1">
      <formula>$N792="BAM"</formula>
    </cfRule>
    <cfRule type="expression" dxfId="3266" priority="3350">
      <formula>$AF$49&gt;$T$49</formula>
    </cfRule>
  </conditionalFormatting>
  <conditionalFormatting sqref="AC792:AE792">
    <cfRule type="expression" dxfId="3265" priority="3347" stopIfTrue="1">
      <formula>$G789=""</formula>
    </cfRule>
  </conditionalFormatting>
  <conditionalFormatting sqref="T791:U791">
    <cfRule type="expression" dxfId="3264" priority="3314" stopIfTrue="1">
      <formula>$G789=""</formula>
    </cfRule>
  </conditionalFormatting>
  <conditionalFormatting sqref="T791:U791">
    <cfRule type="containsBlanks" dxfId="3263" priority="3344" stopIfTrue="1">
      <formula>LEN(TRIM(T791))=0</formula>
    </cfRule>
  </conditionalFormatting>
  <conditionalFormatting sqref="AC789:AE789">
    <cfRule type="expression" dxfId="3262" priority="3343">
      <formula>$G789=""</formula>
    </cfRule>
  </conditionalFormatting>
  <conditionalFormatting sqref="AF791 AG792">
    <cfRule type="containsBlanks" dxfId="3261" priority="3348" stopIfTrue="1">
      <formula>LEN(TRIM(AF791))=0</formula>
    </cfRule>
  </conditionalFormatting>
  <conditionalFormatting sqref="AF791">
    <cfRule type="expression" dxfId="3260" priority="3349">
      <formula>OR($HS790=FALSE,$HT790=FALSE)</formula>
    </cfRule>
  </conditionalFormatting>
  <conditionalFormatting sqref="AG792">
    <cfRule type="expression" dxfId="3259" priority="3307">
      <formula>$C$43&gt;0</formula>
    </cfRule>
  </conditionalFormatting>
  <conditionalFormatting sqref="AG792">
    <cfRule type="expression" dxfId="3258" priority="3340" stopIfTrue="1">
      <formula>$G789=""</formula>
    </cfRule>
  </conditionalFormatting>
  <conditionalFormatting sqref="U791">
    <cfRule type="expression" dxfId="3257" priority="3345">
      <formula>OR($HK790=FALSE,$HL790=FALSE)</formula>
    </cfRule>
  </conditionalFormatting>
  <conditionalFormatting sqref="T790:U790">
    <cfRule type="expression" dxfId="3256" priority="3335" stopIfTrue="1">
      <formula>$C$43&lt;&gt;0</formula>
    </cfRule>
    <cfRule type="containsBlanks" dxfId="3255" priority="3336" stopIfTrue="1">
      <formula>LEN(TRIM(T790))=0</formula>
    </cfRule>
  </conditionalFormatting>
  <conditionalFormatting sqref="T790:U790">
    <cfRule type="expression" dxfId="3254" priority="3334" stopIfTrue="1">
      <formula>$G789=""</formula>
    </cfRule>
  </conditionalFormatting>
  <conditionalFormatting sqref="U790">
    <cfRule type="expression" dxfId="3253" priority="3337">
      <formula>$HJ790=FALSE</formula>
    </cfRule>
  </conditionalFormatting>
  <conditionalFormatting sqref="AG791">
    <cfRule type="expression" dxfId="3252" priority="3325" stopIfTrue="1">
      <formula>$G789=""</formula>
    </cfRule>
  </conditionalFormatting>
  <conditionalFormatting sqref="AG791:AL791">
    <cfRule type="expression" dxfId="3251" priority="3326">
      <formula>$N792="BAM"</formula>
    </cfRule>
    <cfRule type="expression" dxfId="3250" priority="3330">
      <formula>OR($HU790=FALSE,$HQ790=FALSE)</formula>
    </cfRule>
  </conditionalFormatting>
  <conditionalFormatting sqref="AG791">
    <cfRule type="containsBlanks" dxfId="3249" priority="3327" stopIfTrue="1">
      <formula>LEN(TRIM(AG791))=0</formula>
    </cfRule>
    <cfRule type="expression" dxfId="3248" priority="3328">
      <formula>OR($HP790=FALSE,$HR790=FALSE)</formula>
    </cfRule>
    <cfRule type="expression" dxfId="3247" priority="3329">
      <formula>OR($DS789=7,$DS789=8,$DS789=9)</formula>
    </cfRule>
  </conditionalFormatting>
  <conditionalFormatting sqref="AG789:AL789">
    <cfRule type="expression" dxfId="3246" priority="3324">
      <formula>$C$43&lt;&gt;0</formula>
    </cfRule>
  </conditionalFormatting>
  <conditionalFormatting sqref="AF790">
    <cfRule type="containsBlanks" dxfId="3245" priority="3323">
      <formula>LEN(TRIM(AF790))=0</formula>
    </cfRule>
  </conditionalFormatting>
  <conditionalFormatting sqref="AF790">
    <cfRule type="expression" dxfId="3244" priority="3322" stopIfTrue="1">
      <formula>$G789=""</formula>
    </cfRule>
  </conditionalFormatting>
  <conditionalFormatting sqref="AG790">
    <cfRule type="containsBlanks" dxfId="3243" priority="3320">
      <formula>LEN(TRIM(AG790))=0</formula>
    </cfRule>
    <cfRule type="expression" dxfId="3242" priority="3321">
      <formula>$HO790=FALSE</formula>
    </cfRule>
  </conditionalFormatting>
  <conditionalFormatting sqref="AG790">
    <cfRule type="expression" dxfId="3241" priority="3319" stopIfTrue="1">
      <formula>$G789=""</formula>
    </cfRule>
  </conditionalFormatting>
  <conditionalFormatting sqref="AF790:AK790">
    <cfRule type="expression" dxfId="3240" priority="3318">
      <formula>$C$43&gt;0</formula>
    </cfRule>
  </conditionalFormatting>
  <conditionalFormatting sqref="AM789:AN790">
    <cfRule type="expression" dxfId="3239" priority="3317">
      <formula>$G789=""</formula>
    </cfRule>
  </conditionalFormatting>
  <conditionalFormatting sqref="AM791:AN791">
    <cfRule type="expression" dxfId="3238" priority="3316" stopIfTrue="1">
      <formula>$G789=""</formula>
    </cfRule>
  </conditionalFormatting>
  <conditionalFormatting sqref="T791">
    <cfRule type="expression" dxfId="3237" priority="3338" stopIfTrue="1">
      <formula>$N792="BAM"</formula>
    </cfRule>
  </conditionalFormatting>
  <conditionalFormatting sqref="U791:AE791">
    <cfRule type="expression" dxfId="3236" priority="3315" stopIfTrue="1">
      <formula>$N792="BAM"</formula>
    </cfRule>
  </conditionalFormatting>
  <conditionalFormatting sqref="AG792:AL792">
    <cfRule type="expression" dxfId="3235" priority="3339" stopIfTrue="1">
      <formula>$N792="BAM"</formula>
    </cfRule>
  </conditionalFormatting>
  <conditionalFormatting sqref="U55">
    <cfRule type="containsBlanks" dxfId="3234" priority="3305" stopIfTrue="1">
      <formula>LEN(TRIM(U55))=0</formula>
    </cfRule>
  </conditionalFormatting>
  <conditionalFormatting sqref="U55">
    <cfRule type="expression" dxfId="3233" priority="3304" stopIfTrue="1">
      <formula>$G52=""</formula>
    </cfRule>
  </conditionalFormatting>
  <conditionalFormatting sqref="U60">
    <cfRule type="containsBlanks" dxfId="3232" priority="3301" stopIfTrue="1">
      <formula>LEN(TRIM(U60))=0</formula>
    </cfRule>
  </conditionalFormatting>
  <conditionalFormatting sqref="U60">
    <cfRule type="expression" dxfId="3231" priority="3300" stopIfTrue="1">
      <formula>$G57=""</formula>
    </cfRule>
  </conditionalFormatting>
  <conditionalFormatting sqref="U65">
    <cfRule type="containsBlanks" dxfId="3230" priority="3297" stopIfTrue="1">
      <formula>LEN(TRIM(U65))=0</formula>
    </cfRule>
  </conditionalFormatting>
  <conditionalFormatting sqref="U65">
    <cfRule type="expression" dxfId="3229" priority="3296" stopIfTrue="1">
      <formula>$G62=""</formula>
    </cfRule>
  </conditionalFormatting>
  <conditionalFormatting sqref="U70">
    <cfRule type="containsBlanks" dxfId="3228" priority="3293" stopIfTrue="1">
      <formula>LEN(TRIM(U70))=0</formula>
    </cfRule>
  </conditionalFormatting>
  <conditionalFormatting sqref="U70">
    <cfRule type="expression" dxfId="3227" priority="3292" stopIfTrue="1">
      <formula>$G67=""</formula>
    </cfRule>
  </conditionalFormatting>
  <conditionalFormatting sqref="U75">
    <cfRule type="containsBlanks" dxfId="3226" priority="3289" stopIfTrue="1">
      <formula>LEN(TRIM(U75))=0</formula>
    </cfRule>
  </conditionalFormatting>
  <conditionalFormatting sqref="U75">
    <cfRule type="expression" dxfId="3225" priority="3288" stopIfTrue="1">
      <formula>$G72=""</formula>
    </cfRule>
  </conditionalFormatting>
  <conditionalFormatting sqref="U80">
    <cfRule type="containsBlanks" dxfId="3224" priority="3285" stopIfTrue="1">
      <formula>LEN(TRIM(U80))=0</formula>
    </cfRule>
  </conditionalFormatting>
  <conditionalFormatting sqref="U80">
    <cfRule type="expression" dxfId="3223" priority="3284" stopIfTrue="1">
      <formula>$G77=""</formula>
    </cfRule>
  </conditionalFormatting>
  <conditionalFormatting sqref="U85">
    <cfRule type="containsBlanks" dxfId="3222" priority="3281" stopIfTrue="1">
      <formula>LEN(TRIM(U85))=0</formula>
    </cfRule>
  </conditionalFormatting>
  <conditionalFormatting sqref="U85">
    <cfRule type="expression" dxfId="3221" priority="3280" stopIfTrue="1">
      <formula>$G82=""</formula>
    </cfRule>
  </conditionalFormatting>
  <conditionalFormatting sqref="U90">
    <cfRule type="containsBlanks" dxfId="3220" priority="3277" stopIfTrue="1">
      <formula>LEN(TRIM(U90))=0</formula>
    </cfRule>
  </conditionalFormatting>
  <conditionalFormatting sqref="U90">
    <cfRule type="expression" dxfId="3219" priority="3276" stopIfTrue="1">
      <formula>$G87=""</formula>
    </cfRule>
  </conditionalFormatting>
  <conditionalFormatting sqref="U98">
    <cfRule type="containsBlanks" dxfId="3218" priority="3273" stopIfTrue="1">
      <formula>LEN(TRIM(U98))=0</formula>
    </cfRule>
  </conditionalFormatting>
  <conditionalFormatting sqref="U98">
    <cfRule type="expression" dxfId="3217" priority="3272" stopIfTrue="1">
      <formula>$G95=""</formula>
    </cfRule>
  </conditionalFormatting>
  <conditionalFormatting sqref="U103">
    <cfRule type="containsBlanks" dxfId="3216" priority="3269" stopIfTrue="1">
      <formula>LEN(TRIM(U103))=0</formula>
    </cfRule>
  </conditionalFormatting>
  <conditionalFormatting sqref="U103">
    <cfRule type="expression" dxfId="3215" priority="3268" stopIfTrue="1">
      <formula>$G100=""</formula>
    </cfRule>
  </conditionalFormatting>
  <conditionalFormatting sqref="U108">
    <cfRule type="containsBlanks" dxfId="3214" priority="3265" stopIfTrue="1">
      <formula>LEN(TRIM(U108))=0</formula>
    </cfRule>
  </conditionalFormatting>
  <conditionalFormatting sqref="U108">
    <cfRule type="expression" dxfId="3213" priority="3264" stopIfTrue="1">
      <formula>$G105=""</formula>
    </cfRule>
  </conditionalFormatting>
  <conditionalFormatting sqref="U113">
    <cfRule type="containsBlanks" dxfId="3212" priority="3261" stopIfTrue="1">
      <formula>LEN(TRIM(U113))=0</formula>
    </cfRule>
  </conditionalFormatting>
  <conditionalFormatting sqref="U113">
    <cfRule type="expression" dxfId="3211" priority="3260" stopIfTrue="1">
      <formula>$G110=""</formula>
    </cfRule>
  </conditionalFormatting>
  <conditionalFormatting sqref="U118">
    <cfRule type="containsBlanks" dxfId="3210" priority="3257" stopIfTrue="1">
      <formula>LEN(TRIM(U118))=0</formula>
    </cfRule>
  </conditionalFormatting>
  <conditionalFormatting sqref="U118">
    <cfRule type="expression" dxfId="3209" priority="3256" stopIfTrue="1">
      <formula>$G115=""</formula>
    </cfRule>
  </conditionalFormatting>
  <conditionalFormatting sqref="U123">
    <cfRule type="containsBlanks" dxfId="3208" priority="3253" stopIfTrue="1">
      <formula>LEN(TRIM(U123))=0</formula>
    </cfRule>
  </conditionalFormatting>
  <conditionalFormatting sqref="U123">
    <cfRule type="expression" dxfId="3207" priority="3252" stopIfTrue="1">
      <formula>$G120=""</formula>
    </cfRule>
  </conditionalFormatting>
  <conditionalFormatting sqref="U133">
    <cfRule type="containsBlanks" dxfId="3206" priority="3249" stopIfTrue="1">
      <formula>LEN(TRIM(U133))=0</formula>
    </cfRule>
  </conditionalFormatting>
  <conditionalFormatting sqref="U133">
    <cfRule type="expression" dxfId="3205" priority="3248" stopIfTrue="1">
      <formula>$G130=""</formula>
    </cfRule>
  </conditionalFormatting>
  <conditionalFormatting sqref="U138">
    <cfRule type="containsBlanks" dxfId="3204" priority="3245" stopIfTrue="1">
      <formula>LEN(TRIM(U138))=0</formula>
    </cfRule>
  </conditionalFormatting>
  <conditionalFormatting sqref="U138">
    <cfRule type="expression" dxfId="3203" priority="3244" stopIfTrue="1">
      <formula>$G135=""</formula>
    </cfRule>
  </conditionalFormatting>
  <conditionalFormatting sqref="U143">
    <cfRule type="containsBlanks" dxfId="3202" priority="3241" stopIfTrue="1">
      <formula>LEN(TRIM(U143))=0</formula>
    </cfRule>
  </conditionalFormatting>
  <conditionalFormatting sqref="U143">
    <cfRule type="expression" dxfId="3201" priority="3240" stopIfTrue="1">
      <formula>$G140=""</formula>
    </cfRule>
  </conditionalFormatting>
  <conditionalFormatting sqref="U148">
    <cfRule type="containsBlanks" dxfId="3200" priority="3237" stopIfTrue="1">
      <formula>LEN(TRIM(U148))=0</formula>
    </cfRule>
  </conditionalFormatting>
  <conditionalFormatting sqref="U148">
    <cfRule type="expression" dxfId="3199" priority="3236" stopIfTrue="1">
      <formula>$G145=""</formula>
    </cfRule>
  </conditionalFormatting>
  <conditionalFormatting sqref="U153">
    <cfRule type="containsBlanks" dxfId="3198" priority="3233" stopIfTrue="1">
      <formula>LEN(TRIM(U153))=0</formula>
    </cfRule>
  </conditionalFormatting>
  <conditionalFormatting sqref="U153">
    <cfRule type="expression" dxfId="3197" priority="3232" stopIfTrue="1">
      <formula>$G150=""</formula>
    </cfRule>
  </conditionalFormatting>
  <conditionalFormatting sqref="U158">
    <cfRule type="containsBlanks" dxfId="3196" priority="3229" stopIfTrue="1">
      <formula>LEN(TRIM(U158))=0</formula>
    </cfRule>
  </conditionalFormatting>
  <conditionalFormatting sqref="U158">
    <cfRule type="expression" dxfId="3195" priority="3228" stopIfTrue="1">
      <formula>$G155=""</formula>
    </cfRule>
  </conditionalFormatting>
  <conditionalFormatting sqref="U163">
    <cfRule type="containsBlanks" dxfId="3194" priority="3225" stopIfTrue="1">
      <formula>LEN(TRIM(U163))=0</formula>
    </cfRule>
  </conditionalFormatting>
  <conditionalFormatting sqref="U163">
    <cfRule type="expression" dxfId="3193" priority="3224" stopIfTrue="1">
      <formula>$G160=""</formula>
    </cfRule>
  </conditionalFormatting>
  <conditionalFormatting sqref="U168">
    <cfRule type="containsBlanks" dxfId="3192" priority="3221" stopIfTrue="1">
      <formula>LEN(TRIM(U168))=0</formula>
    </cfRule>
  </conditionalFormatting>
  <conditionalFormatting sqref="U168">
    <cfRule type="expression" dxfId="3191" priority="3220" stopIfTrue="1">
      <formula>$G165=""</formula>
    </cfRule>
  </conditionalFormatting>
  <conditionalFormatting sqref="U176">
    <cfRule type="containsBlanks" dxfId="3190" priority="3217" stopIfTrue="1">
      <formula>LEN(TRIM(U176))=0</formula>
    </cfRule>
  </conditionalFormatting>
  <conditionalFormatting sqref="U176">
    <cfRule type="expression" dxfId="3189" priority="3216" stopIfTrue="1">
      <formula>$G173=""</formula>
    </cfRule>
  </conditionalFormatting>
  <conditionalFormatting sqref="U181">
    <cfRule type="containsBlanks" dxfId="3188" priority="3213" stopIfTrue="1">
      <formula>LEN(TRIM(U181))=0</formula>
    </cfRule>
  </conditionalFormatting>
  <conditionalFormatting sqref="U181">
    <cfRule type="expression" dxfId="3187" priority="3212" stopIfTrue="1">
      <formula>$G178=""</formula>
    </cfRule>
  </conditionalFormatting>
  <conditionalFormatting sqref="U186">
    <cfRule type="containsBlanks" dxfId="3186" priority="3209" stopIfTrue="1">
      <formula>LEN(TRIM(U186))=0</formula>
    </cfRule>
  </conditionalFormatting>
  <conditionalFormatting sqref="U186">
    <cfRule type="expression" dxfId="3185" priority="3208" stopIfTrue="1">
      <formula>$G183=""</formula>
    </cfRule>
  </conditionalFormatting>
  <conditionalFormatting sqref="U191">
    <cfRule type="containsBlanks" dxfId="3184" priority="3205" stopIfTrue="1">
      <formula>LEN(TRIM(U191))=0</formula>
    </cfRule>
  </conditionalFormatting>
  <conditionalFormatting sqref="U191">
    <cfRule type="expression" dxfId="3183" priority="3204" stopIfTrue="1">
      <formula>$G188=""</formula>
    </cfRule>
  </conditionalFormatting>
  <conditionalFormatting sqref="U196">
    <cfRule type="containsBlanks" dxfId="3182" priority="3201" stopIfTrue="1">
      <formula>LEN(TRIM(U196))=0</formula>
    </cfRule>
  </conditionalFormatting>
  <conditionalFormatting sqref="U196">
    <cfRule type="expression" dxfId="3181" priority="3200" stopIfTrue="1">
      <formula>$G193=""</formula>
    </cfRule>
  </conditionalFormatting>
  <conditionalFormatting sqref="U201">
    <cfRule type="containsBlanks" dxfId="3180" priority="3197" stopIfTrue="1">
      <formula>LEN(TRIM(U201))=0</formula>
    </cfRule>
  </conditionalFormatting>
  <conditionalFormatting sqref="U201">
    <cfRule type="expression" dxfId="3179" priority="3196" stopIfTrue="1">
      <formula>$G198=""</formula>
    </cfRule>
  </conditionalFormatting>
  <conditionalFormatting sqref="U206">
    <cfRule type="containsBlanks" dxfId="3178" priority="3193" stopIfTrue="1">
      <formula>LEN(TRIM(U206))=0</formula>
    </cfRule>
  </conditionalFormatting>
  <conditionalFormatting sqref="U206">
    <cfRule type="expression" dxfId="3177" priority="3192" stopIfTrue="1">
      <formula>$G203=""</formula>
    </cfRule>
  </conditionalFormatting>
  <conditionalFormatting sqref="U211">
    <cfRule type="containsBlanks" dxfId="3176" priority="3189" stopIfTrue="1">
      <formula>LEN(TRIM(U211))=0</formula>
    </cfRule>
  </conditionalFormatting>
  <conditionalFormatting sqref="U211">
    <cfRule type="expression" dxfId="3175" priority="3188" stopIfTrue="1">
      <formula>$G208=""</formula>
    </cfRule>
  </conditionalFormatting>
  <conditionalFormatting sqref="U216">
    <cfRule type="containsBlanks" dxfId="3174" priority="3185" stopIfTrue="1">
      <formula>LEN(TRIM(U216))=0</formula>
    </cfRule>
  </conditionalFormatting>
  <conditionalFormatting sqref="U216">
    <cfRule type="expression" dxfId="3173" priority="3184" stopIfTrue="1">
      <formula>$G213=""</formula>
    </cfRule>
  </conditionalFormatting>
  <conditionalFormatting sqref="U221">
    <cfRule type="containsBlanks" dxfId="3172" priority="3181" stopIfTrue="1">
      <formula>LEN(TRIM(U221))=0</formula>
    </cfRule>
  </conditionalFormatting>
  <conditionalFormatting sqref="U221">
    <cfRule type="expression" dxfId="3171" priority="3180" stopIfTrue="1">
      <formula>$G218=""</formula>
    </cfRule>
  </conditionalFormatting>
  <conditionalFormatting sqref="U226">
    <cfRule type="containsBlanks" dxfId="3170" priority="3177" stopIfTrue="1">
      <formula>LEN(TRIM(U226))=0</formula>
    </cfRule>
  </conditionalFormatting>
  <conditionalFormatting sqref="U226">
    <cfRule type="expression" dxfId="3169" priority="3176" stopIfTrue="1">
      <formula>$G223=""</formula>
    </cfRule>
  </conditionalFormatting>
  <conditionalFormatting sqref="U231">
    <cfRule type="containsBlanks" dxfId="3168" priority="3173" stopIfTrue="1">
      <formula>LEN(TRIM(U231))=0</formula>
    </cfRule>
  </conditionalFormatting>
  <conditionalFormatting sqref="U231">
    <cfRule type="expression" dxfId="3167" priority="3172" stopIfTrue="1">
      <formula>$G228=""</formula>
    </cfRule>
  </conditionalFormatting>
  <conditionalFormatting sqref="U236">
    <cfRule type="containsBlanks" dxfId="3166" priority="3169" stopIfTrue="1">
      <formula>LEN(TRIM(U236))=0</formula>
    </cfRule>
  </conditionalFormatting>
  <conditionalFormatting sqref="U236">
    <cfRule type="expression" dxfId="3165" priority="3168" stopIfTrue="1">
      <formula>$G233=""</formula>
    </cfRule>
  </conditionalFormatting>
  <conditionalFormatting sqref="U241">
    <cfRule type="containsBlanks" dxfId="3164" priority="3165" stopIfTrue="1">
      <formula>LEN(TRIM(U241))=0</formula>
    </cfRule>
  </conditionalFormatting>
  <conditionalFormatting sqref="U241">
    <cfRule type="expression" dxfId="3163" priority="3164" stopIfTrue="1">
      <formula>$G238=""</formula>
    </cfRule>
  </conditionalFormatting>
  <conditionalFormatting sqref="U246">
    <cfRule type="containsBlanks" dxfId="3162" priority="3161" stopIfTrue="1">
      <formula>LEN(TRIM(U246))=0</formula>
    </cfRule>
  </conditionalFormatting>
  <conditionalFormatting sqref="U246">
    <cfRule type="expression" dxfId="3161" priority="3160" stopIfTrue="1">
      <formula>$G243=""</formula>
    </cfRule>
  </conditionalFormatting>
  <conditionalFormatting sqref="U254">
    <cfRule type="containsBlanks" dxfId="3160" priority="3157" stopIfTrue="1">
      <formula>LEN(TRIM(U254))=0</formula>
    </cfRule>
  </conditionalFormatting>
  <conditionalFormatting sqref="U254">
    <cfRule type="expression" dxfId="3159" priority="3156" stopIfTrue="1">
      <formula>$G251=""</formula>
    </cfRule>
  </conditionalFormatting>
  <conditionalFormatting sqref="U259">
    <cfRule type="containsBlanks" dxfId="3158" priority="3153" stopIfTrue="1">
      <formula>LEN(TRIM(U259))=0</formula>
    </cfRule>
  </conditionalFormatting>
  <conditionalFormatting sqref="U259">
    <cfRule type="expression" dxfId="3157" priority="3152" stopIfTrue="1">
      <formula>$G256=""</formula>
    </cfRule>
  </conditionalFormatting>
  <conditionalFormatting sqref="U264">
    <cfRule type="containsBlanks" dxfId="3156" priority="3149" stopIfTrue="1">
      <formula>LEN(TRIM(U264))=0</formula>
    </cfRule>
  </conditionalFormatting>
  <conditionalFormatting sqref="U264">
    <cfRule type="expression" dxfId="3155" priority="3148" stopIfTrue="1">
      <formula>$G261=""</formula>
    </cfRule>
  </conditionalFormatting>
  <conditionalFormatting sqref="U269">
    <cfRule type="containsBlanks" dxfId="3154" priority="3145" stopIfTrue="1">
      <formula>LEN(TRIM(U269))=0</formula>
    </cfRule>
  </conditionalFormatting>
  <conditionalFormatting sqref="U269">
    <cfRule type="expression" dxfId="3153" priority="3144" stopIfTrue="1">
      <formula>$G266=""</formula>
    </cfRule>
  </conditionalFormatting>
  <conditionalFormatting sqref="U274">
    <cfRule type="containsBlanks" dxfId="3152" priority="3141" stopIfTrue="1">
      <formula>LEN(TRIM(U274))=0</formula>
    </cfRule>
  </conditionalFormatting>
  <conditionalFormatting sqref="U274">
    <cfRule type="expression" dxfId="3151" priority="3140" stopIfTrue="1">
      <formula>$G271=""</formula>
    </cfRule>
  </conditionalFormatting>
  <conditionalFormatting sqref="U279">
    <cfRule type="containsBlanks" dxfId="3150" priority="3137" stopIfTrue="1">
      <formula>LEN(TRIM(U279))=0</formula>
    </cfRule>
  </conditionalFormatting>
  <conditionalFormatting sqref="U279">
    <cfRule type="expression" dxfId="3149" priority="3136" stopIfTrue="1">
      <formula>$G276=""</formula>
    </cfRule>
  </conditionalFormatting>
  <conditionalFormatting sqref="U284">
    <cfRule type="containsBlanks" dxfId="3148" priority="3133" stopIfTrue="1">
      <formula>LEN(TRIM(U284))=0</formula>
    </cfRule>
  </conditionalFormatting>
  <conditionalFormatting sqref="U284">
    <cfRule type="expression" dxfId="3147" priority="3132" stopIfTrue="1">
      <formula>$G281=""</formula>
    </cfRule>
  </conditionalFormatting>
  <conditionalFormatting sqref="U289">
    <cfRule type="containsBlanks" dxfId="3146" priority="3129" stopIfTrue="1">
      <formula>LEN(TRIM(U289))=0</formula>
    </cfRule>
  </conditionalFormatting>
  <conditionalFormatting sqref="U289">
    <cfRule type="expression" dxfId="3145" priority="3128" stopIfTrue="1">
      <formula>$G286=""</formula>
    </cfRule>
  </conditionalFormatting>
  <conditionalFormatting sqref="U294">
    <cfRule type="containsBlanks" dxfId="3144" priority="3125" stopIfTrue="1">
      <formula>LEN(TRIM(U294))=0</formula>
    </cfRule>
  </conditionalFormatting>
  <conditionalFormatting sqref="U294">
    <cfRule type="expression" dxfId="3143" priority="3124" stopIfTrue="1">
      <formula>$G291=""</formula>
    </cfRule>
  </conditionalFormatting>
  <conditionalFormatting sqref="U299">
    <cfRule type="containsBlanks" dxfId="3142" priority="3121" stopIfTrue="1">
      <formula>LEN(TRIM(U299))=0</formula>
    </cfRule>
  </conditionalFormatting>
  <conditionalFormatting sqref="U299">
    <cfRule type="expression" dxfId="3141" priority="3120" stopIfTrue="1">
      <formula>$G296=""</formula>
    </cfRule>
  </conditionalFormatting>
  <conditionalFormatting sqref="U304">
    <cfRule type="containsBlanks" dxfId="3140" priority="3117" stopIfTrue="1">
      <formula>LEN(TRIM(U304))=0</formula>
    </cfRule>
  </conditionalFormatting>
  <conditionalFormatting sqref="U304">
    <cfRule type="expression" dxfId="3139" priority="3116" stopIfTrue="1">
      <formula>$G301=""</formula>
    </cfRule>
  </conditionalFormatting>
  <conditionalFormatting sqref="U309">
    <cfRule type="containsBlanks" dxfId="3138" priority="3113" stopIfTrue="1">
      <formula>LEN(TRIM(U309))=0</formula>
    </cfRule>
  </conditionalFormatting>
  <conditionalFormatting sqref="U309">
    <cfRule type="expression" dxfId="3137" priority="3112" stopIfTrue="1">
      <formula>$G306=""</formula>
    </cfRule>
  </conditionalFormatting>
  <conditionalFormatting sqref="U314">
    <cfRule type="containsBlanks" dxfId="3136" priority="3109" stopIfTrue="1">
      <formula>LEN(TRIM(U314))=0</formula>
    </cfRule>
  </conditionalFormatting>
  <conditionalFormatting sqref="U314">
    <cfRule type="expression" dxfId="3135" priority="3108" stopIfTrue="1">
      <formula>$G311=""</formula>
    </cfRule>
  </conditionalFormatting>
  <conditionalFormatting sqref="U319">
    <cfRule type="containsBlanks" dxfId="3134" priority="3105" stopIfTrue="1">
      <formula>LEN(TRIM(U319))=0</formula>
    </cfRule>
  </conditionalFormatting>
  <conditionalFormatting sqref="U319">
    <cfRule type="expression" dxfId="3133" priority="3104" stopIfTrue="1">
      <formula>$G316=""</formula>
    </cfRule>
  </conditionalFormatting>
  <conditionalFormatting sqref="U324">
    <cfRule type="containsBlanks" dxfId="3132" priority="3101" stopIfTrue="1">
      <formula>LEN(TRIM(U324))=0</formula>
    </cfRule>
  </conditionalFormatting>
  <conditionalFormatting sqref="U324">
    <cfRule type="expression" dxfId="3131" priority="3100" stopIfTrue="1">
      <formula>$G321=""</formula>
    </cfRule>
  </conditionalFormatting>
  <conditionalFormatting sqref="U332">
    <cfRule type="containsBlanks" dxfId="3130" priority="3097" stopIfTrue="1">
      <formula>LEN(TRIM(U332))=0</formula>
    </cfRule>
  </conditionalFormatting>
  <conditionalFormatting sqref="U332">
    <cfRule type="expression" dxfId="3129" priority="3096" stopIfTrue="1">
      <formula>$G329=""</formula>
    </cfRule>
  </conditionalFormatting>
  <conditionalFormatting sqref="U337">
    <cfRule type="containsBlanks" dxfId="3128" priority="3093" stopIfTrue="1">
      <formula>LEN(TRIM(U337))=0</formula>
    </cfRule>
  </conditionalFormatting>
  <conditionalFormatting sqref="U337">
    <cfRule type="expression" dxfId="3127" priority="3092" stopIfTrue="1">
      <formula>$G334=""</formula>
    </cfRule>
  </conditionalFormatting>
  <conditionalFormatting sqref="U342">
    <cfRule type="containsBlanks" dxfId="3126" priority="3089" stopIfTrue="1">
      <formula>LEN(TRIM(U342))=0</formula>
    </cfRule>
  </conditionalFormatting>
  <conditionalFormatting sqref="U342">
    <cfRule type="expression" dxfId="3125" priority="3088" stopIfTrue="1">
      <formula>$G339=""</formula>
    </cfRule>
  </conditionalFormatting>
  <conditionalFormatting sqref="U347">
    <cfRule type="containsBlanks" dxfId="3124" priority="3085" stopIfTrue="1">
      <formula>LEN(TRIM(U347))=0</formula>
    </cfRule>
  </conditionalFormatting>
  <conditionalFormatting sqref="U347">
    <cfRule type="expression" dxfId="3123" priority="3084" stopIfTrue="1">
      <formula>$G344=""</formula>
    </cfRule>
  </conditionalFormatting>
  <conditionalFormatting sqref="U352">
    <cfRule type="containsBlanks" dxfId="3122" priority="3081" stopIfTrue="1">
      <formula>LEN(TRIM(U352))=0</formula>
    </cfRule>
  </conditionalFormatting>
  <conditionalFormatting sqref="U352">
    <cfRule type="expression" dxfId="3121" priority="3080" stopIfTrue="1">
      <formula>$G349=""</formula>
    </cfRule>
  </conditionalFormatting>
  <conditionalFormatting sqref="U357">
    <cfRule type="containsBlanks" dxfId="3120" priority="3077" stopIfTrue="1">
      <formula>LEN(TRIM(U357))=0</formula>
    </cfRule>
  </conditionalFormatting>
  <conditionalFormatting sqref="U357">
    <cfRule type="expression" dxfId="3119" priority="3076" stopIfTrue="1">
      <formula>$G354=""</formula>
    </cfRule>
  </conditionalFormatting>
  <conditionalFormatting sqref="U362">
    <cfRule type="containsBlanks" dxfId="3118" priority="3073" stopIfTrue="1">
      <formula>LEN(TRIM(U362))=0</formula>
    </cfRule>
  </conditionalFormatting>
  <conditionalFormatting sqref="U362">
    <cfRule type="expression" dxfId="3117" priority="3072" stopIfTrue="1">
      <formula>$G359=""</formula>
    </cfRule>
  </conditionalFormatting>
  <conditionalFormatting sqref="U367">
    <cfRule type="containsBlanks" dxfId="3116" priority="3069" stopIfTrue="1">
      <formula>LEN(TRIM(U367))=0</formula>
    </cfRule>
  </conditionalFormatting>
  <conditionalFormatting sqref="U367">
    <cfRule type="expression" dxfId="3115" priority="3068" stopIfTrue="1">
      <formula>$G364=""</formula>
    </cfRule>
  </conditionalFormatting>
  <conditionalFormatting sqref="U372">
    <cfRule type="containsBlanks" dxfId="3114" priority="3065" stopIfTrue="1">
      <formula>LEN(TRIM(U372))=0</formula>
    </cfRule>
  </conditionalFormatting>
  <conditionalFormatting sqref="U372">
    <cfRule type="expression" dxfId="3113" priority="3064" stopIfTrue="1">
      <formula>$G369=""</formula>
    </cfRule>
  </conditionalFormatting>
  <conditionalFormatting sqref="U377">
    <cfRule type="containsBlanks" dxfId="3112" priority="3061" stopIfTrue="1">
      <formula>LEN(TRIM(U377))=0</formula>
    </cfRule>
  </conditionalFormatting>
  <conditionalFormatting sqref="U377">
    <cfRule type="expression" dxfId="3111" priority="3060" stopIfTrue="1">
      <formula>$G374=""</formula>
    </cfRule>
  </conditionalFormatting>
  <conditionalFormatting sqref="U382">
    <cfRule type="containsBlanks" dxfId="3110" priority="3057" stopIfTrue="1">
      <formula>LEN(TRIM(U382))=0</formula>
    </cfRule>
  </conditionalFormatting>
  <conditionalFormatting sqref="U382">
    <cfRule type="expression" dxfId="3109" priority="3056" stopIfTrue="1">
      <formula>$G379=""</formula>
    </cfRule>
  </conditionalFormatting>
  <conditionalFormatting sqref="U387">
    <cfRule type="containsBlanks" dxfId="3108" priority="3053" stopIfTrue="1">
      <formula>LEN(TRIM(U387))=0</formula>
    </cfRule>
  </conditionalFormatting>
  <conditionalFormatting sqref="U387">
    <cfRule type="expression" dxfId="3107" priority="3052" stopIfTrue="1">
      <formula>$G384=""</formula>
    </cfRule>
  </conditionalFormatting>
  <conditionalFormatting sqref="U392">
    <cfRule type="containsBlanks" dxfId="3106" priority="3049" stopIfTrue="1">
      <formula>LEN(TRIM(U392))=0</formula>
    </cfRule>
  </conditionalFormatting>
  <conditionalFormatting sqref="U392">
    <cfRule type="expression" dxfId="3105" priority="3048" stopIfTrue="1">
      <formula>$G389=""</formula>
    </cfRule>
  </conditionalFormatting>
  <conditionalFormatting sqref="U397">
    <cfRule type="containsBlanks" dxfId="3104" priority="3045" stopIfTrue="1">
      <formula>LEN(TRIM(U397))=0</formula>
    </cfRule>
  </conditionalFormatting>
  <conditionalFormatting sqref="U397">
    <cfRule type="expression" dxfId="3103" priority="3044" stopIfTrue="1">
      <formula>$G394=""</formula>
    </cfRule>
  </conditionalFormatting>
  <conditionalFormatting sqref="U402">
    <cfRule type="containsBlanks" dxfId="3102" priority="3041" stopIfTrue="1">
      <formula>LEN(TRIM(U402))=0</formula>
    </cfRule>
  </conditionalFormatting>
  <conditionalFormatting sqref="U402">
    <cfRule type="expression" dxfId="3101" priority="3040" stopIfTrue="1">
      <formula>$G399=""</formula>
    </cfRule>
  </conditionalFormatting>
  <conditionalFormatting sqref="U410">
    <cfRule type="containsBlanks" dxfId="3100" priority="3037" stopIfTrue="1">
      <formula>LEN(TRIM(U410))=0</formula>
    </cfRule>
  </conditionalFormatting>
  <conditionalFormatting sqref="U410">
    <cfRule type="expression" dxfId="3099" priority="3036" stopIfTrue="1">
      <formula>$G407=""</formula>
    </cfRule>
  </conditionalFormatting>
  <conditionalFormatting sqref="U415">
    <cfRule type="containsBlanks" dxfId="3098" priority="3033" stopIfTrue="1">
      <formula>LEN(TRIM(U415))=0</formula>
    </cfRule>
  </conditionalFormatting>
  <conditionalFormatting sqref="U415">
    <cfRule type="expression" dxfId="3097" priority="3032" stopIfTrue="1">
      <formula>$G412=""</formula>
    </cfRule>
  </conditionalFormatting>
  <conditionalFormatting sqref="U420">
    <cfRule type="containsBlanks" dxfId="3096" priority="3029" stopIfTrue="1">
      <formula>LEN(TRIM(U420))=0</formula>
    </cfRule>
  </conditionalFormatting>
  <conditionalFormatting sqref="U420">
    <cfRule type="expression" dxfId="3095" priority="3028" stopIfTrue="1">
      <formula>$G417=""</formula>
    </cfRule>
  </conditionalFormatting>
  <conditionalFormatting sqref="U425">
    <cfRule type="containsBlanks" dxfId="3094" priority="3025" stopIfTrue="1">
      <formula>LEN(TRIM(U425))=0</formula>
    </cfRule>
  </conditionalFormatting>
  <conditionalFormatting sqref="U425">
    <cfRule type="expression" dxfId="3093" priority="3024" stopIfTrue="1">
      <formula>$G422=""</formula>
    </cfRule>
  </conditionalFormatting>
  <conditionalFormatting sqref="U430">
    <cfRule type="containsBlanks" dxfId="3092" priority="3021" stopIfTrue="1">
      <formula>LEN(TRIM(U430))=0</formula>
    </cfRule>
  </conditionalFormatting>
  <conditionalFormatting sqref="U430">
    <cfRule type="expression" dxfId="3091" priority="3020" stopIfTrue="1">
      <formula>$G427=""</formula>
    </cfRule>
  </conditionalFormatting>
  <conditionalFormatting sqref="U435">
    <cfRule type="containsBlanks" dxfId="3090" priority="3017" stopIfTrue="1">
      <formula>LEN(TRIM(U435))=0</formula>
    </cfRule>
  </conditionalFormatting>
  <conditionalFormatting sqref="U435">
    <cfRule type="expression" dxfId="3089" priority="3016" stopIfTrue="1">
      <formula>$G432=""</formula>
    </cfRule>
  </conditionalFormatting>
  <conditionalFormatting sqref="U440">
    <cfRule type="containsBlanks" dxfId="3088" priority="3013" stopIfTrue="1">
      <formula>LEN(TRIM(U440))=0</formula>
    </cfRule>
  </conditionalFormatting>
  <conditionalFormatting sqref="U440">
    <cfRule type="expression" dxfId="3087" priority="3012" stopIfTrue="1">
      <formula>$G437=""</formula>
    </cfRule>
  </conditionalFormatting>
  <conditionalFormatting sqref="U445">
    <cfRule type="containsBlanks" dxfId="3086" priority="3009" stopIfTrue="1">
      <formula>LEN(TRIM(U445))=0</formula>
    </cfRule>
  </conditionalFormatting>
  <conditionalFormatting sqref="U445">
    <cfRule type="expression" dxfId="3085" priority="3008" stopIfTrue="1">
      <formula>$G442=""</formula>
    </cfRule>
  </conditionalFormatting>
  <conditionalFormatting sqref="U450">
    <cfRule type="containsBlanks" dxfId="3084" priority="3005" stopIfTrue="1">
      <formula>LEN(TRIM(U450))=0</formula>
    </cfRule>
  </conditionalFormatting>
  <conditionalFormatting sqref="U450">
    <cfRule type="expression" dxfId="3083" priority="3004" stopIfTrue="1">
      <formula>$G447=""</formula>
    </cfRule>
  </conditionalFormatting>
  <conditionalFormatting sqref="U455">
    <cfRule type="containsBlanks" dxfId="3082" priority="3001" stopIfTrue="1">
      <formula>LEN(TRIM(U455))=0</formula>
    </cfRule>
  </conditionalFormatting>
  <conditionalFormatting sqref="U455">
    <cfRule type="expression" dxfId="3081" priority="3000" stopIfTrue="1">
      <formula>$G452=""</formula>
    </cfRule>
  </conditionalFormatting>
  <conditionalFormatting sqref="U460">
    <cfRule type="containsBlanks" dxfId="3080" priority="2997" stopIfTrue="1">
      <formula>LEN(TRIM(U460))=0</formula>
    </cfRule>
  </conditionalFormatting>
  <conditionalFormatting sqref="U460">
    <cfRule type="expression" dxfId="3079" priority="2996" stopIfTrue="1">
      <formula>$G457=""</formula>
    </cfRule>
  </conditionalFormatting>
  <conditionalFormatting sqref="U465">
    <cfRule type="containsBlanks" dxfId="3078" priority="2993" stopIfTrue="1">
      <formula>LEN(TRIM(U465))=0</formula>
    </cfRule>
  </conditionalFormatting>
  <conditionalFormatting sqref="U465">
    <cfRule type="expression" dxfId="3077" priority="2992" stopIfTrue="1">
      <formula>$G462=""</formula>
    </cfRule>
  </conditionalFormatting>
  <conditionalFormatting sqref="U470">
    <cfRule type="containsBlanks" dxfId="3076" priority="2989" stopIfTrue="1">
      <formula>LEN(TRIM(U470))=0</formula>
    </cfRule>
  </conditionalFormatting>
  <conditionalFormatting sqref="U470">
    <cfRule type="expression" dxfId="3075" priority="2988" stopIfTrue="1">
      <formula>$G467=""</formula>
    </cfRule>
  </conditionalFormatting>
  <conditionalFormatting sqref="U475">
    <cfRule type="containsBlanks" dxfId="3074" priority="2985" stopIfTrue="1">
      <formula>LEN(TRIM(U475))=0</formula>
    </cfRule>
  </conditionalFormatting>
  <conditionalFormatting sqref="U475">
    <cfRule type="expression" dxfId="3073" priority="2984" stopIfTrue="1">
      <formula>$G472=""</formula>
    </cfRule>
  </conditionalFormatting>
  <conditionalFormatting sqref="U480">
    <cfRule type="containsBlanks" dxfId="3072" priority="2981" stopIfTrue="1">
      <formula>LEN(TRIM(U480))=0</formula>
    </cfRule>
  </conditionalFormatting>
  <conditionalFormatting sqref="U480">
    <cfRule type="expression" dxfId="3071" priority="2980" stopIfTrue="1">
      <formula>$G477=""</formula>
    </cfRule>
  </conditionalFormatting>
  <conditionalFormatting sqref="U488">
    <cfRule type="containsBlanks" dxfId="3070" priority="2977" stopIfTrue="1">
      <formula>LEN(TRIM(U488))=0</formula>
    </cfRule>
  </conditionalFormatting>
  <conditionalFormatting sqref="U488">
    <cfRule type="expression" dxfId="3069" priority="2976" stopIfTrue="1">
      <formula>$G485=""</formula>
    </cfRule>
  </conditionalFormatting>
  <conditionalFormatting sqref="U493">
    <cfRule type="containsBlanks" dxfId="3068" priority="2973" stopIfTrue="1">
      <formula>LEN(TRIM(U493))=0</formula>
    </cfRule>
  </conditionalFormatting>
  <conditionalFormatting sqref="U493">
    <cfRule type="expression" dxfId="3067" priority="2972" stopIfTrue="1">
      <formula>$G490=""</formula>
    </cfRule>
  </conditionalFormatting>
  <conditionalFormatting sqref="U498">
    <cfRule type="containsBlanks" dxfId="3066" priority="2969" stopIfTrue="1">
      <formula>LEN(TRIM(U498))=0</formula>
    </cfRule>
  </conditionalFormatting>
  <conditionalFormatting sqref="U498">
    <cfRule type="expression" dxfId="3065" priority="2968" stopIfTrue="1">
      <formula>$G495=""</formula>
    </cfRule>
  </conditionalFormatting>
  <conditionalFormatting sqref="U503">
    <cfRule type="containsBlanks" dxfId="3064" priority="2965" stopIfTrue="1">
      <formula>LEN(TRIM(U503))=0</formula>
    </cfRule>
  </conditionalFormatting>
  <conditionalFormatting sqref="U503">
    <cfRule type="expression" dxfId="3063" priority="2964" stopIfTrue="1">
      <formula>$G500=""</formula>
    </cfRule>
  </conditionalFormatting>
  <conditionalFormatting sqref="U508">
    <cfRule type="containsBlanks" dxfId="3062" priority="2961" stopIfTrue="1">
      <formula>LEN(TRIM(U508))=0</formula>
    </cfRule>
  </conditionalFormatting>
  <conditionalFormatting sqref="U508">
    <cfRule type="expression" dxfId="3061" priority="2960" stopIfTrue="1">
      <formula>$G505=""</formula>
    </cfRule>
  </conditionalFormatting>
  <conditionalFormatting sqref="U513">
    <cfRule type="containsBlanks" dxfId="3060" priority="2957" stopIfTrue="1">
      <formula>LEN(TRIM(U513))=0</formula>
    </cfRule>
  </conditionalFormatting>
  <conditionalFormatting sqref="U513">
    <cfRule type="expression" dxfId="3059" priority="2956" stopIfTrue="1">
      <formula>$G510=""</formula>
    </cfRule>
  </conditionalFormatting>
  <conditionalFormatting sqref="U518">
    <cfRule type="containsBlanks" dxfId="3058" priority="2953" stopIfTrue="1">
      <formula>LEN(TRIM(U518))=0</formula>
    </cfRule>
  </conditionalFormatting>
  <conditionalFormatting sqref="U518">
    <cfRule type="expression" dxfId="3057" priority="2952" stopIfTrue="1">
      <formula>$G515=""</formula>
    </cfRule>
  </conditionalFormatting>
  <conditionalFormatting sqref="U523">
    <cfRule type="containsBlanks" dxfId="3056" priority="2949" stopIfTrue="1">
      <formula>LEN(TRIM(U523))=0</formula>
    </cfRule>
  </conditionalFormatting>
  <conditionalFormatting sqref="U523">
    <cfRule type="expression" dxfId="3055" priority="2948" stopIfTrue="1">
      <formula>$G520=""</formula>
    </cfRule>
  </conditionalFormatting>
  <conditionalFormatting sqref="U528">
    <cfRule type="containsBlanks" dxfId="3054" priority="2945" stopIfTrue="1">
      <formula>LEN(TRIM(U528))=0</formula>
    </cfRule>
  </conditionalFormatting>
  <conditionalFormatting sqref="U528">
    <cfRule type="expression" dxfId="3053" priority="2944" stopIfTrue="1">
      <formula>$G525=""</formula>
    </cfRule>
  </conditionalFormatting>
  <conditionalFormatting sqref="U533">
    <cfRule type="containsBlanks" dxfId="3052" priority="2941" stopIfTrue="1">
      <formula>LEN(TRIM(U533))=0</formula>
    </cfRule>
  </conditionalFormatting>
  <conditionalFormatting sqref="U533">
    <cfRule type="expression" dxfId="3051" priority="2940" stopIfTrue="1">
      <formula>$G530=""</formula>
    </cfRule>
  </conditionalFormatting>
  <conditionalFormatting sqref="U538">
    <cfRule type="containsBlanks" dxfId="3050" priority="2937" stopIfTrue="1">
      <formula>LEN(TRIM(U538))=0</formula>
    </cfRule>
  </conditionalFormatting>
  <conditionalFormatting sqref="U538">
    <cfRule type="expression" dxfId="3049" priority="2936" stopIfTrue="1">
      <formula>$G535=""</formula>
    </cfRule>
  </conditionalFormatting>
  <conditionalFormatting sqref="U543">
    <cfRule type="containsBlanks" dxfId="3048" priority="2933" stopIfTrue="1">
      <formula>LEN(TRIM(U543))=0</formula>
    </cfRule>
  </conditionalFormatting>
  <conditionalFormatting sqref="U543">
    <cfRule type="expression" dxfId="3047" priority="2932" stopIfTrue="1">
      <formula>$G540=""</formula>
    </cfRule>
  </conditionalFormatting>
  <conditionalFormatting sqref="U548">
    <cfRule type="containsBlanks" dxfId="3046" priority="2929" stopIfTrue="1">
      <formula>LEN(TRIM(U548))=0</formula>
    </cfRule>
  </conditionalFormatting>
  <conditionalFormatting sqref="U548">
    <cfRule type="expression" dxfId="3045" priority="2928" stopIfTrue="1">
      <formula>$G545=""</formula>
    </cfRule>
  </conditionalFormatting>
  <conditionalFormatting sqref="U553">
    <cfRule type="containsBlanks" dxfId="3044" priority="2925" stopIfTrue="1">
      <formula>LEN(TRIM(U553))=0</formula>
    </cfRule>
  </conditionalFormatting>
  <conditionalFormatting sqref="U553">
    <cfRule type="expression" dxfId="3043" priority="2924" stopIfTrue="1">
      <formula>$G550=""</formula>
    </cfRule>
  </conditionalFormatting>
  <conditionalFormatting sqref="U558">
    <cfRule type="containsBlanks" dxfId="3042" priority="2921" stopIfTrue="1">
      <formula>LEN(TRIM(U558))=0</formula>
    </cfRule>
  </conditionalFormatting>
  <conditionalFormatting sqref="U558">
    <cfRule type="expression" dxfId="3041" priority="2920" stopIfTrue="1">
      <formula>$G555=""</formula>
    </cfRule>
  </conditionalFormatting>
  <conditionalFormatting sqref="U566">
    <cfRule type="containsBlanks" dxfId="3040" priority="2917" stopIfTrue="1">
      <formula>LEN(TRIM(U566))=0</formula>
    </cfRule>
  </conditionalFormatting>
  <conditionalFormatting sqref="U566">
    <cfRule type="expression" dxfId="3039" priority="2916" stopIfTrue="1">
      <formula>$G563=""</formula>
    </cfRule>
  </conditionalFormatting>
  <conditionalFormatting sqref="U571">
    <cfRule type="containsBlanks" dxfId="3038" priority="2913" stopIfTrue="1">
      <formula>LEN(TRIM(U571))=0</formula>
    </cfRule>
  </conditionalFormatting>
  <conditionalFormatting sqref="U571">
    <cfRule type="expression" dxfId="3037" priority="2912" stopIfTrue="1">
      <formula>$G568=""</formula>
    </cfRule>
  </conditionalFormatting>
  <conditionalFormatting sqref="U576">
    <cfRule type="containsBlanks" dxfId="3036" priority="2909" stopIfTrue="1">
      <formula>LEN(TRIM(U576))=0</formula>
    </cfRule>
  </conditionalFormatting>
  <conditionalFormatting sqref="U576">
    <cfRule type="expression" dxfId="3035" priority="2908" stopIfTrue="1">
      <formula>$G573=""</formula>
    </cfRule>
  </conditionalFormatting>
  <conditionalFormatting sqref="U581">
    <cfRule type="containsBlanks" dxfId="3034" priority="2905" stopIfTrue="1">
      <formula>LEN(TRIM(U581))=0</formula>
    </cfRule>
  </conditionalFormatting>
  <conditionalFormatting sqref="U581">
    <cfRule type="expression" dxfId="3033" priority="2904" stopIfTrue="1">
      <formula>$G578=""</formula>
    </cfRule>
  </conditionalFormatting>
  <conditionalFormatting sqref="U586">
    <cfRule type="containsBlanks" dxfId="3032" priority="2901" stopIfTrue="1">
      <formula>LEN(TRIM(U586))=0</formula>
    </cfRule>
  </conditionalFormatting>
  <conditionalFormatting sqref="U586">
    <cfRule type="expression" dxfId="3031" priority="2900" stopIfTrue="1">
      <formula>$G583=""</formula>
    </cfRule>
  </conditionalFormatting>
  <conditionalFormatting sqref="U591">
    <cfRule type="containsBlanks" dxfId="3030" priority="2897" stopIfTrue="1">
      <formula>LEN(TRIM(U591))=0</formula>
    </cfRule>
  </conditionalFormatting>
  <conditionalFormatting sqref="U591">
    <cfRule type="expression" dxfId="3029" priority="2896" stopIfTrue="1">
      <formula>$G588=""</formula>
    </cfRule>
  </conditionalFormatting>
  <conditionalFormatting sqref="U596">
    <cfRule type="containsBlanks" dxfId="3028" priority="2893" stopIfTrue="1">
      <formula>LEN(TRIM(U596))=0</formula>
    </cfRule>
  </conditionalFormatting>
  <conditionalFormatting sqref="U596">
    <cfRule type="expression" dxfId="3027" priority="2892" stopIfTrue="1">
      <formula>$G593=""</formula>
    </cfRule>
  </conditionalFormatting>
  <conditionalFormatting sqref="U601">
    <cfRule type="containsBlanks" dxfId="3026" priority="2889" stopIfTrue="1">
      <formula>LEN(TRIM(U601))=0</formula>
    </cfRule>
  </conditionalFormatting>
  <conditionalFormatting sqref="U601">
    <cfRule type="expression" dxfId="3025" priority="2888" stopIfTrue="1">
      <formula>$G598=""</formula>
    </cfRule>
  </conditionalFormatting>
  <conditionalFormatting sqref="U606">
    <cfRule type="containsBlanks" dxfId="3024" priority="2885" stopIfTrue="1">
      <formula>LEN(TRIM(U606))=0</formula>
    </cfRule>
  </conditionalFormatting>
  <conditionalFormatting sqref="U606">
    <cfRule type="expression" dxfId="3023" priority="2884" stopIfTrue="1">
      <formula>$G603=""</formula>
    </cfRule>
  </conditionalFormatting>
  <conditionalFormatting sqref="U611">
    <cfRule type="containsBlanks" dxfId="3022" priority="2881" stopIfTrue="1">
      <formula>LEN(TRIM(U611))=0</formula>
    </cfRule>
  </conditionalFormatting>
  <conditionalFormatting sqref="U611">
    <cfRule type="expression" dxfId="3021" priority="2880" stopIfTrue="1">
      <formula>$G608=""</formula>
    </cfRule>
  </conditionalFormatting>
  <conditionalFormatting sqref="U616">
    <cfRule type="containsBlanks" dxfId="3020" priority="2877" stopIfTrue="1">
      <formula>LEN(TRIM(U616))=0</formula>
    </cfRule>
  </conditionalFormatting>
  <conditionalFormatting sqref="U616">
    <cfRule type="expression" dxfId="3019" priority="2876" stopIfTrue="1">
      <formula>$G613=""</formula>
    </cfRule>
  </conditionalFormatting>
  <conditionalFormatting sqref="U621">
    <cfRule type="containsBlanks" dxfId="3018" priority="2873" stopIfTrue="1">
      <formula>LEN(TRIM(U621))=0</formula>
    </cfRule>
  </conditionalFormatting>
  <conditionalFormatting sqref="U621">
    <cfRule type="expression" dxfId="3017" priority="2872" stopIfTrue="1">
      <formula>$G618=""</formula>
    </cfRule>
  </conditionalFormatting>
  <conditionalFormatting sqref="U626">
    <cfRule type="containsBlanks" dxfId="3016" priority="2869" stopIfTrue="1">
      <formula>LEN(TRIM(U626))=0</formula>
    </cfRule>
  </conditionalFormatting>
  <conditionalFormatting sqref="U626">
    <cfRule type="expression" dxfId="3015" priority="2868" stopIfTrue="1">
      <formula>$G623=""</formula>
    </cfRule>
  </conditionalFormatting>
  <conditionalFormatting sqref="U631">
    <cfRule type="containsBlanks" dxfId="3014" priority="2865" stopIfTrue="1">
      <formula>LEN(TRIM(U631))=0</formula>
    </cfRule>
  </conditionalFormatting>
  <conditionalFormatting sqref="U631">
    <cfRule type="expression" dxfId="3013" priority="2864" stopIfTrue="1">
      <formula>$G628=""</formula>
    </cfRule>
  </conditionalFormatting>
  <conditionalFormatting sqref="U636">
    <cfRule type="containsBlanks" dxfId="3012" priority="2861" stopIfTrue="1">
      <formula>LEN(TRIM(U636))=0</formula>
    </cfRule>
  </conditionalFormatting>
  <conditionalFormatting sqref="U636">
    <cfRule type="expression" dxfId="3011" priority="2860" stopIfTrue="1">
      <formula>$G633=""</formula>
    </cfRule>
  </conditionalFormatting>
  <conditionalFormatting sqref="U644">
    <cfRule type="containsBlanks" dxfId="3010" priority="2857" stopIfTrue="1">
      <formula>LEN(TRIM(U644))=0</formula>
    </cfRule>
  </conditionalFormatting>
  <conditionalFormatting sqref="U644">
    <cfRule type="expression" dxfId="3009" priority="2856" stopIfTrue="1">
      <formula>$G641=""</formula>
    </cfRule>
  </conditionalFormatting>
  <conditionalFormatting sqref="U649">
    <cfRule type="containsBlanks" dxfId="3008" priority="2853" stopIfTrue="1">
      <formula>LEN(TRIM(U649))=0</formula>
    </cfRule>
  </conditionalFormatting>
  <conditionalFormatting sqref="U649">
    <cfRule type="expression" dxfId="3007" priority="2852" stopIfTrue="1">
      <formula>$G646=""</formula>
    </cfRule>
  </conditionalFormatting>
  <conditionalFormatting sqref="U654">
    <cfRule type="containsBlanks" dxfId="3006" priority="2849" stopIfTrue="1">
      <formula>LEN(TRIM(U654))=0</formula>
    </cfRule>
  </conditionalFormatting>
  <conditionalFormatting sqref="U654">
    <cfRule type="expression" dxfId="3005" priority="2848" stopIfTrue="1">
      <formula>$G651=""</formula>
    </cfRule>
  </conditionalFormatting>
  <conditionalFormatting sqref="U659">
    <cfRule type="containsBlanks" dxfId="3004" priority="2845" stopIfTrue="1">
      <formula>LEN(TRIM(U659))=0</formula>
    </cfRule>
  </conditionalFormatting>
  <conditionalFormatting sqref="U659">
    <cfRule type="expression" dxfId="3003" priority="2844" stopIfTrue="1">
      <formula>$G656=""</formula>
    </cfRule>
  </conditionalFormatting>
  <conditionalFormatting sqref="U664">
    <cfRule type="containsBlanks" dxfId="3002" priority="2841" stopIfTrue="1">
      <formula>LEN(TRIM(U664))=0</formula>
    </cfRule>
  </conditionalFormatting>
  <conditionalFormatting sqref="U664">
    <cfRule type="expression" dxfId="3001" priority="2840" stopIfTrue="1">
      <formula>$G661=""</formula>
    </cfRule>
  </conditionalFormatting>
  <conditionalFormatting sqref="U669">
    <cfRule type="containsBlanks" dxfId="3000" priority="2837" stopIfTrue="1">
      <formula>LEN(TRIM(U669))=0</formula>
    </cfRule>
  </conditionalFormatting>
  <conditionalFormatting sqref="U669">
    <cfRule type="expression" dxfId="2999" priority="2836" stopIfTrue="1">
      <formula>$G666=""</formula>
    </cfRule>
  </conditionalFormatting>
  <conditionalFormatting sqref="U674">
    <cfRule type="containsBlanks" dxfId="2998" priority="2833" stopIfTrue="1">
      <formula>LEN(TRIM(U674))=0</formula>
    </cfRule>
  </conditionalFormatting>
  <conditionalFormatting sqref="U674">
    <cfRule type="expression" dxfId="2997" priority="2832" stopIfTrue="1">
      <formula>$G671=""</formula>
    </cfRule>
  </conditionalFormatting>
  <conditionalFormatting sqref="U679">
    <cfRule type="containsBlanks" dxfId="2996" priority="2829" stopIfTrue="1">
      <formula>LEN(TRIM(U679))=0</formula>
    </cfRule>
  </conditionalFormatting>
  <conditionalFormatting sqref="U679">
    <cfRule type="expression" dxfId="2995" priority="2828" stopIfTrue="1">
      <formula>$G676=""</formula>
    </cfRule>
  </conditionalFormatting>
  <conditionalFormatting sqref="U684">
    <cfRule type="containsBlanks" dxfId="2994" priority="2825" stopIfTrue="1">
      <formula>LEN(TRIM(U684))=0</formula>
    </cfRule>
  </conditionalFormatting>
  <conditionalFormatting sqref="U684">
    <cfRule type="expression" dxfId="2993" priority="2824" stopIfTrue="1">
      <formula>$G681=""</formula>
    </cfRule>
  </conditionalFormatting>
  <conditionalFormatting sqref="U689">
    <cfRule type="containsBlanks" dxfId="2992" priority="2821" stopIfTrue="1">
      <formula>LEN(TRIM(U689))=0</formula>
    </cfRule>
  </conditionalFormatting>
  <conditionalFormatting sqref="U689">
    <cfRule type="expression" dxfId="2991" priority="2820" stopIfTrue="1">
      <formula>$G686=""</formula>
    </cfRule>
  </conditionalFormatting>
  <conditionalFormatting sqref="U694">
    <cfRule type="containsBlanks" dxfId="2990" priority="2817" stopIfTrue="1">
      <formula>LEN(TRIM(U694))=0</formula>
    </cfRule>
  </conditionalFormatting>
  <conditionalFormatting sqref="U694">
    <cfRule type="expression" dxfId="2989" priority="2816" stopIfTrue="1">
      <formula>$G691=""</formula>
    </cfRule>
  </conditionalFormatting>
  <conditionalFormatting sqref="U699">
    <cfRule type="containsBlanks" dxfId="2988" priority="2813" stopIfTrue="1">
      <formula>LEN(TRIM(U699))=0</formula>
    </cfRule>
  </conditionalFormatting>
  <conditionalFormatting sqref="U699">
    <cfRule type="expression" dxfId="2987" priority="2812" stopIfTrue="1">
      <formula>$G696=""</formula>
    </cfRule>
  </conditionalFormatting>
  <conditionalFormatting sqref="U704">
    <cfRule type="containsBlanks" dxfId="2986" priority="2809" stopIfTrue="1">
      <formula>LEN(TRIM(U704))=0</formula>
    </cfRule>
  </conditionalFormatting>
  <conditionalFormatting sqref="U704">
    <cfRule type="expression" dxfId="2985" priority="2808" stopIfTrue="1">
      <formula>$G701=""</formula>
    </cfRule>
  </conditionalFormatting>
  <conditionalFormatting sqref="U709">
    <cfRule type="containsBlanks" dxfId="2984" priority="2805" stopIfTrue="1">
      <formula>LEN(TRIM(U709))=0</formula>
    </cfRule>
  </conditionalFormatting>
  <conditionalFormatting sqref="U709">
    <cfRule type="expression" dxfId="2983" priority="2804" stopIfTrue="1">
      <formula>$G706=""</formula>
    </cfRule>
  </conditionalFormatting>
  <conditionalFormatting sqref="U714">
    <cfRule type="containsBlanks" dxfId="2982" priority="2801" stopIfTrue="1">
      <formula>LEN(TRIM(U714))=0</formula>
    </cfRule>
  </conditionalFormatting>
  <conditionalFormatting sqref="U714">
    <cfRule type="expression" dxfId="2981" priority="2800" stopIfTrue="1">
      <formula>$G711=""</formula>
    </cfRule>
  </conditionalFormatting>
  <conditionalFormatting sqref="U722">
    <cfRule type="containsBlanks" dxfId="2980" priority="2797" stopIfTrue="1">
      <formula>LEN(TRIM(U722))=0</formula>
    </cfRule>
  </conditionalFormatting>
  <conditionalFormatting sqref="U722">
    <cfRule type="expression" dxfId="2979" priority="2796" stopIfTrue="1">
      <formula>$G719=""</formula>
    </cfRule>
  </conditionalFormatting>
  <conditionalFormatting sqref="U727">
    <cfRule type="containsBlanks" dxfId="2978" priority="2793" stopIfTrue="1">
      <formula>LEN(TRIM(U727))=0</formula>
    </cfRule>
  </conditionalFormatting>
  <conditionalFormatting sqref="U727">
    <cfRule type="expression" dxfId="2977" priority="2792" stopIfTrue="1">
      <formula>$G724=""</formula>
    </cfRule>
  </conditionalFormatting>
  <conditionalFormatting sqref="U732">
    <cfRule type="containsBlanks" dxfId="2976" priority="2789" stopIfTrue="1">
      <formula>LEN(TRIM(U732))=0</formula>
    </cfRule>
  </conditionalFormatting>
  <conditionalFormatting sqref="U732">
    <cfRule type="expression" dxfId="2975" priority="2788" stopIfTrue="1">
      <formula>$G729=""</formula>
    </cfRule>
  </conditionalFormatting>
  <conditionalFormatting sqref="U737">
    <cfRule type="containsBlanks" dxfId="2974" priority="2785" stopIfTrue="1">
      <formula>LEN(TRIM(U737))=0</formula>
    </cfRule>
  </conditionalFormatting>
  <conditionalFormatting sqref="U737">
    <cfRule type="expression" dxfId="2973" priority="2784" stopIfTrue="1">
      <formula>$G734=""</formula>
    </cfRule>
  </conditionalFormatting>
  <conditionalFormatting sqref="U742">
    <cfRule type="containsBlanks" dxfId="2972" priority="2781" stopIfTrue="1">
      <formula>LEN(TRIM(U742))=0</formula>
    </cfRule>
  </conditionalFormatting>
  <conditionalFormatting sqref="U742">
    <cfRule type="expression" dxfId="2971" priority="2780" stopIfTrue="1">
      <formula>$G739=""</formula>
    </cfRule>
  </conditionalFormatting>
  <conditionalFormatting sqref="U747">
    <cfRule type="containsBlanks" dxfId="2970" priority="2777" stopIfTrue="1">
      <formula>LEN(TRIM(U747))=0</formula>
    </cfRule>
  </conditionalFormatting>
  <conditionalFormatting sqref="U747">
    <cfRule type="expression" dxfId="2969" priority="2776" stopIfTrue="1">
      <formula>$G744=""</formula>
    </cfRule>
  </conditionalFormatting>
  <conditionalFormatting sqref="U752">
    <cfRule type="containsBlanks" dxfId="2968" priority="2773" stopIfTrue="1">
      <formula>LEN(TRIM(U752))=0</formula>
    </cfRule>
  </conditionalFormatting>
  <conditionalFormatting sqref="U752">
    <cfRule type="expression" dxfId="2967" priority="2772" stopIfTrue="1">
      <formula>$G749=""</formula>
    </cfRule>
  </conditionalFormatting>
  <conditionalFormatting sqref="U757">
    <cfRule type="containsBlanks" dxfId="2966" priority="2769" stopIfTrue="1">
      <formula>LEN(TRIM(U757))=0</formula>
    </cfRule>
  </conditionalFormatting>
  <conditionalFormatting sqref="U757">
    <cfRule type="expression" dxfId="2965" priority="2768" stopIfTrue="1">
      <formula>$G754=""</formula>
    </cfRule>
  </conditionalFormatting>
  <conditionalFormatting sqref="U762">
    <cfRule type="containsBlanks" dxfId="2964" priority="2765" stopIfTrue="1">
      <formula>LEN(TRIM(U762))=0</formula>
    </cfRule>
  </conditionalFormatting>
  <conditionalFormatting sqref="U762">
    <cfRule type="expression" dxfId="2963" priority="2764" stopIfTrue="1">
      <formula>$G759=""</formula>
    </cfRule>
  </conditionalFormatting>
  <conditionalFormatting sqref="U767">
    <cfRule type="containsBlanks" dxfId="2962" priority="2761" stopIfTrue="1">
      <formula>LEN(TRIM(U767))=0</formula>
    </cfRule>
  </conditionalFormatting>
  <conditionalFormatting sqref="U767">
    <cfRule type="expression" dxfId="2961" priority="2760" stopIfTrue="1">
      <formula>$G764=""</formula>
    </cfRule>
  </conditionalFormatting>
  <conditionalFormatting sqref="U772">
    <cfRule type="containsBlanks" dxfId="2960" priority="2757" stopIfTrue="1">
      <formula>LEN(TRIM(U772))=0</formula>
    </cfRule>
  </conditionalFormatting>
  <conditionalFormatting sqref="U772">
    <cfRule type="expression" dxfId="2959" priority="2756" stopIfTrue="1">
      <formula>$G769=""</formula>
    </cfRule>
  </conditionalFormatting>
  <conditionalFormatting sqref="U777">
    <cfRule type="containsBlanks" dxfId="2958" priority="2753" stopIfTrue="1">
      <formula>LEN(TRIM(U777))=0</formula>
    </cfRule>
  </conditionalFormatting>
  <conditionalFormatting sqref="U777">
    <cfRule type="expression" dxfId="2957" priority="2752" stopIfTrue="1">
      <formula>$G774=""</formula>
    </cfRule>
  </conditionalFormatting>
  <conditionalFormatting sqref="U782">
    <cfRule type="containsBlanks" dxfId="2956" priority="2749" stopIfTrue="1">
      <formula>LEN(TRIM(U782))=0</formula>
    </cfRule>
  </conditionalFormatting>
  <conditionalFormatting sqref="U782">
    <cfRule type="expression" dxfId="2955" priority="2748" stopIfTrue="1">
      <formula>$G779=""</formula>
    </cfRule>
  </conditionalFormatting>
  <conditionalFormatting sqref="U787">
    <cfRule type="containsBlanks" dxfId="2954" priority="2745" stopIfTrue="1">
      <formula>LEN(TRIM(U787))=0</formula>
    </cfRule>
  </conditionalFormatting>
  <conditionalFormatting sqref="U787">
    <cfRule type="expression" dxfId="2953" priority="2744" stopIfTrue="1">
      <formula>$G784=""</formula>
    </cfRule>
  </conditionalFormatting>
  <conditionalFormatting sqref="U792">
    <cfRule type="containsBlanks" dxfId="2952" priority="2741" stopIfTrue="1">
      <formula>LEN(TRIM(U792))=0</formula>
    </cfRule>
  </conditionalFormatting>
  <conditionalFormatting sqref="U792">
    <cfRule type="expression" dxfId="2951" priority="2740" stopIfTrue="1">
      <formula>$G789=""</formula>
    </cfRule>
  </conditionalFormatting>
  <conditionalFormatting sqref="U128">
    <cfRule type="containsBlanks" dxfId="2950" priority="2737" stopIfTrue="1">
      <formula>LEN(TRIM(U128))=0</formula>
    </cfRule>
  </conditionalFormatting>
  <conditionalFormatting sqref="U128">
    <cfRule type="expression" dxfId="2949" priority="2736" stopIfTrue="1">
      <formula>$G125=""</formula>
    </cfRule>
  </conditionalFormatting>
  <conditionalFormatting sqref="P54:Q54">
    <cfRule type="expression" dxfId="2948" priority="2730">
      <formula>$C$43=0</formula>
    </cfRule>
  </conditionalFormatting>
  <conditionalFormatting sqref="P49:Q49">
    <cfRule type="expression" dxfId="2947" priority="2586">
      <formula>$C$43=0</formula>
    </cfRule>
  </conditionalFormatting>
  <conditionalFormatting sqref="B82:B83">
    <cfRule type="expression" dxfId="2946" priority="2582">
      <formula>$ID83="Green"</formula>
    </cfRule>
    <cfRule type="expression" dxfId="2945" priority="2583">
      <formula>$ID83="White"</formula>
    </cfRule>
  </conditionalFormatting>
  <conditionalFormatting sqref="B82:B83">
    <cfRule type="expression" dxfId="2944" priority="2581">
      <formula>$ID83="Yellow"</formula>
    </cfRule>
  </conditionalFormatting>
  <conditionalFormatting sqref="B82:B83">
    <cfRule type="expression" dxfId="2943" priority="2580">
      <formula>$ID83="Red"</formula>
    </cfRule>
  </conditionalFormatting>
  <conditionalFormatting sqref="B77:B78">
    <cfRule type="expression" dxfId="2942" priority="2578">
      <formula>$ID78="Green"</formula>
    </cfRule>
    <cfRule type="expression" dxfId="2941" priority="2579">
      <formula>$ID78="White"</formula>
    </cfRule>
  </conditionalFormatting>
  <conditionalFormatting sqref="B77:B78">
    <cfRule type="expression" dxfId="2940" priority="2577">
      <formula>$ID78="Yellow"</formula>
    </cfRule>
  </conditionalFormatting>
  <conditionalFormatting sqref="B77:B78">
    <cfRule type="expression" dxfId="2939" priority="2576">
      <formula>$ID78="Red"</formula>
    </cfRule>
  </conditionalFormatting>
  <conditionalFormatting sqref="B72:B73">
    <cfRule type="expression" dxfId="2938" priority="2574">
      <formula>$ID73="Green"</formula>
    </cfRule>
    <cfRule type="expression" dxfId="2937" priority="2575">
      <formula>$ID73="White"</formula>
    </cfRule>
  </conditionalFormatting>
  <conditionalFormatting sqref="B72:B73">
    <cfRule type="expression" dxfId="2936" priority="2573">
      <formula>$ID73="Yellow"</formula>
    </cfRule>
  </conditionalFormatting>
  <conditionalFormatting sqref="B72:B73">
    <cfRule type="expression" dxfId="2935" priority="2572">
      <formula>$ID73="Red"</formula>
    </cfRule>
  </conditionalFormatting>
  <conditionalFormatting sqref="B67:B68">
    <cfRule type="expression" dxfId="2934" priority="2570">
      <formula>$ID68="Green"</formula>
    </cfRule>
    <cfRule type="expression" dxfId="2933" priority="2571">
      <formula>$ID68="White"</formula>
    </cfRule>
  </conditionalFormatting>
  <conditionalFormatting sqref="B67:B68">
    <cfRule type="expression" dxfId="2932" priority="2569">
      <formula>$ID68="Yellow"</formula>
    </cfRule>
  </conditionalFormatting>
  <conditionalFormatting sqref="B67:B68">
    <cfRule type="expression" dxfId="2931" priority="2568">
      <formula>$ID68="Red"</formula>
    </cfRule>
  </conditionalFormatting>
  <conditionalFormatting sqref="B62:B63">
    <cfRule type="expression" dxfId="2930" priority="2566">
      <formula>$ID63="Green"</formula>
    </cfRule>
    <cfRule type="expression" dxfId="2929" priority="2567">
      <formula>$ID63="White"</formula>
    </cfRule>
  </conditionalFormatting>
  <conditionalFormatting sqref="B62:B63">
    <cfRule type="expression" dxfId="2928" priority="2565">
      <formula>$ID63="Yellow"</formula>
    </cfRule>
  </conditionalFormatting>
  <conditionalFormatting sqref="B62:B63">
    <cfRule type="expression" dxfId="2927" priority="2564">
      <formula>$ID63="Red"</formula>
    </cfRule>
  </conditionalFormatting>
  <conditionalFormatting sqref="B57:B58">
    <cfRule type="expression" dxfId="2926" priority="2562">
      <formula>$ID58="Green"</formula>
    </cfRule>
    <cfRule type="expression" dxfId="2925" priority="2563">
      <formula>$ID58="White"</formula>
    </cfRule>
  </conditionalFormatting>
  <conditionalFormatting sqref="B57:B58">
    <cfRule type="expression" dxfId="2924" priority="2561">
      <formula>$ID58="Yellow"</formula>
    </cfRule>
  </conditionalFormatting>
  <conditionalFormatting sqref="B57:B58">
    <cfRule type="expression" dxfId="2923" priority="2560">
      <formula>$ID58="Red"</formula>
    </cfRule>
  </conditionalFormatting>
  <conditionalFormatting sqref="B52:B53">
    <cfRule type="expression" dxfId="2922" priority="2558">
      <formula>$ID53="Green"</formula>
    </cfRule>
    <cfRule type="expression" dxfId="2921" priority="2559">
      <formula>$ID53="White"</formula>
    </cfRule>
  </conditionalFormatting>
  <conditionalFormatting sqref="B52:B53">
    <cfRule type="expression" dxfId="2920" priority="2557">
      <formula>$ID53="Yellow"</formula>
    </cfRule>
  </conditionalFormatting>
  <conditionalFormatting sqref="B52:B53">
    <cfRule type="expression" dxfId="2919" priority="2556">
      <formula>$ID53="Red"</formula>
    </cfRule>
  </conditionalFormatting>
  <conditionalFormatting sqref="B47:B48">
    <cfRule type="expression" dxfId="2918" priority="2554">
      <formula>$ID48="Green"</formula>
    </cfRule>
    <cfRule type="expression" dxfId="2917" priority="2555">
      <formula>$ID48="White"</formula>
    </cfRule>
  </conditionalFormatting>
  <conditionalFormatting sqref="B47:B48">
    <cfRule type="expression" dxfId="2916" priority="2553">
      <formula>$ID48="Yellow"</formula>
    </cfRule>
  </conditionalFormatting>
  <conditionalFormatting sqref="B47:B48">
    <cfRule type="expression" dxfId="2915" priority="2552">
      <formula>$ID48="Red"</formula>
    </cfRule>
  </conditionalFormatting>
  <conditionalFormatting sqref="B87:B88">
    <cfRule type="expression" dxfId="2914" priority="2550">
      <formula>$ID88="Green"</formula>
    </cfRule>
    <cfRule type="expression" dxfId="2913" priority="2551">
      <formula>$ID88="White"</formula>
    </cfRule>
  </conditionalFormatting>
  <conditionalFormatting sqref="B87:B88">
    <cfRule type="expression" dxfId="2912" priority="2549">
      <formula>$ID88="Yellow"</formula>
    </cfRule>
  </conditionalFormatting>
  <conditionalFormatting sqref="B87:B88">
    <cfRule type="expression" dxfId="2911" priority="2548">
      <formula>$ID88="Red"</formula>
    </cfRule>
  </conditionalFormatting>
  <conditionalFormatting sqref="B95:B96">
    <cfRule type="expression" dxfId="2910" priority="2546">
      <formula>$ID96="Green"</formula>
    </cfRule>
    <cfRule type="expression" dxfId="2909" priority="2547">
      <formula>$ID96="White"</formula>
    </cfRule>
  </conditionalFormatting>
  <conditionalFormatting sqref="B95:B96">
    <cfRule type="expression" dxfId="2908" priority="2545">
      <formula>$ID96="Yellow"</formula>
    </cfRule>
  </conditionalFormatting>
  <conditionalFormatting sqref="B95:B96">
    <cfRule type="expression" dxfId="2907" priority="2544">
      <formula>$ID96="Red"</formula>
    </cfRule>
  </conditionalFormatting>
  <conditionalFormatting sqref="B100:B101">
    <cfRule type="expression" dxfId="2906" priority="2542">
      <formula>$ID101="Green"</formula>
    </cfRule>
    <cfRule type="expression" dxfId="2905" priority="2543">
      <formula>$ID101="White"</formula>
    </cfRule>
  </conditionalFormatting>
  <conditionalFormatting sqref="B100:B101">
    <cfRule type="expression" dxfId="2904" priority="2541">
      <formula>$ID101="Yellow"</formula>
    </cfRule>
  </conditionalFormatting>
  <conditionalFormatting sqref="B100:B101">
    <cfRule type="expression" dxfId="2903" priority="2540">
      <formula>$ID101="Red"</formula>
    </cfRule>
  </conditionalFormatting>
  <conditionalFormatting sqref="B105:B106">
    <cfRule type="expression" dxfId="2902" priority="2538">
      <formula>$ID106="Green"</formula>
    </cfRule>
    <cfRule type="expression" dxfId="2901" priority="2539">
      <formula>$ID106="White"</formula>
    </cfRule>
  </conditionalFormatting>
  <conditionalFormatting sqref="B105:B106">
    <cfRule type="expression" dxfId="2900" priority="2537">
      <formula>$ID106="Yellow"</formula>
    </cfRule>
  </conditionalFormatting>
  <conditionalFormatting sqref="B105:B106">
    <cfRule type="expression" dxfId="2899" priority="2536">
      <formula>$ID106="Red"</formula>
    </cfRule>
  </conditionalFormatting>
  <conditionalFormatting sqref="B110:B111">
    <cfRule type="expression" dxfId="2898" priority="2534">
      <formula>$ID111="Green"</formula>
    </cfRule>
    <cfRule type="expression" dxfId="2897" priority="2535">
      <formula>$ID111="White"</formula>
    </cfRule>
  </conditionalFormatting>
  <conditionalFormatting sqref="B110:B111">
    <cfRule type="expression" dxfId="2896" priority="2533">
      <formula>$ID111="Yellow"</formula>
    </cfRule>
  </conditionalFormatting>
  <conditionalFormatting sqref="B110:B111">
    <cfRule type="expression" dxfId="2895" priority="2532">
      <formula>$ID111="Red"</formula>
    </cfRule>
  </conditionalFormatting>
  <conditionalFormatting sqref="B115:B116">
    <cfRule type="expression" dxfId="2894" priority="2530">
      <formula>$ID116="Green"</formula>
    </cfRule>
    <cfRule type="expression" dxfId="2893" priority="2531">
      <formula>$ID116="White"</formula>
    </cfRule>
  </conditionalFormatting>
  <conditionalFormatting sqref="B115:B116">
    <cfRule type="expression" dxfId="2892" priority="2529">
      <formula>$ID116="Yellow"</formula>
    </cfRule>
  </conditionalFormatting>
  <conditionalFormatting sqref="B115:B116">
    <cfRule type="expression" dxfId="2891" priority="2528">
      <formula>$ID116="Red"</formula>
    </cfRule>
  </conditionalFormatting>
  <conditionalFormatting sqref="B120:B121">
    <cfRule type="expression" dxfId="2890" priority="2526">
      <formula>$ID121="Green"</formula>
    </cfRule>
    <cfRule type="expression" dxfId="2889" priority="2527">
      <formula>$ID121="White"</formula>
    </cfRule>
  </conditionalFormatting>
  <conditionalFormatting sqref="B120:B121">
    <cfRule type="expression" dxfId="2888" priority="2525">
      <formula>$ID121="Yellow"</formula>
    </cfRule>
  </conditionalFormatting>
  <conditionalFormatting sqref="B120:B121">
    <cfRule type="expression" dxfId="2887" priority="2524">
      <formula>$ID121="Red"</formula>
    </cfRule>
  </conditionalFormatting>
  <conditionalFormatting sqref="B125:B126">
    <cfRule type="expression" dxfId="2886" priority="2522">
      <formula>$ID126="Green"</formula>
    </cfRule>
    <cfRule type="expression" dxfId="2885" priority="2523">
      <formula>$ID126="White"</formula>
    </cfRule>
  </conditionalFormatting>
  <conditionalFormatting sqref="B125:B126">
    <cfRule type="expression" dxfId="2884" priority="2521">
      <formula>$ID126="Yellow"</formula>
    </cfRule>
  </conditionalFormatting>
  <conditionalFormatting sqref="B125:B126">
    <cfRule type="expression" dxfId="2883" priority="2520">
      <formula>$ID126="Red"</formula>
    </cfRule>
  </conditionalFormatting>
  <conditionalFormatting sqref="B130:B131">
    <cfRule type="expression" dxfId="2882" priority="2518">
      <formula>$ID131="Green"</formula>
    </cfRule>
    <cfRule type="expression" dxfId="2881" priority="2519">
      <formula>$ID131="White"</formula>
    </cfRule>
  </conditionalFormatting>
  <conditionalFormatting sqref="B130:B131">
    <cfRule type="expression" dxfId="2880" priority="2517">
      <formula>$ID131="Yellow"</formula>
    </cfRule>
  </conditionalFormatting>
  <conditionalFormatting sqref="B130:B131">
    <cfRule type="expression" dxfId="2879" priority="2516">
      <formula>$ID131="Red"</formula>
    </cfRule>
  </conditionalFormatting>
  <conditionalFormatting sqref="B135:B136">
    <cfRule type="expression" dxfId="2878" priority="2514">
      <formula>$ID136="Green"</formula>
    </cfRule>
    <cfRule type="expression" dxfId="2877" priority="2515">
      <formula>$ID136="White"</formula>
    </cfRule>
  </conditionalFormatting>
  <conditionalFormatting sqref="B135:B136">
    <cfRule type="expression" dxfId="2876" priority="2513">
      <formula>$ID136="Yellow"</formula>
    </cfRule>
  </conditionalFormatting>
  <conditionalFormatting sqref="B135:B136">
    <cfRule type="expression" dxfId="2875" priority="2512">
      <formula>$ID136="Red"</formula>
    </cfRule>
  </conditionalFormatting>
  <conditionalFormatting sqref="B140:B141">
    <cfRule type="expression" dxfId="2874" priority="2510">
      <formula>$ID141="Green"</formula>
    </cfRule>
    <cfRule type="expression" dxfId="2873" priority="2511">
      <formula>$ID141="White"</formula>
    </cfRule>
  </conditionalFormatting>
  <conditionalFormatting sqref="B140:B141">
    <cfRule type="expression" dxfId="2872" priority="2509">
      <formula>$ID141="Yellow"</formula>
    </cfRule>
  </conditionalFormatting>
  <conditionalFormatting sqref="B140:B141">
    <cfRule type="expression" dxfId="2871" priority="2508">
      <formula>$ID141="Red"</formula>
    </cfRule>
  </conditionalFormatting>
  <conditionalFormatting sqref="B145:B146">
    <cfRule type="expression" dxfId="2870" priority="2506">
      <formula>$ID146="Green"</formula>
    </cfRule>
    <cfRule type="expression" dxfId="2869" priority="2507">
      <formula>$ID146="White"</formula>
    </cfRule>
  </conditionalFormatting>
  <conditionalFormatting sqref="B145:B146">
    <cfRule type="expression" dxfId="2868" priority="2505">
      <formula>$ID146="Yellow"</formula>
    </cfRule>
  </conditionalFormatting>
  <conditionalFormatting sqref="B145:B146">
    <cfRule type="expression" dxfId="2867" priority="2504">
      <formula>$ID146="Red"</formula>
    </cfRule>
  </conditionalFormatting>
  <conditionalFormatting sqref="B150:B151">
    <cfRule type="expression" dxfId="2866" priority="2502">
      <formula>$ID151="Green"</formula>
    </cfRule>
    <cfRule type="expression" dxfId="2865" priority="2503">
      <formula>$ID151="White"</formula>
    </cfRule>
  </conditionalFormatting>
  <conditionalFormatting sqref="B150:B151">
    <cfRule type="expression" dxfId="2864" priority="2501">
      <formula>$ID151="Yellow"</formula>
    </cfRule>
  </conditionalFormatting>
  <conditionalFormatting sqref="B150:B151">
    <cfRule type="expression" dxfId="2863" priority="2500">
      <formula>$ID151="Red"</formula>
    </cfRule>
  </conditionalFormatting>
  <conditionalFormatting sqref="B155:B156">
    <cfRule type="expression" dxfId="2862" priority="2498">
      <formula>$ID156="Green"</formula>
    </cfRule>
    <cfRule type="expression" dxfId="2861" priority="2499">
      <formula>$ID156="White"</formula>
    </cfRule>
  </conditionalFormatting>
  <conditionalFormatting sqref="B155:B156">
    <cfRule type="expression" dxfId="2860" priority="2497">
      <formula>$ID156="Yellow"</formula>
    </cfRule>
  </conditionalFormatting>
  <conditionalFormatting sqref="B155:B156">
    <cfRule type="expression" dxfId="2859" priority="2496">
      <formula>$ID156="Red"</formula>
    </cfRule>
  </conditionalFormatting>
  <conditionalFormatting sqref="B160:B161">
    <cfRule type="expression" dxfId="2858" priority="2494">
      <formula>$ID161="Green"</formula>
    </cfRule>
    <cfRule type="expression" dxfId="2857" priority="2495">
      <formula>$ID161="White"</formula>
    </cfRule>
  </conditionalFormatting>
  <conditionalFormatting sqref="B160:B161">
    <cfRule type="expression" dxfId="2856" priority="2493">
      <formula>$ID161="Yellow"</formula>
    </cfRule>
  </conditionalFormatting>
  <conditionalFormatting sqref="B160:B161">
    <cfRule type="expression" dxfId="2855" priority="2492">
      <formula>$ID161="Red"</formula>
    </cfRule>
  </conditionalFormatting>
  <conditionalFormatting sqref="B165:B166">
    <cfRule type="expression" dxfId="2854" priority="2490">
      <formula>$ID166="Green"</formula>
    </cfRule>
    <cfRule type="expression" dxfId="2853" priority="2491">
      <formula>$ID166="White"</formula>
    </cfRule>
  </conditionalFormatting>
  <conditionalFormatting sqref="B165:B166">
    <cfRule type="expression" dxfId="2852" priority="2489">
      <formula>$ID166="Yellow"</formula>
    </cfRule>
  </conditionalFormatting>
  <conditionalFormatting sqref="B165:B166">
    <cfRule type="expression" dxfId="2851" priority="2488">
      <formula>$ID166="Red"</formula>
    </cfRule>
  </conditionalFormatting>
  <conditionalFormatting sqref="B173:B174">
    <cfRule type="expression" dxfId="2850" priority="2486">
      <formula>$ID174="Green"</formula>
    </cfRule>
    <cfRule type="expression" dxfId="2849" priority="2487">
      <formula>$ID174="White"</formula>
    </cfRule>
  </conditionalFormatting>
  <conditionalFormatting sqref="B173:B174">
    <cfRule type="expression" dxfId="2848" priority="2485">
      <formula>$ID174="Yellow"</formula>
    </cfRule>
  </conditionalFormatting>
  <conditionalFormatting sqref="B173:B174">
    <cfRule type="expression" dxfId="2847" priority="2484">
      <formula>$ID174="Red"</formula>
    </cfRule>
  </conditionalFormatting>
  <conditionalFormatting sqref="B178:B179">
    <cfRule type="expression" dxfId="2846" priority="2482">
      <formula>$ID179="Green"</formula>
    </cfRule>
    <cfRule type="expression" dxfId="2845" priority="2483">
      <formula>$ID179="White"</formula>
    </cfRule>
  </conditionalFormatting>
  <conditionalFormatting sqref="B178:B179">
    <cfRule type="expression" dxfId="2844" priority="2481">
      <formula>$ID179="Yellow"</formula>
    </cfRule>
  </conditionalFormatting>
  <conditionalFormatting sqref="B178:B179">
    <cfRule type="expression" dxfId="2843" priority="2480">
      <formula>$ID179="Red"</formula>
    </cfRule>
  </conditionalFormatting>
  <conditionalFormatting sqref="B183:B184">
    <cfRule type="expression" dxfId="2842" priority="2478">
      <formula>$ID184="Green"</formula>
    </cfRule>
    <cfRule type="expression" dxfId="2841" priority="2479">
      <formula>$ID184="White"</formula>
    </cfRule>
  </conditionalFormatting>
  <conditionalFormatting sqref="B183:B184">
    <cfRule type="expression" dxfId="2840" priority="2477">
      <formula>$ID184="Yellow"</formula>
    </cfRule>
  </conditionalFormatting>
  <conditionalFormatting sqref="B183:B184">
    <cfRule type="expression" dxfId="2839" priority="2476">
      <formula>$ID184="Red"</formula>
    </cfRule>
  </conditionalFormatting>
  <conditionalFormatting sqref="B188:B189">
    <cfRule type="expression" dxfId="2838" priority="2474">
      <formula>$ID189="Green"</formula>
    </cfRule>
    <cfRule type="expression" dxfId="2837" priority="2475">
      <formula>$ID189="White"</formula>
    </cfRule>
  </conditionalFormatting>
  <conditionalFormatting sqref="B188:B189">
    <cfRule type="expression" dxfId="2836" priority="2473">
      <formula>$ID189="Yellow"</formula>
    </cfRule>
  </conditionalFormatting>
  <conditionalFormatting sqref="B188:B189">
    <cfRule type="expression" dxfId="2835" priority="2472">
      <formula>$ID189="Red"</formula>
    </cfRule>
  </conditionalFormatting>
  <conditionalFormatting sqref="B193:B194">
    <cfRule type="expression" dxfId="2834" priority="2466">
      <formula>$ID194="Green"</formula>
    </cfRule>
    <cfRule type="expression" dxfId="2833" priority="2467">
      <formula>$ID194="White"</formula>
    </cfRule>
  </conditionalFormatting>
  <conditionalFormatting sqref="B193:B194">
    <cfRule type="expression" dxfId="2832" priority="2465">
      <formula>$ID194="Yellow"</formula>
    </cfRule>
  </conditionalFormatting>
  <conditionalFormatting sqref="B193:B194">
    <cfRule type="expression" dxfId="2831" priority="2464">
      <formula>$ID194="Red"</formula>
    </cfRule>
  </conditionalFormatting>
  <conditionalFormatting sqref="B198:B199">
    <cfRule type="expression" dxfId="2830" priority="2462">
      <formula>$ID199="Green"</formula>
    </cfRule>
    <cfRule type="expression" dxfId="2829" priority="2463">
      <formula>$ID199="White"</formula>
    </cfRule>
  </conditionalFormatting>
  <conditionalFormatting sqref="B198:B199">
    <cfRule type="expression" dxfId="2828" priority="2461">
      <formula>$ID199="Yellow"</formula>
    </cfRule>
  </conditionalFormatting>
  <conditionalFormatting sqref="B198:B199">
    <cfRule type="expression" dxfId="2827" priority="2460">
      <formula>$ID199="Red"</formula>
    </cfRule>
  </conditionalFormatting>
  <conditionalFormatting sqref="B203:B204">
    <cfRule type="expression" dxfId="2826" priority="2458">
      <formula>$ID204="Green"</formula>
    </cfRule>
    <cfRule type="expression" dxfId="2825" priority="2459">
      <formula>$ID204="White"</formula>
    </cfRule>
  </conditionalFormatting>
  <conditionalFormatting sqref="B203:B204">
    <cfRule type="expression" dxfId="2824" priority="2457">
      <formula>$ID204="Yellow"</formula>
    </cfRule>
  </conditionalFormatting>
  <conditionalFormatting sqref="B203:B204">
    <cfRule type="expression" dxfId="2823" priority="2456">
      <formula>$ID204="Red"</formula>
    </cfRule>
  </conditionalFormatting>
  <conditionalFormatting sqref="B208:B209">
    <cfRule type="expression" dxfId="2822" priority="2454">
      <formula>$ID209="Green"</formula>
    </cfRule>
    <cfRule type="expression" dxfId="2821" priority="2455">
      <formula>$ID209="White"</formula>
    </cfRule>
  </conditionalFormatting>
  <conditionalFormatting sqref="B208:B209">
    <cfRule type="expression" dxfId="2820" priority="2453">
      <formula>$ID209="Yellow"</formula>
    </cfRule>
  </conditionalFormatting>
  <conditionalFormatting sqref="B208:B209">
    <cfRule type="expression" dxfId="2819" priority="2452">
      <formula>$ID209="Red"</formula>
    </cfRule>
  </conditionalFormatting>
  <conditionalFormatting sqref="B213:B214">
    <cfRule type="expression" dxfId="2818" priority="2450">
      <formula>$ID214="Green"</formula>
    </cfRule>
    <cfRule type="expression" dxfId="2817" priority="2451">
      <formula>$ID214="White"</formula>
    </cfRule>
  </conditionalFormatting>
  <conditionalFormatting sqref="B213:B214">
    <cfRule type="expression" dxfId="2816" priority="2449">
      <formula>$ID214="Yellow"</formula>
    </cfRule>
  </conditionalFormatting>
  <conditionalFormatting sqref="B213:B214">
    <cfRule type="expression" dxfId="2815" priority="2448">
      <formula>$ID214="Red"</formula>
    </cfRule>
  </conditionalFormatting>
  <conditionalFormatting sqref="B218:B219">
    <cfRule type="expression" dxfId="2814" priority="2446">
      <formula>$ID219="Green"</formula>
    </cfRule>
    <cfRule type="expression" dxfId="2813" priority="2447">
      <formula>$ID219="White"</formula>
    </cfRule>
  </conditionalFormatting>
  <conditionalFormatting sqref="B218:B219">
    <cfRule type="expression" dxfId="2812" priority="2445">
      <formula>$ID219="Yellow"</formula>
    </cfRule>
  </conditionalFormatting>
  <conditionalFormatting sqref="B218:B219">
    <cfRule type="expression" dxfId="2811" priority="2444">
      <formula>$ID219="Red"</formula>
    </cfRule>
  </conditionalFormatting>
  <conditionalFormatting sqref="B223:B224">
    <cfRule type="expression" dxfId="2810" priority="2442">
      <formula>$ID224="Green"</formula>
    </cfRule>
    <cfRule type="expression" dxfId="2809" priority="2443">
      <formula>$ID224="White"</formula>
    </cfRule>
  </conditionalFormatting>
  <conditionalFormatting sqref="B223:B224">
    <cfRule type="expression" dxfId="2808" priority="2441">
      <formula>$ID224="Yellow"</formula>
    </cfRule>
  </conditionalFormatting>
  <conditionalFormatting sqref="B223:B224">
    <cfRule type="expression" dxfId="2807" priority="2440">
      <formula>$ID224="Red"</formula>
    </cfRule>
  </conditionalFormatting>
  <conditionalFormatting sqref="B228:B229">
    <cfRule type="expression" dxfId="2806" priority="2438">
      <formula>$ID229="Green"</formula>
    </cfRule>
    <cfRule type="expression" dxfId="2805" priority="2439">
      <formula>$ID229="White"</formula>
    </cfRule>
  </conditionalFormatting>
  <conditionalFormatting sqref="B228:B229">
    <cfRule type="expression" dxfId="2804" priority="2437">
      <formula>$ID229="Yellow"</formula>
    </cfRule>
  </conditionalFormatting>
  <conditionalFormatting sqref="B228:B229">
    <cfRule type="expression" dxfId="2803" priority="2436">
      <formula>$ID229="Red"</formula>
    </cfRule>
  </conditionalFormatting>
  <conditionalFormatting sqref="B233:B234">
    <cfRule type="expression" dxfId="2802" priority="2434">
      <formula>$ID234="Green"</formula>
    </cfRule>
    <cfRule type="expression" dxfId="2801" priority="2435">
      <formula>$ID234="White"</formula>
    </cfRule>
  </conditionalFormatting>
  <conditionalFormatting sqref="B233:B234">
    <cfRule type="expression" dxfId="2800" priority="2433">
      <formula>$ID234="Yellow"</formula>
    </cfRule>
  </conditionalFormatting>
  <conditionalFormatting sqref="B233:B234">
    <cfRule type="expression" dxfId="2799" priority="2432">
      <formula>$ID234="Red"</formula>
    </cfRule>
  </conditionalFormatting>
  <conditionalFormatting sqref="B238:B239">
    <cfRule type="expression" dxfId="2798" priority="2430">
      <formula>$ID239="Green"</formula>
    </cfRule>
    <cfRule type="expression" dxfId="2797" priority="2431">
      <formula>$ID239="White"</formula>
    </cfRule>
  </conditionalFormatting>
  <conditionalFormatting sqref="B238:B239">
    <cfRule type="expression" dxfId="2796" priority="2429">
      <formula>$ID239="Yellow"</formula>
    </cfRule>
  </conditionalFormatting>
  <conditionalFormatting sqref="B238:B239">
    <cfRule type="expression" dxfId="2795" priority="2428">
      <formula>$ID239="Red"</formula>
    </cfRule>
  </conditionalFormatting>
  <conditionalFormatting sqref="B243:B244">
    <cfRule type="expression" dxfId="2794" priority="2426">
      <formula>$ID244="Green"</formula>
    </cfRule>
    <cfRule type="expression" dxfId="2793" priority="2427">
      <formula>$ID244="White"</formula>
    </cfRule>
  </conditionalFormatting>
  <conditionalFormatting sqref="B243:B244">
    <cfRule type="expression" dxfId="2792" priority="2425">
      <formula>$ID244="Yellow"</formula>
    </cfRule>
  </conditionalFormatting>
  <conditionalFormatting sqref="B243:B244">
    <cfRule type="expression" dxfId="2791" priority="2424">
      <formula>$ID244="Red"</formula>
    </cfRule>
  </conditionalFormatting>
  <conditionalFormatting sqref="B251:B252">
    <cfRule type="expression" dxfId="2790" priority="2422">
      <formula>$ID252="Green"</formula>
    </cfRule>
    <cfRule type="expression" dxfId="2789" priority="2423">
      <formula>$ID252="White"</formula>
    </cfRule>
  </conditionalFormatting>
  <conditionalFormatting sqref="B251:B252">
    <cfRule type="expression" dxfId="2788" priority="2421">
      <formula>$ID252="Yellow"</formula>
    </cfRule>
  </conditionalFormatting>
  <conditionalFormatting sqref="B251:B252">
    <cfRule type="expression" dxfId="2787" priority="2420">
      <formula>$ID252="Red"</formula>
    </cfRule>
  </conditionalFormatting>
  <conditionalFormatting sqref="B256:B257">
    <cfRule type="expression" dxfId="2786" priority="2418">
      <formula>$ID257="Green"</formula>
    </cfRule>
    <cfRule type="expression" dxfId="2785" priority="2419">
      <formula>$ID257="White"</formula>
    </cfRule>
  </conditionalFormatting>
  <conditionalFormatting sqref="B256:B257">
    <cfRule type="expression" dxfId="2784" priority="2417">
      <formula>$ID257="Yellow"</formula>
    </cfRule>
  </conditionalFormatting>
  <conditionalFormatting sqref="B256:B257">
    <cfRule type="expression" dxfId="2783" priority="2416">
      <formula>$ID257="Red"</formula>
    </cfRule>
  </conditionalFormatting>
  <conditionalFormatting sqref="B261:B262">
    <cfRule type="expression" dxfId="2782" priority="2414">
      <formula>$ID262="Green"</formula>
    </cfRule>
    <cfRule type="expression" dxfId="2781" priority="2415">
      <formula>$ID262="White"</formula>
    </cfRule>
  </conditionalFormatting>
  <conditionalFormatting sqref="B261:B262">
    <cfRule type="expression" dxfId="2780" priority="2413">
      <formula>$ID262="Yellow"</formula>
    </cfRule>
  </conditionalFormatting>
  <conditionalFormatting sqref="B261:B262">
    <cfRule type="expression" dxfId="2779" priority="2412">
      <formula>$ID262="Red"</formula>
    </cfRule>
  </conditionalFormatting>
  <conditionalFormatting sqref="B266:B267">
    <cfRule type="expression" dxfId="2778" priority="2410">
      <formula>$ID267="Green"</formula>
    </cfRule>
    <cfRule type="expression" dxfId="2777" priority="2411">
      <formula>$ID267="White"</formula>
    </cfRule>
  </conditionalFormatting>
  <conditionalFormatting sqref="B266:B267">
    <cfRule type="expression" dxfId="2776" priority="2409">
      <formula>$ID267="Yellow"</formula>
    </cfRule>
  </conditionalFormatting>
  <conditionalFormatting sqref="B266:B267">
    <cfRule type="expression" dxfId="2775" priority="2408">
      <formula>$ID267="Red"</formula>
    </cfRule>
  </conditionalFormatting>
  <conditionalFormatting sqref="B271:B272">
    <cfRule type="expression" dxfId="2774" priority="2406">
      <formula>$ID272="Green"</formula>
    </cfRule>
    <cfRule type="expression" dxfId="2773" priority="2407">
      <formula>$ID272="White"</formula>
    </cfRule>
  </conditionalFormatting>
  <conditionalFormatting sqref="B271:B272">
    <cfRule type="expression" dxfId="2772" priority="2405">
      <formula>$ID272="Yellow"</formula>
    </cfRule>
  </conditionalFormatting>
  <conditionalFormatting sqref="B271:B272">
    <cfRule type="expression" dxfId="2771" priority="2404">
      <formula>$ID272="Red"</formula>
    </cfRule>
  </conditionalFormatting>
  <conditionalFormatting sqref="B276:B277">
    <cfRule type="expression" dxfId="2770" priority="2402">
      <formula>$ID277="Green"</formula>
    </cfRule>
    <cfRule type="expression" dxfId="2769" priority="2403">
      <formula>$ID277="White"</formula>
    </cfRule>
  </conditionalFormatting>
  <conditionalFormatting sqref="B276:B277">
    <cfRule type="expression" dxfId="2768" priority="2401">
      <formula>$ID277="Yellow"</formula>
    </cfRule>
  </conditionalFormatting>
  <conditionalFormatting sqref="B276:B277">
    <cfRule type="expression" dxfId="2767" priority="2400">
      <formula>$ID277="Red"</formula>
    </cfRule>
  </conditionalFormatting>
  <conditionalFormatting sqref="B281:B282">
    <cfRule type="expression" dxfId="2766" priority="2398">
      <formula>$ID282="Green"</formula>
    </cfRule>
    <cfRule type="expression" dxfId="2765" priority="2399">
      <formula>$ID282="White"</formula>
    </cfRule>
  </conditionalFormatting>
  <conditionalFormatting sqref="B281:B282">
    <cfRule type="expression" dxfId="2764" priority="2397">
      <formula>$ID282="Yellow"</formula>
    </cfRule>
  </conditionalFormatting>
  <conditionalFormatting sqref="B281:B282">
    <cfRule type="expression" dxfId="2763" priority="2396">
      <formula>$ID282="Red"</formula>
    </cfRule>
  </conditionalFormatting>
  <conditionalFormatting sqref="B286:B287">
    <cfRule type="expression" dxfId="2762" priority="2394">
      <formula>$ID287="Green"</formula>
    </cfRule>
    <cfRule type="expression" dxfId="2761" priority="2395">
      <formula>$ID287="White"</formula>
    </cfRule>
  </conditionalFormatting>
  <conditionalFormatting sqref="B286:B287">
    <cfRule type="expression" dxfId="2760" priority="2393">
      <formula>$ID287="Yellow"</formula>
    </cfRule>
  </conditionalFormatting>
  <conditionalFormatting sqref="B286:B287">
    <cfRule type="expression" dxfId="2759" priority="2392">
      <formula>$ID287="Red"</formula>
    </cfRule>
  </conditionalFormatting>
  <conditionalFormatting sqref="B291:B292">
    <cfRule type="expression" dxfId="2758" priority="2390">
      <formula>$ID292="Green"</formula>
    </cfRule>
    <cfRule type="expression" dxfId="2757" priority="2391">
      <formula>$ID292="White"</formula>
    </cfRule>
  </conditionalFormatting>
  <conditionalFormatting sqref="B291:B292">
    <cfRule type="expression" dxfId="2756" priority="2389">
      <formula>$ID292="Yellow"</formula>
    </cfRule>
  </conditionalFormatting>
  <conditionalFormatting sqref="B291:B292">
    <cfRule type="expression" dxfId="2755" priority="2388">
      <formula>$ID292="Red"</formula>
    </cfRule>
  </conditionalFormatting>
  <conditionalFormatting sqref="B296:B297">
    <cfRule type="expression" dxfId="2754" priority="2386">
      <formula>$ID297="Green"</formula>
    </cfRule>
    <cfRule type="expression" dxfId="2753" priority="2387">
      <formula>$ID297="White"</formula>
    </cfRule>
  </conditionalFormatting>
  <conditionalFormatting sqref="B296:B297">
    <cfRule type="expression" dxfId="2752" priority="2385">
      <formula>$ID297="Yellow"</formula>
    </cfRule>
  </conditionalFormatting>
  <conditionalFormatting sqref="B296:B297">
    <cfRule type="expression" dxfId="2751" priority="2384">
      <formula>$ID297="Red"</formula>
    </cfRule>
  </conditionalFormatting>
  <conditionalFormatting sqref="B301:B302">
    <cfRule type="expression" dxfId="2750" priority="2382">
      <formula>$ID302="Green"</formula>
    </cfRule>
    <cfRule type="expression" dxfId="2749" priority="2383">
      <formula>$ID302="White"</formula>
    </cfRule>
  </conditionalFormatting>
  <conditionalFormatting sqref="B301:B302">
    <cfRule type="expression" dxfId="2748" priority="2381">
      <formula>$ID302="Yellow"</formula>
    </cfRule>
  </conditionalFormatting>
  <conditionalFormatting sqref="B301:B302">
    <cfRule type="expression" dxfId="2747" priority="2380">
      <formula>$ID302="Red"</formula>
    </cfRule>
  </conditionalFormatting>
  <conditionalFormatting sqref="B306:B307">
    <cfRule type="expression" dxfId="2746" priority="2378">
      <formula>$ID307="Green"</formula>
    </cfRule>
    <cfRule type="expression" dxfId="2745" priority="2379">
      <formula>$ID307="White"</formula>
    </cfRule>
  </conditionalFormatting>
  <conditionalFormatting sqref="B306:B307">
    <cfRule type="expression" dxfId="2744" priority="2377">
      <formula>$ID307="Yellow"</formula>
    </cfRule>
  </conditionalFormatting>
  <conditionalFormatting sqref="B306:B307">
    <cfRule type="expression" dxfId="2743" priority="2376">
      <formula>$ID307="Red"</formula>
    </cfRule>
  </conditionalFormatting>
  <conditionalFormatting sqref="B311:B312">
    <cfRule type="expression" dxfId="2742" priority="2374">
      <formula>$ID312="Green"</formula>
    </cfRule>
    <cfRule type="expression" dxfId="2741" priority="2375">
      <formula>$ID312="White"</formula>
    </cfRule>
  </conditionalFormatting>
  <conditionalFormatting sqref="B311:B312">
    <cfRule type="expression" dxfId="2740" priority="2373">
      <formula>$ID312="Yellow"</formula>
    </cfRule>
  </conditionalFormatting>
  <conditionalFormatting sqref="B311:B312">
    <cfRule type="expression" dxfId="2739" priority="2372">
      <formula>$ID312="Red"</formula>
    </cfRule>
  </conditionalFormatting>
  <conditionalFormatting sqref="B316:B317">
    <cfRule type="expression" dxfId="2738" priority="2370">
      <formula>$ID317="Green"</formula>
    </cfRule>
    <cfRule type="expression" dxfId="2737" priority="2371">
      <formula>$ID317="White"</formula>
    </cfRule>
  </conditionalFormatting>
  <conditionalFormatting sqref="B316:B317">
    <cfRule type="expression" dxfId="2736" priority="2369">
      <formula>$ID317="Yellow"</formula>
    </cfRule>
  </conditionalFormatting>
  <conditionalFormatting sqref="B316:B317">
    <cfRule type="expression" dxfId="2735" priority="2368">
      <formula>$ID317="Red"</formula>
    </cfRule>
  </conditionalFormatting>
  <conditionalFormatting sqref="B321:B322">
    <cfRule type="expression" dxfId="2734" priority="2366">
      <formula>$ID322="Green"</formula>
    </cfRule>
    <cfRule type="expression" dxfId="2733" priority="2367">
      <formula>$ID322="White"</formula>
    </cfRule>
  </conditionalFormatting>
  <conditionalFormatting sqref="B321:B322">
    <cfRule type="expression" dxfId="2732" priority="2365">
      <formula>$ID322="Yellow"</formula>
    </cfRule>
  </conditionalFormatting>
  <conditionalFormatting sqref="B321:B322">
    <cfRule type="expression" dxfId="2731" priority="2364">
      <formula>$ID322="Red"</formula>
    </cfRule>
  </conditionalFormatting>
  <conditionalFormatting sqref="B329:B330">
    <cfRule type="expression" dxfId="2730" priority="2362">
      <formula>$ID330="Green"</formula>
    </cfRule>
    <cfRule type="expression" dxfId="2729" priority="2363">
      <formula>$ID330="White"</formula>
    </cfRule>
  </conditionalFormatting>
  <conditionalFormatting sqref="B329:B330">
    <cfRule type="expression" dxfId="2728" priority="2361">
      <formula>$ID330="Yellow"</formula>
    </cfRule>
  </conditionalFormatting>
  <conditionalFormatting sqref="B329:B330">
    <cfRule type="expression" dxfId="2727" priority="2360">
      <formula>$ID330="Red"</formula>
    </cfRule>
  </conditionalFormatting>
  <conditionalFormatting sqref="B334:B335">
    <cfRule type="expression" dxfId="2726" priority="2358">
      <formula>$ID335="Green"</formula>
    </cfRule>
    <cfRule type="expression" dxfId="2725" priority="2359">
      <formula>$ID335="White"</formula>
    </cfRule>
  </conditionalFormatting>
  <conditionalFormatting sqref="B334:B335">
    <cfRule type="expression" dxfId="2724" priority="2357">
      <formula>$ID335="Yellow"</formula>
    </cfRule>
  </conditionalFormatting>
  <conditionalFormatting sqref="B334:B335">
    <cfRule type="expression" dxfId="2723" priority="2356">
      <formula>$ID335="Red"</formula>
    </cfRule>
  </conditionalFormatting>
  <conditionalFormatting sqref="B339:B340">
    <cfRule type="expression" dxfId="2722" priority="2354">
      <formula>$ID340="Green"</formula>
    </cfRule>
    <cfRule type="expression" dxfId="2721" priority="2355">
      <formula>$ID340="White"</formula>
    </cfRule>
  </conditionalFormatting>
  <conditionalFormatting sqref="B339:B340">
    <cfRule type="expression" dxfId="2720" priority="2353">
      <formula>$ID340="Yellow"</formula>
    </cfRule>
  </conditionalFormatting>
  <conditionalFormatting sqref="B339:B340">
    <cfRule type="expression" dxfId="2719" priority="2352">
      <formula>$ID340="Red"</formula>
    </cfRule>
  </conditionalFormatting>
  <conditionalFormatting sqref="B344:B345">
    <cfRule type="expression" dxfId="2718" priority="2350">
      <formula>$ID345="Green"</formula>
    </cfRule>
    <cfRule type="expression" dxfId="2717" priority="2351">
      <formula>$ID345="White"</formula>
    </cfRule>
  </conditionalFormatting>
  <conditionalFormatting sqref="B344:B345">
    <cfRule type="expression" dxfId="2716" priority="2349">
      <formula>$ID345="Yellow"</formula>
    </cfRule>
  </conditionalFormatting>
  <conditionalFormatting sqref="B344:B345">
    <cfRule type="expression" dxfId="2715" priority="2348">
      <formula>$ID345="Red"</formula>
    </cfRule>
  </conditionalFormatting>
  <conditionalFormatting sqref="B349:B350">
    <cfRule type="expression" dxfId="2714" priority="2346">
      <formula>$ID350="Green"</formula>
    </cfRule>
    <cfRule type="expression" dxfId="2713" priority="2347">
      <formula>$ID350="White"</formula>
    </cfRule>
  </conditionalFormatting>
  <conditionalFormatting sqref="B349:B350">
    <cfRule type="expression" dxfId="2712" priority="2345">
      <formula>$ID350="Yellow"</formula>
    </cfRule>
  </conditionalFormatting>
  <conditionalFormatting sqref="B349:B350">
    <cfRule type="expression" dxfId="2711" priority="2344">
      <formula>$ID350="Red"</formula>
    </cfRule>
  </conditionalFormatting>
  <conditionalFormatting sqref="B354:B355">
    <cfRule type="expression" dxfId="2710" priority="2342">
      <formula>$ID355="Green"</formula>
    </cfRule>
    <cfRule type="expression" dxfId="2709" priority="2343">
      <formula>$ID355="White"</formula>
    </cfRule>
  </conditionalFormatting>
  <conditionalFormatting sqref="B354:B355">
    <cfRule type="expression" dxfId="2708" priority="2341">
      <formula>$ID355="Yellow"</formula>
    </cfRule>
  </conditionalFormatting>
  <conditionalFormatting sqref="B354:B355">
    <cfRule type="expression" dxfId="2707" priority="2340">
      <formula>$ID355="Red"</formula>
    </cfRule>
  </conditionalFormatting>
  <conditionalFormatting sqref="B359:B360">
    <cfRule type="expression" dxfId="2706" priority="2338">
      <formula>$ID360="Green"</formula>
    </cfRule>
    <cfRule type="expression" dxfId="2705" priority="2339">
      <formula>$ID360="White"</formula>
    </cfRule>
  </conditionalFormatting>
  <conditionalFormatting sqref="B359:B360">
    <cfRule type="expression" dxfId="2704" priority="2337">
      <formula>$ID360="Yellow"</formula>
    </cfRule>
  </conditionalFormatting>
  <conditionalFormatting sqref="B359:B360">
    <cfRule type="expression" dxfId="2703" priority="2336">
      <formula>$ID360="Red"</formula>
    </cfRule>
  </conditionalFormatting>
  <conditionalFormatting sqref="B364:B365">
    <cfRule type="expression" dxfId="2702" priority="2334">
      <formula>$ID365="Green"</formula>
    </cfRule>
    <cfRule type="expression" dxfId="2701" priority="2335">
      <formula>$ID365="White"</formula>
    </cfRule>
  </conditionalFormatting>
  <conditionalFormatting sqref="B364:B365">
    <cfRule type="expression" dxfId="2700" priority="2333">
      <formula>$ID365="Yellow"</formula>
    </cfRule>
  </conditionalFormatting>
  <conditionalFormatting sqref="B364:B365">
    <cfRule type="expression" dxfId="2699" priority="2332">
      <formula>$ID365="Red"</formula>
    </cfRule>
  </conditionalFormatting>
  <conditionalFormatting sqref="B369:B370">
    <cfRule type="expression" dxfId="2698" priority="2330">
      <formula>$ID370="Green"</formula>
    </cfRule>
    <cfRule type="expression" dxfId="2697" priority="2331">
      <formula>$ID370="White"</formula>
    </cfRule>
  </conditionalFormatting>
  <conditionalFormatting sqref="B369:B370">
    <cfRule type="expression" dxfId="2696" priority="2329">
      <formula>$ID370="Yellow"</formula>
    </cfRule>
  </conditionalFormatting>
  <conditionalFormatting sqref="B369:B370">
    <cfRule type="expression" dxfId="2695" priority="2328">
      <formula>$ID370="Red"</formula>
    </cfRule>
  </conditionalFormatting>
  <conditionalFormatting sqref="B374:B375">
    <cfRule type="expression" dxfId="2694" priority="2326">
      <formula>$ID375="Green"</formula>
    </cfRule>
    <cfRule type="expression" dxfId="2693" priority="2327">
      <formula>$ID375="White"</formula>
    </cfRule>
  </conditionalFormatting>
  <conditionalFormatting sqref="B374:B375">
    <cfRule type="expression" dxfId="2692" priority="2325">
      <formula>$ID375="Yellow"</formula>
    </cfRule>
  </conditionalFormatting>
  <conditionalFormatting sqref="B374:B375">
    <cfRule type="expression" dxfId="2691" priority="2324">
      <formula>$ID375="Red"</formula>
    </cfRule>
  </conditionalFormatting>
  <conditionalFormatting sqref="B379:B380">
    <cfRule type="expression" dxfId="2690" priority="2322">
      <formula>$ID380="Green"</formula>
    </cfRule>
    <cfRule type="expression" dxfId="2689" priority="2323">
      <formula>$ID380="White"</formula>
    </cfRule>
  </conditionalFormatting>
  <conditionalFormatting sqref="B379:B380">
    <cfRule type="expression" dxfId="2688" priority="2321">
      <formula>$ID380="Yellow"</formula>
    </cfRule>
  </conditionalFormatting>
  <conditionalFormatting sqref="B379:B380">
    <cfRule type="expression" dxfId="2687" priority="2320">
      <formula>$ID380="Red"</formula>
    </cfRule>
  </conditionalFormatting>
  <conditionalFormatting sqref="B384:B385">
    <cfRule type="expression" dxfId="2686" priority="2318">
      <formula>$ID385="Green"</formula>
    </cfRule>
    <cfRule type="expression" dxfId="2685" priority="2319">
      <formula>$ID385="White"</formula>
    </cfRule>
  </conditionalFormatting>
  <conditionalFormatting sqref="B384:B385">
    <cfRule type="expression" dxfId="2684" priority="2317">
      <formula>$ID385="Yellow"</formula>
    </cfRule>
  </conditionalFormatting>
  <conditionalFormatting sqref="B384:B385">
    <cfRule type="expression" dxfId="2683" priority="2316">
      <formula>$ID385="Red"</formula>
    </cfRule>
  </conditionalFormatting>
  <conditionalFormatting sqref="B389:B390">
    <cfRule type="expression" dxfId="2682" priority="2314">
      <formula>$ID390="Green"</formula>
    </cfRule>
    <cfRule type="expression" dxfId="2681" priority="2315">
      <formula>$ID390="White"</formula>
    </cfRule>
  </conditionalFormatting>
  <conditionalFormatting sqref="B389:B390">
    <cfRule type="expression" dxfId="2680" priority="2313">
      <formula>$ID390="Yellow"</formula>
    </cfRule>
  </conditionalFormatting>
  <conditionalFormatting sqref="B389:B390">
    <cfRule type="expression" dxfId="2679" priority="2312">
      <formula>$ID390="Red"</formula>
    </cfRule>
  </conditionalFormatting>
  <conditionalFormatting sqref="B394:B395">
    <cfRule type="expression" dxfId="2678" priority="2310">
      <formula>$ID395="Green"</formula>
    </cfRule>
    <cfRule type="expression" dxfId="2677" priority="2311">
      <formula>$ID395="White"</formula>
    </cfRule>
  </conditionalFormatting>
  <conditionalFormatting sqref="B394:B395">
    <cfRule type="expression" dxfId="2676" priority="2309">
      <formula>$ID395="Yellow"</formula>
    </cfRule>
  </conditionalFormatting>
  <conditionalFormatting sqref="B394:B395">
    <cfRule type="expression" dxfId="2675" priority="2308">
      <formula>$ID395="Red"</formula>
    </cfRule>
  </conditionalFormatting>
  <conditionalFormatting sqref="B399:B400">
    <cfRule type="expression" dxfId="2674" priority="2306">
      <formula>$ID400="Green"</formula>
    </cfRule>
    <cfRule type="expression" dxfId="2673" priority="2307">
      <formula>$ID400="White"</formula>
    </cfRule>
  </conditionalFormatting>
  <conditionalFormatting sqref="B399:B400">
    <cfRule type="expression" dxfId="2672" priority="2305">
      <formula>$ID400="Yellow"</formula>
    </cfRule>
  </conditionalFormatting>
  <conditionalFormatting sqref="B399:B400">
    <cfRule type="expression" dxfId="2671" priority="2304">
      <formula>$ID400="Red"</formula>
    </cfRule>
  </conditionalFormatting>
  <conditionalFormatting sqref="B407:B408">
    <cfRule type="expression" dxfId="2670" priority="2302">
      <formula>$ID408="Green"</formula>
    </cfRule>
    <cfRule type="expression" dxfId="2669" priority="2303">
      <formula>$ID408="White"</formula>
    </cfRule>
  </conditionalFormatting>
  <conditionalFormatting sqref="B407:B408">
    <cfRule type="expression" dxfId="2668" priority="2301">
      <formula>$ID408="Yellow"</formula>
    </cfRule>
  </conditionalFormatting>
  <conditionalFormatting sqref="B407:B408">
    <cfRule type="expression" dxfId="2667" priority="2300">
      <formula>$ID408="Red"</formula>
    </cfRule>
  </conditionalFormatting>
  <conditionalFormatting sqref="B412:B413">
    <cfRule type="expression" dxfId="2666" priority="2298">
      <formula>$ID413="Green"</formula>
    </cfRule>
    <cfRule type="expression" dxfId="2665" priority="2299">
      <formula>$ID413="White"</formula>
    </cfRule>
  </conditionalFormatting>
  <conditionalFormatting sqref="B412:B413">
    <cfRule type="expression" dxfId="2664" priority="2297">
      <formula>$ID413="Yellow"</formula>
    </cfRule>
  </conditionalFormatting>
  <conditionalFormatting sqref="B412:B413">
    <cfRule type="expression" dxfId="2663" priority="2296">
      <formula>$ID413="Red"</formula>
    </cfRule>
  </conditionalFormatting>
  <conditionalFormatting sqref="B417:B418">
    <cfRule type="expression" dxfId="2662" priority="2294">
      <formula>$ID418="Green"</formula>
    </cfRule>
    <cfRule type="expression" dxfId="2661" priority="2295">
      <formula>$ID418="White"</formula>
    </cfRule>
  </conditionalFormatting>
  <conditionalFormatting sqref="B417:B418">
    <cfRule type="expression" dxfId="2660" priority="2293">
      <formula>$ID418="Yellow"</formula>
    </cfRule>
  </conditionalFormatting>
  <conditionalFormatting sqref="B417:B418">
    <cfRule type="expression" dxfId="2659" priority="2292">
      <formula>$ID418="Red"</formula>
    </cfRule>
  </conditionalFormatting>
  <conditionalFormatting sqref="B422:B423">
    <cfRule type="expression" dxfId="2658" priority="2290">
      <formula>$ID423="Green"</formula>
    </cfRule>
    <cfRule type="expression" dxfId="2657" priority="2291">
      <formula>$ID423="White"</formula>
    </cfRule>
  </conditionalFormatting>
  <conditionalFormatting sqref="B422:B423">
    <cfRule type="expression" dxfId="2656" priority="2289">
      <formula>$ID423="Yellow"</formula>
    </cfRule>
  </conditionalFormatting>
  <conditionalFormatting sqref="B422:B423">
    <cfRule type="expression" dxfId="2655" priority="2288">
      <formula>$ID423="Red"</formula>
    </cfRule>
  </conditionalFormatting>
  <conditionalFormatting sqref="B427:B428">
    <cfRule type="expression" dxfId="2654" priority="2286">
      <formula>$ID428="Green"</formula>
    </cfRule>
    <cfRule type="expression" dxfId="2653" priority="2287">
      <formula>$ID428="White"</formula>
    </cfRule>
  </conditionalFormatting>
  <conditionalFormatting sqref="B427:B428">
    <cfRule type="expression" dxfId="2652" priority="2285">
      <formula>$ID428="Yellow"</formula>
    </cfRule>
  </conditionalFormatting>
  <conditionalFormatting sqref="B427:B428">
    <cfRule type="expression" dxfId="2651" priority="2284">
      <formula>$ID428="Red"</formula>
    </cfRule>
  </conditionalFormatting>
  <conditionalFormatting sqref="B432:B433">
    <cfRule type="expression" dxfId="2650" priority="2282">
      <formula>$ID433="Green"</formula>
    </cfRule>
    <cfRule type="expression" dxfId="2649" priority="2283">
      <formula>$ID433="White"</formula>
    </cfRule>
  </conditionalFormatting>
  <conditionalFormatting sqref="B432:B433">
    <cfRule type="expression" dxfId="2648" priority="2281">
      <formula>$ID433="Yellow"</formula>
    </cfRule>
  </conditionalFormatting>
  <conditionalFormatting sqref="B432:B433">
    <cfRule type="expression" dxfId="2647" priority="2280">
      <formula>$ID433="Red"</formula>
    </cfRule>
  </conditionalFormatting>
  <conditionalFormatting sqref="B437:B438">
    <cfRule type="expression" dxfId="2646" priority="2278">
      <formula>$ID438="Green"</formula>
    </cfRule>
    <cfRule type="expression" dxfId="2645" priority="2279">
      <formula>$ID438="White"</formula>
    </cfRule>
  </conditionalFormatting>
  <conditionalFormatting sqref="B437:B438">
    <cfRule type="expression" dxfId="2644" priority="2277">
      <formula>$ID438="Yellow"</formula>
    </cfRule>
  </conditionalFormatting>
  <conditionalFormatting sqref="B437:B438">
    <cfRule type="expression" dxfId="2643" priority="2276">
      <formula>$ID438="Red"</formula>
    </cfRule>
  </conditionalFormatting>
  <conditionalFormatting sqref="B442:B443">
    <cfRule type="expression" dxfId="2642" priority="2274">
      <formula>$ID443="Green"</formula>
    </cfRule>
    <cfRule type="expression" dxfId="2641" priority="2275">
      <formula>$ID443="White"</formula>
    </cfRule>
  </conditionalFormatting>
  <conditionalFormatting sqref="B442:B443">
    <cfRule type="expression" dxfId="2640" priority="2273">
      <formula>$ID443="Yellow"</formula>
    </cfRule>
  </conditionalFormatting>
  <conditionalFormatting sqref="B442:B443">
    <cfRule type="expression" dxfId="2639" priority="2272">
      <formula>$ID443="Red"</formula>
    </cfRule>
  </conditionalFormatting>
  <conditionalFormatting sqref="B447:B448">
    <cfRule type="expression" dxfId="2638" priority="2270">
      <formula>$ID448="Green"</formula>
    </cfRule>
    <cfRule type="expression" dxfId="2637" priority="2271">
      <formula>$ID448="White"</formula>
    </cfRule>
  </conditionalFormatting>
  <conditionalFormatting sqref="B447:B448">
    <cfRule type="expression" dxfId="2636" priority="2269">
      <formula>$ID448="Yellow"</formula>
    </cfRule>
  </conditionalFormatting>
  <conditionalFormatting sqref="B447:B448">
    <cfRule type="expression" dxfId="2635" priority="2268">
      <formula>$ID448="Red"</formula>
    </cfRule>
  </conditionalFormatting>
  <conditionalFormatting sqref="B452:B453">
    <cfRule type="expression" dxfId="2634" priority="2266">
      <formula>$ID453="Green"</formula>
    </cfRule>
    <cfRule type="expression" dxfId="2633" priority="2267">
      <formula>$ID453="White"</formula>
    </cfRule>
  </conditionalFormatting>
  <conditionalFormatting sqref="B452:B453">
    <cfRule type="expression" dxfId="2632" priority="2265">
      <formula>$ID453="Yellow"</formula>
    </cfRule>
  </conditionalFormatting>
  <conditionalFormatting sqref="B452:B453">
    <cfRule type="expression" dxfId="2631" priority="2264">
      <formula>$ID453="Red"</formula>
    </cfRule>
  </conditionalFormatting>
  <conditionalFormatting sqref="B457:B458">
    <cfRule type="expression" dxfId="2630" priority="2262">
      <formula>$ID458="Green"</formula>
    </cfRule>
    <cfRule type="expression" dxfId="2629" priority="2263">
      <formula>$ID458="White"</formula>
    </cfRule>
  </conditionalFormatting>
  <conditionalFormatting sqref="B457:B458">
    <cfRule type="expression" dxfId="2628" priority="2261">
      <formula>$ID458="Yellow"</formula>
    </cfRule>
  </conditionalFormatting>
  <conditionalFormatting sqref="B457:B458">
    <cfRule type="expression" dxfId="2627" priority="2260">
      <formula>$ID458="Red"</formula>
    </cfRule>
  </conditionalFormatting>
  <conditionalFormatting sqref="B462:B463">
    <cfRule type="expression" dxfId="2626" priority="2258">
      <formula>$ID463="Green"</formula>
    </cfRule>
    <cfRule type="expression" dxfId="2625" priority="2259">
      <formula>$ID463="White"</formula>
    </cfRule>
  </conditionalFormatting>
  <conditionalFormatting sqref="B462:B463">
    <cfRule type="expression" dxfId="2624" priority="2257">
      <formula>$ID463="Yellow"</formula>
    </cfRule>
  </conditionalFormatting>
  <conditionalFormatting sqref="B462:B463">
    <cfRule type="expression" dxfId="2623" priority="2256">
      <formula>$ID463="Red"</formula>
    </cfRule>
  </conditionalFormatting>
  <conditionalFormatting sqref="B467:B468">
    <cfRule type="expression" dxfId="2622" priority="2250">
      <formula>$ID468="Green"</formula>
    </cfRule>
    <cfRule type="expression" dxfId="2621" priority="2251">
      <formula>$ID468="White"</formula>
    </cfRule>
  </conditionalFormatting>
  <conditionalFormatting sqref="B467:B468">
    <cfRule type="expression" dxfId="2620" priority="2249">
      <formula>$ID468="Yellow"</formula>
    </cfRule>
  </conditionalFormatting>
  <conditionalFormatting sqref="B467:B468">
    <cfRule type="expression" dxfId="2619" priority="2248">
      <formula>$ID468="Red"</formula>
    </cfRule>
  </conditionalFormatting>
  <conditionalFormatting sqref="B472:B473">
    <cfRule type="expression" dxfId="2618" priority="2246">
      <formula>$ID473="Green"</formula>
    </cfRule>
    <cfRule type="expression" dxfId="2617" priority="2247">
      <formula>$ID473="White"</formula>
    </cfRule>
  </conditionalFormatting>
  <conditionalFormatting sqref="B472:B473">
    <cfRule type="expression" dxfId="2616" priority="2245">
      <formula>$ID473="Yellow"</formula>
    </cfRule>
  </conditionalFormatting>
  <conditionalFormatting sqref="B472:B473">
    <cfRule type="expression" dxfId="2615" priority="2244">
      <formula>$ID473="Red"</formula>
    </cfRule>
  </conditionalFormatting>
  <conditionalFormatting sqref="B477:B478">
    <cfRule type="expression" dxfId="2614" priority="2242">
      <formula>$ID478="Green"</formula>
    </cfRule>
    <cfRule type="expression" dxfId="2613" priority="2243">
      <formula>$ID478="White"</formula>
    </cfRule>
  </conditionalFormatting>
  <conditionalFormatting sqref="B477:B478">
    <cfRule type="expression" dxfId="2612" priority="2241">
      <formula>$ID478="Yellow"</formula>
    </cfRule>
  </conditionalFormatting>
  <conditionalFormatting sqref="B477:B478">
    <cfRule type="expression" dxfId="2611" priority="2240">
      <formula>$ID478="Red"</formula>
    </cfRule>
  </conditionalFormatting>
  <conditionalFormatting sqref="B485:B486">
    <cfRule type="expression" dxfId="2610" priority="2238">
      <formula>$ID486="Green"</formula>
    </cfRule>
    <cfRule type="expression" dxfId="2609" priority="2239">
      <formula>$ID486="White"</formula>
    </cfRule>
  </conditionalFormatting>
  <conditionalFormatting sqref="B485:B486">
    <cfRule type="expression" dxfId="2608" priority="2237">
      <formula>$ID486="Yellow"</formula>
    </cfRule>
  </conditionalFormatting>
  <conditionalFormatting sqref="B485:B486">
    <cfRule type="expression" dxfId="2607" priority="2236">
      <formula>$ID486="Red"</formula>
    </cfRule>
  </conditionalFormatting>
  <conditionalFormatting sqref="B490:B491">
    <cfRule type="expression" dxfId="2606" priority="2234">
      <formula>$ID491="Green"</formula>
    </cfRule>
    <cfRule type="expression" dxfId="2605" priority="2235">
      <formula>$ID491="White"</formula>
    </cfRule>
  </conditionalFormatting>
  <conditionalFormatting sqref="B490:B491">
    <cfRule type="expression" dxfId="2604" priority="2233">
      <formula>$ID491="Yellow"</formula>
    </cfRule>
  </conditionalFormatting>
  <conditionalFormatting sqref="B490:B491">
    <cfRule type="expression" dxfId="2603" priority="2232">
      <formula>$ID491="Red"</formula>
    </cfRule>
  </conditionalFormatting>
  <conditionalFormatting sqref="B495:B496">
    <cfRule type="expression" dxfId="2602" priority="2230">
      <formula>$ID496="Green"</formula>
    </cfRule>
    <cfRule type="expression" dxfId="2601" priority="2231">
      <formula>$ID496="White"</formula>
    </cfRule>
  </conditionalFormatting>
  <conditionalFormatting sqref="B495:B496">
    <cfRule type="expression" dxfId="2600" priority="2229">
      <formula>$ID496="Yellow"</formula>
    </cfRule>
  </conditionalFormatting>
  <conditionalFormatting sqref="B495:B496">
    <cfRule type="expression" dxfId="2599" priority="2228">
      <formula>$ID496="Red"</formula>
    </cfRule>
  </conditionalFormatting>
  <conditionalFormatting sqref="B500:B501">
    <cfRule type="expression" dxfId="2598" priority="2226">
      <formula>$ID501="Green"</formula>
    </cfRule>
    <cfRule type="expression" dxfId="2597" priority="2227">
      <formula>$ID501="White"</formula>
    </cfRule>
  </conditionalFormatting>
  <conditionalFormatting sqref="B500:B501">
    <cfRule type="expression" dxfId="2596" priority="2225">
      <formula>$ID501="Yellow"</formula>
    </cfRule>
  </conditionalFormatting>
  <conditionalFormatting sqref="B500:B501">
    <cfRule type="expression" dxfId="2595" priority="2224">
      <formula>$ID501="Red"</formula>
    </cfRule>
  </conditionalFormatting>
  <conditionalFormatting sqref="B505:B506">
    <cfRule type="expression" dxfId="2594" priority="2222">
      <formula>$ID506="Green"</formula>
    </cfRule>
    <cfRule type="expression" dxfId="2593" priority="2223">
      <formula>$ID506="White"</formula>
    </cfRule>
  </conditionalFormatting>
  <conditionalFormatting sqref="B505:B506">
    <cfRule type="expression" dxfId="2592" priority="2221">
      <formula>$ID506="Yellow"</formula>
    </cfRule>
  </conditionalFormatting>
  <conditionalFormatting sqref="B505:B506">
    <cfRule type="expression" dxfId="2591" priority="2220">
      <formula>$ID506="Red"</formula>
    </cfRule>
  </conditionalFormatting>
  <conditionalFormatting sqref="B510:B511">
    <cfRule type="expression" dxfId="2590" priority="2218">
      <formula>$ID511="Green"</formula>
    </cfRule>
    <cfRule type="expression" dxfId="2589" priority="2219">
      <formula>$ID511="White"</formula>
    </cfRule>
  </conditionalFormatting>
  <conditionalFormatting sqref="B510:B511">
    <cfRule type="expression" dxfId="2588" priority="2217">
      <formula>$ID511="Yellow"</formula>
    </cfRule>
  </conditionalFormatting>
  <conditionalFormatting sqref="B510:B511">
    <cfRule type="expression" dxfId="2587" priority="2216">
      <formula>$ID511="Red"</formula>
    </cfRule>
  </conditionalFormatting>
  <conditionalFormatting sqref="B515:B516">
    <cfRule type="expression" dxfId="2586" priority="2214">
      <formula>$ID516="Green"</formula>
    </cfRule>
    <cfRule type="expression" dxfId="2585" priority="2215">
      <formula>$ID516="White"</formula>
    </cfRule>
  </conditionalFormatting>
  <conditionalFormatting sqref="B515:B516">
    <cfRule type="expression" dxfId="2584" priority="2213">
      <formula>$ID516="Yellow"</formula>
    </cfRule>
  </conditionalFormatting>
  <conditionalFormatting sqref="B515:B516">
    <cfRule type="expression" dxfId="2583" priority="2212">
      <formula>$ID516="Red"</formula>
    </cfRule>
  </conditionalFormatting>
  <conditionalFormatting sqref="B520:B521">
    <cfRule type="expression" dxfId="2582" priority="2210">
      <formula>$ID521="Green"</formula>
    </cfRule>
    <cfRule type="expression" dxfId="2581" priority="2211">
      <formula>$ID521="White"</formula>
    </cfRule>
  </conditionalFormatting>
  <conditionalFormatting sqref="B520:B521">
    <cfRule type="expression" dxfId="2580" priority="2209">
      <formula>$ID521="Yellow"</formula>
    </cfRule>
  </conditionalFormatting>
  <conditionalFormatting sqref="B520:B521">
    <cfRule type="expression" dxfId="2579" priority="2208">
      <formula>$ID521="Red"</formula>
    </cfRule>
  </conditionalFormatting>
  <conditionalFormatting sqref="B525:B526">
    <cfRule type="expression" dxfId="2578" priority="2206">
      <formula>$ID526="Green"</formula>
    </cfRule>
    <cfRule type="expression" dxfId="2577" priority="2207">
      <formula>$ID526="White"</formula>
    </cfRule>
  </conditionalFormatting>
  <conditionalFormatting sqref="B525:B526">
    <cfRule type="expression" dxfId="2576" priority="2205">
      <formula>$ID526="Yellow"</formula>
    </cfRule>
  </conditionalFormatting>
  <conditionalFormatting sqref="B525:B526">
    <cfRule type="expression" dxfId="2575" priority="2204">
      <formula>$ID526="Red"</formula>
    </cfRule>
  </conditionalFormatting>
  <conditionalFormatting sqref="B530:B531">
    <cfRule type="expression" dxfId="2574" priority="2202">
      <formula>$ID531="Green"</formula>
    </cfRule>
    <cfRule type="expression" dxfId="2573" priority="2203">
      <formula>$ID531="White"</formula>
    </cfRule>
  </conditionalFormatting>
  <conditionalFormatting sqref="B530:B531">
    <cfRule type="expression" dxfId="2572" priority="2201">
      <formula>$ID531="Yellow"</formula>
    </cfRule>
  </conditionalFormatting>
  <conditionalFormatting sqref="B530:B531">
    <cfRule type="expression" dxfId="2571" priority="2200">
      <formula>$ID531="Red"</formula>
    </cfRule>
  </conditionalFormatting>
  <conditionalFormatting sqref="B535:B536">
    <cfRule type="expression" dxfId="2570" priority="2198">
      <formula>$ID536="Green"</formula>
    </cfRule>
    <cfRule type="expression" dxfId="2569" priority="2199">
      <formula>$ID536="White"</formula>
    </cfRule>
  </conditionalFormatting>
  <conditionalFormatting sqref="B535:B536">
    <cfRule type="expression" dxfId="2568" priority="2197">
      <formula>$ID536="Yellow"</formula>
    </cfRule>
  </conditionalFormatting>
  <conditionalFormatting sqref="B535:B536">
    <cfRule type="expression" dxfId="2567" priority="2196">
      <formula>$ID536="Red"</formula>
    </cfRule>
  </conditionalFormatting>
  <conditionalFormatting sqref="B540:B541">
    <cfRule type="expression" dxfId="2566" priority="2194">
      <formula>$ID541="Green"</formula>
    </cfRule>
    <cfRule type="expression" dxfId="2565" priority="2195">
      <formula>$ID541="White"</formula>
    </cfRule>
  </conditionalFormatting>
  <conditionalFormatting sqref="B540:B541">
    <cfRule type="expression" dxfId="2564" priority="2193">
      <formula>$ID541="Yellow"</formula>
    </cfRule>
  </conditionalFormatting>
  <conditionalFormatting sqref="B540:B541">
    <cfRule type="expression" dxfId="2563" priority="2192">
      <formula>$ID541="Red"</formula>
    </cfRule>
  </conditionalFormatting>
  <conditionalFormatting sqref="B545:B546">
    <cfRule type="expression" dxfId="2562" priority="2190">
      <formula>$ID546="Green"</formula>
    </cfRule>
    <cfRule type="expression" dxfId="2561" priority="2191">
      <formula>$ID546="White"</formula>
    </cfRule>
  </conditionalFormatting>
  <conditionalFormatting sqref="B545:B546">
    <cfRule type="expression" dxfId="2560" priority="2189">
      <formula>$ID546="Yellow"</formula>
    </cfRule>
  </conditionalFormatting>
  <conditionalFormatting sqref="B545:B546">
    <cfRule type="expression" dxfId="2559" priority="2188">
      <formula>$ID546="Red"</formula>
    </cfRule>
  </conditionalFormatting>
  <conditionalFormatting sqref="B550:B551">
    <cfRule type="expression" dxfId="2558" priority="2186">
      <formula>$ID551="Green"</formula>
    </cfRule>
    <cfRule type="expression" dxfId="2557" priority="2187">
      <formula>$ID551="White"</formula>
    </cfRule>
  </conditionalFormatting>
  <conditionalFormatting sqref="B550:B551">
    <cfRule type="expression" dxfId="2556" priority="2185">
      <formula>$ID551="Yellow"</formula>
    </cfRule>
  </conditionalFormatting>
  <conditionalFormatting sqref="B550:B551">
    <cfRule type="expression" dxfId="2555" priority="2184">
      <formula>$ID551="Red"</formula>
    </cfRule>
  </conditionalFormatting>
  <conditionalFormatting sqref="B555:B556">
    <cfRule type="expression" dxfId="2554" priority="2182">
      <formula>$ID556="Green"</formula>
    </cfRule>
    <cfRule type="expression" dxfId="2553" priority="2183">
      <formula>$ID556="White"</formula>
    </cfRule>
  </conditionalFormatting>
  <conditionalFormatting sqref="B555:B556">
    <cfRule type="expression" dxfId="2552" priority="2181">
      <formula>$ID556="Yellow"</formula>
    </cfRule>
  </conditionalFormatting>
  <conditionalFormatting sqref="B555:B556">
    <cfRule type="expression" dxfId="2551" priority="2180">
      <formula>$ID556="Red"</formula>
    </cfRule>
  </conditionalFormatting>
  <conditionalFormatting sqref="B563:B564">
    <cfRule type="expression" dxfId="2550" priority="2178">
      <formula>$ID564="Green"</formula>
    </cfRule>
    <cfRule type="expression" dxfId="2549" priority="2179">
      <formula>$ID564="White"</formula>
    </cfRule>
  </conditionalFormatting>
  <conditionalFormatting sqref="B563:B564">
    <cfRule type="expression" dxfId="2548" priority="2177">
      <formula>$ID564="Yellow"</formula>
    </cfRule>
  </conditionalFormatting>
  <conditionalFormatting sqref="B563:B564">
    <cfRule type="expression" dxfId="2547" priority="2176">
      <formula>$ID564="Red"</formula>
    </cfRule>
  </conditionalFormatting>
  <conditionalFormatting sqref="B568:B569">
    <cfRule type="expression" dxfId="2546" priority="2174">
      <formula>$ID569="Green"</formula>
    </cfRule>
    <cfRule type="expression" dxfId="2545" priority="2175">
      <formula>$ID569="White"</formula>
    </cfRule>
  </conditionalFormatting>
  <conditionalFormatting sqref="B568:B569">
    <cfRule type="expression" dxfId="2544" priority="2173">
      <formula>$ID569="Yellow"</formula>
    </cfRule>
  </conditionalFormatting>
  <conditionalFormatting sqref="B568:B569">
    <cfRule type="expression" dxfId="2543" priority="2172">
      <formula>$ID569="Red"</formula>
    </cfRule>
  </conditionalFormatting>
  <conditionalFormatting sqref="B573:B574">
    <cfRule type="expression" dxfId="2542" priority="2170">
      <formula>$ID574="Green"</formula>
    </cfRule>
    <cfRule type="expression" dxfId="2541" priority="2171">
      <formula>$ID574="White"</formula>
    </cfRule>
  </conditionalFormatting>
  <conditionalFormatting sqref="B573:B574">
    <cfRule type="expression" dxfId="2540" priority="2169">
      <formula>$ID574="Yellow"</formula>
    </cfRule>
  </conditionalFormatting>
  <conditionalFormatting sqref="B573:B574">
    <cfRule type="expression" dxfId="2539" priority="2168">
      <formula>$ID574="Red"</formula>
    </cfRule>
  </conditionalFormatting>
  <conditionalFormatting sqref="B578:B579">
    <cfRule type="expression" dxfId="2538" priority="2166">
      <formula>$ID579="Green"</formula>
    </cfRule>
    <cfRule type="expression" dxfId="2537" priority="2167">
      <formula>$ID579="White"</formula>
    </cfRule>
  </conditionalFormatting>
  <conditionalFormatting sqref="B578:B579">
    <cfRule type="expression" dxfId="2536" priority="2165">
      <formula>$ID579="Yellow"</formula>
    </cfRule>
  </conditionalFormatting>
  <conditionalFormatting sqref="B578:B579">
    <cfRule type="expression" dxfId="2535" priority="2164">
      <formula>$ID579="Red"</formula>
    </cfRule>
  </conditionalFormatting>
  <conditionalFormatting sqref="B583:B584">
    <cfRule type="expression" dxfId="2534" priority="2162">
      <formula>$ID584="Green"</formula>
    </cfRule>
    <cfRule type="expression" dxfId="2533" priority="2163">
      <formula>$ID584="White"</formula>
    </cfRule>
  </conditionalFormatting>
  <conditionalFormatting sqref="B583:B584">
    <cfRule type="expression" dxfId="2532" priority="2161">
      <formula>$ID584="Yellow"</formula>
    </cfRule>
  </conditionalFormatting>
  <conditionalFormatting sqref="B583:B584">
    <cfRule type="expression" dxfId="2531" priority="2160">
      <formula>$ID584="Red"</formula>
    </cfRule>
  </conditionalFormatting>
  <conditionalFormatting sqref="B588:B589">
    <cfRule type="expression" dxfId="2530" priority="2158">
      <formula>$ID589="Green"</formula>
    </cfRule>
    <cfRule type="expression" dxfId="2529" priority="2159">
      <formula>$ID589="White"</formula>
    </cfRule>
  </conditionalFormatting>
  <conditionalFormatting sqref="B588:B589">
    <cfRule type="expression" dxfId="2528" priority="2157">
      <formula>$ID589="Yellow"</formula>
    </cfRule>
  </conditionalFormatting>
  <conditionalFormatting sqref="B588:B589">
    <cfRule type="expression" dxfId="2527" priority="2156">
      <formula>$ID589="Red"</formula>
    </cfRule>
  </conditionalFormatting>
  <conditionalFormatting sqref="B593:B594">
    <cfRule type="expression" dxfId="2526" priority="2154">
      <formula>$ID594="Green"</formula>
    </cfRule>
    <cfRule type="expression" dxfId="2525" priority="2155">
      <formula>$ID594="White"</formula>
    </cfRule>
  </conditionalFormatting>
  <conditionalFormatting sqref="B593:B594">
    <cfRule type="expression" dxfId="2524" priority="2153">
      <formula>$ID594="Yellow"</formula>
    </cfRule>
  </conditionalFormatting>
  <conditionalFormatting sqref="B593:B594">
    <cfRule type="expression" dxfId="2523" priority="2152">
      <formula>$ID594="Red"</formula>
    </cfRule>
  </conditionalFormatting>
  <conditionalFormatting sqref="B598:B599">
    <cfRule type="expression" dxfId="2522" priority="2150">
      <formula>$ID599="Green"</formula>
    </cfRule>
    <cfRule type="expression" dxfId="2521" priority="2151">
      <formula>$ID599="White"</formula>
    </cfRule>
  </conditionalFormatting>
  <conditionalFormatting sqref="B598:B599">
    <cfRule type="expression" dxfId="2520" priority="2149">
      <formula>$ID599="Yellow"</formula>
    </cfRule>
  </conditionalFormatting>
  <conditionalFormatting sqref="B598:B599">
    <cfRule type="expression" dxfId="2519" priority="2148">
      <formula>$ID599="Red"</formula>
    </cfRule>
  </conditionalFormatting>
  <conditionalFormatting sqref="B603:B604">
    <cfRule type="expression" dxfId="2518" priority="2146">
      <formula>$ID604="Green"</formula>
    </cfRule>
    <cfRule type="expression" dxfId="2517" priority="2147">
      <formula>$ID604="White"</formula>
    </cfRule>
  </conditionalFormatting>
  <conditionalFormatting sqref="B603:B604">
    <cfRule type="expression" dxfId="2516" priority="2145">
      <formula>$ID604="Yellow"</formula>
    </cfRule>
  </conditionalFormatting>
  <conditionalFormatting sqref="B603:B604">
    <cfRule type="expression" dxfId="2515" priority="2144">
      <formula>$ID604="Red"</formula>
    </cfRule>
  </conditionalFormatting>
  <conditionalFormatting sqref="B608:B609">
    <cfRule type="expression" dxfId="2514" priority="2142">
      <formula>$ID609="Green"</formula>
    </cfRule>
    <cfRule type="expression" dxfId="2513" priority="2143">
      <formula>$ID609="White"</formula>
    </cfRule>
  </conditionalFormatting>
  <conditionalFormatting sqref="B608:B609">
    <cfRule type="expression" dxfId="2512" priority="2141">
      <formula>$ID609="Yellow"</formula>
    </cfRule>
  </conditionalFormatting>
  <conditionalFormatting sqref="B608:B609">
    <cfRule type="expression" dxfId="2511" priority="2140">
      <formula>$ID609="Red"</formula>
    </cfRule>
  </conditionalFormatting>
  <conditionalFormatting sqref="B613:B614">
    <cfRule type="expression" dxfId="2510" priority="2138">
      <formula>$ID614="Green"</formula>
    </cfRule>
    <cfRule type="expression" dxfId="2509" priority="2139">
      <formula>$ID614="White"</formula>
    </cfRule>
  </conditionalFormatting>
  <conditionalFormatting sqref="B613:B614">
    <cfRule type="expression" dxfId="2508" priority="2137">
      <formula>$ID614="Yellow"</formula>
    </cfRule>
  </conditionalFormatting>
  <conditionalFormatting sqref="B613:B614">
    <cfRule type="expression" dxfId="2507" priority="2136">
      <formula>$ID614="Red"</formula>
    </cfRule>
  </conditionalFormatting>
  <conditionalFormatting sqref="B618:B619">
    <cfRule type="expression" dxfId="2506" priority="2134">
      <formula>$ID619="Green"</formula>
    </cfRule>
    <cfRule type="expression" dxfId="2505" priority="2135">
      <formula>$ID619="White"</formula>
    </cfRule>
  </conditionalFormatting>
  <conditionalFormatting sqref="B618:B619">
    <cfRule type="expression" dxfId="2504" priority="2133">
      <formula>$ID619="Yellow"</formula>
    </cfRule>
  </conditionalFormatting>
  <conditionalFormatting sqref="B618:B619">
    <cfRule type="expression" dxfId="2503" priority="2132">
      <formula>$ID619="Red"</formula>
    </cfRule>
  </conditionalFormatting>
  <conditionalFormatting sqref="B623:B624">
    <cfRule type="expression" dxfId="2502" priority="2130">
      <formula>$ID624="Green"</formula>
    </cfRule>
    <cfRule type="expression" dxfId="2501" priority="2131">
      <formula>$ID624="White"</formula>
    </cfRule>
  </conditionalFormatting>
  <conditionalFormatting sqref="B623:B624">
    <cfRule type="expression" dxfId="2500" priority="2129">
      <formula>$ID624="Yellow"</formula>
    </cfRule>
  </conditionalFormatting>
  <conditionalFormatting sqref="B623:B624">
    <cfRule type="expression" dxfId="2499" priority="2128">
      <formula>$ID624="Red"</formula>
    </cfRule>
  </conditionalFormatting>
  <conditionalFormatting sqref="B628:B629">
    <cfRule type="expression" dxfId="2498" priority="2126">
      <formula>$ID629="Green"</formula>
    </cfRule>
    <cfRule type="expression" dxfId="2497" priority="2127">
      <formula>$ID629="White"</formula>
    </cfRule>
  </conditionalFormatting>
  <conditionalFormatting sqref="B628:B629">
    <cfRule type="expression" dxfId="2496" priority="2125">
      <formula>$ID629="Yellow"</formula>
    </cfRule>
  </conditionalFormatting>
  <conditionalFormatting sqref="B628:B629">
    <cfRule type="expression" dxfId="2495" priority="2124">
      <formula>$ID629="Red"</formula>
    </cfRule>
  </conditionalFormatting>
  <conditionalFormatting sqref="B633:B634">
    <cfRule type="expression" dxfId="2494" priority="2122">
      <formula>$ID634="Green"</formula>
    </cfRule>
    <cfRule type="expression" dxfId="2493" priority="2123">
      <formula>$ID634="White"</formula>
    </cfRule>
  </conditionalFormatting>
  <conditionalFormatting sqref="B633:B634">
    <cfRule type="expression" dxfId="2492" priority="2121">
      <formula>$ID634="Yellow"</formula>
    </cfRule>
  </conditionalFormatting>
  <conditionalFormatting sqref="B633:B634">
    <cfRule type="expression" dxfId="2491" priority="2120">
      <formula>$ID634="Red"</formula>
    </cfRule>
  </conditionalFormatting>
  <conditionalFormatting sqref="B641:B642">
    <cfRule type="expression" dxfId="2490" priority="2118">
      <formula>$ID642="Green"</formula>
    </cfRule>
    <cfRule type="expression" dxfId="2489" priority="2119">
      <formula>$ID642="White"</formula>
    </cfRule>
  </conditionalFormatting>
  <conditionalFormatting sqref="B641:B642">
    <cfRule type="expression" dxfId="2488" priority="2117">
      <formula>$ID642="Yellow"</formula>
    </cfRule>
  </conditionalFormatting>
  <conditionalFormatting sqref="B641:B642">
    <cfRule type="expression" dxfId="2487" priority="2116">
      <formula>$ID642="Red"</formula>
    </cfRule>
  </conditionalFormatting>
  <conditionalFormatting sqref="B646:B647">
    <cfRule type="expression" dxfId="2486" priority="2114">
      <formula>$ID647="Green"</formula>
    </cfRule>
    <cfRule type="expression" dxfId="2485" priority="2115">
      <formula>$ID647="White"</formula>
    </cfRule>
  </conditionalFormatting>
  <conditionalFormatting sqref="B646:B647">
    <cfRule type="expression" dxfId="2484" priority="2113">
      <formula>$ID647="Yellow"</formula>
    </cfRule>
  </conditionalFormatting>
  <conditionalFormatting sqref="B646:B647">
    <cfRule type="expression" dxfId="2483" priority="2112">
      <formula>$ID647="Red"</formula>
    </cfRule>
  </conditionalFormatting>
  <conditionalFormatting sqref="B651:B652">
    <cfRule type="expression" dxfId="2482" priority="2110">
      <formula>$ID652="Green"</formula>
    </cfRule>
    <cfRule type="expression" dxfId="2481" priority="2111">
      <formula>$ID652="White"</formula>
    </cfRule>
  </conditionalFormatting>
  <conditionalFormatting sqref="B651:B652">
    <cfRule type="expression" dxfId="2480" priority="2109">
      <formula>$ID652="Yellow"</formula>
    </cfRule>
  </conditionalFormatting>
  <conditionalFormatting sqref="B651:B652">
    <cfRule type="expression" dxfId="2479" priority="2108">
      <formula>$ID652="Red"</formula>
    </cfRule>
  </conditionalFormatting>
  <conditionalFormatting sqref="B656:B657">
    <cfRule type="expression" dxfId="2478" priority="2106">
      <formula>$ID657="Green"</formula>
    </cfRule>
    <cfRule type="expression" dxfId="2477" priority="2107">
      <formula>$ID657="White"</formula>
    </cfRule>
  </conditionalFormatting>
  <conditionalFormatting sqref="B656:B657">
    <cfRule type="expression" dxfId="2476" priority="2105">
      <formula>$ID657="Yellow"</formula>
    </cfRule>
  </conditionalFormatting>
  <conditionalFormatting sqref="B656:B657">
    <cfRule type="expression" dxfId="2475" priority="2104">
      <formula>$ID657="Red"</formula>
    </cfRule>
  </conditionalFormatting>
  <conditionalFormatting sqref="B661:B662">
    <cfRule type="expression" dxfId="2474" priority="2102">
      <formula>$ID662="Green"</formula>
    </cfRule>
    <cfRule type="expression" dxfId="2473" priority="2103">
      <formula>$ID662="White"</formula>
    </cfRule>
  </conditionalFormatting>
  <conditionalFormatting sqref="B661:B662">
    <cfRule type="expression" dxfId="2472" priority="2101">
      <formula>$ID662="Yellow"</formula>
    </cfRule>
  </conditionalFormatting>
  <conditionalFormatting sqref="B661:B662">
    <cfRule type="expression" dxfId="2471" priority="2100">
      <formula>$ID662="Red"</formula>
    </cfRule>
  </conditionalFormatting>
  <conditionalFormatting sqref="B666:B667">
    <cfRule type="expression" dxfId="2470" priority="2098">
      <formula>$ID667="Green"</formula>
    </cfRule>
    <cfRule type="expression" dxfId="2469" priority="2099">
      <formula>$ID667="White"</formula>
    </cfRule>
  </conditionalFormatting>
  <conditionalFormatting sqref="B666:B667">
    <cfRule type="expression" dxfId="2468" priority="2097">
      <formula>$ID667="Yellow"</formula>
    </cfRule>
  </conditionalFormatting>
  <conditionalFormatting sqref="B666:B667">
    <cfRule type="expression" dxfId="2467" priority="2096">
      <formula>$ID667="Red"</formula>
    </cfRule>
  </conditionalFormatting>
  <conditionalFormatting sqref="B671:B672">
    <cfRule type="expression" dxfId="2466" priority="2094">
      <formula>$ID672="Green"</formula>
    </cfRule>
    <cfRule type="expression" dxfId="2465" priority="2095">
      <formula>$ID672="White"</formula>
    </cfRule>
  </conditionalFormatting>
  <conditionalFormatting sqref="B671:B672">
    <cfRule type="expression" dxfId="2464" priority="2093">
      <formula>$ID672="Yellow"</formula>
    </cfRule>
  </conditionalFormatting>
  <conditionalFormatting sqref="B671:B672">
    <cfRule type="expression" dxfId="2463" priority="2092">
      <formula>$ID672="Red"</formula>
    </cfRule>
  </conditionalFormatting>
  <conditionalFormatting sqref="B676:B677">
    <cfRule type="expression" dxfId="2462" priority="2090">
      <formula>$ID677="Green"</formula>
    </cfRule>
    <cfRule type="expression" dxfId="2461" priority="2091">
      <formula>$ID677="White"</formula>
    </cfRule>
  </conditionalFormatting>
  <conditionalFormatting sqref="B676:B677">
    <cfRule type="expression" dxfId="2460" priority="2089">
      <formula>$ID677="Yellow"</formula>
    </cfRule>
  </conditionalFormatting>
  <conditionalFormatting sqref="B676:B677">
    <cfRule type="expression" dxfId="2459" priority="2088">
      <formula>$ID677="Red"</formula>
    </cfRule>
  </conditionalFormatting>
  <conditionalFormatting sqref="B681:B682">
    <cfRule type="expression" dxfId="2458" priority="2086">
      <formula>$ID682="Green"</formula>
    </cfRule>
    <cfRule type="expression" dxfId="2457" priority="2087">
      <formula>$ID682="White"</formula>
    </cfRule>
  </conditionalFormatting>
  <conditionalFormatting sqref="B681:B682">
    <cfRule type="expression" dxfId="2456" priority="2085">
      <formula>$ID682="Yellow"</formula>
    </cfRule>
  </conditionalFormatting>
  <conditionalFormatting sqref="B681:B682">
    <cfRule type="expression" dxfId="2455" priority="2084">
      <formula>$ID682="Red"</formula>
    </cfRule>
  </conditionalFormatting>
  <conditionalFormatting sqref="B686:B687">
    <cfRule type="expression" dxfId="2454" priority="2082">
      <formula>$ID687="Green"</formula>
    </cfRule>
    <cfRule type="expression" dxfId="2453" priority="2083">
      <formula>$ID687="White"</formula>
    </cfRule>
  </conditionalFormatting>
  <conditionalFormatting sqref="B686:B687">
    <cfRule type="expression" dxfId="2452" priority="2081">
      <formula>$ID687="Yellow"</formula>
    </cfRule>
  </conditionalFormatting>
  <conditionalFormatting sqref="B686:B687">
    <cfRule type="expression" dxfId="2451" priority="2080">
      <formula>$ID687="Red"</formula>
    </cfRule>
  </conditionalFormatting>
  <conditionalFormatting sqref="B691:B692">
    <cfRule type="expression" dxfId="2450" priority="2078">
      <formula>$ID692="Green"</formula>
    </cfRule>
    <cfRule type="expression" dxfId="2449" priority="2079">
      <formula>$ID692="White"</formula>
    </cfRule>
  </conditionalFormatting>
  <conditionalFormatting sqref="B691:B692">
    <cfRule type="expression" dxfId="2448" priority="2077">
      <formula>$ID692="Yellow"</formula>
    </cfRule>
  </conditionalFormatting>
  <conditionalFormatting sqref="B691:B692">
    <cfRule type="expression" dxfId="2447" priority="2076">
      <formula>$ID692="Red"</formula>
    </cfRule>
  </conditionalFormatting>
  <conditionalFormatting sqref="B696:B697">
    <cfRule type="expression" dxfId="2446" priority="2074">
      <formula>$ID697="Green"</formula>
    </cfRule>
    <cfRule type="expression" dxfId="2445" priority="2075">
      <formula>$ID697="White"</formula>
    </cfRule>
  </conditionalFormatting>
  <conditionalFormatting sqref="B696:B697">
    <cfRule type="expression" dxfId="2444" priority="2073">
      <formula>$ID697="Yellow"</formula>
    </cfRule>
  </conditionalFormatting>
  <conditionalFormatting sqref="B696:B697">
    <cfRule type="expression" dxfId="2443" priority="2072">
      <formula>$ID697="Red"</formula>
    </cfRule>
  </conditionalFormatting>
  <conditionalFormatting sqref="B701:B702">
    <cfRule type="expression" dxfId="2442" priority="2070">
      <formula>$ID702="Green"</formula>
    </cfRule>
    <cfRule type="expression" dxfId="2441" priority="2071">
      <formula>$ID702="White"</formula>
    </cfRule>
  </conditionalFormatting>
  <conditionalFormatting sqref="B701:B702">
    <cfRule type="expression" dxfId="2440" priority="2069">
      <formula>$ID702="Yellow"</formula>
    </cfRule>
  </conditionalFormatting>
  <conditionalFormatting sqref="B701:B702">
    <cfRule type="expression" dxfId="2439" priority="2068">
      <formula>$ID702="Red"</formula>
    </cfRule>
  </conditionalFormatting>
  <conditionalFormatting sqref="B706:B707">
    <cfRule type="expression" dxfId="2438" priority="2066">
      <formula>$ID707="Green"</formula>
    </cfRule>
    <cfRule type="expression" dxfId="2437" priority="2067">
      <formula>$ID707="White"</formula>
    </cfRule>
  </conditionalFormatting>
  <conditionalFormatting sqref="B706:B707">
    <cfRule type="expression" dxfId="2436" priority="2065">
      <formula>$ID707="Yellow"</formula>
    </cfRule>
  </conditionalFormatting>
  <conditionalFormatting sqref="B706:B707">
    <cfRule type="expression" dxfId="2435" priority="2064">
      <formula>$ID707="Red"</formula>
    </cfRule>
  </conditionalFormatting>
  <conditionalFormatting sqref="B711:B712">
    <cfRule type="expression" dxfId="2434" priority="2062">
      <formula>$ID712="Green"</formula>
    </cfRule>
    <cfRule type="expression" dxfId="2433" priority="2063">
      <formula>$ID712="White"</formula>
    </cfRule>
  </conditionalFormatting>
  <conditionalFormatting sqref="B711:B712">
    <cfRule type="expression" dxfId="2432" priority="2061">
      <formula>$ID712="Yellow"</formula>
    </cfRule>
  </conditionalFormatting>
  <conditionalFormatting sqref="B711:B712">
    <cfRule type="expression" dxfId="2431" priority="2060">
      <formula>$ID712="Red"</formula>
    </cfRule>
  </conditionalFormatting>
  <conditionalFormatting sqref="B719:B720">
    <cfRule type="expression" dxfId="2430" priority="2058">
      <formula>$ID720="Green"</formula>
    </cfRule>
    <cfRule type="expression" dxfId="2429" priority="2059">
      <formula>$ID720="White"</formula>
    </cfRule>
  </conditionalFormatting>
  <conditionalFormatting sqref="B719:B720">
    <cfRule type="expression" dxfId="2428" priority="2057">
      <formula>$ID720="Yellow"</formula>
    </cfRule>
  </conditionalFormatting>
  <conditionalFormatting sqref="B719:B720">
    <cfRule type="expression" dxfId="2427" priority="2056">
      <formula>$ID720="Red"</formula>
    </cfRule>
  </conditionalFormatting>
  <conditionalFormatting sqref="B724:B725">
    <cfRule type="expression" dxfId="2426" priority="2054">
      <formula>$ID725="Green"</formula>
    </cfRule>
    <cfRule type="expression" dxfId="2425" priority="2055">
      <formula>$ID725="White"</formula>
    </cfRule>
  </conditionalFormatting>
  <conditionalFormatting sqref="B724:B725">
    <cfRule type="expression" dxfId="2424" priority="2053">
      <formula>$ID725="Yellow"</formula>
    </cfRule>
  </conditionalFormatting>
  <conditionalFormatting sqref="B724:B725">
    <cfRule type="expression" dxfId="2423" priority="2052">
      <formula>$ID725="Red"</formula>
    </cfRule>
  </conditionalFormatting>
  <conditionalFormatting sqref="B729:B730">
    <cfRule type="expression" dxfId="2422" priority="2050">
      <formula>$ID730="Green"</formula>
    </cfRule>
    <cfRule type="expression" dxfId="2421" priority="2051">
      <formula>$ID730="White"</formula>
    </cfRule>
  </conditionalFormatting>
  <conditionalFormatting sqref="B729:B730">
    <cfRule type="expression" dxfId="2420" priority="2049">
      <formula>$ID730="Yellow"</formula>
    </cfRule>
  </conditionalFormatting>
  <conditionalFormatting sqref="B729:B730">
    <cfRule type="expression" dxfId="2419" priority="2048">
      <formula>$ID730="Red"</formula>
    </cfRule>
  </conditionalFormatting>
  <conditionalFormatting sqref="B734:B735">
    <cfRule type="expression" dxfId="2418" priority="2046">
      <formula>$ID735="Green"</formula>
    </cfRule>
    <cfRule type="expression" dxfId="2417" priority="2047">
      <formula>$ID735="White"</formula>
    </cfRule>
  </conditionalFormatting>
  <conditionalFormatting sqref="B734:B735">
    <cfRule type="expression" dxfId="2416" priority="2045">
      <formula>$ID735="Yellow"</formula>
    </cfRule>
  </conditionalFormatting>
  <conditionalFormatting sqref="B734:B735">
    <cfRule type="expression" dxfId="2415" priority="2044">
      <formula>$ID735="Red"</formula>
    </cfRule>
  </conditionalFormatting>
  <conditionalFormatting sqref="B739:B740">
    <cfRule type="expression" dxfId="2414" priority="2042">
      <formula>$ID740="Green"</formula>
    </cfRule>
    <cfRule type="expression" dxfId="2413" priority="2043">
      <formula>$ID740="White"</formula>
    </cfRule>
  </conditionalFormatting>
  <conditionalFormatting sqref="B739:B740">
    <cfRule type="expression" dxfId="2412" priority="2041">
      <formula>$ID740="Yellow"</formula>
    </cfRule>
  </conditionalFormatting>
  <conditionalFormatting sqref="B739:B740">
    <cfRule type="expression" dxfId="2411" priority="2040">
      <formula>$ID740="Red"</formula>
    </cfRule>
  </conditionalFormatting>
  <conditionalFormatting sqref="B744:B745">
    <cfRule type="expression" dxfId="2410" priority="2038">
      <formula>$ID745="Green"</formula>
    </cfRule>
    <cfRule type="expression" dxfId="2409" priority="2039">
      <formula>$ID745="White"</formula>
    </cfRule>
  </conditionalFormatting>
  <conditionalFormatting sqref="B744:B745">
    <cfRule type="expression" dxfId="2408" priority="2037">
      <formula>$ID745="Yellow"</formula>
    </cfRule>
  </conditionalFormatting>
  <conditionalFormatting sqref="B744:B745">
    <cfRule type="expression" dxfId="2407" priority="2036">
      <formula>$ID745="Red"</formula>
    </cfRule>
  </conditionalFormatting>
  <conditionalFormatting sqref="B749:B750">
    <cfRule type="expression" dxfId="2406" priority="2034">
      <formula>$ID750="Green"</formula>
    </cfRule>
    <cfRule type="expression" dxfId="2405" priority="2035">
      <formula>$ID750="White"</formula>
    </cfRule>
  </conditionalFormatting>
  <conditionalFormatting sqref="B749:B750">
    <cfRule type="expression" dxfId="2404" priority="2033">
      <formula>$ID750="Yellow"</formula>
    </cfRule>
  </conditionalFormatting>
  <conditionalFormatting sqref="B749:B750">
    <cfRule type="expression" dxfId="2403" priority="2032">
      <formula>$ID750="Red"</formula>
    </cfRule>
  </conditionalFormatting>
  <conditionalFormatting sqref="B754:B755">
    <cfRule type="expression" dxfId="2402" priority="2030">
      <formula>$ID755="Green"</formula>
    </cfRule>
    <cfRule type="expression" dxfId="2401" priority="2031">
      <formula>$ID755="White"</formula>
    </cfRule>
  </conditionalFormatting>
  <conditionalFormatting sqref="B754:B755">
    <cfRule type="expression" dxfId="2400" priority="2029">
      <formula>$ID755="Yellow"</formula>
    </cfRule>
  </conditionalFormatting>
  <conditionalFormatting sqref="B754:B755">
    <cfRule type="expression" dxfId="2399" priority="2028">
      <formula>$ID755="Red"</formula>
    </cfRule>
  </conditionalFormatting>
  <conditionalFormatting sqref="B759:B760">
    <cfRule type="expression" dxfId="2398" priority="2026">
      <formula>$ID760="Green"</formula>
    </cfRule>
    <cfRule type="expression" dxfId="2397" priority="2027">
      <formula>$ID760="White"</formula>
    </cfRule>
  </conditionalFormatting>
  <conditionalFormatting sqref="B759:B760">
    <cfRule type="expression" dxfId="2396" priority="2025">
      <formula>$ID760="Yellow"</formula>
    </cfRule>
  </conditionalFormatting>
  <conditionalFormatting sqref="B759:B760">
    <cfRule type="expression" dxfId="2395" priority="2024">
      <formula>$ID760="Red"</formula>
    </cfRule>
  </conditionalFormatting>
  <conditionalFormatting sqref="B764:B765">
    <cfRule type="expression" dxfId="2394" priority="2022">
      <formula>$ID765="Green"</formula>
    </cfRule>
    <cfRule type="expression" dxfId="2393" priority="2023">
      <formula>$ID765="White"</formula>
    </cfRule>
  </conditionalFormatting>
  <conditionalFormatting sqref="B764:B765">
    <cfRule type="expression" dxfId="2392" priority="2021">
      <formula>$ID765="Yellow"</formula>
    </cfRule>
  </conditionalFormatting>
  <conditionalFormatting sqref="B764:B765">
    <cfRule type="expression" dxfId="2391" priority="2020">
      <formula>$ID765="Red"</formula>
    </cfRule>
  </conditionalFormatting>
  <conditionalFormatting sqref="B769:B770">
    <cfRule type="expression" dxfId="2390" priority="2018">
      <formula>$ID770="Green"</formula>
    </cfRule>
    <cfRule type="expression" dxfId="2389" priority="2019">
      <formula>$ID770="White"</formula>
    </cfRule>
  </conditionalFormatting>
  <conditionalFormatting sqref="B769:B770">
    <cfRule type="expression" dxfId="2388" priority="2017">
      <formula>$ID770="Yellow"</formula>
    </cfRule>
  </conditionalFormatting>
  <conditionalFormatting sqref="B769:B770">
    <cfRule type="expression" dxfId="2387" priority="2016">
      <formula>$ID770="Red"</formula>
    </cfRule>
  </conditionalFormatting>
  <conditionalFormatting sqref="B774:B775">
    <cfRule type="expression" dxfId="2386" priority="2014">
      <formula>$ID775="Green"</formula>
    </cfRule>
    <cfRule type="expression" dxfId="2385" priority="2015">
      <formula>$ID775="White"</formula>
    </cfRule>
  </conditionalFormatting>
  <conditionalFormatting sqref="B774:B775">
    <cfRule type="expression" dxfId="2384" priority="2013">
      <formula>$ID775="Yellow"</formula>
    </cfRule>
  </conditionalFormatting>
  <conditionalFormatting sqref="B774:B775">
    <cfRule type="expression" dxfId="2383" priority="2012">
      <formula>$ID775="Red"</formula>
    </cfRule>
  </conditionalFormatting>
  <conditionalFormatting sqref="B779:B780">
    <cfRule type="expression" dxfId="2382" priority="2010">
      <formula>$ID780="Green"</formula>
    </cfRule>
    <cfRule type="expression" dxfId="2381" priority="2011">
      <formula>$ID780="White"</formula>
    </cfRule>
  </conditionalFormatting>
  <conditionalFormatting sqref="B779:B780">
    <cfRule type="expression" dxfId="2380" priority="2009">
      <formula>$ID780="Yellow"</formula>
    </cfRule>
  </conditionalFormatting>
  <conditionalFormatting sqref="B779:B780">
    <cfRule type="expression" dxfId="2379" priority="2008">
      <formula>$ID780="Red"</formula>
    </cfRule>
  </conditionalFormatting>
  <conditionalFormatting sqref="B784:B785">
    <cfRule type="expression" dxfId="2378" priority="2006">
      <formula>$ID785="Green"</formula>
    </cfRule>
    <cfRule type="expression" dxfId="2377" priority="2007">
      <formula>$ID785="White"</formula>
    </cfRule>
  </conditionalFormatting>
  <conditionalFormatting sqref="B784:B785">
    <cfRule type="expression" dxfId="2376" priority="2005">
      <formula>$ID785="Yellow"</formula>
    </cfRule>
  </conditionalFormatting>
  <conditionalFormatting sqref="B784:B785">
    <cfRule type="expression" dxfId="2375" priority="2004">
      <formula>$ID785="Red"</formula>
    </cfRule>
  </conditionalFormatting>
  <conditionalFormatting sqref="B789:B790">
    <cfRule type="expression" dxfId="2374" priority="2002">
      <formula>$ID790="Green"</formula>
    </cfRule>
    <cfRule type="expression" dxfId="2373" priority="2003">
      <formula>$ID790="White"</formula>
    </cfRule>
  </conditionalFormatting>
  <conditionalFormatting sqref="B789:B790">
    <cfRule type="expression" dxfId="2372" priority="2001">
      <formula>$ID790="Yellow"</formula>
    </cfRule>
  </conditionalFormatting>
  <conditionalFormatting sqref="B789:B790">
    <cfRule type="expression" dxfId="2371" priority="2000">
      <formula>$ID790="Red"</formula>
    </cfRule>
  </conditionalFormatting>
  <conditionalFormatting sqref="R53">
    <cfRule type="expression" dxfId="2370" priority="1997" stopIfTrue="1">
      <formula>$N55="BAM"</formula>
    </cfRule>
  </conditionalFormatting>
  <conditionalFormatting sqref="R53">
    <cfRule type="containsBlanks" dxfId="2369" priority="1998">
      <formula>LEN(TRIM(R53))=0</formula>
    </cfRule>
  </conditionalFormatting>
  <conditionalFormatting sqref="R53">
    <cfRule type="expression" dxfId="2368" priority="1996" stopIfTrue="1">
      <formula>$G52=""</formula>
    </cfRule>
    <cfRule type="expression" dxfId="2367" priority="1999">
      <formula>$HY53=FALSE</formula>
    </cfRule>
  </conditionalFormatting>
  <conditionalFormatting sqref="R58">
    <cfRule type="expression" dxfId="2366" priority="1993" stopIfTrue="1">
      <formula>$N60="BAM"</formula>
    </cfRule>
  </conditionalFormatting>
  <conditionalFormatting sqref="R58">
    <cfRule type="containsBlanks" dxfId="2365" priority="1994">
      <formula>LEN(TRIM(R58))=0</formula>
    </cfRule>
  </conditionalFormatting>
  <conditionalFormatting sqref="R58">
    <cfRule type="expression" dxfId="2364" priority="1992" stopIfTrue="1">
      <formula>$G57=""</formula>
    </cfRule>
    <cfRule type="expression" dxfId="2363" priority="1995">
      <formula>$HY58=FALSE</formula>
    </cfRule>
  </conditionalFormatting>
  <conditionalFormatting sqref="R63">
    <cfRule type="expression" dxfId="2362" priority="1989" stopIfTrue="1">
      <formula>$N65="BAM"</formula>
    </cfRule>
  </conditionalFormatting>
  <conditionalFormatting sqref="R63">
    <cfRule type="containsBlanks" dxfId="2361" priority="1990">
      <formula>LEN(TRIM(R63))=0</formula>
    </cfRule>
  </conditionalFormatting>
  <conditionalFormatting sqref="R63">
    <cfRule type="expression" dxfId="2360" priority="1988" stopIfTrue="1">
      <formula>$G62=""</formula>
    </cfRule>
    <cfRule type="expression" dxfId="2359" priority="1991">
      <formula>$HY63=FALSE</formula>
    </cfRule>
  </conditionalFormatting>
  <conditionalFormatting sqref="R68">
    <cfRule type="expression" dxfId="2358" priority="1985" stopIfTrue="1">
      <formula>$N70="BAM"</formula>
    </cfRule>
  </conditionalFormatting>
  <conditionalFormatting sqref="R68">
    <cfRule type="containsBlanks" dxfId="2357" priority="1986">
      <formula>LEN(TRIM(R68))=0</formula>
    </cfRule>
  </conditionalFormatting>
  <conditionalFormatting sqref="R68">
    <cfRule type="expression" dxfId="2356" priority="1984" stopIfTrue="1">
      <formula>$G67=""</formula>
    </cfRule>
    <cfRule type="expression" dxfId="2355" priority="1987">
      <formula>$HY68=FALSE</formula>
    </cfRule>
  </conditionalFormatting>
  <conditionalFormatting sqref="R73">
    <cfRule type="expression" dxfId="2354" priority="1981" stopIfTrue="1">
      <formula>$N75="BAM"</formula>
    </cfRule>
  </conditionalFormatting>
  <conditionalFormatting sqref="R73">
    <cfRule type="containsBlanks" dxfId="2353" priority="1982">
      <formula>LEN(TRIM(R73))=0</formula>
    </cfRule>
  </conditionalFormatting>
  <conditionalFormatting sqref="R73">
    <cfRule type="expression" dxfId="2352" priority="1980" stopIfTrue="1">
      <formula>$G72=""</formula>
    </cfRule>
    <cfRule type="expression" dxfId="2351" priority="1983">
      <formula>$HY73=FALSE</formula>
    </cfRule>
  </conditionalFormatting>
  <conditionalFormatting sqref="R78">
    <cfRule type="expression" dxfId="2350" priority="1977" stopIfTrue="1">
      <formula>$N80="BAM"</formula>
    </cfRule>
  </conditionalFormatting>
  <conditionalFormatting sqref="R78">
    <cfRule type="containsBlanks" dxfId="2349" priority="1978">
      <formula>LEN(TRIM(R78))=0</formula>
    </cfRule>
  </conditionalFormatting>
  <conditionalFormatting sqref="R78">
    <cfRule type="expression" dxfId="2348" priority="1976" stopIfTrue="1">
      <formula>$G77=""</formula>
    </cfRule>
    <cfRule type="expression" dxfId="2347" priority="1979">
      <formula>$HY78=FALSE</formula>
    </cfRule>
  </conditionalFormatting>
  <conditionalFormatting sqref="R83">
    <cfRule type="expression" dxfId="2346" priority="1973" stopIfTrue="1">
      <formula>$N85="BAM"</formula>
    </cfRule>
  </conditionalFormatting>
  <conditionalFormatting sqref="R83">
    <cfRule type="containsBlanks" dxfId="2345" priority="1974">
      <formula>LEN(TRIM(R83))=0</formula>
    </cfRule>
  </conditionalFormatting>
  <conditionalFormatting sqref="R83">
    <cfRule type="expression" dxfId="2344" priority="1972" stopIfTrue="1">
      <formula>$G82=""</formula>
    </cfRule>
    <cfRule type="expression" dxfId="2343" priority="1975">
      <formula>$HY83=FALSE</formula>
    </cfRule>
  </conditionalFormatting>
  <conditionalFormatting sqref="R88">
    <cfRule type="expression" dxfId="2342" priority="1969" stopIfTrue="1">
      <formula>$N90="BAM"</formula>
    </cfRule>
  </conditionalFormatting>
  <conditionalFormatting sqref="R88">
    <cfRule type="containsBlanks" dxfId="2341" priority="1970">
      <formula>LEN(TRIM(R88))=0</formula>
    </cfRule>
  </conditionalFormatting>
  <conditionalFormatting sqref="R88">
    <cfRule type="expression" dxfId="2340" priority="1968" stopIfTrue="1">
      <formula>$G87=""</formula>
    </cfRule>
    <cfRule type="expression" dxfId="2339" priority="1971">
      <formula>$HY88=FALSE</formula>
    </cfRule>
  </conditionalFormatting>
  <conditionalFormatting sqref="R96">
    <cfRule type="expression" dxfId="2338" priority="1965" stopIfTrue="1">
      <formula>$N98="BAM"</formula>
    </cfRule>
  </conditionalFormatting>
  <conditionalFormatting sqref="R96">
    <cfRule type="containsBlanks" dxfId="2337" priority="1966">
      <formula>LEN(TRIM(R96))=0</formula>
    </cfRule>
  </conditionalFormatting>
  <conditionalFormatting sqref="R96">
    <cfRule type="expression" dxfId="2336" priority="1964" stopIfTrue="1">
      <formula>$G95=""</formula>
    </cfRule>
    <cfRule type="expression" dxfId="2335" priority="1967">
      <formula>$HY96=FALSE</formula>
    </cfRule>
  </conditionalFormatting>
  <conditionalFormatting sqref="R101">
    <cfRule type="expression" dxfId="2334" priority="1961" stopIfTrue="1">
      <formula>$N103="BAM"</formula>
    </cfRule>
  </conditionalFormatting>
  <conditionalFormatting sqref="R101">
    <cfRule type="containsBlanks" dxfId="2333" priority="1962">
      <formula>LEN(TRIM(R101))=0</formula>
    </cfRule>
  </conditionalFormatting>
  <conditionalFormatting sqref="R101">
    <cfRule type="expression" dxfId="2332" priority="1960" stopIfTrue="1">
      <formula>$G100=""</formula>
    </cfRule>
    <cfRule type="expression" dxfId="2331" priority="1963">
      <formula>$HY101=FALSE</formula>
    </cfRule>
  </conditionalFormatting>
  <conditionalFormatting sqref="R106">
    <cfRule type="expression" dxfId="2330" priority="1957" stopIfTrue="1">
      <formula>$N108="BAM"</formula>
    </cfRule>
  </conditionalFormatting>
  <conditionalFormatting sqref="R106">
    <cfRule type="containsBlanks" dxfId="2329" priority="1958">
      <formula>LEN(TRIM(R106))=0</formula>
    </cfRule>
  </conditionalFormatting>
  <conditionalFormatting sqref="R106">
    <cfRule type="expression" dxfId="2328" priority="1956" stopIfTrue="1">
      <formula>$G105=""</formula>
    </cfRule>
    <cfRule type="expression" dxfId="2327" priority="1959">
      <formula>$HY106=FALSE</formula>
    </cfRule>
  </conditionalFormatting>
  <conditionalFormatting sqref="R111">
    <cfRule type="expression" dxfId="2326" priority="1953" stopIfTrue="1">
      <formula>$N113="BAM"</formula>
    </cfRule>
  </conditionalFormatting>
  <conditionalFormatting sqref="R111">
    <cfRule type="containsBlanks" dxfId="2325" priority="1954">
      <formula>LEN(TRIM(R111))=0</formula>
    </cfRule>
  </conditionalFormatting>
  <conditionalFormatting sqref="R111">
    <cfRule type="expression" dxfId="2324" priority="1952" stopIfTrue="1">
      <formula>$G110=""</formula>
    </cfRule>
    <cfRule type="expression" dxfId="2323" priority="1955">
      <formula>$HY111=FALSE</formula>
    </cfRule>
  </conditionalFormatting>
  <conditionalFormatting sqref="R116">
    <cfRule type="expression" dxfId="2322" priority="1949" stopIfTrue="1">
      <formula>$N118="BAM"</formula>
    </cfRule>
  </conditionalFormatting>
  <conditionalFormatting sqref="R116">
    <cfRule type="containsBlanks" dxfId="2321" priority="1950">
      <formula>LEN(TRIM(R116))=0</formula>
    </cfRule>
  </conditionalFormatting>
  <conditionalFormatting sqref="R116">
    <cfRule type="expression" dxfId="2320" priority="1948" stopIfTrue="1">
      <formula>$G115=""</formula>
    </cfRule>
    <cfRule type="expression" dxfId="2319" priority="1951">
      <formula>$HY116=FALSE</formula>
    </cfRule>
  </conditionalFormatting>
  <conditionalFormatting sqref="R121">
    <cfRule type="expression" dxfId="2318" priority="1945" stopIfTrue="1">
      <formula>$N123="BAM"</formula>
    </cfRule>
  </conditionalFormatting>
  <conditionalFormatting sqref="R121">
    <cfRule type="containsBlanks" dxfId="2317" priority="1946">
      <formula>LEN(TRIM(R121))=0</formula>
    </cfRule>
  </conditionalFormatting>
  <conditionalFormatting sqref="R121">
    <cfRule type="expression" dxfId="2316" priority="1944" stopIfTrue="1">
      <formula>$G120=""</formula>
    </cfRule>
    <cfRule type="expression" dxfId="2315" priority="1947">
      <formula>$HY121=FALSE</formula>
    </cfRule>
  </conditionalFormatting>
  <conditionalFormatting sqref="R126">
    <cfRule type="expression" dxfId="2314" priority="1941" stopIfTrue="1">
      <formula>$N128="BAM"</formula>
    </cfRule>
  </conditionalFormatting>
  <conditionalFormatting sqref="R126">
    <cfRule type="containsBlanks" dxfId="2313" priority="1942">
      <formula>LEN(TRIM(R126))=0</formula>
    </cfRule>
  </conditionalFormatting>
  <conditionalFormatting sqref="R126">
    <cfRule type="expression" dxfId="2312" priority="1940" stopIfTrue="1">
      <formula>$G125=""</formula>
    </cfRule>
    <cfRule type="expression" dxfId="2311" priority="1943">
      <formula>$HY126=FALSE</formula>
    </cfRule>
  </conditionalFormatting>
  <conditionalFormatting sqref="R131">
    <cfRule type="expression" dxfId="2310" priority="1937" stopIfTrue="1">
      <formula>$N133="BAM"</formula>
    </cfRule>
  </conditionalFormatting>
  <conditionalFormatting sqref="R131">
    <cfRule type="containsBlanks" dxfId="2309" priority="1938">
      <formula>LEN(TRIM(R131))=0</formula>
    </cfRule>
  </conditionalFormatting>
  <conditionalFormatting sqref="R131">
    <cfRule type="expression" dxfId="2308" priority="1936" stopIfTrue="1">
      <formula>$G130=""</formula>
    </cfRule>
    <cfRule type="expression" dxfId="2307" priority="1939">
      <formula>$HY131=FALSE</formula>
    </cfRule>
  </conditionalFormatting>
  <conditionalFormatting sqref="R136">
    <cfRule type="expression" dxfId="2306" priority="1933" stopIfTrue="1">
      <formula>$N138="BAM"</formula>
    </cfRule>
  </conditionalFormatting>
  <conditionalFormatting sqref="R136">
    <cfRule type="containsBlanks" dxfId="2305" priority="1934">
      <formula>LEN(TRIM(R136))=0</formula>
    </cfRule>
  </conditionalFormatting>
  <conditionalFormatting sqref="R136">
    <cfRule type="expression" dxfId="2304" priority="1932" stopIfTrue="1">
      <formula>$G135=""</formula>
    </cfRule>
    <cfRule type="expression" dxfId="2303" priority="1935">
      <formula>$HY136=FALSE</formula>
    </cfRule>
  </conditionalFormatting>
  <conditionalFormatting sqref="R141">
    <cfRule type="expression" dxfId="2302" priority="1929" stopIfTrue="1">
      <formula>$N143="BAM"</formula>
    </cfRule>
  </conditionalFormatting>
  <conditionalFormatting sqref="R141">
    <cfRule type="containsBlanks" dxfId="2301" priority="1930">
      <formula>LEN(TRIM(R141))=0</formula>
    </cfRule>
  </conditionalFormatting>
  <conditionalFormatting sqref="R141">
    <cfRule type="expression" dxfId="2300" priority="1928" stopIfTrue="1">
      <formula>$G140=""</formula>
    </cfRule>
    <cfRule type="expression" dxfId="2299" priority="1931">
      <formula>$HY141=FALSE</formula>
    </cfRule>
  </conditionalFormatting>
  <conditionalFormatting sqref="R146">
    <cfRule type="expression" dxfId="2298" priority="1925" stopIfTrue="1">
      <formula>$N148="BAM"</formula>
    </cfRule>
  </conditionalFormatting>
  <conditionalFormatting sqref="R146">
    <cfRule type="containsBlanks" dxfId="2297" priority="1926">
      <formula>LEN(TRIM(R146))=0</formula>
    </cfRule>
  </conditionalFormatting>
  <conditionalFormatting sqref="R146">
    <cfRule type="expression" dxfId="2296" priority="1924" stopIfTrue="1">
      <formula>$G145=""</formula>
    </cfRule>
    <cfRule type="expression" dxfId="2295" priority="1927">
      <formula>$HY146=FALSE</formula>
    </cfRule>
  </conditionalFormatting>
  <conditionalFormatting sqref="R151">
    <cfRule type="expression" dxfId="2294" priority="1921" stopIfTrue="1">
      <formula>$N153="BAM"</formula>
    </cfRule>
  </conditionalFormatting>
  <conditionalFormatting sqref="R151">
    <cfRule type="containsBlanks" dxfId="2293" priority="1922">
      <formula>LEN(TRIM(R151))=0</formula>
    </cfRule>
  </conditionalFormatting>
  <conditionalFormatting sqref="R151">
    <cfRule type="expression" dxfId="2292" priority="1920" stopIfTrue="1">
      <formula>$G150=""</formula>
    </cfRule>
    <cfRule type="expression" dxfId="2291" priority="1923">
      <formula>$HY151=FALSE</formula>
    </cfRule>
  </conditionalFormatting>
  <conditionalFormatting sqref="R156">
    <cfRule type="expression" dxfId="2290" priority="1917" stopIfTrue="1">
      <formula>$N158="BAM"</formula>
    </cfRule>
  </conditionalFormatting>
  <conditionalFormatting sqref="R156">
    <cfRule type="containsBlanks" dxfId="2289" priority="1918">
      <formula>LEN(TRIM(R156))=0</formula>
    </cfRule>
  </conditionalFormatting>
  <conditionalFormatting sqref="R156">
    <cfRule type="expression" dxfId="2288" priority="1916" stopIfTrue="1">
      <formula>$G155=""</formula>
    </cfRule>
    <cfRule type="expression" dxfId="2287" priority="1919">
      <formula>$HY156=FALSE</formula>
    </cfRule>
  </conditionalFormatting>
  <conditionalFormatting sqref="R161">
    <cfRule type="expression" dxfId="2286" priority="1913" stopIfTrue="1">
      <formula>$N163="BAM"</formula>
    </cfRule>
  </conditionalFormatting>
  <conditionalFormatting sqref="R161">
    <cfRule type="containsBlanks" dxfId="2285" priority="1914">
      <formula>LEN(TRIM(R161))=0</formula>
    </cfRule>
  </conditionalFormatting>
  <conditionalFormatting sqref="R161">
    <cfRule type="expression" dxfId="2284" priority="1912" stopIfTrue="1">
      <formula>$G160=""</formula>
    </cfRule>
    <cfRule type="expression" dxfId="2283" priority="1915">
      <formula>$HY161=FALSE</formula>
    </cfRule>
  </conditionalFormatting>
  <conditionalFormatting sqref="R166">
    <cfRule type="expression" dxfId="2282" priority="1909" stopIfTrue="1">
      <formula>$N168="BAM"</formula>
    </cfRule>
  </conditionalFormatting>
  <conditionalFormatting sqref="R166">
    <cfRule type="containsBlanks" dxfId="2281" priority="1910">
      <formula>LEN(TRIM(R166))=0</formula>
    </cfRule>
  </conditionalFormatting>
  <conditionalFormatting sqref="R166">
    <cfRule type="expression" dxfId="2280" priority="1908" stopIfTrue="1">
      <formula>$G165=""</formula>
    </cfRule>
    <cfRule type="expression" dxfId="2279" priority="1911">
      <formula>$HY166=FALSE</formula>
    </cfRule>
  </conditionalFormatting>
  <conditionalFormatting sqref="R174">
    <cfRule type="expression" dxfId="2278" priority="1905" stopIfTrue="1">
      <formula>$N176="BAM"</formula>
    </cfRule>
  </conditionalFormatting>
  <conditionalFormatting sqref="R174">
    <cfRule type="containsBlanks" dxfId="2277" priority="1906">
      <formula>LEN(TRIM(R174))=0</formula>
    </cfRule>
  </conditionalFormatting>
  <conditionalFormatting sqref="R174">
    <cfRule type="expression" dxfId="2276" priority="1904" stopIfTrue="1">
      <formula>$G173=""</formula>
    </cfRule>
    <cfRule type="expression" dxfId="2275" priority="1907">
      <formula>$HY174=FALSE</formula>
    </cfRule>
  </conditionalFormatting>
  <conditionalFormatting sqref="R179">
    <cfRule type="expression" dxfId="2274" priority="1901" stopIfTrue="1">
      <formula>$N181="BAM"</formula>
    </cfRule>
  </conditionalFormatting>
  <conditionalFormatting sqref="R179">
    <cfRule type="containsBlanks" dxfId="2273" priority="1902">
      <formula>LEN(TRIM(R179))=0</formula>
    </cfRule>
  </conditionalFormatting>
  <conditionalFormatting sqref="R179">
    <cfRule type="expression" dxfId="2272" priority="1900" stopIfTrue="1">
      <formula>$G178=""</formula>
    </cfRule>
    <cfRule type="expression" dxfId="2271" priority="1903">
      <formula>$HY179=FALSE</formula>
    </cfRule>
  </conditionalFormatting>
  <conditionalFormatting sqref="R184">
    <cfRule type="expression" dxfId="2270" priority="1897" stopIfTrue="1">
      <formula>$N186="BAM"</formula>
    </cfRule>
  </conditionalFormatting>
  <conditionalFormatting sqref="R184">
    <cfRule type="containsBlanks" dxfId="2269" priority="1898">
      <formula>LEN(TRIM(R184))=0</formula>
    </cfRule>
  </conditionalFormatting>
  <conditionalFormatting sqref="R184">
    <cfRule type="expression" dxfId="2268" priority="1896" stopIfTrue="1">
      <formula>$G183=""</formula>
    </cfRule>
    <cfRule type="expression" dxfId="2267" priority="1899">
      <formula>$HY184=FALSE</formula>
    </cfRule>
  </conditionalFormatting>
  <conditionalFormatting sqref="R189">
    <cfRule type="expression" dxfId="2266" priority="1893" stopIfTrue="1">
      <formula>$N191="BAM"</formula>
    </cfRule>
  </conditionalFormatting>
  <conditionalFormatting sqref="R189">
    <cfRule type="containsBlanks" dxfId="2265" priority="1894">
      <formula>LEN(TRIM(R189))=0</formula>
    </cfRule>
  </conditionalFormatting>
  <conditionalFormatting sqref="R189">
    <cfRule type="expression" dxfId="2264" priority="1892" stopIfTrue="1">
      <formula>$G188=""</formula>
    </cfRule>
    <cfRule type="expression" dxfId="2263" priority="1895">
      <formula>$HY189=FALSE</formula>
    </cfRule>
  </conditionalFormatting>
  <conditionalFormatting sqref="R194">
    <cfRule type="expression" dxfId="2262" priority="1889" stopIfTrue="1">
      <formula>$N196="BAM"</formula>
    </cfRule>
  </conditionalFormatting>
  <conditionalFormatting sqref="R194">
    <cfRule type="containsBlanks" dxfId="2261" priority="1890">
      <formula>LEN(TRIM(R194))=0</formula>
    </cfRule>
  </conditionalFormatting>
  <conditionalFormatting sqref="R194">
    <cfRule type="expression" dxfId="2260" priority="1888" stopIfTrue="1">
      <formula>$G193=""</formula>
    </cfRule>
    <cfRule type="expression" dxfId="2259" priority="1891">
      <formula>$HY194=FALSE</formula>
    </cfRule>
  </conditionalFormatting>
  <conditionalFormatting sqref="R199">
    <cfRule type="expression" dxfId="2258" priority="1885" stopIfTrue="1">
      <formula>$N201="BAM"</formula>
    </cfRule>
  </conditionalFormatting>
  <conditionalFormatting sqref="R199">
    <cfRule type="containsBlanks" dxfId="2257" priority="1886">
      <formula>LEN(TRIM(R199))=0</formula>
    </cfRule>
  </conditionalFormatting>
  <conditionalFormatting sqref="R199">
    <cfRule type="expression" dxfId="2256" priority="1884" stopIfTrue="1">
      <formula>$G198=""</formula>
    </cfRule>
    <cfRule type="expression" dxfId="2255" priority="1887">
      <formula>$HY199=FALSE</formula>
    </cfRule>
  </conditionalFormatting>
  <conditionalFormatting sqref="R204">
    <cfRule type="expression" dxfId="2254" priority="1881" stopIfTrue="1">
      <formula>$N206="BAM"</formula>
    </cfRule>
  </conditionalFormatting>
  <conditionalFormatting sqref="R204">
    <cfRule type="containsBlanks" dxfId="2253" priority="1882">
      <formula>LEN(TRIM(R204))=0</formula>
    </cfRule>
  </conditionalFormatting>
  <conditionalFormatting sqref="R204">
    <cfRule type="expression" dxfId="2252" priority="1880" stopIfTrue="1">
      <formula>$G203=""</formula>
    </cfRule>
    <cfRule type="expression" dxfId="2251" priority="1883">
      <formula>$HY204=FALSE</formula>
    </cfRule>
  </conditionalFormatting>
  <conditionalFormatting sqref="R209">
    <cfRule type="expression" dxfId="2250" priority="1877" stopIfTrue="1">
      <formula>$N211="BAM"</formula>
    </cfRule>
  </conditionalFormatting>
  <conditionalFormatting sqref="R209">
    <cfRule type="containsBlanks" dxfId="2249" priority="1878">
      <formula>LEN(TRIM(R209))=0</formula>
    </cfRule>
  </conditionalFormatting>
  <conditionalFormatting sqref="R209">
    <cfRule type="expression" dxfId="2248" priority="1876" stopIfTrue="1">
      <formula>$G208=""</formula>
    </cfRule>
    <cfRule type="expression" dxfId="2247" priority="1879">
      <formula>$HY209=FALSE</formula>
    </cfRule>
  </conditionalFormatting>
  <conditionalFormatting sqref="R214">
    <cfRule type="expression" dxfId="2246" priority="1873" stopIfTrue="1">
      <formula>$N216="BAM"</formula>
    </cfRule>
  </conditionalFormatting>
  <conditionalFormatting sqref="R214">
    <cfRule type="containsBlanks" dxfId="2245" priority="1874">
      <formula>LEN(TRIM(R214))=0</formula>
    </cfRule>
  </conditionalFormatting>
  <conditionalFormatting sqref="R214">
    <cfRule type="expression" dxfId="2244" priority="1872" stopIfTrue="1">
      <formula>$G213=""</formula>
    </cfRule>
    <cfRule type="expression" dxfId="2243" priority="1875">
      <formula>$HY214=FALSE</formula>
    </cfRule>
  </conditionalFormatting>
  <conditionalFormatting sqref="R219">
    <cfRule type="expression" dxfId="2242" priority="1869" stopIfTrue="1">
      <formula>$N221="BAM"</formula>
    </cfRule>
  </conditionalFormatting>
  <conditionalFormatting sqref="R219">
    <cfRule type="containsBlanks" dxfId="2241" priority="1870">
      <formula>LEN(TRIM(R219))=0</formula>
    </cfRule>
  </conditionalFormatting>
  <conditionalFormatting sqref="R219">
    <cfRule type="expression" dxfId="2240" priority="1868" stopIfTrue="1">
      <formula>$G218=""</formula>
    </cfRule>
    <cfRule type="expression" dxfId="2239" priority="1871">
      <formula>$HY219=FALSE</formula>
    </cfRule>
  </conditionalFormatting>
  <conditionalFormatting sqref="R224">
    <cfRule type="expression" dxfId="2238" priority="1865" stopIfTrue="1">
      <formula>$N226="BAM"</formula>
    </cfRule>
  </conditionalFormatting>
  <conditionalFormatting sqref="R224">
    <cfRule type="containsBlanks" dxfId="2237" priority="1866">
      <formula>LEN(TRIM(R224))=0</formula>
    </cfRule>
  </conditionalFormatting>
  <conditionalFormatting sqref="R224">
    <cfRule type="expression" dxfId="2236" priority="1864" stopIfTrue="1">
      <formula>$G223=""</formula>
    </cfRule>
    <cfRule type="expression" dxfId="2235" priority="1867">
      <formula>$HY224=FALSE</formula>
    </cfRule>
  </conditionalFormatting>
  <conditionalFormatting sqref="R229">
    <cfRule type="expression" dxfId="2234" priority="1861" stopIfTrue="1">
      <formula>$N231="BAM"</formula>
    </cfRule>
  </conditionalFormatting>
  <conditionalFormatting sqref="R229">
    <cfRule type="containsBlanks" dxfId="2233" priority="1862">
      <formula>LEN(TRIM(R229))=0</formula>
    </cfRule>
  </conditionalFormatting>
  <conditionalFormatting sqref="R229">
    <cfRule type="expression" dxfId="2232" priority="1860" stopIfTrue="1">
      <formula>$G228=""</formula>
    </cfRule>
    <cfRule type="expression" dxfId="2231" priority="1863">
      <formula>$HY229=FALSE</formula>
    </cfRule>
  </conditionalFormatting>
  <conditionalFormatting sqref="R234">
    <cfRule type="expression" dxfId="2230" priority="1857" stopIfTrue="1">
      <formula>$N236="BAM"</formula>
    </cfRule>
  </conditionalFormatting>
  <conditionalFormatting sqref="R234">
    <cfRule type="containsBlanks" dxfId="2229" priority="1858">
      <formula>LEN(TRIM(R234))=0</formula>
    </cfRule>
  </conditionalFormatting>
  <conditionalFormatting sqref="R234">
    <cfRule type="expression" dxfId="2228" priority="1856" stopIfTrue="1">
      <formula>$G233=""</formula>
    </cfRule>
    <cfRule type="expression" dxfId="2227" priority="1859">
      <formula>$HY234=FALSE</formula>
    </cfRule>
  </conditionalFormatting>
  <conditionalFormatting sqref="R239">
    <cfRule type="expression" dxfId="2226" priority="1853" stopIfTrue="1">
      <formula>$N241="BAM"</formula>
    </cfRule>
  </conditionalFormatting>
  <conditionalFormatting sqref="R239">
    <cfRule type="containsBlanks" dxfId="2225" priority="1854">
      <formula>LEN(TRIM(R239))=0</formula>
    </cfRule>
  </conditionalFormatting>
  <conditionalFormatting sqref="R239">
    <cfRule type="expression" dxfId="2224" priority="1852" stopIfTrue="1">
      <formula>$G238=""</formula>
    </cfRule>
    <cfRule type="expression" dxfId="2223" priority="1855">
      <formula>$HY239=FALSE</formula>
    </cfRule>
  </conditionalFormatting>
  <conditionalFormatting sqref="R244">
    <cfRule type="expression" dxfId="2222" priority="1849" stopIfTrue="1">
      <formula>$N246="BAM"</formula>
    </cfRule>
  </conditionalFormatting>
  <conditionalFormatting sqref="R244">
    <cfRule type="containsBlanks" dxfId="2221" priority="1850">
      <formula>LEN(TRIM(R244))=0</formula>
    </cfRule>
  </conditionalFormatting>
  <conditionalFormatting sqref="R244">
    <cfRule type="expression" dxfId="2220" priority="1848" stopIfTrue="1">
      <formula>$G243=""</formula>
    </cfRule>
    <cfRule type="expression" dxfId="2219" priority="1851">
      <formula>$HY244=FALSE</formula>
    </cfRule>
  </conditionalFormatting>
  <conditionalFormatting sqref="R252">
    <cfRule type="expression" dxfId="2218" priority="1845" stopIfTrue="1">
      <formula>$N254="BAM"</formula>
    </cfRule>
  </conditionalFormatting>
  <conditionalFormatting sqref="R252">
    <cfRule type="containsBlanks" dxfId="2217" priority="1846">
      <formula>LEN(TRIM(R252))=0</formula>
    </cfRule>
  </conditionalFormatting>
  <conditionalFormatting sqref="R252">
    <cfRule type="expression" dxfId="2216" priority="1844" stopIfTrue="1">
      <formula>$G251=""</formula>
    </cfRule>
    <cfRule type="expression" dxfId="2215" priority="1847">
      <formula>$HY252=FALSE</formula>
    </cfRule>
  </conditionalFormatting>
  <conditionalFormatting sqref="R257">
    <cfRule type="expression" dxfId="2214" priority="1841" stopIfTrue="1">
      <formula>$N259="BAM"</formula>
    </cfRule>
  </conditionalFormatting>
  <conditionalFormatting sqref="R257">
    <cfRule type="containsBlanks" dxfId="2213" priority="1842">
      <formula>LEN(TRIM(R257))=0</formula>
    </cfRule>
  </conditionalFormatting>
  <conditionalFormatting sqref="R257">
    <cfRule type="expression" dxfId="2212" priority="1840" stopIfTrue="1">
      <formula>$G256=""</formula>
    </cfRule>
    <cfRule type="expression" dxfId="2211" priority="1843">
      <formula>$HY257=FALSE</formula>
    </cfRule>
  </conditionalFormatting>
  <conditionalFormatting sqref="R262">
    <cfRule type="expression" dxfId="2210" priority="1837" stopIfTrue="1">
      <formula>$N264="BAM"</formula>
    </cfRule>
  </conditionalFormatting>
  <conditionalFormatting sqref="R262">
    <cfRule type="containsBlanks" dxfId="2209" priority="1838">
      <formula>LEN(TRIM(R262))=0</formula>
    </cfRule>
  </conditionalFormatting>
  <conditionalFormatting sqref="R262">
    <cfRule type="expression" dxfId="2208" priority="1836" stopIfTrue="1">
      <formula>$G261=""</formula>
    </cfRule>
    <cfRule type="expression" dxfId="2207" priority="1839">
      <formula>$HY262=FALSE</formula>
    </cfRule>
  </conditionalFormatting>
  <conditionalFormatting sqref="R267">
    <cfRule type="expression" dxfId="2206" priority="1833" stopIfTrue="1">
      <formula>$N269="BAM"</formula>
    </cfRule>
  </conditionalFormatting>
  <conditionalFormatting sqref="R267">
    <cfRule type="containsBlanks" dxfId="2205" priority="1834">
      <formula>LEN(TRIM(R267))=0</formula>
    </cfRule>
  </conditionalFormatting>
  <conditionalFormatting sqref="R267">
    <cfRule type="expression" dxfId="2204" priority="1832" stopIfTrue="1">
      <formula>$G266=""</formula>
    </cfRule>
    <cfRule type="expression" dxfId="2203" priority="1835">
      <formula>$HY267=FALSE</formula>
    </cfRule>
  </conditionalFormatting>
  <conditionalFormatting sqref="R272">
    <cfRule type="expression" dxfId="2202" priority="1829" stopIfTrue="1">
      <formula>$N274="BAM"</formula>
    </cfRule>
  </conditionalFormatting>
  <conditionalFormatting sqref="R272">
    <cfRule type="containsBlanks" dxfId="2201" priority="1830">
      <formula>LEN(TRIM(R272))=0</formula>
    </cfRule>
  </conditionalFormatting>
  <conditionalFormatting sqref="R272">
    <cfRule type="expression" dxfId="2200" priority="1828" stopIfTrue="1">
      <formula>$G271=""</formula>
    </cfRule>
    <cfRule type="expression" dxfId="2199" priority="1831">
      <formula>$HY272=FALSE</formula>
    </cfRule>
  </conditionalFormatting>
  <conditionalFormatting sqref="R277">
    <cfRule type="expression" dxfId="2198" priority="1825" stopIfTrue="1">
      <formula>$N279="BAM"</formula>
    </cfRule>
  </conditionalFormatting>
  <conditionalFormatting sqref="R277">
    <cfRule type="containsBlanks" dxfId="2197" priority="1826">
      <formula>LEN(TRIM(R277))=0</formula>
    </cfRule>
  </conditionalFormatting>
  <conditionalFormatting sqref="R277">
    <cfRule type="expression" dxfId="2196" priority="1824" stopIfTrue="1">
      <formula>$G276=""</formula>
    </cfRule>
    <cfRule type="expression" dxfId="2195" priority="1827">
      <formula>$HY277=FALSE</formula>
    </cfRule>
  </conditionalFormatting>
  <conditionalFormatting sqref="R282">
    <cfRule type="expression" dxfId="2194" priority="1821" stopIfTrue="1">
      <formula>$N284="BAM"</formula>
    </cfRule>
  </conditionalFormatting>
  <conditionalFormatting sqref="R282">
    <cfRule type="containsBlanks" dxfId="2193" priority="1822">
      <formula>LEN(TRIM(R282))=0</formula>
    </cfRule>
  </conditionalFormatting>
  <conditionalFormatting sqref="R282">
    <cfRule type="expression" dxfId="2192" priority="1820" stopIfTrue="1">
      <formula>$G281=""</formula>
    </cfRule>
    <cfRule type="expression" dxfId="2191" priority="1823">
      <formula>$HY282=FALSE</formula>
    </cfRule>
  </conditionalFormatting>
  <conditionalFormatting sqref="R287">
    <cfRule type="expression" dxfId="2190" priority="1817" stopIfTrue="1">
      <formula>$N289="BAM"</formula>
    </cfRule>
  </conditionalFormatting>
  <conditionalFormatting sqref="R287">
    <cfRule type="containsBlanks" dxfId="2189" priority="1818">
      <formula>LEN(TRIM(R287))=0</formula>
    </cfRule>
  </conditionalFormatting>
  <conditionalFormatting sqref="R287">
    <cfRule type="expression" dxfId="2188" priority="1816" stopIfTrue="1">
      <formula>$G286=""</formula>
    </cfRule>
    <cfRule type="expression" dxfId="2187" priority="1819">
      <formula>$HY287=FALSE</formula>
    </cfRule>
  </conditionalFormatting>
  <conditionalFormatting sqref="R292">
    <cfRule type="expression" dxfId="2186" priority="1813" stopIfTrue="1">
      <formula>$N294="BAM"</formula>
    </cfRule>
  </conditionalFormatting>
  <conditionalFormatting sqref="R292">
    <cfRule type="containsBlanks" dxfId="2185" priority="1814">
      <formula>LEN(TRIM(R292))=0</formula>
    </cfRule>
  </conditionalFormatting>
  <conditionalFormatting sqref="R292">
    <cfRule type="expression" dxfId="2184" priority="1812" stopIfTrue="1">
      <formula>$G291=""</formula>
    </cfRule>
    <cfRule type="expression" dxfId="2183" priority="1815">
      <formula>$HY292=FALSE</formula>
    </cfRule>
  </conditionalFormatting>
  <conditionalFormatting sqref="R297">
    <cfRule type="expression" dxfId="2182" priority="1809" stopIfTrue="1">
      <formula>$N299="BAM"</formula>
    </cfRule>
  </conditionalFormatting>
  <conditionalFormatting sqref="R297">
    <cfRule type="containsBlanks" dxfId="2181" priority="1810">
      <formula>LEN(TRIM(R297))=0</formula>
    </cfRule>
  </conditionalFormatting>
  <conditionalFormatting sqref="R297">
    <cfRule type="expression" dxfId="2180" priority="1808" stopIfTrue="1">
      <formula>$G296=""</formula>
    </cfRule>
    <cfRule type="expression" dxfId="2179" priority="1811">
      <formula>$HY297=FALSE</formula>
    </cfRule>
  </conditionalFormatting>
  <conditionalFormatting sqref="R302">
    <cfRule type="expression" dxfId="2178" priority="1805" stopIfTrue="1">
      <formula>$N304="BAM"</formula>
    </cfRule>
  </conditionalFormatting>
  <conditionalFormatting sqref="R302">
    <cfRule type="containsBlanks" dxfId="2177" priority="1806">
      <formula>LEN(TRIM(R302))=0</formula>
    </cfRule>
  </conditionalFormatting>
  <conditionalFormatting sqref="R302">
    <cfRule type="expression" dxfId="2176" priority="1804" stopIfTrue="1">
      <formula>$G301=""</formula>
    </cfRule>
    <cfRule type="expression" dxfId="2175" priority="1807">
      <formula>$HY302=FALSE</formula>
    </cfRule>
  </conditionalFormatting>
  <conditionalFormatting sqref="R307">
    <cfRule type="expression" dxfId="2174" priority="1801" stopIfTrue="1">
      <formula>$N309="BAM"</formula>
    </cfRule>
  </conditionalFormatting>
  <conditionalFormatting sqref="R307">
    <cfRule type="containsBlanks" dxfId="2173" priority="1802">
      <formula>LEN(TRIM(R307))=0</formula>
    </cfRule>
  </conditionalFormatting>
  <conditionalFormatting sqref="R307">
    <cfRule type="expression" dxfId="2172" priority="1800" stopIfTrue="1">
      <formula>$G306=""</formula>
    </cfRule>
    <cfRule type="expression" dxfId="2171" priority="1803">
      <formula>$HY307=FALSE</formula>
    </cfRule>
  </conditionalFormatting>
  <conditionalFormatting sqref="R312">
    <cfRule type="expression" dxfId="2170" priority="1797" stopIfTrue="1">
      <formula>$N314="BAM"</formula>
    </cfRule>
  </conditionalFormatting>
  <conditionalFormatting sqref="R312">
    <cfRule type="containsBlanks" dxfId="2169" priority="1798">
      <formula>LEN(TRIM(R312))=0</formula>
    </cfRule>
  </conditionalFormatting>
  <conditionalFormatting sqref="R312">
    <cfRule type="expression" dxfId="2168" priority="1796" stopIfTrue="1">
      <formula>$G311=""</formula>
    </cfRule>
    <cfRule type="expression" dxfId="2167" priority="1799">
      <formula>$HY312=FALSE</formula>
    </cfRule>
  </conditionalFormatting>
  <conditionalFormatting sqref="R317">
    <cfRule type="expression" dxfId="2166" priority="1793" stopIfTrue="1">
      <formula>$N319="BAM"</formula>
    </cfRule>
  </conditionalFormatting>
  <conditionalFormatting sqref="R317">
    <cfRule type="containsBlanks" dxfId="2165" priority="1794">
      <formula>LEN(TRIM(R317))=0</formula>
    </cfRule>
  </conditionalFormatting>
  <conditionalFormatting sqref="R317">
    <cfRule type="expression" dxfId="2164" priority="1792" stopIfTrue="1">
      <formula>$G316=""</formula>
    </cfRule>
    <cfRule type="expression" dxfId="2163" priority="1795">
      <formula>$HY317=FALSE</formula>
    </cfRule>
  </conditionalFormatting>
  <conditionalFormatting sqref="R322">
    <cfRule type="expression" dxfId="2162" priority="1789" stopIfTrue="1">
      <formula>$N324="BAM"</formula>
    </cfRule>
  </conditionalFormatting>
  <conditionalFormatting sqref="R322">
    <cfRule type="containsBlanks" dxfId="2161" priority="1790">
      <formula>LEN(TRIM(R322))=0</formula>
    </cfRule>
  </conditionalFormatting>
  <conditionalFormatting sqref="R322">
    <cfRule type="expression" dxfId="2160" priority="1788" stopIfTrue="1">
      <formula>$G321=""</formula>
    </cfRule>
    <cfRule type="expression" dxfId="2159" priority="1791">
      <formula>$HY322=FALSE</formula>
    </cfRule>
  </conditionalFormatting>
  <conditionalFormatting sqref="R330">
    <cfRule type="expression" dxfId="2158" priority="1785" stopIfTrue="1">
      <formula>$N332="BAM"</formula>
    </cfRule>
  </conditionalFormatting>
  <conditionalFormatting sqref="R330">
    <cfRule type="containsBlanks" dxfId="2157" priority="1786">
      <formula>LEN(TRIM(R330))=0</formula>
    </cfRule>
  </conditionalFormatting>
  <conditionalFormatting sqref="R330">
    <cfRule type="expression" dxfId="2156" priority="1784" stopIfTrue="1">
      <formula>$G329=""</formula>
    </cfRule>
    <cfRule type="expression" dxfId="2155" priority="1787">
      <formula>$HY330=FALSE</formula>
    </cfRule>
  </conditionalFormatting>
  <conditionalFormatting sqref="R335">
    <cfRule type="expression" dxfId="2154" priority="1781" stopIfTrue="1">
      <formula>$N337="BAM"</formula>
    </cfRule>
  </conditionalFormatting>
  <conditionalFormatting sqref="R335">
    <cfRule type="containsBlanks" dxfId="2153" priority="1782">
      <formula>LEN(TRIM(R335))=0</formula>
    </cfRule>
  </conditionalFormatting>
  <conditionalFormatting sqref="R335">
    <cfRule type="expression" dxfId="2152" priority="1780" stopIfTrue="1">
      <formula>$G334=""</formula>
    </cfRule>
    <cfRule type="expression" dxfId="2151" priority="1783">
      <formula>$HY335=FALSE</formula>
    </cfRule>
  </conditionalFormatting>
  <conditionalFormatting sqref="R340">
    <cfRule type="expression" dxfId="2150" priority="1777" stopIfTrue="1">
      <formula>$N342="BAM"</formula>
    </cfRule>
  </conditionalFormatting>
  <conditionalFormatting sqref="R340">
    <cfRule type="containsBlanks" dxfId="2149" priority="1778">
      <formula>LEN(TRIM(R340))=0</formula>
    </cfRule>
  </conditionalFormatting>
  <conditionalFormatting sqref="R340">
    <cfRule type="expression" dxfId="2148" priority="1776" stopIfTrue="1">
      <formula>$G339=""</formula>
    </cfRule>
    <cfRule type="expression" dxfId="2147" priority="1779">
      <formula>$HY340=FALSE</formula>
    </cfRule>
  </conditionalFormatting>
  <conditionalFormatting sqref="R345">
    <cfRule type="expression" dxfId="2146" priority="1773" stopIfTrue="1">
      <formula>$N347="BAM"</formula>
    </cfRule>
  </conditionalFormatting>
  <conditionalFormatting sqref="R345">
    <cfRule type="containsBlanks" dxfId="2145" priority="1774">
      <formula>LEN(TRIM(R345))=0</formula>
    </cfRule>
  </conditionalFormatting>
  <conditionalFormatting sqref="R345">
    <cfRule type="expression" dxfId="2144" priority="1772" stopIfTrue="1">
      <formula>$G344=""</formula>
    </cfRule>
    <cfRule type="expression" dxfId="2143" priority="1775">
      <formula>$HY345=FALSE</formula>
    </cfRule>
  </conditionalFormatting>
  <conditionalFormatting sqref="R350">
    <cfRule type="expression" dxfId="2142" priority="1769" stopIfTrue="1">
      <formula>$N352="BAM"</formula>
    </cfRule>
  </conditionalFormatting>
  <conditionalFormatting sqref="R350">
    <cfRule type="containsBlanks" dxfId="2141" priority="1770">
      <formula>LEN(TRIM(R350))=0</formula>
    </cfRule>
  </conditionalFormatting>
  <conditionalFormatting sqref="R350">
    <cfRule type="expression" dxfId="2140" priority="1768" stopIfTrue="1">
      <formula>$G349=""</formula>
    </cfRule>
    <cfRule type="expression" dxfId="2139" priority="1771">
      <formula>$HY350=FALSE</formula>
    </cfRule>
  </conditionalFormatting>
  <conditionalFormatting sqref="R355">
    <cfRule type="expression" dxfId="2138" priority="1765" stopIfTrue="1">
      <formula>$N357="BAM"</formula>
    </cfRule>
  </conditionalFormatting>
  <conditionalFormatting sqref="R355">
    <cfRule type="containsBlanks" dxfId="2137" priority="1766">
      <formula>LEN(TRIM(R355))=0</formula>
    </cfRule>
  </conditionalFormatting>
  <conditionalFormatting sqref="R355">
    <cfRule type="expression" dxfId="2136" priority="1764" stopIfTrue="1">
      <formula>$G354=""</formula>
    </cfRule>
    <cfRule type="expression" dxfId="2135" priority="1767">
      <formula>$HY355=FALSE</formula>
    </cfRule>
  </conditionalFormatting>
  <conditionalFormatting sqref="R360">
    <cfRule type="expression" dxfId="2134" priority="1761" stopIfTrue="1">
      <formula>$N362="BAM"</formula>
    </cfRule>
  </conditionalFormatting>
  <conditionalFormatting sqref="R360">
    <cfRule type="containsBlanks" dxfId="2133" priority="1762">
      <formula>LEN(TRIM(R360))=0</formula>
    </cfRule>
  </conditionalFormatting>
  <conditionalFormatting sqref="R360">
    <cfRule type="expression" dxfId="2132" priority="1760" stopIfTrue="1">
      <formula>$G359=""</formula>
    </cfRule>
    <cfRule type="expression" dxfId="2131" priority="1763">
      <formula>$HY360=FALSE</formula>
    </cfRule>
  </conditionalFormatting>
  <conditionalFormatting sqref="R365">
    <cfRule type="expression" dxfId="2130" priority="1757" stopIfTrue="1">
      <formula>$N367="BAM"</formula>
    </cfRule>
  </conditionalFormatting>
  <conditionalFormatting sqref="R365">
    <cfRule type="containsBlanks" dxfId="2129" priority="1758">
      <formula>LEN(TRIM(R365))=0</formula>
    </cfRule>
  </conditionalFormatting>
  <conditionalFormatting sqref="R365">
    <cfRule type="expression" dxfId="2128" priority="1756" stopIfTrue="1">
      <formula>$G364=""</formula>
    </cfRule>
    <cfRule type="expression" dxfId="2127" priority="1759">
      <formula>$HY365=FALSE</formula>
    </cfRule>
  </conditionalFormatting>
  <conditionalFormatting sqref="R370">
    <cfRule type="expression" dxfId="2126" priority="1753" stopIfTrue="1">
      <formula>$N372="BAM"</formula>
    </cfRule>
  </conditionalFormatting>
  <conditionalFormatting sqref="R370">
    <cfRule type="containsBlanks" dxfId="2125" priority="1754">
      <formula>LEN(TRIM(R370))=0</formula>
    </cfRule>
  </conditionalFormatting>
  <conditionalFormatting sqref="R370">
    <cfRule type="expression" dxfId="2124" priority="1752" stopIfTrue="1">
      <formula>$G369=""</formula>
    </cfRule>
    <cfRule type="expression" dxfId="2123" priority="1755">
      <formula>$HY370=FALSE</formula>
    </cfRule>
  </conditionalFormatting>
  <conditionalFormatting sqref="R375">
    <cfRule type="expression" dxfId="2122" priority="1745" stopIfTrue="1">
      <formula>$N377="BAM"</formula>
    </cfRule>
  </conditionalFormatting>
  <conditionalFormatting sqref="R375">
    <cfRule type="containsBlanks" dxfId="2121" priority="1746">
      <formula>LEN(TRIM(R375))=0</formula>
    </cfRule>
  </conditionalFormatting>
  <conditionalFormatting sqref="R375">
    <cfRule type="expression" dxfId="2120" priority="1744" stopIfTrue="1">
      <formula>$G374=""</formula>
    </cfRule>
    <cfRule type="expression" dxfId="2119" priority="1747">
      <formula>$HY375=FALSE</formula>
    </cfRule>
  </conditionalFormatting>
  <conditionalFormatting sqref="R380">
    <cfRule type="expression" dxfId="2118" priority="1741" stopIfTrue="1">
      <formula>$N382="BAM"</formula>
    </cfRule>
  </conditionalFormatting>
  <conditionalFormatting sqref="R380">
    <cfRule type="containsBlanks" dxfId="2117" priority="1742">
      <formula>LEN(TRIM(R380))=0</formula>
    </cfRule>
  </conditionalFormatting>
  <conditionalFormatting sqref="R380">
    <cfRule type="expression" dxfId="2116" priority="1740" stopIfTrue="1">
      <formula>$G379=""</formula>
    </cfRule>
    <cfRule type="expression" dxfId="2115" priority="1743">
      <formula>$HY380=FALSE</formula>
    </cfRule>
  </conditionalFormatting>
  <conditionalFormatting sqref="R385">
    <cfRule type="expression" dxfId="2114" priority="1737" stopIfTrue="1">
      <formula>$N387="BAM"</formula>
    </cfRule>
  </conditionalFormatting>
  <conditionalFormatting sqref="R385">
    <cfRule type="containsBlanks" dxfId="2113" priority="1738">
      <formula>LEN(TRIM(R385))=0</formula>
    </cfRule>
  </conditionalFormatting>
  <conditionalFormatting sqref="R385">
    <cfRule type="expression" dxfId="2112" priority="1736" stopIfTrue="1">
      <formula>$G384=""</formula>
    </cfRule>
    <cfRule type="expression" dxfId="2111" priority="1739">
      <formula>$HY385=FALSE</formula>
    </cfRule>
  </conditionalFormatting>
  <conditionalFormatting sqref="R390">
    <cfRule type="expression" dxfId="2110" priority="1733" stopIfTrue="1">
      <formula>$N392="BAM"</formula>
    </cfRule>
  </conditionalFormatting>
  <conditionalFormatting sqref="R390">
    <cfRule type="containsBlanks" dxfId="2109" priority="1734">
      <formula>LEN(TRIM(R390))=0</formula>
    </cfRule>
  </conditionalFormatting>
  <conditionalFormatting sqref="R390">
    <cfRule type="expression" dxfId="2108" priority="1732" stopIfTrue="1">
      <formula>$G389=""</formula>
    </cfRule>
    <cfRule type="expression" dxfId="2107" priority="1735">
      <formula>$HY390=FALSE</formula>
    </cfRule>
  </conditionalFormatting>
  <conditionalFormatting sqref="R395">
    <cfRule type="expression" dxfId="2106" priority="1729" stopIfTrue="1">
      <formula>$N397="BAM"</formula>
    </cfRule>
  </conditionalFormatting>
  <conditionalFormatting sqref="R395">
    <cfRule type="containsBlanks" dxfId="2105" priority="1730">
      <formula>LEN(TRIM(R395))=0</formula>
    </cfRule>
  </conditionalFormatting>
  <conditionalFormatting sqref="R395">
    <cfRule type="expression" dxfId="2104" priority="1728" stopIfTrue="1">
      <formula>$G394=""</formula>
    </cfRule>
    <cfRule type="expression" dxfId="2103" priority="1731">
      <formula>$HY395=FALSE</formula>
    </cfRule>
  </conditionalFormatting>
  <conditionalFormatting sqref="R400">
    <cfRule type="expression" dxfId="2102" priority="1725" stopIfTrue="1">
      <formula>$N402="BAM"</formula>
    </cfRule>
  </conditionalFormatting>
  <conditionalFormatting sqref="R400">
    <cfRule type="containsBlanks" dxfId="2101" priority="1726">
      <formula>LEN(TRIM(R400))=0</formula>
    </cfRule>
  </conditionalFormatting>
  <conditionalFormatting sqref="R400">
    <cfRule type="expression" dxfId="2100" priority="1724" stopIfTrue="1">
      <formula>$G399=""</formula>
    </cfRule>
    <cfRule type="expression" dxfId="2099" priority="1727">
      <formula>$HY400=FALSE</formula>
    </cfRule>
  </conditionalFormatting>
  <conditionalFormatting sqref="R408">
    <cfRule type="expression" dxfId="2098" priority="1721" stopIfTrue="1">
      <formula>$N410="BAM"</formula>
    </cfRule>
  </conditionalFormatting>
  <conditionalFormatting sqref="R408">
    <cfRule type="containsBlanks" dxfId="2097" priority="1722">
      <formula>LEN(TRIM(R408))=0</formula>
    </cfRule>
  </conditionalFormatting>
  <conditionalFormatting sqref="R408">
    <cfRule type="expression" dxfId="2096" priority="1720" stopIfTrue="1">
      <formula>$G407=""</formula>
    </cfRule>
    <cfRule type="expression" dxfId="2095" priority="1723">
      <formula>$HY408=FALSE</formula>
    </cfRule>
  </conditionalFormatting>
  <conditionalFormatting sqref="R413">
    <cfRule type="expression" dxfId="2094" priority="1717" stopIfTrue="1">
      <formula>$N415="BAM"</formula>
    </cfRule>
  </conditionalFormatting>
  <conditionalFormatting sqref="R413">
    <cfRule type="containsBlanks" dxfId="2093" priority="1718">
      <formula>LEN(TRIM(R413))=0</formula>
    </cfRule>
  </conditionalFormatting>
  <conditionalFormatting sqref="R413">
    <cfRule type="expression" dxfId="2092" priority="1716" stopIfTrue="1">
      <formula>$G412=""</formula>
    </cfRule>
    <cfRule type="expression" dxfId="2091" priority="1719">
      <formula>$HY413=FALSE</formula>
    </cfRule>
  </conditionalFormatting>
  <conditionalFormatting sqref="R418">
    <cfRule type="expression" dxfId="2090" priority="1713" stopIfTrue="1">
      <formula>$N420="BAM"</formula>
    </cfRule>
  </conditionalFormatting>
  <conditionalFormatting sqref="R418">
    <cfRule type="containsBlanks" dxfId="2089" priority="1714">
      <formula>LEN(TRIM(R418))=0</formula>
    </cfRule>
  </conditionalFormatting>
  <conditionalFormatting sqref="R418">
    <cfRule type="expression" dxfId="2088" priority="1712" stopIfTrue="1">
      <formula>$G417=""</formula>
    </cfRule>
    <cfRule type="expression" dxfId="2087" priority="1715">
      <formula>$HY418=FALSE</formula>
    </cfRule>
  </conditionalFormatting>
  <conditionalFormatting sqref="R423">
    <cfRule type="expression" dxfId="2086" priority="1709" stopIfTrue="1">
      <formula>$N425="BAM"</formula>
    </cfRule>
  </conditionalFormatting>
  <conditionalFormatting sqref="R423">
    <cfRule type="containsBlanks" dxfId="2085" priority="1710">
      <formula>LEN(TRIM(R423))=0</formula>
    </cfRule>
  </conditionalFormatting>
  <conditionalFormatting sqref="R423">
    <cfRule type="expression" dxfId="2084" priority="1708" stopIfTrue="1">
      <formula>$G422=""</formula>
    </cfRule>
    <cfRule type="expression" dxfId="2083" priority="1711">
      <formula>$HY423=FALSE</formula>
    </cfRule>
  </conditionalFormatting>
  <conditionalFormatting sqref="R428">
    <cfRule type="expression" dxfId="2082" priority="1705" stopIfTrue="1">
      <formula>$N430="BAM"</formula>
    </cfRule>
  </conditionalFormatting>
  <conditionalFormatting sqref="R428">
    <cfRule type="containsBlanks" dxfId="2081" priority="1706">
      <formula>LEN(TRIM(R428))=0</formula>
    </cfRule>
  </conditionalFormatting>
  <conditionalFormatting sqref="R428">
    <cfRule type="expression" dxfId="2080" priority="1704" stopIfTrue="1">
      <formula>$G427=""</formula>
    </cfRule>
    <cfRule type="expression" dxfId="2079" priority="1707">
      <formula>$HY428=FALSE</formula>
    </cfRule>
  </conditionalFormatting>
  <conditionalFormatting sqref="R433">
    <cfRule type="expression" dxfId="2078" priority="1701" stopIfTrue="1">
      <formula>$N435="BAM"</formula>
    </cfRule>
  </conditionalFormatting>
  <conditionalFormatting sqref="R433">
    <cfRule type="containsBlanks" dxfId="2077" priority="1702">
      <formula>LEN(TRIM(R433))=0</formula>
    </cfRule>
  </conditionalFormatting>
  <conditionalFormatting sqref="R433">
    <cfRule type="expression" dxfId="2076" priority="1700" stopIfTrue="1">
      <formula>$G432=""</formula>
    </cfRule>
    <cfRule type="expression" dxfId="2075" priority="1703">
      <formula>$HY433=FALSE</formula>
    </cfRule>
  </conditionalFormatting>
  <conditionalFormatting sqref="R438">
    <cfRule type="expression" dxfId="2074" priority="1697" stopIfTrue="1">
      <formula>$N440="BAM"</formula>
    </cfRule>
  </conditionalFormatting>
  <conditionalFormatting sqref="R438">
    <cfRule type="containsBlanks" dxfId="2073" priority="1698">
      <formula>LEN(TRIM(R438))=0</formula>
    </cfRule>
  </conditionalFormatting>
  <conditionalFormatting sqref="R438">
    <cfRule type="expression" dxfId="2072" priority="1696" stopIfTrue="1">
      <formula>$G437=""</formula>
    </cfRule>
    <cfRule type="expression" dxfId="2071" priority="1699">
      <formula>$HY438=FALSE</formula>
    </cfRule>
  </conditionalFormatting>
  <conditionalFormatting sqref="R443">
    <cfRule type="expression" dxfId="2070" priority="1693" stopIfTrue="1">
      <formula>$N445="BAM"</formula>
    </cfRule>
  </conditionalFormatting>
  <conditionalFormatting sqref="R443">
    <cfRule type="containsBlanks" dxfId="2069" priority="1694">
      <formula>LEN(TRIM(R443))=0</formula>
    </cfRule>
  </conditionalFormatting>
  <conditionalFormatting sqref="R443">
    <cfRule type="expression" dxfId="2068" priority="1692" stopIfTrue="1">
      <formula>$G442=""</formula>
    </cfRule>
    <cfRule type="expression" dxfId="2067" priority="1695">
      <formula>$HY443=FALSE</formula>
    </cfRule>
  </conditionalFormatting>
  <conditionalFormatting sqref="R448">
    <cfRule type="expression" dxfId="2066" priority="1689" stopIfTrue="1">
      <formula>$N450="BAM"</formula>
    </cfRule>
  </conditionalFormatting>
  <conditionalFormatting sqref="R448">
    <cfRule type="containsBlanks" dxfId="2065" priority="1690">
      <formula>LEN(TRIM(R448))=0</formula>
    </cfRule>
  </conditionalFormatting>
  <conditionalFormatting sqref="R448">
    <cfRule type="expression" dxfId="2064" priority="1688" stopIfTrue="1">
      <formula>$G447=""</formula>
    </cfRule>
    <cfRule type="expression" dxfId="2063" priority="1691">
      <formula>$HY448=FALSE</formula>
    </cfRule>
  </conditionalFormatting>
  <conditionalFormatting sqref="R453">
    <cfRule type="expression" dxfId="2062" priority="1685" stopIfTrue="1">
      <formula>$N455="BAM"</formula>
    </cfRule>
  </conditionalFormatting>
  <conditionalFormatting sqref="R453">
    <cfRule type="containsBlanks" dxfId="2061" priority="1686">
      <formula>LEN(TRIM(R453))=0</formula>
    </cfRule>
  </conditionalFormatting>
  <conditionalFormatting sqref="R453">
    <cfRule type="expression" dxfId="2060" priority="1684" stopIfTrue="1">
      <formula>$G452=""</formula>
    </cfRule>
    <cfRule type="expression" dxfId="2059" priority="1687">
      <formula>$HY453=FALSE</formula>
    </cfRule>
  </conditionalFormatting>
  <conditionalFormatting sqref="R458">
    <cfRule type="expression" dxfId="2058" priority="1681" stopIfTrue="1">
      <formula>$N460="BAM"</formula>
    </cfRule>
  </conditionalFormatting>
  <conditionalFormatting sqref="R458">
    <cfRule type="containsBlanks" dxfId="2057" priority="1682">
      <formula>LEN(TRIM(R458))=0</formula>
    </cfRule>
  </conditionalFormatting>
  <conditionalFormatting sqref="R458">
    <cfRule type="expression" dxfId="2056" priority="1680" stopIfTrue="1">
      <formula>$G457=""</formula>
    </cfRule>
    <cfRule type="expression" dxfId="2055" priority="1683">
      <formula>$HY458=FALSE</formula>
    </cfRule>
  </conditionalFormatting>
  <conditionalFormatting sqref="R463">
    <cfRule type="expression" dxfId="2054" priority="1677" stopIfTrue="1">
      <formula>$N465="BAM"</formula>
    </cfRule>
  </conditionalFormatting>
  <conditionalFormatting sqref="R463">
    <cfRule type="containsBlanks" dxfId="2053" priority="1678">
      <formula>LEN(TRIM(R463))=0</formula>
    </cfRule>
  </conditionalFormatting>
  <conditionalFormatting sqref="R463">
    <cfRule type="expression" dxfId="2052" priority="1676" stopIfTrue="1">
      <formula>$G462=""</formula>
    </cfRule>
    <cfRule type="expression" dxfId="2051" priority="1679">
      <formula>$HY463=FALSE</formula>
    </cfRule>
  </conditionalFormatting>
  <conditionalFormatting sqref="R468">
    <cfRule type="expression" dxfId="2050" priority="1673" stopIfTrue="1">
      <formula>$N470="BAM"</formula>
    </cfRule>
  </conditionalFormatting>
  <conditionalFormatting sqref="R468">
    <cfRule type="containsBlanks" dxfId="2049" priority="1674">
      <formula>LEN(TRIM(R468))=0</formula>
    </cfRule>
  </conditionalFormatting>
  <conditionalFormatting sqref="R468">
    <cfRule type="expression" dxfId="2048" priority="1672" stopIfTrue="1">
      <formula>$G467=""</formula>
    </cfRule>
    <cfRule type="expression" dxfId="2047" priority="1675">
      <formula>$HY468=FALSE</formula>
    </cfRule>
  </conditionalFormatting>
  <conditionalFormatting sqref="R473">
    <cfRule type="expression" dxfId="2046" priority="1669" stopIfTrue="1">
      <formula>$N475="BAM"</formula>
    </cfRule>
  </conditionalFormatting>
  <conditionalFormatting sqref="R473">
    <cfRule type="containsBlanks" dxfId="2045" priority="1670">
      <formula>LEN(TRIM(R473))=0</formula>
    </cfRule>
  </conditionalFormatting>
  <conditionalFormatting sqref="R473">
    <cfRule type="expression" dxfId="2044" priority="1668" stopIfTrue="1">
      <formula>$G472=""</formula>
    </cfRule>
    <cfRule type="expression" dxfId="2043" priority="1671">
      <formula>$HY473=FALSE</formula>
    </cfRule>
  </conditionalFormatting>
  <conditionalFormatting sqref="R478">
    <cfRule type="expression" dxfId="2042" priority="1665" stopIfTrue="1">
      <formula>$N480="BAM"</formula>
    </cfRule>
  </conditionalFormatting>
  <conditionalFormatting sqref="R478">
    <cfRule type="containsBlanks" dxfId="2041" priority="1666">
      <formula>LEN(TRIM(R478))=0</formula>
    </cfRule>
  </conditionalFormatting>
  <conditionalFormatting sqref="R478">
    <cfRule type="expression" dxfId="2040" priority="1664" stopIfTrue="1">
      <formula>$G477=""</formula>
    </cfRule>
    <cfRule type="expression" dxfId="2039" priority="1667">
      <formula>$HY478=FALSE</formula>
    </cfRule>
  </conditionalFormatting>
  <conditionalFormatting sqref="AB52">
    <cfRule type="expression" dxfId="2038" priority="1660" stopIfTrue="1">
      <formula>$N55="BAM"</formula>
    </cfRule>
    <cfRule type="expression" dxfId="2037" priority="1662" stopIfTrue="1">
      <formula>$G52=""</formula>
    </cfRule>
    <cfRule type="expression" dxfId="2036" priority="1663" stopIfTrue="1">
      <formula>$AB52=""</formula>
    </cfRule>
  </conditionalFormatting>
  <conditionalFormatting sqref="AB52">
    <cfRule type="expression" dxfId="2035" priority="1661">
      <formula>AND($HZ53=FALSE,$GQ53=TRUE)</formula>
    </cfRule>
  </conditionalFormatting>
  <conditionalFormatting sqref="AB62">
    <cfRule type="expression" dxfId="2034" priority="1652" stopIfTrue="1">
      <formula>$N65="BAM"</formula>
    </cfRule>
    <cfRule type="expression" dxfId="2033" priority="1654" stopIfTrue="1">
      <formula>$G62=""</formula>
    </cfRule>
    <cfRule type="expression" dxfId="2032" priority="1655" stopIfTrue="1">
      <formula>$AB62=""</formula>
    </cfRule>
  </conditionalFormatting>
  <conditionalFormatting sqref="AB62">
    <cfRule type="expression" dxfId="2031" priority="1653">
      <formula>AND($HZ63=FALSE,$GQ63=TRUE)</formula>
    </cfRule>
  </conditionalFormatting>
  <conditionalFormatting sqref="AB57">
    <cfRule type="expression" dxfId="2030" priority="1648" stopIfTrue="1">
      <formula>$N60="BAM"</formula>
    </cfRule>
    <cfRule type="expression" dxfId="2029" priority="1650" stopIfTrue="1">
      <formula>$G57=""</formula>
    </cfRule>
    <cfRule type="expression" dxfId="2028" priority="1651" stopIfTrue="1">
      <formula>$AB57=""</formula>
    </cfRule>
  </conditionalFormatting>
  <conditionalFormatting sqref="AB57">
    <cfRule type="expression" dxfId="2027" priority="1649">
      <formula>AND($HZ58=FALSE,$GQ58=TRUE)</formula>
    </cfRule>
  </conditionalFormatting>
  <conditionalFormatting sqref="AB67">
    <cfRule type="expression" dxfId="2026" priority="1644" stopIfTrue="1">
      <formula>$N70="BAM"</formula>
    </cfRule>
    <cfRule type="expression" dxfId="2025" priority="1646" stopIfTrue="1">
      <formula>$G67=""</formula>
    </cfRule>
    <cfRule type="expression" dxfId="2024" priority="1647" stopIfTrue="1">
      <formula>$AB67=""</formula>
    </cfRule>
  </conditionalFormatting>
  <conditionalFormatting sqref="AB67">
    <cfRule type="expression" dxfId="2023" priority="1645">
      <formula>AND($HZ68=FALSE,$GQ68=TRUE)</formula>
    </cfRule>
  </conditionalFormatting>
  <conditionalFormatting sqref="AB72">
    <cfRule type="expression" dxfId="2022" priority="1640" stopIfTrue="1">
      <formula>$N75="BAM"</formula>
    </cfRule>
    <cfRule type="expression" dxfId="2021" priority="1642" stopIfTrue="1">
      <formula>$G72=""</formula>
    </cfRule>
    <cfRule type="expression" dxfId="2020" priority="1643" stopIfTrue="1">
      <formula>$AB72=""</formula>
    </cfRule>
  </conditionalFormatting>
  <conditionalFormatting sqref="AB72">
    <cfRule type="expression" dxfId="2019" priority="1641">
      <formula>AND($HZ73=FALSE,$GQ73=TRUE)</formula>
    </cfRule>
  </conditionalFormatting>
  <conditionalFormatting sqref="AB77">
    <cfRule type="expression" dxfId="2018" priority="1636" stopIfTrue="1">
      <formula>$N80="BAM"</formula>
    </cfRule>
    <cfRule type="expression" dxfId="2017" priority="1638" stopIfTrue="1">
      <formula>$G77=""</formula>
    </cfRule>
    <cfRule type="expression" dxfId="2016" priority="1639" stopIfTrue="1">
      <formula>$AB77=""</formula>
    </cfRule>
  </conditionalFormatting>
  <conditionalFormatting sqref="AB77">
    <cfRule type="expression" dxfId="2015" priority="1637">
      <formula>AND($HZ78=FALSE,$GQ78=TRUE)</formula>
    </cfRule>
  </conditionalFormatting>
  <conditionalFormatting sqref="AB82">
    <cfRule type="expression" dxfId="2014" priority="1632" stopIfTrue="1">
      <formula>$N85="BAM"</formula>
    </cfRule>
    <cfRule type="expression" dxfId="2013" priority="1634" stopIfTrue="1">
      <formula>$G82=""</formula>
    </cfRule>
    <cfRule type="expression" dxfId="2012" priority="1635" stopIfTrue="1">
      <formula>$AB82=""</formula>
    </cfRule>
  </conditionalFormatting>
  <conditionalFormatting sqref="AB82">
    <cfRule type="expression" dxfId="2011" priority="1633">
      <formula>AND($HZ83=FALSE,$GQ83=TRUE)</formula>
    </cfRule>
  </conditionalFormatting>
  <conditionalFormatting sqref="AB87">
    <cfRule type="expression" dxfId="2010" priority="1628" stopIfTrue="1">
      <formula>$N90="BAM"</formula>
    </cfRule>
    <cfRule type="expression" dxfId="2009" priority="1630" stopIfTrue="1">
      <formula>$G87=""</formula>
    </cfRule>
    <cfRule type="expression" dxfId="2008" priority="1631" stopIfTrue="1">
      <formula>$AB87=""</formula>
    </cfRule>
  </conditionalFormatting>
  <conditionalFormatting sqref="AB87">
    <cfRule type="expression" dxfId="2007" priority="1629">
      <formula>AND($HZ88=FALSE,$GQ88=TRUE)</formula>
    </cfRule>
  </conditionalFormatting>
  <conditionalFormatting sqref="AB95">
    <cfRule type="expression" dxfId="2006" priority="1624" stopIfTrue="1">
      <formula>$N98="BAM"</formula>
    </cfRule>
    <cfRule type="expression" dxfId="2005" priority="1626" stopIfTrue="1">
      <formula>$G95=""</formula>
    </cfRule>
    <cfRule type="expression" dxfId="2004" priority="1627" stopIfTrue="1">
      <formula>$AB95=""</formula>
    </cfRule>
  </conditionalFormatting>
  <conditionalFormatting sqref="AB95">
    <cfRule type="expression" dxfId="2003" priority="1625">
      <formula>AND($HZ96=FALSE,$GQ96=TRUE)</formula>
    </cfRule>
  </conditionalFormatting>
  <conditionalFormatting sqref="AB100">
    <cfRule type="expression" dxfId="2002" priority="1620" stopIfTrue="1">
      <formula>$N103="BAM"</formula>
    </cfRule>
    <cfRule type="expression" dxfId="2001" priority="1622" stopIfTrue="1">
      <formula>$G100=""</formula>
    </cfRule>
    <cfRule type="expression" dxfId="2000" priority="1623" stopIfTrue="1">
      <formula>$AB100=""</formula>
    </cfRule>
  </conditionalFormatting>
  <conditionalFormatting sqref="AB100">
    <cfRule type="expression" dxfId="1999" priority="1621">
      <formula>AND($HZ101=FALSE,$GQ101=TRUE)</formula>
    </cfRule>
  </conditionalFormatting>
  <conditionalFormatting sqref="AB105">
    <cfRule type="expression" dxfId="1998" priority="1616" stopIfTrue="1">
      <formula>$N108="BAM"</formula>
    </cfRule>
    <cfRule type="expression" dxfId="1997" priority="1618" stopIfTrue="1">
      <formula>$G105=""</formula>
    </cfRule>
    <cfRule type="expression" dxfId="1996" priority="1619" stopIfTrue="1">
      <formula>$AB105=""</formula>
    </cfRule>
  </conditionalFormatting>
  <conditionalFormatting sqref="AB105">
    <cfRule type="expression" dxfId="1995" priority="1617">
      <formula>AND($HZ106=FALSE,$GQ106=TRUE)</formula>
    </cfRule>
  </conditionalFormatting>
  <conditionalFormatting sqref="AB110">
    <cfRule type="expression" dxfId="1994" priority="1612" stopIfTrue="1">
      <formula>$N113="BAM"</formula>
    </cfRule>
    <cfRule type="expression" dxfId="1993" priority="1614" stopIfTrue="1">
      <formula>$G110=""</formula>
    </cfRule>
    <cfRule type="expression" dxfId="1992" priority="1615" stopIfTrue="1">
      <formula>$AB110=""</formula>
    </cfRule>
  </conditionalFormatting>
  <conditionalFormatting sqref="AB110">
    <cfRule type="expression" dxfId="1991" priority="1613">
      <formula>AND($HZ111=FALSE,$GQ111=TRUE)</formula>
    </cfRule>
  </conditionalFormatting>
  <conditionalFormatting sqref="AB115">
    <cfRule type="expression" dxfId="1990" priority="1608" stopIfTrue="1">
      <formula>$N118="BAM"</formula>
    </cfRule>
    <cfRule type="expression" dxfId="1989" priority="1610" stopIfTrue="1">
      <formula>$G115=""</formula>
    </cfRule>
    <cfRule type="expression" dxfId="1988" priority="1611" stopIfTrue="1">
      <formula>$AB115=""</formula>
    </cfRule>
  </conditionalFormatting>
  <conditionalFormatting sqref="AB115">
    <cfRule type="expression" dxfId="1987" priority="1609">
      <formula>AND($HZ116=FALSE,$GQ116=TRUE)</formula>
    </cfRule>
  </conditionalFormatting>
  <conditionalFormatting sqref="AB120">
    <cfRule type="expression" dxfId="1986" priority="1604" stopIfTrue="1">
      <formula>$N123="BAM"</formula>
    </cfRule>
    <cfRule type="expression" dxfId="1985" priority="1606" stopIfTrue="1">
      <formula>$G120=""</formula>
    </cfRule>
    <cfRule type="expression" dxfId="1984" priority="1607" stopIfTrue="1">
      <formula>$AB120=""</formula>
    </cfRule>
  </conditionalFormatting>
  <conditionalFormatting sqref="AB120">
    <cfRule type="expression" dxfId="1983" priority="1605">
      <formula>AND($HZ121=FALSE,$GQ121=TRUE)</formula>
    </cfRule>
  </conditionalFormatting>
  <conditionalFormatting sqref="AB125">
    <cfRule type="expression" dxfId="1982" priority="1600" stopIfTrue="1">
      <formula>$N128="BAM"</formula>
    </cfRule>
    <cfRule type="expression" dxfId="1981" priority="1602" stopIfTrue="1">
      <formula>$G125=""</formula>
    </cfRule>
    <cfRule type="expression" dxfId="1980" priority="1603" stopIfTrue="1">
      <formula>$AB125=""</formula>
    </cfRule>
  </conditionalFormatting>
  <conditionalFormatting sqref="AB125">
    <cfRule type="expression" dxfId="1979" priority="1601">
      <formula>AND($HZ126=FALSE,$GQ126=TRUE)</formula>
    </cfRule>
  </conditionalFormatting>
  <conditionalFormatting sqref="AB130">
    <cfRule type="expression" dxfId="1978" priority="1596" stopIfTrue="1">
      <formula>$N133="BAM"</formula>
    </cfRule>
    <cfRule type="expression" dxfId="1977" priority="1598" stopIfTrue="1">
      <formula>$G130=""</formula>
    </cfRule>
    <cfRule type="expression" dxfId="1976" priority="1599" stopIfTrue="1">
      <formula>$AB130=""</formula>
    </cfRule>
  </conditionalFormatting>
  <conditionalFormatting sqref="AB130">
    <cfRule type="expression" dxfId="1975" priority="1597">
      <formula>AND($HZ131=FALSE,$GQ131=TRUE)</formula>
    </cfRule>
  </conditionalFormatting>
  <conditionalFormatting sqref="AB135">
    <cfRule type="expression" dxfId="1974" priority="1592" stopIfTrue="1">
      <formula>$N138="BAM"</formula>
    </cfRule>
    <cfRule type="expression" dxfId="1973" priority="1594" stopIfTrue="1">
      <formula>$G135=""</formula>
    </cfRule>
    <cfRule type="expression" dxfId="1972" priority="1595" stopIfTrue="1">
      <formula>$AB135=""</formula>
    </cfRule>
  </conditionalFormatting>
  <conditionalFormatting sqref="AB135">
    <cfRule type="expression" dxfId="1971" priority="1593">
      <formula>AND($HZ136=FALSE,$GQ136=TRUE)</formula>
    </cfRule>
  </conditionalFormatting>
  <conditionalFormatting sqref="AB140">
    <cfRule type="expression" dxfId="1970" priority="1588" stopIfTrue="1">
      <formula>$N143="BAM"</formula>
    </cfRule>
    <cfRule type="expression" dxfId="1969" priority="1590" stopIfTrue="1">
      <formula>$G140=""</formula>
    </cfRule>
    <cfRule type="expression" dxfId="1968" priority="1591" stopIfTrue="1">
      <formula>$AB140=""</formula>
    </cfRule>
  </conditionalFormatting>
  <conditionalFormatting sqref="AB140">
    <cfRule type="expression" dxfId="1967" priority="1589">
      <formula>AND($HZ141=FALSE,$GQ141=TRUE)</formula>
    </cfRule>
  </conditionalFormatting>
  <conditionalFormatting sqref="AB145">
    <cfRule type="expression" dxfId="1966" priority="1584" stopIfTrue="1">
      <formula>$N148="BAM"</formula>
    </cfRule>
    <cfRule type="expression" dxfId="1965" priority="1586" stopIfTrue="1">
      <formula>$G145=""</formula>
    </cfRule>
    <cfRule type="expression" dxfId="1964" priority="1587" stopIfTrue="1">
      <formula>$AB145=""</formula>
    </cfRule>
  </conditionalFormatting>
  <conditionalFormatting sqref="AB145">
    <cfRule type="expression" dxfId="1963" priority="1585">
      <formula>AND($HZ146=FALSE,$GQ146=TRUE)</formula>
    </cfRule>
  </conditionalFormatting>
  <conditionalFormatting sqref="AB150">
    <cfRule type="expression" dxfId="1962" priority="1580" stopIfTrue="1">
      <formula>$N153="BAM"</formula>
    </cfRule>
    <cfRule type="expression" dxfId="1961" priority="1582" stopIfTrue="1">
      <formula>$G150=""</formula>
    </cfRule>
    <cfRule type="expression" dxfId="1960" priority="1583" stopIfTrue="1">
      <formula>$AB150=""</formula>
    </cfRule>
  </conditionalFormatting>
  <conditionalFormatting sqref="AB150">
    <cfRule type="expression" dxfId="1959" priority="1581">
      <formula>AND($HZ151=FALSE,$GQ151=TRUE)</formula>
    </cfRule>
  </conditionalFormatting>
  <conditionalFormatting sqref="AB155">
    <cfRule type="expression" dxfId="1958" priority="1576" stopIfTrue="1">
      <formula>$N158="BAM"</formula>
    </cfRule>
    <cfRule type="expression" dxfId="1957" priority="1578" stopIfTrue="1">
      <formula>$G155=""</formula>
    </cfRule>
    <cfRule type="expression" dxfId="1956" priority="1579" stopIfTrue="1">
      <formula>$AB155=""</formula>
    </cfRule>
  </conditionalFormatting>
  <conditionalFormatting sqref="AB155">
    <cfRule type="expression" dxfId="1955" priority="1577">
      <formula>AND($HZ156=FALSE,$GQ156=TRUE)</formula>
    </cfRule>
  </conditionalFormatting>
  <conditionalFormatting sqref="AB160">
    <cfRule type="expression" dxfId="1954" priority="1572" stopIfTrue="1">
      <formula>$N163="BAM"</formula>
    </cfRule>
    <cfRule type="expression" dxfId="1953" priority="1574" stopIfTrue="1">
      <formula>$G160=""</formula>
    </cfRule>
    <cfRule type="expression" dxfId="1952" priority="1575" stopIfTrue="1">
      <formula>$AB160=""</formula>
    </cfRule>
  </conditionalFormatting>
  <conditionalFormatting sqref="AB160">
    <cfRule type="expression" dxfId="1951" priority="1573">
      <formula>AND($HZ161=FALSE,$GQ161=TRUE)</formula>
    </cfRule>
  </conditionalFormatting>
  <conditionalFormatting sqref="AB165">
    <cfRule type="expression" dxfId="1950" priority="1568" stopIfTrue="1">
      <formula>$N168="BAM"</formula>
    </cfRule>
    <cfRule type="expression" dxfId="1949" priority="1570" stopIfTrue="1">
      <formula>$G165=""</formula>
    </cfRule>
    <cfRule type="expression" dxfId="1948" priority="1571" stopIfTrue="1">
      <formula>$AB165=""</formula>
    </cfRule>
  </conditionalFormatting>
  <conditionalFormatting sqref="AB165">
    <cfRule type="expression" dxfId="1947" priority="1569">
      <formula>AND($HZ166=FALSE,$GQ166=TRUE)</formula>
    </cfRule>
  </conditionalFormatting>
  <conditionalFormatting sqref="AB173">
    <cfRule type="expression" dxfId="1946" priority="1564" stopIfTrue="1">
      <formula>$N176="BAM"</formula>
    </cfRule>
    <cfRule type="expression" dxfId="1945" priority="1566" stopIfTrue="1">
      <formula>$G173=""</formula>
    </cfRule>
    <cfRule type="expression" dxfId="1944" priority="1567" stopIfTrue="1">
      <formula>$AB173=""</formula>
    </cfRule>
  </conditionalFormatting>
  <conditionalFormatting sqref="AB173">
    <cfRule type="expression" dxfId="1943" priority="1565">
      <formula>AND($HZ174=FALSE,$GQ174=TRUE)</formula>
    </cfRule>
  </conditionalFormatting>
  <conditionalFormatting sqref="AB178">
    <cfRule type="expression" dxfId="1942" priority="1560" stopIfTrue="1">
      <formula>$N181="BAM"</formula>
    </cfRule>
    <cfRule type="expression" dxfId="1941" priority="1562" stopIfTrue="1">
      <formula>$G178=""</formula>
    </cfRule>
    <cfRule type="expression" dxfId="1940" priority="1563" stopIfTrue="1">
      <formula>$AB178=""</formula>
    </cfRule>
  </conditionalFormatting>
  <conditionalFormatting sqref="AB178">
    <cfRule type="expression" dxfId="1939" priority="1561">
      <formula>AND($HZ179=FALSE,$GQ179=TRUE)</formula>
    </cfRule>
  </conditionalFormatting>
  <conditionalFormatting sqref="AB183">
    <cfRule type="expression" dxfId="1938" priority="1556" stopIfTrue="1">
      <formula>$N186="BAM"</formula>
    </cfRule>
    <cfRule type="expression" dxfId="1937" priority="1558" stopIfTrue="1">
      <formula>$G183=""</formula>
    </cfRule>
    <cfRule type="expression" dxfId="1936" priority="1559" stopIfTrue="1">
      <formula>$AB183=""</formula>
    </cfRule>
  </conditionalFormatting>
  <conditionalFormatting sqref="AB183">
    <cfRule type="expression" dxfId="1935" priority="1557">
      <formula>AND($HZ184=FALSE,$GQ184=TRUE)</formula>
    </cfRule>
  </conditionalFormatting>
  <conditionalFormatting sqref="AB188">
    <cfRule type="expression" dxfId="1934" priority="1552" stopIfTrue="1">
      <formula>$N191="BAM"</formula>
    </cfRule>
    <cfRule type="expression" dxfId="1933" priority="1554" stopIfTrue="1">
      <formula>$G188=""</formula>
    </cfRule>
    <cfRule type="expression" dxfId="1932" priority="1555" stopIfTrue="1">
      <formula>$AB188=""</formula>
    </cfRule>
  </conditionalFormatting>
  <conditionalFormatting sqref="AB188">
    <cfRule type="expression" dxfId="1931" priority="1553">
      <formula>AND($HZ189=FALSE,$GQ189=TRUE)</formula>
    </cfRule>
  </conditionalFormatting>
  <conditionalFormatting sqref="AB193">
    <cfRule type="expression" dxfId="1930" priority="1548" stopIfTrue="1">
      <formula>$N196="BAM"</formula>
    </cfRule>
    <cfRule type="expression" dxfId="1929" priority="1550" stopIfTrue="1">
      <formula>$G193=""</formula>
    </cfRule>
    <cfRule type="expression" dxfId="1928" priority="1551" stopIfTrue="1">
      <formula>$AB193=""</formula>
    </cfRule>
  </conditionalFormatting>
  <conditionalFormatting sqref="AB193">
    <cfRule type="expression" dxfId="1927" priority="1549">
      <formula>AND($HZ194=FALSE,$GQ194=TRUE)</formula>
    </cfRule>
  </conditionalFormatting>
  <conditionalFormatting sqref="AB198">
    <cfRule type="expression" dxfId="1926" priority="1544" stopIfTrue="1">
      <formula>$N201="BAM"</formula>
    </cfRule>
    <cfRule type="expression" dxfId="1925" priority="1546" stopIfTrue="1">
      <formula>$G198=""</formula>
    </cfRule>
    <cfRule type="expression" dxfId="1924" priority="1547" stopIfTrue="1">
      <formula>$AB198=""</formula>
    </cfRule>
  </conditionalFormatting>
  <conditionalFormatting sqref="AB198">
    <cfRule type="expression" dxfId="1923" priority="1545">
      <formula>AND($HZ199=FALSE,$GQ199=TRUE)</formula>
    </cfRule>
  </conditionalFormatting>
  <conditionalFormatting sqref="AB203">
    <cfRule type="expression" dxfId="1922" priority="1540" stopIfTrue="1">
      <formula>$N206="BAM"</formula>
    </cfRule>
    <cfRule type="expression" dxfId="1921" priority="1542" stopIfTrue="1">
      <formula>$G203=""</formula>
    </cfRule>
    <cfRule type="expression" dxfId="1920" priority="1543" stopIfTrue="1">
      <formula>$AB203=""</formula>
    </cfRule>
  </conditionalFormatting>
  <conditionalFormatting sqref="AB203">
    <cfRule type="expression" dxfId="1919" priority="1541">
      <formula>AND($HZ204=FALSE,$GQ204=TRUE)</formula>
    </cfRule>
  </conditionalFormatting>
  <conditionalFormatting sqref="AB208">
    <cfRule type="expression" dxfId="1918" priority="1536" stopIfTrue="1">
      <formula>$N211="BAM"</formula>
    </cfRule>
    <cfRule type="expression" dxfId="1917" priority="1538" stopIfTrue="1">
      <formula>$G208=""</formula>
    </cfRule>
    <cfRule type="expression" dxfId="1916" priority="1539" stopIfTrue="1">
      <formula>$AB208=""</formula>
    </cfRule>
  </conditionalFormatting>
  <conditionalFormatting sqref="AB208">
    <cfRule type="expression" dxfId="1915" priority="1537">
      <formula>AND($HZ209=FALSE,$GQ209=TRUE)</formula>
    </cfRule>
  </conditionalFormatting>
  <conditionalFormatting sqref="AB213">
    <cfRule type="expression" dxfId="1914" priority="1532" stopIfTrue="1">
      <formula>$N216="BAM"</formula>
    </cfRule>
    <cfRule type="expression" dxfId="1913" priority="1534" stopIfTrue="1">
      <formula>$G213=""</formula>
    </cfRule>
    <cfRule type="expression" dxfId="1912" priority="1535" stopIfTrue="1">
      <formula>$AB213=""</formula>
    </cfRule>
  </conditionalFormatting>
  <conditionalFormatting sqref="AB213">
    <cfRule type="expression" dxfId="1911" priority="1533">
      <formula>AND($HZ214=FALSE,$GQ214=TRUE)</formula>
    </cfRule>
  </conditionalFormatting>
  <conditionalFormatting sqref="AB218">
    <cfRule type="expression" dxfId="1910" priority="1528" stopIfTrue="1">
      <formula>$N221="BAM"</formula>
    </cfRule>
    <cfRule type="expression" dxfId="1909" priority="1530" stopIfTrue="1">
      <formula>$G218=""</formula>
    </cfRule>
    <cfRule type="expression" dxfId="1908" priority="1531" stopIfTrue="1">
      <formula>$AB218=""</formula>
    </cfRule>
  </conditionalFormatting>
  <conditionalFormatting sqref="AB218">
    <cfRule type="expression" dxfId="1907" priority="1529">
      <formula>AND($HZ219=FALSE,$GQ219=TRUE)</formula>
    </cfRule>
  </conditionalFormatting>
  <conditionalFormatting sqref="AB223">
    <cfRule type="expression" dxfId="1906" priority="1524" stopIfTrue="1">
      <formula>$N226="BAM"</formula>
    </cfRule>
    <cfRule type="expression" dxfId="1905" priority="1526" stopIfTrue="1">
      <formula>$G223=""</formula>
    </cfRule>
    <cfRule type="expression" dxfId="1904" priority="1527" stopIfTrue="1">
      <formula>$AB223=""</formula>
    </cfRule>
  </conditionalFormatting>
  <conditionalFormatting sqref="AB223">
    <cfRule type="expression" dxfId="1903" priority="1525">
      <formula>AND($HZ224=FALSE,$GQ224=TRUE)</formula>
    </cfRule>
  </conditionalFormatting>
  <conditionalFormatting sqref="AB228">
    <cfRule type="expression" dxfId="1902" priority="1520" stopIfTrue="1">
      <formula>$N231="BAM"</formula>
    </cfRule>
    <cfRule type="expression" dxfId="1901" priority="1522" stopIfTrue="1">
      <formula>$G228=""</formula>
    </cfRule>
    <cfRule type="expression" dxfId="1900" priority="1523" stopIfTrue="1">
      <formula>$AB228=""</formula>
    </cfRule>
  </conditionalFormatting>
  <conditionalFormatting sqref="AB228">
    <cfRule type="expression" dxfId="1899" priority="1521">
      <formula>AND($HZ229=FALSE,$GQ229=TRUE)</formula>
    </cfRule>
  </conditionalFormatting>
  <conditionalFormatting sqref="AB233">
    <cfRule type="expression" dxfId="1898" priority="1516" stopIfTrue="1">
      <formula>$N236="BAM"</formula>
    </cfRule>
    <cfRule type="expression" dxfId="1897" priority="1518" stopIfTrue="1">
      <formula>$G233=""</formula>
    </cfRule>
    <cfRule type="expression" dxfId="1896" priority="1519" stopIfTrue="1">
      <formula>$AB233=""</formula>
    </cfRule>
  </conditionalFormatting>
  <conditionalFormatting sqref="AB233">
    <cfRule type="expression" dxfId="1895" priority="1517">
      <formula>AND($HZ234=FALSE,$GQ234=TRUE)</formula>
    </cfRule>
  </conditionalFormatting>
  <conditionalFormatting sqref="AB238">
    <cfRule type="expression" dxfId="1894" priority="1512" stopIfTrue="1">
      <formula>$N241="BAM"</formula>
    </cfRule>
    <cfRule type="expression" dxfId="1893" priority="1514" stopIfTrue="1">
      <formula>$G238=""</formula>
    </cfRule>
    <cfRule type="expression" dxfId="1892" priority="1515" stopIfTrue="1">
      <formula>$AB238=""</formula>
    </cfRule>
  </conditionalFormatting>
  <conditionalFormatting sqref="AB238">
    <cfRule type="expression" dxfId="1891" priority="1513">
      <formula>AND($HZ239=FALSE,$GQ239=TRUE)</formula>
    </cfRule>
  </conditionalFormatting>
  <conditionalFormatting sqref="AB243">
    <cfRule type="expression" dxfId="1890" priority="1508" stopIfTrue="1">
      <formula>$N246="BAM"</formula>
    </cfRule>
    <cfRule type="expression" dxfId="1889" priority="1510" stopIfTrue="1">
      <formula>$G243=""</formula>
    </cfRule>
    <cfRule type="expression" dxfId="1888" priority="1511" stopIfTrue="1">
      <formula>$AB243=""</formula>
    </cfRule>
  </conditionalFormatting>
  <conditionalFormatting sqref="AB243">
    <cfRule type="expression" dxfId="1887" priority="1509">
      <formula>AND($HZ244=FALSE,$GQ244=TRUE)</formula>
    </cfRule>
  </conditionalFormatting>
  <conditionalFormatting sqref="AB251">
    <cfRule type="expression" dxfId="1886" priority="1504" stopIfTrue="1">
      <formula>$N254="BAM"</formula>
    </cfRule>
    <cfRule type="expression" dxfId="1885" priority="1506" stopIfTrue="1">
      <formula>$G251=""</formula>
    </cfRule>
    <cfRule type="expression" dxfId="1884" priority="1507" stopIfTrue="1">
      <formula>$AB251=""</formula>
    </cfRule>
  </conditionalFormatting>
  <conditionalFormatting sqref="AB251">
    <cfRule type="expression" dxfId="1883" priority="1505">
      <formula>AND($HZ252=FALSE,$GQ252=TRUE)</formula>
    </cfRule>
  </conditionalFormatting>
  <conditionalFormatting sqref="AB256">
    <cfRule type="expression" dxfId="1882" priority="1500" stopIfTrue="1">
      <formula>$N259="BAM"</formula>
    </cfRule>
    <cfRule type="expression" dxfId="1881" priority="1502" stopIfTrue="1">
      <formula>$G256=""</formula>
    </cfRule>
    <cfRule type="expression" dxfId="1880" priority="1503" stopIfTrue="1">
      <formula>$AB256=""</formula>
    </cfRule>
  </conditionalFormatting>
  <conditionalFormatting sqref="AB256">
    <cfRule type="expression" dxfId="1879" priority="1501">
      <formula>AND($HZ257=FALSE,$GQ257=TRUE)</formula>
    </cfRule>
  </conditionalFormatting>
  <conditionalFormatting sqref="AB261">
    <cfRule type="expression" dxfId="1878" priority="1496" stopIfTrue="1">
      <formula>$N264="BAM"</formula>
    </cfRule>
    <cfRule type="expression" dxfId="1877" priority="1498" stopIfTrue="1">
      <formula>$G261=""</formula>
    </cfRule>
    <cfRule type="expression" dxfId="1876" priority="1499" stopIfTrue="1">
      <formula>$AB261=""</formula>
    </cfRule>
  </conditionalFormatting>
  <conditionalFormatting sqref="AB261">
    <cfRule type="expression" dxfId="1875" priority="1497">
      <formula>AND($HZ262=FALSE,$GQ262=TRUE)</formula>
    </cfRule>
  </conditionalFormatting>
  <conditionalFormatting sqref="AB266">
    <cfRule type="expression" dxfId="1874" priority="1492" stopIfTrue="1">
      <formula>$N269="BAM"</formula>
    </cfRule>
    <cfRule type="expression" dxfId="1873" priority="1494" stopIfTrue="1">
      <formula>$G266=""</formula>
    </cfRule>
    <cfRule type="expression" dxfId="1872" priority="1495" stopIfTrue="1">
      <formula>$AB266=""</formula>
    </cfRule>
  </conditionalFormatting>
  <conditionalFormatting sqref="AB266">
    <cfRule type="expression" dxfId="1871" priority="1493">
      <formula>AND($HZ267=FALSE,$GQ267=TRUE)</formula>
    </cfRule>
  </conditionalFormatting>
  <conditionalFormatting sqref="AB271">
    <cfRule type="expression" dxfId="1870" priority="1488" stopIfTrue="1">
      <formula>$N274="BAM"</formula>
    </cfRule>
    <cfRule type="expression" dxfId="1869" priority="1490" stopIfTrue="1">
      <formula>$G271=""</formula>
    </cfRule>
    <cfRule type="expression" dxfId="1868" priority="1491" stopIfTrue="1">
      <formula>$AB271=""</formula>
    </cfRule>
  </conditionalFormatting>
  <conditionalFormatting sqref="AB271">
    <cfRule type="expression" dxfId="1867" priority="1489">
      <formula>AND($HZ272=FALSE,$GQ272=TRUE)</formula>
    </cfRule>
  </conditionalFormatting>
  <conditionalFormatting sqref="AB276">
    <cfRule type="expression" dxfId="1866" priority="1484" stopIfTrue="1">
      <formula>$N279="BAM"</formula>
    </cfRule>
    <cfRule type="expression" dxfId="1865" priority="1486" stopIfTrue="1">
      <formula>$G276=""</formula>
    </cfRule>
    <cfRule type="expression" dxfId="1864" priority="1487" stopIfTrue="1">
      <formula>$AB276=""</formula>
    </cfRule>
  </conditionalFormatting>
  <conditionalFormatting sqref="AB276">
    <cfRule type="expression" dxfId="1863" priority="1485">
      <formula>AND($HZ277=FALSE,$GQ277=TRUE)</formula>
    </cfRule>
  </conditionalFormatting>
  <conditionalFormatting sqref="AB281">
    <cfRule type="expression" dxfId="1862" priority="1480" stopIfTrue="1">
      <formula>$N284="BAM"</formula>
    </cfRule>
    <cfRule type="expression" dxfId="1861" priority="1482" stopIfTrue="1">
      <formula>$G281=""</formula>
    </cfRule>
    <cfRule type="expression" dxfId="1860" priority="1483" stopIfTrue="1">
      <formula>$AB281=""</formula>
    </cfRule>
  </conditionalFormatting>
  <conditionalFormatting sqref="AB281">
    <cfRule type="expression" dxfId="1859" priority="1481">
      <formula>AND($HZ282=FALSE,$GQ282=TRUE)</formula>
    </cfRule>
  </conditionalFormatting>
  <conditionalFormatting sqref="AB286">
    <cfRule type="expression" dxfId="1858" priority="1476" stopIfTrue="1">
      <formula>$N289="BAM"</formula>
    </cfRule>
    <cfRule type="expression" dxfId="1857" priority="1478" stopIfTrue="1">
      <formula>$G286=""</formula>
    </cfRule>
    <cfRule type="expression" dxfId="1856" priority="1479" stopIfTrue="1">
      <formula>$AB286=""</formula>
    </cfRule>
  </conditionalFormatting>
  <conditionalFormatting sqref="AB286">
    <cfRule type="expression" dxfId="1855" priority="1477">
      <formula>AND($HZ287=FALSE,$GQ287=TRUE)</formula>
    </cfRule>
  </conditionalFormatting>
  <conditionalFormatting sqref="AB291">
    <cfRule type="expression" dxfId="1854" priority="1472" stopIfTrue="1">
      <formula>$N294="BAM"</formula>
    </cfRule>
    <cfRule type="expression" dxfId="1853" priority="1474" stopIfTrue="1">
      <formula>$G291=""</formula>
    </cfRule>
    <cfRule type="expression" dxfId="1852" priority="1475" stopIfTrue="1">
      <formula>$AB291=""</formula>
    </cfRule>
  </conditionalFormatting>
  <conditionalFormatting sqref="AB291">
    <cfRule type="expression" dxfId="1851" priority="1473">
      <formula>AND($HZ292=FALSE,$GQ292=TRUE)</formula>
    </cfRule>
  </conditionalFormatting>
  <conditionalFormatting sqref="AB296">
    <cfRule type="expression" dxfId="1850" priority="1468" stopIfTrue="1">
      <formula>$N299="BAM"</formula>
    </cfRule>
    <cfRule type="expression" dxfId="1849" priority="1470" stopIfTrue="1">
      <formula>$G296=""</formula>
    </cfRule>
    <cfRule type="expression" dxfId="1848" priority="1471" stopIfTrue="1">
      <formula>$AB296=""</formula>
    </cfRule>
  </conditionalFormatting>
  <conditionalFormatting sqref="AB296">
    <cfRule type="expression" dxfId="1847" priority="1469">
      <formula>AND($HZ297=FALSE,$GQ297=TRUE)</formula>
    </cfRule>
  </conditionalFormatting>
  <conditionalFormatting sqref="AB301">
    <cfRule type="expression" dxfId="1846" priority="1464" stopIfTrue="1">
      <formula>$N304="BAM"</formula>
    </cfRule>
    <cfRule type="expression" dxfId="1845" priority="1466" stopIfTrue="1">
      <formula>$G301=""</formula>
    </cfRule>
    <cfRule type="expression" dxfId="1844" priority="1467" stopIfTrue="1">
      <formula>$AB301=""</formula>
    </cfRule>
  </conditionalFormatting>
  <conditionalFormatting sqref="AB301">
    <cfRule type="expression" dxfId="1843" priority="1465">
      <formula>AND($HZ302=FALSE,$GQ302=TRUE)</formula>
    </cfRule>
  </conditionalFormatting>
  <conditionalFormatting sqref="AB306">
    <cfRule type="expression" dxfId="1842" priority="1460" stopIfTrue="1">
      <formula>$N309="BAM"</formula>
    </cfRule>
    <cfRule type="expression" dxfId="1841" priority="1462" stopIfTrue="1">
      <formula>$G306=""</formula>
    </cfRule>
    <cfRule type="expression" dxfId="1840" priority="1463" stopIfTrue="1">
      <formula>$AB306=""</formula>
    </cfRule>
  </conditionalFormatting>
  <conditionalFormatting sqref="AB306">
    <cfRule type="expression" dxfId="1839" priority="1461">
      <formula>AND($HZ307=FALSE,$GQ307=TRUE)</formula>
    </cfRule>
  </conditionalFormatting>
  <conditionalFormatting sqref="AB311">
    <cfRule type="expression" dxfId="1838" priority="1456" stopIfTrue="1">
      <formula>$N314="BAM"</formula>
    </cfRule>
    <cfRule type="expression" dxfId="1837" priority="1458" stopIfTrue="1">
      <formula>$G311=""</formula>
    </cfRule>
    <cfRule type="expression" dxfId="1836" priority="1459" stopIfTrue="1">
      <formula>$AB311=""</formula>
    </cfRule>
  </conditionalFormatting>
  <conditionalFormatting sqref="AB311">
    <cfRule type="expression" dxfId="1835" priority="1457">
      <formula>AND($HZ312=FALSE,$GQ312=TRUE)</formula>
    </cfRule>
  </conditionalFormatting>
  <conditionalFormatting sqref="AB316">
    <cfRule type="expression" dxfId="1834" priority="1452" stopIfTrue="1">
      <formula>$N319="BAM"</formula>
    </cfRule>
    <cfRule type="expression" dxfId="1833" priority="1454" stopIfTrue="1">
      <formula>$G316=""</formula>
    </cfRule>
    <cfRule type="expression" dxfId="1832" priority="1455" stopIfTrue="1">
      <formula>$AB316=""</formula>
    </cfRule>
  </conditionalFormatting>
  <conditionalFormatting sqref="AB316">
    <cfRule type="expression" dxfId="1831" priority="1453">
      <formula>AND($HZ317=FALSE,$GQ317=TRUE)</formula>
    </cfRule>
  </conditionalFormatting>
  <conditionalFormatting sqref="AB321">
    <cfRule type="expression" dxfId="1830" priority="1448" stopIfTrue="1">
      <formula>$N324="BAM"</formula>
    </cfRule>
    <cfRule type="expression" dxfId="1829" priority="1450" stopIfTrue="1">
      <formula>$G321=""</formula>
    </cfRule>
    <cfRule type="expression" dxfId="1828" priority="1451" stopIfTrue="1">
      <formula>$AB321=""</formula>
    </cfRule>
  </conditionalFormatting>
  <conditionalFormatting sqref="AB321">
    <cfRule type="expression" dxfId="1827" priority="1449">
      <formula>AND($HZ322=FALSE,$GQ322=TRUE)</formula>
    </cfRule>
  </conditionalFormatting>
  <conditionalFormatting sqref="AB329">
    <cfRule type="expression" dxfId="1826" priority="1444" stopIfTrue="1">
      <formula>$N332="BAM"</formula>
    </cfRule>
    <cfRule type="expression" dxfId="1825" priority="1446" stopIfTrue="1">
      <formula>$G329=""</formula>
    </cfRule>
    <cfRule type="expression" dxfId="1824" priority="1447" stopIfTrue="1">
      <formula>$AB329=""</formula>
    </cfRule>
  </conditionalFormatting>
  <conditionalFormatting sqref="AB329">
    <cfRule type="expression" dxfId="1823" priority="1445">
      <formula>AND($HZ330=FALSE,$GQ330=TRUE)</formula>
    </cfRule>
  </conditionalFormatting>
  <conditionalFormatting sqref="AB334">
    <cfRule type="expression" dxfId="1822" priority="1440" stopIfTrue="1">
      <formula>$N337="BAM"</formula>
    </cfRule>
    <cfRule type="expression" dxfId="1821" priority="1442" stopIfTrue="1">
      <formula>$G334=""</formula>
    </cfRule>
    <cfRule type="expression" dxfId="1820" priority="1443" stopIfTrue="1">
      <formula>$AB334=""</formula>
    </cfRule>
  </conditionalFormatting>
  <conditionalFormatting sqref="AB334">
    <cfRule type="expression" dxfId="1819" priority="1441">
      <formula>AND($HZ335=FALSE,$GQ335=TRUE)</formula>
    </cfRule>
  </conditionalFormatting>
  <conditionalFormatting sqref="AB339">
    <cfRule type="expression" dxfId="1818" priority="1436" stopIfTrue="1">
      <formula>$N342="BAM"</formula>
    </cfRule>
    <cfRule type="expression" dxfId="1817" priority="1438" stopIfTrue="1">
      <formula>$G339=""</formula>
    </cfRule>
    <cfRule type="expression" dxfId="1816" priority="1439" stopIfTrue="1">
      <formula>$AB339=""</formula>
    </cfRule>
  </conditionalFormatting>
  <conditionalFormatting sqref="AB339">
    <cfRule type="expression" dxfId="1815" priority="1437">
      <formula>AND($HZ340=FALSE,$GQ340=TRUE)</formula>
    </cfRule>
  </conditionalFormatting>
  <conditionalFormatting sqref="AB344">
    <cfRule type="expression" dxfId="1814" priority="1432" stopIfTrue="1">
      <formula>$N347="BAM"</formula>
    </cfRule>
    <cfRule type="expression" dxfId="1813" priority="1434" stopIfTrue="1">
      <formula>$G344=""</formula>
    </cfRule>
    <cfRule type="expression" dxfId="1812" priority="1435" stopIfTrue="1">
      <formula>$AB344=""</formula>
    </cfRule>
  </conditionalFormatting>
  <conditionalFormatting sqref="AB344">
    <cfRule type="expression" dxfId="1811" priority="1433">
      <formula>AND($HZ345=FALSE,$GQ345=TRUE)</formula>
    </cfRule>
  </conditionalFormatting>
  <conditionalFormatting sqref="AB349">
    <cfRule type="expression" dxfId="1810" priority="1428" stopIfTrue="1">
      <formula>$N352="BAM"</formula>
    </cfRule>
    <cfRule type="expression" dxfId="1809" priority="1430" stopIfTrue="1">
      <formula>$G349=""</formula>
    </cfRule>
    <cfRule type="expression" dxfId="1808" priority="1431" stopIfTrue="1">
      <formula>$AB349=""</formula>
    </cfRule>
  </conditionalFormatting>
  <conditionalFormatting sqref="AB349">
    <cfRule type="expression" dxfId="1807" priority="1429">
      <formula>AND($HZ350=FALSE,$GQ350=TRUE)</formula>
    </cfRule>
  </conditionalFormatting>
  <conditionalFormatting sqref="AB354">
    <cfRule type="expression" dxfId="1806" priority="1424" stopIfTrue="1">
      <formula>$N357="BAM"</formula>
    </cfRule>
    <cfRule type="expression" dxfId="1805" priority="1426" stopIfTrue="1">
      <formula>$G354=""</formula>
    </cfRule>
    <cfRule type="expression" dxfId="1804" priority="1427" stopIfTrue="1">
      <formula>$AB354=""</formula>
    </cfRule>
  </conditionalFormatting>
  <conditionalFormatting sqref="AB354">
    <cfRule type="expression" dxfId="1803" priority="1425">
      <formula>AND($HZ355=FALSE,$GQ355=TRUE)</formula>
    </cfRule>
  </conditionalFormatting>
  <conditionalFormatting sqref="AB359">
    <cfRule type="expression" dxfId="1802" priority="1420" stopIfTrue="1">
      <formula>$N362="BAM"</formula>
    </cfRule>
    <cfRule type="expression" dxfId="1801" priority="1422" stopIfTrue="1">
      <formula>$G359=""</formula>
    </cfRule>
    <cfRule type="expression" dxfId="1800" priority="1423" stopIfTrue="1">
      <formula>$AB359=""</formula>
    </cfRule>
  </conditionalFormatting>
  <conditionalFormatting sqref="AB359">
    <cfRule type="expression" dxfId="1799" priority="1421">
      <formula>AND($HZ360=FALSE,$GQ360=TRUE)</formula>
    </cfRule>
  </conditionalFormatting>
  <conditionalFormatting sqref="AB364">
    <cfRule type="expression" dxfId="1798" priority="1416" stopIfTrue="1">
      <formula>$N367="BAM"</formula>
    </cfRule>
    <cfRule type="expression" dxfId="1797" priority="1418" stopIfTrue="1">
      <formula>$G364=""</formula>
    </cfRule>
    <cfRule type="expression" dxfId="1796" priority="1419" stopIfTrue="1">
      <formula>$AB364=""</formula>
    </cfRule>
  </conditionalFormatting>
  <conditionalFormatting sqref="AB364">
    <cfRule type="expression" dxfId="1795" priority="1417">
      <formula>AND($HZ365=FALSE,$GQ365=TRUE)</formula>
    </cfRule>
  </conditionalFormatting>
  <conditionalFormatting sqref="AB369">
    <cfRule type="expression" dxfId="1794" priority="1412" stopIfTrue="1">
      <formula>$N372="BAM"</formula>
    </cfRule>
    <cfRule type="expression" dxfId="1793" priority="1414" stopIfTrue="1">
      <formula>$G369=""</formula>
    </cfRule>
    <cfRule type="expression" dxfId="1792" priority="1415" stopIfTrue="1">
      <formula>$AB369=""</formula>
    </cfRule>
  </conditionalFormatting>
  <conditionalFormatting sqref="AB369">
    <cfRule type="expression" dxfId="1791" priority="1413">
      <formula>AND($HZ370=FALSE,$GQ370=TRUE)</formula>
    </cfRule>
  </conditionalFormatting>
  <conditionalFormatting sqref="AB374">
    <cfRule type="expression" dxfId="1790" priority="1408" stopIfTrue="1">
      <formula>$N377="BAM"</formula>
    </cfRule>
    <cfRule type="expression" dxfId="1789" priority="1410" stopIfTrue="1">
      <formula>$G374=""</formula>
    </cfRule>
    <cfRule type="expression" dxfId="1788" priority="1411" stopIfTrue="1">
      <formula>$AB374=""</formula>
    </cfRule>
  </conditionalFormatting>
  <conditionalFormatting sqref="AB374">
    <cfRule type="expression" dxfId="1787" priority="1409">
      <formula>AND($HZ375=FALSE,$GQ375=TRUE)</formula>
    </cfRule>
  </conditionalFormatting>
  <conditionalFormatting sqref="AB379">
    <cfRule type="expression" dxfId="1786" priority="1404" stopIfTrue="1">
      <formula>$N382="BAM"</formula>
    </cfRule>
    <cfRule type="expression" dxfId="1785" priority="1406" stopIfTrue="1">
      <formula>$G379=""</formula>
    </cfRule>
    <cfRule type="expression" dxfId="1784" priority="1407" stopIfTrue="1">
      <formula>$AB379=""</formula>
    </cfRule>
  </conditionalFormatting>
  <conditionalFormatting sqref="AB379">
    <cfRule type="expression" dxfId="1783" priority="1405">
      <formula>AND($HZ380=FALSE,$GQ380=TRUE)</formula>
    </cfRule>
  </conditionalFormatting>
  <conditionalFormatting sqref="AB384">
    <cfRule type="expression" dxfId="1782" priority="1400" stopIfTrue="1">
      <formula>$N387="BAM"</formula>
    </cfRule>
    <cfRule type="expression" dxfId="1781" priority="1402" stopIfTrue="1">
      <formula>$G384=""</formula>
    </cfRule>
    <cfRule type="expression" dxfId="1780" priority="1403" stopIfTrue="1">
      <formula>$AB384=""</formula>
    </cfRule>
  </conditionalFormatting>
  <conditionalFormatting sqref="AB384">
    <cfRule type="expression" dxfId="1779" priority="1401">
      <formula>AND($HZ385=FALSE,$GQ385=TRUE)</formula>
    </cfRule>
  </conditionalFormatting>
  <conditionalFormatting sqref="AB389">
    <cfRule type="expression" dxfId="1778" priority="1396" stopIfTrue="1">
      <formula>$N392="BAM"</formula>
    </cfRule>
    <cfRule type="expression" dxfId="1777" priority="1398" stopIfTrue="1">
      <formula>$G389=""</formula>
    </cfRule>
    <cfRule type="expression" dxfId="1776" priority="1399" stopIfTrue="1">
      <formula>$AB389=""</formula>
    </cfRule>
  </conditionalFormatting>
  <conditionalFormatting sqref="AB389">
    <cfRule type="expression" dxfId="1775" priority="1397">
      <formula>AND($HZ390=FALSE,$GQ390=TRUE)</formula>
    </cfRule>
  </conditionalFormatting>
  <conditionalFormatting sqref="AB394">
    <cfRule type="expression" dxfId="1774" priority="1392" stopIfTrue="1">
      <formula>$N397="BAM"</formula>
    </cfRule>
    <cfRule type="expression" dxfId="1773" priority="1394" stopIfTrue="1">
      <formula>$G394=""</formula>
    </cfRule>
    <cfRule type="expression" dxfId="1772" priority="1395" stopIfTrue="1">
      <formula>$AB394=""</formula>
    </cfRule>
  </conditionalFormatting>
  <conditionalFormatting sqref="AB394">
    <cfRule type="expression" dxfId="1771" priority="1393">
      <formula>AND($HZ395=FALSE,$GQ395=TRUE)</formula>
    </cfRule>
  </conditionalFormatting>
  <conditionalFormatting sqref="AB399">
    <cfRule type="expression" dxfId="1770" priority="1388" stopIfTrue="1">
      <formula>$N402="BAM"</formula>
    </cfRule>
    <cfRule type="expression" dxfId="1769" priority="1390" stopIfTrue="1">
      <formula>$G399=""</formula>
    </cfRule>
    <cfRule type="expression" dxfId="1768" priority="1391" stopIfTrue="1">
      <formula>$AB399=""</formula>
    </cfRule>
  </conditionalFormatting>
  <conditionalFormatting sqref="AB399">
    <cfRule type="expression" dxfId="1767" priority="1389">
      <formula>AND($HZ400=FALSE,$GQ400=TRUE)</formula>
    </cfRule>
  </conditionalFormatting>
  <conditionalFormatting sqref="AB407">
    <cfRule type="expression" dxfId="1766" priority="1384" stopIfTrue="1">
      <formula>$N410="BAM"</formula>
    </cfRule>
    <cfRule type="expression" dxfId="1765" priority="1386" stopIfTrue="1">
      <formula>$G407=""</formula>
    </cfRule>
    <cfRule type="expression" dxfId="1764" priority="1387" stopIfTrue="1">
      <formula>$AB407=""</formula>
    </cfRule>
  </conditionalFormatting>
  <conditionalFormatting sqref="AB407">
    <cfRule type="expression" dxfId="1763" priority="1385">
      <formula>AND($HZ408=FALSE,$GQ408=TRUE)</formula>
    </cfRule>
  </conditionalFormatting>
  <conditionalFormatting sqref="AB412">
    <cfRule type="expression" dxfId="1762" priority="1380" stopIfTrue="1">
      <formula>$N415="BAM"</formula>
    </cfRule>
    <cfRule type="expression" dxfId="1761" priority="1382" stopIfTrue="1">
      <formula>$G412=""</formula>
    </cfRule>
    <cfRule type="expression" dxfId="1760" priority="1383" stopIfTrue="1">
      <formula>$AB412=""</formula>
    </cfRule>
  </conditionalFormatting>
  <conditionalFormatting sqref="AB412">
    <cfRule type="expression" dxfId="1759" priority="1381">
      <formula>AND($HZ413=FALSE,$GQ413=TRUE)</formula>
    </cfRule>
  </conditionalFormatting>
  <conditionalFormatting sqref="AB417">
    <cfRule type="expression" dxfId="1758" priority="1376" stopIfTrue="1">
      <formula>$N420="BAM"</formula>
    </cfRule>
    <cfRule type="expression" dxfId="1757" priority="1378" stopIfTrue="1">
      <formula>$G417=""</formula>
    </cfRule>
    <cfRule type="expression" dxfId="1756" priority="1379" stopIfTrue="1">
      <formula>$AB417=""</formula>
    </cfRule>
  </conditionalFormatting>
  <conditionalFormatting sqref="AB417">
    <cfRule type="expression" dxfId="1755" priority="1377">
      <formula>AND($HZ418=FALSE,$GQ418=TRUE)</formula>
    </cfRule>
  </conditionalFormatting>
  <conditionalFormatting sqref="AB422">
    <cfRule type="expression" dxfId="1754" priority="1372" stopIfTrue="1">
      <formula>$N425="BAM"</formula>
    </cfRule>
    <cfRule type="expression" dxfId="1753" priority="1374" stopIfTrue="1">
      <formula>$G422=""</formula>
    </cfRule>
    <cfRule type="expression" dxfId="1752" priority="1375" stopIfTrue="1">
      <formula>$AB422=""</formula>
    </cfRule>
  </conditionalFormatting>
  <conditionalFormatting sqref="AB422">
    <cfRule type="expression" dxfId="1751" priority="1373">
      <formula>AND($HZ423=FALSE,$GQ423=TRUE)</formula>
    </cfRule>
  </conditionalFormatting>
  <conditionalFormatting sqref="AB427">
    <cfRule type="expression" dxfId="1750" priority="1368" stopIfTrue="1">
      <formula>$N430="BAM"</formula>
    </cfRule>
    <cfRule type="expression" dxfId="1749" priority="1370" stopIfTrue="1">
      <formula>$G427=""</formula>
    </cfRule>
    <cfRule type="expression" dxfId="1748" priority="1371" stopIfTrue="1">
      <formula>$AB427=""</formula>
    </cfRule>
  </conditionalFormatting>
  <conditionalFormatting sqref="AB427">
    <cfRule type="expression" dxfId="1747" priority="1369">
      <formula>AND($HZ428=FALSE,$GQ428=TRUE)</formula>
    </cfRule>
  </conditionalFormatting>
  <conditionalFormatting sqref="AB432">
    <cfRule type="expression" dxfId="1746" priority="1364" stopIfTrue="1">
      <formula>$N435="BAM"</formula>
    </cfRule>
    <cfRule type="expression" dxfId="1745" priority="1366" stopIfTrue="1">
      <formula>$G432=""</formula>
    </cfRule>
    <cfRule type="expression" dxfId="1744" priority="1367" stopIfTrue="1">
      <formula>$AB432=""</formula>
    </cfRule>
  </conditionalFormatting>
  <conditionalFormatting sqref="AB432">
    <cfRule type="expression" dxfId="1743" priority="1365">
      <formula>AND($HZ433=FALSE,$GQ433=TRUE)</formula>
    </cfRule>
  </conditionalFormatting>
  <conditionalFormatting sqref="AB437">
    <cfRule type="expression" dxfId="1742" priority="1360" stopIfTrue="1">
      <formula>$N440="BAM"</formula>
    </cfRule>
    <cfRule type="expression" dxfId="1741" priority="1362" stopIfTrue="1">
      <formula>$G437=""</formula>
    </cfRule>
    <cfRule type="expression" dxfId="1740" priority="1363" stopIfTrue="1">
      <formula>$AB437=""</formula>
    </cfRule>
  </conditionalFormatting>
  <conditionalFormatting sqref="AB437">
    <cfRule type="expression" dxfId="1739" priority="1361">
      <formula>AND($HZ438=FALSE,$GQ438=TRUE)</formula>
    </cfRule>
  </conditionalFormatting>
  <conditionalFormatting sqref="AB442">
    <cfRule type="expression" dxfId="1738" priority="1356" stopIfTrue="1">
      <formula>$N445="BAM"</formula>
    </cfRule>
    <cfRule type="expression" dxfId="1737" priority="1358" stopIfTrue="1">
      <formula>$G442=""</formula>
    </cfRule>
    <cfRule type="expression" dxfId="1736" priority="1359" stopIfTrue="1">
      <formula>$AB442=""</formula>
    </cfRule>
  </conditionalFormatting>
  <conditionalFormatting sqref="AB442">
    <cfRule type="expression" dxfId="1735" priority="1357">
      <formula>AND($HZ443=FALSE,$GQ443=TRUE)</formula>
    </cfRule>
  </conditionalFormatting>
  <conditionalFormatting sqref="AB447">
    <cfRule type="expression" dxfId="1734" priority="1352" stopIfTrue="1">
      <formula>$N450="BAM"</formula>
    </cfRule>
    <cfRule type="expression" dxfId="1733" priority="1354" stopIfTrue="1">
      <formula>$G447=""</formula>
    </cfRule>
    <cfRule type="expression" dxfId="1732" priority="1355" stopIfTrue="1">
      <formula>$AB447=""</formula>
    </cfRule>
  </conditionalFormatting>
  <conditionalFormatting sqref="AB447">
    <cfRule type="expression" dxfId="1731" priority="1353">
      <formula>AND($HZ448=FALSE,$GQ448=TRUE)</formula>
    </cfRule>
  </conditionalFormatting>
  <conditionalFormatting sqref="AB452">
    <cfRule type="expression" dxfId="1730" priority="1348" stopIfTrue="1">
      <formula>$N455="BAM"</formula>
    </cfRule>
    <cfRule type="expression" dxfId="1729" priority="1350" stopIfTrue="1">
      <formula>$G452=""</formula>
    </cfRule>
    <cfRule type="expression" dxfId="1728" priority="1351" stopIfTrue="1">
      <formula>$AB452=""</formula>
    </cfRule>
  </conditionalFormatting>
  <conditionalFormatting sqref="AB452">
    <cfRule type="expression" dxfId="1727" priority="1349">
      <formula>AND($HZ453=FALSE,$GQ453=TRUE)</formula>
    </cfRule>
  </conditionalFormatting>
  <conditionalFormatting sqref="AB457">
    <cfRule type="expression" dxfId="1726" priority="1344" stopIfTrue="1">
      <formula>$N460="BAM"</formula>
    </cfRule>
    <cfRule type="expression" dxfId="1725" priority="1346" stopIfTrue="1">
      <formula>$G457=""</formula>
    </cfRule>
    <cfRule type="expression" dxfId="1724" priority="1347" stopIfTrue="1">
      <formula>$AB457=""</formula>
    </cfRule>
  </conditionalFormatting>
  <conditionalFormatting sqref="AB457">
    <cfRule type="expression" dxfId="1723" priority="1345">
      <formula>AND($HZ458=FALSE,$GQ458=TRUE)</formula>
    </cfRule>
  </conditionalFormatting>
  <conditionalFormatting sqref="AB462">
    <cfRule type="expression" dxfId="1722" priority="1340" stopIfTrue="1">
      <formula>$N465="BAM"</formula>
    </cfRule>
    <cfRule type="expression" dxfId="1721" priority="1342" stopIfTrue="1">
      <formula>$G462=""</formula>
    </cfRule>
    <cfRule type="expression" dxfId="1720" priority="1343" stopIfTrue="1">
      <formula>$AB462=""</formula>
    </cfRule>
  </conditionalFormatting>
  <conditionalFormatting sqref="AB462">
    <cfRule type="expression" dxfId="1719" priority="1341">
      <formula>AND($HZ463=FALSE,$GQ463=TRUE)</formula>
    </cfRule>
  </conditionalFormatting>
  <conditionalFormatting sqref="AB467">
    <cfRule type="expression" dxfId="1718" priority="1336" stopIfTrue="1">
      <formula>$N470="BAM"</formula>
    </cfRule>
    <cfRule type="expression" dxfId="1717" priority="1338" stopIfTrue="1">
      <formula>$G467=""</formula>
    </cfRule>
    <cfRule type="expression" dxfId="1716" priority="1339" stopIfTrue="1">
      <formula>$AB467=""</formula>
    </cfRule>
  </conditionalFormatting>
  <conditionalFormatting sqref="AB467">
    <cfRule type="expression" dxfId="1715" priority="1337">
      <formula>AND($HZ468=FALSE,$GQ468=TRUE)</formula>
    </cfRule>
  </conditionalFormatting>
  <conditionalFormatting sqref="AB472">
    <cfRule type="expression" dxfId="1714" priority="1332" stopIfTrue="1">
      <formula>$N475="BAM"</formula>
    </cfRule>
    <cfRule type="expression" dxfId="1713" priority="1334" stopIfTrue="1">
      <formula>$G472=""</formula>
    </cfRule>
    <cfRule type="expression" dxfId="1712" priority="1335" stopIfTrue="1">
      <formula>$AB472=""</formula>
    </cfRule>
  </conditionalFormatting>
  <conditionalFormatting sqref="AB472">
    <cfRule type="expression" dxfId="1711" priority="1333">
      <formula>AND($HZ473=FALSE,$GQ473=TRUE)</formula>
    </cfRule>
  </conditionalFormatting>
  <conditionalFormatting sqref="AB477">
    <cfRule type="expression" dxfId="1710" priority="1328" stopIfTrue="1">
      <formula>$N480="BAM"</formula>
    </cfRule>
    <cfRule type="expression" dxfId="1709" priority="1330" stopIfTrue="1">
      <formula>$G477=""</formula>
    </cfRule>
    <cfRule type="expression" dxfId="1708" priority="1331" stopIfTrue="1">
      <formula>$AB477=""</formula>
    </cfRule>
  </conditionalFormatting>
  <conditionalFormatting sqref="AB477">
    <cfRule type="expression" dxfId="1707" priority="1329">
      <formula>AND($HZ478=FALSE,$GQ478=TRUE)</formula>
    </cfRule>
  </conditionalFormatting>
  <conditionalFormatting sqref="AB485">
    <cfRule type="expression" dxfId="1706" priority="1324" stopIfTrue="1">
      <formula>$N488="BAM"</formula>
    </cfRule>
    <cfRule type="expression" dxfId="1705" priority="1326" stopIfTrue="1">
      <formula>$G485=""</formula>
    </cfRule>
    <cfRule type="expression" dxfId="1704" priority="1327" stopIfTrue="1">
      <formula>$AB485=""</formula>
    </cfRule>
  </conditionalFormatting>
  <conditionalFormatting sqref="AB485">
    <cfRule type="expression" dxfId="1703" priority="1325">
      <formula>AND($HZ486=FALSE,$GQ486=TRUE)</formula>
    </cfRule>
  </conditionalFormatting>
  <conditionalFormatting sqref="AB490">
    <cfRule type="expression" dxfId="1702" priority="1320" stopIfTrue="1">
      <formula>$N493="BAM"</formula>
    </cfRule>
    <cfRule type="expression" dxfId="1701" priority="1322" stopIfTrue="1">
      <formula>$G490=""</formula>
    </cfRule>
    <cfRule type="expression" dxfId="1700" priority="1323" stopIfTrue="1">
      <formula>$AB490=""</formula>
    </cfRule>
  </conditionalFormatting>
  <conditionalFormatting sqref="AB490">
    <cfRule type="expression" dxfId="1699" priority="1321">
      <formula>AND($HZ491=FALSE,$GQ491=TRUE)</formula>
    </cfRule>
  </conditionalFormatting>
  <conditionalFormatting sqref="AB495">
    <cfRule type="expression" dxfId="1698" priority="1316" stopIfTrue="1">
      <formula>$N498="BAM"</formula>
    </cfRule>
    <cfRule type="expression" dxfId="1697" priority="1318" stopIfTrue="1">
      <formula>$G495=""</formula>
    </cfRule>
    <cfRule type="expression" dxfId="1696" priority="1319" stopIfTrue="1">
      <formula>$AB495=""</formula>
    </cfRule>
  </conditionalFormatting>
  <conditionalFormatting sqref="AB495">
    <cfRule type="expression" dxfId="1695" priority="1317">
      <formula>AND($HZ496=FALSE,$GQ496=TRUE)</formula>
    </cfRule>
  </conditionalFormatting>
  <conditionalFormatting sqref="AB500">
    <cfRule type="expression" dxfId="1694" priority="1312" stopIfTrue="1">
      <formula>$N503="BAM"</formula>
    </cfRule>
    <cfRule type="expression" dxfId="1693" priority="1314" stopIfTrue="1">
      <formula>$G500=""</formula>
    </cfRule>
    <cfRule type="expression" dxfId="1692" priority="1315" stopIfTrue="1">
      <formula>$AB500=""</formula>
    </cfRule>
  </conditionalFormatting>
  <conditionalFormatting sqref="AB500">
    <cfRule type="expression" dxfId="1691" priority="1313">
      <formula>AND($HZ501=FALSE,$GQ501=TRUE)</formula>
    </cfRule>
  </conditionalFormatting>
  <conditionalFormatting sqref="AB505">
    <cfRule type="expression" dxfId="1690" priority="1308" stopIfTrue="1">
      <formula>$N508="BAM"</formula>
    </cfRule>
    <cfRule type="expression" dxfId="1689" priority="1310" stopIfTrue="1">
      <formula>$G505=""</formula>
    </cfRule>
    <cfRule type="expression" dxfId="1688" priority="1311" stopIfTrue="1">
      <formula>$AB505=""</formula>
    </cfRule>
  </conditionalFormatting>
  <conditionalFormatting sqref="AB505">
    <cfRule type="expression" dxfId="1687" priority="1309">
      <formula>AND($HZ506=FALSE,$GQ506=TRUE)</formula>
    </cfRule>
  </conditionalFormatting>
  <conditionalFormatting sqref="AB510">
    <cfRule type="expression" dxfId="1686" priority="1304" stopIfTrue="1">
      <formula>$N513="BAM"</formula>
    </cfRule>
    <cfRule type="expression" dxfId="1685" priority="1306" stopIfTrue="1">
      <formula>$G510=""</formula>
    </cfRule>
    <cfRule type="expression" dxfId="1684" priority="1307" stopIfTrue="1">
      <formula>$AB510=""</formula>
    </cfRule>
  </conditionalFormatting>
  <conditionalFormatting sqref="AB510">
    <cfRule type="expression" dxfId="1683" priority="1305">
      <formula>AND($HZ511=FALSE,$GQ511=TRUE)</formula>
    </cfRule>
  </conditionalFormatting>
  <conditionalFormatting sqref="AB515">
    <cfRule type="expression" dxfId="1682" priority="1300" stopIfTrue="1">
      <formula>$N518="BAM"</formula>
    </cfRule>
    <cfRule type="expression" dxfId="1681" priority="1302" stopIfTrue="1">
      <formula>$G515=""</formula>
    </cfRule>
    <cfRule type="expression" dxfId="1680" priority="1303" stopIfTrue="1">
      <formula>$AB515=""</formula>
    </cfRule>
  </conditionalFormatting>
  <conditionalFormatting sqref="AB515">
    <cfRule type="expression" dxfId="1679" priority="1301">
      <formula>AND($HZ516=FALSE,$GQ516=TRUE)</formula>
    </cfRule>
  </conditionalFormatting>
  <conditionalFormatting sqref="AB520">
    <cfRule type="expression" dxfId="1678" priority="1296" stopIfTrue="1">
      <formula>$N523="BAM"</formula>
    </cfRule>
    <cfRule type="expression" dxfId="1677" priority="1298" stopIfTrue="1">
      <formula>$G520=""</formula>
    </cfRule>
    <cfRule type="expression" dxfId="1676" priority="1299" stopIfTrue="1">
      <formula>$AB520=""</formula>
    </cfRule>
  </conditionalFormatting>
  <conditionalFormatting sqref="AB520">
    <cfRule type="expression" dxfId="1675" priority="1297">
      <formula>AND($HZ521=FALSE,$GQ521=TRUE)</formula>
    </cfRule>
  </conditionalFormatting>
  <conditionalFormatting sqref="AB525">
    <cfRule type="expression" dxfId="1674" priority="1292" stopIfTrue="1">
      <formula>$N528="BAM"</formula>
    </cfRule>
    <cfRule type="expression" dxfId="1673" priority="1294" stopIfTrue="1">
      <formula>$G525=""</formula>
    </cfRule>
    <cfRule type="expression" dxfId="1672" priority="1295" stopIfTrue="1">
      <formula>$AB525=""</formula>
    </cfRule>
  </conditionalFormatting>
  <conditionalFormatting sqref="AB525">
    <cfRule type="expression" dxfId="1671" priority="1293">
      <formula>AND($HZ526=FALSE,$GQ526=TRUE)</formula>
    </cfRule>
  </conditionalFormatting>
  <conditionalFormatting sqref="AB530">
    <cfRule type="expression" dxfId="1670" priority="1288" stopIfTrue="1">
      <formula>$N533="BAM"</formula>
    </cfRule>
    <cfRule type="expression" dxfId="1669" priority="1290" stopIfTrue="1">
      <formula>$G530=""</formula>
    </cfRule>
    <cfRule type="expression" dxfId="1668" priority="1291" stopIfTrue="1">
      <formula>$AB530=""</formula>
    </cfRule>
  </conditionalFormatting>
  <conditionalFormatting sqref="AB530">
    <cfRule type="expression" dxfId="1667" priority="1289">
      <formula>AND($HZ531=FALSE,$GQ531=TRUE)</formula>
    </cfRule>
  </conditionalFormatting>
  <conditionalFormatting sqref="AB535">
    <cfRule type="expression" dxfId="1666" priority="1284" stopIfTrue="1">
      <formula>$N538="BAM"</formula>
    </cfRule>
    <cfRule type="expression" dxfId="1665" priority="1286" stopIfTrue="1">
      <formula>$G535=""</formula>
    </cfRule>
    <cfRule type="expression" dxfId="1664" priority="1287" stopIfTrue="1">
      <formula>$AB535=""</formula>
    </cfRule>
  </conditionalFormatting>
  <conditionalFormatting sqref="AB535">
    <cfRule type="expression" dxfId="1663" priority="1285">
      <formula>AND($HZ536=FALSE,$GQ536=TRUE)</formula>
    </cfRule>
  </conditionalFormatting>
  <conditionalFormatting sqref="AB540">
    <cfRule type="expression" dxfId="1662" priority="1280" stopIfTrue="1">
      <formula>$N543="BAM"</formula>
    </cfRule>
    <cfRule type="expression" dxfId="1661" priority="1282" stopIfTrue="1">
      <formula>$G540=""</formula>
    </cfRule>
    <cfRule type="expression" dxfId="1660" priority="1283" stopIfTrue="1">
      <formula>$AB540=""</formula>
    </cfRule>
  </conditionalFormatting>
  <conditionalFormatting sqref="AB540">
    <cfRule type="expression" dxfId="1659" priority="1281">
      <formula>AND($HZ541=FALSE,$GQ541=TRUE)</formula>
    </cfRule>
  </conditionalFormatting>
  <conditionalFormatting sqref="AB545">
    <cfRule type="expression" dxfId="1658" priority="1276" stopIfTrue="1">
      <formula>$N548="BAM"</formula>
    </cfRule>
    <cfRule type="expression" dxfId="1657" priority="1278" stopIfTrue="1">
      <formula>$G545=""</formula>
    </cfRule>
    <cfRule type="expression" dxfId="1656" priority="1279" stopIfTrue="1">
      <formula>$AB545=""</formula>
    </cfRule>
  </conditionalFormatting>
  <conditionalFormatting sqref="AB545">
    <cfRule type="expression" dxfId="1655" priority="1277">
      <formula>AND($HZ546=FALSE,$GQ546=TRUE)</formula>
    </cfRule>
  </conditionalFormatting>
  <conditionalFormatting sqref="AB550">
    <cfRule type="expression" dxfId="1654" priority="1272" stopIfTrue="1">
      <formula>$N553="BAM"</formula>
    </cfRule>
    <cfRule type="expression" dxfId="1653" priority="1274" stopIfTrue="1">
      <formula>$G550=""</formula>
    </cfRule>
    <cfRule type="expression" dxfId="1652" priority="1275" stopIfTrue="1">
      <formula>$AB550=""</formula>
    </cfRule>
  </conditionalFormatting>
  <conditionalFormatting sqref="AB550">
    <cfRule type="expression" dxfId="1651" priority="1273">
      <formula>AND($HZ551=FALSE,$GQ551=TRUE)</formula>
    </cfRule>
  </conditionalFormatting>
  <conditionalFormatting sqref="AB555">
    <cfRule type="expression" dxfId="1650" priority="1268" stopIfTrue="1">
      <formula>$N558="BAM"</formula>
    </cfRule>
    <cfRule type="expression" dxfId="1649" priority="1270" stopIfTrue="1">
      <formula>$G555=""</formula>
    </cfRule>
    <cfRule type="expression" dxfId="1648" priority="1271" stopIfTrue="1">
      <formula>$AB555=""</formula>
    </cfRule>
  </conditionalFormatting>
  <conditionalFormatting sqref="AB555">
    <cfRule type="expression" dxfId="1647" priority="1269">
      <formula>AND($HZ556=FALSE,$GQ556=TRUE)</formula>
    </cfRule>
  </conditionalFormatting>
  <conditionalFormatting sqref="AB563">
    <cfRule type="expression" dxfId="1646" priority="1264" stopIfTrue="1">
      <formula>$N566="BAM"</formula>
    </cfRule>
    <cfRule type="expression" dxfId="1645" priority="1266" stopIfTrue="1">
      <formula>$G563=""</formula>
    </cfRule>
    <cfRule type="expression" dxfId="1644" priority="1267" stopIfTrue="1">
      <formula>$AB563=""</formula>
    </cfRule>
  </conditionalFormatting>
  <conditionalFormatting sqref="AB563">
    <cfRule type="expression" dxfId="1643" priority="1265">
      <formula>AND($HZ564=FALSE,$GQ564=TRUE)</formula>
    </cfRule>
  </conditionalFormatting>
  <conditionalFormatting sqref="AB568">
    <cfRule type="expression" dxfId="1642" priority="1260" stopIfTrue="1">
      <formula>$N571="BAM"</formula>
    </cfRule>
    <cfRule type="expression" dxfId="1641" priority="1262" stopIfTrue="1">
      <formula>$G568=""</formula>
    </cfRule>
    <cfRule type="expression" dxfId="1640" priority="1263" stopIfTrue="1">
      <formula>$AB568=""</formula>
    </cfRule>
  </conditionalFormatting>
  <conditionalFormatting sqref="AB568">
    <cfRule type="expression" dxfId="1639" priority="1261">
      <formula>AND($HZ569=FALSE,$GQ569=TRUE)</formula>
    </cfRule>
  </conditionalFormatting>
  <conditionalFormatting sqref="AB573">
    <cfRule type="expression" dxfId="1638" priority="1256" stopIfTrue="1">
      <formula>$N576="BAM"</formula>
    </cfRule>
    <cfRule type="expression" dxfId="1637" priority="1258" stopIfTrue="1">
      <formula>$G573=""</formula>
    </cfRule>
    <cfRule type="expression" dxfId="1636" priority="1259" stopIfTrue="1">
      <formula>$AB573=""</formula>
    </cfRule>
  </conditionalFormatting>
  <conditionalFormatting sqref="AB573">
    <cfRule type="expression" dxfId="1635" priority="1257">
      <formula>AND($HZ574=FALSE,$GQ574=TRUE)</formula>
    </cfRule>
  </conditionalFormatting>
  <conditionalFormatting sqref="AB578">
    <cfRule type="expression" dxfId="1634" priority="1252" stopIfTrue="1">
      <formula>$N581="BAM"</formula>
    </cfRule>
    <cfRule type="expression" dxfId="1633" priority="1254" stopIfTrue="1">
      <formula>$G578=""</formula>
    </cfRule>
    <cfRule type="expression" dxfId="1632" priority="1255" stopIfTrue="1">
      <formula>$AB578=""</formula>
    </cfRule>
  </conditionalFormatting>
  <conditionalFormatting sqref="AB578">
    <cfRule type="expression" dxfId="1631" priority="1253">
      <formula>AND($HZ579=FALSE,$GQ579=TRUE)</formula>
    </cfRule>
  </conditionalFormatting>
  <conditionalFormatting sqref="AB583">
    <cfRule type="expression" dxfId="1630" priority="1248" stopIfTrue="1">
      <formula>$N586="BAM"</formula>
    </cfRule>
    <cfRule type="expression" dxfId="1629" priority="1250" stopIfTrue="1">
      <formula>$G583=""</formula>
    </cfRule>
    <cfRule type="expression" dxfId="1628" priority="1251" stopIfTrue="1">
      <formula>$AB583=""</formula>
    </cfRule>
  </conditionalFormatting>
  <conditionalFormatting sqref="AB583">
    <cfRule type="expression" dxfId="1627" priority="1249">
      <formula>AND($HZ584=FALSE,$GQ584=TRUE)</formula>
    </cfRule>
  </conditionalFormatting>
  <conditionalFormatting sqref="AB588">
    <cfRule type="expression" dxfId="1626" priority="1244" stopIfTrue="1">
      <formula>$N591="BAM"</formula>
    </cfRule>
    <cfRule type="expression" dxfId="1625" priority="1246" stopIfTrue="1">
      <formula>$G588=""</formula>
    </cfRule>
    <cfRule type="expression" dxfId="1624" priority="1247" stopIfTrue="1">
      <formula>$AB588=""</formula>
    </cfRule>
  </conditionalFormatting>
  <conditionalFormatting sqref="AB588">
    <cfRule type="expression" dxfId="1623" priority="1245">
      <formula>AND($HZ589=FALSE,$GQ589=TRUE)</formula>
    </cfRule>
  </conditionalFormatting>
  <conditionalFormatting sqref="AB593">
    <cfRule type="expression" dxfId="1622" priority="1240" stopIfTrue="1">
      <formula>$N596="BAM"</formula>
    </cfRule>
    <cfRule type="expression" dxfId="1621" priority="1242" stopIfTrue="1">
      <formula>$G593=""</formula>
    </cfRule>
    <cfRule type="expression" dxfId="1620" priority="1243" stopIfTrue="1">
      <formula>$AB593=""</formula>
    </cfRule>
  </conditionalFormatting>
  <conditionalFormatting sqref="AB593">
    <cfRule type="expression" dxfId="1619" priority="1241">
      <formula>AND($HZ594=FALSE,$GQ594=TRUE)</formula>
    </cfRule>
  </conditionalFormatting>
  <conditionalFormatting sqref="AB598">
    <cfRule type="expression" dxfId="1618" priority="1236" stopIfTrue="1">
      <formula>$N601="BAM"</formula>
    </cfRule>
    <cfRule type="expression" dxfId="1617" priority="1238" stopIfTrue="1">
      <formula>$G598=""</formula>
    </cfRule>
    <cfRule type="expression" dxfId="1616" priority="1239" stopIfTrue="1">
      <formula>$AB598=""</formula>
    </cfRule>
  </conditionalFormatting>
  <conditionalFormatting sqref="AB598">
    <cfRule type="expression" dxfId="1615" priority="1237">
      <formula>AND($HZ599=FALSE,$GQ599=TRUE)</formula>
    </cfRule>
  </conditionalFormatting>
  <conditionalFormatting sqref="AB603">
    <cfRule type="expression" dxfId="1614" priority="1232" stopIfTrue="1">
      <formula>$N606="BAM"</formula>
    </cfRule>
    <cfRule type="expression" dxfId="1613" priority="1234" stopIfTrue="1">
      <formula>$G603=""</formula>
    </cfRule>
    <cfRule type="expression" dxfId="1612" priority="1235" stopIfTrue="1">
      <formula>$AB603=""</formula>
    </cfRule>
  </conditionalFormatting>
  <conditionalFormatting sqref="AB603">
    <cfRule type="expression" dxfId="1611" priority="1233">
      <formula>AND($HZ604=FALSE,$GQ604=TRUE)</formula>
    </cfRule>
  </conditionalFormatting>
  <conditionalFormatting sqref="AB608">
    <cfRule type="expression" dxfId="1610" priority="1228" stopIfTrue="1">
      <formula>$N611="BAM"</formula>
    </cfRule>
    <cfRule type="expression" dxfId="1609" priority="1230" stopIfTrue="1">
      <formula>$G608=""</formula>
    </cfRule>
    <cfRule type="expression" dxfId="1608" priority="1231" stopIfTrue="1">
      <formula>$AB608=""</formula>
    </cfRule>
  </conditionalFormatting>
  <conditionalFormatting sqref="AB608">
    <cfRule type="expression" dxfId="1607" priority="1229">
      <formula>AND($HZ609=FALSE,$GQ609=TRUE)</formula>
    </cfRule>
  </conditionalFormatting>
  <conditionalFormatting sqref="AB613">
    <cfRule type="expression" dxfId="1606" priority="1224" stopIfTrue="1">
      <formula>$N616="BAM"</formula>
    </cfRule>
    <cfRule type="expression" dxfId="1605" priority="1226" stopIfTrue="1">
      <formula>$G613=""</formula>
    </cfRule>
    <cfRule type="expression" dxfId="1604" priority="1227" stopIfTrue="1">
      <formula>$AB613=""</formula>
    </cfRule>
  </conditionalFormatting>
  <conditionalFormatting sqref="AB613">
    <cfRule type="expression" dxfId="1603" priority="1225">
      <formula>AND($HZ614=FALSE,$GQ614=TRUE)</formula>
    </cfRule>
  </conditionalFormatting>
  <conditionalFormatting sqref="AB618">
    <cfRule type="expression" dxfId="1602" priority="1220" stopIfTrue="1">
      <formula>$N621="BAM"</formula>
    </cfRule>
    <cfRule type="expression" dxfId="1601" priority="1222" stopIfTrue="1">
      <formula>$G618=""</formula>
    </cfRule>
    <cfRule type="expression" dxfId="1600" priority="1223" stopIfTrue="1">
      <formula>$AB618=""</formula>
    </cfRule>
  </conditionalFormatting>
  <conditionalFormatting sqref="AB618">
    <cfRule type="expression" dxfId="1599" priority="1221">
      <formula>AND($HZ619=FALSE,$GQ619=TRUE)</formula>
    </cfRule>
  </conditionalFormatting>
  <conditionalFormatting sqref="AB623">
    <cfRule type="expression" dxfId="1598" priority="1216" stopIfTrue="1">
      <formula>$N626="BAM"</formula>
    </cfRule>
    <cfRule type="expression" dxfId="1597" priority="1218" stopIfTrue="1">
      <formula>$G623=""</formula>
    </cfRule>
    <cfRule type="expression" dxfId="1596" priority="1219" stopIfTrue="1">
      <formula>$AB623=""</formula>
    </cfRule>
  </conditionalFormatting>
  <conditionalFormatting sqref="AB623">
    <cfRule type="expression" dxfId="1595" priority="1217">
      <formula>AND($HZ624=FALSE,$GQ624=TRUE)</formula>
    </cfRule>
  </conditionalFormatting>
  <conditionalFormatting sqref="AB628">
    <cfRule type="expression" dxfId="1594" priority="1212" stopIfTrue="1">
      <formula>$N631="BAM"</formula>
    </cfRule>
    <cfRule type="expression" dxfId="1593" priority="1214" stopIfTrue="1">
      <formula>$G628=""</formula>
    </cfRule>
    <cfRule type="expression" dxfId="1592" priority="1215" stopIfTrue="1">
      <formula>$AB628=""</formula>
    </cfRule>
  </conditionalFormatting>
  <conditionalFormatting sqref="AB628">
    <cfRule type="expression" dxfId="1591" priority="1213">
      <formula>AND($HZ629=FALSE,$GQ629=TRUE)</formula>
    </cfRule>
  </conditionalFormatting>
  <conditionalFormatting sqref="AB633">
    <cfRule type="expression" dxfId="1590" priority="1208" stopIfTrue="1">
      <formula>$N636="BAM"</formula>
    </cfRule>
    <cfRule type="expression" dxfId="1589" priority="1210" stopIfTrue="1">
      <formula>$G633=""</formula>
    </cfRule>
    <cfRule type="expression" dxfId="1588" priority="1211" stopIfTrue="1">
      <formula>$AB633=""</formula>
    </cfRule>
  </conditionalFormatting>
  <conditionalFormatting sqref="AB633">
    <cfRule type="expression" dxfId="1587" priority="1209">
      <formula>AND($HZ634=FALSE,$GQ634=TRUE)</formula>
    </cfRule>
  </conditionalFormatting>
  <conditionalFormatting sqref="AB641">
    <cfRule type="expression" dxfId="1586" priority="1204" stopIfTrue="1">
      <formula>$N644="BAM"</formula>
    </cfRule>
    <cfRule type="expression" dxfId="1585" priority="1206" stopIfTrue="1">
      <formula>$G641=""</formula>
    </cfRule>
    <cfRule type="expression" dxfId="1584" priority="1207" stopIfTrue="1">
      <formula>$AB641=""</formula>
    </cfRule>
  </conditionalFormatting>
  <conditionalFormatting sqref="AB641">
    <cfRule type="expression" dxfId="1583" priority="1205">
      <formula>AND($HZ642=FALSE,$GQ642=TRUE)</formula>
    </cfRule>
  </conditionalFormatting>
  <conditionalFormatting sqref="AB646">
    <cfRule type="expression" dxfId="1582" priority="1200" stopIfTrue="1">
      <formula>$N649="BAM"</formula>
    </cfRule>
    <cfRule type="expression" dxfId="1581" priority="1202" stopIfTrue="1">
      <formula>$G646=""</formula>
    </cfRule>
    <cfRule type="expression" dxfId="1580" priority="1203" stopIfTrue="1">
      <formula>$AB646=""</formula>
    </cfRule>
  </conditionalFormatting>
  <conditionalFormatting sqref="AB646">
    <cfRule type="expression" dxfId="1579" priority="1201">
      <formula>AND($HZ647=FALSE,$GQ647=TRUE)</formula>
    </cfRule>
  </conditionalFormatting>
  <conditionalFormatting sqref="AB651">
    <cfRule type="expression" dxfId="1578" priority="1196" stopIfTrue="1">
      <formula>$N654="BAM"</formula>
    </cfRule>
    <cfRule type="expression" dxfId="1577" priority="1198" stopIfTrue="1">
      <formula>$G651=""</formula>
    </cfRule>
    <cfRule type="expression" dxfId="1576" priority="1199" stopIfTrue="1">
      <formula>$AB651=""</formula>
    </cfRule>
  </conditionalFormatting>
  <conditionalFormatting sqref="AB651">
    <cfRule type="expression" dxfId="1575" priority="1197">
      <formula>AND($HZ652=FALSE,$GQ652=TRUE)</formula>
    </cfRule>
  </conditionalFormatting>
  <conditionalFormatting sqref="AB656">
    <cfRule type="expression" dxfId="1574" priority="1192" stopIfTrue="1">
      <formula>$N659="BAM"</formula>
    </cfRule>
    <cfRule type="expression" dxfId="1573" priority="1194" stopIfTrue="1">
      <formula>$G656=""</formula>
    </cfRule>
    <cfRule type="expression" dxfId="1572" priority="1195" stopIfTrue="1">
      <formula>$AB656=""</formula>
    </cfRule>
  </conditionalFormatting>
  <conditionalFormatting sqref="AB656">
    <cfRule type="expression" dxfId="1571" priority="1193">
      <formula>AND($HZ657=FALSE,$GQ657=TRUE)</formula>
    </cfRule>
  </conditionalFormatting>
  <conditionalFormatting sqref="AB661">
    <cfRule type="expression" dxfId="1570" priority="1188" stopIfTrue="1">
      <formula>$N664="BAM"</formula>
    </cfRule>
    <cfRule type="expression" dxfId="1569" priority="1190" stopIfTrue="1">
      <formula>$G661=""</formula>
    </cfRule>
    <cfRule type="expression" dxfId="1568" priority="1191" stopIfTrue="1">
      <formula>$AB661=""</formula>
    </cfRule>
  </conditionalFormatting>
  <conditionalFormatting sqref="AB661">
    <cfRule type="expression" dxfId="1567" priority="1189">
      <formula>AND($HZ662=FALSE,$GQ662=TRUE)</formula>
    </cfRule>
  </conditionalFormatting>
  <conditionalFormatting sqref="AB666">
    <cfRule type="expression" dxfId="1566" priority="1184" stopIfTrue="1">
      <formula>$N669="BAM"</formula>
    </cfRule>
    <cfRule type="expression" dxfId="1565" priority="1186" stopIfTrue="1">
      <formula>$G666=""</formula>
    </cfRule>
    <cfRule type="expression" dxfId="1564" priority="1187" stopIfTrue="1">
      <formula>$AB666=""</formula>
    </cfRule>
  </conditionalFormatting>
  <conditionalFormatting sqref="AB666">
    <cfRule type="expression" dxfId="1563" priority="1185">
      <formula>AND($HZ667=FALSE,$GQ667=TRUE)</formula>
    </cfRule>
  </conditionalFormatting>
  <conditionalFormatting sqref="AB671">
    <cfRule type="expression" dxfId="1562" priority="1180" stopIfTrue="1">
      <formula>$N674="BAM"</formula>
    </cfRule>
    <cfRule type="expression" dxfId="1561" priority="1182" stopIfTrue="1">
      <formula>$G671=""</formula>
    </cfRule>
    <cfRule type="expression" dxfId="1560" priority="1183" stopIfTrue="1">
      <formula>$AB671=""</formula>
    </cfRule>
  </conditionalFormatting>
  <conditionalFormatting sqref="AB671">
    <cfRule type="expression" dxfId="1559" priority="1181">
      <formula>AND($HZ672=FALSE,$GQ672=TRUE)</formula>
    </cfRule>
  </conditionalFormatting>
  <conditionalFormatting sqref="AB676">
    <cfRule type="expression" dxfId="1558" priority="1176" stopIfTrue="1">
      <formula>$N679="BAM"</formula>
    </cfRule>
    <cfRule type="expression" dxfId="1557" priority="1178" stopIfTrue="1">
      <formula>$G676=""</formula>
    </cfRule>
    <cfRule type="expression" dxfId="1556" priority="1179" stopIfTrue="1">
      <formula>$AB676=""</formula>
    </cfRule>
  </conditionalFormatting>
  <conditionalFormatting sqref="AB676">
    <cfRule type="expression" dxfId="1555" priority="1177">
      <formula>AND($HZ677=FALSE,$GQ677=TRUE)</formula>
    </cfRule>
  </conditionalFormatting>
  <conditionalFormatting sqref="AB681">
    <cfRule type="expression" dxfId="1554" priority="1172" stopIfTrue="1">
      <formula>$N684="BAM"</formula>
    </cfRule>
    <cfRule type="expression" dxfId="1553" priority="1174" stopIfTrue="1">
      <formula>$G681=""</formula>
    </cfRule>
    <cfRule type="expression" dxfId="1552" priority="1175" stopIfTrue="1">
      <formula>$AB681=""</formula>
    </cfRule>
  </conditionalFormatting>
  <conditionalFormatting sqref="AB681">
    <cfRule type="expression" dxfId="1551" priority="1173">
      <formula>AND($HZ682=FALSE,$GQ682=TRUE)</formula>
    </cfRule>
  </conditionalFormatting>
  <conditionalFormatting sqref="AB686">
    <cfRule type="expression" dxfId="1550" priority="1168" stopIfTrue="1">
      <formula>$N689="BAM"</formula>
    </cfRule>
    <cfRule type="expression" dxfId="1549" priority="1170" stopIfTrue="1">
      <formula>$G686=""</formula>
    </cfRule>
    <cfRule type="expression" dxfId="1548" priority="1171" stopIfTrue="1">
      <formula>$AB686=""</formula>
    </cfRule>
  </conditionalFormatting>
  <conditionalFormatting sqref="AB686">
    <cfRule type="expression" dxfId="1547" priority="1169">
      <formula>AND($HZ687=FALSE,$GQ687=TRUE)</formula>
    </cfRule>
  </conditionalFormatting>
  <conditionalFormatting sqref="AB691">
    <cfRule type="expression" dxfId="1546" priority="1164" stopIfTrue="1">
      <formula>$N694="BAM"</formula>
    </cfRule>
    <cfRule type="expression" dxfId="1545" priority="1166" stopIfTrue="1">
      <formula>$G691=""</formula>
    </cfRule>
    <cfRule type="expression" dxfId="1544" priority="1167" stopIfTrue="1">
      <formula>$AB691=""</formula>
    </cfRule>
  </conditionalFormatting>
  <conditionalFormatting sqref="AB691">
    <cfRule type="expression" dxfId="1543" priority="1165">
      <formula>AND($HZ692=FALSE,$GQ692=TRUE)</formula>
    </cfRule>
  </conditionalFormatting>
  <conditionalFormatting sqref="AB696">
    <cfRule type="expression" dxfId="1542" priority="1160" stopIfTrue="1">
      <formula>$N699="BAM"</formula>
    </cfRule>
    <cfRule type="expression" dxfId="1541" priority="1162" stopIfTrue="1">
      <formula>$G696=""</formula>
    </cfRule>
    <cfRule type="expression" dxfId="1540" priority="1163" stopIfTrue="1">
      <formula>$AB696=""</formula>
    </cfRule>
  </conditionalFormatting>
  <conditionalFormatting sqref="AB696">
    <cfRule type="expression" dxfId="1539" priority="1161">
      <formula>AND($HZ697=FALSE,$GQ697=TRUE)</formula>
    </cfRule>
  </conditionalFormatting>
  <conditionalFormatting sqref="AB701">
    <cfRule type="expression" dxfId="1538" priority="1156" stopIfTrue="1">
      <formula>$N704="BAM"</formula>
    </cfRule>
    <cfRule type="expression" dxfId="1537" priority="1158" stopIfTrue="1">
      <formula>$G701=""</formula>
    </cfRule>
    <cfRule type="expression" dxfId="1536" priority="1159" stopIfTrue="1">
      <formula>$AB701=""</formula>
    </cfRule>
  </conditionalFormatting>
  <conditionalFormatting sqref="AB701">
    <cfRule type="expression" dxfId="1535" priority="1157">
      <formula>AND($HZ702=FALSE,$GQ702=TRUE)</formula>
    </cfRule>
  </conditionalFormatting>
  <conditionalFormatting sqref="AB706">
    <cfRule type="expression" dxfId="1534" priority="1152" stopIfTrue="1">
      <formula>$N709="BAM"</formula>
    </cfRule>
    <cfRule type="expression" dxfId="1533" priority="1154" stopIfTrue="1">
      <formula>$G706=""</formula>
    </cfRule>
    <cfRule type="expression" dxfId="1532" priority="1155" stopIfTrue="1">
      <formula>$AB706=""</formula>
    </cfRule>
  </conditionalFormatting>
  <conditionalFormatting sqref="AB706">
    <cfRule type="expression" dxfId="1531" priority="1153">
      <formula>AND($HZ707=FALSE,$GQ707=TRUE)</formula>
    </cfRule>
  </conditionalFormatting>
  <conditionalFormatting sqref="AB711">
    <cfRule type="expression" dxfId="1530" priority="1148" stopIfTrue="1">
      <formula>$N714="BAM"</formula>
    </cfRule>
    <cfRule type="expression" dxfId="1529" priority="1150" stopIfTrue="1">
      <formula>$G711=""</formula>
    </cfRule>
    <cfRule type="expression" dxfId="1528" priority="1151" stopIfTrue="1">
      <formula>$AB711=""</formula>
    </cfRule>
  </conditionalFormatting>
  <conditionalFormatting sqref="AB711">
    <cfRule type="expression" dxfId="1527" priority="1149">
      <formula>AND($HZ712=FALSE,$GQ712=TRUE)</formula>
    </cfRule>
  </conditionalFormatting>
  <conditionalFormatting sqref="AB719">
    <cfRule type="expression" dxfId="1526" priority="1144" stopIfTrue="1">
      <formula>$N722="BAM"</formula>
    </cfRule>
    <cfRule type="expression" dxfId="1525" priority="1146" stopIfTrue="1">
      <formula>$G719=""</formula>
    </cfRule>
    <cfRule type="expression" dxfId="1524" priority="1147" stopIfTrue="1">
      <formula>$AB719=""</formula>
    </cfRule>
  </conditionalFormatting>
  <conditionalFormatting sqref="AB719">
    <cfRule type="expression" dxfId="1523" priority="1145">
      <formula>AND($HZ720=FALSE,$GQ720=TRUE)</formula>
    </cfRule>
  </conditionalFormatting>
  <conditionalFormatting sqref="AB724">
    <cfRule type="expression" dxfId="1522" priority="1140" stopIfTrue="1">
      <formula>$N727="BAM"</formula>
    </cfRule>
    <cfRule type="expression" dxfId="1521" priority="1142" stopIfTrue="1">
      <formula>$G724=""</formula>
    </cfRule>
    <cfRule type="expression" dxfId="1520" priority="1143" stopIfTrue="1">
      <formula>$AB724=""</formula>
    </cfRule>
  </conditionalFormatting>
  <conditionalFormatting sqref="AB724">
    <cfRule type="expression" dxfId="1519" priority="1141">
      <formula>AND($HZ725=FALSE,$GQ725=TRUE)</formula>
    </cfRule>
  </conditionalFormatting>
  <conditionalFormatting sqref="AB729">
    <cfRule type="expression" dxfId="1518" priority="1136" stopIfTrue="1">
      <formula>$N732="BAM"</formula>
    </cfRule>
    <cfRule type="expression" dxfId="1517" priority="1138" stopIfTrue="1">
      <formula>$G729=""</formula>
    </cfRule>
    <cfRule type="expression" dxfId="1516" priority="1139" stopIfTrue="1">
      <formula>$AB729=""</formula>
    </cfRule>
  </conditionalFormatting>
  <conditionalFormatting sqref="AB729">
    <cfRule type="expression" dxfId="1515" priority="1137">
      <formula>AND($HZ730=FALSE,$GQ730=TRUE)</formula>
    </cfRule>
  </conditionalFormatting>
  <conditionalFormatting sqref="AB734">
    <cfRule type="expression" dxfId="1514" priority="1132" stopIfTrue="1">
      <formula>$N737="BAM"</formula>
    </cfRule>
    <cfRule type="expression" dxfId="1513" priority="1134" stopIfTrue="1">
      <formula>$G734=""</formula>
    </cfRule>
    <cfRule type="expression" dxfId="1512" priority="1135" stopIfTrue="1">
      <formula>$AB734=""</formula>
    </cfRule>
  </conditionalFormatting>
  <conditionalFormatting sqref="AB734">
    <cfRule type="expression" dxfId="1511" priority="1133">
      <formula>AND($HZ735=FALSE,$GQ735=TRUE)</formula>
    </cfRule>
  </conditionalFormatting>
  <conditionalFormatting sqref="AB739">
    <cfRule type="expression" dxfId="1510" priority="1128" stopIfTrue="1">
      <formula>$N742="BAM"</formula>
    </cfRule>
    <cfRule type="expression" dxfId="1509" priority="1130" stopIfTrue="1">
      <formula>$G739=""</formula>
    </cfRule>
    <cfRule type="expression" dxfId="1508" priority="1131" stopIfTrue="1">
      <formula>$AB739=""</formula>
    </cfRule>
  </conditionalFormatting>
  <conditionalFormatting sqref="AB739">
    <cfRule type="expression" dxfId="1507" priority="1129">
      <formula>AND($HZ740=FALSE,$GQ740=TRUE)</formula>
    </cfRule>
  </conditionalFormatting>
  <conditionalFormatting sqref="AB744">
    <cfRule type="expression" dxfId="1506" priority="1124" stopIfTrue="1">
      <formula>$N747="BAM"</formula>
    </cfRule>
    <cfRule type="expression" dxfId="1505" priority="1126" stopIfTrue="1">
      <formula>$G744=""</formula>
    </cfRule>
    <cfRule type="expression" dxfId="1504" priority="1127" stopIfTrue="1">
      <formula>$AB744=""</formula>
    </cfRule>
  </conditionalFormatting>
  <conditionalFormatting sqref="AB744">
    <cfRule type="expression" dxfId="1503" priority="1125">
      <formula>AND($HZ745=FALSE,$GQ745=TRUE)</formula>
    </cfRule>
  </conditionalFormatting>
  <conditionalFormatting sqref="AB749">
    <cfRule type="expression" dxfId="1502" priority="1120" stopIfTrue="1">
      <formula>$N752="BAM"</formula>
    </cfRule>
    <cfRule type="expression" dxfId="1501" priority="1122" stopIfTrue="1">
      <formula>$G749=""</formula>
    </cfRule>
    <cfRule type="expression" dxfId="1500" priority="1123" stopIfTrue="1">
      <formula>$AB749=""</formula>
    </cfRule>
  </conditionalFormatting>
  <conditionalFormatting sqref="AB749">
    <cfRule type="expression" dxfId="1499" priority="1121">
      <formula>AND($HZ750=FALSE,$GQ750=TRUE)</formula>
    </cfRule>
  </conditionalFormatting>
  <conditionalFormatting sqref="AB754">
    <cfRule type="expression" dxfId="1498" priority="1116" stopIfTrue="1">
      <formula>$N757="BAM"</formula>
    </cfRule>
    <cfRule type="expression" dxfId="1497" priority="1118" stopIfTrue="1">
      <formula>$G754=""</formula>
    </cfRule>
    <cfRule type="expression" dxfId="1496" priority="1119" stopIfTrue="1">
      <formula>$AB754=""</formula>
    </cfRule>
  </conditionalFormatting>
  <conditionalFormatting sqref="AB754">
    <cfRule type="expression" dxfId="1495" priority="1117">
      <formula>AND($HZ755=FALSE,$GQ755=TRUE)</formula>
    </cfRule>
  </conditionalFormatting>
  <conditionalFormatting sqref="AB759">
    <cfRule type="expression" dxfId="1494" priority="1112" stopIfTrue="1">
      <formula>$N762="BAM"</formula>
    </cfRule>
    <cfRule type="expression" dxfId="1493" priority="1114" stopIfTrue="1">
      <formula>$G759=""</formula>
    </cfRule>
    <cfRule type="expression" dxfId="1492" priority="1115" stopIfTrue="1">
      <formula>$AB759=""</formula>
    </cfRule>
  </conditionalFormatting>
  <conditionalFormatting sqref="AB759">
    <cfRule type="expression" dxfId="1491" priority="1113">
      <formula>AND($HZ760=FALSE,$GQ760=TRUE)</formula>
    </cfRule>
  </conditionalFormatting>
  <conditionalFormatting sqref="AB764">
    <cfRule type="expression" dxfId="1490" priority="1108" stopIfTrue="1">
      <formula>$N767="BAM"</formula>
    </cfRule>
    <cfRule type="expression" dxfId="1489" priority="1110" stopIfTrue="1">
      <formula>$G764=""</formula>
    </cfRule>
    <cfRule type="expression" dxfId="1488" priority="1111" stopIfTrue="1">
      <formula>$AB764=""</formula>
    </cfRule>
  </conditionalFormatting>
  <conditionalFormatting sqref="AB764">
    <cfRule type="expression" dxfId="1487" priority="1109">
      <formula>AND($HZ765=FALSE,$GQ765=TRUE)</formula>
    </cfRule>
  </conditionalFormatting>
  <conditionalFormatting sqref="AB769">
    <cfRule type="expression" dxfId="1486" priority="1104" stopIfTrue="1">
      <formula>$N772="BAM"</formula>
    </cfRule>
    <cfRule type="expression" dxfId="1485" priority="1106" stopIfTrue="1">
      <formula>$G769=""</formula>
    </cfRule>
    <cfRule type="expression" dxfId="1484" priority="1107" stopIfTrue="1">
      <formula>$AB769=""</formula>
    </cfRule>
  </conditionalFormatting>
  <conditionalFormatting sqref="AB769">
    <cfRule type="expression" dxfId="1483" priority="1105">
      <formula>AND($HZ770=FALSE,$GQ770=TRUE)</formula>
    </cfRule>
  </conditionalFormatting>
  <conditionalFormatting sqref="AB774">
    <cfRule type="expression" dxfId="1482" priority="1100" stopIfTrue="1">
      <formula>$N777="BAM"</formula>
    </cfRule>
    <cfRule type="expression" dxfId="1481" priority="1102" stopIfTrue="1">
      <formula>$G774=""</formula>
    </cfRule>
    <cfRule type="expression" dxfId="1480" priority="1103" stopIfTrue="1">
      <formula>$AB774=""</formula>
    </cfRule>
  </conditionalFormatting>
  <conditionalFormatting sqref="AB774">
    <cfRule type="expression" dxfId="1479" priority="1101">
      <formula>AND($HZ775=FALSE,$GQ775=TRUE)</formula>
    </cfRule>
  </conditionalFormatting>
  <conditionalFormatting sqref="AB779">
    <cfRule type="expression" dxfId="1478" priority="1096" stopIfTrue="1">
      <formula>$N782="BAM"</formula>
    </cfRule>
    <cfRule type="expression" dxfId="1477" priority="1098" stopIfTrue="1">
      <formula>$G779=""</formula>
    </cfRule>
    <cfRule type="expression" dxfId="1476" priority="1099" stopIfTrue="1">
      <formula>$AB779=""</formula>
    </cfRule>
  </conditionalFormatting>
  <conditionalFormatting sqref="AB779">
    <cfRule type="expression" dxfId="1475" priority="1097">
      <formula>AND($HZ780=FALSE,$GQ780=TRUE)</formula>
    </cfRule>
  </conditionalFormatting>
  <conditionalFormatting sqref="AB784">
    <cfRule type="expression" dxfId="1474" priority="1092" stopIfTrue="1">
      <formula>$N787="BAM"</formula>
    </cfRule>
    <cfRule type="expression" dxfId="1473" priority="1094" stopIfTrue="1">
      <formula>$G784=""</formula>
    </cfRule>
    <cfRule type="expression" dxfId="1472" priority="1095" stopIfTrue="1">
      <formula>$AB784=""</formula>
    </cfRule>
  </conditionalFormatting>
  <conditionalFormatting sqref="AB784">
    <cfRule type="expression" dxfId="1471" priority="1093">
      <formula>AND($HZ785=FALSE,$GQ785=TRUE)</formula>
    </cfRule>
  </conditionalFormatting>
  <conditionalFormatting sqref="AB789">
    <cfRule type="expression" dxfId="1470" priority="1088" stopIfTrue="1">
      <formula>$N792="BAM"</formula>
    </cfRule>
    <cfRule type="expression" dxfId="1469" priority="1090" stopIfTrue="1">
      <formula>$G789=""</formula>
    </cfRule>
    <cfRule type="expression" dxfId="1468" priority="1091" stopIfTrue="1">
      <formula>$AB789=""</formula>
    </cfRule>
  </conditionalFormatting>
  <conditionalFormatting sqref="AB789">
    <cfRule type="expression" dxfId="1467" priority="1089">
      <formula>AND($HZ790=FALSE,$GQ790=TRUE)</formula>
    </cfRule>
  </conditionalFormatting>
  <conditionalFormatting sqref="AB757">
    <cfRule type="expression" dxfId="1466" priority="515" stopIfTrue="1">
      <formula>$G754=""</formula>
    </cfRule>
  </conditionalFormatting>
  <conditionalFormatting sqref="AB757">
    <cfRule type="expression" dxfId="1465" priority="512" stopIfTrue="1">
      <formula>$N757="BAM"</formula>
    </cfRule>
    <cfRule type="expression" dxfId="1464" priority="514" stopIfTrue="1">
      <formula>$AB757=""</formula>
    </cfRule>
  </conditionalFormatting>
  <conditionalFormatting sqref="AB55">
    <cfRule type="expression" dxfId="1463" priority="1055" stopIfTrue="1">
      <formula>$G52=""</formula>
    </cfRule>
  </conditionalFormatting>
  <conditionalFormatting sqref="AB55">
    <cfRule type="expression" dxfId="1462" priority="1052" stopIfTrue="1">
      <formula>$N55="BAM"</formula>
    </cfRule>
    <cfRule type="expression" dxfId="1461" priority="1054" stopIfTrue="1">
      <formula>$AB55=""</formula>
    </cfRule>
  </conditionalFormatting>
  <conditionalFormatting sqref="AB55">
    <cfRule type="expression" dxfId="1460" priority="1053">
      <formula>AND($HZ53=FALSE,$GQ53=TRUE)</formula>
    </cfRule>
  </conditionalFormatting>
  <conditionalFormatting sqref="AB60">
    <cfRule type="expression" dxfId="1459" priority="1051" stopIfTrue="1">
      <formula>$G57=""</formula>
    </cfRule>
  </conditionalFormatting>
  <conditionalFormatting sqref="AB60">
    <cfRule type="expression" dxfId="1458" priority="1048" stopIfTrue="1">
      <formula>$N60="BAM"</formula>
    </cfRule>
    <cfRule type="expression" dxfId="1457" priority="1050" stopIfTrue="1">
      <formula>$AB60=""</formula>
    </cfRule>
  </conditionalFormatting>
  <conditionalFormatting sqref="AB60">
    <cfRule type="expression" dxfId="1456" priority="1049">
      <formula>AND($HZ58=FALSE,$GQ58=TRUE)</formula>
    </cfRule>
  </conditionalFormatting>
  <conditionalFormatting sqref="AB65">
    <cfRule type="expression" dxfId="1455" priority="1047" stopIfTrue="1">
      <formula>$G62=""</formula>
    </cfRule>
  </conditionalFormatting>
  <conditionalFormatting sqref="AB65">
    <cfRule type="expression" dxfId="1454" priority="1044" stopIfTrue="1">
      <formula>$N65="BAM"</formula>
    </cfRule>
    <cfRule type="expression" dxfId="1453" priority="1046" stopIfTrue="1">
      <formula>$AB65=""</formula>
    </cfRule>
  </conditionalFormatting>
  <conditionalFormatting sqref="AB65">
    <cfRule type="expression" dxfId="1452" priority="1045">
      <formula>AND($HZ63=FALSE,$GQ63=TRUE)</formula>
    </cfRule>
  </conditionalFormatting>
  <conditionalFormatting sqref="AB70">
    <cfRule type="expression" dxfId="1451" priority="1043" stopIfTrue="1">
      <formula>$G67=""</formula>
    </cfRule>
  </conditionalFormatting>
  <conditionalFormatting sqref="AB70">
    <cfRule type="expression" dxfId="1450" priority="1040" stopIfTrue="1">
      <formula>$N70="BAM"</formula>
    </cfRule>
    <cfRule type="expression" dxfId="1449" priority="1042" stopIfTrue="1">
      <formula>$AB70=""</formula>
    </cfRule>
  </conditionalFormatting>
  <conditionalFormatting sqref="AB70">
    <cfRule type="expression" dxfId="1448" priority="1041">
      <formula>AND($HZ68=FALSE,$GQ68=TRUE)</formula>
    </cfRule>
  </conditionalFormatting>
  <conditionalFormatting sqref="AB75">
    <cfRule type="expression" dxfId="1447" priority="1039" stopIfTrue="1">
      <formula>$G72=""</formula>
    </cfRule>
  </conditionalFormatting>
  <conditionalFormatting sqref="AB75">
    <cfRule type="expression" dxfId="1446" priority="1036" stopIfTrue="1">
      <formula>$N75="BAM"</formula>
    </cfRule>
    <cfRule type="expression" dxfId="1445" priority="1038" stopIfTrue="1">
      <formula>$AB75=""</formula>
    </cfRule>
  </conditionalFormatting>
  <conditionalFormatting sqref="AB75">
    <cfRule type="expression" dxfId="1444" priority="1037">
      <formula>AND($HZ73=FALSE,$GQ73=TRUE)</formula>
    </cfRule>
  </conditionalFormatting>
  <conditionalFormatting sqref="AB80">
    <cfRule type="expression" dxfId="1443" priority="1035" stopIfTrue="1">
      <formula>$G77=""</formula>
    </cfRule>
  </conditionalFormatting>
  <conditionalFormatting sqref="AB80">
    <cfRule type="expression" dxfId="1442" priority="1032" stopIfTrue="1">
      <formula>$N80="BAM"</formula>
    </cfRule>
    <cfRule type="expression" dxfId="1441" priority="1034" stopIfTrue="1">
      <formula>$AB80=""</formula>
    </cfRule>
  </conditionalFormatting>
  <conditionalFormatting sqref="AB80">
    <cfRule type="expression" dxfId="1440" priority="1033">
      <formula>AND($HZ78=FALSE,$GQ78=TRUE)</formula>
    </cfRule>
  </conditionalFormatting>
  <conditionalFormatting sqref="AB85">
    <cfRule type="expression" dxfId="1439" priority="1031" stopIfTrue="1">
      <formula>$G82=""</formula>
    </cfRule>
  </conditionalFormatting>
  <conditionalFormatting sqref="AB85">
    <cfRule type="expression" dxfId="1438" priority="1028" stopIfTrue="1">
      <formula>$N85="BAM"</formula>
    </cfRule>
    <cfRule type="expression" dxfId="1437" priority="1030" stopIfTrue="1">
      <formula>$AB85=""</formula>
    </cfRule>
  </conditionalFormatting>
  <conditionalFormatting sqref="AB85">
    <cfRule type="expression" dxfId="1436" priority="1029">
      <formula>AND($HZ83=FALSE,$GQ83=TRUE)</formula>
    </cfRule>
  </conditionalFormatting>
  <conditionalFormatting sqref="AB90">
    <cfRule type="expression" dxfId="1435" priority="1027" stopIfTrue="1">
      <formula>$G87=""</formula>
    </cfRule>
  </conditionalFormatting>
  <conditionalFormatting sqref="AB90">
    <cfRule type="expression" dxfId="1434" priority="1024" stopIfTrue="1">
      <formula>$N90="BAM"</formula>
    </cfRule>
    <cfRule type="expression" dxfId="1433" priority="1026" stopIfTrue="1">
      <formula>$AB90=""</formula>
    </cfRule>
  </conditionalFormatting>
  <conditionalFormatting sqref="AB90">
    <cfRule type="expression" dxfId="1432" priority="1025">
      <formula>AND($HZ88=FALSE,$GQ88=TRUE)</formula>
    </cfRule>
  </conditionalFormatting>
  <conditionalFormatting sqref="AB98">
    <cfRule type="expression" dxfId="1431" priority="1023" stopIfTrue="1">
      <formula>$G95=""</formula>
    </cfRule>
  </conditionalFormatting>
  <conditionalFormatting sqref="AB98">
    <cfRule type="expression" dxfId="1430" priority="1020" stopIfTrue="1">
      <formula>$N98="BAM"</formula>
    </cfRule>
    <cfRule type="expression" dxfId="1429" priority="1022" stopIfTrue="1">
      <formula>$AB98=""</formula>
    </cfRule>
  </conditionalFormatting>
  <conditionalFormatting sqref="AB98">
    <cfRule type="expression" dxfId="1428" priority="1021">
      <formula>AND($HZ96=FALSE,$GQ96=TRUE)</formula>
    </cfRule>
  </conditionalFormatting>
  <conditionalFormatting sqref="AB103">
    <cfRule type="expression" dxfId="1427" priority="1019" stopIfTrue="1">
      <formula>$G100=""</formula>
    </cfRule>
  </conditionalFormatting>
  <conditionalFormatting sqref="AB103">
    <cfRule type="expression" dxfId="1426" priority="1016" stopIfTrue="1">
      <formula>$N103="BAM"</formula>
    </cfRule>
    <cfRule type="expression" dxfId="1425" priority="1018" stopIfTrue="1">
      <formula>$AB103=""</formula>
    </cfRule>
  </conditionalFormatting>
  <conditionalFormatting sqref="AB103">
    <cfRule type="expression" dxfId="1424" priority="1017">
      <formula>AND($HZ101=FALSE,$GQ101=TRUE)</formula>
    </cfRule>
  </conditionalFormatting>
  <conditionalFormatting sqref="AB108">
    <cfRule type="expression" dxfId="1423" priority="1015" stopIfTrue="1">
      <formula>$G105=""</formula>
    </cfRule>
  </conditionalFormatting>
  <conditionalFormatting sqref="AB108">
    <cfRule type="expression" dxfId="1422" priority="1012" stopIfTrue="1">
      <formula>$N108="BAM"</formula>
    </cfRule>
    <cfRule type="expression" dxfId="1421" priority="1014" stopIfTrue="1">
      <formula>$AB108=""</formula>
    </cfRule>
  </conditionalFormatting>
  <conditionalFormatting sqref="AB108">
    <cfRule type="expression" dxfId="1420" priority="1013">
      <formula>AND($HZ106=FALSE,$GQ106=TRUE)</formula>
    </cfRule>
  </conditionalFormatting>
  <conditionalFormatting sqref="AB113">
    <cfRule type="expression" dxfId="1419" priority="1011" stopIfTrue="1">
      <formula>$G110=""</formula>
    </cfRule>
  </conditionalFormatting>
  <conditionalFormatting sqref="AB113">
    <cfRule type="expression" dxfId="1418" priority="1008" stopIfTrue="1">
      <formula>$N113="BAM"</formula>
    </cfRule>
    <cfRule type="expression" dxfId="1417" priority="1010" stopIfTrue="1">
      <formula>$AB113=""</formula>
    </cfRule>
  </conditionalFormatting>
  <conditionalFormatting sqref="AB113">
    <cfRule type="expression" dxfId="1416" priority="1009">
      <formula>AND($HZ111=FALSE,$GQ111=TRUE)</formula>
    </cfRule>
  </conditionalFormatting>
  <conditionalFormatting sqref="AB118">
    <cfRule type="expression" dxfId="1415" priority="1007" stopIfTrue="1">
      <formula>$G115=""</formula>
    </cfRule>
  </conditionalFormatting>
  <conditionalFormatting sqref="AB118">
    <cfRule type="expression" dxfId="1414" priority="1004" stopIfTrue="1">
      <formula>$N118="BAM"</formula>
    </cfRule>
    <cfRule type="expression" dxfId="1413" priority="1006" stopIfTrue="1">
      <formula>$AB118=""</formula>
    </cfRule>
  </conditionalFormatting>
  <conditionalFormatting sqref="AB118">
    <cfRule type="expression" dxfId="1412" priority="1005">
      <formula>AND($HZ116=FALSE,$GQ116=TRUE)</formula>
    </cfRule>
  </conditionalFormatting>
  <conditionalFormatting sqref="AB123">
    <cfRule type="expression" dxfId="1411" priority="1003" stopIfTrue="1">
      <formula>$G120=""</formula>
    </cfRule>
  </conditionalFormatting>
  <conditionalFormatting sqref="AB123">
    <cfRule type="expression" dxfId="1410" priority="1000" stopIfTrue="1">
      <formula>$N123="BAM"</formula>
    </cfRule>
    <cfRule type="expression" dxfId="1409" priority="1002" stopIfTrue="1">
      <formula>$AB123=""</formula>
    </cfRule>
  </conditionalFormatting>
  <conditionalFormatting sqref="AB123">
    <cfRule type="expression" dxfId="1408" priority="1001">
      <formula>AND($HZ121=FALSE,$GQ121=TRUE)</formula>
    </cfRule>
  </conditionalFormatting>
  <conditionalFormatting sqref="AB128">
    <cfRule type="expression" dxfId="1407" priority="999" stopIfTrue="1">
      <formula>$G125=""</formula>
    </cfRule>
  </conditionalFormatting>
  <conditionalFormatting sqref="AB128">
    <cfRule type="expression" dxfId="1406" priority="996" stopIfTrue="1">
      <formula>$N128="BAM"</formula>
    </cfRule>
    <cfRule type="expression" dxfId="1405" priority="998" stopIfTrue="1">
      <formula>$AB128=""</formula>
    </cfRule>
  </conditionalFormatting>
  <conditionalFormatting sqref="AB128">
    <cfRule type="expression" dxfId="1404" priority="997">
      <formula>AND($HZ126=FALSE,$GQ126=TRUE)</formula>
    </cfRule>
  </conditionalFormatting>
  <conditionalFormatting sqref="AB133">
    <cfRule type="expression" dxfId="1403" priority="995" stopIfTrue="1">
      <formula>$G130=""</formula>
    </cfRule>
  </conditionalFormatting>
  <conditionalFormatting sqref="AB133">
    <cfRule type="expression" dxfId="1402" priority="992" stopIfTrue="1">
      <formula>$N133="BAM"</formula>
    </cfRule>
    <cfRule type="expression" dxfId="1401" priority="994" stopIfTrue="1">
      <formula>$AB133=""</formula>
    </cfRule>
  </conditionalFormatting>
  <conditionalFormatting sqref="AB133">
    <cfRule type="expression" dxfId="1400" priority="993">
      <formula>AND($HZ131=FALSE,$GQ131=TRUE)</formula>
    </cfRule>
  </conditionalFormatting>
  <conditionalFormatting sqref="AB138">
    <cfRule type="expression" dxfId="1399" priority="991" stopIfTrue="1">
      <formula>$G135=""</formula>
    </cfRule>
  </conditionalFormatting>
  <conditionalFormatting sqref="AB138">
    <cfRule type="expression" dxfId="1398" priority="988" stopIfTrue="1">
      <formula>$N138="BAM"</formula>
    </cfRule>
    <cfRule type="expression" dxfId="1397" priority="990" stopIfTrue="1">
      <formula>$AB138=""</formula>
    </cfRule>
  </conditionalFormatting>
  <conditionalFormatting sqref="AB138">
    <cfRule type="expression" dxfId="1396" priority="989">
      <formula>AND($HZ136=FALSE,$GQ136=TRUE)</formula>
    </cfRule>
  </conditionalFormatting>
  <conditionalFormatting sqref="AB143">
    <cfRule type="expression" dxfId="1395" priority="987" stopIfTrue="1">
      <formula>$G140=""</formula>
    </cfRule>
  </conditionalFormatting>
  <conditionalFormatting sqref="AB143">
    <cfRule type="expression" dxfId="1394" priority="984" stopIfTrue="1">
      <formula>$N143="BAM"</formula>
    </cfRule>
    <cfRule type="expression" dxfId="1393" priority="986" stopIfTrue="1">
      <formula>$AB143=""</formula>
    </cfRule>
  </conditionalFormatting>
  <conditionalFormatting sqref="AB143">
    <cfRule type="expression" dxfId="1392" priority="985">
      <formula>AND($HZ141=FALSE,$GQ141=TRUE)</formula>
    </cfRule>
  </conditionalFormatting>
  <conditionalFormatting sqref="AB148">
    <cfRule type="expression" dxfId="1391" priority="983" stopIfTrue="1">
      <formula>$G145=""</formula>
    </cfRule>
  </conditionalFormatting>
  <conditionalFormatting sqref="AB148">
    <cfRule type="expression" dxfId="1390" priority="980" stopIfTrue="1">
      <formula>$N148="BAM"</formula>
    </cfRule>
    <cfRule type="expression" dxfId="1389" priority="982" stopIfTrue="1">
      <formula>$AB148=""</formula>
    </cfRule>
  </conditionalFormatting>
  <conditionalFormatting sqref="AB148">
    <cfRule type="expression" dxfId="1388" priority="981">
      <formula>AND($HZ146=FALSE,$GQ146=TRUE)</formula>
    </cfRule>
  </conditionalFormatting>
  <conditionalFormatting sqref="AB153">
    <cfRule type="expression" dxfId="1387" priority="979" stopIfTrue="1">
      <formula>$G150=""</formula>
    </cfRule>
  </conditionalFormatting>
  <conditionalFormatting sqref="AB153">
    <cfRule type="expression" dxfId="1386" priority="976" stopIfTrue="1">
      <formula>$N153="BAM"</formula>
    </cfRule>
    <cfRule type="expression" dxfId="1385" priority="978" stopIfTrue="1">
      <formula>$AB153=""</formula>
    </cfRule>
  </conditionalFormatting>
  <conditionalFormatting sqref="AB153">
    <cfRule type="expression" dxfId="1384" priority="977">
      <formula>AND($HZ151=FALSE,$GQ151=TRUE)</formula>
    </cfRule>
  </conditionalFormatting>
  <conditionalFormatting sqref="AB158">
    <cfRule type="expression" dxfId="1383" priority="975" stopIfTrue="1">
      <formula>$G155=""</formula>
    </cfRule>
  </conditionalFormatting>
  <conditionalFormatting sqref="AB158">
    <cfRule type="expression" dxfId="1382" priority="972" stopIfTrue="1">
      <formula>$N158="BAM"</formula>
    </cfRule>
    <cfRule type="expression" dxfId="1381" priority="974" stopIfTrue="1">
      <formula>$AB158=""</formula>
    </cfRule>
  </conditionalFormatting>
  <conditionalFormatting sqref="AB158">
    <cfRule type="expression" dxfId="1380" priority="973">
      <formula>AND($HZ156=FALSE,$GQ156=TRUE)</formula>
    </cfRule>
  </conditionalFormatting>
  <conditionalFormatting sqref="AB163">
    <cfRule type="expression" dxfId="1379" priority="971" stopIfTrue="1">
      <formula>$G160=""</formula>
    </cfRule>
  </conditionalFormatting>
  <conditionalFormatting sqref="AB163">
    <cfRule type="expression" dxfId="1378" priority="968" stopIfTrue="1">
      <formula>$N163="BAM"</formula>
    </cfRule>
    <cfRule type="expression" dxfId="1377" priority="970" stopIfTrue="1">
      <formula>$AB163=""</formula>
    </cfRule>
  </conditionalFormatting>
  <conditionalFormatting sqref="AB163">
    <cfRule type="expression" dxfId="1376" priority="969">
      <formula>AND($HZ161=FALSE,$GQ161=TRUE)</formula>
    </cfRule>
  </conditionalFormatting>
  <conditionalFormatting sqref="AB168">
    <cfRule type="expression" dxfId="1375" priority="967" stopIfTrue="1">
      <formula>$G165=""</formula>
    </cfRule>
  </conditionalFormatting>
  <conditionalFormatting sqref="AB168">
    <cfRule type="expression" dxfId="1374" priority="964" stopIfTrue="1">
      <formula>$N168="BAM"</formula>
    </cfRule>
    <cfRule type="expression" dxfId="1373" priority="966" stopIfTrue="1">
      <formula>$AB168=""</formula>
    </cfRule>
  </conditionalFormatting>
  <conditionalFormatting sqref="AB168">
    <cfRule type="expression" dxfId="1372" priority="965">
      <formula>AND($HZ166=FALSE,$GQ166=TRUE)</formula>
    </cfRule>
  </conditionalFormatting>
  <conditionalFormatting sqref="AB176">
    <cfRule type="expression" dxfId="1371" priority="963" stopIfTrue="1">
      <formula>$G173=""</formula>
    </cfRule>
  </conditionalFormatting>
  <conditionalFormatting sqref="AB176">
    <cfRule type="expression" dxfId="1370" priority="960" stopIfTrue="1">
      <formula>$N176="BAM"</formula>
    </cfRule>
    <cfRule type="expression" dxfId="1369" priority="962" stopIfTrue="1">
      <formula>$AB176=""</formula>
    </cfRule>
  </conditionalFormatting>
  <conditionalFormatting sqref="AB176">
    <cfRule type="expression" dxfId="1368" priority="961">
      <formula>AND($HZ174=FALSE,$GQ174=TRUE)</formula>
    </cfRule>
  </conditionalFormatting>
  <conditionalFormatting sqref="AB181">
    <cfRule type="expression" dxfId="1367" priority="959" stopIfTrue="1">
      <formula>$G178=""</formula>
    </cfRule>
  </conditionalFormatting>
  <conditionalFormatting sqref="AB181">
    <cfRule type="expression" dxfId="1366" priority="956" stopIfTrue="1">
      <formula>$N181="BAM"</formula>
    </cfRule>
    <cfRule type="expression" dxfId="1365" priority="958" stopIfTrue="1">
      <formula>$AB181=""</formula>
    </cfRule>
  </conditionalFormatting>
  <conditionalFormatting sqref="AB181">
    <cfRule type="expression" dxfId="1364" priority="957">
      <formula>AND($HZ179=FALSE,$GQ179=TRUE)</formula>
    </cfRule>
  </conditionalFormatting>
  <conditionalFormatting sqref="AB186">
    <cfRule type="expression" dxfId="1363" priority="955" stopIfTrue="1">
      <formula>$G183=""</formula>
    </cfRule>
  </conditionalFormatting>
  <conditionalFormatting sqref="AB186">
    <cfRule type="expression" dxfId="1362" priority="952" stopIfTrue="1">
      <formula>$N186="BAM"</formula>
    </cfRule>
    <cfRule type="expression" dxfId="1361" priority="954" stopIfTrue="1">
      <formula>$AB186=""</formula>
    </cfRule>
  </conditionalFormatting>
  <conditionalFormatting sqref="AB186">
    <cfRule type="expression" dxfId="1360" priority="953">
      <formula>AND($HZ184=FALSE,$GQ184=TRUE)</formula>
    </cfRule>
  </conditionalFormatting>
  <conditionalFormatting sqref="AB191">
    <cfRule type="expression" dxfId="1359" priority="951" stopIfTrue="1">
      <formula>$G188=""</formula>
    </cfRule>
  </conditionalFormatting>
  <conditionalFormatting sqref="AB191">
    <cfRule type="expression" dxfId="1358" priority="948" stopIfTrue="1">
      <formula>$N191="BAM"</formula>
    </cfRule>
    <cfRule type="expression" dxfId="1357" priority="950" stopIfTrue="1">
      <formula>$AB191=""</formula>
    </cfRule>
  </conditionalFormatting>
  <conditionalFormatting sqref="AB191">
    <cfRule type="expression" dxfId="1356" priority="949">
      <formula>AND($HZ189=FALSE,$GQ189=TRUE)</formula>
    </cfRule>
  </conditionalFormatting>
  <conditionalFormatting sqref="AB196">
    <cfRule type="expression" dxfId="1355" priority="947" stopIfTrue="1">
      <formula>$G193=""</formula>
    </cfRule>
  </conditionalFormatting>
  <conditionalFormatting sqref="AB196">
    <cfRule type="expression" dxfId="1354" priority="944" stopIfTrue="1">
      <formula>$N196="BAM"</formula>
    </cfRule>
    <cfRule type="expression" dxfId="1353" priority="946" stopIfTrue="1">
      <formula>$AB196=""</formula>
    </cfRule>
  </conditionalFormatting>
  <conditionalFormatting sqref="AB196">
    <cfRule type="expression" dxfId="1352" priority="945">
      <formula>AND($HZ194=FALSE,$GQ194=TRUE)</formula>
    </cfRule>
  </conditionalFormatting>
  <conditionalFormatting sqref="AB201">
    <cfRule type="expression" dxfId="1351" priority="943" stopIfTrue="1">
      <formula>$G198=""</formula>
    </cfRule>
  </conditionalFormatting>
  <conditionalFormatting sqref="AB201">
    <cfRule type="expression" dxfId="1350" priority="940" stopIfTrue="1">
      <formula>$N201="BAM"</formula>
    </cfRule>
    <cfRule type="expression" dxfId="1349" priority="942" stopIfTrue="1">
      <formula>$AB201=""</formula>
    </cfRule>
  </conditionalFormatting>
  <conditionalFormatting sqref="AB201">
    <cfRule type="expression" dxfId="1348" priority="941">
      <formula>AND($HZ199=FALSE,$GQ199=TRUE)</formula>
    </cfRule>
  </conditionalFormatting>
  <conditionalFormatting sqref="AB206">
    <cfRule type="expression" dxfId="1347" priority="939" stopIfTrue="1">
      <formula>$G203=""</formula>
    </cfRule>
  </conditionalFormatting>
  <conditionalFormatting sqref="AB206">
    <cfRule type="expression" dxfId="1346" priority="936" stopIfTrue="1">
      <formula>$N206="BAM"</formula>
    </cfRule>
    <cfRule type="expression" dxfId="1345" priority="938" stopIfTrue="1">
      <formula>$AB206=""</formula>
    </cfRule>
  </conditionalFormatting>
  <conditionalFormatting sqref="AB206">
    <cfRule type="expression" dxfId="1344" priority="937">
      <formula>AND($HZ204=FALSE,$GQ204=TRUE)</formula>
    </cfRule>
  </conditionalFormatting>
  <conditionalFormatting sqref="AB211">
    <cfRule type="expression" dxfId="1343" priority="935" stopIfTrue="1">
      <formula>$G208=""</formula>
    </cfRule>
  </conditionalFormatting>
  <conditionalFormatting sqref="AB211">
    <cfRule type="expression" dxfId="1342" priority="932" stopIfTrue="1">
      <formula>$N211="BAM"</formula>
    </cfRule>
    <cfRule type="expression" dxfId="1341" priority="934" stopIfTrue="1">
      <formula>$AB211=""</formula>
    </cfRule>
  </conditionalFormatting>
  <conditionalFormatting sqref="AB211">
    <cfRule type="expression" dxfId="1340" priority="933">
      <formula>AND($HZ209=FALSE,$GQ209=TRUE)</formula>
    </cfRule>
  </conditionalFormatting>
  <conditionalFormatting sqref="AB216">
    <cfRule type="expression" dxfId="1339" priority="931" stopIfTrue="1">
      <formula>$G213=""</formula>
    </cfRule>
  </conditionalFormatting>
  <conditionalFormatting sqref="AB216">
    <cfRule type="expression" dxfId="1338" priority="928" stopIfTrue="1">
      <formula>$N216="BAM"</formula>
    </cfRule>
    <cfRule type="expression" dxfId="1337" priority="930" stopIfTrue="1">
      <formula>$AB216=""</formula>
    </cfRule>
  </conditionalFormatting>
  <conditionalFormatting sqref="AB216">
    <cfRule type="expression" dxfId="1336" priority="929">
      <formula>AND($HZ214=FALSE,$GQ214=TRUE)</formula>
    </cfRule>
  </conditionalFormatting>
  <conditionalFormatting sqref="AB221">
    <cfRule type="expression" dxfId="1335" priority="927" stopIfTrue="1">
      <formula>$G218=""</formula>
    </cfRule>
  </conditionalFormatting>
  <conditionalFormatting sqref="AB221">
    <cfRule type="expression" dxfId="1334" priority="924" stopIfTrue="1">
      <formula>$N221="BAM"</formula>
    </cfRule>
    <cfRule type="expression" dxfId="1333" priority="926" stopIfTrue="1">
      <formula>$AB221=""</formula>
    </cfRule>
  </conditionalFormatting>
  <conditionalFormatting sqref="AB221">
    <cfRule type="expression" dxfId="1332" priority="925">
      <formula>AND($HZ219=FALSE,$GQ219=TRUE)</formula>
    </cfRule>
  </conditionalFormatting>
  <conditionalFormatting sqref="AB226">
    <cfRule type="expression" dxfId="1331" priority="923" stopIfTrue="1">
      <formula>$G223=""</formula>
    </cfRule>
  </conditionalFormatting>
  <conditionalFormatting sqref="AB226">
    <cfRule type="expression" dxfId="1330" priority="920" stopIfTrue="1">
      <formula>$N226="BAM"</formula>
    </cfRule>
    <cfRule type="expression" dxfId="1329" priority="922" stopIfTrue="1">
      <formula>$AB226=""</formula>
    </cfRule>
  </conditionalFormatting>
  <conditionalFormatting sqref="AB226">
    <cfRule type="expression" dxfId="1328" priority="921">
      <formula>AND($HZ224=FALSE,$GQ224=TRUE)</formula>
    </cfRule>
  </conditionalFormatting>
  <conditionalFormatting sqref="AB231">
    <cfRule type="expression" dxfId="1327" priority="919" stopIfTrue="1">
      <formula>$G228=""</formula>
    </cfRule>
  </conditionalFormatting>
  <conditionalFormatting sqref="AB231">
    <cfRule type="expression" dxfId="1326" priority="916" stopIfTrue="1">
      <formula>$N231="BAM"</formula>
    </cfRule>
    <cfRule type="expression" dxfId="1325" priority="918" stopIfTrue="1">
      <formula>$AB231=""</formula>
    </cfRule>
  </conditionalFormatting>
  <conditionalFormatting sqref="AB231">
    <cfRule type="expression" dxfId="1324" priority="917">
      <formula>AND($HZ229=FALSE,$GQ229=TRUE)</formula>
    </cfRule>
  </conditionalFormatting>
  <conditionalFormatting sqref="AB236">
    <cfRule type="expression" dxfId="1323" priority="915" stopIfTrue="1">
      <formula>$G233=""</formula>
    </cfRule>
  </conditionalFormatting>
  <conditionalFormatting sqref="AB236">
    <cfRule type="expression" dxfId="1322" priority="912" stopIfTrue="1">
      <formula>$N236="BAM"</formula>
    </cfRule>
    <cfRule type="expression" dxfId="1321" priority="914" stopIfTrue="1">
      <formula>$AB236=""</formula>
    </cfRule>
  </conditionalFormatting>
  <conditionalFormatting sqref="AB236">
    <cfRule type="expression" dxfId="1320" priority="913">
      <formula>AND($HZ234=FALSE,$GQ234=TRUE)</formula>
    </cfRule>
  </conditionalFormatting>
  <conditionalFormatting sqref="AB241">
    <cfRule type="expression" dxfId="1319" priority="911" stopIfTrue="1">
      <formula>$G238=""</formula>
    </cfRule>
  </conditionalFormatting>
  <conditionalFormatting sqref="AB241">
    <cfRule type="expression" dxfId="1318" priority="908" stopIfTrue="1">
      <formula>$N241="BAM"</formula>
    </cfRule>
    <cfRule type="expression" dxfId="1317" priority="910" stopIfTrue="1">
      <formula>$AB241=""</formula>
    </cfRule>
  </conditionalFormatting>
  <conditionalFormatting sqref="AB241">
    <cfRule type="expression" dxfId="1316" priority="909">
      <formula>AND($HZ239=FALSE,$GQ239=TRUE)</formula>
    </cfRule>
  </conditionalFormatting>
  <conditionalFormatting sqref="AB246">
    <cfRule type="expression" dxfId="1315" priority="907" stopIfTrue="1">
      <formula>$G243=""</formula>
    </cfRule>
  </conditionalFormatting>
  <conditionalFormatting sqref="AB246">
    <cfRule type="expression" dxfId="1314" priority="904" stopIfTrue="1">
      <formula>$N246="BAM"</formula>
    </cfRule>
    <cfRule type="expression" dxfId="1313" priority="906" stopIfTrue="1">
      <formula>$AB246=""</formula>
    </cfRule>
  </conditionalFormatting>
  <conditionalFormatting sqref="AB246">
    <cfRule type="expression" dxfId="1312" priority="905">
      <formula>AND($HZ244=FALSE,$GQ244=TRUE)</formula>
    </cfRule>
  </conditionalFormatting>
  <conditionalFormatting sqref="AB254">
    <cfRule type="expression" dxfId="1311" priority="903" stopIfTrue="1">
      <formula>$G251=""</formula>
    </cfRule>
  </conditionalFormatting>
  <conditionalFormatting sqref="AB254">
    <cfRule type="expression" dxfId="1310" priority="900" stopIfTrue="1">
      <formula>$N254="BAM"</formula>
    </cfRule>
    <cfRule type="expression" dxfId="1309" priority="902" stopIfTrue="1">
      <formula>$AB254=""</formula>
    </cfRule>
  </conditionalFormatting>
  <conditionalFormatting sqref="AB254">
    <cfRule type="expression" dxfId="1308" priority="901">
      <formula>AND($HZ252=FALSE,$GQ252=TRUE)</formula>
    </cfRule>
  </conditionalFormatting>
  <conditionalFormatting sqref="AB259">
    <cfRule type="expression" dxfId="1307" priority="899" stopIfTrue="1">
      <formula>$G256=""</formula>
    </cfRule>
  </conditionalFormatting>
  <conditionalFormatting sqref="AB259">
    <cfRule type="expression" dxfId="1306" priority="896" stopIfTrue="1">
      <formula>$N259="BAM"</formula>
    </cfRule>
    <cfRule type="expression" dxfId="1305" priority="898" stopIfTrue="1">
      <formula>$AB259=""</formula>
    </cfRule>
  </conditionalFormatting>
  <conditionalFormatting sqref="AB259">
    <cfRule type="expression" dxfId="1304" priority="897">
      <formula>AND($HZ257=FALSE,$GQ257=TRUE)</formula>
    </cfRule>
  </conditionalFormatting>
  <conditionalFormatting sqref="AB264">
    <cfRule type="expression" dxfId="1303" priority="895" stopIfTrue="1">
      <formula>$G261=""</formula>
    </cfRule>
  </conditionalFormatting>
  <conditionalFormatting sqref="AB264">
    <cfRule type="expression" dxfId="1302" priority="892" stopIfTrue="1">
      <formula>$N264="BAM"</formula>
    </cfRule>
    <cfRule type="expression" dxfId="1301" priority="894" stopIfTrue="1">
      <formula>$AB264=""</formula>
    </cfRule>
  </conditionalFormatting>
  <conditionalFormatting sqref="AB264">
    <cfRule type="expression" dxfId="1300" priority="893">
      <formula>AND($HZ262=FALSE,$GQ262=TRUE)</formula>
    </cfRule>
  </conditionalFormatting>
  <conditionalFormatting sqref="AB269">
    <cfRule type="expression" dxfId="1299" priority="891" stopIfTrue="1">
      <formula>$G266=""</formula>
    </cfRule>
  </conditionalFormatting>
  <conditionalFormatting sqref="AB269">
    <cfRule type="expression" dxfId="1298" priority="888" stopIfTrue="1">
      <formula>$N269="BAM"</formula>
    </cfRule>
    <cfRule type="expression" dxfId="1297" priority="890" stopIfTrue="1">
      <formula>$AB269=""</formula>
    </cfRule>
  </conditionalFormatting>
  <conditionalFormatting sqref="AB269">
    <cfRule type="expression" dxfId="1296" priority="889">
      <formula>AND($HZ267=FALSE,$GQ267=TRUE)</formula>
    </cfRule>
  </conditionalFormatting>
  <conditionalFormatting sqref="AB274">
    <cfRule type="expression" dxfId="1295" priority="887" stopIfTrue="1">
      <formula>$G271=""</formula>
    </cfRule>
  </conditionalFormatting>
  <conditionalFormatting sqref="AB274">
    <cfRule type="expression" dxfId="1294" priority="884" stopIfTrue="1">
      <formula>$N274="BAM"</formula>
    </cfRule>
    <cfRule type="expression" dxfId="1293" priority="886" stopIfTrue="1">
      <formula>$AB274=""</formula>
    </cfRule>
  </conditionalFormatting>
  <conditionalFormatting sqref="AB274">
    <cfRule type="expression" dxfId="1292" priority="885">
      <formula>AND($HZ272=FALSE,$GQ272=TRUE)</formula>
    </cfRule>
  </conditionalFormatting>
  <conditionalFormatting sqref="AB279">
    <cfRule type="expression" dxfId="1291" priority="883" stopIfTrue="1">
      <formula>$G276=""</formula>
    </cfRule>
  </conditionalFormatting>
  <conditionalFormatting sqref="AB279">
    <cfRule type="expression" dxfId="1290" priority="880" stopIfTrue="1">
      <formula>$N279="BAM"</formula>
    </cfRule>
    <cfRule type="expression" dxfId="1289" priority="882" stopIfTrue="1">
      <formula>$AB279=""</formula>
    </cfRule>
  </conditionalFormatting>
  <conditionalFormatting sqref="AB279">
    <cfRule type="expression" dxfId="1288" priority="881">
      <formula>AND($HZ277=FALSE,$GQ277=TRUE)</formula>
    </cfRule>
  </conditionalFormatting>
  <conditionalFormatting sqref="AB284">
    <cfRule type="expression" dxfId="1287" priority="879" stopIfTrue="1">
      <formula>$G281=""</formula>
    </cfRule>
  </conditionalFormatting>
  <conditionalFormatting sqref="AB284">
    <cfRule type="expression" dxfId="1286" priority="876" stopIfTrue="1">
      <formula>$N284="BAM"</formula>
    </cfRule>
    <cfRule type="expression" dxfId="1285" priority="878" stopIfTrue="1">
      <formula>$AB284=""</formula>
    </cfRule>
  </conditionalFormatting>
  <conditionalFormatting sqref="AB284">
    <cfRule type="expression" dxfId="1284" priority="877">
      <formula>AND($HZ282=FALSE,$GQ282=TRUE)</formula>
    </cfRule>
  </conditionalFormatting>
  <conditionalFormatting sqref="AB289">
    <cfRule type="expression" dxfId="1283" priority="875" stopIfTrue="1">
      <formula>$G286=""</formula>
    </cfRule>
  </conditionalFormatting>
  <conditionalFormatting sqref="AB289">
    <cfRule type="expression" dxfId="1282" priority="872" stopIfTrue="1">
      <formula>$N289="BAM"</formula>
    </cfRule>
    <cfRule type="expression" dxfId="1281" priority="874" stopIfTrue="1">
      <formula>$AB289=""</formula>
    </cfRule>
  </conditionalFormatting>
  <conditionalFormatting sqref="AB289">
    <cfRule type="expression" dxfId="1280" priority="873">
      <formula>AND($HZ287=FALSE,$GQ287=TRUE)</formula>
    </cfRule>
  </conditionalFormatting>
  <conditionalFormatting sqref="AB294">
    <cfRule type="expression" dxfId="1279" priority="871" stopIfTrue="1">
      <formula>$G291=""</formula>
    </cfRule>
  </conditionalFormatting>
  <conditionalFormatting sqref="AB294">
    <cfRule type="expression" dxfId="1278" priority="868" stopIfTrue="1">
      <formula>$N294="BAM"</formula>
    </cfRule>
    <cfRule type="expression" dxfId="1277" priority="870" stopIfTrue="1">
      <formula>$AB294=""</formula>
    </cfRule>
  </conditionalFormatting>
  <conditionalFormatting sqref="AB294">
    <cfRule type="expression" dxfId="1276" priority="869">
      <formula>AND($HZ292=FALSE,$GQ292=TRUE)</formula>
    </cfRule>
  </conditionalFormatting>
  <conditionalFormatting sqref="AB299">
    <cfRule type="expression" dxfId="1275" priority="867" stopIfTrue="1">
      <formula>$G296=""</formula>
    </cfRule>
  </conditionalFormatting>
  <conditionalFormatting sqref="AB299">
    <cfRule type="expression" dxfId="1274" priority="864" stopIfTrue="1">
      <formula>$N299="BAM"</formula>
    </cfRule>
    <cfRule type="expression" dxfId="1273" priority="866" stopIfTrue="1">
      <formula>$AB299=""</formula>
    </cfRule>
  </conditionalFormatting>
  <conditionalFormatting sqref="AB299">
    <cfRule type="expression" dxfId="1272" priority="865">
      <formula>AND($HZ297=FALSE,$GQ297=TRUE)</formula>
    </cfRule>
  </conditionalFormatting>
  <conditionalFormatting sqref="AB304">
    <cfRule type="expression" dxfId="1271" priority="863" stopIfTrue="1">
      <formula>$G301=""</formula>
    </cfRule>
  </conditionalFormatting>
  <conditionalFormatting sqref="AB304">
    <cfRule type="expression" dxfId="1270" priority="860" stopIfTrue="1">
      <formula>$N304="BAM"</formula>
    </cfRule>
    <cfRule type="expression" dxfId="1269" priority="862" stopIfTrue="1">
      <formula>$AB304=""</formula>
    </cfRule>
  </conditionalFormatting>
  <conditionalFormatting sqref="AB304">
    <cfRule type="expression" dxfId="1268" priority="861">
      <formula>AND($HZ302=FALSE,$GQ302=TRUE)</formula>
    </cfRule>
  </conditionalFormatting>
  <conditionalFormatting sqref="AB309">
    <cfRule type="expression" dxfId="1267" priority="859" stopIfTrue="1">
      <formula>$G306=""</formula>
    </cfRule>
  </conditionalFormatting>
  <conditionalFormatting sqref="AB309">
    <cfRule type="expression" dxfId="1266" priority="856" stopIfTrue="1">
      <formula>$N309="BAM"</formula>
    </cfRule>
    <cfRule type="expression" dxfId="1265" priority="858" stopIfTrue="1">
      <formula>$AB309=""</formula>
    </cfRule>
  </conditionalFormatting>
  <conditionalFormatting sqref="AB309">
    <cfRule type="expression" dxfId="1264" priority="857">
      <formula>AND($HZ307=FALSE,$GQ307=TRUE)</formula>
    </cfRule>
  </conditionalFormatting>
  <conditionalFormatting sqref="AB314">
    <cfRule type="expression" dxfId="1263" priority="855" stopIfTrue="1">
      <formula>$G311=""</formula>
    </cfRule>
  </conditionalFormatting>
  <conditionalFormatting sqref="AB314">
    <cfRule type="expression" dxfId="1262" priority="852" stopIfTrue="1">
      <formula>$N314="BAM"</formula>
    </cfRule>
    <cfRule type="expression" dxfId="1261" priority="854" stopIfTrue="1">
      <formula>$AB314=""</formula>
    </cfRule>
  </conditionalFormatting>
  <conditionalFormatting sqref="AB314">
    <cfRule type="expression" dxfId="1260" priority="853">
      <formula>AND($HZ312=FALSE,$GQ312=TRUE)</formula>
    </cfRule>
  </conditionalFormatting>
  <conditionalFormatting sqref="AB319">
    <cfRule type="expression" dxfId="1259" priority="851" stopIfTrue="1">
      <formula>$G316=""</formula>
    </cfRule>
  </conditionalFormatting>
  <conditionalFormatting sqref="AB319">
    <cfRule type="expression" dxfId="1258" priority="848" stopIfTrue="1">
      <formula>$N319="BAM"</formula>
    </cfRule>
    <cfRule type="expression" dxfId="1257" priority="850" stopIfTrue="1">
      <formula>$AB319=""</formula>
    </cfRule>
  </conditionalFormatting>
  <conditionalFormatting sqref="AB319">
    <cfRule type="expression" dxfId="1256" priority="849">
      <formula>AND($HZ317=FALSE,$GQ317=TRUE)</formula>
    </cfRule>
  </conditionalFormatting>
  <conditionalFormatting sqref="AB324">
    <cfRule type="expression" dxfId="1255" priority="847" stopIfTrue="1">
      <formula>$G321=""</formula>
    </cfRule>
  </conditionalFormatting>
  <conditionalFormatting sqref="AB324">
    <cfRule type="expression" dxfId="1254" priority="844" stopIfTrue="1">
      <formula>$N324="BAM"</formula>
    </cfRule>
    <cfRule type="expression" dxfId="1253" priority="846" stopIfTrue="1">
      <formula>$AB324=""</formula>
    </cfRule>
  </conditionalFormatting>
  <conditionalFormatting sqref="AB324">
    <cfRule type="expression" dxfId="1252" priority="845">
      <formula>AND($HZ322=FALSE,$GQ322=TRUE)</formula>
    </cfRule>
  </conditionalFormatting>
  <conditionalFormatting sqref="AB332">
    <cfRule type="expression" dxfId="1251" priority="843" stopIfTrue="1">
      <formula>$G329=""</formula>
    </cfRule>
  </conditionalFormatting>
  <conditionalFormatting sqref="AB332">
    <cfRule type="expression" dxfId="1250" priority="840" stopIfTrue="1">
      <formula>$N332="BAM"</formula>
    </cfRule>
    <cfRule type="expression" dxfId="1249" priority="842" stopIfTrue="1">
      <formula>$AB332=""</formula>
    </cfRule>
  </conditionalFormatting>
  <conditionalFormatting sqref="AB332">
    <cfRule type="expression" dxfId="1248" priority="841">
      <formula>AND($HZ330=FALSE,$GQ330=TRUE)</formula>
    </cfRule>
  </conditionalFormatting>
  <conditionalFormatting sqref="AB337">
    <cfRule type="expression" dxfId="1247" priority="839" stopIfTrue="1">
      <formula>$G334=""</formula>
    </cfRule>
  </conditionalFormatting>
  <conditionalFormatting sqref="AB337">
    <cfRule type="expression" dxfId="1246" priority="836" stopIfTrue="1">
      <formula>$N337="BAM"</formula>
    </cfRule>
    <cfRule type="expression" dxfId="1245" priority="838" stopIfTrue="1">
      <formula>$AB337=""</formula>
    </cfRule>
  </conditionalFormatting>
  <conditionalFormatting sqref="AB337">
    <cfRule type="expression" dxfId="1244" priority="837">
      <formula>AND($HZ335=FALSE,$GQ335=TRUE)</formula>
    </cfRule>
  </conditionalFormatting>
  <conditionalFormatting sqref="AB342">
    <cfRule type="expression" dxfId="1243" priority="835" stopIfTrue="1">
      <formula>$G339=""</formula>
    </cfRule>
  </conditionalFormatting>
  <conditionalFormatting sqref="AB342">
    <cfRule type="expression" dxfId="1242" priority="832" stopIfTrue="1">
      <formula>$N342="BAM"</formula>
    </cfRule>
    <cfRule type="expression" dxfId="1241" priority="834" stopIfTrue="1">
      <formula>$AB342=""</formula>
    </cfRule>
  </conditionalFormatting>
  <conditionalFormatting sqref="AB342">
    <cfRule type="expression" dxfId="1240" priority="833">
      <formula>AND($HZ340=FALSE,$GQ340=TRUE)</formula>
    </cfRule>
  </conditionalFormatting>
  <conditionalFormatting sqref="AB347">
    <cfRule type="expression" dxfId="1239" priority="831" stopIfTrue="1">
      <formula>$G344=""</formula>
    </cfRule>
  </conditionalFormatting>
  <conditionalFormatting sqref="AB347">
    <cfRule type="expression" dxfId="1238" priority="828" stopIfTrue="1">
      <formula>$N347="BAM"</formula>
    </cfRule>
    <cfRule type="expression" dxfId="1237" priority="830" stopIfTrue="1">
      <formula>$AB347=""</formula>
    </cfRule>
  </conditionalFormatting>
  <conditionalFormatting sqref="AB347">
    <cfRule type="expression" dxfId="1236" priority="829">
      <formula>AND($HZ345=FALSE,$GQ345=TRUE)</formula>
    </cfRule>
  </conditionalFormatting>
  <conditionalFormatting sqref="AB352">
    <cfRule type="expression" dxfId="1235" priority="827" stopIfTrue="1">
      <formula>$G349=""</formula>
    </cfRule>
  </conditionalFormatting>
  <conditionalFormatting sqref="AB352">
    <cfRule type="expression" dxfId="1234" priority="824" stopIfTrue="1">
      <formula>$N352="BAM"</formula>
    </cfRule>
    <cfRule type="expression" dxfId="1233" priority="826" stopIfTrue="1">
      <formula>$AB352=""</formula>
    </cfRule>
  </conditionalFormatting>
  <conditionalFormatting sqref="AB352">
    <cfRule type="expression" dxfId="1232" priority="825">
      <formula>AND($HZ350=FALSE,$GQ350=TRUE)</formula>
    </cfRule>
  </conditionalFormatting>
  <conditionalFormatting sqref="AB357">
    <cfRule type="expression" dxfId="1231" priority="823" stopIfTrue="1">
      <formula>$G354=""</formula>
    </cfRule>
  </conditionalFormatting>
  <conditionalFormatting sqref="AB357">
    <cfRule type="expression" dxfId="1230" priority="820" stopIfTrue="1">
      <formula>$N357="BAM"</formula>
    </cfRule>
    <cfRule type="expression" dxfId="1229" priority="822" stopIfTrue="1">
      <formula>$AB357=""</formula>
    </cfRule>
  </conditionalFormatting>
  <conditionalFormatting sqref="AB357">
    <cfRule type="expression" dxfId="1228" priority="821">
      <formula>AND($HZ355=FALSE,$GQ355=TRUE)</formula>
    </cfRule>
  </conditionalFormatting>
  <conditionalFormatting sqref="AB362">
    <cfRule type="expression" dxfId="1227" priority="819" stopIfTrue="1">
      <formula>$G359=""</formula>
    </cfRule>
  </conditionalFormatting>
  <conditionalFormatting sqref="AB362">
    <cfRule type="expression" dxfId="1226" priority="816" stopIfTrue="1">
      <formula>$N362="BAM"</formula>
    </cfRule>
    <cfRule type="expression" dxfId="1225" priority="818" stopIfTrue="1">
      <formula>$AB362=""</formula>
    </cfRule>
  </conditionalFormatting>
  <conditionalFormatting sqref="AB362">
    <cfRule type="expression" dxfId="1224" priority="817">
      <formula>AND($HZ360=FALSE,$GQ360=TRUE)</formula>
    </cfRule>
  </conditionalFormatting>
  <conditionalFormatting sqref="AB367">
    <cfRule type="expression" dxfId="1223" priority="815" stopIfTrue="1">
      <formula>$G364=""</formula>
    </cfRule>
  </conditionalFormatting>
  <conditionalFormatting sqref="AB367">
    <cfRule type="expression" dxfId="1222" priority="812" stopIfTrue="1">
      <formula>$N367="BAM"</formula>
    </cfRule>
    <cfRule type="expression" dxfId="1221" priority="814" stopIfTrue="1">
      <formula>$AB367=""</formula>
    </cfRule>
  </conditionalFormatting>
  <conditionalFormatting sqref="AB367">
    <cfRule type="expression" dxfId="1220" priority="813">
      <formula>AND($HZ365=FALSE,$GQ365=TRUE)</formula>
    </cfRule>
  </conditionalFormatting>
  <conditionalFormatting sqref="AB372">
    <cfRule type="expression" dxfId="1219" priority="811" stopIfTrue="1">
      <formula>$G369=""</formula>
    </cfRule>
  </conditionalFormatting>
  <conditionalFormatting sqref="AB372">
    <cfRule type="expression" dxfId="1218" priority="808" stopIfTrue="1">
      <formula>$N372="BAM"</formula>
    </cfRule>
    <cfRule type="expression" dxfId="1217" priority="810" stopIfTrue="1">
      <formula>$AB372=""</formula>
    </cfRule>
  </conditionalFormatting>
  <conditionalFormatting sqref="AB372">
    <cfRule type="expression" dxfId="1216" priority="809">
      <formula>AND($HZ370=FALSE,$GQ370=TRUE)</formula>
    </cfRule>
  </conditionalFormatting>
  <conditionalFormatting sqref="AB377">
    <cfRule type="expression" dxfId="1215" priority="807" stopIfTrue="1">
      <formula>$G374=""</formula>
    </cfRule>
  </conditionalFormatting>
  <conditionalFormatting sqref="AB377">
    <cfRule type="expression" dxfId="1214" priority="804" stopIfTrue="1">
      <formula>$N377="BAM"</formula>
    </cfRule>
    <cfRule type="expression" dxfId="1213" priority="806" stopIfTrue="1">
      <formula>$AB377=""</formula>
    </cfRule>
  </conditionalFormatting>
  <conditionalFormatting sqref="AB377">
    <cfRule type="expression" dxfId="1212" priority="805">
      <formula>AND($HZ375=FALSE,$GQ375=TRUE)</formula>
    </cfRule>
  </conditionalFormatting>
  <conditionalFormatting sqref="AB382">
    <cfRule type="expression" dxfId="1211" priority="803" stopIfTrue="1">
      <formula>$G379=""</formula>
    </cfRule>
  </conditionalFormatting>
  <conditionalFormatting sqref="AB382">
    <cfRule type="expression" dxfId="1210" priority="800" stopIfTrue="1">
      <formula>$N382="BAM"</formula>
    </cfRule>
    <cfRule type="expression" dxfId="1209" priority="802" stopIfTrue="1">
      <formula>$AB382=""</formula>
    </cfRule>
  </conditionalFormatting>
  <conditionalFormatting sqref="AB382">
    <cfRule type="expression" dxfId="1208" priority="801">
      <formula>AND($HZ380=FALSE,$GQ380=TRUE)</formula>
    </cfRule>
  </conditionalFormatting>
  <conditionalFormatting sqref="AB387">
    <cfRule type="expression" dxfId="1207" priority="799" stopIfTrue="1">
      <formula>$G384=""</formula>
    </cfRule>
  </conditionalFormatting>
  <conditionalFormatting sqref="AB387">
    <cfRule type="expression" dxfId="1206" priority="796" stopIfTrue="1">
      <formula>$N387="BAM"</formula>
    </cfRule>
    <cfRule type="expression" dxfId="1205" priority="798" stopIfTrue="1">
      <formula>$AB387=""</formula>
    </cfRule>
  </conditionalFormatting>
  <conditionalFormatting sqref="AB387">
    <cfRule type="expression" dxfId="1204" priority="797">
      <formula>AND($HZ385=FALSE,$GQ385=TRUE)</formula>
    </cfRule>
  </conditionalFormatting>
  <conditionalFormatting sqref="AB392">
    <cfRule type="expression" dxfId="1203" priority="795" stopIfTrue="1">
      <formula>$G389=""</formula>
    </cfRule>
  </conditionalFormatting>
  <conditionalFormatting sqref="AB392">
    <cfRule type="expression" dxfId="1202" priority="792" stopIfTrue="1">
      <formula>$N392="BAM"</formula>
    </cfRule>
    <cfRule type="expression" dxfId="1201" priority="794" stopIfTrue="1">
      <formula>$AB392=""</formula>
    </cfRule>
  </conditionalFormatting>
  <conditionalFormatting sqref="AB392">
    <cfRule type="expression" dxfId="1200" priority="793">
      <formula>AND($HZ390=FALSE,$GQ390=TRUE)</formula>
    </cfRule>
  </conditionalFormatting>
  <conditionalFormatting sqref="AB397">
    <cfRule type="expression" dxfId="1199" priority="791" stopIfTrue="1">
      <formula>$G394=""</formula>
    </cfRule>
  </conditionalFormatting>
  <conditionalFormatting sqref="AB397">
    <cfRule type="expression" dxfId="1198" priority="788" stopIfTrue="1">
      <formula>$N397="BAM"</formula>
    </cfRule>
    <cfRule type="expression" dxfId="1197" priority="790" stopIfTrue="1">
      <formula>$AB397=""</formula>
    </cfRule>
  </conditionalFormatting>
  <conditionalFormatting sqref="AB397">
    <cfRule type="expression" dxfId="1196" priority="789">
      <formula>AND($HZ395=FALSE,$GQ395=TRUE)</formula>
    </cfRule>
  </conditionalFormatting>
  <conditionalFormatting sqref="AB402">
    <cfRule type="expression" dxfId="1195" priority="787" stopIfTrue="1">
      <formula>$G399=""</formula>
    </cfRule>
  </conditionalFormatting>
  <conditionalFormatting sqref="AB402">
    <cfRule type="expression" dxfId="1194" priority="784" stopIfTrue="1">
      <formula>$N402="BAM"</formula>
    </cfRule>
    <cfRule type="expression" dxfId="1193" priority="786" stopIfTrue="1">
      <formula>$AB402=""</formula>
    </cfRule>
  </conditionalFormatting>
  <conditionalFormatting sqref="AB402">
    <cfRule type="expression" dxfId="1192" priority="785">
      <formula>AND($HZ400=FALSE,$GQ400=TRUE)</formula>
    </cfRule>
  </conditionalFormatting>
  <conditionalFormatting sqref="AB410">
    <cfRule type="expression" dxfId="1191" priority="783" stopIfTrue="1">
      <formula>$G407=""</formula>
    </cfRule>
  </conditionalFormatting>
  <conditionalFormatting sqref="AB410">
    <cfRule type="expression" dxfId="1190" priority="780" stopIfTrue="1">
      <formula>$N410="BAM"</formula>
    </cfRule>
    <cfRule type="expression" dxfId="1189" priority="782" stopIfTrue="1">
      <formula>$AB410=""</formula>
    </cfRule>
  </conditionalFormatting>
  <conditionalFormatting sqref="AB410">
    <cfRule type="expression" dxfId="1188" priority="781">
      <formula>AND($HZ408=FALSE,$GQ408=TRUE)</formula>
    </cfRule>
  </conditionalFormatting>
  <conditionalFormatting sqref="AB415">
    <cfRule type="expression" dxfId="1187" priority="779" stopIfTrue="1">
      <formula>$G412=""</formula>
    </cfRule>
  </conditionalFormatting>
  <conditionalFormatting sqref="AB415">
    <cfRule type="expression" dxfId="1186" priority="776" stopIfTrue="1">
      <formula>$N415="BAM"</formula>
    </cfRule>
    <cfRule type="expression" dxfId="1185" priority="778" stopIfTrue="1">
      <formula>$AB415=""</formula>
    </cfRule>
  </conditionalFormatting>
  <conditionalFormatting sqref="AB415">
    <cfRule type="expression" dxfId="1184" priority="777">
      <formula>AND($HZ413=FALSE,$GQ413=TRUE)</formula>
    </cfRule>
  </conditionalFormatting>
  <conditionalFormatting sqref="AB420">
    <cfRule type="expression" dxfId="1183" priority="775" stopIfTrue="1">
      <formula>$G417=""</formula>
    </cfRule>
  </conditionalFormatting>
  <conditionalFormatting sqref="AB420">
    <cfRule type="expression" dxfId="1182" priority="772" stopIfTrue="1">
      <formula>$N420="BAM"</formula>
    </cfRule>
    <cfRule type="expression" dxfId="1181" priority="774" stopIfTrue="1">
      <formula>$AB420=""</formula>
    </cfRule>
  </conditionalFormatting>
  <conditionalFormatting sqref="AB420">
    <cfRule type="expression" dxfId="1180" priority="773">
      <formula>AND($HZ418=FALSE,$GQ418=TRUE)</formula>
    </cfRule>
  </conditionalFormatting>
  <conditionalFormatting sqref="AB425">
    <cfRule type="expression" dxfId="1179" priority="771" stopIfTrue="1">
      <formula>$G422=""</formula>
    </cfRule>
  </conditionalFormatting>
  <conditionalFormatting sqref="AB425">
    <cfRule type="expression" dxfId="1178" priority="768" stopIfTrue="1">
      <formula>$N425="BAM"</formula>
    </cfRule>
    <cfRule type="expression" dxfId="1177" priority="770" stopIfTrue="1">
      <formula>$AB425=""</formula>
    </cfRule>
  </conditionalFormatting>
  <conditionalFormatting sqref="AB425">
    <cfRule type="expression" dxfId="1176" priority="769">
      <formula>AND($HZ423=FALSE,$GQ423=TRUE)</formula>
    </cfRule>
  </conditionalFormatting>
  <conditionalFormatting sqref="AB430">
    <cfRule type="expression" dxfId="1175" priority="767" stopIfTrue="1">
      <formula>$G427=""</formula>
    </cfRule>
  </conditionalFormatting>
  <conditionalFormatting sqref="AB430">
    <cfRule type="expression" dxfId="1174" priority="764" stopIfTrue="1">
      <formula>$N430="BAM"</formula>
    </cfRule>
    <cfRule type="expression" dxfId="1173" priority="766" stopIfTrue="1">
      <formula>$AB430=""</formula>
    </cfRule>
  </conditionalFormatting>
  <conditionalFormatting sqref="AB430">
    <cfRule type="expression" dxfId="1172" priority="765">
      <formula>AND($HZ428=FALSE,$GQ428=TRUE)</formula>
    </cfRule>
  </conditionalFormatting>
  <conditionalFormatting sqref="AB435">
    <cfRule type="expression" dxfId="1171" priority="763" stopIfTrue="1">
      <formula>$G432=""</formula>
    </cfRule>
  </conditionalFormatting>
  <conditionalFormatting sqref="AB435">
    <cfRule type="expression" dxfId="1170" priority="760" stopIfTrue="1">
      <formula>$N435="BAM"</formula>
    </cfRule>
    <cfRule type="expression" dxfId="1169" priority="762" stopIfTrue="1">
      <formula>$AB435=""</formula>
    </cfRule>
  </conditionalFormatting>
  <conditionalFormatting sqref="AB435">
    <cfRule type="expression" dxfId="1168" priority="761">
      <formula>AND($HZ433=FALSE,$GQ433=TRUE)</formula>
    </cfRule>
  </conditionalFormatting>
  <conditionalFormatting sqref="AB440">
    <cfRule type="expression" dxfId="1167" priority="759" stopIfTrue="1">
      <formula>$G437=""</formula>
    </cfRule>
  </conditionalFormatting>
  <conditionalFormatting sqref="AB440">
    <cfRule type="expression" dxfId="1166" priority="756" stopIfTrue="1">
      <formula>$N440="BAM"</formula>
    </cfRule>
    <cfRule type="expression" dxfId="1165" priority="758" stopIfTrue="1">
      <formula>$AB440=""</formula>
    </cfRule>
  </conditionalFormatting>
  <conditionalFormatting sqref="AB440">
    <cfRule type="expression" dxfId="1164" priority="757">
      <formula>AND($HZ438=FALSE,$GQ438=TRUE)</formula>
    </cfRule>
  </conditionalFormatting>
  <conditionalFormatting sqref="AB445">
    <cfRule type="expression" dxfId="1163" priority="755" stopIfTrue="1">
      <formula>$G442=""</formula>
    </cfRule>
  </conditionalFormatting>
  <conditionalFormatting sqref="AB445">
    <cfRule type="expression" dxfId="1162" priority="752" stopIfTrue="1">
      <formula>$N445="BAM"</formula>
    </cfRule>
    <cfRule type="expression" dxfId="1161" priority="754" stopIfTrue="1">
      <formula>$AB445=""</formula>
    </cfRule>
  </conditionalFormatting>
  <conditionalFormatting sqref="AB445">
    <cfRule type="expression" dxfId="1160" priority="753">
      <formula>AND($HZ443=FALSE,$GQ443=TRUE)</formula>
    </cfRule>
  </conditionalFormatting>
  <conditionalFormatting sqref="AB450">
    <cfRule type="expression" dxfId="1159" priority="751" stopIfTrue="1">
      <formula>$G447=""</formula>
    </cfRule>
  </conditionalFormatting>
  <conditionalFormatting sqref="AB450">
    <cfRule type="expression" dxfId="1158" priority="748" stopIfTrue="1">
      <formula>$N450="BAM"</formula>
    </cfRule>
    <cfRule type="expression" dxfId="1157" priority="750" stopIfTrue="1">
      <formula>$AB450=""</formula>
    </cfRule>
  </conditionalFormatting>
  <conditionalFormatting sqref="AB450">
    <cfRule type="expression" dxfId="1156" priority="749">
      <formula>AND($HZ448=FALSE,$GQ448=TRUE)</formula>
    </cfRule>
  </conditionalFormatting>
  <conditionalFormatting sqref="AB455">
    <cfRule type="expression" dxfId="1155" priority="747" stopIfTrue="1">
      <formula>$G452=""</formula>
    </cfRule>
  </conditionalFormatting>
  <conditionalFormatting sqref="AB455">
    <cfRule type="expression" dxfId="1154" priority="744" stopIfTrue="1">
      <formula>$N455="BAM"</formula>
    </cfRule>
    <cfRule type="expression" dxfId="1153" priority="746" stopIfTrue="1">
      <formula>$AB455=""</formula>
    </cfRule>
  </conditionalFormatting>
  <conditionalFormatting sqref="AB455">
    <cfRule type="expression" dxfId="1152" priority="745">
      <formula>AND($HZ453=FALSE,$GQ453=TRUE)</formula>
    </cfRule>
  </conditionalFormatting>
  <conditionalFormatting sqref="AB460">
    <cfRule type="expression" dxfId="1151" priority="743" stopIfTrue="1">
      <formula>$G457=""</formula>
    </cfRule>
  </conditionalFormatting>
  <conditionalFormatting sqref="AB460">
    <cfRule type="expression" dxfId="1150" priority="740" stopIfTrue="1">
      <formula>$N460="BAM"</formula>
    </cfRule>
    <cfRule type="expression" dxfId="1149" priority="742" stopIfTrue="1">
      <formula>$AB460=""</formula>
    </cfRule>
  </conditionalFormatting>
  <conditionalFormatting sqref="AB460">
    <cfRule type="expression" dxfId="1148" priority="741">
      <formula>AND($HZ458=FALSE,$GQ458=TRUE)</formula>
    </cfRule>
  </conditionalFormatting>
  <conditionalFormatting sqref="AB465">
    <cfRule type="expression" dxfId="1147" priority="739" stopIfTrue="1">
      <formula>$G462=""</formula>
    </cfRule>
  </conditionalFormatting>
  <conditionalFormatting sqref="AB465">
    <cfRule type="expression" dxfId="1146" priority="736" stopIfTrue="1">
      <formula>$N465="BAM"</formula>
    </cfRule>
    <cfRule type="expression" dxfId="1145" priority="738" stopIfTrue="1">
      <formula>$AB465=""</formula>
    </cfRule>
  </conditionalFormatting>
  <conditionalFormatting sqref="AB465">
    <cfRule type="expression" dxfId="1144" priority="737">
      <formula>AND($HZ463=FALSE,$GQ463=TRUE)</formula>
    </cfRule>
  </conditionalFormatting>
  <conditionalFormatting sqref="AB470">
    <cfRule type="expression" dxfId="1143" priority="735" stopIfTrue="1">
      <formula>$G467=""</formula>
    </cfRule>
  </conditionalFormatting>
  <conditionalFormatting sqref="AB470">
    <cfRule type="expression" dxfId="1142" priority="732" stopIfTrue="1">
      <formula>$N470="BAM"</formula>
    </cfRule>
    <cfRule type="expression" dxfId="1141" priority="734" stopIfTrue="1">
      <formula>$AB470=""</formula>
    </cfRule>
  </conditionalFormatting>
  <conditionalFormatting sqref="AB470">
    <cfRule type="expression" dxfId="1140" priority="733">
      <formula>AND($HZ468=FALSE,$GQ468=TRUE)</formula>
    </cfRule>
  </conditionalFormatting>
  <conditionalFormatting sqref="AB475">
    <cfRule type="expression" dxfId="1139" priority="731" stopIfTrue="1">
      <formula>$G472=""</formula>
    </cfRule>
  </conditionalFormatting>
  <conditionalFormatting sqref="AB475">
    <cfRule type="expression" dxfId="1138" priority="728" stopIfTrue="1">
      <formula>$N475="BAM"</formula>
    </cfRule>
    <cfRule type="expression" dxfId="1137" priority="730" stopIfTrue="1">
      <formula>$AB475=""</formula>
    </cfRule>
  </conditionalFormatting>
  <conditionalFormatting sqref="AB475">
    <cfRule type="expression" dxfId="1136" priority="729">
      <formula>AND($HZ473=FALSE,$GQ473=TRUE)</formula>
    </cfRule>
  </conditionalFormatting>
  <conditionalFormatting sqref="AB480">
    <cfRule type="expression" dxfId="1135" priority="727" stopIfTrue="1">
      <formula>$G477=""</formula>
    </cfRule>
  </conditionalFormatting>
  <conditionalFormatting sqref="AB480">
    <cfRule type="expression" dxfId="1134" priority="724" stopIfTrue="1">
      <formula>$N480="BAM"</formula>
    </cfRule>
    <cfRule type="expression" dxfId="1133" priority="726" stopIfTrue="1">
      <formula>$AB480=""</formula>
    </cfRule>
  </conditionalFormatting>
  <conditionalFormatting sqref="AB480">
    <cfRule type="expression" dxfId="1132" priority="725">
      <formula>AND($HZ478=FALSE,$GQ478=TRUE)</formula>
    </cfRule>
  </conditionalFormatting>
  <conditionalFormatting sqref="AB488">
    <cfRule type="expression" dxfId="1131" priority="723" stopIfTrue="1">
      <formula>$G485=""</formula>
    </cfRule>
  </conditionalFormatting>
  <conditionalFormatting sqref="AB488">
    <cfRule type="expression" dxfId="1130" priority="720" stopIfTrue="1">
      <formula>$N488="BAM"</formula>
    </cfRule>
    <cfRule type="expression" dxfId="1129" priority="722" stopIfTrue="1">
      <formula>$AB488=""</formula>
    </cfRule>
  </conditionalFormatting>
  <conditionalFormatting sqref="AB488">
    <cfRule type="expression" dxfId="1128" priority="721">
      <formula>AND($HZ486=FALSE,$GQ486=TRUE)</formula>
    </cfRule>
  </conditionalFormatting>
  <conditionalFormatting sqref="AB493">
    <cfRule type="expression" dxfId="1127" priority="719" stopIfTrue="1">
      <formula>$G490=""</formula>
    </cfRule>
  </conditionalFormatting>
  <conditionalFormatting sqref="AB493">
    <cfRule type="expression" dxfId="1126" priority="716" stopIfTrue="1">
      <formula>$N493="BAM"</formula>
    </cfRule>
    <cfRule type="expression" dxfId="1125" priority="718" stopIfTrue="1">
      <formula>$AB493=""</formula>
    </cfRule>
  </conditionalFormatting>
  <conditionalFormatting sqref="AB493">
    <cfRule type="expression" dxfId="1124" priority="717">
      <formula>AND($HZ491=FALSE,$GQ491=TRUE)</formula>
    </cfRule>
  </conditionalFormatting>
  <conditionalFormatting sqref="AB498">
    <cfRule type="expression" dxfId="1123" priority="715" stopIfTrue="1">
      <formula>$G495=""</formula>
    </cfRule>
  </conditionalFormatting>
  <conditionalFormatting sqref="AB498">
    <cfRule type="expression" dxfId="1122" priority="712" stopIfTrue="1">
      <formula>$N498="BAM"</formula>
    </cfRule>
    <cfRule type="expression" dxfId="1121" priority="714" stopIfTrue="1">
      <formula>$AB498=""</formula>
    </cfRule>
  </conditionalFormatting>
  <conditionalFormatting sqref="AB498">
    <cfRule type="expression" dxfId="1120" priority="713">
      <formula>AND($HZ496=FALSE,$GQ496=TRUE)</formula>
    </cfRule>
  </conditionalFormatting>
  <conditionalFormatting sqref="AB503">
    <cfRule type="expression" dxfId="1119" priority="711" stopIfTrue="1">
      <formula>$G500=""</formula>
    </cfRule>
  </conditionalFormatting>
  <conditionalFormatting sqref="AB503">
    <cfRule type="expression" dxfId="1118" priority="708" stopIfTrue="1">
      <formula>$N503="BAM"</formula>
    </cfRule>
    <cfRule type="expression" dxfId="1117" priority="710" stopIfTrue="1">
      <formula>$AB503=""</formula>
    </cfRule>
  </conditionalFormatting>
  <conditionalFormatting sqref="AB503">
    <cfRule type="expression" dxfId="1116" priority="709">
      <formula>AND($HZ501=FALSE,$GQ501=TRUE)</formula>
    </cfRule>
  </conditionalFormatting>
  <conditionalFormatting sqref="AB508">
    <cfRule type="expression" dxfId="1115" priority="707" stopIfTrue="1">
      <formula>$G505=""</formula>
    </cfRule>
  </conditionalFormatting>
  <conditionalFormatting sqref="AB508">
    <cfRule type="expression" dxfId="1114" priority="704" stopIfTrue="1">
      <formula>$N508="BAM"</formula>
    </cfRule>
    <cfRule type="expression" dxfId="1113" priority="706" stopIfTrue="1">
      <formula>$AB508=""</formula>
    </cfRule>
  </conditionalFormatting>
  <conditionalFormatting sqref="AB508">
    <cfRule type="expression" dxfId="1112" priority="705">
      <formula>AND($HZ506=FALSE,$GQ506=TRUE)</formula>
    </cfRule>
  </conditionalFormatting>
  <conditionalFormatting sqref="AB513">
    <cfRule type="expression" dxfId="1111" priority="703" stopIfTrue="1">
      <formula>$G510=""</formula>
    </cfRule>
  </conditionalFormatting>
  <conditionalFormatting sqref="AB513">
    <cfRule type="expression" dxfId="1110" priority="700" stopIfTrue="1">
      <formula>$N513="BAM"</formula>
    </cfRule>
    <cfRule type="expression" dxfId="1109" priority="702" stopIfTrue="1">
      <formula>$AB513=""</formula>
    </cfRule>
  </conditionalFormatting>
  <conditionalFormatting sqref="AB513">
    <cfRule type="expression" dxfId="1108" priority="701">
      <formula>AND($HZ511=FALSE,$GQ511=TRUE)</formula>
    </cfRule>
  </conditionalFormatting>
  <conditionalFormatting sqref="AB518">
    <cfRule type="expression" dxfId="1107" priority="699" stopIfTrue="1">
      <formula>$G515=""</formula>
    </cfRule>
  </conditionalFormatting>
  <conditionalFormatting sqref="AB518">
    <cfRule type="expression" dxfId="1106" priority="696" stopIfTrue="1">
      <formula>$N518="BAM"</formula>
    </cfRule>
    <cfRule type="expression" dxfId="1105" priority="698" stopIfTrue="1">
      <formula>$AB518=""</formula>
    </cfRule>
  </conditionalFormatting>
  <conditionalFormatting sqref="AB518">
    <cfRule type="expression" dxfId="1104" priority="697">
      <formula>AND($HZ516=FALSE,$GQ516=TRUE)</formula>
    </cfRule>
  </conditionalFormatting>
  <conditionalFormatting sqref="AB523">
    <cfRule type="expression" dxfId="1103" priority="695" stopIfTrue="1">
      <formula>$G520=""</formula>
    </cfRule>
  </conditionalFormatting>
  <conditionalFormatting sqref="AB523">
    <cfRule type="expression" dxfId="1102" priority="692" stopIfTrue="1">
      <formula>$N523="BAM"</formula>
    </cfRule>
    <cfRule type="expression" dxfId="1101" priority="694" stopIfTrue="1">
      <formula>$AB523=""</formula>
    </cfRule>
  </conditionalFormatting>
  <conditionalFormatting sqref="AB523">
    <cfRule type="expression" dxfId="1100" priority="693">
      <formula>AND($HZ521=FALSE,$GQ521=TRUE)</formula>
    </cfRule>
  </conditionalFormatting>
  <conditionalFormatting sqref="AB528">
    <cfRule type="expression" dxfId="1099" priority="691" stopIfTrue="1">
      <formula>$G525=""</formula>
    </cfRule>
  </conditionalFormatting>
  <conditionalFormatting sqref="AB528">
    <cfRule type="expression" dxfId="1098" priority="688" stopIfTrue="1">
      <formula>$N528="BAM"</formula>
    </cfRule>
    <cfRule type="expression" dxfId="1097" priority="690" stopIfTrue="1">
      <formula>$AB528=""</formula>
    </cfRule>
  </conditionalFormatting>
  <conditionalFormatting sqref="AB528">
    <cfRule type="expression" dxfId="1096" priority="689">
      <formula>AND($HZ526=FALSE,$GQ526=TRUE)</formula>
    </cfRule>
  </conditionalFormatting>
  <conditionalFormatting sqref="AB533">
    <cfRule type="expression" dxfId="1095" priority="687" stopIfTrue="1">
      <formula>$G530=""</formula>
    </cfRule>
  </conditionalFormatting>
  <conditionalFormatting sqref="AB533">
    <cfRule type="expression" dxfId="1094" priority="684" stopIfTrue="1">
      <formula>$N533="BAM"</formula>
    </cfRule>
    <cfRule type="expression" dxfId="1093" priority="686" stopIfTrue="1">
      <formula>$AB533=""</formula>
    </cfRule>
  </conditionalFormatting>
  <conditionalFormatting sqref="AB533">
    <cfRule type="expression" dxfId="1092" priority="685">
      <formula>AND($HZ531=FALSE,$GQ531=TRUE)</formula>
    </cfRule>
  </conditionalFormatting>
  <conditionalFormatting sqref="AB538">
    <cfRule type="expression" dxfId="1091" priority="683" stopIfTrue="1">
      <formula>$G535=""</formula>
    </cfRule>
  </conditionalFormatting>
  <conditionalFormatting sqref="AB538">
    <cfRule type="expression" dxfId="1090" priority="680" stopIfTrue="1">
      <formula>$N538="BAM"</formula>
    </cfRule>
    <cfRule type="expression" dxfId="1089" priority="682" stopIfTrue="1">
      <formula>$AB538=""</formula>
    </cfRule>
  </conditionalFormatting>
  <conditionalFormatting sqref="AB538">
    <cfRule type="expression" dxfId="1088" priority="681">
      <formula>AND($HZ536=FALSE,$GQ536=TRUE)</formula>
    </cfRule>
  </conditionalFormatting>
  <conditionalFormatting sqref="AB543">
    <cfRule type="expression" dxfId="1087" priority="679" stopIfTrue="1">
      <formula>$G540=""</formula>
    </cfRule>
  </conditionalFormatting>
  <conditionalFormatting sqref="AB543">
    <cfRule type="expression" dxfId="1086" priority="676" stopIfTrue="1">
      <formula>$N543="BAM"</formula>
    </cfRule>
    <cfRule type="expression" dxfId="1085" priority="678" stopIfTrue="1">
      <formula>$AB543=""</formula>
    </cfRule>
  </conditionalFormatting>
  <conditionalFormatting sqref="AB543">
    <cfRule type="expression" dxfId="1084" priority="677">
      <formula>AND($HZ541=FALSE,$GQ541=TRUE)</formula>
    </cfRule>
  </conditionalFormatting>
  <conditionalFormatting sqref="AB548">
    <cfRule type="expression" dxfId="1083" priority="675" stopIfTrue="1">
      <formula>$G545=""</formula>
    </cfRule>
  </conditionalFormatting>
  <conditionalFormatting sqref="AB548">
    <cfRule type="expression" dxfId="1082" priority="672" stopIfTrue="1">
      <formula>$N548="BAM"</formula>
    </cfRule>
    <cfRule type="expression" dxfId="1081" priority="674" stopIfTrue="1">
      <formula>$AB548=""</formula>
    </cfRule>
  </conditionalFormatting>
  <conditionalFormatting sqref="AB548">
    <cfRule type="expression" dxfId="1080" priority="673">
      <formula>AND($HZ546=FALSE,$GQ546=TRUE)</formula>
    </cfRule>
  </conditionalFormatting>
  <conditionalFormatting sqref="AB553">
    <cfRule type="expression" dxfId="1079" priority="671" stopIfTrue="1">
      <formula>$G550=""</formula>
    </cfRule>
  </conditionalFormatting>
  <conditionalFormatting sqref="AB553">
    <cfRule type="expression" dxfId="1078" priority="668" stopIfTrue="1">
      <formula>$N553="BAM"</formula>
    </cfRule>
    <cfRule type="expression" dxfId="1077" priority="670" stopIfTrue="1">
      <formula>$AB553=""</formula>
    </cfRule>
  </conditionalFormatting>
  <conditionalFormatting sqref="AB553">
    <cfRule type="expression" dxfId="1076" priority="669">
      <formula>AND($HZ551=FALSE,$GQ551=TRUE)</formula>
    </cfRule>
  </conditionalFormatting>
  <conditionalFormatting sqref="AB558">
    <cfRule type="expression" dxfId="1075" priority="667" stopIfTrue="1">
      <formula>$G555=""</formula>
    </cfRule>
  </conditionalFormatting>
  <conditionalFormatting sqref="AB558">
    <cfRule type="expression" dxfId="1074" priority="664" stopIfTrue="1">
      <formula>$N558="BAM"</formula>
    </cfRule>
    <cfRule type="expression" dxfId="1073" priority="666" stopIfTrue="1">
      <formula>$AB558=""</formula>
    </cfRule>
  </conditionalFormatting>
  <conditionalFormatting sqref="AB558">
    <cfRule type="expression" dxfId="1072" priority="665">
      <formula>AND($HZ556=FALSE,$GQ556=TRUE)</formula>
    </cfRule>
  </conditionalFormatting>
  <conditionalFormatting sqref="AB566">
    <cfRule type="expression" dxfId="1071" priority="663" stopIfTrue="1">
      <formula>$G563=""</formula>
    </cfRule>
  </conditionalFormatting>
  <conditionalFormatting sqref="AB566">
    <cfRule type="expression" dxfId="1070" priority="660" stopIfTrue="1">
      <formula>$N566="BAM"</formula>
    </cfRule>
    <cfRule type="expression" dxfId="1069" priority="662" stopIfTrue="1">
      <formula>$AB566=""</formula>
    </cfRule>
  </conditionalFormatting>
  <conditionalFormatting sqref="AB566">
    <cfRule type="expression" dxfId="1068" priority="661">
      <formula>AND($HZ564=FALSE,$GQ564=TRUE)</formula>
    </cfRule>
  </conditionalFormatting>
  <conditionalFormatting sqref="AB571">
    <cfRule type="expression" dxfId="1067" priority="659" stopIfTrue="1">
      <formula>$G568=""</formula>
    </cfRule>
  </conditionalFormatting>
  <conditionalFormatting sqref="AB571">
    <cfRule type="expression" dxfId="1066" priority="656" stopIfTrue="1">
      <formula>$N571="BAM"</formula>
    </cfRule>
    <cfRule type="expression" dxfId="1065" priority="658" stopIfTrue="1">
      <formula>$AB571=""</formula>
    </cfRule>
  </conditionalFormatting>
  <conditionalFormatting sqref="AB571">
    <cfRule type="expression" dxfId="1064" priority="657">
      <formula>AND($HZ569=FALSE,$GQ569=TRUE)</formula>
    </cfRule>
  </conditionalFormatting>
  <conditionalFormatting sqref="AB576">
    <cfRule type="expression" dxfId="1063" priority="655" stopIfTrue="1">
      <formula>$G573=""</formula>
    </cfRule>
  </conditionalFormatting>
  <conditionalFormatting sqref="AB576">
    <cfRule type="expression" dxfId="1062" priority="652" stopIfTrue="1">
      <formula>$N576="BAM"</formula>
    </cfRule>
    <cfRule type="expression" dxfId="1061" priority="654" stopIfTrue="1">
      <formula>$AB576=""</formula>
    </cfRule>
  </conditionalFormatting>
  <conditionalFormatting sqref="AB576">
    <cfRule type="expression" dxfId="1060" priority="653">
      <formula>AND($HZ574=FALSE,$GQ574=TRUE)</formula>
    </cfRule>
  </conditionalFormatting>
  <conditionalFormatting sqref="AB581">
    <cfRule type="expression" dxfId="1059" priority="651" stopIfTrue="1">
      <formula>$G578=""</formula>
    </cfRule>
  </conditionalFormatting>
  <conditionalFormatting sqref="AB581">
    <cfRule type="expression" dxfId="1058" priority="648" stopIfTrue="1">
      <formula>$N581="BAM"</formula>
    </cfRule>
    <cfRule type="expression" dxfId="1057" priority="650" stopIfTrue="1">
      <formula>$AB581=""</formula>
    </cfRule>
  </conditionalFormatting>
  <conditionalFormatting sqref="AB581">
    <cfRule type="expression" dxfId="1056" priority="649">
      <formula>AND($HZ579=FALSE,$GQ579=TRUE)</formula>
    </cfRule>
  </conditionalFormatting>
  <conditionalFormatting sqref="AB586">
    <cfRule type="expression" dxfId="1055" priority="647" stopIfTrue="1">
      <formula>$G583=""</formula>
    </cfRule>
  </conditionalFormatting>
  <conditionalFormatting sqref="AB586">
    <cfRule type="expression" dxfId="1054" priority="644" stopIfTrue="1">
      <formula>$N586="BAM"</formula>
    </cfRule>
    <cfRule type="expression" dxfId="1053" priority="646" stopIfTrue="1">
      <formula>$AB586=""</formula>
    </cfRule>
  </conditionalFormatting>
  <conditionalFormatting sqref="AB586">
    <cfRule type="expression" dxfId="1052" priority="645">
      <formula>AND($HZ584=FALSE,$GQ584=TRUE)</formula>
    </cfRule>
  </conditionalFormatting>
  <conditionalFormatting sqref="AB591">
    <cfRule type="expression" dxfId="1051" priority="643" stopIfTrue="1">
      <formula>$G588=""</formula>
    </cfRule>
  </conditionalFormatting>
  <conditionalFormatting sqref="AB591">
    <cfRule type="expression" dxfId="1050" priority="640" stopIfTrue="1">
      <formula>$N591="BAM"</formula>
    </cfRule>
    <cfRule type="expression" dxfId="1049" priority="642" stopIfTrue="1">
      <formula>$AB591=""</formula>
    </cfRule>
  </conditionalFormatting>
  <conditionalFormatting sqref="AB591">
    <cfRule type="expression" dxfId="1048" priority="641">
      <formula>AND($HZ589=FALSE,$GQ589=TRUE)</formula>
    </cfRule>
  </conditionalFormatting>
  <conditionalFormatting sqref="AB596">
    <cfRule type="expression" dxfId="1047" priority="639" stopIfTrue="1">
      <formula>$G593=""</formula>
    </cfRule>
  </conditionalFormatting>
  <conditionalFormatting sqref="AB596">
    <cfRule type="expression" dxfId="1046" priority="636" stopIfTrue="1">
      <formula>$N596="BAM"</formula>
    </cfRule>
    <cfRule type="expression" dxfId="1045" priority="638" stopIfTrue="1">
      <formula>$AB596=""</formula>
    </cfRule>
  </conditionalFormatting>
  <conditionalFormatting sqref="AB596">
    <cfRule type="expression" dxfId="1044" priority="637">
      <formula>AND($HZ594=FALSE,$GQ594=TRUE)</formula>
    </cfRule>
  </conditionalFormatting>
  <conditionalFormatting sqref="AB601">
    <cfRule type="expression" dxfId="1043" priority="635" stopIfTrue="1">
      <formula>$G598=""</formula>
    </cfRule>
  </conditionalFormatting>
  <conditionalFormatting sqref="AB601">
    <cfRule type="expression" dxfId="1042" priority="632" stopIfTrue="1">
      <formula>$N601="BAM"</formula>
    </cfRule>
    <cfRule type="expression" dxfId="1041" priority="634" stopIfTrue="1">
      <formula>$AB601=""</formula>
    </cfRule>
  </conditionalFormatting>
  <conditionalFormatting sqref="AB601">
    <cfRule type="expression" dxfId="1040" priority="633">
      <formula>AND($HZ599=FALSE,$GQ599=TRUE)</formula>
    </cfRule>
  </conditionalFormatting>
  <conditionalFormatting sqref="AB606">
    <cfRule type="expression" dxfId="1039" priority="631" stopIfTrue="1">
      <formula>$G603=""</formula>
    </cfRule>
  </conditionalFormatting>
  <conditionalFormatting sqref="AB606">
    <cfRule type="expression" dxfId="1038" priority="628" stopIfTrue="1">
      <formula>$N606="BAM"</formula>
    </cfRule>
    <cfRule type="expression" dxfId="1037" priority="630" stopIfTrue="1">
      <formula>$AB606=""</formula>
    </cfRule>
  </conditionalFormatting>
  <conditionalFormatting sqref="AB606">
    <cfRule type="expression" dxfId="1036" priority="629">
      <formula>AND($HZ604=FALSE,$GQ604=TRUE)</formula>
    </cfRule>
  </conditionalFormatting>
  <conditionalFormatting sqref="AB611">
    <cfRule type="expression" dxfId="1035" priority="627" stopIfTrue="1">
      <formula>$G608=""</formula>
    </cfRule>
  </conditionalFormatting>
  <conditionalFormatting sqref="AB611">
    <cfRule type="expression" dxfId="1034" priority="624" stopIfTrue="1">
      <formula>$N611="BAM"</formula>
    </cfRule>
    <cfRule type="expression" dxfId="1033" priority="626" stopIfTrue="1">
      <formula>$AB611=""</formula>
    </cfRule>
  </conditionalFormatting>
  <conditionalFormatting sqref="AB611">
    <cfRule type="expression" dxfId="1032" priority="625">
      <formula>AND($HZ609=FALSE,$GQ609=TRUE)</formula>
    </cfRule>
  </conditionalFormatting>
  <conditionalFormatting sqref="AB616">
    <cfRule type="expression" dxfId="1031" priority="623" stopIfTrue="1">
      <formula>$G613=""</formula>
    </cfRule>
  </conditionalFormatting>
  <conditionalFormatting sqref="AB616">
    <cfRule type="expression" dxfId="1030" priority="620" stopIfTrue="1">
      <formula>$N616="BAM"</formula>
    </cfRule>
    <cfRule type="expression" dxfId="1029" priority="622" stopIfTrue="1">
      <formula>$AB616=""</formula>
    </cfRule>
  </conditionalFormatting>
  <conditionalFormatting sqref="AB616">
    <cfRule type="expression" dxfId="1028" priority="621">
      <formula>AND($HZ614=FALSE,$GQ614=TRUE)</formula>
    </cfRule>
  </conditionalFormatting>
  <conditionalFormatting sqref="AB621">
    <cfRule type="expression" dxfId="1027" priority="619" stopIfTrue="1">
      <formula>$G618=""</formula>
    </cfRule>
  </conditionalFormatting>
  <conditionalFormatting sqref="AB621">
    <cfRule type="expression" dxfId="1026" priority="616" stopIfTrue="1">
      <formula>$N621="BAM"</formula>
    </cfRule>
    <cfRule type="expression" dxfId="1025" priority="618" stopIfTrue="1">
      <formula>$AB621=""</formula>
    </cfRule>
  </conditionalFormatting>
  <conditionalFormatting sqref="AB621">
    <cfRule type="expression" dxfId="1024" priority="617">
      <formula>AND($HZ619=FALSE,$GQ619=TRUE)</formula>
    </cfRule>
  </conditionalFormatting>
  <conditionalFormatting sqref="AB626">
    <cfRule type="expression" dxfId="1023" priority="615" stopIfTrue="1">
      <formula>$G623=""</formula>
    </cfRule>
  </conditionalFormatting>
  <conditionalFormatting sqref="AB626">
    <cfRule type="expression" dxfId="1022" priority="612" stopIfTrue="1">
      <formula>$N626="BAM"</formula>
    </cfRule>
    <cfRule type="expression" dxfId="1021" priority="614" stopIfTrue="1">
      <formula>$AB626=""</formula>
    </cfRule>
  </conditionalFormatting>
  <conditionalFormatting sqref="AB626">
    <cfRule type="expression" dxfId="1020" priority="613">
      <formula>AND($HZ624=FALSE,$GQ624=TRUE)</formula>
    </cfRule>
  </conditionalFormatting>
  <conditionalFormatting sqref="AB631">
    <cfRule type="expression" dxfId="1019" priority="611" stopIfTrue="1">
      <formula>$G628=""</formula>
    </cfRule>
  </conditionalFormatting>
  <conditionalFormatting sqref="AB631">
    <cfRule type="expression" dxfId="1018" priority="608" stopIfTrue="1">
      <formula>$N631="BAM"</formula>
    </cfRule>
    <cfRule type="expression" dxfId="1017" priority="610" stopIfTrue="1">
      <formula>$AB631=""</formula>
    </cfRule>
  </conditionalFormatting>
  <conditionalFormatting sqref="AB631">
    <cfRule type="expression" dxfId="1016" priority="609">
      <formula>AND($HZ629=FALSE,$GQ629=TRUE)</formula>
    </cfRule>
  </conditionalFormatting>
  <conditionalFormatting sqref="AB636">
    <cfRule type="expression" dxfId="1015" priority="607" stopIfTrue="1">
      <formula>$G633=""</formula>
    </cfRule>
  </conditionalFormatting>
  <conditionalFormatting sqref="AB636">
    <cfRule type="expression" dxfId="1014" priority="604" stopIfTrue="1">
      <formula>$N636="BAM"</formula>
    </cfRule>
    <cfRule type="expression" dxfId="1013" priority="606" stopIfTrue="1">
      <formula>$AB636=""</formula>
    </cfRule>
  </conditionalFormatting>
  <conditionalFormatting sqref="AB636">
    <cfRule type="expression" dxfId="1012" priority="605">
      <formula>AND($HZ634=FALSE,$GQ634=TRUE)</formula>
    </cfRule>
  </conditionalFormatting>
  <conditionalFormatting sqref="AB644">
    <cfRule type="expression" dxfId="1011" priority="603" stopIfTrue="1">
      <formula>$G641=""</formula>
    </cfRule>
  </conditionalFormatting>
  <conditionalFormatting sqref="AB644">
    <cfRule type="expression" dxfId="1010" priority="600" stopIfTrue="1">
      <formula>$N644="BAM"</formula>
    </cfRule>
    <cfRule type="expression" dxfId="1009" priority="602" stopIfTrue="1">
      <formula>$AB644=""</formula>
    </cfRule>
  </conditionalFormatting>
  <conditionalFormatting sqref="AB644">
    <cfRule type="expression" dxfId="1008" priority="601">
      <formula>AND($HZ642=FALSE,$GQ642=TRUE)</formula>
    </cfRule>
  </conditionalFormatting>
  <conditionalFormatting sqref="AB649">
    <cfRule type="expression" dxfId="1007" priority="599" stopIfTrue="1">
      <formula>$G646=""</formula>
    </cfRule>
  </conditionalFormatting>
  <conditionalFormatting sqref="AB649">
    <cfRule type="expression" dxfId="1006" priority="596" stopIfTrue="1">
      <formula>$N649="BAM"</formula>
    </cfRule>
    <cfRule type="expression" dxfId="1005" priority="598" stopIfTrue="1">
      <formula>$AB649=""</formula>
    </cfRule>
  </conditionalFormatting>
  <conditionalFormatting sqref="AB649">
    <cfRule type="expression" dxfId="1004" priority="597">
      <formula>AND($HZ647=FALSE,$GQ647=TRUE)</formula>
    </cfRule>
  </conditionalFormatting>
  <conditionalFormatting sqref="AB654">
    <cfRule type="expression" dxfId="1003" priority="595" stopIfTrue="1">
      <formula>$G651=""</formula>
    </cfRule>
  </conditionalFormatting>
  <conditionalFormatting sqref="AB654">
    <cfRule type="expression" dxfId="1002" priority="592" stopIfTrue="1">
      <formula>$N654="BAM"</formula>
    </cfRule>
    <cfRule type="expression" dxfId="1001" priority="594" stopIfTrue="1">
      <formula>$AB654=""</formula>
    </cfRule>
  </conditionalFormatting>
  <conditionalFormatting sqref="AB654">
    <cfRule type="expression" dxfId="1000" priority="593">
      <formula>AND($HZ652=FALSE,$GQ652=TRUE)</formula>
    </cfRule>
  </conditionalFormatting>
  <conditionalFormatting sqref="AB659">
    <cfRule type="expression" dxfId="999" priority="591" stopIfTrue="1">
      <formula>$G656=""</formula>
    </cfRule>
  </conditionalFormatting>
  <conditionalFormatting sqref="AB659">
    <cfRule type="expression" dxfId="998" priority="588" stopIfTrue="1">
      <formula>$N659="BAM"</formula>
    </cfRule>
    <cfRule type="expression" dxfId="997" priority="590" stopIfTrue="1">
      <formula>$AB659=""</formula>
    </cfRule>
  </conditionalFormatting>
  <conditionalFormatting sqref="AB659">
    <cfRule type="expression" dxfId="996" priority="589">
      <formula>AND($HZ657=FALSE,$GQ657=TRUE)</formula>
    </cfRule>
  </conditionalFormatting>
  <conditionalFormatting sqref="AB664">
    <cfRule type="expression" dxfId="995" priority="587" stopIfTrue="1">
      <formula>$G661=""</formula>
    </cfRule>
  </conditionalFormatting>
  <conditionalFormatting sqref="AB664">
    <cfRule type="expression" dxfId="994" priority="584" stopIfTrue="1">
      <formula>$N664="BAM"</formula>
    </cfRule>
    <cfRule type="expression" dxfId="993" priority="586" stopIfTrue="1">
      <formula>$AB664=""</formula>
    </cfRule>
  </conditionalFormatting>
  <conditionalFormatting sqref="AB664">
    <cfRule type="expression" dxfId="992" priority="585">
      <formula>AND($HZ662=FALSE,$GQ662=TRUE)</formula>
    </cfRule>
  </conditionalFormatting>
  <conditionalFormatting sqref="AB669">
    <cfRule type="expression" dxfId="991" priority="583" stopIfTrue="1">
      <formula>$G666=""</formula>
    </cfRule>
  </conditionalFormatting>
  <conditionalFormatting sqref="AB669">
    <cfRule type="expression" dxfId="990" priority="580" stopIfTrue="1">
      <formula>$N669="BAM"</formula>
    </cfRule>
    <cfRule type="expression" dxfId="989" priority="582" stopIfTrue="1">
      <formula>$AB669=""</formula>
    </cfRule>
  </conditionalFormatting>
  <conditionalFormatting sqref="AB669">
    <cfRule type="expression" dxfId="988" priority="581">
      <formula>AND($HZ667=FALSE,$GQ667=TRUE)</formula>
    </cfRule>
  </conditionalFormatting>
  <conditionalFormatting sqref="AB674">
    <cfRule type="expression" dxfId="987" priority="579" stopIfTrue="1">
      <formula>$G671=""</formula>
    </cfRule>
  </conditionalFormatting>
  <conditionalFormatting sqref="AB674">
    <cfRule type="expression" dxfId="986" priority="576" stopIfTrue="1">
      <formula>$N674="BAM"</formula>
    </cfRule>
    <cfRule type="expression" dxfId="985" priority="578" stopIfTrue="1">
      <formula>$AB674=""</formula>
    </cfRule>
  </conditionalFormatting>
  <conditionalFormatting sqref="AB674">
    <cfRule type="expression" dxfId="984" priority="577">
      <formula>AND($HZ672=FALSE,$GQ672=TRUE)</formula>
    </cfRule>
  </conditionalFormatting>
  <conditionalFormatting sqref="AB679">
    <cfRule type="expression" dxfId="983" priority="575" stopIfTrue="1">
      <formula>$G676=""</formula>
    </cfRule>
  </conditionalFormatting>
  <conditionalFormatting sqref="AB679">
    <cfRule type="expression" dxfId="982" priority="572" stopIfTrue="1">
      <formula>$N679="BAM"</formula>
    </cfRule>
    <cfRule type="expression" dxfId="981" priority="574" stopIfTrue="1">
      <formula>$AB679=""</formula>
    </cfRule>
  </conditionalFormatting>
  <conditionalFormatting sqref="AB679">
    <cfRule type="expression" dxfId="980" priority="573">
      <formula>AND($HZ677=FALSE,$GQ677=TRUE)</formula>
    </cfRule>
  </conditionalFormatting>
  <conditionalFormatting sqref="AB684">
    <cfRule type="expression" dxfId="979" priority="571" stopIfTrue="1">
      <formula>$G681=""</formula>
    </cfRule>
  </conditionalFormatting>
  <conditionalFormatting sqref="AB684">
    <cfRule type="expression" dxfId="978" priority="568" stopIfTrue="1">
      <formula>$N684="BAM"</formula>
    </cfRule>
    <cfRule type="expression" dxfId="977" priority="570" stopIfTrue="1">
      <formula>$AB684=""</formula>
    </cfRule>
  </conditionalFormatting>
  <conditionalFormatting sqref="AB684">
    <cfRule type="expression" dxfId="976" priority="569">
      <formula>AND($HZ682=FALSE,$GQ682=TRUE)</formula>
    </cfRule>
  </conditionalFormatting>
  <conditionalFormatting sqref="AB689">
    <cfRule type="expression" dxfId="975" priority="567" stopIfTrue="1">
      <formula>$G686=""</formula>
    </cfRule>
  </conditionalFormatting>
  <conditionalFormatting sqref="AB689">
    <cfRule type="expression" dxfId="974" priority="564" stopIfTrue="1">
      <formula>$N689="BAM"</formula>
    </cfRule>
    <cfRule type="expression" dxfId="973" priority="566" stopIfTrue="1">
      <formula>$AB689=""</formula>
    </cfRule>
  </conditionalFormatting>
  <conditionalFormatting sqref="AB689">
    <cfRule type="expression" dxfId="972" priority="565">
      <formula>AND($HZ687=FALSE,$GQ687=TRUE)</formula>
    </cfRule>
  </conditionalFormatting>
  <conditionalFormatting sqref="AB694">
    <cfRule type="expression" dxfId="971" priority="563" stopIfTrue="1">
      <formula>$G691=""</formula>
    </cfRule>
  </conditionalFormatting>
  <conditionalFormatting sqref="AB694">
    <cfRule type="expression" dxfId="970" priority="560" stopIfTrue="1">
      <formula>$N694="BAM"</formula>
    </cfRule>
    <cfRule type="expression" dxfId="969" priority="562" stopIfTrue="1">
      <formula>$AB694=""</formula>
    </cfRule>
  </conditionalFormatting>
  <conditionalFormatting sqref="AB694">
    <cfRule type="expression" dxfId="968" priority="561">
      <formula>AND($HZ692=FALSE,$GQ692=TRUE)</formula>
    </cfRule>
  </conditionalFormatting>
  <conditionalFormatting sqref="AB699">
    <cfRule type="expression" dxfId="967" priority="559" stopIfTrue="1">
      <formula>$G696=""</formula>
    </cfRule>
  </conditionalFormatting>
  <conditionalFormatting sqref="AB699">
    <cfRule type="expression" dxfId="966" priority="556" stopIfTrue="1">
      <formula>$N699="BAM"</formula>
    </cfRule>
    <cfRule type="expression" dxfId="965" priority="558" stopIfTrue="1">
      <formula>$AB699=""</formula>
    </cfRule>
  </conditionalFormatting>
  <conditionalFormatting sqref="AB699">
    <cfRule type="expression" dxfId="964" priority="557">
      <formula>AND($HZ697=FALSE,$GQ697=TRUE)</formula>
    </cfRule>
  </conditionalFormatting>
  <conditionalFormatting sqref="AB704">
    <cfRule type="expression" dxfId="963" priority="555" stopIfTrue="1">
      <formula>$G701=""</formula>
    </cfRule>
  </conditionalFormatting>
  <conditionalFormatting sqref="AB704">
    <cfRule type="expression" dxfId="962" priority="552" stopIfTrue="1">
      <formula>$N704="BAM"</formula>
    </cfRule>
    <cfRule type="expression" dxfId="961" priority="554" stopIfTrue="1">
      <formula>$AB704=""</formula>
    </cfRule>
  </conditionalFormatting>
  <conditionalFormatting sqref="AB704">
    <cfRule type="expression" dxfId="960" priority="553">
      <formula>AND($HZ702=FALSE,$GQ702=TRUE)</formula>
    </cfRule>
  </conditionalFormatting>
  <conditionalFormatting sqref="AB709">
    <cfRule type="expression" dxfId="959" priority="551" stopIfTrue="1">
      <formula>$G706=""</formula>
    </cfRule>
  </conditionalFormatting>
  <conditionalFormatting sqref="AB709">
    <cfRule type="expression" dxfId="958" priority="548" stopIfTrue="1">
      <formula>$N709="BAM"</formula>
    </cfRule>
    <cfRule type="expression" dxfId="957" priority="550" stopIfTrue="1">
      <formula>$AB709=""</formula>
    </cfRule>
  </conditionalFormatting>
  <conditionalFormatting sqref="AB709">
    <cfRule type="expression" dxfId="956" priority="549">
      <formula>AND($HZ707=FALSE,$GQ707=TRUE)</formula>
    </cfRule>
  </conditionalFormatting>
  <conditionalFormatting sqref="AB714">
    <cfRule type="expression" dxfId="955" priority="547" stopIfTrue="1">
      <formula>$G711=""</formula>
    </cfRule>
  </conditionalFormatting>
  <conditionalFormatting sqref="AB714">
    <cfRule type="expression" dxfId="954" priority="544" stopIfTrue="1">
      <formula>$N714="BAM"</formula>
    </cfRule>
    <cfRule type="expression" dxfId="953" priority="546" stopIfTrue="1">
      <formula>$AB714=""</formula>
    </cfRule>
  </conditionalFormatting>
  <conditionalFormatting sqref="AB714">
    <cfRule type="expression" dxfId="952" priority="545">
      <formula>AND($HZ712=FALSE,$GQ712=TRUE)</formula>
    </cfRule>
  </conditionalFormatting>
  <conditionalFormatting sqref="AB722">
    <cfRule type="expression" dxfId="951" priority="543" stopIfTrue="1">
      <formula>$G719=""</formula>
    </cfRule>
  </conditionalFormatting>
  <conditionalFormatting sqref="AB722">
    <cfRule type="expression" dxfId="950" priority="540" stopIfTrue="1">
      <formula>$N722="BAM"</formula>
    </cfRule>
    <cfRule type="expression" dxfId="949" priority="542" stopIfTrue="1">
      <formula>$AB722=""</formula>
    </cfRule>
  </conditionalFormatting>
  <conditionalFormatting sqref="AB722">
    <cfRule type="expression" dxfId="948" priority="541">
      <formula>AND($HZ720=FALSE,$GQ720=TRUE)</formula>
    </cfRule>
  </conditionalFormatting>
  <conditionalFormatting sqref="AB727">
    <cfRule type="expression" dxfId="947" priority="539" stopIfTrue="1">
      <formula>$G724=""</formula>
    </cfRule>
  </conditionalFormatting>
  <conditionalFormatting sqref="AB727">
    <cfRule type="expression" dxfId="946" priority="536" stopIfTrue="1">
      <formula>$N727="BAM"</formula>
    </cfRule>
    <cfRule type="expression" dxfId="945" priority="538" stopIfTrue="1">
      <formula>$AB727=""</formula>
    </cfRule>
  </conditionalFormatting>
  <conditionalFormatting sqref="AB727">
    <cfRule type="expression" dxfId="944" priority="537">
      <formula>AND($HZ725=FALSE,$GQ725=TRUE)</formula>
    </cfRule>
  </conditionalFormatting>
  <conditionalFormatting sqref="AB732">
    <cfRule type="expression" dxfId="943" priority="535" stopIfTrue="1">
      <formula>$G729=""</formula>
    </cfRule>
  </conditionalFormatting>
  <conditionalFormatting sqref="AB732">
    <cfRule type="expression" dxfId="942" priority="532" stopIfTrue="1">
      <formula>$N732="BAM"</formula>
    </cfRule>
    <cfRule type="expression" dxfId="941" priority="534" stopIfTrue="1">
      <formula>$AB732=""</formula>
    </cfRule>
  </conditionalFormatting>
  <conditionalFormatting sqref="AB732">
    <cfRule type="expression" dxfId="940" priority="533">
      <formula>AND($HZ730=FALSE,$GQ730=TRUE)</formula>
    </cfRule>
  </conditionalFormatting>
  <conditionalFormatting sqref="AB737">
    <cfRule type="expression" dxfId="939" priority="531" stopIfTrue="1">
      <formula>$G734=""</formula>
    </cfRule>
  </conditionalFormatting>
  <conditionalFormatting sqref="AB737">
    <cfRule type="expression" dxfId="938" priority="528" stopIfTrue="1">
      <formula>$N737="BAM"</formula>
    </cfRule>
    <cfRule type="expression" dxfId="937" priority="530" stopIfTrue="1">
      <formula>$AB737=""</formula>
    </cfRule>
  </conditionalFormatting>
  <conditionalFormatting sqref="AB737">
    <cfRule type="expression" dxfId="936" priority="529">
      <formula>AND($HZ735=FALSE,$GQ735=TRUE)</formula>
    </cfRule>
  </conditionalFormatting>
  <conditionalFormatting sqref="AB742">
    <cfRule type="expression" dxfId="935" priority="527" stopIfTrue="1">
      <formula>$G739=""</formula>
    </cfRule>
  </conditionalFormatting>
  <conditionalFormatting sqref="AB742">
    <cfRule type="expression" dxfId="934" priority="524" stopIfTrue="1">
      <formula>$N742="BAM"</formula>
    </cfRule>
    <cfRule type="expression" dxfId="933" priority="526" stopIfTrue="1">
      <formula>$AB742=""</formula>
    </cfRule>
  </conditionalFormatting>
  <conditionalFormatting sqref="AB742">
    <cfRule type="expression" dxfId="932" priority="525">
      <formula>AND($HZ740=FALSE,$GQ740=TRUE)</formula>
    </cfRule>
  </conditionalFormatting>
  <conditionalFormatting sqref="AB747">
    <cfRule type="expression" dxfId="931" priority="523" stopIfTrue="1">
      <formula>$G744=""</formula>
    </cfRule>
  </conditionalFormatting>
  <conditionalFormatting sqref="AB747">
    <cfRule type="expression" dxfId="930" priority="520" stopIfTrue="1">
      <formula>$N747="BAM"</formula>
    </cfRule>
    <cfRule type="expression" dxfId="929" priority="522" stopIfTrue="1">
      <formula>$AB747=""</formula>
    </cfRule>
  </conditionalFormatting>
  <conditionalFormatting sqref="AB747">
    <cfRule type="expression" dxfId="928" priority="521">
      <formula>AND($HZ745=FALSE,$GQ745=TRUE)</formula>
    </cfRule>
  </conditionalFormatting>
  <conditionalFormatting sqref="AB752">
    <cfRule type="expression" dxfId="927" priority="519" stopIfTrue="1">
      <formula>$G749=""</formula>
    </cfRule>
  </conditionalFormatting>
  <conditionalFormatting sqref="AB752">
    <cfRule type="expression" dxfId="926" priority="516" stopIfTrue="1">
      <formula>$N752="BAM"</formula>
    </cfRule>
    <cfRule type="expression" dxfId="925" priority="518" stopIfTrue="1">
      <formula>$AB752=""</formula>
    </cfRule>
  </conditionalFormatting>
  <conditionalFormatting sqref="AB752">
    <cfRule type="expression" dxfId="924" priority="517">
      <formula>AND($HZ750=FALSE,$GQ750=TRUE)</formula>
    </cfRule>
  </conditionalFormatting>
  <conditionalFormatting sqref="AB757">
    <cfRule type="expression" dxfId="923" priority="513">
      <formula>AND($HZ755=FALSE,$GQ755=TRUE)</formula>
    </cfRule>
  </conditionalFormatting>
  <conditionalFormatting sqref="AB762">
    <cfRule type="expression" dxfId="922" priority="511" stopIfTrue="1">
      <formula>$G759=""</formula>
    </cfRule>
  </conditionalFormatting>
  <conditionalFormatting sqref="AB762">
    <cfRule type="expression" dxfId="921" priority="508" stopIfTrue="1">
      <formula>$N762="BAM"</formula>
    </cfRule>
    <cfRule type="expression" dxfId="920" priority="510" stopIfTrue="1">
      <formula>$AB762=""</formula>
    </cfRule>
  </conditionalFormatting>
  <conditionalFormatting sqref="AB762">
    <cfRule type="expression" dxfId="919" priority="509">
      <formula>AND($HZ760=FALSE,$GQ760=TRUE)</formula>
    </cfRule>
  </conditionalFormatting>
  <conditionalFormatting sqref="AB767">
    <cfRule type="expression" dxfId="918" priority="507" stopIfTrue="1">
      <formula>$G764=""</formula>
    </cfRule>
  </conditionalFormatting>
  <conditionalFormatting sqref="AB767">
    <cfRule type="expression" dxfId="917" priority="504" stopIfTrue="1">
      <formula>$N767="BAM"</formula>
    </cfRule>
    <cfRule type="expression" dxfId="916" priority="506" stopIfTrue="1">
      <formula>$AB767=""</formula>
    </cfRule>
  </conditionalFormatting>
  <conditionalFormatting sqref="AB767">
    <cfRule type="expression" dxfId="915" priority="505">
      <formula>AND($HZ765=FALSE,$GQ765=TRUE)</formula>
    </cfRule>
  </conditionalFormatting>
  <conditionalFormatting sqref="AB772">
    <cfRule type="expression" dxfId="914" priority="503" stopIfTrue="1">
      <formula>$G769=""</formula>
    </cfRule>
  </conditionalFormatting>
  <conditionalFormatting sqref="AB772">
    <cfRule type="expression" dxfId="913" priority="500" stopIfTrue="1">
      <formula>$N772="BAM"</formula>
    </cfRule>
    <cfRule type="expression" dxfId="912" priority="502" stopIfTrue="1">
      <formula>$AB772=""</formula>
    </cfRule>
  </conditionalFormatting>
  <conditionalFormatting sqref="AB772">
    <cfRule type="expression" dxfId="911" priority="501">
      <formula>AND($HZ770=FALSE,$GQ770=TRUE)</formula>
    </cfRule>
  </conditionalFormatting>
  <conditionalFormatting sqref="AB777">
    <cfRule type="expression" dxfId="910" priority="499" stopIfTrue="1">
      <formula>$G774=""</formula>
    </cfRule>
  </conditionalFormatting>
  <conditionalFormatting sqref="AB777">
    <cfRule type="expression" dxfId="909" priority="496" stopIfTrue="1">
      <formula>$N777="BAM"</formula>
    </cfRule>
    <cfRule type="expression" dxfId="908" priority="498" stopIfTrue="1">
      <formula>$AB777=""</formula>
    </cfRule>
  </conditionalFormatting>
  <conditionalFormatting sqref="AB777">
    <cfRule type="expression" dxfId="907" priority="497">
      <formula>AND($HZ775=FALSE,$GQ775=TRUE)</formula>
    </cfRule>
  </conditionalFormatting>
  <conditionalFormatting sqref="AB782">
    <cfRule type="expression" dxfId="906" priority="495" stopIfTrue="1">
      <formula>$G779=""</formula>
    </cfRule>
  </conditionalFormatting>
  <conditionalFormatting sqref="AB782">
    <cfRule type="expression" dxfId="905" priority="492" stopIfTrue="1">
      <formula>$N782="BAM"</formula>
    </cfRule>
    <cfRule type="expression" dxfId="904" priority="494" stopIfTrue="1">
      <formula>$AB782=""</formula>
    </cfRule>
  </conditionalFormatting>
  <conditionalFormatting sqref="AB782">
    <cfRule type="expression" dxfId="903" priority="493">
      <formula>AND($HZ780=FALSE,$GQ780=TRUE)</formula>
    </cfRule>
  </conditionalFormatting>
  <conditionalFormatting sqref="AB787">
    <cfRule type="expression" dxfId="902" priority="491" stopIfTrue="1">
      <formula>$G784=""</formula>
    </cfRule>
  </conditionalFormatting>
  <conditionalFormatting sqref="AB787">
    <cfRule type="expression" dxfId="901" priority="488" stopIfTrue="1">
      <formula>$N787="BAM"</formula>
    </cfRule>
    <cfRule type="expression" dxfId="900" priority="490" stopIfTrue="1">
      <formula>$AB787=""</formula>
    </cfRule>
  </conditionalFormatting>
  <conditionalFormatting sqref="AB787">
    <cfRule type="expression" dxfId="899" priority="489">
      <formula>AND($HZ785=FALSE,$GQ785=TRUE)</formula>
    </cfRule>
  </conditionalFormatting>
  <conditionalFormatting sqref="AB792">
    <cfRule type="expression" dxfId="898" priority="487" stopIfTrue="1">
      <formula>$G789=""</formula>
    </cfRule>
  </conditionalFormatting>
  <conditionalFormatting sqref="AB792">
    <cfRule type="expression" dxfId="897" priority="484" stopIfTrue="1">
      <formula>$N792="BAM"</formula>
    </cfRule>
    <cfRule type="expression" dxfId="896" priority="486" stopIfTrue="1">
      <formula>$AB792=""</formula>
    </cfRule>
  </conditionalFormatting>
  <conditionalFormatting sqref="AB792">
    <cfRule type="expression" dxfId="895" priority="485">
      <formula>AND($HZ790=FALSE,$GQ790=TRUE)</formula>
    </cfRule>
  </conditionalFormatting>
  <conditionalFormatting sqref="AW52:AW55">
    <cfRule type="expression" dxfId="894" priority="483">
      <formula>$G52=""</formula>
    </cfRule>
  </conditionalFormatting>
  <conditionalFormatting sqref="AW57:AW60">
    <cfRule type="expression" dxfId="893" priority="482">
      <formula>$G57=""</formula>
    </cfRule>
  </conditionalFormatting>
  <conditionalFormatting sqref="AW62:AW65">
    <cfRule type="expression" dxfId="892" priority="481">
      <formula>$G62=""</formula>
    </cfRule>
  </conditionalFormatting>
  <conditionalFormatting sqref="AW67:AW70">
    <cfRule type="expression" dxfId="891" priority="480">
      <formula>$G67=""</formula>
    </cfRule>
  </conditionalFormatting>
  <conditionalFormatting sqref="AW72:AW75">
    <cfRule type="expression" dxfId="890" priority="479">
      <formula>$G72=""</formula>
    </cfRule>
  </conditionalFormatting>
  <conditionalFormatting sqref="AW72:AW75">
    <cfRule type="expression" dxfId="889" priority="478">
      <formula>$G72=""</formula>
    </cfRule>
  </conditionalFormatting>
  <conditionalFormatting sqref="AW77:AW80">
    <cfRule type="expression" dxfId="888" priority="477">
      <formula>$G77=""</formula>
    </cfRule>
  </conditionalFormatting>
  <conditionalFormatting sqref="AW77:AW80">
    <cfRule type="expression" dxfId="887" priority="476">
      <formula>$G77=""</formula>
    </cfRule>
  </conditionalFormatting>
  <conditionalFormatting sqref="AW82:AW85">
    <cfRule type="expression" dxfId="886" priority="475">
      <formula>$G82=""</formula>
    </cfRule>
  </conditionalFormatting>
  <conditionalFormatting sqref="AW82:AW85">
    <cfRule type="expression" dxfId="885" priority="474">
      <formula>$G82=""</formula>
    </cfRule>
  </conditionalFormatting>
  <conditionalFormatting sqref="AW87:AW90">
    <cfRule type="expression" dxfId="884" priority="473">
      <formula>$G87=""</formula>
    </cfRule>
  </conditionalFormatting>
  <conditionalFormatting sqref="AW87:AW90">
    <cfRule type="expression" dxfId="883" priority="472">
      <formula>$G87=""</formula>
    </cfRule>
  </conditionalFormatting>
  <conditionalFormatting sqref="AW95:AW98">
    <cfRule type="expression" dxfId="882" priority="471">
      <formula>$G95=""</formula>
    </cfRule>
  </conditionalFormatting>
  <conditionalFormatting sqref="AW95:AW98">
    <cfRule type="expression" dxfId="881" priority="470">
      <formula>$G95=""</formula>
    </cfRule>
  </conditionalFormatting>
  <conditionalFormatting sqref="AW100:AW103">
    <cfRule type="expression" dxfId="880" priority="469">
      <formula>$G100=""</formula>
    </cfRule>
  </conditionalFormatting>
  <conditionalFormatting sqref="AW100:AW103">
    <cfRule type="expression" dxfId="879" priority="468">
      <formula>$G100=""</formula>
    </cfRule>
  </conditionalFormatting>
  <conditionalFormatting sqref="AW105:AW108">
    <cfRule type="expression" dxfId="878" priority="467">
      <formula>$G105=""</formula>
    </cfRule>
  </conditionalFormatting>
  <conditionalFormatting sqref="AW105:AW108">
    <cfRule type="expression" dxfId="877" priority="466">
      <formula>$G105=""</formula>
    </cfRule>
  </conditionalFormatting>
  <conditionalFormatting sqref="AW110:AW113">
    <cfRule type="expression" dxfId="876" priority="465">
      <formula>$G110=""</formula>
    </cfRule>
  </conditionalFormatting>
  <conditionalFormatting sqref="AW110:AW113">
    <cfRule type="expression" dxfId="875" priority="464">
      <formula>$G110=""</formula>
    </cfRule>
  </conditionalFormatting>
  <conditionalFormatting sqref="AW115:AW118">
    <cfRule type="expression" dxfId="874" priority="463">
      <formula>$G115=""</formula>
    </cfRule>
  </conditionalFormatting>
  <conditionalFormatting sqref="AW115:AW118">
    <cfRule type="expression" dxfId="873" priority="462">
      <formula>$G115=""</formula>
    </cfRule>
  </conditionalFormatting>
  <conditionalFormatting sqref="AW120:AW123">
    <cfRule type="expression" dxfId="872" priority="461">
      <formula>$G120=""</formula>
    </cfRule>
  </conditionalFormatting>
  <conditionalFormatting sqref="AW120:AW123">
    <cfRule type="expression" dxfId="871" priority="460">
      <formula>$G120=""</formula>
    </cfRule>
  </conditionalFormatting>
  <conditionalFormatting sqref="AW125:AW128">
    <cfRule type="expression" dxfId="870" priority="459">
      <formula>$G125=""</formula>
    </cfRule>
  </conditionalFormatting>
  <conditionalFormatting sqref="AW125:AW128">
    <cfRule type="expression" dxfId="869" priority="458">
      <formula>$G125=""</formula>
    </cfRule>
  </conditionalFormatting>
  <conditionalFormatting sqref="AW135:AW138">
    <cfRule type="expression" dxfId="868" priority="457">
      <formula>$G135=""</formula>
    </cfRule>
  </conditionalFormatting>
  <conditionalFormatting sqref="AW135:AW138">
    <cfRule type="expression" dxfId="867" priority="456">
      <formula>$G135=""</formula>
    </cfRule>
  </conditionalFormatting>
  <conditionalFormatting sqref="AW140:AW143">
    <cfRule type="expression" dxfId="866" priority="455">
      <formula>$G140=""</formula>
    </cfRule>
  </conditionalFormatting>
  <conditionalFormatting sqref="AW140:AW143">
    <cfRule type="expression" dxfId="865" priority="454">
      <formula>$G140=""</formula>
    </cfRule>
  </conditionalFormatting>
  <conditionalFormatting sqref="AW130:AW133">
    <cfRule type="expression" dxfId="864" priority="453">
      <formula>$G130=""</formula>
    </cfRule>
  </conditionalFormatting>
  <conditionalFormatting sqref="AW130:AW133">
    <cfRule type="expression" dxfId="863" priority="452">
      <formula>$G130=""</formula>
    </cfRule>
  </conditionalFormatting>
  <conditionalFormatting sqref="AW145:AW148">
    <cfRule type="expression" dxfId="862" priority="451">
      <formula>$G145=""</formula>
    </cfRule>
  </conditionalFormatting>
  <conditionalFormatting sqref="AW145:AW148">
    <cfRule type="expression" dxfId="861" priority="450">
      <formula>$G145=""</formula>
    </cfRule>
  </conditionalFormatting>
  <conditionalFormatting sqref="AW150:AW153">
    <cfRule type="expression" dxfId="860" priority="449">
      <formula>$G150=""</formula>
    </cfRule>
  </conditionalFormatting>
  <conditionalFormatting sqref="AW150:AW153">
    <cfRule type="expression" dxfId="859" priority="448">
      <formula>$G150=""</formula>
    </cfRule>
  </conditionalFormatting>
  <conditionalFormatting sqref="AW155:AW158">
    <cfRule type="expression" dxfId="858" priority="447">
      <formula>$G155=""</formula>
    </cfRule>
  </conditionalFormatting>
  <conditionalFormatting sqref="AW155:AW158">
    <cfRule type="expression" dxfId="857" priority="446">
      <formula>$G155=""</formula>
    </cfRule>
  </conditionalFormatting>
  <conditionalFormatting sqref="AW160:AW163">
    <cfRule type="expression" dxfId="856" priority="445">
      <formula>$G160=""</formula>
    </cfRule>
  </conditionalFormatting>
  <conditionalFormatting sqref="AW160:AW163">
    <cfRule type="expression" dxfId="855" priority="444">
      <formula>$G160=""</formula>
    </cfRule>
  </conditionalFormatting>
  <conditionalFormatting sqref="AW165:AW168">
    <cfRule type="expression" dxfId="854" priority="443">
      <formula>$G165=""</formula>
    </cfRule>
  </conditionalFormatting>
  <conditionalFormatting sqref="AW165:AW168">
    <cfRule type="expression" dxfId="853" priority="442">
      <formula>$G165=""</formula>
    </cfRule>
  </conditionalFormatting>
  <conditionalFormatting sqref="AW173:AW176">
    <cfRule type="expression" dxfId="852" priority="441">
      <formula>$G173=""</formula>
    </cfRule>
  </conditionalFormatting>
  <conditionalFormatting sqref="AW173:AW176">
    <cfRule type="expression" dxfId="851" priority="440">
      <formula>$G173=""</formula>
    </cfRule>
  </conditionalFormatting>
  <conditionalFormatting sqref="AW178:AW181">
    <cfRule type="expression" dxfId="850" priority="439">
      <formula>$G178=""</formula>
    </cfRule>
  </conditionalFormatting>
  <conditionalFormatting sqref="AW178:AW181">
    <cfRule type="expression" dxfId="849" priority="438">
      <formula>$G178=""</formula>
    </cfRule>
  </conditionalFormatting>
  <conditionalFormatting sqref="AW183:AW186">
    <cfRule type="expression" dxfId="848" priority="437">
      <formula>$G183=""</formula>
    </cfRule>
  </conditionalFormatting>
  <conditionalFormatting sqref="AW183:AW186">
    <cfRule type="expression" dxfId="847" priority="436">
      <formula>$G183=""</formula>
    </cfRule>
  </conditionalFormatting>
  <conditionalFormatting sqref="AW188:AW191">
    <cfRule type="expression" dxfId="846" priority="435">
      <formula>$G188=""</formula>
    </cfRule>
  </conditionalFormatting>
  <conditionalFormatting sqref="AW188:AW191">
    <cfRule type="expression" dxfId="845" priority="434">
      <formula>$G188=""</formula>
    </cfRule>
  </conditionalFormatting>
  <conditionalFormatting sqref="AW193:AW196">
    <cfRule type="expression" dxfId="844" priority="433">
      <formula>$G193=""</formula>
    </cfRule>
  </conditionalFormatting>
  <conditionalFormatting sqref="AW193:AW196">
    <cfRule type="expression" dxfId="843" priority="432">
      <formula>$G193=""</formula>
    </cfRule>
  </conditionalFormatting>
  <conditionalFormatting sqref="AW198:AW201">
    <cfRule type="expression" dxfId="842" priority="431">
      <formula>$G198=""</formula>
    </cfRule>
  </conditionalFormatting>
  <conditionalFormatting sqref="AW198:AW201">
    <cfRule type="expression" dxfId="841" priority="430">
      <formula>$G198=""</formula>
    </cfRule>
  </conditionalFormatting>
  <conditionalFormatting sqref="AW203:AW206">
    <cfRule type="expression" dxfId="840" priority="429">
      <formula>$G203=""</formula>
    </cfRule>
  </conditionalFormatting>
  <conditionalFormatting sqref="AW203:AW206">
    <cfRule type="expression" dxfId="839" priority="428">
      <formula>$G203=""</formula>
    </cfRule>
  </conditionalFormatting>
  <conditionalFormatting sqref="AW208:AW211">
    <cfRule type="expression" dxfId="838" priority="427">
      <formula>$G208=""</formula>
    </cfRule>
  </conditionalFormatting>
  <conditionalFormatting sqref="AW208:AW211">
    <cfRule type="expression" dxfId="837" priority="426">
      <formula>$G208=""</formula>
    </cfRule>
  </conditionalFormatting>
  <conditionalFormatting sqref="AW213:AW216">
    <cfRule type="expression" dxfId="836" priority="425">
      <formula>$G213=""</formula>
    </cfRule>
  </conditionalFormatting>
  <conditionalFormatting sqref="AW213:AW216">
    <cfRule type="expression" dxfId="835" priority="424">
      <formula>$G213=""</formula>
    </cfRule>
  </conditionalFormatting>
  <conditionalFormatting sqref="AW218:AW221">
    <cfRule type="expression" dxfId="834" priority="423">
      <formula>$G218=""</formula>
    </cfRule>
  </conditionalFormatting>
  <conditionalFormatting sqref="AW218:AW221">
    <cfRule type="expression" dxfId="833" priority="422">
      <formula>$G218=""</formula>
    </cfRule>
  </conditionalFormatting>
  <conditionalFormatting sqref="AW223:AW226">
    <cfRule type="expression" dxfId="832" priority="421">
      <formula>$G223=""</formula>
    </cfRule>
  </conditionalFormatting>
  <conditionalFormatting sqref="AW223:AW226">
    <cfRule type="expression" dxfId="831" priority="420">
      <formula>$G223=""</formula>
    </cfRule>
  </conditionalFormatting>
  <conditionalFormatting sqref="AW228:AW231">
    <cfRule type="expression" dxfId="830" priority="419">
      <formula>$G228=""</formula>
    </cfRule>
  </conditionalFormatting>
  <conditionalFormatting sqref="AW228:AW231">
    <cfRule type="expression" dxfId="829" priority="418">
      <formula>$G228=""</formula>
    </cfRule>
  </conditionalFormatting>
  <conditionalFormatting sqref="AW233:AW236">
    <cfRule type="expression" dxfId="828" priority="417">
      <formula>$G233=""</formula>
    </cfRule>
  </conditionalFormatting>
  <conditionalFormatting sqref="AW233:AW236">
    <cfRule type="expression" dxfId="827" priority="416">
      <formula>$G233=""</formula>
    </cfRule>
  </conditionalFormatting>
  <conditionalFormatting sqref="AW238:AW241">
    <cfRule type="expression" dxfId="826" priority="415">
      <formula>$G238=""</formula>
    </cfRule>
  </conditionalFormatting>
  <conditionalFormatting sqref="AW238:AW241">
    <cfRule type="expression" dxfId="825" priority="414">
      <formula>$G238=""</formula>
    </cfRule>
  </conditionalFormatting>
  <conditionalFormatting sqref="AW243:AW246">
    <cfRule type="expression" dxfId="824" priority="413">
      <formula>$G243=""</formula>
    </cfRule>
  </conditionalFormatting>
  <conditionalFormatting sqref="AW243:AW246">
    <cfRule type="expression" dxfId="823" priority="412">
      <formula>$G243=""</formula>
    </cfRule>
  </conditionalFormatting>
  <conditionalFormatting sqref="AW251:AW254">
    <cfRule type="expression" dxfId="822" priority="411">
      <formula>$G251=""</formula>
    </cfRule>
  </conditionalFormatting>
  <conditionalFormatting sqref="AW251:AW254">
    <cfRule type="expression" dxfId="821" priority="410">
      <formula>$G251=""</formula>
    </cfRule>
  </conditionalFormatting>
  <conditionalFormatting sqref="AW256:AW259">
    <cfRule type="expression" dxfId="820" priority="409">
      <formula>$G256=""</formula>
    </cfRule>
  </conditionalFormatting>
  <conditionalFormatting sqref="AW256:AW259">
    <cfRule type="expression" dxfId="819" priority="408">
      <formula>$G256=""</formula>
    </cfRule>
  </conditionalFormatting>
  <conditionalFormatting sqref="AW261:AW264">
    <cfRule type="expression" dxfId="818" priority="407">
      <formula>$G261=""</formula>
    </cfRule>
  </conditionalFormatting>
  <conditionalFormatting sqref="AW261:AW264">
    <cfRule type="expression" dxfId="817" priority="406">
      <formula>$G261=""</formula>
    </cfRule>
  </conditionalFormatting>
  <conditionalFormatting sqref="AW266:AW269">
    <cfRule type="expression" dxfId="816" priority="405">
      <formula>$G266=""</formula>
    </cfRule>
  </conditionalFormatting>
  <conditionalFormatting sqref="AW266:AW269">
    <cfRule type="expression" dxfId="815" priority="404">
      <formula>$G266=""</formula>
    </cfRule>
  </conditionalFormatting>
  <conditionalFormatting sqref="AW271:AW274">
    <cfRule type="expression" dxfId="814" priority="403">
      <formula>$G271=""</formula>
    </cfRule>
  </conditionalFormatting>
  <conditionalFormatting sqref="AW271:AW274">
    <cfRule type="expression" dxfId="813" priority="402">
      <formula>$G271=""</formula>
    </cfRule>
  </conditionalFormatting>
  <conditionalFormatting sqref="AW276:AW279">
    <cfRule type="expression" dxfId="812" priority="401">
      <formula>$G276=""</formula>
    </cfRule>
  </conditionalFormatting>
  <conditionalFormatting sqref="AW276:AW279">
    <cfRule type="expression" dxfId="811" priority="400">
      <formula>$G276=""</formula>
    </cfRule>
  </conditionalFormatting>
  <conditionalFormatting sqref="AW281:AW284">
    <cfRule type="expression" dxfId="810" priority="399">
      <formula>$G281=""</formula>
    </cfRule>
  </conditionalFormatting>
  <conditionalFormatting sqref="AW281:AW284">
    <cfRule type="expression" dxfId="809" priority="398">
      <formula>$G281=""</formula>
    </cfRule>
  </conditionalFormatting>
  <conditionalFormatting sqref="AW286:AW289">
    <cfRule type="expression" dxfId="808" priority="397">
      <formula>$G286=""</formula>
    </cfRule>
  </conditionalFormatting>
  <conditionalFormatting sqref="AW286:AW289">
    <cfRule type="expression" dxfId="807" priority="396">
      <formula>$G286=""</formula>
    </cfRule>
  </conditionalFormatting>
  <conditionalFormatting sqref="AW291:AW294">
    <cfRule type="expression" dxfId="806" priority="395">
      <formula>$G291=""</formula>
    </cfRule>
  </conditionalFormatting>
  <conditionalFormatting sqref="AW291:AW294">
    <cfRule type="expression" dxfId="805" priority="394">
      <formula>$G291=""</formula>
    </cfRule>
  </conditionalFormatting>
  <conditionalFormatting sqref="AW296:AW299">
    <cfRule type="expression" dxfId="804" priority="393">
      <formula>$G296=""</formula>
    </cfRule>
  </conditionalFormatting>
  <conditionalFormatting sqref="AW296:AW299">
    <cfRule type="expression" dxfId="803" priority="392">
      <formula>$G296=""</formula>
    </cfRule>
  </conditionalFormatting>
  <conditionalFormatting sqref="AW301:AW304">
    <cfRule type="expression" dxfId="802" priority="391">
      <formula>$G301=""</formula>
    </cfRule>
  </conditionalFormatting>
  <conditionalFormatting sqref="AW301:AW304">
    <cfRule type="expression" dxfId="801" priority="390">
      <formula>$G301=""</formula>
    </cfRule>
  </conditionalFormatting>
  <conditionalFormatting sqref="AW306:AW309">
    <cfRule type="expression" dxfId="800" priority="389">
      <formula>$G306=""</formula>
    </cfRule>
  </conditionalFormatting>
  <conditionalFormatting sqref="AW306:AW309">
    <cfRule type="expression" dxfId="799" priority="388">
      <formula>$G306=""</formula>
    </cfRule>
  </conditionalFormatting>
  <conditionalFormatting sqref="AW311:AW314">
    <cfRule type="expression" dxfId="798" priority="387">
      <formula>$G311=""</formula>
    </cfRule>
  </conditionalFormatting>
  <conditionalFormatting sqref="AW311:AW314">
    <cfRule type="expression" dxfId="797" priority="386">
      <formula>$G311=""</formula>
    </cfRule>
  </conditionalFormatting>
  <conditionalFormatting sqref="AW316:AW319">
    <cfRule type="expression" dxfId="796" priority="385">
      <formula>$G316=""</formula>
    </cfRule>
  </conditionalFormatting>
  <conditionalFormatting sqref="AW316:AW319">
    <cfRule type="expression" dxfId="795" priority="384">
      <formula>$G316=""</formula>
    </cfRule>
  </conditionalFormatting>
  <conditionalFormatting sqref="AW321:AW324">
    <cfRule type="expression" dxfId="794" priority="383">
      <formula>$G321=""</formula>
    </cfRule>
  </conditionalFormatting>
  <conditionalFormatting sqref="AW321:AW324">
    <cfRule type="expression" dxfId="793" priority="382">
      <formula>$G321=""</formula>
    </cfRule>
  </conditionalFormatting>
  <conditionalFormatting sqref="AW329:AW332">
    <cfRule type="expression" dxfId="792" priority="381">
      <formula>$G329=""</formula>
    </cfRule>
  </conditionalFormatting>
  <conditionalFormatting sqref="AW329:AW332">
    <cfRule type="expression" dxfId="791" priority="380">
      <formula>$G329=""</formula>
    </cfRule>
  </conditionalFormatting>
  <conditionalFormatting sqref="AW334:AW337">
    <cfRule type="expression" dxfId="790" priority="379">
      <formula>$G334=""</formula>
    </cfRule>
  </conditionalFormatting>
  <conditionalFormatting sqref="AW334:AW337">
    <cfRule type="expression" dxfId="789" priority="378">
      <formula>$G334=""</formula>
    </cfRule>
  </conditionalFormatting>
  <conditionalFormatting sqref="AW339:AW342">
    <cfRule type="expression" dxfId="788" priority="377">
      <formula>$G339=""</formula>
    </cfRule>
  </conditionalFormatting>
  <conditionalFormatting sqref="AW339:AW342">
    <cfRule type="expression" dxfId="787" priority="376">
      <formula>$G339=""</formula>
    </cfRule>
  </conditionalFormatting>
  <conditionalFormatting sqref="AW344:AW347">
    <cfRule type="expression" dxfId="786" priority="375">
      <formula>$G344=""</formula>
    </cfRule>
  </conditionalFormatting>
  <conditionalFormatting sqref="AW344:AW347">
    <cfRule type="expression" dxfId="785" priority="374">
      <formula>$G344=""</formula>
    </cfRule>
  </conditionalFormatting>
  <conditionalFormatting sqref="AW349:AW352">
    <cfRule type="expression" dxfId="784" priority="373">
      <formula>$G349=""</formula>
    </cfRule>
  </conditionalFormatting>
  <conditionalFormatting sqref="AW349:AW352">
    <cfRule type="expression" dxfId="783" priority="372">
      <formula>$G349=""</formula>
    </cfRule>
  </conditionalFormatting>
  <conditionalFormatting sqref="AW354:AW357">
    <cfRule type="expression" dxfId="782" priority="371">
      <formula>$G354=""</formula>
    </cfRule>
  </conditionalFormatting>
  <conditionalFormatting sqref="AW354:AW357">
    <cfRule type="expression" dxfId="781" priority="370">
      <formula>$G354=""</formula>
    </cfRule>
  </conditionalFormatting>
  <conditionalFormatting sqref="AW359:AW362">
    <cfRule type="expression" dxfId="780" priority="369">
      <formula>$G359=""</formula>
    </cfRule>
  </conditionalFormatting>
  <conditionalFormatting sqref="AW359:AW362">
    <cfRule type="expression" dxfId="779" priority="368">
      <formula>$G359=""</formula>
    </cfRule>
  </conditionalFormatting>
  <conditionalFormatting sqref="AW364:AW367">
    <cfRule type="expression" dxfId="778" priority="367">
      <formula>$G364=""</formula>
    </cfRule>
  </conditionalFormatting>
  <conditionalFormatting sqref="AW364:AW367">
    <cfRule type="expression" dxfId="777" priority="366">
      <formula>$G364=""</formula>
    </cfRule>
  </conditionalFormatting>
  <conditionalFormatting sqref="AW369:AW372">
    <cfRule type="expression" dxfId="776" priority="365">
      <formula>$G369=""</formula>
    </cfRule>
  </conditionalFormatting>
  <conditionalFormatting sqref="AW369:AW372">
    <cfRule type="expression" dxfId="775" priority="364">
      <formula>$G369=""</formula>
    </cfRule>
  </conditionalFormatting>
  <conditionalFormatting sqref="AW374:AW377">
    <cfRule type="expression" dxfId="774" priority="363">
      <formula>$G374=""</formula>
    </cfRule>
  </conditionalFormatting>
  <conditionalFormatting sqref="AW374:AW377">
    <cfRule type="expression" dxfId="773" priority="362">
      <formula>$G374=""</formula>
    </cfRule>
  </conditionalFormatting>
  <conditionalFormatting sqref="AW379:AW382">
    <cfRule type="expression" dxfId="772" priority="361">
      <formula>$G379=""</formula>
    </cfRule>
  </conditionalFormatting>
  <conditionalFormatting sqref="AW379:AW382">
    <cfRule type="expression" dxfId="771" priority="360">
      <formula>$G379=""</formula>
    </cfRule>
  </conditionalFormatting>
  <conditionalFormatting sqref="AW384:AW387">
    <cfRule type="expression" dxfId="770" priority="359">
      <formula>$G384=""</formula>
    </cfRule>
  </conditionalFormatting>
  <conditionalFormatting sqref="AW384:AW387">
    <cfRule type="expression" dxfId="769" priority="358">
      <formula>$G384=""</formula>
    </cfRule>
  </conditionalFormatting>
  <conditionalFormatting sqref="AW389:AW392">
    <cfRule type="expression" dxfId="768" priority="357">
      <formula>$G389=""</formula>
    </cfRule>
  </conditionalFormatting>
  <conditionalFormatting sqref="AW389:AW392">
    <cfRule type="expression" dxfId="767" priority="356">
      <formula>$G389=""</formula>
    </cfRule>
  </conditionalFormatting>
  <conditionalFormatting sqref="AW394:AW397">
    <cfRule type="expression" dxfId="766" priority="355">
      <formula>$G394=""</formula>
    </cfRule>
  </conditionalFormatting>
  <conditionalFormatting sqref="AW394:AW397">
    <cfRule type="expression" dxfId="765" priority="354">
      <formula>$G394=""</formula>
    </cfRule>
  </conditionalFormatting>
  <conditionalFormatting sqref="AW399:AW402">
    <cfRule type="expression" dxfId="764" priority="353">
      <formula>$G399=""</formula>
    </cfRule>
  </conditionalFormatting>
  <conditionalFormatting sqref="AW399:AW402">
    <cfRule type="expression" dxfId="763" priority="352">
      <formula>$G399=""</formula>
    </cfRule>
  </conditionalFormatting>
  <conditionalFormatting sqref="AW407:AW410">
    <cfRule type="expression" dxfId="762" priority="351">
      <formula>$G407=""</formula>
    </cfRule>
  </conditionalFormatting>
  <conditionalFormatting sqref="AW407:AW410">
    <cfRule type="expression" dxfId="761" priority="350">
      <formula>$G407=""</formula>
    </cfRule>
  </conditionalFormatting>
  <conditionalFormatting sqref="AW412:AW415">
    <cfRule type="expression" dxfId="760" priority="349">
      <formula>$G412=""</formula>
    </cfRule>
  </conditionalFormatting>
  <conditionalFormatting sqref="AW412:AW415">
    <cfRule type="expression" dxfId="759" priority="348">
      <formula>$G412=""</formula>
    </cfRule>
  </conditionalFormatting>
  <conditionalFormatting sqref="AW417:AW420">
    <cfRule type="expression" dxfId="758" priority="347">
      <formula>$G417=""</formula>
    </cfRule>
  </conditionalFormatting>
  <conditionalFormatting sqref="AW417:AW420">
    <cfRule type="expression" dxfId="757" priority="346">
      <formula>$G417=""</formula>
    </cfRule>
  </conditionalFormatting>
  <conditionalFormatting sqref="AW422:AW425">
    <cfRule type="expression" dxfId="756" priority="345">
      <formula>$G422=""</formula>
    </cfRule>
  </conditionalFormatting>
  <conditionalFormatting sqref="AW422:AW425">
    <cfRule type="expression" dxfId="755" priority="344">
      <formula>$G422=""</formula>
    </cfRule>
  </conditionalFormatting>
  <conditionalFormatting sqref="AW427:AW430">
    <cfRule type="expression" dxfId="754" priority="343">
      <formula>$G427=""</formula>
    </cfRule>
  </conditionalFormatting>
  <conditionalFormatting sqref="AW427:AW430">
    <cfRule type="expression" dxfId="753" priority="342">
      <formula>$G427=""</formula>
    </cfRule>
  </conditionalFormatting>
  <conditionalFormatting sqref="AW432:AW435">
    <cfRule type="expression" dxfId="752" priority="341">
      <formula>$G432=""</formula>
    </cfRule>
  </conditionalFormatting>
  <conditionalFormatting sqref="AW432:AW435">
    <cfRule type="expression" dxfId="751" priority="340">
      <formula>$G432=""</formula>
    </cfRule>
  </conditionalFormatting>
  <conditionalFormatting sqref="AW437:AW440">
    <cfRule type="expression" dxfId="750" priority="339">
      <formula>$G437=""</formula>
    </cfRule>
  </conditionalFormatting>
  <conditionalFormatting sqref="AW437:AW440">
    <cfRule type="expression" dxfId="749" priority="338">
      <formula>$G437=""</formula>
    </cfRule>
  </conditionalFormatting>
  <conditionalFormatting sqref="AW442:AW445">
    <cfRule type="expression" dxfId="748" priority="337">
      <formula>$G442=""</formula>
    </cfRule>
  </conditionalFormatting>
  <conditionalFormatting sqref="AW442:AW445">
    <cfRule type="expression" dxfId="747" priority="336">
      <formula>$G442=""</formula>
    </cfRule>
  </conditionalFormatting>
  <conditionalFormatting sqref="AW447:AW450">
    <cfRule type="expression" dxfId="746" priority="335">
      <formula>$G447=""</formula>
    </cfRule>
  </conditionalFormatting>
  <conditionalFormatting sqref="AW447:AW450">
    <cfRule type="expression" dxfId="745" priority="334">
      <formula>$G447=""</formula>
    </cfRule>
  </conditionalFormatting>
  <conditionalFormatting sqref="AW452:AW455">
    <cfRule type="expression" dxfId="744" priority="333">
      <formula>$G452=""</formula>
    </cfRule>
  </conditionalFormatting>
  <conditionalFormatting sqref="AW452:AW455">
    <cfRule type="expression" dxfId="743" priority="332">
      <formula>$G452=""</formula>
    </cfRule>
  </conditionalFormatting>
  <conditionalFormatting sqref="AW457:AW460">
    <cfRule type="expression" dxfId="742" priority="331">
      <formula>$G457=""</formula>
    </cfRule>
  </conditionalFormatting>
  <conditionalFormatting sqref="AW457:AW460">
    <cfRule type="expression" dxfId="741" priority="330">
      <formula>$G457=""</formula>
    </cfRule>
  </conditionalFormatting>
  <conditionalFormatting sqref="AW462:AW465">
    <cfRule type="expression" dxfId="740" priority="329">
      <formula>$G462=""</formula>
    </cfRule>
  </conditionalFormatting>
  <conditionalFormatting sqref="AW462:AW465">
    <cfRule type="expression" dxfId="739" priority="328">
      <formula>$G462=""</formula>
    </cfRule>
  </conditionalFormatting>
  <conditionalFormatting sqref="AW467:AW470">
    <cfRule type="expression" dxfId="738" priority="327">
      <formula>$G467=""</formula>
    </cfRule>
  </conditionalFormatting>
  <conditionalFormatting sqref="AW467:AW470">
    <cfRule type="expression" dxfId="737" priority="326">
      <formula>$G467=""</formula>
    </cfRule>
  </conditionalFormatting>
  <conditionalFormatting sqref="AW472:AW475">
    <cfRule type="expression" dxfId="736" priority="325">
      <formula>$G472=""</formula>
    </cfRule>
  </conditionalFormatting>
  <conditionalFormatting sqref="AW472:AW475">
    <cfRule type="expression" dxfId="735" priority="324">
      <formula>$G472=""</formula>
    </cfRule>
  </conditionalFormatting>
  <conditionalFormatting sqref="AW477:AW480">
    <cfRule type="expression" dxfId="734" priority="323">
      <formula>$G477=""</formula>
    </cfRule>
  </conditionalFormatting>
  <conditionalFormatting sqref="AW477:AW480">
    <cfRule type="expression" dxfId="733" priority="322">
      <formula>$G477=""</formula>
    </cfRule>
  </conditionalFormatting>
  <conditionalFormatting sqref="AW485:AW488">
    <cfRule type="expression" dxfId="732" priority="321">
      <formula>$G485=""</formula>
    </cfRule>
  </conditionalFormatting>
  <conditionalFormatting sqref="AW485:AW488">
    <cfRule type="expression" dxfId="731" priority="320">
      <formula>$G485=""</formula>
    </cfRule>
  </conditionalFormatting>
  <conditionalFormatting sqref="AW490:AW493">
    <cfRule type="expression" dxfId="730" priority="319">
      <formula>$G490=""</formula>
    </cfRule>
  </conditionalFormatting>
  <conditionalFormatting sqref="AW490:AW493">
    <cfRule type="expression" dxfId="729" priority="318">
      <formula>$G490=""</formula>
    </cfRule>
  </conditionalFormatting>
  <conditionalFormatting sqref="AW495:AW498">
    <cfRule type="expression" dxfId="728" priority="317">
      <formula>$G495=""</formula>
    </cfRule>
  </conditionalFormatting>
  <conditionalFormatting sqref="AW495:AW498">
    <cfRule type="expression" dxfId="727" priority="316">
      <formula>$G495=""</formula>
    </cfRule>
  </conditionalFormatting>
  <conditionalFormatting sqref="AW500:AW503">
    <cfRule type="expression" dxfId="726" priority="315">
      <formula>$G500=""</formula>
    </cfRule>
  </conditionalFormatting>
  <conditionalFormatting sqref="AW500:AW503">
    <cfRule type="expression" dxfId="725" priority="314">
      <formula>$G500=""</formula>
    </cfRule>
  </conditionalFormatting>
  <conditionalFormatting sqref="AW505:AW508">
    <cfRule type="expression" dxfId="724" priority="313">
      <formula>$G505=""</formula>
    </cfRule>
  </conditionalFormatting>
  <conditionalFormatting sqref="AW505:AW508">
    <cfRule type="expression" dxfId="723" priority="312">
      <formula>$G505=""</formula>
    </cfRule>
  </conditionalFormatting>
  <conditionalFormatting sqref="AW510:AW513">
    <cfRule type="expression" dxfId="722" priority="311">
      <formula>$G510=""</formula>
    </cfRule>
  </conditionalFormatting>
  <conditionalFormatting sqref="AW510:AW513">
    <cfRule type="expression" dxfId="721" priority="310">
      <formula>$G510=""</formula>
    </cfRule>
  </conditionalFormatting>
  <conditionalFormatting sqref="AW515:AW518">
    <cfRule type="expression" dxfId="720" priority="309">
      <formula>$G515=""</formula>
    </cfRule>
  </conditionalFormatting>
  <conditionalFormatting sqref="AW515:AW518">
    <cfRule type="expression" dxfId="719" priority="308">
      <formula>$G515=""</formula>
    </cfRule>
  </conditionalFormatting>
  <conditionalFormatting sqref="AW520:AW523">
    <cfRule type="expression" dxfId="718" priority="307">
      <formula>$G520=""</formula>
    </cfRule>
  </conditionalFormatting>
  <conditionalFormatting sqref="AW520:AW523">
    <cfRule type="expression" dxfId="717" priority="306">
      <formula>$G520=""</formula>
    </cfRule>
  </conditionalFormatting>
  <conditionalFormatting sqref="AW525:AW528">
    <cfRule type="expression" dxfId="716" priority="305">
      <formula>$G525=""</formula>
    </cfRule>
  </conditionalFormatting>
  <conditionalFormatting sqref="AW525:AW528">
    <cfRule type="expression" dxfId="715" priority="304">
      <formula>$G525=""</formula>
    </cfRule>
  </conditionalFormatting>
  <conditionalFormatting sqref="AW530:AW533">
    <cfRule type="expression" dxfId="714" priority="303">
      <formula>$G530=""</formula>
    </cfRule>
  </conditionalFormatting>
  <conditionalFormatting sqref="AW530:AW533">
    <cfRule type="expression" dxfId="713" priority="302">
      <formula>$G530=""</formula>
    </cfRule>
  </conditionalFormatting>
  <conditionalFormatting sqref="AW535:AW538">
    <cfRule type="expression" dxfId="712" priority="301">
      <formula>$G535=""</formula>
    </cfRule>
  </conditionalFormatting>
  <conditionalFormatting sqref="AW535:AW538">
    <cfRule type="expression" dxfId="711" priority="300">
      <formula>$G535=""</formula>
    </cfRule>
  </conditionalFormatting>
  <conditionalFormatting sqref="AW540:AW543">
    <cfRule type="expression" dxfId="710" priority="299">
      <formula>$G540=""</formula>
    </cfRule>
  </conditionalFormatting>
  <conditionalFormatting sqref="AW540:AW543">
    <cfRule type="expression" dxfId="709" priority="298">
      <formula>$G540=""</formula>
    </cfRule>
  </conditionalFormatting>
  <conditionalFormatting sqref="AW545:AW548">
    <cfRule type="expression" dxfId="708" priority="297">
      <formula>$G545=""</formula>
    </cfRule>
  </conditionalFormatting>
  <conditionalFormatting sqref="AW545:AW548">
    <cfRule type="expression" dxfId="707" priority="296">
      <formula>$G545=""</formula>
    </cfRule>
  </conditionalFormatting>
  <conditionalFormatting sqref="AW550:AW553">
    <cfRule type="expression" dxfId="706" priority="295">
      <formula>$G550=""</formula>
    </cfRule>
  </conditionalFormatting>
  <conditionalFormatting sqref="AW550:AW553">
    <cfRule type="expression" dxfId="705" priority="294">
      <formula>$G550=""</formula>
    </cfRule>
  </conditionalFormatting>
  <conditionalFormatting sqref="AW555:AW558">
    <cfRule type="expression" dxfId="704" priority="293">
      <formula>$G555=""</formula>
    </cfRule>
  </conditionalFormatting>
  <conditionalFormatting sqref="AW555:AW558">
    <cfRule type="expression" dxfId="703" priority="292">
      <formula>$G555=""</formula>
    </cfRule>
  </conditionalFormatting>
  <conditionalFormatting sqref="AP550">
    <cfRule type="expression" dxfId="702" priority="291">
      <formula>$G550=""</formula>
    </cfRule>
  </conditionalFormatting>
  <conditionalFormatting sqref="AW563:AW566">
    <cfRule type="expression" dxfId="701" priority="290">
      <formula>$G563=""</formula>
    </cfRule>
  </conditionalFormatting>
  <conditionalFormatting sqref="AW563:AW566">
    <cfRule type="expression" dxfId="700" priority="289">
      <formula>$G563=""</formula>
    </cfRule>
  </conditionalFormatting>
  <conditionalFormatting sqref="AW563:AW566">
    <cfRule type="expression" dxfId="699" priority="288">
      <formula>$G563=""</formula>
    </cfRule>
  </conditionalFormatting>
  <conditionalFormatting sqref="AW568:AW571">
    <cfRule type="expression" dxfId="698" priority="287">
      <formula>$G568=""</formula>
    </cfRule>
  </conditionalFormatting>
  <conditionalFormatting sqref="AW568:AW571">
    <cfRule type="expression" dxfId="697" priority="286">
      <formula>$G568=""</formula>
    </cfRule>
  </conditionalFormatting>
  <conditionalFormatting sqref="AW568:AW571">
    <cfRule type="expression" dxfId="696" priority="285">
      <formula>$G568=""</formula>
    </cfRule>
  </conditionalFormatting>
  <conditionalFormatting sqref="AW573:AW576">
    <cfRule type="expression" dxfId="695" priority="284">
      <formula>$G573=""</formula>
    </cfRule>
  </conditionalFormatting>
  <conditionalFormatting sqref="AW573:AW576">
    <cfRule type="expression" dxfId="694" priority="283">
      <formula>$G573=""</formula>
    </cfRule>
  </conditionalFormatting>
  <conditionalFormatting sqref="AW573:AW576">
    <cfRule type="expression" dxfId="693" priority="282">
      <formula>$G573=""</formula>
    </cfRule>
  </conditionalFormatting>
  <conditionalFormatting sqref="AW578:AW581">
    <cfRule type="expression" dxfId="692" priority="281">
      <formula>$G578=""</formula>
    </cfRule>
  </conditionalFormatting>
  <conditionalFormatting sqref="AW578:AW581">
    <cfRule type="expression" dxfId="691" priority="280">
      <formula>$G578=""</formula>
    </cfRule>
  </conditionalFormatting>
  <conditionalFormatting sqref="AW578:AW581">
    <cfRule type="expression" dxfId="690" priority="279">
      <formula>$G578=""</formula>
    </cfRule>
  </conditionalFormatting>
  <conditionalFormatting sqref="AW583:AW586">
    <cfRule type="expression" dxfId="689" priority="278">
      <formula>$G583=""</formula>
    </cfRule>
  </conditionalFormatting>
  <conditionalFormatting sqref="AW583:AW586">
    <cfRule type="expression" dxfId="688" priority="277">
      <formula>$G583=""</formula>
    </cfRule>
  </conditionalFormatting>
  <conditionalFormatting sqref="AW583:AW586">
    <cfRule type="expression" dxfId="687" priority="276">
      <formula>$G583=""</formula>
    </cfRule>
  </conditionalFormatting>
  <conditionalFormatting sqref="AW588:AW591">
    <cfRule type="expression" dxfId="686" priority="275">
      <formula>$G588=""</formula>
    </cfRule>
  </conditionalFormatting>
  <conditionalFormatting sqref="AW588:AW591">
    <cfRule type="expression" dxfId="685" priority="274">
      <formula>$G588=""</formula>
    </cfRule>
  </conditionalFormatting>
  <conditionalFormatting sqref="AW588:AW591">
    <cfRule type="expression" dxfId="684" priority="273">
      <formula>$G588=""</formula>
    </cfRule>
  </conditionalFormatting>
  <conditionalFormatting sqref="AW593:AW596">
    <cfRule type="expression" dxfId="683" priority="272">
      <formula>$G593=""</formula>
    </cfRule>
  </conditionalFormatting>
  <conditionalFormatting sqref="AW593:AW596">
    <cfRule type="expression" dxfId="682" priority="271">
      <formula>$G593=""</formula>
    </cfRule>
  </conditionalFormatting>
  <conditionalFormatting sqref="AW593:AW596">
    <cfRule type="expression" dxfId="681" priority="270">
      <formula>$G593=""</formula>
    </cfRule>
  </conditionalFormatting>
  <conditionalFormatting sqref="AW598:AW601">
    <cfRule type="expression" dxfId="680" priority="269">
      <formula>$G598=""</formula>
    </cfRule>
  </conditionalFormatting>
  <conditionalFormatting sqref="AW598:AW601">
    <cfRule type="expression" dxfId="679" priority="268">
      <formula>$G598=""</formula>
    </cfRule>
  </conditionalFormatting>
  <conditionalFormatting sqref="AW598:AW601">
    <cfRule type="expression" dxfId="678" priority="267">
      <formula>$G598=""</formula>
    </cfRule>
  </conditionalFormatting>
  <conditionalFormatting sqref="AW603:AW606">
    <cfRule type="expression" dxfId="677" priority="266">
      <formula>$G603=""</formula>
    </cfRule>
  </conditionalFormatting>
  <conditionalFormatting sqref="AW603:AW606">
    <cfRule type="expression" dxfId="676" priority="265">
      <formula>$G603=""</formula>
    </cfRule>
  </conditionalFormatting>
  <conditionalFormatting sqref="AW603:AW606">
    <cfRule type="expression" dxfId="675" priority="264">
      <formula>$G603=""</formula>
    </cfRule>
  </conditionalFormatting>
  <conditionalFormatting sqref="AW608:AW611">
    <cfRule type="expression" dxfId="674" priority="263">
      <formula>$G608=""</formula>
    </cfRule>
  </conditionalFormatting>
  <conditionalFormatting sqref="AW608:AW611">
    <cfRule type="expression" dxfId="673" priority="262">
      <formula>$G608=""</formula>
    </cfRule>
  </conditionalFormatting>
  <conditionalFormatting sqref="AW608:AW611">
    <cfRule type="expression" dxfId="672" priority="261">
      <formula>$G608=""</formula>
    </cfRule>
  </conditionalFormatting>
  <conditionalFormatting sqref="AW613:AW616">
    <cfRule type="expression" dxfId="671" priority="260">
      <formula>$G613=""</formula>
    </cfRule>
  </conditionalFormatting>
  <conditionalFormatting sqref="AW613:AW616">
    <cfRule type="expression" dxfId="670" priority="259">
      <formula>$G613=""</formula>
    </cfRule>
  </conditionalFormatting>
  <conditionalFormatting sqref="AW613:AW616">
    <cfRule type="expression" dxfId="669" priority="258">
      <formula>$G613=""</formula>
    </cfRule>
  </conditionalFormatting>
  <conditionalFormatting sqref="AW618:AW621">
    <cfRule type="expression" dxfId="668" priority="257">
      <formula>$G618=""</formula>
    </cfRule>
  </conditionalFormatting>
  <conditionalFormatting sqref="AW618:AW621">
    <cfRule type="expression" dxfId="667" priority="256">
      <formula>$G618=""</formula>
    </cfRule>
  </conditionalFormatting>
  <conditionalFormatting sqref="AW618:AW621">
    <cfRule type="expression" dxfId="666" priority="255">
      <formula>$G618=""</formula>
    </cfRule>
  </conditionalFormatting>
  <conditionalFormatting sqref="AW623:AW626">
    <cfRule type="expression" dxfId="665" priority="254">
      <formula>$G623=""</formula>
    </cfRule>
  </conditionalFormatting>
  <conditionalFormatting sqref="AW623:AW626">
    <cfRule type="expression" dxfId="664" priority="253">
      <formula>$G623=""</formula>
    </cfRule>
  </conditionalFormatting>
  <conditionalFormatting sqref="AW623:AW626">
    <cfRule type="expression" dxfId="663" priority="252">
      <formula>$G623=""</formula>
    </cfRule>
  </conditionalFormatting>
  <conditionalFormatting sqref="AW628:AW631">
    <cfRule type="expression" dxfId="662" priority="251">
      <formula>$G628=""</formula>
    </cfRule>
  </conditionalFormatting>
  <conditionalFormatting sqref="AW628:AW631">
    <cfRule type="expression" dxfId="661" priority="250">
      <formula>$G628=""</formula>
    </cfRule>
  </conditionalFormatting>
  <conditionalFormatting sqref="AW628:AW631">
    <cfRule type="expression" dxfId="660" priority="249">
      <formula>$G628=""</formula>
    </cfRule>
  </conditionalFormatting>
  <conditionalFormatting sqref="AW633:AW636">
    <cfRule type="expression" dxfId="659" priority="248">
      <formula>$G633=""</formula>
    </cfRule>
  </conditionalFormatting>
  <conditionalFormatting sqref="AW633:AW636">
    <cfRule type="expression" dxfId="658" priority="247">
      <formula>$G633=""</formula>
    </cfRule>
  </conditionalFormatting>
  <conditionalFormatting sqref="AW633:AW636">
    <cfRule type="expression" dxfId="657" priority="246">
      <formula>$G633=""</formula>
    </cfRule>
  </conditionalFormatting>
  <conditionalFormatting sqref="AW641:AW644">
    <cfRule type="expression" dxfId="656" priority="245">
      <formula>$G641=""</formula>
    </cfRule>
  </conditionalFormatting>
  <conditionalFormatting sqref="AW641:AW644">
    <cfRule type="expression" dxfId="655" priority="244">
      <formula>$G641=""</formula>
    </cfRule>
  </conditionalFormatting>
  <conditionalFormatting sqref="AW641:AW644">
    <cfRule type="expression" dxfId="654" priority="243">
      <formula>$G641=""</formula>
    </cfRule>
  </conditionalFormatting>
  <conditionalFormatting sqref="AW646:AW649">
    <cfRule type="expression" dxfId="653" priority="242">
      <formula>$G646=""</formula>
    </cfRule>
  </conditionalFormatting>
  <conditionalFormatting sqref="AW646:AW649">
    <cfRule type="expression" dxfId="652" priority="241">
      <formula>$G646=""</formula>
    </cfRule>
  </conditionalFormatting>
  <conditionalFormatting sqref="AW646:AW649">
    <cfRule type="expression" dxfId="651" priority="240">
      <formula>$G646=""</formula>
    </cfRule>
  </conditionalFormatting>
  <conditionalFormatting sqref="AW651:AW654">
    <cfRule type="expression" dxfId="650" priority="239">
      <formula>$G651=""</formula>
    </cfRule>
  </conditionalFormatting>
  <conditionalFormatting sqref="AW651:AW654">
    <cfRule type="expression" dxfId="649" priority="238">
      <formula>$G651=""</formula>
    </cfRule>
  </conditionalFormatting>
  <conditionalFormatting sqref="AW651:AW654">
    <cfRule type="expression" dxfId="648" priority="237">
      <formula>$G651=""</formula>
    </cfRule>
  </conditionalFormatting>
  <conditionalFormatting sqref="AW656:AW659">
    <cfRule type="expression" dxfId="647" priority="236">
      <formula>$G656=""</formula>
    </cfRule>
  </conditionalFormatting>
  <conditionalFormatting sqref="AW656:AW659">
    <cfRule type="expression" dxfId="646" priority="235">
      <formula>$G656=""</formula>
    </cfRule>
  </conditionalFormatting>
  <conditionalFormatting sqref="AW656:AW659">
    <cfRule type="expression" dxfId="645" priority="234">
      <formula>$G656=""</formula>
    </cfRule>
  </conditionalFormatting>
  <conditionalFormatting sqref="AW661:AW664">
    <cfRule type="expression" dxfId="644" priority="233">
      <formula>$G661=""</formula>
    </cfRule>
  </conditionalFormatting>
  <conditionalFormatting sqref="AW661:AW664">
    <cfRule type="expression" dxfId="643" priority="232">
      <formula>$G661=""</formula>
    </cfRule>
  </conditionalFormatting>
  <conditionalFormatting sqref="AW661:AW664">
    <cfRule type="expression" dxfId="642" priority="231">
      <formula>$G661=""</formula>
    </cfRule>
  </conditionalFormatting>
  <conditionalFormatting sqref="AW666:AW669">
    <cfRule type="expression" dxfId="641" priority="230">
      <formula>$G666=""</formula>
    </cfRule>
  </conditionalFormatting>
  <conditionalFormatting sqref="AW666:AW669">
    <cfRule type="expression" dxfId="640" priority="229">
      <formula>$G666=""</formula>
    </cfRule>
  </conditionalFormatting>
  <conditionalFormatting sqref="AW666:AW669">
    <cfRule type="expression" dxfId="639" priority="228">
      <formula>$G666=""</formula>
    </cfRule>
  </conditionalFormatting>
  <conditionalFormatting sqref="AW671:AW674">
    <cfRule type="expression" dxfId="638" priority="227">
      <formula>$G671=""</formula>
    </cfRule>
  </conditionalFormatting>
  <conditionalFormatting sqref="AW671:AW674">
    <cfRule type="expression" dxfId="637" priority="226">
      <formula>$G671=""</formula>
    </cfRule>
  </conditionalFormatting>
  <conditionalFormatting sqref="AW671:AW674">
    <cfRule type="expression" dxfId="636" priority="225">
      <formula>$G671=""</formula>
    </cfRule>
  </conditionalFormatting>
  <conditionalFormatting sqref="AW676:AW679">
    <cfRule type="expression" dxfId="635" priority="224">
      <formula>$G676=""</formula>
    </cfRule>
  </conditionalFormatting>
  <conditionalFormatting sqref="AW676:AW679">
    <cfRule type="expression" dxfId="634" priority="223">
      <formula>$G676=""</formula>
    </cfRule>
  </conditionalFormatting>
  <conditionalFormatting sqref="AW676:AW679">
    <cfRule type="expression" dxfId="633" priority="222">
      <formula>$G676=""</formula>
    </cfRule>
  </conditionalFormatting>
  <conditionalFormatting sqref="AW681:AW684">
    <cfRule type="expression" dxfId="632" priority="221">
      <formula>$G681=""</formula>
    </cfRule>
  </conditionalFormatting>
  <conditionalFormatting sqref="AW681:AW684">
    <cfRule type="expression" dxfId="631" priority="220">
      <formula>$G681=""</formula>
    </cfRule>
  </conditionalFormatting>
  <conditionalFormatting sqref="AW681:AW684">
    <cfRule type="expression" dxfId="630" priority="219">
      <formula>$G681=""</formula>
    </cfRule>
  </conditionalFormatting>
  <conditionalFormatting sqref="AW686:AW689">
    <cfRule type="expression" dxfId="629" priority="218">
      <formula>$G686=""</formula>
    </cfRule>
  </conditionalFormatting>
  <conditionalFormatting sqref="AW686:AW689">
    <cfRule type="expression" dxfId="628" priority="217">
      <formula>$G686=""</formula>
    </cfRule>
  </conditionalFormatting>
  <conditionalFormatting sqref="AW686:AW689">
    <cfRule type="expression" dxfId="627" priority="216">
      <formula>$G686=""</formula>
    </cfRule>
  </conditionalFormatting>
  <conditionalFormatting sqref="AW691:AW694">
    <cfRule type="expression" dxfId="626" priority="215">
      <formula>$G691=""</formula>
    </cfRule>
  </conditionalFormatting>
  <conditionalFormatting sqref="AW691:AW694">
    <cfRule type="expression" dxfId="625" priority="214">
      <formula>$G691=""</formula>
    </cfRule>
  </conditionalFormatting>
  <conditionalFormatting sqref="AW691:AW694">
    <cfRule type="expression" dxfId="624" priority="213">
      <formula>$G691=""</formula>
    </cfRule>
  </conditionalFormatting>
  <conditionalFormatting sqref="AW696:AW699">
    <cfRule type="expression" dxfId="623" priority="212">
      <formula>$G696=""</formula>
    </cfRule>
  </conditionalFormatting>
  <conditionalFormatting sqref="AW696:AW699">
    <cfRule type="expression" dxfId="622" priority="211">
      <formula>$G696=""</formula>
    </cfRule>
  </conditionalFormatting>
  <conditionalFormatting sqref="AW696:AW699">
    <cfRule type="expression" dxfId="621" priority="210">
      <formula>$G696=""</formula>
    </cfRule>
  </conditionalFormatting>
  <conditionalFormatting sqref="AW701:AW704">
    <cfRule type="expression" dxfId="620" priority="209">
      <formula>$G701=""</formula>
    </cfRule>
  </conditionalFormatting>
  <conditionalFormatting sqref="AW701:AW704">
    <cfRule type="expression" dxfId="619" priority="208">
      <formula>$G701=""</formula>
    </cfRule>
  </conditionalFormatting>
  <conditionalFormatting sqref="AW701:AW704">
    <cfRule type="expression" dxfId="618" priority="207">
      <formula>$G701=""</formula>
    </cfRule>
  </conditionalFormatting>
  <conditionalFormatting sqref="AW706:AW709">
    <cfRule type="expression" dxfId="617" priority="206">
      <formula>$G706=""</formula>
    </cfRule>
  </conditionalFormatting>
  <conditionalFormatting sqref="AW706:AW709">
    <cfRule type="expression" dxfId="616" priority="205">
      <formula>$G706=""</formula>
    </cfRule>
  </conditionalFormatting>
  <conditionalFormatting sqref="AW706:AW709">
    <cfRule type="expression" dxfId="615" priority="204">
      <formula>$G706=""</formula>
    </cfRule>
  </conditionalFormatting>
  <conditionalFormatting sqref="AW711:AW714">
    <cfRule type="expression" dxfId="614" priority="203">
      <formula>$G711=""</formula>
    </cfRule>
  </conditionalFormatting>
  <conditionalFormatting sqref="AW711:AW714">
    <cfRule type="expression" dxfId="613" priority="202">
      <formula>$G711=""</formula>
    </cfRule>
  </conditionalFormatting>
  <conditionalFormatting sqref="AW711:AW714">
    <cfRule type="expression" dxfId="612" priority="201">
      <formula>$G711=""</formula>
    </cfRule>
  </conditionalFormatting>
  <conditionalFormatting sqref="AW719:AW722">
    <cfRule type="expression" dxfId="611" priority="200">
      <formula>$G719=""</formula>
    </cfRule>
  </conditionalFormatting>
  <conditionalFormatting sqref="AW719:AW722">
    <cfRule type="expression" dxfId="610" priority="199">
      <formula>$G719=""</formula>
    </cfRule>
  </conditionalFormatting>
  <conditionalFormatting sqref="AW719:AW722">
    <cfRule type="expression" dxfId="609" priority="198">
      <formula>$G719=""</formula>
    </cfRule>
  </conditionalFormatting>
  <conditionalFormatting sqref="AW724:AW727">
    <cfRule type="expression" dxfId="608" priority="197">
      <formula>$G724=""</formula>
    </cfRule>
  </conditionalFormatting>
  <conditionalFormatting sqref="AW724:AW727">
    <cfRule type="expression" dxfId="607" priority="196">
      <formula>$G724=""</formula>
    </cfRule>
  </conditionalFormatting>
  <conditionalFormatting sqref="AW724:AW727">
    <cfRule type="expression" dxfId="606" priority="195">
      <formula>$G724=""</formula>
    </cfRule>
  </conditionalFormatting>
  <conditionalFormatting sqref="AW729:AW732">
    <cfRule type="expression" dxfId="605" priority="194">
      <formula>$G729=""</formula>
    </cfRule>
  </conditionalFormatting>
  <conditionalFormatting sqref="AW729:AW732">
    <cfRule type="expression" dxfId="604" priority="193">
      <formula>$G729=""</formula>
    </cfRule>
  </conditionalFormatting>
  <conditionalFormatting sqref="AW729:AW732">
    <cfRule type="expression" dxfId="603" priority="192">
      <formula>$G729=""</formula>
    </cfRule>
  </conditionalFormatting>
  <conditionalFormatting sqref="AW734:AW737">
    <cfRule type="expression" dxfId="602" priority="191">
      <formula>$G734=""</formula>
    </cfRule>
  </conditionalFormatting>
  <conditionalFormatting sqref="AW734:AW737">
    <cfRule type="expression" dxfId="601" priority="190">
      <formula>$G734=""</formula>
    </cfRule>
  </conditionalFormatting>
  <conditionalFormatting sqref="AW734:AW737">
    <cfRule type="expression" dxfId="600" priority="189">
      <formula>$G734=""</formula>
    </cfRule>
  </conditionalFormatting>
  <conditionalFormatting sqref="AW739:AW742">
    <cfRule type="expression" dxfId="599" priority="188">
      <formula>$G739=""</formula>
    </cfRule>
  </conditionalFormatting>
  <conditionalFormatting sqref="AW739:AW742">
    <cfRule type="expression" dxfId="598" priority="187">
      <formula>$G739=""</formula>
    </cfRule>
  </conditionalFormatting>
  <conditionalFormatting sqref="AW739:AW742">
    <cfRule type="expression" dxfId="597" priority="186">
      <formula>$G739=""</formula>
    </cfRule>
  </conditionalFormatting>
  <conditionalFormatting sqref="AW744:AW747">
    <cfRule type="expression" dxfId="596" priority="185">
      <formula>$G744=""</formula>
    </cfRule>
  </conditionalFormatting>
  <conditionalFormatting sqref="AW744:AW747">
    <cfRule type="expression" dxfId="595" priority="184">
      <formula>$G744=""</formula>
    </cfRule>
  </conditionalFormatting>
  <conditionalFormatting sqref="AW744:AW747">
    <cfRule type="expression" dxfId="594" priority="183">
      <formula>$G744=""</formula>
    </cfRule>
  </conditionalFormatting>
  <conditionalFormatting sqref="AW749:AW752">
    <cfRule type="expression" dxfId="593" priority="182">
      <formula>$G749=""</formula>
    </cfRule>
  </conditionalFormatting>
  <conditionalFormatting sqref="AW749:AW752">
    <cfRule type="expression" dxfId="592" priority="181">
      <formula>$G749=""</formula>
    </cfRule>
  </conditionalFormatting>
  <conditionalFormatting sqref="AW749:AW752">
    <cfRule type="expression" dxfId="591" priority="180">
      <formula>$G749=""</formula>
    </cfRule>
  </conditionalFormatting>
  <conditionalFormatting sqref="AW754:AW757">
    <cfRule type="expression" dxfId="590" priority="179">
      <formula>$G754=""</formula>
    </cfRule>
  </conditionalFormatting>
  <conditionalFormatting sqref="AW754:AW757">
    <cfRule type="expression" dxfId="589" priority="178">
      <formula>$G754=""</formula>
    </cfRule>
  </conditionalFormatting>
  <conditionalFormatting sqref="AW754:AW757">
    <cfRule type="expression" dxfId="588" priority="177">
      <formula>$G754=""</formula>
    </cfRule>
  </conditionalFormatting>
  <conditionalFormatting sqref="AW759:AW762">
    <cfRule type="expression" dxfId="587" priority="176">
      <formula>$G759=""</formula>
    </cfRule>
  </conditionalFormatting>
  <conditionalFormatting sqref="AW759:AW762">
    <cfRule type="expression" dxfId="586" priority="175">
      <formula>$G759=""</formula>
    </cfRule>
  </conditionalFormatting>
  <conditionalFormatting sqref="AW759:AW762">
    <cfRule type="expression" dxfId="585" priority="174">
      <formula>$G759=""</formula>
    </cfRule>
  </conditionalFormatting>
  <conditionalFormatting sqref="AW764:AW767">
    <cfRule type="expression" dxfId="584" priority="173">
      <formula>$G764=""</formula>
    </cfRule>
  </conditionalFormatting>
  <conditionalFormatting sqref="AW764:AW767">
    <cfRule type="expression" dxfId="583" priority="172">
      <formula>$G764=""</formula>
    </cfRule>
  </conditionalFormatting>
  <conditionalFormatting sqref="AW764:AW767">
    <cfRule type="expression" dxfId="582" priority="171">
      <formula>$G764=""</formula>
    </cfRule>
  </conditionalFormatting>
  <conditionalFormatting sqref="AW769:AW772">
    <cfRule type="expression" dxfId="581" priority="170">
      <formula>$G769=""</formula>
    </cfRule>
  </conditionalFormatting>
  <conditionalFormatting sqref="AW769:AW772">
    <cfRule type="expression" dxfId="580" priority="169">
      <formula>$G769=""</formula>
    </cfRule>
  </conditionalFormatting>
  <conditionalFormatting sqref="AW769:AW772">
    <cfRule type="expression" dxfId="579" priority="168">
      <formula>$G769=""</formula>
    </cfRule>
  </conditionalFormatting>
  <conditionalFormatting sqref="AW774:AW777">
    <cfRule type="expression" dxfId="578" priority="167">
      <formula>$G774=""</formula>
    </cfRule>
  </conditionalFormatting>
  <conditionalFormatting sqref="AW774:AW777">
    <cfRule type="expression" dxfId="577" priority="166">
      <formula>$G774=""</formula>
    </cfRule>
  </conditionalFormatting>
  <conditionalFormatting sqref="AW774:AW777">
    <cfRule type="expression" dxfId="576" priority="165">
      <formula>$G774=""</formula>
    </cfRule>
  </conditionalFormatting>
  <conditionalFormatting sqref="AW779:AW782">
    <cfRule type="expression" dxfId="575" priority="164">
      <formula>$G779=""</formula>
    </cfRule>
  </conditionalFormatting>
  <conditionalFormatting sqref="AW779:AW782">
    <cfRule type="expression" dxfId="574" priority="163">
      <formula>$G779=""</formula>
    </cfRule>
  </conditionalFormatting>
  <conditionalFormatting sqref="AW779:AW782">
    <cfRule type="expression" dxfId="573" priority="162">
      <formula>$G779=""</formula>
    </cfRule>
  </conditionalFormatting>
  <conditionalFormatting sqref="AW784:AW787">
    <cfRule type="expression" dxfId="572" priority="161">
      <formula>$G784=""</formula>
    </cfRule>
  </conditionalFormatting>
  <conditionalFormatting sqref="AW784:AW787">
    <cfRule type="expression" dxfId="571" priority="160">
      <formula>$G784=""</formula>
    </cfRule>
  </conditionalFormatting>
  <conditionalFormatting sqref="AW784:AW787">
    <cfRule type="expression" dxfId="570" priority="159">
      <formula>$G784=""</formula>
    </cfRule>
  </conditionalFormatting>
  <conditionalFormatting sqref="AW789:AW792">
    <cfRule type="expression" dxfId="569" priority="158">
      <formula>$G789=""</formula>
    </cfRule>
  </conditionalFormatting>
  <conditionalFormatting sqref="AW789:AW792">
    <cfRule type="expression" dxfId="568" priority="157">
      <formula>$G789=""</formula>
    </cfRule>
  </conditionalFormatting>
  <conditionalFormatting sqref="AW789:AW792">
    <cfRule type="expression" dxfId="567" priority="156">
      <formula>$G789=""</formula>
    </cfRule>
  </conditionalFormatting>
  <conditionalFormatting sqref="P59:Q59">
    <cfRule type="expression" dxfId="566" priority="154">
      <formula>$C$43=0</formula>
    </cfRule>
  </conditionalFormatting>
  <conditionalFormatting sqref="P64:Q64">
    <cfRule type="expression" dxfId="565" priority="153">
      <formula>$C$43=0</formula>
    </cfRule>
  </conditionalFormatting>
  <conditionalFormatting sqref="P69:Q69">
    <cfRule type="expression" dxfId="564" priority="152">
      <formula>$C$43=0</formula>
    </cfRule>
  </conditionalFormatting>
  <conditionalFormatting sqref="P74:Q74">
    <cfRule type="expression" dxfId="563" priority="151">
      <formula>$C$43=0</formula>
    </cfRule>
  </conditionalFormatting>
  <conditionalFormatting sqref="P79:Q79">
    <cfRule type="expression" dxfId="562" priority="150">
      <formula>$C$43=0</formula>
    </cfRule>
  </conditionalFormatting>
  <conditionalFormatting sqref="P84:Q84">
    <cfRule type="expression" dxfId="561" priority="149">
      <formula>$C$43=0</formula>
    </cfRule>
  </conditionalFormatting>
  <conditionalFormatting sqref="P89:Q89">
    <cfRule type="expression" dxfId="560" priority="148">
      <formula>$C$43=0</formula>
    </cfRule>
  </conditionalFormatting>
  <conditionalFormatting sqref="P97:Q97">
    <cfRule type="expression" dxfId="559" priority="147">
      <formula>$C$43=0</formula>
    </cfRule>
  </conditionalFormatting>
  <conditionalFormatting sqref="P102:Q102">
    <cfRule type="expression" dxfId="558" priority="146">
      <formula>$C$43=0</formula>
    </cfRule>
  </conditionalFormatting>
  <conditionalFormatting sqref="P107:Q107">
    <cfRule type="expression" dxfId="557" priority="145">
      <formula>$C$43=0</formula>
    </cfRule>
  </conditionalFormatting>
  <conditionalFormatting sqref="P112:Q112">
    <cfRule type="expression" dxfId="556" priority="132">
      <formula>$C$43=0</formula>
    </cfRule>
  </conditionalFormatting>
  <conditionalFormatting sqref="P117:Q117">
    <cfRule type="expression" dxfId="555" priority="131">
      <formula>$C$43=0</formula>
    </cfRule>
  </conditionalFormatting>
  <conditionalFormatting sqref="P122:Q122">
    <cfRule type="expression" dxfId="554" priority="130">
      <formula>$C$43=0</formula>
    </cfRule>
  </conditionalFormatting>
  <conditionalFormatting sqref="P127:Q127">
    <cfRule type="expression" dxfId="553" priority="129">
      <formula>$C$43=0</formula>
    </cfRule>
  </conditionalFormatting>
  <conditionalFormatting sqref="P132:Q132">
    <cfRule type="expression" dxfId="552" priority="128">
      <formula>$C$43=0</formula>
    </cfRule>
  </conditionalFormatting>
  <conditionalFormatting sqref="P137:Q137">
    <cfRule type="expression" dxfId="551" priority="127">
      <formula>$C$43=0</formula>
    </cfRule>
  </conditionalFormatting>
  <conditionalFormatting sqref="P142:Q142">
    <cfRule type="expression" dxfId="550" priority="126">
      <formula>$C$43=0</formula>
    </cfRule>
  </conditionalFormatting>
  <conditionalFormatting sqref="P147:Q147">
    <cfRule type="expression" dxfId="549" priority="125">
      <formula>$C$43=0</formula>
    </cfRule>
  </conditionalFormatting>
  <conditionalFormatting sqref="P152:Q152">
    <cfRule type="expression" dxfId="548" priority="124">
      <formula>$C$43=0</formula>
    </cfRule>
  </conditionalFormatting>
  <conditionalFormatting sqref="P157:Q157">
    <cfRule type="expression" dxfId="547" priority="123">
      <formula>$C$43=0</formula>
    </cfRule>
  </conditionalFormatting>
  <conditionalFormatting sqref="P162:Q162">
    <cfRule type="expression" dxfId="546" priority="122">
      <formula>$C$43=0</formula>
    </cfRule>
  </conditionalFormatting>
  <conditionalFormatting sqref="P167:Q167">
    <cfRule type="expression" dxfId="545" priority="121">
      <formula>$C$43=0</formula>
    </cfRule>
  </conditionalFormatting>
  <conditionalFormatting sqref="P175:Q175">
    <cfRule type="expression" dxfId="544" priority="120">
      <formula>$C$43=0</formula>
    </cfRule>
  </conditionalFormatting>
  <conditionalFormatting sqref="P180:Q180">
    <cfRule type="expression" dxfId="543" priority="119">
      <formula>$C$43=0</formula>
    </cfRule>
  </conditionalFormatting>
  <conditionalFormatting sqref="P185:Q185">
    <cfRule type="expression" dxfId="542" priority="118">
      <formula>$C$43=0</formula>
    </cfRule>
  </conditionalFormatting>
  <conditionalFormatting sqref="P190:Q190">
    <cfRule type="expression" dxfId="541" priority="117">
      <formula>$C$43=0</formula>
    </cfRule>
  </conditionalFormatting>
  <conditionalFormatting sqref="P195:Q195">
    <cfRule type="expression" dxfId="540" priority="116">
      <formula>$C$43=0</formula>
    </cfRule>
  </conditionalFormatting>
  <conditionalFormatting sqref="P200:Q200">
    <cfRule type="expression" dxfId="539" priority="115">
      <formula>$C$43=0</formula>
    </cfRule>
  </conditionalFormatting>
  <conditionalFormatting sqref="P205:Q205">
    <cfRule type="expression" dxfId="538" priority="114">
      <formula>$C$43=0</formula>
    </cfRule>
  </conditionalFormatting>
  <conditionalFormatting sqref="P210:Q210">
    <cfRule type="expression" dxfId="537" priority="113">
      <formula>$C$43=0</formula>
    </cfRule>
  </conditionalFormatting>
  <conditionalFormatting sqref="P215:Q215">
    <cfRule type="expression" dxfId="536" priority="112">
      <formula>$C$43=0</formula>
    </cfRule>
  </conditionalFormatting>
  <conditionalFormatting sqref="P220:Q220">
    <cfRule type="expression" dxfId="535" priority="111">
      <formula>$C$43=0</formula>
    </cfRule>
  </conditionalFormatting>
  <conditionalFormatting sqref="P225:Q225">
    <cfRule type="expression" dxfId="534" priority="110">
      <formula>$C$43=0</formula>
    </cfRule>
  </conditionalFormatting>
  <conditionalFormatting sqref="P230:Q230">
    <cfRule type="expression" dxfId="533" priority="109">
      <formula>$C$43=0</formula>
    </cfRule>
  </conditionalFormatting>
  <conditionalFormatting sqref="P235:Q235">
    <cfRule type="expression" dxfId="532" priority="108">
      <formula>$C$43=0</formula>
    </cfRule>
  </conditionalFormatting>
  <conditionalFormatting sqref="P240:Q240">
    <cfRule type="expression" dxfId="531" priority="107">
      <formula>$C$43=0</formula>
    </cfRule>
  </conditionalFormatting>
  <conditionalFormatting sqref="P245:Q245">
    <cfRule type="expression" dxfId="530" priority="106">
      <formula>$C$43=0</formula>
    </cfRule>
  </conditionalFormatting>
  <conditionalFormatting sqref="P253:Q253">
    <cfRule type="expression" dxfId="529" priority="105">
      <formula>$C$43=0</formula>
    </cfRule>
  </conditionalFormatting>
  <conditionalFormatting sqref="P258:Q258">
    <cfRule type="expression" dxfId="528" priority="104">
      <formula>$C$43=0</formula>
    </cfRule>
  </conditionalFormatting>
  <conditionalFormatting sqref="P263:Q263">
    <cfRule type="expression" dxfId="527" priority="103">
      <formula>$C$43=0</formula>
    </cfRule>
  </conditionalFormatting>
  <conditionalFormatting sqref="P268:Q268">
    <cfRule type="expression" dxfId="526" priority="102">
      <formula>$C$43=0</formula>
    </cfRule>
  </conditionalFormatting>
  <conditionalFormatting sqref="P273:Q273">
    <cfRule type="expression" dxfId="525" priority="101">
      <formula>$C$43=0</formula>
    </cfRule>
  </conditionalFormatting>
  <conditionalFormatting sqref="P278:Q278">
    <cfRule type="expression" dxfId="524" priority="100">
      <formula>$C$43=0</formula>
    </cfRule>
  </conditionalFormatting>
  <conditionalFormatting sqref="P283:Q283">
    <cfRule type="expression" dxfId="523" priority="99">
      <formula>$C$43=0</formula>
    </cfRule>
  </conditionalFormatting>
  <conditionalFormatting sqref="P288:Q288">
    <cfRule type="expression" dxfId="522" priority="98">
      <formula>$C$43=0</formula>
    </cfRule>
  </conditionalFormatting>
  <conditionalFormatting sqref="P293:Q293">
    <cfRule type="expression" dxfId="521" priority="97">
      <formula>$C$43=0</formula>
    </cfRule>
  </conditionalFormatting>
  <conditionalFormatting sqref="P298:Q298">
    <cfRule type="expression" dxfId="520" priority="96">
      <formula>$C$43=0</formula>
    </cfRule>
  </conditionalFormatting>
  <conditionalFormatting sqref="P303:Q303">
    <cfRule type="expression" dxfId="519" priority="95">
      <formula>$C$43=0</formula>
    </cfRule>
  </conditionalFormatting>
  <conditionalFormatting sqref="P308:Q308">
    <cfRule type="expression" dxfId="518" priority="94">
      <formula>$C$43=0</formula>
    </cfRule>
  </conditionalFormatting>
  <conditionalFormatting sqref="P313:Q313">
    <cfRule type="expression" dxfId="517" priority="93">
      <formula>$C$43=0</formula>
    </cfRule>
  </conditionalFormatting>
  <conditionalFormatting sqref="P318:Q318">
    <cfRule type="expression" dxfId="516" priority="92">
      <formula>$C$43=0</formula>
    </cfRule>
  </conditionalFormatting>
  <conditionalFormatting sqref="P323:Q323">
    <cfRule type="expression" dxfId="515" priority="91">
      <formula>$C$43=0</formula>
    </cfRule>
  </conditionalFormatting>
  <conditionalFormatting sqref="P331:Q331">
    <cfRule type="expression" dxfId="514" priority="90">
      <formula>$C$43=0</formula>
    </cfRule>
  </conditionalFormatting>
  <conditionalFormatting sqref="P336:Q336">
    <cfRule type="expression" dxfId="513" priority="89">
      <formula>$C$43=0</formula>
    </cfRule>
  </conditionalFormatting>
  <conditionalFormatting sqref="P341:Q341">
    <cfRule type="expression" dxfId="512" priority="88">
      <formula>$C$43=0</formula>
    </cfRule>
  </conditionalFormatting>
  <conditionalFormatting sqref="P346:Q346">
    <cfRule type="expression" dxfId="511" priority="87">
      <formula>$C$43=0</formula>
    </cfRule>
  </conditionalFormatting>
  <conditionalFormatting sqref="P351:Q351">
    <cfRule type="expression" dxfId="510" priority="86">
      <formula>$C$43=0</formula>
    </cfRule>
  </conditionalFormatting>
  <conditionalFormatting sqref="P356:Q356">
    <cfRule type="expression" dxfId="509" priority="85">
      <formula>$C$43=0</formula>
    </cfRule>
  </conditionalFormatting>
  <conditionalFormatting sqref="P361:Q361">
    <cfRule type="expression" dxfId="508" priority="84">
      <formula>$C$43=0</formula>
    </cfRule>
  </conditionalFormatting>
  <conditionalFormatting sqref="P366:Q366">
    <cfRule type="expression" dxfId="507" priority="83">
      <formula>$C$43=0</formula>
    </cfRule>
  </conditionalFormatting>
  <conditionalFormatting sqref="P371:Q371">
    <cfRule type="expression" dxfId="506" priority="82">
      <formula>$C$43=0</formula>
    </cfRule>
  </conditionalFormatting>
  <conditionalFormatting sqref="P376:Q376">
    <cfRule type="expression" dxfId="505" priority="81">
      <formula>$C$43=0</formula>
    </cfRule>
  </conditionalFormatting>
  <conditionalFormatting sqref="P381:Q381">
    <cfRule type="expression" dxfId="504" priority="80">
      <formula>$C$43=0</formula>
    </cfRule>
  </conditionalFormatting>
  <conditionalFormatting sqref="P386:Q386">
    <cfRule type="expression" dxfId="503" priority="79">
      <formula>$C$43=0</formula>
    </cfRule>
  </conditionalFormatting>
  <conditionalFormatting sqref="P391:Q391">
    <cfRule type="expression" dxfId="502" priority="78">
      <formula>$C$43=0</formula>
    </cfRule>
  </conditionalFormatting>
  <conditionalFormatting sqref="P396:Q396">
    <cfRule type="expression" dxfId="501" priority="77">
      <formula>$C$43=0</formula>
    </cfRule>
  </conditionalFormatting>
  <conditionalFormatting sqref="P401:Q401">
    <cfRule type="expression" dxfId="500" priority="76">
      <formula>$C$43=0</formula>
    </cfRule>
  </conditionalFormatting>
  <conditionalFormatting sqref="P409:Q409">
    <cfRule type="expression" dxfId="499" priority="75">
      <formula>$C$43=0</formula>
    </cfRule>
  </conditionalFormatting>
  <conditionalFormatting sqref="P414:Q414">
    <cfRule type="expression" dxfId="498" priority="74">
      <formula>$C$43=0</formula>
    </cfRule>
  </conditionalFormatting>
  <conditionalFormatting sqref="P419:Q419">
    <cfRule type="expression" dxfId="497" priority="73">
      <formula>$C$43=0</formula>
    </cfRule>
  </conditionalFormatting>
  <conditionalFormatting sqref="P424:Q424">
    <cfRule type="expression" dxfId="496" priority="72">
      <formula>$C$43=0</formula>
    </cfRule>
  </conditionalFormatting>
  <conditionalFormatting sqref="P429:Q429">
    <cfRule type="expression" dxfId="495" priority="71">
      <formula>$C$43=0</formula>
    </cfRule>
  </conditionalFormatting>
  <conditionalFormatting sqref="P434:Q434">
    <cfRule type="expression" dxfId="494" priority="70">
      <formula>$C$43=0</formula>
    </cfRule>
  </conditionalFormatting>
  <conditionalFormatting sqref="P439:Q439">
    <cfRule type="expression" dxfId="493" priority="69">
      <formula>$C$43=0</formula>
    </cfRule>
  </conditionalFormatting>
  <conditionalFormatting sqref="P444:Q444">
    <cfRule type="expression" dxfId="492" priority="68">
      <formula>$C$43=0</formula>
    </cfRule>
  </conditionalFormatting>
  <conditionalFormatting sqref="P449:Q449">
    <cfRule type="expression" dxfId="491" priority="67">
      <formula>$C$43=0</formula>
    </cfRule>
  </conditionalFormatting>
  <conditionalFormatting sqref="P454:Q454">
    <cfRule type="expression" dxfId="490" priority="66">
      <formula>$C$43=0</formula>
    </cfRule>
  </conditionalFormatting>
  <conditionalFormatting sqref="P459:Q459">
    <cfRule type="expression" dxfId="489" priority="65">
      <formula>$C$43=0</formula>
    </cfRule>
  </conditionalFormatting>
  <conditionalFormatting sqref="P464:Q464">
    <cfRule type="expression" dxfId="488" priority="64">
      <formula>$C$43=0</formula>
    </cfRule>
  </conditionalFormatting>
  <conditionalFormatting sqref="P469:Q469">
    <cfRule type="expression" dxfId="487" priority="63">
      <formula>$C$43=0</formula>
    </cfRule>
  </conditionalFormatting>
  <conditionalFormatting sqref="P474:Q474">
    <cfRule type="expression" dxfId="486" priority="62">
      <formula>$C$43=0</formula>
    </cfRule>
  </conditionalFormatting>
  <conditionalFormatting sqref="P479:Q479">
    <cfRule type="expression" dxfId="485" priority="61">
      <formula>$C$43=0</formula>
    </cfRule>
  </conditionalFormatting>
  <conditionalFormatting sqref="P487:Q487">
    <cfRule type="expression" dxfId="484" priority="60">
      <formula>$C$43=0</formula>
    </cfRule>
  </conditionalFormatting>
  <conditionalFormatting sqref="P492:Q492">
    <cfRule type="expression" dxfId="483" priority="59">
      <formula>$C$43=0</formula>
    </cfRule>
  </conditionalFormatting>
  <conditionalFormatting sqref="P497:Q497">
    <cfRule type="expression" dxfId="482" priority="58">
      <formula>$C$43=0</formula>
    </cfRule>
  </conditionalFormatting>
  <conditionalFormatting sqref="P502:Q502">
    <cfRule type="expression" dxfId="481" priority="57">
      <formula>$C$43=0</formula>
    </cfRule>
  </conditionalFormatting>
  <conditionalFormatting sqref="P507:Q507">
    <cfRule type="expression" dxfId="480" priority="56">
      <formula>$C$43=0</formula>
    </cfRule>
  </conditionalFormatting>
  <conditionalFormatting sqref="P512:Q512">
    <cfRule type="expression" dxfId="479" priority="55">
      <formula>$C$43=0</formula>
    </cfRule>
  </conditionalFormatting>
  <conditionalFormatting sqref="P517:Q517">
    <cfRule type="expression" dxfId="478" priority="54">
      <formula>$C$43=0</formula>
    </cfRule>
  </conditionalFormatting>
  <conditionalFormatting sqref="P522:Q522">
    <cfRule type="expression" dxfId="477" priority="53">
      <formula>$C$43=0</formula>
    </cfRule>
  </conditionalFormatting>
  <conditionalFormatting sqref="P527:Q527">
    <cfRule type="expression" dxfId="476" priority="52">
      <formula>$C$43=0</formula>
    </cfRule>
  </conditionalFormatting>
  <conditionalFormatting sqref="P532:Q532">
    <cfRule type="expression" dxfId="475" priority="51">
      <formula>$C$43=0</formula>
    </cfRule>
  </conditionalFormatting>
  <conditionalFormatting sqref="P537:Q537">
    <cfRule type="expression" dxfId="474" priority="50">
      <formula>$C$43=0</formula>
    </cfRule>
  </conditionalFormatting>
  <conditionalFormatting sqref="P542:Q542">
    <cfRule type="expression" dxfId="473" priority="49">
      <formula>$C$43=0</formula>
    </cfRule>
  </conditionalFormatting>
  <conditionalFormatting sqref="P547:Q547">
    <cfRule type="expression" dxfId="472" priority="48">
      <formula>$C$43=0</formula>
    </cfRule>
  </conditionalFormatting>
  <conditionalFormatting sqref="P552:Q552">
    <cfRule type="expression" dxfId="471" priority="47">
      <formula>$C$43=0</formula>
    </cfRule>
  </conditionalFormatting>
  <conditionalFormatting sqref="P557:Q557">
    <cfRule type="expression" dxfId="470" priority="46">
      <formula>$C$43=0</formula>
    </cfRule>
  </conditionalFormatting>
  <conditionalFormatting sqref="P565:Q565">
    <cfRule type="expression" dxfId="469" priority="45">
      <formula>$C$43=0</formula>
    </cfRule>
  </conditionalFormatting>
  <conditionalFormatting sqref="P570:Q570">
    <cfRule type="expression" dxfId="468" priority="44">
      <formula>$C$43=0</formula>
    </cfRule>
  </conditionalFormatting>
  <conditionalFormatting sqref="P575:Q575">
    <cfRule type="expression" dxfId="467" priority="43">
      <formula>$C$43=0</formula>
    </cfRule>
  </conditionalFormatting>
  <conditionalFormatting sqref="P580:Q580">
    <cfRule type="expression" dxfId="466" priority="42">
      <formula>$C$43=0</formula>
    </cfRule>
  </conditionalFormatting>
  <conditionalFormatting sqref="P585:Q585">
    <cfRule type="expression" dxfId="465" priority="41">
      <formula>$C$43=0</formula>
    </cfRule>
  </conditionalFormatting>
  <conditionalFormatting sqref="P590:Q590">
    <cfRule type="expression" dxfId="464" priority="40">
      <formula>$C$43=0</formula>
    </cfRule>
  </conditionalFormatting>
  <conditionalFormatting sqref="P595:Q595">
    <cfRule type="expression" dxfId="463" priority="39">
      <formula>$C$43=0</formula>
    </cfRule>
  </conditionalFormatting>
  <conditionalFormatting sqref="P600:Q600">
    <cfRule type="expression" dxfId="462" priority="38">
      <formula>$C$43=0</formula>
    </cfRule>
  </conditionalFormatting>
  <conditionalFormatting sqref="P605:Q605">
    <cfRule type="expression" dxfId="461" priority="37">
      <formula>$C$43=0</formula>
    </cfRule>
  </conditionalFormatting>
  <conditionalFormatting sqref="P610:Q610">
    <cfRule type="expression" dxfId="460" priority="36">
      <formula>$C$43=0</formula>
    </cfRule>
  </conditionalFormatting>
  <conditionalFormatting sqref="P615:Q615">
    <cfRule type="expression" dxfId="459" priority="35">
      <formula>$C$43=0</formula>
    </cfRule>
  </conditionalFormatting>
  <conditionalFormatting sqref="P620:Q620">
    <cfRule type="expression" dxfId="458" priority="34">
      <formula>$C$43=0</formula>
    </cfRule>
  </conditionalFormatting>
  <conditionalFormatting sqref="P625:Q625">
    <cfRule type="expression" dxfId="457" priority="33">
      <formula>$C$43=0</formula>
    </cfRule>
  </conditionalFormatting>
  <conditionalFormatting sqref="P630:Q630">
    <cfRule type="expression" dxfId="456" priority="32">
      <formula>$C$43=0</formula>
    </cfRule>
  </conditionalFormatting>
  <conditionalFormatting sqref="P635:Q635">
    <cfRule type="expression" dxfId="455" priority="31">
      <formula>$C$43=0</formula>
    </cfRule>
  </conditionalFormatting>
  <conditionalFormatting sqref="P643:Q643">
    <cfRule type="expression" dxfId="454" priority="30">
      <formula>$C$43=0</formula>
    </cfRule>
  </conditionalFormatting>
  <conditionalFormatting sqref="P648:Q648">
    <cfRule type="expression" dxfId="453" priority="29">
      <formula>$C$43=0</formula>
    </cfRule>
  </conditionalFormatting>
  <conditionalFormatting sqref="P653:Q653">
    <cfRule type="expression" dxfId="452" priority="28">
      <formula>$C$43=0</formula>
    </cfRule>
  </conditionalFormatting>
  <conditionalFormatting sqref="P658:Q658">
    <cfRule type="expression" dxfId="451" priority="27">
      <formula>$C$43=0</formula>
    </cfRule>
  </conditionalFormatting>
  <conditionalFormatting sqref="P663:Q663">
    <cfRule type="expression" dxfId="450" priority="26">
      <formula>$C$43=0</formula>
    </cfRule>
  </conditionalFormatting>
  <conditionalFormatting sqref="P668:Q668">
    <cfRule type="expression" dxfId="449" priority="25">
      <formula>$C$43=0</formula>
    </cfRule>
  </conditionalFormatting>
  <conditionalFormatting sqref="P673:Q673">
    <cfRule type="expression" dxfId="448" priority="24">
      <formula>$C$43=0</formula>
    </cfRule>
  </conditionalFormatting>
  <conditionalFormatting sqref="P678:Q678">
    <cfRule type="expression" dxfId="447" priority="23">
      <formula>$C$43=0</formula>
    </cfRule>
  </conditionalFormatting>
  <conditionalFormatting sqref="P683:Q683">
    <cfRule type="expression" dxfId="446" priority="22">
      <formula>$C$43=0</formula>
    </cfRule>
  </conditionalFormatting>
  <conditionalFormatting sqref="P688:Q688">
    <cfRule type="expression" dxfId="445" priority="21">
      <formula>$C$43=0</formula>
    </cfRule>
  </conditionalFormatting>
  <conditionalFormatting sqref="P693:Q693">
    <cfRule type="expression" dxfId="444" priority="20">
      <formula>$C$43=0</formula>
    </cfRule>
  </conditionalFormatting>
  <conditionalFormatting sqref="P698:Q698">
    <cfRule type="expression" dxfId="443" priority="19">
      <formula>$C$43=0</formula>
    </cfRule>
  </conditionalFormatting>
  <conditionalFormatting sqref="P703:Q703">
    <cfRule type="expression" dxfId="442" priority="18">
      <formula>$C$43=0</formula>
    </cfRule>
  </conditionalFormatting>
  <conditionalFormatting sqref="P708:Q708">
    <cfRule type="expression" dxfId="441" priority="17">
      <formula>$C$43=0</formula>
    </cfRule>
  </conditionalFormatting>
  <conditionalFormatting sqref="P713:Q713">
    <cfRule type="expression" dxfId="440" priority="16">
      <formula>$C$43=0</formula>
    </cfRule>
  </conditionalFormatting>
  <conditionalFormatting sqref="P721:Q721">
    <cfRule type="expression" dxfId="439" priority="15">
      <formula>$C$43=0</formula>
    </cfRule>
  </conditionalFormatting>
  <conditionalFormatting sqref="P726:Q726">
    <cfRule type="expression" dxfId="438" priority="14">
      <formula>$C$43=0</formula>
    </cfRule>
  </conditionalFormatting>
  <conditionalFormatting sqref="P731:Q731">
    <cfRule type="expression" dxfId="437" priority="13">
      <formula>$C$43=0</formula>
    </cfRule>
  </conditionalFormatting>
  <conditionalFormatting sqref="P736:Q736">
    <cfRule type="expression" dxfId="436" priority="12">
      <formula>$C$43=0</formula>
    </cfRule>
  </conditionalFormatting>
  <conditionalFormatting sqref="P741:Q741">
    <cfRule type="expression" dxfId="435" priority="11">
      <formula>$C$43=0</formula>
    </cfRule>
  </conditionalFormatting>
  <conditionalFormatting sqref="P746:Q746">
    <cfRule type="expression" dxfId="434" priority="10">
      <formula>$C$43=0</formula>
    </cfRule>
  </conditionalFormatting>
  <conditionalFormatting sqref="P751:Q751">
    <cfRule type="expression" dxfId="433" priority="9">
      <formula>$C$43=0</formula>
    </cfRule>
  </conditionalFormatting>
  <conditionalFormatting sqref="P756:Q756">
    <cfRule type="expression" dxfId="432" priority="8">
      <formula>$C$43=0</formula>
    </cfRule>
  </conditionalFormatting>
  <conditionalFormatting sqref="P761:Q761">
    <cfRule type="expression" dxfId="431" priority="7">
      <formula>$C$43=0</formula>
    </cfRule>
  </conditionalFormatting>
  <conditionalFormatting sqref="P766:Q766">
    <cfRule type="expression" dxfId="430" priority="6">
      <formula>$C$43=0</formula>
    </cfRule>
  </conditionalFormatting>
  <conditionalFormatting sqref="P771:Q771">
    <cfRule type="expression" dxfId="429" priority="5">
      <formula>$C$43=0</formula>
    </cfRule>
  </conditionalFormatting>
  <conditionalFormatting sqref="P776:Q776">
    <cfRule type="expression" dxfId="428" priority="4">
      <formula>$C$43=0</formula>
    </cfRule>
  </conditionalFormatting>
  <conditionalFormatting sqref="P781:Q781">
    <cfRule type="expression" dxfId="427" priority="3">
      <formula>$C$43=0</formula>
    </cfRule>
  </conditionalFormatting>
  <conditionalFormatting sqref="P786:Q786">
    <cfRule type="expression" dxfId="426" priority="2">
      <formula>$C$43=0</formula>
    </cfRule>
  </conditionalFormatting>
  <conditionalFormatting sqref="P791:Q791">
    <cfRule type="expression" dxfId="425" priority="1">
      <formula>$C$43=0</formula>
    </cfRule>
  </conditionalFormatting>
  <dataValidations count="14">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formula1>Fixtures_Proposed_Final_List</formula1>
    </dataValidation>
    <dataValidation type="whole" allowBlank="1" showInputMessage="1" showErrorMessage="1" sqref="R250 R94 R172 R640 R328 R406 R484 R562 R718">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formula1>0</formula1>
    </dataValidation>
    <dataValidation type="list" allowBlank="1" showInputMessage="1" showErrorMessage="1" sqref="AG142:AL142 AG79:AL79 AG688:AL688 AG683:AL683 AG678:AL678 AG673:AL673 AG668:AL668 AG708:AL708 AG658:AL658 AG653:AL653 AG648:AL648 AG643:AL643 AG713:AL713 AG703:AL703 AG698:AL698 AG137:AL137 AG132:AL132 AG610:AL610 AG127:AL127 AG122:AL122 AG220:AL220 AG215:AL215 AG210:AL210 AG205:AL205 AG200:AL200 AG240:AL240 AG190:AL190 AG185:AL185 AG180:AL180 AG175:AL175 AG454:AL454 AG449:AL449 AG444:AL444 AG439:AL439 AG434:AL434 AG474:AL474 AG424:AL424 AG419:AL419 AG414:AL414 AG409:AL409 AG479:AL479 AG469:AL469 AG464:AL464 AG459:AL459 AG429:AL429 AG376:AL376 AG371:AL371 AG366:AL366 AG361:AL361 AG356:AL356 AG396:AL396 AG346:AL346 AG341:AL341 AG336:AL336 AG331:AL331 AG401:AL401 AG391:AL391 AG386:AL386 AG381:AL381 AG351:AL351 AG298:AL298 AG293:AL293 AG288:AL288 AG283:AL283 AG278:AL278 AG318:AL318 AG268:AL268 AG263:AL263 AG258:AL258 AG253:AL253 AG323:AL323 AG313:AL313 AG308:AL308 AG303:AL303 AG273:AL273 AG162:AL162 AG54:AL54 AG112:AL112 AG84:AL84 AG74:AL74 AG693:AL693 AG663:AL663 AG49:AL49 AG59:AL59 AG107:AL107 AG102:AL102 AG97:AL97 AG69:AL69 AG64:AL64 AG532:AL532 AG94:AK94 AG527:AL527 AG522:AL522 AG517:AL517 AG512:AL512 AG552:AL552 AG502:AL502 AG497:AL497 AG492:AL492 AG487:AL487 AG557:AL557 AG547:AL547 AG542:AL542 AG537:AL537 AG507:AL507 AG89:AL89 AG245:AL245 AG235:AL235 AG230:AL230 AG225:AL225 AG605:AL605 AG600:AL600 AG595:AL595 AG590:AL590 AG630:AL630 AG580:AL580 AG575:AL575 AG570:AL570 AG565:AL565 AG635:AL635 AG195:AL195 AG172:AK172 AG250:AK250 AG328:AK328 AG406:AK406 AG625:AL625 AG620:AL620 AG615:AL615 AG585:AL585 AG484:AK484 AG562:AK562 AG640:AK640 AG718:AK718 AG167:AL167 AG157:AL157 AG152:AL152 AG147:AL147 AG117:AL117 AG766:AL766 AG761:AL761 AG756:AL756 AG751:AL751 AG746:AL746 AG786:AL786 AG736:AL736 AG731:AL731 AG726:AL726 AG721:AL721 AG791:AL791 AG781:AL781 AG776:AL776 AG771:AL771 AG741:AL741">
      <formula1>INDIRECT($EX49)</formula1>
    </dataValidation>
    <dataValidation type="whole" allowBlank="1" showInputMessage="1" showErrorMessage="1" errorTitle="Hours Error!" error="Value must be between 1 and 8760. PSE Default for Exterior is 4200._x000a_" sqref="R506 R516 R111 R121 R126 R584 R131 R136 R116 R146 R151 R156 R141 R662 R672 R677 R682 R687 R594 R599 R604 R609 R667 R697 R702 R707 R692 R589 R619 R624 R629 R614 R564 R569 R574 R579 R642 R189 R199 R204 R209 R267 R521 R526 R531 R511 R541 R546 R551 R536 R486 R491 R496 R501 R634 R63 R88 R96 R101 R106 R73 R83 R48 R58 R790 R53 R78 R68 R647 R277 R282 R287 R292 R272 R302 R307 R312 R297 R244 R252 R257 R262 R317 R345 R355 R360 R365 R370 R350 R380 R385 R390 R375 R322 R330 R335 R340 R395 R423 R433 R438 R443 R448 R428 R458 R463 R468 R453 R400 R408 R413 R418 R473 R556 R214 R194 R224 R229 R234 R219 R166 R174 R179 R184 R652 R657 R712 R161 R239 R740 R750 R755 R760 R765 R745 R775 R780 R785 R770 R720 R725 R730 R735 R478">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formula1>_Heat_Type</formula1>
    </dataValidation>
    <dataValidation type="list" allowBlank="1" showInputMessage="1" showErrorMessage="1" sqref="AG111:AK111 AG53:AK53 AG657:AK657 AG692:AK692 AG662:AK662 AG682:AK682 AG677:AK677 AG707:AK707 AG667:AK667 AG652:AK652 AG647:AK647 AG642:AK642 AG672:AK672 AG712:AK712 AG687:AK687 AG146:AK146 AG116:AK116 AG136:AK136 AG131:AK131 AG189:AK189 AG224:AK224 AG194:AK194 AG214:AK214 AG209:AK209 AG239:AK239 AG199:AK199 AG184:AK184 AG179:AK179 AG174:AK174 AG423:AK423 AG458:AK458 AG428:AK428 AG448:AK448 AG443:AK443 AG473:AK473 AG433:AK433 AG418:AK418 AG413:AK413 AG408:AK408 AG438:AK438 AG478:AK478 AG453:AK453 AG468:AK468 AG345:AK345 AG380:AK380 AG350:AK350 AG370:AK370 AG365:AK365 AG395:AK395 AG355:AK355 AG340:AK340 AG335:AK335 AG330:AK330 AG360:AK360 AG400:AK400 AG375:AK375 AG390:AK390 AG267:AK267 AG302:AK302 AG272:AK272 AG292:AK292 AG287:AK287 AG317:AK317 AG277:AK277 AG262:AK262 AG257:AK257 AG252:AK252 AG282:AK282 AG322:AK322 AG297:AK297 AG312:AK312 AG161:AK161 AG73:AK73 AG121:AK121 AG78:AK78 AG83:AK83 AG702:AK702 AG697:AK697 AG48:AK48 AG58:AK58 AG106:AK106 AG101:AK101 AG96:AK96 AG68:AK68 AG63:AK63 AG501:AK501 AG536:AK536 AG506:AK506 AG526:AK526 AG521:AK521 AG551:AK551 AG511:AK511 AG496:AK496 AG491:AK491 AG486:AK486 AG516:AK516 AG556:AK556 AG531:AK531 AG546:AK546 AG204:AK204 AG244:AK244 AG219:AK219 AG234:AK234 AG579:AK579 AG614:AK614 AG584:AK584 AG604:AK604 AG599:AK599 AG629:AK629 AG589:AK589 AG574:AK574 AG569:AK569 AG564:AK564 AG126:AK126 AG88:AK88 AG166:AK166 AG229:AK229 AG594:AK594 AG634:AK634 AG609:AK609 AG624:AK624 AG307:AK307 AG385:AK385 AG463:AK463 AG541:AK541 AG619:AK619 AG141:AK141 AG156:AK156 AG151:AK151 AG735:AK735 AG770:AK770 AG740:AK740 AG760:AK760 AG755:AK755 AG785:AK785 AG745:AK745 AG730:AK730 AG725:AK725 AG720:AK720 AG750:AK750 AG790:AK790 AG765:AK765 AG780:AK780 AG775:AK775">
      <formula1>INDIRECT($EX47)</formula1>
    </dataValidation>
    <dataValidation type="list" allowBlank="1" showInputMessage="1" showErrorMessage="1" sqref="JL8 JN8 JP8 JJ8 JI2 JR8 JT8 JV8 JX8 JZ8 KB8">
      <formula1>"Per Unit, Per Line"</formula1>
    </dataValidation>
    <dataValidation type="list" allowBlank="1" showInputMessage="1" showErrorMessage="1" sqref="G60:L60 G70:L70 G75:L75 G80:L80 G85:L85 G55:L55 G90:L90 G50:L50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formula1>_New_Daylighted</formula1>
    </dataValidation>
    <dataValidation type="list" allowBlank="1" showInputMessage="1" showErrorMessage="1" sqref="B14">
      <formula1>"Yes, No"</formula1>
    </dataValidation>
    <dataValidation type="list" allowBlank="1" showInputMessage="1" showErrorMessage="1" sqref="G94:H94 G718:H718 G562:H562 G484:H484 G406:H406 G328:H328 G640:H640 G172:H172">
      <formula1>$W$3:$W$9</formula1>
    </dataValidation>
  </dataValidations>
  <hyperlinks>
    <hyperlink ref="BG8" location="_Suplemental" display="Installations!AR600"/>
  </hyperlinks>
  <pageMargins left="0.25" right="0.25" top="0.25" bottom="0.25" header="0.3" footer="0.3"/>
  <pageSetup scale="53"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6733"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29364" id="{923C3288-C098-4BC6-B719-A12E4AA1A26E}">
            <xm:f>Lookup!$E$2=TRUE</xm:f>
            <x14:dxf>
              <font>
                <color theme="0"/>
              </font>
              <fill>
                <patternFill patternType="none">
                  <bgColor auto="1"/>
                </patternFill>
              </fill>
              <border>
                <left/>
                <right/>
                <top/>
                <bottom/>
                <vertical/>
                <horizontal/>
              </border>
            </x14:dxf>
          </x14:cfRule>
          <xm:sqref>B12:B14</xm:sqref>
        </x14:conditionalFormatting>
        <x14:conditionalFormatting xmlns:xm="http://schemas.microsoft.com/office/excel/2006/main">
          <x14:cfRule type="containsText" priority="155" operator="containsText" id="{28B15E25-8DAF-4FB9-A04A-DDF3B3C9C7BA}">
            <xm:f>NOT(ISERROR(SEARCH("LOW TRC!",B10)))</xm:f>
            <xm:f>"LOW TRC!"</xm:f>
            <x14:dxf>
              <font>
                <color rgb="FF9C0006"/>
              </font>
              <fill>
                <patternFill>
                  <bgColor rgb="FFFFC7CE"/>
                </patternFill>
              </fill>
            </x14:dxf>
          </x14:cfRule>
          <xm:sqref>B10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Lookup!$AA$3:$AA$9</xm:f>
          </x14:formula1>
          <xm:sqref>G250:H250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90"/>
  <sheetViews>
    <sheetView showGridLines="0" showRowColHeaders="0" zoomScale="90" zoomScaleNormal="90" workbookViewId="0">
      <pane ySplit="18" topLeftCell="A19" activePane="bottomLeft" state="frozen"/>
      <selection pane="bottomLeft" activeCell="A19" sqref="A19:AM19"/>
    </sheetView>
  </sheetViews>
  <sheetFormatPr defaultRowHeight="14.3"/>
  <cols>
    <col min="1" max="1" width="5.375" customWidth="1"/>
    <col min="2" max="2" width="5.375" hidden="1" customWidth="1"/>
    <col min="3" max="3" width="5.375" customWidth="1"/>
    <col min="4" max="5" width="3.125" customWidth="1"/>
    <col min="6" max="20" width="5.375" customWidth="1"/>
    <col min="21" max="21" width="5.375" hidden="1" customWidth="1"/>
    <col min="22" max="32" width="5.375" customWidth="1"/>
    <col min="33" max="33" width="5.375" hidden="1" customWidth="1"/>
    <col min="34" max="42" width="5.375" customWidth="1"/>
    <col min="53" max="62" width="0" hidden="1" customWidth="1"/>
  </cols>
  <sheetData>
    <row r="1" spans="1:62" ht="5.0999999999999996" customHeight="1"/>
    <row r="2" spans="1:62">
      <c r="A2" s="347">
        <f>Lookup!B28</f>
        <v>0</v>
      </c>
    </row>
    <row r="3" spans="1:62" ht="5.0999999999999996" customHeight="1"/>
    <row r="5" spans="1:62" ht="5.0999999999999996" customHeight="1">
      <c r="AP5" s="88"/>
      <c r="AQ5" s="88"/>
      <c r="AR5" s="88"/>
      <c r="AS5" s="88"/>
      <c r="AT5" s="88"/>
      <c r="AU5" s="88"/>
      <c r="AV5" s="88"/>
      <c r="AW5" s="88"/>
      <c r="AX5" s="88"/>
      <c r="AY5" s="88"/>
      <c r="AZ5" s="88"/>
      <c r="BA5" s="88"/>
      <c r="BB5" s="88"/>
      <c r="BC5" s="88"/>
      <c r="BD5" s="88"/>
      <c r="BE5" s="88"/>
      <c r="BF5" s="88"/>
      <c r="BG5" s="88"/>
      <c r="BH5" s="88"/>
      <c r="BI5" s="88"/>
      <c r="BJ5" s="88"/>
    </row>
    <row r="6" spans="1:62" ht="14.95" customHeight="1">
      <c r="AP6" s="88"/>
      <c r="AQ6" s="88"/>
      <c r="AR6" s="88"/>
      <c r="AS6" s="88"/>
      <c r="AT6" s="88"/>
      <c r="AU6" s="88"/>
      <c r="AV6" s="88"/>
      <c r="AW6" s="88"/>
      <c r="AX6" s="88"/>
      <c r="AY6" s="88"/>
      <c r="AZ6" s="88"/>
      <c r="BA6" s="88"/>
      <c r="BB6" s="88"/>
      <c r="BC6" s="88"/>
      <c r="BD6" s="88"/>
      <c r="BE6" s="88"/>
      <c r="BF6" s="88"/>
      <c r="BG6" s="88"/>
      <c r="BH6" s="88"/>
      <c r="BI6" s="88"/>
      <c r="BJ6" s="88"/>
    </row>
    <row r="7" spans="1:62" ht="5.0999999999999996" customHeight="1">
      <c r="J7" s="1438" t="str">
        <f>Lookup!$B$19</f>
        <v>BUSINESS LIGHTING INCENTIVE PROGRAM</v>
      </c>
      <c r="K7" s="1438"/>
      <c r="L7" s="1438"/>
      <c r="M7" s="1438"/>
      <c r="N7" s="1438"/>
      <c r="O7" s="1438"/>
      <c r="P7" s="1438"/>
      <c r="Q7" s="1438"/>
      <c r="R7" s="1438"/>
      <c r="S7" s="1438"/>
      <c r="T7" s="1438"/>
      <c r="U7" s="1438"/>
      <c r="V7" s="1438"/>
      <c r="W7" s="1438"/>
      <c r="X7" s="1438"/>
      <c r="Y7" s="1438"/>
      <c r="Z7" s="1438"/>
      <c r="AA7" s="1438"/>
      <c r="AB7" s="1438"/>
      <c r="AC7" s="1438"/>
      <c r="AD7" s="1438"/>
    </row>
    <row r="8" spans="1:62" ht="14.45" customHeight="1">
      <c r="J8" s="1438"/>
      <c r="K8" s="1438"/>
      <c r="L8" s="1438"/>
      <c r="M8" s="1438"/>
      <c r="N8" s="1438"/>
      <c r="O8" s="1438"/>
      <c r="P8" s="1438"/>
      <c r="Q8" s="1438"/>
      <c r="R8" s="1438"/>
      <c r="S8" s="1438"/>
      <c r="T8" s="1438"/>
      <c r="U8" s="1438"/>
      <c r="V8" s="1438"/>
      <c r="W8" s="1438"/>
      <c r="X8" s="1438"/>
      <c r="Y8" s="1438"/>
      <c r="Z8" s="1438"/>
      <c r="AA8" s="1438"/>
      <c r="AB8" s="1438"/>
      <c r="AC8" s="1438"/>
      <c r="AD8" s="1438"/>
      <c r="AE8" s="16"/>
      <c r="AF8" s="16"/>
      <c r="AG8" s="428"/>
      <c r="AH8" s="16"/>
    </row>
    <row r="9" spans="1:62" ht="5.0999999999999996" customHeight="1">
      <c r="J9" s="1439" t="str">
        <f>Lookup!$B$20</f>
        <v>Business Lighting ─ STANDARD V24-02 ─ Valid through 06/30/2024</v>
      </c>
      <c r="K9" s="1439"/>
      <c r="L9" s="1439"/>
      <c r="M9" s="1439"/>
      <c r="N9" s="1439"/>
      <c r="O9" s="1439"/>
      <c r="P9" s="1439"/>
      <c r="Q9" s="1439"/>
      <c r="R9" s="1439"/>
      <c r="S9" s="1439"/>
      <c r="T9" s="1439"/>
      <c r="U9" s="1439"/>
      <c r="V9" s="1439"/>
      <c r="W9" s="1439"/>
      <c r="X9" s="1439"/>
      <c r="Y9" s="1439"/>
      <c r="Z9" s="1439"/>
      <c r="AA9" s="1439"/>
      <c r="AB9" s="1439"/>
      <c r="AC9" s="1439"/>
      <c r="AD9" s="1439"/>
      <c r="AE9" s="16"/>
      <c r="AF9" s="16"/>
      <c r="AG9" s="428"/>
    </row>
    <row r="10" spans="1:62" ht="14.45" customHeight="1">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400"/>
      <c r="AF10" s="400"/>
      <c r="AG10" s="435"/>
      <c r="AH10" s="87"/>
    </row>
    <row r="11" spans="1:62" ht="5.0999999999999996" customHeight="1">
      <c r="J11" s="1449" t="str">
        <f>CONCATENATE("This is a ",Lookup!B16," lighting project")</f>
        <v>This is a RETROFIT lighting project</v>
      </c>
      <c r="K11" s="1449"/>
      <c r="L11" s="1449"/>
      <c r="M11" s="1449"/>
      <c r="N11" s="1449"/>
      <c r="O11" s="1449"/>
      <c r="P11" s="1449"/>
      <c r="Q11" s="1449"/>
      <c r="R11" s="1449"/>
      <c r="S11" s="1449"/>
      <c r="T11" s="1449"/>
      <c r="U11" s="1449"/>
      <c r="V11" s="1449"/>
      <c r="W11" s="1449"/>
      <c r="X11" s="1449"/>
      <c r="Y11" s="1449"/>
      <c r="Z11" s="1449"/>
      <c r="AA11" s="1449"/>
      <c r="AB11" s="1449"/>
      <c r="AC11" s="1449"/>
      <c r="AD11" s="1449"/>
      <c r="AE11" s="400"/>
      <c r="AF11" s="400"/>
      <c r="AG11" s="435"/>
    </row>
    <row r="12" spans="1:62" ht="14.45" customHeight="1">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535"/>
      <c r="AF12" s="535"/>
      <c r="AG12" s="535"/>
      <c r="AH12" s="535"/>
      <c r="AI12" s="535"/>
      <c r="AJ12" s="535"/>
    </row>
    <row r="13" spans="1:62" ht="5.0999999999999996" customHeight="1">
      <c r="J13" s="1930" t="str">
        <f>Project!K13</f>
        <v>PSE Approval is required before the retrofit is started!</v>
      </c>
      <c r="K13" s="1930"/>
      <c r="L13" s="1930"/>
      <c r="M13" s="1930"/>
      <c r="N13" s="1930"/>
      <c r="O13" s="1930"/>
      <c r="P13" s="1930"/>
      <c r="Q13" s="1930"/>
      <c r="R13" s="1930"/>
      <c r="S13" s="1930"/>
      <c r="T13" s="1930"/>
      <c r="U13" s="1930"/>
      <c r="V13" s="1930"/>
      <c r="W13" s="1930"/>
      <c r="X13" s="1930"/>
      <c r="Y13" s="1930"/>
      <c r="Z13" s="1930"/>
      <c r="AA13" s="1930"/>
      <c r="AB13" s="1930"/>
      <c r="AC13" s="1930"/>
      <c r="AD13" s="1930"/>
      <c r="AE13" s="535"/>
      <c r="AF13" s="535"/>
      <c r="AG13" s="535"/>
      <c r="AH13" s="535"/>
      <c r="AI13" s="535"/>
      <c r="AJ13" s="535"/>
    </row>
    <row r="14" spans="1:62" ht="14.45" customHeight="1">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G14" s="429"/>
      <c r="AH14" s="88"/>
    </row>
    <row r="15" spans="1:62" ht="5.0999999999999996" customHeight="1">
      <c r="AG15" s="429"/>
    </row>
    <row r="16" spans="1:62" ht="14.95" customHeight="1">
      <c r="AE16" s="88"/>
      <c r="AF16" s="88"/>
      <c r="AG16" s="430"/>
    </row>
    <row r="17" spans="1:41" ht="5.0999999999999996" customHeight="1">
      <c r="AE17" s="88"/>
      <c r="AF17" s="88"/>
    </row>
    <row r="18" spans="1:41" ht="5.0999999999999996" customHeight="1"/>
    <row r="19" spans="1:41" ht="2.4" customHeight="1">
      <c r="A19" s="1950"/>
      <c r="B19" s="1950"/>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1950"/>
      <c r="AL19" s="1950"/>
      <c r="AM19" s="1950"/>
      <c r="AN19" s="197"/>
      <c r="AO19" s="197"/>
    </row>
    <row r="20" spans="1:41">
      <c r="I20" s="2" t="s">
        <v>465</v>
      </c>
      <c r="J20" s="2"/>
      <c r="K20" s="2"/>
      <c r="L20" s="2"/>
      <c r="M20" s="2"/>
      <c r="N20" s="2"/>
      <c r="O20" s="2" t="s">
        <v>174</v>
      </c>
      <c r="P20" s="2"/>
      <c r="Q20" s="2"/>
      <c r="R20" s="2"/>
      <c r="S20" s="2"/>
      <c r="T20" s="2"/>
      <c r="U20" s="2"/>
      <c r="V20" s="2" t="s">
        <v>466</v>
      </c>
      <c r="W20" s="2"/>
      <c r="X20" s="2"/>
      <c r="Y20" s="2"/>
      <c r="Z20" s="2"/>
      <c r="AA20" s="2"/>
      <c r="AB20" s="2" t="s">
        <v>467</v>
      </c>
      <c r="AC20" s="2"/>
      <c r="AD20" s="2"/>
    </row>
    <row r="21" spans="1:41">
      <c r="I21" s="1934">
        <f>Project!V22</f>
        <v>0</v>
      </c>
      <c r="J21" s="1934"/>
      <c r="K21" s="1934"/>
      <c r="L21" s="1934"/>
      <c r="M21" s="1934"/>
      <c r="O21" s="1935">
        <f>Project!AK22</f>
        <v>0</v>
      </c>
      <c r="P21" s="1936"/>
      <c r="Q21" s="1936"/>
      <c r="R21" s="1936"/>
      <c r="S21" s="1937"/>
      <c r="V21" s="1935" t="str">
        <f>Project!H81</f>
        <v/>
      </c>
      <c r="W21" s="1936"/>
      <c r="X21" s="1936"/>
      <c r="Y21" s="1936"/>
      <c r="Z21" s="1937"/>
      <c r="AB21" s="1935" t="str">
        <f>Project!U81</f>
        <v/>
      </c>
      <c r="AC21" s="1936"/>
      <c r="AD21" s="1936"/>
      <c r="AE21" s="1936"/>
      <c r="AF21" s="1937"/>
      <c r="AG21" s="92"/>
    </row>
    <row r="22" spans="1:41" ht="5.0999999999999996" customHeight="1">
      <c r="I22" s="92"/>
      <c r="J22" s="92"/>
      <c r="K22" s="92"/>
      <c r="L22" s="92"/>
      <c r="M22" s="92"/>
    </row>
    <row r="23" spans="1:41">
      <c r="I23" s="1933">
        <f>Project!V26</f>
        <v>0</v>
      </c>
      <c r="J23" s="1933"/>
      <c r="K23" s="1933"/>
      <c r="L23" s="1933"/>
      <c r="M23" s="1933"/>
      <c r="O23" s="1935">
        <f>Project!AK24</f>
        <v>0</v>
      </c>
      <c r="P23" s="1936"/>
      <c r="Q23" s="1936"/>
      <c r="R23" s="1936"/>
      <c r="S23" s="1937"/>
      <c r="V23" s="1935" t="str">
        <f>Project!H83</f>
        <v/>
      </c>
      <c r="W23" s="1936"/>
      <c r="X23" s="1936"/>
      <c r="Y23" s="1936"/>
      <c r="Z23" s="1937"/>
      <c r="AB23" s="1935" t="str">
        <f>Project!U83</f>
        <v/>
      </c>
      <c r="AC23" s="1936"/>
      <c r="AD23" s="1936"/>
      <c r="AE23" s="1936"/>
      <c r="AF23" s="1937"/>
      <c r="AG23" s="92"/>
    </row>
    <row r="24" spans="1:41" ht="5.0999999999999996" customHeight="1">
      <c r="I24" s="177"/>
      <c r="J24" s="177"/>
      <c r="K24" s="177"/>
      <c r="L24" s="177"/>
      <c r="M24" s="177"/>
    </row>
    <row r="25" spans="1:41">
      <c r="I25" s="1934">
        <f>Project!V30</f>
        <v>0</v>
      </c>
      <c r="J25" s="1934"/>
      <c r="K25" s="1934"/>
      <c r="L25" s="1934"/>
      <c r="M25" s="1934"/>
      <c r="O25" s="1935">
        <f>Project!AK26</f>
        <v>0</v>
      </c>
      <c r="P25" s="1936"/>
      <c r="Q25" s="1936"/>
      <c r="R25" s="1936"/>
      <c r="S25" s="1937"/>
      <c r="V25" s="1935" t="str">
        <f>Project!H85</f>
        <v/>
      </c>
      <c r="W25" s="1936"/>
      <c r="X25" s="1936"/>
      <c r="Y25" s="1936"/>
      <c r="Z25" s="1937"/>
      <c r="AB25" s="1935" t="str">
        <f>Project!U85</f>
        <v/>
      </c>
      <c r="AC25" s="1936"/>
      <c r="AD25" s="1936"/>
      <c r="AE25" s="1936"/>
      <c r="AF25" s="1937"/>
      <c r="AG25" s="92"/>
    </row>
    <row r="26" spans="1:41" ht="5.0999999999999996" customHeight="1"/>
    <row r="27" spans="1:41">
      <c r="I27" s="1934" t="str">
        <f>CONCATENATE(Project!V34,", ",Project!V36," ",Project!AA36)</f>
        <v xml:space="preserve">, WA </v>
      </c>
      <c r="J27" s="1934"/>
      <c r="K27" s="1934"/>
      <c r="L27" s="1934"/>
      <c r="M27" s="1934"/>
      <c r="O27" s="1956">
        <f>Project!AK28</f>
        <v>0</v>
      </c>
      <c r="P27" s="1957"/>
      <c r="Q27" s="1957"/>
      <c r="R27" s="1957"/>
      <c r="S27" s="1958"/>
      <c r="V27" s="1956" t="str">
        <f>Project!H87</f>
        <v/>
      </c>
      <c r="W27" s="1957"/>
      <c r="X27" s="1957"/>
      <c r="Y27" s="1957"/>
      <c r="Z27" s="1958"/>
      <c r="AB27" s="1935" t="str">
        <f>Project!U87</f>
        <v/>
      </c>
      <c r="AC27" s="1936"/>
      <c r="AD27" s="1936"/>
      <c r="AE27" s="1936"/>
      <c r="AF27" s="1937"/>
      <c r="AG27" s="92"/>
    </row>
    <row r="28" spans="1:41" ht="5.0999999999999996" customHeight="1"/>
    <row r="29" spans="1:41">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row>
    <row r="30" spans="1:41" ht="5.0999999999999996" customHeight="1"/>
    <row r="31" spans="1:41">
      <c r="G31" s="185" t="s">
        <v>468</v>
      </c>
      <c r="H31" s="1938">
        <f>Installations!K20</f>
        <v>0</v>
      </c>
      <c r="I31" s="1939"/>
      <c r="M31" s="185" t="s">
        <v>469</v>
      </c>
      <c r="N31" s="1946">
        <f>IFERROR(Autofund!P6,"")</f>
        <v>0</v>
      </c>
      <c r="O31" s="1947"/>
      <c r="S31" s="185" t="s">
        <v>470</v>
      </c>
      <c r="T31" s="1931">
        <f>IF(__Retrofit_TI_NC=2,"NA",Installations!E28)</f>
        <v>0</v>
      </c>
      <c r="U31" s="1931"/>
      <c r="V31" s="1932"/>
      <c r="W31" s="186"/>
      <c r="Y31" s="185" t="s">
        <v>415</v>
      </c>
      <c r="Z31" s="1931">
        <f>Installations!E30</f>
        <v>0</v>
      </c>
      <c r="AA31" s="1932"/>
      <c r="AF31" s="1945" t="s">
        <v>399</v>
      </c>
      <c r="AG31" s="1945"/>
      <c r="AH31" s="1945"/>
      <c r="AI31" s="1945"/>
      <c r="AJ31" s="1941" t="str">
        <f>IFERROR(Installations!T24,"")</f>
        <v>Rate Sch?</v>
      </c>
      <c r="AK31" s="1941"/>
      <c r="AL31" s="1942"/>
    </row>
    <row r="32" spans="1:41" ht="5.0999999999999996" customHeight="1">
      <c r="G32" s="185"/>
      <c r="M32" s="187"/>
      <c r="N32" s="188"/>
      <c r="O32" s="692"/>
      <c r="S32" s="185"/>
      <c r="T32" s="116"/>
      <c r="U32" s="116"/>
      <c r="V32" s="116"/>
      <c r="Y32" s="185"/>
      <c r="AF32" s="1945"/>
      <c r="AG32" s="1945"/>
      <c r="AH32" s="1945"/>
      <c r="AI32" s="1945"/>
      <c r="AJ32" s="1941"/>
      <c r="AK32" s="1941"/>
      <c r="AL32" s="1942"/>
    </row>
    <row r="33" spans="2:38">
      <c r="G33" s="185" t="s">
        <v>471</v>
      </c>
      <c r="H33" s="1938">
        <f>Installations!K22</f>
        <v>0</v>
      </c>
      <c r="I33" s="1939"/>
      <c r="L33" s="1940" t="s">
        <v>472</v>
      </c>
      <c r="M33" s="1940"/>
      <c r="S33" s="185" t="s">
        <v>473</v>
      </c>
      <c r="T33" s="1931">
        <f>IF(__Retrofit_TI_NC=2,"NA",Installations!E20)</f>
        <v>0</v>
      </c>
      <c r="U33" s="1931"/>
      <c r="V33" s="1932"/>
      <c r="W33" s="186"/>
      <c r="Z33" s="1948">
        <f>Installations!E24</f>
        <v>0</v>
      </c>
      <c r="AA33" s="1949"/>
      <c r="AF33" s="1945"/>
      <c r="AG33" s="1945"/>
      <c r="AH33" s="1945"/>
      <c r="AI33" s="1945"/>
      <c r="AJ33" s="1943"/>
      <c r="AK33" s="1943"/>
      <c r="AL33" s="1944"/>
    </row>
    <row r="34" spans="2:38" ht="5.0999999999999996" customHeight="1">
      <c r="G34" s="185"/>
      <c r="L34" s="1940"/>
      <c r="M34" s="1940"/>
      <c r="S34" s="185"/>
      <c r="T34" s="116"/>
      <c r="U34" s="116"/>
      <c r="V34" s="116"/>
    </row>
    <row r="35" spans="2:38">
      <c r="G35" s="185" t="s">
        <v>474</v>
      </c>
      <c r="H35" s="1938">
        <f>Installations!K24</f>
        <v>0</v>
      </c>
      <c r="I35" s="1939"/>
      <c r="M35" s="189" t="s">
        <v>475</v>
      </c>
      <c r="N35" s="1954" t="str">
        <f>IFERROR(Autofund!Q6,"")</f>
        <v>N/A</v>
      </c>
      <c r="O35" s="1955"/>
      <c r="S35" s="185" t="s">
        <v>476</v>
      </c>
      <c r="T35" s="1931">
        <f>Installations!E22</f>
        <v>0</v>
      </c>
      <c r="U35" s="1931"/>
      <c r="V35" s="1932"/>
      <c r="W35" s="186"/>
      <c r="Y35" s="185" t="s">
        <v>289</v>
      </c>
      <c r="Z35" s="1931">
        <f>Installations!E32</f>
        <v>0</v>
      </c>
      <c r="AA35" s="1932"/>
      <c r="AI35" s="185" t="s">
        <v>477</v>
      </c>
      <c r="AJ35" s="1973">
        <f>IFERROR(Z35/H35,0)</f>
        <v>0</v>
      </c>
      <c r="AK35" s="1973"/>
      <c r="AL35" s="1974"/>
    </row>
    <row r="36" spans="2:38" ht="5.0999999999999996" customHeight="1">
      <c r="G36" s="185"/>
      <c r="M36" s="187"/>
      <c r="N36" s="190"/>
      <c r="O36" s="190"/>
      <c r="S36" s="185"/>
      <c r="T36" s="116"/>
      <c r="U36" s="116"/>
      <c r="V36" s="116"/>
    </row>
    <row r="37" spans="2:38">
      <c r="G37" s="185" t="s">
        <v>478</v>
      </c>
      <c r="H37" s="1952">
        <f>IFERROR(H35/H31,0)</f>
        <v>0</v>
      </c>
      <c r="I37" s="1953"/>
      <c r="M37" s="189" t="s">
        <v>479</v>
      </c>
      <c r="N37" s="1959" t="str">
        <f>IFERROR(Autofund!R6,"")</f>
        <v>N/A</v>
      </c>
      <c r="O37" s="1960"/>
      <c r="S37" s="185" t="s">
        <v>480</v>
      </c>
      <c r="T37" s="1961">
        <f>SUM(T31:V36)</f>
        <v>0</v>
      </c>
      <c r="U37" s="1961"/>
      <c r="V37" s="1962"/>
      <c r="W37" s="191"/>
      <c r="Y37" s="185" t="s">
        <v>291</v>
      </c>
      <c r="Z37" s="1963">
        <f>IFERROR(Autofund!O3,"")</f>
        <v>0</v>
      </c>
      <c r="AA37" s="1964"/>
      <c r="AI37" s="185" t="s">
        <v>481</v>
      </c>
      <c r="AJ37" s="1952">
        <f>IFERROR(AJ31/Z35,0)</f>
        <v>0</v>
      </c>
      <c r="AK37" s="1952"/>
      <c r="AL37" s="1953"/>
    </row>
    <row r="38" spans="2:38" ht="5.0999999999999996" customHeight="1"/>
    <row r="40" spans="2:38">
      <c r="B40" s="1441"/>
      <c r="C40" s="1951" t="s">
        <v>482</v>
      </c>
      <c r="D40" s="1951"/>
      <c r="E40" s="1951"/>
      <c r="F40" s="1951"/>
      <c r="G40" s="1951"/>
      <c r="H40" s="1951"/>
      <c r="I40" s="1951"/>
      <c r="J40" s="1951"/>
      <c r="K40" s="1951"/>
      <c r="L40" s="1951"/>
      <c r="M40" s="1951"/>
      <c r="N40" s="1951"/>
      <c r="O40" s="1951"/>
      <c r="P40" s="1951"/>
      <c r="Q40" s="1951"/>
      <c r="R40" s="1951"/>
      <c r="S40" s="1951"/>
      <c r="T40" s="1951"/>
      <c r="U40" s="1951"/>
      <c r="V40" s="1951"/>
      <c r="W40" s="1951"/>
      <c r="X40" s="1951"/>
      <c r="Y40" s="1951"/>
      <c r="Z40" s="1951"/>
      <c r="AA40" s="1951"/>
      <c r="AB40" s="1951"/>
      <c r="AC40" s="1951"/>
      <c r="AD40" s="1951"/>
      <c r="AE40" s="1951"/>
      <c r="AF40" s="1951"/>
      <c r="AG40" s="1951"/>
      <c r="AH40" s="1951"/>
      <c r="AI40" s="1951"/>
      <c r="AJ40" s="1951"/>
      <c r="AK40" s="1951"/>
      <c r="AL40" s="1951"/>
    </row>
    <row r="41" spans="2:38" ht="5.0999999999999996" customHeight="1">
      <c r="B41" s="1441"/>
    </row>
    <row r="42" spans="2:38" ht="14.95" customHeight="1">
      <c r="B42" s="1441"/>
    </row>
    <row r="43" spans="2:38">
      <c r="B43" s="1441"/>
      <c r="C43" t="s">
        <v>483</v>
      </c>
      <c r="W43" s="1967" t="s">
        <v>484</v>
      </c>
      <c r="X43" s="1967"/>
      <c r="Y43" s="1967"/>
      <c r="Z43" s="1967"/>
      <c r="AA43" s="1967"/>
      <c r="AB43" s="1967"/>
      <c r="AC43" s="1967"/>
      <c r="AD43" s="1967"/>
      <c r="AE43" s="1967"/>
      <c r="AF43" s="1967"/>
      <c r="AG43" s="1967"/>
      <c r="AH43" s="1967"/>
    </row>
    <row r="44" spans="2:38">
      <c r="B44" s="1441"/>
      <c r="E44" s="2"/>
      <c r="W44" s="1967"/>
      <c r="X44" s="1967"/>
      <c r="Y44" s="1967"/>
      <c r="Z44" s="1967"/>
      <c r="AA44" s="1967"/>
      <c r="AB44" s="1967"/>
      <c r="AC44" s="1967"/>
      <c r="AD44" s="1967"/>
      <c r="AE44" s="1967"/>
      <c r="AF44" s="1967"/>
      <c r="AG44" s="1967"/>
      <c r="AH44" s="1967"/>
    </row>
    <row r="45" spans="2:38" ht="14.95" customHeight="1">
      <c r="B45" s="1441"/>
      <c r="D45" t="s">
        <v>485</v>
      </c>
      <c r="W45" s="1967"/>
      <c r="X45" s="1967"/>
      <c r="Y45" s="1967"/>
      <c r="Z45" s="1967"/>
      <c r="AA45" s="1967"/>
      <c r="AB45" s="1967"/>
      <c r="AC45" s="1967"/>
      <c r="AD45" s="1967"/>
      <c r="AE45" s="1967"/>
      <c r="AF45" s="1967"/>
      <c r="AG45" s="1967"/>
      <c r="AH45" s="1967"/>
    </row>
    <row r="46" spans="2:38" ht="5.0999999999999996" customHeight="1">
      <c r="B46" s="1441"/>
      <c r="W46" s="1967"/>
      <c r="X46" s="1967"/>
      <c r="Y46" s="1967"/>
      <c r="Z46" s="1967"/>
      <c r="AA46" s="1967"/>
      <c r="AB46" s="1967"/>
      <c r="AC46" s="1967"/>
      <c r="AD46" s="1967"/>
      <c r="AE46" s="1967"/>
      <c r="AF46" s="1967"/>
      <c r="AG46" s="1967"/>
      <c r="AH46" s="1967"/>
    </row>
    <row r="47" spans="2:38" ht="14.95" customHeight="1">
      <c r="B47" s="1441"/>
      <c r="E47" s="693"/>
      <c r="F47" s="14" t="s">
        <v>486</v>
      </c>
    </row>
    <row r="48" spans="2:38" ht="5.0999999999999996" customHeight="1">
      <c r="B48" s="1441"/>
    </row>
    <row r="49" spans="2:62" ht="14.95" customHeight="1">
      <c r="B49" s="1441"/>
      <c r="E49" s="693"/>
      <c r="F49" s="14" t="s">
        <v>487</v>
      </c>
      <c r="AB49" s="1368" t="str">
        <f ca="1">'Grant QC Review'!L88 &amp; TEXT((Installations!W22+Installations!W24)," $#,###.00")</f>
        <v>Fixture/TLED/Control $.00</v>
      </c>
    </row>
    <row r="50" spans="2:62" ht="5.3" customHeight="1">
      <c r="B50" s="1441"/>
      <c r="AA50" s="1338"/>
      <c r="AC50" s="1338"/>
      <c r="AD50" s="1338"/>
      <c r="BE50" s="1976" t="s">
        <v>488</v>
      </c>
      <c r="BF50" s="1976"/>
      <c r="BG50" s="1976"/>
      <c r="BH50" s="1976"/>
      <c r="BI50" s="1976"/>
    </row>
    <row r="51" spans="2:62" ht="14.95" customHeight="1">
      <c r="B51" s="1441"/>
      <c r="E51" s="693"/>
      <c r="F51" s="14" t="s">
        <v>489</v>
      </c>
      <c r="AA51" s="1364"/>
      <c r="AB51" s="1369" t="str">
        <f>RIGHT('Grant QC Review'!O88,33) &amp; TEXT((Installations!W26+Installations!W28+Installations!W30+Installations!W32+Installations!W34)," $#,###.00")</f>
        <v xml:space="preserve">      LLLC/NLC/AELC (performance) $.00</v>
      </c>
      <c r="AC51" s="1364"/>
      <c r="AD51" s="1364"/>
      <c r="AE51" s="1364"/>
      <c r="AF51" s="1364"/>
      <c r="BE51" s="1976"/>
      <c r="BF51" s="1976"/>
      <c r="BG51" s="1976"/>
      <c r="BH51" s="1976"/>
      <c r="BI51" s="1976"/>
    </row>
    <row r="52" spans="2:62" ht="5.0999999999999996" customHeight="1">
      <c r="B52" s="1441"/>
    </row>
    <row r="53" spans="2:62" ht="14.95" customHeight="1">
      <c r="B53" s="1441"/>
      <c r="AB53" s="1366" t="s">
        <v>488</v>
      </c>
      <c r="BC53" s="441" t="s">
        <v>490</v>
      </c>
      <c r="BE53" s="1965" t="s">
        <v>491</v>
      </c>
      <c r="BF53" s="1965"/>
      <c r="BG53" s="1965"/>
      <c r="BH53" s="1965"/>
      <c r="BI53" s="1966"/>
      <c r="BJ53" s="347">
        <f>IFERROR(VLOOKUP(BE53,Lookup!$BQ$21:$BR$23,2,FALSE)+1,0)</f>
        <v>0</v>
      </c>
    </row>
    <row r="54" spans="2:62" ht="14.95" customHeight="1">
      <c r="B54" s="1441"/>
      <c r="D54" t="s">
        <v>492</v>
      </c>
      <c r="Y54" s="1367" t="s">
        <v>490</v>
      </c>
      <c r="Z54" s="1965" t="s">
        <v>491</v>
      </c>
      <c r="AA54" s="1965" t="s">
        <v>163</v>
      </c>
      <c r="AB54" s="1965" t="s">
        <v>163</v>
      </c>
      <c r="AC54" s="1965" t="s">
        <v>163</v>
      </c>
      <c r="AD54" s="1966" t="s">
        <v>163</v>
      </c>
      <c r="AE54" s="311">
        <f>IFERROR(VLOOKUP(Z54,Lookup!BQ21:BR24,2,FALSE)+1,0)</f>
        <v>0</v>
      </c>
    </row>
    <row r="55" spans="2:62" ht="14.95" customHeight="1">
      <c r="B55" s="1441"/>
      <c r="D55" s="154"/>
      <c r="E55" s="154"/>
      <c r="F55" s="154"/>
      <c r="G55" s="154"/>
      <c r="H55" s="154"/>
      <c r="I55" s="154"/>
      <c r="J55" s="154"/>
      <c r="K55" s="154"/>
      <c r="L55" s="2"/>
      <c r="M55" s="2"/>
      <c r="Y55" s="1365"/>
      <c r="Z55" s="1972"/>
      <c r="AA55" s="1972"/>
      <c r="AB55" s="1972"/>
      <c r="AC55" s="1972"/>
      <c r="AD55" s="1972"/>
      <c r="BD55" s="1441"/>
      <c r="BE55" s="1975">
        <f>Installations!W26+Installations!W28+Installations!W30+Installations!W32+Installations!W34</f>
        <v>0</v>
      </c>
      <c r="BF55" s="1975"/>
      <c r="BG55" s="1975"/>
      <c r="BH55" s="1975"/>
      <c r="BI55" s="1975"/>
    </row>
    <row r="56" spans="2:62" ht="5.0999999999999996" customHeight="1">
      <c r="B56" s="1441"/>
      <c r="C56" s="154"/>
      <c r="D56" s="154"/>
      <c r="E56" s="154"/>
      <c r="F56" s="154"/>
      <c r="G56" s="154"/>
      <c r="H56" s="154"/>
      <c r="I56" s="154"/>
      <c r="J56" s="154"/>
      <c r="K56" s="154"/>
      <c r="L56" s="2"/>
      <c r="M56" s="2"/>
      <c r="Y56" s="1365"/>
      <c r="BB56" s="147"/>
      <c r="BC56" s="147"/>
      <c r="BD56" s="1441"/>
    </row>
    <row r="57" spans="2:62">
      <c r="B57" s="1441"/>
      <c r="C57" s="154"/>
      <c r="D57" s="154"/>
      <c r="E57" s="154"/>
      <c r="F57" s="154"/>
      <c r="G57" s="154"/>
      <c r="H57" s="154"/>
      <c r="I57" s="154"/>
      <c r="J57" s="154"/>
      <c r="K57" s="154"/>
      <c r="L57" s="2"/>
      <c r="M57" s="2"/>
      <c r="R57" s="161"/>
      <c r="S57" s="161"/>
      <c r="T57" s="161"/>
      <c r="U57" s="161"/>
      <c r="V57" s="161"/>
      <c r="Y57" s="441" t="s">
        <v>179</v>
      </c>
      <c r="Z57" s="1968" t="str">
        <f>IFERROR(VLOOKUP(Y57,__Company_Name_List,$AE$54,FALSE),"")</f>
        <v/>
      </c>
      <c r="AA57" s="1968"/>
      <c r="AB57" s="1968"/>
      <c r="AC57" s="1968"/>
      <c r="AD57" s="1969"/>
      <c r="BC57" s="441" t="s">
        <v>179</v>
      </c>
      <c r="BD57" s="1441"/>
      <c r="BE57" s="1968" t="str">
        <f>IFERROR(VLOOKUP(ANC57,__Company_Name_List,$BJ$53,FALSE),"")</f>
        <v/>
      </c>
      <c r="BF57" s="1968"/>
      <c r="BG57" s="1968"/>
      <c r="BH57" s="1968"/>
      <c r="BI57" s="1969"/>
    </row>
    <row r="58" spans="2:62" ht="5.0999999999999996" customHeight="1">
      <c r="B58" s="1441"/>
      <c r="C58" s="154"/>
      <c r="D58" s="154"/>
      <c r="E58" s="154"/>
      <c r="F58" s="154"/>
      <c r="G58" s="154"/>
      <c r="H58" s="154"/>
      <c r="I58" s="154"/>
      <c r="J58" s="154"/>
      <c r="K58" s="154"/>
      <c r="L58" s="2"/>
      <c r="M58" s="2"/>
      <c r="R58" s="161"/>
      <c r="S58" s="161"/>
      <c r="T58" s="161"/>
      <c r="U58" s="161"/>
      <c r="V58" s="161"/>
      <c r="BD58" s="1441"/>
    </row>
    <row r="59" spans="2:62">
      <c r="B59" s="1441"/>
      <c r="C59" s="154"/>
      <c r="D59" s="154"/>
      <c r="E59" s="154"/>
      <c r="F59" s="154"/>
      <c r="G59" s="154"/>
      <c r="H59" s="154"/>
      <c r="I59" s="154"/>
      <c r="J59" s="154"/>
      <c r="K59" s="154"/>
      <c r="L59" s="2"/>
      <c r="M59" s="2"/>
      <c r="R59" s="161"/>
      <c r="S59" s="161"/>
      <c r="T59" s="161"/>
      <c r="U59" s="161"/>
      <c r="V59" s="161"/>
      <c r="Y59" s="441" t="s">
        <v>493</v>
      </c>
      <c r="Z59" s="1968"/>
      <c r="AA59" s="1968"/>
      <c r="AB59" s="1968"/>
      <c r="AC59" s="1968"/>
      <c r="AD59" s="1969"/>
      <c r="BC59" s="441" t="s">
        <v>494</v>
      </c>
      <c r="BD59" s="1441"/>
      <c r="BE59" s="1968"/>
      <c r="BF59" s="1968"/>
      <c r="BG59" s="1968"/>
      <c r="BH59" s="1968"/>
      <c r="BI59" s="1969"/>
    </row>
    <row r="60" spans="2:62" ht="5.0999999999999996" customHeight="1">
      <c r="B60" s="1441"/>
      <c r="C60" s="154"/>
      <c r="D60" s="154"/>
      <c r="E60" s="154"/>
      <c r="F60" s="154"/>
      <c r="G60" s="154"/>
      <c r="H60" s="154"/>
      <c r="I60" s="154"/>
      <c r="J60" s="154"/>
      <c r="K60" s="154"/>
      <c r="L60" s="2"/>
      <c r="M60" s="2"/>
      <c r="R60" s="161"/>
      <c r="S60" s="161"/>
      <c r="T60" s="161"/>
      <c r="U60" s="161"/>
      <c r="V60" s="161"/>
      <c r="BD60" s="1441"/>
    </row>
    <row r="61" spans="2:62">
      <c r="B61" s="1441"/>
      <c r="C61" s="154"/>
      <c r="D61" s="154"/>
      <c r="E61" s="154"/>
      <c r="F61" s="154"/>
      <c r="G61" s="154"/>
      <c r="H61" s="154"/>
      <c r="I61" s="154"/>
      <c r="J61" s="154"/>
      <c r="K61" s="154"/>
      <c r="L61" s="2"/>
      <c r="M61" s="2"/>
      <c r="R61" s="161"/>
      <c r="S61" s="161"/>
      <c r="T61" s="161"/>
      <c r="U61" s="161"/>
      <c r="V61" s="161"/>
      <c r="Y61" s="441" t="s">
        <v>495</v>
      </c>
      <c r="Z61" s="1968"/>
      <c r="AA61" s="1968"/>
      <c r="AB61" s="1968"/>
      <c r="AC61" s="1968"/>
      <c r="AD61" s="1969"/>
      <c r="BC61" s="441" t="s">
        <v>495</v>
      </c>
      <c r="BD61" s="1441"/>
      <c r="BE61" s="1968"/>
      <c r="BF61" s="1968"/>
      <c r="BG61" s="1968"/>
      <c r="BH61" s="1968"/>
      <c r="BI61" s="1969"/>
    </row>
    <row r="62" spans="2:62" ht="5.0999999999999996" customHeight="1">
      <c r="B62" s="1441"/>
      <c r="C62" s="154"/>
      <c r="D62" s="154"/>
      <c r="E62" s="154"/>
      <c r="F62" s="154"/>
      <c r="G62" s="154"/>
      <c r="H62" s="154"/>
      <c r="I62" s="154"/>
      <c r="J62" s="154"/>
      <c r="K62" s="154"/>
      <c r="L62" s="2"/>
      <c r="M62" s="2"/>
      <c r="R62" s="161"/>
      <c r="S62" s="161"/>
      <c r="T62" s="161"/>
      <c r="U62" s="161"/>
      <c r="V62" s="161"/>
      <c r="W62" s="12"/>
      <c r="Y62" s="178"/>
      <c r="Z62" s="179"/>
      <c r="AA62" s="179"/>
      <c r="AB62" s="179"/>
      <c r="AC62" s="179"/>
      <c r="AD62" s="179"/>
      <c r="BC62" s="192"/>
      <c r="BD62" s="1441"/>
      <c r="BE62" s="179"/>
      <c r="BF62" s="179"/>
      <c r="BG62" s="179"/>
      <c r="BH62" s="179"/>
      <c r="BI62" s="179"/>
    </row>
    <row r="63" spans="2:62">
      <c r="B63" s="1441"/>
      <c r="C63" s="154"/>
      <c r="D63" s="154"/>
      <c r="E63" s="154"/>
      <c r="F63" s="154"/>
      <c r="G63" s="154"/>
      <c r="H63" s="154"/>
      <c r="I63" s="154"/>
      <c r="J63" s="154"/>
      <c r="K63" s="154"/>
      <c r="L63" s="2"/>
      <c r="M63" s="2"/>
      <c r="R63" s="161"/>
      <c r="S63" s="161"/>
      <c r="T63" s="161"/>
      <c r="U63" s="161"/>
      <c r="V63" s="161"/>
      <c r="W63" s="12"/>
      <c r="Y63" s="441" t="s">
        <v>181</v>
      </c>
      <c r="Z63" s="1968" t="str">
        <f>IFERROR(VLOOKUP(Y63,__Company_Name_List,$AE$54,FALSE),"")</f>
        <v/>
      </c>
      <c r="AA63" s="1968"/>
      <c r="AB63" s="1968"/>
      <c r="AC63" s="1968"/>
      <c r="AD63" s="1969"/>
      <c r="BC63" s="441" t="s">
        <v>181</v>
      </c>
      <c r="BD63" s="1441"/>
      <c r="BE63" s="1968" t="str">
        <f>IFERROR(VLOOKUP(BC63,__Company_Name_List,$BJ$53,FALSE),"")</f>
        <v/>
      </c>
      <c r="BF63" s="1968"/>
      <c r="BG63" s="1968"/>
      <c r="BH63" s="1968"/>
      <c r="BI63" s="1969"/>
    </row>
    <row r="64" spans="2:62" ht="5.0999999999999996" customHeight="1">
      <c r="B64" s="1441"/>
      <c r="C64" s="154"/>
      <c r="D64" s="154"/>
      <c r="E64" s="154"/>
      <c r="F64" s="154"/>
      <c r="G64" s="154"/>
      <c r="H64" s="154"/>
      <c r="I64" s="154"/>
      <c r="J64" s="154"/>
      <c r="K64" s="154"/>
      <c r="L64" s="2"/>
      <c r="M64" s="2"/>
      <c r="R64" s="161"/>
      <c r="S64" s="161"/>
      <c r="T64" s="161"/>
      <c r="U64" s="161"/>
      <c r="V64" s="161"/>
      <c r="W64" s="12"/>
      <c r="Y64" s="178"/>
      <c r="Z64" s="180"/>
      <c r="AA64" s="179"/>
      <c r="AB64" s="179"/>
      <c r="AC64" s="179"/>
      <c r="AD64" s="179"/>
      <c r="BC64" s="192"/>
      <c r="BD64" s="1441"/>
      <c r="BE64" s="180"/>
      <c r="BF64" s="179"/>
      <c r="BG64" s="179"/>
      <c r="BH64" s="179"/>
      <c r="BI64" s="179"/>
    </row>
    <row r="65" spans="2:61">
      <c r="B65" s="1441"/>
      <c r="C65" s="154"/>
      <c r="D65" s="154"/>
      <c r="E65" s="154"/>
      <c r="F65" s="154"/>
      <c r="G65" s="154"/>
      <c r="H65" s="154"/>
      <c r="I65" s="154"/>
      <c r="J65" s="154"/>
      <c r="K65" s="154"/>
      <c r="L65" s="2"/>
      <c r="M65" s="2"/>
      <c r="R65" s="161"/>
      <c r="S65" s="161"/>
      <c r="T65" s="161"/>
      <c r="U65" s="161"/>
      <c r="V65" s="161"/>
      <c r="W65" s="12"/>
      <c r="Y65" s="441" t="s">
        <v>121</v>
      </c>
      <c r="Z65" s="1968" t="str">
        <f>IFERROR(VLOOKUP(Y65,__Company_Name_List,$AE$54,FALSE),"")</f>
        <v/>
      </c>
      <c r="AA65" s="1968"/>
      <c r="AB65" s="1968"/>
      <c r="AC65" s="1968"/>
      <c r="AD65" s="1969"/>
      <c r="BC65" s="441" t="s">
        <v>121</v>
      </c>
      <c r="BD65" s="1441"/>
      <c r="BE65" s="1968" t="str">
        <f>IFERROR(VLOOKUP(BC65,__Company_Name_List,$BJ$53,FALSE),"")</f>
        <v/>
      </c>
      <c r="BF65" s="1968"/>
      <c r="BG65" s="1968"/>
      <c r="BH65" s="1968"/>
      <c r="BI65" s="1969"/>
    </row>
    <row r="66" spans="2:61" ht="5.0999999999999996" customHeight="1">
      <c r="C66" s="154"/>
      <c r="D66" s="154"/>
      <c r="E66" s="154"/>
      <c r="F66" s="154"/>
      <c r="G66" s="154"/>
      <c r="H66" s="154"/>
      <c r="I66" s="154"/>
      <c r="J66" s="154"/>
      <c r="K66" s="154"/>
      <c r="L66" s="2"/>
      <c r="M66" s="2"/>
      <c r="BD66" s="1441"/>
    </row>
    <row r="67" spans="2:61">
      <c r="C67" s="154"/>
      <c r="D67" s="154"/>
      <c r="E67" s="154"/>
      <c r="F67" s="154"/>
      <c r="G67" s="154"/>
      <c r="H67" s="154"/>
      <c r="I67" s="154"/>
      <c r="J67" s="154"/>
      <c r="K67" s="154"/>
      <c r="L67" s="2"/>
      <c r="M67" s="2"/>
      <c r="Y67" s="441" t="s">
        <v>171</v>
      </c>
      <c r="Z67" s="1968" t="str">
        <f>IFERROR(VLOOKUP(Y67,__Company_Name_List,$AE$54,FALSE),"")</f>
        <v/>
      </c>
      <c r="AA67" s="1968"/>
      <c r="AB67" s="1968"/>
      <c r="AC67" s="1968"/>
      <c r="AD67" s="1969"/>
      <c r="BC67" s="441" t="s">
        <v>171</v>
      </c>
      <c r="BD67" s="1441"/>
      <c r="BE67" s="1968" t="str">
        <f>IFERROR(VLOOKUP(BC67,__Company_Name_List,$BJ$53,FALSE),"")</f>
        <v/>
      </c>
      <c r="BF67" s="1968"/>
      <c r="BG67" s="1968"/>
      <c r="BH67" s="1968"/>
      <c r="BI67" s="1969"/>
    </row>
    <row r="68" spans="2:61" ht="5.0999999999999996" customHeight="1">
      <c r="C68" s="154"/>
      <c r="D68" s="154"/>
      <c r="E68" s="154"/>
      <c r="F68" s="154"/>
      <c r="G68" s="154"/>
      <c r="H68" s="154"/>
      <c r="I68" s="154"/>
      <c r="J68" s="154"/>
      <c r="K68" s="154"/>
      <c r="L68" s="2"/>
      <c r="M68" s="2"/>
      <c r="Y68" s="181"/>
      <c r="Z68" s="182"/>
      <c r="AA68" s="182"/>
      <c r="AB68" s="182"/>
      <c r="AC68" s="182"/>
      <c r="AD68" s="182"/>
      <c r="BC68" s="193"/>
      <c r="BD68" s="1441"/>
      <c r="BE68" s="182"/>
      <c r="BF68" s="182"/>
      <c r="BG68" s="182"/>
      <c r="BH68" s="182"/>
      <c r="BI68" s="182"/>
    </row>
    <row r="69" spans="2:61">
      <c r="C69" s="154"/>
      <c r="D69" s="154"/>
      <c r="E69" s="154"/>
      <c r="F69" s="154"/>
      <c r="G69" s="154"/>
      <c r="H69" s="154"/>
      <c r="I69" s="154"/>
      <c r="J69" s="154"/>
      <c r="K69" s="154"/>
      <c r="L69" s="2"/>
      <c r="M69" s="2"/>
      <c r="Y69" s="441" t="s">
        <v>129</v>
      </c>
      <c r="Z69" s="1968" t="str">
        <f>IFERROR(VLOOKUP(Y69,__Company_Name_List,$AE$54,FALSE),"")</f>
        <v/>
      </c>
      <c r="AA69" s="1968"/>
      <c r="AB69" s="1968"/>
      <c r="AC69" s="1968"/>
      <c r="AD69" s="1969"/>
      <c r="BC69" s="441" t="s">
        <v>496</v>
      </c>
      <c r="BD69" s="1441"/>
      <c r="BE69" s="1968" t="str">
        <f>IFERROR(VLOOKUP(BC69,__Company_Name_List,$BJ$53,FALSE),"")</f>
        <v/>
      </c>
      <c r="BF69" s="1968"/>
      <c r="BG69" s="1968"/>
      <c r="BH69" s="1968"/>
      <c r="BI69" s="1969"/>
    </row>
    <row r="70" spans="2:61" ht="5.0999999999999996" customHeight="1">
      <c r="C70" s="154"/>
      <c r="D70" s="154"/>
      <c r="E70" s="154"/>
      <c r="F70" s="154"/>
      <c r="G70" s="154"/>
      <c r="H70" s="154"/>
      <c r="I70" s="154"/>
      <c r="J70" s="154"/>
      <c r="K70" s="154"/>
      <c r="L70" s="2"/>
      <c r="M70" s="2"/>
      <c r="Y70" s="181"/>
      <c r="Z70" s="182"/>
      <c r="AA70" s="182"/>
      <c r="AB70" s="182"/>
      <c r="AC70" s="182"/>
      <c r="AD70" s="182"/>
      <c r="BC70" s="193"/>
      <c r="BD70" s="1441"/>
      <c r="BE70" s="182"/>
      <c r="BF70" s="182"/>
      <c r="BG70" s="182"/>
      <c r="BH70" s="182"/>
      <c r="BI70" s="182"/>
    </row>
    <row r="71" spans="2:61">
      <c r="C71" s="154"/>
      <c r="D71" s="154"/>
      <c r="E71" s="154"/>
      <c r="F71" s="154"/>
      <c r="G71" s="154"/>
      <c r="H71" s="154"/>
      <c r="I71" s="154"/>
      <c r="J71" s="154"/>
      <c r="K71" s="154"/>
      <c r="L71" s="2"/>
      <c r="M71" s="2"/>
      <c r="W71" s="976"/>
      <c r="Y71" s="441" t="s">
        <v>131</v>
      </c>
      <c r="Z71" s="1968" t="str">
        <f>IFERROR(VLOOKUP(Y71,__Company_Name_List,$AE$54,FALSE),"")</f>
        <v/>
      </c>
      <c r="AA71" s="1968"/>
      <c r="AB71" s="1968"/>
      <c r="AC71" s="1968"/>
      <c r="AD71" s="1969"/>
      <c r="BC71" s="441" t="s">
        <v>131</v>
      </c>
      <c r="BD71" s="1441"/>
      <c r="BE71" s="1968" t="str">
        <f>IFERROR(VLOOKUP(BC71,__Company_Name_List,$BJ$53,FALSE),"")</f>
        <v/>
      </c>
      <c r="BF71" s="1968"/>
      <c r="BG71" s="1968"/>
      <c r="BH71" s="1968"/>
      <c r="BI71" s="1969"/>
    </row>
    <row r="72" spans="2:61" ht="5.0999999999999996" customHeight="1">
      <c r="C72" s="154"/>
      <c r="D72" s="154"/>
      <c r="E72" s="154"/>
      <c r="F72" s="154"/>
      <c r="G72" s="154"/>
      <c r="H72" s="154"/>
      <c r="I72" s="154"/>
      <c r="J72" s="154"/>
      <c r="K72" s="154"/>
      <c r="L72" s="2"/>
      <c r="M72" s="2"/>
      <c r="R72" s="178"/>
      <c r="S72" s="178"/>
      <c r="T72" s="178"/>
      <c r="U72" s="178"/>
      <c r="V72" s="178"/>
      <c r="W72" s="178"/>
      <c r="Y72" s="178"/>
      <c r="Z72" s="694"/>
      <c r="AA72" s="694"/>
      <c r="AB72" s="694"/>
      <c r="AC72" s="694"/>
      <c r="AD72" s="694"/>
      <c r="BC72" s="192"/>
      <c r="BD72" s="1441"/>
      <c r="BE72" s="694"/>
      <c r="BF72" s="694"/>
      <c r="BG72" s="694"/>
      <c r="BH72" s="694"/>
      <c r="BI72" s="694"/>
    </row>
    <row r="73" spans="2:61">
      <c r="C73" s="154"/>
      <c r="D73" s="154"/>
      <c r="E73" s="154"/>
      <c r="F73" s="154"/>
      <c r="G73" s="154"/>
      <c r="H73" s="154"/>
      <c r="I73" s="154"/>
      <c r="J73" s="154"/>
      <c r="K73" s="154"/>
      <c r="L73" s="2"/>
      <c r="M73" s="2"/>
      <c r="W73" s="977"/>
      <c r="Y73" s="441" t="s">
        <v>134</v>
      </c>
      <c r="Z73" s="183" t="str">
        <f>IFERROR(VLOOKUP(Y73,__Company_Name_List,$AE$54,FALSE),"")</f>
        <v/>
      </c>
      <c r="AB73" s="441" t="s">
        <v>137</v>
      </c>
      <c r="AC73" s="1970" t="str">
        <f>IFERROR(VLOOKUP(AB73,__Company_Name_List,$AE$54,FALSE),"")</f>
        <v/>
      </c>
      <c r="AD73" s="1971"/>
      <c r="BC73" s="441" t="s">
        <v>134</v>
      </c>
      <c r="BD73" s="1441"/>
      <c r="BE73" s="183" t="str">
        <f>IFERROR(VLOOKUP(BC73,__Company_Name_List,$BJ$53,FALSE),"")</f>
        <v/>
      </c>
      <c r="BG73" s="441" t="s">
        <v>136</v>
      </c>
      <c r="BH73" s="1970" t="str">
        <f>IFERROR(VLOOKUP(BG73,__Company_Name_List,$BJ$53,FALSE),"")</f>
        <v/>
      </c>
      <c r="BI73" s="1971"/>
    </row>
    <row r="74" spans="2:61">
      <c r="C74" s="154"/>
      <c r="D74" s="154"/>
      <c r="E74" s="154"/>
      <c r="F74" s="154"/>
      <c r="G74" s="154"/>
      <c r="H74" s="154"/>
      <c r="I74" s="154"/>
      <c r="J74" s="154"/>
      <c r="K74" s="154"/>
      <c r="L74" s="2"/>
      <c r="M74" s="2"/>
    </row>
    <row r="75" spans="2:61">
      <c r="C75" s="1332" t="s">
        <v>497</v>
      </c>
      <c r="D75" s="1333"/>
      <c r="E75" s="1333"/>
      <c r="F75" s="1333"/>
      <c r="G75" s="1333"/>
      <c r="H75" s="1333"/>
      <c r="I75" s="1333"/>
      <c r="J75" s="1333"/>
      <c r="K75" s="1333"/>
      <c r="L75" s="1333"/>
      <c r="M75" s="1333"/>
      <c r="N75" s="1333"/>
      <c r="O75" s="1333"/>
      <c r="P75" s="1333"/>
      <c r="Q75" s="1333"/>
      <c r="R75" s="1333"/>
      <c r="S75" s="1333"/>
      <c r="T75" s="1333"/>
      <c r="U75" s="1333"/>
      <c r="V75" s="1333"/>
      <c r="W75" s="1333"/>
      <c r="X75" s="1333"/>
      <c r="Y75" s="1333"/>
      <c r="Z75" s="1333"/>
      <c r="AA75" s="1333"/>
      <c r="AB75" s="1333"/>
      <c r="AC75" s="1333"/>
      <c r="AD75" s="1333"/>
      <c r="AE75" s="1333"/>
      <c r="AF75" s="1333"/>
      <c r="AG75" s="1333"/>
      <c r="AH75" s="1333"/>
      <c r="AI75" s="1333"/>
      <c r="AJ75" s="1333"/>
      <c r="AK75" s="1333"/>
      <c r="AL75" s="1333"/>
    </row>
    <row r="76" spans="2:61" ht="14.95" customHeight="1">
      <c r="AB76" s="398"/>
      <c r="AC76" s="398"/>
      <c r="AD76" s="398"/>
      <c r="AE76" s="398"/>
      <c r="AF76" s="398"/>
      <c r="AG76" s="398"/>
      <c r="AH76" s="398"/>
      <c r="AI76" s="398"/>
      <c r="AJ76" s="398"/>
      <c r="AK76" s="398"/>
      <c r="AL76" s="398"/>
      <c r="AX76" s="347" t="s">
        <v>498</v>
      </c>
    </row>
    <row r="77" spans="2:61" ht="14.95" customHeight="1">
      <c r="C77" s="2" t="s">
        <v>499</v>
      </c>
      <c r="AB77" s="398"/>
      <c r="AC77" s="398"/>
      <c r="AD77" s="398"/>
      <c r="AE77" s="398"/>
      <c r="AF77" s="398"/>
      <c r="AG77" s="398"/>
      <c r="AH77" s="398"/>
      <c r="AI77" s="398"/>
      <c r="AJ77" s="398"/>
      <c r="AK77" s="398"/>
      <c r="AL77" s="398"/>
    </row>
    <row r="78" spans="2:61" ht="14.95" customHeight="1">
      <c r="C78" t="s">
        <v>500</v>
      </c>
      <c r="AB78" s="398"/>
      <c r="AC78" s="398"/>
      <c r="AD78" s="398"/>
      <c r="AE78" s="398"/>
      <c r="AF78" s="398"/>
      <c r="AG78" s="398"/>
      <c r="AH78" s="398"/>
      <c r="AI78" s="398"/>
      <c r="AJ78" s="398"/>
      <c r="AK78" s="398"/>
      <c r="AL78" s="398"/>
    </row>
    <row r="79" spans="2:61" ht="14.95" customHeight="1">
      <c r="C79" s="2"/>
      <c r="AB79" s="398"/>
      <c r="AC79" s="398"/>
      <c r="AD79" s="398"/>
      <c r="AE79" s="398"/>
      <c r="AF79" s="398"/>
      <c r="AG79" s="398"/>
      <c r="AH79" s="398"/>
      <c r="AI79" s="398"/>
      <c r="AJ79" s="398"/>
      <c r="AK79" s="398"/>
      <c r="AL79" s="398"/>
    </row>
    <row r="80" spans="2:61" ht="14.95" customHeight="1">
      <c r="C80" s="1433" t="s">
        <v>501</v>
      </c>
      <c r="D80" s="1433"/>
      <c r="E80" s="1433"/>
      <c r="F80" s="1433"/>
      <c r="G80" s="1433"/>
      <c r="H80" s="1433"/>
      <c r="I80" s="1433"/>
      <c r="J80" s="1433"/>
      <c r="K80" s="1433"/>
      <c r="L80" s="1433"/>
      <c r="M80" s="1433"/>
      <c r="N80" s="1433"/>
      <c r="O80" s="1433"/>
      <c r="P80" s="1433"/>
      <c r="Q80" s="1433"/>
      <c r="R80" s="1433"/>
      <c r="S80" s="1433"/>
      <c r="T80" s="1433"/>
      <c r="U80" s="1433"/>
      <c r="V80" s="1433"/>
      <c r="W80" s="1433"/>
      <c r="X80" s="1433"/>
      <c r="Y80" s="1433"/>
      <c r="Z80" s="1433"/>
      <c r="AA80" s="1433"/>
      <c r="AB80" s="1433"/>
      <c r="AC80" s="1433"/>
      <c r="AD80" s="1433"/>
      <c r="AE80" s="1433"/>
      <c r="AF80" s="1433"/>
      <c r="AG80" s="1433"/>
      <c r="AH80" s="1433"/>
      <c r="AI80" s="1433"/>
      <c r="AJ80" s="1433"/>
      <c r="AK80" s="1433"/>
      <c r="AL80" s="1433"/>
    </row>
    <row r="81" spans="3:50" ht="14.95" customHeight="1">
      <c r="C81" s="1433"/>
      <c r="D81" s="1433"/>
      <c r="E81" s="1433"/>
      <c r="F81" s="1433"/>
      <c r="G81" s="1433"/>
      <c r="H81" s="1433"/>
      <c r="I81" s="1433"/>
      <c r="J81" s="1433"/>
      <c r="K81" s="1433"/>
      <c r="L81" s="1433"/>
      <c r="M81" s="1433"/>
      <c r="N81" s="1433"/>
      <c r="O81" s="1433"/>
      <c r="P81" s="1433"/>
      <c r="Q81" s="1433"/>
      <c r="R81" s="1433"/>
      <c r="S81" s="1433"/>
      <c r="T81" s="1433"/>
      <c r="U81" s="1433"/>
      <c r="V81" s="1433"/>
      <c r="W81" s="1433"/>
      <c r="X81" s="1433"/>
      <c r="Y81" s="1433"/>
      <c r="Z81" s="1433"/>
      <c r="AA81" s="1433"/>
      <c r="AB81" s="1433"/>
      <c r="AC81" s="1433"/>
      <c r="AD81" s="1433"/>
      <c r="AE81" s="1433"/>
      <c r="AF81" s="1433"/>
      <c r="AG81" s="1433"/>
      <c r="AH81" s="1433"/>
      <c r="AI81" s="1433"/>
      <c r="AJ81" s="1433"/>
      <c r="AK81" s="1433"/>
      <c r="AL81" s="1433"/>
    </row>
    <row r="82" spans="3:50" ht="14.95" customHeight="1">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L82" s="1433"/>
    </row>
    <row r="83" spans="3:50" ht="14.95" customHeight="1">
      <c r="C83" s="1433"/>
      <c r="D83" s="1433"/>
      <c r="E83" s="1433"/>
      <c r="F83" s="1433"/>
      <c r="G83" s="1433"/>
      <c r="H83" s="1433"/>
      <c r="I83" s="1433"/>
      <c r="J83" s="1433"/>
      <c r="K83" s="1433"/>
      <c r="L83" s="1433"/>
      <c r="M83" s="1433"/>
      <c r="N83" s="1433"/>
      <c r="O83" s="1433"/>
      <c r="P83" s="1433"/>
      <c r="Q83" s="1433"/>
      <c r="R83" s="1433"/>
      <c r="S83" s="1433"/>
      <c r="T83" s="1433"/>
      <c r="U83" s="1433"/>
      <c r="V83" s="1433"/>
      <c r="W83" s="1433"/>
      <c r="X83" s="1433"/>
      <c r="Y83" s="1433"/>
      <c r="Z83" s="1433"/>
      <c r="AA83" s="1433"/>
      <c r="AB83" s="1433"/>
      <c r="AC83" s="1433"/>
      <c r="AD83" s="1433"/>
      <c r="AE83" s="1433"/>
      <c r="AF83" s="1433"/>
      <c r="AG83" s="1433"/>
      <c r="AH83" s="1433"/>
      <c r="AI83" s="1433"/>
      <c r="AJ83" s="1433"/>
      <c r="AK83" s="1433"/>
      <c r="AL83" s="1433"/>
    </row>
    <row r="84" spans="3:50" ht="14.95" customHeight="1">
      <c r="C84" s="1433"/>
      <c r="D84" s="1433"/>
      <c r="E84" s="1433"/>
      <c r="F84" s="1433"/>
      <c r="G84" s="1433"/>
      <c r="H84" s="1433"/>
      <c r="I84" s="1433"/>
      <c r="J84" s="1433"/>
      <c r="K84" s="1433"/>
      <c r="L84" s="1433"/>
      <c r="M84" s="1433"/>
      <c r="N84" s="1433"/>
      <c r="O84" s="1433"/>
      <c r="P84" s="1433"/>
      <c r="Q84" s="1433"/>
      <c r="R84" s="1433"/>
      <c r="S84" s="1433"/>
      <c r="T84" s="1433"/>
      <c r="U84" s="1433"/>
      <c r="V84" s="1433"/>
      <c r="W84" s="1433"/>
      <c r="X84" s="1433"/>
      <c r="Y84" s="1433"/>
      <c r="Z84" s="1433"/>
      <c r="AA84" s="1433"/>
      <c r="AB84" s="1433"/>
      <c r="AC84" s="1433"/>
      <c r="AD84" s="1433"/>
      <c r="AE84" s="1433"/>
      <c r="AF84" s="1433"/>
      <c r="AG84" s="1433"/>
      <c r="AH84" s="1433"/>
      <c r="AI84" s="1433"/>
      <c r="AJ84" s="1433"/>
      <c r="AK84" s="1433"/>
      <c r="AL84" s="1433"/>
    </row>
    <row r="85" spans="3:50" ht="14.95" customHeight="1">
      <c r="C85" s="2"/>
      <c r="AB85" s="398"/>
      <c r="AC85" s="398"/>
      <c r="AD85" s="398"/>
      <c r="AE85" s="398"/>
      <c r="AF85" s="398"/>
      <c r="AG85" s="398"/>
      <c r="AH85" s="398"/>
      <c r="AI85" s="398"/>
      <c r="AJ85" s="398"/>
      <c r="AK85" s="398"/>
      <c r="AL85" s="398"/>
    </row>
    <row r="86" spans="3:50" ht="14.95" customHeight="1">
      <c r="C86" s="1991" t="str">
        <f>Lookup!M26</f>
        <v/>
      </c>
      <c r="D86" s="1991"/>
      <c r="E86" s="1991"/>
      <c r="F86" s="1991"/>
      <c r="G86" s="1991"/>
      <c r="H86" s="1991"/>
      <c r="I86" s="1991"/>
      <c r="J86" s="1991"/>
      <c r="K86" s="1991"/>
      <c r="L86" s="1991"/>
      <c r="M86" s="1991"/>
      <c r="N86" s="1991"/>
      <c r="O86" s="1991"/>
      <c r="P86" s="1991"/>
      <c r="Q86" s="1991"/>
      <c r="R86" s="1991"/>
      <c r="S86" s="1991"/>
      <c r="T86" s="1991"/>
      <c r="U86" s="1991"/>
      <c r="V86" s="1991"/>
      <c r="W86" s="1991"/>
      <c r="X86" s="1991"/>
      <c r="Y86" s="1991"/>
      <c r="Z86" s="1991"/>
      <c r="AA86" s="1991"/>
      <c r="AB86" s="1991"/>
      <c r="AC86" s="1991"/>
      <c r="AD86" s="1991"/>
      <c r="AE86" s="1991"/>
      <c r="AF86" s="1991"/>
      <c r="AG86" s="1991"/>
      <c r="AH86" s="1991"/>
      <c r="AI86" s="1991"/>
      <c r="AJ86" s="1991"/>
      <c r="AK86" s="1991"/>
      <c r="AL86" s="1991"/>
    </row>
    <row r="87" spans="3:50" ht="14.95" customHeight="1">
      <c r="C87" s="2"/>
      <c r="AB87" s="398"/>
      <c r="AC87" s="398"/>
      <c r="AD87" s="398"/>
      <c r="AE87" s="398"/>
      <c r="AF87" s="398"/>
      <c r="AG87" s="398"/>
      <c r="AH87" s="398"/>
      <c r="AI87" s="398"/>
      <c r="AJ87" s="398"/>
      <c r="AK87" s="398"/>
      <c r="AL87" s="398"/>
    </row>
    <row r="88" spans="3:50" ht="14.95" customHeight="1">
      <c r="C88" s="1183"/>
      <c r="D88" s="1218" t="s">
        <v>502</v>
      </c>
      <c r="E88" s="1219"/>
      <c r="F88" s="1219"/>
      <c r="G88" s="1219"/>
      <c r="H88" s="1219"/>
      <c r="I88" s="1219"/>
      <c r="J88" s="1219"/>
      <c r="K88" s="1219"/>
      <c r="L88" s="1219"/>
      <c r="M88" s="1219"/>
      <c r="N88" s="1219"/>
      <c r="O88" s="1219"/>
      <c r="P88" s="1219"/>
      <c r="Q88" s="1219"/>
      <c r="R88" s="1219"/>
      <c r="S88" s="1184"/>
      <c r="V88" s="1183"/>
      <c r="W88" s="1218" t="s">
        <v>503</v>
      </c>
      <c r="X88" s="1219"/>
      <c r="Y88" s="1219"/>
      <c r="Z88" s="1219"/>
      <c r="AA88" s="1219"/>
      <c r="AB88" s="1219"/>
      <c r="AC88" s="1220"/>
      <c r="AD88" s="1220"/>
      <c r="AE88" s="1220"/>
      <c r="AF88" s="1220"/>
      <c r="AG88" s="1220"/>
      <c r="AH88" s="1220"/>
      <c r="AI88" s="1220"/>
      <c r="AJ88" s="1220"/>
      <c r="AK88" s="1220"/>
      <c r="AL88" s="1189"/>
      <c r="AM88" s="398"/>
    </row>
    <row r="89" spans="3:50" ht="14.95" customHeight="1">
      <c r="C89" s="1185"/>
      <c r="D89" s="1990" t="s">
        <v>504</v>
      </c>
      <c r="E89" s="1990"/>
      <c r="F89" s="1990"/>
      <c r="G89" s="1990"/>
      <c r="H89" s="1990"/>
      <c r="I89" s="1990"/>
      <c r="J89" s="1990"/>
      <c r="K89" s="1990"/>
      <c r="L89" s="1990"/>
      <c r="M89" s="1990"/>
      <c r="N89" s="1990"/>
      <c r="O89" s="1990"/>
      <c r="P89" s="1990"/>
      <c r="Q89" s="1990"/>
      <c r="R89" s="1990"/>
      <c r="S89" s="1186"/>
      <c r="V89" s="1185"/>
      <c r="W89" s="1" t="s">
        <v>505</v>
      </c>
      <c r="X89" s="1"/>
      <c r="Y89" s="1"/>
      <c r="Z89" s="1"/>
      <c r="AA89" s="1"/>
      <c r="AB89" s="1"/>
      <c r="AC89" s="1190"/>
      <c r="AD89" s="1190"/>
      <c r="AE89" s="1190"/>
      <c r="AF89" s="1190"/>
      <c r="AG89" s="1190"/>
      <c r="AH89" s="1190"/>
      <c r="AI89" s="1190"/>
      <c r="AJ89" s="1190"/>
      <c r="AK89" s="1190"/>
      <c r="AL89" s="1191"/>
      <c r="AM89" s="398"/>
    </row>
    <row r="90" spans="3:50" ht="14.95" customHeight="1">
      <c r="C90" s="1185"/>
      <c r="D90" s="1990"/>
      <c r="E90" s="1990"/>
      <c r="F90" s="1990"/>
      <c r="G90" s="1990"/>
      <c r="H90" s="1990"/>
      <c r="I90" s="1990"/>
      <c r="J90" s="1990"/>
      <c r="K90" s="1990"/>
      <c r="L90" s="1990"/>
      <c r="M90" s="1990"/>
      <c r="N90" s="1990"/>
      <c r="O90" s="1990"/>
      <c r="P90" s="1990"/>
      <c r="Q90" s="1990"/>
      <c r="R90" s="1990"/>
      <c r="S90" s="1186"/>
      <c r="V90" s="1185"/>
      <c r="W90" s="1" t="s">
        <v>506</v>
      </c>
      <c r="X90" s="1"/>
      <c r="Y90" s="1"/>
      <c r="Z90" s="1"/>
      <c r="AA90" s="1"/>
      <c r="AB90" s="1"/>
      <c r="AC90" s="1190"/>
      <c r="AD90" s="1190"/>
      <c r="AE90" s="1190"/>
      <c r="AF90" s="1190"/>
      <c r="AG90" s="1190"/>
      <c r="AH90" s="1190"/>
      <c r="AI90" s="1190"/>
      <c r="AJ90" s="1190"/>
      <c r="AK90" s="1190"/>
      <c r="AL90" s="1191"/>
      <c r="AM90" s="398"/>
    </row>
    <row r="91" spans="3:50" ht="14.3" customHeight="1">
      <c r="C91" s="1185"/>
      <c r="D91" s="1187"/>
      <c r="E91" s="1187"/>
      <c r="F91" s="1187"/>
      <c r="G91" s="1187"/>
      <c r="H91" s="1187"/>
      <c r="I91" s="1187"/>
      <c r="J91" s="1187"/>
      <c r="K91" s="1187"/>
      <c r="L91" s="1187"/>
      <c r="M91" s="1187"/>
      <c r="N91" s="1187"/>
      <c r="O91" s="1187"/>
      <c r="P91" s="1187"/>
      <c r="Q91" s="1187"/>
      <c r="R91" s="1187"/>
      <c r="S91" s="1188"/>
      <c r="T91" s="161"/>
      <c r="U91" s="161"/>
      <c r="V91" s="1192"/>
      <c r="W91" s="1187"/>
      <c r="X91" s="1187"/>
      <c r="Y91" s="1187"/>
      <c r="Z91" s="1187"/>
      <c r="AA91" s="1190"/>
      <c r="AB91" s="1190"/>
      <c r="AC91" s="1190"/>
      <c r="AD91" s="1190"/>
      <c r="AE91" s="1190"/>
      <c r="AF91" s="1190"/>
      <c r="AG91" s="1190"/>
      <c r="AH91" s="1190"/>
      <c r="AI91" s="1190"/>
      <c r="AJ91" s="1190"/>
      <c r="AK91" s="1190"/>
      <c r="AL91" s="1191"/>
      <c r="AM91" s="398"/>
      <c r="AX91" s="347"/>
    </row>
    <row r="92" spans="3:50" ht="14.3" customHeight="1">
      <c r="C92" s="1192"/>
      <c r="D92" s="1187"/>
      <c r="E92" s="1187"/>
      <c r="F92" s="1187"/>
      <c r="G92" s="1187"/>
      <c r="H92" s="1187"/>
      <c r="I92" s="1187"/>
      <c r="J92" s="1"/>
      <c r="K92" s="1986" t="str">
        <f>K95</f>
        <v/>
      </c>
      <c r="L92" s="1986"/>
      <c r="M92" s="1986"/>
      <c r="N92" s="1986"/>
      <c r="O92" s="1986"/>
      <c r="P92" s="1986"/>
      <c r="Q92" s="1986"/>
      <c r="R92" s="1987"/>
      <c r="S92" s="1188"/>
      <c r="T92" s="161"/>
      <c r="U92" s="161"/>
      <c r="V92" s="1185"/>
      <c r="W92" s="1"/>
      <c r="X92" s="1"/>
      <c r="Y92" s="1"/>
      <c r="Z92" s="1"/>
      <c r="AA92" s="1"/>
      <c r="AB92" s="1"/>
      <c r="AC92" s="1"/>
      <c r="AD92" s="1986" t="str">
        <f>IF(AD95="","",AD95)</f>
        <v/>
      </c>
      <c r="AE92" s="1986"/>
      <c r="AF92" s="1986"/>
      <c r="AG92" s="1986"/>
      <c r="AH92" s="1986"/>
      <c r="AI92" s="1986"/>
      <c r="AJ92" s="1986"/>
      <c r="AK92" s="1987"/>
      <c r="AL92" s="1186"/>
    </row>
    <row r="93" spans="3:50" ht="14.3" customHeight="1">
      <c r="C93" s="1192"/>
      <c r="D93" s="1187"/>
      <c r="E93" s="1187"/>
      <c r="F93" s="1187"/>
      <c r="G93" s="1187"/>
      <c r="H93" s="1187"/>
      <c r="I93" s="1187"/>
      <c r="J93" s="1196"/>
      <c r="K93" s="1988"/>
      <c r="L93" s="1988"/>
      <c r="M93" s="1988"/>
      <c r="N93" s="1988"/>
      <c r="O93" s="1988"/>
      <c r="P93" s="1988"/>
      <c r="Q93" s="1988"/>
      <c r="R93" s="1989"/>
      <c r="S93" s="1188"/>
      <c r="T93" s="161"/>
      <c r="U93" s="161"/>
      <c r="V93" s="1185"/>
      <c r="W93" s="1"/>
      <c r="X93" s="1"/>
      <c r="Y93" s="1"/>
      <c r="Z93" s="1"/>
      <c r="AA93" s="1"/>
      <c r="AB93" s="1"/>
      <c r="AC93" s="1"/>
      <c r="AD93" s="1988"/>
      <c r="AE93" s="1988"/>
      <c r="AF93" s="1988"/>
      <c r="AG93" s="1988"/>
      <c r="AH93" s="1988"/>
      <c r="AI93" s="1988"/>
      <c r="AJ93" s="1988"/>
      <c r="AK93" s="1989"/>
      <c r="AL93" s="1186"/>
    </row>
    <row r="94" spans="3:50" ht="5.0999999999999996" customHeight="1">
      <c r="C94" s="1192"/>
      <c r="D94" s="1187"/>
      <c r="E94" s="1187"/>
      <c r="F94" s="1187"/>
      <c r="G94" s="1187"/>
      <c r="H94" s="1187"/>
      <c r="I94" s="1187"/>
      <c r="J94" s="1"/>
      <c r="K94" s="1"/>
      <c r="L94" s="1"/>
      <c r="M94" s="1"/>
      <c r="N94" s="1"/>
      <c r="O94" s="1"/>
      <c r="P94" s="1"/>
      <c r="Q94" s="1"/>
      <c r="R94" s="1"/>
      <c r="S94" s="1188"/>
      <c r="T94" s="161"/>
      <c r="U94" s="161"/>
      <c r="V94" s="1192"/>
      <c r="W94" s="1187"/>
      <c r="X94" s="1187"/>
      <c r="Y94" s="1187"/>
      <c r="Z94" s="1187"/>
      <c r="AA94" s="1187"/>
      <c r="AB94" s="1"/>
      <c r="AC94" s="1"/>
      <c r="AD94" s="1"/>
      <c r="AE94" s="1"/>
      <c r="AF94" s="1"/>
      <c r="AG94" s="1"/>
      <c r="AH94" s="1"/>
      <c r="AI94" s="1"/>
      <c r="AJ94" s="1"/>
      <c r="AK94" s="1"/>
      <c r="AL94" s="1186"/>
    </row>
    <row r="95" spans="3:50">
      <c r="C95" s="1192"/>
      <c r="D95" s="1187"/>
      <c r="E95" s="1187"/>
      <c r="F95" s="1187"/>
      <c r="G95" s="1187"/>
      <c r="H95" s="1187"/>
      <c r="I95" s="1187"/>
      <c r="J95" s="1196" t="s">
        <v>182</v>
      </c>
      <c r="K95" s="1978" t="str">
        <f>Project!H83</f>
        <v/>
      </c>
      <c r="L95" s="1978"/>
      <c r="M95" s="1978"/>
      <c r="N95" s="1978"/>
      <c r="O95" s="1978"/>
      <c r="P95" s="1978"/>
      <c r="Q95" s="1978"/>
      <c r="R95" s="1979"/>
      <c r="S95" s="1188"/>
      <c r="T95" s="161"/>
      <c r="U95" s="161"/>
      <c r="V95" s="1192"/>
      <c r="W95" s="1187"/>
      <c r="X95" s="1187"/>
      <c r="Y95" s="1187"/>
      <c r="Z95" s="1187"/>
      <c r="AA95" s="1187"/>
      <c r="AB95" s="1"/>
      <c r="AC95" s="1196" t="s">
        <v>507</v>
      </c>
      <c r="AD95" s="1978"/>
      <c r="AE95" s="1978"/>
      <c r="AF95" s="1978"/>
      <c r="AG95" s="1978"/>
      <c r="AH95" s="1978"/>
      <c r="AI95" s="1978"/>
      <c r="AJ95" s="1978"/>
      <c r="AK95" s="1979"/>
      <c r="AL95" s="1186"/>
    </row>
    <row r="96" spans="3:50" ht="5.0999999999999996" customHeight="1">
      <c r="C96" s="1192"/>
      <c r="D96" s="1187"/>
      <c r="E96" s="1187"/>
      <c r="F96" s="1187"/>
      <c r="G96" s="1187"/>
      <c r="H96" s="1187"/>
      <c r="I96" s="1187"/>
      <c r="J96" s="1"/>
      <c r="K96" s="1"/>
      <c r="L96" s="1"/>
      <c r="M96" s="1"/>
      <c r="N96" s="1"/>
      <c r="O96" s="1"/>
      <c r="P96" s="1"/>
      <c r="Q96" s="1"/>
      <c r="R96" s="1"/>
      <c r="S96" s="1188"/>
      <c r="T96" s="161"/>
      <c r="U96" s="161"/>
      <c r="V96" s="1192"/>
      <c r="W96" s="1187"/>
      <c r="X96" s="1"/>
      <c r="Y96" s="1"/>
      <c r="Z96" s="1"/>
      <c r="AA96" s="1"/>
      <c r="AB96" s="1"/>
      <c r="AC96" s="1"/>
      <c r="AD96" s="1"/>
      <c r="AE96" s="1"/>
      <c r="AF96" s="1"/>
      <c r="AG96" s="1"/>
      <c r="AH96" s="1"/>
      <c r="AI96" s="1"/>
      <c r="AJ96" s="1"/>
      <c r="AK96" s="1"/>
      <c r="AL96" s="1186"/>
    </row>
    <row r="97" spans="3:40">
      <c r="C97" s="1192"/>
      <c r="D97" s="1187"/>
      <c r="E97" s="1187"/>
      <c r="F97" s="1187"/>
      <c r="G97" s="1187"/>
      <c r="H97" s="1187"/>
      <c r="I97" s="1187"/>
      <c r="J97" s="1196" t="s">
        <v>180</v>
      </c>
      <c r="K97" s="1978" t="str">
        <f>Project!H81</f>
        <v/>
      </c>
      <c r="L97" s="1978"/>
      <c r="M97" s="1978"/>
      <c r="N97" s="1978"/>
      <c r="O97" s="1978"/>
      <c r="P97" s="1978"/>
      <c r="Q97" s="1978"/>
      <c r="R97" s="1979"/>
      <c r="S97" s="1188"/>
      <c r="T97" s="161"/>
      <c r="U97" s="161"/>
      <c r="V97" s="1192"/>
      <c r="W97" s="1187"/>
      <c r="X97" s="1"/>
      <c r="Y97" s="1"/>
      <c r="Z97" s="1"/>
      <c r="AA97" s="1"/>
      <c r="AB97" s="1"/>
      <c r="AC97" s="1196" t="s">
        <v>180</v>
      </c>
      <c r="AD97" s="1978">
        <f>Project!AK22</f>
        <v>0</v>
      </c>
      <c r="AE97" s="1978"/>
      <c r="AF97" s="1978"/>
      <c r="AG97" s="1978"/>
      <c r="AH97" s="1978"/>
      <c r="AI97" s="1978"/>
      <c r="AJ97" s="1978"/>
      <c r="AK97" s="1979"/>
      <c r="AL97" s="1186"/>
    </row>
    <row r="98" spans="3:40" ht="4.95" customHeight="1">
      <c r="C98" s="1192"/>
      <c r="D98" s="1187"/>
      <c r="E98" s="1187"/>
      <c r="F98" s="1187"/>
      <c r="G98" s="1187"/>
      <c r="H98" s="1187"/>
      <c r="I98" s="1187"/>
      <c r="J98" s="1196"/>
      <c r="K98" s="1"/>
      <c r="L98" s="1"/>
      <c r="M98" s="1"/>
      <c r="N98" s="1"/>
      <c r="O98" s="1"/>
      <c r="P98" s="1"/>
      <c r="Q98" s="1"/>
      <c r="R98" s="1"/>
      <c r="S98" s="1188"/>
      <c r="T98" s="161"/>
      <c r="U98" s="161"/>
      <c r="V98" s="1192"/>
      <c r="W98" s="1187"/>
      <c r="X98" s="1"/>
      <c r="Y98" s="1"/>
      <c r="Z98" s="1"/>
      <c r="AA98" s="1"/>
      <c r="AB98" s="1"/>
      <c r="AC98" s="1"/>
      <c r="AD98" s="1196"/>
      <c r="AE98" s="1"/>
      <c r="AF98" s="1"/>
      <c r="AG98" s="1"/>
      <c r="AH98" s="1"/>
      <c r="AI98" s="1"/>
      <c r="AJ98" s="1"/>
      <c r="AK98" s="1"/>
      <c r="AL98" s="1186"/>
    </row>
    <row r="99" spans="3:40">
      <c r="C99" s="1192"/>
      <c r="D99" s="1187"/>
      <c r="E99" s="1187"/>
      <c r="F99" s="1187"/>
      <c r="G99" s="1187"/>
      <c r="H99" s="1187"/>
      <c r="I99" s="1187"/>
      <c r="J99" s="1196" t="s">
        <v>183</v>
      </c>
      <c r="K99" s="1978" t="str">
        <f>Project!H85</f>
        <v/>
      </c>
      <c r="L99" s="1978"/>
      <c r="M99" s="1978"/>
      <c r="N99" s="1978"/>
      <c r="O99" s="1978"/>
      <c r="P99" s="1978"/>
      <c r="Q99" s="1978"/>
      <c r="R99" s="1979"/>
      <c r="S99" s="1188"/>
      <c r="T99" s="161"/>
      <c r="U99" s="161"/>
      <c r="V99" s="1192"/>
      <c r="W99" s="1187"/>
      <c r="X99" s="1"/>
      <c r="Y99" s="1"/>
      <c r="Z99" s="1"/>
      <c r="AA99" s="1"/>
      <c r="AB99" s="1"/>
      <c r="AC99" s="1196" t="s">
        <v>183</v>
      </c>
      <c r="AD99" s="1978">
        <f>Project!AK26</f>
        <v>0</v>
      </c>
      <c r="AE99" s="1978"/>
      <c r="AF99" s="1978"/>
      <c r="AG99" s="1978"/>
      <c r="AH99" s="1978"/>
      <c r="AI99" s="1978"/>
      <c r="AJ99" s="1978"/>
      <c r="AK99" s="1979"/>
      <c r="AL99" s="1186"/>
    </row>
    <row r="100" spans="3:40" ht="5.0999999999999996" customHeight="1">
      <c r="C100" s="1192"/>
      <c r="D100" s="1187"/>
      <c r="E100" s="1187"/>
      <c r="F100" s="1187"/>
      <c r="G100" s="1187"/>
      <c r="H100" s="1187"/>
      <c r="I100" s="1187"/>
      <c r="J100" s="1"/>
      <c r="K100" s="1"/>
      <c r="L100" s="1"/>
      <c r="M100" s="1"/>
      <c r="N100" s="1"/>
      <c r="O100" s="1"/>
      <c r="P100" s="1"/>
      <c r="Q100" s="1"/>
      <c r="R100" s="1"/>
      <c r="S100" s="1188"/>
      <c r="T100" s="161"/>
      <c r="U100" s="161"/>
      <c r="V100" s="1192"/>
      <c r="W100" s="1187"/>
      <c r="X100" s="1"/>
      <c r="Y100" s="1"/>
      <c r="Z100" s="1"/>
      <c r="AA100" s="1"/>
      <c r="AB100" s="1"/>
      <c r="AC100" s="1"/>
      <c r="AD100" s="1"/>
      <c r="AE100" s="1"/>
      <c r="AF100" s="1"/>
      <c r="AG100" s="1"/>
      <c r="AH100" s="1"/>
      <c r="AI100" s="1"/>
      <c r="AJ100" s="1"/>
      <c r="AK100" s="1"/>
      <c r="AL100" s="1186"/>
    </row>
    <row r="101" spans="3:40">
      <c r="C101" s="1192"/>
      <c r="D101" s="1187"/>
      <c r="E101" s="1187"/>
      <c r="F101" s="1187"/>
      <c r="G101" s="1187"/>
      <c r="H101" s="1187"/>
      <c r="I101" s="1187"/>
      <c r="J101" s="1196" t="s">
        <v>508</v>
      </c>
      <c r="K101" s="1984"/>
      <c r="L101" s="1984"/>
      <c r="M101" s="1984"/>
      <c r="N101" s="1984"/>
      <c r="O101" s="1984"/>
      <c r="P101" s="1984"/>
      <c r="Q101" s="1984"/>
      <c r="R101" s="1985"/>
      <c r="S101" s="1188"/>
      <c r="T101" s="161"/>
      <c r="U101" s="161"/>
      <c r="V101" s="1192"/>
      <c r="W101" s="1187"/>
      <c r="X101" s="1"/>
      <c r="Y101" s="1"/>
      <c r="Z101" s="1"/>
      <c r="AA101" s="1"/>
      <c r="AB101" s="1"/>
      <c r="AC101" s="1196" t="s">
        <v>508</v>
      </c>
      <c r="AD101" s="1984"/>
      <c r="AE101" s="1984"/>
      <c r="AF101" s="1984"/>
      <c r="AG101" s="1984"/>
      <c r="AH101" s="1984"/>
      <c r="AI101" s="1984"/>
      <c r="AJ101" s="1984"/>
      <c r="AK101" s="1985"/>
      <c r="AL101" s="1186"/>
    </row>
    <row r="102" spans="3:40" ht="5.0999999999999996" customHeight="1">
      <c r="C102" s="1192"/>
      <c r="D102" s="1187"/>
      <c r="E102" s="1187"/>
      <c r="F102" s="1187"/>
      <c r="G102" s="1187"/>
      <c r="H102" s="1187"/>
      <c r="I102" s="1187"/>
      <c r="J102" s="1"/>
      <c r="K102" s="1"/>
      <c r="L102" s="236"/>
      <c r="M102" s="236"/>
      <c r="N102" s="236"/>
      <c r="O102" s="236"/>
      <c r="P102" s="236"/>
      <c r="Q102" s="236"/>
      <c r="R102" s="236"/>
      <c r="S102" s="1188"/>
      <c r="T102" s="161"/>
      <c r="U102" s="161"/>
      <c r="V102" s="1192"/>
      <c r="W102" s="1187"/>
      <c r="X102" s="1"/>
      <c r="Y102" s="1"/>
      <c r="Z102" s="1"/>
      <c r="AA102" s="1"/>
      <c r="AB102" s="1"/>
      <c r="AC102" s="1"/>
      <c r="AD102" s="1"/>
      <c r="AE102" s="1"/>
      <c r="AF102" s="236"/>
      <c r="AG102" s="236"/>
      <c r="AH102" s="236"/>
      <c r="AI102" s="236"/>
      <c r="AJ102" s="236"/>
      <c r="AK102" s="236"/>
      <c r="AL102" s="1194"/>
    </row>
    <row r="103" spans="3:40">
      <c r="C103" s="1192"/>
      <c r="D103" s="1187"/>
      <c r="E103" s="1187"/>
      <c r="F103" s="1187"/>
      <c r="G103" s="1187"/>
      <c r="H103" s="1187"/>
      <c r="I103" s="1187"/>
      <c r="J103" s="1200" t="s">
        <v>509</v>
      </c>
      <c r="K103" s="1984"/>
      <c r="L103" s="1984"/>
      <c r="M103" s="1984"/>
      <c r="N103" s="1984"/>
      <c r="O103" s="1984"/>
      <c r="P103" s="1984"/>
      <c r="Q103" s="1984"/>
      <c r="R103" s="1985"/>
      <c r="S103" s="1188"/>
      <c r="T103" s="161"/>
      <c r="U103" s="161"/>
      <c r="V103" s="1192"/>
      <c r="W103" s="1187"/>
      <c r="X103" s="1"/>
      <c r="Y103" s="1"/>
      <c r="Z103" s="1"/>
      <c r="AA103" s="1"/>
      <c r="AB103" s="1"/>
      <c r="AC103" s="1"/>
      <c r="AD103" s="1"/>
      <c r="AE103" s="1"/>
      <c r="AF103" s="1"/>
      <c r="AG103" s="1"/>
      <c r="AH103" s="1"/>
      <c r="AI103" s="1"/>
      <c r="AJ103" s="1"/>
      <c r="AK103" s="1"/>
      <c r="AL103" s="1186"/>
      <c r="AN103" s="943">
        <f ca="1">TODAY()</f>
        <v>45336</v>
      </c>
    </row>
    <row r="104" spans="3:40" ht="4.95" customHeight="1">
      <c r="C104" s="1192"/>
      <c r="D104" s="1187"/>
      <c r="E104" s="1187"/>
      <c r="F104" s="1187"/>
      <c r="G104" s="1187"/>
      <c r="H104" s="1187"/>
      <c r="I104" s="1187"/>
      <c r="J104" s="1187"/>
      <c r="K104" s="1187"/>
      <c r="L104" s="1187"/>
      <c r="M104" s="1187"/>
      <c r="N104" s="1187"/>
      <c r="O104" s="1187"/>
      <c r="P104" s="1187"/>
      <c r="Q104" s="1187"/>
      <c r="R104" s="1187"/>
      <c r="S104" s="1188"/>
      <c r="T104" s="161"/>
      <c r="U104" s="161"/>
      <c r="V104" s="1192"/>
      <c r="W104" s="1187"/>
      <c r="X104" s="1"/>
      <c r="Y104" s="1"/>
      <c r="Z104" s="1"/>
      <c r="AA104" s="1"/>
      <c r="AB104" s="1"/>
      <c r="AC104" s="1"/>
      <c r="AD104" s="1"/>
      <c r="AE104" s="1"/>
      <c r="AF104" s="1"/>
      <c r="AG104" s="1"/>
      <c r="AH104" s="1"/>
      <c r="AI104" s="1"/>
      <c r="AJ104" s="1"/>
      <c r="AK104" s="1"/>
      <c r="AL104" s="1186"/>
      <c r="AN104" s="943"/>
    </row>
    <row r="105" spans="3:40">
      <c r="C105" s="1192"/>
      <c r="D105" s="1187"/>
      <c r="E105" s="1187"/>
      <c r="F105" s="1187"/>
      <c r="G105" s="1187"/>
      <c r="H105" s="1187"/>
      <c r="I105" s="1187"/>
      <c r="J105" s="1196" t="s">
        <v>510</v>
      </c>
      <c r="K105" s="1984"/>
      <c r="L105" s="1984"/>
      <c r="M105" s="1984"/>
      <c r="N105" s="1984"/>
      <c r="O105" s="1984"/>
      <c r="P105" s="1984"/>
      <c r="Q105" s="1984"/>
      <c r="R105" s="1985"/>
      <c r="S105" s="1188"/>
      <c r="T105" s="161"/>
      <c r="U105" s="161"/>
      <c r="V105" s="1192"/>
      <c r="W105" s="1187"/>
      <c r="X105" s="1"/>
      <c r="Y105" s="1"/>
      <c r="Z105" s="1"/>
      <c r="AA105" s="1"/>
      <c r="AB105" s="1"/>
      <c r="AC105" s="1"/>
      <c r="AD105" s="1"/>
      <c r="AE105" s="1"/>
      <c r="AF105" s="1"/>
      <c r="AG105" s="1"/>
      <c r="AH105" s="1"/>
      <c r="AI105" s="1"/>
      <c r="AJ105" s="1"/>
      <c r="AK105" s="1"/>
      <c r="AL105" s="1186"/>
      <c r="AN105" s="943"/>
    </row>
    <row r="106" spans="3:40" ht="4.95" customHeight="1">
      <c r="C106" s="1197"/>
      <c r="D106" s="1198"/>
      <c r="E106" s="1198"/>
      <c r="F106" s="1198"/>
      <c r="G106" s="1198"/>
      <c r="H106" s="1198"/>
      <c r="I106" s="1198"/>
      <c r="J106" s="1198"/>
      <c r="K106" s="1198"/>
      <c r="L106" s="1198"/>
      <c r="M106" s="1198"/>
      <c r="N106" s="1198"/>
      <c r="O106" s="1198"/>
      <c r="P106" s="1198"/>
      <c r="Q106" s="1198"/>
      <c r="R106" s="1198"/>
      <c r="S106" s="1193"/>
      <c r="T106" s="161"/>
      <c r="U106" s="161"/>
      <c r="V106" s="1197"/>
      <c r="W106" s="1198"/>
      <c r="X106" s="1199"/>
      <c r="Y106" s="1199"/>
      <c r="Z106" s="1199"/>
      <c r="AA106" s="1199"/>
      <c r="AB106" s="1199"/>
      <c r="AC106" s="1199"/>
      <c r="AD106" s="1199"/>
      <c r="AE106" s="1199"/>
      <c r="AF106" s="1199"/>
      <c r="AG106" s="1199"/>
      <c r="AH106" s="1199"/>
      <c r="AI106" s="1199"/>
      <c r="AJ106" s="1199"/>
      <c r="AK106" s="1199"/>
      <c r="AL106" s="1195"/>
    </row>
    <row r="107" spans="3:40">
      <c r="C107" s="161"/>
      <c r="D107" s="161"/>
      <c r="E107" s="161"/>
      <c r="F107" s="161"/>
      <c r="G107" s="161"/>
      <c r="H107" s="161"/>
      <c r="I107" s="161"/>
      <c r="J107" s="161"/>
      <c r="K107" s="161"/>
      <c r="L107" s="161"/>
      <c r="M107" s="161"/>
      <c r="N107" s="161"/>
      <c r="O107" s="161"/>
      <c r="P107" s="161"/>
      <c r="Q107" s="161"/>
      <c r="R107" s="161"/>
      <c r="S107" s="161"/>
      <c r="T107" s="161"/>
      <c r="U107" s="161"/>
      <c r="V107" s="161"/>
      <c r="W107" s="161"/>
    </row>
    <row r="108" spans="3:40" hidden="1">
      <c r="C108" s="439" t="s">
        <v>511</v>
      </c>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194"/>
    </row>
    <row r="109" spans="3:40" hidden="1">
      <c r="C109" s="161"/>
      <c r="D109" s="161"/>
      <c r="E109" s="161"/>
      <c r="F109" s="161"/>
      <c r="G109" s="161"/>
      <c r="H109" s="161"/>
      <c r="I109" s="161"/>
      <c r="J109" s="161"/>
      <c r="K109" s="161"/>
      <c r="L109" s="161"/>
      <c r="M109" s="161"/>
      <c r="N109" s="161"/>
      <c r="O109" s="161"/>
      <c r="P109" s="161"/>
      <c r="Q109" s="161"/>
      <c r="R109" s="161"/>
      <c r="S109" s="161"/>
    </row>
    <row r="110" spans="3:40" hidden="1">
      <c r="C110" s="161"/>
      <c r="D110" s="161"/>
      <c r="E110" s="161"/>
      <c r="F110" s="161"/>
      <c r="G110" s="161"/>
      <c r="H110" s="161"/>
      <c r="I110" s="161"/>
      <c r="J110" s="161"/>
      <c r="K110" s="1433" t="s">
        <v>512</v>
      </c>
      <c r="L110" s="1433"/>
      <c r="M110" s="1433"/>
      <c r="N110" s="1433"/>
      <c r="O110" s="1433"/>
      <c r="P110" s="1433"/>
      <c r="Q110" s="1433"/>
      <c r="R110" s="1433"/>
      <c r="S110" s="1433"/>
      <c r="T110" s="1433"/>
      <c r="U110" s="1433"/>
      <c r="V110" s="1433"/>
      <c r="W110" s="1433"/>
      <c r="X110" s="1433"/>
      <c r="Y110" s="1433"/>
      <c r="Z110" s="1433"/>
      <c r="AA110" s="1433"/>
      <c r="AB110" s="1433"/>
      <c r="AC110" s="1433"/>
      <c r="AD110" s="161"/>
      <c r="AE110" s="161"/>
      <c r="AF110" s="161"/>
      <c r="AG110" s="161"/>
      <c r="AH110" s="161"/>
      <c r="AI110" s="161"/>
      <c r="AJ110" s="161"/>
      <c r="AK110" s="161"/>
      <c r="AL110" s="161"/>
    </row>
    <row r="111" spans="3:40" hidden="1">
      <c r="C111" s="161"/>
      <c r="D111" s="161"/>
      <c r="E111" s="161"/>
      <c r="F111" s="161"/>
      <c r="G111" s="161"/>
      <c r="H111" s="161"/>
      <c r="I111" s="161"/>
      <c r="J111" s="161"/>
      <c r="K111" s="1433"/>
      <c r="L111" s="1433"/>
      <c r="M111" s="1433"/>
      <c r="N111" s="1433"/>
      <c r="O111" s="1433"/>
      <c r="P111" s="1433"/>
      <c r="Q111" s="1433"/>
      <c r="R111" s="1433"/>
      <c r="S111" s="1433"/>
      <c r="T111" s="1433"/>
      <c r="U111" s="1433"/>
      <c r="V111" s="1433"/>
      <c r="W111" s="1433"/>
      <c r="X111" s="1433"/>
      <c r="Y111" s="1433"/>
      <c r="Z111" s="1433"/>
      <c r="AA111" s="1433"/>
      <c r="AB111" s="1433"/>
      <c r="AC111" s="1433"/>
      <c r="AD111" s="161"/>
      <c r="AE111" s="161"/>
      <c r="AF111" s="161"/>
      <c r="AG111" s="161"/>
      <c r="AH111" s="161"/>
      <c r="AI111" s="161"/>
      <c r="AJ111" s="161"/>
      <c r="AK111" s="161"/>
      <c r="AL111" s="161"/>
    </row>
    <row r="112" spans="3:40" hidden="1">
      <c r="C112" s="161"/>
      <c r="D112" s="161"/>
      <c r="E112" s="161"/>
      <c r="F112" s="161"/>
      <c r="G112" s="161"/>
      <c r="H112" s="195"/>
      <c r="I112" s="161"/>
      <c r="J112" s="161"/>
      <c r="K112" s="1433"/>
      <c r="L112" s="1433"/>
      <c r="M112" s="1433"/>
      <c r="N112" s="1433"/>
      <c r="O112" s="1433"/>
      <c r="P112" s="1433"/>
      <c r="Q112" s="1433"/>
      <c r="R112" s="1433"/>
      <c r="S112" s="1433"/>
      <c r="T112" s="1433"/>
      <c r="U112" s="1433"/>
      <c r="V112" s="1433"/>
      <c r="W112" s="1433"/>
      <c r="X112" s="1433"/>
      <c r="Y112" s="1433"/>
      <c r="Z112" s="1433"/>
      <c r="AA112" s="1433"/>
      <c r="AB112" s="1433"/>
      <c r="AC112" s="1433"/>
      <c r="AD112" s="161"/>
      <c r="AE112" s="161"/>
      <c r="AF112" s="161"/>
      <c r="AG112" s="161"/>
      <c r="AH112" s="161"/>
      <c r="AI112" s="161"/>
      <c r="AJ112" s="161"/>
      <c r="AK112" s="161"/>
      <c r="AL112" s="161"/>
    </row>
    <row r="113" spans="3:39" hidden="1">
      <c r="C113" s="161"/>
      <c r="D113" s="161"/>
      <c r="E113" s="161"/>
      <c r="F113" s="161"/>
      <c r="G113" s="161"/>
      <c r="H113" s="161"/>
      <c r="I113" s="161"/>
      <c r="J113" s="161"/>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61"/>
      <c r="AE113" s="161"/>
      <c r="AF113" s="161"/>
      <c r="AG113" s="161"/>
      <c r="AH113" s="161"/>
      <c r="AI113" s="161"/>
      <c r="AJ113" s="161"/>
      <c r="AK113" s="161"/>
      <c r="AL113" s="161"/>
    </row>
    <row r="114" spans="3:39" hidden="1">
      <c r="C114" s="161"/>
      <c r="D114" s="161"/>
      <c r="E114" s="161"/>
      <c r="F114" s="161"/>
      <c r="G114" s="161"/>
      <c r="H114" s="161"/>
      <c r="I114" s="161"/>
      <c r="J114" s="161"/>
      <c r="K114" s="1433"/>
      <c r="L114" s="1433"/>
      <c r="M114" s="1433"/>
      <c r="N114" s="1433"/>
      <c r="O114" s="1433"/>
      <c r="P114" s="1433"/>
      <c r="Q114" s="1433"/>
      <c r="R114" s="1433"/>
      <c r="S114" s="1433"/>
      <c r="T114" s="1433"/>
      <c r="U114" s="1433"/>
      <c r="V114" s="1433"/>
      <c r="W114" s="1433"/>
      <c r="X114" s="1433"/>
      <c r="Y114" s="1433"/>
      <c r="Z114" s="1433"/>
      <c r="AA114" s="1433"/>
      <c r="AB114" s="1433"/>
      <c r="AC114" s="1433"/>
    </row>
    <row r="115" spans="3:39" hidden="1"/>
    <row r="116" spans="3:39" hidden="1">
      <c r="C116" s="161"/>
      <c r="D116" s="161"/>
      <c r="E116" s="161"/>
      <c r="F116" s="161"/>
      <c r="G116" s="161"/>
      <c r="H116" s="161"/>
      <c r="I116" s="161"/>
      <c r="J116" s="161"/>
      <c r="K116" s="161"/>
      <c r="L116" s="161"/>
      <c r="M116" s="161"/>
      <c r="N116" s="161"/>
      <c r="O116" s="161"/>
      <c r="P116" s="161"/>
      <c r="Q116" s="161"/>
      <c r="R116" s="161"/>
      <c r="S116" s="161"/>
    </row>
    <row r="117" spans="3:39" hidden="1">
      <c r="C117" s="161"/>
      <c r="D117" s="161"/>
      <c r="E117" s="161"/>
      <c r="F117" s="161"/>
      <c r="G117" s="161"/>
      <c r="H117" s="161"/>
      <c r="I117" s="161"/>
      <c r="J117" s="161"/>
      <c r="K117" s="161"/>
      <c r="L117" s="161"/>
      <c r="M117" s="161"/>
      <c r="N117" s="161"/>
      <c r="O117" s="161"/>
      <c r="P117" s="161"/>
      <c r="Q117" s="161"/>
      <c r="R117" s="161"/>
      <c r="S117" s="161"/>
    </row>
    <row r="118" spans="3:39" hidden="1">
      <c r="C118" s="161"/>
      <c r="D118" s="161"/>
      <c r="E118" s="161"/>
      <c r="F118" s="161"/>
      <c r="G118" s="161"/>
      <c r="H118" s="161"/>
      <c r="I118" s="161"/>
      <c r="J118" s="161"/>
      <c r="K118" s="161"/>
      <c r="L118" s="161"/>
      <c r="M118" s="161"/>
      <c r="N118" s="161"/>
      <c r="O118" s="161"/>
      <c r="P118" s="161"/>
      <c r="Q118" s="161"/>
      <c r="R118" s="161"/>
      <c r="S118" s="161"/>
    </row>
    <row r="119" spans="3:39" hidden="1">
      <c r="C119" s="161"/>
      <c r="D119" s="161"/>
      <c r="E119" s="161"/>
      <c r="F119" s="161"/>
      <c r="G119" s="161"/>
      <c r="H119" s="161"/>
      <c r="I119" s="161"/>
      <c r="J119" s="161"/>
      <c r="K119" s="161"/>
      <c r="L119" s="161"/>
      <c r="M119" s="161"/>
      <c r="N119" s="161"/>
      <c r="O119" s="161"/>
      <c r="P119" s="161"/>
      <c r="Q119" s="161"/>
      <c r="R119" s="161"/>
      <c r="S119" s="161"/>
    </row>
    <row r="120" spans="3:39" hidden="1">
      <c r="C120" s="439" t="s">
        <v>513</v>
      </c>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row>
    <row r="121" spans="3:39" hidden="1"/>
    <row r="122" spans="3:39" ht="14.95" hidden="1" customHeight="1">
      <c r="C122" s="1433" t="s">
        <v>514</v>
      </c>
      <c r="D122" s="1433"/>
      <c r="E122" s="1433"/>
      <c r="F122" s="1433"/>
      <c r="G122" s="1433"/>
      <c r="H122" s="1433"/>
      <c r="I122" s="1433"/>
      <c r="J122" s="1433"/>
      <c r="K122" s="1433"/>
      <c r="L122" s="1433"/>
      <c r="M122" s="1433"/>
      <c r="N122" s="1433"/>
      <c r="O122" s="1433"/>
      <c r="P122" s="1433"/>
      <c r="Q122" s="1433"/>
      <c r="R122" s="1433"/>
      <c r="S122" s="1433"/>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hidden="1">
      <c r="C123" s="1433"/>
      <c r="D123" s="1433"/>
      <c r="E123" s="1433"/>
      <c r="F123" s="1433"/>
      <c r="G123" s="1433"/>
      <c r="H123" s="1433"/>
      <c r="I123" s="1433"/>
      <c r="J123" s="1433"/>
      <c r="K123" s="1433"/>
      <c r="L123" s="1433"/>
      <c r="M123" s="1433"/>
      <c r="N123" s="1433"/>
      <c r="O123" s="1433"/>
      <c r="P123" s="1433"/>
      <c r="Q123" s="1433"/>
      <c r="R123" s="1433"/>
      <c r="S123" s="1433"/>
      <c r="T123" s="161"/>
      <c r="U123" s="161"/>
      <c r="V123" s="161"/>
      <c r="W123" s="161"/>
      <c r="X123" s="161"/>
      <c r="Y123" s="161"/>
      <c r="Z123" s="161"/>
      <c r="AA123" s="161"/>
      <c r="AB123" s="161"/>
      <c r="AC123" s="161"/>
      <c r="AE123" s="1980"/>
      <c r="AF123" s="1980"/>
      <c r="AG123" s="1980"/>
      <c r="AH123" s="1980"/>
      <c r="AI123" s="1980"/>
      <c r="AJ123" s="1980"/>
      <c r="AK123" s="1980"/>
      <c r="AL123" s="1981"/>
      <c r="AM123" s="161"/>
    </row>
    <row r="124" spans="3:39" hidden="1">
      <c r="C124" s="1433"/>
      <c r="D124" s="1433"/>
      <c r="E124" s="1433"/>
      <c r="F124" s="1433"/>
      <c r="G124" s="1433"/>
      <c r="H124" s="1433"/>
      <c r="I124" s="1433"/>
      <c r="J124" s="1433"/>
      <c r="K124" s="1433"/>
      <c r="L124" s="1433"/>
      <c r="M124" s="1433"/>
      <c r="N124" s="1433"/>
      <c r="O124" s="1433"/>
      <c r="P124" s="1433"/>
      <c r="Q124" s="1433"/>
      <c r="R124" s="1433"/>
      <c r="S124" s="1433"/>
      <c r="T124" s="161"/>
      <c r="U124" s="161"/>
      <c r="V124" s="161"/>
      <c r="W124" s="161"/>
      <c r="Y124" s="161"/>
      <c r="Z124" s="161"/>
      <c r="AA124" s="161"/>
      <c r="AB124" s="161"/>
      <c r="AC124" s="161"/>
      <c r="AD124" s="178" t="s">
        <v>515</v>
      </c>
      <c r="AE124" s="1982"/>
      <c r="AF124" s="1982"/>
      <c r="AG124" s="1982"/>
      <c r="AH124" s="1982"/>
      <c r="AI124" s="1982"/>
      <c r="AJ124" s="1982"/>
      <c r="AK124" s="1982"/>
      <c r="AL124" s="1983"/>
    </row>
    <row r="125" spans="3:39" hidden="1">
      <c r="C125" s="1433"/>
      <c r="D125" s="1433"/>
      <c r="E125" s="1433"/>
      <c r="F125" s="1433"/>
      <c r="G125" s="1433"/>
      <c r="H125" s="1433"/>
      <c r="I125" s="1433"/>
      <c r="J125" s="1433"/>
      <c r="K125" s="1433"/>
      <c r="L125" s="1433"/>
      <c r="M125" s="1433"/>
      <c r="N125" s="1433"/>
      <c r="O125" s="1433"/>
      <c r="P125" s="1433"/>
      <c r="Q125" s="1433"/>
      <c r="R125" s="1433"/>
      <c r="S125" s="1433"/>
      <c r="V125" s="196"/>
      <c r="W125" s="196"/>
      <c r="X125" s="196"/>
      <c r="Y125" s="196"/>
      <c r="Z125" s="196"/>
      <c r="AA125" s="196"/>
      <c r="AB125" s="196"/>
      <c r="AC125" s="196"/>
      <c r="AD125" s="196"/>
      <c r="AE125" s="10"/>
      <c r="AF125" s="196"/>
      <c r="AG125" s="196"/>
      <c r="AH125" s="196"/>
      <c r="AI125" s="196"/>
    </row>
    <row r="126" spans="3:39" hidden="1">
      <c r="C126" s="431"/>
      <c r="D126" s="431"/>
      <c r="E126" s="431"/>
      <c r="F126" s="431"/>
      <c r="G126" s="431"/>
      <c r="H126" s="431"/>
      <c r="I126" s="431"/>
      <c r="J126" s="431"/>
      <c r="K126" s="431"/>
      <c r="L126" s="431"/>
      <c r="M126" s="431"/>
      <c r="N126" s="431"/>
      <c r="O126" s="431"/>
      <c r="P126" s="431"/>
      <c r="Q126" s="431"/>
      <c r="R126" s="431"/>
      <c r="S126" s="431"/>
      <c r="V126" s="196"/>
      <c r="W126" s="196"/>
      <c r="X126" s="196"/>
      <c r="Y126" s="196"/>
      <c r="Z126" s="196"/>
      <c r="AA126" s="196"/>
      <c r="AB126" s="196"/>
      <c r="AC126" s="196"/>
      <c r="AD126" s="196"/>
      <c r="AE126" s="196"/>
      <c r="AF126" s="196"/>
      <c r="AG126" s="196"/>
      <c r="AH126" s="196"/>
      <c r="AI126" s="196"/>
    </row>
    <row r="127" spans="3:39" hidden="1">
      <c r="C127" s="431"/>
      <c r="D127" s="431"/>
      <c r="E127" s="431"/>
      <c r="F127" s="431"/>
      <c r="G127" s="431"/>
      <c r="H127" s="431"/>
      <c r="I127" s="431"/>
      <c r="J127" s="431"/>
      <c r="K127" s="431"/>
      <c r="L127" s="431"/>
      <c r="M127" s="431"/>
      <c r="N127" s="431"/>
      <c r="O127" s="431"/>
      <c r="P127" s="431"/>
      <c r="Q127" s="431"/>
      <c r="R127" s="431"/>
      <c r="S127" s="431"/>
      <c r="V127" s="196"/>
      <c r="W127" s="196"/>
      <c r="X127" s="161"/>
      <c r="Y127" s="196"/>
      <c r="Z127" s="196"/>
      <c r="AA127" s="196"/>
      <c r="AD127" s="178" t="s">
        <v>516</v>
      </c>
      <c r="AE127" s="1978"/>
      <c r="AF127" s="1978"/>
      <c r="AG127" s="1978"/>
      <c r="AH127" s="1978"/>
      <c r="AI127" s="1978"/>
      <c r="AJ127" s="1978"/>
      <c r="AK127" s="1978"/>
      <c r="AL127" s="1979"/>
    </row>
    <row r="128" spans="3:39" hidden="1"/>
    <row r="148" spans="1:18">
      <c r="A148" s="347"/>
      <c r="B148" s="347"/>
      <c r="C148" s="347"/>
      <c r="D148" s="347"/>
      <c r="E148" s="347"/>
      <c r="F148" s="347"/>
      <c r="G148" s="347"/>
      <c r="H148" s="347"/>
      <c r="I148" s="347"/>
      <c r="J148" s="347"/>
      <c r="K148" s="347"/>
      <c r="L148" s="347"/>
      <c r="M148" s="347"/>
      <c r="N148" s="347"/>
      <c r="O148" s="347"/>
      <c r="P148" s="347"/>
      <c r="Q148" s="347"/>
      <c r="R148" s="347"/>
    </row>
    <row r="149" spans="1:18">
      <c r="A149" s="347"/>
      <c r="B149" s="1950"/>
      <c r="C149" s="453" t="s">
        <v>517</v>
      </c>
      <c r="D149" s="347"/>
      <c r="E149" s="347"/>
      <c r="F149" s="347"/>
      <c r="G149" s="347"/>
      <c r="H149" s="347"/>
      <c r="I149" s="347"/>
      <c r="J149" s="347"/>
      <c r="K149" s="347"/>
      <c r="L149" s="347"/>
      <c r="M149" s="347"/>
      <c r="N149" s="347"/>
      <c r="O149" s="347"/>
      <c r="P149" s="347"/>
      <c r="Q149" s="347"/>
      <c r="R149" s="347"/>
    </row>
    <row r="150" spans="1:18">
      <c r="A150" s="347"/>
      <c r="B150" s="1950"/>
      <c r="C150" s="347"/>
      <c r="D150" s="347"/>
      <c r="E150" s="347"/>
      <c r="F150" s="347"/>
      <c r="G150" s="347"/>
      <c r="H150" s="347"/>
      <c r="I150" s="347"/>
      <c r="J150" s="347"/>
      <c r="K150" s="347"/>
      <c r="L150" s="347"/>
      <c r="M150" s="347"/>
      <c r="N150" s="347"/>
      <c r="O150" s="347"/>
      <c r="P150" s="347"/>
      <c r="Q150" s="347"/>
      <c r="R150" s="347"/>
    </row>
    <row r="151" spans="1:18">
      <c r="A151" s="347"/>
      <c r="B151" s="1950"/>
      <c r="C151" s="347" t="s">
        <v>518</v>
      </c>
      <c r="D151" s="347"/>
      <c r="E151" s="347"/>
      <c r="F151" s="347"/>
      <c r="G151" s="347"/>
      <c r="H151" s="347"/>
      <c r="I151" s="347"/>
      <c r="J151" s="347"/>
      <c r="K151" s="347"/>
      <c r="L151" s="347"/>
      <c r="M151" s="347"/>
      <c r="N151" s="347"/>
      <c r="O151" s="347"/>
      <c r="P151" s="347"/>
      <c r="Q151" s="347"/>
      <c r="R151" s="347"/>
    </row>
    <row r="152" spans="1:18">
      <c r="A152" s="347"/>
      <c r="B152" s="1950"/>
      <c r="C152" s="347" t="s">
        <v>519</v>
      </c>
      <c r="D152" s="347"/>
      <c r="E152" s="347"/>
      <c r="F152" s="347"/>
      <c r="G152" s="347"/>
      <c r="H152" s="347"/>
      <c r="I152" s="347"/>
      <c r="J152" s="347"/>
      <c r="K152" s="347"/>
      <c r="L152" s="347"/>
      <c r="M152" s="347"/>
      <c r="N152" s="347"/>
      <c r="O152" s="347"/>
      <c r="P152" s="347"/>
      <c r="Q152" s="347"/>
      <c r="R152" s="347"/>
    </row>
    <row r="153" spans="1:18">
      <c r="A153" s="347"/>
      <c r="B153" s="1950"/>
      <c r="C153" s="1215" t="s">
        <v>520</v>
      </c>
      <c r="D153" s="347"/>
      <c r="E153" s="347"/>
      <c r="F153" s="347"/>
      <c r="G153" s="347"/>
      <c r="H153" s="347"/>
      <c r="I153" s="347"/>
      <c r="J153" s="347"/>
      <c r="K153" s="347"/>
      <c r="L153" s="347"/>
      <c r="M153" s="347"/>
      <c r="N153" s="347"/>
      <c r="O153" s="347"/>
      <c r="P153" s="347"/>
      <c r="Q153" s="347"/>
      <c r="R153" s="347"/>
    </row>
    <row r="154" spans="1:18">
      <c r="A154" s="347"/>
      <c r="B154" s="1950"/>
      <c r="C154" s="1216" t="s">
        <v>521</v>
      </c>
      <c r="D154" s="347"/>
      <c r="E154" s="347"/>
      <c r="F154" s="347"/>
      <c r="G154" s="347"/>
      <c r="H154" s="347"/>
      <c r="I154" s="347"/>
      <c r="J154" s="347"/>
      <c r="K154" s="347"/>
      <c r="L154" s="347"/>
      <c r="M154" s="347"/>
      <c r="N154" s="347"/>
      <c r="O154" s="347"/>
      <c r="P154" s="347"/>
      <c r="Q154" s="347"/>
      <c r="R154" s="347"/>
    </row>
    <row r="155" spans="1:18">
      <c r="A155" s="347"/>
      <c r="B155" s="1950"/>
      <c r="C155" s="1216" t="s">
        <v>522</v>
      </c>
      <c r="D155" s="347"/>
      <c r="E155" s="347"/>
      <c r="F155" s="347"/>
      <c r="G155" s="347"/>
      <c r="H155" s="347"/>
      <c r="I155" s="347"/>
      <c r="J155" s="347"/>
      <c r="K155" s="347"/>
      <c r="L155" s="347"/>
      <c r="M155" s="347"/>
      <c r="N155" s="347"/>
      <c r="O155" s="347"/>
      <c r="P155" s="347"/>
      <c r="Q155" s="347"/>
      <c r="R155" s="347"/>
    </row>
    <row r="156" spans="1:18">
      <c r="A156" s="347"/>
      <c r="B156" s="1950"/>
      <c r="C156" s="1216" t="s">
        <v>523</v>
      </c>
      <c r="D156" s="347"/>
      <c r="E156" s="347"/>
      <c r="F156" s="347"/>
      <c r="G156" s="347"/>
      <c r="H156" s="347"/>
      <c r="I156" s="347"/>
      <c r="J156" s="347"/>
      <c r="K156" s="347"/>
      <c r="L156" s="347"/>
      <c r="M156" s="347"/>
      <c r="N156" s="347"/>
      <c r="O156" s="347"/>
      <c r="P156" s="347"/>
      <c r="Q156" s="347"/>
      <c r="R156" s="347"/>
    </row>
    <row r="157" spans="1:18">
      <c r="A157" s="347"/>
      <c r="B157" s="1950"/>
      <c r="C157" s="1215" t="s">
        <v>524</v>
      </c>
      <c r="D157" s="347"/>
      <c r="E157" s="347"/>
      <c r="F157" s="347"/>
      <c r="G157" s="347"/>
      <c r="H157" s="347"/>
      <c r="I157" s="347"/>
      <c r="J157" s="347"/>
      <c r="K157" s="347"/>
      <c r="L157" s="347"/>
      <c r="M157" s="347"/>
      <c r="N157" s="347"/>
      <c r="O157" s="347"/>
      <c r="P157" s="347"/>
      <c r="Q157" s="347"/>
      <c r="R157" s="347"/>
    </row>
    <row r="158" spans="1:18">
      <c r="A158" s="347"/>
      <c r="B158" s="1950"/>
      <c r="C158" s="1215"/>
      <c r="D158" s="347"/>
      <c r="E158" s="347"/>
      <c r="F158" s="347"/>
      <c r="G158" s="347"/>
      <c r="H158" s="347"/>
      <c r="I158" s="347"/>
      <c r="J158" s="347"/>
      <c r="K158" s="347"/>
      <c r="L158" s="347"/>
      <c r="M158" s="347"/>
      <c r="N158" s="347"/>
      <c r="O158" s="347"/>
      <c r="P158" s="347"/>
      <c r="Q158" s="347"/>
      <c r="R158" s="347"/>
    </row>
    <row r="159" spans="1:18">
      <c r="A159" s="347"/>
      <c r="B159" s="1950"/>
      <c r="C159" s="347" t="s">
        <v>525</v>
      </c>
      <c r="D159" s="347"/>
      <c r="E159" s="347"/>
      <c r="F159" s="347"/>
      <c r="G159" s="347"/>
      <c r="H159" s="347"/>
      <c r="I159" s="347"/>
      <c r="J159" s="347"/>
      <c r="K159" s="347"/>
      <c r="L159" s="347"/>
      <c r="M159" s="347"/>
      <c r="N159" s="347"/>
      <c r="O159" s="347"/>
      <c r="P159" s="347"/>
      <c r="Q159" s="347"/>
      <c r="R159" s="347"/>
    </row>
    <row r="160" spans="1:18">
      <c r="A160" s="347"/>
      <c r="B160" s="1950"/>
      <c r="C160" s="347" t="s">
        <v>526</v>
      </c>
      <c r="D160" s="347"/>
      <c r="E160" s="347"/>
      <c r="F160" s="347"/>
      <c r="G160" s="347"/>
      <c r="H160" s="347"/>
      <c r="I160" s="347"/>
      <c r="J160" s="347"/>
      <c r="K160" s="347"/>
      <c r="L160" s="347"/>
      <c r="M160" s="347"/>
      <c r="N160" s="347"/>
      <c r="O160" s="347"/>
      <c r="P160" s="347"/>
      <c r="Q160" s="347"/>
      <c r="R160" s="347"/>
    </row>
    <row r="161" spans="1:18">
      <c r="A161" s="347"/>
      <c r="B161" s="1950"/>
      <c r="C161" s="347" t="s">
        <v>527</v>
      </c>
      <c r="D161" s="347"/>
      <c r="E161" s="347"/>
      <c r="F161" s="347"/>
      <c r="G161" s="347"/>
      <c r="H161" s="347"/>
      <c r="I161" s="347"/>
      <c r="J161" s="347"/>
      <c r="K161" s="347"/>
      <c r="L161" s="347"/>
      <c r="M161" s="347"/>
      <c r="N161" s="347"/>
      <c r="O161" s="347"/>
      <c r="P161" s="347"/>
      <c r="Q161" s="347"/>
      <c r="R161" s="347"/>
    </row>
    <row r="162" spans="1:18">
      <c r="A162" s="347"/>
      <c r="B162" s="1950"/>
      <c r="C162" s="347"/>
      <c r="D162" s="347"/>
      <c r="E162" s="347"/>
      <c r="F162" s="347"/>
      <c r="G162" s="347"/>
      <c r="H162" s="347"/>
      <c r="I162" s="347"/>
      <c r="J162" s="347"/>
      <c r="K162" s="347"/>
      <c r="L162" s="347"/>
      <c r="M162" s="347"/>
      <c r="N162" s="347"/>
      <c r="O162" s="347"/>
      <c r="P162" s="347"/>
      <c r="Q162" s="347"/>
      <c r="R162" s="347"/>
    </row>
    <row r="163" spans="1:18">
      <c r="A163" s="347"/>
      <c r="B163" s="1950"/>
      <c r="C163" s="1217" t="s">
        <v>528</v>
      </c>
      <c r="D163" s="347"/>
      <c r="E163" s="347"/>
      <c r="F163" s="347"/>
      <c r="G163" s="347"/>
      <c r="H163" s="347"/>
      <c r="I163" s="347"/>
      <c r="J163" s="347"/>
      <c r="K163" s="347"/>
      <c r="L163" s="347"/>
      <c r="M163" s="347"/>
      <c r="N163" s="347"/>
      <c r="O163" s="347"/>
      <c r="P163" s="347"/>
      <c r="Q163" s="347"/>
      <c r="R163" s="347"/>
    </row>
    <row r="164" spans="1:18">
      <c r="A164" s="347"/>
      <c r="B164" s="1950"/>
      <c r="C164" s="347" t="s">
        <v>529</v>
      </c>
      <c r="D164" s="347"/>
      <c r="E164" s="347"/>
      <c r="F164" s="347"/>
      <c r="G164" s="347"/>
      <c r="H164" s="347"/>
      <c r="I164" s="347"/>
      <c r="J164" s="347"/>
      <c r="K164" s="347"/>
      <c r="L164" s="347"/>
      <c r="M164" s="347"/>
      <c r="N164" s="347"/>
      <c r="O164" s="347"/>
      <c r="P164" s="347"/>
      <c r="Q164" s="347"/>
      <c r="R164" s="347"/>
    </row>
    <row r="165" spans="1:18">
      <c r="A165" s="347"/>
      <c r="B165" s="1950"/>
      <c r="C165" s="347" t="s">
        <v>530</v>
      </c>
      <c r="D165" s="347"/>
      <c r="E165" s="347"/>
      <c r="F165" s="347"/>
      <c r="G165" s="347"/>
      <c r="H165" s="347"/>
      <c r="I165" s="347"/>
      <c r="J165" s="347"/>
      <c r="K165" s="347"/>
      <c r="L165" s="347"/>
      <c r="M165" s="347"/>
      <c r="N165" s="347"/>
      <c r="O165" s="347"/>
      <c r="P165" s="347"/>
      <c r="Q165" s="347"/>
      <c r="R165" s="347"/>
    </row>
    <row r="166" spans="1:18">
      <c r="A166" s="347"/>
      <c r="B166" s="1950"/>
      <c r="C166" s="347" t="s">
        <v>531</v>
      </c>
      <c r="D166" s="347"/>
      <c r="E166" s="347"/>
      <c r="F166" s="347"/>
      <c r="G166" s="347"/>
      <c r="H166" s="347"/>
      <c r="I166" s="347"/>
      <c r="J166" s="347"/>
      <c r="K166" s="347"/>
      <c r="L166" s="347"/>
      <c r="M166" s="347"/>
      <c r="N166" s="347"/>
      <c r="O166" s="347"/>
      <c r="P166" s="347"/>
      <c r="Q166" s="347"/>
      <c r="R166" s="347"/>
    </row>
    <row r="167" spans="1:18">
      <c r="A167" s="347"/>
      <c r="B167" s="1950"/>
      <c r="C167" s="347" t="s">
        <v>532</v>
      </c>
      <c r="D167" s="347"/>
      <c r="E167" s="347"/>
      <c r="F167" s="347"/>
      <c r="G167" s="347"/>
      <c r="H167" s="347"/>
      <c r="I167" s="347"/>
      <c r="J167" s="347"/>
      <c r="K167" s="347"/>
      <c r="L167" s="347"/>
      <c r="M167" s="347"/>
      <c r="N167" s="347"/>
      <c r="O167" s="347"/>
      <c r="P167" s="347"/>
      <c r="Q167" s="347"/>
      <c r="R167" s="347"/>
    </row>
    <row r="168" spans="1:18">
      <c r="A168" s="347"/>
      <c r="B168" s="1950"/>
      <c r="C168" s="347"/>
      <c r="D168" s="347"/>
      <c r="E168" s="347"/>
      <c r="F168" s="347"/>
      <c r="G168" s="347"/>
      <c r="H168" s="347"/>
      <c r="I168" s="347"/>
      <c r="J168" s="347"/>
      <c r="K168" s="347"/>
      <c r="L168" s="347"/>
      <c r="M168" s="347"/>
      <c r="N168" s="347"/>
      <c r="O168" s="347"/>
      <c r="P168" s="347"/>
      <c r="Q168" s="347"/>
      <c r="R168" s="347"/>
    </row>
    <row r="169" spans="1:18">
      <c r="A169" s="347"/>
      <c r="B169" s="1950"/>
      <c r="C169" s="347"/>
      <c r="D169" s="347"/>
      <c r="E169" s="347"/>
      <c r="F169" s="347"/>
      <c r="G169" s="347"/>
      <c r="H169" s="347"/>
      <c r="I169" s="347"/>
      <c r="J169" s="347"/>
      <c r="K169" s="347"/>
      <c r="L169" s="347"/>
      <c r="M169" s="347"/>
      <c r="N169" s="347"/>
      <c r="O169" s="347"/>
      <c r="P169" s="347"/>
      <c r="Q169" s="347"/>
      <c r="R169" s="347"/>
    </row>
    <row r="190" spans="17:27">
      <c r="Q190" s="1977" t="str">
        <f>IF(A2="MF","","Click here for more information on the Customer Bill Credit")</f>
        <v>Click here for more information on the Customer Bill Credit</v>
      </c>
      <c r="R190" s="1977"/>
      <c r="S190" s="1977"/>
      <c r="T190" s="1977"/>
      <c r="U190" s="1977"/>
      <c r="V190" s="1977"/>
      <c r="W190" s="1977"/>
      <c r="X190" s="1977"/>
      <c r="Y190" s="1977"/>
      <c r="Z190" s="1977"/>
      <c r="AA190" s="1977"/>
    </row>
  </sheetData>
  <sheetProtection algorithmName="SHA-512" hashValue="xAkAfAVEZuC7gMKAVL0sziv/IsWFrPeq/IkJRkmj1ut9A8ZolEffG/BTblXwTr8lVlyEEMB5Zw1R0Mu/vwmRQQ==" saltValue="I6RR9AV9oKTGlBTCQr/M2Q==" spinCount="100000" sheet="1" selectLockedCells="1"/>
  <mergeCells count="89">
    <mergeCell ref="AD99:AK99"/>
    <mergeCell ref="C80:AL84"/>
    <mergeCell ref="D89:R90"/>
    <mergeCell ref="AD97:AK97"/>
    <mergeCell ref="K92:R93"/>
    <mergeCell ref="K95:R95"/>
    <mergeCell ref="K97:R97"/>
    <mergeCell ref="K99:R99"/>
    <mergeCell ref="C86:AL86"/>
    <mergeCell ref="Q190:AA190"/>
    <mergeCell ref="BE65:BI65"/>
    <mergeCell ref="BE67:BI67"/>
    <mergeCell ref="BE69:BI69"/>
    <mergeCell ref="BE71:BI71"/>
    <mergeCell ref="BH73:BI73"/>
    <mergeCell ref="AE127:AL127"/>
    <mergeCell ref="C122:S125"/>
    <mergeCell ref="AE123:AL124"/>
    <mergeCell ref="AD101:AK101"/>
    <mergeCell ref="K110:AC114"/>
    <mergeCell ref="AD92:AK93"/>
    <mergeCell ref="AD95:AK95"/>
    <mergeCell ref="K103:R103"/>
    <mergeCell ref="K105:R105"/>
    <mergeCell ref="K101:R101"/>
    <mergeCell ref="AJ35:AL35"/>
    <mergeCell ref="BE57:BI57"/>
    <mergeCell ref="BE55:BI55"/>
    <mergeCell ref="BE53:BI53"/>
    <mergeCell ref="BE50:BI51"/>
    <mergeCell ref="BE59:BI59"/>
    <mergeCell ref="BE61:BI61"/>
    <mergeCell ref="B40:B65"/>
    <mergeCell ref="BD55:BD73"/>
    <mergeCell ref="AC73:AD73"/>
    <mergeCell ref="Z57:AD57"/>
    <mergeCell ref="Z59:AD59"/>
    <mergeCell ref="Z55:AD55"/>
    <mergeCell ref="Z65:AD65"/>
    <mergeCell ref="Z67:AD67"/>
    <mergeCell ref="Z69:AD69"/>
    <mergeCell ref="Z71:AD71"/>
    <mergeCell ref="Z61:AD61"/>
    <mergeCell ref="Z63:AD63"/>
    <mergeCell ref="BE63:BI63"/>
    <mergeCell ref="H37:I37"/>
    <mergeCell ref="N37:O37"/>
    <mergeCell ref="T37:V37"/>
    <mergeCell ref="Z37:AA37"/>
    <mergeCell ref="Z54:AD54"/>
    <mergeCell ref="W43:AH46"/>
    <mergeCell ref="B149:B169"/>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27:AL127">
    <cfRule type="notContainsBlanks" dxfId="421" priority="57">
      <formula>LEN(TRIM(AE127))&gt;0</formula>
    </cfRule>
  </conditionalFormatting>
  <conditionalFormatting sqref="Z57:AD57 Z61:AD61 Z73 AC73:AD73 Z59:AD59 Z63:AD63 Z65:AD65 Z67:AD67 Z69:AD69 Z71:AD71">
    <cfRule type="notContainsBlanks" dxfId="420" priority="58">
      <formula>LEN(TRIM(Z57))&gt;0</formula>
    </cfRule>
  </conditionalFormatting>
  <conditionalFormatting sqref="BE59:BI59 BE61:BI61">
    <cfRule type="notContainsBlanks" dxfId="419" priority="53814">
      <formula>LEN(TRIM(BE59))&gt;0</formula>
    </cfRule>
  </conditionalFormatting>
  <conditionalFormatting sqref="AD95:AK95 AD97:AK97 AD101:AK101">
    <cfRule type="notContainsBlanks" dxfId="418" priority="53">
      <formula>LEN(TRIM(AD95))&gt;0</formula>
    </cfRule>
  </conditionalFormatting>
  <conditionalFormatting sqref="BC55:BI56 BC58:BI62 BD57 BC64:BI64 BC63:BD63 BC66:BI66 BC65:BD65 BC68:BI68 BC67:BD67 BC70:BI70 BC69:BD69 BC72:BI72 BC71:BD71 BC73:BD73 BF73:BG73 AB51">
    <cfRule type="expression" dxfId="417" priority="50">
      <formula>$BE$55=0</formula>
    </cfRule>
  </conditionalFormatting>
  <conditionalFormatting sqref="C149:AL167">
    <cfRule type="expression" dxfId="416" priority="49">
      <formula>$A$2="MF"</formula>
    </cfRule>
  </conditionalFormatting>
  <conditionalFormatting sqref="D49 E51:F51 G49:AD49">
    <cfRule type="expression" dxfId="415" priority="48">
      <formula>$A$2="MF"</formula>
    </cfRule>
  </conditionalFormatting>
  <conditionalFormatting sqref="Z54:AD54">
    <cfRule type="notContainsBlanks" dxfId="414" priority="46">
      <formula>LEN(TRIM(Z54))&gt;0</formula>
    </cfRule>
  </conditionalFormatting>
  <conditionalFormatting sqref="BE73">
    <cfRule type="expression" dxfId="413" priority="12">
      <formula>$BE$55=0</formula>
    </cfRule>
    <cfRule type="notContainsBlanks" dxfId="412" priority="37">
      <formula>LEN(TRIM(BE73))&gt;0</formula>
    </cfRule>
  </conditionalFormatting>
  <conditionalFormatting sqref="BH73:BI73">
    <cfRule type="expression" dxfId="411" priority="11">
      <formula>$BE$55=0</formula>
    </cfRule>
    <cfRule type="notContainsBlanks" dxfId="410" priority="36">
      <formula>LEN(TRIM(BH73))&gt;0</formula>
    </cfRule>
  </conditionalFormatting>
  <conditionalFormatting sqref="BE57:BI57">
    <cfRule type="notContainsBlanks" dxfId="409" priority="30">
      <formula>LEN(TRIM(BE57))&gt;0</formula>
    </cfRule>
  </conditionalFormatting>
  <conditionalFormatting sqref="BE57:BI57">
    <cfRule type="expression" dxfId="408" priority="29">
      <formula>$BE$55=0</formula>
    </cfRule>
  </conditionalFormatting>
  <conditionalFormatting sqref="BE63:BI63">
    <cfRule type="notContainsBlanks" dxfId="407" priority="28">
      <formula>LEN(TRIM(BE63))&gt;0</formula>
    </cfRule>
  </conditionalFormatting>
  <conditionalFormatting sqref="BE63:BI63">
    <cfRule type="expression" dxfId="406" priority="27">
      <formula>$BE$55=0</formula>
    </cfRule>
  </conditionalFormatting>
  <conditionalFormatting sqref="BE65:BI65">
    <cfRule type="notContainsBlanks" dxfId="405" priority="26">
      <formula>LEN(TRIM(BE65))&gt;0</formula>
    </cfRule>
  </conditionalFormatting>
  <conditionalFormatting sqref="BE65:BI65">
    <cfRule type="expression" dxfId="404" priority="25">
      <formula>$BE$55=0</formula>
    </cfRule>
  </conditionalFormatting>
  <conditionalFormatting sqref="BE67:BI67">
    <cfRule type="notContainsBlanks" dxfId="403" priority="24">
      <formula>LEN(TRIM(BE67))&gt;0</formula>
    </cfRule>
  </conditionalFormatting>
  <conditionalFormatting sqref="BE67:BI67">
    <cfRule type="expression" dxfId="402" priority="23">
      <formula>$BE$55=0</formula>
    </cfRule>
  </conditionalFormatting>
  <conditionalFormatting sqref="BC53">
    <cfRule type="expression" dxfId="401" priority="17">
      <formula>$BE$55=0</formula>
    </cfRule>
  </conditionalFormatting>
  <conditionalFormatting sqref="BC57">
    <cfRule type="expression" dxfId="400" priority="18">
      <formula>$BE$55=0</formula>
    </cfRule>
  </conditionalFormatting>
  <conditionalFormatting sqref="BE50">
    <cfRule type="expression" dxfId="399" priority="15">
      <formula>$BE$55=0</formula>
    </cfRule>
  </conditionalFormatting>
  <conditionalFormatting sqref="BE53:BI53">
    <cfRule type="notContainsBlanks" dxfId="398" priority="14">
      <formula>LEN(TRIM(BE53))&gt;0</formula>
    </cfRule>
  </conditionalFormatting>
  <conditionalFormatting sqref="BE53:BI53">
    <cfRule type="expression" dxfId="397" priority="13">
      <formula>$BE$55=0</formula>
    </cfRule>
  </conditionalFormatting>
  <conditionalFormatting sqref="AD99:AK99">
    <cfRule type="notContainsBlanks" dxfId="396" priority="10">
      <formula>LEN(TRIM(AD99))&gt;0</formula>
    </cfRule>
  </conditionalFormatting>
  <conditionalFormatting sqref="K99:R99">
    <cfRule type="notContainsBlanks" dxfId="395" priority="7">
      <formula>LEN(TRIM(K99))&gt;0</formula>
    </cfRule>
  </conditionalFormatting>
  <conditionalFormatting sqref="K95:R95 K97:R97 K101:R101">
    <cfRule type="notContainsBlanks" dxfId="394" priority="9">
      <formula>LEN(TRIM(K95))&gt;0</formula>
    </cfRule>
  </conditionalFormatting>
  <conditionalFormatting sqref="K103:R103">
    <cfRule type="notContainsBlanks" dxfId="393" priority="8">
      <formula>LEN(TRIM(K103))&gt;0</formula>
    </cfRule>
  </conditionalFormatting>
  <conditionalFormatting sqref="K105:R105">
    <cfRule type="notContainsBlanks" dxfId="392" priority="6">
      <formula>LEN(TRIM(K105))&gt;0</formula>
    </cfRule>
  </conditionalFormatting>
  <conditionalFormatting sqref="BE69:BI69">
    <cfRule type="notContainsBlanks" dxfId="391" priority="5">
      <formula>LEN(TRIM(BE69))&gt;0</formula>
    </cfRule>
  </conditionalFormatting>
  <conditionalFormatting sqref="BE69:BI69">
    <cfRule type="expression" dxfId="390" priority="4">
      <formula>$BE$55=0</formula>
    </cfRule>
  </conditionalFormatting>
  <conditionalFormatting sqref="BE71:BI71">
    <cfRule type="notContainsBlanks" dxfId="389" priority="3">
      <formula>LEN(TRIM(BE71))&gt;0</formula>
    </cfRule>
  </conditionalFormatting>
  <conditionalFormatting sqref="BE71:BI71">
    <cfRule type="expression" dxfId="388" priority="2">
      <formula>$BE$55=0</formula>
    </cfRule>
  </conditionalFormatting>
  <dataValidations count="3">
    <dataValidation type="date" operator="greaterThan" allowBlank="1" showInputMessage="1" showErrorMessage="1" sqref="AD101:AK101 K101:R101">
      <formula1>44561</formula1>
    </dataValidation>
    <dataValidation type="list" allowBlank="1" showInputMessage="1" showErrorMessage="1" sqref="K105:R105">
      <formula1>"Repeat applicant, PSE email, PSE social media post, PSE website, Google ad search, Word of mouth, Contractor referral, Other"</formula1>
    </dataValidation>
    <dataValidation type="list" allowBlank="1" showInputMessage="1" showErrorMessage="1" sqref="Z54:AD54">
      <formula1>Lookup_Payee1</formula1>
    </dataValidation>
  </dataValidations>
  <pageMargins left="0.25" right="0.25" top="0.75" bottom="0.75" header="0.3" footer="0.3"/>
  <pageSetup scale="5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Lookup!$BQ$20:$BQ$23</xm:f>
          </x14:formula1>
          <xm:sqref>BE53:BI53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BW145"/>
  <sheetViews>
    <sheetView showGridLines="0" zoomScale="90" zoomScaleNormal="90" workbookViewId="0">
      <pane ySplit="18" topLeftCell="A67" activePane="bottomLeft" state="frozen"/>
      <selection activeCell="C1" sqref="C1"/>
      <selection pane="bottomLeft" activeCell="H82" sqref="H82"/>
    </sheetView>
  </sheetViews>
  <sheetFormatPr defaultColWidth="9" defaultRowHeight="13.6"/>
  <cols>
    <col min="1" max="1" width="0.875" style="38" customWidth="1"/>
    <col min="2" max="2" width="15.875" style="38" customWidth="1"/>
    <col min="3" max="3" width="3.375" style="38" customWidth="1"/>
    <col min="4" max="4" width="0.875" style="38" customWidth="1"/>
    <col min="5" max="6" width="6.625" style="38" customWidth="1"/>
    <col min="7" max="9" width="5.625" style="38" customWidth="1"/>
    <col min="10" max="10" width="0.875" style="38" customWidth="1"/>
    <col min="11" max="18" width="6.625" style="38" customWidth="1"/>
    <col min="19" max="21" width="7.625" style="38" customWidth="1"/>
    <col min="22" max="23" width="6.625" style="38" customWidth="1"/>
    <col min="24" max="24" width="7.875" style="38" customWidth="1"/>
    <col min="25" max="25" width="8.125" style="38" customWidth="1"/>
    <col min="26" max="35" width="6.625" style="38" customWidth="1"/>
    <col min="36" max="38" width="8.625" style="38" customWidth="1"/>
    <col min="39" max="40" width="6.625" style="38" customWidth="1"/>
    <col min="41" max="42" width="8.625" style="38" customWidth="1"/>
    <col min="43" max="43" width="10.25" style="38" bestFit="1" customWidth="1"/>
    <col min="44" max="44" width="10.875" style="38" bestFit="1" customWidth="1"/>
    <col min="45" max="45" width="13.375" style="38" bestFit="1" customWidth="1"/>
    <col min="46" max="46" width="10.875" style="38" customWidth="1"/>
    <col min="47" max="49" width="8.625" style="38" customWidth="1"/>
    <col min="50" max="50" width="10.625" style="38" customWidth="1"/>
    <col min="51" max="54" width="8.625" style="38" customWidth="1"/>
    <col min="55" max="60" width="6.625" style="38" customWidth="1"/>
    <col min="61" max="71" width="9" style="38" customWidth="1"/>
    <col min="72" max="16384" width="9" style="38"/>
  </cols>
  <sheetData>
    <row r="1" spans="2:49" customFormat="1" ht="5.0999999999999996" customHeight="1"/>
    <row r="2" spans="2:49" s="3" customFormat="1" ht="14.95" customHeight="1">
      <c r="B2" s="1090">
        <f>__NC_Incentive</f>
        <v>0</v>
      </c>
      <c r="C2" s="1396"/>
      <c r="D2" s="1396"/>
      <c r="E2" s="494"/>
      <c r="F2" s="56"/>
      <c r="G2" s="56"/>
      <c r="H2" s="56"/>
      <c r="I2" s="5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166"/>
      <c r="AP2" s="1131"/>
      <c r="AQ2" s="528"/>
      <c r="AR2" s="528"/>
      <c r="AS2" s="528"/>
      <c r="AT2" s="528"/>
      <c r="AU2" s="1396"/>
      <c r="AV2" s="1396"/>
      <c r="AW2" s="1396"/>
    </row>
    <row r="3" spans="2:49" s="3" customFormat="1" ht="5.0999999999999996" customHeight="1">
      <c r="B3" s="44"/>
      <c r="C3" s="1396"/>
      <c r="D3" s="1396"/>
      <c r="E3" s="1396"/>
      <c r="F3" s="1396"/>
      <c r="G3" s="1396"/>
      <c r="H3" s="1396"/>
      <c r="I3" s="1396"/>
      <c r="J3" s="1396"/>
      <c r="K3" s="1396"/>
      <c r="L3" s="1396"/>
      <c r="M3" s="1396"/>
      <c r="N3" s="1396"/>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1396"/>
      <c r="AL3" s="1396"/>
      <c r="AM3" s="1396"/>
      <c r="AN3" s="1396"/>
      <c r="AO3" s="1418"/>
      <c r="AP3" s="1396"/>
      <c r="AQ3" s="1396"/>
      <c r="AR3" s="1396"/>
      <c r="AS3" s="1396"/>
      <c r="AT3" s="1396"/>
      <c r="AU3" s="1396"/>
      <c r="AV3" s="1396"/>
      <c r="AW3" s="1396"/>
    </row>
    <row r="4" spans="2:49" s="3" customFormat="1" ht="14.95" customHeight="1">
      <c r="B4" s="1091">
        <f>K26</f>
        <v>0</v>
      </c>
      <c r="C4" s="1396"/>
      <c r="D4" s="1396"/>
      <c r="E4"/>
      <c r="F4"/>
      <c r="G4"/>
      <c r="H4"/>
      <c r="I4"/>
      <c r="J4" s="1396"/>
      <c r="K4" s="1396"/>
      <c r="L4" s="1396"/>
      <c r="M4" s="1396"/>
      <c r="N4" s="1396"/>
      <c r="O4" s="1396"/>
      <c r="P4" s="1396"/>
      <c r="Q4" s="1396"/>
      <c r="R4" s="1396"/>
      <c r="S4" s="1396"/>
      <c r="T4" s="1396"/>
      <c r="U4" s="1396"/>
      <c r="V4"/>
      <c r="W4" s="1396"/>
      <c r="X4" s="1396"/>
      <c r="Y4" s="1396"/>
      <c r="Z4" s="1396"/>
      <c r="AA4" s="1396"/>
      <c r="AB4" s="1396"/>
      <c r="AC4" s="1396"/>
      <c r="AD4" s="1396"/>
      <c r="AE4" s="1396"/>
      <c r="AF4" s="1396"/>
      <c r="AG4" s="1396"/>
      <c r="AH4" s="1396"/>
      <c r="AI4" s="1396"/>
      <c r="AJ4" s="1396"/>
      <c r="AK4" s="1396"/>
      <c r="AL4" s="1396"/>
      <c r="AM4" s="1396"/>
      <c r="AN4" s="1396"/>
      <c r="AO4" s="1166"/>
      <c r="AP4" s="1131"/>
      <c r="AQ4" s="528"/>
      <c r="AR4" s="528"/>
      <c r="AS4" s="528"/>
      <c r="AT4" s="528"/>
      <c r="AU4" s="1396"/>
      <c r="AV4" s="1396"/>
      <c r="AW4" s="1396"/>
    </row>
    <row r="5" spans="2:49" s="3" customFormat="1" ht="5.0999999999999996" customHeight="1">
      <c r="B5" s="1396"/>
      <c r="C5" s="1396"/>
      <c r="D5" s="1396"/>
      <c r="E5" s="1396"/>
      <c r="F5" s="1396"/>
      <c r="G5" s="1396"/>
      <c r="H5" s="1396"/>
      <c r="I5" s="1396"/>
      <c r="J5" s="1396"/>
      <c r="K5" s="1396"/>
      <c r="L5" s="1396"/>
      <c r="M5" s="1396"/>
      <c r="N5" s="1396"/>
      <c r="O5" s="1396"/>
      <c r="P5" s="1396"/>
      <c r="Q5" s="1396"/>
      <c r="R5" s="1396"/>
      <c r="S5" s="1396"/>
      <c r="T5" s="1396"/>
      <c r="U5" s="1396"/>
      <c r="V5"/>
      <c r="W5" s="1396"/>
      <c r="X5" s="1396"/>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6"/>
    </row>
    <row r="6" spans="2:49" s="3" customFormat="1" ht="14.95" customHeight="1">
      <c r="B6" s="544"/>
      <c r="C6" s="1396"/>
      <c r="D6" s="1396"/>
      <c r="E6" s="1396"/>
      <c r="F6" s="1396"/>
      <c r="G6" s="1396"/>
      <c r="H6" s="1396"/>
      <c r="I6" s="1396"/>
      <c r="J6" s="1396"/>
      <c r="K6" s="1396"/>
      <c r="L6" s="1396"/>
      <c r="M6" s="1396"/>
      <c r="N6" s="1396"/>
      <c r="O6" s="1396"/>
      <c r="P6" s="1396"/>
      <c r="Q6" s="1396"/>
      <c r="R6" s="1396"/>
      <c r="S6" s="1396"/>
      <c r="T6" s="1396"/>
      <c r="U6" s="1396"/>
      <c r="V6" s="1396"/>
      <c r="W6" s="1396"/>
      <c r="X6" s="1396"/>
      <c r="Y6" s="1396"/>
      <c r="Z6" s="1396"/>
      <c r="AA6" s="1396"/>
      <c r="AB6" s="1396"/>
      <c r="AC6" s="1396"/>
      <c r="AD6" s="1396"/>
      <c r="AE6" s="1396"/>
      <c r="AF6" s="1396"/>
      <c r="AG6" s="1396"/>
      <c r="AH6" s="1396"/>
      <c r="AI6" s="1396"/>
      <c r="AJ6" s="1396"/>
      <c r="AK6" s="1396"/>
      <c r="AL6" s="1396"/>
      <c r="AM6" s="1396"/>
      <c r="AN6" s="1396"/>
      <c r="AO6" s="1166"/>
      <c r="AP6" s="1131"/>
      <c r="AQ6" s="38"/>
      <c r="AR6" s="38"/>
      <c r="AS6" s="38"/>
      <c r="AT6" s="38"/>
      <c r="AU6" s="1396"/>
      <c r="AV6" s="1396"/>
      <c r="AW6" s="528"/>
    </row>
    <row r="7" spans="2:49" s="3" customFormat="1" ht="5.0999999999999996" customHeight="1">
      <c r="B7" s="1396"/>
      <c r="C7" s="1396"/>
      <c r="D7" s="1396"/>
      <c r="E7" s="1396"/>
      <c r="F7" s="1396"/>
      <c r="G7" s="1396"/>
      <c r="H7" s="1396"/>
      <c r="I7" s="1396"/>
      <c r="J7" s="1396"/>
      <c r="K7" s="1396"/>
      <c r="L7" s="1438" t="str">
        <f>Lookup!$B$19</f>
        <v>BUSINESS LIGHTING INCENTIVE PROGRAM</v>
      </c>
      <c r="M7" s="1438"/>
      <c r="N7" s="1438"/>
      <c r="O7" s="1438"/>
      <c r="P7" s="1438"/>
      <c r="Q7" s="1438"/>
      <c r="R7" s="1438"/>
      <c r="S7" s="1438"/>
      <c r="T7" s="1438"/>
      <c r="U7" s="1438"/>
      <c r="V7" s="1438"/>
      <c r="W7" s="1438"/>
      <c r="X7" s="1438"/>
      <c r="Y7" s="1438"/>
      <c r="Z7" s="1438"/>
      <c r="AA7" s="1438"/>
      <c r="AB7" s="1438"/>
      <c r="AC7" s="1438"/>
      <c r="AD7" s="1438"/>
      <c r="AE7" s="1438"/>
      <c r="AF7" s="16"/>
      <c r="AG7" s="16"/>
      <c r="AH7" s="1396"/>
      <c r="AI7" s="1396"/>
      <c r="AJ7" s="1396"/>
      <c r="AK7" s="1396"/>
      <c r="AL7" s="1396"/>
      <c r="AM7" s="1396"/>
      <c r="AN7" s="1396"/>
      <c r="AO7" s="1396"/>
      <c r="AP7" s="1396"/>
      <c r="AQ7" s="1396"/>
      <c r="AR7" s="1396"/>
      <c r="AS7" s="1396"/>
      <c r="AT7" s="1396"/>
      <c r="AU7" s="1396"/>
      <c r="AV7" s="1396"/>
      <c r="AW7" s="1396"/>
    </row>
    <row r="8" spans="2:49" s="3" customFormat="1" ht="14.3" customHeight="1">
      <c r="B8" s="1102"/>
      <c r="C8" s="1396"/>
      <c r="D8" s="1396"/>
      <c r="E8" s="1396"/>
      <c r="F8" s="1396"/>
      <c r="G8" s="1396"/>
      <c r="H8" s="1396"/>
      <c r="I8" s="1396"/>
      <c r="J8" s="1396"/>
      <c r="K8" s="1396"/>
      <c r="L8" s="1438"/>
      <c r="M8" s="1438"/>
      <c r="N8" s="1438"/>
      <c r="O8" s="1438"/>
      <c r="P8" s="1438"/>
      <c r="Q8" s="1438"/>
      <c r="R8" s="1438"/>
      <c r="S8" s="1438"/>
      <c r="T8" s="1438"/>
      <c r="U8" s="1438"/>
      <c r="V8" s="1438"/>
      <c r="W8" s="1438"/>
      <c r="X8" s="1438"/>
      <c r="Y8" s="1438"/>
      <c r="Z8" s="1438"/>
      <c r="AA8" s="1438"/>
      <c r="AB8" s="1438"/>
      <c r="AC8" s="1438"/>
      <c r="AD8" s="1438"/>
      <c r="AE8" s="1438"/>
      <c r="AF8" s="16"/>
      <c r="AG8" s="16"/>
      <c r="AH8" s="1396"/>
      <c r="AI8" s="1396"/>
      <c r="AJ8" s="1396"/>
      <c r="AK8" s="1396"/>
      <c r="AL8" s="1396"/>
      <c r="AM8" s="1396"/>
      <c r="AN8" s="1396"/>
      <c r="AO8" s="1166"/>
      <c r="AP8" s="1131"/>
      <c r="AQ8" s="528"/>
      <c r="AR8" s="528"/>
      <c r="AS8" s="528"/>
      <c r="AT8" s="528"/>
      <c r="AU8" s="1396"/>
      <c r="AV8" s="1396"/>
      <c r="AW8" s="1396"/>
    </row>
    <row r="9" spans="2:49" s="3" customFormat="1" ht="5.0999999999999996" customHeight="1">
      <c r="B9" s="1396"/>
      <c r="C9" s="1396"/>
      <c r="D9" s="1396"/>
      <c r="E9" s="1396"/>
      <c r="F9" s="1396"/>
      <c r="G9" s="1396"/>
      <c r="H9" s="1396"/>
      <c r="I9" s="428"/>
      <c r="J9" s="428"/>
      <c r="K9" s="428"/>
      <c r="L9" s="1439" t="str">
        <f>Lookup!$B$20</f>
        <v>Business Lighting ─ STANDARD V24-02 ─ Valid through 06/30/2024</v>
      </c>
      <c r="M9" s="1439"/>
      <c r="N9" s="1439"/>
      <c r="O9" s="1439"/>
      <c r="P9" s="1439"/>
      <c r="Q9" s="1439"/>
      <c r="R9" s="1439"/>
      <c r="S9" s="1439"/>
      <c r="T9" s="1439"/>
      <c r="U9" s="1439"/>
      <c r="V9" s="1439"/>
      <c r="W9" s="1439"/>
      <c r="X9" s="1439"/>
      <c r="Y9" s="1439"/>
      <c r="Z9" s="1439"/>
      <c r="AA9" s="1439"/>
      <c r="AB9" s="1439"/>
      <c r="AC9" s="1439"/>
      <c r="AD9" s="1439"/>
      <c r="AE9" s="1439"/>
      <c r="AF9" s="400"/>
      <c r="AG9" s="400"/>
      <c r="AH9" s="1396"/>
      <c r="AI9" s="1396"/>
      <c r="AJ9" s="1396"/>
      <c r="AK9" s="1396"/>
      <c r="AL9" s="1396"/>
      <c r="AM9" s="1396"/>
      <c r="AN9" s="1396"/>
      <c r="AO9" s="2"/>
      <c r="AP9" s="1396"/>
      <c r="AQ9" s="1396"/>
      <c r="AR9" s="1396"/>
      <c r="AS9" s="1396"/>
      <c r="AT9" s="1396"/>
      <c r="AU9" s="1396"/>
      <c r="AV9" s="1396"/>
      <c r="AW9" s="1396"/>
    </row>
    <row r="10" spans="2:49" s="3" customFormat="1" ht="14.95" customHeight="1">
      <c r="B10" s="1396"/>
      <c r="C10" s="1396"/>
      <c r="D10" s="1396"/>
      <c r="E10" s="1396"/>
      <c r="F10" s="1396"/>
      <c r="G10" s="1396"/>
      <c r="H10" s="1396"/>
      <c r="I10" s="1396"/>
      <c r="J10" s="1396"/>
      <c r="K10" s="1396"/>
      <c r="L10" s="1439"/>
      <c r="M10" s="1439"/>
      <c r="N10" s="1439"/>
      <c r="O10" s="1439"/>
      <c r="P10" s="1439"/>
      <c r="Q10" s="1439"/>
      <c r="R10" s="1439"/>
      <c r="S10" s="1439"/>
      <c r="T10" s="1439"/>
      <c r="U10" s="1439"/>
      <c r="V10" s="1439"/>
      <c r="W10" s="1439"/>
      <c r="X10" s="1439"/>
      <c r="Y10" s="1439"/>
      <c r="Z10" s="1439"/>
      <c r="AA10" s="1439"/>
      <c r="AB10" s="1439"/>
      <c r="AC10" s="1439"/>
      <c r="AD10" s="1439"/>
      <c r="AE10" s="1439"/>
      <c r="AF10" s="400"/>
      <c r="AG10" s="400"/>
      <c r="AH10" s="1396"/>
      <c r="AI10" s="1396"/>
      <c r="AJ10" s="1396"/>
      <c r="AK10" s="1396"/>
      <c r="AL10" s="1396"/>
      <c r="AM10" s="1396"/>
      <c r="AN10" s="1396"/>
      <c r="AO10" s="1166"/>
      <c r="AP10" s="1131"/>
      <c r="AQ10"/>
      <c r="AR10"/>
      <c r="AS10"/>
      <c r="AT10"/>
      <c r="AU10" s="1396"/>
      <c r="AV10" s="1396"/>
      <c r="AW10" s="1396"/>
    </row>
    <row r="11" spans="2:49" s="3" customFormat="1" ht="5.0999999999999996" customHeight="1">
      <c r="B11" s="1396"/>
      <c r="C11" s="1396"/>
      <c r="D11" s="1396"/>
      <c r="E11" s="1396"/>
      <c r="F11" s="1396"/>
      <c r="G11" s="1396"/>
      <c r="H11" s="1396"/>
      <c r="I11" s="435"/>
      <c r="J11" s="435"/>
      <c r="K11" s="435"/>
      <c r="L11" s="1449" t="str">
        <f>CONCATENATE("This is a ",Lookup!B16," lighting project")</f>
        <v>This is a RETROFIT lighting project</v>
      </c>
      <c r="M11" s="1449"/>
      <c r="N11" s="1449"/>
      <c r="O11" s="1449"/>
      <c r="P11" s="1449"/>
      <c r="Q11" s="1449"/>
      <c r="R11" s="1449"/>
      <c r="S11" s="1449"/>
      <c r="T11" s="1449"/>
      <c r="U11" s="1449"/>
      <c r="V11" s="1449"/>
      <c r="W11" s="1449"/>
      <c r="X11" s="1449"/>
      <c r="Y11" s="1449"/>
      <c r="Z11" s="1449"/>
      <c r="AA11" s="1449"/>
      <c r="AB11" s="1449"/>
      <c r="AC11" s="1449"/>
      <c r="AD11" s="1449"/>
      <c r="AE11" s="1449"/>
      <c r="AF11" s="535"/>
      <c r="AG11" s="535"/>
      <c r="AH11" s="1396"/>
      <c r="AI11" s="1396"/>
      <c r="AJ11" s="1396"/>
      <c r="AK11" s="1396"/>
      <c r="AL11" s="1396"/>
      <c r="AM11" s="1396"/>
      <c r="AN11" s="1396"/>
      <c r="AO11" s="2"/>
      <c r="AP11" s="1396"/>
      <c r="AQ11" s="1396"/>
      <c r="AR11" s="1396"/>
      <c r="AS11" s="1396"/>
      <c r="AT11" s="1396"/>
      <c r="AU11" s="1396"/>
      <c r="AV11" s="1396"/>
      <c r="AW11" s="1396"/>
    </row>
    <row r="12" spans="2:49" s="3" customFormat="1" ht="14.3" customHeight="1">
      <c r="B12" s="1396"/>
      <c r="C12" s="1396"/>
      <c r="D12" s="1396"/>
      <c r="E12" s="1396"/>
      <c r="F12" s="1396"/>
      <c r="G12" s="1396"/>
      <c r="H12" s="1396"/>
      <c r="I12" s="1396"/>
      <c r="J12" s="16"/>
      <c r="K12" s="16"/>
      <c r="L12" s="1449"/>
      <c r="M12" s="1449"/>
      <c r="N12" s="1449"/>
      <c r="O12" s="1449"/>
      <c r="P12" s="1449"/>
      <c r="Q12" s="1449"/>
      <c r="R12" s="1449"/>
      <c r="S12" s="1449"/>
      <c r="T12" s="1449"/>
      <c r="U12" s="1449"/>
      <c r="V12" s="1449"/>
      <c r="W12" s="1449"/>
      <c r="X12" s="1449"/>
      <c r="Y12" s="1449"/>
      <c r="Z12" s="1449"/>
      <c r="AA12" s="1449"/>
      <c r="AB12" s="1449"/>
      <c r="AC12" s="1449"/>
      <c r="AD12" s="1449"/>
      <c r="AE12" s="1449"/>
      <c r="AF12" s="535"/>
      <c r="AG12" s="535"/>
      <c r="AH12" s="1396"/>
      <c r="AI12" s="1396"/>
      <c r="AJ12" s="1396"/>
      <c r="AK12" s="1396"/>
      <c r="AL12" s="1396"/>
      <c r="AM12" s="1396"/>
      <c r="AN12" s="1396"/>
      <c r="AO12" s="1166"/>
      <c r="AP12" s="1131"/>
      <c r="AQ12" s="528"/>
      <c r="AR12" s="528"/>
      <c r="AS12" s="528"/>
      <c r="AT12" s="528"/>
      <c r="AU12" s="1396"/>
      <c r="AV12" s="1396"/>
      <c r="AW12" s="1396"/>
    </row>
    <row r="13" spans="2:49" s="3" customFormat="1" ht="5.0999999999999996" customHeight="1">
      <c r="B13" s="1396"/>
      <c r="C13" s="1396"/>
      <c r="D13" s="1396"/>
      <c r="E13" s="1396"/>
      <c r="F13" s="1396"/>
      <c r="G13" s="1396"/>
      <c r="H13" s="1396"/>
      <c r="I13" s="16"/>
      <c r="J13" s="16"/>
      <c r="K13" s="16"/>
      <c r="L13" s="1440" t="str">
        <f>Project!K13</f>
        <v>PSE Approval is required before the retrofit is started!</v>
      </c>
      <c r="M13" s="1440"/>
      <c r="N13" s="1440"/>
      <c r="O13" s="1440"/>
      <c r="P13" s="1440"/>
      <c r="Q13" s="1440"/>
      <c r="R13" s="1440"/>
      <c r="S13" s="1440"/>
      <c r="T13" s="1440"/>
      <c r="U13" s="1440"/>
      <c r="V13" s="1440"/>
      <c r="W13" s="1440"/>
      <c r="X13" s="1440"/>
      <c r="Y13" s="1440"/>
      <c r="Z13" s="1440"/>
      <c r="AA13" s="1440"/>
      <c r="AB13" s="1440"/>
      <c r="AC13" s="1440"/>
      <c r="AD13" s="1440"/>
      <c r="AE13" s="1440"/>
      <c r="AF13" s="616"/>
      <c r="AG13" s="616"/>
      <c r="AH13" s="1396"/>
      <c r="AI13" s="1396"/>
      <c r="AJ13" s="1396"/>
      <c r="AK13" s="1396"/>
      <c r="AL13" s="1396"/>
      <c r="AM13" s="1396"/>
      <c r="AN13" s="1396"/>
      <c r="AO13" s="1396"/>
      <c r="AP13" s="1396"/>
      <c r="AQ13" s="1396"/>
      <c r="AR13" s="1396"/>
      <c r="AS13" s="1396"/>
      <c r="AT13" s="1396"/>
      <c r="AU13" s="1396"/>
      <c r="AV13" s="1396"/>
      <c r="AW13" s="1396"/>
    </row>
    <row r="14" spans="2:49" s="3" customFormat="1" ht="14.3" customHeight="1">
      <c r="B14" s="1396"/>
      <c r="C14" s="1396"/>
      <c r="D14" s="1396"/>
      <c r="E14" s="1396"/>
      <c r="F14" s="1396"/>
      <c r="G14" s="1396"/>
      <c r="H14" s="1396"/>
      <c r="I14" s="1396"/>
      <c r="J14" s="1396"/>
      <c r="K14" s="1396"/>
      <c r="L14" s="1440"/>
      <c r="M14" s="1440"/>
      <c r="N14" s="1440"/>
      <c r="O14" s="1440"/>
      <c r="P14" s="1440"/>
      <c r="Q14" s="1440"/>
      <c r="R14" s="1440"/>
      <c r="S14" s="1440"/>
      <c r="T14" s="1440"/>
      <c r="U14" s="1440"/>
      <c r="V14" s="1440"/>
      <c r="W14" s="1440"/>
      <c r="X14" s="1440"/>
      <c r="Y14" s="1440"/>
      <c r="Z14" s="1440"/>
      <c r="AA14" s="1440"/>
      <c r="AB14" s="1440"/>
      <c r="AC14" s="1440"/>
      <c r="AD14" s="1440"/>
      <c r="AE14" s="1440"/>
      <c r="AF14" s="616"/>
      <c r="AG14" s="616"/>
      <c r="AH14" s="1396"/>
      <c r="AI14" s="1396"/>
      <c r="AJ14" s="1396"/>
      <c r="AK14" s="1396"/>
      <c r="AL14" s="1396"/>
      <c r="AM14" s="1396"/>
      <c r="AN14" s="1396"/>
      <c r="AO14" s="1166"/>
      <c r="AP14" s="1131"/>
      <c r="AQ14" s="528"/>
      <c r="AR14" s="528"/>
      <c r="AS14" s="528"/>
      <c r="AT14" s="528"/>
      <c r="AU14" s="1396"/>
      <c r="AV14" s="1396"/>
      <c r="AW14" s="1396"/>
    </row>
    <row r="15" spans="2:49" s="3" customFormat="1" ht="5.0999999999999996" customHeight="1">
      <c r="B15" s="1396"/>
      <c r="C15" s="1396"/>
      <c r="D15" s="1396"/>
      <c r="E15" s="1396"/>
      <c r="F15" s="1396"/>
      <c r="G15" s="1396"/>
      <c r="H15" s="1396"/>
      <c r="I15" s="1396"/>
      <c r="J15" s="1396"/>
      <c r="K15" s="1396"/>
      <c r="L15" s="429"/>
      <c r="M15" s="429"/>
      <c r="N15" s="429"/>
      <c r="O15" s="429"/>
      <c r="P15" s="429"/>
      <c r="Q15" s="429"/>
      <c r="R15" s="429"/>
      <c r="S15" s="429"/>
      <c r="T15" s="429"/>
      <c r="U15" s="429"/>
      <c r="V15" s="429"/>
      <c r="W15" s="429"/>
      <c r="X15" s="429"/>
      <c r="Y15" s="429"/>
      <c r="Z15" s="429"/>
      <c r="AA15" s="429"/>
      <c r="AB15" s="429"/>
      <c r="AC15" s="429"/>
      <c r="AD15" s="429"/>
      <c r="AE15" s="429"/>
      <c r="AF15" s="1396"/>
      <c r="AG15" s="1396"/>
      <c r="AH15" s="1396"/>
      <c r="AI15" s="1396"/>
      <c r="AJ15" s="1396"/>
      <c r="AK15" s="1396"/>
      <c r="AL15" s="1396"/>
      <c r="AM15" s="1396"/>
      <c r="AN15" s="1396"/>
      <c r="AO15" s="1396"/>
      <c r="AP15" s="1396"/>
      <c r="AQ15" s="1396"/>
      <c r="AR15" s="1396"/>
      <c r="AS15" s="1396"/>
      <c r="AT15" s="1396"/>
      <c r="AU15" s="1396"/>
      <c r="AV15" s="1396"/>
      <c r="AW15" s="1396"/>
    </row>
    <row r="16" spans="2:49" s="3" customFormat="1" ht="14.3" customHeight="1">
      <c r="B16" s="1396"/>
      <c r="C16" s="1396"/>
      <c r="D16" s="1396"/>
      <c r="E16" s="1396"/>
      <c r="F16" s="1396"/>
      <c r="G16" s="1396"/>
      <c r="H16" s="1396"/>
      <c r="I16" s="1396"/>
      <c r="J16" s="1396"/>
      <c r="K16" s="1396"/>
      <c r="L16" s="88"/>
      <c r="M16" s="88"/>
      <c r="N16" s="88"/>
      <c r="O16" s="88"/>
      <c r="P16" s="88"/>
      <c r="Q16" s="88"/>
      <c r="R16" s="88"/>
      <c r="S16" s="88"/>
      <c r="T16" s="88"/>
      <c r="U16" s="88"/>
      <c r="V16" s="88"/>
      <c r="W16" s="88"/>
      <c r="X16" s="88"/>
      <c r="Y16" s="88"/>
      <c r="Z16" s="88"/>
      <c r="AA16" s="88"/>
      <c r="AB16" s="88"/>
      <c r="AC16" s="88"/>
      <c r="AD16" s="1396"/>
      <c r="AE16" s="1396"/>
      <c r="AF16" s="1396"/>
      <c r="AG16" s="1396"/>
      <c r="AH16" s="1396"/>
      <c r="AI16" s="1396"/>
      <c r="AJ16" s="1396"/>
      <c r="AK16" s="1396"/>
      <c r="AL16" s="1396"/>
      <c r="AM16" s="1396"/>
      <c r="AN16" s="1396"/>
      <c r="AO16" s="1396"/>
      <c r="AP16" s="1424"/>
      <c r="AQ16" s="1396"/>
      <c r="AR16" s="1396"/>
      <c r="AS16" s="1396"/>
      <c r="AT16" s="1396"/>
      <c r="AU16" s="1396"/>
      <c r="AV16" s="1396"/>
      <c r="AW16" s="1396"/>
    </row>
    <row r="17" spans="1:59" s="3" customFormat="1" ht="5.0999999999999996" customHeight="1">
      <c r="A17" s="1396"/>
      <c r="B17" s="13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row>
    <row r="18" spans="1:59" customFormat="1" ht="14.3" customHeight="1">
      <c r="B18" s="38"/>
      <c r="E18" s="38"/>
      <c r="F18" s="38"/>
      <c r="G18" s="38"/>
      <c r="H18" s="38"/>
      <c r="I18" s="38"/>
      <c r="J18" s="38"/>
      <c r="K18" s="38"/>
      <c r="L18" s="38"/>
      <c r="M18" s="38"/>
      <c r="N18" s="38"/>
      <c r="O18" s="38"/>
      <c r="P18" s="38"/>
      <c r="Q18" s="2069"/>
      <c r="R18" s="2069"/>
      <c r="S18" s="38"/>
      <c r="T18" s="38"/>
      <c r="U18" s="38"/>
      <c r="V18" s="344"/>
      <c r="X18" s="38"/>
      <c r="Y18" s="38"/>
      <c r="Z18" s="38"/>
      <c r="AA18" s="38"/>
      <c r="AB18" s="38"/>
      <c r="AC18" s="38"/>
      <c r="AD18" s="38"/>
      <c r="AI18" s="38"/>
      <c r="AJ18" s="38"/>
      <c r="AK18" s="38"/>
      <c r="AL18" s="38"/>
      <c r="AM18" s="38"/>
      <c r="AN18" s="38"/>
      <c r="AO18" s="38"/>
      <c r="AP18" s="38"/>
      <c r="AQ18" s="38"/>
      <c r="AR18" s="38"/>
      <c r="AS18" s="38"/>
      <c r="AT18" s="38"/>
    </row>
    <row r="19" spans="1:59" customFormat="1" ht="2.0499999999999998" customHeight="1">
      <c r="A19" s="2068"/>
      <c r="B19" s="2068"/>
      <c r="C19" s="2068"/>
      <c r="D19" s="2068"/>
      <c r="E19" s="2068"/>
      <c r="F19" s="2068"/>
      <c r="G19" s="2068"/>
      <c r="H19" s="2068"/>
      <c r="I19" s="2068"/>
      <c r="J19" s="2068"/>
      <c r="K19" s="2068"/>
      <c r="L19" s="2068"/>
      <c r="M19" s="2068"/>
      <c r="N19" s="2068"/>
      <c r="O19" s="2068"/>
      <c r="P19" s="2068"/>
      <c r="Q19" s="2068"/>
      <c r="R19" s="2068"/>
      <c r="S19" s="2068"/>
      <c r="T19" s="2068"/>
      <c r="U19" s="2068"/>
      <c r="V19" s="2068"/>
      <c r="W19" s="2068"/>
      <c r="X19" s="2068"/>
      <c r="Y19" s="2068"/>
      <c r="Z19" s="2068"/>
      <c r="AA19" s="2068"/>
      <c r="AB19" s="2068"/>
      <c r="AC19" s="2068"/>
      <c r="AD19" s="2068"/>
      <c r="AE19" s="2068"/>
      <c r="AF19" s="2068"/>
      <c r="AG19" s="2068"/>
      <c r="AH19" s="2068"/>
      <c r="AI19" s="2068"/>
      <c r="AJ19" s="2068"/>
      <c r="AK19" s="1119"/>
      <c r="AL19" s="1119"/>
      <c r="AM19" s="1119"/>
      <c r="AN19" s="1119"/>
      <c r="AO19" s="1119"/>
      <c r="AP19" s="1119"/>
      <c r="AQ19" s="1119"/>
      <c r="AR19" s="1119"/>
      <c r="AS19" s="1119"/>
      <c r="AT19" s="1119"/>
      <c r="AU19" s="1119"/>
    </row>
    <row r="20" spans="1:59" customFormat="1" ht="14.3" customHeight="1">
      <c r="B20" s="38"/>
      <c r="E20" s="2051" t="str">
        <f>IF(__TI_NC=1,"Tenant Improvement - Code is baseline",IF(__TI_NC=2,"New Construction - Code is baseline","Retrofit - this page is not used"))</f>
        <v>Retrofit - this page is not used</v>
      </c>
      <c r="F20" s="2052"/>
      <c r="G20" s="2052"/>
      <c r="H20" s="2053"/>
      <c r="I20" s="38"/>
      <c r="J20" s="38"/>
      <c r="K20" s="2077" t="s">
        <v>533</v>
      </c>
      <c r="L20" s="2077"/>
      <c r="M20" s="2077"/>
      <c r="N20" s="2077"/>
      <c r="O20" s="2077"/>
      <c r="P20" s="2077"/>
      <c r="Q20" s="2077"/>
      <c r="R20" s="2077"/>
      <c r="S20" s="2077"/>
      <c r="T20" s="1101"/>
      <c r="U20" s="2070" t="s">
        <v>534</v>
      </c>
      <c r="V20" s="2070"/>
      <c r="W20" s="38"/>
      <c r="X20" s="101" t="s">
        <v>239</v>
      </c>
      <c r="Y20" s="101" t="s">
        <v>257</v>
      </c>
      <c r="Z20" s="38"/>
      <c r="AA20" s="38"/>
      <c r="AB20" s="38"/>
      <c r="AC20" s="38"/>
      <c r="AD20" s="38"/>
      <c r="AE20" s="223" t="str">
        <f>Project!U22</f>
        <v>Project Name</v>
      </c>
      <c r="AF20" s="1699" t="str">
        <f>IF(Project!V22="","",Project!V22)</f>
        <v/>
      </c>
      <c r="AG20" s="1700"/>
      <c r="AH20" s="1700"/>
      <c r="AI20" s="1701"/>
      <c r="AK20" s="38"/>
      <c r="AL20" s="38"/>
      <c r="AM20" s="38"/>
      <c r="AN20" s="86" t="s">
        <v>234</v>
      </c>
      <c r="AO20" s="86" t="s">
        <v>218</v>
      </c>
      <c r="AP20" s="86" t="s">
        <v>340</v>
      </c>
      <c r="AQ20" s="86"/>
      <c r="AR20" s="86"/>
      <c r="AS20" s="86"/>
      <c r="AT20" s="86"/>
      <c r="AX20" s="92"/>
    </row>
    <row r="21" spans="1:59" customFormat="1" ht="2.0499999999999998" customHeight="1">
      <c r="B21" s="38"/>
      <c r="E21" s="2054"/>
      <c r="F21" s="2055"/>
      <c r="G21" s="2055"/>
      <c r="H21" s="2056"/>
      <c r="I21" s="38"/>
      <c r="J21" s="38"/>
      <c r="L21" s="38"/>
      <c r="M21" s="14"/>
      <c r="N21" s="38"/>
      <c r="O21" s="38"/>
      <c r="P21" s="38"/>
      <c r="Q21" s="38"/>
      <c r="R21" s="38"/>
      <c r="S21" s="38"/>
      <c r="T21" s="38"/>
      <c r="U21" s="2070"/>
      <c r="V21" s="2070"/>
      <c r="W21" s="38"/>
      <c r="Z21" s="38"/>
      <c r="AA21" s="38"/>
      <c r="AB21" s="38"/>
      <c r="AD21" s="172"/>
      <c r="AE21" s="38"/>
      <c r="AG21" s="93"/>
      <c r="AH21" s="93"/>
      <c r="AK21" s="38"/>
      <c r="AL21" s="38"/>
      <c r="AM21" s="38"/>
      <c r="AN21" s="12"/>
      <c r="AO21" s="12"/>
      <c r="AP21" s="12"/>
      <c r="AQ21" s="12"/>
      <c r="AR21" s="12"/>
      <c r="AS21" s="12"/>
      <c r="AT21" s="12"/>
      <c r="AU21" s="38"/>
      <c r="AV21" s="38"/>
      <c r="AW21" s="38"/>
      <c r="AX21" s="38"/>
    </row>
    <row r="22" spans="1:59" customFormat="1" ht="14.3" customHeight="1">
      <c r="B22" s="38"/>
      <c r="E22" s="2054"/>
      <c r="F22" s="2055"/>
      <c r="G22" s="2055"/>
      <c r="H22" s="2056"/>
      <c r="I22" s="38"/>
      <c r="J22" s="38"/>
      <c r="K22" s="2048">
        <f>AP22</f>
        <v>0</v>
      </c>
      <c r="L22" s="2049"/>
      <c r="M22" s="1096" t="s">
        <v>398</v>
      </c>
      <c r="N22" s="38"/>
      <c r="O22" s="38"/>
      <c r="P22" s="2064">
        <f>Y40+Y79</f>
        <v>0</v>
      </c>
      <c r="Q22" s="2065"/>
      <c r="R22" s="1096" t="s">
        <v>411</v>
      </c>
      <c r="S22" s="38"/>
      <c r="T22" s="116"/>
      <c r="U22" s="2070"/>
      <c r="V22" s="2070"/>
      <c r="W22" s="38"/>
      <c r="X22" s="38"/>
      <c r="Y22" s="1163">
        <f>IFERROR(IF(AN28&lt;0.05,0,AX73+AX112),0)</f>
        <v>0</v>
      </c>
      <c r="Z22" s="38" t="s">
        <v>404</v>
      </c>
      <c r="AA22" s="38"/>
      <c r="AB22" s="38"/>
      <c r="AC22" s="38"/>
      <c r="AD22" s="38"/>
      <c r="AE22" s="223" t="str">
        <f>Project!U24</f>
        <v>Business Name</v>
      </c>
      <c r="AF22" s="1699" t="str">
        <f>IF(Project!V24="","",Project!V24)</f>
        <v/>
      </c>
      <c r="AG22" s="1700"/>
      <c r="AH22" s="1700"/>
      <c r="AI22" s="1701"/>
      <c r="AJ22" s="38"/>
      <c r="AK22" s="38"/>
      <c r="AL22" s="38"/>
      <c r="AM22" s="1107" t="s">
        <v>398</v>
      </c>
      <c r="AN22" s="86">
        <f>IFERROR(AE39+AE78,0)</f>
        <v>0</v>
      </c>
      <c r="AO22" s="337">
        <f>BS73+BS112</f>
        <v>0</v>
      </c>
      <c r="AP22" s="337">
        <f>AN22+AO22</f>
        <v>0</v>
      </c>
      <c r="AQ22" s="337"/>
      <c r="AR22" s="337"/>
      <c r="AS22" s="337"/>
      <c r="AT22" s="337"/>
      <c r="AX22" s="92"/>
      <c r="AY22" s="38"/>
      <c r="AZ22" s="38"/>
      <c r="BA22" s="38"/>
      <c r="BB22" s="38"/>
      <c r="BC22" s="38"/>
      <c r="BD22" s="38"/>
      <c r="BE22" s="38"/>
      <c r="BF22" s="38"/>
      <c r="BG22" s="38"/>
    </row>
    <row r="23" spans="1:59" customFormat="1" ht="2.0499999999999998" customHeight="1">
      <c r="B23" s="38"/>
      <c r="E23" s="2054"/>
      <c r="F23" s="2055"/>
      <c r="G23" s="2055"/>
      <c r="H23" s="2056"/>
      <c r="I23" s="38"/>
      <c r="J23" s="38"/>
      <c r="K23" s="38"/>
      <c r="L23" s="38"/>
      <c r="M23" s="38"/>
      <c r="N23" s="38"/>
      <c r="O23" s="38"/>
      <c r="P23" s="38"/>
      <c r="Q23" s="38"/>
      <c r="R23" s="38"/>
      <c r="T23" s="12"/>
      <c r="U23" s="38"/>
      <c r="V23" s="1097"/>
      <c r="W23" s="10"/>
      <c r="X23" s="316"/>
      <c r="Y23" s="316"/>
      <c r="Z23" s="38"/>
      <c r="AA23" s="38"/>
      <c r="AB23" s="38"/>
      <c r="AD23" s="38"/>
      <c r="AE23" s="314"/>
      <c r="AF23" s="38"/>
      <c r="AG23" s="38"/>
      <c r="AH23" s="38"/>
      <c r="AI23" s="38"/>
      <c r="AJ23" s="38"/>
      <c r="AK23" s="38"/>
      <c r="AL23" s="38"/>
      <c r="AM23" s="1107"/>
      <c r="AN23" s="86"/>
      <c r="AO23" s="86"/>
      <c r="AP23" s="86"/>
      <c r="AQ23" s="86"/>
      <c r="AR23" s="86"/>
      <c r="AS23" s="86"/>
      <c r="AT23" s="86"/>
      <c r="AU23" s="92"/>
      <c r="AV23" s="92"/>
      <c r="AW23" s="92"/>
      <c r="AX23" s="92"/>
      <c r="AY23" s="38"/>
      <c r="AZ23" s="38"/>
      <c r="BA23" s="38"/>
      <c r="BB23" s="38"/>
      <c r="BC23" s="38"/>
      <c r="BD23" s="38"/>
      <c r="BE23" s="38"/>
      <c r="BF23" s="38"/>
      <c r="BG23" s="38"/>
    </row>
    <row r="24" spans="1:59" customFormat="1" ht="14.3" customHeight="1">
      <c r="B24" s="38"/>
      <c r="E24" s="2054"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2055"/>
      <c r="G24" s="2055"/>
      <c r="H24" s="2056"/>
      <c r="I24" s="38"/>
      <c r="J24" s="38"/>
      <c r="K24" s="2048">
        <f>AP24</f>
        <v>0</v>
      </c>
      <c r="L24" s="2049"/>
      <c r="M24" s="1096" t="s">
        <v>403</v>
      </c>
      <c r="N24" s="38"/>
      <c r="O24" s="38"/>
      <c r="P24" s="2064">
        <f>Q40+Q79</f>
        <v>0</v>
      </c>
      <c r="Q24" s="2065"/>
      <c r="R24" s="1096" t="s">
        <v>280</v>
      </c>
      <c r="S24" s="1089"/>
      <c r="T24" s="116"/>
      <c r="U24" s="1885">
        <f>Y22+Y24+Y26+Y28+Y30</f>
        <v>0</v>
      </c>
      <c r="V24" s="1886"/>
      <c r="W24" s="38"/>
      <c r="X24" s="695">
        <f>BK73+BK112</f>
        <v>0</v>
      </c>
      <c r="Y24" s="1163">
        <f>X24*VLOOKUP("TLED",Lookup!J$2:K$24,2,FALSE)</f>
        <v>0</v>
      </c>
      <c r="Z24" s="38" t="s">
        <v>218</v>
      </c>
      <c r="AA24" s="38"/>
      <c r="AB24" s="38"/>
      <c r="AC24" s="38"/>
      <c r="AD24" s="38"/>
      <c r="AE24" s="223" t="str">
        <f>Project!U30</f>
        <v>Project Site Address</v>
      </c>
      <c r="AF24" s="1699" t="str">
        <f>IF(Project!V30="","",Project!V30)</f>
        <v/>
      </c>
      <c r="AG24" s="1700"/>
      <c r="AH24" s="1700"/>
      <c r="AI24" s="1701"/>
      <c r="AJ24" s="38"/>
      <c r="AK24" s="38"/>
      <c r="AL24" s="38"/>
      <c r="AM24" s="1107" t="s">
        <v>403</v>
      </c>
      <c r="AN24" s="337">
        <f>AG39+AG78</f>
        <v>0</v>
      </c>
      <c r="AO24" s="337">
        <f>BU73+BU112</f>
        <v>0</v>
      </c>
      <c r="AP24" s="337">
        <f>AN24+AO24</f>
        <v>0</v>
      </c>
      <c r="AQ24" s="337"/>
      <c r="AR24" s="337"/>
      <c r="AS24" s="337"/>
      <c r="AT24" s="337"/>
      <c r="AU24" s="370"/>
      <c r="AV24" s="370"/>
      <c r="AW24" s="370"/>
      <c r="AX24" s="470"/>
      <c r="AY24" s="38"/>
      <c r="AZ24" s="38"/>
      <c r="BA24" s="38"/>
      <c r="BB24" s="38"/>
      <c r="BC24" s="38"/>
      <c r="BD24" s="38"/>
      <c r="BE24" s="38"/>
      <c r="BF24" s="38"/>
      <c r="BG24" s="38"/>
    </row>
    <row r="25" spans="1:59" customFormat="1" ht="2.0499999999999998" customHeight="1">
      <c r="B25" s="38"/>
      <c r="E25" s="2054"/>
      <c r="F25" s="2055"/>
      <c r="G25" s="2055"/>
      <c r="H25" s="2056"/>
      <c r="I25" s="38"/>
      <c r="J25" s="38"/>
      <c r="K25" s="38"/>
      <c r="L25" s="38"/>
      <c r="M25" s="38"/>
      <c r="N25" s="38"/>
      <c r="O25" s="38"/>
      <c r="P25" s="1115"/>
      <c r="Q25" s="38"/>
      <c r="R25" s="38"/>
      <c r="S25" s="1089"/>
      <c r="T25" s="264"/>
      <c r="U25" s="1887"/>
      <c r="V25" s="1888"/>
      <c r="W25" s="38"/>
      <c r="X25" s="316"/>
      <c r="Y25" s="316"/>
      <c r="Z25" s="38"/>
      <c r="AA25" s="38"/>
      <c r="AB25" s="38"/>
      <c r="AD25" s="38"/>
      <c r="AE25" s="314"/>
      <c r="AF25" s="38"/>
      <c r="AG25" s="38"/>
      <c r="AH25" s="38"/>
      <c r="AI25" s="38"/>
      <c r="AJ25" s="38"/>
      <c r="AK25" s="38"/>
      <c r="AL25" s="38"/>
      <c r="AM25" s="1107"/>
      <c r="AN25" s="86"/>
      <c r="AO25" s="86"/>
      <c r="AP25" s="86"/>
      <c r="AQ25" s="86"/>
      <c r="AR25" s="86"/>
      <c r="AS25" s="86"/>
      <c r="AT25" s="86"/>
      <c r="AU25" s="1034"/>
      <c r="AV25" s="1034"/>
      <c r="AW25" s="1034"/>
      <c r="AX25" s="38"/>
      <c r="AY25" s="38"/>
      <c r="AZ25" s="38"/>
      <c r="BA25" s="38"/>
      <c r="BB25" s="38"/>
      <c r="BC25" s="38"/>
      <c r="BD25" s="38"/>
      <c r="BE25" s="38"/>
      <c r="BF25" s="38"/>
      <c r="BG25" s="38"/>
    </row>
    <row r="26" spans="1:59" customFormat="1" ht="14.3" customHeight="1">
      <c r="B26" s="38"/>
      <c r="E26" s="2054"/>
      <c r="F26" s="2055"/>
      <c r="G26" s="2055"/>
      <c r="H26" s="2056"/>
      <c r="I26" s="38"/>
      <c r="J26" s="38"/>
      <c r="K26" s="2048">
        <f>K22-K24</f>
        <v>0</v>
      </c>
      <c r="L26" s="2049"/>
      <c r="M26" s="1114" t="s">
        <v>407</v>
      </c>
      <c r="N26" s="38"/>
      <c r="O26" s="38"/>
      <c r="P26" s="2062">
        <f>P22-P24</f>
        <v>0</v>
      </c>
      <c r="Q26" s="2063"/>
      <c r="R26" s="1114" t="s">
        <v>281</v>
      </c>
      <c r="S26" s="1089"/>
      <c r="T26" s="116"/>
      <c r="U26" s="1889"/>
      <c r="V26" s="1890"/>
      <c r="W26" s="38"/>
      <c r="X26" s="695">
        <f>IF(AN28&lt;0.05,0,S73+S112)</f>
        <v>0</v>
      </c>
      <c r="Y26" s="1163">
        <f>IF(AN28&lt;0.05,0,X26*VLOOKUP(Lookup!J17,Lookup!J$2:K$24,2,FALSE))</f>
        <v>0</v>
      </c>
      <c r="Z26" s="38" t="s">
        <v>535</v>
      </c>
      <c r="AA26" s="38"/>
      <c r="AB26" s="38"/>
      <c r="AC26" s="38"/>
      <c r="AD26" s="38"/>
      <c r="AE26" s="223" t="str">
        <f>Project!U34</f>
        <v>City</v>
      </c>
      <c r="AF26" s="1873" t="str">
        <f>IF(Project!V34="","",Project!V34)</f>
        <v/>
      </c>
      <c r="AG26" s="1873"/>
      <c r="AH26" s="658" t="str">
        <f>Project!V36</f>
        <v>WA</v>
      </c>
      <c r="AI26" s="659" t="str">
        <f>IF(Project!AA36="","",Project!AA36)</f>
        <v/>
      </c>
      <c r="AJ26" s="38"/>
      <c r="AK26" s="38"/>
      <c r="AL26" s="38"/>
      <c r="AM26" s="1166" t="s">
        <v>407</v>
      </c>
      <c r="AN26" s="337">
        <f>AN22-AN24</f>
        <v>0</v>
      </c>
      <c r="AO26" s="337">
        <f>AO22-AO24</f>
        <v>0</v>
      </c>
      <c r="AP26" s="337">
        <f>AP22-AP24</f>
        <v>0</v>
      </c>
      <c r="AQ26" s="337"/>
      <c r="AR26" s="337"/>
      <c r="AS26" s="337"/>
      <c r="AT26" s="337"/>
      <c r="AU26" s="370"/>
      <c r="AV26" s="370"/>
      <c r="AW26" s="370"/>
      <c r="AX26" s="92"/>
      <c r="AY26" s="38"/>
      <c r="AZ26" s="38"/>
      <c r="BA26" s="38"/>
      <c r="BB26" s="38"/>
      <c r="BC26" s="38"/>
      <c r="BD26" s="38"/>
      <c r="BE26" s="38"/>
      <c r="BF26" s="38"/>
      <c r="BG26" s="38"/>
    </row>
    <row r="27" spans="1:59" customFormat="1" ht="2.0499999999999998" customHeight="1">
      <c r="B27" s="38"/>
      <c r="E27" s="2054"/>
      <c r="F27" s="2055"/>
      <c r="G27" s="2055"/>
      <c r="H27" s="2056"/>
      <c r="I27" s="38"/>
      <c r="J27" s="38"/>
      <c r="L27" s="38"/>
      <c r="N27" s="38"/>
      <c r="O27" s="38"/>
      <c r="P27" s="38"/>
      <c r="Q27" s="92"/>
      <c r="R27" s="92"/>
      <c r="S27" s="92"/>
      <c r="T27" s="38"/>
      <c r="U27" s="38"/>
      <c r="V27" s="1096"/>
      <c r="W27" s="10"/>
      <c r="X27" s="10"/>
      <c r="Y27" s="10"/>
      <c r="Z27" s="38"/>
      <c r="AA27" s="38"/>
      <c r="AB27" s="38"/>
      <c r="AC27" s="92"/>
      <c r="AD27" s="173"/>
      <c r="AE27" s="38"/>
      <c r="AF27" s="38"/>
      <c r="AG27" s="38"/>
      <c r="AH27" s="38"/>
      <c r="AI27" s="38"/>
      <c r="AJ27" s="38"/>
      <c r="AK27" s="38"/>
      <c r="AL27" s="38"/>
      <c r="AM27" s="175"/>
      <c r="AN27" s="1034"/>
      <c r="AO27" s="1034"/>
      <c r="AP27" s="1034"/>
      <c r="AQ27" s="1034"/>
      <c r="AR27" s="1034"/>
      <c r="AS27" s="1034"/>
      <c r="AT27" s="1034"/>
      <c r="AU27" s="1034"/>
      <c r="AV27" s="1034"/>
      <c r="AW27" s="1034"/>
      <c r="AX27" s="38"/>
      <c r="AY27" s="38"/>
      <c r="AZ27" s="38"/>
      <c r="BA27" s="38"/>
      <c r="BB27" s="38"/>
      <c r="BC27" s="38"/>
      <c r="BD27" s="38"/>
      <c r="BE27" s="38"/>
      <c r="BF27" s="38"/>
      <c r="BG27" s="38"/>
    </row>
    <row r="28" spans="1:59" customFormat="1" ht="14.3" customHeight="1">
      <c r="B28" s="38"/>
      <c r="E28" s="2057"/>
      <c r="F28" s="2058"/>
      <c r="G28" s="2058"/>
      <c r="H28" s="2059"/>
      <c r="I28" s="38"/>
      <c r="J28" s="38"/>
      <c r="K28" s="37" t="s">
        <v>536</v>
      </c>
      <c r="L28" s="38"/>
      <c r="M28" s="38"/>
      <c r="N28" s="38"/>
      <c r="O28" s="38"/>
      <c r="P28" s="38"/>
      <c r="Q28" s="38"/>
      <c r="R28" s="38"/>
      <c r="S28" s="38"/>
      <c r="T28" s="2066" t="str">
        <f>IFERROR(IF(AN28&lt;0.05,"Total savings is less than the minimum 5% required for an incentive.",""),"")</f>
        <v>Total savings is less than the minimum 5% required for an incentive.</v>
      </c>
      <c r="U28" s="2066"/>
      <c r="V28" s="2066"/>
      <c r="W28" s="2066"/>
      <c r="X28" s="695">
        <f>IF(AN28&lt;0.05,0,T73+T112)</f>
        <v>0</v>
      </c>
      <c r="Y28" s="1163">
        <f>IF(AN28&lt;0.05,0,X28*VLOOKUP(Lookup!J20,Lookup!J$2:K$24,2,FALSE))</f>
        <v>0</v>
      </c>
      <c r="Z28" s="38" t="s">
        <v>537</v>
      </c>
      <c r="AA28" s="38"/>
      <c r="AB28" s="38"/>
      <c r="AC28" s="38"/>
      <c r="AD28" s="38"/>
      <c r="AE28" s="38"/>
      <c r="AF28" s="38"/>
      <c r="AG28" s="38"/>
      <c r="AH28" s="38"/>
      <c r="AI28" s="38"/>
      <c r="AJ28" s="38"/>
      <c r="AK28" s="38"/>
      <c r="AL28" s="38"/>
      <c r="AM28" s="38"/>
      <c r="AN28" s="1160">
        <f>IFERROR(ROUND(1-(AN24/AN22),3),0)</f>
        <v>0</v>
      </c>
      <c r="AO28" s="1165"/>
      <c r="AP28" s="1160">
        <f>IFERROR(ROUND(1-(AP24/AP22),3),0)</f>
        <v>0</v>
      </c>
      <c r="AQ28" s="1160"/>
      <c r="AR28" s="1160"/>
      <c r="AS28" s="1160"/>
      <c r="AT28" s="1160"/>
      <c r="AU28" s="370"/>
      <c r="AV28" s="370"/>
      <c r="AW28" s="370"/>
      <c r="AX28" s="92"/>
      <c r="AY28" s="38"/>
      <c r="AZ28" s="38"/>
      <c r="BA28" s="38"/>
      <c r="BB28" s="38"/>
      <c r="BC28" s="38"/>
      <c r="BD28" s="38"/>
      <c r="BE28" s="38"/>
      <c r="BF28" s="38"/>
      <c r="BG28" s="38"/>
    </row>
    <row r="29" spans="1:59" customFormat="1" ht="2.0499999999999998" customHeight="1">
      <c r="B29" s="38"/>
      <c r="I29" s="38"/>
      <c r="J29" s="38"/>
      <c r="L29" s="38"/>
      <c r="M29" s="14"/>
      <c r="N29" s="38"/>
      <c r="O29" s="38"/>
      <c r="P29" s="38"/>
      <c r="Q29" s="38"/>
      <c r="R29" s="38"/>
      <c r="S29" s="38"/>
      <c r="T29" s="2066"/>
      <c r="U29" s="2066"/>
      <c r="V29" s="2066"/>
      <c r="W29" s="2066"/>
      <c r="X29" s="38"/>
      <c r="Y29" s="1113"/>
      <c r="Z29" s="38"/>
      <c r="AA29" s="92"/>
      <c r="AB29" s="38"/>
      <c r="AC29" s="38"/>
      <c r="AD29" s="38"/>
      <c r="AE29" s="38"/>
      <c r="AF29" s="38"/>
      <c r="AG29" s="38"/>
      <c r="AH29" s="38"/>
      <c r="AI29" s="38"/>
      <c r="AJ29" s="38"/>
      <c r="AK29" s="38"/>
      <c r="AL29" s="38"/>
      <c r="AM29" s="38"/>
      <c r="AN29" s="38"/>
      <c r="AO29" s="38"/>
      <c r="AP29" s="1034"/>
      <c r="AQ29" s="1034"/>
      <c r="AR29" s="1034"/>
      <c r="AS29" s="1034"/>
      <c r="AT29" s="1034"/>
      <c r="AU29" s="1034"/>
      <c r="AV29" s="38"/>
      <c r="AW29" s="38"/>
    </row>
    <row r="30" spans="1:59" customFormat="1" ht="14.3" customHeight="1">
      <c r="B30" s="38"/>
      <c r="E30" s="940">
        <f>IF(__TI_NC=2,IF(_C406_3=2,0.8,IF(_C406_3=1,0.9,1)),1)</f>
        <v>1</v>
      </c>
      <c r="I30" s="38"/>
      <c r="J30" s="38"/>
      <c r="K30" s="1113"/>
      <c r="L30" s="1113"/>
      <c r="M30" s="1113"/>
      <c r="N30" s="1113"/>
      <c r="O30" s="1113"/>
      <c r="P30" s="1113"/>
      <c r="Q30" s="1113"/>
      <c r="R30" s="1113"/>
      <c r="S30" s="1113"/>
      <c r="T30" s="2066"/>
      <c r="U30" s="2066"/>
      <c r="V30" s="2066"/>
      <c r="W30" s="2066"/>
      <c r="X30" s="695">
        <f>IF(AN28&lt;0.05,0,U73+U112)</f>
        <v>0</v>
      </c>
      <c r="Y30" s="1163">
        <f>IF(AN28&lt;0.05,0,X30*VLOOKUP(Lookup!J18,Lookup!J$2:K$24,2,FALSE))</f>
        <v>0</v>
      </c>
      <c r="Z30" s="38" t="s">
        <v>408</v>
      </c>
      <c r="AA30" s="38"/>
      <c r="AB30" s="38"/>
      <c r="AC30" s="1088"/>
      <c r="AD30" s="38"/>
      <c r="AE30" s="38"/>
      <c r="AF30" s="38"/>
      <c r="AG30" s="38"/>
      <c r="AH30" s="38"/>
      <c r="AI30" s="38"/>
      <c r="AJ30" s="185"/>
      <c r="AK30" s="172"/>
      <c r="AL30" s="38"/>
      <c r="AM30" s="38"/>
      <c r="AN30" s="38"/>
      <c r="AO30" s="38"/>
      <c r="AP30" s="370"/>
      <c r="AQ30" s="370"/>
      <c r="AR30" s="370"/>
      <c r="AS30" s="370"/>
      <c r="AT30" s="370"/>
      <c r="AU30" s="370"/>
      <c r="AV30" s="92"/>
      <c r="AW30" s="38"/>
    </row>
    <row r="31" spans="1:59" customFormat="1" ht="2.0499999999999998" customHeight="1">
      <c r="B31" s="38"/>
      <c r="I31" s="14"/>
      <c r="J31" s="14"/>
      <c r="K31" s="1113"/>
      <c r="L31" s="1113"/>
      <c r="M31" s="1113"/>
      <c r="N31" s="1113"/>
      <c r="O31" s="1113"/>
      <c r="P31" s="1113"/>
      <c r="Q31" s="1113"/>
      <c r="R31" s="1113"/>
      <c r="S31" s="1113"/>
      <c r="T31" s="2066"/>
      <c r="U31" s="2066"/>
      <c r="V31" s="2066"/>
      <c r="W31" s="2066"/>
      <c r="X31" s="38"/>
      <c r="Y31" s="38"/>
      <c r="Z31" s="38"/>
      <c r="AA31" s="10"/>
      <c r="AB31" s="38"/>
      <c r="AC31" s="1031"/>
      <c r="AD31" s="38"/>
      <c r="AE31" s="38"/>
      <c r="AF31" s="38"/>
      <c r="AG31" s="92"/>
      <c r="AL31" s="38"/>
      <c r="AM31" s="38"/>
      <c r="AN31" s="38"/>
      <c r="AO31" s="38"/>
      <c r="AP31" s="92"/>
      <c r="AQ31" s="92"/>
      <c r="AR31" s="92"/>
      <c r="AS31" s="92"/>
      <c r="AT31" s="92"/>
      <c r="AU31" s="92"/>
    </row>
    <row r="32" spans="1:59" ht="39.6" customHeight="1">
      <c r="E32" s="1027"/>
      <c r="K32" s="1998" t="s">
        <v>538</v>
      </c>
      <c r="L32" s="1998"/>
      <c r="M32" s="1998"/>
      <c r="N32" s="1998"/>
      <c r="O32" s="1998"/>
      <c r="P32" s="1998"/>
      <c r="Q32" s="1998"/>
      <c r="R32" s="1998"/>
      <c r="S32" s="1998"/>
      <c r="T32" s="2067"/>
      <c r="U32" s="2067"/>
      <c r="V32" s="2067"/>
      <c r="W32" s="2067"/>
      <c r="AM32" s="1166" t="s">
        <v>539</v>
      </c>
      <c r="AN32" s="1118">
        <f>AV73+AV112</f>
        <v>0</v>
      </c>
    </row>
    <row r="33" spans="2:75">
      <c r="D33" s="1162"/>
      <c r="E33" s="2060" t="s">
        <v>540</v>
      </c>
      <c r="F33" s="2060"/>
      <c r="G33" s="2060"/>
      <c r="H33" s="2060"/>
      <c r="I33" s="2060"/>
      <c r="J33" s="2060"/>
      <c r="K33" s="2060"/>
      <c r="L33" s="2060"/>
      <c r="M33" s="2060"/>
      <c r="N33" s="2060"/>
      <c r="O33" s="2060"/>
      <c r="P33" s="2060"/>
      <c r="Q33" s="2060"/>
      <c r="R33" s="2060"/>
      <c r="S33" s="2060"/>
      <c r="T33" s="2060"/>
      <c r="U33" s="2060"/>
      <c r="V33" s="2060"/>
      <c r="W33" s="2060"/>
      <c r="X33" s="2060"/>
      <c r="Y33" s="2060"/>
      <c r="Z33" s="2060"/>
      <c r="AA33" s="2060"/>
      <c r="AB33" s="2060"/>
      <c r="AC33" s="2060"/>
      <c r="AD33" s="2060"/>
      <c r="AE33" s="2060"/>
      <c r="AF33" s="2060"/>
      <c r="AG33" s="2060"/>
      <c r="AH33" s="2060"/>
      <c r="AI33" s="2061"/>
    </row>
    <row r="34" spans="2:75">
      <c r="C34" s="2050">
        <f>IF(Project!H24="Retrofit",0,IF(Project!H24="Tenant Improvement",1,2))</f>
        <v>0</v>
      </c>
      <c r="D34" s="928"/>
      <c r="M34" s="2020" t="s">
        <v>541</v>
      </c>
      <c r="N34" s="2020"/>
      <c r="O34" s="2020"/>
      <c r="P34" s="2020"/>
      <c r="Q34" s="2020"/>
      <c r="R34" s="2020"/>
      <c r="S34" s="2020"/>
      <c r="T34" s="2020"/>
      <c r="AI34" s="1095"/>
    </row>
    <row r="35" spans="2:75">
      <c r="C35" s="2050"/>
      <c r="D35" s="928"/>
      <c r="G35" s="1094" t="s">
        <v>138</v>
      </c>
      <c r="H35" s="2071" t="str">
        <f>Project!H38</f>
        <v>None</v>
      </c>
      <c r="I35" s="2072"/>
      <c r="J35" s="2072"/>
      <c r="K35" s="2073"/>
      <c r="L35" s="940">
        <f>IF(H35="C406.3.1",0.9,IF(H35="C406.3.2",0.8,1))</f>
        <v>1</v>
      </c>
      <c r="M35" s="2020"/>
      <c r="N35" s="2020"/>
      <c r="O35" s="2020"/>
      <c r="P35" s="2020"/>
      <c r="Q35" s="2020"/>
      <c r="R35" s="2020"/>
      <c r="S35" s="2020"/>
      <c r="T35" s="2020"/>
      <c r="AI35" s="1095"/>
      <c r="BA35" s="528"/>
    </row>
    <row r="36" spans="2:75" ht="14.3" customHeight="1">
      <c r="C36" s="2050"/>
      <c r="D36" s="928"/>
      <c r="F36" s="1126"/>
      <c r="M36" s="2020"/>
      <c r="N36" s="2020"/>
      <c r="O36" s="2020"/>
      <c r="P36" s="2020"/>
      <c r="Q36" s="2020"/>
      <c r="R36" s="2020"/>
      <c r="S36" s="2020"/>
      <c r="T36" s="2020"/>
      <c r="AC36" s="1124"/>
      <c r="AI36" s="1095"/>
      <c r="AO36" s="1213" t="s">
        <v>542</v>
      </c>
      <c r="AQ36" s="1166" t="s">
        <v>543</v>
      </c>
      <c r="AR36" s="1214" t="e">
        <f>ROUND((AP37*0.75)+(AT37*0.25),3)</f>
        <v>#N/A</v>
      </c>
      <c r="BA36" s="528"/>
    </row>
    <row r="37" spans="2:75" ht="14.3" customHeight="1">
      <c r="D37" s="928"/>
      <c r="E37" s="1034"/>
      <c r="G37" s="1134" t="s">
        <v>544</v>
      </c>
      <c r="K37" s="542"/>
      <c r="L37" s="542"/>
      <c r="M37" s="1164"/>
      <c r="N37" s="1164"/>
      <c r="O37" s="1164"/>
      <c r="P37" s="1164"/>
      <c r="Q37" s="1164"/>
      <c r="R37" s="1164"/>
      <c r="S37" s="1164"/>
      <c r="T37" s="1164"/>
      <c r="W37" s="2000" t="s">
        <v>545</v>
      </c>
      <c r="X37" s="2014" t="s">
        <v>546</v>
      </c>
      <c r="Y37" s="2000" t="s">
        <v>547</v>
      </c>
      <c r="Z37" s="2000"/>
      <c r="AA37" s="2000" t="s">
        <v>548</v>
      </c>
      <c r="AB37" s="2035" t="s">
        <v>549</v>
      </c>
      <c r="AC37" s="2002" t="s">
        <v>550</v>
      </c>
      <c r="AD37" s="1850"/>
      <c r="AE37" s="2002" t="s">
        <v>551</v>
      </c>
      <c r="AF37" s="1850"/>
      <c r="AG37" s="2002" t="s">
        <v>552</v>
      </c>
      <c r="AH37" s="2003"/>
      <c r="AI37" s="1095"/>
      <c r="AO37" s="1166" t="s">
        <v>553</v>
      </c>
      <c r="AP37" s="1214" t="e">
        <f>VLOOKUP($H39,Table_LPA_Building_Area[],6,FALSE)</f>
        <v>#N/A</v>
      </c>
      <c r="AQ37" s="1166" t="s">
        <v>554</v>
      </c>
      <c r="AR37" s="1214" t="e">
        <f>VLOOKUP($H39,Table_LPA_Building_Area[],7,FALSE)*AB40</f>
        <v>#N/A</v>
      </c>
      <c r="AS37" s="1166" t="s">
        <v>555</v>
      </c>
      <c r="AT37" s="1214" t="e">
        <f>ROUND((AR37*AB40)+(AP37*(1-AB40)),3)</f>
        <v>#N/A</v>
      </c>
    </row>
    <row r="38" spans="2:75" ht="14.3" customHeight="1">
      <c r="D38" s="928"/>
      <c r="H38" s="2022" t="s">
        <v>128</v>
      </c>
      <c r="I38" s="2039"/>
      <c r="J38" s="2039"/>
      <c r="K38" s="2023"/>
      <c r="L38" s="2022" t="s">
        <v>556</v>
      </c>
      <c r="M38" s="2023"/>
      <c r="N38" s="2022" t="s">
        <v>557</v>
      </c>
      <c r="O38" s="2039"/>
      <c r="P38" s="2023"/>
      <c r="Q38" s="2018" t="s">
        <v>558</v>
      </c>
      <c r="R38" s="2019"/>
      <c r="S38" s="2022" t="s">
        <v>559</v>
      </c>
      <c r="T38" s="2023"/>
      <c r="W38" s="2001"/>
      <c r="X38" s="2015"/>
      <c r="Y38" s="2001"/>
      <c r="Z38" s="2001"/>
      <c r="AA38" s="2001"/>
      <c r="AB38" s="2036"/>
      <c r="AC38" s="2004"/>
      <c r="AD38" s="1851"/>
      <c r="AE38" s="2004"/>
      <c r="AF38" s="1851"/>
      <c r="AG38" s="2004"/>
      <c r="AH38" s="2005"/>
      <c r="AI38" s="1095"/>
      <c r="AO38" s="1166" t="s">
        <v>560</v>
      </c>
      <c r="AP38" s="1214">
        <v>0.1</v>
      </c>
      <c r="AQ38" s="1166" t="s">
        <v>561</v>
      </c>
      <c r="AR38" s="1214" t="e">
        <f>ROUND(((1-AT37)*AP38)+AT37,3)</f>
        <v>#N/A</v>
      </c>
      <c r="AS38" s="1166" t="s">
        <v>562</v>
      </c>
      <c r="AT38" s="1214" t="e">
        <f>ROUND(((1-AP37)*AP38)+AP37,3)</f>
        <v>#N/A</v>
      </c>
    </row>
    <row r="39" spans="2:75" ht="14.3" customHeight="1">
      <c r="D39" s="928"/>
      <c r="H39" s="2040">
        <f>Project!H32</f>
        <v>0</v>
      </c>
      <c r="I39" s="2041"/>
      <c r="J39" s="2041"/>
      <c r="K39" s="2041"/>
      <c r="L39" s="2028"/>
      <c r="M39" s="2029"/>
      <c r="N39" s="2042"/>
      <c r="O39" s="2042"/>
      <c r="P39" s="2042"/>
      <c r="Q39" s="1994">
        <f>SUM(Q43:R72)</f>
        <v>0</v>
      </c>
      <c r="R39" s="1994"/>
      <c r="S39" s="1994">
        <f>L39-BQ73</f>
        <v>0</v>
      </c>
      <c r="T39" s="1994"/>
      <c r="W39" s="1098" t="e">
        <f>VLOOKUP(N39,Lookup!AA$3:AB$6,2,FALSE)</f>
        <v>#N/A</v>
      </c>
      <c r="X39" s="1098" t="str">
        <f>Project!H36</f>
        <v/>
      </c>
      <c r="Y39" s="2037">
        <f>IFERROR(ROUND(S39*X39*L$35,0),0)</f>
        <v>0</v>
      </c>
      <c r="Z39" s="2037"/>
      <c r="AA39" s="1203" t="e">
        <f>AR36</f>
        <v>#N/A</v>
      </c>
      <c r="AB39" s="1100">
        <f>IFERROR(VLOOKUP(H39,Table_LPA_Building_Area[],5,FALSE),0)</f>
        <v>0</v>
      </c>
      <c r="AC39" s="2037">
        <f>IFERROR(ROUND(S39*W39*X39*L35*AB39/1000,0),0)</f>
        <v>0</v>
      </c>
      <c r="AD39" s="2037"/>
      <c r="AE39" s="2037">
        <f>IFERROR(ROUND((S39*X39*W39*L35*AB39/1000)*(1-AA39),0),0)</f>
        <v>0</v>
      </c>
      <c r="AF39" s="2037"/>
      <c r="AG39" s="2037">
        <f>IF(AG40=FALSE,"ERROR!",IFERROR(SUM(AG43:AH72),AE39))</f>
        <v>0</v>
      </c>
      <c r="AH39" s="2038"/>
      <c r="AI39" s="1095"/>
      <c r="AK39" s="1130"/>
      <c r="AL39" s="1131"/>
    </row>
    <row r="40" spans="2:75" ht="21.25" customHeight="1">
      <c r="D40" s="928"/>
      <c r="E40" s="2021" t="s">
        <v>563</v>
      </c>
      <c r="F40" s="2021"/>
      <c r="H40" s="1116"/>
      <c r="I40" s="1116"/>
      <c r="J40" s="1116"/>
      <c r="K40" s="1116"/>
      <c r="L40" s="1117"/>
      <c r="M40" s="1118"/>
      <c r="N40" s="86"/>
      <c r="O40" s="86"/>
      <c r="P40" s="86"/>
      <c r="Q40" s="2016">
        <f>ROUND(Q39/1000,2)</f>
        <v>0</v>
      </c>
      <c r="R40" s="2017"/>
      <c r="S40" s="2014" t="s">
        <v>564</v>
      </c>
      <c r="T40" s="2014" t="s">
        <v>565</v>
      </c>
      <c r="U40" s="2014" t="s">
        <v>408</v>
      </c>
      <c r="V40" s="1124"/>
      <c r="Y40" s="2043">
        <f>ROUND(Y39/1000,2)</f>
        <v>0</v>
      </c>
      <c r="Z40" s="2043"/>
      <c r="AA40" s="1133"/>
      <c r="AB40" s="1133">
        <f>IF(AB39&gt;Installations!IP14,ROUND(Installations!IP14/AB39,3),1)</f>
        <v>1</v>
      </c>
      <c r="AG40" s="2043" t="b">
        <f>IF(COUNTIF(V43:V72,FALSE)&gt;0,FALSE,TRUE)</f>
        <v>1</v>
      </c>
      <c r="AH40" s="2043"/>
      <c r="AI40" s="1095"/>
      <c r="AK40" s="1130"/>
      <c r="AU40" s="1171" t="s">
        <v>566</v>
      </c>
      <c r="AV40" s="1171" t="s">
        <v>567</v>
      </c>
      <c r="AX40" s="86">
        <f>Lookup!K5</f>
        <v>0.3</v>
      </c>
      <c r="AY40" s="38" t="s">
        <v>234</v>
      </c>
      <c r="BA40" s="86"/>
      <c r="BB40" s="86"/>
      <c r="BC40" s="86"/>
      <c r="BD40" s="1171"/>
      <c r="BS40" s="38" t="s">
        <v>430</v>
      </c>
      <c r="BU40" s="38" t="s">
        <v>430</v>
      </c>
    </row>
    <row r="41" spans="2:75" ht="14.3" customHeight="1">
      <c r="D41" s="928"/>
      <c r="E41" s="2021"/>
      <c r="F41" s="2021"/>
      <c r="H41" s="1116"/>
      <c r="I41" s="1116"/>
      <c r="J41" s="1116"/>
      <c r="K41" s="1116"/>
      <c r="L41" s="1117"/>
      <c r="M41" s="1118"/>
      <c r="N41" s="86"/>
      <c r="O41" s="86"/>
      <c r="P41" s="86"/>
      <c r="Q41" s="542"/>
      <c r="S41" s="2014"/>
      <c r="T41" s="2014"/>
      <c r="U41" s="2014"/>
      <c r="V41" s="1124"/>
      <c r="W41" s="1732" t="s">
        <v>568</v>
      </c>
      <c r="X41" s="1732"/>
      <c r="Z41" s="1732" t="s">
        <v>569</v>
      </c>
      <c r="AA41" s="1732"/>
      <c r="AC41" s="1732" t="s">
        <v>570</v>
      </c>
      <c r="AD41" s="1732"/>
      <c r="AG41" s="1732" t="s">
        <v>568</v>
      </c>
      <c r="AH41" s="1732"/>
      <c r="AI41" s="1095"/>
      <c r="AJ41" s="2074" t="s">
        <v>571</v>
      </c>
      <c r="AK41" s="2075"/>
      <c r="AL41" s="2075"/>
      <c r="AP41" s="1171" t="s">
        <v>572</v>
      </c>
      <c r="AQ41" s="1171" t="s">
        <v>573</v>
      </c>
      <c r="AR41" s="1171" t="s">
        <v>574</v>
      </c>
      <c r="AS41" s="1171" t="s">
        <v>360</v>
      </c>
      <c r="AT41" s="1171" t="s">
        <v>574</v>
      </c>
      <c r="AU41" s="1171" t="s">
        <v>362</v>
      </c>
      <c r="AV41" s="1171" t="s">
        <v>362</v>
      </c>
      <c r="AX41" s="86">
        <f>Lookup!K6</f>
        <v>0.2</v>
      </c>
      <c r="AY41" s="38" t="s">
        <v>575</v>
      </c>
      <c r="BA41" s="1171" t="s">
        <v>576</v>
      </c>
      <c r="BB41" s="1171" t="s">
        <v>385</v>
      </c>
      <c r="BC41" s="1171" t="s">
        <v>385</v>
      </c>
      <c r="BD41" s="1171"/>
      <c r="BL41" s="86" t="s">
        <v>577</v>
      </c>
      <c r="BR41" s="38" t="s">
        <v>578</v>
      </c>
      <c r="BS41" s="38" t="s">
        <v>578</v>
      </c>
      <c r="BT41" s="86" t="s">
        <v>579</v>
      </c>
      <c r="BU41" s="86" t="s">
        <v>579</v>
      </c>
      <c r="BW41" s="38" t="s">
        <v>580</v>
      </c>
    </row>
    <row r="42" spans="2:75">
      <c r="D42" s="928"/>
      <c r="E42" s="2021"/>
      <c r="F42" s="2021"/>
      <c r="H42" s="37" t="s">
        <v>581</v>
      </c>
      <c r="O42" s="101" t="s">
        <v>239</v>
      </c>
      <c r="P42" s="101" t="s">
        <v>194</v>
      </c>
      <c r="Q42" s="2018" t="s">
        <v>558</v>
      </c>
      <c r="R42" s="2019"/>
      <c r="S42" s="2015"/>
      <c r="T42" s="2015"/>
      <c r="U42" s="2015"/>
      <c r="V42" s="1124"/>
      <c r="W42" s="1833" t="s">
        <v>582</v>
      </c>
      <c r="X42" s="1833"/>
      <c r="Y42" s="1167"/>
      <c r="Z42" s="1833" t="s">
        <v>583</v>
      </c>
      <c r="AA42" s="1833"/>
      <c r="AB42" s="1202" t="e">
        <f>ROUND((VLOOKUP($H39,Table_LPA_Building_Area[],8,FALSE)*AB40)+(VLOOKUP($H39,Table_LPA_Building_Area[],9,FALSE)*(1-AB40)),3)</f>
        <v>#N/A</v>
      </c>
      <c r="AC42" s="1833" t="s">
        <v>583</v>
      </c>
      <c r="AD42" s="1833"/>
      <c r="AE42" s="1097"/>
      <c r="AG42" s="1833" t="s">
        <v>583</v>
      </c>
      <c r="AH42" s="1833"/>
      <c r="AI42" s="1095"/>
      <c r="AN42" s="1171" t="s">
        <v>218</v>
      </c>
      <c r="AO42" s="1171" t="s">
        <v>239</v>
      </c>
      <c r="AP42" s="1171" t="s">
        <v>584</v>
      </c>
      <c r="AQ42" s="101" t="s">
        <v>583</v>
      </c>
      <c r="AR42" s="101" t="s">
        <v>582</v>
      </c>
      <c r="AS42" s="101" t="s">
        <v>583</v>
      </c>
      <c r="AT42" s="101" t="s">
        <v>583</v>
      </c>
      <c r="AU42" s="1171" t="s">
        <v>343</v>
      </c>
      <c r="AV42" s="1171" t="s">
        <v>343</v>
      </c>
      <c r="BA42" s="1171" t="s">
        <v>567</v>
      </c>
      <c r="BB42" s="1171" t="s">
        <v>585</v>
      </c>
      <c r="BC42" s="1171" t="s">
        <v>586</v>
      </c>
      <c r="BD42" s="1131"/>
      <c r="BJ42" s="175" t="s">
        <v>587</v>
      </c>
      <c r="BK42" s="175" t="s">
        <v>588</v>
      </c>
      <c r="BL42" s="86" t="s">
        <v>589</v>
      </c>
      <c r="BN42" s="86" t="s">
        <v>221</v>
      </c>
      <c r="BO42" s="86" t="s">
        <v>239</v>
      </c>
      <c r="BQ42" s="86" t="s">
        <v>577</v>
      </c>
      <c r="BR42" s="86" t="s">
        <v>343</v>
      </c>
      <c r="BS42" s="86" t="s">
        <v>343</v>
      </c>
      <c r="BT42" s="86" t="s">
        <v>343</v>
      </c>
      <c r="BU42" s="86" t="s">
        <v>343</v>
      </c>
    </row>
    <row r="43" spans="2:75" ht="14.3" customHeight="1">
      <c r="B43" s="1182" t="str">
        <f>IF(BW43=FALSE,"Reselect fixture","")</f>
        <v/>
      </c>
      <c r="C43" s="1181"/>
      <c r="D43" s="928"/>
      <c r="E43" s="1992"/>
      <c r="F43" s="1992"/>
      <c r="G43" s="38">
        <v>1</v>
      </c>
      <c r="H43" s="1999"/>
      <c r="I43" s="1999"/>
      <c r="J43" s="1999"/>
      <c r="K43" s="1999"/>
      <c r="L43" s="1999"/>
      <c r="M43" s="1999"/>
      <c r="N43" s="1999"/>
      <c r="O43" s="1108"/>
      <c r="P43" s="1125" t="str">
        <f t="shared" ref="P43:P71" si="0">IFERROR(VLOOKUP(H43,Fixtures_Proposed_List,2,FALSE),"")</f>
        <v/>
      </c>
      <c r="Q43" s="1994">
        <f t="shared" ref="Q43:Q71" si="1">IFERROR(IF(AN43=TRUE,0,O43*P43),0)</f>
        <v>0</v>
      </c>
      <c r="R43" s="1994"/>
      <c r="S43" s="1108"/>
      <c r="T43" s="1108"/>
      <c r="U43" s="1108"/>
      <c r="V43" s="1127" t="b">
        <f t="shared" ref="V43:V71" si="2">IF(AND(AN43=TRUE,S43+T43+U43&gt;0),FALSE,IF(S43+T43+U43&gt;O43,FALSE,TRUE))</f>
        <v>1</v>
      </c>
      <c r="W43" s="1995">
        <f>IFERROR(Q43*W$39*AB$39/1000,0)</f>
        <v>0</v>
      </c>
      <c r="X43" s="1995"/>
      <c r="Y43" s="1204" t="e">
        <f>AA$39</f>
        <v>#N/A</v>
      </c>
      <c r="Z43" s="1995">
        <f t="shared" ref="Z43:Z71" si="3">IF(V43=FALSE,"ERROR!",IFERROR(IF(AN43=TRUE,0,BA43),0))</f>
        <v>0</v>
      </c>
      <c r="AA43" s="1995"/>
      <c r="AB43" s="1202" t="e">
        <f>AB$42</f>
        <v>#N/A</v>
      </c>
      <c r="AC43" s="1995">
        <f t="shared" ref="AC43:AC71" si="4">IF(V43=FALSE,"ERROR!",IFERROR(IF(AN43=TRUE,0,BB43+BC43),0))</f>
        <v>0</v>
      </c>
      <c r="AD43" s="1995"/>
      <c r="AE43" s="1201">
        <f>IFERROR(ROUND(SUM(S43:U43)*P43*W$39*AB$39*(1-AA39)/1000,0),0)</f>
        <v>0</v>
      </c>
      <c r="AF43" s="1097"/>
      <c r="AG43" s="1995">
        <f>IF(V43=FALSE,"ERROR!",Z43+AC43)</f>
        <v>0</v>
      </c>
      <c r="AH43" s="1995"/>
      <c r="AI43" s="1095"/>
      <c r="AJ43" s="1996" t="str">
        <f t="shared" ref="AJ43:AJ71" si="5">IF(V43=FALSE,"Revise LLLC &amp; NLC qty!",IF(BM43=FALSE,"Enter TLED SF",""))</f>
        <v/>
      </c>
      <c r="AK43" s="1997"/>
      <c r="AL43" s="1997"/>
      <c r="AN43" s="38" t="b">
        <f t="shared" ref="AN43:AN71" si="6">IF(ISNUMBER(SEARCH("TLED",H43)),TRUE,FALSE)</f>
        <v>0</v>
      </c>
      <c r="AO43" s="86">
        <f>IF(AN43=FALSE,O43,0)</f>
        <v>0</v>
      </c>
      <c r="AP43" s="1130" t="e">
        <f t="shared" ref="AP43:AP72" si="7">AO43/AO$73</f>
        <v>#DIV/0!</v>
      </c>
      <c r="AQ43" s="1205" t="e">
        <f>AE$39*AP43</f>
        <v>#DIV/0!</v>
      </c>
      <c r="AR43" s="1205">
        <f>W43</f>
        <v>0</v>
      </c>
      <c r="AS43" s="1205">
        <f>IFERROR(ROUND(Q43*W$39*AB$39*(1-AR$36)/1000,0),0)</f>
        <v>0</v>
      </c>
      <c r="AT43" s="1205">
        <f>SUM(BA43:BC43)</f>
        <v>0</v>
      </c>
      <c r="AU43" s="337" t="e">
        <f>AQ43-AT43</f>
        <v>#DIV/0!</v>
      </c>
      <c r="AV43" s="337">
        <f>IF(SUM(S43:U43)&gt;0,AS43-AC43,0)</f>
        <v>0</v>
      </c>
      <c r="AW43" s="1130">
        <f t="shared" ref="AW43:AW71" si="8">IFERROR(SUM(S43:U43)/$O43,0)</f>
        <v>0</v>
      </c>
      <c r="AX43" s="1172" t="e">
        <f t="shared" ref="AX43:AX71" si="9">AU43*((AW43*AX$41)+AX$40)</f>
        <v>#DIV/0!</v>
      </c>
      <c r="AY43" s="1130"/>
      <c r="AZ43" s="1130"/>
      <c r="BA43" s="337">
        <f>IFERROR(IF(AN43=TRUE,0,ROUND(((O43-S43-T43-U43)*P43)*W$39*AB$39*(1-AR$36)/1000,0)),0)</f>
        <v>0</v>
      </c>
      <c r="BB43" s="337">
        <f>IFERROR(IF(AN43=TRUE,0,ROUND((((S43+U43)*P43)*W$39*AB$39*(1-AR$38)/1000),0)),0)</f>
        <v>0</v>
      </c>
      <c r="BC43" s="337">
        <f>IFERROR(IF(AN43=TRUE,0,ROUND(((T43*P43)*W$39*AB$39*(1-AT$38)/1000),0)),0)</f>
        <v>0</v>
      </c>
      <c r="BJ43" s="38" t="b">
        <f t="shared" ref="BJ43:BJ71" si="10">IF(AND(V43=FALSE,AN43=TRUE),TRUE,FALSE)</f>
        <v>0</v>
      </c>
      <c r="BK43" s="86">
        <f>IF(AND(AN43=TRUE,BL43=1),O43*VLOOKUP(H43,Fixtures!DN$27:EG$76,19,FALSE),0)</f>
        <v>0</v>
      </c>
      <c r="BL43" s="86">
        <f t="shared" ref="BL43:BL71" si="11">IF(E43="",0,1)</f>
        <v>0</v>
      </c>
      <c r="BM43" s="38" t="b">
        <f t="shared" ref="BM43:BM71" si="12">IF(AND(AN43=TRUE,BL43=0),FALSE,TRUE)</f>
        <v>1</v>
      </c>
      <c r="BN43" s="86">
        <f t="shared" ref="BN43:BN71" si="13">IF(H43="",0,1)</f>
        <v>0</v>
      </c>
      <c r="BO43" s="86">
        <f t="shared" ref="BO43:BO71" si="14">IF(O43="",0,1)</f>
        <v>0</v>
      </c>
      <c r="BQ43" s="337">
        <f t="shared" ref="BQ43:BQ71" si="15">IF(AND(AN43=TRUE,BN43+BO43=2),E43,0)</f>
        <v>0</v>
      </c>
      <c r="BR43" s="337">
        <f t="shared" ref="BR43:BR71" si="16">IF(AN43=TRUE,ROUND((E43*W$39*X$39*AB$39)/1000,0),0)</f>
        <v>0</v>
      </c>
      <c r="BS43" s="86">
        <f t="shared" ref="BS43:BS71" si="17">IF(AN43=TRUE,ROUND((E43*W$39*X$39*(1-AA$39)*AB$39)/1000,0),0)</f>
        <v>0</v>
      </c>
      <c r="BT43" s="86">
        <f t="shared" ref="BT43:BT71" si="18">IF(BM43=FALSE,0,IF(AN43=TRUE,ROUND((O43*P43*AB$39*W$39)/1000,0),0))</f>
        <v>0</v>
      </c>
      <c r="BU43" s="86">
        <f t="shared" ref="BU43:BU71" si="19">IF(BM43=FALSE,0,IF(AN43=TRUE,ROUND((O43*P43*AB$39*W$39*(1-AA$39))/1000,0),0))</f>
        <v>0</v>
      </c>
      <c r="BW43" s="38" t="str">
        <f>IF(H43="","",IFERROR(VLOOKUP(H43,Fixtures!EQ$93:EQ$142,1,FALSE),FALSE))</f>
        <v/>
      </c>
    </row>
    <row r="44" spans="2:75" ht="14.3" customHeight="1">
      <c r="B44" s="1182" t="str">
        <f t="shared" ref="B44:B53" si="20">IF(BW44=FALSE,"Reselect fixture","")</f>
        <v/>
      </c>
      <c r="D44" s="928"/>
      <c r="E44" s="1992"/>
      <c r="F44" s="1992"/>
      <c r="G44" s="38">
        <v>2</v>
      </c>
      <c r="H44" s="1999"/>
      <c r="I44" s="1999"/>
      <c r="J44" s="1999"/>
      <c r="K44" s="1999"/>
      <c r="L44" s="1999"/>
      <c r="M44" s="1999"/>
      <c r="N44" s="1999"/>
      <c r="O44" s="1108"/>
      <c r="P44" s="1125" t="str">
        <f t="shared" ref="P44:P53" si="21">IFERROR(VLOOKUP(H44,Fixtures_Proposed_List,2,FALSE),"")</f>
        <v/>
      </c>
      <c r="Q44" s="1994">
        <f t="shared" ref="Q44:Q53" si="22">IFERROR(IF(AN44=TRUE,0,O44*P44),0)</f>
        <v>0</v>
      </c>
      <c r="R44" s="1994"/>
      <c r="S44" s="1108"/>
      <c r="T44" s="1108"/>
      <c r="U44" s="1108"/>
      <c r="V44" s="1127" t="b">
        <f t="shared" ref="V44:V53" si="23">IF(AND(AN44=TRUE,S44+T44+U44&gt;0),FALSE,IF(S44+T44+U44&gt;O44,FALSE,TRUE))</f>
        <v>1</v>
      </c>
      <c r="W44" s="1995">
        <f t="shared" ref="W44:W53" si="24">IFERROR(Q44*W$39*AB$39/1000,0)</f>
        <v>0</v>
      </c>
      <c r="X44" s="1995"/>
      <c r="Y44" s="1202" t="e">
        <f t="shared" ref="Y44:Y53" si="25">AA$39</f>
        <v>#N/A</v>
      </c>
      <c r="Z44" s="1995">
        <f t="shared" ref="Z44:Z53" si="26">IF(V44=FALSE,"ERROR!",IFERROR(IF(AN44=TRUE,0,BA44),0))</f>
        <v>0</v>
      </c>
      <c r="AA44" s="1995"/>
      <c r="AB44" s="1202" t="e">
        <f t="shared" ref="AB44:AB53" si="27">AB$42</f>
        <v>#N/A</v>
      </c>
      <c r="AC44" s="1995">
        <f t="shared" ref="AC44:AC53" si="28">IF(V44=FALSE,"ERROR!",IFERROR(IF(AN44=TRUE,0,BB44+BC44),0))</f>
        <v>0</v>
      </c>
      <c r="AD44" s="1995"/>
      <c r="AE44" s="1201">
        <f>IFERROR(ROUND(SUM(S44:U44)*P44*W$39*AB$39*(1-AA31)/1000,0),0)</f>
        <v>0</v>
      </c>
      <c r="AF44" s="1097"/>
      <c r="AG44" s="1995">
        <f t="shared" ref="AG44:AG53" si="29">IF(V44=FALSE,"ERROR!",Z44+AC44)</f>
        <v>0</v>
      </c>
      <c r="AH44" s="1995"/>
      <c r="AI44" s="1095"/>
      <c r="AJ44" s="1996" t="str">
        <f t="shared" ref="AJ44:AJ53" si="30">IF(V44=FALSE,"Revise LLLC &amp; NLC qty!",IF(BM44=FALSE,"Enter TLED SF",""))</f>
        <v/>
      </c>
      <c r="AK44" s="1997"/>
      <c r="AL44" s="1997"/>
      <c r="AN44" s="38" t="b">
        <f t="shared" ref="AN44:AN53" si="31">IF(ISNUMBER(SEARCH("TLED",H44)),TRUE,FALSE)</f>
        <v>0</v>
      </c>
      <c r="AO44" s="86">
        <f t="shared" ref="AO44:AO53" si="32">IF(AN44=FALSE,O44,0)</f>
        <v>0</v>
      </c>
      <c r="AP44" s="1130" t="e">
        <f t="shared" si="7"/>
        <v>#DIV/0!</v>
      </c>
      <c r="AQ44" s="1205" t="e">
        <f t="shared" ref="AQ44:AQ53" si="33">AE$39*AP44</f>
        <v>#DIV/0!</v>
      </c>
      <c r="AR44" s="1205">
        <f t="shared" ref="AR44:AR53" si="34">W44</f>
        <v>0</v>
      </c>
      <c r="AS44" s="1205">
        <f>IFERROR(ROUND(Q44*W$39*AB$39*(1-AR$36)/1000,0),0)</f>
        <v>0</v>
      </c>
      <c r="AT44" s="1205">
        <f t="shared" ref="AT44:AT51" si="35">SUM(BA44:BC44)</f>
        <v>0</v>
      </c>
      <c r="AU44" s="337" t="e">
        <f t="shared" ref="AU44:AU53" si="36">AQ44-AT44</f>
        <v>#DIV/0!</v>
      </c>
      <c r="AV44" s="337">
        <f t="shared" ref="AV44:AV51" si="37">IF(SUM(S44:U44)&gt;0,AS44-AC44,0)</f>
        <v>0</v>
      </c>
      <c r="AW44" s="1130">
        <f t="shared" ref="AW44:AW53" si="38">IFERROR(SUM(S44:U44)/$O44,0)</f>
        <v>0</v>
      </c>
      <c r="AX44" s="1172" t="e">
        <f t="shared" ref="AX44:AX53" si="39">AU44*((AW44*AX$41)+AX$40)</f>
        <v>#DIV/0!</v>
      </c>
      <c r="AY44" s="1130"/>
      <c r="AZ44" s="1130"/>
      <c r="BA44" s="337">
        <f>IFERROR(IF(AN44=TRUE,0,ROUND(((O44-S44-T44-U44)*P44)*W$39*AB$39*(1-AR$36)/1000,0)),0)</f>
        <v>0</v>
      </c>
      <c r="BB44" s="337">
        <f t="shared" ref="BB44:BB72" si="40">IFERROR(IF(AN44=TRUE,0,ROUND((((S44+U44)*P44)*W$39*AB$39*(1-AR$38)/1000),0)),0)</f>
        <v>0</v>
      </c>
      <c r="BC44" s="337">
        <f t="shared" ref="BC44:BC72" si="41">IFERROR(IF(AN44=TRUE,0,ROUND(((T44*P44)*W$39*AB$39*(1-AT$38)/1000),0)),0)</f>
        <v>0</v>
      </c>
      <c r="BJ44" s="38" t="b">
        <f t="shared" ref="BJ44:BJ53" si="42">IF(AND(V44=FALSE,AN44=TRUE),TRUE,FALSE)</f>
        <v>0</v>
      </c>
      <c r="BK44" s="86">
        <f>IF(AND(AN44=TRUE,BL44=1),O44*VLOOKUP(H44,Fixtures!DN$27:EG$76,19,FALSE),0)</f>
        <v>0</v>
      </c>
      <c r="BL44" s="86">
        <f t="shared" ref="BL44:BL53" si="43">IF(E44="",0,1)</f>
        <v>0</v>
      </c>
      <c r="BM44" s="38" t="b">
        <f t="shared" ref="BM44:BM53" si="44">IF(AND(AN44=TRUE,BL44=0),FALSE,TRUE)</f>
        <v>1</v>
      </c>
      <c r="BN44" s="86">
        <f t="shared" ref="BN44:BN53" si="45">IF(H44="",0,1)</f>
        <v>0</v>
      </c>
      <c r="BO44" s="86">
        <f t="shared" ref="BO44:BO53" si="46">IF(O44="",0,1)</f>
        <v>0</v>
      </c>
      <c r="BQ44" s="337">
        <f t="shared" ref="BQ44:BQ53" si="47">IF(AND(AN44=TRUE,BN44+BO44=2),E44,0)</f>
        <v>0</v>
      </c>
      <c r="BR44" s="337">
        <f t="shared" ref="BR44:BR53" si="48">IF(AN44=TRUE,ROUND((E44*W$39*X$39*AB$39)/1000,0),0)</f>
        <v>0</v>
      </c>
      <c r="BS44" s="86">
        <f t="shared" ref="BS44:BS53" si="49">IF(AN44=TRUE,ROUND((E44*W$39*X$39*(1-AA$39)*AB$39)/1000,0),0)</f>
        <v>0</v>
      </c>
      <c r="BT44" s="86">
        <f t="shared" ref="BT44:BT53" si="50">IF(BM44=FALSE,0,IF(AN44=TRUE,ROUND((O44*P44*AB$39*W$39)/1000,0),0))</f>
        <v>0</v>
      </c>
      <c r="BU44" s="86">
        <f>IF(BM44=FALSE,0,IF(AN44=TRUE,ROUND((O44*P44*AB$39*W$39*(1-AA$39))/1000,0),0))</f>
        <v>0</v>
      </c>
      <c r="BW44" s="38" t="str">
        <f>IF(H44="","",IFERROR(VLOOKUP(H44,Fixtures!EQ$93:EQ$142,1,FALSE),FALSE))</f>
        <v/>
      </c>
    </row>
    <row r="45" spans="2:75" ht="14.3" customHeight="1">
      <c r="B45" s="1182" t="str">
        <f t="shared" si="20"/>
        <v/>
      </c>
      <c r="D45" s="928"/>
      <c r="E45" s="1992"/>
      <c r="F45" s="1992"/>
      <c r="G45" s="38">
        <v>3</v>
      </c>
      <c r="H45" s="1999"/>
      <c r="I45" s="1999"/>
      <c r="J45" s="1999"/>
      <c r="K45" s="1999"/>
      <c r="L45" s="1999"/>
      <c r="M45" s="1999"/>
      <c r="N45" s="1999"/>
      <c r="O45" s="1108"/>
      <c r="P45" s="1125" t="str">
        <f t="shared" si="21"/>
        <v/>
      </c>
      <c r="Q45" s="1994">
        <f t="shared" si="22"/>
        <v>0</v>
      </c>
      <c r="R45" s="1994"/>
      <c r="S45" s="1108"/>
      <c r="T45" s="1108"/>
      <c r="U45" s="1108"/>
      <c r="V45" s="1127" t="b">
        <f t="shared" si="23"/>
        <v>1</v>
      </c>
      <c r="W45" s="1995">
        <f t="shared" si="24"/>
        <v>0</v>
      </c>
      <c r="X45" s="1995"/>
      <c r="Y45" s="1202" t="e">
        <f t="shared" si="25"/>
        <v>#N/A</v>
      </c>
      <c r="Z45" s="1995">
        <f t="shared" si="26"/>
        <v>0</v>
      </c>
      <c r="AA45" s="1995"/>
      <c r="AB45" s="1202" t="e">
        <f t="shared" si="27"/>
        <v>#N/A</v>
      </c>
      <c r="AC45" s="1995">
        <f t="shared" si="28"/>
        <v>0</v>
      </c>
      <c r="AD45" s="1995"/>
      <c r="AE45" s="1201">
        <f>IFERROR(ROUND(SUM(S45:U45)*P45*W$39*AB$39*(1-AA32)/1000,0),0)</f>
        <v>0</v>
      </c>
      <c r="AF45" s="1097"/>
      <c r="AG45" s="1995">
        <f t="shared" si="29"/>
        <v>0</v>
      </c>
      <c r="AH45" s="1995"/>
      <c r="AI45" s="1095"/>
      <c r="AJ45" s="1996" t="str">
        <f t="shared" si="30"/>
        <v/>
      </c>
      <c r="AK45" s="1997"/>
      <c r="AL45" s="1997"/>
      <c r="AN45" s="38" t="b">
        <f t="shared" si="31"/>
        <v>0</v>
      </c>
      <c r="AO45" s="86">
        <f t="shared" si="32"/>
        <v>0</v>
      </c>
      <c r="AP45" s="1130" t="e">
        <f t="shared" si="7"/>
        <v>#DIV/0!</v>
      </c>
      <c r="AQ45" s="1205" t="e">
        <f t="shared" si="33"/>
        <v>#DIV/0!</v>
      </c>
      <c r="AR45" s="1205">
        <f t="shared" si="34"/>
        <v>0</v>
      </c>
      <c r="AS45" s="1205">
        <f t="shared" ref="AS45:AS72" si="51">IFERROR(ROUND(Q45*W$39*AB$39*(1-AR$36)/1000,0),0)</f>
        <v>0</v>
      </c>
      <c r="AT45" s="1205">
        <f t="shared" si="35"/>
        <v>0</v>
      </c>
      <c r="AU45" s="337" t="e">
        <f t="shared" si="36"/>
        <v>#DIV/0!</v>
      </c>
      <c r="AV45" s="337">
        <f t="shared" si="37"/>
        <v>0</v>
      </c>
      <c r="AW45" s="1130">
        <f t="shared" si="38"/>
        <v>0</v>
      </c>
      <c r="AX45" s="1172" t="e">
        <f t="shared" si="39"/>
        <v>#DIV/0!</v>
      </c>
      <c r="BA45" s="337">
        <f t="shared" ref="BA45:BA72" si="52">IFERROR(IF(AN45=TRUE,0,ROUND(((O45-S45-T45-U45)*P45)*W$39*AB$39*(1-AR$36)/1000,0)),0)</f>
        <v>0</v>
      </c>
      <c r="BB45" s="337">
        <f t="shared" si="40"/>
        <v>0</v>
      </c>
      <c r="BC45" s="337">
        <f t="shared" si="41"/>
        <v>0</v>
      </c>
      <c r="BJ45" s="38" t="b">
        <f t="shared" si="42"/>
        <v>0</v>
      </c>
      <c r="BK45" s="86">
        <f>IF(AND(AN45=TRUE,BL45=1),O45*VLOOKUP(H45,Fixtures!DN$27:EG$76,19,FALSE),0)</f>
        <v>0</v>
      </c>
      <c r="BL45" s="86">
        <f t="shared" si="43"/>
        <v>0</v>
      </c>
      <c r="BM45" s="38" t="b">
        <f t="shared" si="44"/>
        <v>1</v>
      </c>
      <c r="BN45" s="86">
        <f t="shared" si="45"/>
        <v>0</v>
      </c>
      <c r="BO45" s="86">
        <f t="shared" si="46"/>
        <v>0</v>
      </c>
      <c r="BQ45" s="337">
        <f t="shared" si="47"/>
        <v>0</v>
      </c>
      <c r="BR45" s="337">
        <f t="shared" si="48"/>
        <v>0</v>
      </c>
      <c r="BS45" s="86">
        <f t="shared" si="49"/>
        <v>0</v>
      </c>
      <c r="BT45" s="86">
        <f t="shared" si="50"/>
        <v>0</v>
      </c>
      <c r="BU45" s="86">
        <f t="shared" ref="BU45:BU53" si="53">IF(BM45=FALSE,0,IF(AN45=TRUE,ROUND((O45*P45*AB$39*W$39*(1-AA$39))/1000,0),0))</f>
        <v>0</v>
      </c>
      <c r="BW45" s="38" t="str">
        <f>IF(H45="","",IFERROR(VLOOKUP(H45,Fixtures!EQ$93:EQ$142,1,FALSE),FALSE))</f>
        <v/>
      </c>
    </row>
    <row r="46" spans="2:75" ht="14.3" customHeight="1">
      <c r="B46" s="1182" t="str">
        <f t="shared" si="20"/>
        <v/>
      </c>
      <c r="D46" s="928"/>
      <c r="E46" s="1992"/>
      <c r="F46" s="1992"/>
      <c r="G46" s="38">
        <v>4</v>
      </c>
      <c r="H46" s="1993"/>
      <c r="I46" s="1993"/>
      <c r="J46" s="1993"/>
      <c r="K46" s="1993"/>
      <c r="L46" s="1993"/>
      <c r="M46" s="1993"/>
      <c r="N46" s="1993"/>
      <c r="O46" s="1108"/>
      <c r="P46" s="1125" t="str">
        <f t="shared" si="21"/>
        <v/>
      </c>
      <c r="Q46" s="1994">
        <f t="shared" si="22"/>
        <v>0</v>
      </c>
      <c r="R46" s="1994"/>
      <c r="S46" s="1108"/>
      <c r="T46" s="1108"/>
      <c r="U46" s="1108"/>
      <c r="V46" s="1127" t="b">
        <f t="shared" si="23"/>
        <v>1</v>
      </c>
      <c r="W46" s="1995">
        <f t="shared" si="24"/>
        <v>0</v>
      </c>
      <c r="X46" s="1995"/>
      <c r="Y46" s="1202" t="e">
        <f t="shared" si="25"/>
        <v>#N/A</v>
      </c>
      <c r="Z46" s="1995">
        <f t="shared" si="26"/>
        <v>0</v>
      </c>
      <c r="AA46" s="1995"/>
      <c r="AB46" s="1202" t="e">
        <f t="shared" si="27"/>
        <v>#N/A</v>
      </c>
      <c r="AC46" s="1995">
        <f t="shared" si="28"/>
        <v>0</v>
      </c>
      <c r="AD46" s="1995"/>
      <c r="AE46" s="1201">
        <f>IFERROR(ROUND(SUM(S46:U46)*P46*W$39*AB$39*(1-AA33)/1000,0),0)</f>
        <v>0</v>
      </c>
      <c r="AF46" s="1097"/>
      <c r="AG46" s="1995">
        <f t="shared" si="29"/>
        <v>0</v>
      </c>
      <c r="AH46" s="1995"/>
      <c r="AI46" s="1095"/>
      <c r="AJ46" s="1996" t="str">
        <f t="shared" si="30"/>
        <v/>
      </c>
      <c r="AK46" s="1997"/>
      <c r="AL46" s="1997"/>
      <c r="AN46" s="38" t="b">
        <f t="shared" si="31"/>
        <v>0</v>
      </c>
      <c r="AO46" s="86">
        <f t="shared" si="32"/>
        <v>0</v>
      </c>
      <c r="AP46" s="1130" t="e">
        <f t="shared" si="7"/>
        <v>#DIV/0!</v>
      </c>
      <c r="AQ46" s="1205" t="e">
        <f t="shared" si="33"/>
        <v>#DIV/0!</v>
      </c>
      <c r="AR46" s="1205">
        <f t="shared" si="34"/>
        <v>0</v>
      </c>
      <c r="AS46" s="1205">
        <f t="shared" si="51"/>
        <v>0</v>
      </c>
      <c r="AT46" s="1205">
        <f t="shared" si="35"/>
        <v>0</v>
      </c>
      <c r="AU46" s="337" t="e">
        <f t="shared" si="36"/>
        <v>#DIV/0!</v>
      </c>
      <c r="AV46" s="337">
        <f t="shared" si="37"/>
        <v>0</v>
      </c>
      <c r="AW46" s="1130">
        <f t="shared" si="38"/>
        <v>0</v>
      </c>
      <c r="AX46" s="1172" t="e">
        <f t="shared" si="39"/>
        <v>#DIV/0!</v>
      </c>
      <c r="BA46" s="337">
        <f t="shared" si="52"/>
        <v>0</v>
      </c>
      <c r="BB46" s="337">
        <f t="shared" si="40"/>
        <v>0</v>
      </c>
      <c r="BC46" s="337">
        <f t="shared" si="41"/>
        <v>0</v>
      </c>
      <c r="BJ46" s="38" t="b">
        <f t="shared" si="42"/>
        <v>0</v>
      </c>
      <c r="BK46" s="86">
        <f>IF(AND(AN46=TRUE,BL46=1),O46*VLOOKUP(H46,Fixtures!DN$27:EG$76,19,FALSE),0)</f>
        <v>0</v>
      </c>
      <c r="BL46" s="86">
        <f t="shared" si="43"/>
        <v>0</v>
      </c>
      <c r="BM46" s="38" t="b">
        <f t="shared" si="44"/>
        <v>1</v>
      </c>
      <c r="BN46" s="86">
        <f t="shared" si="45"/>
        <v>0</v>
      </c>
      <c r="BO46" s="86">
        <f t="shared" si="46"/>
        <v>0</v>
      </c>
      <c r="BQ46" s="337">
        <f t="shared" si="47"/>
        <v>0</v>
      </c>
      <c r="BR46" s="337">
        <f t="shared" si="48"/>
        <v>0</v>
      </c>
      <c r="BS46" s="86">
        <f t="shared" si="49"/>
        <v>0</v>
      </c>
      <c r="BT46" s="86">
        <f t="shared" si="50"/>
        <v>0</v>
      </c>
      <c r="BU46" s="86">
        <f t="shared" si="53"/>
        <v>0</v>
      </c>
      <c r="BW46" s="38" t="str">
        <f>IF(H46="","",IFERROR(VLOOKUP(H46,Fixtures!EQ$93:EQ$142,1,FALSE),FALSE))</f>
        <v/>
      </c>
    </row>
    <row r="47" spans="2:75" ht="14.3" customHeight="1">
      <c r="B47" s="1182" t="str">
        <f t="shared" si="20"/>
        <v/>
      </c>
      <c r="D47" s="928"/>
      <c r="E47" s="1992"/>
      <c r="F47" s="1992"/>
      <c r="G47" s="38">
        <v>5</v>
      </c>
      <c r="H47" s="1993"/>
      <c r="I47" s="1993"/>
      <c r="J47" s="1993"/>
      <c r="K47" s="1993"/>
      <c r="L47" s="1993"/>
      <c r="M47" s="1993"/>
      <c r="N47" s="1993"/>
      <c r="O47" s="1108"/>
      <c r="P47" s="1125" t="str">
        <f t="shared" si="21"/>
        <v/>
      </c>
      <c r="Q47" s="1994">
        <f t="shared" si="22"/>
        <v>0</v>
      </c>
      <c r="R47" s="1994"/>
      <c r="S47" s="1108"/>
      <c r="T47" s="1108"/>
      <c r="U47" s="1108"/>
      <c r="V47" s="1127" t="b">
        <f t="shared" si="23"/>
        <v>1</v>
      </c>
      <c r="W47" s="1995">
        <f t="shared" si="24"/>
        <v>0</v>
      </c>
      <c r="X47" s="1995"/>
      <c r="Y47" s="1202" t="e">
        <f t="shared" si="25"/>
        <v>#N/A</v>
      </c>
      <c r="Z47" s="1995">
        <f t="shared" si="26"/>
        <v>0</v>
      </c>
      <c r="AA47" s="1995"/>
      <c r="AB47" s="1202" t="e">
        <f t="shared" si="27"/>
        <v>#N/A</v>
      </c>
      <c r="AC47" s="1995">
        <f t="shared" si="28"/>
        <v>0</v>
      </c>
      <c r="AD47" s="1995"/>
      <c r="AE47" s="1201">
        <f>IFERROR(ROUND(SUM(S47:U47)*P47*W$39*AB$39*(1-AA34)/1000,0),0)</f>
        <v>0</v>
      </c>
      <c r="AF47" s="1097"/>
      <c r="AG47" s="1995">
        <f t="shared" si="29"/>
        <v>0</v>
      </c>
      <c r="AH47" s="1995"/>
      <c r="AI47" s="1095"/>
      <c r="AJ47" s="1996" t="str">
        <f t="shared" si="30"/>
        <v/>
      </c>
      <c r="AK47" s="1997"/>
      <c r="AL47" s="1997"/>
      <c r="AN47" s="38" t="b">
        <f t="shared" si="31"/>
        <v>0</v>
      </c>
      <c r="AO47" s="86">
        <f t="shared" si="32"/>
        <v>0</v>
      </c>
      <c r="AP47" s="1130" t="e">
        <f t="shared" si="7"/>
        <v>#DIV/0!</v>
      </c>
      <c r="AQ47" s="1205" t="e">
        <f t="shared" si="33"/>
        <v>#DIV/0!</v>
      </c>
      <c r="AR47" s="1205">
        <f t="shared" si="34"/>
        <v>0</v>
      </c>
      <c r="AS47" s="1205">
        <f t="shared" si="51"/>
        <v>0</v>
      </c>
      <c r="AT47" s="1205">
        <f t="shared" si="35"/>
        <v>0</v>
      </c>
      <c r="AU47" s="337" t="e">
        <f t="shared" si="36"/>
        <v>#DIV/0!</v>
      </c>
      <c r="AV47" s="337">
        <f t="shared" si="37"/>
        <v>0</v>
      </c>
      <c r="AW47" s="1130">
        <f t="shared" si="38"/>
        <v>0</v>
      </c>
      <c r="AX47" s="1172" t="e">
        <f t="shared" si="39"/>
        <v>#DIV/0!</v>
      </c>
      <c r="BA47" s="337">
        <f t="shared" si="52"/>
        <v>0</v>
      </c>
      <c r="BB47" s="337">
        <f t="shared" si="40"/>
        <v>0</v>
      </c>
      <c r="BC47" s="337">
        <f t="shared" si="41"/>
        <v>0</v>
      </c>
      <c r="BJ47" s="38" t="b">
        <f t="shared" si="42"/>
        <v>0</v>
      </c>
      <c r="BK47" s="86">
        <f>IF(AND(AN47=TRUE,BL47=1),O47*VLOOKUP(H47,Fixtures!DN$27:EG$76,19,FALSE),0)</f>
        <v>0</v>
      </c>
      <c r="BL47" s="86">
        <f t="shared" si="43"/>
        <v>0</v>
      </c>
      <c r="BM47" s="38" t="b">
        <f t="shared" si="44"/>
        <v>1</v>
      </c>
      <c r="BN47" s="86">
        <f t="shared" si="45"/>
        <v>0</v>
      </c>
      <c r="BO47" s="86">
        <f t="shared" si="46"/>
        <v>0</v>
      </c>
      <c r="BQ47" s="337">
        <f t="shared" si="47"/>
        <v>0</v>
      </c>
      <c r="BR47" s="337">
        <f t="shared" si="48"/>
        <v>0</v>
      </c>
      <c r="BS47" s="86">
        <f t="shared" si="49"/>
        <v>0</v>
      </c>
      <c r="BT47" s="86">
        <f t="shared" si="50"/>
        <v>0</v>
      </c>
      <c r="BU47" s="86">
        <f t="shared" si="53"/>
        <v>0</v>
      </c>
      <c r="BW47" s="38" t="str">
        <f>IF(H47="","",IFERROR(VLOOKUP(H47,Fixtures!EQ$93:EQ$142,1,FALSE),FALSE))</f>
        <v/>
      </c>
    </row>
    <row r="48" spans="2:75" ht="14.3" customHeight="1">
      <c r="B48" s="1182" t="str">
        <f t="shared" si="20"/>
        <v/>
      </c>
      <c r="D48" s="928"/>
      <c r="E48" s="1992"/>
      <c r="F48" s="1992"/>
      <c r="G48" s="38">
        <v>6</v>
      </c>
      <c r="H48" s="1993"/>
      <c r="I48" s="1993"/>
      <c r="J48" s="1993"/>
      <c r="K48" s="1993"/>
      <c r="L48" s="1993"/>
      <c r="M48" s="1993"/>
      <c r="N48" s="1993"/>
      <c r="O48" s="1108"/>
      <c r="P48" s="1125" t="str">
        <f t="shared" si="21"/>
        <v/>
      </c>
      <c r="Q48" s="1994">
        <f t="shared" si="22"/>
        <v>0</v>
      </c>
      <c r="R48" s="1994"/>
      <c r="S48" s="1108"/>
      <c r="T48" s="1108"/>
      <c r="U48" s="1108"/>
      <c r="V48" s="1127" t="b">
        <f t="shared" si="23"/>
        <v>1</v>
      </c>
      <c r="W48" s="1995">
        <f t="shared" si="24"/>
        <v>0</v>
      </c>
      <c r="X48" s="1995"/>
      <c r="Y48" s="1202" t="e">
        <f t="shared" si="25"/>
        <v>#N/A</v>
      </c>
      <c r="Z48" s="1995">
        <f t="shared" si="26"/>
        <v>0</v>
      </c>
      <c r="AA48" s="1995"/>
      <c r="AB48" s="1202" t="e">
        <f t="shared" si="27"/>
        <v>#N/A</v>
      </c>
      <c r="AC48" s="1995">
        <f t="shared" si="28"/>
        <v>0</v>
      </c>
      <c r="AD48" s="1995"/>
      <c r="AE48" s="1201">
        <f t="shared" ref="AE48:AE51" si="54">IFERROR(ROUND(SUM(S48:U48)*P48*W$39*AB$39*(1-AA44)/1000,0),0)</f>
        <v>0</v>
      </c>
      <c r="AF48" s="1097"/>
      <c r="AG48" s="1995">
        <f t="shared" si="29"/>
        <v>0</v>
      </c>
      <c r="AH48" s="1995"/>
      <c r="AI48" s="1095"/>
      <c r="AJ48" s="1996" t="str">
        <f t="shared" si="30"/>
        <v/>
      </c>
      <c r="AK48" s="1997"/>
      <c r="AL48" s="1997"/>
      <c r="AN48" s="38" t="b">
        <f t="shared" si="31"/>
        <v>0</v>
      </c>
      <c r="AO48" s="86">
        <f t="shared" si="32"/>
        <v>0</v>
      </c>
      <c r="AP48" s="1130" t="e">
        <f t="shared" si="7"/>
        <v>#DIV/0!</v>
      </c>
      <c r="AQ48" s="1205" t="e">
        <f t="shared" si="33"/>
        <v>#DIV/0!</v>
      </c>
      <c r="AR48" s="1205">
        <f t="shared" si="34"/>
        <v>0</v>
      </c>
      <c r="AS48" s="1205">
        <f t="shared" si="51"/>
        <v>0</v>
      </c>
      <c r="AT48" s="1205">
        <f t="shared" si="35"/>
        <v>0</v>
      </c>
      <c r="AU48" s="337" t="e">
        <f t="shared" si="36"/>
        <v>#DIV/0!</v>
      </c>
      <c r="AV48" s="337">
        <f t="shared" si="37"/>
        <v>0</v>
      </c>
      <c r="AW48" s="1130">
        <f t="shared" si="38"/>
        <v>0</v>
      </c>
      <c r="AX48" s="1172" t="e">
        <f t="shared" si="39"/>
        <v>#DIV/0!</v>
      </c>
      <c r="BA48" s="337">
        <f t="shared" si="52"/>
        <v>0</v>
      </c>
      <c r="BB48" s="337">
        <f t="shared" si="40"/>
        <v>0</v>
      </c>
      <c r="BC48" s="337">
        <f t="shared" si="41"/>
        <v>0</v>
      </c>
      <c r="BJ48" s="38" t="b">
        <f t="shared" si="42"/>
        <v>0</v>
      </c>
      <c r="BK48" s="86">
        <f>IF(AND(AN48=TRUE,BL48=1),O48*VLOOKUP(H48,Fixtures!DN$27:EG$76,19,FALSE),0)</f>
        <v>0</v>
      </c>
      <c r="BL48" s="86">
        <f t="shared" si="43"/>
        <v>0</v>
      </c>
      <c r="BM48" s="38" t="b">
        <f t="shared" si="44"/>
        <v>1</v>
      </c>
      <c r="BN48" s="86">
        <f t="shared" si="45"/>
        <v>0</v>
      </c>
      <c r="BO48" s="86">
        <f t="shared" si="46"/>
        <v>0</v>
      </c>
      <c r="BQ48" s="337">
        <f t="shared" si="47"/>
        <v>0</v>
      </c>
      <c r="BR48" s="337">
        <f t="shared" si="48"/>
        <v>0</v>
      </c>
      <c r="BS48" s="86">
        <f t="shared" si="49"/>
        <v>0</v>
      </c>
      <c r="BT48" s="86">
        <f t="shared" si="50"/>
        <v>0</v>
      </c>
      <c r="BU48" s="86">
        <f t="shared" si="53"/>
        <v>0</v>
      </c>
      <c r="BW48" s="38" t="str">
        <f>IF(H48="","",IFERROR(VLOOKUP(H48,Fixtures!EQ$93:EQ$142,1,FALSE),FALSE))</f>
        <v/>
      </c>
    </row>
    <row r="49" spans="2:75" ht="14.3" customHeight="1">
      <c r="B49" s="1182" t="str">
        <f t="shared" si="20"/>
        <v/>
      </c>
      <c r="D49" s="928"/>
      <c r="E49" s="1992"/>
      <c r="F49" s="1992"/>
      <c r="G49" s="38">
        <v>7</v>
      </c>
      <c r="H49" s="1993"/>
      <c r="I49" s="1993"/>
      <c r="J49" s="1993"/>
      <c r="K49" s="1993"/>
      <c r="L49" s="1993"/>
      <c r="M49" s="1993"/>
      <c r="N49" s="1993"/>
      <c r="O49" s="1108"/>
      <c r="P49" s="1125" t="str">
        <f t="shared" si="21"/>
        <v/>
      </c>
      <c r="Q49" s="1994">
        <f t="shared" si="22"/>
        <v>0</v>
      </c>
      <c r="R49" s="1994"/>
      <c r="S49" s="1108"/>
      <c r="T49" s="1108"/>
      <c r="U49" s="1108"/>
      <c r="V49" s="1127" t="b">
        <f t="shared" si="23"/>
        <v>1</v>
      </c>
      <c r="W49" s="1995">
        <f t="shared" si="24"/>
        <v>0</v>
      </c>
      <c r="X49" s="1995"/>
      <c r="Y49" s="1202" t="e">
        <f t="shared" si="25"/>
        <v>#N/A</v>
      </c>
      <c r="Z49" s="1995">
        <f t="shared" si="26"/>
        <v>0</v>
      </c>
      <c r="AA49" s="1995"/>
      <c r="AB49" s="1202" t="e">
        <f t="shared" si="27"/>
        <v>#N/A</v>
      </c>
      <c r="AC49" s="1995">
        <f t="shared" si="28"/>
        <v>0</v>
      </c>
      <c r="AD49" s="1995"/>
      <c r="AE49" s="1201">
        <f t="shared" si="54"/>
        <v>0</v>
      </c>
      <c r="AF49" s="1097"/>
      <c r="AG49" s="1995">
        <f t="shared" si="29"/>
        <v>0</v>
      </c>
      <c r="AH49" s="1995"/>
      <c r="AI49" s="1095"/>
      <c r="AJ49" s="1996" t="str">
        <f t="shared" si="30"/>
        <v/>
      </c>
      <c r="AK49" s="1997"/>
      <c r="AL49" s="1997"/>
      <c r="AN49" s="38" t="b">
        <f t="shared" si="31"/>
        <v>0</v>
      </c>
      <c r="AO49" s="86">
        <f t="shared" si="32"/>
        <v>0</v>
      </c>
      <c r="AP49" s="1130" t="e">
        <f t="shared" si="7"/>
        <v>#DIV/0!</v>
      </c>
      <c r="AQ49" s="1205" t="e">
        <f t="shared" si="33"/>
        <v>#DIV/0!</v>
      </c>
      <c r="AR49" s="1205">
        <f t="shared" si="34"/>
        <v>0</v>
      </c>
      <c r="AS49" s="1205">
        <f t="shared" si="51"/>
        <v>0</v>
      </c>
      <c r="AT49" s="1205">
        <f t="shared" si="35"/>
        <v>0</v>
      </c>
      <c r="AU49" s="337" t="e">
        <f t="shared" si="36"/>
        <v>#DIV/0!</v>
      </c>
      <c r="AV49" s="337">
        <f t="shared" si="37"/>
        <v>0</v>
      </c>
      <c r="AW49" s="1130">
        <f t="shared" si="38"/>
        <v>0</v>
      </c>
      <c r="AX49" s="1172" t="e">
        <f t="shared" si="39"/>
        <v>#DIV/0!</v>
      </c>
      <c r="BA49" s="337">
        <f t="shared" si="52"/>
        <v>0</v>
      </c>
      <c r="BB49" s="337">
        <f t="shared" si="40"/>
        <v>0</v>
      </c>
      <c r="BC49" s="337">
        <f t="shared" si="41"/>
        <v>0</v>
      </c>
      <c r="BJ49" s="38" t="b">
        <f t="shared" si="42"/>
        <v>0</v>
      </c>
      <c r="BK49" s="86">
        <f>IF(AND(AN49=TRUE,BL49=1),O49*VLOOKUP(H49,Fixtures!DN$27:EG$76,19,FALSE),0)</f>
        <v>0</v>
      </c>
      <c r="BL49" s="86">
        <f t="shared" si="43"/>
        <v>0</v>
      </c>
      <c r="BM49" s="38" t="b">
        <f t="shared" si="44"/>
        <v>1</v>
      </c>
      <c r="BN49" s="86">
        <f t="shared" si="45"/>
        <v>0</v>
      </c>
      <c r="BO49" s="86">
        <f t="shared" si="46"/>
        <v>0</v>
      </c>
      <c r="BQ49" s="337">
        <f t="shared" si="47"/>
        <v>0</v>
      </c>
      <c r="BR49" s="337">
        <f t="shared" si="48"/>
        <v>0</v>
      </c>
      <c r="BS49" s="86">
        <f t="shared" si="49"/>
        <v>0</v>
      </c>
      <c r="BT49" s="86">
        <f t="shared" si="50"/>
        <v>0</v>
      </c>
      <c r="BU49" s="86">
        <f t="shared" si="53"/>
        <v>0</v>
      </c>
      <c r="BW49" s="38" t="str">
        <f>IF(H49="","",IFERROR(VLOOKUP(H49,Fixtures!EQ$93:EQ$142,1,FALSE),FALSE))</f>
        <v/>
      </c>
    </row>
    <row r="50" spans="2:75" ht="14.3" customHeight="1">
      <c r="B50" s="1182" t="str">
        <f t="shared" si="20"/>
        <v/>
      </c>
      <c r="D50" s="928"/>
      <c r="E50" s="1992"/>
      <c r="F50" s="1992"/>
      <c r="G50" s="38">
        <v>8</v>
      </c>
      <c r="H50" s="1993"/>
      <c r="I50" s="1993"/>
      <c r="J50" s="1993"/>
      <c r="K50" s="1993"/>
      <c r="L50" s="1993"/>
      <c r="M50" s="1993"/>
      <c r="N50" s="1993"/>
      <c r="O50" s="1108"/>
      <c r="P50" s="1125" t="str">
        <f t="shared" si="21"/>
        <v/>
      </c>
      <c r="Q50" s="1994">
        <f t="shared" si="22"/>
        <v>0</v>
      </c>
      <c r="R50" s="1994"/>
      <c r="S50" s="1108"/>
      <c r="T50" s="1108"/>
      <c r="U50" s="1108"/>
      <c r="V50" s="1127" t="b">
        <f t="shared" si="23"/>
        <v>1</v>
      </c>
      <c r="W50" s="1995">
        <f t="shared" si="24"/>
        <v>0</v>
      </c>
      <c r="X50" s="1995"/>
      <c r="Y50" s="1202" t="e">
        <f t="shared" si="25"/>
        <v>#N/A</v>
      </c>
      <c r="Z50" s="1995">
        <f t="shared" si="26"/>
        <v>0</v>
      </c>
      <c r="AA50" s="1995"/>
      <c r="AB50" s="1202" t="e">
        <f t="shared" si="27"/>
        <v>#N/A</v>
      </c>
      <c r="AC50" s="1995">
        <f t="shared" si="28"/>
        <v>0</v>
      </c>
      <c r="AD50" s="1995"/>
      <c r="AE50" s="1201">
        <f t="shared" si="54"/>
        <v>0</v>
      </c>
      <c r="AF50" s="1097"/>
      <c r="AG50" s="1995">
        <f t="shared" si="29"/>
        <v>0</v>
      </c>
      <c r="AH50" s="1995"/>
      <c r="AI50" s="1095"/>
      <c r="AJ50" s="1996" t="str">
        <f t="shared" si="30"/>
        <v/>
      </c>
      <c r="AK50" s="1997"/>
      <c r="AL50" s="1997"/>
      <c r="AN50" s="38" t="b">
        <f t="shared" si="31"/>
        <v>0</v>
      </c>
      <c r="AO50" s="86">
        <f t="shared" si="32"/>
        <v>0</v>
      </c>
      <c r="AP50" s="1130" t="e">
        <f t="shared" si="7"/>
        <v>#DIV/0!</v>
      </c>
      <c r="AQ50" s="1205" t="e">
        <f t="shared" si="33"/>
        <v>#DIV/0!</v>
      </c>
      <c r="AR50" s="1205">
        <f t="shared" si="34"/>
        <v>0</v>
      </c>
      <c r="AS50" s="1205">
        <f t="shared" si="51"/>
        <v>0</v>
      </c>
      <c r="AT50" s="1205">
        <f t="shared" si="35"/>
        <v>0</v>
      </c>
      <c r="AU50" s="337" t="e">
        <f t="shared" si="36"/>
        <v>#DIV/0!</v>
      </c>
      <c r="AV50" s="337">
        <f t="shared" si="37"/>
        <v>0</v>
      </c>
      <c r="AW50" s="1130">
        <f t="shared" si="38"/>
        <v>0</v>
      </c>
      <c r="AX50" s="1172" t="e">
        <f t="shared" si="39"/>
        <v>#DIV/0!</v>
      </c>
      <c r="BA50" s="337">
        <f t="shared" si="52"/>
        <v>0</v>
      </c>
      <c r="BB50" s="337">
        <f t="shared" si="40"/>
        <v>0</v>
      </c>
      <c r="BC50" s="337">
        <f t="shared" si="41"/>
        <v>0</v>
      </c>
      <c r="BJ50" s="38" t="b">
        <f t="shared" si="42"/>
        <v>0</v>
      </c>
      <c r="BK50" s="86">
        <f>IF(AND(AN50=TRUE,BL50=1),O50*VLOOKUP(H50,Fixtures!DN$27:EG$76,19,FALSE),0)</f>
        <v>0</v>
      </c>
      <c r="BL50" s="86">
        <f t="shared" si="43"/>
        <v>0</v>
      </c>
      <c r="BM50" s="38" t="b">
        <f t="shared" si="44"/>
        <v>1</v>
      </c>
      <c r="BN50" s="86">
        <f t="shared" si="45"/>
        <v>0</v>
      </c>
      <c r="BO50" s="86">
        <f t="shared" si="46"/>
        <v>0</v>
      </c>
      <c r="BQ50" s="337">
        <f t="shared" si="47"/>
        <v>0</v>
      </c>
      <c r="BR50" s="337">
        <f t="shared" si="48"/>
        <v>0</v>
      </c>
      <c r="BS50" s="86">
        <f t="shared" si="49"/>
        <v>0</v>
      </c>
      <c r="BT50" s="86">
        <f t="shared" si="50"/>
        <v>0</v>
      </c>
      <c r="BU50" s="86">
        <f t="shared" si="53"/>
        <v>0</v>
      </c>
      <c r="BW50" s="38" t="str">
        <f>IF(H50="","",IFERROR(VLOOKUP(H50,Fixtures!EQ$93:EQ$142,1,FALSE),FALSE))</f>
        <v/>
      </c>
    </row>
    <row r="51" spans="2:75" ht="14.3" customHeight="1">
      <c r="B51" s="1182" t="str">
        <f t="shared" si="20"/>
        <v/>
      </c>
      <c r="D51" s="928"/>
      <c r="E51" s="1992"/>
      <c r="F51" s="1992"/>
      <c r="G51" s="38">
        <v>9</v>
      </c>
      <c r="H51" s="1993"/>
      <c r="I51" s="1993"/>
      <c r="J51" s="1993"/>
      <c r="K51" s="1993"/>
      <c r="L51" s="1993"/>
      <c r="M51" s="1993"/>
      <c r="N51" s="1993"/>
      <c r="O51" s="1108"/>
      <c r="P51" s="1125" t="str">
        <f t="shared" si="21"/>
        <v/>
      </c>
      <c r="Q51" s="1994">
        <f t="shared" si="22"/>
        <v>0</v>
      </c>
      <c r="R51" s="1994"/>
      <c r="S51" s="1108"/>
      <c r="T51" s="1108"/>
      <c r="U51" s="1108"/>
      <c r="V51" s="1127" t="b">
        <f t="shared" si="23"/>
        <v>1</v>
      </c>
      <c r="W51" s="1995">
        <f t="shared" si="24"/>
        <v>0</v>
      </c>
      <c r="X51" s="1995"/>
      <c r="Y51" s="1202" t="e">
        <f t="shared" si="25"/>
        <v>#N/A</v>
      </c>
      <c r="Z51" s="1995">
        <f t="shared" si="26"/>
        <v>0</v>
      </c>
      <c r="AA51" s="1995"/>
      <c r="AB51" s="1202" t="e">
        <f t="shared" si="27"/>
        <v>#N/A</v>
      </c>
      <c r="AC51" s="1995">
        <f t="shared" si="28"/>
        <v>0</v>
      </c>
      <c r="AD51" s="1995"/>
      <c r="AE51" s="1201">
        <f t="shared" si="54"/>
        <v>0</v>
      </c>
      <c r="AF51" s="1097"/>
      <c r="AG51" s="1995">
        <f t="shared" si="29"/>
        <v>0</v>
      </c>
      <c r="AH51" s="1995"/>
      <c r="AI51" s="1095"/>
      <c r="AJ51" s="1996" t="str">
        <f t="shared" si="30"/>
        <v/>
      </c>
      <c r="AK51" s="1997"/>
      <c r="AL51" s="1997"/>
      <c r="AN51" s="38" t="b">
        <f t="shared" si="31"/>
        <v>0</v>
      </c>
      <c r="AO51" s="86">
        <f t="shared" si="32"/>
        <v>0</v>
      </c>
      <c r="AP51" s="1130" t="e">
        <f t="shared" si="7"/>
        <v>#DIV/0!</v>
      </c>
      <c r="AQ51" s="1205" t="e">
        <f t="shared" si="33"/>
        <v>#DIV/0!</v>
      </c>
      <c r="AR51" s="1205">
        <f t="shared" si="34"/>
        <v>0</v>
      </c>
      <c r="AS51" s="1205">
        <f t="shared" si="51"/>
        <v>0</v>
      </c>
      <c r="AT51" s="1205">
        <f t="shared" si="35"/>
        <v>0</v>
      </c>
      <c r="AU51" s="337" t="e">
        <f t="shared" si="36"/>
        <v>#DIV/0!</v>
      </c>
      <c r="AV51" s="337">
        <f t="shared" si="37"/>
        <v>0</v>
      </c>
      <c r="AW51" s="1130">
        <f t="shared" si="38"/>
        <v>0</v>
      </c>
      <c r="AX51" s="1172" t="e">
        <f t="shared" si="39"/>
        <v>#DIV/0!</v>
      </c>
      <c r="BA51" s="337">
        <f t="shared" si="52"/>
        <v>0</v>
      </c>
      <c r="BB51" s="337">
        <f t="shared" si="40"/>
        <v>0</v>
      </c>
      <c r="BC51" s="337">
        <f t="shared" si="41"/>
        <v>0</v>
      </c>
      <c r="BJ51" s="38" t="b">
        <f t="shared" si="42"/>
        <v>0</v>
      </c>
      <c r="BK51" s="86">
        <f>IF(AND(AN51=TRUE,BL51=1),O51*VLOOKUP(H51,Fixtures!DN$27:EG$76,19,FALSE),0)</f>
        <v>0</v>
      </c>
      <c r="BL51" s="86">
        <f t="shared" si="43"/>
        <v>0</v>
      </c>
      <c r="BM51" s="38" t="b">
        <f t="shared" si="44"/>
        <v>1</v>
      </c>
      <c r="BN51" s="86">
        <f t="shared" si="45"/>
        <v>0</v>
      </c>
      <c r="BO51" s="86">
        <f t="shared" si="46"/>
        <v>0</v>
      </c>
      <c r="BQ51" s="337">
        <f t="shared" si="47"/>
        <v>0</v>
      </c>
      <c r="BR51" s="337">
        <f t="shared" si="48"/>
        <v>0</v>
      </c>
      <c r="BS51" s="86">
        <f t="shared" si="49"/>
        <v>0</v>
      </c>
      <c r="BT51" s="86">
        <f t="shared" si="50"/>
        <v>0</v>
      </c>
      <c r="BU51" s="86">
        <f t="shared" si="53"/>
        <v>0</v>
      </c>
      <c r="BW51" s="38" t="str">
        <f>IF(H51="","",IFERROR(VLOOKUP(H51,Fixtures!EQ$93:EQ$142,1,FALSE),FALSE))</f>
        <v/>
      </c>
    </row>
    <row r="52" spans="2:75" ht="14.3" customHeight="1">
      <c r="B52" s="1182" t="str">
        <f t="shared" ref="B52" si="55">IF(BW52=FALSE,"Reselect fixture","")</f>
        <v/>
      </c>
      <c r="D52" s="928"/>
      <c r="E52" s="1992"/>
      <c r="F52" s="1992"/>
      <c r="G52" s="38">
        <v>10</v>
      </c>
      <c r="H52" s="1993"/>
      <c r="I52" s="1993"/>
      <c r="J52" s="1993"/>
      <c r="K52" s="1993"/>
      <c r="L52" s="1993"/>
      <c r="M52" s="1993"/>
      <c r="N52" s="1993"/>
      <c r="O52" s="1108"/>
      <c r="P52" s="1125" t="str">
        <f t="shared" ref="P52" si="56">IFERROR(VLOOKUP(H52,Fixtures_Proposed_List,2,FALSE),"")</f>
        <v/>
      </c>
      <c r="Q52" s="1994">
        <f t="shared" ref="Q52" si="57">IFERROR(IF(AN52=TRUE,0,O52*P52),0)</f>
        <v>0</v>
      </c>
      <c r="R52" s="1994"/>
      <c r="S52" s="1108"/>
      <c r="T52" s="1108"/>
      <c r="U52" s="1108"/>
      <c r="V52" s="1127" t="b">
        <f t="shared" ref="V52" si="58">IF(AND(AN52=TRUE,S52+T52+U52&gt;0),FALSE,IF(S52+T52+U52&gt;O52,FALSE,TRUE))</f>
        <v>1</v>
      </c>
      <c r="W52" s="1995">
        <f t="shared" ref="W52" si="59">IFERROR(Q52*W$39*AB$39/1000,0)</f>
        <v>0</v>
      </c>
      <c r="X52" s="1995"/>
      <c r="Y52" s="1202" t="e">
        <f t="shared" ref="Y52" si="60">AA$39</f>
        <v>#N/A</v>
      </c>
      <c r="Z52" s="1995">
        <f t="shared" ref="Z52" si="61">IF(V52=FALSE,"ERROR!",IFERROR(IF(AN52=TRUE,0,BA52),0))</f>
        <v>0</v>
      </c>
      <c r="AA52" s="1995"/>
      <c r="AB52" s="1202" t="e">
        <f t="shared" si="27"/>
        <v>#N/A</v>
      </c>
      <c r="AC52" s="1995">
        <f t="shared" ref="AC52" si="62">IF(V52=FALSE,"ERROR!",IFERROR(IF(AN52=TRUE,0,BB52+BC52),0))</f>
        <v>0</v>
      </c>
      <c r="AD52" s="1995"/>
      <c r="AE52" s="1201">
        <f>IFERROR(ROUND(SUM(S52:U52)*P52*W$39*AB$39*(1-AA46)/1000,0),0)</f>
        <v>0</v>
      </c>
      <c r="AF52" s="1097"/>
      <c r="AG52" s="1995">
        <f t="shared" ref="AG52" si="63">IF(V52=FALSE,"ERROR!",Z52+AC52)</f>
        <v>0</v>
      </c>
      <c r="AH52" s="1995"/>
      <c r="AI52" s="1095"/>
      <c r="AJ52" s="1996" t="str">
        <f t="shared" ref="AJ52" si="64">IF(V52=FALSE,"Revise LLLC &amp; NLC qty!",IF(BM52=FALSE,"Enter TLED SF",""))</f>
        <v/>
      </c>
      <c r="AK52" s="1997"/>
      <c r="AL52" s="1997"/>
      <c r="AN52" s="38" t="b">
        <f t="shared" ref="AN52" si="65">IF(ISNUMBER(SEARCH("TLED",H52)),TRUE,FALSE)</f>
        <v>0</v>
      </c>
      <c r="AO52" s="86">
        <f t="shared" ref="AO52" si="66">IF(AN52=FALSE,O52,0)</f>
        <v>0</v>
      </c>
      <c r="AP52" s="1130" t="e">
        <f t="shared" si="7"/>
        <v>#DIV/0!</v>
      </c>
      <c r="AQ52" s="1205" t="e">
        <f t="shared" ref="AQ52" si="67">AE$39*AP52</f>
        <v>#DIV/0!</v>
      </c>
      <c r="AR52" s="1205">
        <f t="shared" ref="AR52" si="68">W52</f>
        <v>0</v>
      </c>
      <c r="AS52" s="1205">
        <f t="shared" si="51"/>
        <v>0</v>
      </c>
      <c r="AT52" s="1205">
        <f t="shared" ref="AT52" si="69">SUM(BA52:BC52)</f>
        <v>0</v>
      </c>
      <c r="AU52" s="337" t="e">
        <f t="shared" ref="AU52" si="70">AQ52-AT52</f>
        <v>#DIV/0!</v>
      </c>
      <c r="AV52" s="337">
        <f t="shared" ref="AV52" si="71">IF(SUM(S52:U52)&gt;0,AS52-AC52,0)</f>
        <v>0</v>
      </c>
      <c r="AW52" s="1130">
        <f t="shared" ref="AW52" si="72">IFERROR(SUM(S52:U52)/$O52,0)</f>
        <v>0</v>
      </c>
      <c r="AX52" s="1172" t="e">
        <f t="shared" ref="AX52" si="73">AU52*((AW52*AX$41)+AX$40)</f>
        <v>#DIV/0!</v>
      </c>
      <c r="BA52" s="337">
        <f t="shared" si="52"/>
        <v>0</v>
      </c>
      <c r="BB52" s="337">
        <f t="shared" si="40"/>
        <v>0</v>
      </c>
      <c r="BC52" s="337">
        <f t="shared" si="41"/>
        <v>0</v>
      </c>
      <c r="BJ52" s="38" t="b">
        <f t="shared" ref="BJ52" si="74">IF(AND(V52=FALSE,AN52=TRUE),TRUE,FALSE)</f>
        <v>0</v>
      </c>
      <c r="BK52" s="86">
        <f>IF(AND(AN52=TRUE,BL52=1),O52*VLOOKUP(H52,Fixtures!DN$27:EG$76,19,FALSE),0)</f>
        <v>0</v>
      </c>
      <c r="BL52" s="86">
        <f t="shared" ref="BL52" si="75">IF(E52="",0,1)</f>
        <v>0</v>
      </c>
      <c r="BM52" s="38" t="b">
        <f t="shared" ref="BM52" si="76">IF(AND(AN52=TRUE,BL52=0),FALSE,TRUE)</f>
        <v>1</v>
      </c>
      <c r="BN52" s="86">
        <f t="shared" ref="BN52" si="77">IF(H52="",0,1)</f>
        <v>0</v>
      </c>
      <c r="BO52" s="86">
        <f t="shared" ref="BO52" si="78">IF(O52="",0,1)</f>
        <v>0</v>
      </c>
      <c r="BQ52" s="337">
        <f t="shared" ref="BQ52" si="79">IF(AND(AN52=TRUE,BN52+BO52=2),E52,0)</f>
        <v>0</v>
      </c>
      <c r="BR52" s="337">
        <f t="shared" ref="BR52" si="80">IF(AN52=TRUE,ROUND((E52*W$39*X$39*AB$39)/1000,0),0)</f>
        <v>0</v>
      </c>
      <c r="BS52" s="86">
        <f t="shared" ref="BS52" si="81">IF(AN52=TRUE,ROUND((E52*W$39*X$39*(1-AA$39)*AB$39)/1000,0),0)</f>
        <v>0</v>
      </c>
      <c r="BT52" s="86">
        <f t="shared" ref="BT52" si="82">IF(BM52=FALSE,0,IF(AN52=TRUE,ROUND((O52*P52*AB$39*W$39)/1000,0),0))</f>
        <v>0</v>
      </c>
      <c r="BU52" s="86">
        <f t="shared" ref="BU52" si="83">IF(BM52=FALSE,0,IF(AN52=TRUE,ROUND((O52*P52*AB$39*W$39*(1-AA$39))/1000,0),0))</f>
        <v>0</v>
      </c>
      <c r="BW52" s="38" t="str">
        <f>IF(H52="","",IFERROR(VLOOKUP(H52,Fixtures!EQ$93:EQ$142,1,FALSE),FALSE))</f>
        <v/>
      </c>
    </row>
    <row r="53" spans="2:75" ht="14.3" customHeight="1">
      <c r="B53" s="1182" t="str">
        <f t="shared" si="20"/>
        <v/>
      </c>
      <c r="D53" s="928"/>
      <c r="E53" s="1992"/>
      <c r="F53" s="1992"/>
      <c r="G53" s="38">
        <v>11</v>
      </c>
      <c r="H53" s="1993"/>
      <c r="I53" s="1993"/>
      <c r="J53" s="1993"/>
      <c r="K53" s="1993"/>
      <c r="L53" s="1993"/>
      <c r="M53" s="1993"/>
      <c r="N53" s="1993"/>
      <c r="O53" s="1108"/>
      <c r="P53" s="1125" t="str">
        <f t="shared" si="21"/>
        <v/>
      </c>
      <c r="Q53" s="1994">
        <f t="shared" si="22"/>
        <v>0</v>
      </c>
      <c r="R53" s="1994"/>
      <c r="S53" s="1108"/>
      <c r="T53" s="1108"/>
      <c r="U53" s="1108"/>
      <c r="V53" s="1127" t="b">
        <f t="shared" si="23"/>
        <v>1</v>
      </c>
      <c r="W53" s="1995">
        <f t="shared" si="24"/>
        <v>0</v>
      </c>
      <c r="X53" s="1995"/>
      <c r="Y53" s="1202" t="e">
        <f t="shared" si="25"/>
        <v>#N/A</v>
      </c>
      <c r="Z53" s="1995">
        <f t="shared" si="26"/>
        <v>0</v>
      </c>
      <c r="AA53" s="1995"/>
      <c r="AB53" s="1202" t="e">
        <f t="shared" si="27"/>
        <v>#N/A</v>
      </c>
      <c r="AC53" s="1995">
        <f t="shared" si="28"/>
        <v>0</v>
      </c>
      <c r="AD53" s="1995"/>
      <c r="AE53" s="1201">
        <f>IFERROR(ROUND(SUM(S53:U53)*P53*W$39*AB$39*(1-AA47)/1000,0),0)</f>
        <v>0</v>
      </c>
      <c r="AF53" s="1097"/>
      <c r="AG53" s="1995">
        <f t="shared" si="29"/>
        <v>0</v>
      </c>
      <c r="AH53" s="1995"/>
      <c r="AI53" s="1095"/>
      <c r="AJ53" s="1996" t="str">
        <f t="shared" si="30"/>
        <v/>
      </c>
      <c r="AK53" s="1997"/>
      <c r="AL53" s="1997"/>
      <c r="AN53" s="38" t="b">
        <f t="shared" si="31"/>
        <v>0</v>
      </c>
      <c r="AO53" s="86">
        <f t="shared" si="32"/>
        <v>0</v>
      </c>
      <c r="AP53" s="1130" t="e">
        <f t="shared" si="7"/>
        <v>#DIV/0!</v>
      </c>
      <c r="AQ53" s="1205" t="e">
        <f t="shared" si="33"/>
        <v>#DIV/0!</v>
      </c>
      <c r="AR53" s="1205">
        <f t="shared" si="34"/>
        <v>0</v>
      </c>
      <c r="AS53" s="1205">
        <f t="shared" si="51"/>
        <v>0</v>
      </c>
      <c r="AT53" s="1205">
        <f t="shared" ref="AT53" si="84">SUM(BA53:BC53)</f>
        <v>0</v>
      </c>
      <c r="AU53" s="337" t="e">
        <f t="shared" si="36"/>
        <v>#DIV/0!</v>
      </c>
      <c r="AV53" s="337">
        <f t="shared" ref="AV53" si="85">IF(SUM(S53:U53)&gt;0,AS53-AC53,0)</f>
        <v>0</v>
      </c>
      <c r="AW53" s="1130">
        <f t="shared" si="38"/>
        <v>0</v>
      </c>
      <c r="AX53" s="1172" t="e">
        <f t="shared" si="39"/>
        <v>#DIV/0!</v>
      </c>
      <c r="BA53" s="337">
        <f t="shared" si="52"/>
        <v>0</v>
      </c>
      <c r="BB53" s="337">
        <f t="shared" si="40"/>
        <v>0</v>
      </c>
      <c r="BC53" s="337">
        <f t="shared" si="41"/>
        <v>0</v>
      </c>
      <c r="BJ53" s="38" t="b">
        <f t="shared" si="42"/>
        <v>0</v>
      </c>
      <c r="BK53" s="86">
        <f>IF(AND(AN53=TRUE,BL53=1),O53*VLOOKUP(H53,Fixtures!DN$27:EG$76,19,FALSE),0)</f>
        <v>0</v>
      </c>
      <c r="BL53" s="86">
        <f t="shared" si="43"/>
        <v>0</v>
      </c>
      <c r="BM53" s="38" t="b">
        <f t="shared" si="44"/>
        <v>1</v>
      </c>
      <c r="BN53" s="86">
        <f t="shared" si="45"/>
        <v>0</v>
      </c>
      <c r="BO53" s="86">
        <f t="shared" si="46"/>
        <v>0</v>
      </c>
      <c r="BQ53" s="337">
        <f t="shared" si="47"/>
        <v>0</v>
      </c>
      <c r="BR53" s="337">
        <f t="shared" si="48"/>
        <v>0</v>
      </c>
      <c r="BS53" s="86">
        <f t="shared" si="49"/>
        <v>0</v>
      </c>
      <c r="BT53" s="86">
        <f t="shared" si="50"/>
        <v>0</v>
      </c>
      <c r="BU53" s="86">
        <f t="shared" si="53"/>
        <v>0</v>
      </c>
      <c r="BW53" s="38" t="str">
        <f>IF(H53="","",IFERROR(VLOOKUP(H53,Fixtures!EQ$93:EQ$142,1,FALSE),FALSE))</f>
        <v/>
      </c>
    </row>
    <row r="54" spans="2:75" ht="14.3" customHeight="1">
      <c r="B54" s="1182" t="str">
        <f t="shared" ref="B54:B71" si="86">IF(BW54=FALSE,"Reselect fixture","")</f>
        <v/>
      </c>
      <c r="D54" s="928"/>
      <c r="E54" s="1992"/>
      <c r="F54" s="1992"/>
      <c r="G54" s="38">
        <v>12</v>
      </c>
      <c r="H54" s="1999"/>
      <c r="I54" s="1999"/>
      <c r="J54" s="1999"/>
      <c r="K54" s="1999"/>
      <c r="L54" s="1999"/>
      <c r="M54" s="1999"/>
      <c r="N54" s="1999"/>
      <c r="O54" s="1108"/>
      <c r="P54" s="1125" t="str">
        <f t="shared" si="0"/>
        <v/>
      </c>
      <c r="Q54" s="1994">
        <f t="shared" si="1"/>
        <v>0</v>
      </c>
      <c r="R54" s="1994"/>
      <c r="S54" s="1108"/>
      <c r="T54" s="1108"/>
      <c r="U54" s="1108"/>
      <c r="V54" s="1127" t="b">
        <f t="shared" si="2"/>
        <v>1</v>
      </c>
      <c r="W54" s="1995">
        <f t="shared" ref="W54:W72" si="87">IFERROR(Q54*W$39*AB$39/1000,0)</f>
        <v>0</v>
      </c>
      <c r="X54" s="1995"/>
      <c r="Y54" s="1202" t="e">
        <f t="shared" ref="Y54:Y71" si="88">AA$39</f>
        <v>#N/A</v>
      </c>
      <c r="Z54" s="1995">
        <f t="shared" si="3"/>
        <v>0</v>
      </c>
      <c r="AA54" s="1995"/>
      <c r="AB54" s="1202" t="e">
        <f t="shared" ref="AB54:AB72" si="89">AB$42</f>
        <v>#N/A</v>
      </c>
      <c r="AC54" s="1995">
        <f t="shared" si="4"/>
        <v>0</v>
      </c>
      <c r="AD54" s="1995"/>
      <c r="AE54" s="1201">
        <f>IFERROR(ROUND(SUM(S54:U54)*P54*W$39*AB$39*(1-AA40)/1000,0),0)</f>
        <v>0</v>
      </c>
      <c r="AF54" s="1097"/>
      <c r="AG54" s="1995">
        <f t="shared" ref="AG54:AG71" si="90">IF(V54=FALSE,"ERROR!",Z54+AC54)</f>
        <v>0</v>
      </c>
      <c r="AH54" s="1995"/>
      <c r="AI54" s="1095"/>
      <c r="AJ54" s="1996" t="str">
        <f t="shared" si="5"/>
        <v/>
      </c>
      <c r="AK54" s="1997"/>
      <c r="AL54" s="1997"/>
      <c r="AN54" s="38" t="b">
        <f t="shared" si="6"/>
        <v>0</v>
      </c>
      <c r="AO54" s="86">
        <f t="shared" ref="AO54:AO71" si="91">IF(AN54=FALSE,O54,0)</f>
        <v>0</v>
      </c>
      <c r="AP54" s="1130" t="e">
        <f t="shared" si="7"/>
        <v>#DIV/0!</v>
      </c>
      <c r="AQ54" s="1205" t="e">
        <f t="shared" ref="AQ54:AQ71" si="92">AE$39*AP54</f>
        <v>#DIV/0!</v>
      </c>
      <c r="AR54" s="1205">
        <f t="shared" ref="AR54:AR71" si="93">W54</f>
        <v>0</v>
      </c>
      <c r="AS54" s="1205">
        <f t="shared" si="51"/>
        <v>0</v>
      </c>
      <c r="AT54" s="1205">
        <f t="shared" ref="AT54:AT71" si="94">SUM(BA54:BC54)</f>
        <v>0</v>
      </c>
      <c r="AU54" s="337" t="e">
        <f t="shared" ref="AU54:AU71" si="95">AQ54-AT54</f>
        <v>#DIV/0!</v>
      </c>
      <c r="AV54" s="337">
        <f t="shared" ref="AV54:AV71" si="96">IF(SUM(S54:U54)&gt;0,AS54-AC54,0)</f>
        <v>0</v>
      </c>
      <c r="AW54" s="1130">
        <f t="shared" si="8"/>
        <v>0</v>
      </c>
      <c r="AX54" s="1172" t="e">
        <f t="shared" si="9"/>
        <v>#DIV/0!</v>
      </c>
      <c r="AY54" s="1130"/>
      <c r="AZ54" s="1130"/>
      <c r="BA54" s="337">
        <f t="shared" si="52"/>
        <v>0</v>
      </c>
      <c r="BB54" s="337">
        <f t="shared" si="40"/>
        <v>0</v>
      </c>
      <c r="BC54" s="337">
        <f t="shared" si="41"/>
        <v>0</v>
      </c>
      <c r="BJ54" s="38" t="b">
        <f t="shared" si="10"/>
        <v>0</v>
      </c>
      <c r="BK54" s="86">
        <f>IF(AND(AN54=TRUE,BL54=1),O54*VLOOKUP(H54,Fixtures!DN$27:EG$76,19,FALSE),0)</f>
        <v>0</v>
      </c>
      <c r="BL54" s="86">
        <f t="shared" si="11"/>
        <v>0</v>
      </c>
      <c r="BM54" s="38" t="b">
        <f t="shared" si="12"/>
        <v>1</v>
      </c>
      <c r="BN54" s="86">
        <f t="shared" si="13"/>
        <v>0</v>
      </c>
      <c r="BO54" s="86">
        <f t="shared" si="14"/>
        <v>0</v>
      </c>
      <c r="BQ54" s="337">
        <f t="shared" si="15"/>
        <v>0</v>
      </c>
      <c r="BR54" s="337">
        <f t="shared" si="16"/>
        <v>0</v>
      </c>
      <c r="BS54" s="86">
        <f t="shared" si="17"/>
        <v>0</v>
      </c>
      <c r="BT54" s="86">
        <f t="shared" si="18"/>
        <v>0</v>
      </c>
      <c r="BU54" s="86">
        <f t="shared" si="19"/>
        <v>0</v>
      </c>
      <c r="BW54" s="38" t="str">
        <f>IF(H54="","",IFERROR(VLOOKUP(H54,Fixtures!EQ$93:EQ$142,1,FALSE),FALSE))</f>
        <v/>
      </c>
    </row>
    <row r="55" spans="2:75" ht="14.3" customHeight="1">
      <c r="B55" s="1182" t="str">
        <f t="shared" si="86"/>
        <v/>
      </c>
      <c r="D55" s="928"/>
      <c r="E55" s="1992"/>
      <c r="F55" s="1992"/>
      <c r="G55" s="38">
        <v>13</v>
      </c>
      <c r="H55" s="1999"/>
      <c r="I55" s="1999"/>
      <c r="J55" s="1999"/>
      <c r="K55" s="1999"/>
      <c r="L55" s="1999"/>
      <c r="M55" s="1999"/>
      <c r="N55" s="1999"/>
      <c r="O55" s="1108"/>
      <c r="P55" s="1125" t="str">
        <f t="shared" si="0"/>
        <v/>
      </c>
      <c r="Q55" s="1994">
        <f t="shared" si="1"/>
        <v>0</v>
      </c>
      <c r="R55" s="1994"/>
      <c r="S55" s="1108"/>
      <c r="T55" s="1108"/>
      <c r="U55" s="1108"/>
      <c r="V55" s="1127" t="b">
        <f t="shared" si="2"/>
        <v>1</v>
      </c>
      <c r="W55" s="1995">
        <f t="shared" si="87"/>
        <v>0</v>
      </c>
      <c r="X55" s="1995"/>
      <c r="Y55" s="1202" t="e">
        <f t="shared" si="88"/>
        <v>#N/A</v>
      </c>
      <c r="Z55" s="1995">
        <f t="shared" si="3"/>
        <v>0</v>
      </c>
      <c r="AA55" s="1995"/>
      <c r="AB55" s="1202" t="e">
        <f t="shared" si="89"/>
        <v>#N/A</v>
      </c>
      <c r="AC55" s="1995">
        <f t="shared" si="4"/>
        <v>0</v>
      </c>
      <c r="AD55" s="1995"/>
      <c r="AE55" s="1201">
        <f>IFERROR(ROUND(SUM(S55:U55)*P55*W$39*AB$39*(1-AA41)/1000,0),0)</f>
        <v>0</v>
      </c>
      <c r="AF55" s="1097"/>
      <c r="AG55" s="1995">
        <f t="shared" si="90"/>
        <v>0</v>
      </c>
      <c r="AH55" s="1995"/>
      <c r="AI55" s="1095"/>
      <c r="AJ55" s="1996" t="str">
        <f t="shared" si="5"/>
        <v/>
      </c>
      <c r="AK55" s="1997"/>
      <c r="AL55" s="1997"/>
      <c r="AN55" s="38" t="b">
        <f t="shared" si="6"/>
        <v>0</v>
      </c>
      <c r="AO55" s="86">
        <f t="shared" si="91"/>
        <v>0</v>
      </c>
      <c r="AP55" s="1130" t="e">
        <f t="shared" si="7"/>
        <v>#DIV/0!</v>
      </c>
      <c r="AQ55" s="1205" t="e">
        <f t="shared" si="92"/>
        <v>#DIV/0!</v>
      </c>
      <c r="AR55" s="1205">
        <f t="shared" si="93"/>
        <v>0</v>
      </c>
      <c r="AS55" s="1205">
        <f t="shared" si="51"/>
        <v>0</v>
      </c>
      <c r="AT55" s="1205">
        <f t="shared" si="94"/>
        <v>0</v>
      </c>
      <c r="AU55" s="337" t="e">
        <f t="shared" si="95"/>
        <v>#DIV/0!</v>
      </c>
      <c r="AV55" s="337">
        <f t="shared" si="96"/>
        <v>0</v>
      </c>
      <c r="AW55" s="1130">
        <f t="shared" si="8"/>
        <v>0</v>
      </c>
      <c r="AX55" s="1172" t="e">
        <f t="shared" si="9"/>
        <v>#DIV/0!</v>
      </c>
      <c r="BA55" s="337">
        <f t="shared" si="52"/>
        <v>0</v>
      </c>
      <c r="BB55" s="337">
        <f t="shared" si="40"/>
        <v>0</v>
      </c>
      <c r="BC55" s="337">
        <f t="shared" si="41"/>
        <v>0</v>
      </c>
      <c r="BJ55" s="38" t="b">
        <f t="shared" si="10"/>
        <v>0</v>
      </c>
      <c r="BK55" s="86">
        <f>IF(AND(AN55=TRUE,BL55=1),O55*VLOOKUP(H55,Fixtures!DN$27:EG$76,19,FALSE),0)</f>
        <v>0</v>
      </c>
      <c r="BL55" s="86">
        <f t="shared" si="11"/>
        <v>0</v>
      </c>
      <c r="BM55" s="38" t="b">
        <f t="shared" si="12"/>
        <v>1</v>
      </c>
      <c r="BN55" s="86">
        <f t="shared" si="13"/>
        <v>0</v>
      </c>
      <c r="BO55" s="86">
        <f t="shared" si="14"/>
        <v>0</v>
      </c>
      <c r="BQ55" s="337">
        <f t="shared" si="15"/>
        <v>0</v>
      </c>
      <c r="BR55" s="337">
        <f t="shared" si="16"/>
        <v>0</v>
      </c>
      <c r="BS55" s="86">
        <f t="shared" si="17"/>
        <v>0</v>
      </c>
      <c r="BT55" s="86">
        <f t="shared" si="18"/>
        <v>0</v>
      </c>
      <c r="BU55" s="86">
        <f t="shared" si="19"/>
        <v>0</v>
      </c>
      <c r="BW55" s="38" t="str">
        <f>IF(H55="","",IFERROR(VLOOKUP(H55,Fixtures!EQ$93:EQ$142,1,FALSE),FALSE))</f>
        <v/>
      </c>
    </row>
    <row r="56" spans="2:75" ht="14.3" customHeight="1">
      <c r="B56" s="1182" t="str">
        <f t="shared" si="86"/>
        <v/>
      </c>
      <c r="D56" s="928"/>
      <c r="E56" s="1992"/>
      <c r="F56" s="1992"/>
      <c r="G56" s="38">
        <v>14</v>
      </c>
      <c r="H56" s="1993"/>
      <c r="I56" s="1993"/>
      <c r="J56" s="1993"/>
      <c r="K56" s="1993"/>
      <c r="L56" s="1993"/>
      <c r="M56" s="1993"/>
      <c r="N56" s="1993"/>
      <c r="O56" s="1108"/>
      <c r="P56" s="1125" t="str">
        <f t="shared" si="0"/>
        <v/>
      </c>
      <c r="Q56" s="1994">
        <f t="shared" si="1"/>
        <v>0</v>
      </c>
      <c r="R56" s="1994"/>
      <c r="S56" s="1108"/>
      <c r="T56" s="1108"/>
      <c r="U56" s="1108"/>
      <c r="V56" s="1127" t="b">
        <f t="shared" si="2"/>
        <v>1</v>
      </c>
      <c r="W56" s="1995">
        <f t="shared" si="87"/>
        <v>0</v>
      </c>
      <c r="X56" s="1995"/>
      <c r="Y56" s="1202" t="e">
        <f t="shared" si="88"/>
        <v>#N/A</v>
      </c>
      <c r="Z56" s="1995">
        <f t="shared" si="3"/>
        <v>0</v>
      </c>
      <c r="AA56" s="1995"/>
      <c r="AB56" s="1202" t="e">
        <f t="shared" si="89"/>
        <v>#N/A</v>
      </c>
      <c r="AC56" s="1995">
        <f t="shared" si="4"/>
        <v>0</v>
      </c>
      <c r="AD56" s="1995"/>
      <c r="AE56" s="1201">
        <f>IFERROR(ROUND(SUM(S56:U56)*P56*W$39*AB$39*(1-AA42)/1000,0),0)</f>
        <v>0</v>
      </c>
      <c r="AF56" s="1097"/>
      <c r="AG56" s="1995">
        <f t="shared" si="90"/>
        <v>0</v>
      </c>
      <c r="AH56" s="1995"/>
      <c r="AI56" s="1095"/>
      <c r="AJ56" s="1996" t="str">
        <f t="shared" si="5"/>
        <v/>
      </c>
      <c r="AK56" s="1997"/>
      <c r="AL56" s="1997"/>
      <c r="AN56" s="38" t="b">
        <f t="shared" si="6"/>
        <v>0</v>
      </c>
      <c r="AO56" s="86">
        <f t="shared" si="91"/>
        <v>0</v>
      </c>
      <c r="AP56" s="1130" t="e">
        <f t="shared" si="7"/>
        <v>#DIV/0!</v>
      </c>
      <c r="AQ56" s="1205" t="e">
        <f t="shared" si="92"/>
        <v>#DIV/0!</v>
      </c>
      <c r="AR56" s="1205">
        <f t="shared" si="93"/>
        <v>0</v>
      </c>
      <c r="AS56" s="1205">
        <f t="shared" si="51"/>
        <v>0</v>
      </c>
      <c r="AT56" s="1205">
        <f t="shared" si="94"/>
        <v>0</v>
      </c>
      <c r="AU56" s="337" t="e">
        <f t="shared" si="95"/>
        <v>#DIV/0!</v>
      </c>
      <c r="AV56" s="337">
        <f t="shared" si="96"/>
        <v>0</v>
      </c>
      <c r="AW56" s="1130">
        <f t="shared" si="8"/>
        <v>0</v>
      </c>
      <c r="AX56" s="1172" t="e">
        <f t="shared" si="9"/>
        <v>#DIV/0!</v>
      </c>
      <c r="BA56" s="337">
        <f t="shared" si="52"/>
        <v>0</v>
      </c>
      <c r="BB56" s="337">
        <f t="shared" si="40"/>
        <v>0</v>
      </c>
      <c r="BC56" s="337">
        <f t="shared" si="41"/>
        <v>0</v>
      </c>
      <c r="BJ56" s="38" t="b">
        <f t="shared" si="10"/>
        <v>0</v>
      </c>
      <c r="BK56" s="86">
        <f>IF(AND(AN56=TRUE,BL56=1),O56*VLOOKUP(H56,Fixtures!DN$27:EG$76,19,FALSE),0)</f>
        <v>0</v>
      </c>
      <c r="BL56" s="86">
        <f t="shared" si="11"/>
        <v>0</v>
      </c>
      <c r="BM56" s="38" t="b">
        <f t="shared" si="12"/>
        <v>1</v>
      </c>
      <c r="BN56" s="86">
        <f t="shared" si="13"/>
        <v>0</v>
      </c>
      <c r="BO56" s="86">
        <f t="shared" si="14"/>
        <v>0</v>
      </c>
      <c r="BQ56" s="337">
        <f t="shared" si="15"/>
        <v>0</v>
      </c>
      <c r="BR56" s="337">
        <f t="shared" si="16"/>
        <v>0</v>
      </c>
      <c r="BS56" s="86">
        <f t="shared" si="17"/>
        <v>0</v>
      </c>
      <c r="BT56" s="86">
        <f t="shared" si="18"/>
        <v>0</v>
      </c>
      <c r="BU56" s="86">
        <f t="shared" si="19"/>
        <v>0</v>
      </c>
      <c r="BW56" s="38" t="str">
        <f>IF(H56="","",IFERROR(VLOOKUP(H56,Fixtures!EQ$93:EQ$142,1,FALSE),FALSE))</f>
        <v/>
      </c>
    </row>
    <row r="57" spans="2:75" ht="14.3" customHeight="1">
      <c r="B57" s="1182" t="str">
        <f t="shared" si="86"/>
        <v/>
      </c>
      <c r="D57" s="928"/>
      <c r="E57" s="1992"/>
      <c r="F57" s="1992"/>
      <c r="G57" s="38">
        <v>15</v>
      </c>
      <c r="H57" s="1993"/>
      <c r="I57" s="1993"/>
      <c r="J57" s="1993"/>
      <c r="K57" s="1993"/>
      <c r="L57" s="1993"/>
      <c r="M57" s="1993"/>
      <c r="N57" s="1993"/>
      <c r="O57" s="1108"/>
      <c r="P57" s="1125" t="str">
        <f t="shared" si="0"/>
        <v/>
      </c>
      <c r="Q57" s="1994">
        <f t="shared" si="1"/>
        <v>0</v>
      </c>
      <c r="R57" s="1994"/>
      <c r="S57" s="1108"/>
      <c r="T57" s="1108"/>
      <c r="U57" s="1108"/>
      <c r="V57" s="1127" t="b">
        <f t="shared" si="2"/>
        <v>1</v>
      </c>
      <c r="W57" s="1995">
        <f t="shared" si="87"/>
        <v>0</v>
      </c>
      <c r="X57" s="1995"/>
      <c r="Y57" s="1202" t="e">
        <f t="shared" si="88"/>
        <v>#N/A</v>
      </c>
      <c r="Z57" s="1995">
        <f t="shared" si="3"/>
        <v>0</v>
      </c>
      <c r="AA57" s="1995"/>
      <c r="AB57" s="1202" t="e">
        <f t="shared" si="89"/>
        <v>#N/A</v>
      </c>
      <c r="AC57" s="1995">
        <f t="shared" si="4"/>
        <v>0</v>
      </c>
      <c r="AD57" s="1995"/>
      <c r="AE57" s="1201">
        <f>IFERROR(ROUND(SUM(S57:U57)*P57*W$39*AB$39*(1-AA43)/1000,0),0)</f>
        <v>0</v>
      </c>
      <c r="AF57" s="1097"/>
      <c r="AG57" s="1995">
        <f t="shared" si="90"/>
        <v>0</v>
      </c>
      <c r="AH57" s="1995"/>
      <c r="AI57" s="1095"/>
      <c r="AJ57" s="1996" t="str">
        <f t="shared" si="5"/>
        <v/>
      </c>
      <c r="AK57" s="1997"/>
      <c r="AL57" s="1997"/>
      <c r="AN57" s="38" t="b">
        <f t="shared" si="6"/>
        <v>0</v>
      </c>
      <c r="AO57" s="86">
        <f t="shared" si="91"/>
        <v>0</v>
      </c>
      <c r="AP57" s="1130" t="e">
        <f t="shared" si="7"/>
        <v>#DIV/0!</v>
      </c>
      <c r="AQ57" s="1205" t="e">
        <f t="shared" si="92"/>
        <v>#DIV/0!</v>
      </c>
      <c r="AR57" s="1205">
        <f t="shared" si="93"/>
        <v>0</v>
      </c>
      <c r="AS57" s="1205">
        <f t="shared" si="51"/>
        <v>0</v>
      </c>
      <c r="AT57" s="1205">
        <f t="shared" si="94"/>
        <v>0</v>
      </c>
      <c r="AU57" s="337" t="e">
        <f t="shared" si="95"/>
        <v>#DIV/0!</v>
      </c>
      <c r="AV57" s="337">
        <f t="shared" si="96"/>
        <v>0</v>
      </c>
      <c r="AW57" s="1130">
        <f t="shared" si="8"/>
        <v>0</v>
      </c>
      <c r="AX57" s="1172" t="e">
        <f t="shared" si="9"/>
        <v>#DIV/0!</v>
      </c>
      <c r="BA57" s="337">
        <f t="shared" si="52"/>
        <v>0</v>
      </c>
      <c r="BB57" s="337">
        <f t="shared" si="40"/>
        <v>0</v>
      </c>
      <c r="BC57" s="337">
        <f t="shared" si="41"/>
        <v>0</v>
      </c>
      <c r="BJ57" s="38" t="b">
        <f t="shared" si="10"/>
        <v>0</v>
      </c>
      <c r="BK57" s="86">
        <f>IF(AND(AN57=TRUE,BL57=1),O57*VLOOKUP(H57,Fixtures!DN$27:EG$76,19,FALSE),0)</f>
        <v>0</v>
      </c>
      <c r="BL57" s="86">
        <f t="shared" si="11"/>
        <v>0</v>
      </c>
      <c r="BM57" s="38" t="b">
        <f t="shared" si="12"/>
        <v>1</v>
      </c>
      <c r="BN57" s="86">
        <f t="shared" si="13"/>
        <v>0</v>
      </c>
      <c r="BO57" s="86">
        <f t="shared" si="14"/>
        <v>0</v>
      </c>
      <c r="BQ57" s="337">
        <f t="shared" si="15"/>
        <v>0</v>
      </c>
      <c r="BR57" s="337">
        <f t="shared" si="16"/>
        <v>0</v>
      </c>
      <c r="BS57" s="86">
        <f t="shared" si="17"/>
        <v>0</v>
      </c>
      <c r="BT57" s="86">
        <f t="shared" si="18"/>
        <v>0</v>
      </c>
      <c r="BU57" s="86">
        <f t="shared" si="19"/>
        <v>0</v>
      </c>
      <c r="BW57" s="38" t="str">
        <f>IF(H57="","",IFERROR(VLOOKUP(H57,Fixtures!EQ$93:EQ$142,1,FALSE),FALSE))</f>
        <v/>
      </c>
    </row>
    <row r="58" spans="2:75" ht="14.3" customHeight="1">
      <c r="B58" s="1182" t="str">
        <f t="shared" si="86"/>
        <v/>
      </c>
      <c r="D58" s="928"/>
      <c r="E58" s="1992"/>
      <c r="F58" s="1992"/>
      <c r="G58" s="38">
        <v>16</v>
      </c>
      <c r="H58" s="1993"/>
      <c r="I58" s="1993"/>
      <c r="J58" s="1993"/>
      <c r="K58" s="1993"/>
      <c r="L58" s="1993"/>
      <c r="M58" s="1993"/>
      <c r="N58" s="1993"/>
      <c r="O58" s="1108"/>
      <c r="P58" s="1125" t="str">
        <f t="shared" si="0"/>
        <v/>
      </c>
      <c r="Q58" s="1994">
        <f t="shared" si="1"/>
        <v>0</v>
      </c>
      <c r="R58" s="1994"/>
      <c r="S58" s="1108"/>
      <c r="T58" s="1108"/>
      <c r="U58" s="1108"/>
      <c r="V58" s="1127" t="b">
        <f t="shared" si="2"/>
        <v>1</v>
      </c>
      <c r="W58" s="1995">
        <f t="shared" si="87"/>
        <v>0</v>
      </c>
      <c r="X58" s="1995"/>
      <c r="Y58" s="1202" t="e">
        <f t="shared" si="88"/>
        <v>#N/A</v>
      </c>
      <c r="Z58" s="1995">
        <f t="shared" si="3"/>
        <v>0</v>
      </c>
      <c r="AA58" s="1995"/>
      <c r="AB58" s="1202" t="e">
        <f t="shared" si="89"/>
        <v>#N/A</v>
      </c>
      <c r="AC58" s="1995">
        <f t="shared" si="4"/>
        <v>0</v>
      </c>
      <c r="AD58" s="1995"/>
      <c r="AE58" s="1201">
        <f t="shared" ref="AE58" si="97">IFERROR(ROUND(SUM(S58:U58)*P58*W$39*AB$39*(1-AA54)/1000,0),0)</f>
        <v>0</v>
      </c>
      <c r="AF58" s="1097"/>
      <c r="AG58" s="1995">
        <f t="shared" si="90"/>
        <v>0</v>
      </c>
      <c r="AH58" s="1995"/>
      <c r="AI58" s="1095"/>
      <c r="AJ58" s="1996" t="str">
        <f t="shared" si="5"/>
        <v/>
      </c>
      <c r="AK58" s="1997"/>
      <c r="AL58" s="1997"/>
      <c r="AN58" s="38" t="b">
        <f t="shared" si="6"/>
        <v>0</v>
      </c>
      <c r="AO58" s="86">
        <f t="shared" si="91"/>
        <v>0</v>
      </c>
      <c r="AP58" s="1130" t="e">
        <f t="shared" si="7"/>
        <v>#DIV/0!</v>
      </c>
      <c r="AQ58" s="1205" t="e">
        <f t="shared" si="92"/>
        <v>#DIV/0!</v>
      </c>
      <c r="AR58" s="1205">
        <f t="shared" si="93"/>
        <v>0</v>
      </c>
      <c r="AS58" s="1205">
        <f t="shared" si="51"/>
        <v>0</v>
      </c>
      <c r="AT58" s="1205">
        <f t="shared" si="94"/>
        <v>0</v>
      </c>
      <c r="AU58" s="337" t="e">
        <f t="shared" si="95"/>
        <v>#DIV/0!</v>
      </c>
      <c r="AV58" s="337">
        <f t="shared" si="96"/>
        <v>0</v>
      </c>
      <c r="AW58" s="1130">
        <f t="shared" si="8"/>
        <v>0</v>
      </c>
      <c r="AX58" s="1172" t="e">
        <f t="shared" si="9"/>
        <v>#DIV/0!</v>
      </c>
      <c r="BA58" s="337">
        <f t="shared" si="52"/>
        <v>0</v>
      </c>
      <c r="BB58" s="337">
        <f t="shared" si="40"/>
        <v>0</v>
      </c>
      <c r="BC58" s="337">
        <f t="shared" si="41"/>
        <v>0</v>
      </c>
      <c r="BJ58" s="38" t="b">
        <f t="shared" si="10"/>
        <v>0</v>
      </c>
      <c r="BK58" s="86">
        <f>IF(AND(AN58=TRUE,BL58=1),O58*VLOOKUP(H58,Fixtures!DN$27:EG$76,19,FALSE),0)</f>
        <v>0</v>
      </c>
      <c r="BL58" s="86">
        <f t="shared" si="11"/>
        <v>0</v>
      </c>
      <c r="BM58" s="38" t="b">
        <f t="shared" si="12"/>
        <v>1</v>
      </c>
      <c r="BN58" s="86">
        <f t="shared" si="13"/>
        <v>0</v>
      </c>
      <c r="BO58" s="86">
        <f t="shared" si="14"/>
        <v>0</v>
      </c>
      <c r="BQ58" s="337">
        <f t="shared" si="15"/>
        <v>0</v>
      </c>
      <c r="BR58" s="337">
        <f t="shared" si="16"/>
        <v>0</v>
      </c>
      <c r="BS58" s="86">
        <f t="shared" si="17"/>
        <v>0</v>
      </c>
      <c r="BT58" s="86">
        <f t="shared" si="18"/>
        <v>0</v>
      </c>
      <c r="BU58" s="86">
        <f t="shared" si="19"/>
        <v>0</v>
      </c>
      <c r="BW58" s="38" t="str">
        <f>IF(H58="","",IFERROR(VLOOKUP(H58,Fixtures!EQ$93:EQ$142,1,FALSE),FALSE))</f>
        <v/>
      </c>
    </row>
    <row r="59" spans="2:75" ht="14.3" customHeight="1">
      <c r="B59" s="1182" t="str">
        <f t="shared" ref="B59:B68" si="98">IF(BW59=FALSE,"Reselect fixture","")</f>
        <v/>
      </c>
      <c r="D59" s="928"/>
      <c r="E59" s="1992"/>
      <c r="F59" s="1992"/>
      <c r="G59" s="38">
        <v>17</v>
      </c>
      <c r="H59" s="1993"/>
      <c r="I59" s="1993"/>
      <c r="J59" s="1993"/>
      <c r="K59" s="1993"/>
      <c r="L59" s="1993"/>
      <c r="M59" s="1993"/>
      <c r="N59" s="1993"/>
      <c r="O59" s="1108"/>
      <c r="P59" s="1125" t="str">
        <f t="shared" ref="P59:P68" si="99">IFERROR(VLOOKUP(H59,Fixtures_Proposed_List,2,FALSE),"")</f>
        <v/>
      </c>
      <c r="Q59" s="1994">
        <f t="shared" ref="Q59:Q68" si="100">IFERROR(IF(AN59=TRUE,0,O59*P59),0)</f>
        <v>0</v>
      </c>
      <c r="R59" s="1994"/>
      <c r="S59" s="1108"/>
      <c r="T59" s="1108"/>
      <c r="U59" s="1108"/>
      <c r="V59" s="1127" t="b">
        <f t="shared" ref="V59:V68" si="101">IF(AND(AN59=TRUE,S59+T59+U59&gt;0),FALSE,IF(S59+T59+U59&gt;O59,FALSE,TRUE))</f>
        <v>1</v>
      </c>
      <c r="W59" s="1995">
        <f t="shared" ref="W59:W68" si="102">IFERROR(Q59*W$39*AB$39/1000,0)</f>
        <v>0</v>
      </c>
      <c r="X59" s="1995"/>
      <c r="Y59" s="1202" t="e">
        <f t="shared" ref="Y59:Y68" si="103">AA$39</f>
        <v>#N/A</v>
      </c>
      <c r="Z59" s="1995">
        <f t="shared" ref="Z59:Z68" si="104">IF(V59=FALSE,"ERROR!",IFERROR(IF(AN59=TRUE,0,BA59),0))</f>
        <v>0</v>
      </c>
      <c r="AA59" s="1995"/>
      <c r="AB59" s="1202" t="e">
        <f t="shared" si="89"/>
        <v>#N/A</v>
      </c>
      <c r="AC59" s="1995">
        <f t="shared" ref="AC59:AC68" si="105">IF(V59=FALSE,"ERROR!",IFERROR(IF(AN59=TRUE,0,BB59+BC59),0))</f>
        <v>0</v>
      </c>
      <c r="AD59" s="1995"/>
      <c r="AE59" s="1201">
        <f>IFERROR(ROUND(SUM(S59:U59)*P59*W$39*AB$39*(1-AA52)/1000,0),0)</f>
        <v>0</v>
      </c>
      <c r="AF59" s="1097"/>
      <c r="AG59" s="1995">
        <f t="shared" ref="AG59:AG68" si="106">IF(V59=FALSE,"ERROR!",Z59+AC59)</f>
        <v>0</v>
      </c>
      <c r="AH59" s="1995"/>
      <c r="AI59" s="1095"/>
      <c r="AJ59" s="1996" t="str">
        <f t="shared" ref="AJ59:AJ68" si="107">IF(V59=FALSE,"Revise LLLC &amp; NLC qty!",IF(BM59=FALSE,"Enter TLED SF",""))</f>
        <v/>
      </c>
      <c r="AK59" s="1997"/>
      <c r="AL59" s="1997"/>
      <c r="AN59" s="38" t="b">
        <f t="shared" ref="AN59:AN68" si="108">IF(ISNUMBER(SEARCH("TLED",H59)),TRUE,FALSE)</f>
        <v>0</v>
      </c>
      <c r="AO59" s="86">
        <f t="shared" ref="AO59:AO68" si="109">IF(AN59=FALSE,O59,0)</f>
        <v>0</v>
      </c>
      <c r="AP59" s="1130" t="e">
        <f t="shared" si="7"/>
        <v>#DIV/0!</v>
      </c>
      <c r="AQ59" s="1205" t="e">
        <f t="shared" ref="AQ59:AQ68" si="110">AE$39*AP59</f>
        <v>#DIV/0!</v>
      </c>
      <c r="AR59" s="1205">
        <f t="shared" ref="AR59:AR68" si="111">W59</f>
        <v>0</v>
      </c>
      <c r="AS59" s="1205">
        <f t="shared" si="51"/>
        <v>0</v>
      </c>
      <c r="AT59" s="1205">
        <f t="shared" ref="AT59:AT68" si="112">SUM(BA59:BC59)</f>
        <v>0</v>
      </c>
      <c r="AU59" s="337" t="e">
        <f t="shared" ref="AU59:AU68" si="113">AQ59-AT59</f>
        <v>#DIV/0!</v>
      </c>
      <c r="AV59" s="337">
        <f t="shared" ref="AV59:AV68" si="114">IF(SUM(S59:U59)&gt;0,AS59-AC59,0)</f>
        <v>0</v>
      </c>
      <c r="AW59" s="1130">
        <f t="shared" ref="AW59:AW68" si="115">IFERROR(SUM(S59:U59)/$O59,0)</f>
        <v>0</v>
      </c>
      <c r="AX59" s="1172" t="e">
        <f t="shared" ref="AX59:AX68" si="116">AU59*((AW59*AX$41)+AX$40)</f>
        <v>#DIV/0!</v>
      </c>
      <c r="BA59" s="337">
        <f t="shared" si="52"/>
        <v>0</v>
      </c>
      <c r="BB59" s="337">
        <f t="shared" si="40"/>
        <v>0</v>
      </c>
      <c r="BC59" s="337">
        <f t="shared" si="41"/>
        <v>0</v>
      </c>
      <c r="BJ59" s="38" t="b">
        <f t="shared" ref="BJ59:BJ68" si="117">IF(AND(V59=FALSE,AN59=TRUE),TRUE,FALSE)</f>
        <v>0</v>
      </c>
      <c r="BK59" s="86">
        <f>IF(AND(AN59=TRUE,BL59=1),O59*VLOOKUP(H59,Fixtures!DN$27:EG$76,19,FALSE),0)</f>
        <v>0</v>
      </c>
      <c r="BL59" s="86">
        <f t="shared" ref="BL59:BL68" si="118">IF(E59="",0,1)</f>
        <v>0</v>
      </c>
      <c r="BM59" s="38" t="b">
        <f t="shared" ref="BM59:BM68" si="119">IF(AND(AN59=TRUE,BL59=0),FALSE,TRUE)</f>
        <v>1</v>
      </c>
      <c r="BN59" s="86">
        <f t="shared" ref="BN59:BN68" si="120">IF(H59="",0,1)</f>
        <v>0</v>
      </c>
      <c r="BO59" s="86">
        <f t="shared" ref="BO59:BO68" si="121">IF(O59="",0,1)</f>
        <v>0</v>
      </c>
      <c r="BQ59" s="337">
        <f t="shared" ref="BQ59:BQ68" si="122">IF(AND(AN59=TRUE,BN59+BO59=2),E59,0)</f>
        <v>0</v>
      </c>
      <c r="BR59" s="337">
        <f t="shared" ref="BR59:BR68" si="123">IF(AN59=TRUE,ROUND((E59*W$39*X$39*AB$39)/1000,0),0)</f>
        <v>0</v>
      </c>
      <c r="BS59" s="86">
        <f t="shared" ref="BS59:BS68" si="124">IF(AN59=TRUE,ROUND((E59*W$39*X$39*(1-AA$39)*AB$39)/1000,0),0)</f>
        <v>0</v>
      </c>
      <c r="BT59" s="86">
        <f t="shared" ref="BT59:BT68" si="125">IF(BM59=FALSE,0,IF(AN59=TRUE,ROUND((O59*P59*AB$39*W$39)/1000,0),0))</f>
        <v>0</v>
      </c>
      <c r="BU59" s="86">
        <f t="shared" ref="BU59:BU68" si="126">IF(BM59=FALSE,0,IF(AN59=TRUE,ROUND((O59*P59*AB$39*W$39*(1-AA$39))/1000,0),0))</f>
        <v>0</v>
      </c>
      <c r="BW59" s="38" t="str">
        <f>IF(H59="","",IFERROR(VLOOKUP(H59,Fixtures!EQ$93:EQ$142,1,FALSE),FALSE))</f>
        <v/>
      </c>
    </row>
    <row r="60" spans="2:75" ht="14.3" customHeight="1">
      <c r="B60" s="1182" t="str">
        <f t="shared" si="98"/>
        <v/>
      </c>
      <c r="D60" s="928"/>
      <c r="E60" s="1992"/>
      <c r="F60" s="1992"/>
      <c r="G60" s="38">
        <v>18</v>
      </c>
      <c r="H60" s="1993"/>
      <c r="I60" s="1993"/>
      <c r="J60" s="1993"/>
      <c r="K60" s="1993"/>
      <c r="L60" s="1993"/>
      <c r="M60" s="1993"/>
      <c r="N60" s="1993"/>
      <c r="O60" s="1108"/>
      <c r="P60" s="1125" t="str">
        <f t="shared" si="99"/>
        <v/>
      </c>
      <c r="Q60" s="1994">
        <f t="shared" si="100"/>
        <v>0</v>
      </c>
      <c r="R60" s="1994"/>
      <c r="S60" s="1108"/>
      <c r="T60" s="1108"/>
      <c r="U60" s="1108"/>
      <c r="V60" s="1127" t="b">
        <f t="shared" si="101"/>
        <v>1</v>
      </c>
      <c r="W60" s="1995">
        <f t="shared" si="102"/>
        <v>0</v>
      </c>
      <c r="X60" s="1995"/>
      <c r="Y60" s="1202" t="e">
        <f t="shared" si="103"/>
        <v>#N/A</v>
      </c>
      <c r="Z60" s="1995">
        <f t="shared" si="104"/>
        <v>0</v>
      </c>
      <c r="AA60" s="1995"/>
      <c r="AB60" s="1202" t="e">
        <f t="shared" si="89"/>
        <v>#N/A</v>
      </c>
      <c r="AC60" s="1995">
        <f t="shared" si="105"/>
        <v>0</v>
      </c>
      <c r="AD60" s="1995"/>
      <c r="AE60" s="1201">
        <f>IFERROR(ROUND(SUM(S60:U60)*P60*W$39*AB$39*(1-AA53)/1000,0),0)</f>
        <v>0</v>
      </c>
      <c r="AF60" s="1097"/>
      <c r="AG60" s="1995">
        <f t="shared" si="106"/>
        <v>0</v>
      </c>
      <c r="AH60" s="1995"/>
      <c r="AI60" s="1095"/>
      <c r="AJ60" s="1996" t="str">
        <f t="shared" si="107"/>
        <v/>
      </c>
      <c r="AK60" s="1997"/>
      <c r="AL60" s="1997"/>
      <c r="AN60" s="38" t="b">
        <f t="shared" si="108"/>
        <v>0</v>
      </c>
      <c r="AO60" s="86">
        <f t="shared" si="109"/>
        <v>0</v>
      </c>
      <c r="AP60" s="1130" t="e">
        <f t="shared" si="7"/>
        <v>#DIV/0!</v>
      </c>
      <c r="AQ60" s="1205" t="e">
        <f t="shared" si="110"/>
        <v>#DIV/0!</v>
      </c>
      <c r="AR60" s="1205">
        <f t="shared" si="111"/>
        <v>0</v>
      </c>
      <c r="AS60" s="1205">
        <f t="shared" si="51"/>
        <v>0</v>
      </c>
      <c r="AT60" s="1205">
        <f t="shared" si="112"/>
        <v>0</v>
      </c>
      <c r="AU60" s="337" t="e">
        <f t="shared" si="113"/>
        <v>#DIV/0!</v>
      </c>
      <c r="AV60" s="337">
        <f t="shared" si="114"/>
        <v>0</v>
      </c>
      <c r="AW60" s="1130">
        <f t="shared" si="115"/>
        <v>0</v>
      </c>
      <c r="AX60" s="1172" t="e">
        <f t="shared" si="116"/>
        <v>#DIV/0!</v>
      </c>
      <c r="BA60" s="337">
        <f t="shared" si="52"/>
        <v>0</v>
      </c>
      <c r="BB60" s="337">
        <f t="shared" si="40"/>
        <v>0</v>
      </c>
      <c r="BC60" s="337">
        <f t="shared" si="41"/>
        <v>0</v>
      </c>
      <c r="BJ60" s="38" t="b">
        <f t="shared" si="117"/>
        <v>0</v>
      </c>
      <c r="BK60" s="86">
        <f>IF(AND(AN60=TRUE,BL60=1),O60*VLOOKUP(H60,Fixtures!DN$27:EG$76,19,FALSE),0)</f>
        <v>0</v>
      </c>
      <c r="BL60" s="86">
        <f t="shared" si="118"/>
        <v>0</v>
      </c>
      <c r="BM60" s="38" t="b">
        <f t="shared" si="119"/>
        <v>1</v>
      </c>
      <c r="BN60" s="86">
        <f t="shared" si="120"/>
        <v>0</v>
      </c>
      <c r="BO60" s="86">
        <f t="shared" si="121"/>
        <v>0</v>
      </c>
      <c r="BQ60" s="337">
        <f t="shared" si="122"/>
        <v>0</v>
      </c>
      <c r="BR60" s="337">
        <f t="shared" si="123"/>
        <v>0</v>
      </c>
      <c r="BS60" s="86">
        <f t="shared" si="124"/>
        <v>0</v>
      </c>
      <c r="BT60" s="86">
        <f t="shared" si="125"/>
        <v>0</v>
      </c>
      <c r="BU60" s="86">
        <f t="shared" si="126"/>
        <v>0</v>
      </c>
      <c r="BW60" s="38" t="str">
        <f>IF(H60="","",IFERROR(VLOOKUP(H60,Fixtures!EQ$93:EQ$142,1,FALSE),FALSE))</f>
        <v/>
      </c>
    </row>
    <row r="61" spans="2:75" ht="14.3" customHeight="1">
      <c r="B61" s="1182" t="str">
        <f t="shared" si="98"/>
        <v/>
      </c>
      <c r="D61" s="928"/>
      <c r="E61" s="1992"/>
      <c r="F61" s="1992"/>
      <c r="G61" s="38">
        <v>19</v>
      </c>
      <c r="H61" s="1993"/>
      <c r="I61" s="1993"/>
      <c r="J61" s="1993"/>
      <c r="K61" s="1993"/>
      <c r="L61" s="1993"/>
      <c r="M61" s="1993"/>
      <c r="N61" s="1993"/>
      <c r="O61" s="1108"/>
      <c r="P61" s="1125" t="str">
        <f t="shared" si="99"/>
        <v/>
      </c>
      <c r="Q61" s="1994">
        <f t="shared" si="100"/>
        <v>0</v>
      </c>
      <c r="R61" s="1994"/>
      <c r="S61" s="1108"/>
      <c r="T61" s="1108"/>
      <c r="U61" s="1108"/>
      <c r="V61" s="1127" t="b">
        <f t="shared" si="101"/>
        <v>1</v>
      </c>
      <c r="W61" s="1995">
        <f t="shared" si="102"/>
        <v>0</v>
      </c>
      <c r="X61" s="1995"/>
      <c r="Y61" s="1202" t="e">
        <f t="shared" si="103"/>
        <v>#N/A</v>
      </c>
      <c r="Z61" s="1995">
        <f t="shared" si="104"/>
        <v>0</v>
      </c>
      <c r="AA61" s="1995"/>
      <c r="AB61" s="1202" t="e">
        <f t="shared" si="89"/>
        <v>#N/A</v>
      </c>
      <c r="AC61" s="1995">
        <f t="shared" si="105"/>
        <v>0</v>
      </c>
      <c r="AD61" s="1995"/>
      <c r="AE61" s="1201">
        <f>IFERROR(ROUND(SUM(S61:U61)*P61*W$39*AB$39*(1-AA54)/1000,0),0)</f>
        <v>0</v>
      </c>
      <c r="AF61" s="1097"/>
      <c r="AG61" s="1995">
        <f t="shared" si="106"/>
        <v>0</v>
      </c>
      <c r="AH61" s="1995"/>
      <c r="AI61" s="1095"/>
      <c r="AJ61" s="1996" t="str">
        <f t="shared" si="107"/>
        <v/>
      </c>
      <c r="AK61" s="1997"/>
      <c r="AL61" s="1997"/>
      <c r="AN61" s="38" t="b">
        <f t="shared" si="108"/>
        <v>0</v>
      </c>
      <c r="AO61" s="86">
        <f t="shared" si="109"/>
        <v>0</v>
      </c>
      <c r="AP61" s="1130" t="e">
        <f t="shared" si="7"/>
        <v>#DIV/0!</v>
      </c>
      <c r="AQ61" s="1205" t="e">
        <f t="shared" si="110"/>
        <v>#DIV/0!</v>
      </c>
      <c r="AR61" s="1205">
        <f t="shared" si="111"/>
        <v>0</v>
      </c>
      <c r="AS61" s="1205">
        <f t="shared" si="51"/>
        <v>0</v>
      </c>
      <c r="AT61" s="1205">
        <f t="shared" si="112"/>
        <v>0</v>
      </c>
      <c r="AU61" s="337" t="e">
        <f t="shared" si="113"/>
        <v>#DIV/0!</v>
      </c>
      <c r="AV61" s="337">
        <f t="shared" si="114"/>
        <v>0</v>
      </c>
      <c r="AW61" s="1130">
        <f t="shared" si="115"/>
        <v>0</v>
      </c>
      <c r="AX61" s="1172" t="e">
        <f t="shared" si="116"/>
        <v>#DIV/0!</v>
      </c>
      <c r="BA61" s="337">
        <f t="shared" si="52"/>
        <v>0</v>
      </c>
      <c r="BB61" s="337">
        <f t="shared" si="40"/>
        <v>0</v>
      </c>
      <c r="BC61" s="337">
        <f t="shared" si="41"/>
        <v>0</v>
      </c>
      <c r="BJ61" s="38" t="b">
        <f t="shared" si="117"/>
        <v>0</v>
      </c>
      <c r="BK61" s="86">
        <f>IF(AND(AN61=TRUE,BL61=1),O61*VLOOKUP(H61,Fixtures!DN$27:EG$76,19,FALSE),0)</f>
        <v>0</v>
      </c>
      <c r="BL61" s="86">
        <f t="shared" si="118"/>
        <v>0</v>
      </c>
      <c r="BM61" s="38" t="b">
        <f t="shared" si="119"/>
        <v>1</v>
      </c>
      <c r="BN61" s="86">
        <f t="shared" si="120"/>
        <v>0</v>
      </c>
      <c r="BO61" s="86">
        <f t="shared" si="121"/>
        <v>0</v>
      </c>
      <c r="BQ61" s="337">
        <f t="shared" si="122"/>
        <v>0</v>
      </c>
      <c r="BR61" s="337">
        <f t="shared" si="123"/>
        <v>0</v>
      </c>
      <c r="BS61" s="86">
        <f t="shared" si="124"/>
        <v>0</v>
      </c>
      <c r="BT61" s="86">
        <f t="shared" si="125"/>
        <v>0</v>
      </c>
      <c r="BU61" s="86">
        <f t="shared" si="126"/>
        <v>0</v>
      </c>
      <c r="BW61" s="38" t="str">
        <f>IF(H61="","",IFERROR(VLOOKUP(H61,Fixtures!EQ$93:EQ$142,1,FALSE),FALSE))</f>
        <v/>
      </c>
    </row>
    <row r="62" spans="2:75" ht="14.3" customHeight="1">
      <c r="B62" s="1182" t="str">
        <f t="shared" si="98"/>
        <v/>
      </c>
      <c r="D62" s="928"/>
      <c r="E62" s="1992"/>
      <c r="F62" s="1992"/>
      <c r="G62" s="38">
        <v>20</v>
      </c>
      <c r="H62" s="1993"/>
      <c r="I62" s="1993"/>
      <c r="J62" s="1993"/>
      <c r="K62" s="1993"/>
      <c r="L62" s="1993"/>
      <c r="M62" s="1993"/>
      <c r="N62" s="1993"/>
      <c r="O62" s="1108"/>
      <c r="P62" s="1125" t="str">
        <f t="shared" si="99"/>
        <v/>
      </c>
      <c r="Q62" s="1994">
        <f t="shared" si="100"/>
        <v>0</v>
      </c>
      <c r="R62" s="1994"/>
      <c r="S62" s="1108"/>
      <c r="T62" s="1108"/>
      <c r="U62" s="1108"/>
      <c r="V62" s="1127" t="b">
        <f t="shared" si="101"/>
        <v>1</v>
      </c>
      <c r="W62" s="1995">
        <f t="shared" si="102"/>
        <v>0</v>
      </c>
      <c r="X62" s="1995"/>
      <c r="Y62" s="1202" t="e">
        <f t="shared" si="103"/>
        <v>#N/A</v>
      </c>
      <c r="Z62" s="1995">
        <f t="shared" si="104"/>
        <v>0</v>
      </c>
      <c r="AA62" s="1995"/>
      <c r="AB62" s="1202" t="e">
        <f t="shared" si="89"/>
        <v>#N/A</v>
      </c>
      <c r="AC62" s="1995">
        <f t="shared" si="105"/>
        <v>0</v>
      </c>
      <c r="AD62" s="1995"/>
      <c r="AE62" s="1201">
        <f>IFERROR(ROUND(SUM(S62:U62)*P62*W$39*AB$39*(1-AA48)/1000,0),0)</f>
        <v>0</v>
      </c>
      <c r="AF62" s="1097"/>
      <c r="AG62" s="1995">
        <f t="shared" si="106"/>
        <v>0</v>
      </c>
      <c r="AH62" s="1995"/>
      <c r="AI62" s="1095"/>
      <c r="AJ62" s="1996" t="str">
        <f t="shared" si="107"/>
        <v/>
      </c>
      <c r="AK62" s="1997"/>
      <c r="AL62" s="1997"/>
      <c r="AN62" s="38" t="b">
        <f t="shared" si="108"/>
        <v>0</v>
      </c>
      <c r="AO62" s="86">
        <f t="shared" si="109"/>
        <v>0</v>
      </c>
      <c r="AP62" s="1130" t="e">
        <f t="shared" si="7"/>
        <v>#DIV/0!</v>
      </c>
      <c r="AQ62" s="1205" t="e">
        <f t="shared" si="110"/>
        <v>#DIV/0!</v>
      </c>
      <c r="AR62" s="1205">
        <f t="shared" si="111"/>
        <v>0</v>
      </c>
      <c r="AS62" s="1205">
        <f t="shared" si="51"/>
        <v>0</v>
      </c>
      <c r="AT62" s="1205">
        <f t="shared" si="112"/>
        <v>0</v>
      </c>
      <c r="AU62" s="337" t="e">
        <f t="shared" si="113"/>
        <v>#DIV/0!</v>
      </c>
      <c r="AV62" s="337">
        <f t="shared" si="114"/>
        <v>0</v>
      </c>
      <c r="AW62" s="1130">
        <f t="shared" si="115"/>
        <v>0</v>
      </c>
      <c r="AX62" s="1172" t="e">
        <f t="shared" si="116"/>
        <v>#DIV/0!</v>
      </c>
      <c r="BA62" s="337">
        <f t="shared" si="52"/>
        <v>0</v>
      </c>
      <c r="BB62" s="337">
        <f t="shared" si="40"/>
        <v>0</v>
      </c>
      <c r="BC62" s="337">
        <f t="shared" si="41"/>
        <v>0</v>
      </c>
      <c r="BJ62" s="38" t="b">
        <f t="shared" si="117"/>
        <v>0</v>
      </c>
      <c r="BK62" s="86">
        <f>IF(AND(AN62=TRUE,BL62=1),O62*VLOOKUP(H62,Fixtures!DN$27:EG$76,19,FALSE),0)</f>
        <v>0</v>
      </c>
      <c r="BL62" s="86">
        <f t="shared" si="118"/>
        <v>0</v>
      </c>
      <c r="BM62" s="38" t="b">
        <f t="shared" si="119"/>
        <v>1</v>
      </c>
      <c r="BN62" s="86">
        <f t="shared" si="120"/>
        <v>0</v>
      </c>
      <c r="BO62" s="86">
        <f t="shared" si="121"/>
        <v>0</v>
      </c>
      <c r="BQ62" s="337">
        <f t="shared" si="122"/>
        <v>0</v>
      </c>
      <c r="BR62" s="337">
        <f t="shared" si="123"/>
        <v>0</v>
      </c>
      <c r="BS62" s="86">
        <f t="shared" si="124"/>
        <v>0</v>
      </c>
      <c r="BT62" s="86">
        <f t="shared" si="125"/>
        <v>0</v>
      </c>
      <c r="BU62" s="86">
        <f t="shared" si="126"/>
        <v>0</v>
      </c>
      <c r="BW62" s="38" t="str">
        <f>IF(H62="","",IFERROR(VLOOKUP(H62,Fixtures!EQ$93:EQ$142,1,FALSE),FALSE))</f>
        <v/>
      </c>
    </row>
    <row r="63" spans="2:75" ht="14.3" customHeight="1">
      <c r="B63" s="1182" t="str">
        <f t="shared" si="98"/>
        <v/>
      </c>
      <c r="D63" s="928"/>
      <c r="E63" s="1992"/>
      <c r="F63" s="1992"/>
      <c r="G63" s="38">
        <v>21</v>
      </c>
      <c r="H63" s="1993"/>
      <c r="I63" s="1993"/>
      <c r="J63" s="1993"/>
      <c r="K63" s="1993"/>
      <c r="L63" s="1993"/>
      <c r="M63" s="1993"/>
      <c r="N63" s="1993"/>
      <c r="O63" s="1108"/>
      <c r="P63" s="1125" t="str">
        <f t="shared" si="99"/>
        <v/>
      </c>
      <c r="Q63" s="1994">
        <f t="shared" si="100"/>
        <v>0</v>
      </c>
      <c r="R63" s="1994"/>
      <c r="S63" s="1108"/>
      <c r="T63" s="1108"/>
      <c r="U63" s="1108"/>
      <c r="V63" s="1127" t="b">
        <f t="shared" si="101"/>
        <v>1</v>
      </c>
      <c r="W63" s="1995">
        <f t="shared" si="102"/>
        <v>0</v>
      </c>
      <c r="X63" s="1995"/>
      <c r="Y63" s="1202" t="e">
        <f t="shared" si="103"/>
        <v>#N/A</v>
      </c>
      <c r="Z63" s="1995">
        <f t="shared" si="104"/>
        <v>0</v>
      </c>
      <c r="AA63" s="1995"/>
      <c r="AB63" s="1202" t="e">
        <f t="shared" si="89"/>
        <v>#N/A</v>
      </c>
      <c r="AC63" s="1995">
        <f t="shared" si="105"/>
        <v>0</v>
      </c>
      <c r="AD63" s="1995"/>
      <c r="AE63" s="1201">
        <f t="shared" ref="AE63" si="127">IFERROR(ROUND(SUM(S63:U63)*P63*W$39*AB$39*(1-AA59)/1000,0),0)</f>
        <v>0</v>
      </c>
      <c r="AF63" s="1097"/>
      <c r="AG63" s="1995">
        <f t="shared" si="106"/>
        <v>0</v>
      </c>
      <c r="AH63" s="1995"/>
      <c r="AI63" s="1095"/>
      <c r="AJ63" s="1996" t="str">
        <f t="shared" si="107"/>
        <v/>
      </c>
      <c r="AK63" s="1997"/>
      <c r="AL63" s="1997"/>
      <c r="AN63" s="38" t="b">
        <f t="shared" si="108"/>
        <v>0</v>
      </c>
      <c r="AO63" s="86">
        <f t="shared" si="109"/>
        <v>0</v>
      </c>
      <c r="AP63" s="1130" t="e">
        <f t="shared" si="7"/>
        <v>#DIV/0!</v>
      </c>
      <c r="AQ63" s="1205" t="e">
        <f t="shared" si="110"/>
        <v>#DIV/0!</v>
      </c>
      <c r="AR63" s="1205">
        <f t="shared" si="111"/>
        <v>0</v>
      </c>
      <c r="AS63" s="1205">
        <f t="shared" si="51"/>
        <v>0</v>
      </c>
      <c r="AT63" s="1205">
        <f t="shared" si="112"/>
        <v>0</v>
      </c>
      <c r="AU63" s="337" t="e">
        <f t="shared" si="113"/>
        <v>#DIV/0!</v>
      </c>
      <c r="AV63" s="337">
        <f t="shared" si="114"/>
        <v>0</v>
      </c>
      <c r="AW63" s="1130">
        <f t="shared" si="115"/>
        <v>0</v>
      </c>
      <c r="AX63" s="1172" t="e">
        <f t="shared" si="116"/>
        <v>#DIV/0!</v>
      </c>
      <c r="BA63" s="337">
        <f t="shared" si="52"/>
        <v>0</v>
      </c>
      <c r="BB63" s="337">
        <f t="shared" si="40"/>
        <v>0</v>
      </c>
      <c r="BC63" s="337">
        <f t="shared" si="41"/>
        <v>0</v>
      </c>
      <c r="BJ63" s="38" t="b">
        <f t="shared" si="117"/>
        <v>0</v>
      </c>
      <c r="BK63" s="86">
        <f>IF(AND(AN63=TRUE,BL63=1),O63*VLOOKUP(H63,Fixtures!DN$27:EG$76,19,FALSE),0)</f>
        <v>0</v>
      </c>
      <c r="BL63" s="86">
        <f t="shared" si="118"/>
        <v>0</v>
      </c>
      <c r="BM63" s="38" t="b">
        <f t="shared" si="119"/>
        <v>1</v>
      </c>
      <c r="BN63" s="86">
        <f t="shared" si="120"/>
        <v>0</v>
      </c>
      <c r="BO63" s="86">
        <f t="shared" si="121"/>
        <v>0</v>
      </c>
      <c r="BQ63" s="337">
        <f t="shared" si="122"/>
        <v>0</v>
      </c>
      <c r="BR63" s="337">
        <f t="shared" si="123"/>
        <v>0</v>
      </c>
      <c r="BS63" s="86">
        <f t="shared" si="124"/>
        <v>0</v>
      </c>
      <c r="BT63" s="86">
        <f t="shared" si="125"/>
        <v>0</v>
      </c>
      <c r="BU63" s="86">
        <f t="shared" si="126"/>
        <v>0</v>
      </c>
      <c r="BW63" s="38" t="str">
        <f>IF(H63="","",IFERROR(VLOOKUP(H63,Fixtures!EQ$93:EQ$142,1,FALSE),FALSE))</f>
        <v/>
      </c>
    </row>
    <row r="64" spans="2:75" ht="14.3" customHeight="1">
      <c r="B64" s="1182" t="str">
        <f t="shared" ref="B64:B66" si="128">IF(BW64=FALSE,"Reselect fixture","")</f>
        <v/>
      </c>
      <c r="D64" s="928"/>
      <c r="E64" s="1992"/>
      <c r="F64" s="1992"/>
      <c r="G64" s="38">
        <v>22</v>
      </c>
      <c r="H64" s="1993"/>
      <c r="I64" s="1993"/>
      <c r="J64" s="1993"/>
      <c r="K64" s="1993"/>
      <c r="L64" s="1993"/>
      <c r="M64" s="1993"/>
      <c r="N64" s="1993"/>
      <c r="O64" s="1108"/>
      <c r="P64" s="1125" t="str">
        <f t="shared" ref="P64:P66" si="129">IFERROR(VLOOKUP(H64,Fixtures_Proposed_List,2,FALSE),"")</f>
        <v/>
      </c>
      <c r="Q64" s="1994">
        <f t="shared" ref="Q64:Q66" si="130">IFERROR(IF(AN64=TRUE,0,O64*P64),0)</f>
        <v>0</v>
      </c>
      <c r="R64" s="1994"/>
      <c r="S64" s="1108"/>
      <c r="T64" s="1108"/>
      <c r="U64" s="1108"/>
      <c r="V64" s="1127" t="b">
        <f t="shared" ref="V64:V66" si="131">IF(AND(AN64=TRUE,S64+T64+U64&gt;0),FALSE,IF(S64+T64+U64&gt;O64,FALSE,TRUE))</f>
        <v>1</v>
      </c>
      <c r="W64" s="1995">
        <f t="shared" ref="W64:W66" si="132">IFERROR(Q64*W$39*AB$39/1000,0)</f>
        <v>0</v>
      </c>
      <c r="X64" s="1995"/>
      <c r="Y64" s="1202" t="e">
        <f t="shared" ref="Y64:Y66" si="133">AA$39</f>
        <v>#N/A</v>
      </c>
      <c r="Z64" s="1995">
        <f t="shared" ref="Z64:Z66" si="134">IF(V64=FALSE,"ERROR!",IFERROR(IF(AN64=TRUE,0,BA64),0))</f>
        <v>0</v>
      </c>
      <c r="AA64" s="1995"/>
      <c r="AB64" s="1202" t="e">
        <f t="shared" si="89"/>
        <v>#N/A</v>
      </c>
      <c r="AC64" s="1995">
        <f t="shared" ref="AC64:AC66" si="135">IF(V64=FALSE,"ERROR!",IFERROR(IF(AN64=TRUE,0,BB64+BC64),0))</f>
        <v>0</v>
      </c>
      <c r="AD64" s="1995"/>
      <c r="AE64" s="1201">
        <f>IFERROR(ROUND(SUM(S64:U64)*P64*W$39*AB$39*(1-AA57)/1000,0),0)</f>
        <v>0</v>
      </c>
      <c r="AF64" s="1097"/>
      <c r="AG64" s="1995">
        <f t="shared" ref="AG64:AG66" si="136">IF(V64=FALSE,"ERROR!",Z64+AC64)</f>
        <v>0</v>
      </c>
      <c r="AH64" s="1995"/>
      <c r="AI64" s="1095"/>
      <c r="AJ64" s="1996" t="str">
        <f t="shared" ref="AJ64:AJ66" si="137">IF(V64=FALSE,"Revise LLLC &amp; NLC qty!",IF(BM64=FALSE,"Enter TLED SF",""))</f>
        <v/>
      </c>
      <c r="AK64" s="1997"/>
      <c r="AL64" s="1997"/>
      <c r="AN64" s="38" t="b">
        <f t="shared" ref="AN64:AN66" si="138">IF(ISNUMBER(SEARCH("TLED",H64)),TRUE,FALSE)</f>
        <v>0</v>
      </c>
      <c r="AO64" s="86">
        <f t="shared" ref="AO64:AO66" si="139">IF(AN64=FALSE,O64,0)</f>
        <v>0</v>
      </c>
      <c r="AP64" s="1130" t="e">
        <f t="shared" si="7"/>
        <v>#DIV/0!</v>
      </c>
      <c r="AQ64" s="1205" t="e">
        <f t="shared" ref="AQ64:AQ66" si="140">AE$39*AP64</f>
        <v>#DIV/0!</v>
      </c>
      <c r="AR64" s="1205">
        <f t="shared" ref="AR64:AR66" si="141">W64</f>
        <v>0</v>
      </c>
      <c r="AS64" s="1205">
        <f t="shared" si="51"/>
        <v>0</v>
      </c>
      <c r="AT64" s="1205">
        <f t="shared" ref="AT64:AT66" si="142">SUM(BA64:BC64)</f>
        <v>0</v>
      </c>
      <c r="AU64" s="337" t="e">
        <f t="shared" ref="AU64:AU66" si="143">AQ64-AT64</f>
        <v>#DIV/0!</v>
      </c>
      <c r="AV64" s="337">
        <f t="shared" ref="AV64:AV66" si="144">IF(SUM(S64:U64)&gt;0,AS64-AC64,0)</f>
        <v>0</v>
      </c>
      <c r="AW64" s="1130">
        <f t="shared" ref="AW64:AW66" si="145">IFERROR(SUM(S64:U64)/$O64,0)</f>
        <v>0</v>
      </c>
      <c r="AX64" s="1172" t="e">
        <f t="shared" ref="AX64:AX66" si="146">AU64*((AW64*AX$41)+AX$40)</f>
        <v>#DIV/0!</v>
      </c>
      <c r="BA64" s="337">
        <f t="shared" si="52"/>
        <v>0</v>
      </c>
      <c r="BB64" s="337">
        <f t="shared" si="40"/>
        <v>0</v>
      </c>
      <c r="BC64" s="337">
        <f t="shared" si="41"/>
        <v>0</v>
      </c>
      <c r="BJ64" s="38" t="b">
        <f t="shared" ref="BJ64:BJ66" si="147">IF(AND(V64=FALSE,AN64=TRUE),TRUE,FALSE)</f>
        <v>0</v>
      </c>
      <c r="BK64" s="86">
        <f>IF(AND(AN64=TRUE,BL64=1),O64*VLOOKUP(H64,Fixtures!DN$27:EG$76,19,FALSE),0)</f>
        <v>0</v>
      </c>
      <c r="BL64" s="86">
        <f t="shared" ref="BL64:BL66" si="148">IF(E64="",0,1)</f>
        <v>0</v>
      </c>
      <c r="BM64" s="38" t="b">
        <f t="shared" ref="BM64:BM66" si="149">IF(AND(AN64=TRUE,BL64=0),FALSE,TRUE)</f>
        <v>1</v>
      </c>
      <c r="BN64" s="86">
        <f t="shared" ref="BN64:BN66" si="150">IF(H64="",0,1)</f>
        <v>0</v>
      </c>
      <c r="BO64" s="86">
        <f t="shared" ref="BO64:BO66" si="151">IF(O64="",0,1)</f>
        <v>0</v>
      </c>
      <c r="BQ64" s="337">
        <f t="shared" ref="BQ64:BQ66" si="152">IF(AND(AN64=TRUE,BN64+BO64=2),E64,0)</f>
        <v>0</v>
      </c>
      <c r="BR64" s="337">
        <f t="shared" ref="BR64:BR66" si="153">IF(AN64=TRUE,ROUND((E64*W$39*X$39*AB$39)/1000,0),0)</f>
        <v>0</v>
      </c>
      <c r="BS64" s="86">
        <f t="shared" ref="BS64:BS66" si="154">IF(AN64=TRUE,ROUND((E64*W$39*X$39*(1-AA$39)*AB$39)/1000,0),0)</f>
        <v>0</v>
      </c>
      <c r="BT64" s="86">
        <f t="shared" ref="BT64:BT66" si="155">IF(BM64=FALSE,0,IF(AN64=TRUE,ROUND((O64*P64*AB$39*W$39)/1000,0),0))</f>
        <v>0</v>
      </c>
      <c r="BU64" s="86">
        <f t="shared" ref="BU64:BU66" si="156">IF(BM64=FALSE,0,IF(AN64=TRUE,ROUND((O64*P64*AB$39*W$39*(1-AA$39))/1000,0),0))</f>
        <v>0</v>
      </c>
      <c r="BW64" s="38" t="str">
        <f>IF(H64="","",IFERROR(VLOOKUP(H64,Fixtures!EQ$93:EQ$142,1,FALSE),FALSE))</f>
        <v/>
      </c>
    </row>
    <row r="65" spans="2:75" ht="14.3" customHeight="1">
      <c r="B65" s="1182" t="str">
        <f t="shared" si="128"/>
        <v/>
      </c>
      <c r="D65" s="928"/>
      <c r="E65" s="1992"/>
      <c r="F65" s="1992"/>
      <c r="G65" s="38">
        <v>23</v>
      </c>
      <c r="H65" s="1993"/>
      <c r="I65" s="1993"/>
      <c r="J65" s="1993"/>
      <c r="K65" s="1993"/>
      <c r="L65" s="1993"/>
      <c r="M65" s="1993"/>
      <c r="N65" s="1993"/>
      <c r="O65" s="1108"/>
      <c r="P65" s="1125" t="str">
        <f t="shared" si="129"/>
        <v/>
      </c>
      <c r="Q65" s="1994">
        <f t="shared" si="130"/>
        <v>0</v>
      </c>
      <c r="R65" s="1994"/>
      <c r="S65" s="1108"/>
      <c r="T65" s="1108"/>
      <c r="U65" s="1108"/>
      <c r="V65" s="1127" t="b">
        <f t="shared" si="131"/>
        <v>1</v>
      </c>
      <c r="W65" s="1995">
        <f t="shared" si="132"/>
        <v>0</v>
      </c>
      <c r="X65" s="1995"/>
      <c r="Y65" s="1202" t="e">
        <f t="shared" si="133"/>
        <v>#N/A</v>
      </c>
      <c r="Z65" s="1995">
        <f t="shared" si="134"/>
        <v>0</v>
      </c>
      <c r="AA65" s="1995"/>
      <c r="AB65" s="1202" t="e">
        <f t="shared" si="89"/>
        <v>#N/A</v>
      </c>
      <c r="AC65" s="1995">
        <f t="shared" si="135"/>
        <v>0</v>
      </c>
      <c r="AD65" s="1995"/>
      <c r="AE65" s="1201">
        <f>IFERROR(ROUND(SUM(S65:U65)*P65*W$39*AB$39*(1-AA58)/1000,0),0)</f>
        <v>0</v>
      </c>
      <c r="AF65" s="1097"/>
      <c r="AG65" s="1995">
        <f t="shared" si="136"/>
        <v>0</v>
      </c>
      <c r="AH65" s="1995"/>
      <c r="AI65" s="1095"/>
      <c r="AJ65" s="1996" t="str">
        <f t="shared" si="137"/>
        <v/>
      </c>
      <c r="AK65" s="1997"/>
      <c r="AL65" s="1997"/>
      <c r="AN65" s="38" t="b">
        <f t="shared" si="138"/>
        <v>0</v>
      </c>
      <c r="AO65" s="86">
        <f t="shared" si="139"/>
        <v>0</v>
      </c>
      <c r="AP65" s="1130" t="e">
        <f t="shared" si="7"/>
        <v>#DIV/0!</v>
      </c>
      <c r="AQ65" s="1205" t="e">
        <f t="shared" si="140"/>
        <v>#DIV/0!</v>
      </c>
      <c r="AR65" s="1205">
        <f t="shared" si="141"/>
        <v>0</v>
      </c>
      <c r="AS65" s="1205">
        <f t="shared" si="51"/>
        <v>0</v>
      </c>
      <c r="AT65" s="1205">
        <f t="shared" si="142"/>
        <v>0</v>
      </c>
      <c r="AU65" s="337" t="e">
        <f t="shared" si="143"/>
        <v>#DIV/0!</v>
      </c>
      <c r="AV65" s="337">
        <f t="shared" si="144"/>
        <v>0</v>
      </c>
      <c r="AW65" s="1130">
        <f t="shared" si="145"/>
        <v>0</v>
      </c>
      <c r="AX65" s="1172" t="e">
        <f t="shared" si="146"/>
        <v>#DIV/0!</v>
      </c>
      <c r="BA65" s="337">
        <f t="shared" si="52"/>
        <v>0</v>
      </c>
      <c r="BB65" s="337">
        <f t="shared" si="40"/>
        <v>0</v>
      </c>
      <c r="BC65" s="337">
        <f t="shared" si="41"/>
        <v>0</v>
      </c>
      <c r="BJ65" s="38" t="b">
        <f t="shared" si="147"/>
        <v>0</v>
      </c>
      <c r="BK65" s="86">
        <f>IF(AND(AN65=TRUE,BL65=1),O65*VLOOKUP(H65,Fixtures!DN$27:EG$76,19,FALSE),0)</f>
        <v>0</v>
      </c>
      <c r="BL65" s="86">
        <f t="shared" si="148"/>
        <v>0</v>
      </c>
      <c r="BM65" s="38" t="b">
        <f t="shared" si="149"/>
        <v>1</v>
      </c>
      <c r="BN65" s="86">
        <f t="shared" si="150"/>
        <v>0</v>
      </c>
      <c r="BO65" s="86">
        <f t="shared" si="151"/>
        <v>0</v>
      </c>
      <c r="BQ65" s="337">
        <f t="shared" si="152"/>
        <v>0</v>
      </c>
      <c r="BR65" s="337">
        <f t="shared" si="153"/>
        <v>0</v>
      </c>
      <c r="BS65" s="86">
        <f t="shared" si="154"/>
        <v>0</v>
      </c>
      <c r="BT65" s="86">
        <f t="shared" si="155"/>
        <v>0</v>
      </c>
      <c r="BU65" s="86">
        <f t="shared" si="156"/>
        <v>0</v>
      </c>
      <c r="BW65" s="38" t="str">
        <f>IF(H65="","",IFERROR(VLOOKUP(H65,Fixtures!EQ$93:EQ$142,1,FALSE),FALSE))</f>
        <v/>
      </c>
    </row>
    <row r="66" spans="2:75" ht="14.3" customHeight="1">
      <c r="B66" s="1182" t="str">
        <f t="shared" si="128"/>
        <v/>
      </c>
      <c r="D66" s="928"/>
      <c r="E66" s="1992"/>
      <c r="F66" s="1992"/>
      <c r="G66" s="38">
        <v>24</v>
      </c>
      <c r="H66" s="1993"/>
      <c r="I66" s="1993"/>
      <c r="J66" s="1993"/>
      <c r="K66" s="1993"/>
      <c r="L66" s="1993"/>
      <c r="M66" s="1993"/>
      <c r="N66" s="1993"/>
      <c r="O66" s="1108"/>
      <c r="P66" s="1125" t="str">
        <f t="shared" si="129"/>
        <v/>
      </c>
      <c r="Q66" s="1994">
        <f t="shared" si="130"/>
        <v>0</v>
      </c>
      <c r="R66" s="1994"/>
      <c r="S66" s="1108"/>
      <c r="T66" s="1108"/>
      <c r="U66" s="1108"/>
      <c r="V66" s="1127" t="b">
        <f t="shared" si="131"/>
        <v>1</v>
      </c>
      <c r="W66" s="1995">
        <f t="shared" si="132"/>
        <v>0</v>
      </c>
      <c r="X66" s="1995"/>
      <c r="Y66" s="1202" t="e">
        <f t="shared" si="133"/>
        <v>#N/A</v>
      </c>
      <c r="Z66" s="1995">
        <f t="shared" si="134"/>
        <v>0</v>
      </c>
      <c r="AA66" s="1995"/>
      <c r="AB66" s="1202" t="e">
        <f t="shared" si="89"/>
        <v>#N/A</v>
      </c>
      <c r="AC66" s="1995">
        <f t="shared" si="135"/>
        <v>0</v>
      </c>
      <c r="AD66" s="1995"/>
      <c r="AE66" s="1201">
        <f>IFERROR(ROUND(SUM(S66:U66)*P66*W$39*AB$39*(1-AA59)/1000,0),0)</f>
        <v>0</v>
      </c>
      <c r="AF66" s="1097"/>
      <c r="AG66" s="1995">
        <f t="shared" si="136"/>
        <v>0</v>
      </c>
      <c r="AH66" s="1995"/>
      <c r="AI66" s="1095"/>
      <c r="AJ66" s="1996" t="str">
        <f t="shared" si="137"/>
        <v/>
      </c>
      <c r="AK66" s="1997"/>
      <c r="AL66" s="1997"/>
      <c r="AN66" s="38" t="b">
        <f t="shared" si="138"/>
        <v>0</v>
      </c>
      <c r="AO66" s="86">
        <f t="shared" si="139"/>
        <v>0</v>
      </c>
      <c r="AP66" s="1130" t="e">
        <f t="shared" si="7"/>
        <v>#DIV/0!</v>
      </c>
      <c r="AQ66" s="1205" t="e">
        <f t="shared" si="140"/>
        <v>#DIV/0!</v>
      </c>
      <c r="AR66" s="1205">
        <f t="shared" si="141"/>
        <v>0</v>
      </c>
      <c r="AS66" s="1205">
        <f t="shared" si="51"/>
        <v>0</v>
      </c>
      <c r="AT66" s="1205">
        <f t="shared" si="142"/>
        <v>0</v>
      </c>
      <c r="AU66" s="337" t="e">
        <f t="shared" si="143"/>
        <v>#DIV/0!</v>
      </c>
      <c r="AV66" s="337">
        <f t="shared" si="144"/>
        <v>0</v>
      </c>
      <c r="AW66" s="1130">
        <f t="shared" si="145"/>
        <v>0</v>
      </c>
      <c r="AX66" s="1172" t="e">
        <f t="shared" si="146"/>
        <v>#DIV/0!</v>
      </c>
      <c r="BA66" s="337">
        <f t="shared" si="52"/>
        <v>0</v>
      </c>
      <c r="BB66" s="337">
        <f t="shared" si="40"/>
        <v>0</v>
      </c>
      <c r="BC66" s="337">
        <f t="shared" si="41"/>
        <v>0</v>
      </c>
      <c r="BJ66" s="38" t="b">
        <f t="shared" si="147"/>
        <v>0</v>
      </c>
      <c r="BK66" s="86">
        <f>IF(AND(AN66=TRUE,BL66=1),O66*VLOOKUP(H66,Fixtures!DN$27:EG$76,19,FALSE),0)</f>
        <v>0</v>
      </c>
      <c r="BL66" s="86">
        <f t="shared" si="148"/>
        <v>0</v>
      </c>
      <c r="BM66" s="38" t="b">
        <f t="shared" si="149"/>
        <v>1</v>
      </c>
      <c r="BN66" s="86">
        <f t="shared" si="150"/>
        <v>0</v>
      </c>
      <c r="BO66" s="86">
        <f t="shared" si="151"/>
        <v>0</v>
      </c>
      <c r="BQ66" s="337">
        <f t="shared" si="152"/>
        <v>0</v>
      </c>
      <c r="BR66" s="337">
        <f t="shared" si="153"/>
        <v>0</v>
      </c>
      <c r="BS66" s="86">
        <f t="shared" si="154"/>
        <v>0</v>
      </c>
      <c r="BT66" s="86">
        <f t="shared" si="155"/>
        <v>0</v>
      </c>
      <c r="BU66" s="86">
        <f t="shared" si="156"/>
        <v>0</v>
      </c>
      <c r="BW66" s="38" t="str">
        <f>IF(H66="","",IFERROR(VLOOKUP(H66,Fixtures!EQ$93:EQ$142,1,FALSE),FALSE))</f>
        <v/>
      </c>
    </row>
    <row r="67" spans="2:75" ht="14.3" customHeight="1">
      <c r="B67" s="1182" t="str">
        <f t="shared" si="98"/>
        <v/>
      </c>
      <c r="D67" s="928"/>
      <c r="E67" s="1992"/>
      <c r="F67" s="1992"/>
      <c r="G67" s="38">
        <v>25</v>
      </c>
      <c r="H67" s="1993"/>
      <c r="I67" s="1993"/>
      <c r="J67" s="1993"/>
      <c r="K67" s="1993"/>
      <c r="L67" s="1993"/>
      <c r="M67" s="1993"/>
      <c r="N67" s="1993"/>
      <c r="O67" s="1108"/>
      <c r="P67" s="1125" t="str">
        <f t="shared" si="99"/>
        <v/>
      </c>
      <c r="Q67" s="1994">
        <f t="shared" si="100"/>
        <v>0</v>
      </c>
      <c r="R67" s="1994"/>
      <c r="S67" s="1108"/>
      <c r="T67" s="1108"/>
      <c r="U67" s="1108"/>
      <c r="V67" s="1127" t="b">
        <f t="shared" si="101"/>
        <v>1</v>
      </c>
      <c r="W67" s="1995">
        <f t="shared" si="102"/>
        <v>0</v>
      </c>
      <c r="X67" s="1995"/>
      <c r="Y67" s="1202" t="e">
        <f t="shared" si="103"/>
        <v>#N/A</v>
      </c>
      <c r="Z67" s="1995">
        <f t="shared" si="104"/>
        <v>0</v>
      </c>
      <c r="AA67" s="1995"/>
      <c r="AB67" s="1202" t="e">
        <f t="shared" si="89"/>
        <v>#N/A</v>
      </c>
      <c r="AC67" s="1995">
        <f t="shared" si="105"/>
        <v>0</v>
      </c>
      <c r="AD67" s="1995"/>
      <c r="AE67" s="1201">
        <f>IFERROR(ROUND(SUM(S67:U67)*P67*W$39*AB$39*(1-AA53)/1000,0),0)</f>
        <v>0</v>
      </c>
      <c r="AF67" s="1097"/>
      <c r="AG67" s="1995">
        <f t="shared" si="106"/>
        <v>0</v>
      </c>
      <c r="AH67" s="1995"/>
      <c r="AI67" s="1095"/>
      <c r="AJ67" s="1996" t="str">
        <f t="shared" si="107"/>
        <v/>
      </c>
      <c r="AK67" s="1997"/>
      <c r="AL67" s="1997"/>
      <c r="AN67" s="38" t="b">
        <f t="shared" si="108"/>
        <v>0</v>
      </c>
      <c r="AO67" s="86">
        <f t="shared" si="109"/>
        <v>0</v>
      </c>
      <c r="AP67" s="1130" t="e">
        <f t="shared" si="7"/>
        <v>#DIV/0!</v>
      </c>
      <c r="AQ67" s="1205" t="e">
        <f t="shared" si="110"/>
        <v>#DIV/0!</v>
      </c>
      <c r="AR67" s="1205">
        <f t="shared" si="111"/>
        <v>0</v>
      </c>
      <c r="AS67" s="1205">
        <f t="shared" si="51"/>
        <v>0</v>
      </c>
      <c r="AT67" s="1205">
        <f t="shared" si="112"/>
        <v>0</v>
      </c>
      <c r="AU67" s="337" t="e">
        <f t="shared" si="113"/>
        <v>#DIV/0!</v>
      </c>
      <c r="AV67" s="337">
        <f t="shared" si="114"/>
        <v>0</v>
      </c>
      <c r="AW67" s="1130">
        <f t="shared" si="115"/>
        <v>0</v>
      </c>
      <c r="AX67" s="1172" t="e">
        <f t="shared" si="116"/>
        <v>#DIV/0!</v>
      </c>
      <c r="BA67" s="337">
        <f t="shared" si="52"/>
        <v>0</v>
      </c>
      <c r="BB67" s="337">
        <f t="shared" si="40"/>
        <v>0</v>
      </c>
      <c r="BC67" s="337">
        <f t="shared" si="41"/>
        <v>0</v>
      </c>
      <c r="BJ67" s="38" t="b">
        <f t="shared" si="117"/>
        <v>0</v>
      </c>
      <c r="BK67" s="86">
        <f>IF(AND(AN67=TRUE,BL67=1),O67*VLOOKUP(H67,Fixtures!DN$27:EG$76,19,FALSE),0)</f>
        <v>0</v>
      </c>
      <c r="BL67" s="86">
        <f t="shared" si="118"/>
        <v>0</v>
      </c>
      <c r="BM67" s="38" t="b">
        <f t="shared" si="119"/>
        <v>1</v>
      </c>
      <c r="BN67" s="86">
        <f t="shared" si="120"/>
        <v>0</v>
      </c>
      <c r="BO67" s="86">
        <f t="shared" si="121"/>
        <v>0</v>
      </c>
      <c r="BQ67" s="337">
        <f t="shared" si="122"/>
        <v>0</v>
      </c>
      <c r="BR67" s="337">
        <f t="shared" si="123"/>
        <v>0</v>
      </c>
      <c r="BS67" s="86">
        <f t="shared" si="124"/>
        <v>0</v>
      </c>
      <c r="BT67" s="86">
        <f t="shared" si="125"/>
        <v>0</v>
      </c>
      <c r="BU67" s="86">
        <f t="shared" si="126"/>
        <v>0</v>
      </c>
      <c r="BW67" s="38" t="str">
        <f>IF(H67="","",IFERROR(VLOOKUP(H67,Fixtures!EQ$93:EQ$142,1,FALSE),FALSE))</f>
        <v/>
      </c>
    </row>
    <row r="68" spans="2:75" ht="14.3" customHeight="1">
      <c r="B68" s="1182" t="str">
        <f t="shared" si="98"/>
        <v/>
      </c>
      <c r="D68" s="928"/>
      <c r="E68" s="1992"/>
      <c r="F68" s="1992"/>
      <c r="G68" s="38">
        <v>26</v>
      </c>
      <c r="H68" s="1993"/>
      <c r="I68" s="1993"/>
      <c r="J68" s="1993"/>
      <c r="K68" s="1993"/>
      <c r="L68" s="1993"/>
      <c r="M68" s="1993"/>
      <c r="N68" s="1993"/>
      <c r="O68" s="1108"/>
      <c r="P68" s="1125" t="str">
        <f t="shared" si="99"/>
        <v/>
      </c>
      <c r="Q68" s="1994">
        <f t="shared" si="100"/>
        <v>0</v>
      </c>
      <c r="R68" s="1994"/>
      <c r="S68" s="1108"/>
      <c r="T68" s="1108"/>
      <c r="U68" s="1108"/>
      <c r="V68" s="1127" t="b">
        <f t="shared" si="101"/>
        <v>1</v>
      </c>
      <c r="W68" s="1995">
        <f t="shared" si="102"/>
        <v>0</v>
      </c>
      <c r="X68" s="1995"/>
      <c r="Y68" s="1202" t="e">
        <f t="shared" si="103"/>
        <v>#N/A</v>
      </c>
      <c r="Z68" s="1995">
        <f t="shared" si="104"/>
        <v>0</v>
      </c>
      <c r="AA68" s="1995"/>
      <c r="AB68" s="1202" t="e">
        <f t="shared" si="89"/>
        <v>#N/A</v>
      </c>
      <c r="AC68" s="1995">
        <f t="shared" si="105"/>
        <v>0</v>
      </c>
      <c r="AD68" s="1995"/>
      <c r="AE68" s="1201">
        <f>IFERROR(ROUND(SUM(S68:U68)*P68*W$39*AB$39*(1-AA54)/1000,0),0)</f>
        <v>0</v>
      </c>
      <c r="AF68" s="1097"/>
      <c r="AG68" s="1995">
        <f t="shared" si="106"/>
        <v>0</v>
      </c>
      <c r="AH68" s="1995"/>
      <c r="AI68" s="1095"/>
      <c r="AJ68" s="1996" t="str">
        <f t="shared" si="107"/>
        <v/>
      </c>
      <c r="AK68" s="1997"/>
      <c r="AL68" s="1997"/>
      <c r="AN68" s="38" t="b">
        <f t="shared" si="108"/>
        <v>0</v>
      </c>
      <c r="AO68" s="86">
        <f t="shared" si="109"/>
        <v>0</v>
      </c>
      <c r="AP68" s="1130" t="e">
        <f t="shared" si="7"/>
        <v>#DIV/0!</v>
      </c>
      <c r="AQ68" s="1205" t="e">
        <f t="shared" si="110"/>
        <v>#DIV/0!</v>
      </c>
      <c r="AR68" s="1205">
        <f t="shared" si="111"/>
        <v>0</v>
      </c>
      <c r="AS68" s="1205">
        <f t="shared" si="51"/>
        <v>0</v>
      </c>
      <c r="AT68" s="1205">
        <f t="shared" si="112"/>
        <v>0</v>
      </c>
      <c r="AU68" s="337" t="e">
        <f t="shared" si="113"/>
        <v>#DIV/0!</v>
      </c>
      <c r="AV68" s="337">
        <f t="shared" si="114"/>
        <v>0</v>
      </c>
      <c r="AW68" s="1130">
        <f t="shared" si="115"/>
        <v>0</v>
      </c>
      <c r="AX68" s="1172" t="e">
        <f t="shared" si="116"/>
        <v>#DIV/0!</v>
      </c>
      <c r="BA68" s="337">
        <f t="shared" si="52"/>
        <v>0</v>
      </c>
      <c r="BB68" s="337">
        <f t="shared" si="40"/>
        <v>0</v>
      </c>
      <c r="BC68" s="337">
        <f t="shared" si="41"/>
        <v>0</v>
      </c>
      <c r="BJ68" s="38" t="b">
        <f t="shared" si="117"/>
        <v>0</v>
      </c>
      <c r="BK68" s="86">
        <f>IF(AND(AN68=TRUE,BL68=1),O68*VLOOKUP(H68,Fixtures!DN$27:EG$76,19,FALSE),0)</f>
        <v>0</v>
      </c>
      <c r="BL68" s="86">
        <f t="shared" si="118"/>
        <v>0</v>
      </c>
      <c r="BM68" s="38" t="b">
        <f t="shared" si="119"/>
        <v>1</v>
      </c>
      <c r="BN68" s="86">
        <f t="shared" si="120"/>
        <v>0</v>
      </c>
      <c r="BO68" s="86">
        <f t="shared" si="121"/>
        <v>0</v>
      </c>
      <c r="BQ68" s="337">
        <f t="shared" si="122"/>
        <v>0</v>
      </c>
      <c r="BR68" s="337">
        <f t="shared" si="123"/>
        <v>0</v>
      </c>
      <c r="BS68" s="86">
        <f t="shared" si="124"/>
        <v>0</v>
      </c>
      <c r="BT68" s="86">
        <f t="shared" si="125"/>
        <v>0</v>
      </c>
      <c r="BU68" s="86">
        <f t="shared" si="126"/>
        <v>0</v>
      </c>
      <c r="BW68" s="38" t="str">
        <f>IF(H68="","",IFERROR(VLOOKUP(H68,Fixtures!EQ$93:EQ$142,1,FALSE),FALSE))</f>
        <v/>
      </c>
    </row>
    <row r="69" spans="2:75" ht="14.3" customHeight="1">
      <c r="B69" s="1182" t="str">
        <f t="shared" si="86"/>
        <v/>
      </c>
      <c r="D69" s="928"/>
      <c r="E69" s="1992"/>
      <c r="F69" s="1992"/>
      <c r="G69" s="38">
        <v>27</v>
      </c>
      <c r="H69" s="1993"/>
      <c r="I69" s="1993"/>
      <c r="J69" s="1993"/>
      <c r="K69" s="1993"/>
      <c r="L69" s="1993"/>
      <c r="M69" s="1993"/>
      <c r="N69" s="1993"/>
      <c r="O69" s="1108"/>
      <c r="P69" s="1125" t="str">
        <f t="shared" si="0"/>
        <v/>
      </c>
      <c r="Q69" s="1994">
        <f t="shared" si="1"/>
        <v>0</v>
      </c>
      <c r="R69" s="1994"/>
      <c r="S69" s="1108"/>
      <c r="T69" s="1108"/>
      <c r="U69" s="1108"/>
      <c r="V69" s="1127" t="b">
        <f t="shared" si="2"/>
        <v>1</v>
      </c>
      <c r="W69" s="1995">
        <f t="shared" si="87"/>
        <v>0</v>
      </c>
      <c r="X69" s="1995"/>
      <c r="Y69" s="1202" t="e">
        <f t="shared" si="88"/>
        <v>#N/A</v>
      </c>
      <c r="Z69" s="1995">
        <f t="shared" si="3"/>
        <v>0</v>
      </c>
      <c r="AA69" s="1995"/>
      <c r="AB69" s="1202" t="e">
        <f t="shared" si="89"/>
        <v>#N/A</v>
      </c>
      <c r="AC69" s="1995">
        <f t="shared" si="4"/>
        <v>0</v>
      </c>
      <c r="AD69" s="1995"/>
      <c r="AE69" s="1201">
        <f>IFERROR(ROUND(SUM(S69:U69)*P69*W$39*AB$39*(1-AA55)/1000,0),0)</f>
        <v>0</v>
      </c>
      <c r="AF69" s="1097"/>
      <c r="AG69" s="1995">
        <f t="shared" si="90"/>
        <v>0</v>
      </c>
      <c r="AH69" s="1995"/>
      <c r="AI69" s="1095"/>
      <c r="AJ69" s="1996" t="str">
        <f t="shared" si="5"/>
        <v/>
      </c>
      <c r="AK69" s="1997"/>
      <c r="AL69" s="1997"/>
      <c r="AN69" s="38" t="b">
        <f t="shared" si="6"/>
        <v>0</v>
      </c>
      <c r="AO69" s="86">
        <f t="shared" si="91"/>
        <v>0</v>
      </c>
      <c r="AP69" s="1130" t="e">
        <f t="shared" si="7"/>
        <v>#DIV/0!</v>
      </c>
      <c r="AQ69" s="1205" t="e">
        <f t="shared" si="92"/>
        <v>#DIV/0!</v>
      </c>
      <c r="AR69" s="1205">
        <f t="shared" si="93"/>
        <v>0</v>
      </c>
      <c r="AS69" s="1205">
        <f t="shared" si="51"/>
        <v>0</v>
      </c>
      <c r="AT69" s="1205">
        <f t="shared" si="94"/>
        <v>0</v>
      </c>
      <c r="AU69" s="337" t="e">
        <f t="shared" si="95"/>
        <v>#DIV/0!</v>
      </c>
      <c r="AV69" s="337">
        <f t="shared" si="96"/>
        <v>0</v>
      </c>
      <c r="AW69" s="1130">
        <f t="shared" si="8"/>
        <v>0</v>
      </c>
      <c r="AX69" s="1172" t="e">
        <f t="shared" si="9"/>
        <v>#DIV/0!</v>
      </c>
      <c r="BA69" s="337">
        <f t="shared" si="52"/>
        <v>0</v>
      </c>
      <c r="BB69" s="337">
        <f t="shared" si="40"/>
        <v>0</v>
      </c>
      <c r="BC69" s="337">
        <f t="shared" si="41"/>
        <v>0</v>
      </c>
      <c r="BJ69" s="38" t="b">
        <f t="shared" si="10"/>
        <v>0</v>
      </c>
      <c r="BK69" s="86">
        <f>IF(AND(AN69=TRUE,BL69=1),O69*VLOOKUP(H69,Fixtures!DN$27:EG$76,19,FALSE),0)</f>
        <v>0</v>
      </c>
      <c r="BL69" s="86">
        <f t="shared" si="11"/>
        <v>0</v>
      </c>
      <c r="BM69" s="38" t="b">
        <f t="shared" si="12"/>
        <v>1</v>
      </c>
      <c r="BN69" s="86">
        <f t="shared" si="13"/>
        <v>0</v>
      </c>
      <c r="BO69" s="86">
        <f t="shared" si="14"/>
        <v>0</v>
      </c>
      <c r="BQ69" s="337">
        <f t="shared" si="15"/>
        <v>0</v>
      </c>
      <c r="BR69" s="337">
        <f t="shared" si="16"/>
        <v>0</v>
      </c>
      <c r="BS69" s="86">
        <f t="shared" si="17"/>
        <v>0</v>
      </c>
      <c r="BT69" s="86">
        <f t="shared" si="18"/>
        <v>0</v>
      </c>
      <c r="BU69" s="86">
        <f t="shared" si="19"/>
        <v>0</v>
      </c>
      <c r="BW69" s="38" t="str">
        <f>IF(H69="","",IFERROR(VLOOKUP(H69,Fixtures!EQ$93:EQ$142,1,FALSE),FALSE))</f>
        <v/>
      </c>
    </row>
    <row r="70" spans="2:75" ht="14.3" customHeight="1">
      <c r="B70" s="1182" t="str">
        <f t="shared" si="86"/>
        <v/>
      </c>
      <c r="D70" s="928"/>
      <c r="E70" s="1992"/>
      <c r="F70" s="1992"/>
      <c r="G70" s="38">
        <v>28</v>
      </c>
      <c r="H70" s="1993"/>
      <c r="I70" s="1993"/>
      <c r="J70" s="1993"/>
      <c r="K70" s="1993"/>
      <c r="L70" s="1993"/>
      <c r="M70" s="1993"/>
      <c r="N70" s="1993"/>
      <c r="O70" s="1108"/>
      <c r="P70" s="1125" t="str">
        <f t="shared" si="0"/>
        <v/>
      </c>
      <c r="Q70" s="1994">
        <f t="shared" si="1"/>
        <v>0</v>
      </c>
      <c r="R70" s="1994"/>
      <c r="S70" s="1108"/>
      <c r="T70" s="1108"/>
      <c r="U70" s="1108"/>
      <c r="V70" s="1127" t="b">
        <f t="shared" si="2"/>
        <v>1</v>
      </c>
      <c r="W70" s="1995">
        <f t="shared" si="87"/>
        <v>0</v>
      </c>
      <c r="X70" s="1995"/>
      <c r="Y70" s="1202" t="e">
        <f t="shared" si="88"/>
        <v>#N/A</v>
      </c>
      <c r="Z70" s="1995">
        <f t="shared" si="3"/>
        <v>0</v>
      </c>
      <c r="AA70" s="1995"/>
      <c r="AB70" s="1202" t="e">
        <f t="shared" si="89"/>
        <v>#N/A</v>
      </c>
      <c r="AC70" s="1995">
        <f t="shared" si="4"/>
        <v>0</v>
      </c>
      <c r="AD70" s="1995"/>
      <c r="AE70" s="1201">
        <f>IFERROR(ROUND(SUM(S70:U70)*P70*W$39*AB$39*(1-AA56)/1000,0),0)</f>
        <v>0</v>
      </c>
      <c r="AF70" s="1097"/>
      <c r="AG70" s="1995">
        <f t="shared" si="90"/>
        <v>0</v>
      </c>
      <c r="AH70" s="1995"/>
      <c r="AI70" s="1095"/>
      <c r="AJ70" s="1996" t="str">
        <f t="shared" si="5"/>
        <v/>
      </c>
      <c r="AK70" s="1997"/>
      <c r="AL70" s="1997"/>
      <c r="AN70" s="38" t="b">
        <f t="shared" si="6"/>
        <v>0</v>
      </c>
      <c r="AO70" s="86">
        <f t="shared" si="91"/>
        <v>0</v>
      </c>
      <c r="AP70" s="1130" t="e">
        <f t="shared" si="7"/>
        <v>#DIV/0!</v>
      </c>
      <c r="AQ70" s="1205" t="e">
        <f t="shared" si="92"/>
        <v>#DIV/0!</v>
      </c>
      <c r="AR70" s="1205">
        <f t="shared" si="93"/>
        <v>0</v>
      </c>
      <c r="AS70" s="1205">
        <f t="shared" si="51"/>
        <v>0</v>
      </c>
      <c r="AT70" s="1205">
        <f t="shared" si="94"/>
        <v>0</v>
      </c>
      <c r="AU70" s="337" t="e">
        <f t="shared" si="95"/>
        <v>#DIV/0!</v>
      </c>
      <c r="AV70" s="337">
        <f t="shared" si="96"/>
        <v>0</v>
      </c>
      <c r="AW70" s="1130">
        <f t="shared" si="8"/>
        <v>0</v>
      </c>
      <c r="AX70" s="1172" t="e">
        <f t="shared" si="9"/>
        <v>#DIV/0!</v>
      </c>
      <c r="BA70" s="337">
        <f t="shared" si="52"/>
        <v>0</v>
      </c>
      <c r="BB70" s="337">
        <f t="shared" si="40"/>
        <v>0</v>
      </c>
      <c r="BC70" s="337">
        <f t="shared" si="41"/>
        <v>0</v>
      </c>
      <c r="BJ70" s="38" t="b">
        <f t="shared" si="10"/>
        <v>0</v>
      </c>
      <c r="BK70" s="86">
        <f>IF(AND(AN70=TRUE,BL70=1),O70*VLOOKUP(H70,Fixtures!DN$27:EG$76,19,FALSE),0)</f>
        <v>0</v>
      </c>
      <c r="BL70" s="86">
        <f t="shared" si="11"/>
        <v>0</v>
      </c>
      <c r="BM70" s="38" t="b">
        <f t="shared" si="12"/>
        <v>1</v>
      </c>
      <c r="BN70" s="86">
        <f t="shared" si="13"/>
        <v>0</v>
      </c>
      <c r="BO70" s="86">
        <f t="shared" si="14"/>
        <v>0</v>
      </c>
      <c r="BQ70" s="337">
        <f t="shared" si="15"/>
        <v>0</v>
      </c>
      <c r="BR70" s="337">
        <f t="shared" si="16"/>
        <v>0</v>
      </c>
      <c r="BS70" s="86">
        <f t="shared" si="17"/>
        <v>0</v>
      </c>
      <c r="BT70" s="86">
        <f t="shared" si="18"/>
        <v>0</v>
      </c>
      <c r="BU70" s="86">
        <f t="shared" si="19"/>
        <v>0</v>
      </c>
      <c r="BW70" s="38" t="str">
        <f>IF(H70="","",IFERROR(VLOOKUP(H70,Fixtures!EQ$93:EQ$142,1,FALSE),FALSE))</f>
        <v/>
      </c>
    </row>
    <row r="71" spans="2:75" ht="14.3" customHeight="1">
      <c r="B71" s="1182" t="str">
        <f t="shared" si="86"/>
        <v/>
      </c>
      <c r="D71" s="928"/>
      <c r="E71" s="1992"/>
      <c r="F71" s="1992"/>
      <c r="G71" s="38">
        <v>29</v>
      </c>
      <c r="H71" s="1993"/>
      <c r="I71" s="1993"/>
      <c r="J71" s="1993"/>
      <c r="K71" s="1993"/>
      <c r="L71" s="1993"/>
      <c r="M71" s="1993"/>
      <c r="N71" s="1993"/>
      <c r="O71" s="1108"/>
      <c r="P71" s="1125" t="str">
        <f t="shared" si="0"/>
        <v/>
      </c>
      <c r="Q71" s="1994">
        <f t="shared" si="1"/>
        <v>0</v>
      </c>
      <c r="R71" s="1994"/>
      <c r="S71" s="1108"/>
      <c r="T71" s="1108"/>
      <c r="U71" s="1108"/>
      <c r="V71" s="1127" t="b">
        <f t="shared" si="2"/>
        <v>1</v>
      </c>
      <c r="W71" s="1995">
        <f t="shared" si="87"/>
        <v>0</v>
      </c>
      <c r="X71" s="1995"/>
      <c r="Y71" s="1202" t="e">
        <f t="shared" si="88"/>
        <v>#N/A</v>
      </c>
      <c r="Z71" s="1995">
        <f t="shared" si="3"/>
        <v>0</v>
      </c>
      <c r="AA71" s="1995"/>
      <c r="AB71" s="1202" t="e">
        <f t="shared" si="89"/>
        <v>#N/A</v>
      </c>
      <c r="AC71" s="1995">
        <f t="shared" si="4"/>
        <v>0</v>
      </c>
      <c r="AD71" s="1995"/>
      <c r="AE71" s="1201">
        <f>IFERROR(ROUND(SUM(S71:U71)*P71*W$39*AB$39*(1-AA57)/1000,0),0)</f>
        <v>0</v>
      </c>
      <c r="AF71" s="1097"/>
      <c r="AG71" s="1995">
        <f t="shared" si="90"/>
        <v>0</v>
      </c>
      <c r="AH71" s="1995"/>
      <c r="AI71" s="1095"/>
      <c r="AJ71" s="1996" t="str">
        <f t="shared" si="5"/>
        <v/>
      </c>
      <c r="AK71" s="1997"/>
      <c r="AL71" s="1997"/>
      <c r="AN71" s="38" t="b">
        <f t="shared" si="6"/>
        <v>0</v>
      </c>
      <c r="AO71" s="86">
        <f t="shared" si="91"/>
        <v>0</v>
      </c>
      <c r="AP71" s="1130" t="e">
        <f t="shared" si="7"/>
        <v>#DIV/0!</v>
      </c>
      <c r="AQ71" s="1205" t="e">
        <f t="shared" si="92"/>
        <v>#DIV/0!</v>
      </c>
      <c r="AR71" s="1205">
        <f t="shared" si="93"/>
        <v>0</v>
      </c>
      <c r="AS71" s="1205">
        <f t="shared" si="51"/>
        <v>0</v>
      </c>
      <c r="AT71" s="1205">
        <f t="shared" si="94"/>
        <v>0</v>
      </c>
      <c r="AU71" s="337" t="e">
        <f t="shared" si="95"/>
        <v>#DIV/0!</v>
      </c>
      <c r="AV71" s="337">
        <f t="shared" si="96"/>
        <v>0</v>
      </c>
      <c r="AW71" s="1130">
        <f t="shared" si="8"/>
        <v>0</v>
      </c>
      <c r="AX71" s="1172" t="e">
        <f t="shared" si="9"/>
        <v>#DIV/0!</v>
      </c>
      <c r="BA71" s="337">
        <f t="shared" si="52"/>
        <v>0</v>
      </c>
      <c r="BB71" s="337">
        <f t="shared" si="40"/>
        <v>0</v>
      </c>
      <c r="BC71" s="337">
        <f t="shared" si="41"/>
        <v>0</v>
      </c>
      <c r="BJ71" s="38" t="b">
        <f t="shared" si="10"/>
        <v>0</v>
      </c>
      <c r="BK71" s="86">
        <f>IF(AND(AN71=TRUE,BL71=1),O71*VLOOKUP(H71,Fixtures!DN$27:EG$76,19,FALSE),0)</f>
        <v>0</v>
      </c>
      <c r="BL71" s="86">
        <f t="shared" si="11"/>
        <v>0</v>
      </c>
      <c r="BM71" s="38" t="b">
        <f t="shared" si="12"/>
        <v>1</v>
      </c>
      <c r="BN71" s="86">
        <f t="shared" si="13"/>
        <v>0</v>
      </c>
      <c r="BO71" s="86">
        <f t="shared" si="14"/>
        <v>0</v>
      </c>
      <c r="BQ71" s="337">
        <f t="shared" si="15"/>
        <v>0</v>
      </c>
      <c r="BR71" s="337">
        <f t="shared" si="16"/>
        <v>0</v>
      </c>
      <c r="BS71" s="86">
        <f t="shared" si="17"/>
        <v>0</v>
      </c>
      <c r="BT71" s="86">
        <f t="shared" si="18"/>
        <v>0</v>
      </c>
      <c r="BU71" s="86">
        <f t="shared" si="19"/>
        <v>0</v>
      </c>
      <c r="BW71" s="38" t="str">
        <f>IF(H71="","",IFERROR(VLOOKUP(H71,Fixtures!EQ$93:EQ$142,1,FALSE),FALSE))</f>
        <v/>
      </c>
    </row>
    <row r="72" spans="2:75" ht="14.3" customHeight="1">
      <c r="B72" s="1182" t="str">
        <f t="shared" ref="B72" si="157">IF(BW72=FALSE,"Reselect fixture","")</f>
        <v/>
      </c>
      <c r="D72" s="928"/>
      <c r="E72" s="1992"/>
      <c r="F72" s="1992"/>
      <c r="G72" s="38">
        <v>30</v>
      </c>
      <c r="H72" s="1993"/>
      <c r="I72" s="1993"/>
      <c r="J72" s="1993"/>
      <c r="K72" s="1993"/>
      <c r="L72" s="1993"/>
      <c r="M72" s="1993"/>
      <c r="N72" s="1993"/>
      <c r="O72" s="1108"/>
      <c r="P72" s="1125" t="str">
        <f t="shared" ref="P72" si="158">IFERROR(VLOOKUP(H72,Fixtures_Proposed_List,2,FALSE),"")</f>
        <v/>
      </c>
      <c r="Q72" s="1994">
        <f t="shared" ref="Q72" si="159">IFERROR(IF(AN72=TRUE,0,O72*P72),0)</f>
        <v>0</v>
      </c>
      <c r="R72" s="1994"/>
      <c r="S72" s="1108"/>
      <c r="T72" s="1108"/>
      <c r="U72" s="1108"/>
      <c r="V72" s="1127" t="b">
        <f t="shared" ref="V72" si="160">IF(AND(AN72=TRUE,S72+T72+U72&gt;0),FALSE,IF(S72+T72+U72&gt;O72,FALSE,TRUE))</f>
        <v>1</v>
      </c>
      <c r="W72" s="1995">
        <f t="shared" si="87"/>
        <v>0</v>
      </c>
      <c r="X72" s="1995"/>
      <c r="Y72" s="1202" t="e">
        <f t="shared" ref="Y72" si="161">AA$39</f>
        <v>#N/A</v>
      </c>
      <c r="Z72" s="1995">
        <f t="shared" ref="Z72" si="162">IF(V72=FALSE,"ERROR!",IFERROR(IF(AN72=TRUE,0,BA72),0))</f>
        <v>0</v>
      </c>
      <c r="AA72" s="1995"/>
      <c r="AB72" s="1202" t="e">
        <f t="shared" si="89"/>
        <v>#N/A</v>
      </c>
      <c r="AC72" s="1995">
        <f t="shared" ref="AC72" si="163">IF(V72=FALSE,"ERROR!",IFERROR(IF(AN72=TRUE,0,BB72+BC72),0))</f>
        <v>0</v>
      </c>
      <c r="AD72" s="1995"/>
      <c r="AE72" s="1201">
        <f>IFERROR(ROUND(SUM(S72:U72)*P72*W$39*AB$39*(1-AA57)/1000,0),0)</f>
        <v>0</v>
      </c>
      <c r="AF72" s="1097"/>
      <c r="AG72" s="1995">
        <f t="shared" ref="AG72" si="164">IF(V72=FALSE,"ERROR!",Z72+AC72)</f>
        <v>0</v>
      </c>
      <c r="AH72" s="1995"/>
      <c r="AI72" s="1095"/>
      <c r="AJ72" s="1996" t="str">
        <f t="shared" ref="AJ72" si="165">IF(V72=FALSE,"Revise LLLC &amp; NLC qty!",IF(BM72=FALSE,"Enter TLED SF",""))</f>
        <v/>
      </c>
      <c r="AK72" s="1997"/>
      <c r="AL72" s="1997"/>
      <c r="AN72" s="38" t="b">
        <f t="shared" ref="AN72" si="166">IF(ISNUMBER(SEARCH("TLED",H72)),TRUE,FALSE)</f>
        <v>0</v>
      </c>
      <c r="AO72" s="86">
        <f t="shared" ref="AO72" si="167">IF(AN72=FALSE,O72,0)</f>
        <v>0</v>
      </c>
      <c r="AP72" s="1130" t="e">
        <f t="shared" si="7"/>
        <v>#DIV/0!</v>
      </c>
      <c r="AQ72" s="1205" t="e">
        <f t="shared" ref="AQ72" si="168">AE$39*AP72</f>
        <v>#DIV/0!</v>
      </c>
      <c r="AR72" s="1205">
        <f t="shared" ref="AR72" si="169">W72</f>
        <v>0</v>
      </c>
      <c r="AS72" s="1205">
        <f t="shared" si="51"/>
        <v>0</v>
      </c>
      <c r="AT72" s="1205">
        <f t="shared" ref="AT72" si="170">SUM(BA72:BC72)</f>
        <v>0</v>
      </c>
      <c r="AU72" s="337" t="e">
        <f t="shared" ref="AU72" si="171">AQ72-AT72</f>
        <v>#DIV/0!</v>
      </c>
      <c r="AV72" s="337">
        <f t="shared" ref="AV72" si="172">IF(SUM(S72:U72)&gt;0,AS72-AC72,0)</f>
        <v>0</v>
      </c>
      <c r="AW72" s="1130">
        <f t="shared" ref="AW72" si="173">IFERROR(SUM(S72:U72)/$O72,0)</f>
        <v>0</v>
      </c>
      <c r="AX72" s="1172" t="e">
        <f t="shared" ref="AX72" si="174">AU72*((AW72*AX$41)+AX$40)</f>
        <v>#DIV/0!</v>
      </c>
      <c r="BA72" s="337">
        <f t="shared" si="52"/>
        <v>0</v>
      </c>
      <c r="BB72" s="337">
        <f t="shared" si="40"/>
        <v>0</v>
      </c>
      <c r="BC72" s="337">
        <f t="shared" si="41"/>
        <v>0</v>
      </c>
      <c r="BJ72" s="38" t="b">
        <f t="shared" ref="BJ72" si="175">IF(AND(V72=FALSE,AN72=TRUE),TRUE,FALSE)</f>
        <v>0</v>
      </c>
      <c r="BK72" s="86">
        <f>IF(AND(AN72=TRUE,BL72=1),O72*VLOOKUP(H72,Fixtures!DN$27:EG$76,19,FALSE),0)</f>
        <v>0</v>
      </c>
      <c r="BL72" s="86">
        <f t="shared" ref="BL72" si="176">IF(E72="",0,1)</f>
        <v>0</v>
      </c>
      <c r="BM72" s="38" t="b">
        <f t="shared" ref="BM72" si="177">IF(AND(AN72=TRUE,BL72=0),FALSE,TRUE)</f>
        <v>1</v>
      </c>
      <c r="BN72" s="86">
        <f t="shared" ref="BN72" si="178">IF(H72="",0,1)</f>
        <v>0</v>
      </c>
      <c r="BO72" s="86">
        <f t="shared" ref="BO72" si="179">IF(O72="",0,1)</f>
        <v>0</v>
      </c>
      <c r="BQ72" s="337">
        <f t="shared" ref="BQ72" si="180">IF(AND(AN72=TRUE,BN72+BO72=2),E72,0)</f>
        <v>0</v>
      </c>
      <c r="BR72" s="337">
        <f t="shared" ref="BR72" si="181">IF(AN72=TRUE,ROUND((E72*W$39*X$39*AB$39)/1000,0),0)</f>
        <v>0</v>
      </c>
      <c r="BS72" s="86">
        <f t="shared" ref="BS72" si="182">IF(AN72=TRUE,ROUND((E72*W$39*X$39*(1-AA$39)*AB$39)/1000,0),0)</f>
        <v>0</v>
      </c>
      <c r="BT72" s="86">
        <f t="shared" ref="BT72" si="183">IF(BM72=FALSE,0,IF(AN72=TRUE,ROUND((O72*P72*AB$39*W$39)/1000,0),0))</f>
        <v>0</v>
      </c>
      <c r="BU72" s="86">
        <f t="shared" ref="BU72" si="184">IF(BM72=FALSE,0,IF(AN72=TRUE,ROUND((O72*P72*AB$39*W$39*(1-AA$39))/1000,0),0))</f>
        <v>0</v>
      </c>
      <c r="BW72" s="38" t="str">
        <f>IF(H72="","",IFERROR(VLOOKUP(H72,Fixtures!EQ$93:EQ$142,1,FALSE),FALSE))</f>
        <v/>
      </c>
    </row>
    <row r="73" spans="2:75" ht="14.3" customHeight="1">
      <c r="D73" s="928"/>
      <c r="E73" s="2008">
        <f>IF(AN73=0,0,SUM(E43:F72))</f>
        <v>0</v>
      </c>
      <c r="F73" s="2009"/>
      <c r="H73" s="1116"/>
      <c r="I73" s="1116"/>
      <c r="J73" s="1116"/>
      <c r="K73" s="1116"/>
      <c r="L73" s="1117"/>
      <c r="M73" s="1118"/>
      <c r="N73" s="86"/>
      <c r="O73" s="86"/>
      <c r="P73" s="86"/>
      <c r="Q73" s="542"/>
      <c r="S73" s="1132">
        <f>IF($V73&gt;0,0,SUM(S43:S72))</f>
        <v>0</v>
      </c>
      <c r="T73" s="1132">
        <f>SUM(T43:T72)</f>
        <v>0</v>
      </c>
      <c r="U73" s="1132">
        <f>SUM(U43:U72)</f>
        <v>0</v>
      </c>
      <c r="V73" s="1161">
        <f>COUNTIF(V43:V72,FALSE)</f>
        <v>0</v>
      </c>
      <c r="W73" s="2046">
        <f>ROUND(SUM(W43:X72),0)</f>
        <v>0</v>
      </c>
      <c r="X73" s="2047"/>
      <c r="Y73" s="1168"/>
      <c r="Z73" s="2046">
        <f>ROUND(SUM(Z43:AA72),0)</f>
        <v>0</v>
      </c>
      <c r="AA73" s="2047"/>
      <c r="AB73" s="1168"/>
      <c r="AC73" s="2046">
        <f>ROUND(SUM(AC43:AD72),0)</f>
        <v>0</v>
      </c>
      <c r="AD73" s="2047"/>
      <c r="AE73" s="1201">
        <f>SUM(AE43:AE72)</f>
        <v>0</v>
      </c>
      <c r="AF73" s="1206"/>
      <c r="AG73" s="2046">
        <f>ROUND(SUM(AG43:AH72),0)</f>
        <v>0</v>
      </c>
      <c r="AH73" s="2047"/>
      <c r="AI73" s="1095"/>
      <c r="AN73" s="695">
        <f>COUNTIF(AN43:AN72,TRUE)</f>
        <v>0</v>
      </c>
      <c r="AO73" s="691">
        <f>SUM(AO43:AO72)</f>
        <v>0</v>
      </c>
      <c r="AP73" s="691"/>
      <c r="AQ73" s="691" t="e">
        <f t="shared" ref="AQ73:AV73" si="185">ROUND(SUM(AQ43:AQ72),0)</f>
        <v>#DIV/0!</v>
      </c>
      <c r="AR73" s="691">
        <f t="shared" si="185"/>
        <v>0</v>
      </c>
      <c r="AS73" s="691">
        <f t="shared" si="185"/>
        <v>0</v>
      </c>
      <c r="AT73" s="691">
        <f t="shared" si="185"/>
        <v>0</v>
      </c>
      <c r="AU73" s="691" t="e">
        <f t="shared" si="185"/>
        <v>#DIV/0!</v>
      </c>
      <c r="AV73" s="691">
        <f t="shared" si="185"/>
        <v>0</v>
      </c>
      <c r="AX73" s="1173" t="e">
        <f>SUM(AX43:AX72)</f>
        <v>#DIV/0!</v>
      </c>
      <c r="BA73" s="691">
        <f>ROUND(SUM(BA43:BA72),0)</f>
        <v>0</v>
      </c>
      <c r="BB73" s="691">
        <f>ROUND(SUM(BB43:BB72),0)</f>
        <v>0</v>
      </c>
      <c r="BC73" s="691">
        <f>ROUND(SUM(BC43:BC72),0)</f>
        <v>0</v>
      </c>
      <c r="BJ73" s="86">
        <f>COUNTIF(BJ43:BJ72,TRUE)</f>
        <v>0</v>
      </c>
      <c r="BK73" s="86">
        <f>SUM(BK43:BK72)</f>
        <v>0</v>
      </c>
      <c r="BQ73" s="691">
        <f>SUM(BQ43:BQ72)</f>
        <v>0</v>
      </c>
      <c r="BR73" s="691">
        <f>SUM(BR43:BR72)</f>
        <v>0</v>
      </c>
      <c r="BS73" s="691">
        <f>SUM(BS43:BS72)</f>
        <v>0</v>
      </c>
      <c r="BT73" s="691">
        <f>SUM(BT43:BT72)</f>
        <v>0</v>
      </c>
      <c r="BU73" s="691">
        <f>SUM(BU43:BU72)</f>
        <v>0</v>
      </c>
    </row>
    <row r="74" spans="2:75" ht="14.3" customHeight="1">
      <c r="D74" s="928"/>
      <c r="H74" s="1116"/>
      <c r="I74" s="1116"/>
      <c r="J74" s="1116"/>
      <c r="K74" s="1116"/>
      <c r="L74" s="1117"/>
      <c r="M74" s="1118"/>
      <c r="N74" s="86"/>
      <c r="O74" s="86"/>
      <c r="P74" s="86"/>
      <c r="Q74" s="542"/>
      <c r="S74" s="542"/>
      <c r="T74" s="1124"/>
      <c r="AC74" s="1124"/>
      <c r="AI74" s="1095"/>
    </row>
    <row r="75" spans="2:75" ht="14.3" customHeight="1">
      <c r="D75" s="928"/>
      <c r="E75" s="1137"/>
      <c r="F75" s="1137"/>
      <c r="G75" s="1137"/>
      <c r="H75" s="1138"/>
      <c r="I75" s="1138"/>
      <c r="J75" s="1138"/>
      <c r="K75" s="1138"/>
      <c r="L75" s="1139"/>
      <c r="M75" s="1140"/>
      <c r="N75" s="1141"/>
      <c r="O75" s="1141"/>
      <c r="P75" s="1141"/>
      <c r="Q75" s="1142"/>
      <c r="R75" s="1137"/>
      <c r="S75" s="1142"/>
      <c r="T75" s="1143"/>
      <c r="U75" s="1137"/>
      <c r="V75" s="1137"/>
      <c r="W75" s="1137"/>
      <c r="X75" s="1137"/>
      <c r="Y75" s="1137"/>
      <c r="Z75" s="1137"/>
      <c r="AA75" s="1137"/>
      <c r="AB75" s="1137"/>
      <c r="AC75" s="1143"/>
      <c r="AD75" s="1137"/>
      <c r="AE75" s="1137"/>
      <c r="AF75" s="1137"/>
      <c r="AG75" s="1137"/>
      <c r="AH75" s="1137"/>
      <c r="AI75" s="1144"/>
      <c r="AO75" s="1213" t="s">
        <v>542</v>
      </c>
      <c r="AQ75" s="1166" t="s">
        <v>543</v>
      </c>
      <c r="AR75" s="1214" t="e">
        <f>ROUND((AP76*0.75)+(AT76*0.25),3)</f>
        <v>#N/A</v>
      </c>
    </row>
    <row r="76" spans="2:75" ht="14.3" customHeight="1">
      <c r="D76" s="928"/>
      <c r="G76" s="1134"/>
      <c r="H76" s="1134" t="s">
        <v>590</v>
      </c>
      <c r="I76" s="1116"/>
      <c r="J76" s="1116"/>
      <c r="K76" s="1116"/>
      <c r="L76" s="1117"/>
      <c r="M76" s="1118"/>
      <c r="N76" s="86"/>
      <c r="O76" s="86"/>
      <c r="P76" s="86"/>
      <c r="Q76" s="542"/>
      <c r="S76" s="542"/>
      <c r="T76" s="1124"/>
      <c r="W76" s="2000" t="s">
        <v>545</v>
      </c>
      <c r="X76" s="2000" t="s">
        <v>591</v>
      </c>
      <c r="Y76" s="2002" t="s">
        <v>547</v>
      </c>
      <c r="Z76" s="2003"/>
      <c r="AA76" s="2000" t="s">
        <v>548</v>
      </c>
      <c r="AB76" s="2035" t="s">
        <v>549</v>
      </c>
      <c r="AC76" s="2002" t="s">
        <v>550</v>
      </c>
      <c r="AD76" s="2003"/>
      <c r="AE76" s="2002" t="s">
        <v>551</v>
      </c>
      <c r="AF76" s="2003"/>
      <c r="AG76" s="2002" t="s">
        <v>552</v>
      </c>
      <c r="AH76" s="2003"/>
      <c r="AI76" s="1095"/>
      <c r="AO76" s="1166" t="s">
        <v>553</v>
      </c>
      <c r="AP76" s="1214" t="e">
        <f>VLOOKUP($H78,Table_LPA_Building_Area[],6,FALSE)</f>
        <v>#N/A</v>
      </c>
      <c r="AQ76" s="1166" t="s">
        <v>554</v>
      </c>
      <c r="AR76" s="1214" t="e">
        <f>VLOOKUP($H78,Table_LPA_Building_Area[],7,FALSE)*AB79</f>
        <v>#N/A</v>
      </c>
      <c r="AS76" s="1166" t="s">
        <v>555</v>
      </c>
      <c r="AT76" s="1214" t="e">
        <f>ROUND((AR76*AB79)+(AP76*(1-AB79)),3)</f>
        <v>#N/A</v>
      </c>
    </row>
    <row r="77" spans="2:75" ht="14.3" customHeight="1">
      <c r="D77" s="928"/>
      <c r="H77" s="2010" t="s">
        <v>128</v>
      </c>
      <c r="I77" s="2024"/>
      <c r="J77" s="2024"/>
      <c r="K77" s="2011"/>
      <c r="L77" s="2010" t="s">
        <v>556</v>
      </c>
      <c r="M77" s="2011"/>
      <c r="N77" s="2010" t="s">
        <v>557</v>
      </c>
      <c r="O77" s="2024"/>
      <c r="P77" s="2011"/>
      <c r="Q77" s="2033" t="s">
        <v>558</v>
      </c>
      <c r="R77" s="2034"/>
      <c r="S77" s="2010" t="s">
        <v>559</v>
      </c>
      <c r="T77" s="2011"/>
      <c r="W77" s="2001"/>
      <c r="X77" s="2001"/>
      <c r="Y77" s="2004"/>
      <c r="Z77" s="2005"/>
      <c r="AA77" s="2001"/>
      <c r="AB77" s="2036"/>
      <c r="AC77" s="2004"/>
      <c r="AD77" s="2005"/>
      <c r="AE77" s="2004"/>
      <c r="AF77" s="2005"/>
      <c r="AG77" s="2004"/>
      <c r="AH77" s="2005"/>
      <c r="AI77" s="1095"/>
      <c r="AO77" s="1166" t="s">
        <v>560</v>
      </c>
      <c r="AP77" s="1214">
        <v>0.1</v>
      </c>
      <c r="AQ77" s="1166" t="s">
        <v>561</v>
      </c>
      <c r="AR77" s="1214" t="e">
        <f>ROUND(((1-AT76)*AP77)+AT76,3)</f>
        <v>#N/A</v>
      </c>
      <c r="AS77" s="1166" t="s">
        <v>562</v>
      </c>
      <c r="AT77" s="1214" t="e">
        <f>ROUND(((1-AP76)*AP77)+AP76,3)</f>
        <v>#N/A</v>
      </c>
    </row>
    <row r="78" spans="2:75" ht="14.3" customHeight="1">
      <c r="D78" s="928"/>
      <c r="H78" s="2025"/>
      <c r="I78" s="2026"/>
      <c r="J78" s="2026"/>
      <c r="K78" s="2027"/>
      <c r="L78" s="2028"/>
      <c r="M78" s="2029"/>
      <c r="N78" s="2030"/>
      <c r="O78" s="2031"/>
      <c r="P78" s="2032"/>
      <c r="Q78" s="2012">
        <f>SUM(Q82:R111)</f>
        <v>0</v>
      </c>
      <c r="R78" s="2013"/>
      <c r="S78" s="2012">
        <f>L78-BQ112</f>
        <v>0</v>
      </c>
      <c r="T78" s="2013"/>
      <c r="W78" s="1098" t="str">
        <f>IFERROR(VLOOKUP(N78,Lookup!AA$3:AB$6,2,FALSE),"")</f>
        <v/>
      </c>
      <c r="X78" s="1098">
        <f>IFERROR(IF(__TI_NC=2,VLOOKUP(H78,_BAM,2,FALSE),VLOOKUP(H78,_BAM,3,FALSE)),0)</f>
        <v>0</v>
      </c>
      <c r="Y78" s="2006">
        <f>IFERROR(ROUND(S78*X78*L$35,0),0)</f>
        <v>0</v>
      </c>
      <c r="Z78" s="2007"/>
      <c r="AA78" s="1099" t="e">
        <f>AR75</f>
        <v>#N/A</v>
      </c>
      <c r="AB78" s="1100">
        <f>IFERROR(VLOOKUP(H78,Table_LPA_Building_Area[],5,FALSE),0)</f>
        <v>0</v>
      </c>
      <c r="AC78" s="2006">
        <f>IFERROR(ROUND(S78*W78*X78*L35*AB78/1000,0),0)</f>
        <v>0</v>
      </c>
      <c r="AD78" s="2007"/>
      <c r="AE78" s="2006">
        <f>IFERROR((S78*X78*W78*L35*AB78/1000)*(1-AA78),0)</f>
        <v>0</v>
      </c>
      <c r="AF78" s="2007"/>
      <c r="AG78" s="2006">
        <f>IF(H78="",0,IF(AG79=FALSE,"ERROR!",IFERROR(SUM(AG82:AH111),AE78)))</f>
        <v>0</v>
      </c>
      <c r="AH78" s="2076"/>
      <c r="AI78" s="1095"/>
      <c r="AK78" s="1130"/>
    </row>
    <row r="79" spans="2:75" ht="19.55" customHeight="1">
      <c r="D79" s="928"/>
      <c r="E79" s="2021" t="s">
        <v>563</v>
      </c>
      <c r="F79" s="2021"/>
      <c r="H79" s="1116"/>
      <c r="I79" s="1116"/>
      <c r="J79" s="1116"/>
      <c r="K79" s="1116"/>
      <c r="L79" s="1117"/>
      <c r="M79" s="1118"/>
      <c r="N79" s="86"/>
      <c r="O79" s="86"/>
      <c r="P79" s="86"/>
      <c r="Q79" s="2016">
        <f>ROUND(Q78/1000,2)</f>
        <v>0</v>
      </c>
      <c r="R79" s="2017"/>
      <c r="S79" s="2014" t="s">
        <v>564</v>
      </c>
      <c r="T79" s="2014" t="s">
        <v>565</v>
      </c>
      <c r="U79" s="2014" t="s">
        <v>408</v>
      </c>
      <c r="V79" s="1124"/>
      <c r="Y79" s="2043">
        <f>ROUND(Y78/1000,2)</f>
        <v>0</v>
      </c>
      <c r="Z79" s="2043"/>
      <c r="AA79" s="1133"/>
      <c r="AB79" s="1133">
        <f>IF(AB78&gt;Installations!IP14,ROUND(Installations!IP14/AB78,3),1)</f>
        <v>1</v>
      </c>
      <c r="AG79" s="2043" t="b">
        <f>IF(COUNTIF(V82:V111,FALSE)&gt;0,FALSE,TRUE)</f>
        <v>1</v>
      </c>
      <c r="AH79" s="2043"/>
      <c r="AI79" s="1095"/>
      <c r="AK79" s="1130"/>
      <c r="AX79" s="86">
        <f>Lookup!K5</f>
        <v>0.3</v>
      </c>
      <c r="AY79" s="38" t="s">
        <v>234</v>
      </c>
      <c r="BS79" s="38" t="s">
        <v>430</v>
      </c>
      <c r="BU79" s="38" t="s">
        <v>430</v>
      </c>
    </row>
    <row r="80" spans="2:75" ht="14.3" customHeight="1">
      <c r="D80" s="928"/>
      <c r="E80" s="2021"/>
      <c r="F80" s="2021"/>
      <c r="H80" s="1116"/>
      <c r="I80" s="1116"/>
      <c r="J80" s="1116"/>
      <c r="K80" s="1116"/>
      <c r="L80" s="1117"/>
      <c r="M80" s="1118"/>
      <c r="N80" s="86"/>
      <c r="O80" s="86"/>
      <c r="P80" s="86"/>
      <c r="Q80" s="542"/>
      <c r="S80" s="2014"/>
      <c r="T80" s="2014"/>
      <c r="U80" s="2014"/>
      <c r="V80" s="1124"/>
      <c r="AI80" s="1095"/>
      <c r="AJ80" s="2074" t="s">
        <v>571</v>
      </c>
      <c r="AK80" s="2075"/>
      <c r="AL80" s="2075"/>
      <c r="AR80" s="1171" t="s">
        <v>574</v>
      </c>
      <c r="AS80" s="1171" t="s">
        <v>360</v>
      </c>
      <c r="AT80" s="1171" t="s">
        <v>574</v>
      </c>
      <c r="AU80" s="1171" t="s">
        <v>566</v>
      </c>
      <c r="AV80" s="1171" t="s">
        <v>567</v>
      </c>
      <c r="AX80" s="86">
        <f>Lookup!K6</f>
        <v>0.2</v>
      </c>
      <c r="AY80" s="38" t="s">
        <v>575</v>
      </c>
      <c r="BA80" s="1171" t="s">
        <v>576</v>
      </c>
      <c r="BB80" s="1171" t="s">
        <v>385</v>
      </c>
      <c r="BC80" s="1171" t="s">
        <v>385</v>
      </c>
      <c r="BL80" s="1171" t="s">
        <v>577</v>
      </c>
      <c r="BM80" s="1171" t="s">
        <v>218</v>
      </c>
      <c r="BR80" s="38" t="s">
        <v>578</v>
      </c>
      <c r="BS80" s="38" t="s">
        <v>578</v>
      </c>
      <c r="BT80" s="86" t="s">
        <v>579</v>
      </c>
      <c r="BU80" s="86" t="s">
        <v>579</v>
      </c>
    </row>
    <row r="81" spans="2:75" ht="14.3" customHeight="1">
      <c r="D81" s="928"/>
      <c r="E81" s="2021"/>
      <c r="F81" s="2021"/>
      <c r="H81" s="37" t="s">
        <v>581</v>
      </c>
      <c r="O81" s="101" t="s">
        <v>239</v>
      </c>
      <c r="P81" s="101" t="s">
        <v>194</v>
      </c>
      <c r="Q81" s="2018" t="s">
        <v>558</v>
      </c>
      <c r="R81" s="2019"/>
      <c r="S81" s="2015"/>
      <c r="T81" s="2015"/>
      <c r="U81" s="2015"/>
      <c r="V81" s="1124"/>
      <c r="W81" s="1833" t="s">
        <v>568</v>
      </c>
      <c r="X81" s="1833"/>
      <c r="Y81" s="1167"/>
      <c r="Z81" s="1833" t="s">
        <v>569</v>
      </c>
      <c r="AA81" s="1833"/>
      <c r="AB81" s="1174" t="e">
        <f>ROUND((VLOOKUP($H78,Table_LPA_Building_Area[],8,FALSE)*AB79)+(VLOOKUP($H78,Table_LPA_Building_Area[],9,FALSE)*(1-AB79)),3)</f>
        <v>#N/A</v>
      </c>
      <c r="AC81" s="1833" t="s">
        <v>570</v>
      </c>
      <c r="AD81" s="1833"/>
      <c r="AE81" s="1097"/>
      <c r="AG81" s="1833" t="s">
        <v>592</v>
      </c>
      <c r="AH81" s="1833"/>
      <c r="AI81" s="1095"/>
      <c r="AN81" s="1171" t="s">
        <v>218</v>
      </c>
      <c r="AO81" s="1171" t="s">
        <v>239</v>
      </c>
      <c r="AP81" s="1171" t="s">
        <v>389</v>
      </c>
      <c r="AQ81" s="1171" t="s">
        <v>573</v>
      </c>
      <c r="AR81" s="101" t="s">
        <v>582</v>
      </c>
      <c r="AS81" s="101" t="s">
        <v>583</v>
      </c>
      <c r="AT81" s="101" t="s">
        <v>583</v>
      </c>
      <c r="AU81" s="1171" t="s">
        <v>463</v>
      </c>
      <c r="AV81" s="1171" t="s">
        <v>463</v>
      </c>
      <c r="BA81" s="1171" t="s">
        <v>567</v>
      </c>
      <c r="BB81" s="1171" t="s">
        <v>585</v>
      </c>
      <c r="BC81" s="1171" t="s">
        <v>586</v>
      </c>
      <c r="BJ81" s="175" t="s">
        <v>587</v>
      </c>
      <c r="BK81" s="175" t="s">
        <v>588</v>
      </c>
      <c r="BL81" s="1171" t="s">
        <v>589</v>
      </c>
      <c r="BM81" s="1171" t="s">
        <v>593</v>
      </c>
      <c r="BN81" s="86" t="s">
        <v>221</v>
      </c>
      <c r="BO81" s="86" t="s">
        <v>239</v>
      </c>
      <c r="BQ81" s="86" t="s">
        <v>577</v>
      </c>
      <c r="BR81" s="86" t="s">
        <v>343</v>
      </c>
      <c r="BS81" s="86" t="s">
        <v>343</v>
      </c>
      <c r="BT81" s="86" t="s">
        <v>343</v>
      </c>
      <c r="BU81" s="86" t="s">
        <v>343</v>
      </c>
    </row>
    <row r="82" spans="2:75" ht="14.3" customHeight="1">
      <c r="B82" s="1182" t="str">
        <f t="shared" ref="B82:B111" si="186">IF(BW82=FALSE,"Reselect fixture","")</f>
        <v/>
      </c>
      <c r="D82" s="928"/>
      <c r="E82" s="1992"/>
      <c r="F82" s="1992"/>
      <c r="G82" s="38">
        <v>1</v>
      </c>
      <c r="H82" s="1993"/>
      <c r="I82" s="1993"/>
      <c r="J82" s="1993"/>
      <c r="K82" s="1993"/>
      <c r="L82" s="1993"/>
      <c r="M82" s="1993"/>
      <c r="N82" s="1993"/>
      <c r="O82" s="1108"/>
      <c r="P82" s="1125" t="str">
        <f t="shared" ref="P82:P111" si="187">IFERROR(VLOOKUP(H82,Fixtures_Proposed_List,2,FALSE),"")</f>
        <v/>
      </c>
      <c r="Q82" s="1994">
        <f t="shared" ref="Q82:Q111" si="188">IFERROR(IF(AN82=TRUE,0,O82*P82),0)</f>
        <v>0</v>
      </c>
      <c r="R82" s="1994"/>
      <c r="S82" s="1108"/>
      <c r="T82" s="1108"/>
      <c r="U82" s="1108"/>
      <c r="V82" s="1127" t="b">
        <f t="shared" ref="V82:V111" si="189">IF(AND(AN82=TRUE,S82+T82+U82&gt;0),FALSE,IF(S82+T82+U82&gt;O82,FALSE,TRUE))</f>
        <v>1</v>
      </c>
      <c r="W82" s="1995">
        <f>IFERROR(Q82*W$78*AB$78/1000,0)</f>
        <v>0</v>
      </c>
      <c r="X82" s="1995"/>
      <c r="Y82" s="1174" t="e">
        <f>AA$78</f>
        <v>#N/A</v>
      </c>
      <c r="Z82" s="1995">
        <f t="shared" ref="Z82:Z111" si="190">IF(V82=FALSE,"ERROR!",IFERROR(IF(AN82=TRUE,0,BA82),0))</f>
        <v>0</v>
      </c>
      <c r="AA82" s="1995"/>
      <c r="AB82" s="1174" t="e">
        <f>AB$81</f>
        <v>#N/A</v>
      </c>
      <c r="AC82" s="1995">
        <f t="shared" ref="AC82:AC111" si="191">IF(V82=FALSE,"ERROR!",IFERROR(IF(AN82=TRUE,0,BB82+BC82),0))</f>
        <v>0</v>
      </c>
      <c r="AD82" s="1995"/>
      <c r="AE82" s="1201">
        <f>IFERROR(ROUND(SUM(S82:U82)*P82*W$78*AB$78*(1-AA78)/1000,0),0)</f>
        <v>0</v>
      </c>
      <c r="AG82" s="1995">
        <f t="shared" ref="AG82:AG102" si="192">IF(V82=FALSE,"ERROR!",Z82+AC82)</f>
        <v>0</v>
      </c>
      <c r="AH82" s="1995"/>
      <c r="AI82" s="1095"/>
      <c r="AJ82" s="1996" t="str">
        <f t="shared" ref="AJ82:AJ111" si="193">IF(V82=FALSE,"Revise LLLC &amp; NLC qty!",IF(BM82=FALSE,"Enter TLED SF",""))</f>
        <v/>
      </c>
      <c r="AK82" s="1997"/>
      <c r="AL82" s="1997"/>
      <c r="AN82" s="38" t="b">
        <f t="shared" ref="AN82:AN111" si="194">IF(ISNUMBER(SEARCH("TLED",H82)),TRUE,FALSE)</f>
        <v>0</v>
      </c>
      <c r="AO82" s="86">
        <f>IF(AN82=FALSE,O82,0)</f>
        <v>0</v>
      </c>
      <c r="AP82" s="1130" t="e">
        <f>AO82/AO$112</f>
        <v>#DIV/0!</v>
      </c>
      <c r="AQ82" s="1205" t="e">
        <f>AE$78*AP82</f>
        <v>#DIV/0!</v>
      </c>
      <c r="AR82" s="1205">
        <f>W82</f>
        <v>0</v>
      </c>
      <c r="AS82" s="1205">
        <f>IFERROR(ROUND(Q82*W$78*AB$78*(1-AR$75)/1000,0),0)</f>
        <v>0</v>
      </c>
      <c r="AT82" s="1205">
        <f>SUM(BA82:BC82)</f>
        <v>0</v>
      </c>
      <c r="AU82" s="337" t="e">
        <f t="shared" ref="AU82" si="195">AQ82-AT82</f>
        <v>#DIV/0!</v>
      </c>
      <c r="AV82" s="337">
        <f t="shared" ref="AV82" si="196">IF(SUM(S82:U82)&gt;0,AS82-AC82,0)</f>
        <v>0</v>
      </c>
      <c r="AW82" s="1130">
        <f t="shared" ref="AW82" si="197">IFERROR(SUM(S82:U82)/$O82,0)</f>
        <v>0</v>
      </c>
      <c r="AX82" s="1172">
        <f t="shared" ref="AX82" si="198">IFERROR(AU82*((AW82*AX$80)+AX$79),0)</f>
        <v>0</v>
      </c>
      <c r="AY82" s="1130"/>
      <c r="AZ82" s="1130"/>
      <c r="BA82" s="337">
        <f>IFERROR(IF(AN82=TRUE,0,ROUND(((O82-S82-T82-U82)*P82)*W$78*AB$78*(1-AR$75)/1000,0)),0)</f>
        <v>0</v>
      </c>
      <c r="BB82" s="337">
        <f>IFERROR(IF(AN82=TRUE,0,ROUND((((S82+U82)*P82)*W$78*AB$78*(1-AR$77)/1000),0)),0)</f>
        <v>0</v>
      </c>
      <c r="BC82" s="337">
        <f>IFERROR(IF(AN82=TRUE,0,ROUND(((T82*P82)*W$78*AB$78*(1-AT$77)/1000),0)),0)</f>
        <v>0</v>
      </c>
      <c r="BJ82" s="38" t="b">
        <f t="shared" ref="BJ82:BJ111" si="199">IF(AND(V82=FALSE,AN82=TRUE),TRUE,FALSE)</f>
        <v>0</v>
      </c>
      <c r="BK82" s="86">
        <f>IF(AND(AN82=TRUE,BL82=1),O82*VLOOKUP(H82,Fixtures!DN$27:EG$76,19,FALSE),0)</f>
        <v>0</v>
      </c>
      <c r="BL82" s="86">
        <f t="shared" ref="BL82:BL111" si="200">IF(E82="",0,1)</f>
        <v>0</v>
      </c>
      <c r="BM82" s="38" t="b">
        <f t="shared" ref="BM82:BM111" si="201">IF(AND(AN82=TRUE,BL82=0),FALSE,TRUE)</f>
        <v>1</v>
      </c>
      <c r="BN82" s="86">
        <f t="shared" ref="BN82:BN111" si="202">IF(H82="",0,1)</f>
        <v>0</v>
      </c>
      <c r="BO82" s="86">
        <f t="shared" ref="BO82:BO111" si="203">IF(O82="",0,1)</f>
        <v>0</v>
      </c>
      <c r="BQ82" s="337">
        <f t="shared" ref="BQ82:BQ111" si="204">IF(AND(AN82=TRUE,BN82+BO82=2),E82,0)</f>
        <v>0</v>
      </c>
      <c r="BR82" s="337">
        <f t="shared" ref="BR82:BR111" si="205">IFERROR(IF(AN82=TRUE,ROUND((E82*W$78*X$78*AB$78)/1000,0),0),0)</f>
        <v>0</v>
      </c>
      <c r="BS82" s="86">
        <f t="shared" ref="BS82:BS111" si="206">IFERROR(IF(AN82=TRUE,ROUND((E82*W$78*X$78*(1-AA$78)*AB$78)/1000,0),0),0)</f>
        <v>0</v>
      </c>
      <c r="BT82" s="86">
        <f t="shared" ref="BT82:BT111" si="207">IF(BM82=FALSE,0,IF(AN82=TRUE,ROUND((O82*P82*AB$78*W$78)/1000,0),0))</f>
        <v>0</v>
      </c>
      <c r="BU82" s="86">
        <f t="shared" ref="BU82:BU111" si="208">IF(BM82=FALSE,0,IF(AN82=TRUE,ROUND((O82*P82*AB$78*W$78*(1-AA$78))/1000,0),0))</f>
        <v>0</v>
      </c>
      <c r="BW82" s="38" t="str">
        <f>IF(H82="","",IFERROR(VLOOKUP(H82,Fixtures!EQ$93:EQ$142,1,FALSE),FALSE))</f>
        <v/>
      </c>
    </row>
    <row r="83" spans="2:75" ht="14.3" customHeight="1">
      <c r="B83" s="1182" t="str">
        <f t="shared" ref="B83:B84" si="209">IF(BW83=FALSE,"Reselect fixture","")</f>
        <v/>
      </c>
      <c r="D83" s="928"/>
      <c r="E83" s="1992"/>
      <c r="F83" s="1992"/>
      <c r="G83" s="38">
        <v>2</v>
      </c>
      <c r="H83" s="1993"/>
      <c r="I83" s="1993"/>
      <c r="J83" s="1993"/>
      <c r="K83" s="1993"/>
      <c r="L83" s="1993"/>
      <c r="M83" s="1993"/>
      <c r="N83" s="1993"/>
      <c r="O83" s="1108"/>
      <c r="P83" s="1125" t="str">
        <f t="shared" ref="P83:P84" si="210">IFERROR(VLOOKUP(H83,Fixtures_Proposed_List,2,FALSE),"")</f>
        <v/>
      </c>
      <c r="Q83" s="1994">
        <f t="shared" ref="Q83:Q84" si="211">IFERROR(IF(AN83=TRUE,0,O83*P83),0)</f>
        <v>0</v>
      </c>
      <c r="R83" s="1994"/>
      <c r="S83" s="1108"/>
      <c r="T83" s="1108"/>
      <c r="U83" s="1108"/>
      <c r="V83" s="1127" t="b">
        <f t="shared" ref="V83:V84" si="212">IF(AND(AN83=TRUE,S83+T83+U83&gt;0),FALSE,IF(S83+T83+U83&gt;O83,FALSE,TRUE))</f>
        <v>1</v>
      </c>
      <c r="W83" s="1995">
        <f t="shared" ref="W83:W84" si="213">IFERROR(Q83*W$78*AB$78/1000,0)</f>
        <v>0</v>
      </c>
      <c r="X83" s="1995"/>
      <c r="Y83" s="1174" t="e">
        <f t="shared" ref="Y83:Y84" si="214">AA$78</f>
        <v>#N/A</v>
      </c>
      <c r="Z83" s="1995">
        <f t="shared" ref="Z83:Z84" si="215">IF(V83=FALSE,"ERROR!",IFERROR(IF(AN83=TRUE,0,BA83),0))</f>
        <v>0</v>
      </c>
      <c r="AA83" s="1995"/>
      <c r="AB83" s="1174" t="e">
        <f t="shared" ref="AB83:AB93" si="216">AB$81</f>
        <v>#N/A</v>
      </c>
      <c r="AC83" s="1995">
        <f t="shared" ref="AC83:AC84" si="217">IF(V83=FALSE,"ERROR!",IFERROR(IF(AN83=TRUE,0,BB83+BC83),0))</f>
        <v>0</v>
      </c>
      <c r="AD83" s="1995"/>
      <c r="AE83" s="1201">
        <f t="shared" ref="AE83:AE88" si="218">IFERROR(ROUND(SUM(S83:U83)*P83*W$78*AB$78*(1-AA59)/1000,0),0)</f>
        <v>0</v>
      </c>
      <c r="AG83" s="1995">
        <f t="shared" si="192"/>
        <v>0</v>
      </c>
      <c r="AH83" s="1995"/>
      <c r="AI83" s="1095"/>
      <c r="AJ83" s="1996" t="str">
        <f t="shared" ref="AJ83:AJ84" si="219">IF(V83=FALSE,"Revise LLLC &amp; NLC qty!",IF(BM83=FALSE,"Enter TLED SF",""))</f>
        <v/>
      </c>
      <c r="AK83" s="1997"/>
      <c r="AL83" s="1997"/>
      <c r="AN83" s="38" t="b">
        <f t="shared" ref="AN83:AN84" si="220">IF(ISNUMBER(SEARCH("TLED",H83)),TRUE,FALSE)</f>
        <v>0</v>
      </c>
      <c r="AO83" s="86">
        <f t="shared" ref="AO83:AO84" si="221">IF(AN83=FALSE,O83,0)</f>
        <v>0</v>
      </c>
      <c r="AP83" s="1130" t="e">
        <f t="shared" ref="AP83:AP84" si="222">AO83/AO$112</f>
        <v>#DIV/0!</v>
      </c>
      <c r="AQ83" s="1205" t="e">
        <f t="shared" ref="AQ83:AQ84" si="223">AE$78*AP83</f>
        <v>#DIV/0!</v>
      </c>
      <c r="AR83" s="1205">
        <f t="shared" ref="AR83:AR84" si="224">W83</f>
        <v>0</v>
      </c>
      <c r="AS83" s="1205">
        <f t="shared" ref="AS83:AS111" si="225">IFERROR(ROUND(Q83*W$78*AB$78*(1-AR$75)/1000,0),0)</f>
        <v>0</v>
      </c>
      <c r="AT83" s="1205">
        <f t="shared" ref="AT83:AT111" si="226">SUM(BA83:BC83)</f>
        <v>0</v>
      </c>
      <c r="AU83" s="337" t="e">
        <f t="shared" ref="AU83:AU111" si="227">AQ83-AT83</f>
        <v>#DIV/0!</v>
      </c>
      <c r="AV83" s="337">
        <f t="shared" ref="AV83:AV111" si="228">IF(SUM(S83:U83)&gt;0,AS83-AC83,0)</f>
        <v>0</v>
      </c>
      <c r="AW83" s="1130">
        <f t="shared" ref="AW83:AW111" si="229">IFERROR(SUM(S83:U83)/$O83,0)</f>
        <v>0</v>
      </c>
      <c r="AX83" s="1172">
        <f t="shared" ref="AX83:AX111" si="230">IFERROR(AU83*((AW83*AX$80)+AX$79),0)</f>
        <v>0</v>
      </c>
      <c r="AY83" s="1130"/>
      <c r="AZ83" s="1130"/>
      <c r="BA83" s="337">
        <f t="shared" ref="BA83:BA111" si="231">IFERROR(IF(AN83=TRUE,0,ROUND(((O83-S83-T83-U83)*P83)*W$78*AB$78*(1-AR$75)/1000,0)),0)</f>
        <v>0</v>
      </c>
      <c r="BB83" s="337">
        <f t="shared" ref="BB83:BB111" si="232">IFERROR(IF(AN83=TRUE,0,ROUND((((S83+U83)*P83)*W$78*AB$78*(1-AR$77)/1000),0)),0)</f>
        <v>0</v>
      </c>
      <c r="BC83" s="337">
        <f t="shared" ref="BC83:BC111" si="233">IFERROR(IF(AN83=TRUE,0,ROUND(((T83*P83)*W$78*AB$78*(1-AT$77)/1000),0)),0)</f>
        <v>0</v>
      </c>
      <c r="BJ83" s="38" t="b">
        <f t="shared" ref="BJ83:BJ84" si="234">IF(AND(V83=FALSE,AN83=TRUE),TRUE,FALSE)</f>
        <v>0</v>
      </c>
      <c r="BK83" s="86">
        <f>IF(AND(AN83=TRUE,BL83=1),O83*VLOOKUP(H83,Fixtures!DN$27:EG$76,19,FALSE),0)</f>
        <v>0</v>
      </c>
      <c r="BL83" s="86">
        <f t="shared" ref="BL83:BL84" si="235">IF(E83="",0,1)</f>
        <v>0</v>
      </c>
      <c r="BM83" s="38" t="b">
        <f t="shared" ref="BM83:BM84" si="236">IF(AND(AN83=TRUE,BL83=0),FALSE,TRUE)</f>
        <v>1</v>
      </c>
      <c r="BN83" s="86">
        <f t="shared" ref="BN83:BN84" si="237">IF(H83="",0,1)</f>
        <v>0</v>
      </c>
      <c r="BO83" s="86">
        <f t="shared" ref="BO83:BO84" si="238">IF(O83="",0,1)</f>
        <v>0</v>
      </c>
      <c r="BQ83" s="337">
        <f t="shared" ref="BQ83:BQ84" si="239">IF(AND(AN83=TRUE,BN83+BO83=2),E83,0)</f>
        <v>0</v>
      </c>
      <c r="BR83" s="337">
        <f t="shared" ref="BR83:BR84" si="240">IFERROR(IF(AN83=TRUE,ROUND((E83*W$78*X$78*AB$78)/1000,0),0),0)</f>
        <v>0</v>
      </c>
      <c r="BS83" s="86">
        <f t="shared" ref="BS83:BS84" si="241">IFERROR(IF(AN83=TRUE,ROUND((E83*W$78*X$78*(1-AA$78)*AB$78)/1000,0),0),0)</f>
        <v>0</v>
      </c>
      <c r="BT83" s="86">
        <f t="shared" ref="BT83:BT84" si="242">IF(BM83=FALSE,0,IF(AN83=TRUE,ROUND((O83*P83*AB$78*W$78)/1000,0),0))</f>
        <v>0</v>
      </c>
      <c r="BU83" s="86">
        <f t="shared" ref="BU83:BU84" si="243">IF(BM83=FALSE,0,IF(AN83=TRUE,ROUND((O83*P83*AB$78*W$78*(1-AA$78))/1000,0),0))</f>
        <v>0</v>
      </c>
      <c r="BW83" s="38" t="str">
        <f>IF(H83="","",IFERROR(VLOOKUP(H83,Fixtures!EQ$93:EQ$142,1,FALSE),FALSE))</f>
        <v/>
      </c>
    </row>
    <row r="84" spans="2:75" ht="14.3" customHeight="1">
      <c r="B84" s="1182" t="str">
        <f t="shared" si="209"/>
        <v/>
      </c>
      <c r="D84" s="928"/>
      <c r="E84" s="1992"/>
      <c r="F84" s="1992"/>
      <c r="G84" s="38">
        <v>3</v>
      </c>
      <c r="H84" s="1993"/>
      <c r="I84" s="1993"/>
      <c r="J84" s="1993"/>
      <c r="K84" s="1993"/>
      <c r="L84" s="1993"/>
      <c r="M84" s="1993"/>
      <c r="N84" s="1993"/>
      <c r="O84" s="1108"/>
      <c r="P84" s="1125" t="str">
        <f t="shared" si="210"/>
        <v/>
      </c>
      <c r="Q84" s="1994">
        <f t="shared" si="211"/>
        <v>0</v>
      </c>
      <c r="R84" s="1994"/>
      <c r="S84" s="1108"/>
      <c r="T84" s="1108"/>
      <c r="U84" s="1108"/>
      <c r="V84" s="1127" t="b">
        <f t="shared" si="212"/>
        <v>1</v>
      </c>
      <c r="W84" s="1995">
        <f t="shared" si="213"/>
        <v>0</v>
      </c>
      <c r="X84" s="1995"/>
      <c r="Y84" s="1174" t="e">
        <f t="shared" si="214"/>
        <v>#N/A</v>
      </c>
      <c r="Z84" s="1995">
        <f t="shared" si="215"/>
        <v>0</v>
      </c>
      <c r="AA84" s="1995"/>
      <c r="AB84" s="1174" t="e">
        <f t="shared" si="216"/>
        <v>#N/A</v>
      </c>
      <c r="AC84" s="1995">
        <f t="shared" si="217"/>
        <v>0</v>
      </c>
      <c r="AD84" s="1995"/>
      <c r="AE84" s="1201">
        <f t="shared" si="218"/>
        <v>0</v>
      </c>
      <c r="AG84" s="1995">
        <f t="shared" si="192"/>
        <v>0</v>
      </c>
      <c r="AH84" s="1995"/>
      <c r="AI84" s="1095"/>
      <c r="AJ84" s="1996" t="str">
        <f t="shared" si="219"/>
        <v/>
      </c>
      <c r="AK84" s="1997"/>
      <c r="AL84" s="1997"/>
      <c r="AN84" s="38" t="b">
        <f t="shared" si="220"/>
        <v>0</v>
      </c>
      <c r="AO84" s="86">
        <f t="shared" si="221"/>
        <v>0</v>
      </c>
      <c r="AP84" s="1130" t="e">
        <f t="shared" si="222"/>
        <v>#DIV/0!</v>
      </c>
      <c r="AQ84" s="1205" t="e">
        <f t="shared" si="223"/>
        <v>#DIV/0!</v>
      </c>
      <c r="AR84" s="1205">
        <f t="shared" si="224"/>
        <v>0</v>
      </c>
      <c r="AS84" s="1205">
        <f t="shared" si="225"/>
        <v>0</v>
      </c>
      <c r="AT84" s="1205">
        <f t="shared" si="226"/>
        <v>0</v>
      </c>
      <c r="AU84" s="337" t="e">
        <f t="shared" si="227"/>
        <v>#DIV/0!</v>
      </c>
      <c r="AV84" s="337">
        <f t="shared" si="228"/>
        <v>0</v>
      </c>
      <c r="AW84" s="1130">
        <f t="shared" si="229"/>
        <v>0</v>
      </c>
      <c r="AX84" s="1172">
        <f t="shared" si="230"/>
        <v>0</v>
      </c>
      <c r="AY84" s="1130"/>
      <c r="AZ84" s="1130"/>
      <c r="BA84" s="337">
        <f t="shared" si="231"/>
        <v>0</v>
      </c>
      <c r="BB84" s="337">
        <f t="shared" si="232"/>
        <v>0</v>
      </c>
      <c r="BC84" s="337">
        <f t="shared" si="233"/>
        <v>0</v>
      </c>
      <c r="BJ84" s="38" t="b">
        <f t="shared" si="234"/>
        <v>0</v>
      </c>
      <c r="BK84" s="86">
        <f>IF(AND(AN84=TRUE,BL84=1),O84*VLOOKUP(H84,Fixtures!DN$27:EG$76,19,FALSE),0)</f>
        <v>0</v>
      </c>
      <c r="BL84" s="86">
        <f t="shared" si="235"/>
        <v>0</v>
      </c>
      <c r="BM84" s="38" t="b">
        <f t="shared" si="236"/>
        <v>1</v>
      </c>
      <c r="BN84" s="86">
        <f t="shared" si="237"/>
        <v>0</v>
      </c>
      <c r="BO84" s="86">
        <f t="shared" si="238"/>
        <v>0</v>
      </c>
      <c r="BQ84" s="337">
        <f t="shared" si="239"/>
        <v>0</v>
      </c>
      <c r="BR84" s="337">
        <f t="shared" si="240"/>
        <v>0</v>
      </c>
      <c r="BS84" s="86">
        <f t="shared" si="241"/>
        <v>0</v>
      </c>
      <c r="BT84" s="86">
        <f t="shared" si="242"/>
        <v>0</v>
      </c>
      <c r="BU84" s="86">
        <f t="shared" si="243"/>
        <v>0</v>
      </c>
      <c r="BW84" s="38" t="str">
        <f>IF(H84="","",IFERROR(VLOOKUP(H84,Fixtures!EQ$93:EQ$142,1,FALSE),FALSE))</f>
        <v/>
      </c>
    </row>
    <row r="85" spans="2:75" ht="14.3" customHeight="1">
      <c r="B85" s="1182" t="str">
        <f t="shared" si="186"/>
        <v/>
      </c>
      <c r="D85" s="928"/>
      <c r="E85" s="1992"/>
      <c r="F85" s="1992"/>
      <c r="G85" s="38">
        <v>4</v>
      </c>
      <c r="H85" s="1993"/>
      <c r="I85" s="1993"/>
      <c r="J85" s="1993"/>
      <c r="K85" s="1993"/>
      <c r="L85" s="1993"/>
      <c r="M85" s="1993"/>
      <c r="N85" s="1993"/>
      <c r="O85" s="1108"/>
      <c r="P85" s="1125" t="str">
        <f t="shared" si="187"/>
        <v/>
      </c>
      <c r="Q85" s="1994">
        <f t="shared" si="188"/>
        <v>0</v>
      </c>
      <c r="R85" s="1994"/>
      <c r="S85" s="1108"/>
      <c r="T85" s="1108"/>
      <c r="U85" s="1108"/>
      <c r="V85" s="1127" t="b">
        <f t="shared" si="189"/>
        <v>1</v>
      </c>
      <c r="W85" s="1995">
        <f t="shared" ref="W85:W93" si="244">IFERROR(Q85*W$78*AB$78/1000,0)</f>
        <v>0</v>
      </c>
      <c r="X85" s="1995"/>
      <c r="Y85" s="1174" t="e">
        <f t="shared" ref="Y85:Y93" si="245">AA$78</f>
        <v>#N/A</v>
      </c>
      <c r="Z85" s="1995">
        <f t="shared" si="190"/>
        <v>0</v>
      </c>
      <c r="AA85" s="1995"/>
      <c r="AB85" s="1174" t="e">
        <f t="shared" si="216"/>
        <v>#N/A</v>
      </c>
      <c r="AC85" s="1995">
        <f t="shared" si="191"/>
        <v>0</v>
      </c>
      <c r="AD85" s="1995"/>
      <c r="AE85" s="1201">
        <f t="shared" si="218"/>
        <v>0</v>
      </c>
      <c r="AG85" s="1995">
        <f t="shared" ref="AG85:AG93" si="246">IF(V85=FALSE,"ERROR!",Z85+AC85)</f>
        <v>0</v>
      </c>
      <c r="AH85" s="1995"/>
      <c r="AI85" s="1095"/>
      <c r="AJ85" s="1996" t="str">
        <f t="shared" si="193"/>
        <v/>
      </c>
      <c r="AK85" s="1997"/>
      <c r="AL85" s="1997"/>
      <c r="AN85" s="38" t="b">
        <f t="shared" si="194"/>
        <v>0</v>
      </c>
      <c r="AO85" s="86">
        <f t="shared" ref="AO85:AO93" si="247">IF(AN85=FALSE,O85,0)</f>
        <v>0</v>
      </c>
      <c r="AP85" s="1130" t="e">
        <f t="shared" ref="AP85:AP93" si="248">AO85/AO$112</f>
        <v>#DIV/0!</v>
      </c>
      <c r="AQ85" s="1205" t="e">
        <f t="shared" ref="AQ85:AQ93" si="249">AE$78*AP85</f>
        <v>#DIV/0!</v>
      </c>
      <c r="AR85" s="1205">
        <f t="shared" ref="AR85:AR93" si="250">W85</f>
        <v>0</v>
      </c>
      <c r="AS85" s="1205">
        <f t="shared" si="225"/>
        <v>0</v>
      </c>
      <c r="AT85" s="1205">
        <f t="shared" si="226"/>
        <v>0</v>
      </c>
      <c r="AU85" s="337" t="e">
        <f t="shared" si="227"/>
        <v>#DIV/0!</v>
      </c>
      <c r="AV85" s="337">
        <f t="shared" si="228"/>
        <v>0</v>
      </c>
      <c r="AW85" s="1130">
        <f t="shared" si="229"/>
        <v>0</v>
      </c>
      <c r="AX85" s="1172">
        <f t="shared" si="230"/>
        <v>0</v>
      </c>
      <c r="AY85" s="1130"/>
      <c r="AZ85" s="1130"/>
      <c r="BA85" s="337">
        <f t="shared" si="231"/>
        <v>0</v>
      </c>
      <c r="BB85" s="337">
        <f t="shared" si="232"/>
        <v>0</v>
      </c>
      <c r="BC85" s="337">
        <f t="shared" si="233"/>
        <v>0</v>
      </c>
      <c r="BJ85" s="38" t="b">
        <f t="shared" si="199"/>
        <v>0</v>
      </c>
      <c r="BK85" s="86">
        <f>IF(AND(AN85=TRUE,BL85=1),O85*VLOOKUP(H85,Fixtures!DN$27:EG$76,19,FALSE),0)</f>
        <v>0</v>
      </c>
      <c r="BL85" s="86">
        <f t="shared" si="200"/>
        <v>0</v>
      </c>
      <c r="BM85" s="38" t="b">
        <f t="shared" si="201"/>
        <v>1</v>
      </c>
      <c r="BN85" s="86">
        <f t="shared" si="202"/>
        <v>0</v>
      </c>
      <c r="BO85" s="86">
        <f t="shared" si="203"/>
        <v>0</v>
      </c>
      <c r="BQ85" s="337">
        <f t="shared" si="204"/>
        <v>0</v>
      </c>
      <c r="BR85" s="337">
        <f t="shared" si="205"/>
        <v>0</v>
      </c>
      <c r="BS85" s="86">
        <f t="shared" si="206"/>
        <v>0</v>
      </c>
      <c r="BT85" s="86">
        <f t="shared" si="207"/>
        <v>0</v>
      </c>
      <c r="BU85" s="86">
        <f t="shared" si="208"/>
        <v>0</v>
      </c>
      <c r="BW85" s="38" t="str">
        <f>IF(H85="","",IFERROR(VLOOKUP(H85,Fixtures!EQ$93:EQ$142,1,FALSE),FALSE))</f>
        <v/>
      </c>
    </row>
    <row r="86" spans="2:75" ht="14.3" customHeight="1">
      <c r="B86" s="1182" t="str">
        <f t="shared" si="186"/>
        <v/>
      </c>
      <c r="D86" s="928"/>
      <c r="E86" s="1992"/>
      <c r="F86" s="1992"/>
      <c r="G86" s="38">
        <v>5</v>
      </c>
      <c r="H86" s="1993"/>
      <c r="I86" s="1993"/>
      <c r="J86" s="1993"/>
      <c r="K86" s="1993"/>
      <c r="L86" s="1993"/>
      <c r="M86" s="1993"/>
      <c r="N86" s="1993"/>
      <c r="O86" s="1108"/>
      <c r="P86" s="1125" t="str">
        <f t="shared" si="187"/>
        <v/>
      </c>
      <c r="Q86" s="1994">
        <f t="shared" si="188"/>
        <v>0</v>
      </c>
      <c r="R86" s="1994"/>
      <c r="S86" s="1108"/>
      <c r="T86" s="1108"/>
      <c r="U86" s="1108"/>
      <c r="V86" s="1127" t="b">
        <f t="shared" si="189"/>
        <v>1</v>
      </c>
      <c r="W86" s="1995">
        <f t="shared" si="244"/>
        <v>0</v>
      </c>
      <c r="X86" s="1995"/>
      <c r="Y86" s="1174" t="e">
        <f t="shared" si="245"/>
        <v>#N/A</v>
      </c>
      <c r="Z86" s="1995">
        <f t="shared" si="190"/>
        <v>0</v>
      </c>
      <c r="AA86" s="1995"/>
      <c r="AB86" s="1174" t="e">
        <f t="shared" si="216"/>
        <v>#N/A</v>
      </c>
      <c r="AC86" s="1995">
        <f t="shared" si="191"/>
        <v>0</v>
      </c>
      <c r="AD86" s="1995"/>
      <c r="AE86" s="1201">
        <f t="shared" si="218"/>
        <v>0</v>
      </c>
      <c r="AG86" s="1995">
        <f t="shared" si="246"/>
        <v>0</v>
      </c>
      <c r="AH86" s="1995"/>
      <c r="AI86" s="1095"/>
      <c r="AJ86" s="1996" t="str">
        <f t="shared" si="193"/>
        <v/>
      </c>
      <c r="AK86" s="1997"/>
      <c r="AL86" s="1997"/>
      <c r="AN86" s="38" t="b">
        <f t="shared" si="194"/>
        <v>0</v>
      </c>
      <c r="AO86" s="86">
        <f t="shared" si="247"/>
        <v>0</v>
      </c>
      <c r="AP86" s="1130" t="e">
        <f t="shared" si="248"/>
        <v>#DIV/0!</v>
      </c>
      <c r="AQ86" s="1205" t="e">
        <f t="shared" si="249"/>
        <v>#DIV/0!</v>
      </c>
      <c r="AR86" s="1205">
        <f t="shared" si="250"/>
        <v>0</v>
      </c>
      <c r="AS86" s="1205">
        <f t="shared" si="225"/>
        <v>0</v>
      </c>
      <c r="AT86" s="1205">
        <f t="shared" si="226"/>
        <v>0</v>
      </c>
      <c r="AU86" s="337" t="e">
        <f t="shared" si="227"/>
        <v>#DIV/0!</v>
      </c>
      <c r="AV86" s="337">
        <f t="shared" si="228"/>
        <v>0</v>
      </c>
      <c r="AW86" s="1130">
        <f t="shared" si="229"/>
        <v>0</v>
      </c>
      <c r="AX86" s="1172">
        <f t="shared" si="230"/>
        <v>0</v>
      </c>
      <c r="AY86" s="1130"/>
      <c r="AZ86" s="1130"/>
      <c r="BA86" s="337">
        <f t="shared" si="231"/>
        <v>0</v>
      </c>
      <c r="BB86" s="337">
        <f t="shared" si="232"/>
        <v>0</v>
      </c>
      <c r="BC86" s="337">
        <f t="shared" si="233"/>
        <v>0</v>
      </c>
      <c r="BJ86" s="38" t="b">
        <f t="shared" si="199"/>
        <v>0</v>
      </c>
      <c r="BK86" s="86">
        <f>IF(AND(AN86=TRUE,BL86=1),O86*VLOOKUP(H86,Fixtures!DN$27:EG$76,19,FALSE),0)</f>
        <v>0</v>
      </c>
      <c r="BL86" s="86">
        <f t="shared" si="200"/>
        <v>0</v>
      </c>
      <c r="BM86" s="38" t="b">
        <f t="shared" si="201"/>
        <v>1</v>
      </c>
      <c r="BN86" s="86">
        <f t="shared" si="202"/>
        <v>0</v>
      </c>
      <c r="BO86" s="86">
        <f t="shared" si="203"/>
        <v>0</v>
      </c>
      <c r="BQ86" s="337">
        <f t="shared" si="204"/>
        <v>0</v>
      </c>
      <c r="BR86" s="337">
        <f t="shared" si="205"/>
        <v>0</v>
      </c>
      <c r="BS86" s="86">
        <f t="shared" si="206"/>
        <v>0</v>
      </c>
      <c r="BT86" s="86">
        <f t="shared" si="207"/>
        <v>0</v>
      </c>
      <c r="BU86" s="86">
        <f t="shared" si="208"/>
        <v>0</v>
      </c>
      <c r="BW86" s="38" t="str">
        <f>IF(H86="","",IFERROR(VLOOKUP(H86,Fixtures!EQ$93:EQ$142,1,FALSE),FALSE))</f>
        <v/>
      </c>
    </row>
    <row r="87" spans="2:75" ht="14.3" customHeight="1">
      <c r="B87" s="1182" t="str">
        <f t="shared" si="186"/>
        <v/>
      </c>
      <c r="D87" s="928"/>
      <c r="E87" s="1992"/>
      <c r="F87" s="1992"/>
      <c r="G87" s="38">
        <v>6</v>
      </c>
      <c r="H87" s="1993"/>
      <c r="I87" s="1993"/>
      <c r="J87" s="1993"/>
      <c r="K87" s="1993"/>
      <c r="L87" s="1993"/>
      <c r="M87" s="1993"/>
      <c r="N87" s="1993"/>
      <c r="O87" s="1108"/>
      <c r="P87" s="1125" t="str">
        <f t="shared" si="187"/>
        <v/>
      </c>
      <c r="Q87" s="1994">
        <f t="shared" si="188"/>
        <v>0</v>
      </c>
      <c r="R87" s="1994"/>
      <c r="S87" s="1108"/>
      <c r="T87" s="1108"/>
      <c r="U87" s="1108"/>
      <c r="V87" s="1127" t="b">
        <f t="shared" si="189"/>
        <v>1</v>
      </c>
      <c r="W87" s="1995">
        <f t="shared" si="244"/>
        <v>0</v>
      </c>
      <c r="X87" s="1995"/>
      <c r="Y87" s="1174" t="e">
        <f t="shared" si="245"/>
        <v>#N/A</v>
      </c>
      <c r="Z87" s="1995">
        <f t="shared" si="190"/>
        <v>0</v>
      </c>
      <c r="AA87" s="1995"/>
      <c r="AB87" s="1174" t="e">
        <f t="shared" si="216"/>
        <v>#N/A</v>
      </c>
      <c r="AC87" s="1995">
        <f t="shared" si="191"/>
        <v>0</v>
      </c>
      <c r="AD87" s="1995"/>
      <c r="AE87" s="1201">
        <f t="shared" si="218"/>
        <v>0</v>
      </c>
      <c r="AG87" s="1995">
        <f t="shared" si="246"/>
        <v>0</v>
      </c>
      <c r="AH87" s="1995"/>
      <c r="AI87" s="1095"/>
      <c r="AJ87" s="1996" t="str">
        <f t="shared" si="193"/>
        <v/>
      </c>
      <c r="AK87" s="1997"/>
      <c r="AL87" s="1997"/>
      <c r="AN87" s="38" t="b">
        <f t="shared" si="194"/>
        <v>0</v>
      </c>
      <c r="AO87" s="86">
        <f t="shared" si="247"/>
        <v>0</v>
      </c>
      <c r="AP87" s="1130" t="e">
        <f t="shared" si="248"/>
        <v>#DIV/0!</v>
      </c>
      <c r="AQ87" s="1205" t="e">
        <f t="shared" si="249"/>
        <v>#DIV/0!</v>
      </c>
      <c r="AR87" s="1205">
        <f t="shared" si="250"/>
        <v>0</v>
      </c>
      <c r="AS87" s="1205">
        <f t="shared" si="225"/>
        <v>0</v>
      </c>
      <c r="AT87" s="1205">
        <f t="shared" si="226"/>
        <v>0</v>
      </c>
      <c r="AU87" s="337" t="e">
        <f t="shared" si="227"/>
        <v>#DIV/0!</v>
      </c>
      <c r="AV87" s="337">
        <f t="shared" si="228"/>
        <v>0</v>
      </c>
      <c r="AW87" s="1130">
        <f t="shared" si="229"/>
        <v>0</v>
      </c>
      <c r="AX87" s="1172">
        <f t="shared" si="230"/>
        <v>0</v>
      </c>
      <c r="AY87" s="1130"/>
      <c r="AZ87" s="1130"/>
      <c r="BA87" s="337">
        <f t="shared" si="231"/>
        <v>0</v>
      </c>
      <c r="BB87" s="337">
        <f t="shared" si="232"/>
        <v>0</v>
      </c>
      <c r="BC87" s="337">
        <f t="shared" si="233"/>
        <v>0</v>
      </c>
      <c r="BJ87" s="38" t="b">
        <f t="shared" si="199"/>
        <v>0</v>
      </c>
      <c r="BK87" s="86">
        <f>IF(AND(AN87=TRUE,BL87=1),O87*VLOOKUP(H87,Fixtures!DN$27:EG$76,19,FALSE),0)</f>
        <v>0</v>
      </c>
      <c r="BL87" s="86">
        <f t="shared" si="200"/>
        <v>0</v>
      </c>
      <c r="BM87" s="38" t="b">
        <f t="shared" si="201"/>
        <v>1</v>
      </c>
      <c r="BN87" s="86">
        <f t="shared" si="202"/>
        <v>0</v>
      </c>
      <c r="BO87" s="86">
        <f t="shared" si="203"/>
        <v>0</v>
      </c>
      <c r="BQ87" s="337">
        <f t="shared" si="204"/>
        <v>0</v>
      </c>
      <c r="BR87" s="337">
        <f t="shared" si="205"/>
        <v>0</v>
      </c>
      <c r="BS87" s="86">
        <f t="shared" si="206"/>
        <v>0</v>
      </c>
      <c r="BT87" s="86">
        <f t="shared" si="207"/>
        <v>0</v>
      </c>
      <c r="BU87" s="86">
        <f t="shared" si="208"/>
        <v>0</v>
      </c>
      <c r="BW87" s="38" t="str">
        <f>IF(H87="","",IFERROR(VLOOKUP(H87,Fixtures!EQ$93:EQ$142,1,FALSE),FALSE))</f>
        <v/>
      </c>
    </row>
    <row r="88" spans="2:75" ht="14.3" customHeight="1">
      <c r="B88" s="1182" t="str">
        <f t="shared" si="186"/>
        <v/>
      </c>
      <c r="D88" s="928"/>
      <c r="E88" s="1992"/>
      <c r="F88" s="1992"/>
      <c r="G88" s="38">
        <v>7</v>
      </c>
      <c r="H88" s="1993"/>
      <c r="I88" s="1993"/>
      <c r="J88" s="1993"/>
      <c r="K88" s="1993"/>
      <c r="L88" s="1993"/>
      <c r="M88" s="1993"/>
      <c r="N88" s="1993"/>
      <c r="O88" s="1108"/>
      <c r="P88" s="1125" t="str">
        <f t="shared" si="187"/>
        <v/>
      </c>
      <c r="Q88" s="1994">
        <f t="shared" si="188"/>
        <v>0</v>
      </c>
      <c r="R88" s="1994"/>
      <c r="S88" s="1108"/>
      <c r="T88" s="1108"/>
      <c r="U88" s="1108"/>
      <c r="V88" s="1127" t="b">
        <f t="shared" si="189"/>
        <v>1</v>
      </c>
      <c r="W88" s="1995">
        <f t="shared" si="244"/>
        <v>0</v>
      </c>
      <c r="X88" s="1995"/>
      <c r="Y88" s="1174" t="e">
        <f t="shared" si="245"/>
        <v>#N/A</v>
      </c>
      <c r="Z88" s="1995">
        <f t="shared" si="190"/>
        <v>0</v>
      </c>
      <c r="AA88" s="1995"/>
      <c r="AB88" s="1174" t="e">
        <f t="shared" si="216"/>
        <v>#N/A</v>
      </c>
      <c r="AC88" s="1995">
        <f t="shared" si="191"/>
        <v>0</v>
      </c>
      <c r="AD88" s="1995"/>
      <c r="AE88" s="1201">
        <f t="shared" si="218"/>
        <v>0</v>
      </c>
      <c r="AG88" s="1995">
        <f t="shared" si="246"/>
        <v>0</v>
      </c>
      <c r="AH88" s="1995"/>
      <c r="AI88" s="1095"/>
      <c r="AJ88" s="1996" t="str">
        <f t="shared" si="193"/>
        <v/>
      </c>
      <c r="AK88" s="1997"/>
      <c r="AL88" s="1997"/>
      <c r="AN88" s="38" t="b">
        <f t="shared" si="194"/>
        <v>0</v>
      </c>
      <c r="AO88" s="86">
        <f t="shared" si="247"/>
        <v>0</v>
      </c>
      <c r="AP88" s="1130" t="e">
        <f t="shared" si="248"/>
        <v>#DIV/0!</v>
      </c>
      <c r="AQ88" s="1205" t="e">
        <f t="shared" si="249"/>
        <v>#DIV/0!</v>
      </c>
      <c r="AR88" s="1205">
        <f t="shared" si="250"/>
        <v>0</v>
      </c>
      <c r="AS88" s="1205">
        <f t="shared" si="225"/>
        <v>0</v>
      </c>
      <c r="AT88" s="1205">
        <f t="shared" si="226"/>
        <v>0</v>
      </c>
      <c r="AU88" s="337" t="e">
        <f t="shared" si="227"/>
        <v>#DIV/0!</v>
      </c>
      <c r="AV88" s="337">
        <f t="shared" si="228"/>
        <v>0</v>
      </c>
      <c r="AW88" s="1130">
        <f t="shared" si="229"/>
        <v>0</v>
      </c>
      <c r="AX88" s="1172">
        <f t="shared" si="230"/>
        <v>0</v>
      </c>
      <c r="AY88" s="1130"/>
      <c r="AZ88" s="1130"/>
      <c r="BA88" s="337">
        <f t="shared" si="231"/>
        <v>0</v>
      </c>
      <c r="BB88" s="337">
        <f t="shared" si="232"/>
        <v>0</v>
      </c>
      <c r="BC88" s="337">
        <f t="shared" si="233"/>
        <v>0</v>
      </c>
      <c r="BJ88" s="38" t="b">
        <f t="shared" si="199"/>
        <v>0</v>
      </c>
      <c r="BK88" s="86">
        <f>IF(AND(AN88=TRUE,BL88=1),O88*VLOOKUP(H88,Fixtures!DN$27:EG$76,19,FALSE),0)</f>
        <v>0</v>
      </c>
      <c r="BL88" s="86">
        <f t="shared" si="200"/>
        <v>0</v>
      </c>
      <c r="BM88" s="38" t="b">
        <f t="shared" si="201"/>
        <v>1</v>
      </c>
      <c r="BN88" s="86">
        <f t="shared" si="202"/>
        <v>0</v>
      </c>
      <c r="BO88" s="86">
        <f t="shared" si="203"/>
        <v>0</v>
      </c>
      <c r="BQ88" s="337">
        <f t="shared" si="204"/>
        <v>0</v>
      </c>
      <c r="BR88" s="337">
        <f t="shared" si="205"/>
        <v>0</v>
      </c>
      <c r="BS88" s="86">
        <f t="shared" si="206"/>
        <v>0</v>
      </c>
      <c r="BT88" s="86">
        <f t="shared" si="207"/>
        <v>0</v>
      </c>
      <c r="BU88" s="86">
        <f t="shared" si="208"/>
        <v>0</v>
      </c>
      <c r="BW88" s="38" t="str">
        <f>IF(H88="","",IFERROR(VLOOKUP(H88,Fixtures!EQ$93:EQ$142,1,FALSE),FALSE))</f>
        <v/>
      </c>
    </row>
    <row r="89" spans="2:75" ht="14.3" customHeight="1">
      <c r="B89" s="1182" t="str">
        <f t="shared" si="186"/>
        <v/>
      </c>
      <c r="D89" s="928"/>
      <c r="E89" s="1992"/>
      <c r="F89" s="1992"/>
      <c r="G89" s="38">
        <v>8</v>
      </c>
      <c r="H89" s="1993"/>
      <c r="I89" s="1993"/>
      <c r="J89" s="1993"/>
      <c r="K89" s="1993"/>
      <c r="L89" s="1993"/>
      <c r="M89" s="1993"/>
      <c r="N89" s="1993"/>
      <c r="O89" s="1108"/>
      <c r="P89" s="1125" t="str">
        <f t="shared" si="187"/>
        <v/>
      </c>
      <c r="Q89" s="1994">
        <f t="shared" si="188"/>
        <v>0</v>
      </c>
      <c r="R89" s="1994"/>
      <c r="S89" s="1108"/>
      <c r="T89" s="1108"/>
      <c r="U89" s="1108"/>
      <c r="V89" s="1127" t="b">
        <f t="shared" si="189"/>
        <v>1</v>
      </c>
      <c r="W89" s="1995">
        <f t="shared" si="244"/>
        <v>0</v>
      </c>
      <c r="X89" s="1995"/>
      <c r="Y89" s="1174" t="e">
        <f t="shared" si="245"/>
        <v>#N/A</v>
      </c>
      <c r="Z89" s="1995">
        <f t="shared" si="190"/>
        <v>0</v>
      </c>
      <c r="AA89" s="1995"/>
      <c r="AB89" s="1174" t="e">
        <f t="shared" si="216"/>
        <v>#N/A</v>
      </c>
      <c r="AC89" s="1995">
        <f t="shared" si="191"/>
        <v>0</v>
      </c>
      <c r="AD89" s="1995"/>
      <c r="AE89" s="1201">
        <f t="shared" ref="AE89:AE93" si="251">IFERROR(ROUND(SUM(S89:U89)*P89*W$78*AB$78*(1-AA85)/1000,0),0)</f>
        <v>0</v>
      </c>
      <c r="AG89" s="1995">
        <f t="shared" si="246"/>
        <v>0</v>
      </c>
      <c r="AH89" s="1995"/>
      <c r="AI89" s="1095"/>
      <c r="AJ89" s="1996" t="str">
        <f t="shared" si="193"/>
        <v/>
      </c>
      <c r="AK89" s="1997"/>
      <c r="AL89" s="1997"/>
      <c r="AN89" s="38" t="b">
        <f t="shared" si="194"/>
        <v>0</v>
      </c>
      <c r="AO89" s="86">
        <f t="shared" si="247"/>
        <v>0</v>
      </c>
      <c r="AP89" s="1130" t="e">
        <f t="shared" si="248"/>
        <v>#DIV/0!</v>
      </c>
      <c r="AQ89" s="1205" t="e">
        <f t="shared" si="249"/>
        <v>#DIV/0!</v>
      </c>
      <c r="AR89" s="1205">
        <f t="shared" si="250"/>
        <v>0</v>
      </c>
      <c r="AS89" s="1205">
        <f t="shared" si="225"/>
        <v>0</v>
      </c>
      <c r="AT89" s="1205">
        <f t="shared" si="226"/>
        <v>0</v>
      </c>
      <c r="AU89" s="337" t="e">
        <f t="shared" si="227"/>
        <v>#DIV/0!</v>
      </c>
      <c r="AV89" s="337">
        <f t="shared" si="228"/>
        <v>0</v>
      </c>
      <c r="AW89" s="1130">
        <f t="shared" si="229"/>
        <v>0</v>
      </c>
      <c r="AX89" s="1172">
        <f t="shared" si="230"/>
        <v>0</v>
      </c>
      <c r="AY89" s="1130"/>
      <c r="AZ89" s="1130"/>
      <c r="BA89" s="337">
        <f t="shared" si="231"/>
        <v>0</v>
      </c>
      <c r="BB89" s="337">
        <f t="shared" si="232"/>
        <v>0</v>
      </c>
      <c r="BC89" s="337">
        <f t="shared" si="233"/>
        <v>0</v>
      </c>
      <c r="BJ89" s="38" t="b">
        <f t="shared" si="199"/>
        <v>0</v>
      </c>
      <c r="BK89" s="86">
        <f>IF(AND(AN89=TRUE,BL89=1),O89*VLOOKUP(H89,Fixtures!DN$27:EG$76,19,FALSE),0)</f>
        <v>0</v>
      </c>
      <c r="BL89" s="86">
        <f t="shared" si="200"/>
        <v>0</v>
      </c>
      <c r="BM89" s="38" t="b">
        <f t="shared" si="201"/>
        <v>1</v>
      </c>
      <c r="BN89" s="86">
        <f t="shared" si="202"/>
        <v>0</v>
      </c>
      <c r="BO89" s="86">
        <f t="shared" si="203"/>
        <v>0</v>
      </c>
      <c r="BQ89" s="337">
        <f t="shared" si="204"/>
        <v>0</v>
      </c>
      <c r="BR89" s="337">
        <f t="shared" si="205"/>
        <v>0</v>
      </c>
      <c r="BS89" s="86">
        <f t="shared" si="206"/>
        <v>0</v>
      </c>
      <c r="BT89" s="86">
        <f t="shared" si="207"/>
        <v>0</v>
      </c>
      <c r="BU89" s="86">
        <f t="shared" si="208"/>
        <v>0</v>
      </c>
      <c r="BW89" s="38" t="str">
        <f>IF(H89="","",IFERROR(VLOOKUP(H89,Fixtures!EQ$93:EQ$142,1,FALSE),FALSE))</f>
        <v/>
      </c>
    </row>
    <row r="90" spans="2:75" ht="14.3" customHeight="1">
      <c r="B90" s="1182" t="str">
        <f t="shared" si="186"/>
        <v/>
      </c>
      <c r="D90" s="928"/>
      <c r="E90" s="1992"/>
      <c r="F90" s="1992"/>
      <c r="G90" s="38">
        <v>9</v>
      </c>
      <c r="H90" s="1993"/>
      <c r="I90" s="1993"/>
      <c r="J90" s="1993"/>
      <c r="K90" s="1993"/>
      <c r="L90" s="1993"/>
      <c r="M90" s="1993"/>
      <c r="N90" s="1993"/>
      <c r="O90" s="1108"/>
      <c r="P90" s="1125" t="str">
        <f t="shared" si="187"/>
        <v/>
      </c>
      <c r="Q90" s="1994">
        <f t="shared" si="188"/>
        <v>0</v>
      </c>
      <c r="R90" s="1994"/>
      <c r="S90" s="1108"/>
      <c r="T90" s="1108"/>
      <c r="U90" s="1108"/>
      <c r="V90" s="1127" t="b">
        <f t="shared" si="189"/>
        <v>1</v>
      </c>
      <c r="W90" s="1995">
        <f t="shared" si="244"/>
        <v>0</v>
      </c>
      <c r="X90" s="1995"/>
      <c r="Y90" s="1174" t="e">
        <f t="shared" si="245"/>
        <v>#N/A</v>
      </c>
      <c r="Z90" s="1995">
        <f t="shared" si="190"/>
        <v>0</v>
      </c>
      <c r="AA90" s="1995"/>
      <c r="AB90" s="1174" t="e">
        <f t="shared" si="216"/>
        <v>#N/A</v>
      </c>
      <c r="AC90" s="1995">
        <f t="shared" si="191"/>
        <v>0</v>
      </c>
      <c r="AD90" s="1995"/>
      <c r="AE90" s="1201">
        <f t="shared" si="251"/>
        <v>0</v>
      </c>
      <c r="AG90" s="1995">
        <f t="shared" si="246"/>
        <v>0</v>
      </c>
      <c r="AH90" s="1995"/>
      <c r="AI90" s="1095"/>
      <c r="AJ90" s="1996" t="str">
        <f t="shared" si="193"/>
        <v/>
      </c>
      <c r="AK90" s="1997"/>
      <c r="AL90" s="1997"/>
      <c r="AN90" s="38" t="b">
        <f t="shared" si="194"/>
        <v>0</v>
      </c>
      <c r="AO90" s="86">
        <f t="shared" si="247"/>
        <v>0</v>
      </c>
      <c r="AP90" s="1130" t="e">
        <f t="shared" si="248"/>
        <v>#DIV/0!</v>
      </c>
      <c r="AQ90" s="1205" t="e">
        <f t="shared" si="249"/>
        <v>#DIV/0!</v>
      </c>
      <c r="AR90" s="1205">
        <f t="shared" si="250"/>
        <v>0</v>
      </c>
      <c r="AS90" s="1205">
        <f t="shared" si="225"/>
        <v>0</v>
      </c>
      <c r="AT90" s="1205">
        <f t="shared" si="226"/>
        <v>0</v>
      </c>
      <c r="AU90" s="337" t="e">
        <f t="shared" si="227"/>
        <v>#DIV/0!</v>
      </c>
      <c r="AV90" s="337">
        <f t="shared" si="228"/>
        <v>0</v>
      </c>
      <c r="AW90" s="1130">
        <f t="shared" si="229"/>
        <v>0</v>
      </c>
      <c r="AX90" s="1172">
        <f t="shared" si="230"/>
        <v>0</v>
      </c>
      <c r="AY90" s="1130"/>
      <c r="AZ90" s="1130"/>
      <c r="BA90" s="337">
        <f t="shared" si="231"/>
        <v>0</v>
      </c>
      <c r="BB90" s="337">
        <f t="shared" si="232"/>
        <v>0</v>
      </c>
      <c r="BC90" s="337">
        <f t="shared" si="233"/>
        <v>0</v>
      </c>
      <c r="BJ90" s="38" t="b">
        <f t="shared" si="199"/>
        <v>0</v>
      </c>
      <c r="BK90" s="86">
        <f>IF(AND(AN90=TRUE,BL90=1),O90*VLOOKUP(H90,Fixtures!DN$27:EG$76,19,FALSE),0)</f>
        <v>0</v>
      </c>
      <c r="BL90" s="86">
        <f t="shared" si="200"/>
        <v>0</v>
      </c>
      <c r="BM90" s="38" t="b">
        <f t="shared" si="201"/>
        <v>1</v>
      </c>
      <c r="BN90" s="86">
        <f t="shared" si="202"/>
        <v>0</v>
      </c>
      <c r="BO90" s="86">
        <f t="shared" si="203"/>
        <v>0</v>
      </c>
      <c r="BQ90" s="337">
        <f t="shared" si="204"/>
        <v>0</v>
      </c>
      <c r="BR90" s="337">
        <f t="shared" si="205"/>
        <v>0</v>
      </c>
      <c r="BS90" s="86">
        <f t="shared" si="206"/>
        <v>0</v>
      </c>
      <c r="BT90" s="86">
        <f t="shared" si="207"/>
        <v>0</v>
      </c>
      <c r="BU90" s="86">
        <f t="shared" si="208"/>
        <v>0</v>
      </c>
      <c r="BW90" s="38" t="str">
        <f>IF(H90="","",IFERROR(VLOOKUP(H90,Fixtures!EQ$93:EQ$142,1,FALSE),FALSE))</f>
        <v/>
      </c>
    </row>
    <row r="91" spans="2:75" ht="14.3" customHeight="1">
      <c r="B91" s="1182" t="str">
        <f t="shared" si="186"/>
        <v/>
      </c>
      <c r="D91" s="928"/>
      <c r="E91" s="1992"/>
      <c r="F91" s="1992"/>
      <c r="G91" s="38">
        <v>10</v>
      </c>
      <c r="H91" s="1993"/>
      <c r="I91" s="1993"/>
      <c r="J91" s="1993"/>
      <c r="K91" s="1993"/>
      <c r="L91" s="1993"/>
      <c r="M91" s="1993"/>
      <c r="N91" s="1993"/>
      <c r="O91" s="1108"/>
      <c r="P91" s="1125" t="str">
        <f t="shared" si="187"/>
        <v/>
      </c>
      <c r="Q91" s="1994">
        <f t="shared" si="188"/>
        <v>0</v>
      </c>
      <c r="R91" s="1994"/>
      <c r="S91" s="1108"/>
      <c r="T91" s="1108"/>
      <c r="U91" s="1108"/>
      <c r="V91" s="1127" t="b">
        <f t="shared" si="189"/>
        <v>1</v>
      </c>
      <c r="W91" s="1995">
        <f t="shared" si="244"/>
        <v>0</v>
      </c>
      <c r="X91" s="1995"/>
      <c r="Y91" s="1174" t="e">
        <f t="shared" si="245"/>
        <v>#N/A</v>
      </c>
      <c r="Z91" s="1995">
        <f t="shared" si="190"/>
        <v>0</v>
      </c>
      <c r="AA91" s="1995"/>
      <c r="AB91" s="1174" t="e">
        <f t="shared" si="216"/>
        <v>#N/A</v>
      </c>
      <c r="AC91" s="1995">
        <f t="shared" si="191"/>
        <v>0</v>
      </c>
      <c r="AD91" s="1995"/>
      <c r="AE91" s="1201">
        <f t="shared" si="251"/>
        <v>0</v>
      </c>
      <c r="AG91" s="1995">
        <f t="shared" si="246"/>
        <v>0</v>
      </c>
      <c r="AH91" s="1995"/>
      <c r="AI91" s="1095"/>
      <c r="AJ91" s="1996" t="str">
        <f t="shared" si="193"/>
        <v/>
      </c>
      <c r="AK91" s="1997"/>
      <c r="AL91" s="1997"/>
      <c r="AN91" s="38" t="b">
        <f t="shared" si="194"/>
        <v>0</v>
      </c>
      <c r="AO91" s="86">
        <f t="shared" si="247"/>
        <v>0</v>
      </c>
      <c r="AP91" s="1130" t="e">
        <f t="shared" si="248"/>
        <v>#DIV/0!</v>
      </c>
      <c r="AQ91" s="1205" t="e">
        <f t="shared" si="249"/>
        <v>#DIV/0!</v>
      </c>
      <c r="AR91" s="1205">
        <f t="shared" si="250"/>
        <v>0</v>
      </c>
      <c r="AS91" s="1205">
        <f t="shared" si="225"/>
        <v>0</v>
      </c>
      <c r="AT91" s="1205">
        <f t="shared" si="226"/>
        <v>0</v>
      </c>
      <c r="AU91" s="337" t="e">
        <f t="shared" si="227"/>
        <v>#DIV/0!</v>
      </c>
      <c r="AV91" s="337">
        <f t="shared" si="228"/>
        <v>0</v>
      </c>
      <c r="AW91" s="1130">
        <f t="shared" si="229"/>
        <v>0</v>
      </c>
      <c r="AX91" s="1172">
        <f t="shared" si="230"/>
        <v>0</v>
      </c>
      <c r="AY91" s="1130"/>
      <c r="AZ91" s="1130"/>
      <c r="BA91" s="337">
        <f t="shared" si="231"/>
        <v>0</v>
      </c>
      <c r="BB91" s="337">
        <f t="shared" si="232"/>
        <v>0</v>
      </c>
      <c r="BC91" s="337">
        <f t="shared" si="233"/>
        <v>0</v>
      </c>
      <c r="BJ91" s="38" t="b">
        <f t="shared" si="199"/>
        <v>0</v>
      </c>
      <c r="BK91" s="86">
        <f>IF(AND(AN91=TRUE,BL91=1),O91*VLOOKUP(H91,Fixtures!DN$27:EG$76,19,FALSE),0)</f>
        <v>0</v>
      </c>
      <c r="BL91" s="86">
        <f t="shared" si="200"/>
        <v>0</v>
      </c>
      <c r="BM91" s="38" t="b">
        <f t="shared" si="201"/>
        <v>1</v>
      </c>
      <c r="BN91" s="86">
        <f t="shared" si="202"/>
        <v>0</v>
      </c>
      <c r="BO91" s="86">
        <f t="shared" si="203"/>
        <v>0</v>
      </c>
      <c r="BQ91" s="337">
        <f t="shared" si="204"/>
        <v>0</v>
      </c>
      <c r="BR91" s="337">
        <f t="shared" si="205"/>
        <v>0</v>
      </c>
      <c r="BS91" s="86">
        <f t="shared" si="206"/>
        <v>0</v>
      </c>
      <c r="BT91" s="86">
        <f t="shared" si="207"/>
        <v>0</v>
      </c>
      <c r="BU91" s="86">
        <f t="shared" si="208"/>
        <v>0</v>
      </c>
      <c r="BW91" s="38" t="str">
        <f>IF(H91="","",IFERROR(VLOOKUP(H91,Fixtures!EQ$93:EQ$142,1,FALSE),FALSE))</f>
        <v/>
      </c>
    </row>
    <row r="92" spans="2:75" ht="14.3" customHeight="1">
      <c r="B92" s="1182" t="str">
        <f t="shared" si="186"/>
        <v/>
      </c>
      <c r="D92" s="928"/>
      <c r="E92" s="1992"/>
      <c r="F92" s="1992"/>
      <c r="G92" s="38">
        <v>11</v>
      </c>
      <c r="H92" s="1993"/>
      <c r="I92" s="1993"/>
      <c r="J92" s="1993"/>
      <c r="K92" s="1993"/>
      <c r="L92" s="1993"/>
      <c r="M92" s="1993"/>
      <c r="N92" s="1993"/>
      <c r="O92" s="1108"/>
      <c r="P92" s="1125" t="str">
        <f t="shared" si="187"/>
        <v/>
      </c>
      <c r="Q92" s="1994">
        <f t="shared" si="188"/>
        <v>0</v>
      </c>
      <c r="R92" s="1994"/>
      <c r="S92" s="1108"/>
      <c r="T92" s="1108"/>
      <c r="U92" s="1108"/>
      <c r="V92" s="1127" t="b">
        <f t="shared" si="189"/>
        <v>1</v>
      </c>
      <c r="W92" s="1995">
        <f t="shared" si="244"/>
        <v>0</v>
      </c>
      <c r="X92" s="1995"/>
      <c r="Y92" s="1174" t="e">
        <f t="shared" si="245"/>
        <v>#N/A</v>
      </c>
      <c r="Z92" s="1995">
        <f t="shared" si="190"/>
        <v>0</v>
      </c>
      <c r="AA92" s="1995"/>
      <c r="AB92" s="1174" t="e">
        <f t="shared" si="216"/>
        <v>#N/A</v>
      </c>
      <c r="AC92" s="1995">
        <f t="shared" si="191"/>
        <v>0</v>
      </c>
      <c r="AD92" s="1995"/>
      <c r="AE92" s="1201">
        <f t="shared" si="251"/>
        <v>0</v>
      </c>
      <c r="AG92" s="1995">
        <f t="shared" si="246"/>
        <v>0</v>
      </c>
      <c r="AH92" s="1995"/>
      <c r="AI92" s="1095"/>
      <c r="AJ92" s="1996" t="str">
        <f t="shared" si="193"/>
        <v/>
      </c>
      <c r="AK92" s="1997"/>
      <c r="AL92" s="1997"/>
      <c r="AN92" s="38" t="b">
        <f t="shared" si="194"/>
        <v>0</v>
      </c>
      <c r="AO92" s="86">
        <f t="shared" si="247"/>
        <v>0</v>
      </c>
      <c r="AP92" s="1130" t="e">
        <f t="shared" si="248"/>
        <v>#DIV/0!</v>
      </c>
      <c r="AQ92" s="1205" t="e">
        <f t="shared" si="249"/>
        <v>#DIV/0!</v>
      </c>
      <c r="AR92" s="1205">
        <f t="shared" si="250"/>
        <v>0</v>
      </c>
      <c r="AS92" s="1205">
        <f t="shared" si="225"/>
        <v>0</v>
      </c>
      <c r="AT92" s="1205">
        <f t="shared" si="226"/>
        <v>0</v>
      </c>
      <c r="AU92" s="337" t="e">
        <f t="shared" si="227"/>
        <v>#DIV/0!</v>
      </c>
      <c r="AV92" s="337">
        <f t="shared" si="228"/>
        <v>0</v>
      </c>
      <c r="AW92" s="1130">
        <f t="shared" si="229"/>
        <v>0</v>
      </c>
      <c r="AX92" s="1172">
        <f t="shared" si="230"/>
        <v>0</v>
      </c>
      <c r="AY92" s="1130"/>
      <c r="AZ92" s="1130"/>
      <c r="BA92" s="337">
        <f t="shared" si="231"/>
        <v>0</v>
      </c>
      <c r="BB92" s="337">
        <f t="shared" si="232"/>
        <v>0</v>
      </c>
      <c r="BC92" s="337">
        <f t="shared" si="233"/>
        <v>0</v>
      </c>
      <c r="BJ92" s="38" t="b">
        <f t="shared" si="199"/>
        <v>0</v>
      </c>
      <c r="BK92" s="86">
        <f>IF(AND(AN92=TRUE,BL92=1),O92*VLOOKUP(H92,Fixtures!DN$27:EG$76,19,FALSE),0)</f>
        <v>0</v>
      </c>
      <c r="BL92" s="86">
        <f t="shared" si="200"/>
        <v>0</v>
      </c>
      <c r="BM92" s="38" t="b">
        <f t="shared" si="201"/>
        <v>1</v>
      </c>
      <c r="BN92" s="86">
        <f t="shared" si="202"/>
        <v>0</v>
      </c>
      <c r="BO92" s="86">
        <f t="shared" si="203"/>
        <v>0</v>
      </c>
      <c r="BQ92" s="337">
        <f t="shared" si="204"/>
        <v>0</v>
      </c>
      <c r="BR92" s="337">
        <f t="shared" si="205"/>
        <v>0</v>
      </c>
      <c r="BS92" s="86">
        <f t="shared" si="206"/>
        <v>0</v>
      </c>
      <c r="BT92" s="86">
        <f t="shared" si="207"/>
        <v>0</v>
      </c>
      <c r="BU92" s="86">
        <f t="shared" si="208"/>
        <v>0</v>
      </c>
      <c r="BW92" s="38" t="str">
        <f>IF(H92="","",IFERROR(VLOOKUP(H92,Fixtures!EQ$93:EQ$142,1,FALSE),FALSE))</f>
        <v/>
      </c>
    </row>
    <row r="93" spans="2:75" ht="14.3" customHeight="1">
      <c r="B93" s="1182" t="str">
        <f t="shared" si="186"/>
        <v/>
      </c>
      <c r="D93" s="928"/>
      <c r="E93" s="1992"/>
      <c r="F93" s="1992"/>
      <c r="G93" s="38">
        <v>12</v>
      </c>
      <c r="H93" s="1993"/>
      <c r="I93" s="1993"/>
      <c r="J93" s="1993"/>
      <c r="K93" s="1993"/>
      <c r="L93" s="1993"/>
      <c r="M93" s="1993"/>
      <c r="N93" s="1993"/>
      <c r="O93" s="1108"/>
      <c r="P93" s="1125" t="str">
        <f t="shared" si="187"/>
        <v/>
      </c>
      <c r="Q93" s="1994">
        <f t="shared" si="188"/>
        <v>0</v>
      </c>
      <c r="R93" s="1994"/>
      <c r="S93" s="1108"/>
      <c r="T93" s="1108"/>
      <c r="U93" s="1108"/>
      <c r="V93" s="1127" t="b">
        <f t="shared" si="189"/>
        <v>1</v>
      </c>
      <c r="W93" s="1995">
        <f t="shared" si="244"/>
        <v>0</v>
      </c>
      <c r="X93" s="1995"/>
      <c r="Y93" s="1174" t="e">
        <f t="shared" si="245"/>
        <v>#N/A</v>
      </c>
      <c r="Z93" s="1995">
        <f t="shared" si="190"/>
        <v>0</v>
      </c>
      <c r="AA93" s="1995"/>
      <c r="AB93" s="1174" t="e">
        <f t="shared" si="216"/>
        <v>#N/A</v>
      </c>
      <c r="AC93" s="1995">
        <f t="shared" si="191"/>
        <v>0</v>
      </c>
      <c r="AD93" s="1995"/>
      <c r="AE93" s="1201">
        <f t="shared" si="251"/>
        <v>0</v>
      </c>
      <c r="AG93" s="1995">
        <f t="shared" si="246"/>
        <v>0</v>
      </c>
      <c r="AH93" s="1995"/>
      <c r="AI93" s="1095"/>
      <c r="AJ93" s="1996" t="str">
        <f t="shared" si="193"/>
        <v/>
      </c>
      <c r="AK93" s="1997"/>
      <c r="AL93" s="1997"/>
      <c r="AN93" s="38" t="b">
        <f t="shared" si="194"/>
        <v>0</v>
      </c>
      <c r="AO93" s="86">
        <f t="shared" si="247"/>
        <v>0</v>
      </c>
      <c r="AP93" s="1130" t="e">
        <f t="shared" si="248"/>
        <v>#DIV/0!</v>
      </c>
      <c r="AQ93" s="1205" t="e">
        <f t="shared" si="249"/>
        <v>#DIV/0!</v>
      </c>
      <c r="AR93" s="1205">
        <f t="shared" si="250"/>
        <v>0</v>
      </c>
      <c r="AS93" s="1205">
        <f t="shared" si="225"/>
        <v>0</v>
      </c>
      <c r="AT93" s="1205">
        <f t="shared" si="226"/>
        <v>0</v>
      </c>
      <c r="AU93" s="337" t="e">
        <f t="shared" si="227"/>
        <v>#DIV/0!</v>
      </c>
      <c r="AV93" s="337">
        <f t="shared" si="228"/>
        <v>0</v>
      </c>
      <c r="AW93" s="1130">
        <f t="shared" si="229"/>
        <v>0</v>
      </c>
      <c r="AX93" s="1172">
        <f t="shared" si="230"/>
        <v>0</v>
      </c>
      <c r="AY93" s="1130"/>
      <c r="AZ93" s="1130"/>
      <c r="BA93" s="337">
        <f t="shared" si="231"/>
        <v>0</v>
      </c>
      <c r="BB93" s="337">
        <f t="shared" si="232"/>
        <v>0</v>
      </c>
      <c r="BC93" s="337">
        <f t="shared" si="233"/>
        <v>0</v>
      </c>
      <c r="BJ93" s="38" t="b">
        <f t="shared" si="199"/>
        <v>0</v>
      </c>
      <c r="BK93" s="86">
        <f>IF(AND(AN93=TRUE,BL93=1),O93*VLOOKUP(H93,Fixtures!DN$27:EG$76,19,FALSE),0)</f>
        <v>0</v>
      </c>
      <c r="BL93" s="86">
        <f t="shared" si="200"/>
        <v>0</v>
      </c>
      <c r="BM93" s="38" t="b">
        <f t="shared" si="201"/>
        <v>1</v>
      </c>
      <c r="BN93" s="86">
        <f t="shared" si="202"/>
        <v>0</v>
      </c>
      <c r="BO93" s="86">
        <f t="shared" si="203"/>
        <v>0</v>
      </c>
      <c r="BQ93" s="337">
        <f t="shared" si="204"/>
        <v>0</v>
      </c>
      <c r="BR93" s="337">
        <f t="shared" si="205"/>
        <v>0</v>
      </c>
      <c r="BS93" s="86">
        <f t="shared" si="206"/>
        <v>0</v>
      </c>
      <c r="BT93" s="86">
        <f t="shared" si="207"/>
        <v>0</v>
      </c>
      <c r="BU93" s="86">
        <f t="shared" si="208"/>
        <v>0</v>
      </c>
      <c r="BW93" s="38" t="str">
        <f>IF(H93="","",IFERROR(VLOOKUP(H93,Fixtures!EQ$93:EQ$142,1,FALSE),FALSE))</f>
        <v/>
      </c>
    </row>
    <row r="94" spans="2:75" ht="14.3" customHeight="1">
      <c r="B94" s="1182" t="str">
        <f t="shared" ref="B94:B102" si="252">IF(BW94=FALSE,"Reselect fixture","")</f>
        <v/>
      </c>
      <c r="D94" s="928"/>
      <c r="E94" s="1992"/>
      <c r="F94" s="1992"/>
      <c r="G94" s="38">
        <v>13</v>
      </c>
      <c r="H94" s="1993"/>
      <c r="I94" s="1993"/>
      <c r="J94" s="1993"/>
      <c r="K94" s="1993"/>
      <c r="L94" s="1993"/>
      <c r="M94" s="1993"/>
      <c r="N94" s="1993"/>
      <c r="O94" s="1108"/>
      <c r="P94" s="1125" t="str">
        <f t="shared" ref="P94:P102" si="253">IFERROR(VLOOKUP(H94,Fixtures_Proposed_List,2,FALSE),"")</f>
        <v/>
      </c>
      <c r="Q94" s="1994">
        <f t="shared" ref="Q94:Q102" si="254">IFERROR(IF(AN94=TRUE,0,O94*P94),0)</f>
        <v>0</v>
      </c>
      <c r="R94" s="1994"/>
      <c r="S94" s="1108"/>
      <c r="T94" s="1108"/>
      <c r="U94" s="1108"/>
      <c r="V94" s="1127" t="b">
        <f t="shared" ref="V94:V102" si="255">IF(AND(AN94=TRUE,S94+T94+U94&gt;0),FALSE,IF(S94+T94+U94&gt;O94,FALSE,TRUE))</f>
        <v>1</v>
      </c>
      <c r="W94" s="1995">
        <f t="shared" ref="W94:W102" si="256">IFERROR(Q94*W$78*AB$78/1000,0)</f>
        <v>0</v>
      </c>
      <c r="X94" s="1995"/>
      <c r="Y94" s="1174" t="e">
        <f t="shared" ref="Y94:Y102" si="257">AA$78</f>
        <v>#N/A</v>
      </c>
      <c r="Z94" s="1995">
        <f t="shared" ref="Z94:Z102" si="258">IF(V94=FALSE,"ERROR!",IFERROR(IF(AN94=TRUE,0,BA94),0))</f>
        <v>0</v>
      </c>
      <c r="AA94" s="1995"/>
      <c r="AB94" s="1174" t="e">
        <f t="shared" ref="AB94:AB102" si="259">AB$81</f>
        <v>#N/A</v>
      </c>
      <c r="AC94" s="1995">
        <f t="shared" ref="AC94:AC102" si="260">IF(V94=FALSE,"ERROR!",IFERROR(IF(AN94=TRUE,0,BB94+BC94),0))</f>
        <v>0</v>
      </c>
      <c r="AD94" s="1995"/>
      <c r="AE94" s="1201">
        <f>IFERROR(ROUND(SUM(S94:U94)*P94*W$78*AB$78*(1-AA70)/1000,0),0)</f>
        <v>0</v>
      </c>
      <c r="AG94" s="1995">
        <f t="shared" si="192"/>
        <v>0</v>
      </c>
      <c r="AH94" s="1995"/>
      <c r="AI94" s="1095"/>
      <c r="AJ94" s="1996" t="str">
        <f t="shared" ref="AJ94:AJ102" si="261">IF(V94=FALSE,"Revise LLLC &amp; NLC qty!",IF(BM94=FALSE,"Enter TLED SF",""))</f>
        <v/>
      </c>
      <c r="AK94" s="1997"/>
      <c r="AL94" s="1997"/>
      <c r="AN94" s="38" t="b">
        <f t="shared" ref="AN94:AN102" si="262">IF(ISNUMBER(SEARCH("TLED",H94)),TRUE,FALSE)</f>
        <v>0</v>
      </c>
      <c r="AO94" s="86">
        <f t="shared" ref="AO94:AO102" si="263">IF(AN94=FALSE,O94,0)</f>
        <v>0</v>
      </c>
      <c r="AP94" s="1130" t="e">
        <f t="shared" ref="AP94:AP102" si="264">AO94/AO$112</f>
        <v>#DIV/0!</v>
      </c>
      <c r="AQ94" s="1205" t="e">
        <f t="shared" ref="AQ94:AQ102" si="265">AE$78*AP94</f>
        <v>#DIV/0!</v>
      </c>
      <c r="AR94" s="1205">
        <f t="shared" ref="AR94:AR102" si="266">W94</f>
        <v>0</v>
      </c>
      <c r="AS94" s="1205">
        <f t="shared" si="225"/>
        <v>0</v>
      </c>
      <c r="AT94" s="1205">
        <f t="shared" si="226"/>
        <v>0</v>
      </c>
      <c r="AU94" s="337" t="e">
        <f t="shared" si="227"/>
        <v>#DIV/0!</v>
      </c>
      <c r="AV94" s="337">
        <f t="shared" si="228"/>
        <v>0</v>
      </c>
      <c r="AW94" s="1130">
        <f t="shared" si="229"/>
        <v>0</v>
      </c>
      <c r="AX94" s="1172">
        <f t="shared" si="230"/>
        <v>0</v>
      </c>
      <c r="AY94" s="1130"/>
      <c r="AZ94" s="1130"/>
      <c r="BA94" s="337">
        <f t="shared" si="231"/>
        <v>0</v>
      </c>
      <c r="BB94" s="337">
        <f t="shared" si="232"/>
        <v>0</v>
      </c>
      <c r="BC94" s="337">
        <f t="shared" si="233"/>
        <v>0</v>
      </c>
      <c r="BJ94" s="38" t="b">
        <f t="shared" ref="BJ94:BJ102" si="267">IF(AND(V94=FALSE,AN94=TRUE),TRUE,FALSE)</f>
        <v>0</v>
      </c>
      <c r="BK94" s="86">
        <f>IF(AND(AN94=TRUE,BL94=1),O94*VLOOKUP(H94,Fixtures!DN$27:EG$76,19,FALSE),0)</f>
        <v>0</v>
      </c>
      <c r="BL94" s="86">
        <f t="shared" ref="BL94:BL102" si="268">IF(E94="",0,1)</f>
        <v>0</v>
      </c>
      <c r="BM94" s="38" t="b">
        <f t="shared" ref="BM94:BM102" si="269">IF(AND(AN94=TRUE,BL94=0),FALSE,TRUE)</f>
        <v>1</v>
      </c>
      <c r="BN94" s="86">
        <f t="shared" ref="BN94:BN102" si="270">IF(H94="",0,1)</f>
        <v>0</v>
      </c>
      <c r="BO94" s="86">
        <f t="shared" ref="BO94:BO102" si="271">IF(O94="",0,1)</f>
        <v>0</v>
      </c>
      <c r="BQ94" s="337">
        <f t="shared" ref="BQ94:BQ102" si="272">IF(AND(AN94=TRUE,BN94+BO94=2),E94,0)</f>
        <v>0</v>
      </c>
      <c r="BR94" s="337">
        <f t="shared" ref="BR94:BR102" si="273">IFERROR(IF(AN94=TRUE,ROUND((E94*W$78*X$78*AB$78)/1000,0),0),0)</f>
        <v>0</v>
      </c>
      <c r="BS94" s="86">
        <f t="shared" ref="BS94:BS102" si="274">IFERROR(IF(AN94=TRUE,ROUND((E94*W$78*X$78*(1-AA$78)*AB$78)/1000,0),0),0)</f>
        <v>0</v>
      </c>
      <c r="BT94" s="86">
        <f t="shared" ref="BT94:BT102" si="275">IF(BM94=FALSE,0,IF(AN94=TRUE,ROUND((O94*P94*AB$78*W$78)/1000,0),0))</f>
        <v>0</v>
      </c>
      <c r="BU94" s="86">
        <f t="shared" ref="BU94:BU102" si="276">IF(BM94=FALSE,0,IF(AN94=TRUE,ROUND((O94*P94*AB$78*W$78*(1-AA$78))/1000,0),0))</f>
        <v>0</v>
      </c>
      <c r="BW94" s="38" t="str">
        <f>IF(H94="","",IFERROR(VLOOKUP(H94,Fixtures!EQ$93:EQ$142,1,FALSE),FALSE))</f>
        <v/>
      </c>
    </row>
    <row r="95" spans="2:75" ht="14.3" customHeight="1">
      <c r="B95" s="1182" t="str">
        <f t="shared" si="252"/>
        <v/>
      </c>
      <c r="D95" s="928"/>
      <c r="E95" s="1992"/>
      <c r="F95" s="1992"/>
      <c r="G95" s="38">
        <v>14</v>
      </c>
      <c r="H95" s="1993"/>
      <c r="I95" s="1993"/>
      <c r="J95" s="1993"/>
      <c r="K95" s="1993"/>
      <c r="L95" s="1993"/>
      <c r="M95" s="1993"/>
      <c r="N95" s="1993"/>
      <c r="O95" s="1108"/>
      <c r="P95" s="1125" t="str">
        <f t="shared" si="253"/>
        <v/>
      </c>
      <c r="Q95" s="1994">
        <f t="shared" si="254"/>
        <v>0</v>
      </c>
      <c r="R95" s="1994"/>
      <c r="S95" s="1108"/>
      <c r="T95" s="1108"/>
      <c r="U95" s="1108"/>
      <c r="V95" s="1127" t="b">
        <f t="shared" si="255"/>
        <v>1</v>
      </c>
      <c r="W95" s="1995">
        <f t="shared" si="256"/>
        <v>0</v>
      </c>
      <c r="X95" s="1995"/>
      <c r="Y95" s="1174" t="e">
        <f t="shared" si="257"/>
        <v>#N/A</v>
      </c>
      <c r="Z95" s="1995">
        <f t="shared" si="258"/>
        <v>0</v>
      </c>
      <c r="AA95" s="1995"/>
      <c r="AB95" s="1174" t="e">
        <f t="shared" si="259"/>
        <v>#N/A</v>
      </c>
      <c r="AC95" s="1995">
        <f t="shared" si="260"/>
        <v>0</v>
      </c>
      <c r="AD95" s="1995"/>
      <c r="AE95" s="1201">
        <f>IFERROR(ROUND(SUM(S95:U95)*P95*W$78*AB$78*(1-AA71)/1000,0),0)</f>
        <v>0</v>
      </c>
      <c r="AG95" s="1995">
        <f t="shared" si="192"/>
        <v>0</v>
      </c>
      <c r="AH95" s="1995"/>
      <c r="AI95" s="1095"/>
      <c r="AJ95" s="1996" t="str">
        <f t="shared" si="261"/>
        <v/>
      </c>
      <c r="AK95" s="1997"/>
      <c r="AL95" s="1997"/>
      <c r="AN95" s="38" t="b">
        <f t="shared" si="262"/>
        <v>0</v>
      </c>
      <c r="AO95" s="86">
        <f t="shared" si="263"/>
        <v>0</v>
      </c>
      <c r="AP95" s="1130" t="e">
        <f t="shared" si="264"/>
        <v>#DIV/0!</v>
      </c>
      <c r="AQ95" s="1205" t="e">
        <f t="shared" si="265"/>
        <v>#DIV/0!</v>
      </c>
      <c r="AR95" s="1205">
        <f t="shared" si="266"/>
        <v>0</v>
      </c>
      <c r="AS95" s="1205">
        <f t="shared" si="225"/>
        <v>0</v>
      </c>
      <c r="AT95" s="1205">
        <f t="shared" si="226"/>
        <v>0</v>
      </c>
      <c r="AU95" s="337" t="e">
        <f t="shared" si="227"/>
        <v>#DIV/0!</v>
      </c>
      <c r="AV95" s="337">
        <f t="shared" si="228"/>
        <v>0</v>
      </c>
      <c r="AW95" s="1130">
        <f t="shared" si="229"/>
        <v>0</v>
      </c>
      <c r="AX95" s="1172">
        <f t="shared" si="230"/>
        <v>0</v>
      </c>
      <c r="AY95" s="1130"/>
      <c r="AZ95" s="1130"/>
      <c r="BA95" s="337">
        <f t="shared" si="231"/>
        <v>0</v>
      </c>
      <c r="BB95" s="337">
        <f t="shared" si="232"/>
        <v>0</v>
      </c>
      <c r="BC95" s="337">
        <f t="shared" si="233"/>
        <v>0</v>
      </c>
      <c r="BJ95" s="38" t="b">
        <f t="shared" si="267"/>
        <v>0</v>
      </c>
      <c r="BK95" s="86">
        <f>IF(AND(AN95=TRUE,BL95=1),O95*VLOOKUP(H95,Fixtures!DN$27:EG$76,19,FALSE),0)</f>
        <v>0</v>
      </c>
      <c r="BL95" s="86">
        <f t="shared" si="268"/>
        <v>0</v>
      </c>
      <c r="BM95" s="38" t="b">
        <f t="shared" si="269"/>
        <v>1</v>
      </c>
      <c r="BN95" s="86">
        <f t="shared" si="270"/>
        <v>0</v>
      </c>
      <c r="BO95" s="86">
        <f t="shared" si="271"/>
        <v>0</v>
      </c>
      <c r="BQ95" s="337">
        <f t="shared" si="272"/>
        <v>0</v>
      </c>
      <c r="BR95" s="337">
        <f t="shared" si="273"/>
        <v>0</v>
      </c>
      <c r="BS95" s="86">
        <f t="shared" si="274"/>
        <v>0</v>
      </c>
      <c r="BT95" s="86">
        <f t="shared" si="275"/>
        <v>0</v>
      </c>
      <c r="BU95" s="86">
        <f t="shared" si="276"/>
        <v>0</v>
      </c>
      <c r="BW95" s="38" t="str">
        <f>IF(H95="","",IFERROR(VLOOKUP(H95,Fixtures!EQ$93:EQ$142,1,FALSE),FALSE))</f>
        <v/>
      </c>
    </row>
    <row r="96" spans="2:75" ht="14.3" customHeight="1">
      <c r="B96" s="1182" t="str">
        <f t="shared" si="252"/>
        <v/>
      </c>
      <c r="D96" s="928"/>
      <c r="E96" s="1992"/>
      <c r="F96" s="1992"/>
      <c r="G96" s="38">
        <v>15</v>
      </c>
      <c r="H96" s="1993"/>
      <c r="I96" s="1993"/>
      <c r="J96" s="1993"/>
      <c r="K96" s="1993"/>
      <c r="L96" s="1993"/>
      <c r="M96" s="1993"/>
      <c r="N96" s="1993"/>
      <c r="O96" s="1108"/>
      <c r="P96" s="1125" t="str">
        <f t="shared" si="253"/>
        <v/>
      </c>
      <c r="Q96" s="1994">
        <f t="shared" si="254"/>
        <v>0</v>
      </c>
      <c r="R96" s="1994"/>
      <c r="S96" s="1108"/>
      <c r="T96" s="1108"/>
      <c r="U96" s="1108"/>
      <c r="V96" s="1127" t="b">
        <f t="shared" si="255"/>
        <v>1</v>
      </c>
      <c r="W96" s="1995">
        <f t="shared" si="256"/>
        <v>0</v>
      </c>
      <c r="X96" s="1995"/>
      <c r="Y96" s="1174" t="e">
        <f t="shared" si="257"/>
        <v>#N/A</v>
      </c>
      <c r="Z96" s="1995">
        <f t="shared" si="258"/>
        <v>0</v>
      </c>
      <c r="AA96" s="1995"/>
      <c r="AB96" s="1174" t="e">
        <f t="shared" si="259"/>
        <v>#N/A</v>
      </c>
      <c r="AC96" s="1995">
        <f t="shared" si="260"/>
        <v>0</v>
      </c>
      <c r="AD96" s="1995"/>
      <c r="AE96" s="1201">
        <f>IFERROR(ROUND(SUM(S96:U96)*P96*W$78*AB$78*(1-AA72)/1000,0),0)</f>
        <v>0</v>
      </c>
      <c r="AG96" s="1995">
        <f t="shared" si="192"/>
        <v>0</v>
      </c>
      <c r="AH96" s="1995"/>
      <c r="AI96" s="1095"/>
      <c r="AJ96" s="1996" t="str">
        <f t="shared" si="261"/>
        <v/>
      </c>
      <c r="AK96" s="1997"/>
      <c r="AL96" s="1997"/>
      <c r="AN96" s="38" t="b">
        <f t="shared" si="262"/>
        <v>0</v>
      </c>
      <c r="AO96" s="86">
        <f t="shared" si="263"/>
        <v>0</v>
      </c>
      <c r="AP96" s="1130" t="e">
        <f t="shared" si="264"/>
        <v>#DIV/0!</v>
      </c>
      <c r="AQ96" s="1205" t="e">
        <f t="shared" si="265"/>
        <v>#DIV/0!</v>
      </c>
      <c r="AR96" s="1205">
        <f t="shared" si="266"/>
        <v>0</v>
      </c>
      <c r="AS96" s="1205">
        <f t="shared" si="225"/>
        <v>0</v>
      </c>
      <c r="AT96" s="1205">
        <f t="shared" si="226"/>
        <v>0</v>
      </c>
      <c r="AU96" s="337" t="e">
        <f t="shared" si="227"/>
        <v>#DIV/0!</v>
      </c>
      <c r="AV96" s="337">
        <f t="shared" si="228"/>
        <v>0</v>
      </c>
      <c r="AW96" s="1130">
        <f t="shared" si="229"/>
        <v>0</v>
      </c>
      <c r="AX96" s="1172">
        <f t="shared" si="230"/>
        <v>0</v>
      </c>
      <c r="AY96" s="1130"/>
      <c r="AZ96" s="1130"/>
      <c r="BA96" s="337">
        <f t="shared" si="231"/>
        <v>0</v>
      </c>
      <c r="BB96" s="337">
        <f t="shared" si="232"/>
        <v>0</v>
      </c>
      <c r="BC96" s="337">
        <f t="shared" si="233"/>
        <v>0</v>
      </c>
      <c r="BJ96" s="38" t="b">
        <f t="shared" si="267"/>
        <v>0</v>
      </c>
      <c r="BK96" s="86">
        <f>IF(AND(AN96=TRUE,BL96=1),O96*VLOOKUP(H96,Fixtures!DN$27:EG$76,19,FALSE),0)</f>
        <v>0</v>
      </c>
      <c r="BL96" s="86">
        <f t="shared" si="268"/>
        <v>0</v>
      </c>
      <c r="BM96" s="38" t="b">
        <f t="shared" si="269"/>
        <v>1</v>
      </c>
      <c r="BN96" s="86">
        <f t="shared" si="270"/>
        <v>0</v>
      </c>
      <c r="BO96" s="86">
        <f t="shared" si="271"/>
        <v>0</v>
      </c>
      <c r="BQ96" s="337">
        <f t="shared" si="272"/>
        <v>0</v>
      </c>
      <c r="BR96" s="337">
        <f t="shared" si="273"/>
        <v>0</v>
      </c>
      <c r="BS96" s="86">
        <f t="shared" si="274"/>
        <v>0</v>
      </c>
      <c r="BT96" s="86">
        <f t="shared" si="275"/>
        <v>0</v>
      </c>
      <c r="BU96" s="86">
        <f t="shared" si="276"/>
        <v>0</v>
      </c>
      <c r="BW96" s="38" t="str">
        <f>IF(H96="","",IFERROR(VLOOKUP(H96,Fixtures!EQ$93:EQ$142,1,FALSE),FALSE))</f>
        <v/>
      </c>
    </row>
    <row r="97" spans="2:75" ht="14.3" customHeight="1">
      <c r="B97" s="1182" t="str">
        <f t="shared" si="252"/>
        <v/>
      </c>
      <c r="D97" s="928"/>
      <c r="E97" s="1992"/>
      <c r="F97" s="1992"/>
      <c r="G97" s="38">
        <v>16</v>
      </c>
      <c r="H97" s="1993"/>
      <c r="I97" s="1993"/>
      <c r="J97" s="1993"/>
      <c r="K97" s="1993"/>
      <c r="L97" s="1993"/>
      <c r="M97" s="1993"/>
      <c r="N97" s="1993"/>
      <c r="O97" s="1108"/>
      <c r="P97" s="1125" t="str">
        <f t="shared" si="253"/>
        <v/>
      </c>
      <c r="Q97" s="1994">
        <f t="shared" si="254"/>
        <v>0</v>
      </c>
      <c r="R97" s="1994"/>
      <c r="S97" s="1108"/>
      <c r="T97" s="1108"/>
      <c r="U97" s="1108"/>
      <c r="V97" s="1127" t="b">
        <f t="shared" si="255"/>
        <v>1</v>
      </c>
      <c r="W97" s="1995">
        <f t="shared" si="256"/>
        <v>0</v>
      </c>
      <c r="X97" s="1995"/>
      <c r="Y97" s="1174" t="e">
        <f t="shared" si="257"/>
        <v>#N/A</v>
      </c>
      <c r="Z97" s="1995">
        <f t="shared" si="258"/>
        <v>0</v>
      </c>
      <c r="AA97" s="1995"/>
      <c r="AB97" s="1174" t="e">
        <f t="shared" si="259"/>
        <v>#N/A</v>
      </c>
      <c r="AC97" s="1995">
        <f t="shared" si="260"/>
        <v>0</v>
      </c>
      <c r="AD97" s="1995"/>
      <c r="AE97" s="1201">
        <f>IFERROR(ROUND(SUM(S97:U97)*P97*W$78*AB$78*(1-AA73)/1000,0),0)</f>
        <v>0</v>
      </c>
      <c r="AG97" s="1995">
        <f t="shared" si="192"/>
        <v>0</v>
      </c>
      <c r="AH97" s="1995"/>
      <c r="AI97" s="1095"/>
      <c r="AJ97" s="1996" t="str">
        <f t="shared" si="261"/>
        <v/>
      </c>
      <c r="AK97" s="1997"/>
      <c r="AL97" s="1997"/>
      <c r="AN97" s="38" t="b">
        <f t="shared" si="262"/>
        <v>0</v>
      </c>
      <c r="AO97" s="86">
        <f t="shared" si="263"/>
        <v>0</v>
      </c>
      <c r="AP97" s="1130" t="e">
        <f t="shared" si="264"/>
        <v>#DIV/0!</v>
      </c>
      <c r="AQ97" s="1205" t="e">
        <f t="shared" si="265"/>
        <v>#DIV/0!</v>
      </c>
      <c r="AR97" s="1205">
        <f t="shared" si="266"/>
        <v>0</v>
      </c>
      <c r="AS97" s="1205">
        <f t="shared" si="225"/>
        <v>0</v>
      </c>
      <c r="AT97" s="1205">
        <f t="shared" si="226"/>
        <v>0</v>
      </c>
      <c r="AU97" s="337" t="e">
        <f t="shared" si="227"/>
        <v>#DIV/0!</v>
      </c>
      <c r="AV97" s="337">
        <f t="shared" si="228"/>
        <v>0</v>
      </c>
      <c r="AW97" s="1130">
        <f t="shared" si="229"/>
        <v>0</v>
      </c>
      <c r="AX97" s="1172">
        <f t="shared" si="230"/>
        <v>0</v>
      </c>
      <c r="AY97" s="1130"/>
      <c r="AZ97" s="1130"/>
      <c r="BA97" s="337">
        <f t="shared" si="231"/>
        <v>0</v>
      </c>
      <c r="BB97" s="337">
        <f t="shared" si="232"/>
        <v>0</v>
      </c>
      <c r="BC97" s="337">
        <f t="shared" si="233"/>
        <v>0</v>
      </c>
      <c r="BJ97" s="38" t="b">
        <f t="shared" si="267"/>
        <v>0</v>
      </c>
      <c r="BK97" s="86">
        <f>IF(AND(AN97=TRUE,BL97=1),O97*VLOOKUP(H97,Fixtures!DN$27:EG$76,19,FALSE),0)</f>
        <v>0</v>
      </c>
      <c r="BL97" s="86">
        <f t="shared" si="268"/>
        <v>0</v>
      </c>
      <c r="BM97" s="38" t="b">
        <f t="shared" si="269"/>
        <v>1</v>
      </c>
      <c r="BN97" s="86">
        <f t="shared" si="270"/>
        <v>0</v>
      </c>
      <c r="BO97" s="86">
        <f t="shared" si="271"/>
        <v>0</v>
      </c>
      <c r="BQ97" s="337">
        <f t="shared" si="272"/>
        <v>0</v>
      </c>
      <c r="BR97" s="337">
        <f t="shared" si="273"/>
        <v>0</v>
      </c>
      <c r="BS97" s="86">
        <f t="shared" si="274"/>
        <v>0</v>
      </c>
      <c r="BT97" s="86">
        <f t="shared" si="275"/>
        <v>0</v>
      </c>
      <c r="BU97" s="86">
        <f t="shared" si="276"/>
        <v>0</v>
      </c>
      <c r="BW97" s="38" t="str">
        <f>IF(H97="","",IFERROR(VLOOKUP(H97,Fixtures!EQ$93:EQ$142,1,FALSE),FALSE))</f>
        <v/>
      </c>
    </row>
    <row r="98" spans="2:75" ht="14.3" customHeight="1">
      <c r="B98" s="1182" t="str">
        <f t="shared" si="252"/>
        <v/>
      </c>
      <c r="D98" s="928"/>
      <c r="E98" s="1992"/>
      <c r="F98" s="1992"/>
      <c r="G98" s="38">
        <v>17</v>
      </c>
      <c r="H98" s="1993"/>
      <c r="I98" s="1993"/>
      <c r="J98" s="1993"/>
      <c r="K98" s="1993"/>
      <c r="L98" s="1993"/>
      <c r="M98" s="1993"/>
      <c r="N98" s="1993"/>
      <c r="O98" s="1108"/>
      <c r="P98" s="1125" t="str">
        <f t="shared" si="253"/>
        <v/>
      </c>
      <c r="Q98" s="1994">
        <f t="shared" si="254"/>
        <v>0</v>
      </c>
      <c r="R98" s="1994"/>
      <c r="S98" s="1108"/>
      <c r="T98" s="1108"/>
      <c r="U98" s="1108"/>
      <c r="V98" s="1127" t="b">
        <f t="shared" si="255"/>
        <v>1</v>
      </c>
      <c r="W98" s="1995">
        <f t="shared" si="256"/>
        <v>0</v>
      </c>
      <c r="X98" s="1995"/>
      <c r="Y98" s="1174" t="e">
        <f t="shared" si="257"/>
        <v>#N/A</v>
      </c>
      <c r="Z98" s="1995">
        <f t="shared" si="258"/>
        <v>0</v>
      </c>
      <c r="AA98" s="1995"/>
      <c r="AB98" s="1174" t="e">
        <f t="shared" si="259"/>
        <v>#N/A</v>
      </c>
      <c r="AC98" s="1995">
        <f t="shared" si="260"/>
        <v>0</v>
      </c>
      <c r="AD98" s="1995"/>
      <c r="AE98" s="1201">
        <f t="shared" ref="AE98:AE102" si="277">IFERROR(ROUND(SUM(S98:U98)*P98*W$78*AB$78*(1-AA94)/1000,0),0)</f>
        <v>0</v>
      </c>
      <c r="AG98" s="1995">
        <f t="shared" si="192"/>
        <v>0</v>
      </c>
      <c r="AH98" s="1995"/>
      <c r="AI98" s="1095"/>
      <c r="AJ98" s="1996" t="str">
        <f t="shared" si="261"/>
        <v/>
      </c>
      <c r="AK98" s="1997"/>
      <c r="AL98" s="1997"/>
      <c r="AN98" s="38" t="b">
        <f t="shared" si="262"/>
        <v>0</v>
      </c>
      <c r="AO98" s="86">
        <f t="shared" si="263"/>
        <v>0</v>
      </c>
      <c r="AP98" s="1130" t="e">
        <f t="shared" si="264"/>
        <v>#DIV/0!</v>
      </c>
      <c r="AQ98" s="1205" t="e">
        <f t="shared" si="265"/>
        <v>#DIV/0!</v>
      </c>
      <c r="AR98" s="1205">
        <f t="shared" si="266"/>
        <v>0</v>
      </c>
      <c r="AS98" s="1205">
        <f t="shared" si="225"/>
        <v>0</v>
      </c>
      <c r="AT98" s="1205">
        <f t="shared" si="226"/>
        <v>0</v>
      </c>
      <c r="AU98" s="337" t="e">
        <f t="shared" si="227"/>
        <v>#DIV/0!</v>
      </c>
      <c r="AV98" s="337">
        <f t="shared" si="228"/>
        <v>0</v>
      </c>
      <c r="AW98" s="1130">
        <f t="shared" si="229"/>
        <v>0</v>
      </c>
      <c r="AX98" s="1172">
        <f t="shared" si="230"/>
        <v>0</v>
      </c>
      <c r="AY98" s="1130"/>
      <c r="AZ98" s="1130"/>
      <c r="BA98" s="337">
        <f t="shared" si="231"/>
        <v>0</v>
      </c>
      <c r="BB98" s="337">
        <f t="shared" si="232"/>
        <v>0</v>
      </c>
      <c r="BC98" s="337">
        <f t="shared" si="233"/>
        <v>0</v>
      </c>
      <c r="BJ98" s="38" t="b">
        <f t="shared" si="267"/>
        <v>0</v>
      </c>
      <c r="BK98" s="86">
        <f>IF(AND(AN98=TRUE,BL98=1),O98*VLOOKUP(H98,Fixtures!DN$27:EG$76,19,FALSE),0)</f>
        <v>0</v>
      </c>
      <c r="BL98" s="86">
        <f t="shared" si="268"/>
        <v>0</v>
      </c>
      <c r="BM98" s="38" t="b">
        <f t="shared" si="269"/>
        <v>1</v>
      </c>
      <c r="BN98" s="86">
        <f t="shared" si="270"/>
        <v>0</v>
      </c>
      <c r="BO98" s="86">
        <f t="shared" si="271"/>
        <v>0</v>
      </c>
      <c r="BQ98" s="337">
        <f t="shared" si="272"/>
        <v>0</v>
      </c>
      <c r="BR98" s="337">
        <f t="shared" si="273"/>
        <v>0</v>
      </c>
      <c r="BS98" s="86">
        <f t="shared" si="274"/>
        <v>0</v>
      </c>
      <c r="BT98" s="86">
        <f t="shared" si="275"/>
        <v>0</v>
      </c>
      <c r="BU98" s="86">
        <f t="shared" si="276"/>
        <v>0</v>
      </c>
      <c r="BW98" s="38" t="str">
        <f>IF(H98="","",IFERROR(VLOOKUP(H98,Fixtures!EQ$93:EQ$142,1,FALSE),FALSE))</f>
        <v/>
      </c>
    </row>
    <row r="99" spans="2:75" ht="14.3" customHeight="1">
      <c r="B99" s="1182" t="str">
        <f t="shared" si="252"/>
        <v/>
      </c>
      <c r="D99" s="928"/>
      <c r="E99" s="1992"/>
      <c r="F99" s="1992"/>
      <c r="G99" s="38">
        <v>18</v>
      </c>
      <c r="H99" s="1993"/>
      <c r="I99" s="1993"/>
      <c r="J99" s="1993"/>
      <c r="K99" s="1993"/>
      <c r="L99" s="1993"/>
      <c r="M99" s="1993"/>
      <c r="N99" s="1993"/>
      <c r="O99" s="1108"/>
      <c r="P99" s="1125" t="str">
        <f t="shared" si="253"/>
        <v/>
      </c>
      <c r="Q99" s="1994">
        <f t="shared" si="254"/>
        <v>0</v>
      </c>
      <c r="R99" s="1994"/>
      <c r="S99" s="1108"/>
      <c r="T99" s="1108"/>
      <c r="U99" s="1108"/>
      <c r="V99" s="1127" t="b">
        <f t="shared" si="255"/>
        <v>1</v>
      </c>
      <c r="W99" s="1995">
        <f t="shared" si="256"/>
        <v>0</v>
      </c>
      <c r="X99" s="1995"/>
      <c r="Y99" s="1174" t="e">
        <f t="shared" si="257"/>
        <v>#N/A</v>
      </c>
      <c r="Z99" s="1995">
        <f t="shared" si="258"/>
        <v>0</v>
      </c>
      <c r="AA99" s="1995"/>
      <c r="AB99" s="1174" t="e">
        <f t="shared" si="259"/>
        <v>#N/A</v>
      </c>
      <c r="AC99" s="1995">
        <f t="shared" si="260"/>
        <v>0</v>
      </c>
      <c r="AD99" s="1995"/>
      <c r="AE99" s="1201">
        <f t="shared" si="277"/>
        <v>0</v>
      </c>
      <c r="AG99" s="1995">
        <f t="shared" si="192"/>
        <v>0</v>
      </c>
      <c r="AH99" s="1995"/>
      <c r="AI99" s="1095"/>
      <c r="AJ99" s="1996" t="str">
        <f t="shared" si="261"/>
        <v/>
      </c>
      <c r="AK99" s="1997"/>
      <c r="AL99" s="1997"/>
      <c r="AN99" s="38" t="b">
        <f t="shared" si="262"/>
        <v>0</v>
      </c>
      <c r="AO99" s="86">
        <f t="shared" si="263"/>
        <v>0</v>
      </c>
      <c r="AP99" s="1130" t="e">
        <f t="shared" si="264"/>
        <v>#DIV/0!</v>
      </c>
      <c r="AQ99" s="1205" t="e">
        <f t="shared" si="265"/>
        <v>#DIV/0!</v>
      </c>
      <c r="AR99" s="1205">
        <f t="shared" si="266"/>
        <v>0</v>
      </c>
      <c r="AS99" s="1205">
        <f t="shared" si="225"/>
        <v>0</v>
      </c>
      <c r="AT99" s="1205">
        <f t="shared" si="226"/>
        <v>0</v>
      </c>
      <c r="AU99" s="337" t="e">
        <f t="shared" si="227"/>
        <v>#DIV/0!</v>
      </c>
      <c r="AV99" s="337">
        <f t="shared" si="228"/>
        <v>0</v>
      </c>
      <c r="AW99" s="1130">
        <f t="shared" si="229"/>
        <v>0</v>
      </c>
      <c r="AX99" s="1172">
        <f t="shared" si="230"/>
        <v>0</v>
      </c>
      <c r="AY99" s="1130"/>
      <c r="AZ99" s="1130"/>
      <c r="BA99" s="337">
        <f t="shared" si="231"/>
        <v>0</v>
      </c>
      <c r="BB99" s="337">
        <f t="shared" si="232"/>
        <v>0</v>
      </c>
      <c r="BC99" s="337">
        <f t="shared" si="233"/>
        <v>0</v>
      </c>
      <c r="BJ99" s="38" t="b">
        <f t="shared" si="267"/>
        <v>0</v>
      </c>
      <c r="BK99" s="86">
        <f>IF(AND(AN99=TRUE,BL99=1),O99*VLOOKUP(H99,Fixtures!DN$27:EG$76,19,FALSE),0)</f>
        <v>0</v>
      </c>
      <c r="BL99" s="86">
        <f t="shared" si="268"/>
        <v>0</v>
      </c>
      <c r="BM99" s="38" t="b">
        <f t="shared" si="269"/>
        <v>1</v>
      </c>
      <c r="BN99" s="86">
        <f t="shared" si="270"/>
        <v>0</v>
      </c>
      <c r="BO99" s="86">
        <f t="shared" si="271"/>
        <v>0</v>
      </c>
      <c r="BQ99" s="337">
        <f t="shared" si="272"/>
        <v>0</v>
      </c>
      <c r="BR99" s="337">
        <f t="shared" si="273"/>
        <v>0</v>
      </c>
      <c r="BS99" s="86">
        <f t="shared" si="274"/>
        <v>0</v>
      </c>
      <c r="BT99" s="86">
        <f t="shared" si="275"/>
        <v>0</v>
      </c>
      <c r="BU99" s="86">
        <f t="shared" si="276"/>
        <v>0</v>
      </c>
      <c r="BW99" s="38" t="str">
        <f>IF(H99="","",IFERROR(VLOOKUP(H99,Fixtures!EQ$93:EQ$142,1,FALSE),FALSE))</f>
        <v/>
      </c>
    </row>
    <row r="100" spans="2:75" ht="14.3" customHeight="1">
      <c r="B100" s="1182" t="str">
        <f t="shared" si="252"/>
        <v/>
      </c>
      <c r="D100" s="928"/>
      <c r="E100" s="1992"/>
      <c r="F100" s="1992"/>
      <c r="G100" s="38">
        <v>19</v>
      </c>
      <c r="H100" s="1993"/>
      <c r="I100" s="1993"/>
      <c r="J100" s="1993"/>
      <c r="K100" s="1993"/>
      <c r="L100" s="1993"/>
      <c r="M100" s="1993"/>
      <c r="N100" s="1993"/>
      <c r="O100" s="1108"/>
      <c r="P100" s="1125" t="str">
        <f t="shared" si="253"/>
        <v/>
      </c>
      <c r="Q100" s="1994">
        <f t="shared" si="254"/>
        <v>0</v>
      </c>
      <c r="R100" s="1994"/>
      <c r="S100" s="1108"/>
      <c r="T100" s="1108"/>
      <c r="U100" s="1108"/>
      <c r="V100" s="1127" t="b">
        <f t="shared" si="255"/>
        <v>1</v>
      </c>
      <c r="W100" s="1995">
        <f t="shared" si="256"/>
        <v>0</v>
      </c>
      <c r="X100" s="1995"/>
      <c r="Y100" s="1174" t="e">
        <f t="shared" si="257"/>
        <v>#N/A</v>
      </c>
      <c r="Z100" s="1995">
        <f t="shared" si="258"/>
        <v>0</v>
      </c>
      <c r="AA100" s="1995"/>
      <c r="AB100" s="1174" t="e">
        <f t="shared" si="259"/>
        <v>#N/A</v>
      </c>
      <c r="AC100" s="1995">
        <f t="shared" si="260"/>
        <v>0</v>
      </c>
      <c r="AD100" s="1995"/>
      <c r="AE100" s="1201">
        <f t="shared" si="277"/>
        <v>0</v>
      </c>
      <c r="AG100" s="1995">
        <f t="shared" si="192"/>
        <v>0</v>
      </c>
      <c r="AH100" s="1995"/>
      <c r="AI100" s="1095"/>
      <c r="AJ100" s="1996" t="str">
        <f t="shared" si="261"/>
        <v/>
      </c>
      <c r="AK100" s="1997"/>
      <c r="AL100" s="1997"/>
      <c r="AN100" s="38" t="b">
        <f t="shared" si="262"/>
        <v>0</v>
      </c>
      <c r="AO100" s="86">
        <f t="shared" si="263"/>
        <v>0</v>
      </c>
      <c r="AP100" s="1130" t="e">
        <f t="shared" si="264"/>
        <v>#DIV/0!</v>
      </c>
      <c r="AQ100" s="1205" t="e">
        <f t="shared" si="265"/>
        <v>#DIV/0!</v>
      </c>
      <c r="AR100" s="1205">
        <f t="shared" si="266"/>
        <v>0</v>
      </c>
      <c r="AS100" s="1205">
        <f t="shared" si="225"/>
        <v>0</v>
      </c>
      <c r="AT100" s="1205">
        <f t="shared" si="226"/>
        <v>0</v>
      </c>
      <c r="AU100" s="337" t="e">
        <f t="shared" si="227"/>
        <v>#DIV/0!</v>
      </c>
      <c r="AV100" s="337">
        <f t="shared" si="228"/>
        <v>0</v>
      </c>
      <c r="AW100" s="1130">
        <f t="shared" si="229"/>
        <v>0</v>
      </c>
      <c r="AX100" s="1172">
        <f t="shared" si="230"/>
        <v>0</v>
      </c>
      <c r="AY100" s="1130"/>
      <c r="AZ100" s="1130"/>
      <c r="BA100" s="337">
        <f t="shared" si="231"/>
        <v>0</v>
      </c>
      <c r="BB100" s="337">
        <f t="shared" si="232"/>
        <v>0</v>
      </c>
      <c r="BC100" s="337">
        <f t="shared" si="233"/>
        <v>0</v>
      </c>
      <c r="BJ100" s="38" t="b">
        <f t="shared" si="267"/>
        <v>0</v>
      </c>
      <c r="BK100" s="86">
        <f>IF(AND(AN100=TRUE,BL100=1),O100*VLOOKUP(H100,Fixtures!DN$27:EG$76,19,FALSE),0)</f>
        <v>0</v>
      </c>
      <c r="BL100" s="86">
        <f t="shared" si="268"/>
        <v>0</v>
      </c>
      <c r="BM100" s="38" t="b">
        <f t="shared" si="269"/>
        <v>1</v>
      </c>
      <c r="BN100" s="86">
        <f t="shared" si="270"/>
        <v>0</v>
      </c>
      <c r="BO100" s="86">
        <f t="shared" si="271"/>
        <v>0</v>
      </c>
      <c r="BQ100" s="337">
        <f t="shared" si="272"/>
        <v>0</v>
      </c>
      <c r="BR100" s="337">
        <f t="shared" si="273"/>
        <v>0</v>
      </c>
      <c r="BS100" s="86">
        <f t="shared" si="274"/>
        <v>0</v>
      </c>
      <c r="BT100" s="86">
        <f t="shared" si="275"/>
        <v>0</v>
      </c>
      <c r="BU100" s="86">
        <f t="shared" si="276"/>
        <v>0</v>
      </c>
      <c r="BW100" s="38" t="str">
        <f>IF(H100="","",IFERROR(VLOOKUP(H100,Fixtures!EQ$93:EQ$142,1,FALSE),FALSE))</f>
        <v/>
      </c>
    </row>
    <row r="101" spans="2:75" ht="14.3" customHeight="1">
      <c r="B101" s="1182" t="str">
        <f t="shared" si="252"/>
        <v/>
      </c>
      <c r="D101" s="928"/>
      <c r="E101" s="1992"/>
      <c r="F101" s="1992"/>
      <c r="G101" s="38">
        <v>20</v>
      </c>
      <c r="H101" s="1993"/>
      <c r="I101" s="1993"/>
      <c r="J101" s="1993"/>
      <c r="K101" s="1993"/>
      <c r="L101" s="1993"/>
      <c r="M101" s="1993"/>
      <c r="N101" s="1993"/>
      <c r="O101" s="1108"/>
      <c r="P101" s="1125" t="str">
        <f t="shared" si="253"/>
        <v/>
      </c>
      <c r="Q101" s="1994">
        <f t="shared" si="254"/>
        <v>0</v>
      </c>
      <c r="R101" s="1994"/>
      <c r="S101" s="1108"/>
      <c r="T101" s="1108"/>
      <c r="U101" s="1108"/>
      <c r="V101" s="1127" t="b">
        <f t="shared" si="255"/>
        <v>1</v>
      </c>
      <c r="W101" s="1995">
        <f t="shared" si="256"/>
        <v>0</v>
      </c>
      <c r="X101" s="1995"/>
      <c r="Y101" s="1174" t="e">
        <f t="shared" si="257"/>
        <v>#N/A</v>
      </c>
      <c r="Z101" s="1995">
        <f t="shared" si="258"/>
        <v>0</v>
      </c>
      <c r="AA101" s="1995"/>
      <c r="AB101" s="1174" t="e">
        <f t="shared" si="259"/>
        <v>#N/A</v>
      </c>
      <c r="AC101" s="1995">
        <f t="shared" si="260"/>
        <v>0</v>
      </c>
      <c r="AD101" s="1995"/>
      <c r="AE101" s="1201">
        <f t="shared" si="277"/>
        <v>0</v>
      </c>
      <c r="AG101" s="1995">
        <f t="shared" si="192"/>
        <v>0</v>
      </c>
      <c r="AH101" s="1995"/>
      <c r="AI101" s="1095"/>
      <c r="AJ101" s="1996" t="str">
        <f t="shared" si="261"/>
        <v/>
      </c>
      <c r="AK101" s="1997"/>
      <c r="AL101" s="1997"/>
      <c r="AN101" s="38" t="b">
        <f t="shared" si="262"/>
        <v>0</v>
      </c>
      <c r="AO101" s="86">
        <f t="shared" si="263"/>
        <v>0</v>
      </c>
      <c r="AP101" s="1130" t="e">
        <f t="shared" si="264"/>
        <v>#DIV/0!</v>
      </c>
      <c r="AQ101" s="1205" t="e">
        <f t="shared" si="265"/>
        <v>#DIV/0!</v>
      </c>
      <c r="AR101" s="1205">
        <f t="shared" si="266"/>
        <v>0</v>
      </c>
      <c r="AS101" s="1205">
        <f t="shared" si="225"/>
        <v>0</v>
      </c>
      <c r="AT101" s="1205">
        <f t="shared" si="226"/>
        <v>0</v>
      </c>
      <c r="AU101" s="337" t="e">
        <f t="shared" si="227"/>
        <v>#DIV/0!</v>
      </c>
      <c r="AV101" s="337">
        <f t="shared" si="228"/>
        <v>0</v>
      </c>
      <c r="AW101" s="1130">
        <f t="shared" si="229"/>
        <v>0</v>
      </c>
      <c r="AX101" s="1172">
        <f t="shared" si="230"/>
        <v>0</v>
      </c>
      <c r="AY101" s="1130"/>
      <c r="AZ101" s="1130"/>
      <c r="BA101" s="337">
        <f t="shared" si="231"/>
        <v>0</v>
      </c>
      <c r="BB101" s="337">
        <f t="shared" si="232"/>
        <v>0</v>
      </c>
      <c r="BC101" s="337">
        <f t="shared" si="233"/>
        <v>0</v>
      </c>
      <c r="BJ101" s="38" t="b">
        <f t="shared" si="267"/>
        <v>0</v>
      </c>
      <c r="BK101" s="86">
        <f>IF(AND(AN101=TRUE,BL101=1),O101*VLOOKUP(H101,Fixtures!DN$27:EG$76,19,FALSE),0)</f>
        <v>0</v>
      </c>
      <c r="BL101" s="86">
        <f t="shared" si="268"/>
        <v>0</v>
      </c>
      <c r="BM101" s="38" t="b">
        <f t="shared" si="269"/>
        <v>1</v>
      </c>
      <c r="BN101" s="86">
        <f t="shared" si="270"/>
        <v>0</v>
      </c>
      <c r="BO101" s="86">
        <f t="shared" si="271"/>
        <v>0</v>
      </c>
      <c r="BQ101" s="337">
        <f t="shared" si="272"/>
        <v>0</v>
      </c>
      <c r="BR101" s="337">
        <f t="shared" si="273"/>
        <v>0</v>
      </c>
      <c r="BS101" s="86">
        <f t="shared" si="274"/>
        <v>0</v>
      </c>
      <c r="BT101" s="86">
        <f t="shared" si="275"/>
        <v>0</v>
      </c>
      <c r="BU101" s="86">
        <f t="shared" si="276"/>
        <v>0</v>
      </c>
      <c r="BW101" s="38" t="str">
        <f>IF(H101="","",IFERROR(VLOOKUP(H101,Fixtures!EQ$93:EQ$142,1,FALSE),FALSE))</f>
        <v/>
      </c>
    </row>
    <row r="102" spans="2:75" ht="14.3" customHeight="1">
      <c r="B102" s="1182" t="str">
        <f t="shared" si="252"/>
        <v/>
      </c>
      <c r="D102" s="928"/>
      <c r="E102" s="1992"/>
      <c r="F102" s="1992"/>
      <c r="G102" s="38">
        <v>21</v>
      </c>
      <c r="H102" s="1993"/>
      <c r="I102" s="1993"/>
      <c r="J102" s="1993"/>
      <c r="K102" s="1993"/>
      <c r="L102" s="1993"/>
      <c r="M102" s="1993"/>
      <c r="N102" s="1993"/>
      <c r="O102" s="1108"/>
      <c r="P102" s="1125" t="str">
        <f t="shared" si="253"/>
        <v/>
      </c>
      <c r="Q102" s="1994">
        <f t="shared" si="254"/>
        <v>0</v>
      </c>
      <c r="R102" s="1994"/>
      <c r="S102" s="1108"/>
      <c r="T102" s="1108"/>
      <c r="U102" s="1108"/>
      <c r="V102" s="1127" t="b">
        <f t="shared" si="255"/>
        <v>1</v>
      </c>
      <c r="W102" s="1995">
        <f t="shared" si="256"/>
        <v>0</v>
      </c>
      <c r="X102" s="1995"/>
      <c r="Y102" s="1174" t="e">
        <f t="shared" si="257"/>
        <v>#N/A</v>
      </c>
      <c r="Z102" s="1995">
        <f t="shared" si="258"/>
        <v>0</v>
      </c>
      <c r="AA102" s="1995"/>
      <c r="AB102" s="1174" t="e">
        <f t="shared" si="259"/>
        <v>#N/A</v>
      </c>
      <c r="AC102" s="1995">
        <f t="shared" si="260"/>
        <v>0</v>
      </c>
      <c r="AD102" s="1995"/>
      <c r="AE102" s="1201">
        <f t="shared" si="277"/>
        <v>0</v>
      </c>
      <c r="AG102" s="1995">
        <f t="shared" si="192"/>
        <v>0</v>
      </c>
      <c r="AH102" s="1995"/>
      <c r="AI102" s="1095"/>
      <c r="AJ102" s="1996" t="str">
        <f t="shared" si="261"/>
        <v/>
      </c>
      <c r="AK102" s="1997"/>
      <c r="AL102" s="1997"/>
      <c r="AN102" s="38" t="b">
        <f t="shared" si="262"/>
        <v>0</v>
      </c>
      <c r="AO102" s="86">
        <f t="shared" si="263"/>
        <v>0</v>
      </c>
      <c r="AP102" s="1130" t="e">
        <f t="shared" si="264"/>
        <v>#DIV/0!</v>
      </c>
      <c r="AQ102" s="1205" t="e">
        <f t="shared" si="265"/>
        <v>#DIV/0!</v>
      </c>
      <c r="AR102" s="1205">
        <f t="shared" si="266"/>
        <v>0</v>
      </c>
      <c r="AS102" s="1205">
        <f t="shared" si="225"/>
        <v>0</v>
      </c>
      <c r="AT102" s="1205">
        <f t="shared" si="226"/>
        <v>0</v>
      </c>
      <c r="AU102" s="337" t="e">
        <f t="shared" si="227"/>
        <v>#DIV/0!</v>
      </c>
      <c r="AV102" s="337">
        <f t="shared" si="228"/>
        <v>0</v>
      </c>
      <c r="AW102" s="1130">
        <f t="shared" si="229"/>
        <v>0</v>
      </c>
      <c r="AX102" s="1172">
        <f t="shared" si="230"/>
        <v>0</v>
      </c>
      <c r="AY102" s="1130"/>
      <c r="AZ102" s="1130"/>
      <c r="BA102" s="337">
        <f t="shared" si="231"/>
        <v>0</v>
      </c>
      <c r="BB102" s="337">
        <f t="shared" si="232"/>
        <v>0</v>
      </c>
      <c r="BC102" s="337">
        <f t="shared" si="233"/>
        <v>0</v>
      </c>
      <c r="BJ102" s="38" t="b">
        <f t="shared" si="267"/>
        <v>0</v>
      </c>
      <c r="BK102" s="86">
        <f>IF(AND(AN102=TRUE,BL102=1),O102*VLOOKUP(H102,Fixtures!DN$27:EG$76,19,FALSE),0)</f>
        <v>0</v>
      </c>
      <c r="BL102" s="86">
        <f t="shared" si="268"/>
        <v>0</v>
      </c>
      <c r="BM102" s="38" t="b">
        <f t="shared" si="269"/>
        <v>1</v>
      </c>
      <c r="BN102" s="86">
        <f t="shared" si="270"/>
        <v>0</v>
      </c>
      <c r="BO102" s="86">
        <f t="shared" si="271"/>
        <v>0</v>
      </c>
      <c r="BQ102" s="337">
        <f t="shared" si="272"/>
        <v>0</v>
      </c>
      <c r="BR102" s="337">
        <f t="shared" si="273"/>
        <v>0</v>
      </c>
      <c r="BS102" s="86">
        <f t="shared" si="274"/>
        <v>0</v>
      </c>
      <c r="BT102" s="86">
        <f t="shared" si="275"/>
        <v>0</v>
      </c>
      <c r="BU102" s="86">
        <f t="shared" si="276"/>
        <v>0</v>
      </c>
      <c r="BW102" s="38" t="str">
        <f>IF(H102="","",IFERROR(VLOOKUP(H102,Fixtures!EQ$93:EQ$142,1,FALSE),FALSE))</f>
        <v/>
      </c>
    </row>
    <row r="103" spans="2:75" ht="14.3" customHeight="1">
      <c r="B103" s="1182" t="str">
        <f t="shared" si="186"/>
        <v/>
      </c>
      <c r="D103" s="928"/>
      <c r="E103" s="1992"/>
      <c r="F103" s="1992"/>
      <c r="G103" s="38">
        <v>22</v>
      </c>
      <c r="H103" s="1993"/>
      <c r="I103" s="1993"/>
      <c r="J103" s="1993"/>
      <c r="K103" s="1993"/>
      <c r="L103" s="1993"/>
      <c r="M103" s="1993"/>
      <c r="N103" s="1993"/>
      <c r="O103" s="1108"/>
      <c r="P103" s="1125" t="str">
        <f t="shared" si="187"/>
        <v/>
      </c>
      <c r="Q103" s="1994">
        <f t="shared" si="188"/>
        <v>0</v>
      </c>
      <c r="R103" s="1994"/>
      <c r="S103" s="1108"/>
      <c r="T103" s="1108"/>
      <c r="U103" s="1108"/>
      <c r="V103" s="1127" t="b">
        <f t="shared" si="189"/>
        <v>1</v>
      </c>
      <c r="W103" s="1995">
        <f t="shared" ref="W103:W111" si="278">IFERROR(Q103*W$78*AB$78/1000,0)</f>
        <v>0</v>
      </c>
      <c r="X103" s="1995"/>
      <c r="Y103" s="1174" t="e">
        <f t="shared" ref="Y103:Y111" si="279">AA$78</f>
        <v>#N/A</v>
      </c>
      <c r="Z103" s="1995">
        <f t="shared" si="190"/>
        <v>0</v>
      </c>
      <c r="AA103" s="1995"/>
      <c r="AB103" s="1174" t="e">
        <f t="shared" ref="AB103:AB111" si="280">AB$81</f>
        <v>#N/A</v>
      </c>
      <c r="AC103" s="1995">
        <f t="shared" si="191"/>
        <v>0</v>
      </c>
      <c r="AD103" s="1995"/>
      <c r="AE103" s="1201">
        <f>IFERROR(ROUND(SUM(S103:U103)*P103*W$78*AB$78*(1-AA79)/1000,0),0)</f>
        <v>0</v>
      </c>
      <c r="AG103" s="1995">
        <f t="shared" ref="AG103:AG111" si="281">IF(V103=FALSE,"ERROR!",Z103+AC103)</f>
        <v>0</v>
      </c>
      <c r="AH103" s="1995"/>
      <c r="AI103" s="1095"/>
      <c r="AJ103" s="1996" t="str">
        <f t="shared" si="193"/>
        <v/>
      </c>
      <c r="AK103" s="1997"/>
      <c r="AL103" s="1997"/>
      <c r="AN103" s="38" t="b">
        <f t="shared" si="194"/>
        <v>0</v>
      </c>
      <c r="AO103" s="86">
        <f t="shared" ref="AO103:AO111" si="282">IF(AN103=FALSE,O103,0)</f>
        <v>0</v>
      </c>
      <c r="AP103" s="1130" t="e">
        <f t="shared" ref="AP103:AP111" si="283">AO103/AO$112</f>
        <v>#DIV/0!</v>
      </c>
      <c r="AQ103" s="1205" t="e">
        <f t="shared" ref="AQ103:AQ111" si="284">AE$78*AP103</f>
        <v>#DIV/0!</v>
      </c>
      <c r="AR103" s="1205">
        <f t="shared" ref="AR103:AR111" si="285">W103</f>
        <v>0</v>
      </c>
      <c r="AS103" s="1205">
        <f t="shared" si="225"/>
        <v>0</v>
      </c>
      <c r="AT103" s="1205">
        <f t="shared" si="226"/>
        <v>0</v>
      </c>
      <c r="AU103" s="337" t="e">
        <f t="shared" si="227"/>
        <v>#DIV/0!</v>
      </c>
      <c r="AV103" s="337">
        <f t="shared" si="228"/>
        <v>0</v>
      </c>
      <c r="AW103" s="1130">
        <f t="shared" si="229"/>
        <v>0</v>
      </c>
      <c r="AX103" s="1172">
        <f t="shared" si="230"/>
        <v>0</v>
      </c>
      <c r="AY103" s="1130"/>
      <c r="AZ103" s="1130"/>
      <c r="BA103" s="337">
        <f t="shared" si="231"/>
        <v>0</v>
      </c>
      <c r="BB103" s="337">
        <f t="shared" si="232"/>
        <v>0</v>
      </c>
      <c r="BC103" s="337">
        <f t="shared" si="233"/>
        <v>0</v>
      </c>
      <c r="BJ103" s="38" t="b">
        <f t="shared" si="199"/>
        <v>0</v>
      </c>
      <c r="BK103" s="86">
        <f>IF(AND(AN103=TRUE,BL103=1),O103*VLOOKUP(H103,Fixtures!DN$27:EG$76,19,FALSE),0)</f>
        <v>0</v>
      </c>
      <c r="BL103" s="86">
        <f t="shared" si="200"/>
        <v>0</v>
      </c>
      <c r="BM103" s="38" t="b">
        <f t="shared" si="201"/>
        <v>1</v>
      </c>
      <c r="BN103" s="86">
        <f t="shared" si="202"/>
        <v>0</v>
      </c>
      <c r="BO103" s="86">
        <f t="shared" si="203"/>
        <v>0</v>
      </c>
      <c r="BQ103" s="337">
        <f t="shared" si="204"/>
        <v>0</v>
      </c>
      <c r="BR103" s="337">
        <f t="shared" si="205"/>
        <v>0</v>
      </c>
      <c r="BS103" s="86">
        <f t="shared" si="206"/>
        <v>0</v>
      </c>
      <c r="BT103" s="86">
        <f t="shared" si="207"/>
        <v>0</v>
      </c>
      <c r="BU103" s="86">
        <f t="shared" si="208"/>
        <v>0</v>
      </c>
      <c r="BW103" s="38" t="str">
        <f>IF(H103="","",IFERROR(VLOOKUP(H103,Fixtures!EQ$93:EQ$142,1,FALSE),FALSE))</f>
        <v/>
      </c>
    </row>
    <row r="104" spans="2:75" ht="14.3" customHeight="1">
      <c r="B104" s="1182" t="str">
        <f t="shared" si="186"/>
        <v/>
      </c>
      <c r="D104" s="928"/>
      <c r="E104" s="1992"/>
      <c r="F104" s="1992"/>
      <c r="G104" s="38">
        <v>23</v>
      </c>
      <c r="H104" s="1993"/>
      <c r="I104" s="1993"/>
      <c r="J104" s="1993"/>
      <c r="K104" s="1993"/>
      <c r="L104" s="1993"/>
      <c r="M104" s="1993"/>
      <c r="N104" s="1993"/>
      <c r="O104" s="1108"/>
      <c r="P104" s="1125" t="str">
        <f t="shared" si="187"/>
        <v/>
      </c>
      <c r="Q104" s="1994">
        <f t="shared" si="188"/>
        <v>0</v>
      </c>
      <c r="R104" s="1994"/>
      <c r="S104" s="1108"/>
      <c r="T104" s="1108"/>
      <c r="U104" s="1108"/>
      <c r="V104" s="1127" t="b">
        <f t="shared" si="189"/>
        <v>1</v>
      </c>
      <c r="W104" s="1995">
        <f t="shared" si="278"/>
        <v>0</v>
      </c>
      <c r="X104" s="1995"/>
      <c r="Y104" s="1174" t="e">
        <f t="shared" si="279"/>
        <v>#N/A</v>
      </c>
      <c r="Z104" s="1995">
        <f t="shared" si="190"/>
        <v>0</v>
      </c>
      <c r="AA104" s="1995"/>
      <c r="AB104" s="1174" t="e">
        <f t="shared" si="280"/>
        <v>#N/A</v>
      </c>
      <c r="AC104" s="1995">
        <f t="shared" si="191"/>
        <v>0</v>
      </c>
      <c r="AD104" s="1995"/>
      <c r="AE104" s="1201">
        <f>IFERROR(ROUND(SUM(S104:U104)*P104*W$78*AB$78*(1-AA80)/1000,0),0)</f>
        <v>0</v>
      </c>
      <c r="AG104" s="1995">
        <f t="shared" si="281"/>
        <v>0</v>
      </c>
      <c r="AH104" s="1995"/>
      <c r="AI104" s="1095"/>
      <c r="AJ104" s="1996" t="str">
        <f t="shared" si="193"/>
        <v/>
      </c>
      <c r="AK104" s="1997"/>
      <c r="AL104" s="1997"/>
      <c r="AN104" s="38" t="b">
        <f t="shared" si="194"/>
        <v>0</v>
      </c>
      <c r="AO104" s="86">
        <f t="shared" si="282"/>
        <v>0</v>
      </c>
      <c r="AP104" s="1130" t="e">
        <f t="shared" si="283"/>
        <v>#DIV/0!</v>
      </c>
      <c r="AQ104" s="1205" t="e">
        <f t="shared" si="284"/>
        <v>#DIV/0!</v>
      </c>
      <c r="AR104" s="1205">
        <f t="shared" si="285"/>
        <v>0</v>
      </c>
      <c r="AS104" s="1205">
        <f t="shared" si="225"/>
        <v>0</v>
      </c>
      <c r="AT104" s="1205">
        <f t="shared" si="226"/>
        <v>0</v>
      </c>
      <c r="AU104" s="337" t="e">
        <f t="shared" si="227"/>
        <v>#DIV/0!</v>
      </c>
      <c r="AV104" s="337">
        <f t="shared" si="228"/>
        <v>0</v>
      </c>
      <c r="AW104" s="1130">
        <f t="shared" si="229"/>
        <v>0</v>
      </c>
      <c r="AX104" s="1172">
        <f t="shared" si="230"/>
        <v>0</v>
      </c>
      <c r="AY104" s="1130"/>
      <c r="AZ104" s="1130"/>
      <c r="BA104" s="337">
        <f t="shared" si="231"/>
        <v>0</v>
      </c>
      <c r="BB104" s="337">
        <f t="shared" si="232"/>
        <v>0</v>
      </c>
      <c r="BC104" s="337">
        <f t="shared" si="233"/>
        <v>0</v>
      </c>
      <c r="BJ104" s="38" t="b">
        <f t="shared" si="199"/>
        <v>0</v>
      </c>
      <c r="BK104" s="86">
        <f>IF(AND(AN104=TRUE,BL104=1),O104*VLOOKUP(H104,Fixtures!DN$27:EG$76,19,FALSE),0)</f>
        <v>0</v>
      </c>
      <c r="BL104" s="86">
        <f t="shared" si="200"/>
        <v>0</v>
      </c>
      <c r="BM104" s="38" t="b">
        <f t="shared" si="201"/>
        <v>1</v>
      </c>
      <c r="BN104" s="86">
        <f t="shared" si="202"/>
        <v>0</v>
      </c>
      <c r="BO104" s="86">
        <f t="shared" si="203"/>
        <v>0</v>
      </c>
      <c r="BQ104" s="337">
        <f t="shared" si="204"/>
        <v>0</v>
      </c>
      <c r="BR104" s="337">
        <f t="shared" si="205"/>
        <v>0</v>
      </c>
      <c r="BS104" s="86">
        <f t="shared" si="206"/>
        <v>0</v>
      </c>
      <c r="BT104" s="86">
        <f t="shared" si="207"/>
        <v>0</v>
      </c>
      <c r="BU104" s="86">
        <f t="shared" si="208"/>
        <v>0</v>
      </c>
      <c r="BW104" s="38" t="str">
        <f>IF(H104="","",IFERROR(VLOOKUP(H104,Fixtures!EQ$93:EQ$142,1,FALSE),FALSE))</f>
        <v/>
      </c>
    </row>
    <row r="105" spans="2:75" ht="14.3" customHeight="1">
      <c r="B105" s="1182" t="str">
        <f t="shared" si="186"/>
        <v/>
      </c>
      <c r="D105" s="928"/>
      <c r="E105" s="1992"/>
      <c r="F105" s="1992"/>
      <c r="G105" s="38">
        <v>24</v>
      </c>
      <c r="H105" s="1993"/>
      <c r="I105" s="1993"/>
      <c r="J105" s="1993"/>
      <c r="K105" s="1993"/>
      <c r="L105" s="1993"/>
      <c r="M105" s="1993"/>
      <c r="N105" s="1993"/>
      <c r="O105" s="1108"/>
      <c r="P105" s="1125" t="str">
        <f t="shared" si="187"/>
        <v/>
      </c>
      <c r="Q105" s="1994">
        <f t="shared" si="188"/>
        <v>0</v>
      </c>
      <c r="R105" s="1994"/>
      <c r="S105" s="1108"/>
      <c r="T105" s="1108"/>
      <c r="U105" s="1108"/>
      <c r="V105" s="1127" t="b">
        <f t="shared" si="189"/>
        <v>1</v>
      </c>
      <c r="W105" s="1995">
        <f t="shared" si="278"/>
        <v>0</v>
      </c>
      <c r="X105" s="1995"/>
      <c r="Y105" s="1174" t="e">
        <f t="shared" si="279"/>
        <v>#N/A</v>
      </c>
      <c r="Z105" s="1995">
        <f t="shared" si="190"/>
        <v>0</v>
      </c>
      <c r="AA105" s="1995"/>
      <c r="AB105" s="1174" t="e">
        <f t="shared" si="280"/>
        <v>#N/A</v>
      </c>
      <c r="AC105" s="1995">
        <f t="shared" si="191"/>
        <v>0</v>
      </c>
      <c r="AD105" s="1995"/>
      <c r="AE105" s="1201">
        <f>IFERROR(ROUND(SUM(S105:U105)*P105*W$78*AB$78*(1-AA81)/1000,0),0)</f>
        <v>0</v>
      </c>
      <c r="AG105" s="1995">
        <f t="shared" si="281"/>
        <v>0</v>
      </c>
      <c r="AH105" s="1995"/>
      <c r="AI105" s="1095"/>
      <c r="AJ105" s="1996" t="str">
        <f t="shared" si="193"/>
        <v/>
      </c>
      <c r="AK105" s="1997"/>
      <c r="AL105" s="1997"/>
      <c r="AN105" s="38" t="b">
        <f t="shared" si="194"/>
        <v>0</v>
      </c>
      <c r="AO105" s="86">
        <f t="shared" si="282"/>
        <v>0</v>
      </c>
      <c r="AP105" s="1130" t="e">
        <f t="shared" si="283"/>
        <v>#DIV/0!</v>
      </c>
      <c r="AQ105" s="1205" t="e">
        <f t="shared" si="284"/>
        <v>#DIV/0!</v>
      </c>
      <c r="AR105" s="1205">
        <f t="shared" si="285"/>
        <v>0</v>
      </c>
      <c r="AS105" s="1205">
        <f t="shared" si="225"/>
        <v>0</v>
      </c>
      <c r="AT105" s="1205">
        <f t="shared" si="226"/>
        <v>0</v>
      </c>
      <c r="AU105" s="337" t="e">
        <f t="shared" si="227"/>
        <v>#DIV/0!</v>
      </c>
      <c r="AV105" s="337">
        <f t="shared" si="228"/>
        <v>0</v>
      </c>
      <c r="AW105" s="1130">
        <f t="shared" si="229"/>
        <v>0</v>
      </c>
      <c r="AX105" s="1172">
        <f t="shared" si="230"/>
        <v>0</v>
      </c>
      <c r="AY105" s="1130"/>
      <c r="AZ105" s="1130"/>
      <c r="BA105" s="337">
        <f t="shared" si="231"/>
        <v>0</v>
      </c>
      <c r="BB105" s="337">
        <f t="shared" si="232"/>
        <v>0</v>
      </c>
      <c r="BC105" s="337">
        <f t="shared" si="233"/>
        <v>0</v>
      </c>
      <c r="BJ105" s="38" t="b">
        <f t="shared" si="199"/>
        <v>0</v>
      </c>
      <c r="BK105" s="86">
        <f>IF(AND(AN105=TRUE,BL105=1),O105*VLOOKUP(H105,Fixtures!DN$27:EG$76,19,FALSE),0)</f>
        <v>0</v>
      </c>
      <c r="BL105" s="86">
        <f t="shared" si="200"/>
        <v>0</v>
      </c>
      <c r="BM105" s="38" t="b">
        <f t="shared" si="201"/>
        <v>1</v>
      </c>
      <c r="BN105" s="86">
        <f t="shared" si="202"/>
        <v>0</v>
      </c>
      <c r="BO105" s="86">
        <f t="shared" si="203"/>
        <v>0</v>
      </c>
      <c r="BQ105" s="337">
        <f t="shared" si="204"/>
        <v>0</v>
      </c>
      <c r="BR105" s="337">
        <f t="shared" si="205"/>
        <v>0</v>
      </c>
      <c r="BS105" s="86">
        <f t="shared" si="206"/>
        <v>0</v>
      </c>
      <c r="BT105" s="86">
        <f t="shared" si="207"/>
        <v>0</v>
      </c>
      <c r="BU105" s="86">
        <f t="shared" si="208"/>
        <v>0</v>
      </c>
      <c r="BW105" s="38" t="str">
        <f>IF(H105="","",IFERROR(VLOOKUP(H105,Fixtures!EQ$93:EQ$142,1,FALSE),FALSE))</f>
        <v/>
      </c>
    </row>
    <row r="106" spans="2:75" ht="14.3" customHeight="1">
      <c r="B106" s="1182" t="str">
        <f t="shared" si="186"/>
        <v/>
      </c>
      <c r="D106" s="928"/>
      <c r="E106" s="1992"/>
      <c r="F106" s="1992"/>
      <c r="G106" s="38">
        <v>25</v>
      </c>
      <c r="H106" s="1993"/>
      <c r="I106" s="1993"/>
      <c r="J106" s="1993"/>
      <c r="K106" s="1993"/>
      <c r="L106" s="1993"/>
      <c r="M106" s="1993"/>
      <c r="N106" s="1993"/>
      <c r="O106" s="1108"/>
      <c r="P106" s="1125" t="str">
        <f t="shared" si="187"/>
        <v/>
      </c>
      <c r="Q106" s="1994">
        <f t="shared" si="188"/>
        <v>0</v>
      </c>
      <c r="R106" s="1994"/>
      <c r="S106" s="1108"/>
      <c r="T106" s="1108"/>
      <c r="U106" s="1108"/>
      <c r="V106" s="1127" t="b">
        <f t="shared" si="189"/>
        <v>1</v>
      </c>
      <c r="W106" s="1995">
        <f t="shared" si="278"/>
        <v>0</v>
      </c>
      <c r="X106" s="1995"/>
      <c r="Y106" s="1174" t="e">
        <f t="shared" si="279"/>
        <v>#N/A</v>
      </c>
      <c r="Z106" s="1995">
        <f t="shared" si="190"/>
        <v>0</v>
      </c>
      <c r="AA106" s="1995"/>
      <c r="AB106" s="1174" t="e">
        <f t="shared" si="280"/>
        <v>#N/A</v>
      </c>
      <c r="AC106" s="1995">
        <f t="shared" si="191"/>
        <v>0</v>
      </c>
      <c r="AD106" s="1995"/>
      <c r="AE106" s="1201">
        <f>IFERROR(ROUND(SUM(S106:U106)*P106*W$78*AB$78*(1-AA82)/1000,0),0)</f>
        <v>0</v>
      </c>
      <c r="AG106" s="1995">
        <f t="shared" si="281"/>
        <v>0</v>
      </c>
      <c r="AH106" s="1995"/>
      <c r="AI106" s="1095"/>
      <c r="AJ106" s="1996" t="str">
        <f t="shared" si="193"/>
        <v/>
      </c>
      <c r="AK106" s="1997"/>
      <c r="AL106" s="1997"/>
      <c r="AN106" s="38" t="b">
        <f t="shared" si="194"/>
        <v>0</v>
      </c>
      <c r="AO106" s="86">
        <f t="shared" si="282"/>
        <v>0</v>
      </c>
      <c r="AP106" s="1130" t="e">
        <f t="shared" si="283"/>
        <v>#DIV/0!</v>
      </c>
      <c r="AQ106" s="1205" t="e">
        <f t="shared" si="284"/>
        <v>#DIV/0!</v>
      </c>
      <c r="AR106" s="1205">
        <f t="shared" si="285"/>
        <v>0</v>
      </c>
      <c r="AS106" s="1205">
        <f t="shared" si="225"/>
        <v>0</v>
      </c>
      <c r="AT106" s="1205">
        <f t="shared" si="226"/>
        <v>0</v>
      </c>
      <c r="AU106" s="337" t="e">
        <f t="shared" si="227"/>
        <v>#DIV/0!</v>
      </c>
      <c r="AV106" s="337">
        <f t="shared" si="228"/>
        <v>0</v>
      </c>
      <c r="AW106" s="1130">
        <f t="shared" si="229"/>
        <v>0</v>
      </c>
      <c r="AX106" s="1172">
        <f t="shared" si="230"/>
        <v>0</v>
      </c>
      <c r="AY106" s="1130"/>
      <c r="AZ106" s="1130"/>
      <c r="BA106" s="337">
        <f t="shared" si="231"/>
        <v>0</v>
      </c>
      <c r="BB106" s="337">
        <f t="shared" si="232"/>
        <v>0</v>
      </c>
      <c r="BC106" s="337">
        <f t="shared" si="233"/>
        <v>0</v>
      </c>
      <c r="BJ106" s="38" t="b">
        <f t="shared" si="199"/>
        <v>0</v>
      </c>
      <c r="BK106" s="86">
        <f>IF(AND(AN106=TRUE,BL106=1),O106*VLOOKUP(H106,Fixtures!DN$27:EG$76,19,FALSE),0)</f>
        <v>0</v>
      </c>
      <c r="BL106" s="86">
        <f t="shared" si="200"/>
        <v>0</v>
      </c>
      <c r="BM106" s="38" t="b">
        <f t="shared" si="201"/>
        <v>1</v>
      </c>
      <c r="BN106" s="86">
        <f t="shared" si="202"/>
        <v>0</v>
      </c>
      <c r="BO106" s="86">
        <f t="shared" si="203"/>
        <v>0</v>
      </c>
      <c r="BQ106" s="337">
        <f t="shared" si="204"/>
        <v>0</v>
      </c>
      <c r="BR106" s="337">
        <f t="shared" si="205"/>
        <v>0</v>
      </c>
      <c r="BS106" s="86">
        <f t="shared" si="206"/>
        <v>0</v>
      </c>
      <c r="BT106" s="86">
        <f t="shared" si="207"/>
        <v>0</v>
      </c>
      <c r="BU106" s="86">
        <f t="shared" si="208"/>
        <v>0</v>
      </c>
      <c r="BW106" s="38" t="str">
        <f>IF(H106="","",IFERROR(VLOOKUP(H106,Fixtures!EQ$93:EQ$142,1,FALSE),FALSE))</f>
        <v/>
      </c>
    </row>
    <row r="107" spans="2:75" ht="14.3" customHeight="1">
      <c r="B107" s="1182" t="str">
        <f t="shared" si="186"/>
        <v/>
      </c>
      <c r="D107" s="928"/>
      <c r="E107" s="1992"/>
      <c r="F107" s="1992"/>
      <c r="G107" s="38">
        <v>26</v>
      </c>
      <c r="H107" s="1993"/>
      <c r="I107" s="1993"/>
      <c r="J107" s="1993"/>
      <c r="K107" s="1993"/>
      <c r="L107" s="1993"/>
      <c r="M107" s="1993"/>
      <c r="N107" s="1993"/>
      <c r="O107" s="1108"/>
      <c r="P107" s="1125" t="str">
        <f t="shared" si="187"/>
        <v/>
      </c>
      <c r="Q107" s="1994">
        <f t="shared" si="188"/>
        <v>0</v>
      </c>
      <c r="R107" s="1994"/>
      <c r="S107" s="1108"/>
      <c r="T107" s="1108"/>
      <c r="U107" s="1108"/>
      <c r="V107" s="1127" t="b">
        <f t="shared" si="189"/>
        <v>1</v>
      </c>
      <c r="W107" s="1995">
        <f t="shared" si="278"/>
        <v>0</v>
      </c>
      <c r="X107" s="1995"/>
      <c r="Y107" s="1174" t="e">
        <f t="shared" si="279"/>
        <v>#N/A</v>
      </c>
      <c r="Z107" s="1995">
        <f t="shared" si="190"/>
        <v>0</v>
      </c>
      <c r="AA107" s="1995"/>
      <c r="AB107" s="1174" t="e">
        <f t="shared" si="280"/>
        <v>#N/A</v>
      </c>
      <c r="AC107" s="1995">
        <f t="shared" si="191"/>
        <v>0</v>
      </c>
      <c r="AD107" s="1995"/>
      <c r="AE107" s="1201">
        <f t="shared" ref="AE107:AE111" si="286">IFERROR(ROUND(SUM(S107:U107)*P107*W$78*AB$78*(1-AA103)/1000,0),0)</f>
        <v>0</v>
      </c>
      <c r="AG107" s="1995">
        <f t="shared" si="281"/>
        <v>0</v>
      </c>
      <c r="AH107" s="1995"/>
      <c r="AI107" s="1095"/>
      <c r="AJ107" s="1996" t="str">
        <f t="shared" si="193"/>
        <v/>
      </c>
      <c r="AK107" s="1997"/>
      <c r="AL107" s="1997"/>
      <c r="AN107" s="38" t="b">
        <f t="shared" si="194"/>
        <v>0</v>
      </c>
      <c r="AO107" s="86">
        <f t="shared" si="282"/>
        <v>0</v>
      </c>
      <c r="AP107" s="1130" t="e">
        <f t="shared" si="283"/>
        <v>#DIV/0!</v>
      </c>
      <c r="AQ107" s="1205" t="e">
        <f t="shared" si="284"/>
        <v>#DIV/0!</v>
      </c>
      <c r="AR107" s="1205">
        <f t="shared" si="285"/>
        <v>0</v>
      </c>
      <c r="AS107" s="1205">
        <f t="shared" si="225"/>
        <v>0</v>
      </c>
      <c r="AT107" s="1205">
        <f t="shared" si="226"/>
        <v>0</v>
      </c>
      <c r="AU107" s="337" t="e">
        <f t="shared" si="227"/>
        <v>#DIV/0!</v>
      </c>
      <c r="AV107" s="337">
        <f t="shared" si="228"/>
        <v>0</v>
      </c>
      <c r="AW107" s="1130">
        <f t="shared" si="229"/>
        <v>0</v>
      </c>
      <c r="AX107" s="1172">
        <f t="shared" si="230"/>
        <v>0</v>
      </c>
      <c r="AY107" s="1130"/>
      <c r="AZ107" s="1130"/>
      <c r="BA107" s="337">
        <f t="shared" si="231"/>
        <v>0</v>
      </c>
      <c r="BB107" s="337">
        <f t="shared" si="232"/>
        <v>0</v>
      </c>
      <c r="BC107" s="337">
        <f t="shared" si="233"/>
        <v>0</v>
      </c>
      <c r="BJ107" s="38" t="b">
        <f t="shared" si="199"/>
        <v>0</v>
      </c>
      <c r="BK107" s="86">
        <f>IF(AND(AN107=TRUE,BL107=1),O107*VLOOKUP(H107,Fixtures!DN$27:EG$76,19,FALSE),0)</f>
        <v>0</v>
      </c>
      <c r="BL107" s="86">
        <f t="shared" si="200"/>
        <v>0</v>
      </c>
      <c r="BM107" s="38" t="b">
        <f t="shared" si="201"/>
        <v>1</v>
      </c>
      <c r="BN107" s="86">
        <f t="shared" si="202"/>
        <v>0</v>
      </c>
      <c r="BO107" s="86">
        <f t="shared" si="203"/>
        <v>0</v>
      </c>
      <c r="BQ107" s="337">
        <f t="shared" si="204"/>
        <v>0</v>
      </c>
      <c r="BR107" s="337">
        <f t="shared" si="205"/>
        <v>0</v>
      </c>
      <c r="BS107" s="86">
        <f t="shared" si="206"/>
        <v>0</v>
      </c>
      <c r="BT107" s="86">
        <f t="shared" si="207"/>
        <v>0</v>
      </c>
      <c r="BU107" s="86">
        <f t="shared" si="208"/>
        <v>0</v>
      </c>
      <c r="BW107" s="38" t="str">
        <f>IF(H107="","",IFERROR(VLOOKUP(H107,Fixtures!EQ$93:EQ$142,1,FALSE),FALSE))</f>
        <v/>
      </c>
    </row>
    <row r="108" spans="2:75" ht="14.3" customHeight="1">
      <c r="B108" s="1182" t="str">
        <f t="shared" si="186"/>
        <v/>
      </c>
      <c r="D108" s="928"/>
      <c r="E108" s="1992"/>
      <c r="F108" s="1992"/>
      <c r="G108" s="38">
        <v>27</v>
      </c>
      <c r="H108" s="1993"/>
      <c r="I108" s="1993"/>
      <c r="J108" s="1993"/>
      <c r="K108" s="1993"/>
      <c r="L108" s="1993"/>
      <c r="M108" s="1993"/>
      <c r="N108" s="1993"/>
      <c r="O108" s="1108"/>
      <c r="P108" s="1125" t="str">
        <f t="shared" si="187"/>
        <v/>
      </c>
      <c r="Q108" s="1994">
        <f t="shared" si="188"/>
        <v>0</v>
      </c>
      <c r="R108" s="1994"/>
      <c r="S108" s="1108"/>
      <c r="T108" s="1108"/>
      <c r="U108" s="1108"/>
      <c r="V108" s="1127" t="b">
        <f t="shared" si="189"/>
        <v>1</v>
      </c>
      <c r="W108" s="1995">
        <f t="shared" si="278"/>
        <v>0</v>
      </c>
      <c r="X108" s="1995"/>
      <c r="Y108" s="1174" t="e">
        <f t="shared" si="279"/>
        <v>#N/A</v>
      </c>
      <c r="Z108" s="1995">
        <f t="shared" si="190"/>
        <v>0</v>
      </c>
      <c r="AA108" s="1995"/>
      <c r="AB108" s="1174" t="e">
        <f t="shared" si="280"/>
        <v>#N/A</v>
      </c>
      <c r="AC108" s="1995">
        <f t="shared" si="191"/>
        <v>0</v>
      </c>
      <c r="AD108" s="1995"/>
      <c r="AE108" s="1201">
        <f t="shared" si="286"/>
        <v>0</v>
      </c>
      <c r="AG108" s="1995">
        <f t="shared" si="281"/>
        <v>0</v>
      </c>
      <c r="AH108" s="1995"/>
      <c r="AI108" s="1095"/>
      <c r="AJ108" s="1996" t="str">
        <f t="shared" si="193"/>
        <v/>
      </c>
      <c r="AK108" s="1997"/>
      <c r="AL108" s="1997"/>
      <c r="AN108" s="38" t="b">
        <f t="shared" si="194"/>
        <v>0</v>
      </c>
      <c r="AO108" s="86">
        <f t="shared" si="282"/>
        <v>0</v>
      </c>
      <c r="AP108" s="1130" t="e">
        <f t="shared" si="283"/>
        <v>#DIV/0!</v>
      </c>
      <c r="AQ108" s="1205" t="e">
        <f t="shared" si="284"/>
        <v>#DIV/0!</v>
      </c>
      <c r="AR108" s="1205">
        <f t="shared" si="285"/>
        <v>0</v>
      </c>
      <c r="AS108" s="1205">
        <f t="shared" si="225"/>
        <v>0</v>
      </c>
      <c r="AT108" s="1205">
        <f t="shared" si="226"/>
        <v>0</v>
      </c>
      <c r="AU108" s="337" t="e">
        <f t="shared" si="227"/>
        <v>#DIV/0!</v>
      </c>
      <c r="AV108" s="337">
        <f t="shared" si="228"/>
        <v>0</v>
      </c>
      <c r="AW108" s="1130">
        <f t="shared" si="229"/>
        <v>0</v>
      </c>
      <c r="AX108" s="1172">
        <f t="shared" si="230"/>
        <v>0</v>
      </c>
      <c r="AY108" s="1130"/>
      <c r="AZ108" s="1130"/>
      <c r="BA108" s="337">
        <f t="shared" si="231"/>
        <v>0</v>
      </c>
      <c r="BB108" s="337">
        <f t="shared" si="232"/>
        <v>0</v>
      </c>
      <c r="BC108" s="337">
        <f t="shared" si="233"/>
        <v>0</v>
      </c>
      <c r="BJ108" s="38" t="b">
        <f t="shared" si="199"/>
        <v>0</v>
      </c>
      <c r="BK108" s="86">
        <f>IF(AND(AN108=TRUE,BL108=1),O108*VLOOKUP(H108,Fixtures!DN$27:EG$76,19,FALSE),0)</f>
        <v>0</v>
      </c>
      <c r="BL108" s="86">
        <f t="shared" si="200"/>
        <v>0</v>
      </c>
      <c r="BM108" s="38" t="b">
        <f t="shared" si="201"/>
        <v>1</v>
      </c>
      <c r="BN108" s="86">
        <f t="shared" si="202"/>
        <v>0</v>
      </c>
      <c r="BO108" s="86">
        <f t="shared" si="203"/>
        <v>0</v>
      </c>
      <c r="BQ108" s="337">
        <f t="shared" si="204"/>
        <v>0</v>
      </c>
      <c r="BR108" s="337">
        <f t="shared" si="205"/>
        <v>0</v>
      </c>
      <c r="BS108" s="86">
        <f t="shared" si="206"/>
        <v>0</v>
      </c>
      <c r="BT108" s="86">
        <f t="shared" si="207"/>
        <v>0</v>
      </c>
      <c r="BU108" s="86">
        <f t="shared" si="208"/>
        <v>0</v>
      </c>
      <c r="BW108" s="38" t="str">
        <f>IF(H108="","",IFERROR(VLOOKUP(H108,Fixtures!EQ$93:EQ$142,1,FALSE),FALSE))</f>
        <v/>
      </c>
    </row>
    <row r="109" spans="2:75" ht="14.3" customHeight="1">
      <c r="B109" s="1182" t="str">
        <f t="shared" si="186"/>
        <v/>
      </c>
      <c r="D109" s="928"/>
      <c r="E109" s="1992"/>
      <c r="F109" s="1992"/>
      <c r="G109" s="38">
        <v>28</v>
      </c>
      <c r="H109" s="1993"/>
      <c r="I109" s="1993"/>
      <c r="J109" s="1993"/>
      <c r="K109" s="1993"/>
      <c r="L109" s="1993"/>
      <c r="M109" s="1993"/>
      <c r="N109" s="1993"/>
      <c r="O109" s="1108"/>
      <c r="P109" s="1125" t="str">
        <f t="shared" si="187"/>
        <v/>
      </c>
      <c r="Q109" s="1994">
        <f t="shared" si="188"/>
        <v>0</v>
      </c>
      <c r="R109" s="1994"/>
      <c r="S109" s="1108"/>
      <c r="T109" s="1108"/>
      <c r="U109" s="1108"/>
      <c r="V109" s="1127" t="b">
        <f t="shared" si="189"/>
        <v>1</v>
      </c>
      <c r="W109" s="1995">
        <f t="shared" si="278"/>
        <v>0</v>
      </c>
      <c r="X109" s="1995"/>
      <c r="Y109" s="1174" t="e">
        <f t="shared" si="279"/>
        <v>#N/A</v>
      </c>
      <c r="Z109" s="1995">
        <f t="shared" si="190"/>
        <v>0</v>
      </c>
      <c r="AA109" s="1995"/>
      <c r="AB109" s="1174" t="e">
        <f t="shared" si="280"/>
        <v>#N/A</v>
      </c>
      <c r="AC109" s="1995">
        <f t="shared" si="191"/>
        <v>0</v>
      </c>
      <c r="AD109" s="1995"/>
      <c r="AE109" s="1201">
        <f t="shared" si="286"/>
        <v>0</v>
      </c>
      <c r="AG109" s="1995">
        <f t="shared" si="281"/>
        <v>0</v>
      </c>
      <c r="AH109" s="1995"/>
      <c r="AI109" s="1095"/>
      <c r="AJ109" s="1996" t="str">
        <f t="shared" si="193"/>
        <v/>
      </c>
      <c r="AK109" s="1997"/>
      <c r="AL109" s="1997"/>
      <c r="AN109" s="38" t="b">
        <f t="shared" si="194"/>
        <v>0</v>
      </c>
      <c r="AO109" s="86">
        <f t="shared" si="282"/>
        <v>0</v>
      </c>
      <c r="AP109" s="1130" t="e">
        <f t="shared" si="283"/>
        <v>#DIV/0!</v>
      </c>
      <c r="AQ109" s="1205" t="e">
        <f t="shared" si="284"/>
        <v>#DIV/0!</v>
      </c>
      <c r="AR109" s="1205">
        <f t="shared" si="285"/>
        <v>0</v>
      </c>
      <c r="AS109" s="1205">
        <f t="shared" si="225"/>
        <v>0</v>
      </c>
      <c r="AT109" s="1205">
        <f t="shared" si="226"/>
        <v>0</v>
      </c>
      <c r="AU109" s="337" t="e">
        <f t="shared" si="227"/>
        <v>#DIV/0!</v>
      </c>
      <c r="AV109" s="337">
        <f t="shared" si="228"/>
        <v>0</v>
      </c>
      <c r="AW109" s="1130">
        <f t="shared" si="229"/>
        <v>0</v>
      </c>
      <c r="AX109" s="1172">
        <f t="shared" si="230"/>
        <v>0</v>
      </c>
      <c r="AY109" s="1130"/>
      <c r="AZ109" s="1130"/>
      <c r="BA109" s="337">
        <f t="shared" si="231"/>
        <v>0</v>
      </c>
      <c r="BB109" s="337">
        <f t="shared" si="232"/>
        <v>0</v>
      </c>
      <c r="BC109" s="337">
        <f t="shared" si="233"/>
        <v>0</v>
      </c>
      <c r="BJ109" s="38" t="b">
        <f t="shared" si="199"/>
        <v>0</v>
      </c>
      <c r="BK109" s="86">
        <f>IF(AND(AN109=TRUE,BL109=1),O109*VLOOKUP(H109,Fixtures!DN$27:EG$76,19,FALSE),0)</f>
        <v>0</v>
      </c>
      <c r="BL109" s="86">
        <f t="shared" si="200"/>
        <v>0</v>
      </c>
      <c r="BM109" s="38" t="b">
        <f t="shared" si="201"/>
        <v>1</v>
      </c>
      <c r="BN109" s="86">
        <f t="shared" si="202"/>
        <v>0</v>
      </c>
      <c r="BO109" s="86">
        <f t="shared" si="203"/>
        <v>0</v>
      </c>
      <c r="BQ109" s="337">
        <f t="shared" si="204"/>
        <v>0</v>
      </c>
      <c r="BR109" s="337">
        <f t="shared" si="205"/>
        <v>0</v>
      </c>
      <c r="BS109" s="86">
        <f t="shared" si="206"/>
        <v>0</v>
      </c>
      <c r="BT109" s="86">
        <f t="shared" si="207"/>
        <v>0</v>
      </c>
      <c r="BU109" s="86">
        <f t="shared" si="208"/>
        <v>0</v>
      </c>
      <c r="BW109" s="38" t="str">
        <f>IF(H109="","",IFERROR(VLOOKUP(H109,Fixtures!EQ$93:EQ$142,1,FALSE),FALSE))</f>
        <v/>
      </c>
    </row>
    <row r="110" spans="2:75" ht="14.3" customHeight="1">
      <c r="B110" s="1182" t="str">
        <f t="shared" si="186"/>
        <v/>
      </c>
      <c r="D110" s="928"/>
      <c r="E110" s="1992"/>
      <c r="F110" s="1992"/>
      <c r="G110" s="38">
        <v>29</v>
      </c>
      <c r="H110" s="1993"/>
      <c r="I110" s="1993"/>
      <c r="J110" s="1993"/>
      <c r="K110" s="1993"/>
      <c r="L110" s="1993"/>
      <c r="M110" s="1993"/>
      <c r="N110" s="1993"/>
      <c r="O110" s="1108"/>
      <c r="P110" s="1125" t="str">
        <f t="shared" si="187"/>
        <v/>
      </c>
      <c r="Q110" s="1994">
        <f t="shared" si="188"/>
        <v>0</v>
      </c>
      <c r="R110" s="1994"/>
      <c r="S110" s="1108"/>
      <c r="T110" s="1108"/>
      <c r="U110" s="1108"/>
      <c r="V110" s="1127" t="b">
        <f t="shared" si="189"/>
        <v>1</v>
      </c>
      <c r="W110" s="1995">
        <f t="shared" si="278"/>
        <v>0</v>
      </c>
      <c r="X110" s="1995"/>
      <c r="Y110" s="1174" t="e">
        <f t="shared" si="279"/>
        <v>#N/A</v>
      </c>
      <c r="Z110" s="1995">
        <f t="shared" si="190"/>
        <v>0</v>
      </c>
      <c r="AA110" s="1995"/>
      <c r="AB110" s="1174" t="e">
        <f t="shared" si="280"/>
        <v>#N/A</v>
      </c>
      <c r="AC110" s="1995">
        <f t="shared" si="191"/>
        <v>0</v>
      </c>
      <c r="AD110" s="1995"/>
      <c r="AE110" s="1201">
        <f t="shared" si="286"/>
        <v>0</v>
      </c>
      <c r="AG110" s="1995">
        <f t="shared" si="281"/>
        <v>0</v>
      </c>
      <c r="AH110" s="1995"/>
      <c r="AI110" s="1095"/>
      <c r="AJ110" s="1996" t="str">
        <f t="shared" si="193"/>
        <v/>
      </c>
      <c r="AK110" s="1997"/>
      <c r="AL110" s="1997"/>
      <c r="AN110" s="38" t="b">
        <f t="shared" si="194"/>
        <v>0</v>
      </c>
      <c r="AO110" s="86">
        <f t="shared" si="282"/>
        <v>0</v>
      </c>
      <c r="AP110" s="1130" t="e">
        <f t="shared" si="283"/>
        <v>#DIV/0!</v>
      </c>
      <c r="AQ110" s="1205" t="e">
        <f t="shared" si="284"/>
        <v>#DIV/0!</v>
      </c>
      <c r="AR110" s="1205">
        <f t="shared" si="285"/>
        <v>0</v>
      </c>
      <c r="AS110" s="1205">
        <f t="shared" si="225"/>
        <v>0</v>
      </c>
      <c r="AT110" s="1205">
        <f t="shared" si="226"/>
        <v>0</v>
      </c>
      <c r="AU110" s="337" t="e">
        <f t="shared" si="227"/>
        <v>#DIV/0!</v>
      </c>
      <c r="AV110" s="337">
        <f t="shared" si="228"/>
        <v>0</v>
      </c>
      <c r="AW110" s="1130">
        <f t="shared" si="229"/>
        <v>0</v>
      </c>
      <c r="AX110" s="1172">
        <f t="shared" si="230"/>
        <v>0</v>
      </c>
      <c r="AY110" s="1130"/>
      <c r="AZ110" s="1130"/>
      <c r="BA110" s="337">
        <f t="shared" si="231"/>
        <v>0</v>
      </c>
      <c r="BB110" s="337">
        <f t="shared" si="232"/>
        <v>0</v>
      </c>
      <c r="BC110" s="337">
        <f t="shared" si="233"/>
        <v>0</v>
      </c>
      <c r="BJ110" s="38" t="b">
        <f t="shared" si="199"/>
        <v>0</v>
      </c>
      <c r="BK110" s="86">
        <f>IF(AND(AN110=TRUE,BL110=1),O110*VLOOKUP(H110,Fixtures!DN$27:EG$76,19,FALSE),0)</f>
        <v>0</v>
      </c>
      <c r="BL110" s="86">
        <f t="shared" si="200"/>
        <v>0</v>
      </c>
      <c r="BM110" s="38" t="b">
        <f t="shared" si="201"/>
        <v>1</v>
      </c>
      <c r="BN110" s="86">
        <f t="shared" si="202"/>
        <v>0</v>
      </c>
      <c r="BO110" s="86">
        <f t="shared" si="203"/>
        <v>0</v>
      </c>
      <c r="BQ110" s="337">
        <f t="shared" si="204"/>
        <v>0</v>
      </c>
      <c r="BR110" s="337">
        <f t="shared" si="205"/>
        <v>0</v>
      </c>
      <c r="BS110" s="86">
        <f t="shared" si="206"/>
        <v>0</v>
      </c>
      <c r="BT110" s="86">
        <f t="shared" si="207"/>
        <v>0</v>
      </c>
      <c r="BU110" s="86">
        <f t="shared" si="208"/>
        <v>0</v>
      </c>
      <c r="BW110" s="38" t="str">
        <f>IF(H110="","",IFERROR(VLOOKUP(H110,Fixtures!EQ$93:EQ$142,1,FALSE),FALSE))</f>
        <v/>
      </c>
    </row>
    <row r="111" spans="2:75" ht="14.3" customHeight="1">
      <c r="B111" s="1182" t="str">
        <f t="shared" si="186"/>
        <v/>
      </c>
      <c r="D111" s="928"/>
      <c r="E111" s="1992"/>
      <c r="F111" s="1992"/>
      <c r="G111" s="38">
        <v>30</v>
      </c>
      <c r="H111" s="1993"/>
      <c r="I111" s="1993"/>
      <c r="J111" s="1993"/>
      <c r="K111" s="1993"/>
      <c r="L111" s="1993"/>
      <c r="M111" s="1993"/>
      <c r="N111" s="1993"/>
      <c r="O111" s="1108"/>
      <c r="P111" s="1125" t="str">
        <f t="shared" si="187"/>
        <v/>
      </c>
      <c r="Q111" s="1994">
        <f t="shared" si="188"/>
        <v>0</v>
      </c>
      <c r="R111" s="1994"/>
      <c r="S111" s="1108"/>
      <c r="T111" s="1108"/>
      <c r="U111" s="1108"/>
      <c r="V111" s="1127" t="b">
        <f t="shared" si="189"/>
        <v>1</v>
      </c>
      <c r="W111" s="1995">
        <f t="shared" si="278"/>
        <v>0</v>
      </c>
      <c r="X111" s="1995"/>
      <c r="Y111" s="1174" t="e">
        <f t="shared" si="279"/>
        <v>#N/A</v>
      </c>
      <c r="Z111" s="1995">
        <f t="shared" si="190"/>
        <v>0</v>
      </c>
      <c r="AA111" s="1995"/>
      <c r="AB111" s="1174" t="e">
        <f t="shared" si="280"/>
        <v>#N/A</v>
      </c>
      <c r="AC111" s="1995">
        <f t="shared" si="191"/>
        <v>0</v>
      </c>
      <c r="AD111" s="1995"/>
      <c r="AE111" s="1201">
        <f t="shared" si="286"/>
        <v>0</v>
      </c>
      <c r="AG111" s="1995">
        <f t="shared" si="281"/>
        <v>0</v>
      </c>
      <c r="AH111" s="1995"/>
      <c r="AI111" s="1095"/>
      <c r="AJ111" s="1996" t="str">
        <f t="shared" si="193"/>
        <v/>
      </c>
      <c r="AK111" s="1997"/>
      <c r="AL111" s="1997"/>
      <c r="AN111" s="38" t="b">
        <f t="shared" si="194"/>
        <v>0</v>
      </c>
      <c r="AO111" s="86">
        <f t="shared" si="282"/>
        <v>0</v>
      </c>
      <c r="AP111" s="1130" t="e">
        <f t="shared" si="283"/>
        <v>#DIV/0!</v>
      </c>
      <c r="AQ111" s="1205" t="e">
        <f t="shared" si="284"/>
        <v>#DIV/0!</v>
      </c>
      <c r="AR111" s="1205">
        <f t="shared" si="285"/>
        <v>0</v>
      </c>
      <c r="AS111" s="1205">
        <f t="shared" si="225"/>
        <v>0</v>
      </c>
      <c r="AT111" s="1205">
        <f t="shared" si="226"/>
        <v>0</v>
      </c>
      <c r="AU111" s="337" t="e">
        <f t="shared" si="227"/>
        <v>#DIV/0!</v>
      </c>
      <c r="AV111" s="337">
        <f t="shared" si="228"/>
        <v>0</v>
      </c>
      <c r="AW111" s="1130">
        <f t="shared" si="229"/>
        <v>0</v>
      </c>
      <c r="AX111" s="1172">
        <f t="shared" si="230"/>
        <v>0</v>
      </c>
      <c r="AY111" s="1130"/>
      <c r="AZ111" s="1130"/>
      <c r="BA111" s="337">
        <f t="shared" si="231"/>
        <v>0</v>
      </c>
      <c r="BB111" s="337">
        <f t="shared" si="232"/>
        <v>0</v>
      </c>
      <c r="BC111" s="337">
        <f t="shared" si="233"/>
        <v>0</v>
      </c>
      <c r="BJ111" s="38" t="b">
        <f t="shared" si="199"/>
        <v>0</v>
      </c>
      <c r="BK111" s="86">
        <f>IF(AND(AN111=TRUE,BL111=1),O111*VLOOKUP(H111,Fixtures!DN$27:EG$76,19,FALSE),0)</f>
        <v>0</v>
      </c>
      <c r="BL111" s="86">
        <f t="shared" si="200"/>
        <v>0</v>
      </c>
      <c r="BM111" s="38" t="b">
        <f t="shared" si="201"/>
        <v>1</v>
      </c>
      <c r="BN111" s="86">
        <f t="shared" si="202"/>
        <v>0</v>
      </c>
      <c r="BO111" s="86">
        <f t="shared" si="203"/>
        <v>0</v>
      </c>
      <c r="BQ111" s="337">
        <f t="shared" si="204"/>
        <v>0</v>
      </c>
      <c r="BR111" s="337">
        <f t="shared" si="205"/>
        <v>0</v>
      </c>
      <c r="BS111" s="86">
        <f t="shared" si="206"/>
        <v>0</v>
      </c>
      <c r="BT111" s="86">
        <f t="shared" si="207"/>
        <v>0</v>
      </c>
      <c r="BU111" s="86">
        <f t="shared" si="208"/>
        <v>0</v>
      </c>
      <c r="BW111" s="38" t="str">
        <f>IF(H111="","",IFERROR(VLOOKUP(H111,Fixtures!EQ$93:EQ$142,1,FALSE),FALSE))</f>
        <v/>
      </c>
    </row>
    <row r="112" spans="2:75" ht="14.3" customHeight="1">
      <c r="D112" s="1109"/>
      <c r="E112" s="2008">
        <f>IF(AN112=0,0,SUM(E82:F111))</f>
        <v>0</v>
      </c>
      <c r="F112" s="2009"/>
      <c r="H112" s="1116"/>
      <c r="I112" s="1116"/>
      <c r="J112" s="1116"/>
      <c r="K112" s="1116"/>
      <c r="L112" s="1117"/>
      <c r="M112" s="1118"/>
      <c r="N112" s="86"/>
      <c r="O112" s="86"/>
      <c r="P112" s="86"/>
      <c r="Q112" s="542"/>
      <c r="S112" s="1132">
        <f>IF($V112&gt;0,0,SUM(S82:S111))</f>
        <v>0</v>
      </c>
      <c r="T112" s="1132">
        <f t="shared" ref="T112" si="287">SUM(T82:T111)</f>
        <v>0</v>
      </c>
      <c r="U112" s="1132">
        <f>SUM(U82:U111)</f>
        <v>0</v>
      </c>
      <c r="V112" s="1161">
        <f>COUNTIF(V82:V111,FALSE)</f>
        <v>0</v>
      </c>
      <c r="W112" s="2046">
        <f>ROUND(SUM(W82:X111),0)</f>
        <v>0</v>
      </c>
      <c r="X112" s="2047"/>
      <c r="Y112" s="1168"/>
      <c r="Z112" s="2046">
        <f>ROUND(SUM(Z82:AA111),0)</f>
        <v>0</v>
      </c>
      <c r="AA112" s="2047"/>
      <c r="AB112" s="1168"/>
      <c r="AC112" s="2046">
        <f>ROUND(SUM(AC82:AD111),0)</f>
        <v>0</v>
      </c>
      <c r="AD112" s="2047"/>
      <c r="AE112" s="1201">
        <f>SUM(AE82:AE111)</f>
        <v>0</v>
      </c>
      <c r="AF112" s="175"/>
      <c r="AG112" s="2046">
        <f>ROUND(SUM(AG82:AH111),0)</f>
        <v>0</v>
      </c>
      <c r="AH112" s="2047"/>
      <c r="AI112" s="1095"/>
      <c r="AN112" s="695">
        <f>COUNTIF(AN82:AN111,TRUE)</f>
        <v>0</v>
      </c>
      <c r="AO112" s="691">
        <f>SUM(AO82:AO111)</f>
        <v>0</v>
      </c>
      <c r="AP112" s="691"/>
      <c r="AQ112" s="691" t="e">
        <f>ROUND(SUM(AQ82:AQ111),0)</f>
        <v>#DIV/0!</v>
      </c>
      <c r="AR112" s="691">
        <f t="shared" ref="AR112:AT112" si="288">ROUND(SUM(AR82:AR111),0)</f>
        <v>0</v>
      </c>
      <c r="AS112" s="691">
        <f t="shared" si="288"/>
        <v>0</v>
      </c>
      <c r="AT112" s="691">
        <f t="shared" si="288"/>
        <v>0</v>
      </c>
      <c r="AU112" s="691" t="e">
        <f>ROUND(SUM(AU82:AU111),0)</f>
        <v>#DIV/0!</v>
      </c>
      <c r="AV112" s="691">
        <f>ROUND(SUM(AV82:AV111),0)</f>
        <v>0</v>
      </c>
      <c r="AX112" s="1173">
        <f>SUM(AX82:AX111)</f>
        <v>0</v>
      </c>
      <c r="BA112" s="691">
        <f>ROUND(SUM(BA82:BA111),0)</f>
        <v>0</v>
      </c>
      <c r="BB112" s="691">
        <f t="shared" ref="BB112:BC112" si="289">ROUND(SUM(BB82:BB111),0)</f>
        <v>0</v>
      </c>
      <c r="BC112" s="691">
        <f t="shared" si="289"/>
        <v>0</v>
      </c>
      <c r="BJ112" s="86">
        <f>COUNTIF(BJ82:BJ111,TRUE)</f>
        <v>0</v>
      </c>
      <c r="BK112" s="86">
        <f>SUM(BK82:BK111)</f>
        <v>0</v>
      </c>
      <c r="BQ112" s="691">
        <f>SUM(BQ82:BQ111)</f>
        <v>0</v>
      </c>
      <c r="BR112" s="691">
        <f>SUM(BR82:BR111)</f>
        <v>0</v>
      </c>
      <c r="BS112" s="691">
        <f>SUM(BS82:BS111)</f>
        <v>0</v>
      </c>
      <c r="BT112" s="691">
        <f>SUM(BT82:BT111)</f>
        <v>0</v>
      </c>
      <c r="BU112" s="691">
        <f>SUM(BU82:BU111)</f>
        <v>0</v>
      </c>
    </row>
    <row r="113" spans="5:35" ht="14.3" customHeight="1">
      <c r="E113" s="738"/>
      <c r="F113" s="738"/>
      <c r="G113" s="738"/>
      <c r="H113" s="738"/>
      <c r="I113" s="738"/>
      <c r="J113" s="738"/>
      <c r="K113" s="1169"/>
      <c r="L113" s="1169"/>
      <c r="M113" s="1169"/>
      <c r="N113" s="1169"/>
      <c r="O113" s="1169"/>
      <c r="P113" s="1169"/>
      <c r="Q113" s="1169"/>
      <c r="R113" s="738"/>
      <c r="S113" s="1169"/>
      <c r="T113" s="1170"/>
      <c r="U113" s="1170"/>
      <c r="V113" s="1170"/>
      <c r="W113" s="1170"/>
      <c r="X113" s="738"/>
      <c r="Y113" s="1169"/>
      <c r="Z113" s="1170"/>
      <c r="AA113" s="1170"/>
      <c r="AB113" s="1170"/>
      <c r="AC113" s="1170"/>
      <c r="AD113" s="738"/>
      <c r="AE113" s="1170"/>
      <c r="AF113" s="1170"/>
      <c r="AG113" s="738"/>
      <c r="AH113" s="738"/>
      <c r="AI113" s="738"/>
    </row>
    <row r="114" spans="5:35" ht="14.3" customHeight="1">
      <c r="K114" s="542"/>
      <c r="L114" s="542"/>
      <c r="M114" s="542"/>
      <c r="N114" s="542"/>
      <c r="O114" s="542"/>
      <c r="P114" s="542"/>
      <c r="Q114" s="542"/>
      <c r="S114" s="542"/>
      <c r="T114" s="1124"/>
      <c r="U114" s="1124"/>
      <c r="V114" s="1124"/>
      <c r="W114" s="1124"/>
      <c r="Y114" s="542"/>
      <c r="Z114" s="1124"/>
      <c r="AA114" s="1124"/>
      <c r="AB114" s="1124"/>
      <c r="AC114" s="1124"/>
      <c r="AE114" s="1124"/>
      <c r="AF114" s="1124"/>
    </row>
    <row r="115" spans="5:35" ht="14.3" customHeight="1">
      <c r="E115" s="465" t="s">
        <v>594</v>
      </c>
      <c r="K115" s="542"/>
      <c r="L115" s="542"/>
      <c r="M115" s="542"/>
      <c r="N115" s="542"/>
      <c r="O115" s="542"/>
      <c r="P115" s="542"/>
      <c r="Q115" s="542"/>
      <c r="S115" s="542"/>
      <c r="T115" s="1124"/>
      <c r="U115" s="1124"/>
      <c r="V115" s="1124"/>
      <c r="W115" s="1124"/>
      <c r="Y115" s="542"/>
      <c r="Z115" s="1124"/>
      <c r="AA115" s="1124"/>
      <c r="AB115" s="1124"/>
      <c r="AC115" s="1124"/>
      <c r="AE115" s="1124"/>
      <c r="AF115" s="1124"/>
    </row>
    <row r="116" spans="5:35" ht="14.3" customHeight="1">
      <c r="K116" s="542"/>
      <c r="L116" s="542"/>
      <c r="M116" s="542"/>
      <c r="N116" s="542"/>
      <c r="O116" s="542"/>
      <c r="P116" s="542"/>
      <c r="Q116" s="542"/>
      <c r="S116" s="542"/>
      <c r="T116" s="1124"/>
      <c r="U116" s="1124"/>
      <c r="V116" s="1124"/>
      <c r="W116" s="1124"/>
      <c r="Y116" s="542"/>
      <c r="Z116" s="1124"/>
      <c r="AA116" s="1124"/>
      <c r="AB116" s="1124"/>
      <c r="AC116" s="1124"/>
      <c r="AE116" s="1124"/>
      <c r="AF116" s="1124"/>
    </row>
    <row r="117" spans="5:35" ht="14.3" customHeight="1">
      <c r="K117" s="542"/>
      <c r="L117" s="542"/>
      <c r="M117" s="542"/>
      <c r="N117" s="542"/>
      <c r="O117" s="542"/>
      <c r="P117" s="542"/>
      <c r="Q117" s="542"/>
      <c r="S117" s="542"/>
      <c r="T117" s="1124"/>
      <c r="U117" s="1124"/>
      <c r="V117" s="1124"/>
      <c r="W117" s="1124"/>
      <c r="Y117" s="542"/>
      <c r="Z117" s="1124"/>
      <c r="AA117" s="1124"/>
      <c r="AB117" s="1124"/>
      <c r="AC117" s="1124"/>
      <c r="AE117" s="1124"/>
      <c r="AF117" s="1124"/>
    </row>
    <row r="118" spans="5:35" ht="14.3" customHeight="1">
      <c r="K118" s="542"/>
      <c r="L118" s="542"/>
      <c r="M118" s="542"/>
      <c r="N118" s="542"/>
      <c r="O118" s="542"/>
      <c r="P118" s="542"/>
      <c r="Q118" s="542"/>
      <c r="S118" s="542"/>
      <c r="T118" s="1124"/>
      <c r="U118" s="1124"/>
      <c r="V118" s="1124"/>
      <c r="W118" s="1124"/>
      <c r="Y118" s="542"/>
      <c r="Z118" s="1124"/>
      <c r="AA118" s="1124"/>
      <c r="AB118" s="1124"/>
      <c r="AC118" s="1124"/>
      <c r="AE118" s="1124"/>
      <c r="AF118" s="1124"/>
    </row>
    <row r="119" spans="5:35" ht="14.3" customHeight="1">
      <c r="K119" s="542"/>
      <c r="L119" s="542"/>
      <c r="M119" s="542"/>
      <c r="N119" s="542"/>
      <c r="O119" s="542"/>
      <c r="P119" s="542"/>
      <c r="Q119" s="542"/>
      <c r="S119" s="542"/>
      <c r="T119" s="1124"/>
      <c r="U119" s="1124"/>
      <c r="V119" s="1124"/>
      <c r="W119" s="1124"/>
      <c r="Y119" s="542"/>
      <c r="Z119" s="1124"/>
      <c r="AA119" s="1124"/>
      <c r="AB119" s="1124"/>
      <c r="AC119" s="1124"/>
      <c r="AE119" s="1124"/>
      <c r="AF119" s="1124"/>
    </row>
    <row r="120" spans="5:35" ht="14.3" customHeight="1">
      <c r="K120" s="542"/>
      <c r="L120" s="542"/>
      <c r="M120" s="542"/>
      <c r="N120" s="542"/>
      <c r="O120" s="542"/>
      <c r="P120" s="542"/>
      <c r="Q120" s="542"/>
      <c r="S120" s="542"/>
      <c r="T120" s="1124"/>
      <c r="U120" s="1124"/>
      <c r="V120" s="1124"/>
      <c r="W120" s="1124"/>
      <c r="Y120" s="542"/>
      <c r="Z120" s="1124"/>
      <c r="AA120" s="1124"/>
      <c r="AB120" s="1124"/>
      <c r="AC120" s="1124"/>
      <c r="AE120" s="1124"/>
      <c r="AF120" s="1124"/>
    </row>
    <row r="121" spans="5:35" ht="14.3" customHeight="1">
      <c r="K121" s="542"/>
      <c r="L121" s="542"/>
      <c r="M121" s="542"/>
      <c r="N121" s="542"/>
      <c r="O121" s="542"/>
      <c r="P121" s="542"/>
      <c r="Q121" s="542"/>
      <c r="S121" s="542"/>
      <c r="T121" s="1124"/>
      <c r="U121" s="1124"/>
      <c r="V121" s="1124"/>
      <c r="W121" s="1124"/>
      <c r="Y121" s="542"/>
      <c r="Z121" s="1124"/>
      <c r="AA121" s="1124"/>
      <c r="AB121" s="1124"/>
      <c r="AC121" s="1124"/>
      <c r="AE121" s="1124"/>
      <c r="AF121" s="1124"/>
    </row>
    <row r="122" spans="5:35" ht="14.3" customHeight="1">
      <c r="K122" s="542"/>
      <c r="L122" s="542"/>
      <c r="M122" s="542"/>
      <c r="N122" s="542"/>
      <c r="O122" s="542"/>
      <c r="P122" s="542"/>
      <c r="Q122" s="542"/>
      <c r="S122" s="542"/>
      <c r="T122" s="1124"/>
      <c r="U122" s="1124"/>
      <c r="V122" s="1124"/>
      <c r="W122" s="1124"/>
      <c r="Y122" s="542"/>
      <c r="Z122" s="1124"/>
      <c r="AA122" s="1124"/>
      <c r="AB122" s="1124"/>
      <c r="AC122" s="1124"/>
      <c r="AE122" s="1124"/>
      <c r="AF122" s="1124"/>
    </row>
    <row r="123" spans="5:35" ht="14.3" customHeight="1">
      <c r="K123" s="542"/>
      <c r="L123" s="542"/>
      <c r="M123" s="542"/>
      <c r="N123" s="542"/>
      <c r="O123" s="542"/>
      <c r="P123" s="542"/>
      <c r="Q123" s="542"/>
      <c r="S123" s="542"/>
      <c r="T123" s="1124"/>
      <c r="U123" s="1124"/>
      <c r="V123" s="1124"/>
      <c r="W123" s="1124"/>
      <c r="Y123" s="542"/>
      <c r="Z123" s="1124"/>
      <c r="AA123" s="1124"/>
      <c r="AB123" s="1124"/>
      <c r="AC123" s="1124"/>
      <c r="AE123" s="1124"/>
      <c r="AF123" s="1124"/>
    </row>
    <row r="124" spans="5:35" ht="14.3" customHeight="1">
      <c r="K124" s="542"/>
      <c r="L124" s="542"/>
      <c r="M124" s="542"/>
      <c r="N124" s="542"/>
      <c r="O124" s="542"/>
      <c r="P124" s="542"/>
      <c r="Q124" s="542"/>
      <c r="S124" s="542"/>
      <c r="T124" s="1124"/>
      <c r="U124" s="1124"/>
      <c r="V124" s="1124"/>
      <c r="W124" s="1124"/>
      <c r="Y124" s="542"/>
      <c r="Z124" s="1124"/>
      <c r="AA124" s="1124"/>
      <c r="AB124" s="1124"/>
      <c r="AC124" s="1124"/>
      <c r="AE124" s="1124"/>
      <c r="AF124" s="1124"/>
    </row>
    <row r="125" spans="5:35">
      <c r="K125" s="542"/>
      <c r="L125" s="542"/>
      <c r="M125" s="542"/>
      <c r="N125" s="542"/>
      <c r="O125" s="542"/>
      <c r="P125" s="542"/>
      <c r="Q125" s="542"/>
      <c r="S125" s="542"/>
      <c r="T125" s="1124"/>
      <c r="U125" s="1124"/>
      <c r="V125" s="1124"/>
      <c r="W125" s="1124"/>
      <c r="Y125" s="542"/>
      <c r="Z125" s="1124"/>
      <c r="AA125" s="1124"/>
      <c r="AB125" s="1124"/>
      <c r="AC125" s="1124"/>
      <c r="AD125" s="542"/>
      <c r="AE125" s="1124"/>
      <c r="AF125" s="1124"/>
      <c r="AG125" s="542"/>
      <c r="AH125" s="542"/>
      <c r="AI125" s="544"/>
    </row>
    <row r="126" spans="5:35">
      <c r="K126" s="2045"/>
      <c r="L126" s="2045"/>
      <c r="M126" s="544"/>
      <c r="N126" s="2045"/>
      <c r="O126" s="2045"/>
      <c r="P126" s="2045"/>
      <c r="Q126" s="2045"/>
      <c r="S126" s="544"/>
      <c r="T126" s="2045"/>
      <c r="U126" s="2045"/>
      <c r="V126" s="2045"/>
      <c r="W126" s="2045"/>
      <c r="Y126" s="544"/>
      <c r="Z126" s="2045"/>
      <c r="AA126" s="2045"/>
      <c r="AB126" s="2045"/>
      <c r="AC126" s="2045"/>
      <c r="AD126" s="542"/>
      <c r="AE126" s="2045"/>
      <c r="AF126" s="2045"/>
      <c r="AG126" s="542"/>
      <c r="AH126" s="542"/>
      <c r="AI126" s="544"/>
    </row>
    <row r="127" spans="5:35">
      <c r="I127" s="1107"/>
      <c r="K127" s="2044"/>
      <c r="L127" s="2044"/>
      <c r="M127" s="1123"/>
      <c r="N127" s="2044"/>
      <c r="O127" s="2044"/>
      <c r="P127" s="2044"/>
      <c r="Q127" s="2044"/>
      <c r="S127" s="1123"/>
      <c r="T127" s="2044"/>
      <c r="U127" s="2044"/>
      <c r="V127" s="2044"/>
      <c r="W127" s="2044"/>
      <c r="Y127" s="1123"/>
      <c r="Z127" s="2044"/>
      <c r="AA127" s="2044"/>
      <c r="AB127" s="2044"/>
      <c r="AC127" s="2044"/>
      <c r="AD127" s="1118"/>
      <c r="AE127" s="2044"/>
      <c r="AF127" s="2044"/>
      <c r="AG127" s="1118"/>
      <c r="AI127" s="86"/>
    </row>
    <row r="128" spans="5:35">
      <c r="I128" s="1107"/>
      <c r="K128" s="2044"/>
      <c r="L128" s="2044"/>
      <c r="M128" s="1123"/>
      <c r="N128" s="2044"/>
      <c r="O128" s="2044"/>
      <c r="P128" s="2044"/>
      <c r="Q128" s="2044"/>
      <c r="S128" s="1123"/>
      <c r="T128" s="2044"/>
      <c r="U128" s="2044"/>
      <c r="V128" s="2044"/>
      <c r="W128" s="2044"/>
      <c r="Y128" s="1123"/>
      <c r="Z128" s="2044"/>
      <c r="AA128" s="2044"/>
      <c r="AB128" s="2044"/>
      <c r="AC128" s="2044"/>
      <c r="AD128" s="1118"/>
      <c r="AE128" s="2044"/>
      <c r="AF128" s="2044"/>
      <c r="AG128" s="1118"/>
      <c r="AI128" s="86"/>
    </row>
    <row r="129" spans="9:35">
      <c r="I129" s="1107"/>
      <c r="K129" s="2044"/>
      <c r="L129" s="2044"/>
      <c r="M129" s="1123"/>
      <c r="N129" s="2044"/>
      <c r="O129" s="2044"/>
      <c r="P129" s="2044"/>
      <c r="Q129" s="2044"/>
      <c r="S129" s="1123"/>
      <c r="T129" s="2044"/>
      <c r="U129" s="2044"/>
      <c r="V129" s="2044"/>
      <c r="W129" s="2044"/>
      <c r="Y129" s="1123"/>
      <c r="Z129" s="2044"/>
      <c r="AA129" s="2044"/>
      <c r="AB129" s="2044"/>
      <c r="AC129" s="2044"/>
      <c r="AD129" s="1118"/>
      <c r="AE129" s="2044"/>
      <c r="AF129" s="2044"/>
      <c r="AG129" s="1118"/>
      <c r="AI129" s="86"/>
    </row>
    <row r="130" spans="9:35">
      <c r="K130" s="2044"/>
      <c r="L130" s="2044"/>
      <c r="N130" s="2044"/>
      <c r="O130" s="2044"/>
      <c r="P130" s="2044"/>
      <c r="Q130" s="2044"/>
      <c r="T130" s="2044"/>
      <c r="U130" s="2044"/>
      <c r="V130" s="2044"/>
      <c r="W130" s="2044"/>
      <c r="Z130" s="2044"/>
      <c r="AA130" s="2044"/>
      <c r="AB130" s="2044"/>
      <c r="AC130" s="2044"/>
      <c r="AE130" s="2044"/>
      <c r="AF130" s="2044"/>
      <c r="AI130" s="86"/>
    </row>
    <row r="131" spans="9:35">
      <c r="AG131" s="86"/>
      <c r="AH131" s="86"/>
      <c r="AI131" s="86"/>
    </row>
    <row r="132" spans="9:35">
      <c r="K132" s="2045"/>
      <c r="L132" s="2045"/>
      <c r="M132" s="2045"/>
      <c r="N132" s="2045"/>
      <c r="O132" s="2045"/>
      <c r="P132" s="2045"/>
      <c r="Q132" s="2045"/>
      <c r="R132" s="1097"/>
      <c r="S132" s="1097"/>
      <c r="T132" s="1097"/>
      <c r="Z132" s="1097"/>
      <c r="AA132" s="1097"/>
      <c r="AB132" s="1097"/>
      <c r="AC132" s="1097"/>
      <c r="AD132" s="1097"/>
      <c r="AE132" s="1097"/>
    </row>
    <row r="133" spans="9:35">
      <c r="K133" s="2045"/>
      <c r="L133" s="2045"/>
      <c r="M133" s="2045"/>
      <c r="N133" s="2045"/>
      <c r="O133" s="2045"/>
      <c r="P133" s="2045"/>
      <c r="Q133" s="2045"/>
      <c r="R133" s="1097"/>
      <c r="S133" s="1097"/>
      <c r="T133" s="1097"/>
      <c r="Z133" s="1097"/>
      <c r="AA133" s="1097"/>
      <c r="AB133" s="1097"/>
      <c r="AC133" s="1097"/>
      <c r="AD133" s="1097"/>
      <c r="AE133" s="1097"/>
    </row>
    <row r="134" spans="9:35">
      <c r="K134" s="2045"/>
      <c r="L134" s="2045"/>
      <c r="M134" s="544"/>
      <c r="N134" s="2045"/>
      <c r="O134" s="2045"/>
      <c r="P134" s="2045"/>
      <c r="Q134" s="2045"/>
      <c r="R134" s="1097"/>
      <c r="S134" s="1097"/>
      <c r="T134" s="1097"/>
      <c r="Z134" s="1097"/>
      <c r="AA134" s="1097"/>
      <c r="AB134" s="1097"/>
      <c r="AC134" s="1097"/>
      <c r="AD134" s="1097"/>
      <c r="AE134" s="1097"/>
    </row>
    <row r="135" spans="9:35">
      <c r="I135" s="1107"/>
      <c r="K135" s="2044"/>
      <c r="L135" s="2044"/>
      <c r="M135" s="1123"/>
      <c r="N135" s="2044"/>
      <c r="O135" s="2044"/>
      <c r="P135" s="2044"/>
      <c r="Q135" s="2044"/>
      <c r="R135" s="1097"/>
      <c r="S135" s="1097"/>
      <c r="T135" s="1097"/>
      <c r="Z135" s="1097"/>
      <c r="AA135" s="1097"/>
      <c r="AB135" s="1097"/>
      <c r="AC135" s="1097"/>
      <c r="AD135" s="1097"/>
      <c r="AE135" s="1097"/>
    </row>
    <row r="136" spans="9:35">
      <c r="I136" s="1107"/>
      <c r="K136" s="2044"/>
      <c r="L136" s="2044"/>
      <c r="M136" s="1123"/>
      <c r="N136" s="2044"/>
      <c r="O136" s="2044"/>
      <c r="P136" s="2044"/>
      <c r="Q136" s="2044"/>
      <c r="R136" s="1097"/>
      <c r="S136" s="1097"/>
      <c r="T136" s="1097"/>
      <c r="Z136" s="1097"/>
      <c r="AA136" s="1097"/>
      <c r="AB136" s="1097"/>
      <c r="AC136" s="1097"/>
      <c r="AD136" s="1097"/>
      <c r="AE136" s="1097"/>
    </row>
    <row r="137" spans="9:35">
      <c r="I137" s="1107"/>
      <c r="K137" s="2044"/>
      <c r="L137" s="2044"/>
      <c r="M137" s="1123"/>
      <c r="N137" s="2044"/>
      <c r="O137" s="2044"/>
      <c r="P137" s="2044"/>
      <c r="Q137" s="2044"/>
      <c r="R137" s="1097"/>
      <c r="S137" s="1097"/>
      <c r="T137" s="1097"/>
      <c r="Z137" s="1097"/>
      <c r="AA137" s="1097"/>
      <c r="AB137" s="1097"/>
      <c r="AC137" s="1097"/>
      <c r="AD137" s="1097"/>
      <c r="AE137" s="1097"/>
    </row>
    <row r="138" spans="9:35">
      <c r="K138" s="2044"/>
      <c r="L138" s="2044"/>
      <c r="N138" s="2044"/>
      <c r="O138" s="2044"/>
      <c r="P138" s="2044"/>
      <c r="Q138" s="2044"/>
      <c r="R138" s="1097"/>
      <c r="S138" s="1097"/>
      <c r="T138" s="1097"/>
      <c r="U138" s="1097"/>
      <c r="V138" s="1097"/>
      <c r="W138" s="1097"/>
      <c r="X138" s="1097"/>
      <c r="Y138" s="1097"/>
      <c r="Z138" s="1097"/>
      <c r="AA138" s="1097"/>
      <c r="AB138" s="1097"/>
      <c r="AC138" s="1097"/>
      <c r="AD138" s="1097"/>
      <c r="AE138" s="1097"/>
    </row>
    <row r="139" spans="9:35">
      <c r="R139" s="1097"/>
      <c r="S139" s="1097"/>
      <c r="T139" s="1097"/>
      <c r="U139" s="1097"/>
      <c r="V139" s="1097"/>
      <c r="W139" s="1097"/>
      <c r="X139" s="1097"/>
      <c r="Y139" s="1097"/>
      <c r="Z139" s="1097"/>
      <c r="AA139" s="1097"/>
      <c r="AB139" s="1097"/>
      <c r="AC139" s="1097"/>
      <c r="AD139" s="1097"/>
      <c r="AE139" s="1097"/>
    </row>
    <row r="140" spans="9:35">
      <c r="R140" s="1097"/>
      <c r="S140" s="1097"/>
      <c r="T140" s="1097"/>
      <c r="U140" s="1097"/>
      <c r="V140" s="1097"/>
      <c r="W140" s="1097"/>
      <c r="X140" s="1097"/>
      <c r="Y140" s="1097"/>
      <c r="Z140" s="1097"/>
      <c r="AA140" s="1097"/>
      <c r="AB140" s="1097"/>
      <c r="AC140" s="1097"/>
      <c r="AD140" s="1097"/>
      <c r="AE140" s="1097"/>
    </row>
    <row r="141" spans="9:35">
      <c r="R141" s="1097"/>
      <c r="S141" s="1097"/>
      <c r="T141" s="1097"/>
      <c r="U141" s="1097"/>
      <c r="V141" s="1097"/>
      <c r="W141" s="1097"/>
      <c r="X141" s="1097"/>
      <c r="Y141" s="1097"/>
      <c r="Z141" s="1097"/>
      <c r="AA141" s="1097"/>
      <c r="AB141" s="1097"/>
      <c r="AC141" s="1097"/>
      <c r="AD141" s="1097"/>
      <c r="AE141" s="1097"/>
    </row>
    <row r="142" spans="9:35">
      <c r="R142" s="1097"/>
      <c r="S142" s="1097"/>
      <c r="T142" s="1097"/>
      <c r="U142" s="1097"/>
      <c r="V142" s="1097"/>
      <c r="W142" s="1097"/>
      <c r="X142" s="1097"/>
      <c r="Y142" s="1097"/>
      <c r="Z142" s="1097"/>
      <c r="AA142" s="1097"/>
      <c r="AB142" s="1097"/>
      <c r="AC142" s="1097"/>
      <c r="AD142" s="1097"/>
      <c r="AE142" s="1097"/>
    </row>
    <row r="143" spans="9:35">
      <c r="R143" s="1097"/>
      <c r="S143" s="1097"/>
      <c r="T143" s="1097"/>
      <c r="U143" s="1097"/>
      <c r="V143" s="1097"/>
      <c r="W143" s="1097"/>
      <c r="X143" s="1097"/>
      <c r="Y143" s="1097"/>
      <c r="Z143" s="1097"/>
      <c r="AA143" s="1097"/>
      <c r="AB143" s="1097"/>
      <c r="AC143" s="1097"/>
      <c r="AD143" s="1097"/>
      <c r="AE143" s="1097"/>
    </row>
    <row r="144" spans="9:35">
      <c r="R144" s="1097"/>
      <c r="S144" s="1097"/>
      <c r="T144" s="1097"/>
      <c r="U144" s="1097"/>
      <c r="V144" s="1097"/>
      <c r="W144" s="1097"/>
      <c r="X144" s="1097"/>
      <c r="Y144" s="1097"/>
      <c r="Z144" s="1097"/>
      <c r="AA144" s="1097"/>
      <c r="AB144" s="1097"/>
      <c r="AC144" s="1097"/>
      <c r="AD144" s="1097"/>
      <c r="AE144" s="1097"/>
    </row>
    <row r="145" spans="18:31">
      <c r="R145" s="1097"/>
      <c r="S145" s="1097"/>
      <c r="T145" s="1097"/>
      <c r="U145" s="1097"/>
      <c r="V145" s="1097"/>
      <c r="W145" s="1097"/>
      <c r="X145" s="1097"/>
      <c r="Y145" s="1097"/>
      <c r="Z145" s="1097"/>
      <c r="AA145" s="1097"/>
      <c r="AB145" s="1097"/>
      <c r="AC145" s="1097"/>
      <c r="AD145" s="1097"/>
      <c r="AE145" s="1097"/>
    </row>
  </sheetData>
  <sheetProtection algorithmName="SHA-512" hashValue="f1fwix/nm7e7GOcyNBGVWzva49Qd8hlGB2m/7HI1cLMJNrAFacvYzTZ7/q1JfIe/lTQMfUlztyduhT3nP+qUBA==" saltValue="d1Nq0vC8DRnrh5VOS6GWqw==" spinCount="100000" sheet="1" selectLockedCells="1"/>
  <mergeCells count="650">
    <mergeCell ref="AC55:AD55"/>
    <mergeCell ref="AC103:AD103"/>
    <mergeCell ref="K20:S20"/>
    <mergeCell ref="AG112:AH112"/>
    <mergeCell ref="AC109:AD109"/>
    <mergeCell ref="W110:X110"/>
    <mergeCell ref="Z110:AA110"/>
    <mergeCell ref="AC110:AD110"/>
    <mergeCell ref="W104:X104"/>
    <mergeCell ref="Z104:AA104"/>
    <mergeCell ref="AC104:AD104"/>
    <mergeCell ref="W105:X105"/>
    <mergeCell ref="Z105:AA105"/>
    <mergeCell ref="AC105:AD105"/>
    <mergeCell ref="AC106:AD106"/>
    <mergeCell ref="W107:X107"/>
    <mergeCell ref="Z107:AA107"/>
    <mergeCell ref="AC107:AD107"/>
    <mergeCell ref="W108:X108"/>
    <mergeCell ref="Z108:AA108"/>
    <mergeCell ref="AC108:AD108"/>
    <mergeCell ref="AG40:AH40"/>
    <mergeCell ref="H43:N43"/>
    <mergeCell ref="H54:N54"/>
    <mergeCell ref="H55:N55"/>
    <mergeCell ref="W76:W77"/>
    <mergeCell ref="W81:X81"/>
    <mergeCell ref="W73:X73"/>
    <mergeCell ref="Z73:AA73"/>
    <mergeCell ref="AC73:AD73"/>
    <mergeCell ref="AG73:AH73"/>
    <mergeCell ref="AE76:AF77"/>
    <mergeCell ref="AC78:AD78"/>
    <mergeCell ref="AE78:AF78"/>
    <mergeCell ref="AB76:AB77"/>
    <mergeCell ref="AC76:AD77"/>
    <mergeCell ref="AC56:AD56"/>
    <mergeCell ref="AC57:AD57"/>
    <mergeCell ref="AC58:AD58"/>
    <mergeCell ref="AC69:AD69"/>
    <mergeCell ref="Z56:AA56"/>
    <mergeCell ref="Z57:AA57"/>
    <mergeCell ref="Z58:AA58"/>
    <mergeCell ref="Z69:AA69"/>
    <mergeCell ref="H72:N72"/>
    <mergeCell ref="Q72:R72"/>
    <mergeCell ref="W72:X72"/>
    <mergeCell ref="Z72:AA72"/>
    <mergeCell ref="AJ109:AL109"/>
    <mergeCell ref="AJ110:AL110"/>
    <mergeCell ref="AJ111:AL111"/>
    <mergeCell ref="AG79:AH79"/>
    <mergeCell ref="AJ104:AL104"/>
    <mergeCell ref="AJ105:AL105"/>
    <mergeCell ref="AJ106:AL106"/>
    <mergeCell ref="AJ107:AL107"/>
    <mergeCell ref="AJ108:AL108"/>
    <mergeCell ref="AG109:AH109"/>
    <mergeCell ref="AG110:AH110"/>
    <mergeCell ref="AJ82:AL82"/>
    <mergeCell ref="AJ103:AL103"/>
    <mergeCell ref="AG82:AH82"/>
    <mergeCell ref="AG111:AH111"/>
    <mergeCell ref="AG106:AH106"/>
    <mergeCell ref="AG107:AH107"/>
    <mergeCell ref="AG108:AH108"/>
    <mergeCell ref="AG104:AH104"/>
    <mergeCell ref="AG105:AH105"/>
    <mergeCell ref="AJ55:AL55"/>
    <mergeCell ref="AJ56:AL56"/>
    <mergeCell ref="AJ57:AL57"/>
    <mergeCell ref="AJ58:AL58"/>
    <mergeCell ref="AJ69:AL69"/>
    <mergeCell ref="AJ70:AL70"/>
    <mergeCell ref="AG103:AH103"/>
    <mergeCell ref="AG43:AH43"/>
    <mergeCell ref="AG54:AH54"/>
    <mergeCell ref="AG55:AH55"/>
    <mergeCell ref="AG56:AH56"/>
    <mergeCell ref="AG57:AH57"/>
    <mergeCell ref="AG58:AH58"/>
    <mergeCell ref="AG69:AH69"/>
    <mergeCell ref="AG70:AH70"/>
    <mergeCell ref="AJ80:AL80"/>
    <mergeCell ref="AG71:AH71"/>
    <mergeCell ref="AG76:AH77"/>
    <mergeCell ref="AG78:AH78"/>
    <mergeCell ref="AJ54:AL54"/>
    <mergeCell ref="AJ43:AL43"/>
    <mergeCell ref="AG72:AH72"/>
    <mergeCell ref="AJ72:AL72"/>
    <mergeCell ref="AG64:AH64"/>
    <mergeCell ref="AJ41:AL41"/>
    <mergeCell ref="AG42:AH42"/>
    <mergeCell ref="AG81:AH81"/>
    <mergeCell ref="AJ71:AL71"/>
    <mergeCell ref="AC39:AD39"/>
    <mergeCell ref="AC70:AD70"/>
    <mergeCell ref="AC71:AD71"/>
    <mergeCell ref="Q38:R38"/>
    <mergeCell ref="Q39:R39"/>
    <mergeCell ref="Q43:R43"/>
    <mergeCell ref="Q54:R54"/>
    <mergeCell ref="Q55:R55"/>
    <mergeCell ref="Z71:AA71"/>
    <mergeCell ref="Q58:R58"/>
    <mergeCell ref="Q69:R69"/>
    <mergeCell ref="Q70:R70"/>
    <mergeCell ref="W54:X54"/>
    <mergeCell ref="W41:X41"/>
    <mergeCell ref="Z43:AA43"/>
    <mergeCell ref="Z54:AA54"/>
    <mergeCell ref="W55:X55"/>
    <mergeCell ref="W56:X56"/>
    <mergeCell ref="W57:X57"/>
    <mergeCell ref="W58:X58"/>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E126:AF126"/>
    <mergeCell ref="AE127:AF127"/>
    <mergeCell ref="AE128:AF128"/>
    <mergeCell ref="AE129:AF129"/>
    <mergeCell ref="K129:L129"/>
    <mergeCell ref="AB128:AC128"/>
    <mergeCell ref="AB129:AC129"/>
    <mergeCell ref="AB127:AC127"/>
    <mergeCell ref="Z126:AA126"/>
    <mergeCell ref="Z127:AA127"/>
    <mergeCell ref="Z128:AA128"/>
    <mergeCell ref="Z129:AA129"/>
    <mergeCell ref="T126:U126"/>
    <mergeCell ref="T127:U127"/>
    <mergeCell ref="T128:U128"/>
    <mergeCell ref="K127:L127"/>
    <mergeCell ref="K128:L128"/>
    <mergeCell ref="K126:L126"/>
    <mergeCell ref="V126:W126"/>
    <mergeCell ref="V127:W127"/>
    <mergeCell ref="AB126:AC126"/>
    <mergeCell ref="V128:W128"/>
    <mergeCell ref="V129:W129"/>
    <mergeCell ref="T129:U129"/>
    <mergeCell ref="AC72:AD72"/>
    <mergeCell ref="K135:L135"/>
    <mergeCell ref="K136:L136"/>
    <mergeCell ref="N126:O126"/>
    <mergeCell ref="N127:O127"/>
    <mergeCell ref="N128:O128"/>
    <mergeCell ref="N129:O129"/>
    <mergeCell ref="P126:Q126"/>
    <mergeCell ref="P127:Q127"/>
    <mergeCell ref="P128:Q128"/>
    <mergeCell ref="P129:Q129"/>
    <mergeCell ref="K134:L134"/>
    <mergeCell ref="AC82:AD82"/>
    <mergeCell ref="AC81:AD81"/>
    <mergeCell ref="Y79:Z79"/>
    <mergeCell ref="W111:X111"/>
    <mergeCell ref="Z111:AA111"/>
    <mergeCell ref="AC111:AD111"/>
    <mergeCell ref="Z81:AA81"/>
    <mergeCell ref="W112:X112"/>
    <mergeCell ref="Z112:AA112"/>
    <mergeCell ref="AC112:AD112"/>
    <mergeCell ref="AE130:AF130"/>
    <mergeCell ref="V130:W130"/>
    <mergeCell ref="P130:Q130"/>
    <mergeCell ref="Z130:AA130"/>
    <mergeCell ref="AB130:AC130"/>
    <mergeCell ref="K138:L138"/>
    <mergeCell ref="N138:O138"/>
    <mergeCell ref="P138:Q138"/>
    <mergeCell ref="K130:L130"/>
    <mergeCell ref="N130:O130"/>
    <mergeCell ref="T130:U130"/>
    <mergeCell ref="P132:Q133"/>
    <mergeCell ref="P134:Q134"/>
    <mergeCell ref="P135:Q135"/>
    <mergeCell ref="P136:Q136"/>
    <mergeCell ref="P137:Q137"/>
    <mergeCell ref="M132:M133"/>
    <mergeCell ref="K137:L137"/>
    <mergeCell ref="N132:O133"/>
    <mergeCell ref="N134:O134"/>
    <mergeCell ref="N135:O135"/>
    <mergeCell ref="N136:O136"/>
    <mergeCell ref="N137:O137"/>
    <mergeCell ref="K132:L133"/>
    <mergeCell ref="AB37:AB38"/>
    <mergeCell ref="AE37:AF38"/>
    <mergeCell ref="AG37:AH38"/>
    <mergeCell ref="AG39:AH39"/>
    <mergeCell ref="AC37:AD38"/>
    <mergeCell ref="W37:W38"/>
    <mergeCell ref="AE39:AF39"/>
    <mergeCell ref="H56:N56"/>
    <mergeCell ref="Q56:R56"/>
    <mergeCell ref="H38:K38"/>
    <mergeCell ref="L38:M38"/>
    <mergeCell ref="N38:P38"/>
    <mergeCell ref="H39:K39"/>
    <mergeCell ref="L39:M39"/>
    <mergeCell ref="N39:P39"/>
    <mergeCell ref="X37:X38"/>
    <mergeCell ref="Q42:R42"/>
    <mergeCell ref="Y39:Z39"/>
    <mergeCell ref="Z41:AA41"/>
    <mergeCell ref="AC41:AD41"/>
    <mergeCell ref="AC43:AD43"/>
    <mergeCell ref="Y40:Z40"/>
    <mergeCell ref="Q40:R40"/>
    <mergeCell ref="W43:X43"/>
    <mergeCell ref="Y37:Z38"/>
    <mergeCell ref="AA37:AA38"/>
    <mergeCell ref="H77:K77"/>
    <mergeCell ref="L77:M77"/>
    <mergeCell ref="N77:P77"/>
    <mergeCell ref="H78:K78"/>
    <mergeCell ref="L78:M78"/>
    <mergeCell ref="N78:P78"/>
    <mergeCell ref="H57:N57"/>
    <mergeCell ref="H58:N58"/>
    <mergeCell ref="H69:N69"/>
    <mergeCell ref="H70:N70"/>
    <mergeCell ref="H71:N71"/>
    <mergeCell ref="Q57:R57"/>
    <mergeCell ref="Q77:R77"/>
    <mergeCell ref="Q78:R78"/>
    <mergeCell ref="W69:X69"/>
    <mergeCell ref="W70:X70"/>
    <mergeCell ref="W71:X71"/>
    <mergeCell ref="W42:X42"/>
    <mergeCell ref="Z42:AA42"/>
    <mergeCell ref="Z70:AA70"/>
    <mergeCell ref="Z55:AA55"/>
    <mergeCell ref="Q71:R71"/>
    <mergeCell ref="M34:T36"/>
    <mergeCell ref="E79:F81"/>
    <mergeCell ref="E82:F82"/>
    <mergeCell ref="E103:F103"/>
    <mergeCell ref="E104:F104"/>
    <mergeCell ref="E105:F105"/>
    <mergeCell ref="U79:U81"/>
    <mergeCell ref="E43:F43"/>
    <mergeCell ref="E40:F42"/>
    <mergeCell ref="S40:S42"/>
    <mergeCell ref="T40:T42"/>
    <mergeCell ref="U40:U42"/>
    <mergeCell ref="S39:T39"/>
    <mergeCell ref="S38:T38"/>
    <mergeCell ref="E73:F73"/>
    <mergeCell ref="E54:F54"/>
    <mergeCell ref="E55:F55"/>
    <mergeCell ref="E56:F56"/>
    <mergeCell ref="E57:F57"/>
    <mergeCell ref="E58:F58"/>
    <mergeCell ref="E69:F69"/>
    <mergeCell ref="E70:F70"/>
    <mergeCell ref="E71:F71"/>
    <mergeCell ref="E72:F72"/>
    <mergeCell ref="E111:F111"/>
    <mergeCell ref="E112:F112"/>
    <mergeCell ref="S77:T77"/>
    <mergeCell ref="S78:T78"/>
    <mergeCell ref="S79:S81"/>
    <mergeCell ref="T79:T81"/>
    <mergeCell ref="H104:N104"/>
    <mergeCell ref="Q104:R104"/>
    <mergeCell ref="Q105:R105"/>
    <mergeCell ref="Q106:R106"/>
    <mergeCell ref="Q107:R107"/>
    <mergeCell ref="Q110:R110"/>
    <mergeCell ref="Q79:R79"/>
    <mergeCell ref="H111:N111"/>
    <mergeCell ref="Q111:R111"/>
    <mergeCell ref="H109:N109"/>
    <mergeCell ref="Q109:R109"/>
    <mergeCell ref="H110:N110"/>
    <mergeCell ref="H108:N108"/>
    <mergeCell ref="Q108:R108"/>
    <mergeCell ref="H105:N105"/>
    <mergeCell ref="H106:N106"/>
    <mergeCell ref="H107:N107"/>
    <mergeCell ref="Q81:R81"/>
    <mergeCell ref="AC42:AD42"/>
    <mergeCell ref="AG41:AH41"/>
    <mergeCell ref="E106:F106"/>
    <mergeCell ref="E107:F107"/>
    <mergeCell ref="E108:F108"/>
    <mergeCell ref="E109:F109"/>
    <mergeCell ref="E110:F110"/>
    <mergeCell ref="X76:X77"/>
    <mergeCell ref="Y76:Z77"/>
    <mergeCell ref="AA76:AA77"/>
    <mergeCell ref="W106:X106"/>
    <mergeCell ref="Z106:AA106"/>
    <mergeCell ref="W109:X109"/>
    <mergeCell ref="Z109:AA109"/>
    <mergeCell ref="Y78:Z78"/>
    <mergeCell ref="H82:N82"/>
    <mergeCell ref="Q82:R82"/>
    <mergeCell ref="H103:N103"/>
    <mergeCell ref="Q103:R103"/>
    <mergeCell ref="W103:X103"/>
    <mergeCell ref="Z103:AA103"/>
    <mergeCell ref="W82:X82"/>
    <mergeCell ref="Z82:AA82"/>
    <mergeCell ref="AC54:AD54"/>
    <mergeCell ref="Z44:AA44"/>
    <mergeCell ref="AC44:AD44"/>
    <mergeCell ref="AG44:AH44"/>
    <mergeCell ref="AJ44:AL44"/>
    <mergeCell ref="E45:F45"/>
    <mergeCell ref="H45:N45"/>
    <mergeCell ref="Q45:R45"/>
    <mergeCell ref="W45:X45"/>
    <mergeCell ref="Z45:AA45"/>
    <mergeCell ref="AC45:AD45"/>
    <mergeCell ref="AG45:AH45"/>
    <mergeCell ref="AJ45:AL45"/>
    <mergeCell ref="E44:F44"/>
    <mergeCell ref="H44:N44"/>
    <mergeCell ref="Q44:R44"/>
    <mergeCell ref="W44:X44"/>
    <mergeCell ref="E46:F46"/>
    <mergeCell ref="H46:N46"/>
    <mergeCell ref="Q46:R46"/>
    <mergeCell ref="W46:X46"/>
    <mergeCell ref="Z46:AA46"/>
    <mergeCell ref="AC46:AD46"/>
    <mergeCell ref="AG46:AH46"/>
    <mergeCell ref="AJ46:AL46"/>
    <mergeCell ref="E47:F47"/>
    <mergeCell ref="H47:N47"/>
    <mergeCell ref="Q47:R47"/>
    <mergeCell ref="W47:X47"/>
    <mergeCell ref="Z47:AA47"/>
    <mergeCell ref="AC47:AD47"/>
    <mergeCell ref="AG47:AH47"/>
    <mergeCell ref="AJ47:AL47"/>
    <mergeCell ref="E48:F48"/>
    <mergeCell ref="H48:N48"/>
    <mergeCell ref="Q48:R48"/>
    <mergeCell ref="W48:X48"/>
    <mergeCell ref="Z48:AA48"/>
    <mergeCell ref="AC48:AD48"/>
    <mergeCell ref="AG48:AH48"/>
    <mergeCell ref="AJ48:AL48"/>
    <mergeCell ref="E49:F49"/>
    <mergeCell ref="H49:N49"/>
    <mergeCell ref="Q49:R49"/>
    <mergeCell ref="W49:X49"/>
    <mergeCell ref="Z49:AA49"/>
    <mergeCell ref="AC49:AD49"/>
    <mergeCell ref="AG49:AH49"/>
    <mergeCell ref="AJ49:AL49"/>
    <mergeCell ref="E50:F50"/>
    <mergeCell ref="H50:N50"/>
    <mergeCell ref="Q50:R50"/>
    <mergeCell ref="W50:X50"/>
    <mergeCell ref="Z50:AA50"/>
    <mergeCell ref="AC50:AD50"/>
    <mergeCell ref="AG50:AH50"/>
    <mergeCell ref="AJ50:AL50"/>
    <mergeCell ref="E51:F51"/>
    <mergeCell ref="H51:N51"/>
    <mergeCell ref="Q51:R51"/>
    <mergeCell ref="W51:X51"/>
    <mergeCell ref="Z51:AA51"/>
    <mergeCell ref="AC51:AD51"/>
    <mergeCell ref="AG51:AH51"/>
    <mergeCell ref="AJ51:AL51"/>
    <mergeCell ref="E53:F53"/>
    <mergeCell ref="H53:N53"/>
    <mergeCell ref="Q53:R53"/>
    <mergeCell ref="W53:X53"/>
    <mergeCell ref="Z53:AA53"/>
    <mergeCell ref="AC53:AD53"/>
    <mergeCell ref="AG53:AH53"/>
    <mergeCell ref="AJ53:AL53"/>
    <mergeCell ref="E52:F52"/>
    <mergeCell ref="H52:N52"/>
    <mergeCell ref="Q52:R52"/>
    <mergeCell ref="W52:X52"/>
    <mergeCell ref="Z52:AA52"/>
    <mergeCell ref="AC52:AD52"/>
    <mergeCell ref="AG52:AH52"/>
    <mergeCell ref="AJ52:AL52"/>
    <mergeCell ref="E59:F59"/>
    <mergeCell ref="H59:N59"/>
    <mergeCell ref="Q59:R59"/>
    <mergeCell ref="W59:X59"/>
    <mergeCell ref="Z59:AA59"/>
    <mergeCell ref="AC59:AD59"/>
    <mergeCell ref="AG59:AH59"/>
    <mergeCell ref="AJ59:AL59"/>
    <mergeCell ref="E60:F60"/>
    <mergeCell ref="H60:N60"/>
    <mergeCell ref="Q60:R60"/>
    <mergeCell ref="W60:X60"/>
    <mergeCell ref="Z60:AA60"/>
    <mergeCell ref="AC60:AD60"/>
    <mergeCell ref="AG60:AH60"/>
    <mergeCell ref="AJ60:AL60"/>
    <mergeCell ref="H61:N61"/>
    <mergeCell ref="Q61:R61"/>
    <mergeCell ref="W61:X61"/>
    <mergeCell ref="Z61:AA61"/>
    <mergeCell ref="AC61:AD61"/>
    <mergeCell ref="AG61:AH61"/>
    <mergeCell ref="AJ61:AL61"/>
    <mergeCell ref="E67:F67"/>
    <mergeCell ref="H67:N67"/>
    <mergeCell ref="Q67:R67"/>
    <mergeCell ref="W67:X67"/>
    <mergeCell ref="Z67:AA67"/>
    <mergeCell ref="AC67:AD67"/>
    <mergeCell ref="AG67:AH67"/>
    <mergeCell ref="AJ67:AL67"/>
    <mergeCell ref="AG63:AH63"/>
    <mergeCell ref="AJ63:AL63"/>
    <mergeCell ref="E64:F64"/>
    <mergeCell ref="H64:N64"/>
    <mergeCell ref="Q64:R64"/>
    <mergeCell ref="W64:X64"/>
    <mergeCell ref="Z64:AA64"/>
    <mergeCell ref="AC64:AD64"/>
    <mergeCell ref="AJ64:AL64"/>
    <mergeCell ref="E68:F68"/>
    <mergeCell ref="H68:N68"/>
    <mergeCell ref="Q68:R68"/>
    <mergeCell ref="W68:X68"/>
    <mergeCell ref="Z68:AA68"/>
    <mergeCell ref="AC68:AD68"/>
    <mergeCell ref="AG68:AH68"/>
    <mergeCell ref="AJ68:AL68"/>
    <mergeCell ref="K32:S32"/>
    <mergeCell ref="E62:F62"/>
    <mergeCell ref="H62:N62"/>
    <mergeCell ref="Q62:R62"/>
    <mergeCell ref="W62:X62"/>
    <mergeCell ref="Z62:AA62"/>
    <mergeCell ref="AC62:AD62"/>
    <mergeCell ref="AG62:AH62"/>
    <mergeCell ref="AJ62:AL62"/>
    <mergeCell ref="E63:F63"/>
    <mergeCell ref="H63:N63"/>
    <mergeCell ref="Q63:R63"/>
    <mergeCell ref="W63:X63"/>
    <mergeCell ref="Z63:AA63"/>
    <mergeCell ref="AC63:AD63"/>
    <mergeCell ref="E61:F61"/>
    <mergeCell ref="E65:F65"/>
    <mergeCell ref="H65:N65"/>
    <mergeCell ref="Q65:R65"/>
    <mergeCell ref="W65:X65"/>
    <mergeCell ref="Z65:AA65"/>
    <mergeCell ref="AC65:AD65"/>
    <mergeCell ref="AG65:AH65"/>
    <mergeCell ref="AJ65:AL65"/>
    <mergeCell ref="E66:F66"/>
    <mergeCell ref="H66:N66"/>
    <mergeCell ref="Q66:R66"/>
    <mergeCell ref="W66:X66"/>
    <mergeCell ref="Z66:AA66"/>
    <mergeCell ref="AC66:AD66"/>
    <mergeCell ref="AG66:AH66"/>
    <mergeCell ref="AJ66:AL66"/>
    <mergeCell ref="E94:F94"/>
    <mergeCell ref="H94:N94"/>
    <mergeCell ref="Q94:R94"/>
    <mergeCell ref="W94:X94"/>
    <mergeCell ref="Z94:AA94"/>
    <mergeCell ref="AC94:AD94"/>
    <mergeCell ref="AG94:AH94"/>
    <mergeCell ref="AJ94:AL94"/>
    <mergeCell ref="E85:F85"/>
    <mergeCell ref="H85:N85"/>
    <mergeCell ref="Q85:R85"/>
    <mergeCell ref="W85:X85"/>
    <mergeCell ref="Z85:AA85"/>
    <mergeCell ref="AC85:AD85"/>
    <mergeCell ref="AG85:AH85"/>
    <mergeCell ref="AJ85:AL85"/>
    <mergeCell ref="E86:F86"/>
    <mergeCell ref="H86:N86"/>
    <mergeCell ref="Q86:R86"/>
    <mergeCell ref="W86:X86"/>
    <mergeCell ref="Z86:AA86"/>
    <mergeCell ref="AC86:AD86"/>
    <mergeCell ref="AG86:AH86"/>
    <mergeCell ref="AJ86:AL86"/>
    <mergeCell ref="E95:F95"/>
    <mergeCell ref="H95:N95"/>
    <mergeCell ref="Q95:R95"/>
    <mergeCell ref="W95:X95"/>
    <mergeCell ref="Z95:AA95"/>
    <mergeCell ref="AC95:AD95"/>
    <mergeCell ref="AG95:AH95"/>
    <mergeCell ref="AJ95:AL95"/>
    <mergeCell ref="E96:F96"/>
    <mergeCell ref="H96:N96"/>
    <mergeCell ref="Q96:R96"/>
    <mergeCell ref="W96:X96"/>
    <mergeCell ref="Z96:AA96"/>
    <mergeCell ref="AC96:AD96"/>
    <mergeCell ref="AG96:AH96"/>
    <mergeCell ref="AJ96:AL96"/>
    <mergeCell ref="E97:F97"/>
    <mergeCell ref="H97:N97"/>
    <mergeCell ref="Q97:R97"/>
    <mergeCell ref="W97:X97"/>
    <mergeCell ref="Z97:AA97"/>
    <mergeCell ref="AC97:AD97"/>
    <mergeCell ref="AG97:AH97"/>
    <mergeCell ref="AJ97:AL97"/>
    <mergeCell ref="E98:F98"/>
    <mergeCell ref="H98:N98"/>
    <mergeCell ref="Q98:R98"/>
    <mergeCell ref="W98:X98"/>
    <mergeCell ref="Z98:AA98"/>
    <mergeCell ref="AC98:AD98"/>
    <mergeCell ref="AG98:AH98"/>
    <mergeCell ref="AJ98:AL98"/>
    <mergeCell ref="E99:F99"/>
    <mergeCell ref="H99:N99"/>
    <mergeCell ref="Q99:R99"/>
    <mergeCell ref="W99:X99"/>
    <mergeCell ref="Z99:AA99"/>
    <mergeCell ref="AC99:AD99"/>
    <mergeCell ref="AG99:AH99"/>
    <mergeCell ref="AJ99:AL99"/>
    <mergeCell ref="E100:F100"/>
    <mergeCell ref="H100:N100"/>
    <mergeCell ref="Q100:R100"/>
    <mergeCell ref="W100:X100"/>
    <mergeCell ref="Z100:AA100"/>
    <mergeCell ref="AC100:AD100"/>
    <mergeCell ref="AG100:AH100"/>
    <mergeCell ref="AJ100:AL100"/>
    <mergeCell ref="E101:F101"/>
    <mergeCell ref="H101:N101"/>
    <mergeCell ref="Q101:R101"/>
    <mergeCell ref="W101:X101"/>
    <mergeCell ref="Z101:AA101"/>
    <mergeCell ref="AC101:AD101"/>
    <mergeCell ref="AG101:AH101"/>
    <mergeCell ref="AJ101:AL101"/>
    <mergeCell ref="E102:F102"/>
    <mergeCell ref="H102:N102"/>
    <mergeCell ref="Q102:R102"/>
    <mergeCell ref="W102:X102"/>
    <mergeCell ref="Z102:AA102"/>
    <mergeCell ref="AC102:AD102"/>
    <mergeCell ref="AG102:AH102"/>
    <mergeCell ref="AJ102:AL102"/>
    <mergeCell ref="E87:F87"/>
    <mergeCell ref="H87:N87"/>
    <mergeCell ref="Q87:R87"/>
    <mergeCell ref="W87:X87"/>
    <mergeCell ref="Z87:AA87"/>
    <mergeCell ref="AC87:AD87"/>
    <mergeCell ref="AG87:AH87"/>
    <mergeCell ref="AJ87:AL87"/>
    <mergeCell ref="E88:F88"/>
    <mergeCell ref="H88:N88"/>
    <mergeCell ref="Q88:R88"/>
    <mergeCell ref="W88:X88"/>
    <mergeCell ref="Z88:AA88"/>
    <mergeCell ref="AC88:AD88"/>
    <mergeCell ref="AG88:AH88"/>
    <mergeCell ref="AJ88:AL88"/>
    <mergeCell ref="E89:F89"/>
    <mergeCell ref="H89:N89"/>
    <mergeCell ref="Q89:R89"/>
    <mergeCell ref="W89:X89"/>
    <mergeCell ref="Z89:AA89"/>
    <mergeCell ref="AC89:AD89"/>
    <mergeCell ref="AG89:AH89"/>
    <mergeCell ref="AJ89:AL89"/>
    <mergeCell ref="E90:F90"/>
    <mergeCell ref="H90:N90"/>
    <mergeCell ref="Q90:R90"/>
    <mergeCell ref="W90:X90"/>
    <mergeCell ref="Z90:AA90"/>
    <mergeCell ref="AC90:AD90"/>
    <mergeCell ref="AG90:AH90"/>
    <mergeCell ref="AJ90:AL90"/>
    <mergeCell ref="E91:F91"/>
    <mergeCell ref="H91:N91"/>
    <mergeCell ref="Q91:R91"/>
    <mergeCell ref="W91:X91"/>
    <mergeCell ref="Z91:AA91"/>
    <mergeCell ref="AC91:AD91"/>
    <mergeCell ref="AG91:AH91"/>
    <mergeCell ref="AJ91:AL91"/>
    <mergeCell ref="E92:F92"/>
    <mergeCell ref="H92:N92"/>
    <mergeCell ref="Q92:R92"/>
    <mergeCell ref="W92:X92"/>
    <mergeCell ref="Z92:AA92"/>
    <mergeCell ref="AC92:AD92"/>
    <mergeCell ref="AG92:AH92"/>
    <mergeCell ref="AJ92:AL92"/>
    <mergeCell ref="E93:F93"/>
    <mergeCell ref="H93:N93"/>
    <mergeCell ref="Q93:R93"/>
    <mergeCell ref="W93:X93"/>
    <mergeCell ref="Z93:AA93"/>
    <mergeCell ref="AC93:AD93"/>
    <mergeCell ref="AG93:AH93"/>
    <mergeCell ref="AJ93:AL93"/>
    <mergeCell ref="E83:F83"/>
    <mergeCell ref="H83:N83"/>
    <mergeCell ref="Q83:R83"/>
    <mergeCell ref="W83:X83"/>
    <mergeCell ref="Z83:AA83"/>
    <mergeCell ref="AC83:AD83"/>
    <mergeCell ref="AG83:AH83"/>
    <mergeCell ref="AJ83:AL83"/>
    <mergeCell ref="E84:F84"/>
    <mergeCell ref="H84:N84"/>
    <mergeCell ref="Q84:R84"/>
    <mergeCell ref="W84:X84"/>
    <mergeCell ref="Z84:AA84"/>
    <mergeCell ref="AC84:AD84"/>
    <mergeCell ref="AG84:AH84"/>
    <mergeCell ref="AJ84:AL84"/>
  </mergeCells>
  <conditionalFormatting sqref="T22">
    <cfRule type="expression" dxfId="387" priority="3697">
      <formula>#REF!="TRC LOW!"</formula>
    </cfRule>
  </conditionalFormatting>
  <conditionalFormatting sqref="AX26 AX28 AV30">
    <cfRule type="cellIs" dxfId="386" priority="3690" operator="equal">
      <formula>"Missing"</formula>
    </cfRule>
  </conditionalFormatting>
  <conditionalFormatting sqref="U24:V26">
    <cfRule type="cellIs" dxfId="385" priority="3688" operator="equal">
      <formula>"Rate Sch?"</formula>
    </cfRule>
    <cfRule type="containsText" dxfId="384" priority="3689" operator="containsText" text="Space Error">
      <formula>NOT(ISERROR(SEARCH("Space Error",U24)))</formula>
    </cfRule>
  </conditionalFormatting>
  <conditionalFormatting sqref="V27">
    <cfRule type="expression" dxfId="383" priority="842">
      <formula>#REF!="TRC LOW!"</formula>
    </cfRule>
  </conditionalFormatting>
  <conditionalFormatting sqref="AC30">
    <cfRule type="expression" dxfId="382" priority="384">
      <formula>$AC$30&gt;0</formula>
    </cfRule>
  </conditionalFormatting>
  <conditionalFormatting sqref="T24">
    <cfRule type="expression" dxfId="381" priority="382">
      <formula>#REF!="TRC LOW!"</formula>
    </cfRule>
  </conditionalFormatting>
  <conditionalFormatting sqref="T26">
    <cfRule type="expression" dxfId="380" priority="381">
      <formula>#REF!="TRC LOW!"</formula>
    </cfRule>
  </conditionalFormatting>
  <conditionalFormatting sqref="H78">
    <cfRule type="containsText" dxfId="379" priority="295" operator="containsText" text="NOT ALLOWED">
      <formula>NOT(ISERROR(SEARCH("NOT ALLOWED",H78)))</formula>
    </cfRule>
  </conditionalFormatting>
  <conditionalFormatting sqref="Z43:AA43 Z54:AA58 Z69:AA71">
    <cfRule type="cellIs" dxfId="378" priority="294" operator="equal">
      <formula>"ERROR!"</formula>
    </cfRule>
  </conditionalFormatting>
  <conditionalFormatting sqref="AC43:AD43 AC54:AD58 AC69:AD71">
    <cfRule type="cellIs" dxfId="377" priority="293" operator="equal">
      <formula>"ERROR!"</formula>
    </cfRule>
  </conditionalFormatting>
  <conditionalFormatting sqref="AG43:AH43 AG54:AH58 AG69:AH71">
    <cfRule type="cellIs" dxfId="376" priority="292" operator="equal">
      <formula>"ERROR!"</formula>
    </cfRule>
  </conditionalFormatting>
  <conditionalFormatting sqref="AJ43:AL43 AJ54:AL58 AJ69:AL71">
    <cfRule type="containsText" dxfId="375" priority="291" operator="containsText" text="Revise">
      <formula>NOT(ISERROR(SEARCH("Revise",AJ43)))</formula>
    </cfRule>
  </conditionalFormatting>
  <conditionalFormatting sqref="S43:U43 S54:U58 S69:U71">
    <cfRule type="expression" dxfId="374" priority="290">
      <formula>$V43=FALSE</formula>
    </cfRule>
  </conditionalFormatting>
  <conditionalFormatting sqref="AJ41:AL41">
    <cfRule type="expression" dxfId="373" priority="281">
      <formula>$BJ$73&gt;0</formula>
    </cfRule>
  </conditionalFormatting>
  <conditionalFormatting sqref="Z82:AA82 Z103:AA111">
    <cfRule type="cellIs" dxfId="372" priority="266" operator="equal">
      <formula>"ERROR!"</formula>
    </cfRule>
  </conditionalFormatting>
  <conditionalFormatting sqref="AC82:AD82 AC103:AD111">
    <cfRule type="cellIs" dxfId="371" priority="265" operator="equal">
      <formula>"ERROR!"</formula>
    </cfRule>
  </conditionalFormatting>
  <conditionalFormatting sqref="AG82:AH82 AG103:AH111">
    <cfRule type="cellIs" dxfId="370" priority="264" operator="equal">
      <formula>"ERROR!"</formula>
    </cfRule>
  </conditionalFormatting>
  <conditionalFormatting sqref="E43:F43 E54:F58 E69:F71">
    <cfRule type="expression" dxfId="369" priority="126889">
      <formula>$AN43=TRUE</formula>
    </cfRule>
  </conditionalFormatting>
  <conditionalFormatting sqref="E40:F42 M34:T36">
    <cfRule type="expression" dxfId="368" priority="126890">
      <formula>$AN$73=0</formula>
    </cfRule>
  </conditionalFormatting>
  <conditionalFormatting sqref="E79:F81">
    <cfRule type="expression" dxfId="367" priority="259">
      <formula>$AN$73=0</formula>
    </cfRule>
  </conditionalFormatting>
  <conditionalFormatting sqref="AJ80:AL80">
    <cfRule type="expression" dxfId="366" priority="261">
      <formula>$BJ$73&gt;0</formula>
    </cfRule>
  </conditionalFormatting>
  <conditionalFormatting sqref="AJ43:AL43 AJ54:AL58 AJ69:AL71">
    <cfRule type="containsText" dxfId="365" priority="257" operator="containsText" text="TLED">
      <formula>NOT(ISERROR(SEARCH("TLED",AJ43)))</formula>
    </cfRule>
  </conditionalFormatting>
  <conditionalFormatting sqref="AJ82:AL82 AJ103:AL111">
    <cfRule type="containsText" dxfId="364" priority="256" operator="containsText" text="Revise">
      <formula>NOT(ISERROR(SEARCH("Revise",AJ82)))</formula>
    </cfRule>
  </conditionalFormatting>
  <conditionalFormatting sqref="AJ82:AL82 AJ103:AL111">
    <cfRule type="containsText" dxfId="363" priority="255" operator="containsText" text="TLED">
      <formula>NOT(ISERROR(SEARCH("TLED",AJ82)))</formula>
    </cfRule>
  </conditionalFormatting>
  <conditionalFormatting sqref="S43:U43 S54:U58 S69:U71">
    <cfRule type="expression" dxfId="362" priority="254">
      <formula>$AN43=TRUE</formula>
    </cfRule>
  </conditionalFormatting>
  <conditionalFormatting sqref="S82:U82 S103:U111">
    <cfRule type="expression" dxfId="361" priority="253">
      <formula>$V82=FALSE</formula>
    </cfRule>
  </conditionalFormatting>
  <conditionalFormatting sqref="S82:U82 S103:U111">
    <cfRule type="expression" dxfId="360" priority="252">
      <formula>$AN82=TRUE</formula>
    </cfRule>
  </conditionalFormatting>
  <conditionalFormatting sqref="E24:H28">
    <cfRule type="expression" dxfId="359" priority="251">
      <formula>$C$34=0</formula>
    </cfRule>
  </conditionalFormatting>
  <conditionalFormatting sqref="D33:AI38 D39:K39 N39:AI39 O54:V55 D82:G82 D43:AI43 D42:V42 Y42 D40:AI40 D41:Y41 AB41:AB42 AE41:AI41 AE42:AF42 AI42 D112:AI115 O82:AI82 D54:F58 O103:AD106 AC103:AI111 W54:AI58 W69:X72 Y69:AI71 D69:F71 H69:V71 H56:V58 G47 G51 G55 D73:AI81 D103:F111 H107:AD111 G85 G88 G91 G94 G97 G100 G103 G106 G109">
    <cfRule type="expression" dxfId="358" priority="250">
      <formula>$C$34=0</formula>
    </cfRule>
  </conditionalFormatting>
  <conditionalFormatting sqref="H43:N43">
    <cfRule type="expression" dxfId="357" priority="249">
      <formula>$BW43=FALSE</formula>
    </cfRule>
  </conditionalFormatting>
  <conditionalFormatting sqref="H56:N58 H69:N71">
    <cfRule type="expression" dxfId="356" priority="246">
      <formula>$BW56=FALSE</formula>
    </cfRule>
  </conditionalFormatting>
  <conditionalFormatting sqref="E82:F82 E103:F111">
    <cfRule type="expression" dxfId="355" priority="244">
      <formula>$AN82=TRUE</formula>
    </cfRule>
  </conditionalFormatting>
  <conditionalFormatting sqref="H107:N111">
    <cfRule type="expression" dxfId="354" priority="242">
      <formula>$BW107=FALSE</formula>
    </cfRule>
  </conditionalFormatting>
  <conditionalFormatting sqref="B43:C43 B54:B58 B69:B71">
    <cfRule type="expression" dxfId="353" priority="240">
      <formula>$C$34=0</formula>
    </cfRule>
  </conditionalFormatting>
  <conditionalFormatting sqref="B43:C43 B54:B58 B69:B71">
    <cfRule type="cellIs" dxfId="352" priority="239" operator="equal">
      <formula>"Reselect Fixture"</formula>
    </cfRule>
  </conditionalFormatting>
  <conditionalFormatting sqref="H56:N58 H69:N71">
    <cfRule type="expression" dxfId="351" priority="238">
      <formula>$BW56=FALSE</formula>
    </cfRule>
  </conditionalFormatting>
  <conditionalFormatting sqref="B82 B103:B111">
    <cfRule type="expression" dxfId="350" priority="237">
      <formula>$C$34=0</formula>
    </cfRule>
  </conditionalFormatting>
  <conditionalFormatting sqref="B82 B103:B111">
    <cfRule type="cellIs" dxfId="349" priority="236" operator="equal">
      <formula>"Reselect Fixture"</formula>
    </cfRule>
  </conditionalFormatting>
  <conditionalFormatting sqref="L39:M39">
    <cfRule type="expression" dxfId="348" priority="235">
      <formula>$C$34=0</formula>
    </cfRule>
  </conditionalFormatting>
  <conditionalFormatting sqref="H54:N55">
    <cfRule type="expression" dxfId="347" priority="234">
      <formula>$C$34=0</formula>
    </cfRule>
  </conditionalFormatting>
  <conditionalFormatting sqref="H82:N82 H103:N106">
    <cfRule type="expression" dxfId="346" priority="233">
      <formula>$C$34=0</formula>
    </cfRule>
  </conditionalFormatting>
  <conditionalFormatting sqref="W42:X42">
    <cfRule type="expression" dxfId="345" priority="232">
      <formula>$C$34=0</formula>
    </cfRule>
  </conditionalFormatting>
  <conditionalFormatting sqref="Z41:AA41">
    <cfRule type="expression" dxfId="344" priority="231">
      <formula>$C$34=0</formula>
    </cfRule>
  </conditionalFormatting>
  <conditionalFormatting sqref="Z42:AA42">
    <cfRule type="expression" dxfId="343" priority="230">
      <formula>$C$34=0</formula>
    </cfRule>
  </conditionalFormatting>
  <conditionalFormatting sqref="AC41:AD41">
    <cfRule type="expression" dxfId="342" priority="229">
      <formula>$C$34=0</formula>
    </cfRule>
  </conditionalFormatting>
  <conditionalFormatting sqref="AC42:AD42">
    <cfRule type="expression" dxfId="341" priority="228">
      <formula>$C$34=0</formula>
    </cfRule>
  </conditionalFormatting>
  <conditionalFormatting sqref="AG42:AH42">
    <cfRule type="expression" dxfId="340" priority="227">
      <formula>$C$34=0</formula>
    </cfRule>
  </conditionalFormatting>
  <conditionalFormatting sqref="Z82:AA82 Z103:AA111">
    <cfRule type="cellIs" dxfId="339" priority="226" operator="equal">
      <formula>"ERROR!"</formula>
    </cfRule>
  </conditionalFormatting>
  <conditionalFormatting sqref="AC82:AD82 AC103:AD111">
    <cfRule type="cellIs" dxfId="338" priority="225" operator="equal">
      <formula>"ERROR!"</formula>
    </cfRule>
  </conditionalFormatting>
  <conditionalFormatting sqref="AG82:AH82 AG103:AH111">
    <cfRule type="cellIs" dxfId="337" priority="224" operator="equal">
      <formula>"ERROR!"</formula>
    </cfRule>
  </conditionalFormatting>
  <conditionalFormatting sqref="H72:N72">
    <cfRule type="expression" dxfId="336" priority="211">
      <formula>$BW72=FALSE</formula>
    </cfRule>
  </conditionalFormatting>
  <conditionalFormatting sqref="Z72:AA72">
    <cfRule type="cellIs" dxfId="335" priority="223" operator="equal">
      <formula>"ERROR!"</formula>
    </cfRule>
  </conditionalFormatting>
  <conditionalFormatting sqref="AC72:AD72">
    <cfRule type="cellIs" dxfId="334" priority="222" operator="equal">
      <formula>"ERROR!"</formula>
    </cfRule>
  </conditionalFormatting>
  <conditionalFormatting sqref="AG72:AH72">
    <cfRule type="cellIs" dxfId="333" priority="221" operator="equal">
      <formula>"ERROR!"</formula>
    </cfRule>
  </conditionalFormatting>
  <conditionalFormatting sqref="AJ72:AL72">
    <cfRule type="containsText" dxfId="332" priority="220" operator="containsText" text="Revise">
      <formula>NOT(ISERROR(SEARCH("Revise",AJ72)))</formula>
    </cfRule>
  </conditionalFormatting>
  <conditionalFormatting sqref="S72:U72">
    <cfRule type="expression" dxfId="331" priority="219">
      <formula>$V72=FALSE</formula>
    </cfRule>
  </conditionalFormatting>
  <conditionalFormatting sqref="E72:F72">
    <cfRule type="expression" dxfId="330" priority="218">
      <formula>$AN72=TRUE</formula>
    </cfRule>
  </conditionalFormatting>
  <conditionalFormatting sqref="AJ72:AL72">
    <cfRule type="containsText" dxfId="329" priority="217" operator="containsText" text="TLED">
      <formula>NOT(ISERROR(SEARCH("TLED",AJ72)))</formula>
    </cfRule>
  </conditionalFormatting>
  <conditionalFormatting sqref="S72:U72">
    <cfRule type="expression" dxfId="328" priority="216">
      <formula>$AN72=TRUE</formula>
    </cfRule>
  </conditionalFormatting>
  <conditionalFormatting sqref="D72:F72 Y72:AI72 H72:V72">
    <cfRule type="expression" dxfId="327" priority="215">
      <formula>$C$34=0</formula>
    </cfRule>
  </conditionalFormatting>
  <conditionalFormatting sqref="H72:N72">
    <cfRule type="expression" dxfId="326" priority="214">
      <formula>$BW72=FALSE</formula>
    </cfRule>
  </conditionalFormatting>
  <conditionalFormatting sqref="B72">
    <cfRule type="expression" dxfId="325" priority="213">
      <formula>$C$34=0</formula>
    </cfRule>
  </conditionalFormatting>
  <conditionalFormatting sqref="B72">
    <cfRule type="cellIs" dxfId="324" priority="212" operator="equal">
      <formula>"Reselect Fixture"</formula>
    </cfRule>
  </conditionalFormatting>
  <conditionalFormatting sqref="Z44:AA51">
    <cfRule type="cellIs" dxfId="323" priority="145" operator="equal">
      <formula>"ERROR!"</formula>
    </cfRule>
  </conditionalFormatting>
  <conditionalFormatting sqref="AC44:AD51">
    <cfRule type="cellIs" dxfId="322" priority="144" operator="equal">
      <formula>"ERROR!"</formula>
    </cfRule>
  </conditionalFormatting>
  <conditionalFormatting sqref="AG44:AH51">
    <cfRule type="cellIs" dxfId="321" priority="143" operator="equal">
      <formula>"ERROR!"</formula>
    </cfRule>
  </conditionalFormatting>
  <conditionalFormatting sqref="AJ44:AL51">
    <cfRule type="containsText" dxfId="320" priority="142" operator="containsText" text="Revise">
      <formula>NOT(ISERROR(SEARCH("Revise",AJ44)))</formula>
    </cfRule>
  </conditionalFormatting>
  <conditionalFormatting sqref="S44:U51">
    <cfRule type="expression" dxfId="319" priority="141">
      <formula>$V44=FALSE</formula>
    </cfRule>
  </conditionalFormatting>
  <conditionalFormatting sqref="E44:F51">
    <cfRule type="expression" dxfId="318" priority="140">
      <formula>$AN44=TRUE</formula>
    </cfRule>
  </conditionalFormatting>
  <conditionalFormatting sqref="AJ44:AL51">
    <cfRule type="containsText" dxfId="317" priority="139" operator="containsText" text="TLED">
      <formula>NOT(ISERROR(SEARCH("TLED",AJ44)))</formula>
    </cfRule>
  </conditionalFormatting>
  <conditionalFormatting sqref="S44:U51">
    <cfRule type="expression" dxfId="316" priority="138">
      <formula>$AN44=TRUE</formula>
    </cfRule>
  </conditionalFormatting>
  <conditionalFormatting sqref="D44:G45 O44:V45 D46:V46 W44:AI51 W53:X53 D47:F51 H47:V51 G48:G50 G52:G54 G56:G72">
    <cfRule type="expression" dxfId="315" priority="137">
      <formula>$C$34=0</formula>
    </cfRule>
  </conditionalFormatting>
  <conditionalFormatting sqref="H46:N51">
    <cfRule type="expression" dxfId="314" priority="136">
      <formula>$BW46=FALSE</formula>
    </cfRule>
  </conditionalFormatting>
  <conditionalFormatting sqref="B44:B51">
    <cfRule type="expression" dxfId="313" priority="135">
      <formula>$C$34=0</formula>
    </cfRule>
  </conditionalFormatting>
  <conditionalFormatting sqref="B44:B51">
    <cfRule type="cellIs" dxfId="312" priority="134" operator="equal">
      <formula>"Reselect Fixture"</formula>
    </cfRule>
  </conditionalFormatting>
  <conditionalFormatting sqref="H46:N51">
    <cfRule type="expression" dxfId="311" priority="133">
      <formula>$BW46=FALSE</formula>
    </cfRule>
  </conditionalFormatting>
  <conditionalFormatting sqref="H44:N45">
    <cfRule type="expression" dxfId="310" priority="132">
      <formula>$C$34=0</formula>
    </cfRule>
  </conditionalFormatting>
  <conditionalFormatting sqref="H53:N53">
    <cfRule type="expression" dxfId="309" priority="131">
      <formula>$BW53=FALSE</formula>
    </cfRule>
  </conditionalFormatting>
  <conditionalFormatting sqref="Z53:AA53">
    <cfRule type="cellIs" dxfId="308" priority="130" operator="equal">
      <formula>"ERROR!"</formula>
    </cfRule>
  </conditionalFormatting>
  <conditionalFormatting sqref="AC53:AD53">
    <cfRule type="cellIs" dxfId="307" priority="129" operator="equal">
      <formula>"ERROR!"</formula>
    </cfRule>
  </conditionalFormatting>
  <conditionalFormatting sqref="AG53:AH53">
    <cfRule type="cellIs" dxfId="306" priority="128" operator="equal">
      <formula>"ERROR!"</formula>
    </cfRule>
  </conditionalFormatting>
  <conditionalFormatting sqref="AJ53:AL53">
    <cfRule type="containsText" dxfId="305" priority="127" operator="containsText" text="Revise">
      <formula>NOT(ISERROR(SEARCH("Revise",AJ53)))</formula>
    </cfRule>
  </conditionalFormatting>
  <conditionalFormatting sqref="S53:U53">
    <cfRule type="expression" dxfId="304" priority="126">
      <formula>$V53=FALSE</formula>
    </cfRule>
  </conditionalFormatting>
  <conditionalFormatting sqref="E53:F53">
    <cfRule type="expression" dxfId="303" priority="125">
      <formula>$AN53=TRUE</formula>
    </cfRule>
  </conditionalFormatting>
  <conditionalFormatting sqref="AJ53:AL53">
    <cfRule type="containsText" dxfId="302" priority="124" operator="containsText" text="TLED">
      <formula>NOT(ISERROR(SEARCH("TLED",AJ53)))</formula>
    </cfRule>
  </conditionalFormatting>
  <conditionalFormatting sqref="S53:U53">
    <cfRule type="expression" dxfId="301" priority="123">
      <formula>$AN53=TRUE</formula>
    </cfRule>
  </conditionalFormatting>
  <conditionalFormatting sqref="D53:F53 Y53:AI53 H53:V53">
    <cfRule type="expression" dxfId="300" priority="122">
      <formula>$C$34=0</formula>
    </cfRule>
  </conditionalFormatting>
  <conditionalFormatting sqref="H53:N53">
    <cfRule type="expression" dxfId="299" priority="121">
      <formula>$BW53=FALSE</formula>
    </cfRule>
  </conditionalFormatting>
  <conditionalFormatting sqref="B53">
    <cfRule type="expression" dxfId="298" priority="120">
      <formula>$C$34=0</formula>
    </cfRule>
  </conditionalFormatting>
  <conditionalFormatting sqref="B53">
    <cfRule type="cellIs" dxfId="297" priority="119" operator="equal">
      <formula>"Reselect Fixture"</formula>
    </cfRule>
  </conditionalFormatting>
  <conditionalFormatting sqref="W52:X52">
    <cfRule type="expression" dxfId="296" priority="118">
      <formula>$C$34=0</formula>
    </cfRule>
  </conditionalFormatting>
  <conditionalFormatting sqref="H52:N52">
    <cfRule type="expression" dxfId="295" priority="117">
      <formula>$BW52=FALSE</formula>
    </cfRule>
  </conditionalFormatting>
  <conditionalFormatting sqref="Z52:AA52">
    <cfRule type="cellIs" dxfId="294" priority="116" operator="equal">
      <formula>"ERROR!"</formula>
    </cfRule>
  </conditionalFormatting>
  <conditionalFormatting sqref="AC52:AD52">
    <cfRule type="cellIs" dxfId="293" priority="115" operator="equal">
      <formula>"ERROR!"</formula>
    </cfRule>
  </conditionalFormatting>
  <conditionalFormatting sqref="AG52:AH52">
    <cfRule type="cellIs" dxfId="292" priority="114" operator="equal">
      <formula>"ERROR!"</formula>
    </cfRule>
  </conditionalFormatting>
  <conditionalFormatting sqref="AJ52:AL52">
    <cfRule type="containsText" dxfId="291" priority="113" operator="containsText" text="Revise">
      <formula>NOT(ISERROR(SEARCH("Revise",AJ52)))</formula>
    </cfRule>
  </conditionalFormatting>
  <conditionalFormatting sqref="S52:U52">
    <cfRule type="expression" dxfId="290" priority="112">
      <formula>$V52=FALSE</formula>
    </cfRule>
  </conditionalFormatting>
  <conditionalFormatting sqref="E52:F52">
    <cfRule type="expression" dxfId="289" priority="111">
      <formula>$AN52=TRUE</formula>
    </cfRule>
  </conditionalFormatting>
  <conditionalFormatting sqref="AJ52:AL52">
    <cfRule type="containsText" dxfId="288" priority="110" operator="containsText" text="TLED">
      <formula>NOT(ISERROR(SEARCH("TLED",AJ52)))</formula>
    </cfRule>
  </conditionalFormatting>
  <conditionalFormatting sqref="S52:U52">
    <cfRule type="expression" dxfId="287" priority="109">
      <formula>$AN52=TRUE</formula>
    </cfRule>
  </conditionalFormatting>
  <conditionalFormatting sqref="D52:F52 Y52:AI52 H52:V52">
    <cfRule type="expression" dxfId="286" priority="108">
      <formula>$C$34=0</formula>
    </cfRule>
  </conditionalFormatting>
  <conditionalFormatting sqref="H52:N52">
    <cfRule type="expression" dxfId="285" priority="107">
      <formula>$BW52=FALSE</formula>
    </cfRule>
  </conditionalFormatting>
  <conditionalFormatting sqref="B52">
    <cfRule type="expression" dxfId="284" priority="106">
      <formula>$C$34=0</formula>
    </cfRule>
  </conditionalFormatting>
  <conditionalFormatting sqref="B52">
    <cfRule type="cellIs" dxfId="283" priority="105" operator="equal">
      <formula>"Reselect Fixture"</formula>
    </cfRule>
  </conditionalFormatting>
  <conditionalFormatting sqref="Z59:AA61">
    <cfRule type="cellIs" dxfId="282" priority="104" operator="equal">
      <formula>"ERROR!"</formula>
    </cfRule>
  </conditionalFormatting>
  <conditionalFormatting sqref="AC59:AD61">
    <cfRule type="cellIs" dxfId="281" priority="103" operator="equal">
      <formula>"ERROR!"</formula>
    </cfRule>
  </conditionalFormatting>
  <conditionalFormatting sqref="AG59:AH61">
    <cfRule type="cellIs" dxfId="280" priority="102" operator="equal">
      <formula>"ERROR!"</formula>
    </cfRule>
  </conditionalFormatting>
  <conditionalFormatting sqref="AJ59:AL61">
    <cfRule type="containsText" dxfId="279" priority="101" operator="containsText" text="Revise">
      <formula>NOT(ISERROR(SEARCH("Revise",AJ59)))</formula>
    </cfRule>
  </conditionalFormatting>
  <conditionalFormatting sqref="S59:U61">
    <cfRule type="expression" dxfId="278" priority="100">
      <formula>$V59=FALSE</formula>
    </cfRule>
  </conditionalFormatting>
  <conditionalFormatting sqref="E59:F61">
    <cfRule type="expression" dxfId="277" priority="99">
      <formula>$AN59=TRUE</formula>
    </cfRule>
  </conditionalFormatting>
  <conditionalFormatting sqref="AJ59:AL61">
    <cfRule type="containsText" dxfId="276" priority="98" operator="containsText" text="TLED">
      <formula>NOT(ISERROR(SEARCH("TLED",AJ59)))</formula>
    </cfRule>
  </conditionalFormatting>
  <conditionalFormatting sqref="S59:U61">
    <cfRule type="expression" dxfId="275" priority="97">
      <formula>$AN59=TRUE</formula>
    </cfRule>
  </conditionalFormatting>
  <conditionalFormatting sqref="D59:F61 H59:AI61">
    <cfRule type="expression" dxfId="274" priority="96">
      <formula>$C$34=0</formula>
    </cfRule>
  </conditionalFormatting>
  <conditionalFormatting sqref="H59:N61">
    <cfRule type="expression" dxfId="273" priority="95">
      <formula>$BW59=FALSE</formula>
    </cfRule>
  </conditionalFormatting>
  <conditionalFormatting sqref="B59:B61">
    <cfRule type="expression" dxfId="272" priority="94">
      <formula>$C$34=0</formula>
    </cfRule>
  </conditionalFormatting>
  <conditionalFormatting sqref="B59:B61">
    <cfRule type="cellIs" dxfId="271" priority="93" operator="equal">
      <formula>"Reselect Fixture"</formula>
    </cfRule>
  </conditionalFormatting>
  <conditionalFormatting sqref="H59:N61">
    <cfRule type="expression" dxfId="270" priority="92">
      <formula>$BW59=FALSE</formula>
    </cfRule>
  </conditionalFormatting>
  <conditionalFormatting sqref="Z67:AA68">
    <cfRule type="cellIs" dxfId="269" priority="91" operator="equal">
      <formula>"ERROR!"</formula>
    </cfRule>
  </conditionalFormatting>
  <conditionalFormatting sqref="AC67:AD68">
    <cfRule type="cellIs" dxfId="268" priority="90" operator="equal">
      <formula>"ERROR!"</formula>
    </cfRule>
  </conditionalFormatting>
  <conditionalFormatting sqref="AG67:AH68">
    <cfRule type="cellIs" dxfId="267" priority="89" operator="equal">
      <formula>"ERROR!"</formula>
    </cfRule>
  </conditionalFormatting>
  <conditionalFormatting sqref="AJ67:AL68">
    <cfRule type="containsText" dxfId="266" priority="88" operator="containsText" text="Revise">
      <formula>NOT(ISERROR(SEARCH("Revise",AJ67)))</formula>
    </cfRule>
  </conditionalFormatting>
  <conditionalFormatting sqref="S67:U68">
    <cfRule type="expression" dxfId="265" priority="87">
      <formula>$V67=FALSE</formula>
    </cfRule>
  </conditionalFormatting>
  <conditionalFormatting sqref="E67:F68">
    <cfRule type="expression" dxfId="264" priority="86">
      <formula>$AN67=TRUE</formula>
    </cfRule>
  </conditionalFormatting>
  <conditionalFormatting sqref="AJ67:AL68">
    <cfRule type="containsText" dxfId="263" priority="85" operator="containsText" text="TLED">
      <formula>NOT(ISERROR(SEARCH("TLED",AJ67)))</formula>
    </cfRule>
  </conditionalFormatting>
  <conditionalFormatting sqref="S67:U68">
    <cfRule type="expression" dxfId="262" priority="84">
      <formula>$AN67=TRUE</formula>
    </cfRule>
  </conditionalFormatting>
  <conditionalFormatting sqref="D67:F68 H67:AI68">
    <cfRule type="expression" dxfId="261" priority="83">
      <formula>$C$34=0</formula>
    </cfRule>
  </conditionalFormatting>
  <conditionalFormatting sqref="H67:N68">
    <cfRule type="expression" dxfId="260" priority="82">
      <formula>$BW67=FALSE</formula>
    </cfRule>
  </conditionalFormatting>
  <conditionalFormatting sqref="B67:B68">
    <cfRule type="expression" dxfId="259" priority="81">
      <formula>$C$34=0</formula>
    </cfRule>
  </conditionalFormatting>
  <conditionalFormatting sqref="B67:B68">
    <cfRule type="cellIs" dxfId="258" priority="80" operator="equal">
      <formula>"Reselect Fixture"</formula>
    </cfRule>
  </conditionalFormatting>
  <conditionalFormatting sqref="H67:N68">
    <cfRule type="expression" dxfId="257" priority="79">
      <formula>$BW67=FALSE</formula>
    </cfRule>
  </conditionalFormatting>
  <conditionalFormatting sqref="Z62:AA63">
    <cfRule type="cellIs" dxfId="256" priority="77" operator="equal">
      <formula>"ERROR!"</formula>
    </cfRule>
  </conditionalFormatting>
  <conditionalFormatting sqref="AC62:AD63">
    <cfRule type="cellIs" dxfId="255" priority="76" operator="equal">
      <formula>"ERROR!"</formula>
    </cfRule>
  </conditionalFormatting>
  <conditionalFormatting sqref="AG62:AH63">
    <cfRule type="cellIs" dxfId="254" priority="75" operator="equal">
      <formula>"ERROR!"</formula>
    </cfRule>
  </conditionalFormatting>
  <conditionalFormatting sqref="AJ62:AL63">
    <cfRule type="containsText" dxfId="253" priority="74" operator="containsText" text="Revise">
      <formula>NOT(ISERROR(SEARCH("Revise",AJ62)))</formula>
    </cfRule>
  </conditionalFormatting>
  <conditionalFormatting sqref="S62:U63">
    <cfRule type="expression" dxfId="252" priority="73">
      <formula>$V62=FALSE</formula>
    </cfRule>
  </conditionalFormatting>
  <conditionalFormatting sqref="E62:F63">
    <cfRule type="expression" dxfId="251" priority="72">
      <formula>$AN62=TRUE</formula>
    </cfRule>
  </conditionalFormatting>
  <conditionalFormatting sqref="AJ62:AL63">
    <cfRule type="containsText" dxfId="250" priority="71" operator="containsText" text="TLED">
      <formula>NOT(ISERROR(SEARCH("TLED",AJ62)))</formula>
    </cfRule>
  </conditionalFormatting>
  <conditionalFormatting sqref="S62:U63">
    <cfRule type="expression" dxfId="249" priority="70">
      <formula>$AN62=TRUE</formula>
    </cfRule>
  </conditionalFormatting>
  <conditionalFormatting sqref="D62:F63 H62:AI63">
    <cfRule type="expression" dxfId="248" priority="69">
      <formula>$C$34=0</formula>
    </cfRule>
  </conditionalFormatting>
  <conditionalFormatting sqref="H62:N63">
    <cfRule type="expression" dxfId="247" priority="68">
      <formula>$BW62=FALSE</formula>
    </cfRule>
  </conditionalFormatting>
  <conditionalFormatting sqref="B62:B63">
    <cfRule type="expression" dxfId="246" priority="67">
      <formula>$C$34=0</formula>
    </cfRule>
  </conditionalFormatting>
  <conditionalFormatting sqref="B62:B63">
    <cfRule type="cellIs" dxfId="245" priority="66" operator="equal">
      <formula>"Reselect Fixture"</formula>
    </cfRule>
  </conditionalFormatting>
  <conditionalFormatting sqref="H62:N63">
    <cfRule type="expression" dxfId="244" priority="65">
      <formula>$BW62=FALSE</formula>
    </cfRule>
  </conditionalFormatting>
  <conditionalFormatting sqref="Z64:AA66">
    <cfRule type="cellIs" dxfId="243" priority="63" operator="equal">
      <formula>"ERROR!"</formula>
    </cfRule>
  </conditionalFormatting>
  <conditionalFormatting sqref="AC64:AD66">
    <cfRule type="cellIs" dxfId="242" priority="62" operator="equal">
      <formula>"ERROR!"</formula>
    </cfRule>
  </conditionalFormatting>
  <conditionalFormatting sqref="AG64:AH66">
    <cfRule type="cellIs" dxfId="241" priority="61" operator="equal">
      <formula>"ERROR!"</formula>
    </cfRule>
  </conditionalFormatting>
  <conditionalFormatting sqref="AJ64:AL66">
    <cfRule type="containsText" dxfId="240" priority="60" operator="containsText" text="Revise">
      <formula>NOT(ISERROR(SEARCH("Revise",AJ64)))</formula>
    </cfRule>
  </conditionalFormatting>
  <conditionalFormatting sqref="S64:U66">
    <cfRule type="expression" dxfId="239" priority="59">
      <formula>$V64=FALSE</formula>
    </cfRule>
  </conditionalFormatting>
  <conditionalFormatting sqref="E64:F66">
    <cfRule type="expression" dxfId="238" priority="58">
      <formula>$AN64=TRUE</formula>
    </cfRule>
  </conditionalFormatting>
  <conditionalFormatting sqref="AJ64:AL66">
    <cfRule type="containsText" dxfId="237" priority="57" operator="containsText" text="TLED">
      <formula>NOT(ISERROR(SEARCH("TLED",AJ64)))</formula>
    </cfRule>
  </conditionalFormatting>
  <conditionalFormatting sqref="S64:U66">
    <cfRule type="expression" dxfId="236" priority="56">
      <formula>$AN64=TRUE</formula>
    </cfRule>
  </conditionalFormatting>
  <conditionalFormatting sqref="D64:F66 H64:AI66">
    <cfRule type="expression" dxfId="235" priority="55">
      <formula>$C$34=0</formula>
    </cfRule>
  </conditionalFormatting>
  <conditionalFormatting sqref="H64:N66">
    <cfRule type="expression" dxfId="234" priority="54">
      <formula>$BW64=FALSE</formula>
    </cfRule>
  </conditionalFormatting>
  <conditionalFormatting sqref="B64:B66">
    <cfRule type="expression" dxfId="233" priority="53">
      <formula>$C$34=0</formula>
    </cfRule>
  </conditionalFormatting>
  <conditionalFormatting sqref="B64:B66">
    <cfRule type="cellIs" dxfId="232" priority="52" operator="equal">
      <formula>"Reselect Fixture"</formula>
    </cfRule>
  </conditionalFormatting>
  <conditionalFormatting sqref="H64:N66">
    <cfRule type="expression" dxfId="231" priority="51">
      <formula>$BW64=FALSE</formula>
    </cfRule>
  </conditionalFormatting>
  <conditionalFormatting sqref="Z94:AA102">
    <cfRule type="cellIs" dxfId="230" priority="50" operator="equal">
      <formula>"ERROR!"</formula>
    </cfRule>
  </conditionalFormatting>
  <conditionalFormatting sqref="AC94:AD102">
    <cfRule type="cellIs" dxfId="229" priority="49" operator="equal">
      <formula>"ERROR!"</formula>
    </cfRule>
  </conditionalFormatting>
  <conditionalFormatting sqref="AG94:AH102">
    <cfRule type="cellIs" dxfId="228" priority="48" operator="equal">
      <formula>"ERROR!"</formula>
    </cfRule>
  </conditionalFormatting>
  <conditionalFormatting sqref="AJ94:AL102">
    <cfRule type="containsText" dxfId="227" priority="47" operator="containsText" text="Revise">
      <formula>NOT(ISERROR(SEARCH("Revise",AJ94)))</formula>
    </cfRule>
  </conditionalFormatting>
  <conditionalFormatting sqref="AJ94:AL102">
    <cfRule type="containsText" dxfId="226" priority="46" operator="containsText" text="TLED">
      <formula>NOT(ISERROR(SEARCH("TLED",AJ94)))</formula>
    </cfRule>
  </conditionalFormatting>
  <conditionalFormatting sqref="S94:U102">
    <cfRule type="expression" dxfId="225" priority="45">
      <formula>$V94=FALSE</formula>
    </cfRule>
  </conditionalFormatting>
  <conditionalFormatting sqref="S94:U102">
    <cfRule type="expression" dxfId="224" priority="44">
      <formula>$AN94=TRUE</formula>
    </cfRule>
  </conditionalFormatting>
  <conditionalFormatting sqref="O94:AD97 AE94:AI102 D94:F102 H98:AD102">
    <cfRule type="expression" dxfId="223" priority="43">
      <formula>$C$34=0</formula>
    </cfRule>
  </conditionalFormatting>
  <conditionalFormatting sqref="E94:F102">
    <cfRule type="expression" dxfId="222" priority="42">
      <formula>$AN94=TRUE</formula>
    </cfRule>
  </conditionalFormatting>
  <conditionalFormatting sqref="H98:N102">
    <cfRule type="expression" dxfId="221" priority="41">
      <formula>$BW98=FALSE</formula>
    </cfRule>
  </conditionalFormatting>
  <conditionalFormatting sqref="B94:B102">
    <cfRule type="expression" dxfId="220" priority="40">
      <formula>$C$34=0</formula>
    </cfRule>
  </conditionalFormatting>
  <conditionalFormatting sqref="B94:B102">
    <cfRule type="cellIs" dxfId="219" priority="39" operator="equal">
      <formula>"Reselect Fixture"</formula>
    </cfRule>
  </conditionalFormatting>
  <conditionalFormatting sqref="H94:N97">
    <cfRule type="expression" dxfId="218" priority="38">
      <formula>$C$34=0</formula>
    </cfRule>
  </conditionalFormatting>
  <conditionalFormatting sqref="Z94:AA102">
    <cfRule type="cellIs" dxfId="217" priority="37" operator="equal">
      <formula>"ERROR!"</formula>
    </cfRule>
  </conditionalFormatting>
  <conditionalFormatting sqref="AC94:AD102">
    <cfRule type="cellIs" dxfId="216" priority="36" operator="equal">
      <formula>"ERROR!"</formula>
    </cfRule>
  </conditionalFormatting>
  <conditionalFormatting sqref="AG94:AH102">
    <cfRule type="cellIs" dxfId="215" priority="35" operator="equal">
      <formula>"ERROR!"</formula>
    </cfRule>
  </conditionalFormatting>
  <conditionalFormatting sqref="Z85:AA93">
    <cfRule type="cellIs" dxfId="214" priority="34" operator="equal">
      <formula>"ERROR!"</formula>
    </cfRule>
  </conditionalFormatting>
  <conditionalFormatting sqref="AC85:AD93">
    <cfRule type="cellIs" dxfId="213" priority="33" operator="equal">
      <formula>"ERROR!"</formula>
    </cfRule>
  </conditionalFormatting>
  <conditionalFormatting sqref="AG85:AH93">
    <cfRule type="cellIs" dxfId="212" priority="32" operator="equal">
      <formula>"ERROR!"</formula>
    </cfRule>
  </conditionalFormatting>
  <conditionalFormatting sqref="AJ85:AL93">
    <cfRule type="containsText" dxfId="211" priority="31" operator="containsText" text="Revise">
      <formula>NOT(ISERROR(SEARCH("Revise",AJ85)))</formula>
    </cfRule>
  </conditionalFormatting>
  <conditionalFormatting sqref="AJ85:AL93">
    <cfRule type="containsText" dxfId="210" priority="30" operator="containsText" text="TLED">
      <formula>NOT(ISERROR(SEARCH("TLED",AJ85)))</formula>
    </cfRule>
  </conditionalFormatting>
  <conditionalFormatting sqref="S85:U93">
    <cfRule type="expression" dxfId="209" priority="29">
      <formula>$V85=FALSE</formula>
    </cfRule>
  </conditionalFormatting>
  <conditionalFormatting sqref="S85:U93">
    <cfRule type="expression" dxfId="208" priority="28">
      <formula>$AN85=TRUE</formula>
    </cfRule>
  </conditionalFormatting>
  <conditionalFormatting sqref="O85:AD88 AE85:AI93 D85:F93 H89:AD93">
    <cfRule type="expression" dxfId="207" priority="27">
      <formula>$C$34=0</formula>
    </cfRule>
  </conditionalFormatting>
  <conditionalFormatting sqref="E85:F93">
    <cfRule type="expression" dxfId="206" priority="26">
      <formula>$AN85=TRUE</formula>
    </cfRule>
  </conditionalFormatting>
  <conditionalFormatting sqref="H89:N93">
    <cfRule type="expression" dxfId="205" priority="25">
      <formula>$BW89=FALSE</formula>
    </cfRule>
  </conditionalFormatting>
  <conditionalFormatting sqref="B85:B93">
    <cfRule type="expression" dxfId="204" priority="24">
      <formula>$C$34=0</formula>
    </cfRule>
  </conditionalFormatting>
  <conditionalFormatting sqref="B85:B93">
    <cfRule type="cellIs" dxfId="203" priority="23" operator="equal">
      <formula>"Reselect Fixture"</formula>
    </cfRule>
  </conditionalFormatting>
  <conditionalFormatting sqref="H85:N88">
    <cfRule type="expression" dxfId="202" priority="22">
      <formula>$C$34=0</formula>
    </cfRule>
  </conditionalFormatting>
  <conditionalFormatting sqref="Z85:AA93">
    <cfRule type="cellIs" dxfId="201" priority="21" operator="equal">
      <formula>"ERROR!"</formula>
    </cfRule>
  </conditionalFormatting>
  <conditionalFormatting sqref="AC85:AD93">
    <cfRule type="cellIs" dxfId="200" priority="20" operator="equal">
      <formula>"ERROR!"</formula>
    </cfRule>
  </conditionalFormatting>
  <conditionalFormatting sqref="AG85:AH93">
    <cfRule type="cellIs" dxfId="199" priority="19" operator="equal">
      <formula>"ERROR!"</formula>
    </cfRule>
  </conditionalFormatting>
  <conditionalFormatting sqref="Z83:AA84">
    <cfRule type="cellIs" dxfId="198" priority="18" operator="equal">
      <formula>"ERROR!"</formula>
    </cfRule>
  </conditionalFormatting>
  <conditionalFormatting sqref="AC83:AD84">
    <cfRule type="cellIs" dxfId="197" priority="17" operator="equal">
      <formula>"ERROR!"</formula>
    </cfRule>
  </conditionalFormatting>
  <conditionalFormatting sqref="AG83:AH84">
    <cfRule type="cellIs" dxfId="196" priority="16" operator="equal">
      <formula>"ERROR!"</formula>
    </cfRule>
  </conditionalFormatting>
  <conditionalFormatting sqref="AJ83:AL84">
    <cfRule type="containsText" dxfId="195" priority="15" operator="containsText" text="Revise">
      <formula>NOT(ISERROR(SEARCH("Revise",AJ83)))</formula>
    </cfRule>
  </conditionalFormatting>
  <conditionalFormatting sqref="AJ83:AL84">
    <cfRule type="containsText" dxfId="194" priority="14" operator="containsText" text="TLED">
      <formula>NOT(ISERROR(SEARCH("TLED",AJ83)))</formula>
    </cfRule>
  </conditionalFormatting>
  <conditionalFormatting sqref="S83:U84">
    <cfRule type="expression" dxfId="193" priority="13">
      <formula>$V83=FALSE</formula>
    </cfRule>
  </conditionalFormatting>
  <conditionalFormatting sqref="S83:U84">
    <cfRule type="expression" dxfId="192" priority="12">
      <formula>$AN83=TRUE</formula>
    </cfRule>
  </conditionalFormatting>
  <conditionalFormatting sqref="O83:AI84 D83:G84 G86:G87 G89:G90 G92:G93 G95:G96 G98:G99 G101:G102 G104:G105 G107:G108 G110:G111">
    <cfRule type="expression" dxfId="191" priority="11">
      <formula>$C$34=0</formula>
    </cfRule>
  </conditionalFormatting>
  <conditionalFormatting sqref="E83:F84">
    <cfRule type="expression" dxfId="190" priority="10">
      <formula>$AN83=TRUE</formula>
    </cfRule>
  </conditionalFormatting>
  <conditionalFormatting sqref="B83:B84">
    <cfRule type="expression" dxfId="189" priority="9">
      <formula>$C$34=0</formula>
    </cfRule>
  </conditionalFormatting>
  <conditionalFormatting sqref="B83:B84">
    <cfRule type="cellIs" dxfId="188" priority="8" operator="equal">
      <formula>"Reselect Fixture"</formula>
    </cfRule>
  </conditionalFormatting>
  <conditionalFormatting sqref="H83:N84">
    <cfRule type="expression" dxfId="187" priority="7">
      <formula>$C$34=0</formula>
    </cfRule>
  </conditionalFormatting>
  <conditionalFormatting sqref="Z83:AA84">
    <cfRule type="cellIs" dxfId="186" priority="6" operator="equal">
      <formula>"ERROR!"</formula>
    </cfRule>
  </conditionalFormatting>
  <conditionalFormatting sqref="AC83:AD84">
    <cfRule type="cellIs" dxfId="185" priority="5" operator="equal">
      <formula>"ERROR!"</formula>
    </cfRule>
  </conditionalFormatting>
  <conditionalFormatting sqref="AG83:AH84">
    <cfRule type="cellIs" dxfId="184" priority="4" operator="equal">
      <formula>"ERROR!"</formula>
    </cfRule>
  </conditionalFormatting>
  <conditionalFormatting sqref="O43:O72 S43:U72">
    <cfRule type="expression" dxfId="183" priority="2">
      <formula>$H43=""</formula>
    </cfRule>
  </conditionalFormatting>
  <conditionalFormatting sqref="O82:O111 S82:U111">
    <cfRule type="expression" dxfId="182" priority="1">
      <formula>$H82=""</formula>
    </cfRule>
  </conditionalFormatting>
  <dataValidations count="1">
    <dataValidation type="list" allowBlank="1" showInputMessage="1" showErrorMessage="1" sqref="H43:H72 H82:H111">
      <formula1>Fixtures_Proposed_Final_List</formula1>
    </dataValidation>
  </dataValidations>
  <pageMargins left="0.25" right="0.25" top="0.25" bottom="0.25" header="0.3" footer="0.3"/>
  <pageSetup scale="63" fitToHeight="0" orientation="landscape" r:id="rId1"/>
  <rowBreaks count="1" manualBreakCount="1">
    <brk id="74"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383"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Lookup!$AA$3:$AA$6</xm:f>
          </x14:formula1>
          <xm:sqref>N78:P78 N39:P39</xm:sqref>
        </x14:dataValidation>
        <x14:dataValidation type="list" allowBlank="1" showInputMessage="1" showErrorMessage="1">
          <x14:formula1>
            <xm:f>'WSEC B_A_M'!$B$5:$B$41</xm:f>
          </x14:formula1>
          <xm:sqref>H78:K78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B2" sqref="B2"/>
    </sheetView>
  </sheetViews>
  <sheetFormatPr defaultRowHeight="14.3"/>
  <sheetData>
    <row r="1" spans="1:2">
      <c r="A1" s="1319" t="s">
        <v>595</v>
      </c>
      <c r="B1" s="1319"/>
    </row>
    <row r="2" spans="1:2">
      <c r="A2" s="1319"/>
      <c r="B2" s="1319" t="s">
        <v>596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4.3"/>
  <cols>
    <col min="5" max="5" width="0.875" hidden="1" customWidth="1"/>
    <col min="6" max="6" width="2.625" customWidth="1"/>
    <col min="7" max="12" width="5.375" customWidth="1"/>
    <col min="13" max="28" width="5.625" customWidth="1"/>
    <col min="29" max="29" width="2.625" customWidth="1"/>
  </cols>
  <sheetData>
    <row r="1" spans="5:29">
      <c r="E1" s="1442"/>
    </row>
    <row r="2" spans="5:29">
      <c r="E2" s="1442"/>
      <c r="F2" s="2084" t="s">
        <v>597</v>
      </c>
      <c r="G2" s="2085"/>
      <c r="H2" s="2090" t="s">
        <v>598</v>
      </c>
      <c r="I2" s="2091"/>
      <c r="J2" s="2091"/>
      <c r="K2" s="2091"/>
      <c r="L2" s="2091"/>
      <c r="M2" s="2091"/>
      <c r="N2" s="2091"/>
      <c r="O2" s="2091"/>
      <c r="P2" s="2091"/>
      <c r="Q2" s="2091"/>
      <c r="R2" s="2091"/>
      <c r="S2" s="2091"/>
      <c r="T2" s="2091"/>
      <c r="U2" s="2091"/>
      <c r="V2" s="2091"/>
      <c r="W2" s="2091"/>
      <c r="X2" s="2091"/>
      <c r="Y2" s="2091"/>
      <c r="Z2" s="2091"/>
      <c r="AA2" s="2092"/>
      <c r="AB2" s="2102"/>
      <c r="AC2" s="2103"/>
    </row>
    <row r="3" spans="5:29">
      <c r="E3" s="1442"/>
      <c r="F3" s="2086"/>
      <c r="G3" s="2087"/>
      <c r="H3" s="2093"/>
      <c r="I3" s="2094"/>
      <c r="J3" s="2094"/>
      <c r="K3" s="2094"/>
      <c r="L3" s="2094"/>
      <c r="M3" s="2094"/>
      <c r="N3" s="2094"/>
      <c r="O3" s="2094"/>
      <c r="P3" s="2094"/>
      <c r="Q3" s="2094"/>
      <c r="R3" s="2094"/>
      <c r="S3" s="2094"/>
      <c r="T3" s="2094"/>
      <c r="U3" s="2094"/>
      <c r="V3" s="2094"/>
      <c r="W3" s="2094"/>
      <c r="X3" s="2094"/>
      <c r="Y3" s="2094"/>
      <c r="Z3" s="2094"/>
      <c r="AA3" s="2095"/>
      <c r="AB3" s="2104"/>
      <c r="AC3" s="2105"/>
    </row>
    <row r="4" spans="5:29">
      <c r="E4" s="1442"/>
      <c r="F4" s="2088"/>
      <c r="G4" s="2089"/>
      <c r="H4" s="2096"/>
      <c r="I4" s="2097"/>
      <c r="J4" s="2097"/>
      <c r="K4" s="2097"/>
      <c r="L4" s="2097"/>
      <c r="M4" s="2097"/>
      <c r="N4" s="2097"/>
      <c r="O4" s="2097"/>
      <c r="P4" s="2097"/>
      <c r="Q4" s="2097"/>
      <c r="R4" s="2097"/>
      <c r="S4" s="2097"/>
      <c r="T4" s="2097"/>
      <c r="U4" s="2097"/>
      <c r="V4" s="2097"/>
      <c r="W4" s="2097"/>
      <c r="X4" s="2097"/>
      <c r="Y4" s="2097"/>
      <c r="Z4" s="2097"/>
      <c r="AA4" s="2098"/>
      <c r="AB4" s="2106"/>
      <c r="AC4" s="2107"/>
    </row>
    <row r="5" spans="5:29" ht="5.0999999999999996" customHeight="1">
      <c r="E5" s="1442"/>
    </row>
    <row r="6" spans="5:29">
      <c r="E6" s="1442"/>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442"/>
      <c r="F7" s="45"/>
      <c r="G7" s="45"/>
      <c r="H7" s="45"/>
      <c r="I7" s="45"/>
      <c r="J7" s="45"/>
      <c r="K7" s="45"/>
      <c r="L7" s="45"/>
      <c r="M7" s="45"/>
      <c r="N7" s="45"/>
      <c r="O7" s="45"/>
      <c r="P7" s="45"/>
      <c r="Q7" s="45"/>
      <c r="R7" s="45"/>
      <c r="S7" s="45"/>
      <c r="T7" s="45"/>
      <c r="U7" s="45"/>
      <c r="V7" s="45"/>
      <c r="W7" s="45"/>
      <c r="X7" s="45"/>
      <c r="Y7" s="45"/>
      <c r="Z7" s="45"/>
      <c r="AA7" s="45"/>
      <c r="AB7" s="45"/>
      <c r="AC7" s="45"/>
    </row>
    <row r="8" spans="5:29" ht="14.95" thickBot="1">
      <c r="E8" s="1442"/>
      <c r="F8" s="215"/>
      <c r="G8" s="216" t="s">
        <v>599</v>
      </c>
      <c r="H8" s="215"/>
      <c r="I8" s="215"/>
      <c r="J8" s="215"/>
      <c r="K8" s="215"/>
      <c r="L8" s="215"/>
      <c r="M8" s="215"/>
      <c r="N8" s="215"/>
      <c r="O8" s="215"/>
      <c r="P8" s="215"/>
      <c r="Q8" s="215"/>
      <c r="R8" s="215"/>
      <c r="S8" s="215"/>
      <c r="T8" s="215"/>
      <c r="U8" s="215"/>
      <c r="V8" s="215"/>
      <c r="W8" s="215"/>
      <c r="X8" s="215"/>
      <c r="Y8" s="215"/>
      <c r="Z8" s="215"/>
      <c r="AA8" s="215"/>
      <c r="AB8" s="215"/>
      <c r="AC8" s="215"/>
    </row>
    <row r="9" spans="5:29" ht="5.0999999999999996" customHeight="1">
      <c r="E9" s="1442"/>
      <c r="F9" s="45"/>
      <c r="G9" s="45"/>
      <c r="H9" s="45"/>
      <c r="I9" s="45"/>
      <c r="J9" s="45"/>
      <c r="K9" s="45"/>
      <c r="L9" s="45"/>
      <c r="M9" s="45"/>
      <c r="N9" s="45"/>
      <c r="O9" s="45"/>
      <c r="P9" s="45"/>
      <c r="Q9" s="45"/>
      <c r="R9" s="45"/>
      <c r="S9" s="45"/>
      <c r="T9" s="45"/>
      <c r="U9" s="45"/>
      <c r="V9" s="45"/>
      <c r="W9" s="45"/>
      <c r="X9" s="45"/>
      <c r="Y9" s="45"/>
      <c r="Z9" s="45"/>
      <c r="AA9" s="45"/>
      <c r="AB9" s="45"/>
      <c r="AC9" s="45"/>
    </row>
    <row r="10" spans="5:29">
      <c r="E10" s="1442"/>
      <c r="F10" s="45"/>
      <c r="G10" s="2108" t="s">
        <v>600</v>
      </c>
      <c r="H10" s="2108"/>
      <c r="I10" s="2108"/>
      <c r="J10" s="2108"/>
      <c r="K10" s="2108" t="s">
        <v>601</v>
      </c>
      <c r="L10" s="2108"/>
      <c r="M10" s="2108"/>
      <c r="N10" s="2108"/>
      <c r="O10" s="2108" t="s">
        <v>602</v>
      </c>
      <c r="P10" s="2108"/>
      <c r="Q10" s="2108"/>
      <c r="R10" s="2108"/>
      <c r="S10" s="2108" t="s">
        <v>603</v>
      </c>
      <c r="T10" s="2108"/>
      <c r="U10" s="2108"/>
      <c r="V10" s="2108"/>
      <c r="W10" s="2109" t="s">
        <v>193</v>
      </c>
      <c r="X10" s="2109"/>
      <c r="Y10" s="2110" t="s">
        <v>194</v>
      </c>
      <c r="Z10" s="45"/>
      <c r="AA10" s="45"/>
      <c r="AB10" s="45"/>
      <c r="AC10" s="45"/>
    </row>
    <row r="11" spans="5:29" ht="5.0999999999999996" customHeight="1">
      <c r="E11" s="1442"/>
      <c r="F11" s="45"/>
      <c r="G11" s="2108"/>
      <c r="H11" s="2108"/>
      <c r="I11" s="2108"/>
      <c r="J11" s="2108"/>
      <c r="K11" s="2108"/>
      <c r="L11" s="2108"/>
      <c r="M11" s="2108"/>
      <c r="N11" s="2108"/>
      <c r="O11" s="2108"/>
      <c r="P11" s="2108"/>
      <c r="Q11" s="2108"/>
      <c r="R11" s="2108"/>
      <c r="S11" s="2108"/>
      <c r="T11" s="2108"/>
      <c r="U11" s="2108"/>
      <c r="V11" s="2108"/>
      <c r="W11" s="2109"/>
      <c r="X11" s="2109"/>
      <c r="Y11" s="2110"/>
      <c r="Z11" s="45"/>
      <c r="AA11" s="45"/>
      <c r="AB11" s="45"/>
      <c r="AC11" s="45"/>
    </row>
    <row r="12" spans="5:29">
      <c r="E12" s="1442"/>
      <c r="F12" s="45"/>
      <c r="G12" s="2108"/>
      <c r="H12" s="2108"/>
      <c r="I12" s="2108"/>
      <c r="J12" s="2108"/>
      <c r="K12" s="2108"/>
      <c r="L12" s="2108"/>
      <c r="M12" s="2108"/>
      <c r="N12" s="2108"/>
      <c r="O12" s="2108"/>
      <c r="P12" s="2108"/>
      <c r="Q12" s="2108"/>
      <c r="R12" s="2108"/>
      <c r="S12" s="2108"/>
      <c r="T12" s="2108"/>
      <c r="U12" s="2108"/>
      <c r="V12" s="2108"/>
      <c r="W12" s="2109"/>
      <c r="X12" s="2109"/>
      <c r="Y12" s="2110"/>
      <c r="Z12" s="45"/>
      <c r="AA12" s="45"/>
      <c r="AB12" s="45"/>
      <c r="AC12" s="45"/>
    </row>
    <row r="13" spans="5:29" ht="5.0999999999999996" customHeight="1">
      <c r="E13" s="1442"/>
      <c r="F13" s="45"/>
      <c r="G13" s="1602"/>
      <c r="H13" s="1602"/>
      <c r="I13" s="1602"/>
      <c r="J13" s="1602"/>
      <c r="K13" s="1602"/>
      <c r="L13" s="1602"/>
      <c r="M13" s="1602"/>
      <c r="N13" s="1602"/>
      <c r="O13" s="1602"/>
      <c r="P13" s="1602"/>
      <c r="Q13" s="1602"/>
      <c r="R13" s="1602"/>
      <c r="S13" s="1602"/>
      <c r="T13" s="1602"/>
      <c r="U13" s="1602"/>
      <c r="V13" s="1602"/>
      <c r="W13" s="1613"/>
      <c r="X13" s="1613"/>
      <c r="Y13" s="2111"/>
      <c r="Z13" s="45"/>
      <c r="AA13" s="45"/>
      <c r="AB13" s="45"/>
      <c r="AC13" s="45"/>
    </row>
    <row r="14" spans="5:29">
      <c r="E14" s="1442"/>
      <c r="F14" s="217" t="str">
        <f>CONCATENATE(K14," - ",O14," ",S14)</f>
        <v>Fluorescent - T8 4-foot (Electronic) 4-Lamp</v>
      </c>
      <c r="G14" s="2083" t="s">
        <v>248</v>
      </c>
      <c r="H14" s="2083"/>
      <c r="I14" s="2083"/>
      <c r="J14" s="2083"/>
      <c r="K14" s="2081" t="s">
        <v>254</v>
      </c>
      <c r="L14" s="2081"/>
      <c r="M14" s="2081"/>
      <c r="N14" s="2081"/>
      <c r="O14" s="2082" t="s">
        <v>255</v>
      </c>
      <c r="P14" s="2082"/>
      <c r="Q14" s="2082"/>
      <c r="R14" s="2082"/>
      <c r="S14" s="2082" t="s">
        <v>604</v>
      </c>
      <c r="T14" s="2082"/>
      <c r="U14" s="2082"/>
      <c r="V14" s="2082"/>
      <c r="W14" s="2099" t="str">
        <f>IF(K14&lt;&gt;"",IF(OR(O14="",S14="",G14=""),"NO","YES"),"")</f>
        <v>YES</v>
      </c>
      <c r="X14" s="2099"/>
      <c r="Y14" s="695">
        <v>114</v>
      </c>
      <c r="Z14" s="45"/>
      <c r="AA14" s="45"/>
      <c r="AB14" s="45"/>
      <c r="AC14" s="45"/>
    </row>
    <row r="15" spans="5:29" ht="5.0999999999999996" customHeight="1">
      <c r="E15" s="1442"/>
      <c r="F15" s="217"/>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442"/>
      <c r="F16" s="217" t="str">
        <f>CONCATENATE(K16," - ",O16," ",S16)</f>
        <v>HID - Metal Halide MH 250W</v>
      </c>
      <c r="G16" s="2078" t="s">
        <v>605</v>
      </c>
      <c r="H16" s="2079"/>
      <c r="I16" s="2079"/>
      <c r="J16" s="2080"/>
      <c r="K16" s="2081" t="s">
        <v>606</v>
      </c>
      <c r="L16" s="2081"/>
      <c r="M16" s="2081"/>
      <c r="N16" s="2081"/>
      <c r="O16" s="2082" t="s">
        <v>607</v>
      </c>
      <c r="P16" s="2082"/>
      <c r="Q16" s="2082"/>
      <c r="R16" s="2082"/>
      <c r="S16" s="2082" t="s">
        <v>608</v>
      </c>
      <c r="T16" s="2082"/>
      <c r="U16" s="2082"/>
      <c r="V16" s="2082"/>
      <c r="W16" s="2100" t="str">
        <f>IF(K16&lt;&gt;"",IF(OR(O16="",S16="",G16=""),"NO","YES"),"")</f>
        <v>YES</v>
      </c>
      <c r="X16" s="2101"/>
      <c r="Y16" s="695">
        <v>291</v>
      </c>
      <c r="Z16" s="45"/>
      <c r="AA16" s="45"/>
      <c r="AB16" s="45"/>
      <c r="AC16" s="45"/>
    </row>
    <row r="17" spans="5:29" ht="5.0999999999999996" customHeight="1">
      <c r="E17" s="1442"/>
      <c r="F17" s="217"/>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442"/>
      <c r="F18" s="217" t="str">
        <f>CONCATENATE(K18," - ",O18," ",S18)</f>
        <v>HID - High Pressure Sodium HPS 150W</v>
      </c>
      <c r="G18" s="2078" t="s">
        <v>609</v>
      </c>
      <c r="H18" s="2079"/>
      <c r="I18" s="2079"/>
      <c r="J18" s="2080"/>
      <c r="K18" s="2081" t="s">
        <v>606</v>
      </c>
      <c r="L18" s="2081"/>
      <c r="M18" s="2081"/>
      <c r="N18" s="2081"/>
      <c r="O18" s="2082" t="s">
        <v>610</v>
      </c>
      <c r="P18" s="2082"/>
      <c r="Q18" s="2082"/>
      <c r="R18" s="2082"/>
      <c r="S18" s="2082" t="s">
        <v>611</v>
      </c>
      <c r="T18" s="2082"/>
      <c r="U18" s="2082"/>
      <c r="V18" s="2082"/>
      <c r="W18" s="2100" t="str">
        <f>IF(K18&lt;&gt;"",IF(OR(O18="",S18="",G18=""),"NO","YES"),"")</f>
        <v>YES</v>
      </c>
      <c r="X18" s="2101"/>
      <c r="Y18" s="695">
        <v>170</v>
      </c>
      <c r="Z18" s="45"/>
      <c r="AA18" s="45"/>
      <c r="AB18" s="45"/>
      <c r="AC18" s="45"/>
    </row>
    <row r="19" spans="5:29" ht="5.0999999999999996" customHeight="1">
      <c r="E19" s="1442"/>
      <c r="F19" s="217"/>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442"/>
      <c r="F20" s="217" t="str">
        <f>CONCATENATE(K20," - ",O20," ",S20)</f>
        <v>Fluorescent -  2-Lamp</v>
      </c>
      <c r="G20" s="2083" t="s">
        <v>248</v>
      </c>
      <c r="H20" s="2083"/>
      <c r="I20" s="2083"/>
      <c r="J20" s="2083"/>
      <c r="K20" s="2081" t="s">
        <v>254</v>
      </c>
      <c r="L20" s="2081"/>
      <c r="M20" s="2081"/>
      <c r="N20" s="2081"/>
      <c r="O20" s="2082"/>
      <c r="P20" s="2082"/>
      <c r="Q20" s="2082"/>
      <c r="R20" s="2082"/>
      <c r="S20" s="2082" t="s">
        <v>612</v>
      </c>
      <c r="T20" s="2082"/>
      <c r="U20" s="2082"/>
      <c r="V20" s="2082"/>
      <c r="W20" s="2099" t="str">
        <f>IF(K20&lt;&gt;"",IF(OR(O20="",S20="",G20=""),"NO","YES"),"")</f>
        <v>NO</v>
      </c>
      <c r="X20" s="2099"/>
      <c r="Y20" s="695"/>
      <c r="Z20" s="45"/>
      <c r="AA20" s="45"/>
      <c r="AB20" s="45"/>
      <c r="AC20" s="45"/>
    </row>
    <row r="21" spans="5:29" ht="5.0999999999999996" customHeight="1">
      <c r="E21" s="1442"/>
      <c r="F21" s="217"/>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442"/>
      <c r="F22" s="217" t="str">
        <f>CONCATENATE(K22," - ",O22," ",S22)</f>
        <v xml:space="preserve">Exit Sign - Exit Sign </v>
      </c>
      <c r="G22" s="2083" t="s">
        <v>613</v>
      </c>
      <c r="H22" s="2083"/>
      <c r="I22" s="2083"/>
      <c r="J22" s="2083"/>
      <c r="K22" s="2081" t="s">
        <v>614</v>
      </c>
      <c r="L22" s="2081"/>
      <c r="M22" s="2081"/>
      <c r="N22" s="2081"/>
      <c r="O22" s="2082" t="s">
        <v>614</v>
      </c>
      <c r="P22" s="2082"/>
      <c r="Q22" s="2082"/>
      <c r="R22" s="2082"/>
      <c r="S22" s="2082"/>
      <c r="T22" s="2082"/>
      <c r="U22" s="2082"/>
      <c r="V22" s="2082"/>
      <c r="W22" s="2099" t="str">
        <f>IF(K22&lt;&gt;"",IF(OR(O22="",S22="",G22=""),"NO","YES"),"")</f>
        <v>NO</v>
      </c>
      <c r="X22" s="2099"/>
      <c r="Y22" s="695"/>
      <c r="Z22" s="45"/>
      <c r="AA22" s="45"/>
      <c r="AB22" s="45"/>
      <c r="AC22" s="45"/>
    </row>
    <row r="23" spans="5:29" ht="5.0999999999999996" customHeight="1">
      <c r="E23" s="1442"/>
      <c r="F23" s="218"/>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442"/>
    </row>
    <row r="25" spans="5:29">
      <c r="E25" s="1442"/>
    </row>
    <row r="26" spans="5:29">
      <c r="E26" s="1442"/>
    </row>
    <row r="27" spans="5:29">
      <c r="E27" s="1442"/>
    </row>
    <row r="28" spans="5:29">
      <c r="E28" s="1442"/>
    </row>
    <row r="29" spans="5:29">
      <c r="E29" s="1442"/>
    </row>
    <row r="30" spans="5:29">
      <c r="E30" s="1442"/>
    </row>
    <row r="31" spans="5:29">
      <c r="E31" s="1442"/>
    </row>
    <row r="32" spans="5:29">
      <c r="E32" s="1442"/>
    </row>
    <row r="33" spans="5:5">
      <c r="E33" s="1442"/>
    </row>
    <row r="65" spans="5:29">
      <c r="E65" s="1442"/>
    </row>
    <row r="66" spans="5:29">
      <c r="E66" s="1442"/>
      <c r="F66" s="2084" t="s">
        <v>597</v>
      </c>
      <c r="G66" s="2085"/>
      <c r="H66" s="2090" t="s">
        <v>598</v>
      </c>
      <c r="I66" s="2091"/>
      <c r="J66" s="2091"/>
      <c r="K66" s="2091"/>
      <c r="L66" s="2091"/>
      <c r="M66" s="2091"/>
      <c r="N66" s="2091"/>
      <c r="O66" s="2091"/>
      <c r="P66" s="2091"/>
      <c r="Q66" s="2091"/>
      <c r="R66" s="2091"/>
      <c r="S66" s="2091"/>
      <c r="T66" s="2091"/>
      <c r="U66" s="2091"/>
      <c r="V66" s="2091"/>
      <c r="W66" s="2091"/>
      <c r="X66" s="2091"/>
      <c r="Y66" s="2091"/>
      <c r="Z66" s="2091"/>
      <c r="AA66" s="2092"/>
      <c r="AB66" s="2102"/>
      <c r="AC66" s="2103"/>
    </row>
    <row r="67" spans="5:29">
      <c r="E67" s="1442"/>
      <c r="F67" s="2086"/>
      <c r="G67" s="2087"/>
      <c r="H67" s="2093"/>
      <c r="I67" s="2094"/>
      <c r="J67" s="2094"/>
      <c r="K67" s="2094"/>
      <c r="L67" s="2094"/>
      <c r="M67" s="2094"/>
      <c r="N67" s="2094"/>
      <c r="O67" s="2094"/>
      <c r="P67" s="2094"/>
      <c r="Q67" s="2094"/>
      <c r="R67" s="2094"/>
      <c r="S67" s="2094"/>
      <c r="T67" s="2094"/>
      <c r="U67" s="2094"/>
      <c r="V67" s="2094"/>
      <c r="W67" s="2094"/>
      <c r="X67" s="2094"/>
      <c r="Y67" s="2094"/>
      <c r="Z67" s="2094"/>
      <c r="AA67" s="2095"/>
      <c r="AB67" s="2104"/>
      <c r="AC67" s="2105"/>
    </row>
    <row r="68" spans="5:29">
      <c r="E68" s="1442"/>
      <c r="F68" s="2088"/>
      <c r="G68" s="2089"/>
      <c r="H68" s="2096"/>
      <c r="I68" s="2097"/>
      <c r="J68" s="2097"/>
      <c r="K68" s="2097"/>
      <c r="L68" s="2097"/>
      <c r="M68" s="2097"/>
      <c r="N68" s="2097"/>
      <c r="O68" s="2097"/>
      <c r="P68" s="2097"/>
      <c r="Q68" s="2097"/>
      <c r="R68" s="2097"/>
      <c r="S68" s="2097"/>
      <c r="T68" s="2097"/>
      <c r="U68" s="2097"/>
      <c r="V68" s="2097"/>
      <c r="W68" s="2097"/>
      <c r="X68" s="2097"/>
      <c r="Y68" s="2097"/>
      <c r="Z68" s="2097"/>
      <c r="AA68" s="2098"/>
      <c r="AB68" s="2106"/>
      <c r="AC68" s="2107"/>
    </row>
    <row r="69" spans="5:29">
      <c r="E69" s="1442"/>
    </row>
    <row r="70" spans="5:29" ht="14.95" thickBot="1">
      <c r="E70" s="1442"/>
      <c r="F70" s="215"/>
      <c r="G70" s="216" t="s">
        <v>615</v>
      </c>
      <c r="H70" s="215"/>
      <c r="I70" s="215"/>
      <c r="J70" s="215"/>
      <c r="K70" s="215"/>
      <c r="L70" s="215"/>
      <c r="M70" s="215"/>
      <c r="N70" s="215"/>
      <c r="O70" s="215"/>
      <c r="P70" s="215"/>
      <c r="Q70" s="215"/>
      <c r="R70" s="215"/>
      <c r="S70" s="215"/>
      <c r="T70" s="215"/>
      <c r="U70" s="215"/>
      <c r="V70" s="215"/>
      <c r="W70" s="215"/>
      <c r="X70" s="215"/>
      <c r="Y70" s="215"/>
      <c r="Z70" s="215"/>
      <c r="AA70" s="215"/>
      <c r="AB70" s="215"/>
      <c r="AC70" s="215"/>
    </row>
    <row r="71" spans="5:29" ht="5.0999999999999996" customHeight="1">
      <c r="E71" s="1442"/>
      <c r="F71" s="218"/>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442"/>
      <c r="F72" s="218"/>
      <c r="G72" s="2108" t="s">
        <v>616</v>
      </c>
      <c r="H72" s="2117"/>
      <c r="I72" s="2117"/>
      <c r="J72" s="2117"/>
      <c r="K72" s="2108" t="s">
        <v>617</v>
      </c>
      <c r="L72" s="2108"/>
      <c r="M72" s="2108"/>
      <c r="N72" s="2108"/>
      <c r="O72" s="2109" t="s">
        <v>618</v>
      </c>
      <c r="P72" s="2109"/>
      <c r="Q72" s="2108" t="s">
        <v>619</v>
      </c>
      <c r="R72" s="2117"/>
      <c r="S72" s="2117"/>
      <c r="T72" s="2117"/>
      <c r="U72" s="2108" t="s">
        <v>620</v>
      </c>
      <c r="V72" s="2108"/>
      <c r="W72" s="2108"/>
      <c r="X72" s="2108"/>
      <c r="Y72" s="2109" t="s">
        <v>621</v>
      </c>
      <c r="Z72" s="2109"/>
      <c r="AA72" s="2109" t="s">
        <v>193</v>
      </c>
      <c r="AB72" s="2109"/>
      <c r="AC72" s="45"/>
    </row>
    <row r="73" spans="5:29" ht="5.0999999999999996" customHeight="1">
      <c r="E73" s="1442"/>
      <c r="F73" s="218"/>
      <c r="G73" s="2117"/>
      <c r="H73" s="2117"/>
      <c r="I73" s="2117"/>
      <c r="J73" s="2117"/>
      <c r="K73" s="2108"/>
      <c r="L73" s="2108"/>
      <c r="M73" s="2108"/>
      <c r="N73" s="2108"/>
      <c r="O73" s="2109"/>
      <c r="P73" s="2109"/>
      <c r="Q73" s="2117"/>
      <c r="R73" s="2117"/>
      <c r="S73" s="2117"/>
      <c r="T73" s="2117"/>
      <c r="U73" s="2108"/>
      <c r="V73" s="2108"/>
      <c r="W73" s="2108"/>
      <c r="X73" s="2108"/>
      <c r="Y73" s="2109"/>
      <c r="Z73" s="2109"/>
      <c r="AA73" s="2109"/>
      <c r="AB73" s="2109"/>
      <c r="AC73" s="45"/>
    </row>
    <row r="74" spans="5:29">
      <c r="E74" s="1442"/>
      <c r="F74" s="218"/>
      <c r="G74" s="2117"/>
      <c r="H74" s="2117"/>
      <c r="I74" s="2117"/>
      <c r="J74" s="2117"/>
      <c r="K74" s="2108"/>
      <c r="L74" s="2108"/>
      <c r="M74" s="2108"/>
      <c r="N74" s="2108"/>
      <c r="O74" s="2109"/>
      <c r="P74" s="2109"/>
      <c r="Q74" s="2117"/>
      <c r="R74" s="2117"/>
      <c r="S74" s="2117"/>
      <c r="T74" s="2117"/>
      <c r="U74" s="2108"/>
      <c r="V74" s="2108"/>
      <c r="W74" s="2108"/>
      <c r="X74" s="2108"/>
      <c r="Y74" s="2109"/>
      <c r="Z74" s="2109"/>
      <c r="AA74" s="2109"/>
      <c r="AB74" s="2109"/>
      <c r="AC74" s="45"/>
    </row>
    <row r="75" spans="5:29" ht="5.0999999999999996" customHeight="1">
      <c r="E75" s="1442"/>
      <c r="F75" s="218"/>
      <c r="G75" s="1643"/>
      <c r="H75" s="1643"/>
      <c r="I75" s="1643"/>
      <c r="J75" s="1643"/>
      <c r="K75" s="1602"/>
      <c r="L75" s="1602"/>
      <c r="M75" s="1602"/>
      <c r="N75" s="1602"/>
      <c r="O75" s="1613"/>
      <c r="P75" s="1613"/>
      <c r="Q75" s="1643"/>
      <c r="R75" s="1643"/>
      <c r="S75" s="1643"/>
      <c r="T75" s="1643"/>
      <c r="U75" s="1602"/>
      <c r="V75" s="1602"/>
      <c r="W75" s="1602"/>
      <c r="X75" s="1602"/>
      <c r="Y75" s="1613"/>
      <c r="Z75" s="1613"/>
      <c r="AA75" s="1613"/>
      <c r="AB75" s="1613"/>
      <c r="AC75" s="45"/>
    </row>
    <row r="76" spans="5:29">
      <c r="E76" s="1442"/>
      <c r="F76" s="217"/>
      <c r="G76" s="2078" t="s">
        <v>248</v>
      </c>
      <c r="H76" s="2079"/>
      <c r="I76" s="2079"/>
      <c r="J76" s="2080"/>
      <c r="K76" s="2112" t="s">
        <v>249</v>
      </c>
      <c r="L76" s="2113"/>
      <c r="M76" s="2113"/>
      <c r="N76" s="2114"/>
      <c r="O76" s="2115">
        <v>3</v>
      </c>
      <c r="P76" s="2116"/>
      <c r="Q76" s="2078" t="s">
        <v>622</v>
      </c>
      <c r="R76" s="2079"/>
      <c r="S76" s="2079"/>
      <c r="T76" s="2080"/>
      <c r="U76" s="2078">
        <v>75510</v>
      </c>
      <c r="V76" s="2079"/>
      <c r="W76" s="2079"/>
      <c r="X76" s="2080"/>
      <c r="Y76" s="2115">
        <v>35</v>
      </c>
      <c r="Z76" s="2116"/>
      <c r="AA76" s="2100" t="str">
        <f>IF(K76&lt;&gt;"",IF(OR(Q76="",O76="",U76="",Y76="",G76=""),"NO","YES"),"")</f>
        <v>YES</v>
      </c>
      <c r="AB76" s="2101"/>
      <c r="AC76" s="45"/>
    </row>
    <row r="77" spans="5:29" ht="5.0999999999999996" customHeight="1">
      <c r="E77" s="1442"/>
      <c r="F77" s="217"/>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442"/>
      <c r="F78" s="217"/>
      <c r="G78" s="2078" t="s">
        <v>609</v>
      </c>
      <c r="H78" s="2079"/>
      <c r="I78" s="2079"/>
      <c r="J78" s="2080"/>
      <c r="K78" s="2112" t="s">
        <v>305</v>
      </c>
      <c r="L78" s="2113"/>
      <c r="M78" s="2113"/>
      <c r="N78" s="2114"/>
      <c r="O78" s="2115">
        <v>1</v>
      </c>
      <c r="P78" s="2116"/>
      <c r="Q78" s="2078" t="s">
        <v>623</v>
      </c>
      <c r="R78" s="2079"/>
      <c r="S78" s="2079"/>
      <c r="T78" s="2080"/>
      <c r="U78" s="2078" t="s">
        <v>624</v>
      </c>
      <c r="V78" s="2079"/>
      <c r="W78" s="2079"/>
      <c r="X78" s="2080"/>
      <c r="Y78" s="2115">
        <v>109</v>
      </c>
      <c r="Z78" s="2116"/>
      <c r="AA78" s="2100" t="str">
        <f>IF(K78&lt;&gt;"",IF(OR(Q78="",O78="",U78="",Y78="",G78=""),"NO","YES"),"")</f>
        <v>YES</v>
      </c>
      <c r="AB78" s="2101"/>
      <c r="AC78" s="45"/>
    </row>
    <row r="79" spans="5:29" ht="5.0999999999999996" customHeight="1">
      <c r="E79" s="1442"/>
      <c r="F79" s="217"/>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442"/>
      <c r="F80" s="217"/>
      <c r="G80" s="2078" t="s">
        <v>248</v>
      </c>
      <c r="H80" s="2079"/>
      <c r="I80" s="2079"/>
      <c r="J80" s="2080"/>
      <c r="K80" s="2112" t="s">
        <v>625</v>
      </c>
      <c r="L80" s="2113"/>
      <c r="M80" s="2113"/>
      <c r="N80" s="2114"/>
      <c r="O80" s="2115">
        <v>1</v>
      </c>
      <c r="P80" s="2116"/>
      <c r="Q80" s="2078" t="s">
        <v>626</v>
      </c>
      <c r="R80" s="2079"/>
      <c r="S80" s="2079"/>
      <c r="T80" s="2080"/>
      <c r="U80" s="2078" t="s">
        <v>627</v>
      </c>
      <c r="V80" s="2079"/>
      <c r="W80" s="2079"/>
      <c r="X80" s="2080"/>
      <c r="Y80" s="2115">
        <v>40</v>
      </c>
      <c r="Z80" s="2116"/>
      <c r="AA80" s="2100" t="str">
        <f>IF(K80&lt;&gt;"",IF(OR(Q80="",O80="",U80="",Y80="",G80=""),"NO","YES"),"")</f>
        <v>YES</v>
      </c>
      <c r="AB80" s="2101"/>
      <c r="AC80" s="45"/>
    </row>
    <row r="81" spans="5:29" ht="5.0999999999999996" customHeight="1">
      <c r="E81" s="1442"/>
      <c r="F81" s="217"/>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442"/>
      <c r="F82" s="217"/>
      <c r="G82" s="2078" t="s">
        <v>628</v>
      </c>
      <c r="H82" s="2079"/>
      <c r="I82" s="2079"/>
      <c r="J82" s="2080"/>
      <c r="K82" s="2112" t="s">
        <v>305</v>
      </c>
      <c r="L82" s="2113"/>
      <c r="M82" s="2113"/>
      <c r="N82" s="2114"/>
      <c r="O82" s="2115">
        <v>1</v>
      </c>
      <c r="P82" s="2116"/>
      <c r="Q82" s="2078" t="s">
        <v>629</v>
      </c>
      <c r="R82" s="2079"/>
      <c r="S82" s="2079"/>
      <c r="T82" s="2080"/>
      <c r="U82" s="2078"/>
      <c r="V82" s="2079"/>
      <c r="W82" s="2079"/>
      <c r="X82" s="2080"/>
      <c r="Y82" s="2115">
        <v>15</v>
      </c>
      <c r="Z82" s="2116"/>
      <c r="AA82" s="2100" t="str">
        <f>IF(K82&lt;&gt;"",IF(OR(Q82="",O82="",U82="",Y82="",G82=""),"NO","YES"),"")</f>
        <v>NO</v>
      </c>
      <c r="AB82" s="2101"/>
      <c r="AC82" s="45"/>
    </row>
    <row r="83" spans="5:29" ht="5.0999999999999996" customHeight="1">
      <c r="E83" s="1442"/>
      <c r="F83" s="217"/>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442"/>
      <c r="F84" s="217"/>
      <c r="G84" s="2078" t="s">
        <v>248</v>
      </c>
      <c r="H84" s="2079"/>
      <c r="I84" s="2079"/>
      <c r="J84" s="2080"/>
      <c r="K84" s="2112" t="s">
        <v>305</v>
      </c>
      <c r="L84" s="2113"/>
      <c r="M84" s="2113"/>
      <c r="N84" s="2114"/>
      <c r="O84" s="2115">
        <v>1</v>
      </c>
      <c r="P84" s="2116"/>
      <c r="Q84" s="2078" t="s">
        <v>623</v>
      </c>
      <c r="R84" s="2079"/>
      <c r="S84" s="2079"/>
      <c r="T84" s="2080"/>
      <c r="U84" s="2078" t="s">
        <v>630</v>
      </c>
      <c r="V84" s="2079"/>
      <c r="W84" s="2079"/>
      <c r="X84" s="2080"/>
      <c r="Y84" s="2115">
        <v>35</v>
      </c>
      <c r="Z84" s="2116"/>
      <c r="AA84" s="2100" t="str">
        <f>IF(K84&lt;&gt;"",IF(OR(Q84="",O84="",U84="",Y84="",G84=""),"NO","YES"),"")</f>
        <v>YES</v>
      </c>
      <c r="AB84" s="2101"/>
      <c r="AC84" s="45"/>
    </row>
    <row r="85" spans="5:29" ht="5.0999999999999996" customHeight="1">
      <c r="E85" s="1442"/>
      <c r="F85" s="218"/>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442"/>
      <c r="F86" s="218"/>
      <c r="G86" s="1600" t="s">
        <v>228</v>
      </c>
      <c r="H86" s="1600"/>
      <c r="I86" s="1600"/>
      <c r="J86" s="1600"/>
      <c r="K86" s="1600"/>
      <c r="L86" s="1600"/>
      <c r="M86" s="1600"/>
      <c r="N86" s="1600"/>
      <c r="O86" s="1600"/>
      <c r="P86" s="1600"/>
      <c r="Q86" s="1600"/>
      <c r="R86" s="1600"/>
      <c r="S86" s="1600"/>
      <c r="T86" s="1600"/>
      <c r="U86" s="1600"/>
      <c r="V86" s="1600"/>
      <c r="W86" s="1600"/>
      <c r="X86" s="1600"/>
      <c r="Y86" s="1600"/>
      <c r="Z86" s="1600"/>
      <c r="AA86" s="1600"/>
      <c r="AB86" s="1600"/>
      <c r="AC86" s="45"/>
    </row>
    <row r="87" spans="5:29" ht="5.0999999999999996" customHeight="1">
      <c r="E87" s="1442"/>
      <c r="F87" s="218"/>
      <c r="G87" s="1600"/>
      <c r="H87" s="1600"/>
      <c r="I87" s="1600"/>
      <c r="J87" s="1600"/>
      <c r="K87" s="1600"/>
      <c r="L87" s="1600"/>
      <c r="M87" s="1600"/>
      <c r="N87" s="1600"/>
      <c r="O87" s="1600"/>
      <c r="P87" s="1600"/>
      <c r="Q87" s="1600"/>
      <c r="R87" s="1600"/>
      <c r="S87" s="1600"/>
      <c r="T87" s="1600"/>
      <c r="U87" s="1600"/>
      <c r="V87" s="1600"/>
      <c r="W87" s="1600"/>
      <c r="X87" s="1600"/>
      <c r="Y87" s="1600"/>
      <c r="Z87" s="1600"/>
      <c r="AA87" s="1600"/>
      <c r="AB87" s="1600"/>
      <c r="AC87" s="45"/>
    </row>
    <row r="88" spans="5:29">
      <c r="E88" s="1442"/>
      <c r="F88" s="218"/>
      <c r="G88" s="1600"/>
      <c r="H88" s="1600"/>
      <c r="I88" s="1600"/>
      <c r="J88" s="1600"/>
      <c r="K88" s="1600"/>
      <c r="L88" s="1600"/>
      <c r="M88" s="1600"/>
      <c r="N88" s="1600"/>
      <c r="O88" s="1600"/>
      <c r="P88" s="1600"/>
      <c r="Q88" s="1600"/>
      <c r="R88" s="1600"/>
      <c r="S88" s="1600"/>
      <c r="T88" s="1600"/>
      <c r="U88" s="1600"/>
      <c r="V88" s="1600"/>
      <c r="W88" s="1600"/>
      <c r="X88" s="1600"/>
      <c r="Y88" s="1600"/>
      <c r="Z88" s="1600"/>
      <c r="AA88" s="1600"/>
      <c r="AB88" s="1600"/>
      <c r="AC88" s="45"/>
    </row>
    <row r="89" spans="5:29" ht="5.0999999999999996" customHeight="1">
      <c r="E89" s="1442"/>
      <c r="F89" s="218"/>
      <c r="G89" s="434"/>
      <c r="H89" s="434"/>
      <c r="I89" s="434"/>
      <c r="J89" s="434"/>
      <c r="K89" s="434"/>
      <c r="L89" s="434"/>
      <c r="M89" s="434"/>
      <c r="N89" s="434"/>
      <c r="O89" s="434"/>
      <c r="P89" s="434"/>
      <c r="Q89" s="434"/>
      <c r="R89" s="434"/>
      <c r="S89" s="434"/>
      <c r="T89" s="434"/>
      <c r="U89" s="434"/>
      <c r="V89" s="434"/>
      <c r="W89" s="434"/>
      <c r="X89" s="434"/>
      <c r="Y89" s="434"/>
      <c r="Z89" s="434"/>
      <c r="AA89" s="434"/>
      <c r="AB89" s="434"/>
      <c r="AC89" s="45"/>
    </row>
    <row r="90" spans="5:29">
      <c r="E90" s="1442"/>
    </row>
    <row r="91" spans="5:29">
      <c r="E91" s="1442"/>
    </row>
    <row r="92" spans="5:29">
      <c r="E92" s="1442"/>
    </row>
    <row r="93" spans="5:29">
      <c r="E93" s="1442"/>
    </row>
    <row r="94" spans="5:29">
      <c r="E94" s="1442"/>
    </row>
    <row r="95" spans="5:29">
      <c r="E95" s="1442"/>
    </row>
    <row r="96" spans="5:29">
      <c r="E96" s="1442"/>
    </row>
    <row r="97" spans="5:12">
      <c r="E97" s="1442"/>
    </row>
    <row r="98" spans="5:12">
      <c r="E98" s="1442"/>
    </row>
    <row r="99" spans="5:12">
      <c r="E99" s="1442"/>
      <c r="L99" s="2" t="s">
        <v>305</v>
      </c>
    </row>
    <row r="100" spans="5:12">
      <c r="E100" s="1442"/>
      <c r="L100" t="s">
        <v>631</v>
      </c>
    </row>
    <row r="101" spans="5:12">
      <c r="E101" s="1442"/>
      <c r="L101" t="s">
        <v>632</v>
      </c>
    </row>
    <row r="102" spans="5:12">
      <c r="E102" s="1442"/>
    </row>
    <row r="103" spans="5:12">
      <c r="E103" s="1442"/>
      <c r="L103" s="2" t="s">
        <v>633</v>
      </c>
    </row>
    <row r="104" spans="5:12">
      <c r="E104" s="1442"/>
      <c r="L104" t="s">
        <v>634</v>
      </c>
    </row>
    <row r="105" spans="5:12">
      <c r="E105" s="1442"/>
      <c r="L105" t="s">
        <v>635</v>
      </c>
    </row>
    <row r="106" spans="5:12">
      <c r="E106" s="1442"/>
      <c r="L106" t="s">
        <v>636</v>
      </c>
    </row>
    <row r="107" spans="5:12">
      <c r="E107" s="1442"/>
    </row>
    <row r="108" spans="5:12">
      <c r="E108" s="1442"/>
      <c r="L108" s="2" t="s">
        <v>637</v>
      </c>
    </row>
    <row r="109" spans="5:12">
      <c r="E109" s="1442"/>
      <c r="L109" t="s">
        <v>638</v>
      </c>
    </row>
    <row r="110" spans="5:12">
      <c r="E110" s="1442"/>
      <c r="L110" t="s">
        <v>639</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80" priority="44" operator="equal">
      <formula>"YES"</formula>
    </cfRule>
    <cfRule type="cellIs" dxfId="179" priority="45" operator="equal">
      <formula>"NO"</formula>
    </cfRule>
  </conditionalFormatting>
  <conditionalFormatting sqref="G16:J16">
    <cfRule type="notContainsBlanks" dxfId="178" priority="43">
      <formula>LEN(TRIM(G16))&gt;0</formula>
    </cfRule>
  </conditionalFormatting>
  <conditionalFormatting sqref="G14:J14">
    <cfRule type="notContainsBlanks" dxfId="177" priority="42">
      <formula>LEN(TRIM(G14))&gt;0</formula>
    </cfRule>
  </conditionalFormatting>
  <conditionalFormatting sqref="K14:N14">
    <cfRule type="notContainsBlanks" dxfId="176" priority="41">
      <formula>LEN(TRIM(K14))&gt;0</formula>
    </cfRule>
  </conditionalFormatting>
  <conditionalFormatting sqref="O14:R14">
    <cfRule type="notContainsBlanks" dxfId="175" priority="40">
      <formula>LEN(TRIM(O14))&gt;0</formula>
    </cfRule>
  </conditionalFormatting>
  <conditionalFormatting sqref="S14:V14">
    <cfRule type="notContainsBlanks" dxfId="174" priority="39">
      <formula>LEN(TRIM(S14))&gt;0</formula>
    </cfRule>
  </conditionalFormatting>
  <conditionalFormatting sqref="K16:N16">
    <cfRule type="notContainsBlanks" dxfId="173" priority="38">
      <formula>LEN(TRIM(K16))&gt;0</formula>
    </cfRule>
  </conditionalFormatting>
  <conditionalFormatting sqref="W18">
    <cfRule type="cellIs" dxfId="172" priority="36" operator="equal">
      <formula>"YES"</formula>
    </cfRule>
    <cfRule type="cellIs" dxfId="171" priority="37" operator="equal">
      <formula>"NO"</formula>
    </cfRule>
  </conditionalFormatting>
  <conditionalFormatting sqref="G18:J18">
    <cfRule type="notContainsBlanks" dxfId="170" priority="35">
      <formula>LEN(TRIM(G18))&gt;0</formula>
    </cfRule>
  </conditionalFormatting>
  <conditionalFormatting sqref="K18:N18">
    <cfRule type="notContainsBlanks" dxfId="169" priority="34">
      <formula>LEN(TRIM(K18))&gt;0</formula>
    </cfRule>
  </conditionalFormatting>
  <conditionalFormatting sqref="K20:N20">
    <cfRule type="notContainsBlanks" dxfId="168" priority="30">
      <formula>LEN(TRIM(K20))&gt;0</formula>
    </cfRule>
  </conditionalFormatting>
  <conditionalFormatting sqref="W20">
    <cfRule type="cellIs" dxfId="167" priority="32" operator="equal">
      <formula>"YES"</formula>
    </cfRule>
    <cfRule type="cellIs" dxfId="166" priority="33" operator="equal">
      <formula>"NO"</formula>
    </cfRule>
  </conditionalFormatting>
  <conditionalFormatting sqref="G20:J20">
    <cfRule type="notContainsBlanks" dxfId="165" priority="31">
      <formula>LEN(TRIM(G20))&gt;0</formula>
    </cfRule>
  </conditionalFormatting>
  <conditionalFormatting sqref="K22:N22">
    <cfRule type="notContainsBlanks" dxfId="164" priority="26">
      <formula>LEN(TRIM(K22))&gt;0</formula>
    </cfRule>
  </conditionalFormatting>
  <conditionalFormatting sqref="W22">
    <cfRule type="cellIs" dxfId="163" priority="28" operator="equal">
      <formula>"YES"</formula>
    </cfRule>
    <cfRule type="cellIs" dxfId="162" priority="29" operator="equal">
      <formula>"NO"</formula>
    </cfRule>
  </conditionalFormatting>
  <conditionalFormatting sqref="G22:J22">
    <cfRule type="notContainsBlanks" dxfId="161" priority="27">
      <formula>LEN(TRIM(G22))&gt;0</formula>
    </cfRule>
  </conditionalFormatting>
  <conditionalFormatting sqref="O16:R16">
    <cfRule type="notContainsBlanks" dxfId="160" priority="25">
      <formula>LEN(TRIM(O16))&gt;0</formula>
    </cfRule>
  </conditionalFormatting>
  <conditionalFormatting sqref="O18:R18">
    <cfRule type="notContainsBlanks" dxfId="159" priority="24">
      <formula>LEN(TRIM(O18))&gt;0</formula>
    </cfRule>
  </conditionalFormatting>
  <conditionalFormatting sqref="O20:R20">
    <cfRule type="notContainsBlanks" dxfId="158" priority="23">
      <formula>LEN(TRIM(O20))&gt;0</formula>
    </cfRule>
  </conditionalFormatting>
  <conditionalFormatting sqref="O22:R22">
    <cfRule type="notContainsBlanks" dxfId="157" priority="22">
      <formula>LEN(TRIM(O22))&gt;0</formula>
    </cfRule>
  </conditionalFormatting>
  <conditionalFormatting sqref="S22:V22 S20:V20 S18:V18 S16:V16">
    <cfRule type="notContainsBlanks" dxfId="156" priority="21">
      <formula>LEN(TRIM(S16))&gt;0</formula>
    </cfRule>
  </conditionalFormatting>
  <conditionalFormatting sqref="O16:R16 O14:R14 O18:R18 O20:R20 O22:R22">
    <cfRule type="expression" dxfId="155" priority="46">
      <formula>#REF!=FALSE</formula>
    </cfRule>
  </conditionalFormatting>
  <conditionalFormatting sqref="S22:V22 S20:V20 S18:V18 S16:V16 S14:V14">
    <cfRule type="expression" dxfId="154" priority="47">
      <formula>#REF!=FALSE</formula>
    </cfRule>
  </conditionalFormatting>
  <conditionalFormatting sqref="AA76">
    <cfRule type="cellIs" dxfId="153" priority="19" operator="equal">
      <formula>"YES"</formula>
    </cfRule>
    <cfRule type="cellIs" dxfId="152" priority="20" operator="equal">
      <formula>"NO"</formula>
    </cfRule>
  </conditionalFormatting>
  <conditionalFormatting sqref="G76:J76 O76:Z76">
    <cfRule type="notContainsBlanks" dxfId="151" priority="18">
      <formula>LEN(TRIM(G76))&gt;0</formula>
    </cfRule>
  </conditionalFormatting>
  <conditionalFormatting sqref="G78:J78 O78:Z78">
    <cfRule type="notContainsBlanks" dxfId="150" priority="17">
      <formula>LEN(TRIM(G78))&gt;0</formula>
    </cfRule>
  </conditionalFormatting>
  <conditionalFormatting sqref="AA78">
    <cfRule type="cellIs" dxfId="149" priority="15" operator="equal">
      <formula>"YES"</formula>
    </cfRule>
    <cfRule type="cellIs" dxfId="148" priority="16" operator="equal">
      <formula>"NO"</formula>
    </cfRule>
  </conditionalFormatting>
  <conditionalFormatting sqref="G80:J80 O80:Z80">
    <cfRule type="notContainsBlanks" dxfId="147" priority="14">
      <formula>LEN(TRIM(G80))&gt;0</formula>
    </cfRule>
  </conditionalFormatting>
  <conditionalFormatting sqref="AA80">
    <cfRule type="cellIs" dxfId="146" priority="12" operator="equal">
      <formula>"YES"</formula>
    </cfRule>
    <cfRule type="cellIs" dxfId="145" priority="13" operator="equal">
      <formula>"NO"</formula>
    </cfRule>
  </conditionalFormatting>
  <conditionalFormatting sqref="G82:J82 O82:Z82">
    <cfRule type="notContainsBlanks" dxfId="144" priority="11">
      <formula>LEN(TRIM(G82))&gt;0</formula>
    </cfRule>
  </conditionalFormatting>
  <conditionalFormatting sqref="K82:N82">
    <cfRule type="notContainsBlanks" dxfId="143" priority="10">
      <formula>LEN(TRIM(K82))&gt;0</formula>
    </cfRule>
  </conditionalFormatting>
  <conditionalFormatting sqref="AA82">
    <cfRule type="cellIs" dxfId="142" priority="8" operator="equal">
      <formula>"YES"</formula>
    </cfRule>
    <cfRule type="cellIs" dxfId="141" priority="9" operator="equal">
      <formula>"NO"</formula>
    </cfRule>
  </conditionalFormatting>
  <conditionalFormatting sqref="K80:N80">
    <cfRule type="notContainsBlanks" dxfId="140" priority="7">
      <formula>LEN(TRIM(K80))&gt;0</formula>
    </cfRule>
  </conditionalFormatting>
  <conditionalFormatting sqref="G84:J84 O84:Z84">
    <cfRule type="notContainsBlanks" dxfId="139" priority="6">
      <formula>LEN(TRIM(G84))&gt;0</formula>
    </cfRule>
  </conditionalFormatting>
  <conditionalFormatting sqref="K84:N84">
    <cfRule type="notContainsBlanks" dxfId="138" priority="5">
      <formula>LEN(TRIM(K84))&gt;0</formula>
    </cfRule>
  </conditionalFormatting>
  <conditionalFormatting sqref="AA84">
    <cfRule type="cellIs" dxfId="137" priority="3" operator="equal">
      <formula>"YES"</formula>
    </cfRule>
    <cfRule type="cellIs" dxfId="136" priority="4" operator="equal">
      <formula>"NO"</formula>
    </cfRule>
  </conditionalFormatting>
  <conditionalFormatting sqref="K78:N78">
    <cfRule type="notContainsBlanks" dxfId="135" priority="2">
      <formula>LEN(TRIM(K78))&gt;0</formula>
    </cfRule>
  </conditionalFormatting>
  <conditionalFormatting sqref="K76:N76">
    <cfRule type="notContainsBlanks" dxfId="134" priority="1">
      <formula>LEN(TRIM(K76))&gt;0</formula>
    </cfRule>
  </conditionalFormatting>
  <dataValidations count="7">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 type="list" allowBlank="1" showInputMessage="1" showErrorMessage="1" sqref="G20:J20 G76:J76 G78:J78 G82:J82 G80:J80 G84:J84 G22:J22">
      <formula1>$S$3:$S$16</formula1>
    </dataValidation>
    <dataValidation type="list" allowBlank="1" showInputMessage="1" showErrorMessage="1" sqref="K76:N76 K82:N82 K84:N84 K78:N78">
      <formula1>$AP$3:$AP$10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G14:J14</xm:sqref>
        </x14:dataValidation>
        <x14:dataValidation type="list" allowBlank="1" showInputMessage="1" showErrorMessage="1">
          <x14:formula1>
            <xm:f>Lookup!$AT$3:$AT$10</xm:f>
          </x14:formula1>
          <xm:sqref>K80:N80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W55"/>
  <sheetViews>
    <sheetView showGridLines="0" showRowColHeaders="0" zoomScale="90" zoomScaleNormal="90" workbookViewId="0">
      <pane ySplit="18" topLeftCell="A19" activePane="bottomLeft" state="frozen"/>
      <selection pane="bottomLeft" activeCell="F25" sqref="F25:K25"/>
    </sheetView>
  </sheetViews>
  <sheetFormatPr defaultRowHeight="14.3"/>
  <cols>
    <col min="1" max="1" width="5.375" customWidth="1"/>
    <col min="2" max="2" width="5.375" hidden="1" customWidth="1"/>
    <col min="3" max="3" width="1.375" customWidth="1"/>
    <col min="4" max="12" width="5.375" customWidth="1"/>
    <col min="13" max="13" width="1.375" customWidth="1"/>
    <col min="14" max="14" width="2.375" customWidth="1"/>
    <col min="15" max="15" width="1.375" customWidth="1"/>
    <col min="16" max="20" width="5.375" customWidth="1"/>
    <col min="21" max="22" width="5.375" hidden="1" customWidth="1"/>
    <col min="23" max="23" width="1.375" customWidth="1"/>
    <col min="24" max="26" width="5.375" customWidth="1"/>
    <col min="27" max="27" width="1.375" customWidth="1"/>
    <col min="28" max="28" width="2.375" customWidth="1"/>
    <col min="29" max="29" width="1.375" customWidth="1"/>
    <col min="30" max="38" width="5.375" customWidth="1"/>
    <col min="39" max="39" width="1.375" customWidth="1"/>
    <col min="40" max="40" width="4.375" customWidth="1"/>
    <col min="41" max="41" width="1.625" customWidth="1"/>
    <col min="42" max="42" width="4.375" customWidth="1"/>
    <col min="43" max="43" width="1.625" customWidth="1"/>
    <col min="44" max="44" width="4.375" customWidth="1"/>
    <col min="45" max="45" width="1.625" customWidth="1"/>
    <col min="46" max="46" width="4.375" customWidth="1"/>
    <col min="47" max="47" width="1.625" customWidth="1"/>
    <col min="48" max="48" width="4.375" customWidth="1"/>
    <col min="49" max="49" width="1.625" customWidth="1"/>
    <col min="50" max="50" width="4.375" customWidth="1"/>
    <col min="51" max="51" width="1.625" customWidth="1"/>
    <col min="52" max="52" width="4.375" customWidth="1"/>
    <col min="53" max="53" width="1.625" customWidth="1"/>
    <col min="54" max="54" width="4.375" customWidth="1"/>
    <col min="55" max="55" width="1.625" customWidth="1"/>
    <col min="56" max="56" width="4.375" customWidth="1"/>
    <col min="57" max="57" width="1.625" customWidth="1"/>
    <col min="58" max="58" width="4.375" customWidth="1"/>
    <col min="62" max="62" width="3" hidden="1" customWidth="1"/>
    <col min="63" max="63" width="9.125" hidden="1" customWidth="1"/>
    <col min="64" max="64" width="4" hidden="1" customWidth="1"/>
    <col min="65" max="65" width="9.125" hidden="1" customWidth="1"/>
    <col min="66" max="66" width="4" hidden="1" customWidth="1"/>
    <col min="67" max="67" width="9.125" hidden="1" customWidth="1"/>
    <col min="68" max="68" width="4" hidden="1" customWidth="1"/>
    <col min="69" max="69" width="9.125" hidden="1" customWidth="1"/>
    <col min="70" max="70" width="4" hidden="1" customWidth="1"/>
    <col min="71" max="71" width="9.125" hidden="1" customWidth="1"/>
    <col min="72" max="72" width="4" hidden="1" customWidth="1"/>
    <col min="73" max="73" width="9.125" hidden="1" customWidth="1"/>
    <col min="74" max="74" width="4" hidden="1" customWidth="1"/>
    <col min="75" max="75" width="9.125" hidden="1" customWidth="1"/>
    <col min="76" max="76" width="4" hidden="1" customWidth="1"/>
    <col min="77" max="77" width="9.125" hidden="1" customWidth="1"/>
    <col min="78" max="78" width="4" hidden="1" customWidth="1"/>
    <col min="79" max="79" width="9.125" hidden="1" customWidth="1"/>
    <col min="80" max="80" width="4" hidden="1" customWidth="1"/>
    <col min="81" max="81" width="9.125" hidden="1" customWidth="1"/>
    <col min="93" max="102" width="0" hidden="1" customWidth="1"/>
  </cols>
  <sheetData>
    <row r="1" spans="10:63" ht="5.0999999999999996" customHeight="1"/>
    <row r="3" spans="10:63" ht="5.0999999999999996" customHeight="1"/>
    <row r="5" spans="10:63" ht="5.0999999999999996" customHeight="1">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row>
    <row r="6" spans="10:63" ht="14.95" customHeight="1">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row>
    <row r="7" spans="10:63" ht="5.0999999999999996" customHeight="1">
      <c r="J7" s="1438" t="s">
        <v>640</v>
      </c>
      <c r="K7" s="1438"/>
      <c r="L7" s="1438"/>
      <c r="M7" s="1438"/>
      <c r="N7" s="1438"/>
      <c r="O7" s="1438"/>
      <c r="P7" s="1438"/>
      <c r="Q7" s="1438"/>
      <c r="R7" s="1438"/>
      <c r="S7" s="1438"/>
      <c r="T7" s="1438"/>
      <c r="U7" s="1438"/>
      <c r="V7" s="1438"/>
      <c r="W7" s="1438"/>
      <c r="X7" s="1438"/>
      <c r="Y7" s="1438"/>
      <c r="Z7" s="1438"/>
      <c r="AA7" s="1438"/>
      <c r="AB7" s="1438"/>
      <c r="AC7" s="1438"/>
      <c r="AD7" s="1438"/>
      <c r="AE7" s="1438"/>
      <c r="AF7" s="1438"/>
      <c r="AG7" s="1438"/>
      <c r="AH7" s="1438"/>
    </row>
    <row r="8" spans="10:63" ht="14.45" customHeight="1">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row>
    <row r="9" spans="10:63" ht="5.0999999999999996" customHeight="1">
      <c r="J9" s="1439" t="str">
        <f>Lookup!$B$20</f>
        <v>Business Lighting ─ STANDARD V24-02 ─ Valid through 06/30/2024</v>
      </c>
      <c r="K9" s="1439"/>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row>
    <row r="10" spans="10:63" ht="14.45" customHeight="1">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row>
    <row r="11" spans="10:63" ht="5.0999999999999996" customHeight="1">
      <c r="J11" s="1449" t="s">
        <v>641</v>
      </c>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row>
    <row r="12" spans="10:63" ht="14.45" customHeight="1">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row>
    <row r="13" spans="10:63" ht="5.0999999999999996" customHeight="1">
      <c r="J13" s="1930" t="s">
        <v>642</v>
      </c>
      <c r="K13" s="1930"/>
      <c r="L13" s="1930"/>
      <c r="M13" s="1930"/>
      <c r="N13" s="1930"/>
      <c r="O13" s="1930"/>
      <c r="P13" s="1930"/>
      <c r="Q13" s="1930"/>
      <c r="R13" s="1930"/>
      <c r="S13" s="1930"/>
      <c r="T13" s="1930"/>
      <c r="U13" s="1930"/>
      <c r="V13" s="1930"/>
      <c r="W13" s="1930"/>
      <c r="X13" s="1930"/>
      <c r="Y13" s="1930"/>
      <c r="Z13" s="1930"/>
      <c r="AA13" s="1930"/>
      <c r="AB13" s="1930"/>
      <c r="AC13" s="1930"/>
      <c r="AD13" s="1930"/>
      <c r="AE13" s="1930"/>
      <c r="AF13" s="1930"/>
      <c r="AG13" s="1930"/>
      <c r="AH13" s="1930"/>
    </row>
    <row r="14" spans="10:63" ht="14.45" customHeight="1">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row>
    <row r="15" spans="10:63" ht="5.0999999999999996" customHeight="1"/>
    <row r="16" spans="10:6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row>
    <row r="17" spans="1:81" ht="5.0999999999999996" customHeight="1"/>
    <row r="18" spans="1:81" ht="5.0999999999999996" customHeight="1"/>
    <row r="19" spans="1:81" ht="2.0499999999999998" customHeight="1">
      <c r="A19" s="1950"/>
      <c r="B19" s="1950"/>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1950"/>
      <c r="AL19" s="1950"/>
      <c r="AM19" s="1950"/>
    </row>
    <row r="20" spans="1:81">
      <c r="AN20" s="143" t="s">
        <v>643</v>
      </c>
    </row>
    <row r="21" spans="1:81">
      <c r="AN21" s="143" t="s">
        <v>644</v>
      </c>
    </row>
    <row r="22" spans="1:81" ht="19.05">
      <c r="D22" s="2122" t="s">
        <v>645</v>
      </c>
      <c r="E22" s="2122"/>
      <c r="F22" s="2122"/>
      <c r="G22" s="2122"/>
      <c r="H22" s="2122"/>
      <c r="P22" s="2123" t="s">
        <v>158</v>
      </c>
      <c r="Q22" s="2123"/>
      <c r="R22" s="2123"/>
      <c r="S22" s="2123"/>
      <c r="T22" s="2123"/>
      <c r="U22" s="2123"/>
      <c r="V22" s="2123"/>
      <c r="W22" s="2123"/>
      <c r="X22" s="2123"/>
      <c r="Y22" s="2123"/>
      <c r="AD22" s="2123" t="s">
        <v>646</v>
      </c>
      <c r="AE22" s="2123"/>
      <c r="AF22" s="2123"/>
      <c r="AG22" s="2123"/>
      <c r="AH22" s="2123"/>
      <c r="AI22" s="2123"/>
      <c r="AJ22" s="2123"/>
      <c r="AK22" s="2123"/>
      <c r="AN22" s="1334" t="s">
        <v>647</v>
      </c>
      <c r="AO22" s="346"/>
      <c r="AP22" s="346"/>
      <c r="AQ22" s="346"/>
      <c r="AR22" s="346"/>
      <c r="AS22" s="346"/>
      <c r="AT22" s="346"/>
      <c r="AU22" s="346"/>
      <c r="AV22" s="346"/>
      <c r="AW22" s="346"/>
      <c r="AX22" s="346"/>
      <c r="AY22" s="346"/>
      <c r="AZ22" s="346"/>
      <c r="BA22" s="346"/>
      <c r="BB22" s="346"/>
      <c r="BC22" s="346"/>
      <c r="BD22" s="346"/>
      <c r="BE22" s="346"/>
      <c r="BF22" s="346"/>
    </row>
    <row r="23" spans="1:81">
      <c r="R23" s="14" t="str">
        <f>IF(Project!H59="","Missing",Project!H59)</f>
        <v>- Choose Submitted By -</v>
      </c>
      <c r="AF23" s="96" t="s">
        <v>648</v>
      </c>
      <c r="BJ23">
        <v>5</v>
      </c>
      <c r="BK23" t="str">
        <f>SUBSTITUTE(ADDRESS(1,COLUMN(Installations!ID8),4),"1","")</f>
        <v>ID</v>
      </c>
    </row>
    <row r="24" spans="1:81">
      <c r="D24" s="2" t="s">
        <v>107</v>
      </c>
      <c r="P24" s="1934" t="str">
        <f>IF(OR(Project!H59="",Project!H59="- Choose Submitted by -"),"Incomplete","Complete")</f>
        <v>Incomplete</v>
      </c>
      <c r="Q24" s="1934"/>
      <c r="R24" s="2118" t="s">
        <v>649</v>
      </c>
      <c r="S24" s="2120"/>
      <c r="T24" s="2120"/>
      <c r="U24" s="2120"/>
      <c r="V24" s="2120"/>
      <c r="W24" s="2120"/>
      <c r="X24" s="2120"/>
      <c r="AF24" s="14" t="str">
        <f>'Customer Authorization'!Z54</f>
        <v>- Choose Payee -</v>
      </c>
      <c r="AN24" s="634">
        <v>1</v>
      </c>
      <c r="AO24" s="12"/>
      <c r="AP24" s="634">
        <v>10</v>
      </c>
      <c r="AQ24" s="12"/>
      <c r="AR24" s="634">
        <v>25</v>
      </c>
      <c r="AS24" s="12"/>
      <c r="AT24" s="634">
        <v>40</v>
      </c>
      <c r="AU24" s="12"/>
      <c r="AV24" s="634">
        <f>AT38+1</f>
        <v>55</v>
      </c>
      <c r="AW24" s="12"/>
      <c r="AX24" s="634">
        <f>AV38+1</f>
        <v>70</v>
      </c>
      <c r="AY24" s="12"/>
      <c r="AZ24" s="634">
        <f>AX38+1</f>
        <v>85</v>
      </c>
      <c r="BB24" s="634">
        <f>AZ38+1</f>
        <v>100</v>
      </c>
      <c r="BD24" s="634">
        <f>BB38+1</f>
        <v>115</v>
      </c>
      <c r="BF24" s="634">
        <f>BD38+1</f>
        <v>130</v>
      </c>
      <c r="BJ24">
        <v>48</v>
      </c>
      <c r="BK24" t="str">
        <f ca="1">INDIRECT(CONCATENATE("Installations!",$BK$23,BJ24))</f>
        <v>White</v>
      </c>
      <c r="BL24">
        <f>BJ32+8</f>
        <v>96</v>
      </c>
      <c r="BM24" t="str">
        <f ca="1">INDIRECT(CONCATENATE("Installations!",$BK$23,BL24))</f>
        <v>White</v>
      </c>
      <c r="BN24">
        <f>BL38+8</f>
        <v>174</v>
      </c>
      <c r="BO24" t="str">
        <f ca="1">INDIRECT(CONCATENATE("Installations!",$BK$23,BN24))</f>
        <v>White</v>
      </c>
      <c r="BP24">
        <f>BN38+8</f>
        <v>252</v>
      </c>
      <c r="BQ24" t="str">
        <f ca="1">INDIRECT(CONCATENATE("Installations!",$BK$23,BP24))</f>
        <v>White</v>
      </c>
      <c r="BR24">
        <f>BP38+8</f>
        <v>330</v>
      </c>
      <c r="BS24" t="str">
        <f ca="1">INDIRECT(CONCATENATE("Installations!",$BK$23,BR24))</f>
        <v>White</v>
      </c>
      <c r="BT24">
        <f>BR38+8</f>
        <v>408</v>
      </c>
      <c r="BU24" t="str">
        <f ca="1">INDIRECT(CONCATENATE("Installations!",$BK$23,BT24))</f>
        <v>White</v>
      </c>
      <c r="BV24">
        <f>BT38+8</f>
        <v>486</v>
      </c>
      <c r="BW24" t="str">
        <f ca="1">INDIRECT(CONCATENATE("Installations!",$BK$23,BV24))</f>
        <v>White</v>
      </c>
      <c r="BX24">
        <f>BV38+8</f>
        <v>564</v>
      </c>
      <c r="BY24" t="str">
        <f ca="1">INDIRECT(CONCATENATE("Installations!",$BK$23,BX24))</f>
        <v>White</v>
      </c>
      <c r="BZ24">
        <f>BX38+8</f>
        <v>642</v>
      </c>
      <c r="CA24" t="str">
        <f ca="1">INDIRECT(CONCATENATE("Installations!",$BK$23,BZ24))</f>
        <v>White</v>
      </c>
      <c r="CB24">
        <f>BZ38+8</f>
        <v>720</v>
      </c>
      <c r="CC24" t="str">
        <f ca="1">INDIRECT(CONCATENATE("Installations!",$BK$23,CB24))</f>
        <v>White</v>
      </c>
    </row>
    <row r="25" spans="1:81">
      <c r="D25" s="1934" t="str">
        <f>IF(_Project_2_Type="","Incomplete","Complete")</f>
        <v>Complete</v>
      </c>
      <c r="E25" s="1934"/>
      <c r="F25" s="2118" t="s">
        <v>107</v>
      </c>
      <c r="G25" s="2119"/>
      <c r="H25" s="2119"/>
      <c r="I25" s="2119"/>
      <c r="J25" s="2119"/>
      <c r="K25" s="2119"/>
      <c r="P25" s="1934" t="str">
        <f>IF(Project!H81="","Incomplete","Complete")</f>
        <v>Incomplete</v>
      </c>
      <c r="Q25" s="1934"/>
      <c r="R25" s="2118" t="s">
        <v>114</v>
      </c>
      <c r="S25" s="2120"/>
      <c r="T25" s="2120"/>
      <c r="U25" s="2120"/>
      <c r="V25" s="2120"/>
      <c r="W25" s="2120"/>
      <c r="X25" s="2120"/>
      <c r="AD25" s="1934" t="str">
        <f>IF('Customer Authorization'!Z57="","Incomplete","Complete")</f>
        <v>Incomplete</v>
      </c>
      <c r="AE25" s="1934"/>
      <c r="AF25" s="2118" t="s">
        <v>179</v>
      </c>
      <c r="AG25" s="2120"/>
      <c r="AH25" s="2120"/>
      <c r="AI25" s="2120"/>
      <c r="AJ25" s="2120"/>
      <c r="AK25" s="2120"/>
      <c r="AN25" s="634">
        <v>2</v>
      </c>
      <c r="AO25" s="12"/>
      <c r="AP25" s="634">
        <v>11</v>
      </c>
      <c r="AQ25" s="12"/>
      <c r="AR25" s="634">
        <v>26</v>
      </c>
      <c r="AS25" s="12"/>
      <c r="AT25" s="634">
        <v>41</v>
      </c>
      <c r="AU25" s="316"/>
      <c r="AV25" s="634">
        <f>AV24+1</f>
        <v>56</v>
      </c>
      <c r="AW25" s="316"/>
      <c r="AX25" s="634">
        <f>AX24+1</f>
        <v>71</v>
      </c>
      <c r="AY25" s="316"/>
      <c r="AZ25" s="634">
        <f>AZ24+1</f>
        <v>86</v>
      </c>
      <c r="BA25" s="390"/>
      <c r="BB25" s="634">
        <f>BB24+1</f>
        <v>101</v>
      </c>
      <c r="BD25" s="634">
        <f>BD24+1</f>
        <v>116</v>
      </c>
      <c r="BF25" s="634">
        <f>BF24+1</f>
        <v>131</v>
      </c>
      <c r="BJ25">
        <f>BJ24+BJ$23</f>
        <v>53</v>
      </c>
      <c r="BK25" t="str">
        <f t="shared" ref="BK25:BK32" ca="1" si="0">INDIRECT(CONCATENATE("Installations!",$BK$23,BJ25))</f>
        <v>White</v>
      </c>
      <c r="BL25">
        <f>BL24+$BJ$23</f>
        <v>101</v>
      </c>
      <c r="BM25" t="str">
        <f t="shared" ref="BM25:BM38" ca="1" si="1">INDIRECT(CONCATENATE("Installations!",$BK$23,BL25))</f>
        <v>White</v>
      </c>
      <c r="BN25">
        <f>BN24+$BJ$23</f>
        <v>179</v>
      </c>
      <c r="BO25" t="str">
        <f t="shared" ref="BO25:BO38" ca="1" si="2">INDIRECT(CONCATENATE("Installations!",$BK$23,BN25))</f>
        <v>White</v>
      </c>
      <c r="BP25">
        <f>BP24+$BJ$23</f>
        <v>257</v>
      </c>
      <c r="BQ25" t="str">
        <f t="shared" ref="BQ25:BQ38" ca="1" si="3">INDIRECT(CONCATENATE("Installations!",$BK$23,BP25))</f>
        <v>White</v>
      </c>
      <c r="BR25">
        <f>BR24+$BJ$23</f>
        <v>335</v>
      </c>
      <c r="BS25" t="str">
        <f t="shared" ref="BS25:BS38" ca="1" si="4">INDIRECT(CONCATENATE("Installations!",$BK$23,BR25))</f>
        <v>White</v>
      </c>
      <c r="BT25">
        <f>BT24+$BJ$23</f>
        <v>413</v>
      </c>
      <c r="BU25" t="str">
        <f t="shared" ref="BU25:BU38" ca="1" si="5">INDIRECT(CONCATENATE("Installations!",$BK$23,BT25))</f>
        <v>White</v>
      </c>
      <c r="BV25">
        <f>BV24+$BJ$23</f>
        <v>491</v>
      </c>
      <c r="BW25" t="str">
        <f t="shared" ref="BW25:BW38" ca="1" si="6">INDIRECT(CONCATENATE("Installations!",$BK$23,BV25))</f>
        <v>White</v>
      </c>
      <c r="BX25">
        <f>BX24+$BJ$23</f>
        <v>569</v>
      </c>
      <c r="BY25" t="str">
        <f t="shared" ref="BY25:BY38" ca="1" si="7">INDIRECT(CONCATENATE("Installations!",$BK$23,BX25))</f>
        <v>White</v>
      </c>
      <c r="BZ25">
        <f>BZ24+$BJ$23</f>
        <v>647</v>
      </c>
      <c r="CA25" t="str">
        <f t="shared" ref="CA25:CA38" ca="1" si="8">INDIRECT(CONCATENATE("Installations!",$BK$23,BZ25))</f>
        <v>White</v>
      </c>
      <c r="CB25">
        <f>CB24+$BJ$23</f>
        <v>725</v>
      </c>
      <c r="CC25" t="str">
        <f t="shared" ref="CC25:CC38" ca="1" si="9">INDIRECT(CONCATENATE("Installations!",$BK$23,CB25))</f>
        <v>White</v>
      </c>
    </row>
    <row r="26" spans="1:81">
      <c r="D26" s="1934" t="str">
        <f>IF(Project!H26="","Incomplete","Complete")</f>
        <v>Incomplete</v>
      </c>
      <c r="E26" s="1934"/>
      <c r="F26" s="2118" t="s">
        <v>119</v>
      </c>
      <c r="G26" s="2119"/>
      <c r="H26" s="2119"/>
      <c r="I26" s="2119"/>
      <c r="J26" s="2119"/>
      <c r="K26" s="2119"/>
      <c r="P26" s="1934" t="str">
        <f>IF(Project!H83="","Incomplete","Complete")</f>
        <v>Incomplete</v>
      </c>
      <c r="Q26" s="1934"/>
      <c r="R26" s="2118" t="s">
        <v>650</v>
      </c>
      <c r="S26" s="2120"/>
      <c r="T26" s="2120"/>
      <c r="U26" s="2120"/>
      <c r="V26" s="2120"/>
      <c r="W26" s="2120"/>
      <c r="X26" s="2120"/>
      <c r="AD26" s="1934" t="str">
        <f>IF('Customer Authorization'!Z59="","Incomplete","Complete")</f>
        <v>Incomplete</v>
      </c>
      <c r="AE26" s="1934"/>
      <c r="AF26" s="2118" t="s">
        <v>493</v>
      </c>
      <c r="AG26" s="2120"/>
      <c r="AH26" s="2120"/>
      <c r="AI26" s="2120"/>
      <c r="AJ26" s="2120"/>
      <c r="AK26" s="2120"/>
      <c r="AN26" s="634">
        <v>3</v>
      </c>
      <c r="AO26" s="12"/>
      <c r="AP26" s="634">
        <v>12</v>
      </c>
      <c r="AQ26" s="12"/>
      <c r="AR26" s="634">
        <v>27</v>
      </c>
      <c r="AS26" s="12"/>
      <c r="AT26" s="634">
        <v>42</v>
      </c>
      <c r="AU26" s="316"/>
      <c r="AV26" s="634">
        <f t="shared" ref="AV26:BF38" si="10">AV25+1</f>
        <v>57</v>
      </c>
      <c r="AW26" s="316"/>
      <c r="AX26" s="634">
        <f t="shared" si="10"/>
        <v>72</v>
      </c>
      <c r="AY26" s="316"/>
      <c r="AZ26" s="634">
        <f t="shared" si="10"/>
        <v>87</v>
      </c>
      <c r="BA26" s="390"/>
      <c r="BB26" s="634">
        <f t="shared" si="10"/>
        <v>102</v>
      </c>
      <c r="BD26" s="634">
        <f t="shared" si="10"/>
        <v>117</v>
      </c>
      <c r="BF26" s="634">
        <f t="shared" si="10"/>
        <v>132</v>
      </c>
      <c r="BJ26">
        <f t="shared" ref="BJ26:BJ32" si="11">BJ25+BJ$23</f>
        <v>58</v>
      </c>
      <c r="BK26" t="str">
        <f t="shared" ca="1" si="0"/>
        <v>White</v>
      </c>
      <c r="BL26">
        <f t="shared" ref="BL26:BL38" si="12">BL25+$BJ$23</f>
        <v>106</v>
      </c>
      <c r="BM26" t="str">
        <f t="shared" ca="1" si="1"/>
        <v>White</v>
      </c>
      <c r="BN26">
        <f t="shared" ref="BN26:BN38" si="13">BN25+$BJ$23</f>
        <v>184</v>
      </c>
      <c r="BO26" t="str">
        <f t="shared" ca="1" si="2"/>
        <v>White</v>
      </c>
      <c r="BP26">
        <f t="shared" ref="BP26:BP38" si="14">BP25+$BJ$23</f>
        <v>262</v>
      </c>
      <c r="BQ26" t="str">
        <f t="shared" ca="1" si="3"/>
        <v>White</v>
      </c>
      <c r="BR26">
        <f t="shared" ref="BR26:BR38" si="15">BR25+$BJ$23</f>
        <v>340</v>
      </c>
      <c r="BS26" t="str">
        <f t="shared" ca="1" si="4"/>
        <v>White</v>
      </c>
      <c r="BT26">
        <f t="shared" ref="BT26:BT38" si="16">BT25+$BJ$23</f>
        <v>418</v>
      </c>
      <c r="BU26" t="str">
        <f t="shared" ca="1" si="5"/>
        <v>White</v>
      </c>
      <c r="BV26">
        <f t="shared" ref="BV26:BV38" si="17">BV25+$BJ$23</f>
        <v>496</v>
      </c>
      <c r="BW26" t="str">
        <f t="shared" ca="1" si="6"/>
        <v>White</v>
      </c>
      <c r="BX26">
        <f t="shared" ref="BX26:BX38" si="18">BX25+$BJ$23</f>
        <v>574</v>
      </c>
      <c r="BY26" t="str">
        <f t="shared" ca="1" si="7"/>
        <v>White</v>
      </c>
      <c r="BZ26">
        <f t="shared" ref="BZ26:BZ38" si="19">BZ25+$BJ$23</f>
        <v>652</v>
      </c>
      <c r="CA26" t="str">
        <f t="shared" ca="1" si="8"/>
        <v>White</v>
      </c>
      <c r="CB26">
        <f t="shared" ref="CB26:CB38" si="20">CB25+$BJ$23</f>
        <v>730</v>
      </c>
      <c r="CC26" t="str">
        <f t="shared" ca="1" si="9"/>
        <v>White</v>
      </c>
    </row>
    <row r="27" spans="1:81">
      <c r="D27" s="1934" t="str">
        <f>IF(Project!H32="Horticultural (NOT ALLOWED)","ERROR",IF(Project!H32="","Incomplete","Complete"))</f>
        <v>Incomplete</v>
      </c>
      <c r="E27" s="1934"/>
      <c r="F27" s="2118" t="s">
        <v>128</v>
      </c>
      <c r="G27" s="2119"/>
      <c r="H27" s="2119"/>
      <c r="I27" s="2119"/>
      <c r="J27" s="2119"/>
      <c r="K27" s="2119"/>
      <c r="P27" s="1934" t="str">
        <f>IF(Project!H85="","Incomplete","Complete")</f>
        <v>Incomplete</v>
      </c>
      <c r="Q27" s="1934"/>
      <c r="R27" s="2118" t="s">
        <v>651</v>
      </c>
      <c r="S27" s="2120"/>
      <c r="T27" s="2120"/>
      <c r="U27" s="2120"/>
      <c r="V27" s="2120"/>
      <c r="W27" s="2120"/>
      <c r="X27" s="2120"/>
      <c r="AD27" s="1934" t="str">
        <f>IF('Customer Authorization'!Z63="","Incomplete","Complete")</f>
        <v>Incomplete</v>
      </c>
      <c r="AE27" s="1934"/>
      <c r="AF27" s="2118" t="s">
        <v>652</v>
      </c>
      <c r="AG27" s="2120"/>
      <c r="AH27" s="2120"/>
      <c r="AI27" s="2120"/>
      <c r="AJ27" s="2120"/>
      <c r="AK27" s="2120"/>
      <c r="AN27" s="634">
        <v>4</v>
      </c>
      <c r="AO27" s="12"/>
      <c r="AP27" s="634">
        <v>13</v>
      </c>
      <c r="AQ27" s="12"/>
      <c r="AR27" s="634">
        <v>28</v>
      </c>
      <c r="AS27" s="12"/>
      <c r="AT27" s="634">
        <v>43</v>
      </c>
      <c r="AU27" s="316"/>
      <c r="AV27" s="634">
        <f t="shared" si="10"/>
        <v>58</v>
      </c>
      <c r="AW27" s="316"/>
      <c r="AX27" s="634">
        <f t="shared" si="10"/>
        <v>73</v>
      </c>
      <c r="AY27" s="316"/>
      <c r="AZ27" s="634">
        <f t="shared" si="10"/>
        <v>88</v>
      </c>
      <c r="BA27" s="390"/>
      <c r="BB27" s="634">
        <f t="shared" si="10"/>
        <v>103</v>
      </c>
      <c r="BD27" s="634">
        <f t="shared" si="10"/>
        <v>118</v>
      </c>
      <c r="BF27" s="634">
        <f t="shared" si="10"/>
        <v>133</v>
      </c>
      <c r="BJ27">
        <f t="shared" si="11"/>
        <v>63</v>
      </c>
      <c r="BK27" t="str">
        <f t="shared" ca="1" si="0"/>
        <v>White</v>
      </c>
      <c r="BL27">
        <f t="shared" si="12"/>
        <v>111</v>
      </c>
      <c r="BM27" t="str">
        <f t="shared" ca="1" si="1"/>
        <v>White</v>
      </c>
      <c r="BN27">
        <f t="shared" si="13"/>
        <v>189</v>
      </c>
      <c r="BO27" t="str">
        <f t="shared" ca="1" si="2"/>
        <v>White</v>
      </c>
      <c r="BP27">
        <f t="shared" si="14"/>
        <v>267</v>
      </c>
      <c r="BQ27" t="str">
        <f t="shared" ca="1" si="3"/>
        <v>White</v>
      </c>
      <c r="BR27">
        <f t="shared" si="15"/>
        <v>345</v>
      </c>
      <c r="BS27" t="str">
        <f t="shared" ca="1" si="4"/>
        <v>White</v>
      </c>
      <c r="BT27">
        <f t="shared" si="16"/>
        <v>423</v>
      </c>
      <c r="BU27" t="str">
        <f t="shared" ca="1" si="5"/>
        <v>White</v>
      </c>
      <c r="BV27">
        <f t="shared" si="17"/>
        <v>501</v>
      </c>
      <c r="BW27" t="str">
        <f t="shared" ca="1" si="6"/>
        <v>White</v>
      </c>
      <c r="BX27">
        <f t="shared" si="18"/>
        <v>579</v>
      </c>
      <c r="BY27" t="str">
        <f t="shared" ca="1" si="7"/>
        <v>White</v>
      </c>
      <c r="BZ27">
        <f t="shared" si="19"/>
        <v>657</v>
      </c>
      <c r="CA27" t="str">
        <f t="shared" ca="1" si="8"/>
        <v>White</v>
      </c>
      <c r="CB27">
        <f t="shared" si="20"/>
        <v>735</v>
      </c>
      <c r="CC27" t="str">
        <f t="shared" ca="1" si="9"/>
        <v>White</v>
      </c>
    </row>
    <row r="28" spans="1:81">
      <c r="D28" s="1934" t="str">
        <f>IF(_Project_2_Type="New Construction",IF(Project!H38="","Incomplete","Complete"),"Complete")</f>
        <v>Complete</v>
      </c>
      <c r="E28" s="1934"/>
      <c r="F28" s="2118" t="s">
        <v>653</v>
      </c>
      <c r="G28" s="2119"/>
      <c r="H28" s="2119"/>
      <c r="I28" s="2119"/>
      <c r="J28" s="2119"/>
      <c r="K28" s="2119"/>
      <c r="P28" s="1934" t="str">
        <f>IF(Project!H87="","Incomplete","Complete")</f>
        <v>Incomplete</v>
      </c>
      <c r="Q28" s="1934"/>
      <c r="R28" s="2118" t="s">
        <v>654</v>
      </c>
      <c r="S28" s="2120"/>
      <c r="T28" s="2120"/>
      <c r="U28" s="2120"/>
      <c r="V28" s="2120"/>
      <c r="W28" s="2120"/>
      <c r="X28" s="2120"/>
      <c r="AD28" s="1934" t="str">
        <f>IF('Customer Authorization'!Z65="","Incomplete","Complete")</f>
        <v>Incomplete</v>
      </c>
      <c r="AE28" s="1934"/>
      <c r="AF28" s="2118" t="s">
        <v>121</v>
      </c>
      <c r="AG28" s="2120"/>
      <c r="AH28" s="2120"/>
      <c r="AI28" s="2120"/>
      <c r="AJ28" s="2120"/>
      <c r="AK28" s="2120"/>
      <c r="AN28" s="634">
        <v>5</v>
      </c>
      <c r="AO28" s="12"/>
      <c r="AP28" s="634">
        <v>14</v>
      </c>
      <c r="AQ28" s="12"/>
      <c r="AR28" s="634">
        <v>29</v>
      </c>
      <c r="AS28" s="12"/>
      <c r="AT28" s="634">
        <v>44</v>
      </c>
      <c r="AU28" s="316"/>
      <c r="AV28" s="634">
        <f t="shared" si="10"/>
        <v>59</v>
      </c>
      <c r="AW28" s="316"/>
      <c r="AX28" s="634">
        <f t="shared" si="10"/>
        <v>74</v>
      </c>
      <c r="AY28" s="316"/>
      <c r="AZ28" s="634">
        <f t="shared" si="10"/>
        <v>89</v>
      </c>
      <c r="BA28" s="390"/>
      <c r="BB28" s="634">
        <f t="shared" si="10"/>
        <v>104</v>
      </c>
      <c r="BD28" s="634">
        <f t="shared" si="10"/>
        <v>119</v>
      </c>
      <c r="BF28" s="634">
        <f t="shared" si="10"/>
        <v>134</v>
      </c>
      <c r="BJ28">
        <f t="shared" si="11"/>
        <v>68</v>
      </c>
      <c r="BK28" t="str">
        <f t="shared" ca="1" si="0"/>
        <v>White</v>
      </c>
      <c r="BL28">
        <f t="shared" si="12"/>
        <v>116</v>
      </c>
      <c r="BM28" t="str">
        <f t="shared" ca="1" si="1"/>
        <v>White</v>
      </c>
      <c r="BN28">
        <f t="shared" si="13"/>
        <v>194</v>
      </c>
      <c r="BO28" t="str">
        <f t="shared" ca="1" si="2"/>
        <v>White</v>
      </c>
      <c r="BP28">
        <f t="shared" si="14"/>
        <v>272</v>
      </c>
      <c r="BQ28" t="str">
        <f t="shared" ca="1" si="3"/>
        <v>White</v>
      </c>
      <c r="BR28">
        <f t="shared" si="15"/>
        <v>350</v>
      </c>
      <c r="BS28" t="str">
        <f t="shared" ca="1" si="4"/>
        <v>White</v>
      </c>
      <c r="BT28">
        <f t="shared" si="16"/>
        <v>428</v>
      </c>
      <c r="BU28" t="str">
        <f t="shared" ca="1" si="5"/>
        <v>White</v>
      </c>
      <c r="BV28">
        <f t="shared" si="17"/>
        <v>506</v>
      </c>
      <c r="BW28" t="str">
        <f t="shared" ca="1" si="6"/>
        <v>White</v>
      </c>
      <c r="BX28">
        <f t="shared" si="18"/>
        <v>584</v>
      </c>
      <c r="BY28" t="str">
        <f t="shared" ca="1" si="7"/>
        <v>White</v>
      </c>
      <c r="BZ28">
        <f t="shared" si="19"/>
        <v>662</v>
      </c>
      <c r="CA28" t="str">
        <f t="shared" ca="1" si="8"/>
        <v>White</v>
      </c>
      <c r="CB28">
        <f t="shared" si="20"/>
        <v>740</v>
      </c>
      <c r="CC28" t="str">
        <f t="shared" ca="1" si="9"/>
        <v>White</v>
      </c>
    </row>
    <row r="29" spans="1:81">
      <c r="P29" s="1934" t="str">
        <f>IF(Project!H89="","Incomplete","Complete")</f>
        <v>Incomplete</v>
      </c>
      <c r="Q29" s="1934"/>
      <c r="R29" s="2118" t="s">
        <v>655</v>
      </c>
      <c r="S29" s="2120"/>
      <c r="T29" s="2120"/>
      <c r="U29" s="2120"/>
      <c r="V29" s="2120"/>
      <c r="W29" s="2120"/>
      <c r="X29" s="2120"/>
      <c r="AD29" s="1934" t="str">
        <f>IF('Customer Authorization'!Z67="","Incomplete","Complete")</f>
        <v>Incomplete</v>
      </c>
      <c r="AE29" s="1934"/>
      <c r="AF29" s="2118" t="s">
        <v>171</v>
      </c>
      <c r="AG29" s="2120"/>
      <c r="AH29" s="2120"/>
      <c r="AI29" s="2120"/>
      <c r="AJ29" s="2120"/>
      <c r="AK29" s="2120"/>
      <c r="AN29" s="634">
        <v>6</v>
      </c>
      <c r="AO29" s="12"/>
      <c r="AP29" s="634">
        <v>15</v>
      </c>
      <c r="AQ29" s="12"/>
      <c r="AR29" s="634">
        <v>30</v>
      </c>
      <c r="AS29" s="12"/>
      <c r="AT29" s="634">
        <v>45</v>
      </c>
      <c r="AU29" s="316"/>
      <c r="AV29" s="634">
        <f t="shared" si="10"/>
        <v>60</v>
      </c>
      <c r="AW29" s="316"/>
      <c r="AX29" s="634">
        <f t="shared" si="10"/>
        <v>75</v>
      </c>
      <c r="AY29" s="316"/>
      <c r="AZ29" s="634">
        <f t="shared" si="10"/>
        <v>90</v>
      </c>
      <c r="BA29" s="390"/>
      <c r="BB29" s="634">
        <f t="shared" si="10"/>
        <v>105</v>
      </c>
      <c r="BD29" s="634">
        <f t="shared" si="10"/>
        <v>120</v>
      </c>
      <c r="BF29" s="634">
        <f t="shared" si="10"/>
        <v>135</v>
      </c>
      <c r="BJ29">
        <f t="shared" si="11"/>
        <v>73</v>
      </c>
      <c r="BK29" t="str">
        <f t="shared" ca="1" si="0"/>
        <v>White</v>
      </c>
      <c r="BL29">
        <f t="shared" si="12"/>
        <v>121</v>
      </c>
      <c r="BM29" t="str">
        <f t="shared" ca="1" si="1"/>
        <v>White</v>
      </c>
      <c r="BN29">
        <f t="shared" si="13"/>
        <v>199</v>
      </c>
      <c r="BO29" t="str">
        <f t="shared" ca="1" si="2"/>
        <v>White</v>
      </c>
      <c r="BP29">
        <f t="shared" si="14"/>
        <v>277</v>
      </c>
      <c r="BQ29" t="str">
        <f t="shared" ca="1" si="3"/>
        <v>White</v>
      </c>
      <c r="BR29">
        <f t="shared" si="15"/>
        <v>355</v>
      </c>
      <c r="BS29" t="str">
        <f t="shared" ca="1" si="4"/>
        <v>White</v>
      </c>
      <c r="BT29">
        <f t="shared" si="16"/>
        <v>433</v>
      </c>
      <c r="BU29" t="str">
        <f t="shared" ca="1" si="5"/>
        <v>White</v>
      </c>
      <c r="BV29">
        <f t="shared" si="17"/>
        <v>511</v>
      </c>
      <c r="BW29" t="str">
        <f t="shared" ca="1" si="6"/>
        <v>White</v>
      </c>
      <c r="BX29">
        <f t="shared" si="18"/>
        <v>589</v>
      </c>
      <c r="BY29" t="str">
        <f t="shared" ca="1" si="7"/>
        <v>White</v>
      </c>
      <c r="BZ29">
        <f t="shared" si="19"/>
        <v>667</v>
      </c>
      <c r="CA29" t="str">
        <f t="shared" ca="1" si="8"/>
        <v>White</v>
      </c>
      <c r="CB29">
        <f t="shared" si="20"/>
        <v>745</v>
      </c>
      <c r="CC29" t="str">
        <f t="shared" ca="1" si="9"/>
        <v>White</v>
      </c>
    </row>
    <row r="30" spans="1:81">
      <c r="D30" s="2" t="s">
        <v>108</v>
      </c>
      <c r="P30" s="1934" t="str">
        <f>IF(Project!H91="","Incomplete","Complete")</f>
        <v>Incomplete</v>
      </c>
      <c r="Q30" s="1934"/>
      <c r="R30" s="2118" t="s">
        <v>656</v>
      </c>
      <c r="S30" s="2120"/>
      <c r="T30" s="2120"/>
      <c r="U30" s="2120"/>
      <c r="V30" s="2120"/>
      <c r="W30" s="2120"/>
      <c r="X30" s="2120"/>
      <c r="AD30" s="1934" t="str">
        <f>IF('Customer Authorization'!Z69="","Incomplete","Complete")</f>
        <v>Incomplete</v>
      </c>
      <c r="AE30" s="1934"/>
      <c r="AF30" s="2118" t="s">
        <v>129</v>
      </c>
      <c r="AG30" s="2120"/>
      <c r="AH30" s="2120"/>
      <c r="AI30" s="2120"/>
      <c r="AJ30" s="2120"/>
      <c r="AK30" s="2120"/>
      <c r="AN30" s="634">
        <v>7</v>
      </c>
      <c r="AO30" s="12"/>
      <c r="AP30" s="634">
        <v>16</v>
      </c>
      <c r="AQ30" s="12"/>
      <c r="AR30" s="634">
        <v>31</v>
      </c>
      <c r="AS30" s="12"/>
      <c r="AT30" s="634">
        <v>46</v>
      </c>
      <c r="AU30" s="316"/>
      <c r="AV30" s="634">
        <f t="shared" si="10"/>
        <v>61</v>
      </c>
      <c r="AW30" s="316"/>
      <c r="AX30" s="634">
        <f t="shared" si="10"/>
        <v>76</v>
      </c>
      <c r="AY30" s="316"/>
      <c r="AZ30" s="634">
        <f t="shared" si="10"/>
        <v>91</v>
      </c>
      <c r="BA30" s="390"/>
      <c r="BB30" s="634">
        <f t="shared" si="10"/>
        <v>106</v>
      </c>
      <c r="BD30" s="634">
        <f t="shared" si="10"/>
        <v>121</v>
      </c>
      <c r="BF30" s="634">
        <f t="shared" si="10"/>
        <v>136</v>
      </c>
      <c r="BJ30">
        <f t="shared" si="11"/>
        <v>78</v>
      </c>
      <c r="BK30" t="str">
        <f t="shared" ca="1" si="0"/>
        <v>White</v>
      </c>
      <c r="BL30">
        <f t="shared" si="12"/>
        <v>126</v>
      </c>
      <c r="BM30" t="str">
        <f t="shared" ca="1" si="1"/>
        <v>White</v>
      </c>
      <c r="BN30">
        <f t="shared" si="13"/>
        <v>204</v>
      </c>
      <c r="BO30" t="str">
        <f t="shared" ca="1" si="2"/>
        <v>White</v>
      </c>
      <c r="BP30">
        <f t="shared" si="14"/>
        <v>282</v>
      </c>
      <c r="BQ30" t="str">
        <f t="shared" ca="1" si="3"/>
        <v>White</v>
      </c>
      <c r="BR30">
        <f t="shared" si="15"/>
        <v>360</v>
      </c>
      <c r="BS30" t="str">
        <f t="shared" ca="1" si="4"/>
        <v>White</v>
      </c>
      <c r="BT30">
        <f t="shared" si="16"/>
        <v>438</v>
      </c>
      <c r="BU30" t="str">
        <f t="shared" ca="1" si="5"/>
        <v>White</v>
      </c>
      <c r="BV30">
        <f t="shared" si="17"/>
        <v>516</v>
      </c>
      <c r="BW30" t="str">
        <f t="shared" ca="1" si="6"/>
        <v>White</v>
      </c>
      <c r="BX30">
        <f t="shared" si="18"/>
        <v>594</v>
      </c>
      <c r="BY30" t="str">
        <f t="shared" ca="1" si="7"/>
        <v>White</v>
      </c>
      <c r="BZ30">
        <f t="shared" si="19"/>
        <v>672</v>
      </c>
      <c r="CA30" t="str">
        <f t="shared" ca="1" si="8"/>
        <v>White</v>
      </c>
      <c r="CB30">
        <f t="shared" si="20"/>
        <v>750</v>
      </c>
      <c r="CC30" t="str">
        <f t="shared" ca="1" si="9"/>
        <v>White</v>
      </c>
    </row>
    <row r="31" spans="1:81">
      <c r="D31" s="1934" t="str">
        <f>IF(Project!V22="","Incomplete","Complete")</f>
        <v>Incomplete</v>
      </c>
      <c r="E31" s="1934"/>
      <c r="F31" s="2118" t="s">
        <v>657</v>
      </c>
      <c r="G31" s="2119"/>
      <c r="H31" s="2119"/>
      <c r="I31" s="2119"/>
      <c r="J31" s="2119"/>
      <c r="K31" s="2119"/>
      <c r="P31" s="1934" t="str">
        <f>IF(Project!H93="","Incomplete","Complete")</f>
        <v>Incomplete</v>
      </c>
      <c r="Q31" s="1934"/>
      <c r="R31" s="2118" t="s">
        <v>658</v>
      </c>
      <c r="S31" s="2120"/>
      <c r="T31" s="2120"/>
      <c r="U31" s="2120"/>
      <c r="V31" s="2120"/>
      <c r="W31" s="2120"/>
      <c r="X31" s="2120"/>
      <c r="AD31" s="1934" t="str">
        <f>IF('Customer Authorization'!Z71="","Incomplete","Complete")</f>
        <v>Incomplete</v>
      </c>
      <c r="AE31" s="1934"/>
      <c r="AF31" s="2118" t="s">
        <v>131</v>
      </c>
      <c r="AG31" s="2120"/>
      <c r="AH31" s="2120"/>
      <c r="AI31" s="2120"/>
      <c r="AJ31" s="2120"/>
      <c r="AK31" s="2120"/>
      <c r="AN31" s="634">
        <v>8</v>
      </c>
      <c r="AO31" s="12"/>
      <c r="AP31" s="634">
        <v>17</v>
      </c>
      <c r="AQ31" s="12"/>
      <c r="AR31" s="634">
        <v>32</v>
      </c>
      <c r="AS31" s="12"/>
      <c r="AT31" s="634">
        <v>47</v>
      </c>
      <c r="AU31" s="10"/>
      <c r="AV31" s="634">
        <f t="shared" si="10"/>
        <v>62</v>
      </c>
      <c r="AW31" s="10"/>
      <c r="AX31" s="634">
        <f t="shared" si="10"/>
        <v>77</v>
      </c>
      <c r="AY31" s="10"/>
      <c r="AZ31" s="634">
        <f t="shared" si="10"/>
        <v>92</v>
      </c>
      <c r="BA31" s="390"/>
      <c r="BB31" s="634">
        <f t="shared" si="10"/>
        <v>107</v>
      </c>
      <c r="BD31" s="634">
        <f t="shared" si="10"/>
        <v>122</v>
      </c>
      <c r="BF31" s="634">
        <f t="shared" si="10"/>
        <v>137</v>
      </c>
      <c r="BJ31">
        <f t="shared" si="11"/>
        <v>83</v>
      </c>
      <c r="BK31" t="str">
        <f t="shared" ca="1" si="0"/>
        <v>White</v>
      </c>
      <c r="BL31">
        <f t="shared" si="12"/>
        <v>131</v>
      </c>
      <c r="BM31" t="str">
        <f t="shared" ca="1" si="1"/>
        <v>White</v>
      </c>
      <c r="BN31">
        <f t="shared" si="13"/>
        <v>209</v>
      </c>
      <c r="BO31" t="str">
        <f t="shared" ca="1" si="2"/>
        <v>White</v>
      </c>
      <c r="BP31">
        <f t="shared" si="14"/>
        <v>287</v>
      </c>
      <c r="BQ31" t="str">
        <f t="shared" ca="1" si="3"/>
        <v>White</v>
      </c>
      <c r="BR31">
        <f t="shared" si="15"/>
        <v>365</v>
      </c>
      <c r="BS31" t="str">
        <f t="shared" ca="1" si="4"/>
        <v>White</v>
      </c>
      <c r="BT31">
        <f t="shared" si="16"/>
        <v>443</v>
      </c>
      <c r="BU31" t="str">
        <f t="shared" ca="1" si="5"/>
        <v>White</v>
      </c>
      <c r="BV31">
        <f t="shared" si="17"/>
        <v>521</v>
      </c>
      <c r="BW31" t="str">
        <f t="shared" ca="1" si="6"/>
        <v>White</v>
      </c>
      <c r="BX31">
        <f t="shared" si="18"/>
        <v>599</v>
      </c>
      <c r="BY31" t="str">
        <f t="shared" ca="1" si="7"/>
        <v>White</v>
      </c>
      <c r="BZ31">
        <f t="shared" si="19"/>
        <v>677</v>
      </c>
      <c r="CA31" t="str">
        <f t="shared" ca="1" si="8"/>
        <v>White</v>
      </c>
      <c r="CB31">
        <f t="shared" si="20"/>
        <v>755</v>
      </c>
      <c r="CC31" t="str">
        <f t="shared" ca="1" si="9"/>
        <v>White</v>
      </c>
    </row>
    <row r="32" spans="1:81">
      <c r="D32" s="1934" t="str">
        <f>IF(Project!V24="","Incomplete","Complete")</f>
        <v>Incomplete</v>
      </c>
      <c r="E32" s="1934"/>
      <c r="F32" s="2118" t="s">
        <v>659</v>
      </c>
      <c r="G32" s="2119"/>
      <c r="H32" s="2119"/>
      <c r="I32" s="2119"/>
      <c r="J32" s="2119"/>
      <c r="K32" s="2119"/>
      <c r="P32" s="1934" t="str">
        <f>IF(Project!L93="","Incomplete","Complete")</f>
        <v>Incomplete</v>
      </c>
      <c r="Q32" s="1934"/>
      <c r="R32" s="2118" t="s">
        <v>660</v>
      </c>
      <c r="S32" s="2120"/>
      <c r="T32" s="2120"/>
      <c r="U32" s="2120"/>
      <c r="V32" s="2120"/>
      <c r="W32" s="2120"/>
      <c r="X32" s="2120"/>
      <c r="AD32" s="1934" t="str">
        <f>IF('Customer Authorization'!Z73="","Incomplete","Complete")</f>
        <v>Incomplete</v>
      </c>
      <c r="AE32" s="1934"/>
      <c r="AF32" s="2118" t="s">
        <v>134</v>
      </c>
      <c r="AG32" s="2120"/>
      <c r="AH32" s="2120"/>
      <c r="AI32" s="2120"/>
      <c r="AJ32" s="2120"/>
      <c r="AK32" s="2120"/>
      <c r="AN32" s="634">
        <v>9</v>
      </c>
      <c r="AO32" s="12"/>
      <c r="AP32" s="634">
        <v>18</v>
      </c>
      <c r="AQ32" s="12"/>
      <c r="AR32" s="634">
        <v>33</v>
      </c>
      <c r="AS32" s="12"/>
      <c r="AT32" s="634">
        <v>48</v>
      </c>
      <c r="AU32" s="10"/>
      <c r="AV32" s="634">
        <f t="shared" si="10"/>
        <v>63</v>
      </c>
      <c r="AW32" s="10"/>
      <c r="AX32" s="634">
        <f t="shared" si="10"/>
        <v>78</v>
      </c>
      <c r="AY32" s="10"/>
      <c r="AZ32" s="634">
        <f t="shared" si="10"/>
        <v>93</v>
      </c>
      <c r="BA32" s="390"/>
      <c r="BB32" s="634">
        <f t="shared" si="10"/>
        <v>108</v>
      </c>
      <c r="BD32" s="634">
        <f t="shared" si="10"/>
        <v>123</v>
      </c>
      <c r="BF32" s="634">
        <f t="shared" si="10"/>
        <v>138</v>
      </c>
      <c r="BJ32">
        <f t="shared" si="11"/>
        <v>88</v>
      </c>
      <c r="BK32" t="str">
        <f t="shared" ca="1" si="0"/>
        <v>White</v>
      </c>
      <c r="BL32">
        <f t="shared" si="12"/>
        <v>136</v>
      </c>
      <c r="BM32" t="str">
        <f t="shared" ca="1" si="1"/>
        <v>White</v>
      </c>
      <c r="BN32">
        <f t="shared" si="13"/>
        <v>214</v>
      </c>
      <c r="BO32" t="str">
        <f t="shared" ca="1" si="2"/>
        <v>White</v>
      </c>
      <c r="BP32">
        <f t="shared" si="14"/>
        <v>292</v>
      </c>
      <c r="BQ32" t="str">
        <f t="shared" ca="1" si="3"/>
        <v>White</v>
      </c>
      <c r="BR32">
        <f t="shared" si="15"/>
        <v>370</v>
      </c>
      <c r="BS32" t="str">
        <f t="shared" ca="1" si="4"/>
        <v>White</v>
      </c>
      <c r="BT32">
        <f t="shared" si="16"/>
        <v>448</v>
      </c>
      <c r="BU32" t="str">
        <f t="shared" ca="1" si="5"/>
        <v>White</v>
      </c>
      <c r="BV32">
        <f t="shared" si="17"/>
        <v>526</v>
      </c>
      <c r="BW32" t="str">
        <f t="shared" ca="1" si="6"/>
        <v>White</v>
      </c>
      <c r="BX32">
        <f t="shared" si="18"/>
        <v>604</v>
      </c>
      <c r="BY32" t="str">
        <f t="shared" ca="1" si="7"/>
        <v>White</v>
      </c>
      <c r="BZ32">
        <f t="shared" si="19"/>
        <v>682</v>
      </c>
      <c r="CA32" t="str">
        <f t="shared" ca="1" si="8"/>
        <v>White</v>
      </c>
      <c r="CB32">
        <f t="shared" si="20"/>
        <v>760</v>
      </c>
      <c r="CC32" t="str">
        <f t="shared" ca="1" si="9"/>
        <v>White</v>
      </c>
    </row>
    <row r="33" spans="4:101">
      <c r="D33" s="1934" t="str">
        <f>IF(Project!V26="","Incomplete","Complete")</f>
        <v>Incomplete</v>
      </c>
      <c r="E33" s="1934"/>
      <c r="F33" s="2118" t="s">
        <v>661</v>
      </c>
      <c r="G33" s="2119"/>
      <c r="H33" s="2119"/>
      <c r="I33" s="2119"/>
      <c r="J33" s="2119"/>
      <c r="K33" s="2119"/>
      <c r="AD33" s="1934" t="str">
        <f>IF('Customer Authorization'!AC73="","Incomplete","Complete")</f>
        <v>Incomplete</v>
      </c>
      <c r="AE33" s="1934"/>
      <c r="AF33" s="2118" t="s">
        <v>137</v>
      </c>
      <c r="AG33" s="2120"/>
      <c r="AH33" s="2120"/>
      <c r="AI33" s="2120"/>
      <c r="AJ33" s="2120"/>
      <c r="AK33" s="2120"/>
      <c r="AO33" s="12"/>
      <c r="AP33" s="634">
        <v>19</v>
      </c>
      <c r="AQ33" s="12"/>
      <c r="AR33" s="634">
        <v>34</v>
      </c>
      <c r="AS33" s="12"/>
      <c r="AT33" s="634">
        <v>49</v>
      </c>
      <c r="AU33" s="10"/>
      <c r="AV33" s="634">
        <f t="shared" si="10"/>
        <v>64</v>
      </c>
      <c r="AW33" s="10"/>
      <c r="AX33" s="634">
        <f t="shared" si="10"/>
        <v>79</v>
      </c>
      <c r="AY33" s="10"/>
      <c r="AZ33" s="634">
        <f t="shared" si="10"/>
        <v>94</v>
      </c>
      <c r="BA33" s="390"/>
      <c r="BB33" s="634">
        <f t="shared" si="10"/>
        <v>109</v>
      </c>
      <c r="BD33" s="634">
        <f t="shared" si="10"/>
        <v>124</v>
      </c>
      <c r="BF33" s="634">
        <f t="shared" si="10"/>
        <v>139</v>
      </c>
      <c r="BL33">
        <f t="shared" si="12"/>
        <v>141</v>
      </c>
      <c r="BM33" t="str">
        <f t="shared" ca="1" si="1"/>
        <v>White</v>
      </c>
      <c r="BN33">
        <f t="shared" si="13"/>
        <v>219</v>
      </c>
      <c r="BO33" t="str">
        <f t="shared" ca="1" si="2"/>
        <v>White</v>
      </c>
      <c r="BP33">
        <f t="shared" si="14"/>
        <v>297</v>
      </c>
      <c r="BQ33" t="str">
        <f t="shared" ca="1" si="3"/>
        <v>White</v>
      </c>
      <c r="BR33">
        <f t="shared" si="15"/>
        <v>375</v>
      </c>
      <c r="BS33" t="str">
        <f t="shared" ca="1" si="4"/>
        <v>White</v>
      </c>
      <c r="BT33">
        <f t="shared" si="16"/>
        <v>453</v>
      </c>
      <c r="BU33" t="str">
        <f t="shared" ca="1" si="5"/>
        <v>White</v>
      </c>
      <c r="BV33">
        <f t="shared" si="17"/>
        <v>531</v>
      </c>
      <c r="BW33" t="str">
        <f t="shared" ca="1" si="6"/>
        <v>White</v>
      </c>
      <c r="BX33">
        <f t="shared" si="18"/>
        <v>609</v>
      </c>
      <c r="BY33" t="str">
        <f t="shared" ca="1" si="7"/>
        <v>White</v>
      </c>
      <c r="BZ33">
        <f t="shared" si="19"/>
        <v>687</v>
      </c>
      <c r="CA33" t="str">
        <f t="shared" ca="1" si="8"/>
        <v>White</v>
      </c>
      <c r="CB33">
        <f t="shared" si="20"/>
        <v>765</v>
      </c>
      <c r="CC33" t="str">
        <f t="shared" ca="1" si="9"/>
        <v>White</v>
      </c>
    </row>
    <row r="34" spans="4:101" ht="19.05">
      <c r="D34" s="1934" t="str">
        <f>IF(Project!V28="","Incomplete","Complete")</f>
        <v>Incomplete</v>
      </c>
      <c r="E34" s="1934"/>
      <c r="F34" s="2118" t="s">
        <v>662</v>
      </c>
      <c r="G34" s="2119"/>
      <c r="H34" s="2119"/>
      <c r="I34" s="2119"/>
      <c r="J34" s="2119"/>
      <c r="K34" s="2119"/>
      <c r="P34" s="1334" t="s">
        <v>663</v>
      </c>
      <c r="Q34" s="346"/>
      <c r="R34" s="346"/>
      <c r="S34" s="346"/>
      <c r="T34" s="346"/>
      <c r="AO34" s="12"/>
      <c r="AP34" s="634">
        <v>20</v>
      </c>
      <c r="AQ34" s="12"/>
      <c r="AR34" s="634">
        <v>35</v>
      </c>
      <c r="AS34" s="12"/>
      <c r="AT34" s="634">
        <v>50</v>
      </c>
      <c r="AU34" s="10"/>
      <c r="AV34" s="634">
        <f t="shared" si="10"/>
        <v>65</v>
      </c>
      <c r="AW34" s="10"/>
      <c r="AX34" s="634">
        <f t="shared" si="10"/>
        <v>80</v>
      </c>
      <c r="AY34" s="10"/>
      <c r="AZ34" s="634">
        <f t="shared" si="10"/>
        <v>95</v>
      </c>
      <c r="BA34" s="390"/>
      <c r="BB34" s="634">
        <f t="shared" si="10"/>
        <v>110</v>
      </c>
      <c r="BD34" s="634">
        <f t="shared" si="10"/>
        <v>125</v>
      </c>
      <c r="BF34" s="634">
        <f t="shared" si="10"/>
        <v>140</v>
      </c>
      <c r="BL34">
        <f t="shared" si="12"/>
        <v>146</v>
      </c>
      <c r="BM34" t="str">
        <f t="shared" ca="1" si="1"/>
        <v>White</v>
      </c>
      <c r="BN34">
        <f t="shared" si="13"/>
        <v>224</v>
      </c>
      <c r="BO34" t="str">
        <f t="shared" ca="1" si="2"/>
        <v>White</v>
      </c>
      <c r="BP34">
        <f t="shared" si="14"/>
        <v>302</v>
      </c>
      <c r="BQ34" t="str">
        <f t="shared" ca="1" si="3"/>
        <v>White</v>
      </c>
      <c r="BR34">
        <f t="shared" si="15"/>
        <v>380</v>
      </c>
      <c r="BS34" t="str">
        <f t="shared" ca="1" si="4"/>
        <v>White</v>
      </c>
      <c r="BT34">
        <f t="shared" si="16"/>
        <v>458</v>
      </c>
      <c r="BU34" t="str">
        <f t="shared" ca="1" si="5"/>
        <v>White</v>
      </c>
      <c r="BV34">
        <f t="shared" si="17"/>
        <v>536</v>
      </c>
      <c r="BW34" t="str">
        <f t="shared" ca="1" si="6"/>
        <v>White</v>
      </c>
      <c r="BX34">
        <f t="shared" si="18"/>
        <v>614</v>
      </c>
      <c r="BY34" t="str">
        <f t="shared" ca="1" si="7"/>
        <v>White</v>
      </c>
      <c r="BZ34">
        <f t="shared" si="19"/>
        <v>692</v>
      </c>
      <c r="CA34" t="str">
        <f t="shared" ca="1" si="8"/>
        <v>White</v>
      </c>
      <c r="CB34">
        <f t="shared" si="20"/>
        <v>770</v>
      </c>
      <c r="CC34" t="str">
        <f t="shared" ca="1" si="9"/>
        <v>White</v>
      </c>
    </row>
    <row r="35" spans="4:101">
      <c r="D35" s="1934" t="str">
        <f>IF(Project!V30="","Incomplete","Complete")</f>
        <v>Incomplete</v>
      </c>
      <c r="E35" s="1934"/>
      <c r="F35" s="2118" t="s">
        <v>126</v>
      </c>
      <c r="G35" s="2119"/>
      <c r="H35" s="2119"/>
      <c r="I35" s="2119"/>
      <c r="J35" s="2119"/>
      <c r="K35" s="2119"/>
      <c r="R35" s="14" t="str">
        <f>IF(Project!H71="","Missing",Project!U59)</f>
        <v>Missing</v>
      </c>
      <c r="AO35" s="12"/>
      <c r="AP35" s="634">
        <v>21</v>
      </c>
      <c r="AQ35" s="12"/>
      <c r="AR35" s="634">
        <v>36</v>
      </c>
      <c r="AS35" s="12"/>
      <c r="AT35" s="634">
        <v>51</v>
      </c>
      <c r="AU35" s="10"/>
      <c r="AV35" s="634">
        <f t="shared" si="10"/>
        <v>66</v>
      </c>
      <c r="AW35" s="10"/>
      <c r="AX35" s="634">
        <f t="shared" si="10"/>
        <v>81</v>
      </c>
      <c r="AY35" s="10"/>
      <c r="AZ35" s="634">
        <f t="shared" si="10"/>
        <v>96</v>
      </c>
      <c r="BA35" s="390"/>
      <c r="BB35" s="634">
        <f t="shared" si="10"/>
        <v>111</v>
      </c>
      <c r="BD35" s="634">
        <f t="shared" si="10"/>
        <v>126</v>
      </c>
      <c r="BF35" s="634">
        <f t="shared" si="10"/>
        <v>141</v>
      </c>
      <c r="BL35">
        <f t="shared" si="12"/>
        <v>151</v>
      </c>
      <c r="BM35" t="str">
        <f t="shared" ca="1" si="1"/>
        <v>White</v>
      </c>
      <c r="BN35">
        <f t="shared" si="13"/>
        <v>229</v>
      </c>
      <c r="BO35" t="str">
        <f t="shared" ca="1" si="2"/>
        <v>White</v>
      </c>
      <c r="BP35">
        <f t="shared" si="14"/>
        <v>307</v>
      </c>
      <c r="BQ35" t="str">
        <f t="shared" ca="1" si="3"/>
        <v>White</v>
      </c>
      <c r="BR35">
        <f t="shared" si="15"/>
        <v>385</v>
      </c>
      <c r="BS35" t="str">
        <f t="shared" ca="1" si="4"/>
        <v>White</v>
      </c>
      <c r="BT35">
        <f t="shared" si="16"/>
        <v>463</v>
      </c>
      <c r="BU35" t="str">
        <f t="shared" ca="1" si="5"/>
        <v>White</v>
      </c>
      <c r="BV35">
        <f t="shared" si="17"/>
        <v>541</v>
      </c>
      <c r="BW35" t="str">
        <f t="shared" ca="1" si="6"/>
        <v>White</v>
      </c>
      <c r="BX35">
        <f t="shared" si="18"/>
        <v>619</v>
      </c>
      <c r="BY35" t="str">
        <f t="shared" ca="1" si="7"/>
        <v>White</v>
      </c>
      <c r="BZ35">
        <f t="shared" si="19"/>
        <v>697</v>
      </c>
      <c r="CA35" t="str">
        <f t="shared" ca="1" si="8"/>
        <v>White</v>
      </c>
      <c r="CB35">
        <f t="shared" si="20"/>
        <v>775</v>
      </c>
      <c r="CC35" t="str">
        <f t="shared" ca="1" si="9"/>
        <v>White</v>
      </c>
      <c r="CP35" t="str">
        <f>IF('Customer Authorization'!BE55=0,"",RIGHT('Customer Authorization'!AB51,24))</f>
        <v/>
      </c>
    </row>
    <row r="36" spans="4:101">
      <c r="D36" s="2121" t="str">
        <f>IF(Project!V34="","Incomplete","Complete")</f>
        <v>Incomplete</v>
      </c>
      <c r="E36" s="2121"/>
      <c r="F36" s="2118" t="s">
        <v>664</v>
      </c>
      <c r="G36" s="2119"/>
      <c r="H36" s="2119"/>
      <c r="I36" s="2119"/>
      <c r="J36" s="2119"/>
      <c r="K36" s="2119"/>
      <c r="P36" s="1934" t="str">
        <f>IF(OR(Project!U59="",Project!U59="- Choose Installed by -"),"Incomplete","Complete")</f>
        <v>Incomplete</v>
      </c>
      <c r="Q36" s="1934"/>
      <c r="R36" s="2118" t="s">
        <v>665</v>
      </c>
      <c r="S36" s="2120"/>
      <c r="T36" s="2120"/>
      <c r="U36" s="2120"/>
      <c r="V36" s="2120"/>
      <c r="W36" s="2120"/>
      <c r="X36" s="2120"/>
      <c r="AF36" s="96" t="s">
        <v>666</v>
      </c>
      <c r="AO36" s="12"/>
      <c r="AP36" s="634">
        <v>22</v>
      </c>
      <c r="AQ36" s="12"/>
      <c r="AR36" s="634">
        <v>37</v>
      </c>
      <c r="AS36" s="12"/>
      <c r="AT36" s="634">
        <v>52</v>
      </c>
      <c r="AU36" s="10"/>
      <c r="AV36" s="634">
        <f t="shared" si="10"/>
        <v>67</v>
      </c>
      <c r="AW36" s="10"/>
      <c r="AX36" s="634">
        <f t="shared" si="10"/>
        <v>82</v>
      </c>
      <c r="AY36" s="10"/>
      <c r="AZ36" s="634">
        <f t="shared" si="10"/>
        <v>97</v>
      </c>
      <c r="BA36" s="390"/>
      <c r="BB36" s="634">
        <f t="shared" si="10"/>
        <v>112</v>
      </c>
      <c r="BD36" s="634">
        <f t="shared" si="10"/>
        <v>127</v>
      </c>
      <c r="BF36" s="634">
        <f t="shared" si="10"/>
        <v>142</v>
      </c>
      <c r="BL36">
        <f t="shared" si="12"/>
        <v>156</v>
      </c>
      <c r="BM36" t="str">
        <f t="shared" ca="1" si="1"/>
        <v>White</v>
      </c>
      <c r="BN36">
        <f t="shared" si="13"/>
        <v>234</v>
      </c>
      <c r="BO36" t="str">
        <f t="shared" ca="1" si="2"/>
        <v>White</v>
      </c>
      <c r="BP36">
        <f t="shared" si="14"/>
        <v>312</v>
      </c>
      <c r="BQ36" t="str">
        <f t="shared" ca="1" si="3"/>
        <v>White</v>
      </c>
      <c r="BR36">
        <f t="shared" si="15"/>
        <v>390</v>
      </c>
      <c r="BS36" t="str">
        <f t="shared" ca="1" si="4"/>
        <v>White</v>
      </c>
      <c r="BT36">
        <f t="shared" si="16"/>
        <v>468</v>
      </c>
      <c r="BU36" t="str">
        <f t="shared" ca="1" si="5"/>
        <v>White</v>
      </c>
      <c r="BV36">
        <f t="shared" si="17"/>
        <v>546</v>
      </c>
      <c r="BW36" t="str">
        <f t="shared" ca="1" si="6"/>
        <v>White</v>
      </c>
      <c r="BX36">
        <f t="shared" si="18"/>
        <v>624</v>
      </c>
      <c r="BY36" t="str">
        <f t="shared" ca="1" si="7"/>
        <v>White</v>
      </c>
      <c r="BZ36">
        <f t="shared" si="19"/>
        <v>702</v>
      </c>
      <c r="CA36" t="str">
        <f t="shared" ca="1" si="8"/>
        <v>White</v>
      </c>
      <c r="CB36">
        <f t="shared" si="20"/>
        <v>780</v>
      </c>
      <c r="CC36" t="str">
        <f t="shared" ca="1" si="9"/>
        <v>White</v>
      </c>
      <c r="CP36" s="1935" t="str">
        <f>IF('Customer Authorization'!BE57="","Incomplete","Complete")</f>
        <v>Incomplete</v>
      </c>
      <c r="CQ36" s="1937"/>
      <c r="CR36" s="2118" t="s">
        <v>179</v>
      </c>
      <c r="CS36" s="2119"/>
      <c r="CT36" s="2119"/>
      <c r="CU36" s="2119"/>
      <c r="CV36" s="2119"/>
      <c r="CW36" s="2119"/>
    </row>
    <row r="37" spans="4:101">
      <c r="D37" s="2124" t="str">
        <f>IF(Project!AA36="","Incomplete","Complete")</f>
        <v>Incomplete</v>
      </c>
      <c r="E37" s="2125"/>
      <c r="F37" s="2119" t="s">
        <v>667</v>
      </c>
      <c r="G37" s="2119"/>
      <c r="H37" s="2119"/>
      <c r="I37" s="2119"/>
      <c r="J37" s="2119"/>
      <c r="K37" s="2119"/>
      <c r="P37" s="1934" t="str">
        <f>IF(Project!U81="","Incomplete","Complete")</f>
        <v>Incomplete</v>
      </c>
      <c r="Q37" s="1934"/>
      <c r="R37" s="2118" t="s">
        <v>178</v>
      </c>
      <c r="S37" s="2120"/>
      <c r="T37" s="2120"/>
      <c r="U37" s="2120"/>
      <c r="V37" s="2120"/>
      <c r="W37" s="2120"/>
      <c r="X37" s="2120"/>
      <c r="AD37" s="1934" t="str">
        <f>IF('Customer Authorization'!K97="","Incomplete","Complete")</f>
        <v>Incomplete</v>
      </c>
      <c r="AE37" s="1934"/>
      <c r="AF37" s="2118" t="s">
        <v>114</v>
      </c>
      <c r="AG37" s="2120"/>
      <c r="AH37" s="2120"/>
      <c r="AI37" s="2120"/>
      <c r="AJ37" s="2120"/>
      <c r="AK37" s="2120"/>
      <c r="AO37" s="12"/>
      <c r="AP37" s="634">
        <v>23</v>
      </c>
      <c r="AQ37" s="12"/>
      <c r="AR37" s="634">
        <v>38</v>
      </c>
      <c r="AS37" s="12"/>
      <c r="AT37" s="634">
        <v>53</v>
      </c>
      <c r="AU37" s="10"/>
      <c r="AV37" s="634">
        <f t="shared" si="10"/>
        <v>68</v>
      </c>
      <c r="AW37" s="10"/>
      <c r="AX37" s="634">
        <f t="shared" si="10"/>
        <v>83</v>
      </c>
      <c r="AY37" s="10"/>
      <c r="AZ37" s="634">
        <f t="shared" si="10"/>
        <v>98</v>
      </c>
      <c r="BA37" s="390"/>
      <c r="BB37" s="634">
        <f t="shared" si="10"/>
        <v>113</v>
      </c>
      <c r="BD37" s="634">
        <f t="shared" si="10"/>
        <v>128</v>
      </c>
      <c r="BF37" s="634">
        <f t="shared" si="10"/>
        <v>143</v>
      </c>
      <c r="BL37">
        <f t="shared" si="12"/>
        <v>161</v>
      </c>
      <c r="BM37" t="str">
        <f t="shared" ca="1" si="1"/>
        <v>White</v>
      </c>
      <c r="BN37">
        <f t="shared" si="13"/>
        <v>239</v>
      </c>
      <c r="BO37" t="str">
        <f t="shared" ca="1" si="2"/>
        <v>White</v>
      </c>
      <c r="BP37">
        <f t="shared" si="14"/>
        <v>317</v>
      </c>
      <c r="BQ37" t="str">
        <f t="shared" ca="1" si="3"/>
        <v>White</v>
      </c>
      <c r="BR37">
        <f t="shared" si="15"/>
        <v>395</v>
      </c>
      <c r="BS37" t="str">
        <f t="shared" ca="1" si="4"/>
        <v>White</v>
      </c>
      <c r="BT37">
        <f t="shared" si="16"/>
        <v>473</v>
      </c>
      <c r="BU37" t="str">
        <f t="shared" ca="1" si="5"/>
        <v>White</v>
      </c>
      <c r="BV37">
        <f t="shared" si="17"/>
        <v>551</v>
      </c>
      <c r="BW37" t="str">
        <f t="shared" ca="1" si="6"/>
        <v>White</v>
      </c>
      <c r="BX37">
        <f t="shared" si="18"/>
        <v>629</v>
      </c>
      <c r="BY37" t="str">
        <f t="shared" ca="1" si="7"/>
        <v>White</v>
      </c>
      <c r="BZ37">
        <f t="shared" si="19"/>
        <v>707</v>
      </c>
      <c r="CA37" t="str">
        <f t="shared" ca="1" si="8"/>
        <v>White</v>
      </c>
      <c r="CB37">
        <f t="shared" si="20"/>
        <v>785</v>
      </c>
      <c r="CC37" t="str">
        <f t="shared" ca="1" si="9"/>
        <v>White</v>
      </c>
      <c r="CP37" s="1935" t="str">
        <f>IF('Customer Authorization'!BE59="","Incomplete","Complete")</f>
        <v>Incomplete</v>
      </c>
      <c r="CQ37" s="1937"/>
      <c r="CR37" s="2118" t="s">
        <v>493</v>
      </c>
      <c r="CS37" s="2119"/>
      <c r="CT37" s="2119"/>
      <c r="CU37" s="2119"/>
      <c r="CV37" s="2119"/>
      <c r="CW37" s="2119"/>
    </row>
    <row r="38" spans="4:101">
      <c r="D38" s="92"/>
      <c r="E38" s="92"/>
      <c r="F38" s="570"/>
      <c r="G38" s="570"/>
      <c r="H38" s="570"/>
      <c r="I38" s="570"/>
      <c r="J38" s="570"/>
      <c r="K38" s="570"/>
      <c r="P38" s="1934" t="str">
        <f>IF(Project!U83="","Incomplete","Complete")</f>
        <v>Incomplete</v>
      </c>
      <c r="Q38" s="1934"/>
      <c r="R38" s="2118" t="s">
        <v>668</v>
      </c>
      <c r="S38" s="2120"/>
      <c r="T38" s="2120"/>
      <c r="U38" s="2120"/>
      <c r="V38" s="2120"/>
      <c r="W38" s="2120"/>
      <c r="X38" s="2120"/>
      <c r="AD38" s="1934" t="str">
        <f>IF('Customer Authorization'!K95="","Incomplete","Complete")</f>
        <v>Incomplete</v>
      </c>
      <c r="AE38" s="1934"/>
      <c r="AF38" s="2118" t="s">
        <v>669</v>
      </c>
      <c r="AG38" s="2120"/>
      <c r="AH38" s="2120"/>
      <c r="AI38" s="2120"/>
      <c r="AJ38" s="2120"/>
      <c r="AK38" s="2120"/>
      <c r="AP38" s="634">
        <v>24</v>
      </c>
      <c r="AR38" s="634">
        <v>39</v>
      </c>
      <c r="AT38" s="634">
        <v>54</v>
      </c>
      <c r="AU38" s="10"/>
      <c r="AV38" s="634">
        <f t="shared" si="10"/>
        <v>69</v>
      </c>
      <c r="AW38" s="10"/>
      <c r="AX38" s="634">
        <f t="shared" si="10"/>
        <v>84</v>
      </c>
      <c r="AY38" s="10"/>
      <c r="AZ38" s="634">
        <f t="shared" si="10"/>
        <v>99</v>
      </c>
      <c r="BA38" s="390"/>
      <c r="BB38" s="634">
        <f t="shared" si="10"/>
        <v>114</v>
      </c>
      <c r="BD38" s="634">
        <f t="shared" si="10"/>
        <v>129</v>
      </c>
      <c r="BF38" s="634">
        <f t="shared" si="10"/>
        <v>144</v>
      </c>
      <c r="BL38">
        <f t="shared" si="12"/>
        <v>166</v>
      </c>
      <c r="BM38" t="str">
        <f t="shared" ca="1" si="1"/>
        <v>White</v>
      </c>
      <c r="BN38">
        <f t="shared" si="13"/>
        <v>244</v>
      </c>
      <c r="BO38" t="str">
        <f t="shared" ca="1" si="2"/>
        <v>White</v>
      </c>
      <c r="BP38">
        <f t="shared" si="14"/>
        <v>322</v>
      </c>
      <c r="BQ38" t="str">
        <f t="shared" ca="1" si="3"/>
        <v>White</v>
      </c>
      <c r="BR38">
        <f t="shared" si="15"/>
        <v>400</v>
      </c>
      <c r="BS38" t="str">
        <f t="shared" ca="1" si="4"/>
        <v>White</v>
      </c>
      <c r="BT38">
        <f t="shared" si="16"/>
        <v>478</v>
      </c>
      <c r="BU38" t="str">
        <f t="shared" ca="1" si="5"/>
        <v>White</v>
      </c>
      <c r="BV38">
        <f t="shared" si="17"/>
        <v>556</v>
      </c>
      <c r="BW38" t="str">
        <f t="shared" ca="1" si="6"/>
        <v>White</v>
      </c>
      <c r="BX38">
        <f t="shared" si="18"/>
        <v>634</v>
      </c>
      <c r="BY38" t="str">
        <f t="shared" ca="1" si="7"/>
        <v>White</v>
      </c>
      <c r="BZ38">
        <f t="shared" si="19"/>
        <v>712</v>
      </c>
      <c r="CA38" t="str">
        <f t="shared" ca="1" si="8"/>
        <v>White</v>
      </c>
      <c r="CB38">
        <f t="shared" si="20"/>
        <v>790</v>
      </c>
      <c r="CC38" t="str">
        <f t="shared" ca="1" si="9"/>
        <v>White</v>
      </c>
      <c r="CP38" s="1934" t="str">
        <f>IF('Customer Authorization'!BE63="","Incomplete","Complete")</f>
        <v>Incomplete</v>
      </c>
      <c r="CQ38" s="1934"/>
      <c r="CR38" s="2118" t="s">
        <v>652</v>
      </c>
      <c r="CS38" s="2120"/>
      <c r="CT38" s="2120"/>
      <c r="CU38" s="2120"/>
      <c r="CV38" s="2120"/>
      <c r="CW38" s="2120"/>
    </row>
    <row r="39" spans="4:101">
      <c r="D39" s="2" t="s">
        <v>109</v>
      </c>
      <c r="E39" s="92"/>
      <c r="F39" s="570"/>
      <c r="G39" s="570"/>
      <c r="H39" s="570"/>
      <c r="I39" s="570"/>
      <c r="J39" s="570"/>
      <c r="K39" s="570"/>
      <c r="P39" s="1934" t="str">
        <f>IF(Project!U85="","Incomplete","Complete")</f>
        <v>Incomplete</v>
      </c>
      <c r="Q39" s="1934"/>
      <c r="R39" s="2118" t="s">
        <v>651</v>
      </c>
      <c r="S39" s="2120"/>
      <c r="T39" s="2120"/>
      <c r="U39" s="2120"/>
      <c r="V39" s="2120"/>
      <c r="W39" s="2120"/>
      <c r="X39" s="2120"/>
      <c r="AD39" s="1934" t="str">
        <f>IF('Customer Authorization'!K99="","Incomplete","Complete")</f>
        <v>Incomplete</v>
      </c>
      <c r="AE39" s="1934"/>
      <c r="AF39" s="2118" t="s">
        <v>121</v>
      </c>
      <c r="AG39" s="2120"/>
      <c r="AH39" s="2120"/>
      <c r="AI39" s="2120"/>
      <c r="AJ39" s="2120"/>
      <c r="AK39" s="2120"/>
      <c r="CP39" s="1934" t="str">
        <f>IF('Customer Authorization'!BE65="","Incomplete","Complete")</f>
        <v>Incomplete</v>
      </c>
      <c r="CQ39" s="1934"/>
      <c r="CR39" s="2118" t="s">
        <v>121</v>
      </c>
      <c r="CS39" s="2120"/>
      <c r="CT39" s="2120"/>
      <c r="CU39" s="2120"/>
      <c r="CV39" s="2120"/>
      <c r="CW39" s="2120"/>
    </row>
    <row r="40" spans="4:101">
      <c r="D40" s="2124" t="str">
        <f>IF(Project!AK22="","Incomplete","Complete")</f>
        <v>Incomplete</v>
      </c>
      <c r="E40" s="2125"/>
      <c r="F40" s="2119" t="s">
        <v>670</v>
      </c>
      <c r="G40" s="2119"/>
      <c r="H40" s="2119"/>
      <c r="I40" s="2119"/>
      <c r="J40" s="2119"/>
      <c r="K40" s="2119"/>
      <c r="P40" s="1934" t="str">
        <f>IF(Project!U87="","Incomplete","Complete")</f>
        <v>Incomplete</v>
      </c>
      <c r="Q40" s="1934"/>
      <c r="R40" s="2118" t="s">
        <v>654</v>
      </c>
      <c r="S40" s="2120"/>
      <c r="T40" s="2120"/>
      <c r="U40" s="2120"/>
      <c r="V40" s="2120"/>
      <c r="W40" s="2120"/>
      <c r="X40" s="2120"/>
      <c r="AD40" s="1934" t="str">
        <f>IF('Customer Authorization'!K101="","Incomplete","Complete")</f>
        <v>Incomplete</v>
      </c>
      <c r="AE40" s="1934"/>
      <c r="AF40" s="2118" t="s">
        <v>671</v>
      </c>
      <c r="AG40" s="2120"/>
      <c r="AH40" s="2120"/>
      <c r="AI40" s="2120"/>
      <c r="AJ40" s="2120"/>
      <c r="AK40" s="2120"/>
      <c r="CP40" s="1934" t="str">
        <f>IF('Customer Authorization'!BE67="","Incomplete","Complete")</f>
        <v>Incomplete</v>
      </c>
      <c r="CQ40" s="1934"/>
      <c r="CR40" s="2118" t="s">
        <v>171</v>
      </c>
      <c r="CS40" s="2120"/>
      <c r="CT40" s="2120"/>
      <c r="CU40" s="2120"/>
      <c r="CV40" s="2120"/>
      <c r="CW40" s="2120"/>
    </row>
    <row r="41" spans="4:101">
      <c r="D41" s="2126" t="str">
        <f>IF(Project!AK24="","Incomplete","Complete")</f>
        <v>Incomplete</v>
      </c>
      <c r="E41" s="2126"/>
      <c r="F41" s="2118" t="s">
        <v>672</v>
      </c>
      <c r="G41" s="2119"/>
      <c r="H41" s="2119"/>
      <c r="I41" s="2119"/>
      <c r="J41" s="2119"/>
      <c r="K41" s="2119"/>
      <c r="P41" s="1934" t="str">
        <f>IF(Project!U89="","Incomplete","Complete")</f>
        <v>Incomplete</v>
      </c>
      <c r="Q41" s="1934"/>
      <c r="R41" s="2118" t="s">
        <v>655</v>
      </c>
      <c r="S41" s="2120"/>
      <c r="T41" s="2120"/>
      <c r="U41" s="2120"/>
      <c r="V41" s="2120"/>
      <c r="W41" s="2120"/>
      <c r="X41" s="2120"/>
      <c r="AD41" s="1934" t="str">
        <f>IF('Customer Authorization'!K103="","Incomplete","Complete")</f>
        <v>Incomplete</v>
      </c>
      <c r="AE41" s="1934"/>
      <c r="AF41" s="2118" t="s">
        <v>673</v>
      </c>
      <c r="AG41" s="2120"/>
      <c r="AH41" s="2120"/>
      <c r="AI41" s="2120"/>
      <c r="AJ41" s="2120"/>
      <c r="AK41" s="2120"/>
      <c r="CP41" s="1934" t="str">
        <f>IF('Customer Authorization'!BE69="","Incomplete","Complete")</f>
        <v>Incomplete</v>
      </c>
      <c r="CQ41" s="1934"/>
      <c r="CR41" s="2118" t="s">
        <v>129</v>
      </c>
      <c r="CS41" s="2120"/>
      <c r="CT41" s="2120"/>
      <c r="CU41" s="2120"/>
      <c r="CV41" s="2120"/>
      <c r="CW41" s="2120"/>
    </row>
    <row r="42" spans="4:101">
      <c r="D42" s="1934" t="str">
        <f>IF(Project!AK26="","Incomplete","Complete")</f>
        <v>Incomplete</v>
      </c>
      <c r="E42" s="1934"/>
      <c r="F42" s="2118" t="s">
        <v>674</v>
      </c>
      <c r="G42" s="2119"/>
      <c r="H42" s="2119"/>
      <c r="I42" s="2119"/>
      <c r="J42" s="2119"/>
      <c r="K42" s="2119"/>
      <c r="P42" s="1934" t="str">
        <f>IF(Project!U91="","Incomplete","Complete")</f>
        <v>Incomplete</v>
      </c>
      <c r="Q42" s="1934"/>
      <c r="R42" s="2118" t="s">
        <v>656</v>
      </c>
      <c r="S42" s="2120"/>
      <c r="T42" s="2120"/>
      <c r="U42" s="2120"/>
      <c r="V42" s="2120"/>
      <c r="W42" s="2120"/>
      <c r="X42" s="2120"/>
      <c r="CP42" s="1934" t="str">
        <f>IF('Customer Authorization'!BE71="","Incomplete","Complete")</f>
        <v>Incomplete</v>
      </c>
      <c r="CQ42" s="1934"/>
      <c r="CR42" s="2118" t="s">
        <v>131</v>
      </c>
      <c r="CS42" s="2120"/>
      <c r="CT42" s="2120"/>
      <c r="CU42" s="2120"/>
      <c r="CV42" s="2120"/>
      <c r="CW42" s="2120"/>
    </row>
    <row r="43" spans="4:101">
      <c r="D43" s="1935" t="str">
        <f>IF(Project!AK28="","Incomplete","Complete")</f>
        <v>Incomplete</v>
      </c>
      <c r="E43" s="1937"/>
      <c r="F43" s="2118" t="s">
        <v>675</v>
      </c>
      <c r="G43" s="2119"/>
      <c r="H43" s="2119"/>
      <c r="I43" s="2119"/>
      <c r="J43" s="2119"/>
      <c r="K43" s="2119"/>
      <c r="P43" s="1934" t="str">
        <f>IF(Project!U93="","Incomplete","Complete")</f>
        <v>Incomplete</v>
      </c>
      <c r="Q43" s="1934"/>
      <c r="R43" s="2118" t="s">
        <v>658</v>
      </c>
      <c r="S43" s="2120"/>
      <c r="T43" s="2120"/>
      <c r="U43" s="2120"/>
      <c r="V43" s="2120"/>
      <c r="W43" s="2120"/>
      <c r="X43" s="2120"/>
      <c r="CP43" s="1934" t="str">
        <f>IF('Customer Authorization'!BE73="","Incomplete","Complete")</f>
        <v>Incomplete</v>
      </c>
      <c r="CQ43" s="1934"/>
      <c r="CR43" s="2118" t="s">
        <v>134</v>
      </c>
      <c r="CS43" s="2120"/>
      <c r="CT43" s="2120"/>
      <c r="CU43" s="2120"/>
      <c r="CV43" s="2120"/>
      <c r="CW43" s="2120"/>
    </row>
    <row r="44" spans="4:101">
      <c r="D44" s="1935" t="str">
        <f>IF(Project!AK32="","Incomplete","Complete")</f>
        <v>Incomplete</v>
      </c>
      <c r="E44" s="1937"/>
      <c r="F44" s="2118" t="s">
        <v>676</v>
      </c>
      <c r="G44" s="2119"/>
      <c r="H44" s="2119"/>
      <c r="I44" s="2119"/>
      <c r="J44" s="2119"/>
      <c r="K44" s="2119"/>
      <c r="P44" s="1934" t="str">
        <f>IF(Project!AA93="","Incomplete","Complete")</f>
        <v>Incomplete</v>
      </c>
      <c r="Q44" s="1934"/>
      <c r="R44" s="2118" t="s">
        <v>660</v>
      </c>
      <c r="S44" s="2120"/>
      <c r="T44" s="2120"/>
      <c r="U44" s="2120"/>
      <c r="V44" s="2120"/>
      <c r="W44" s="2120"/>
      <c r="X44" s="2120"/>
      <c r="AF44" s="96" t="s">
        <v>174</v>
      </c>
      <c r="CP44" s="1934" t="str">
        <f>IF('Customer Authorization'!BH73="","Incomplete","Complete")</f>
        <v>Incomplete</v>
      </c>
      <c r="CQ44" s="1934"/>
      <c r="CR44" s="2118" t="s">
        <v>137</v>
      </c>
      <c r="CS44" s="2120"/>
      <c r="CT44" s="2120"/>
      <c r="CU44" s="2120"/>
      <c r="CV44" s="2120"/>
      <c r="CW44" s="2120"/>
    </row>
    <row r="45" spans="4:101">
      <c r="D45" s="1934" t="str">
        <f>IF(Project!AK34="","Incomplete","Complete")</f>
        <v>Incomplete</v>
      </c>
      <c r="E45" s="1934"/>
      <c r="F45" s="2118" t="s">
        <v>677</v>
      </c>
      <c r="G45" s="2119"/>
      <c r="H45" s="2119"/>
      <c r="I45" s="2119"/>
      <c r="J45" s="2119"/>
      <c r="K45" s="2119"/>
      <c r="AD45" s="1934" t="str">
        <f>IF('Customer Authorization'!AD95="","Incomplete","Complete")</f>
        <v>Incomplete</v>
      </c>
      <c r="AE45" s="1934"/>
      <c r="AF45" s="2118" t="s">
        <v>114</v>
      </c>
      <c r="AG45" s="2120"/>
      <c r="AH45" s="2120"/>
      <c r="AI45" s="2120"/>
      <c r="AJ45" s="2120"/>
      <c r="AK45" s="2120"/>
    </row>
    <row r="46" spans="4:101" ht="19.05">
      <c r="D46" s="1934" t="str">
        <f>IF(Project!AK36="","Incomplete","Complete")</f>
        <v>Incomplete</v>
      </c>
      <c r="E46" s="1934"/>
      <c r="F46" s="2118" t="s">
        <v>678</v>
      </c>
      <c r="G46" s="2119"/>
      <c r="H46" s="2119"/>
      <c r="I46" s="2119"/>
      <c r="J46" s="2119"/>
      <c r="K46" s="2119"/>
      <c r="P46" s="1334" t="s">
        <v>160</v>
      </c>
      <c r="Q46" s="346"/>
      <c r="R46" s="346"/>
      <c r="S46" s="346"/>
      <c r="T46" s="346"/>
      <c r="AD46" s="1934" t="str">
        <f>IF('Customer Authorization'!AD97="","Incomplete","Complete")</f>
        <v>Complete</v>
      </c>
      <c r="AE46" s="1934"/>
      <c r="AF46" s="2118" t="s">
        <v>669</v>
      </c>
      <c r="AG46" s="2120"/>
      <c r="AH46" s="2120"/>
      <c r="AI46" s="2120"/>
      <c r="AJ46" s="2120"/>
      <c r="AK46" s="2120"/>
    </row>
    <row r="47" spans="4:101">
      <c r="D47" s="1934" t="str">
        <f>IF(Project!AN36="","Incomplete","Complete")</f>
        <v>Incomplete</v>
      </c>
      <c r="E47" s="1934"/>
      <c r="F47" s="2118" t="s">
        <v>679</v>
      </c>
      <c r="G47" s="2119"/>
      <c r="H47" s="2119"/>
      <c r="I47" s="2119"/>
      <c r="J47" s="2119"/>
      <c r="K47" s="2119"/>
      <c r="R47" s="14"/>
      <c r="AD47" s="1934" t="str">
        <f>IF('Customer Authorization'!AD99="","Incomplete","Complete")</f>
        <v>Complete</v>
      </c>
      <c r="AE47" s="1934"/>
      <c r="AF47" s="2118" t="s">
        <v>121</v>
      </c>
      <c r="AG47" s="2120"/>
      <c r="AH47" s="2120"/>
      <c r="AI47" s="2120"/>
      <c r="AJ47" s="2120"/>
      <c r="AK47" s="2120"/>
    </row>
    <row r="48" spans="4:101">
      <c r="P48" s="1934" t="str">
        <f>IF(Project!AJ63="","Incomplete","Complete")</f>
        <v>Incomplete</v>
      </c>
      <c r="Q48" s="1934"/>
      <c r="R48" s="2118" t="s">
        <v>114</v>
      </c>
      <c r="S48" s="2120"/>
      <c r="T48" s="2120"/>
      <c r="U48" s="2120"/>
      <c r="V48" s="2120"/>
      <c r="W48" s="2120"/>
      <c r="X48" s="2120"/>
      <c r="AD48" s="1934" t="str">
        <f>IF('Customer Authorization'!AD101="","Incomplete","Complete")</f>
        <v>Incomplete</v>
      </c>
      <c r="AE48" s="1934"/>
      <c r="AF48" s="2118" t="s">
        <v>671</v>
      </c>
      <c r="AG48" s="2120"/>
      <c r="AH48" s="2120"/>
      <c r="AI48" s="2120"/>
      <c r="AJ48" s="2120"/>
      <c r="AK48" s="2120"/>
    </row>
    <row r="49" spans="16:24">
      <c r="P49" s="1934" t="str">
        <f>IF(Project!AJ65="","Incomplete","Complete")</f>
        <v>Incomplete</v>
      </c>
      <c r="Q49" s="1934"/>
      <c r="R49" s="2118" t="s">
        <v>650</v>
      </c>
      <c r="S49" s="2120"/>
      <c r="T49" s="2120"/>
      <c r="U49" s="2120"/>
      <c r="V49" s="2120"/>
      <c r="W49" s="2120"/>
      <c r="X49" s="2120"/>
    </row>
    <row r="50" spans="16:24">
      <c r="P50" s="1934" t="str">
        <f>IF(Project!AJ67="","Incomplete","Complete")</f>
        <v>Incomplete</v>
      </c>
      <c r="Q50" s="1934"/>
      <c r="R50" s="2118" t="s">
        <v>121</v>
      </c>
      <c r="S50" s="2120"/>
      <c r="T50" s="2120"/>
      <c r="U50" s="2120"/>
      <c r="V50" s="2120"/>
      <c r="W50" s="2120"/>
      <c r="X50" s="2120"/>
    </row>
    <row r="51" spans="16:24">
      <c r="P51" s="1934" t="str">
        <f>IF(Project!AJ69="","Incomplete","Complete")</f>
        <v>Incomplete</v>
      </c>
      <c r="Q51" s="1934"/>
      <c r="R51" s="2118" t="s">
        <v>680</v>
      </c>
      <c r="S51" s="2120"/>
      <c r="T51" s="2120"/>
      <c r="U51" s="2120"/>
      <c r="V51" s="2120"/>
      <c r="W51" s="2120"/>
      <c r="X51" s="2120"/>
    </row>
    <row r="52" spans="16:24">
      <c r="P52" s="1934" t="str">
        <f>IF(Project!AJ71="","Incomplete","Complete")</f>
        <v>Incomplete</v>
      </c>
      <c r="Q52" s="1934"/>
      <c r="R52" s="2118" t="s">
        <v>129</v>
      </c>
      <c r="S52" s="2120"/>
      <c r="T52" s="2120"/>
      <c r="U52" s="2120"/>
      <c r="V52" s="2120"/>
      <c r="W52" s="2120"/>
      <c r="X52" s="2120"/>
    </row>
    <row r="53" spans="16:24">
      <c r="P53" s="1934" t="str">
        <f>IF(Project!AJ73="","Incomplete","Complete")</f>
        <v>Incomplete</v>
      </c>
      <c r="Q53" s="1934"/>
      <c r="R53" s="2118" t="s">
        <v>131</v>
      </c>
      <c r="S53" s="2120"/>
      <c r="T53" s="2120"/>
      <c r="U53" s="2120"/>
      <c r="V53" s="2120"/>
      <c r="W53" s="2120"/>
      <c r="X53" s="2120"/>
    </row>
    <row r="54" spans="16:24">
      <c r="P54" s="1934" t="str">
        <f>IF(Project!AJ75="","Incomplete","Complete")</f>
        <v>Incomplete</v>
      </c>
      <c r="Q54" s="1934"/>
      <c r="R54" s="2118" t="s">
        <v>134</v>
      </c>
      <c r="S54" s="2120"/>
      <c r="T54" s="2120"/>
      <c r="U54" s="2120"/>
      <c r="V54" s="2120"/>
      <c r="W54" s="2120"/>
      <c r="X54" s="2120"/>
    </row>
    <row r="55" spans="16:24">
      <c r="P55" s="1934" t="str">
        <f>IF(Project!AN75="","Incomplete","Complete")</f>
        <v>Incomplete</v>
      </c>
      <c r="Q55" s="1934"/>
      <c r="R55" s="2118" t="s">
        <v>137</v>
      </c>
      <c r="S55" s="2120"/>
      <c r="T55" s="2120"/>
      <c r="U55" s="2120"/>
      <c r="V55" s="2120"/>
      <c r="W55" s="2120"/>
      <c r="X55" s="2120"/>
    </row>
  </sheetData>
  <sheetProtection algorithmName="SHA-512" hashValue="ESR79WCNT5gvRQUjfadWY3RTY4ievbCQtXThwrX3mWQByK1BD5zYmsaVIj6hM98DlF6a4IwhKI8DwxvMIC5Ykw==" saltValue="5g30ENEGqBTo66JUq8mHrQ==" spinCount="100000" sheet="1" objects="1" scenarios="1"/>
  <mergeCells count="152">
    <mergeCell ref="P55:Q55"/>
    <mergeCell ref="R55:X55"/>
    <mergeCell ref="AD37:AE37"/>
    <mergeCell ref="AD38:AE38"/>
    <mergeCell ref="AD39:AE39"/>
    <mergeCell ref="AD40:AE40"/>
    <mergeCell ref="AD41:AE41"/>
    <mergeCell ref="AD45:AE45"/>
    <mergeCell ref="AD46:AE46"/>
    <mergeCell ref="P48:Q48"/>
    <mergeCell ref="R48:X48"/>
    <mergeCell ref="P49:Q49"/>
    <mergeCell ref="R49:X49"/>
    <mergeCell ref="P50:Q50"/>
    <mergeCell ref="R50:X50"/>
    <mergeCell ref="P51:Q51"/>
    <mergeCell ref="R51:X51"/>
    <mergeCell ref="AD47:AE47"/>
    <mergeCell ref="AD48:AE48"/>
    <mergeCell ref="P52:Q52"/>
    <mergeCell ref="R52:X52"/>
    <mergeCell ref="P53:Q53"/>
    <mergeCell ref="R53:X53"/>
    <mergeCell ref="J9:AH10"/>
    <mergeCell ref="J7:AH8"/>
    <mergeCell ref="J11:AH12"/>
    <mergeCell ref="J13:AH14"/>
    <mergeCell ref="A19:AM19"/>
    <mergeCell ref="R24:X24"/>
    <mergeCell ref="R25:X25"/>
    <mergeCell ref="P54:Q54"/>
    <mergeCell ref="R54:X54"/>
    <mergeCell ref="AF46:AK46"/>
    <mergeCell ref="AF47:AK47"/>
    <mergeCell ref="AF48:AK48"/>
    <mergeCell ref="D22:H22"/>
    <mergeCell ref="P22:Y22"/>
    <mergeCell ref="AD22:AK22"/>
    <mergeCell ref="D47:E47"/>
    <mergeCell ref="D37:E37"/>
    <mergeCell ref="D40:E40"/>
    <mergeCell ref="D41:E41"/>
    <mergeCell ref="D42:E42"/>
    <mergeCell ref="D43:E43"/>
    <mergeCell ref="D44:E44"/>
    <mergeCell ref="D45:E45"/>
    <mergeCell ref="D46:E46"/>
    <mergeCell ref="F47:K47"/>
    <mergeCell ref="P26:Q26"/>
    <mergeCell ref="P27:Q27"/>
    <mergeCell ref="P28:Q28"/>
    <mergeCell ref="P29:Q29"/>
    <mergeCell ref="F46:K46"/>
    <mergeCell ref="D28:E28"/>
    <mergeCell ref="P40:Q40"/>
    <mergeCell ref="R40:X40"/>
    <mergeCell ref="R38:X38"/>
    <mergeCell ref="P39:Q39"/>
    <mergeCell ref="R39:X39"/>
    <mergeCell ref="P24:Q24"/>
    <mergeCell ref="P25:Q25"/>
    <mergeCell ref="AD25:AE25"/>
    <mergeCell ref="CP43:CQ43"/>
    <mergeCell ref="R26:X26"/>
    <mergeCell ref="R30:X30"/>
    <mergeCell ref="CP40:CQ40"/>
    <mergeCell ref="P31:Q31"/>
    <mergeCell ref="CP37:CQ37"/>
    <mergeCell ref="CP38:CQ38"/>
    <mergeCell ref="CP39:CQ39"/>
    <mergeCell ref="AD26:AE26"/>
    <mergeCell ref="AD27:AE27"/>
    <mergeCell ref="AD28:AE28"/>
    <mergeCell ref="CP41:CQ41"/>
    <mergeCell ref="R27:X27"/>
    <mergeCell ref="R28:X28"/>
    <mergeCell ref="R29:X29"/>
    <mergeCell ref="P30:Q30"/>
    <mergeCell ref="AD29:AE29"/>
    <mergeCell ref="R42:X42"/>
    <mergeCell ref="P43:Q43"/>
    <mergeCell ref="R43:X43"/>
    <mergeCell ref="P38:Q38"/>
    <mergeCell ref="CP44:CQ44"/>
    <mergeCell ref="R31:X31"/>
    <mergeCell ref="F27:K27"/>
    <mergeCell ref="F31:K31"/>
    <mergeCell ref="F32:K32"/>
    <mergeCell ref="F33:K33"/>
    <mergeCell ref="F34:K34"/>
    <mergeCell ref="F35:K35"/>
    <mergeCell ref="F36:K36"/>
    <mergeCell ref="F37:K37"/>
    <mergeCell ref="CP42:CQ42"/>
    <mergeCell ref="AF27:AK27"/>
    <mergeCell ref="AF28:AK28"/>
    <mergeCell ref="AF29:AK29"/>
    <mergeCell ref="AF30:AK30"/>
    <mergeCell ref="AF31:AK31"/>
    <mergeCell ref="AF32:AK32"/>
    <mergeCell ref="AF33:AK33"/>
    <mergeCell ref="F28:K28"/>
    <mergeCell ref="P36:Q36"/>
    <mergeCell ref="R36:X36"/>
    <mergeCell ref="P41:Q41"/>
    <mergeCell ref="R41:X41"/>
    <mergeCell ref="P42:Q42"/>
    <mergeCell ref="CR37:CW37"/>
    <mergeCell ref="CR38:CW38"/>
    <mergeCell ref="CR39:CW39"/>
    <mergeCell ref="CR40:CW40"/>
    <mergeCell ref="CR41:CW41"/>
    <mergeCell ref="F42:K42"/>
    <mergeCell ref="F43:K43"/>
    <mergeCell ref="F44:K44"/>
    <mergeCell ref="F45:K45"/>
    <mergeCell ref="F41:K41"/>
    <mergeCell ref="F40:K40"/>
    <mergeCell ref="AF37:AK37"/>
    <mergeCell ref="AF38:AK38"/>
    <mergeCell ref="AF39:AK39"/>
    <mergeCell ref="AF40:AK40"/>
    <mergeCell ref="AF41:AK41"/>
    <mergeCell ref="AF45:AK45"/>
    <mergeCell ref="CR43:CW43"/>
    <mergeCell ref="CR44:CW44"/>
    <mergeCell ref="CR42:CW42"/>
    <mergeCell ref="P37:Q37"/>
    <mergeCell ref="R37:X37"/>
    <mergeCell ref="P44:Q44"/>
    <mergeCell ref="R44:X44"/>
    <mergeCell ref="CR36:CW36"/>
    <mergeCell ref="AF26:AK26"/>
    <mergeCell ref="AF25:AK25"/>
    <mergeCell ref="D33:E33"/>
    <mergeCell ref="D34:E34"/>
    <mergeCell ref="D35:E35"/>
    <mergeCell ref="D36:E36"/>
    <mergeCell ref="D31:E31"/>
    <mergeCell ref="D32:E32"/>
    <mergeCell ref="D26:E26"/>
    <mergeCell ref="D27:E27"/>
    <mergeCell ref="CP36:CQ36"/>
    <mergeCell ref="AD30:AE30"/>
    <mergeCell ref="AD33:AE33"/>
    <mergeCell ref="R32:X32"/>
    <mergeCell ref="P32:Q32"/>
    <mergeCell ref="AD31:AE31"/>
    <mergeCell ref="AD32:AE32"/>
    <mergeCell ref="F26:K26"/>
    <mergeCell ref="D25:E25"/>
    <mergeCell ref="F25:K25"/>
  </mergeCells>
  <conditionalFormatting sqref="D26:E28 D31:E47">
    <cfRule type="cellIs" dxfId="133" priority="1445" operator="equal">
      <formula>"Incomplete"</formula>
    </cfRule>
    <cfRule type="cellIs" dxfId="132" priority="1447" operator="equal">
      <formula>"Complete"</formula>
    </cfRule>
  </conditionalFormatting>
  <conditionalFormatting sqref="P24:Q32 AD37:AE41">
    <cfRule type="cellIs" dxfId="131" priority="1444" operator="equal">
      <formula>"Complete"</formula>
    </cfRule>
    <cfRule type="cellIs" dxfId="130" priority="1446" operator="equal">
      <formula>"Incomplete"</formula>
    </cfRule>
  </conditionalFormatting>
  <conditionalFormatting sqref="AD25:AE33">
    <cfRule type="cellIs" dxfId="129" priority="1442" operator="equal">
      <formula>"Complete"</formula>
    </cfRule>
    <cfRule type="cellIs" dxfId="128" priority="1443" operator="equal">
      <formula>"Incomplete"</formula>
    </cfRule>
  </conditionalFormatting>
  <conditionalFormatting sqref="CP36:CQ44">
    <cfRule type="cellIs" dxfId="127" priority="1440" operator="equal">
      <formula>"Complete"</formula>
    </cfRule>
    <cfRule type="cellIs" dxfId="126" priority="1441" operator="equal">
      <formula>"Incomplete"</formula>
    </cfRule>
  </conditionalFormatting>
  <conditionalFormatting sqref="CP36:CS44">
    <cfRule type="expression" dxfId="125" priority="1439">
      <formula>$CP$35=""</formula>
    </cfRule>
  </conditionalFormatting>
  <conditionalFormatting sqref="P25:Q32">
    <cfRule type="cellIs" dxfId="124" priority="1350" operator="equal">
      <formula>"Self"</formula>
    </cfRule>
  </conditionalFormatting>
  <conditionalFormatting sqref="D27:E28">
    <cfRule type="containsText" dxfId="123" priority="1349" operator="containsText" text="ERROR">
      <formula>NOT(ISERROR(SEARCH("ERROR",D27)))</formula>
    </cfRule>
  </conditionalFormatting>
  <conditionalFormatting sqref="D25:E25">
    <cfRule type="cellIs" dxfId="122" priority="313" operator="equal">
      <formula>"Incomplete"</formula>
    </cfRule>
    <cfRule type="cellIs" dxfId="121" priority="314" operator="equal">
      <formula>"Complete"</formula>
    </cfRule>
  </conditionalFormatting>
  <conditionalFormatting sqref="P36:Q36">
    <cfRule type="cellIs" dxfId="120" priority="311" operator="equal">
      <formula>"Complete"</formula>
    </cfRule>
    <cfRule type="cellIs" dxfId="119" priority="312" operator="equal">
      <formula>"Incomplete"</formula>
    </cfRule>
  </conditionalFormatting>
  <conditionalFormatting sqref="P37:Q44">
    <cfRule type="cellIs" dxfId="118" priority="308" operator="equal">
      <formula>"Complete"</formula>
    </cfRule>
    <cfRule type="cellIs" dxfId="117" priority="309" operator="equal">
      <formula>"Incomplete"</formula>
    </cfRule>
  </conditionalFormatting>
  <conditionalFormatting sqref="P37:Q44">
    <cfRule type="cellIs" dxfId="116" priority="307" operator="equal">
      <formula>"Self"</formula>
    </cfRule>
  </conditionalFormatting>
  <conditionalFormatting sqref="AR24:AR38">
    <cfRule type="expression" dxfId="115" priority="199">
      <formula>BO24="Yellow"</formula>
    </cfRule>
    <cfRule type="expression" dxfId="114" priority="200">
      <formula>BO24="Red"</formula>
    </cfRule>
    <cfRule type="expression" dxfId="113" priority="201">
      <formula>BO24="Green"</formula>
    </cfRule>
  </conditionalFormatting>
  <conditionalFormatting sqref="AT24:AT38">
    <cfRule type="expression" dxfId="112" priority="64">
      <formula>BQ24="Yellow"</formula>
    </cfRule>
    <cfRule type="expression" dxfId="111" priority="65">
      <formula>BQ24="Red"</formula>
    </cfRule>
    <cfRule type="expression" dxfId="110" priority="66">
      <formula>BQ24="Green"</formula>
    </cfRule>
  </conditionalFormatting>
  <conditionalFormatting sqref="AV24:AV38">
    <cfRule type="expression" dxfId="109" priority="61">
      <formula>BS24="Yellow"</formula>
    </cfRule>
    <cfRule type="expression" dxfId="108" priority="62">
      <formula>BS24="Red"</formula>
    </cfRule>
    <cfRule type="expression" dxfId="107" priority="63">
      <formula>BS24="Green"</formula>
    </cfRule>
  </conditionalFormatting>
  <conditionalFormatting sqref="AP24:AP38">
    <cfRule type="expression" dxfId="106" priority="43">
      <formula>BM24="Yellow"</formula>
    </cfRule>
    <cfRule type="expression" dxfId="105" priority="44">
      <formula>BM24="Red"</formula>
    </cfRule>
    <cfRule type="expression" dxfId="104" priority="45">
      <formula>BM24="Green"</formula>
    </cfRule>
  </conditionalFormatting>
  <conditionalFormatting sqref="AN24:AN32">
    <cfRule type="expression" dxfId="103" priority="40">
      <formula>BK24="Yellow"</formula>
    </cfRule>
    <cfRule type="expression" dxfId="102" priority="41">
      <formula>BK24="Red"</formula>
    </cfRule>
    <cfRule type="expression" dxfId="101" priority="42">
      <formula>BK24="Green"</formula>
    </cfRule>
  </conditionalFormatting>
  <conditionalFormatting sqref="AX24">
    <cfRule type="expression" dxfId="100" priority="37">
      <formula>BU24="Yellow"</formula>
    </cfRule>
    <cfRule type="expression" dxfId="99" priority="38">
      <formula>BU24="Red"</formula>
    </cfRule>
    <cfRule type="expression" dxfId="98" priority="39">
      <formula>BU24="Green"</formula>
    </cfRule>
  </conditionalFormatting>
  <conditionalFormatting sqref="AZ24">
    <cfRule type="expression" dxfId="97" priority="34">
      <formula>BW24="Yellow"</formula>
    </cfRule>
    <cfRule type="expression" dxfId="96" priority="35">
      <formula>BW24="Red"</formula>
    </cfRule>
    <cfRule type="expression" dxfId="95" priority="36">
      <formula>BW24="Green"</formula>
    </cfRule>
  </conditionalFormatting>
  <conditionalFormatting sqref="BB24">
    <cfRule type="expression" dxfId="94" priority="31">
      <formula>BY24="Yellow"</formula>
    </cfRule>
    <cfRule type="expression" dxfId="93" priority="32">
      <formula>BY24="Red"</formula>
    </cfRule>
    <cfRule type="expression" dxfId="92" priority="33">
      <formula>BY24="Green"</formula>
    </cfRule>
  </conditionalFormatting>
  <conditionalFormatting sqref="BD24">
    <cfRule type="expression" dxfId="91" priority="28">
      <formula>CA24="Yellow"</formula>
    </cfRule>
    <cfRule type="expression" dxfId="90" priority="29">
      <formula>CA24="Red"</formula>
    </cfRule>
    <cfRule type="expression" dxfId="89" priority="30">
      <formula>CA24="Green"</formula>
    </cfRule>
  </conditionalFormatting>
  <conditionalFormatting sqref="BF24">
    <cfRule type="expression" dxfId="88" priority="25">
      <formula>CC24="Yellow"</formula>
    </cfRule>
    <cfRule type="expression" dxfId="87" priority="26">
      <formula>CC24="Red"</formula>
    </cfRule>
    <cfRule type="expression" dxfId="86" priority="27">
      <formula>CC24="Green"</formula>
    </cfRule>
  </conditionalFormatting>
  <conditionalFormatting sqref="AX25:AX38">
    <cfRule type="expression" dxfId="85" priority="22">
      <formula>BU25="Yellow"</formula>
    </cfRule>
    <cfRule type="expression" dxfId="84" priority="23">
      <formula>BU25="Red"</formula>
    </cfRule>
    <cfRule type="expression" dxfId="83" priority="24">
      <formula>BU25="Green"</formula>
    </cfRule>
  </conditionalFormatting>
  <conditionalFormatting sqref="AZ25:AZ38">
    <cfRule type="expression" dxfId="82" priority="19">
      <formula>BW25="Yellow"</formula>
    </cfRule>
    <cfRule type="expression" dxfId="81" priority="20">
      <formula>BW25="Red"</formula>
    </cfRule>
    <cfRule type="expression" dxfId="80" priority="21">
      <formula>BW25="Green"</formula>
    </cfRule>
  </conditionalFormatting>
  <conditionalFormatting sqref="BB25:BB38">
    <cfRule type="expression" dxfId="79" priority="16">
      <formula>BY25="Yellow"</formula>
    </cfRule>
    <cfRule type="expression" dxfId="78" priority="17">
      <formula>BY25="Red"</formula>
    </cfRule>
    <cfRule type="expression" dxfId="77" priority="18">
      <formula>BY25="Green"</formula>
    </cfRule>
  </conditionalFormatting>
  <conditionalFormatting sqref="BD25:BD38">
    <cfRule type="expression" dxfId="76" priority="13">
      <formula>CA25="Yellow"</formula>
    </cfRule>
    <cfRule type="expression" dxfId="75" priority="14">
      <formula>CA25="Red"</formula>
    </cfRule>
    <cfRule type="expression" dxfId="74" priority="15">
      <formula>CA25="Green"</formula>
    </cfRule>
  </conditionalFormatting>
  <conditionalFormatting sqref="BF25:BF38">
    <cfRule type="expression" dxfId="73" priority="10">
      <formula>CC25="Yellow"</formula>
    </cfRule>
    <cfRule type="expression" dxfId="72" priority="11">
      <formula>CC25="Red"</formula>
    </cfRule>
    <cfRule type="expression" dxfId="71" priority="12">
      <formula>CC25="Green"</formula>
    </cfRule>
  </conditionalFormatting>
  <conditionalFormatting sqref="P48:Q55">
    <cfRule type="cellIs" dxfId="70" priority="6" operator="equal">
      <formula>"Complete"</formula>
    </cfRule>
    <cfRule type="cellIs" dxfId="69" priority="7" operator="equal">
      <formula>"Incomplete"</formula>
    </cfRule>
  </conditionalFormatting>
  <conditionalFormatting sqref="P48:Q55">
    <cfRule type="cellIs" dxfId="68" priority="5" operator="equal">
      <formula>"Self"</formula>
    </cfRule>
  </conditionalFormatting>
  <conditionalFormatting sqref="AD45:AE48">
    <cfRule type="cellIs" dxfId="67" priority="1" operator="equal">
      <formula>"Complete"</formula>
    </cfRule>
    <cfRule type="cellIs" dxfId="66" priority="2" operator="equal">
      <formula>"Incomplete"</formula>
    </cfRule>
  </conditionalFormatting>
  <hyperlinks>
    <hyperlink ref="F26" location="Project!H24" display="Rate Schedule"/>
    <hyperlink ref="F27" location="Project!H30" display="Building Type"/>
    <hyperlink ref="F31" location="Project!T22" display="Project Name"/>
    <hyperlink ref="F32" location="Ready!T24" display="Business Name"/>
    <hyperlink ref="F33" location="Project!T26" display="PSE Account #"/>
    <hyperlink ref="F34" location="Project!T28" display="PSE Electric Meter #(s)"/>
    <hyperlink ref="F35" location="Project!T30" display="Project Site Address"/>
    <hyperlink ref="F36" location="Project!T34" display="Project City"/>
    <hyperlink ref="F37" location="Project!X36" display="Project Zip"/>
    <hyperlink ref="F40" location="Project!AH22" display="Business / Project Company name"/>
    <hyperlink ref="F41" location="Project!AH24" display="Business / Project Contact"/>
    <hyperlink ref="F42" location="Project!AH26" display="Business / Project Email"/>
    <hyperlink ref="F43" location="Project!AH28" display="Business / Project Phone"/>
    <hyperlink ref="F47" location="Project!X36" display="Project Zip"/>
    <hyperlink ref="F44"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CR36" location="Signature!AH57" display="PAYEE  - Company"/>
    <hyperlink ref="CR37" location="Signature!AH59" display="Check payable to - MUST match W9"/>
    <hyperlink ref="CR40" location="Signature!V67" display="Phone #"/>
    <hyperlink ref="CR41" location="Signature!V69" display="Address"/>
    <hyperlink ref="CR42" location="Signature!V71" display="City"/>
    <hyperlink ref="CR43" location="Signature!V73" display="State"/>
    <hyperlink ref="CR44" location="Signature!Y73" display="Zip"/>
    <hyperlink ref="CR38:CW38" location="Signature!AH63" display="PAYEE contact, first and last"/>
    <hyperlink ref="CR39:CW39" location="Signature!AH65" display="Email"/>
    <hyperlink ref="CR40:CW40" location="Signature!AH67" display="Phone #"/>
    <hyperlink ref="CR41:CW41" location="Signature!AH69" display="Address"/>
    <hyperlink ref="CR42:CW42" location="Signature!AH71" display="City"/>
    <hyperlink ref="CR43:CW43" location="Signature!AH73" display="State"/>
    <hyperlink ref="CR44:CW44" location="Signature!AK73" display="Zip"/>
    <hyperlink ref="AP45:AP52" location="Installations!C40" display="Installations!C40"/>
    <hyperlink ref="F25" location="Project!H24" display="Rate Schedule"/>
    <hyperlink ref="F25:K25" location="_Project_2_Type" display="Project Type"/>
    <hyperlink ref="F26:K26" location="Project!H26" display="Rate Schedule"/>
    <hyperlink ref="F27:K27" location="Project!H32" display="Building Type"/>
    <hyperlink ref="F31:K31" location="Project!V22" display="Project Name"/>
    <hyperlink ref="F28" location="Project!H30" display="Building Type"/>
    <hyperlink ref="F28:K28" location="Project!H38" display="WSEC C406.3 (New Construction)"/>
    <hyperlink ref="R24:X24" location="Project!H59" display="Submitted By"/>
    <hyperlink ref="F32:K32" location="Project!V24" display="Business Name"/>
    <hyperlink ref="F33:K33" location="Project!V26" display="PSE Account #"/>
    <hyperlink ref="F34:K34" location="Project!V28" display="PSE Electric Meter #(s)"/>
    <hyperlink ref="F35:K35" location="Project!V30" display="Project Site Address"/>
    <hyperlink ref="F36:K36" location="Project!V34" display="Project City"/>
    <hyperlink ref="F37:K37" location="Project!AA36" display="Project Zip"/>
    <hyperlink ref="F40:K40" location="Project!AK22" display="Business / Project Company name"/>
    <hyperlink ref="F41:K41" location="Project!AK24" display="Business / Project Contact"/>
    <hyperlink ref="F42:K42" location="Project!AK26" display="Business / Project Email"/>
    <hyperlink ref="F43:K43" location="Project!AK28" display="Business / Project Phone"/>
    <hyperlink ref="F44:K44" location="Project!AK32" display="Contact Address, if different"/>
    <hyperlink ref="F45:K45" location="Project!AK34" display="Business City"/>
    <hyperlink ref="F46:K46" location="Project!AK36" display="Business State"/>
    <hyperlink ref="F47:K47"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 ref="AF25" location="Signature!V57" display="PAYEE  - Company"/>
    <hyperlink ref="AF25:AK25" location="'Customer Authorization'!Z57" display="PAYEE  - Company"/>
    <hyperlink ref="AF26:AK26" location="'Customer Authorization'!Z59" display="Check payable to - MUST match W9"/>
    <hyperlink ref="R48" location="Project!H61" display="Installer - Company"/>
    <hyperlink ref="R49" location="Project!H63" display="Installer Contact name"/>
    <hyperlink ref="R50" location="Project!H65" display="Installer Email"/>
    <hyperlink ref="R51" location="Project!H67" display="Installer Phone"/>
    <hyperlink ref="R52" location="Project!H69" display="Installer Address"/>
    <hyperlink ref="R53" location="Project!H71" display="Installer City"/>
    <hyperlink ref="R52:R53" location="Project!H71" display="Installer Address"/>
    <hyperlink ref="R54" location="Project!H73" display="Installer State"/>
    <hyperlink ref="R55" location="Project!O73" display="Installer Zip"/>
    <hyperlink ref="R48:X48" location="'Project'!AJ63" display="Installer - Company"/>
    <hyperlink ref="R49:X49" location="'Project'!AJ65" display="Contact name"/>
    <hyperlink ref="R50:X50" location="'Project'!AJ67" display="Email"/>
    <hyperlink ref="R51:X51" location="'Project'!AJ69" display="Phone"/>
    <hyperlink ref="R52:X52" location="'Project'!AJ71" display="Address"/>
    <hyperlink ref="R53:X53" location="'Project'!AJ73" display="City"/>
    <hyperlink ref="R54:X54" location="'Project'!AJ75" display="State"/>
    <hyperlink ref="R55:X55" location="'Project'!AN75" display="Zip"/>
    <hyperlink ref="AF37" location="Signature!V59" display="Check payable to - MUST match W9"/>
    <hyperlink ref="AF38" location="Signature!V63" display="PAYEE contact, first and last"/>
    <hyperlink ref="AF39" location="Signature!V65" display="Email"/>
    <hyperlink ref="AF40" location="Signature!V69" display="Address"/>
    <hyperlink ref="AF41" location="Signature!V71" display="City"/>
    <hyperlink ref="AF37:AK37" location="'Customer Authorization'!K95" display="Company"/>
    <hyperlink ref="AF38:AK38" location="'Customer Authorization'!K93" display="Name"/>
    <hyperlink ref="AF39:AK39" location="'Customer Authorization'!K97" display="Email"/>
    <hyperlink ref="AF40:AK40" location="'Customer Authorization'!K99" display="Date Signed"/>
    <hyperlink ref="AF41:AK41" r:id="rId1" display="Est Install Date"/>
    <hyperlink ref="AF45" location="Signature!V59" display="Check payable to - MUST match W9"/>
    <hyperlink ref="AF46" location="Signature!V63" display="PAYEE contact, first and last"/>
    <hyperlink ref="AF47" location="Signature!V65" display="Email"/>
    <hyperlink ref="AF48" location="Signature!V69" display="Address"/>
    <hyperlink ref="AF45:AK45" location="'Customer Authorization'!AD93" display="Company"/>
    <hyperlink ref="AF46:AK46" location="'Customer Authorization'!AD95" display="Name"/>
    <hyperlink ref="AF47:AK47" location="'Customer Authorization'!AD97" display="Email"/>
    <hyperlink ref="AF48:AK48" location="'Customer Authorization'!AD99" display="Date Signed"/>
  </hyperlinks>
  <pageMargins left="0.7" right="0.7" top="0.75" bottom="0.75" header="0.3" footer="0.3"/>
  <pageSetup scale="56"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16" ma:contentTypeDescription="Create a new document." ma:contentTypeScope="" ma:versionID="415900c3efc9955cdb578bd2e379ea6c">
  <xsd:schema xmlns:xsd="http://www.w3.org/2001/XMLSchema" xmlns:xs="http://www.w3.org/2001/XMLSchema" xmlns:p="http://schemas.microsoft.com/office/2006/metadata/properties" xmlns:ns2="c14c0670-55d2-4f12-b056-3e062a694960" xmlns:ns3="c898ab90-11b2-479b-ad11-4516aad3c33f" targetNamespace="http://schemas.microsoft.com/office/2006/metadata/properties" ma:root="true" ma:fieldsID="c67bd04af1b56198474593de98143712" ns2:_="" ns3:_="">
    <xsd:import namespace="c14c0670-55d2-4f12-b056-3e062a694960"/>
    <xsd:import namespace="c898ab90-11b2-479b-ad11-4516aad3c33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7dc18a2-e767-4186-bf39-58076ea21ab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98ab90-11b2-479b-ad11-4516aad3c33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9646aaf-79b5-4af3-a3b4-256658cfca3b}" ma:internalName="TaxCatchAll" ma:showField="CatchAllData" ma:web="c898ab90-11b2-479b-ad11-4516aad3c33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14c0670-55d2-4f12-b056-3e062a694960">
      <Terms xmlns="http://schemas.microsoft.com/office/infopath/2007/PartnerControls"/>
    </lcf76f155ced4ddcb4097134ff3c332f>
    <TaxCatchAll xmlns="c898ab90-11b2-479b-ad11-4516aad3c33f" xsi:nil="true"/>
  </documentManagement>
</p:properties>
</file>

<file path=customXml/itemProps1.xml><?xml version="1.0" encoding="utf-8"?>
<ds:datastoreItem xmlns:ds="http://schemas.openxmlformats.org/officeDocument/2006/customXml" ds:itemID="{2ECDA6E8-5B34-4C72-A4E8-81385983555D}">
  <ds:schemaRefs>
    <ds:schemaRef ds:uri="http://schemas.microsoft.com/PowerBIAddIn"/>
  </ds:schemaRefs>
</ds:datastoreItem>
</file>

<file path=customXml/itemProps2.xml><?xml version="1.0" encoding="utf-8"?>
<ds:datastoreItem xmlns:ds="http://schemas.openxmlformats.org/officeDocument/2006/customXml" ds:itemID="{FCDF3962-F554-444C-AD56-C2F1862CC2EC}">
  <ds:schemaRefs>
    <ds:schemaRef ds:uri="http://schemas.microsoft.com/sharepoint/v3/contenttype/forms"/>
  </ds:schemaRefs>
</ds:datastoreItem>
</file>

<file path=customXml/itemProps3.xml><?xml version="1.0" encoding="utf-8"?>
<ds:datastoreItem xmlns:ds="http://schemas.openxmlformats.org/officeDocument/2006/customXml" ds:itemID="{247DCE06-B7B5-4D50-BA29-DE827A632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c898ab90-11b2-479b-ad11-4516aad3c3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A94377-0EA5-4C3A-925B-E6E3346FE901}">
  <ds:schemaRefs>
    <ds:schemaRef ds:uri="http://schemas.microsoft.com/office/2006/metadata/properties"/>
    <ds:schemaRef ds:uri="http://purl.org/dc/terms/"/>
    <ds:schemaRef ds:uri="c14c0670-55d2-4f12-b056-3e062a694960"/>
    <ds:schemaRef ds:uri="http://schemas.microsoft.com/office/2006/documentManagement/types"/>
    <ds:schemaRef ds:uri="c898ab90-11b2-479b-ad11-4516aad3c33f"/>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190</vt:i4>
      </vt:variant>
    </vt:vector>
  </HeadingPairs>
  <TitlesOfParts>
    <vt:vector size="212" baseType="lpstr">
      <vt:lpstr>Terms</vt:lpstr>
      <vt:lpstr>Project</vt:lpstr>
      <vt:lpstr>Fixtures</vt:lpstr>
      <vt:lpstr>Installations</vt:lpstr>
      <vt:lpstr>Customer Authorization</vt:lpstr>
      <vt:lpstr>Building Area Installations</vt:lpstr>
      <vt:lpstr>Customer Use</vt:lpstr>
      <vt:lpstr>Instructions</vt:lpstr>
      <vt:lpstr>Ready</vt:lpstr>
      <vt:lpstr>LLLC &amp; AELC</vt:lpstr>
      <vt:lpstr>Control Savings</vt:lpstr>
      <vt:lpstr>Grant QC Review</vt:lpstr>
      <vt:lpstr>LLLC Grant QC Review</vt:lpstr>
      <vt:lpstr>DATA</vt:lpstr>
      <vt:lpstr>Autofund</vt:lpstr>
      <vt:lpstr>Existing</vt:lpstr>
      <vt:lpstr>Lookup</vt:lpstr>
      <vt:lpstr>WSEC</vt:lpstr>
      <vt:lpstr>WSEC B_A_M</vt:lpstr>
      <vt:lpstr>Space Table</vt:lpstr>
      <vt:lpstr>CNC DSMc SOW</vt:lpstr>
      <vt:lpstr>Changes</vt:lpstr>
      <vt:lpstr>__BLi?</vt:lpstr>
      <vt:lpstr>__Company_Name_List</vt:lpstr>
      <vt:lpstr>__CPI_List</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_Install_01</vt:lpstr>
      <vt:lpstr>_Install_10</vt:lpstr>
      <vt:lpstr>_Install_100</vt:lpstr>
      <vt:lpstr>_Install_115</vt:lpstr>
      <vt:lpstr>_Install_130</vt:lpstr>
      <vt:lpstr>_Install_2_Supplemental_Info</vt:lpstr>
      <vt:lpstr>_Install_25</vt:lpstr>
      <vt:lpstr>_Install_40</vt:lpstr>
      <vt:lpstr>_Install_55</vt:lpstr>
      <vt:lpstr>_Install_70</vt:lpstr>
      <vt:lpstr>_Install_85</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Lookup_Payee1</vt:lpstr>
      <vt:lpstr>Lookup_Rate_Schedule</vt:lpstr>
      <vt:lpstr>Lookup_Schedule</vt:lpstr>
      <vt:lpstr>Lookup_Street</vt:lpstr>
      <vt:lpstr>Lookup_Submitter</vt:lpstr>
      <vt:lpstr>Lookup_Submitter_Number</vt:lpstr>
      <vt:lpstr>Lookup_Type</vt:lpstr>
      <vt:lpstr>MF__Named</vt:lpstr>
      <vt:lpstr>NewFixtures</vt:lpstr>
      <vt:lpstr>OnIntensity</vt:lpstr>
      <vt:lpstr>'Building Area Installations'!Print_Area</vt:lpstr>
      <vt:lpstr>'Grant QC Review'!Print_Area</vt:lpstr>
      <vt:lpstr>'LLLC &amp; AELC'!Print_Area</vt:lpstr>
      <vt:lpstr>'LLLC Grant QC Review'!Print_Area</vt:lpstr>
      <vt:lpstr>Project!Print_Area</vt:lpstr>
      <vt:lpstr>Ready!Print_Area</vt:lpstr>
      <vt:lpstr>PRINT_CUSTOMER_AUTHORIZATION</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Lane, Michael</cp:lastModifiedBy>
  <cp:revision/>
  <dcterms:created xsi:type="dcterms:W3CDTF">2019-09-08T15:46:52Z</dcterms:created>
  <dcterms:modified xsi:type="dcterms:W3CDTF">2024-02-14T19:31:29Z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y fmtid="{D5CDD505-2E9C-101B-9397-08002B2CF9AE}" pid="3" name="MediaServiceImageTags">
    <vt:lpwstr/>
  </property>
</Properties>
</file>